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codeName="ЭтаКнига" defaultThemeVersion="124226"/>
  <xr:revisionPtr revIDLastSave="0" documentId="13_ncr:1_{FDABDA7D-A6CE-49D5-BB2C-4F1AC5AE903B}" xr6:coauthVersionLast="47" xr6:coauthVersionMax="47" xr10:uidLastSave="{00000000-0000-0000-0000-000000000000}"/>
  <bookViews>
    <workbookView xWindow="660" yWindow="135" windowWidth="27510" windowHeight="15360" tabRatio="601" firstSheet="29" activeTab="31" xr2:uid="{00000000-000D-0000-FFFF-FFFF00000000}"/>
  </bookViews>
  <sheets>
    <sheet name="прил № 3 (01.01.23)" sheetId="191" r:id="rId1"/>
    <sheet name="3.1. расчет фот обл (нсот2023)" sheetId="211" r:id="rId2"/>
    <sheet name="3.1. расчет фот обл (нсот2024)" sheetId="213" r:id="rId3"/>
    <sheet name="3.1. расчет фот обл (нсот2025)" sheetId="214" r:id="rId4"/>
    <sheet name="3.2.расчет фот мест дс (2023)" sheetId="71" r:id="rId5"/>
    <sheet name="3.2.расчет фот мест дс (2024)" sheetId="96" r:id="rId6"/>
    <sheet name="3.2.расчет фот мест дс (2025)" sheetId="114" r:id="rId7"/>
    <sheet name="ст-ть ночных и празд" sheetId="201" r:id="rId8"/>
    <sheet name="фот 1-3 г мб и об" sheetId="199" r:id="rId9"/>
    <sheet name="фот 3-7 л мб и об" sheetId="212" r:id="rId10"/>
    <sheet name="мед.раб." sheetId="200" r:id="rId11"/>
    <sheet name="3.3.расчет прочих дс" sheetId="215" r:id="rId12"/>
    <sheet name="3.4.присмотр и уход" sheetId="209" r:id="rId13"/>
    <sheet name="продукты" sheetId="204" r:id="rId14"/>
    <sheet name="бут вода" sheetId="205" r:id="rId15"/>
    <sheet name="хоз инв" sheetId="206" r:id="rId16"/>
    <sheet name="мягкий инв" sheetId="207" r:id="rId17"/>
    <sheet name="доля питания" sheetId="208" r:id="rId18"/>
    <sheet name="3.5. Норматив фот обл 2023" sheetId="224" r:id="rId19"/>
    <sheet name="3.5. Норматив фот обл 2024" sheetId="232" r:id="rId20"/>
    <sheet name="3.5. Норматив фот обл 2025" sheetId="233" r:id="rId21"/>
    <sheet name="доплаты" sheetId="231" r:id="rId22"/>
    <sheet name="типовые штаты 07 02" sheetId="230" r:id="rId23"/>
    <sheet name="3.6.Норматив обл 2023-2025 доп" sheetId="135" r:id="rId24"/>
    <sheet name="3.7.расчет фот мест 2023" sheetId="76" r:id="rId25"/>
    <sheet name="3.7.расчет фот мест 2024" sheetId="136" r:id="rId26"/>
    <sheet name="3.7.расчет фот мест 2025" sheetId="137" r:id="rId27"/>
    <sheet name="3.8.комм услуги" sheetId="87" r:id="rId28"/>
    <sheet name="223" sheetId="219" r:id="rId29"/>
    <sheet name="3.9.расчет прочих" sheetId="77" r:id="rId30"/>
    <sheet name="291 свод" sheetId="203" r:id="rId31"/>
    <sheet name="291 имущ" sheetId="218" r:id="rId32"/>
    <sheet name="291 земля" sheetId="217" r:id="rId33"/>
    <sheet name="расчет коэфф платной деят-ти" sheetId="202" r:id="rId34"/>
    <sheet name="07 01 школы обл 2 чт 2023-25" sheetId="221" r:id="rId35"/>
    <sheet name="07 02 школы обл 2 чт 2023-25" sheetId="222" r:id="rId36"/>
    <sheet name="07 03 школы обл 2 чт 2023-25" sheetId="223" r:id="rId37"/>
    <sheet name="учебники" sheetId="235" r:id="rId38"/>
  </sheets>
  <externalReferences>
    <externalReference r:id="rId39"/>
    <externalReference r:id="rId40"/>
    <externalReference r:id="rId41"/>
    <externalReference r:id="rId42"/>
  </externalReferences>
  <definedNames>
    <definedName name="ccc" localSheetId="34">#REF!</definedName>
    <definedName name="ccc" localSheetId="36">#REF!</definedName>
    <definedName name="ccc" localSheetId="28">#REF!</definedName>
    <definedName name="ccc" localSheetId="32">#REF!</definedName>
    <definedName name="ccc" localSheetId="31">#REF!</definedName>
    <definedName name="ccc" localSheetId="30">#REF!</definedName>
    <definedName name="ccc" localSheetId="1">#REF!</definedName>
    <definedName name="ccc" localSheetId="2">#REF!</definedName>
    <definedName name="ccc" localSheetId="3">#REF!</definedName>
    <definedName name="ccc" localSheetId="11">#REF!</definedName>
    <definedName name="ccc" localSheetId="12">#REF!</definedName>
    <definedName name="ccc" localSheetId="18">#REF!</definedName>
    <definedName name="ccc" localSheetId="19">#REF!</definedName>
    <definedName name="ccc" localSheetId="20">#REF!</definedName>
    <definedName name="ccc" localSheetId="14">#REF!</definedName>
    <definedName name="ccc" localSheetId="17">#REF!</definedName>
    <definedName name="ccc" localSheetId="16">#REF!</definedName>
    <definedName name="ccc" localSheetId="0">#REF!</definedName>
    <definedName name="ccc" localSheetId="13">#REF!</definedName>
    <definedName name="ccc" localSheetId="33">#REF!</definedName>
    <definedName name="ccc" localSheetId="7">#REF!</definedName>
    <definedName name="ccc" localSheetId="22">#REF!</definedName>
    <definedName name="ccc" localSheetId="9">#REF!</definedName>
    <definedName name="ccc" localSheetId="15">#REF!</definedName>
    <definedName name="ccc">#REF!</definedName>
    <definedName name="dklr" localSheetId="34">#REF!</definedName>
    <definedName name="dklr" localSheetId="35">#REF!</definedName>
    <definedName name="dklr" localSheetId="36">#REF!</definedName>
    <definedName name="dklr" localSheetId="28">#REF!</definedName>
    <definedName name="dklr" localSheetId="32">#REF!</definedName>
    <definedName name="dklr" localSheetId="31">#REF!</definedName>
    <definedName name="dklr" localSheetId="30">#REF!</definedName>
    <definedName name="dklr" localSheetId="1">#REF!</definedName>
    <definedName name="dklr" localSheetId="2">#REF!</definedName>
    <definedName name="dklr" localSheetId="3">#REF!</definedName>
    <definedName name="dklr" localSheetId="5">#REF!</definedName>
    <definedName name="dklr" localSheetId="6">#REF!</definedName>
    <definedName name="dklr" localSheetId="11">#REF!</definedName>
    <definedName name="dklr" localSheetId="12">#REF!</definedName>
    <definedName name="dklr" localSheetId="18">#REF!</definedName>
    <definedName name="dklr" localSheetId="19">#REF!</definedName>
    <definedName name="dklr" localSheetId="20">#REF!</definedName>
    <definedName name="dklr" localSheetId="24">#REF!</definedName>
    <definedName name="dklr" localSheetId="25">#REF!</definedName>
    <definedName name="dklr" localSheetId="26">#REF!</definedName>
    <definedName name="dklr" localSheetId="27">#REF!</definedName>
    <definedName name="dklr" localSheetId="29">#REF!</definedName>
    <definedName name="dklr" localSheetId="14">#REF!</definedName>
    <definedName name="dklr" localSheetId="17">#REF!</definedName>
    <definedName name="dklr" localSheetId="16">#REF!</definedName>
    <definedName name="dklr" localSheetId="0">#REF!</definedName>
    <definedName name="dklr" localSheetId="13">#REF!</definedName>
    <definedName name="dklr" localSheetId="33">#REF!</definedName>
    <definedName name="dklr" localSheetId="7">#REF!</definedName>
    <definedName name="dklr" localSheetId="22">#REF!</definedName>
    <definedName name="dklr" localSheetId="9">#REF!</definedName>
    <definedName name="dklr" localSheetId="15">#REF!</definedName>
    <definedName name="dklr">#REF!</definedName>
    <definedName name="Excel_BuiltIn_Database" localSheetId="34">#REF!</definedName>
    <definedName name="Excel_BuiltIn_Database" localSheetId="35">#REF!</definedName>
    <definedName name="Excel_BuiltIn_Database" localSheetId="36">#REF!</definedName>
    <definedName name="Excel_BuiltIn_Database" localSheetId="28">#REF!</definedName>
    <definedName name="Excel_BuiltIn_Database" localSheetId="32">#REF!</definedName>
    <definedName name="Excel_BuiltIn_Database" localSheetId="31">#REF!</definedName>
    <definedName name="Excel_BuiltIn_Database" localSheetId="30">#REF!</definedName>
    <definedName name="Excel_BuiltIn_Database" localSheetId="1">#REF!</definedName>
    <definedName name="Excel_BuiltIn_Database" localSheetId="2">#REF!</definedName>
    <definedName name="Excel_BuiltIn_Database" localSheetId="3">#REF!</definedName>
    <definedName name="Excel_BuiltIn_Database" localSheetId="5">#REF!</definedName>
    <definedName name="Excel_BuiltIn_Database" localSheetId="6">#REF!</definedName>
    <definedName name="Excel_BuiltIn_Database" localSheetId="11">#REF!</definedName>
    <definedName name="Excel_BuiltIn_Database" localSheetId="12">#REF!</definedName>
    <definedName name="Excel_BuiltIn_Database" localSheetId="18">#REF!</definedName>
    <definedName name="Excel_BuiltIn_Database" localSheetId="19">#REF!</definedName>
    <definedName name="Excel_BuiltIn_Database" localSheetId="20">#REF!</definedName>
    <definedName name="Excel_BuiltIn_Database" localSheetId="24">#REF!</definedName>
    <definedName name="Excel_BuiltIn_Database" localSheetId="25">#REF!</definedName>
    <definedName name="Excel_BuiltIn_Database" localSheetId="26">#REF!</definedName>
    <definedName name="Excel_BuiltIn_Database" localSheetId="27">#REF!</definedName>
    <definedName name="Excel_BuiltIn_Database" localSheetId="14">#REF!</definedName>
    <definedName name="Excel_BuiltIn_Database" localSheetId="17">#REF!</definedName>
    <definedName name="Excel_BuiltIn_Database" localSheetId="10">#REF!</definedName>
    <definedName name="Excel_BuiltIn_Database" localSheetId="16">#REF!</definedName>
    <definedName name="Excel_BuiltIn_Database" localSheetId="0">#REF!</definedName>
    <definedName name="Excel_BuiltIn_Database" localSheetId="13">#REF!</definedName>
    <definedName name="Excel_BuiltIn_Database" localSheetId="33">#REF!</definedName>
    <definedName name="Excel_BuiltIn_Database" localSheetId="7">#REF!</definedName>
    <definedName name="Excel_BuiltIn_Database" localSheetId="22">#REF!</definedName>
    <definedName name="Excel_BuiltIn_Database" localSheetId="8">#REF!</definedName>
    <definedName name="Excel_BuiltIn_Database" localSheetId="9">#REF!</definedName>
    <definedName name="Excel_BuiltIn_Database" localSheetId="15">#REF!</definedName>
    <definedName name="Excel_BuiltIn_Database">#REF!</definedName>
    <definedName name="ghj" localSheetId="19">#REF!</definedName>
    <definedName name="ghj" localSheetId="20">#REF!</definedName>
    <definedName name="ghj" localSheetId="22">#REF!</definedName>
    <definedName name="ghj">#REF!</definedName>
    <definedName name="kldp" localSheetId="34">#REF!</definedName>
    <definedName name="kldp" localSheetId="36">#REF!</definedName>
    <definedName name="kldp" localSheetId="28">#REF!</definedName>
    <definedName name="kldp" localSheetId="32">#REF!</definedName>
    <definedName name="kldp" localSheetId="31">#REF!</definedName>
    <definedName name="kldp" localSheetId="30">#REF!</definedName>
    <definedName name="kldp" localSheetId="1">#REF!</definedName>
    <definedName name="kldp" localSheetId="2">#REF!</definedName>
    <definedName name="kldp" localSheetId="3">#REF!</definedName>
    <definedName name="kldp" localSheetId="11">#REF!</definedName>
    <definedName name="kldp" localSheetId="12">#REF!</definedName>
    <definedName name="kldp" localSheetId="18">#REF!</definedName>
    <definedName name="kldp" localSheetId="19">#REF!</definedName>
    <definedName name="kldp" localSheetId="20">#REF!</definedName>
    <definedName name="kldp" localSheetId="14">#REF!</definedName>
    <definedName name="kldp" localSheetId="17">#REF!</definedName>
    <definedName name="kldp" localSheetId="16">#REF!</definedName>
    <definedName name="kldp" localSheetId="0">#REF!</definedName>
    <definedName name="kldp" localSheetId="13">#REF!</definedName>
    <definedName name="kldp" localSheetId="33">#REF!</definedName>
    <definedName name="kldp" localSheetId="7">#REF!</definedName>
    <definedName name="kldp" localSheetId="22">#REF!</definedName>
    <definedName name="kldp" localSheetId="9">#REF!</definedName>
    <definedName name="kldp" localSheetId="15">#REF!</definedName>
    <definedName name="kldp">#REF!</definedName>
    <definedName name="lkj" localSheetId="34">#REF!</definedName>
    <definedName name="lkj" localSheetId="35">#REF!</definedName>
    <definedName name="lkj" localSheetId="36">#REF!</definedName>
    <definedName name="lkj" localSheetId="30">#REF!</definedName>
    <definedName name="lkj" localSheetId="1">#REF!</definedName>
    <definedName name="lkj" localSheetId="2">#REF!</definedName>
    <definedName name="lkj" localSheetId="3">#REF!</definedName>
    <definedName name="lkj" localSheetId="6">#REF!</definedName>
    <definedName name="lkj" localSheetId="11">#REF!</definedName>
    <definedName name="lkj" localSheetId="12">#REF!</definedName>
    <definedName name="lkj" localSheetId="18">#REF!</definedName>
    <definedName name="lkj" localSheetId="19">#REF!</definedName>
    <definedName name="lkj" localSheetId="20">#REF!</definedName>
    <definedName name="lkj" localSheetId="25">#REF!</definedName>
    <definedName name="lkj" localSheetId="26">#REF!</definedName>
    <definedName name="lkj" localSheetId="14">#REF!</definedName>
    <definedName name="lkj" localSheetId="17">#REF!</definedName>
    <definedName name="lkj" localSheetId="16">#REF!</definedName>
    <definedName name="lkj" localSheetId="0">#REF!</definedName>
    <definedName name="lkj" localSheetId="13">#REF!</definedName>
    <definedName name="lkj" localSheetId="33">#REF!</definedName>
    <definedName name="lkj" localSheetId="7">#REF!</definedName>
    <definedName name="lkj" localSheetId="22">#REF!</definedName>
    <definedName name="lkj" localSheetId="9">#REF!</definedName>
    <definedName name="lkj" localSheetId="15">#REF!</definedName>
    <definedName name="lkj">#REF!</definedName>
    <definedName name="phgf" localSheetId="34">#REF!</definedName>
    <definedName name="phgf" localSheetId="36">#REF!</definedName>
    <definedName name="phgf" localSheetId="19">#REF!</definedName>
    <definedName name="phgf" localSheetId="20">#REF!</definedName>
    <definedName name="phgf" localSheetId="22">#REF!</definedName>
    <definedName name="phgf">#REF!</definedName>
    <definedName name="pokj" localSheetId="34">#REF!</definedName>
    <definedName name="pokj" localSheetId="35">#REF!</definedName>
    <definedName name="pokj" localSheetId="36">#REF!</definedName>
    <definedName name="pokj" localSheetId="30">#REF!</definedName>
    <definedName name="pokj" localSheetId="1">#REF!</definedName>
    <definedName name="pokj" localSheetId="2">#REF!</definedName>
    <definedName name="pokj" localSheetId="3">#REF!</definedName>
    <definedName name="pokj" localSheetId="6">#REF!</definedName>
    <definedName name="pokj" localSheetId="11">#REF!</definedName>
    <definedName name="pokj" localSheetId="12">#REF!</definedName>
    <definedName name="pokj" localSheetId="18">#REF!</definedName>
    <definedName name="pokj" localSheetId="19">#REF!</definedName>
    <definedName name="pokj" localSheetId="20">#REF!</definedName>
    <definedName name="pokj" localSheetId="25">#REF!</definedName>
    <definedName name="pokj" localSheetId="26">#REF!</definedName>
    <definedName name="pokj" localSheetId="14">#REF!</definedName>
    <definedName name="pokj" localSheetId="17">#REF!</definedName>
    <definedName name="pokj" localSheetId="16">#REF!</definedName>
    <definedName name="pokj" localSheetId="0">#REF!</definedName>
    <definedName name="pokj" localSheetId="13">#REF!</definedName>
    <definedName name="pokj" localSheetId="33">#REF!</definedName>
    <definedName name="pokj" localSheetId="7">#REF!</definedName>
    <definedName name="pokj" localSheetId="22">#REF!</definedName>
    <definedName name="pokj" localSheetId="9">#REF!</definedName>
    <definedName name="pokj" localSheetId="15">#REF!</definedName>
    <definedName name="pokj">#REF!</definedName>
    <definedName name="polkk" localSheetId="34">#REF!</definedName>
    <definedName name="polkk" localSheetId="36">#REF!</definedName>
    <definedName name="polkk" localSheetId="30">#REF!</definedName>
    <definedName name="polkk" localSheetId="1">#REF!</definedName>
    <definedName name="polkk" localSheetId="2">#REF!</definedName>
    <definedName name="polkk" localSheetId="3">#REF!</definedName>
    <definedName name="polkk" localSheetId="11">#REF!</definedName>
    <definedName name="polkk" localSheetId="12">#REF!</definedName>
    <definedName name="polkk" localSheetId="18">#REF!</definedName>
    <definedName name="polkk" localSheetId="19">#REF!</definedName>
    <definedName name="polkk" localSheetId="20">#REF!</definedName>
    <definedName name="polkk" localSheetId="14">#REF!</definedName>
    <definedName name="polkk" localSheetId="17">#REF!</definedName>
    <definedName name="polkk" localSheetId="16">#REF!</definedName>
    <definedName name="polkk" localSheetId="13">#REF!</definedName>
    <definedName name="polkk" localSheetId="33">#REF!</definedName>
    <definedName name="polkk" localSheetId="7">#REF!</definedName>
    <definedName name="polkk" localSheetId="22">#REF!</definedName>
    <definedName name="polkk" localSheetId="9">#REF!</definedName>
    <definedName name="polkk" localSheetId="15">#REF!</definedName>
    <definedName name="polkk">#REF!</definedName>
    <definedName name="sdf" localSheetId="2">#REF!</definedName>
    <definedName name="sdf" localSheetId="3">#REF!</definedName>
    <definedName name="sdf" localSheetId="18">#REF!</definedName>
    <definedName name="sdf" localSheetId="19">#REF!</definedName>
    <definedName name="sdf" localSheetId="20">#REF!</definedName>
    <definedName name="sdf" localSheetId="22">#REF!</definedName>
    <definedName name="sdf">#REF!</definedName>
    <definedName name="xxxx" localSheetId="34">#REF!</definedName>
    <definedName name="xxxx" localSheetId="35">#REF!</definedName>
    <definedName name="xxxx" localSheetId="36">#REF!</definedName>
    <definedName name="xxxx" localSheetId="28">#REF!</definedName>
    <definedName name="xxxx" localSheetId="32">#REF!</definedName>
    <definedName name="xxxx" localSheetId="31">#REF!</definedName>
    <definedName name="xxxx" localSheetId="30">#REF!</definedName>
    <definedName name="xxxx" localSheetId="1">#REF!</definedName>
    <definedName name="xxxx" localSheetId="2">#REF!</definedName>
    <definedName name="xxxx" localSheetId="3">#REF!</definedName>
    <definedName name="xxxx" localSheetId="6">#REF!</definedName>
    <definedName name="xxxx" localSheetId="11">#REF!</definedName>
    <definedName name="xxxx" localSheetId="12">#REF!</definedName>
    <definedName name="xxxx" localSheetId="18">#REF!</definedName>
    <definedName name="xxxx" localSheetId="19">#REF!</definedName>
    <definedName name="xxxx" localSheetId="20">#REF!</definedName>
    <definedName name="xxxx" localSheetId="25">#REF!</definedName>
    <definedName name="xxxx" localSheetId="26">#REF!</definedName>
    <definedName name="xxxx" localSheetId="14">#REF!</definedName>
    <definedName name="xxxx" localSheetId="17">#REF!</definedName>
    <definedName name="xxxx" localSheetId="16">#REF!</definedName>
    <definedName name="xxxx" localSheetId="0">#REF!</definedName>
    <definedName name="xxxx" localSheetId="13">#REF!</definedName>
    <definedName name="xxxx" localSheetId="33">#REF!</definedName>
    <definedName name="xxxx" localSheetId="7">#REF!</definedName>
    <definedName name="xxxx" localSheetId="22">#REF!</definedName>
    <definedName name="xxxx" localSheetId="9">#REF!</definedName>
    <definedName name="xxxx" localSheetId="15">#REF!</definedName>
    <definedName name="xxxx">#REF!</definedName>
    <definedName name="zpl" localSheetId="34">#REF!</definedName>
    <definedName name="zpl" localSheetId="35">#REF!</definedName>
    <definedName name="zpl" localSheetId="36">#REF!</definedName>
    <definedName name="zpl" localSheetId="28">#REF!</definedName>
    <definedName name="zpl" localSheetId="32">#REF!</definedName>
    <definedName name="zpl" localSheetId="31">#REF!</definedName>
    <definedName name="zpl" localSheetId="30">#REF!</definedName>
    <definedName name="zpl" localSheetId="1">#REF!</definedName>
    <definedName name="zpl" localSheetId="2">#REF!</definedName>
    <definedName name="zpl" localSheetId="3">#REF!</definedName>
    <definedName name="zpl" localSheetId="5">#REF!</definedName>
    <definedName name="zpl" localSheetId="6">#REF!</definedName>
    <definedName name="zpl" localSheetId="11">#REF!</definedName>
    <definedName name="zpl" localSheetId="12">#REF!</definedName>
    <definedName name="zpl" localSheetId="18">#REF!</definedName>
    <definedName name="zpl" localSheetId="19">#REF!</definedName>
    <definedName name="zpl" localSheetId="20">#REF!</definedName>
    <definedName name="zpl" localSheetId="24">#REF!</definedName>
    <definedName name="zpl" localSheetId="25">#REF!</definedName>
    <definedName name="zpl" localSheetId="26">#REF!</definedName>
    <definedName name="zpl" localSheetId="27">#REF!</definedName>
    <definedName name="zpl" localSheetId="14">#REF!</definedName>
    <definedName name="zpl" localSheetId="17">#REF!</definedName>
    <definedName name="zpl" localSheetId="10">#REF!</definedName>
    <definedName name="zpl" localSheetId="16">#REF!</definedName>
    <definedName name="zpl" localSheetId="0">#REF!</definedName>
    <definedName name="zpl" localSheetId="13">#REF!</definedName>
    <definedName name="zpl" localSheetId="33">#REF!</definedName>
    <definedName name="zpl" localSheetId="7">#REF!</definedName>
    <definedName name="zpl" localSheetId="22">#REF!</definedName>
    <definedName name="zpl" localSheetId="8">#REF!</definedName>
    <definedName name="zpl" localSheetId="9">#REF!</definedName>
    <definedName name="zpl" localSheetId="15">#REF!</definedName>
    <definedName name="zpl">#REF!</definedName>
    <definedName name="аапроолдддд" localSheetId="2">#REF!</definedName>
    <definedName name="аапроолдддд" localSheetId="3">#REF!</definedName>
    <definedName name="аапроолдддд" localSheetId="19">#REF!</definedName>
    <definedName name="аапроолдддд" localSheetId="20">#REF!</definedName>
    <definedName name="аапроолдддд" localSheetId="22">#REF!</definedName>
    <definedName name="аапроолдддд">#REF!</definedName>
    <definedName name="в" localSheetId="2">#REF!</definedName>
    <definedName name="в" localSheetId="3">#REF!</definedName>
    <definedName name="в" localSheetId="19">#REF!</definedName>
    <definedName name="в" localSheetId="20">#REF!</definedName>
    <definedName name="в" localSheetId="22">#REF!</definedName>
    <definedName name="в">#REF!</definedName>
    <definedName name="вбдргп" localSheetId="34">#REF!</definedName>
    <definedName name="вбдргп" localSheetId="35">#REF!</definedName>
    <definedName name="вбдргп" localSheetId="36">#REF!</definedName>
    <definedName name="вбдргп" localSheetId="28">#REF!</definedName>
    <definedName name="вбдргп" localSheetId="32">#REF!</definedName>
    <definedName name="вбдргп" localSheetId="31">#REF!</definedName>
    <definedName name="вбдргп" localSheetId="30">#REF!</definedName>
    <definedName name="вбдргп" localSheetId="1">#REF!</definedName>
    <definedName name="вбдргп" localSheetId="2">#REF!</definedName>
    <definedName name="вбдргп" localSheetId="3">#REF!</definedName>
    <definedName name="вбдргп" localSheetId="5">#REF!</definedName>
    <definedName name="вбдргп" localSheetId="6">#REF!</definedName>
    <definedName name="вбдргп" localSheetId="11">#REF!</definedName>
    <definedName name="вбдргп" localSheetId="12">#REF!</definedName>
    <definedName name="вбдргп" localSheetId="18">#REF!</definedName>
    <definedName name="вбдргп" localSheetId="19">#REF!</definedName>
    <definedName name="вбдргп" localSheetId="20">#REF!</definedName>
    <definedName name="вбдргп" localSheetId="24">#REF!</definedName>
    <definedName name="вбдргп" localSheetId="25">#REF!</definedName>
    <definedName name="вбдргп" localSheetId="26">#REF!</definedName>
    <definedName name="вбдргп" localSheetId="27">#REF!</definedName>
    <definedName name="вбдргп" localSheetId="14">#REF!</definedName>
    <definedName name="вбдргп" localSheetId="17">#REF!</definedName>
    <definedName name="вбдргп" localSheetId="16">#REF!</definedName>
    <definedName name="вбдргп" localSheetId="0">#REF!</definedName>
    <definedName name="вбдргп" localSheetId="13">#REF!</definedName>
    <definedName name="вбдргп" localSheetId="33">#REF!</definedName>
    <definedName name="вбдргп" localSheetId="7">#REF!</definedName>
    <definedName name="вбдргп" localSheetId="22">#REF!</definedName>
    <definedName name="вбдргп" localSheetId="9">#REF!</definedName>
    <definedName name="вбдргп" localSheetId="15">#REF!</definedName>
    <definedName name="вбдргп">#REF!</definedName>
    <definedName name="ввввв123" localSheetId="34">#REF!</definedName>
    <definedName name="ввввв123" localSheetId="35">#REF!</definedName>
    <definedName name="ввввв123" localSheetId="36">#REF!</definedName>
    <definedName name="ввввв123" localSheetId="28">#REF!</definedName>
    <definedName name="ввввв123" localSheetId="32">#REF!</definedName>
    <definedName name="ввввв123" localSheetId="31">#REF!</definedName>
    <definedName name="ввввв123" localSheetId="30">#REF!</definedName>
    <definedName name="ввввв123" localSheetId="1">#REF!</definedName>
    <definedName name="ввввв123" localSheetId="2">#REF!</definedName>
    <definedName name="ввввв123" localSheetId="3">#REF!</definedName>
    <definedName name="ввввв123" localSheetId="5">#REF!</definedName>
    <definedName name="ввввв123" localSheetId="6">#REF!</definedName>
    <definedName name="ввввв123" localSheetId="11">#REF!</definedName>
    <definedName name="ввввв123" localSheetId="12">#REF!</definedName>
    <definedName name="ввввв123" localSheetId="18">#REF!</definedName>
    <definedName name="ввввв123" localSheetId="19">#REF!</definedName>
    <definedName name="ввввв123" localSheetId="20">#REF!</definedName>
    <definedName name="ввввв123" localSheetId="24">#REF!</definedName>
    <definedName name="ввввв123" localSheetId="25">#REF!</definedName>
    <definedName name="ввввв123" localSheetId="26">#REF!</definedName>
    <definedName name="ввввв123" localSheetId="27">#REF!</definedName>
    <definedName name="ввввв123" localSheetId="14">#REF!</definedName>
    <definedName name="ввввв123" localSheetId="17">#REF!</definedName>
    <definedName name="ввввв123" localSheetId="10">#REF!</definedName>
    <definedName name="ввввв123" localSheetId="16">#REF!</definedName>
    <definedName name="ввввв123" localSheetId="0">#REF!</definedName>
    <definedName name="ввввв123" localSheetId="13">#REF!</definedName>
    <definedName name="ввввв123" localSheetId="33">#REF!</definedName>
    <definedName name="ввввв123" localSheetId="7">#REF!</definedName>
    <definedName name="ввввв123" localSheetId="22">#REF!</definedName>
    <definedName name="ввввв123" localSheetId="8">#REF!</definedName>
    <definedName name="ввввв123" localSheetId="9">#REF!</definedName>
    <definedName name="ввввв123" localSheetId="15">#REF!</definedName>
    <definedName name="ввввв123">#REF!</definedName>
    <definedName name="вввввввв" localSheetId="2">#REF!</definedName>
    <definedName name="вввввввв" localSheetId="3">#REF!</definedName>
    <definedName name="вввввввв" localSheetId="19">#REF!</definedName>
    <definedName name="вввввввв" localSheetId="20">#REF!</definedName>
    <definedName name="вввввввв" localSheetId="22">#REF!</definedName>
    <definedName name="вввввввв">#REF!</definedName>
    <definedName name="ввыыыы" localSheetId="2">#REF!</definedName>
    <definedName name="ввыыыы" localSheetId="3">#REF!</definedName>
    <definedName name="ввыыыы" localSheetId="19">#REF!</definedName>
    <definedName name="ввыыыы" localSheetId="20">#REF!</definedName>
    <definedName name="ввыыыы" localSheetId="22">#REF!</definedName>
    <definedName name="ввыыыы">#REF!</definedName>
    <definedName name="ггшшг" localSheetId="2">#REF!</definedName>
    <definedName name="ггшшг" localSheetId="3">#REF!</definedName>
    <definedName name="ггшшг" localSheetId="19">#REF!</definedName>
    <definedName name="ггшшг" localSheetId="20">#REF!</definedName>
    <definedName name="ггшшг" localSheetId="22">#REF!</definedName>
    <definedName name="ггшшг">#REF!</definedName>
    <definedName name="гоггггээжжжжж" localSheetId="2">#REF!</definedName>
    <definedName name="гоггггээжжжжж" localSheetId="3">#REF!</definedName>
    <definedName name="гоггггээжжжжж" localSheetId="19">#REF!</definedName>
    <definedName name="гоггггээжжжжж" localSheetId="20">#REF!</definedName>
    <definedName name="гоггггээжжжжж" localSheetId="22">#REF!</definedName>
    <definedName name="гоггггээжжжжж">#REF!</definedName>
    <definedName name="д" localSheetId="2">#REF!</definedName>
    <definedName name="д" localSheetId="3">#REF!</definedName>
    <definedName name="д" localSheetId="19">#REF!</definedName>
    <definedName name="д" localSheetId="20">#REF!</definedName>
    <definedName name="д" localSheetId="22">#REF!</definedName>
    <definedName name="д">#REF!</definedName>
    <definedName name="д999" localSheetId="2">#REF!</definedName>
    <definedName name="д999" localSheetId="3">#REF!</definedName>
    <definedName name="д999" localSheetId="19">#REF!</definedName>
    <definedName name="д999" localSheetId="20">#REF!</definedName>
    <definedName name="д999" localSheetId="22">#REF!</definedName>
    <definedName name="д999">#REF!</definedName>
    <definedName name="ДатаОтчета" localSheetId="34">#REF!</definedName>
    <definedName name="ДатаОтчета" localSheetId="35">#REF!</definedName>
    <definedName name="ДатаОтчета" localSheetId="36">#REF!</definedName>
    <definedName name="ДатаОтчета" localSheetId="30">#REF!</definedName>
    <definedName name="ДатаОтчета" localSheetId="1">#REF!</definedName>
    <definedName name="ДатаОтчета" localSheetId="2">#REF!</definedName>
    <definedName name="ДатаОтчета" localSheetId="3">#REF!</definedName>
    <definedName name="ДатаОтчета" localSheetId="5">#REF!</definedName>
    <definedName name="ДатаОтчета" localSheetId="6">#REF!</definedName>
    <definedName name="ДатаОтчета" localSheetId="11">#REF!</definedName>
    <definedName name="ДатаОтчета" localSheetId="12">#REF!</definedName>
    <definedName name="ДатаОтчета" localSheetId="18">#REF!</definedName>
    <definedName name="ДатаОтчета" localSheetId="19">#REF!</definedName>
    <definedName name="ДатаОтчета" localSheetId="20">#REF!</definedName>
    <definedName name="ДатаОтчета" localSheetId="25">#REF!</definedName>
    <definedName name="ДатаОтчета" localSheetId="26">#REF!</definedName>
    <definedName name="ДатаОтчета" localSheetId="27">#REF!</definedName>
    <definedName name="ДатаОтчета" localSheetId="14">#REF!</definedName>
    <definedName name="ДатаОтчета" localSheetId="17">#REF!</definedName>
    <definedName name="ДатаОтчета" localSheetId="16">#REF!</definedName>
    <definedName name="ДатаОтчета" localSheetId="0">#REF!</definedName>
    <definedName name="ДатаОтчета" localSheetId="13">#REF!</definedName>
    <definedName name="ДатаОтчета" localSheetId="33">#REF!</definedName>
    <definedName name="ДатаОтчета" localSheetId="7">#REF!</definedName>
    <definedName name="ДатаОтчета" localSheetId="22">#REF!</definedName>
    <definedName name="ДатаОтчета" localSheetId="9">#REF!</definedName>
    <definedName name="ДатаОтчета" localSheetId="15">#REF!</definedName>
    <definedName name="ДатаОтчета">#REF!</definedName>
    <definedName name="дс" localSheetId="7">'[1]291 окруж.ср и госпошлины'!$B$9</definedName>
    <definedName name="дс" localSheetId="22">'[1]291 окруж.ср и госпошлины'!$B$9</definedName>
    <definedName name="дс">[2]свод!$A$7</definedName>
    <definedName name="ж" localSheetId="34">#REF!</definedName>
    <definedName name="ж" localSheetId="28">#REF!</definedName>
    <definedName name="ж" localSheetId="32">#REF!</definedName>
    <definedName name="ж" localSheetId="31">#REF!</definedName>
    <definedName name="ж" localSheetId="2">#REF!</definedName>
    <definedName name="ж" localSheetId="3">#REF!</definedName>
    <definedName name="ж" localSheetId="19">#REF!</definedName>
    <definedName name="ж" localSheetId="20">#REF!</definedName>
    <definedName name="ж" localSheetId="22">#REF!</definedName>
    <definedName name="ж">#REF!</definedName>
    <definedName name="ждд" localSheetId="34">#REF!</definedName>
    <definedName name="ждд" localSheetId="35">#REF!</definedName>
    <definedName name="ждд" localSheetId="36">#REF!</definedName>
    <definedName name="ждд" localSheetId="28">#REF!</definedName>
    <definedName name="ждд" localSheetId="32">#REF!</definedName>
    <definedName name="ждд" localSheetId="31">#REF!</definedName>
    <definedName name="ждд" localSheetId="30">#REF!</definedName>
    <definedName name="ждд" localSheetId="1">#REF!</definedName>
    <definedName name="ждд" localSheetId="2">#REF!</definedName>
    <definedName name="ждд" localSheetId="3">#REF!</definedName>
    <definedName name="ждд" localSheetId="5">#REF!</definedName>
    <definedName name="ждд" localSheetId="6">#REF!</definedName>
    <definedName name="ждд" localSheetId="11">#REF!</definedName>
    <definedName name="ждд" localSheetId="12">#REF!</definedName>
    <definedName name="ждд" localSheetId="18">#REF!</definedName>
    <definedName name="ждд" localSheetId="19">#REF!</definedName>
    <definedName name="ждд" localSheetId="20">#REF!</definedName>
    <definedName name="ждд" localSheetId="24">#REF!</definedName>
    <definedName name="ждд" localSheetId="25">#REF!</definedName>
    <definedName name="ждд" localSheetId="26">#REF!</definedName>
    <definedName name="ждд" localSheetId="27">#REF!</definedName>
    <definedName name="ждд" localSheetId="14">#REF!</definedName>
    <definedName name="ждд" localSheetId="17">#REF!</definedName>
    <definedName name="ждд" localSheetId="16">#REF!</definedName>
    <definedName name="ждд" localSheetId="0">#REF!</definedName>
    <definedName name="ждд" localSheetId="13">#REF!</definedName>
    <definedName name="ждд" localSheetId="33">#REF!</definedName>
    <definedName name="ждд" localSheetId="7">#REF!</definedName>
    <definedName name="ждд" localSheetId="22">#REF!</definedName>
    <definedName name="ждд" localSheetId="9">#REF!</definedName>
    <definedName name="ждд" localSheetId="15">#REF!</definedName>
    <definedName name="ждд">#REF!</definedName>
    <definedName name="жжжжжжж" localSheetId="34">#REF!</definedName>
    <definedName name="жжжжжжж" localSheetId="35">#REF!</definedName>
    <definedName name="жжжжжжж" localSheetId="36">#REF!</definedName>
    <definedName name="жжжжжжж" localSheetId="28">#REF!</definedName>
    <definedName name="жжжжжжж" localSheetId="32">#REF!</definedName>
    <definedName name="жжжжжжж" localSheetId="31">#REF!</definedName>
    <definedName name="жжжжжжж" localSheetId="30">#REF!</definedName>
    <definedName name="жжжжжжж" localSheetId="1">#REF!</definedName>
    <definedName name="жжжжжжж" localSheetId="2">#REF!</definedName>
    <definedName name="жжжжжжж" localSheetId="3">#REF!</definedName>
    <definedName name="жжжжжжж" localSheetId="6">#REF!</definedName>
    <definedName name="жжжжжжж" localSheetId="11">#REF!</definedName>
    <definedName name="жжжжжжж" localSheetId="12">#REF!</definedName>
    <definedName name="жжжжжжж" localSheetId="18">#REF!</definedName>
    <definedName name="жжжжжжж" localSheetId="19">#REF!</definedName>
    <definedName name="жжжжжжж" localSheetId="20">#REF!</definedName>
    <definedName name="жжжжжжж" localSheetId="25">#REF!</definedName>
    <definedName name="жжжжжжж" localSheetId="26">#REF!</definedName>
    <definedName name="жжжжжжж" localSheetId="14">#REF!</definedName>
    <definedName name="жжжжжжж" localSheetId="17">#REF!</definedName>
    <definedName name="жжжжжжж" localSheetId="16">#REF!</definedName>
    <definedName name="жжжжжжж" localSheetId="0">#REF!</definedName>
    <definedName name="жжжжжжж" localSheetId="13">#REF!</definedName>
    <definedName name="жжжжжжж" localSheetId="33">#REF!</definedName>
    <definedName name="жжжжжжж" localSheetId="7">#REF!</definedName>
    <definedName name="жжжжжжж" localSheetId="22">#REF!</definedName>
    <definedName name="жжжжжжж" localSheetId="9">#REF!</definedName>
    <definedName name="жжжжжжж" localSheetId="15">#REF!</definedName>
    <definedName name="жжжжжжж">#REF!</definedName>
    <definedName name="жжжээхххъх" localSheetId="2">#REF!</definedName>
    <definedName name="жжжээхххъх" localSheetId="3">#REF!</definedName>
    <definedName name="жжжээхххъх" localSheetId="19">#REF!</definedName>
    <definedName name="жжжээхххъх" localSheetId="20">#REF!</definedName>
    <definedName name="жжжээхххъх" localSheetId="22">#REF!</definedName>
    <definedName name="жжжээхххъх">#REF!</definedName>
    <definedName name="жжээдйцуу" localSheetId="2">#REF!</definedName>
    <definedName name="жжээдйцуу" localSheetId="3">#REF!</definedName>
    <definedName name="жжээдйцуу" localSheetId="19">#REF!</definedName>
    <definedName name="жжээдйцуу" localSheetId="20">#REF!</definedName>
    <definedName name="жжээдйцуу" localSheetId="22">#REF!</definedName>
    <definedName name="жжээдйцуу">#REF!</definedName>
    <definedName name="жэддшггрнппм" localSheetId="2">#REF!</definedName>
    <definedName name="жэддшггрнппм" localSheetId="3">#REF!</definedName>
    <definedName name="жэддшггрнппм" localSheetId="19">#REF!</definedName>
    <definedName name="жэддшггрнппм" localSheetId="20">#REF!</definedName>
    <definedName name="жэддшггрнппм" localSheetId="22">#REF!</definedName>
    <definedName name="жэддшггрнппм">#REF!</definedName>
    <definedName name="жээ" localSheetId="2">#REF!</definedName>
    <definedName name="жээ" localSheetId="3">#REF!</definedName>
    <definedName name="жээ" localSheetId="19">#REF!</definedName>
    <definedName name="жээ" localSheetId="20">#REF!</definedName>
    <definedName name="жээ" localSheetId="22">#REF!</definedName>
    <definedName name="жээ">#REF!</definedName>
    <definedName name="_xlnm.Print_Titles" localSheetId="36">'07 03 школы обл 2 чт 2023-25'!$A:$A</definedName>
    <definedName name="_xlnm.Print_Titles" localSheetId="28">'223'!$A:$A</definedName>
    <definedName name="_xlnm.Print_Titles" localSheetId="31">'291 имущ'!$9:$13</definedName>
    <definedName name="_xlnm.Print_Titles" localSheetId="1">'3.1. расчет фот обл (нсот2023)'!$A:$A</definedName>
    <definedName name="_xlnm.Print_Titles" localSheetId="3">'3.1. расчет фот обл (нсот2025)'!$A:$A</definedName>
    <definedName name="_xlnm.Print_Titles" localSheetId="11">'3.3.расчет прочих дс'!$28:$30</definedName>
    <definedName name="_xlnm.Print_Titles" localSheetId="12">'3.4.присмотр и уход'!$A:$A</definedName>
    <definedName name="_xlnm.Print_Titles" localSheetId="18">'3.5. Норматив фот обл 2023'!$A:$A</definedName>
    <definedName name="_xlnm.Print_Titles" localSheetId="19">'3.5. Норматив фот обл 2024'!$A:$A</definedName>
    <definedName name="_xlnm.Print_Titles" localSheetId="20">'3.5. Норматив фот обл 2025'!$A:$A</definedName>
    <definedName name="_xlnm.Print_Titles" localSheetId="23">'3.6.Норматив обл 2023-2025 доп'!$A:$A</definedName>
    <definedName name="_xlnm.Print_Titles" localSheetId="27">'3.8.комм услуги'!$A:$B</definedName>
    <definedName name="_xlnm.Print_Titles" localSheetId="29">'3.9.расчет прочих'!$28:$30</definedName>
    <definedName name="_xlnm.Print_Titles" localSheetId="10">'мед.раб.'!$A:$A,'мед.раб.'!$4:$5</definedName>
    <definedName name="_xlnm.Print_Titles" localSheetId="0">'прил № 3 (01.01.23)'!$A:$A</definedName>
    <definedName name="_xlnm.Print_Titles" localSheetId="22">'типовые штаты 07 02'!$A:$C,'типовые штаты 07 02'!$4:$5</definedName>
    <definedName name="_xlnm.Print_Titles" localSheetId="8">'фот 1-3 г мб и об'!$6:$6</definedName>
    <definedName name="_xlnm.Print_Titles" localSheetId="9">'фот 3-7 л мб и об'!$6:$6</definedName>
    <definedName name="зщшдлд" localSheetId="2">#REF!</definedName>
    <definedName name="зщшдлд" localSheetId="3">#REF!</definedName>
    <definedName name="зщшдлд" localSheetId="19">#REF!</definedName>
    <definedName name="зщшдлд" localSheetId="20">#REF!</definedName>
    <definedName name="зщшдлд" localSheetId="22">#REF!</definedName>
    <definedName name="зщшдлд">#REF!</definedName>
    <definedName name="ИмяПоказателя" localSheetId="34">#REF!</definedName>
    <definedName name="ИмяПоказателя" localSheetId="35">#REF!</definedName>
    <definedName name="ИмяПоказателя" localSheetId="36">#REF!</definedName>
    <definedName name="ИмяПоказателя" localSheetId="30">#REF!</definedName>
    <definedName name="ИмяПоказателя" localSheetId="1">#REF!</definedName>
    <definedName name="ИмяПоказателя" localSheetId="2">#REF!</definedName>
    <definedName name="ИмяПоказателя" localSheetId="3">#REF!</definedName>
    <definedName name="ИмяПоказателя" localSheetId="5">#REF!</definedName>
    <definedName name="ИмяПоказателя" localSheetId="6">#REF!</definedName>
    <definedName name="ИмяПоказателя" localSheetId="11">#REF!</definedName>
    <definedName name="ИмяПоказателя" localSheetId="12">#REF!</definedName>
    <definedName name="ИмяПоказателя" localSheetId="18">#REF!</definedName>
    <definedName name="ИмяПоказателя" localSheetId="19">#REF!</definedName>
    <definedName name="ИмяПоказателя" localSheetId="20">#REF!</definedName>
    <definedName name="ИмяПоказателя" localSheetId="25">#REF!</definedName>
    <definedName name="ИмяПоказателя" localSheetId="26">#REF!</definedName>
    <definedName name="ИмяПоказателя" localSheetId="27">#REF!</definedName>
    <definedName name="ИмяПоказателя" localSheetId="14">#REF!</definedName>
    <definedName name="ИмяПоказателя" localSheetId="17">#REF!</definedName>
    <definedName name="ИмяПоказателя" localSheetId="16">#REF!</definedName>
    <definedName name="ИмяПоказателя" localSheetId="0">#REF!</definedName>
    <definedName name="ИмяПоказателя" localSheetId="13">#REF!</definedName>
    <definedName name="ИмяПоказателя" localSheetId="33">#REF!</definedName>
    <definedName name="ИмяПоказателя" localSheetId="7">#REF!</definedName>
    <definedName name="ИмяПоказателя" localSheetId="22">#REF!</definedName>
    <definedName name="ИмяПоказателя" localSheetId="9">#REF!</definedName>
    <definedName name="ИмяПоказателя" localSheetId="15">#REF!</definedName>
    <definedName name="ИмяПоказателя">#REF!</definedName>
    <definedName name="ИтогоПоСтроке" localSheetId="34">#REF!</definedName>
    <definedName name="ИтогоПоСтроке" localSheetId="35">#REF!</definedName>
    <definedName name="ИтогоПоСтроке" localSheetId="36">#REF!</definedName>
    <definedName name="ИтогоПоСтроке" localSheetId="30">#REF!</definedName>
    <definedName name="ИтогоПоСтроке" localSheetId="1">#REF!</definedName>
    <definedName name="ИтогоПоСтроке" localSheetId="2">#REF!</definedName>
    <definedName name="ИтогоПоСтроке" localSheetId="3">#REF!</definedName>
    <definedName name="ИтогоПоСтроке" localSheetId="5">#REF!</definedName>
    <definedName name="ИтогоПоСтроке" localSheetId="6">#REF!</definedName>
    <definedName name="ИтогоПоСтроке" localSheetId="11">#REF!</definedName>
    <definedName name="ИтогоПоСтроке" localSheetId="12">#REF!</definedName>
    <definedName name="ИтогоПоСтроке" localSheetId="18">#REF!</definedName>
    <definedName name="ИтогоПоСтроке" localSheetId="19">#REF!</definedName>
    <definedName name="ИтогоПоСтроке" localSheetId="20">#REF!</definedName>
    <definedName name="ИтогоПоСтроке" localSheetId="25">#REF!</definedName>
    <definedName name="ИтогоПоСтроке" localSheetId="26">#REF!</definedName>
    <definedName name="ИтогоПоСтроке" localSheetId="27">#REF!</definedName>
    <definedName name="ИтогоПоСтроке" localSheetId="14">#REF!</definedName>
    <definedName name="ИтогоПоСтроке" localSheetId="17">#REF!</definedName>
    <definedName name="ИтогоПоСтроке" localSheetId="16">#REF!</definedName>
    <definedName name="ИтогоПоСтроке" localSheetId="0">#REF!</definedName>
    <definedName name="ИтогоПоСтроке" localSheetId="13">#REF!</definedName>
    <definedName name="ИтогоПоСтроке" localSheetId="33">#REF!</definedName>
    <definedName name="ИтогоПоСтроке" localSheetId="7">#REF!</definedName>
    <definedName name="ИтогоПоСтроке" localSheetId="22">#REF!</definedName>
    <definedName name="ИтогоПоСтроке" localSheetId="9">#REF!</definedName>
    <definedName name="ИтогоПоСтроке" localSheetId="15">#REF!</definedName>
    <definedName name="ИтогоПоСтроке">#REF!</definedName>
    <definedName name="йййццееап" localSheetId="2">#REF!</definedName>
    <definedName name="йййццееап" localSheetId="3">#REF!</definedName>
    <definedName name="йййццееап" localSheetId="19">#REF!</definedName>
    <definedName name="йййццееап" localSheetId="20">#REF!</definedName>
    <definedName name="йййццееап" localSheetId="22">#REF!</definedName>
    <definedName name="йййццееап">#REF!</definedName>
    <definedName name="кеепмт" localSheetId="2">#REF!</definedName>
    <definedName name="кеепмт" localSheetId="3">#REF!</definedName>
    <definedName name="кеепмт" localSheetId="19">#REF!</definedName>
    <definedName name="кеепмт" localSheetId="20">#REF!</definedName>
    <definedName name="кеепмт" localSheetId="22">#REF!</definedName>
    <definedName name="кеепмт">#REF!</definedName>
    <definedName name="кенеку" localSheetId="2">#REF!</definedName>
    <definedName name="кенеку" localSheetId="3">#REF!</definedName>
    <definedName name="кенеку" localSheetId="19">#REF!</definedName>
    <definedName name="кенеку" localSheetId="20">#REF!</definedName>
    <definedName name="кенеку" localSheetId="22">#REF!</definedName>
    <definedName name="кенеку">#REF!</definedName>
    <definedName name="ккнгг" localSheetId="2">#REF!</definedName>
    <definedName name="ккнгг" localSheetId="3">#REF!</definedName>
    <definedName name="ккнгг" localSheetId="19">#REF!</definedName>
    <definedName name="ккнгг" localSheetId="20">#REF!</definedName>
    <definedName name="ккнгг" localSheetId="22">#REF!</definedName>
    <definedName name="ккнгг">#REF!</definedName>
    <definedName name="Контрагент" localSheetId="34">#REF!</definedName>
    <definedName name="Контрагент" localSheetId="35">#REF!</definedName>
    <definedName name="Контрагент" localSheetId="36">#REF!</definedName>
    <definedName name="Контрагент" localSheetId="30">#REF!</definedName>
    <definedName name="Контрагент" localSheetId="1">#REF!</definedName>
    <definedName name="Контрагент" localSheetId="2">#REF!</definedName>
    <definedName name="Контрагент" localSheetId="3">#REF!</definedName>
    <definedName name="Контрагент" localSheetId="5">#REF!</definedName>
    <definedName name="Контрагент" localSheetId="6">#REF!</definedName>
    <definedName name="Контрагент" localSheetId="11">#REF!</definedName>
    <definedName name="Контрагент" localSheetId="12">#REF!</definedName>
    <definedName name="Контрагент" localSheetId="18">#REF!</definedName>
    <definedName name="Контрагент" localSheetId="19">#REF!</definedName>
    <definedName name="Контрагент" localSheetId="20">#REF!</definedName>
    <definedName name="Контрагент" localSheetId="25">#REF!</definedName>
    <definedName name="Контрагент" localSheetId="26">#REF!</definedName>
    <definedName name="Контрагент" localSheetId="27">#REF!</definedName>
    <definedName name="Контрагент" localSheetId="14">#REF!</definedName>
    <definedName name="Контрагент" localSheetId="17">#REF!</definedName>
    <definedName name="Контрагент" localSheetId="16">#REF!</definedName>
    <definedName name="Контрагент" localSheetId="0">#REF!</definedName>
    <definedName name="Контрагент" localSheetId="13">#REF!</definedName>
    <definedName name="Контрагент" localSheetId="33">#REF!</definedName>
    <definedName name="Контрагент" localSheetId="7">#REF!</definedName>
    <definedName name="Контрагент" localSheetId="22">#REF!</definedName>
    <definedName name="Контрагент" localSheetId="9">#REF!</definedName>
    <definedName name="Контрагент" localSheetId="15">#REF!</definedName>
    <definedName name="Контрагент">#REF!</definedName>
    <definedName name="куукапм" localSheetId="2">#REF!</definedName>
    <definedName name="куукапм" localSheetId="3">#REF!</definedName>
    <definedName name="куукапм" localSheetId="19">#REF!</definedName>
    <definedName name="куукапм" localSheetId="20">#REF!</definedName>
    <definedName name="куукапм" localSheetId="22">#REF!</definedName>
    <definedName name="куукапм">#REF!</definedName>
    <definedName name="лдж" localSheetId="34">#REF!</definedName>
    <definedName name="лдж" localSheetId="35">#REF!</definedName>
    <definedName name="лдж" localSheetId="36">#REF!</definedName>
    <definedName name="лдж" localSheetId="28">#REF!</definedName>
    <definedName name="лдж" localSheetId="32">#REF!</definedName>
    <definedName name="лдж" localSheetId="31">#REF!</definedName>
    <definedName name="лдж" localSheetId="30">#REF!</definedName>
    <definedName name="лдж" localSheetId="1">#REF!</definedName>
    <definedName name="лдж" localSheetId="2">#REF!</definedName>
    <definedName name="лдж" localSheetId="3">#REF!</definedName>
    <definedName name="лдж" localSheetId="6">#REF!</definedName>
    <definedName name="лдж" localSheetId="11">#REF!</definedName>
    <definedName name="лдж" localSheetId="12">#REF!</definedName>
    <definedName name="лдж" localSheetId="18">#REF!</definedName>
    <definedName name="лдж" localSheetId="19">#REF!</definedName>
    <definedName name="лдж" localSheetId="20">#REF!</definedName>
    <definedName name="лдж" localSheetId="25">#REF!</definedName>
    <definedName name="лдж" localSheetId="26">#REF!</definedName>
    <definedName name="лдж" localSheetId="14">#REF!</definedName>
    <definedName name="лдж" localSheetId="17">#REF!</definedName>
    <definedName name="лдж" localSheetId="16">#REF!</definedName>
    <definedName name="лдж" localSheetId="0">#REF!</definedName>
    <definedName name="лдж" localSheetId="13">#REF!</definedName>
    <definedName name="лдж" localSheetId="33">#REF!</definedName>
    <definedName name="лдж" localSheetId="7">#REF!</definedName>
    <definedName name="лдж" localSheetId="22">#REF!</definedName>
    <definedName name="лдж" localSheetId="9">#REF!</definedName>
    <definedName name="лдж" localSheetId="15">#REF!</definedName>
    <definedName name="лдж">#REF!</definedName>
    <definedName name="ллджэхъшн" localSheetId="2">#REF!</definedName>
    <definedName name="ллджэхъшн" localSheetId="3">#REF!</definedName>
    <definedName name="ллджэхъшн" localSheetId="19">#REF!</definedName>
    <definedName name="ллджэхъшн" localSheetId="20">#REF!</definedName>
    <definedName name="ллджэхъшн" localSheetId="22">#REF!</definedName>
    <definedName name="ллджэхъшн">#REF!</definedName>
    <definedName name="ммииттттттт" localSheetId="2">#REF!</definedName>
    <definedName name="ммииттттттт" localSheetId="3">#REF!</definedName>
    <definedName name="ммииттттттт" localSheetId="19">#REF!</definedName>
    <definedName name="ммииттттттт" localSheetId="20">#REF!</definedName>
    <definedName name="ммииттттттт" localSheetId="22">#REF!</definedName>
    <definedName name="ммииттттттт">#REF!</definedName>
    <definedName name="ммирнггщзъзщ" localSheetId="2">#REF!</definedName>
    <definedName name="ммирнггщзъзщ" localSheetId="3">#REF!</definedName>
    <definedName name="ммирнггщзъзщ" localSheetId="19">#REF!</definedName>
    <definedName name="ммирнггщзъзщ" localSheetId="20">#REF!</definedName>
    <definedName name="ммирнггщзъзщ" localSheetId="22">#REF!</definedName>
    <definedName name="ммирнггщзъзщ">#REF!</definedName>
    <definedName name="н" localSheetId="34">#REF!</definedName>
    <definedName name="н" localSheetId="35">#REF!</definedName>
    <definedName name="н" localSheetId="36">#REF!</definedName>
    <definedName name="н" localSheetId="30">#REF!</definedName>
    <definedName name="н" localSheetId="1">#REF!</definedName>
    <definedName name="н" localSheetId="2">#REF!</definedName>
    <definedName name="н" localSheetId="3">#REF!</definedName>
    <definedName name="н" localSheetId="5">#REF!</definedName>
    <definedName name="н" localSheetId="6">#REF!</definedName>
    <definedName name="н" localSheetId="11">#REF!</definedName>
    <definedName name="н" localSheetId="12">#REF!</definedName>
    <definedName name="н" localSheetId="18">#REF!</definedName>
    <definedName name="н" localSheetId="19">#REF!</definedName>
    <definedName name="н" localSheetId="20">#REF!</definedName>
    <definedName name="н" localSheetId="25">#REF!</definedName>
    <definedName name="н" localSheetId="26">#REF!</definedName>
    <definedName name="н" localSheetId="27">#REF!</definedName>
    <definedName name="н" localSheetId="14">#REF!</definedName>
    <definedName name="н" localSheetId="17">#REF!</definedName>
    <definedName name="н" localSheetId="16">#REF!</definedName>
    <definedName name="н" localSheetId="0">#REF!</definedName>
    <definedName name="н" localSheetId="13">#REF!</definedName>
    <definedName name="н" localSheetId="33">#REF!</definedName>
    <definedName name="н" localSheetId="7">#REF!</definedName>
    <definedName name="н" localSheetId="22">#REF!</definedName>
    <definedName name="н" localSheetId="9">#REF!</definedName>
    <definedName name="н" localSheetId="15">#REF!</definedName>
    <definedName name="н">#REF!</definedName>
    <definedName name="ннн" localSheetId="2">#REF!</definedName>
    <definedName name="ннн" localSheetId="3">#REF!</definedName>
    <definedName name="ннн" localSheetId="19">#REF!</definedName>
    <definedName name="ннн" localSheetId="20">#REF!</definedName>
    <definedName name="ннн" localSheetId="22">#REF!</definedName>
    <definedName name="ннн">#REF!</definedName>
    <definedName name="нннн" localSheetId="2">#REF!</definedName>
    <definedName name="нннн" localSheetId="3">#REF!</definedName>
    <definedName name="нннн" localSheetId="19">#REF!</definedName>
    <definedName name="нннн" localSheetId="20">#REF!</definedName>
    <definedName name="нннн" localSheetId="22">#REF!</definedName>
    <definedName name="нннн">#REF!</definedName>
    <definedName name="о" localSheetId="2">#REF!</definedName>
    <definedName name="о" localSheetId="3">#REF!</definedName>
    <definedName name="о" localSheetId="19">#REF!</definedName>
    <definedName name="о" localSheetId="20">#REF!</definedName>
    <definedName name="о" localSheetId="22">#REF!</definedName>
    <definedName name="о">#REF!</definedName>
    <definedName name="_xlnm.Print_Area" localSheetId="34">'07 01 школы обл 2 чт 2023-25'!$A$1:$A$48</definedName>
    <definedName name="_xlnm.Print_Area" localSheetId="35">'07 02 школы обл 2 чт 2023-25'!$A$1:$A$48</definedName>
    <definedName name="_xlnm.Print_Area" localSheetId="36">'07 03 школы обл 2 чт 2023-25'!$A$1:$BL$67</definedName>
    <definedName name="_xlnm.Print_Area" localSheetId="28">'223'!$A$1:$BB$48</definedName>
    <definedName name="_xlnm.Print_Area" localSheetId="32">'291 земля'!$A$1:$K$112</definedName>
    <definedName name="_xlnm.Print_Area" localSheetId="31">'291 имущ'!$A$1:$O$58</definedName>
    <definedName name="_xlnm.Print_Area" localSheetId="30">'291 свод'!$A$1:$O$41</definedName>
    <definedName name="_xlnm.Print_Area" localSheetId="4">'3.2.расчет фот мест дс (2023)'!$A$1:$R$20</definedName>
    <definedName name="_xlnm.Print_Area" localSheetId="5">'3.2.расчет фот мест дс (2024)'!$A$1:$S$20</definedName>
    <definedName name="_xlnm.Print_Area" localSheetId="6">'3.2.расчет фот мест дс (2025)'!$A$1:$T$20</definedName>
    <definedName name="_xlnm.Print_Area" localSheetId="11">'3.3.расчет прочих дс'!$A$1:$Q$296</definedName>
    <definedName name="_xlnm.Print_Area" localSheetId="12">'3.4.присмотр и уход'!$A$1:$AE$42</definedName>
    <definedName name="_xlnm.Print_Area" localSheetId="23">'3.6.Норматив обл 2023-2025 доп'!$A$1:$W$43</definedName>
    <definedName name="_xlnm.Print_Area" localSheetId="24">'3.7.расчет фот мест 2023'!$A$1:$R$35</definedName>
    <definedName name="_xlnm.Print_Area" localSheetId="25">'3.7.расчет фот мест 2024'!$A$1:$S$34</definedName>
    <definedName name="_xlnm.Print_Area" localSheetId="26">'3.7.расчет фот мест 2025'!$A$1:$T$34</definedName>
    <definedName name="_xlnm.Print_Area" localSheetId="27">'3.8.комм услуги'!$A$1:$LL$241</definedName>
    <definedName name="_xlnm.Print_Area" localSheetId="29">'3.9.расчет прочих'!$A$1:$P$288</definedName>
    <definedName name="_xlnm.Print_Area" localSheetId="10">'мед.раб.'!$A$1:$AV$69</definedName>
    <definedName name="_xlnm.Print_Area" localSheetId="0">'прил № 3 (01.01.23)'!$A$2:$YL$1272</definedName>
    <definedName name="_xlnm.Print_Area" localSheetId="13">продукты!$A$1:$L$42</definedName>
    <definedName name="_xlnm.Print_Area" localSheetId="33">'расчет коэфф платной деят-ти'!$A$1:$G$117</definedName>
    <definedName name="_xlnm.Print_Area" localSheetId="22">'типовые штаты 07 02'!$A$1:$CT$112</definedName>
    <definedName name="_xlnm.Print_Area" localSheetId="8">'фот 1-3 г мб и об'!$C$1:$W$110</definedName>
    <definedName name="_xlnm.Print_Area" localSheetId="9">'фот 3-7 л мб и об'!$B$1:$Z$110</definedName>
    <definedName name="оля" localSheetId="34">#REF!</definedName>
    <definedName name="оля" localSheetId="28">#REF!</definedName>
    <definedName name="оля" localSheetId="32">#REF!</definedName>
    <definedName name="оля" localSheetId="31">#REF!</definedName>
    <definedName name="оля" localSheetId="2">#REF!</definedName>
    <definedName name="оля" localSheetId="3">#REF!</definedName>
    <definedName name="оля" localSheetId="19">#REF!</definedName>
    <definedName name="оля" localSheetId="20">#REF!</definedName>
    <definedName name="оля" localSheetId="22">#REF!</definedName>
    <definedName name="оля">#REF!</definedName>
    <definedName name="оолл" localSheetId="34">#REF!</definedName>
    <definedName name="оолл" localSheetId="2">#REF!</definedName>
    <definedName name="оолл" localSheetId="3">#REF!</definedName>
    <definedName name="оолл" localSheetId="19">#REF!</definedName>
    <definedName name="оолл" localSheetId="20">#REF!</definedName>
    <definedName name="оолл" localSheetId="22">#REF!</definedName>
    <definedName name="оолл">#REF!</definedName>
    <definedName name="ооо" localSheetId="2">#REF!</definedName>
    <definedName name="ооо" localSheetId="3">#REF!</definedName>
    <definedName name="ооо" localSheetId="19">#REF!</definedName>
    <definedName name="ооо" localSheetId="20">#REF!</definedName>
    <definedName name="ооо" localSheetId="22">#REF!</definedName>
    <definedName name="ооо">#REF!</definedName>
    <definedName name="оооо" localSheetId="2">#REF!</definedName>
    <definedName name="оооо" localSheetId="3">#REF!</definedName>
    <definedName name="оооо" localSheetId="19">#REF!</definedName>
    <definedName name="оооо" localSheetId="20">#REF!</definedName>
    <definedName name="оооо" localSheetId="22">#REF!</definedName>
    <definedName name="оооо">#REF!</definedName>
    <definedName name="Показатель" localSheetId="34">#REF!</definedName>
    <definedName name="Показатель" localSheetId="35">#REF!</definedName>
    <definedName name="Показатель" localSheetId="36">#REF!</definedName>
    <definedName name="Показатель" localSheetId="30">#REF!</definedName>
    <definedName name="Показатель" localSheetId="1">#REF!</definedName>
    <definedName name="Показатель" localSheetId="2">#REF!</definedName>
    <definedName name="Показатель" localSheetId="3">#REF!</definedName>
    <definedName name="Показатель" localSheetId="5">#REF!</definedName>
    <definedName name="Показатель" localSheetId="6">#REF!</definedName>
    <definedName name="Показатель" localSheetId="11">#REF!</definedName>
    <definedName name="Показатель" localSheetId="12">#REF!</definedName>
    <definedName name="Показатель" localSheetId="18">#REF!</definedName>
    <definedName name="Показатель" localSheetId="19">#REF!</definedName>
    <definedName name="Показатель" localSheetId="20">#REF!</definedName>
    <definedName name="Показатель" localSheetId="25">#REF!</definedName>
    <definedName name="Показатель" localSheetId="26">#REF!</definedName>
    <definedName name="Показатель" localSheetId="27">#REF!</definedName>
    <definedName name="Показатель" localSheetId="14">#REF!</definedName>
    <definedName name="Показатель" localSheetId="17">#REF!</definedName>
    <definedName name="Показатель" localSheetId="16">#REF!</definedName>
    <definedName name="Показатель" localSheetId="0">#REF!</definedName>
    <definedName name="Показатель" localSheetId="13">#REF!</definedName>
    <definedName name="Показатель" localSheetId="33">#REF!</definedName>
    <definedName name="Показатель" localSheetId="7">#REF!</definedName>
    <definedName name="Показатель" localSheetId="22">#REF!</definedName>
    <definedName name="Показатель" localSheetId="9">#REF!</definedName>
    <definedName name="Показатель" localSheetId="15">#REF!</definedName>
    <definedName name="Показатель">#REF!</definedName>
    <definedName name="ппппп" localSheetId="2">#REF!</definedName>
    <definedName name="ппппп" localSheetId="3">#REF!</definedName>
    <definedName name="ппппп" localSheetId="19">#REF!</definedName>
    <definedName name="ппппп" localSheetId="20">#REF!</definedName>
    <definedName name="ппппп" localSheetId="22">#REF!</definedName>
    <definedName name="ппппп">#REF!</definedName>
    <definedName name="про" localSheetId="34">#REF!</definedName>
    <definedName name="про" localSheetId="36">#REF!</definedName>
    <definedName name="про" localSheetId="30">#REF!</definedName>
    <definedName name="про" localSheetId="1">#REF!</definedName>
    <definedName name="про" localSheetId="2">#REF!</definedName>
    <definedName name="про" localSheetId="3">#REF!</definedName>
    <definedName name="про" localSheetId="11">#REF!</definedName>
    <definedName name="про" localSheetId="12">#REF!</definedName>
    <definedName name="про" localSheetId="18">#REF!</definedName>
    <definedName name="про" localSheetId="19">#REF!</definedName>
    <definedName name="про" localSheetId="20">#REF!</definedName>
    <definedName name="про" localSheetId="14">#REF!</definedName>
    <definedName name="про" localSheetId="17">#REF!</definedName>
    <definedName name="про" localSheetId="16">#REF!</definedName>
    <definedName name="про" localSheetId="0">#REF!</definedName>
    <definedName name="про" localSheetId="13">#REF!</definedName>
    <definedName name="про" localSheetId="33">#REF!</definedName>
    <definedName name="про" localSheetId="7">#REF!</definedName>
    <definedName name="про" localSheetId="22">#REF!</definedName>
    <definedName name="про" localSheetId="9">#REF!</definedName>
    <definedName name="про" localSheetId="15">#REF!</definedName>
    <definedName name="про">#REF!</definedName>
    <definedName name="пролджхъъззщггкк" localSheetId="2">#REF!</definedName>
    <definedName name="пролджхъъззщггкк" localSheetId="3">#REF!</definedName>
    <definedName name="пролджхъъззщггкк" localSheetId="19">#REF!</definedName>
    <definedName name="пролджхъъззщггкк" localSheetId="20">#REF!</definedName>
    <definedName name="пролджхъъззщггкк" localSheetId="22">#REF!</definedName>
    <definedName name="пролджхъъззщггкк">#REF!</definedName>
    <definedName name="Разрез" localSheetId="34">#REF!</definedName>
    <definedName name="Разрез" localSheetId="35">#REF!</definedName>
    <definedName name="Разрез" localSheetId="36">#REF!</definedName>
    <definedName name="Разрез" localSheetId="30">#REF!</definedName>
    <definedName name="Разрез" localSheetId="1">#REF!</definedName>
    <definedName name="Разрез" localSheetId="2">#REF!</definedName>
    <definedName name="Разрез" localSheetId="3">#REF!</definedName>
    <definedName name="Разрез" localSheetId="5">#REF!</definedName>
    <definedName name="Разрез" localSheetId="6">#REF!</definedName>
    <definedName name="Разрез" localSheetId="11">#REF!</definedName>
    <definedName name="Разрез" localSheetId="12">#REF!</definedName>
    <definedName name="Разрез" localSheetId="18">#REF!</definedName>
    <definedName name="Разрез" localSheetId="19">#REF!</definedName>
    <definedName name="Разрез" localSheetId="20">#REF!</definedName>
    <definedName name="Разрез" localSheetId="25">#REF!</definedName>
    <definedName name="Разрез" localSheetId="26">#REF!</definedName>
    <definedName name="Разрез" localSheetId="27">#REF!</definedName>
    <definedName name="Разрез" localSheetId="14">#REF!</definedName>
    <definedName name="Разрез" localSheetId="17">#REF!</definedName>
    <definedName name="Разрез" localSheetId="16">#REF!</definedName>
    <definedName name="Разрез" localSheetId="0">#REF!</definedName>
    <definedName name="Разрез" localSheetId="13">#REF!</definedName>
    <definedName name="Разрез" localSheetId="33">#REF!</definedName>
    <definedName name="Разрез" localSheetId="7">#REF!</definedName>
    <definedName name="Разрез" localSheetId="22">#REF!</definedName>
    <definedName name="Разрез" localSheetId="9">#REF!</definedName>
    <definedName name="Разрез" localSheetId="15">#REF!</definedName>
    <definedName name="Разрез">#REF!</definedName>
    <definedName name="расш.340.16" localSheetId="34">#REF!</definedName>
    <definedName name="расш.340.16" localSheetId="35">#REF!</definedName>
    <definedName name="расш.340.16" localSheetId="36">#REF!</definedName>
    <definedName name="расш.340.16" localSheetId="28">#REF!</definedName>
    <definedName name="расш.340.16" localSheetId="32">#REF!</definedName>
    <definedName name="расш.340.16" localSheetId="31">#REF!</definedName>
    <definedName name="расш.340.16" localSheetId="30">#REF!</definedName>
    <definedName name="расш.340.16" localSheetId="1">#REF!</definedName>
    <definedName name="расш.340.16" localSheetId="2">#REF!</definedName>
    <definedName name="расш.340.16" localSheetId="3">#REF!</definedName>
    <definedName name="расш.340.16" localSheetId="5">#REF!</definedName>
    <definedName name="расш.340.16" localSheetId="6">#REF!</definedName>
    <definedName name="расш.340.16" localSheetId="11">#REF!</definedName>
    <definedName name="расш.340.16" localSheetId="12">#REF!</definedName>
    <definedName name="расш.340.16" localSheetId="18">#REF!</definedName>
    <definedName name="расш.340.16" localSheetId="19">#REF!</definedName>
    <definedName name="расш.340.16" localSheetId="20">#REF!</definedName>
    <definedName name="расш.340.16" localSheetId="24">#REF!</definedName>
    <definedName name="расш.340.16" localSheetId="25">#REF!</definedName>
    <definedName name="расш.340.16" localSheetId="26">#REF!</definedName>
    <definedName name="расш.340.16" localSheetId="27">#REF!</definedName>
    <definedName name="расш.340.16" localSheetId="29">#REF!</definedName>
    <definedName name="расш.340.16" localSheetId="14">#REF!</definedName>
    <definedName name="расш.340.16" localSheetId="17">#REF!</definedName>
    <definedName name="расш.340.16" localSheetId="16">#REF!</definedName>
    <definedName name="расш.340.16" localSheetId="0">#REF!</definedName>
    <definedName name="расш.340.16" localSheetId="13">#REF!</definedName>
    <definedName name="расш.340.16" localSheetId="33">#REF!</definedName>
    <definedName name="расш.340.16" localSheetId="7">#REF!</definedName>
    <definedName name="расш.340.16" localSheetId="22">#REF!</definedName>
    <definedName name="расш.340.16" localSheetId="9">#REF!</definedName>
    <definedName name="расш.340.16" localSheetId="15">#REF!</definedName>
    <definedName name="расш.340.16">#REF!</definedName>
    <definedName name="ррппрр" localSheetId="2">#REF!</definedName>
    <definedName name="ррппрр" localSheetId="3">#REF!</definedName>
    <definedName name="ррппрр" localSheetId="19">#REF!</definedName>
    <definedName name="ррппрр" localSheetId="20">#REF!</definedName>
    <definedName name="ррппрр" localSheetId="22">#REF!</definedName>
    <definedName name="ррппрр">#REF!</definedName>
    <definedName name="свод2022" localSheetId="34">#REF!</definedName>
    <definedName name="свод2022" localSheetId="36">#REF!</definedName>
    <definedName name="свод2022" localSheetId="28">#REF!</definedName>
    <definedName name="свод2022" localSheetId="32">#REF!</definedName>
    <definedName name="свод2022" localSheetId="31">#REF!</definedName>
    <definedName name="свод2022" localSheetId="30">#REF!</definedName>
    <definedName name="свод2022" localSheetId="1">#REF!</definedName>
    <definedName name="свод2022" localSheetId="2">#REF!</definedName>
    <definedName name="свод2022" localSheetId="3">#REF!</definedName>
    <definedName name="свод2022" localSheetId="11">#REF!</definedName>
    <definedName name="свод2022" localSheetId="12">#REF!</definedName>
    <definedName name="свод2022" localSheetId="18">#REF!</definedName>
    <definedName name="свод2022" localSheetId="19">#REF!</definedName>
    <definedName name="свод2022" localSheetId="20">#REF!</definedName>
    <definedName name="свод2022" localSheetId="14">#REF!</definedName>
    <definedName name="свод2022" localSheetId="17">#REF!</definedName>
    <definedName name="свод2022" localSheetId="16">#REF!</definedName>
    <definedName name="свод2022" localSheetId="0">#REF!</definedName>
    <definedName name="свод2022" localSheetId="13">#REF!</definedName>
    <definedName name="свод2022" localSheetId="33">#REF!</definedName>
    <definedName name="свод2022" localSheetId="7">#REF!</definedName>
    <definedName name="свод2022" localSheetId="22">#REF!</definedName>
    <definedName name="свод2022" localSheetId="9">#REF!</definedName>
    <definedName name="свод2022" localSheetId="15">#REF!</definedName>
    <definedName name="свод2022">#REF!</definedName>
    <definedName name="слава" localSheetId="2">#REF!</definedName>
    <definedName name="слава" localSheetId="3">#REF!</definedName>
    <definedName name="слава" localSheetId="19">#REF!</definedName>
    <definedName name="слава" localSheetId="20">#REF!</definedName>
    <definedName name="слава" localSheetId="22">#REF!</definedName>
    <definedName name="слава">#REF!</definedName>
    <definedName name="ттььт" localSheetId="2">#REF!</definedName>
    <definedName name="ттььт" localSheetId="3">#REF!</definedName>
    <definedName name="ттььт" localSheetId="19">#REF!</definedName>
    <definedName name="ттььт" localSheetId="20">#REF!</definedName>
    <definedName name="ттььт" localSheetId="22">#REF!</definedName>
    <definedName name="ттььт">#REF!</definedName>
    <definedName name="ууккеее" localSheetId="2">#REF!</definedName>
    <definedName name="ууккеее" localSheetId="3">#REF!</definedName>
    <definedName name="ууккеее" localSheetId="19">#REF!</definedName>
    <definedName name="ууккеее" localSheetId="20">#REF!</definedName>
    <definedName name="ууккеее" localSheetId="22">#REF!</definedName>
    <definedName name="ууккеее">#REF!</definedName>
    <definedName name="уууууу" localSheetId="2">#REF!</definedName>
    <definedName name="уууууу" localSheetId="3">#REF!</definedName>
    <definedName name="уууууу" localSheetId="19">#REF!</definedName>
    <definedName name="уууууу" localSheetId="20">#REF!</definedName>
    <definedName name="уууууу" localSheetId="22">#REF!</definedName>
    <definedName name="уууууу">#REF!</definedName>
    <definedName name="ффффффваапп" localSheetId="2">#REF!</definedName>
    <definedName name="ффффффваапп" localSheetId="3">#REF!</definedName>
    <definedName name="ффффффваапп" localSheetId="19">#REF!</definedName>
    <definedName name="ффффффваапп" localSheetId="20">#REF!</definedName>
    <definedName name="ффффффваапп" localSheetId="22">#REF!</definedName>
    <definedName name="ффффффваапп">#REF!</definedName>
    <definedName name="цууууууу" localSheetId="2">#REF!</definedName>
    <definedName name="цууууууу" localSheetId="3">#REF!</definedName>
    <definedName name="цууууууу" localSheetId="19">#REF!</definedName>
    <definedName name="цууууууу" localSheetId="20">#REF!</definedName>
    <definedName name="цууууууу" localSheetId="22">#REF!</definedName>
    <definedName name="цууууууу">#REF!</definedName>
    <definedName name="ццффй" localSheetId="2">#REF!</definedName>
    <definedName name="ццффй" localSheetId="3">#REF!</definedName>
    <definedName name="ццффй" localSheetId="19">#REF!</definedName>
    <definedName name="ццффй" localSheetId="20">#REF!</definedName>
    <definedName name="ццффй" localSheetId="22">#REF!</definedName>
    <definedName name="ццффй">#REF!</definedName>
    <definedName name="ччсммтт" localSheetId="2">#REF!</definedName>
    <definedName name="ччсммтт" localSheetId="3">#REF!</definedName>
    <definedName name="ччсммтт" localSheetId="19">#REF!</definedName>
    <definedName name="ччсммтт" localSheetId="20">#REF!</definedName>
    <definedName name="ччсммтт" localSheetId="22">#REF!</definedName>
    <definedName name="ччсммтт">#REF!</definedName>
    <definedName name="ш" localSheetId="2">#REF!</definedName>
    <definedName name="ш" localSheetId="3">#REF!</definedName>
    <definedName name="ш" localSheetId="19">#REF!</definedName>
    <definedName name="ш" localSheetId="20">#REF!</definedName>
    <definedName name="ш" localSheetId="22">#REF!</definedName>
    <definedName name="ш">#REF!</definedName>
    <definedName name="шшшш" localSheetId="2">#REF!</definedName>
    <definedName name="шшшш" localSheetId="3">#REF!</definedName>
    <definedName name="шшшш" localSheetId="19">#REF!</definedName>
    <definedName name="шшшш" localSheetId="20">#REF!</definedName>
    <definedName name="шшшш" localSheetId="22">#REF!</definedName>
    <definedName name="шшшш">#REF!</definedName>
    <definedName name="шшшшш" localSheetId="2">#REF!</definedName>
    <definedName name="шшшшш" localSheetId="3">#REF!</definedName>
    <definedName name="шшшшш" localSheetId="19">#REF!</definedName>
    <definedName name="шшшшш" localSheetId="20">#REF!</definedName>
    <definedName name="шшшшш" localSheetId="22">#REF!</definedName>
    <definedName name="шшшшш">#REF!</definedName>
    <definedName name="шшщджзхэъ" localSheetId="2">#REF!</definedName>
    <definedName name="шшщджзхэъ" localSheetId="3">#REF!</definedName>
    <definedName name="шшщджзхэъ" localSheetId="19">#REF!</definedName>
    <definedName name="шшщджзхэъ" localSheetId="20">#REF!</definedName>
    <definedName name="шшщджзхэъ" localSheetId="22">#REF!</definedName>
    <definedName name="шшщджзхэъ">#REF!</definedName>
    <definedName name="шшщщзхх" localSheetId="2">#REF!</definedName>
    <definedName name="шшщщзхх" localSheetId="3">#REF!</definedName>
    <definedName name="шшщщзхх" localSheetId="19">#REF!</definedName>
    <definedName name="шшщщзхх" localSheetId="20">#REF!</definedName>
    <definedName name="шшщщзхх" localSheetId="22">#REF!</definedName>
    <definedName name="шшщщзхх">#REF!</definedName>
    <definedName name="ьсовыа1245" localSheetId="2">#REF!</definedName>
    <definedName name="ьсовыа1245" localSheetId="3">#REF!</definedName>
    <definedName name="ьсовыа1245" localSheetId="19">#REF!</definedName>
    <definedName name="ьсовыа1245" localSheetId="20">#REF!</definedName>
    <definedName name="ьсовыа1245" localSheetId="22">#REF!</definedName>
    <definedName name="ьсовыа1245">#REF!</definedName>
    <definedName name="ььь" localSheetId="34">#REF!</definedName>
    <definedName name="ььь" localSheetId="35">#REF!</definedName>
    <definedName name="ььь" localSheetId="36">#REF!</definedName>
    <definedName name="ььь" localSheetId="28">#REF!</definedName>
    <definedName name="ььь" localSheetId="32">#REF!</definedName>
    <definedName name="ььь" localSheetId="31">#REF!</definedName>
    <definedName name="ььь" localSheetId="30">#REF!</definedName>
    <definedName name="ььь" localSheetId="1">#REF!</definedName>
    <definedName name="ььь" localSheetId="2">#REF!</definedName>
    <definedName name="ььь" localSheetId="3">#REF!</definedName>
    <definedName name="ььь" localSheetId="6">#REF!</definedName>
    <definedName name="ььь" localSheetId="11">#REF!</definedName>
    <definedName name="ььь" localSheetId="12">#REF!</definedName>
    <definedName name="ььь" localSheetId="18">#REF!</definedName>
    <definedName name="ььь" localSheetId="19">#REF!</definedName>
    <definedName name="ььь" localSheetId="20">#REF!</definedName>
    <definedName name="ььь" localSheetId="25">#REF!</definedName>
    <definedName name="ььь" localSheetId="26">#REF!</definedName>
    <definedName name="ььь" localSheetId="14">#REF!</definedName>
    <definedName name="ььь" localSheetId="17">#REF!</definedName>
    <definedName name="ььь" localSheetId="16">#REF!</definedName>
    <definedName name="ььь" localSheetId="0">#REF!</definedName>
    <definedName name="ььь" localSheetId="13">#REF!</definedName>
    <definedName name="ььь" localSheetId="33">#REF!</definedName>
    <definedName name="ььь" localSheetId="7">#REF!</definedName>
    <definedName name="ььь" localSheetId="22">#REF!</definedName>
    <definedName name="ььь" localSheetId="9">#REF!</definedName>
    <definedName name="ььь" localSheetId="15">#REF!</definedName>
    <definedName name="ььь">#REF!</definedName>
    <definedName name="ььььь" localSheetId="2">#REF!</definedName>
    <definedName name="ььььь" localSheetId="3">#REF!</definedName>
    <definedName name="ььььь" localSheetId="19">#REF!</definedName>
    <definedName name="ььььь" localSheetId="20">#REF!</definedName>
    <definedName name="ььььь" localSheetId="22">#REF!</definedName>
    <definedName name="ььььь">#REF!</definedName>
    <definedName name="ээжжж" localSheetId="2">#REF!</definedName>
    <definedName name="ээжжж" localSheetId="3">#REF!</definedName>
    <definedName name="ээжжж" localSheetId="19">#REF!</definedName>
    <definedName name="ээжжж" localSheetId="20">#REF!</definedName>
    <definedName name="ээжжж" localSheetId="22">#REF!</definedName>
    <definedName name="ээжжж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L1375" i="191" l="1"/>
  <c r="YK1375" i="191"/>
  <c r="YJ1375" i="191"/>
  <c r="YI1375" i="191"/>
  <c r="YH1375" i="191"/>
  <c r="YG1375" i="191"/>
  <c r="XQ1375" i="191"/>
  <c r="XP1375" i="191"/>
  <c r="XO1375" i="191"/>
  <c r="XN1375" i="191"/>
  <c r="XM1375" i="191"/>
  <c r="XL1375" i="191"/>
  <c r="WV1375" i="191"/>
  <c r="WU1375" i="191"/>
  <c r="WT1375" i="191"/>
  <c r="WS1375" i="191"/>
  <c r="WR1375" i="191"/>
  <c r="WQ1375" i="191"/>
  <c r="WA1375" i="191"/>
  <c r="VZ1375" i="191"/>
  <c r="VY1375" i="191"/>
  <c r="VX1375" i="191"/>
  <c r="VW1375" i="191"/>
  <c r="VV1375" i="191"/>
  <c r="VF1375" i="191"/>
  <c r="VE1375" i="191"/>
  <c r="VD1375" i="191"/>
  <c r="VC1375" i="191"/>
  <c r="VB1375" i="191"/>
  <c r="VA1375" i="191"/>
  <c r="UK1375" i="191"/>
  <c r="UJ1375" i="191"/>
  <c r="UI1375" i="191"/>
  <c r="UH1375" i="191"/>
  <c r="UG1375" i="191"/>
  <c r="UF1375" i="191"/>
  <c r="TP1375" i="191"/>
  <c r="TO1375" i="191"/>
  <c r="TN1375" i="191"/>
  <c r="TM1375" i="191"/>
  <c r="TL1375" i="191"/>
  <c r="TK1375" i="191"/>
  <c r="SU1375" i="191"/>
  <c r="ST1375" i="191"/>
  <c r="SS1375" i="191"/>
  <c r="SR1375" i="191"/>
  <c r="SQ1375" i="191"/>
  <c r="SP1375" i="191"/>
  <c r="RZ1375" i="191"/>
  <c r="RY1375" i="191"/>
  <c r="RX1375" i="191"/>
  <c r="RW1375" i="191"/>
  <c r="RV1375" i="191"/>
  <c r="RU1375" i="191"/>
  <c r="RE1375" i="191"/>
  <c r="RD1375" i="191"/>
  <c r="RC1375" i="191"/>
  <c r="QJ1375" i="191"/>
  <c r="QI1375" i="191"/>
  <c r="QH1375" i="191"/>
  <c r="QG1375" i="191"/>
  <c r="QF1375" i="191"/>
  <c r="QE1375" i="191"/>
  <c r="PO1375" i="191"/>
  <c r="PN1375" i="191"/>
  <c r="PM1375" i="191"/>
  <c r="PL1375" i="191"/>
  <c r="PK1375" i="191"/>
  <c r="PJ1375" i="191"/>
  <c r="OT1375" i="191"/>
  <c r="OS1375" i="191"/>
  <c r="OR1375" i="191"/>
  <c r="OQ1375" i="191"/>
  <c r="OP1375" i="191"/>
  <c r="OO1375" i="191"/>
  <c r="NY1375" i="191"/>
  <c r="NX1375" i="191"/>
  <c r="NW1375" i="191"/>
  <c r="NV1375" i="191"/>
  <c r="NU1375" i="191"/>
  <c r="NT1375" i="191"/>
  <c r="ND1375" i="191"/>
  <c r="NC1375" i="191"/>
  <c r="NB1375" i="191"/>
  <c r="NA1375" i="191"/>
  <c r="MZ1375" i="191"/>
  <c r="MY1375" i="191"/>
  <c r="MI1375" i="191"/>
  <c r="MH1375" i="191"/>
  <c r="MG1375" i="191"/>
  <c r="MF1375" i="191"/>
  <c r="ME1375" i="191"/>
  <c r="MD1375" i="191"/>
  <c r="LN1375" i="191"/>
  <c r="LM1375" i="191"/>
  <c r="LL1375" i="191"/>
  <c r="LK1375" i="191"/>
  <c r="LJ1375" i="191"/>
  <c r="LI1375" i="191"/>
  <c r="KS1375" i="191"/>
  <c r="KR1375" i="191"/>
  <c r="KQ1375" i="191"/>
  <c r="KP1375" i="191"/>
  <c r="KO1375" i="191"/>
  <c r="KN1375" i="191"/>
  <c r="JX1375" i="191"/>
  <c r="JW1375" i="191"/>
  <c r="JV1375" i="191"/>
  <c r="JC1375" i="191"/>
  <c r="JB1375" i="191"/>
  <c r="JA1375" i="191"/>
  <c r="IZ1375" i="191"/>
  <c r="IY1375" i="191"/>
  <c r="IX1375" i="191"/>
  <c r="IH1375" i="191"/>
  <c r="IG1375" i="191"/>
  <c r="IF1375" i="191"/>
  <c r="IE1375" i="191"/>
  <c r="ID1375" i="191"/>
  <c r="IC1375" i="191"/>
  <c r="HM1375" i="191"/>
  <c r="HL1375" i="191"/>
  <c r="HK1375" i="191"/>
  <c r="HJ1375" i="191"/>
  <c r="HI1375" i="191"/>
  <c r="HH1375" i="191"/>
  <c r="GR1375" i="191"/>
  <c r="GQ1375" i="191"/>
  <c r="GP1375" i="191"/>
  <c r="GO1375" i="191"/>
  <c r="GN1375" i="191"/>
  <c r="FW1375" i="191"/>
  <c r="FV1375" i="191"/>
  <c r="FU1375" i="191"/>
  <c r="FT1375" i="191"/>
  <c r="FS1375" i="191"/>
  <c r="FR1375" i="191"/>
  <c r="FB1375" i="191"/>
  <c r="FA1375" i="191"/>
  <c r="EZ1375" i="191"/>
  <c r="EY1375" i="191"/>
  <c r="EX1375" i="191"/>
  <c r="EW1375" i="191"/>
  <c r="EG1375" i="191"/>
  <c r="EF1375" i="191"/>
  <c r="EE1375" i="191"/>
  <c r="ED1375" i="191"/>
  <c r="EC1375" i="191"/>
  <c r="EB1375" i="191"/>
  <c r="DL1375" i="191"/>
  <c r="DK1375" i="191"/>
  <c r="DJ1375" i="191"/>
  <c r="DI1375" i="191"/>
  <c r="DH1375" i="191"/>
  <c r="DG1375" i="191"/>
  <c r="CQ1375" i="191"/>
  <c r="CP1375" i="191"/>
  <c r="CO1375" i="191"/>
  <c r="CN1375" i="191"/>
  <c r="CM1375" i="191"/>
  <c r="CL1375" i="191"/>
  <c r="BV1375" i="191"/>
  <c r="BU1375" i="191"/>
  <c r="BT1375" i="191"/>
  <c r="BS1375" i="191"/>
  <c r="BR1375" i="191"/>
  <c r="BQ1375" i="191"/>
  <c r="BA1375" i="191"/>
  <c r="AZ1375" i="191"/>
  <c r="AY1375" i="191"/>
  <c r="AX1375" i="191"/>
  <c r="AW1375" i="191"/>
  <c r="AV1375" i="191"/>
  <c r="AF1375" i="191"/>
  <c r="AE1375" i="191"/>
  <c r="AD1375" i="191"/>
  <c r="AC1375" i="191"/>
  <c r="AB1375" i="191"/>
  <c r="AA1375" i="191"/>
  <c r="H240" i="191"/>
  <c r="G240" i="191"/>
  <c r="H239" i="191"/>
  <c r="G239" i="191"/>
  <c r="H238" i="191"/>
  <c r="G238" i="191"/>
  <c r="H237" i="191"/>
  <c r="G237" i="191"/>
  <c r="H236" i="191"/>
  <c r="G236" i="191"/>
  <c r="H235" i="191"/>
  <c r="G235" i="191"/>
  <c r="H234" i="191"/>
  <c r="G234" i="191"/>
  <c r="H233" i="191"/>
  <c r="G233" i="191"/>
  <c r="E136" i="191"/>
  <c r="E137" i="191"/>
  <c r="W43" i="135"/>
  <c r="E139" i="191" s="1"/>
  <c r="W42" i="135"/>
  <c r="E138" i="191" s="1"/>
  <c r="W41" i="135"/>
  <c r="W40" i="135"/>
  <c r="W39" i="135"/>
  <c r="E135" i="191" s="1"/>
  <c r="W38" i="135"/>
  <c r="E134" i="191" s="1"/>
  <c r="W37" i="224"/>
  <c r="W36" i="224"/>
  <c r="W35" i="224"/>
  <c r="W34" i="224"/>
  <c r="W33" i="224"/>
  <c r="W32" i="224"/>
  <c r="W31" i="224"/>
  <c r="W30" i="224"/>
  <c r="W28" i="224"/>
  <c r="W27" i="224"/>
  <c r="W26" i="224"/>
  <c r="W25" i="224"/>
  <c r="W24" i="224"/>
  <c r="W23" i="224"/>
  <c r="W22" i="224"/>
  <c r="W21" i="224"/>
  <c r="W19" i="224"/>
  <c r="W18" i="224"/>
  <c r="W17" i="224"/>
  <c r="W16" i="224"/>
  <c r="W15" i="224"/>
  <c r="W14" i="224"/>
  <c r="W13" i="224"/>
  <c r="W12" i="224"/>
  <c r="X37" i="232"/>
  <c r="X36" i="232"/>
  <c r="X35" i="232"/>
  <c r="X34" i="232"/>
  <c r="X33" i="232"/>
  <c r="X32" i="232"/>
  <c r="X31" i="232"/>
  <c r="X30" i="232"/>
  <c r="X28" i="232"/>
  <c r="X27" i="232"/>
  <c r="X26" i="232"/>
  <c r="X25" i="232"/>
  <c r="X24" i="232"/>
  <c r="X23" i="232"/>
  <c r="X22" i="232"/>
  <c r="X21" i="232"/>
  <c r="X19" i="232"/>
  <c r="X18" i="232"/>
  <c r="X17" i="232"/>
  <c r="X16" i="232"/>
  <c r="X15" i="232"/>
  <c r="X14" i="232"/>
  <c r="X13" i="232"/>
  <c r="X12" i="232"/>
  <c r="AZ37" i="233" l="1"/>
  <c r="AZ36" i="233"/>
  <c r="AZ35" i="233"/>
  <c r="AZ34" i="233"/>
  <c r="AZ33" i="233"/>
  <c r="AZ32" i="233"/>
  <c r="AZ31" i="233"/>
  <c r="AZ30" i="233"/>
  <c r="AZ28" i="233"/>
  <c r="AZ27" i="233"/>
  <c r="AZ26" i="233"/>
  <c r="AZ25" i="233"/>
  <c r="AZ24" i="233"/>
  <c r="AZ23" i="233"/>
  <c r="AZ22" i="233"/>
  <c r="AZ21" i="233"/>
  <c r="AZ19" i="233"/>
  <c r="AZ18" i="233"/>
  <c r="AZ17" i="233"/>
  <c r="AZ16" i="233"/>
  <c r="AZ15" i="233"/>
  <c r="AZ14" i="233"/>
  <c r="AZ13" i="233"/>
  <c r="AZ12" i="233"/>
  <c r="AY37" i="232"/>
  <c r="AY36" i="232"/>
  <c r="AY35" i="232"/>
  <c r="AY34" i="232"/>
  <c r="AY33" i="232"/>
  <c r="AY32" i="232"/>
  <c r="AY31" i="232"/>
  <c r="AY30" i="232"/>
  <c r="AY28" i="232"/>
  <c r="AY27" i="232"/>
  <c r="AY26" i="232"/>
  <c r="AY25" i="232"/>
  <c r="AY24" i="232"/>
  <c r="AY23" i="232"/>
  <c r="AY22" i="232"/>
  <c r="AY21" i="232"/>
  <c r="AY19" i="232"/>
  <c r="AY18" i="232"/>
  <c r="AY17" i="232"/>
  <c r="AY16" i="232"/>
  <c r="AY15" i="232"/>
  <c r="AY14" i="232"/>
  <c r="AY13" i="232"/>
  <c r="AY12" i="232"/>
  <c r="AX34" i="224"/>
  <c r="E129" i="191" s="1"/>
  <c r="AX33" i="224"/>
  <c r="E128" i="191" s="1"/>
  <c r="AX37" i="224"/>
  <c r="E132" i="191" s="1"/>
  <c r="AX36" i="224"/>
  <c r="E131" i="191" s="1"/>
  <c r="AX25" i="224"/>
  <c r="E120" i="191" s="1"/>
  <c r="AX24" i="224"/>
  <c r="E119" i="191" s="1"/>
  <c r="AX28" i="224"/>
  <c r="E123" i="191" s="1"/>
  <c r="AX27" i="224"/>
  <c r="E122" i="191" s="1"/>
  <c r="AX16" i="224"/>
  <c r="E111" i="191" s="1"/>
  <c r="AX15" i="224"/>
  <c r="E110" i="191" s="1"/>
  <c r="AX19" i="224"/>
  <c r="E114" i="191" s="1"/>
  <c r="AX18" i="224"/>
  <c r="E113" i="191" s="1"/>
  <c r="AX35" i="224"/>
  <c r="E130" i="191" s="1"/>
  <c r="AX32" i="224"/>
  <c r="E127" i="191" s="1"/>
  <c r="AX31" i="224"/>
  <c r="E126" i="191" s="1"/>
  <c r="AX30" i="224"/>
  <c r="E125" i="191" s="1"/>
  <c r="AX26" i="224"/>
  <c r="E121" i="191" s="1"/>
  <c r="AX23" i="224"/>
  <c r="E118" i="191" s="1"/>
  <c r="AX22" i="224"/>
  <c r="E117" i="191" s="1"/>
  <c r="AX21" i="224"/>
  <c r="E116" i="191" s="1"/>
  <c r="AX17" i="224"/>
  <c r="E112" i="191" s="1"/>
  <c r="AX14" i="224"/>
  <c r="E109" i="191" s="1"/>
  <c r="AX13" i="224"/>
  <c r="E108" i="191" s="1"/>
  <c r="AX12" i="224"/>
  <c r="E107" i="191" s="1"/>
  <c r="Q37" i="233"/>
  <c r="Q36" i="233"/>
  <c r="Q35" i="233"/>
  <c r="Q34" i="233"/>
  <c r="Q33" i="233"/>
  <c r="Q32" i="233"/>
  <c r="Q31" i="233"/>
  <c r="Q30" i="233"/>
  <c r="Q28" i="233"/>
  <c r="Q27" i="233"/>
  <c r="Q26" i="233"/>
  <c r="Q25" i="233"/>
  <c r="Q24" i="233"/>
  <c r="Q23" i="233"/>
  <c r="Q22" i="233"/>
  <c r="Q21" i="233"/>
  <c r="Q19" i="233"/>
  <c r="Q18" i="233"/>
  <c r="Q17" i="233"/>
  <c r="Q16" i="233"/>
  <c r="Q15" i="233"/>
  <c r="Q14" i="233"/>
  <c r="Q13" i="233"/>
  <c r="Q12" i="233"/>
  <c r="F240" i="77"/>
  <c r="F239" i="77"/>
  <c r="F238" i="77"/>
  <c r="F4" i="235"/>
  <c r="E13" i="235"/>
  <c r="F13" i="235" s="1"/>
  <c r="E8" i="235"/>
  <c r="F8" i="235" s="1"/>
  <c r="E4" i="235"/>
  <c r="P37" i="232" l="1"/>
  <c r="P36" i="232"/>
  <c r="P35" i="232"/>
  <c r="P34" i="232"/>
  <c r="P33" i="232"/>
  <c r="P32" i="232"/>
  <c r="P31" i="232"/>
  <c r="AW31" i="232" s="1"/>
  <c r="P30" i="232"/>
  <c r="P28" i="232"/>
  <c r="AO28" i="232" s="1"/>
  <c r="P27" i="232"/>
  <c r="AO27" i="232" s="1"/>
  <c r="P26" i="232"/>
  <c r="P25" i="232"/>
  <c r="P24" i="232"/>
  <c r="P23" i="232"/>
  <c r="AO23" i="232" s="1"/>
  <c r="P22" i="232"/>
  <c r="P21" i="232"/>
  <c r="P19" i="232"/>
  <c r="P18" i="232"/>
  <c r="AA18" i="232" s="1"/>
  <c r="P17" i="232"/>
  <c r="P16" i="232"/>
  <c r="P15" i="232"/>
  <c r="P14" i="232"/>
  <c r="P13" i="232"/>
  <c r="P12" i="232"/>
  <c r="AO12" i="232" s="1"/>
  <c r="AN37" i="233"/>
  <c r="AL37" i="233" s="1"/>
  <c r="AE37" i="233"/>
  <c r="Y37" i="233"/>
  <c r="AG37" i="233" s="1"/>
  <c r="K37" i="233"/>
  <c r="AW37" i="233" s="1"/>
  <c r="AN36" i="233"/>
  <c r="AL36" i="233" s="1"/>
  <c r="AX36" i="233" s="1"/>
  <c r="AE36" i="233"/>
  <c r="Y36" i="233"/>
  <c r="AG36" i="233" s="1"/>
  <c r="AP36" i="233"/>
  <c r="K36" i="233"/>
  <c r="H36" i="233"/>
  <c r="AN35" i="233"/>
  <c r="AL35" i="233" s="1"/>
  <c r="AE35" i="233"/>
  <c r="Y35" i="233"/>
  <c r="AG35" i="233" s="1"/>
  <c r="AP35" i="233"/>
  <c r="K35" i="233"/>
  <c r="AN34" i="233"/>
  <c r="AL34" i="233"/>
  <c r="AX34" i="233" s="1"/>
  <c r="AE34" i="233"/>
  <c r="Y34" i="233"/>
  <c r="AG34" i="233" s="1"/>
  <c r="K34" i="233"/>
  <c r="AW34" i="233" s="1"/>
  <c r="AN33" i="233"/>
  <c r="AL33" i="233" s="1"/>
  <c r="AX33" i="233" s="1"/>
  <c r="AE33" i="233"/>
  <c r="Y33" i="233"/>
  <c r="AG33" i="233" s="1"/>
  <c r="AP33" i="233"/>
  <c r="K33" i="233"/>
  <c r="AN32" i="233"/>
  <c r="AL32" i="233" s="1"/>
  <c r="AE32" i="233"/>
  <c r="Y32" i="233"/>
  <c r="AG32" i="233" s="1"/>
  <c r="K32" i="233"/>
  <c r="AW32" i="233" s="1"/>
  <c r="AN31" i="233"/>
  <c r="AL31" i="233" s="1"/>
  <c r="AE31" i="233"/>
  <c r="Y31" i="233"/>
  <c r="AG31" i="233" s="1"/>
  <c r="AP31" i="233"/>
  <c r="K31" i="233"/>
  <c r="AN30" i="233"/>
  <c r="AL30" i="233"/>
  <c r="AX30" i="233" s="1"/>
  <c r="AE30" i="233"/>
  <c r="Y30" i="233"/>
  <c r="AG30" i="233" s="1"/>
  <c r="K30" i="233"/>
  <c r="AW30" i="233" s="1"/>
  <c r="AX29" i="233"/>
  <c r="AN28" i="233"/>
  <c r="AL28" i="233" s="1"/>
  <c r="AE28" i="233"/>
  <c r="Y28" i="233"/>
  <c r="AG28" i="233" s="1"/>
  <c r="AP28" i="233"/>
  <c r="K28" i="233"/>
  <c r="AW28" i="233" s="1"/>
  <c r="AN27" i="233"/>
  <c r="AL27" i="233" s="1"/>
  <c r="AX27" i="233" s="1"/>
  <c r="AE27" i="233"/>
  <c r="Y27" i="233"/>
  <c r="AG27" i="233" s="1"/>
  <c r="AP27" i="233"/>
  <c r="H27" i="233"/>
  <c r="K27" i="233" s="1"/>
  <c r="AN26" i="233"/>
  <c r="AL26" i="233" s="1"/>
  <c r="AE26" i="233"/>
  <c r="Y26" i="233"/>
  <c r="AG26" i="233" s="1"/>
  <c r="AP26" i="233"/>
  <c r="K26" i="233"/>
  <c r="AN25" i="233"/>
  <c r="AL25" i="233" s="1"/>
  <c r="AE25" i="233"/>
  <c r="Y25" i="233"/>
  <c r="AG25" i="233" s="1"/>
  <c r="AP25" i="233"/>
  <c r="K25" i="233"/>
  <c r="AW25" i="233" s="1"/>
  <c r="AN24" i="233"/>
  <c r="AL24" i="233" s="1"/>
  <c r="AE24" i="233"/>
  <c r="Y24" i="233"/>
  <c r="AG24" i="233" s="1"/>
  <c r="AP24" i="233"/>
  <c r="K24" i="233"/>
  <c r="AN23" i="233"/>
  <c r="AL23" i="233" s="1"/>
  <c r="AE23" i="233"/>
  <c r="Y23" i="233"/>
  <c r="AG23" i="233" s="1"/>
  <c r="AP23" i="233"/>
  <c r="K23" i="233"/>
  <c r="AW23" i="233" s="1"/>
  <c r="AN22" i="233"/>
  <c r="AL22" i="233" s="1"/>
  <c r="AE22" i="233"/>
  <c r="Y22" i="233"/>
  <c r="AG22" i="233" s="1"/>
  <c r="AP22" i="233"/>
  <c r="K22" i="233"/>
  <c r="AN21" i="233"/>
  <c r="AL21" i="233" s="1"/>
  <c r="AE21" i="233"/>
  <c r="Y21" i="233"/>
  <c r="AG21" i="233" s="1"/>
  <c r="AP21" i="233"/>
  <c r="H21" i="233"/>
  <c r="K21" i="233" s="1"/>
  <c r="AX20" i="233"/>
  <c r="AN19" i="233"/>
  <c r="AL19" i="233" s="1"/>
  <c r="AE19" i="233"/>
  <c r="AC19" i="233"/>
  <c r="Y19" i="233"/>
  <c r="AG19" i="233" s="1"/>
  <c r="AP19" i="233"/>
  <c r="K19" i="233"/>
  <c r="AN18" i="233"/>
  <c r="AL18" i="233" s="1"/>
  <c r="AE18" i="233"/>
  <c r="AC18" i="233"/>
  <c r="Y18" i="233"/>
  <c r="AG18" i="233" s="1"/>
  <c r="AP18" i="233"/>
  <c r="K18" i="233"/>
  <c r="AW18" i="233" s="1"/>
  <c r="AN17" i="233"/>
  <c r="AL17" i="233" s="1"/>
  <c r="AX17" i="233" s="1"/>
  <c r="AE17" i="233"/>
  <c r="Y17" i="233"/>
  <c r="AG17" i="233" s="1"/>
  <c r="AP17" i="233"/>
  <c r="K17" i="233"/>
  <c r="AN16" i="233"/>
  <c r="AL16" i="233" s="1"/>
  <c r="AE16" i="233"/>
  <c r="Y16" i="233"/>
  <c r="AG16" i="233" s="1"/>
  <c r="AP16" i="233"/>
  <c r="K16" i="233"/>
  <c r="AW16" i="233" s="1"/>
  <c r="AN15" i="233"/>
  <c r="AL15" i="233" s="1"/>
  <c r="AX15" i="233" s="1"/>
  <c r="AE15" i="233"/>
  <c r="Y15" i="233"/>
  <c r="AG15" i="233" s="1"/>
  <c r="AP15" i="233"/>
  <c r="K15" i="233"/>
  <c r="AN14" i="233"/>
  <c r="AL14" i="233" s="1"/>
  <c r="AE14" i="233"/>
  <c r="Y14" i="233"/>
  <c r="AG14" i="233" s="1"/>
  <c r="K14" i="233"/>
  <c r="AW14" i="233" s="1"/>
  <c r="AN13" i="233"/>
  <c r="AL13" i="233" s="1"/>
  <c r="AX13" i="233" s="1"/>
  <c r="AE13" i="233"/>
  <c r="Y13" i="233"/>
  <c r="AG13" i="233" s="1"/>
  <c r="AP13" i="233"/>
  <c r="K13" i="233"/>
  <c r="AN12" i="233"/>
  <c r="AL12" i="233" s="1"/>
  <c r="AE12" i="233"/>
  <c r="Y12" i="233"/>
  <c r="AG12" i="233" s="1"/>
  <c r="AP12" i="233"/>
  <c r="K12" i="233"/>
  <c r="AW12" i="233" s="1"/>
  <c r="AX11" i="233"/>
  <c r="AS8" i="233"/>
  <c r="AQ8" i="233"/>
  <c r="AO37" i="232"/>
  <c r="AM37" i="232"/>
  <c r="AK37" i="232" s="1"/>
  <c r="AD37" i="232"/>
  <c r="AA37" i="232"/>
  <c r="AB37" i="232" s="1"/>
  <c r="AG37" i="232" s="1"/>
  <c r="AF37" i="232"/>
  <c r="AW37" i="232"/>
  <c r="K37" i="232"/>
  <c r="AM36" i="232"/>
  <c r="AK36" i="232" s="1"/>
  <c r="AD36" i="232"/>
  <c r="AF36" i="232"/>
  <c r="AW36" i="232"/>
  <c r="H36" i="232"/>
  <c r="K36" i="232" s="1"/>
  <c r="AV36" i="232" s="1"/>
  <c r="AM35" i="232"/>
  <c r="AK35" i="232" s="1"/>
  <c r="AD35" i="232"/>
  <c r="AF35" i="232"/>
  <c r="AW35" i="232"/>
  <c r="K35" i="232"/>
  <c r="AV35" i="232" s="1"/>
  <c r="AM34" i="232"/>
  <c r="AK34" i="232" s="1"/>
  <c r="AD34" i="232"/>
  <c r="AF34" i="232"/>
  <c r="AO34" i="232"/>
  <c r="K34" i="232"/>
  <c r="AV34" i="232" s="1"/>
  <c r="AQ33" i="232"/>
  <c r="AS33" i="232" s="1"/>
  <c r="AO33" i="232"/>
  <c r="AM33" i="232"/>
  <c r="AK33" i="232" s="1"/>
  <c r="AW33" i="232" s="1"/>
  <c r="AD33" i="232"/>
  <c r="AA33" i="232"/>
  <c r="AB33" i="232" s="1"/>
  <c r="AG33" i="232" s="1"/>
  <c r="AF33" i="232"/>
  <c r="K33" i="232"/>
  <c r="AO32" i="232"/>
  <c r="AM32" i="232"/>
  <c r="AK32" i="232" s="1"/>
  <c r="AD32" i="232"/>
  <c r="AA32" i="232"/>
  <c r="AB32" i="232" s="1"/>
  <c r="AG32" i="232" s="1"/>
  <c r="AF32" i="232"/>
  <c r="AW32" i="232"/>
  <c r="K32" i="232"/>
  <c r="AV32" i="232" s="1"/>
  <c r="AM31" i="232"/>
  <c r="AK31" i="232" s="1"/>
  <c r="AD31" i="232"/>
  <c r="AF31" i="232"/>
  <c r="K31" i="232"/>
  <c r="AV31" i="232" s="1"/>
  <c r="AM30" i="232"/>
  <c r="AK30" i="232" s="1"/>
  <c r="AD30" i="232"/>
  <c r="AF30" i="232"/>
  <c r="AO30" i="232"/>
  <c r="K30" i="232"/>
  <c r="AV30" i="232" s="1"/>
  <c r="AW29" i="232"/>
  <c r="AM28" i="232"/>
  <c r="AK28" i="232"/>
  <c r="AD28" i="232"/>
  <c r="AF28" i="232"/>
  <c r="K28" i="232"/>
  <c r="AV28" i="232" s="1"/>
  <c r="AW27" i="232"/>
  <c r="AM27" i="232"/>
  <c r="AK27" i="232"/>
  <c r="AD27" i="232"/>
  <c r="AF27" i="232"/>
  <c r="H27" i="232"/>
  <c r="K27" i="232" s="1"/>
  <c r="AQ26" i="232"/>
  <c r="AS26" i="232" s="1"/>
  <c r="AM26" i="232"/>
  <c r="AK26" i="232"/>
  <c r="AW26" i="232" s="1"/>
  <c r="AD26" i="232"/>
  <c r="AF26" i="232"/>
  <c r="AO26" i="232"/>
  <c r="K26" i="232"/>
  <c r="AO25" i="232"/>
  <c r="AM25" i="232"/>
  <c r="AK25" i="232" s="1"/>
  <c r="AD25" i="232"/>
  <c r="AA25" i="232"/>
  <c r="AB25" i="232" s="1"/>
  <c r="AG25" i="232" s="1"/>
  <c r="AF25" i="232"/>
  <c r="AW25" i="232"/>
  <c r="K25" i="232"/>
  <c r="AV25" i="232" s="1"/>
  <c r="AM24" i="232"/>
  <c r="AK24" i="232" s="1"/>
  <c r="AD24" i="232"/>
  <c r="AF24" i="232"/>
  <c r="K24" i="232"/>
  <c r="AV24" i="232" s="1"/>
  <c r="AM23" i="232"/>
  <c r="AK23" i="232"/>
  <c r="AD23" i="232"/>
  <c r="AF23" i="232"/>
  <c r="K23" i="232"/>
  <c r="AV23" i="232" s="1"/>
  <c r="AQ22" i="232"/>
  <c r="AS22" i="232" s="1"/>
  <c r="AM22" i="232"/>
  <c r="AK22" i="232" s="1"/>
  <c r="AW22" i="232" s="1"/>
  <c r="AD22" i="232"/>
  <c r="AF22" i="232"/>
  <c r="AO22" i="232"/>
  <c r="K22" i="232"/>
  <c r="AO21" i="232"/>
  <c r="AM21" i="232"/>
  <c r="AK21" i="232" s="1"/>
  <c r="AD21" i="232"/>
  <c r="AA21" i="232"/>
  <c r="AB21" i="232" s="1"/>
  <c r="AG21" i="232" s="1"/>
  <c r="AF21" i="232"/>
  <c r="AW21" i="232"/>
  <c r="H21" i="232"/>
  <c r="K21" i="232" s="1"/>
  <c r="AW20" i="232"/>
  <c r="AQ19" i="232"/>
  <c r="AS19" i="232" s="1"/>
  <c r="AM19" i="232"/>
  <c r="AK19" i="232" s="1"/>
  <c r="AW19" i="232" s="1"/>
  <c r="AD19" i="232"/>
  <c r="AB19" i="232"/>
  <c r="AF19" i="232"/>
  <c r="AO19" i="232"/>
  <c r="K19" i="232"/>
  <c r="AO18" i="232"/>
  <c r="AM18" i="232"/>
  <c r="AK18" i="232"/>
  <c r="AW18" i="232" s="1"/>
  <c r="AD18" i="232"/>
  <c r="AB18" i="232"/>
  <c r="AF18" i="232"/>
  <c r="K18" i="232"/>
  <c r="AV18" i="232" s="1"/>
  <c r="AV17" i="232"/>
  <c r="AO17" i="232"/>
  <c r="AM17" i="232"/>
  <c r="AK17" i="232" s="1"/>
  <c r="AD17" i="232"/>
  <c r="AA17" i="232"/>
  <c r="AB17" i="232" s="1"/>
  <c r="AG17" i="232" s="1"/>
  <c r="AF17" i="232"/>
  <c r="AW17" i="232"/>
  <c r="K17" i="232"/>
  <c r="AM16" i="232"/>
  <c r="AK16" i="232"/>
  <c r="AD16" i="232"/>
  <c r="AF16" i="232"/>
  <c r="AO16" i="232"/>
  <c r="K16" i="232"/>
  <c r="AV16" i="232" s="1"/>
  <c r="AQ15" i="232"/>
  <c r="AS15" i="232" s="1"/>
  <c r="AM15" i="232"/>
  <c r="AK15" i="232"/>
  <c r="AW15" i="232" s="1"/>
  <c r="AD15" i="232"/>
  <c r="AF15" i="232"/>
  <c r="AO15" i="232"/>
  <c r="K15" i="232"/>
  <c r="AQ14" i="232"/>
  <c r="AS14" i="232" s="1"/>
  <c r="AO14" i="232"/>
  <c r="AM14" i="232"/>
  <c r="AK14" i="232" s="1"/>
  <c r="AD14" i="232"/>
  <c r="AA14" i="232"/>
  <c r="AB14" i="232" s="1"/>
  <c r="AG14" i="232" s="1"/>
  <c r="AF14" i="232"/>
  <c r="AW14" i="232"/>
  <c r="K14" i="232"/>
  <c r="AV14" i="232" s="1"/>
  <c r="AM13" i="232"/>
  <c r="AK13" i="232" s="1"/>
  <c r="AW13" i="232" s="1"/>
  <c r="AD13" i="232"/>
  <c r="AF13" i="232"/>
  <c r="K13" i="232"/>
  <c r="AV13" i="232" s="1"/>
  <c r="AM12" i="232"/>
  <c r="AK12" i="232"/>
  <c r="AD12" i="232"/>
  <c r="AF12" i="232"/>
  <c r="K12" i="232"/>
  <c r="AV12" i="232" s="1"/>
  <c r="AW11" i="232"/>
  <c r="AR8" i="232"/>
  <c r="AP8" i="232"/>
  <c r="AA19" i="224"/>
  <c r="AA18" i="224"/>
  <c r="AL37" i="224"/>
  <c r="AL36" i="224"/>
  <c r="AL35" i="224"/>
  <c r="AL34" i="224"/>
  <c r="AL33" i="224"/>
  <c r="AL32" i="224"/>
  <c r="AL31" i="224"/>
  <c r="AL30" i="224"/>
  <c r="AL28" i="224"/>
  <c r="AL27" i="224"/>
  <c r="AL26" i="224"/>
  <c r="AL25" i="224"/>
  <c r="AL24" i="224"/>
  <c r="AL23" i="224"/>
  <c r="AL22" i="224"/>
  <c r="AL21" i="224"/>
  <c r="AL19" i="224"/>
  <c r="AL18" i="224"/>
  <c r="AL17" i="224"/>
  <c r="AL16" i="224"/>
  <c r="AL15" i="224"/>
  <c r="AL14" i="224"/>
  <c r="AJ14" i="224" s="1"/>
  <c r="AL13" i="224"/>
  <c r="AL12" i="224"/>
  <c r="BE9" i="230"/>
  <c r="AZ9" i="230"/>
  <c r="U23" i="231"/>
  <c r="U22" i="231"/>
  <c r="U21" i="231"/>
  <c r="U12" i="231"/>
  <c r="U7" i="231"/>
  <c r="U6" i="231"/>
  <c r="R23" i="231"/>
  <c r="R22" i="231"/>
  <c r="R21" i="231"/>
  <c r="R12" i="231"/>
  <c r="R7" i="231"/>
  <c r="R6" i="231"/>
  <c r="O23" i="231"/>
  <c r="O22" i="231"/>
  <c r="O21" i="231"/>
  <c r="O12" i="231"/>
  <c r="O7" i="231"/>
  <c r="O6" i="231"/>
  <c r="L23" i="231"/>
  <c r="L22" i="231"/>
  <c r="L21" i="231"/>
  <c r="L12" i="231"/>
  <c r="L7" i="231"/>
  <c r="I23" i="231"/>
  <c r="I22" i="231"/>
  <c r="I21" i="231"/>
  <c r="I12" i="231"/>
  <c r="I26" i="231" s="1"/>
  <c r="I27" i="231" s="1"/>
  <c r="I6" i="231"/>
  <c r="F23" i="231"/>
  <c r="F22" i="231"/>
  <c r="F21" i="231"/>
  <c r="F12" i="231"/>
  <c r="CS75" i="230"/>
  <c r="CR75" i="230"/>
  <c r="CS72" i="230"/>
  <c r="CR72" i="230"/>
  <c r="CS69" i="230"/>
  <c r="CS66" i="230" s="1"/>
  <c r="CR69" i="230"/>
  <c r="CR66" i="230" s="1"/>
  <c r="CS63" i="230"/>
  <c r="CR62" i="230"/>
  <c r="CS59" i="230"/>
  <c r="CR59" i="230"/>
  <c r="CS56" i="230"/>
  <c r="CR56" i="230"/>
  <c r="CS55" i="230"/>
  <c r="CS53" i="230" s="1"/>
  <c r="CR55" i="230"/>
  <c r="CR53" i="230" s="1"/>
  <c r="CS46" i="230"/>
  <c r="CS11" i="230" s="1"/>
  <c r="CR46" i="230"/>
  <c r="CS43" i="230"/>
  <c r="CR43" i="230"/>
  <c r="CS40" i="230"/>
  <c r="CR40" i="230"/>
  <c r="CS34" i="230"/>
  <c r="CR34" i="230"/>
  <c r="CS28" i="230"/>
  <c r="CR28" i="230"/>
  <c r="CS23" i="230"/>
  <c r="CR23" i="230"/>
  <c r="CS18" i="230"/>
  <c r="CR18" i="230"/>
  <c r="CS12" i="230"/>
  <c r="CS13" i="230" s="1"/>
  <c r="CR12" i="230"/>
  <c r="CR13" i="230" s="1"/>
  <c r="CS9" i="230"/>
  <c r="CR9" i="230"/>
  <c r="CP75" i="230"/>
  <c r="CO75" i="230"/>
  <c r="CP72" i="230"/>
  <c r="CO72" i="230"/>
  <c r="CP69" i="230"/>
  <c r="CP66" i="230" s="1"/>
  <c r="CO69" i="230"/>
  <c r="CO66" i="230" s="1"/>
  <c r="CP63" i="230"/>
  <c r="CO62" i="230"/>
  <c r="CP59" i="230"/>
  <c r="CO59" i="230"/>
  <c r="CP56" i="230"/>
  <c r="CO56" i="230"/>
  <c r="CP55" i="230"/>
  <c r="CP53" i="230" s="1"/>
  <c r="CO55" i="230"/>
  <c r="CO53" i="230" s="1"/>
  <c r="CP46" i="230"/>
  <c r="CO46" i="230"/>
  <c r="CP43" i="230"/>
  <c r="CO43" i="230"/>
  <c r="CP40" i="230"/>
  <c r="CO40" i="230"/>
  <c r="CP34" i="230"/>
  <c r="CO34" i="230"/>
  <c r="CP28" i="230"/>
  <c r="CO28" i="230"/>
  <c r="CP23" i="230"/>
  <c r="CO23" i="230"/>
  <c r="CP18" i="230"/>
  <c r="CO18" i="230"/>
  <c r="CP9" i="230"/>
  <c r="CO9" i="230"/>
  <c r="BD51" i="230"/>
  <c r="CM82" i="230"/>
  <c r="CL82" i="230"/>
  <c r="CL75" i="230" s="1"/>
  <c r="CK82" i="230"/>
  <c r="CM80" i="230"/>
  <c r="CL80" i="230"/>
  <c r="CK80" i="230"/>
  <c r="CM77" i="230"/>
  <c r="CL77" i="230"/>
  <c r="CK77" i="230"/>
  <c r="CM76" i="230"/>
  <c r="CM75" i="230" s="1"/>
  <c r="CL76" i="230"/>
  <c r="CK76" i="230"/>
  <c r="CM73" i="230"/>
  <c r="CL73" i="230"/>
  <c r="CK73" i="230"/>
  <c r="CM67" i="230"/>
  <c r="CL67" i="230"/>
  <c r="CK67" i="230"/>
  <c r="CL63" i="230"/>
  <c r="CK63" i="230"/>
  <c r="CM62" i="230"/>
  <c r="CK62" i="230"/>
  <c r="CM61" i="230"/>
  <c r="CL61" i="230"/>
  <c r="CM57" i="230"/>
  <c r="CM53" i="230" s="1"/>
  <c r="CL57" i="230"/>
  <c r="CK57" i="230"/>
  <c r="CM56" i="230"/>
  <c r="CL56" i="230"/>
  <c r="CL53" i="230" s="1"/>
  <c r="CK56" i="230"/>
  <c r="CM55" i="230"/>
  <c r="CL55" i="230"/>
  <c r="CK55" i="230"/>
  <c r="CM54" i="230"/>
  <c r="CL54" i="230"/>
  <c r="CK54" i="230"/>
  <c r="CM51" i="230"/>
  <c r="BF51" i="230" s="1"/>
  <c r="CL51" i="230"/>
  <c r="BE51" i="230" s="1"/>
  <c r="CK51" i="230"/>
  <c r="CM50" i="230"/>
  <c r="BF50" i="230" s="1"/>
  <c r="CL50" i="230"/>
  <c r="BE50" i="230" s="1"/>
  <c r="CK50" i="230"/>
  <c r="BD50" i="230" s="1"/>
  <c r="CM47" i="230"/>
  <c r="BF47" i="230" s="1"/>
  <c r="CM44" i="230"/>
  <c r="CL44" i="230"/>
  <c r="CL43" i="230" s="1"/>
  <c r="CK44" i="230"/>
  <c r="CM41" i="230"/>
  <c r="CL41" i="230"/>
  <c r="CK41" i="230"/>
  <c r="CM38" i="230"/>
  <c r="CL38" i="230"/>
  <c r="CK38" i="230"/>
  <c r="CM37" i="230"/>
  <c r="CM34" i="230" s="1"/>
  <c r="CL37" i="230"/>
  <c r="CK37" i="230"/>
  <c r="CM36" i="230"/>
  <c r="CL36" i="230"/>
  <c r="CL34" i="230" s="1"/>
  <c r="CK36" i="230"/>
  <c r="CM35" i="230"/>
  <c r="CL35" i="230"/>
  <c r="CK35" i="230"/>
  <c r="CM30" i="230"/>
  <c r="CL30" i="230"/>
  <c r="CK30" i="230"/>
  <c r="CM29" i="230"/>
  <c r="CM28" i="230" s="1"/>
  <c r="CL29" i="230"/>
  <c r="CK29" i="230"/>
  <c r="CM26" i="230"/>
  <c r="CL26" i="230"/>
  <c r="CL23" i="230" s="1"/>
  <c r="CK26" i="230"/>
  <c r="CM25" i="230"/>
  <c r="CL25" i="230"/>
  <c r="CK25" i="230"/>
  <c r="CM24" i="230"/>
  <c r="CL24" i="230"/>
  <c r="CK24" i="230"/>
  <c r="CM21" i="230"/>
  <c r="CM18" i="230" s="1"/>
  <c r="CL21" i="230"/>
  <c r="CK21" i="230"/>
  <c r="CM20" i="230"/>
  <c r="CL20" i="230"/>
  <c r="CK20" i="230"/>
  <c r="CM19" i="230"/>
  <c r="CL19" i="230"/>
  <c r="CK19" i="230"/>
  <c r="CM16" i="230"/>
  <c r="CL16" i="230"/>
  <c r="CK16" i="230"/>
  <c r="CM15" i="230"/>
  <c r="CM9" i="230" s="1"/>
  <c r="CL15" i="230"/>
  <c r="CK15" i="230"/>
  <c r="CM14" i="230"/>
  <c r="CL14" i="230"/>
  <c r="CL9" i="230" s="1"/>
  <c r="CK14" i="230"/>
  <c r="CM43" i="230"/>
  <c r="CM40" i="230"/>
  <c r="CL40" i="230"/>
  <c r="CL28" i="230"/>
  <c r="CM23" i="230"/>
  <c r="CL18" i="230"/>
  <c r="CM3" i="230"/>
  <c r="CL3" i="230"/>
  <c r="CJ64" i="230"/>
  <c r="CI64" i="230"/>
  <c r="CH64" i="230"/>
  <c r="CJ75" i="230"/>
  <c r="CI75" i="230"/>
  <c r="CJ72" i="230"/>
  <c r="CI72" i="230"/>
  <c r="CJ63" i="230"/>
  <c r="CI62" i="230"/>
  <c r="CI59" i="230" s="1"/>
  <c r="CI12" i="230" s="1"/>
  <c r="CI13" i="230" s="1"/>
  <c r="CJ53" i="230"/>
  <c r="CI53" i="230"/>
  <c r="CJ49" i="230"/>
  <c r="CI49" i="230"/>
  <c r="CJ48" i="230"/>
  <c r="CM48" i="230" s="1"/>
  <c r="CI48" i="230"/>
  <c r="CL48" i="230" s="1"/>
  <c r="BE48" i="230" s="1"/>
  <c r="CJ47" i="230"/>
  <c r="CI47" i="230"/>
  <c r="CI46" i="230" s="1"/>
  <c r="CJ43" i="230"/>
  <c r="CI43" i="230"/>
  <c r="CJ40" i="230"/>
  <c r="CI40" i="230"/>
  <c r="CJ34" i="230"/>
  <c r="CI34" i="230"/>
  <c r="CJ28" i="230"/>
  <c r="CI28" i="230"/>
  <c r="CJ23" i="230"/>
  <c r="CI23" i="230"/>
  <c r="CJ18" i="230"/>
  <c r="CI18" i="230"/>
  <c r="CJ9" i="230"/>
  <c r="CI9" i="230"/>
  <c r="CG64" i="230"/>
  <c r="CF64" i="230"/>
  <c r="CE64" i="230"/>
  <c r="CG75" i="230"/>
  <c r="CF75" i="230"/>
  <c r="CG72" i="230"/>
  <c r="CF72" i="230"/>
  <c r="CG63" i="230"/>
  <c r="CF62" i="230"/>
  <c r="CF59" i="230" s="1"/>
  <c r="CF12" i="230" s="1"/>
  <c r="CF13" i="230" s="1"/>
  <c r="CG53" i="230"/>
  <c r="CF53" i="230"/>
  <c r="CG46" i="230"/>
  <c r="CF46" i="230"/>
  <c r="CG43" i="230"/>
  <c r="CF43" i="230"/>
  <c r="CG40" i="230"/>
  <c r="CF40" i="230"/>
  <c r="CG34" i="230"/>
  <c r="CF34" i="230"/>
  <c r="CG28" i="230"/>
  <c r="CF28" i="230"/>
  <c r="CG23" i="230"/>
  <c r="CF23" i="230"/>
  <c r="CG18" i="230"/>
  <c r="CF18" i="230"/>
  <c r="CG9" i="230"/>
  <c r="CF9" i="230"/>
  <c r="CD64" i="230"/>
  <c r="CC64" i="230"/>
  <c r="CB64" i="230"/>
  <c r="CD75" i="230"/>
  <c r="CC75" i="230"/>
  <c r="CD72" i="230"/>
  <c r="CC72" i="230"/>
  <c r="CD63" i="230"/>
  <c r="CC62" i="230"/>
  <c r="CD53" i="230"/>
  <c r="CC53" i="230"/>
  <c r="CD49" i="230"/>
  <c r="CD46" i="230" s="1"/>
  <c r="CC49" i="230"/>
  <c r="CC46" i="230" s="1"/>
  <c r="CD43" i="230"/>
  <c r="CC43" i="230"/>
  <c r="CD40" i="230"/>
  <c r="CC40" i="230"/>
  <c r="CD34" i="230"/>
  <c r="CC34" i="230"/>
  <c r="CD28" i="230"/>
  <c r="CC28" i="230"/>
  <c r="CD23" i="230"/>
  <c r="CC23" i="230"/>
  <c r="CD18" i="230"/>
  <c r="CC18" i="230"/>
  <c r="CD9" i="230"/>
  <c r="CC9" i="230"/>
  <c r="CA64" i="230"/>
  <c r="BZ64" i="230"/>
  <c r="BY64" i="230"/>
  <c r="CA75" i="230"/>
  <c r="BZ75" i="230"/>
  <c r="CA72" i="230"/>
  <c r="BZ72" i="230"/>
  <c r="CA63" i="230"/>
  <c r="BZ62" i="230"/>
  <c r="BZ59" i="230" s="1"/>
  <c r="BZ12" i="230" s="1"/>
  <c r="BZ13" i="230" s="1"/>
  <c r="CA53" i="230"/>
  <c r="BZ53" i="230"/>
  <c r="CA49" i="230"/>
  <c r="CA46" i="230" s="1"/>
  <c r="BZ49" i="230"/>
  <c r="BZ46" i="230" s="1"/>
  <c r="CA43" i="230"/>
  <c r="BZ43" i="230"/>
  <c r="CA40" i="230"/>
  <c r="BZ40" i="230"/>
  <c r="CA34" i="230"/>
  <c r="BZ34" i="230"/>
  <c r="CA28" i="230"/>
  <c r="BZ28" i="230"/>
  <c r="CA23" i="230"/>
  <c r="BZ23" i="230"/>
  <c r="CA18" i="230"/>
  <c r="BZ18" i="230"/>
  <c r="CA9" i="230"/>
  <c r="BZ9" i="230"/>
  <c r="BX64" i="230"/>
  <c r="BW64" i="230"/>
  <c r="BV64" i="230"/>
  <c r="BX75" i="230"/>
  <c r="BW75" i="230"/>
  <c r="BX72" i="230"/>
  <c r="BW72" i="230"/>
  <c r="BX63" i="230"/>
  <c r="BW62" i="230"/>
  <c r="BW59" i="230" s="1"/>
  <c r="BW12" i="230" s="1"/>
  <c r="BW13" i="230" s="1"/>
  <c r="BX53" i="230"/>
  <c r="BW53" i="230"/>
  <c r="BX49" i="230"/>
  <c r="BX46" i="230" s="1"/>
  <c r="BW49" i="230"/>
  <c r="BW46" i="230" s="1"/>
  <c r="BX43" i="230"/>
  <c r="BW43" i="230"/>
  <c r="BX40" i="230"/>
  <c r="BW40" i="230"/>
  <c r="BX34" i="230"/>
  <c r="BW34" i="230"/>
  <c r="BX28" i="230"/>
  <c r="BW28" i="230"/>
  <c r="BX23" i="230"/>
  <c r="BW23" i="230"/>
  <c r="BX18" i="230"/>
  <c r="BW18" i="230"/>
  <c r="BX9" i="230"/>
  <c r="BW9" i="230"/>
  <c r="BU64" i="230"/>
  <c r="BT64" i="230"/>
  <c r="BS64" i="230"/>
  <c r="BU75" i="230"/>
  <c r="BT75" i="230"/>
  <c r="BU72" i="230"/>
  <c r="BT72" i="230"/>
  <c r="BU63" i="230"/>
  <c r="BU59" i="230" s="1"/>
  <c r="BU12" i="230" s="1"/>
  <c r="BU13" i="230" s="1"/>
  <c r="BT62" i="230"/>
  <c r="BU53" i="230"/>
  <c r="BT53" i="230"/>
  <c r="BU49" i="230"/>
  <c r="BU46" i="230" s="1"/>
  <c r="BT49" i="230"/>
  <c r="BT46" i="230" s="1"/>
  <c r="BU43" i="230"/>
  <c r="BT43" i="230"/>
  <c r="BU40" i="230"/>
  <c r="BT40" i="230"/>
  <c r="BU34" i="230"/>
  <c r="BT34" i="230"/>
  <c r="BU28" i="230"/>
  <c r="BT28" i="230"/>
  <c r="BU23" i="230"/>
  <c r="BT23" i="230"/>
  <c r="BU18" i="230"/>
  <c r="BT18" i="230"/>
  <c r="BU9" i="230"/>
  <c r="BT9" i="230"/>
  <c r="BR64" i="230"/>
  <c r="BQ64" i="230"/>
  <c r="BP64" i="230"/>
  <c r="BR75" i="230"/>
  <c r="BQ75" i="230"/>
  <c r="BR72" i="230"/>
  <c r="BQ72" i="230"/>
  <c r="BR63" i="230"/>
  <c r="BQ62" i="230"/>
  <c r="BR53" i="230"/>
  <c r="BQ53" i="230"/>
  <c r="BR49" i="230"/>
  <c r="BR46" i="230" s="1"/>
  <c r="BQ49" i="230"/>
  <c r="BQ46" i="230" s="1"/>
  <c r="BR43" i="230"/>
  <c r="BQ43" i="230"/>
  <c r="BR40" i="230"/>
  <c r="BQ40" i="230"/>
  <c r="BR34" i="230"/>
  <c r="BQ34" i="230"/>
  <c r="BR28" i="230"/>
  <c r="BQ28" i="230"/>
  <c r="BR23" i="230"/>
  <c r="BQ23" i="230"/>
  <c r="BR18" i="230"/>
  <c r="BQ18" i="230"/>
  <c r="BR9" i="230"/>
  <c r="BQ9" i="230"/>
  <c r="BO64" i="230"/>
  <c r="BN64" i="230"/>
  <c r="BM64" i="230"/>
  <c r="BO75" i="230"/>
  <c r="BN75" i="230"/>
  <c r="BO72" i="230"/>
  <c r="BN72" i="230"/>
  <c r="BO63" i="230"/>
  <c r="BN62" i="230"/>
  <c r="BN59" i="230" s="1"/>
  <c r="BN12" i="230" s="1"/>
  <c r="BN13" i="230" s="1"/>
  <c r="BO53" i="230"/>
  <c r="BN53" i="230"/>
  <c r="BO49" i="230"/>
  <c r="BO46" i="230" s="1"/>
  <c r="BN49" i="230"/>
  <c r="BN46" i="230" s="1"/>
  <c r="BO43" i="230"/>
  <c r="BN43" i="230"/>
  <c r="BO40" i="230"/>
  <c r="BN40" i="230"/>
  <c r="BO34" i="230"/>
  <c r="BN34" i="230"/>
  <c r="BO28" i="230"/>
  <c r="BN28" i="230"/>
  <c r="BO23" i="230"/>
  <c r="BN23" i="230"/>
  <c r="BO18" i="230"/>
  <c r="BN18" i="230"/>
  <c r="BO9" i="230"/>
  <c r="BN9" i="230"/>
  <c r="BL64" i="230"/>
  <c r="BK64" i="230"/>
  <c r="BJ64" i="230"/>
  <c r="BL75" i="230"/>
  <c r="BK75" i="230"/>
  <c r="BL72" i="230"/>
  <c r="BK72" i="230"/>
  <c r="BL63" i="230"/>
  <c r="BK62" i="230"/>
  <c r="BK59" i="230" s="1"/>
  <c r="BK12" i="230" s="1"/>
  <c r="BK13" i="230" s="1"/>
  <c r="BL53" i="230"/>
  <c r="BK53" i="230"/>
  <c r="BL49" i="230"/>
  <c r="BL46" i="230" s="1"/>
  <c r="BK49" i="230"/>
  <c r="BK46" i="230" s="1"/>
  <c r="BL43" i="230"/>
  <c r="BK43" i="230"/>
  <c r="BL40" i="230"/>
  <c r="BK40" i="230"/>
  <c r="BL34" i="230"/>
  <c r="BK34" i="230"/>
  <c r="BL28" i="230"/>
  <c r="BK28" i="230"/>
  <c r="BL23" i="230"/>
  <c r="BK23" i="230"/>
  <c r="BL18" i="230"/>
  <c r="BK18" i="230"/>
  <c r="BL9" i="230"/>
  <c r="BK9" i="230"/>
  <c r="BI64" i="230"/>
  <c r="CM64" i="230" s="1"/>
  <c r="BH64" i="230"/>
  <c r="CL64" i="230" s="1"/>
  <c r="BG64" i="230"/>
  <c r="CK64" i="230" s="1"/>
  <c r="BI75" i="230"/>
  <c r="BH75" i="230"/>
  <c r="BI72" i="230"/>
  <c r="CM72" i="230" s="1"/>
  <c r="BH72" i="230"/>
  <c r="CL72" i="230" s="1"/>
  <c r="BI63" i="230"/>
  <c r="BH62" i="230"/>
  <c r="BI53" i="230"/>
  <c r="BH53" i="230"/>
  <c r="BI49" i="230"/>
  <c r="BI46" i="230" s="1"/>
  <c r="BH49" i="230"/>
  <c r="BH46" i="230" s="1"/>
  <c r="BI43" i="230"/>
  <c r="BH43" i="230"/>
  <c r="BI40" i="230"/>
  <c r="BH40" i="230"/>
  <c r="BI34" i="230"/>
  <c r="BH34" i="230"/>
  <c r="BI28" i="230"/>
  <c r="BH28" i="230"/>
  <c r="BI23" i="230"/>
  <c r="BH23" i="230"/>
  <c r="BI18" i="230"/>
  <c r="BH18" i="230"/>
  <c r="BI9" i="230"/>
  <c r="BH9" i="230"/>
  <c r="AZ64" i="230"/>
  <c r="AY64" i="230"/>
  <c r="AY59" i="230" s="1"/>
  <c r="AX64" i="230"/>
  <c r="BF75" i="230"/>
  <c r="BF66" i="230"/>
  <c r="BF64" i="230"/>
  <c r="BF59" i="230" s="1"/>
  <c r="BF12" i="230" s="1"/>
  <c r="BF63" i="230"/>
  <c r="BF53" i="230"/>
  <c r="BF43" i="230"/>
  <c r="BF40" i="230"/>
  <c r="BF34" i="230"/>
  <c r="BF28" i="230"/>
  <c r="BF23" i="230"/>
  <c r="BF18" i="230"/>
  <c r="BF9" i="230"/>
  <c r="BC75" i="230"/>
  <c r="BC66" i="230"/>
  <c r="BC64" i="230"/>
  <c r="BC63" i="230"/>
  <c r="BC59" i="230"/>
  <c r="BC53" i="230"/>
  <c r="BC46" i="230"/>
  <c r="BC43" i="230"/>
  <c r="BC40" i="230"/>
  <c r="BC34" i="230"/>
  <c r="BC28" i="230"/>
  <c r="BC23" i="230"/>
  <c r="BC18" i="230"/>
  <c r="BC9" i="230"/>
  <c r="AZ75" i="230"/>
  <c r="AZ72" i="230"/>
  <c r="AZ69" i="230"/>
  <c r="AZ66" i="230" s="1"/>
  <c r="AZ63" i="230"/>
  <c r="AZ53" i="230"/>
  <c r="AZ46" i="230"/>
  <c r="AZ43" i="230"/>
  <c r="AZ40" i="230"/>
  <c r="AZ34" i="230"/>
  <c r="AZ28" i="230"/>
  <c r="AZ23" i="230"/>
  <c r="AZ18" i="230"/>
  <c r="BE75" i="230"/>
  <c r="BE66" i="230"/>
  <c r="BE64" i="230"/>
  <c r="BE62" i="230"/>
  <c r="BE59" i="230" s="1"/>
  <c r="BE12" i="230" s="1"/>
  <c r="BE53" i="230"/>
  <c r="BE43" i="230"/>
  <c r="BE40" i="230"/>
  <c r="BE34" i="230"/>
  <c r="BE28" i="230"/>
  <c r="BE23" i="230"/>
  <c r="BE18" i="230"/>
  <c r="BB75" i="230"/>
  <c r="BB66" i="230"/>
  <c r="BB64" i="230"/>
  <c r="BB62" i="230"/>
  <c r="BB59" i="230" s="1"/>
  <c r="BB53" i="230"/>
  <c r="BB46" i="230"/>
  <c r="BB43" i="230"/>
  <c r="BB40" i="230"/>
  <c r="BB34" i="230"/>
  <c r="BB28" i="230"/>
  <c r="BB23" i="230"/>
  <c r="BB18" i="230"/>
  <c r="BB9" i="230"/>
  <c r="AY75" i="230"/>
  <c r="AY72" i="230"/>
  <c r="AY69" i="230"/>
  <c r="AY62" i="230"/>
  <c r="AY53" i="230"/>
  <c r="AY46" i="230"/>
  <c r="AY43" i="230"/>
  <c r="AY40" i="230"/>
  <c r="AY34" i="230"/>
  <c r="AY28" i="230"/>
  <c r="AY23" i="230"/>
  <c r="AY18" i="230"/>
  <c r="AY9" i="230"/>
  <c r="BD75" i="230"/>
  <c r="BD66" i="230"/>
  <c r="BD64" i="230"/>
  <c r="BD61" i="230"/>
  <c r="BD59" i="230" s="1"/>
  <c r="BD53" i="230"/>
  <c r="BD43" i="230"/>
  <c r="BD40" i="230"/>
  <c r="BD34" i="230"/>
  <c r="BD28" i="230"/>
  <c r="BD23" i="230"/>
  <c r="BD18" i="230"/>
  <c r="BD9" i="230"/>
  <c r="BF48" i="230" l="1"/>
  <c r="CP11" i="230"/>
  <c r="AZ59" i="230"/>
  <c r="AZ11" i="230" s="1"/>
  <c r="CL49" i="230"/>
  <c r="BE49" i="230" s="1"/>
  <c r="L26" i="231"/>
  <c r="L27" i="231" s="1"/>
  <c r="O26" i="231"/>
  <c r="O27" i="231" s="1"/>
  <c r="U26" i="231"/>
  <c r="U27" i="231" s="1"/>
  <c r="CJ46" i="230"/>
  <c r="CM49" i="230"/>
  <c r="BF49" i="230" s="1"/>
  <c r="AY11" i="230"/>
  <c r="AY66" i="230"/>
  <c r="BQ59" i="230"/>
  <c r="BQ12" i="230" s="1"/>
  <c r="BQ13" i="230" s="1"/>
  <c r="CC59" i="230"/>
  <c r="CC12" i="230" s="1"/>
  <c r="CC13" i="230" s="1"/>
  <c r="CL47" i="230"/>
  <c r="F26" i="231"/>
  <c r="F27" i="231" s="1"/>
  <c r="R26" i="231"/>
  <c r="R27" i="231" s="1"/>
  <c r="AH18" i="232"/>
  <c r="AH33" i="232"/>
  <c r="AX31" i="233"/>
  <c r="AX35" i="233"/>
  <c r="AX22" i="233"/>
  <c r="AX24" i="233"/>
  <c r="AR24" i="233"/>
  <c r="AT24" i="233" s="1"/>
  <c r="AU24" i="233" s="1"/>
  <c r="AX26" i="233"/>
  <c r="AR27" i="233"/>
  <c r="AT27" i="233" s="1"/>
  <c r="AU27" i="233" s="1"/>
  <c r="AB30" i="233"/>
  <c r="AC30" i="233" s="1"/>
  <c r="AH30" i="233" s="1"/>
  <c r="AP30" i="233"/>
  <c r="AR17" i="233"/>
  <c r="AT17" i="233" s="1"/>
  <c r="AU17" i="233" s="1"/>
  <c r="AR22" i="233"/>
  <c r="AT22" i="233" s="1"/>
  <c r="AU22" i="233" s="1"/>
  <c r="AR31" i="233"/>
  <c r="AT31" i="233" s="1"/>
  <c r="AR33" i="233"/>
  <c r="AT33" i="233" s="1"/>
  <c r="AU33" i="233" s="1"/>
  <c r="AB34" i="233"/>
  <c r="AC34" i="233" s="1"/>
  <c r="AH34" i="233" s="1"/>
  <c r="AP34" i="233"/>
  <c r="AR15" i="233"/>
  <c r="AT15" i="233" s="1"/>
  <c r="AU15" i="233" s="1"/>
  <c r="AR19" i="233"/>
  <c r="AT19" i="233" s="1"/>
  <c r="AU19" i="233" s="1"/>
  <c r="AB33" i="233"/>
  <c r="AC33" i="233" s="1"/>
  <c r="AH33" i="233" s="1"/>
  <c r="AR35" i="233"/>
  <c r="AT35" i="233" s="1"/>
  <c r="AR13" i="233"/>
  <c r="AT13" i="233" s="1"/>
  <c r="AU13" i="233" s="1"/>
  <c r="AX19" i="233"/>
  <c r="AR26" i="233"/>
  <c r="AT26" i="233" s="1"/>
  <c r="AU26" i="233" s="1"/>
  <c r="AR36" i="233"/>
  <c r="AT36" i="233" s="1"/>
  <c r="AH32" i="232"/>
  <c r="F32" i="232" s="1"/>
  <c r="AT33" i="232"/>
  <c r="AQ27" i="232"/>
  <c r="AS27" i="232" s="1"/>
  <c r="AH25" i="232"/>
  <c r="E25" i="232" s="1"/>
  <c r="AH14" i="232"/>
  <c r="E14" i="232" s="1"/>
  <c r="AT22" i="232"/>
  <c r="AH17" i="232"/>
  <c r="F17" i="232" s="1"/>
  <c r="AG18" i="232"/>
  <c r="AT15" i="232"/>
  <c r="AW21" i="233"/>
  <c r="AB13" i="233"/>
  <c r="AC13" i="233" s="1"/>
  <c r="AH13" i="233" s="1"/>
  <c r="AW13" i="233"/>
  <c r="AR14" i="233"/>
  <c r="AT14" i="233" s="1"/>
  <c r="AU14" i="233" s="1"/>
  <c r="AX14" i="233"/>
  <c r="AB17" i="233"/>
  <c r="AC17" i="233" s="1"/>
  <c r="AH17" i="233" s="1"/>
  <c r="AW17" i="233"/>
  <c r="AR18" i="233"/>
  <c r="AT18" i="233" s="1"/>
  <c r="AU18" i="233" s="1"/>
  <c r="AX18" i="233"/>
  <c r="AR21" i="233"/>
  <c r="AT21" i="233" s="1"/>
  <c r="AU21" i="233" s="1"/>
  <c r="AX21" i="233"/>
  <c r="AB24" i="233"/>
  <c r="AC24" i="233" s="1"/>
  <c r="AH24" i="233" s="1"/>
  <c r="AW24" i="233"/>
  <c r="AR25" i="233"/>
  <c r="AT25" i="233" s="1"/>
  <c r="AU25" i="233" s="1"/>
  <c r="AX25" i="233"/>
  <c r="AB31" i="233"/>
  <c r="AC31" i="233" s="1"/>
  <c r="AH31" i="233" s="1"/>
  <c r="AW31" i="233"/>
  <c r="AR32" i="233"/>
  <c r="AT32" i="233" s="1"/>
  <c r="AU32" i="233" s="1"/>
  <c r="AX32" i="233"/>
  <c r="AB35" i="233"/>
  <c r="AC35" i="233" s="1"/>
  <c r="AH35" i="233" s="1"/>
  <c r="AW35" i="233"/>
  <c r="AB36" i="233"/>
  <c r="AC36" i="233" s="1"/>
  <c r="AH36" i="233" s="1"/>
  <c r="AW36" i="233"/>
  <c r="AR37" i="233"/>
  <c r="AT37" i="233" s="1"/>
  <c r="AU37" i="233" s="1"/>
  <c r="AX37" i="233"/>
  <c r="AB14" i="233"/>
  <c r="AC14" i="233" s="1"/>
  <c r="AH14" i="233" s="1"/>
  <c r="AP14" i="233"/>
  <c r="AB18" i="233"/>
  <c r="AH18" i="233" s="1"/>
  <c r="AB21" i="233"/>
  <c r="AC21" i="233" s="1"/>
  <c r="AH21" i="233" s="1"/>
  <c r="AB25" i="233"/>
  <c r="AC25" i="233" s="1"/>
  <c r="AH25" i="233" s="1"/>
  <c r="AU31" i="233"/>
  <c r="AB32" i="233"/>
  <c r="AC32" i="233" s="1"/>
  <c r="AH32" i="233" s="1"/>
  <c r="AP32" i="233"/>
  <c r="AU35" i="233"/>
  <c r="AU36" i="233"/>
  <c r="AB37" i="233"/>
  <c r="AC37" i="233" s="1"/>
  <c r="AH37" i="233" s="1"/>
  <c r="AP37" i="233"/>
  <c r="AR12" i="233"/>
  <c r="AT12" i="233" s="1"/>
  <c r="AU12" i="233" s="1"/>
  <c r="AX12" i="233"/>
  <c r="AB15" i="233"/>
  <c r="AC15" i="233" s="1"/>
  <c r="AH15" i="233" s="1"/>
  <c r="AW15" i="233"/>
  <c r="AR16" i="233"/>
  <c r="AT16" i="233" s="1"/>
  <c r="AU16" i="233" s="1"/>
  <c r="AX16" i="233"/>
  <c r="AB19" i="233"/>
  <c r="AH19" i="233" s="1"/>
  <c r="AW19" i="233"/>
  <c r="AB22" i="233"/>
  <c r="AC22" i="233" s="1"/>
  <c r="AH22" i="233" s="1"/>
  <c r="AW22" i="233"/>
  <c r="AR23" i="233"/>
  <c r="AT23" i="233" s="1"/>
  <c r="AU23" i="233" s="1"/>
  <c r="AX23" i="233"/>
  <c r="AB26" i="233"/>
  <c r="AC26" i="233" s="1"/>
  <c r="AH26" i="233" s="1"/>
  <c r="AW26" i="233"/>
  <c r="AB27" i="233"/>
  <c r="AC27" i="233" s="1"/>
  <c r="AH27" i="233" s="1"/>
  <c r="AW27" i="233"/>
  <c r="AR28" i="233"/>
  <c r="AT28" i="233" s="1"/>
  <c r="AU28" i="233" s="1"/>
  <c r="AX28" i="233"/>
  <c r="AR30" i="233"/>
  <c r="AT30" i="233" s="1"/>
  <c r="AU30" i="233" s="1"/>
  <c r="AW33" i="233"/>
  <c r="AR34" i="233"/>
  <c r="AT34" i="233" s="1"/>
  <c r="AU34" i="233" s="1"/>
  <c r="AB12" i="233"/>
  <c r="AC12" i="233" s="1"/>
  <c r="AH12" i="233" s="1"/>
  <c r="AB16" i="233"/>
  <c r="AC16" i="233" s="1"/>
  <c r="AH16" i="233" s="1"/>
  <c r="AB23" i="233"/>
  <c r="AC23" i="233" s="1"/>
  <c r="AH23" i="233" s="1"/>
  <c r="AB28" i="233"/>
  <c r="AC28" i="233" s="1"/>
  <c r="AH28" i="233" s="1"/>
  <c r="E18" i="232"/>
  <c r="AT27" i="232"/>
  <c r="AH37" i="232"/>
  <c r="F37" i="232" s="1"/>
  <c r="AV21" i="232"/>
  <c r="AT19" i="232"/>
  <c r="AH21" i="232"/>
  <c r="E21" i="232" s="1"/>
  <c r="AW24" i="232"/>
  <c r="AT26" i="232"/>
  <c r="E37" i="232"/>
  <c r="G37" i="232" s="1"/>
  <c r="D37" i="232" s="1"/>
  <c r="AA13" i="232"/>
  <c r="AB13" i="232" s="1"/>
  <c r="AG13" i="232" s="1"/>
  <c r="AO13" i="232"/>
  <c r="AQ18" i="232"/>
  <c r="AS18" i="232" s="1"/>
  <c r="AT18" i="232" s="1"/>
  <c r="AQ21" i="232"/>
  <c r="AS21" i="232" s="1"/>
  <c r="AT21" i="232" s="1"/>
  <c r="AA24" i="232"/>
  <c r="AB24" i="232" s="1"/>
  <c r="AG24" i="232" s="1"/>
  <c r="AO24" i="232"/>
  <c r="AQ25" i="232"/>
  <c r="AS25" i="232" s="1"/>
  <c r="AT25" i="232" s="1"/>
  <c r="AA31" i="232"/>
  <c r="AB31" i="232" s="1"/>
  <c r="AG31" i="232" s="1"/>
  <c r="AO31" i="232"/>
  <c r="AQ32" i="232"/>
  <c r="AS32" i="232" s="1"/>
  <c r="AT32" i="232" s="1"/>
  <c r="E33" i="232"/>
  <c r="AA35" i="232"/>
  <c r="AB35" i="232" s="1"/>
  <c r="AG35" i="232" s="1"/>
  <c r="AO35" i="232"/>
  <c r="AA36" i="232"/>
  <c r="AB36" i="232" s="1"/>
  <c r="AG36" i="232" s="1"/>
  <c r="AO36" i="232"/>
  <c r="AQ37" i="232"/>
  <c r="AS37" i="232" s="1"/>
  <c r="AT37" i="232" s="1"/>
  <c r="AV37" i="232"/>
  <c r="AQ12" i="232"/>
  <c r="AS12" i="232" s="1"/>
  <c r="AT12" i="232" s="1"/>
  <c r="AW12" i="232"/>
  <c r="AT14" i="232"/>
  <c r="AA15" i="232"/>
  <c r="AB15" i="232" s="1"/>
  <c r="AG15" i="232" s="1"/>
  <c r="AV15" i="232"/>
  <c r="AQ16" i="232"/>
  <c r="AS16" i="232" s="1"/>
  <c r="AT16" i="232" s="1"/>
  <c r="AW16" i="232"/>
  <c r="F18" i="232"/>
  <c r="AA19" i="232"/>
  <c r="AG19" i="232" s="1"/>
  <c r="AV19" i="232"/>
  <c r="AA22" i="232"/>
  <c r="AB22" i="232" s="1"/>
  <c r="AG22" i="232" s="1"/>
  <c r="AV22" i="232"/>
  <c r="AQ23" i="232"/>
  <c r="AS23" i="232" s="1"/>
  <c r="AT23" i="232" s="1"/>
  <c r="AW23" i="232"/>
  <c r="AA26" i="232"/>
  <c r="AB26" i="232" s="1"/>
  <c r="AG26" i="232" s="1"/>
  <c r="AV26" i="232"/>
  <c r="AA27" i="232"/>
  <c r="AB27" i="232" s="1"/>
  <c r="AG27" i="232" s="1"/>
  <c r="AV27" i="232"/>
  <c r="AQ28" i="232"/>
  <c r="AS28" i="232" s="1"/>
  <c r="AT28" i="232" s="1"/>
  <c r="AW28" i="232"/>
  <c r="AQ30" i="232"/>
  <c r="AS30" i="232" s="1"/>
  <c r="AT30" i="232" s="1"/>
  <c r="AW30" i="232"/>
  <c r="AV33" i="232"/>
  <c r="AQ34" i="232"/>
  <c r="AS34" i="232" s="1"/>
  <c r="AT34" i="232" s="1"/>
  <c r="AW34" i="232"/>
  <c r="AA12" i="232"/>
  <c r="AB12" i="232" s="1"/>
  <c r="AG12" i="232" s="1"/>
  <c r="AQ13" i="232"/>
  <c r="AS13" i="232" s="1"/>
  <c r="AT13" i="232" s="1"/>
  <c r="AA16" i="232"/>
  <c r="AB16" i="232" s="1"/>
  <c r="AG16" i="232" s="1"/>
  <c r="AQ17" i="232"/>
  <c r="AS17" i="232" s="1"/>
  <c r="AT17" i="232" s="1"/>
  <c r="AA23" i="232"/>
  <c r="AB23" i="232" s="1"/>
  <c r="AG23" i="232" s="1"/>
  <c r="AQ24" i="232"/>
  <c r="AS24" i="232" s="1"/>
  <c r="AT24" i="232" s="1"/>
  <c r="AA28" i="232"/>
  <c r="AB28" i="232" s="1"/>
  <c r="AG28" i="232" s="1"/>
  <c r="AA30" i="232"/>
  <c r="AB30" i="232" s="1"/>
  <c r="AG30" i="232" s="1"/>
  <c r="AQ31" i="232"/>
  <c r="AS31" i="232" s="1"/>
  <c r="AT31" i="232" s="1"/>
  <c r="F33" i="232"/>
  <c r="AA34" i="232"/>
  <c r="AB34" i="232" s="1"/>
  <c r="AG34" i="232" s="1"/>
  <c r="AQ35" i="232"/>
  <c r="AS35" i="232" s="1"/>
  <c r="AT35" i="232" s="1"/>
  <c r="AQ36" i="232"/>
  <c r="AS36" i="232" s="1"/>
  <c r="AT36" i="232" s="1"/>
  <c r="CS8" i="230"/>
  <c r="CR11" i="230"/>
  <c r="CR8" i="230"/>
  <c r="CP8" i="230"/>
  <c r="CP7" i="230" s="1"/>
  <c r="CP12" i="230"/>
  <c r="CP13" i="230" s="1"/>
  <c r="CO12" i="230"/>
  <c r="CO13" i="230" s="1"/>
  <c r="CO8" i="230"/>
  <c r="CO11" i="230"/>
  <c r="CM63" i="230"/>
  <c r="CM59" i="230" s="1"/>
  <c r="CM12" i="230" s="1"/>
  <c r="CM13" i="230" s="1"/>
  <c r="CL62" i="230"/>
  <c r="CL59" i="230" s="1"/>
  <c r="CL12" i="230" s="1"/>
  <c r="CL13" i="230" s="1"/>
  <c r="CG59" i="230"/>
  <c r="CG11" i="230" s="1"/>
  <c r="BI59" i="230"/>
  <c r="BI12" i="230" s="1"/>
  <c r="BI13" i="230" s="1"/>
  <c r="BO59" i="230"/>
  <c r="BO12" i="230" s="1"/>
  <c r="BO13" i="230" s="1"/>
  <c r="CA59" i="230"/>
  <c r="CA12" i="230" s="1"/>
  <c r="CA13" i="230" s="1"/>
  <c r="BH59" i="230"/>
  <c r="BH12" i="230" s="1"/>
  <c r="BH13" i="230" s="1"/>
  <c r="BT59" i="230"/>
  <c r="BT12" i="230" s="1"/>
  <c r="BT13" i="230" s="1"/>
  <c r="BL59" i="230"/>
  <c r="BL12" i="230" s="1"/>
  <c r="BL13" i="230" s="1"/>
  <c r="BR59" i="230"/>
  <c r="BR12" i="230" s="1"/>
  <c r="BR13" i="230" s="1"/>
  <c r="BX59" i="230"/>
  <c r="BX12" i="230" s="1"/>
  <c r="BX13" i="230" s="1"/>
  <c r="CD59" i="230"/>
  <c r="CD12" i="230" s="1"/>
  <c r="CD13" i="230" s="1"/>
  <c r="CJ59" i="230"/>
  <c r="CJ12" i="230" s="1"/>
  <c r="CJ13" i="230" s="1"/>
  <c r="CI11" i="230"/>
  <c r="CG12" i="230"/>
  <c r="CG13" i="230" s="1"/>
  <c r="CF11" i="230"/>
  <c r="CD11" i="230"/>
  <c r="CC11" i="230"/>
  <c r="BZ11" i="230"/>
  <c r="BW11" i="230"/>
  <c r="BU11" i="230"/>
  <c r="BT11" i="230"/>
  <c r="BQ11" i="230"/>
  <c r="BN11" i="230"/>
  <c r="BK11" i="230"/>
  <c r="BH11" i="230"/>
  <c r="BF46" i="230"/>
  <c r="BF11" i="230" s="1"/>
  <c r="AZ8" i="230"/>
  <c r="AZ10" i="230" s="1"/>
  <c r="AZ12" i="230"/>
  <c r="AZ13" i="230" s="1"/>
  <c r="AY8" i="230"/>
  <c r="AY10" i="230" s="1"/>
  <c r="AY12" i="230"/>
  <c r="AY13" i="230" s="1"/>
  <c r="BC12" i="230"/>
  <c r="BC8" i="230"/>
  <c r="BC11" i="230"/>
  <c r="BB12" i="230"/>
  <c r="BB8" i="230"/>
  <c r="BB11" i="230"/>
  <c r="BD12" i="230"/>
  <c r="BE47" i="230" l="1"/>
  <c r="BE46" i="230" s="1"/>
  <c r="BE8" i="230" s="1"/>
  <c r="BE7" i="230" s="1"/>
  <c r="CL46" i="230"/>
  <c r="BI11" i="230"/>
  <c r="CM46" i="230"/>
  <c r="F14" i="232"/>
  <c r="C14" i="232" s="1"/>
  <c r="F25" i="232"/>
  <c r="G25" i="232" s="1"/>
  <c r="D25" i="232" s="1"/>
  <c r="C33" i="232"/>
  <c r="C32" i="232"/>
  <c r="B32" i="232" s="1"/>
  <c r="G127" i="191" s="1"/>
  <c r="E32" i="232"/>
  <c r="G32" i="232" s="1"/>
  <c r="D32" i="232" s="1"/>
  <c r="AI33" i="233"/>
  <c r="F33" i="233" s="1"/>
  <c r="C33" i="233" s="1"/>
  <c r="AI32" i="233"/>
  <c r="F32" i="233" s="1"/>
  <c r="C32" i="233" s="1"/>
  <c r="AI31" i="233"/>
  <c r="F31" i="233" s="1"/>
  <c r="C31" i="233" s="1"/>
  <c r="AI24" i="233"/>
  <c r="F24" i="233" s="1"/>
  <c r="C24" i="233" s="1"/>
  <c r="AI30" i="233"/>
  <c r="F30" i="233" s="1"/>
  <c r="C30" i="233" s="1"/>
  <c r="AI34" i="233"/>
  <c r="G33" i="232"/>
  <c r="D33" i="232" s="1"/>
  <c r="AH35" i="232"/>
  <c r="F35" i="232" s="1"/>
  <c r="C35" i="232" s="1"/>
  <c r="F21" i="232"/>
  <c r="G21" i="232" s="1"/>
  <c r="D21" i="232" s="1"/>
  <c r="AH13" i="232"/>
  <c r="F13" i="232" s="1"/>
  <c r="C13" i="232" s="1"/>
  <c r="E17" i="232"/>
  <c r="G17" i="232" s="1"/>
  <c r="D17" i="232" s="1"/>
  <c r="AH15" i="232"/>
  <c r="F15" i="232" s="1"/>
  <c r="C15" i="232" s="1"/>
  <c r="AI26" i="233"/>
  <c r="F26" i="233" s="1"/>
  <c r="C26" i="233" s="1"/>
  <c r="AI12" i="233"/>
  <c r="F12" i="233" s="1"/>
  <c r="C12" i="233" s="1"/>
  <c r="AI17" i="233"/>
  <c r="F17" i="233" s="1"/>
  <c r="C17" i="233" s="1"/>
  <c r="AI16" i="233"/>
  <c r="F16" i="233" s="1"/>
  <c r="C16" i="233" s="1"/>
  <c r="AI25" i="233"/>
  <c r="F25" i="233" s="1"/>
  <c r="C25" i="233" s="1"/>
  <c r="AI23" i="233"/>
  <c r="F23" i="233" s="1"/>
  <c r="C23" i="233" s="1"/>
  <c r="AI18" i="233"/>
  <c r="F18" i="233" s="1"/>
  <c r="C18" i="233" s="1"/>
  <c r="AI37" i="233"/>
  <c r="F37" i="233" s="1"/>
  <c r="C37" i="233" s="1"/>
  <c r="AI21" i="233"/>
  <c r="F21" i="233" s="1"/>
  <c r="C21" i="233" s="1"/>
  <c r="E32" i="233"/>
  <c r="G32" i="233" s="1"/>
  <c r="D32" i="233" s="1"/>
  <c r="B32" i="233" s="1"/>
  <c r="H127" i="191" s="1"/>
  <c r="AI27" i="233"/>
  <c r="F27" i="233" s="1"/>
  <c r="C27" i="233" s="1"/>
  <c r="AI14" i="233"/>
  <c r="F14" i="233" s="1"/>
  <c r="C14" i="233" s="1"/>
  <c r="AI22" i="233"/>
  <c r="AI36" i="233"/>
  <c r="F36" i="233" s="1"/>
  <c r="C36" i="233" s="1"/>
  <c r="AI35" i="233"/>
  <c r="F35" i="233" s="1"/>
  <c r="C35" i="233" s="1"/>
  <c r="AI15" i="233"/>
  <c r="F15" i="233" s="1"/>
  <c r="C15" i="233" s="1"/>
  <c r="AI28" i="233"/>
  <c r="F28" i="233" s="1"/>
  <c r="C28" i="233" s="1"/>
  <c r="AI19" i="233"/>
  <c r="F19" i="233" s="1"/>
  <c r="C19" i="233" s="1"/>
  <c r="AI13" i="233"/>
  <c r="AH30" i="232"/>
  <c r="F30" i="232" s="1"/>
  <c r="C30" i="232" s="1"/>
  <c r="G14" i="232"/>
  <c r="D14" i="232" s="1"/>
  <c r="B14" i="232" s="1"/>
  <c r="G109" i="191" s="1"/>
  <c r="AH19" i="232"/>
  <c r="F19" i="232" s="1"/>
  <c r="C19" i="232" s="1"/>
  <c r="C18" i="232"/>
  <c r="AH16" i="232"/>
  <c r="F16" i="232" s="1"/>
  <c r="C16" i="232" s="1"/>
  <c r="AH22" i="232"/>
  <c r="F22" i="232" s="1"/>
  <c r="C22" i="232" s="1"/>
  <c r="AH24" i="232"/>
  <c r="F24" i="232" s="1"/>
  <c r="C24" i="232" s="1"/>
  <c r="AH28" i="232"/>
  <c r="F28" i="232" s="1"/>
  <c r="C28" i="232" s="1"/>
  <c r="AH23" i="232"/>
  <c r="F23" i="232" s="1"/>
  <c r="C23" i="232" s="1"/>
  <c r="AH34" i="232"/>
  <c r="F34" i="232" s="1"/>
  <c r="C34" i="232" s="1"/>
  <c r="C37" i="232"/>
  <c r="B37" i="232" s="1"/>
  <c r="G132" i="191" s="1"/>
  <c r="C25" i="232"/>
  <c r="C17" i="232"/>
  <c r="AH36" i="232"/>
  <c r="AH27" i="232"/>
  <c r="F27" i="232" s="1"/>
  <c r="C27" i="232" s="1"/>
  <c r="AH12" i="232"/>
  <c r="F12" i="232" s="1"/>
  <c r="C12" i="232" s="1"/>
  <c r="AH31" i="232"/>
  <c r="F31" i="232" s="1"/>
  <c r="C31" i="232" s="1"/>
  <c r="AH26" i="232"/>
  <c r="F26" i="232" s="1"/>
  <c r="C26" i="232" s="1"/>
  <c r="G18" i="232"/>
  <c r="D18" i="232" s="1"/>
  <c r="CS7" i="230"/>
  <c r="CS10" i="230"/>
  <c r="CR7" i="230"/>
  <c r="CR10" i="230"/>
  <c r="CP10" i="230"/>
  <c r="CO10" i="230"/>
  <c r="CO7" i="230"/>
  <c r="CM11" i="230"/>
  <c r="CJ11" i="230"/>
  <c r="BL11" i="230"/>
  <c r="BO11" i="230"/>
  <c r="BR11" i="230"/>
  <c r="BX11" i="230"/>
  <c r="CA11" i="230"/>
  <c r="BE11" i="230"/>
  <c r="BE10" i="230" s="1"/>
  <c r="BF8" i="230"/>
  <c r="BF7" i="230" s="1"/>
  <c r="AZ7" i="230"/>
  <c r="AY7" i="230"/>
  <c r="BC10" i="230"/>
  <c r="BC7" i="230"/>
  <c r="BB10" i="230"/>
  <c r="BB7" i="230"/>
  <c r="CL11" i="230" l="1"/>
  <c r="C21" i="232"/>
  <c r="B33" i="232"/>
  <c r="G128" i="191" s="1"/>
  <c r="B25" i="232"/>
  <c r="G120" i="191" s="1"/>
  <c r="E33" i="233"/>
  <c r="G33" i="233" s="1"/>
  <c r="D33" i="233" s="1"/>
  <c r="B33" i="233" s="1"/>
  <c r="H128" i="191" s="1"/>
  <c r="E16" i="233"/>
  <c r="G16" i="233" s="1"/>
  <c r="D16" i="233" s="1"/>
  <c r="B16" i="233" s="1"/>
  <c r="H111" i="191" s="1"/>
  <c r="E25" i="233"/>
  <c r="G25" i="233" s="1"/>
  <c r="D25" i="233" s="1"/>
  <c r="B25" i="233" s="1"/>
  <c r="H120" i="191" s="1"/>
  <c r="E14" i="233"/>
  <c r="G14" i="233" s="1"/>
  <c r="D14" i="233" s="1"/>
  <c r="B14" i="233" s="1"/>
  <c r="H109" i="191" s="1"/>
  <c r="E18" i="233"/>
  <c r="G18" i="233" s="1"/>
  <c r="D18" i="233" s="1"/>
  <c r="B18" i="233" s="1"/>
  <c r="H113" i="191" s="1"/>
  <c r="E12" i="233"/>
  <c r="G12" i="233" s="1"/>
  <c r="D12" i="233" s="1"/>
  <c r="B12" i="233" s="1"/>
  <c r="H107" i="191" s="1"/>
  <c r="E30" i="233"/>
  <c r="G30" i="233" s="1"/>
  <c r="D30" i="233" s="1"/>
  <c r="B30" i="233" s="1"/>
  <c r="H125" i="191" s="1"/>
  <c r="E34" i="233"/>
  <c r="F34" i="233"/>
  <c r="C34" i="233" s="1"/>
  <c r="E31" i="233"/>
  <c r="G31" i="233" s="1"/>
  <c r="D31" i="233" s="1"/>
  <c r="B31" i="233" s="1"/>
  <c r="H126" i="191" s="1"/>
  <c r="E37" i="233"/>
  <c r="G37" i="233" s="1"/>
  <c r="D37" i="233" s="1"/>
  <c r="E24" i="233"/>
  <c r="G24" i="233" s="1"/>
  <c r="D24" i="233" s="1"/>
  <c r="B24" i="233" s="1"/>
  <c r="H119" i="191" s="1"/>
  <c r="B17" i="232"/>
  <c r="G112" i="191" s="1"/>
  <c r="E35" i="232"/>
  <c r="G35" i="232" s="1"/>
  <c r="D35" i="232" s="1"/>
  <c r="B35" i="232" s="1"/>
  <c r="G130" i="191" s="1"/>
  <c r="B21" i="232"/>
  <c r="G116" i="191" s="1"/>
  <c r="E15" i="232"/>
  <c r="G15" i="232" s="1"/>
  <c r="D15" i="232" s="1"/>
  <c r="B15" i="232" s="1"/>
  <c r="G110" i="191" s="1"/>
  <c r="E13" i="232"/>
  <c r="G13" i="232" s="1"/>
  <c r="D13" i="232" s="1"/>
  <c r="B13" i="232" s="1"/>
  <c r="G108" i="191" s="1"/>
  <c r="E13" i="233"/>
  <c r="F13" i="233"/>
  <c r="C13" i="233" s="1"/>
  <c r="E27" i="233"/>
  <c r="G27" i="233" s="1"/>
  <c r="D27" i="233" s="1"/>
  <c r="B27" i="233" s="1"/>
  <c r="H122" i="191" s="1"/>
  <c r="E35" i="233"/>
  <c r="G35" i="233" s="1"/>
  <c r="D35" i="233" s="1"/>
  <c r="B35" i="233" s="1"/>
  <c r="H130" i="191" s="1"/>
  <c r="E36" i="233"/>
  <c r="G36" i="233" s="1"/>
  <c r="D36" i="233" s="1"/>
  <c r="B36" i="233" s="1"/>
  <c r="H131" i="191" s="1"/>
  <c r="E17" i="233"/>
  <c r="G17" i="233" s="1"/>
  <c r="D17" i="233" s="1"/>
  <c r="B17" i="233" s="1"/>
  <c r="H112" i="191" s="1"/>
  <c r="E22" i="233"/>
  <c r="F22" i="233"/>
  <c r="C22" i="233" s="1"/>
  <c r="E26" i="233"/>
  <c r="G26" i="233" s="1"/>
  <c r="D26" i="233" s="1"/>
  <c r="B26" i="233" s="1"/>
  <c r="H121" i="191" s="1"/>
  <c r="E19" i="233"/>
  <c r="G19" i="233" s="1"/>
  <c r="D19" i="233" s="1"/>
  <c r="B19" i="233" s="1"/>
  <c r="H114" i="191" s="1"/>
  <c r="E21" i="233"/>
  <c r="G21" i="233" s="1"/>
  <c r="D21" i="233" s="1"/>
  <c r="B21" i="233" s="1"/>
  <c r="H116" i="191" s="1"/>
  <c r="B37" i="233"/>
  <c r="H132" i="191" s="1"/>
  <c r="E28" i="233"/>
  <c r="G28" i="233" s="1"/>
  <c r="D28" i="233" s="1"/>
  <c r="B28" i="233" s="1"/>
  <c r="H123" i="191" s="1"/>
  <c r="E23" i="233"/>
  <c r="G23" i="233" s="1"/>
  <c r="D23" i="233" s="1"/>
  <c r="B23" i="233" s="1"/>
  <c r="H118" i="191" s="1"/>
  <c r="E15" i="233"/>
  <c r="G15" i="233" s="1"/>
  <c r="D15" i="233" s="1"/>
  <c r="B15" i="233" s="1"/>
  <c r="H110" i="191" s="1"/>
  <c r="E28" i="232"/>
  <c r="G28" i="232" s="1"/>
  <c r="D28" i="232" s="1"/>
  <c r="E31" i="232"/>
  <c r="G31" i="232" s="1"/>
  <c r="D31" i="232" s="1"/>
  <c r="B31" i="232" s="1"/>
  <c r="G126" i="191" s="1"/>
  <c r="E27" i="232"/>
  <c r="G27" i="232" s="1"/>
  <c r="D27" i="232" s="1"/>
  <c r="B27" i="232" s="1"/>
  <c r="G122" i="191" s="1"/>
  <c r="E22" i="232"/>
  <c r="G22" i="232" s="1"/>
  <c r="D22" i="232" s="1"/>
  <c r="B22" i="232" s="1"/>
  <c r="G117" i="191" s="1"/>
  <c r="B28" i="232"/>
  <c r="G123" i="191" s="1"/>
  <c r="E30" i="232"/>
  <c r="G30" i="232" s="1"/>
  <c r="D30" i="232" s="1"/>
  <c r="B30" i="232" s="1"/>
  <c r="G125" i="191" s="1"/>
  <c r="E19" i="232"/>
  <c r="G19" i="232" s="1"/>
  <c r="D19" i="232" s="1"/>
  <c r="B19" i="232" s="1"/>
  <c r="G114" i="191" s="1"/>
  <c r="E12" i="232"/>
  <c r="G12" i="232" s="1"/>
  <c r="D12" i="232" s="1"/>
  <c r="B12" i="232" s="1"/>
  <c r="G107" i="191" s="1"/>
  <c r="E23" i="232"/>
  <c r="G23" i="232" s="1"/>
  <c r="D23" i="232" s="1"/>
  <c r="B23" i="232" s="1"/>
  <c r="G118" i="191" s="1"/>
  <c r="E26" i="232"/>
  <c r="G26" i="232" s="1"/>
  <c r="D26" i="232" s="1"/>
  <c r="B26" i="232" s="1"/>
  <c r="G121" i="191" s="1"/>
  <c r="F36" i="232"/>
  <c r="C36" i="232" s="1"/>
  <c r="E36" i="232"/>
  <c r="B18" i="232"/>
  <c r="G113" i="191" s="1"/>
  <c r="E24" i="232"/>
  <c r="G24" i="232" s="1"/>
  <c r="D24" i="232" s="1"/>
  <c r="B24" i="232" s="1"/>
  <c r="G119" i="191" s="1"/>
  <c r="E16" i="232"/>
  <c r="G16" i="232" s="1"/>
  <c r="D16" i="232" s="1"/>
  <c r="B16" i="232" s="1"/>
  <c r="G111" i="191" s="1"/>
  <c r="E34" i="232"/>
  <c r="G34" i="232" s="1"/>
  <c r="D34" i="232" s="1"/>
  <c r="B34" i="232" s="1"/>
  <c r="G129" i="191" s="1"/>
  <c r="BF10" i="230"/>
  <c r="G13" i="233" l="1"/>
  <c r="D13" i="233" s="1"/>
  <c r="G34" i="233"/>
  <c r="D34" i="233" s="1"/>
  <c r="B34" i="233" s="1"/>
  <c r="H129" i="191" s="1"/>
  <c r="G36" i="232"/>
  <c r="D36" i="232" s="1"/>
  <c r="B36" i="232" s="1"/>
  <c r="G131" i="191" s="1"/>
  <c r="B13" i="233"/>
  <c r="H108" i="191" s="1"/>
  <c r="G22" i="233"/>
  <c r="D22" i="233" s="1"/>
  <c r="B22" i="233" s="1"/>
  <c r="H117" i="191" s="1"/>
  <c r="S23" i="231"/>
  <c r="S22" i="231"/>
  <c r="S21" i="231"/>
  <c r="S7" i="231"/>
  <c r="S6" i="231"/>
  <c r="S26" i="231" s="1"/>
  <c r="Q23" i="231"/>
  <c r="Q22" i="231"/>
  <c r="Q21" i="231"/>
  <c r="Q12" i="231"/>
  <c r="Q7" i="231"/>
  <c r="Q6" i="231"/>
  <c r="T23" i="231"/>
  <c r="P23" i="231"/>
  <c r="T22" i="231"/>
  <c r="P22" i="231"/>
  <c r="T21" i="231"/>
  <c r="P21" i="231"/>
  <c r="T12" i="231"/>
  <c r="T7" i="231"/>
  <c r="P7" i="231"/>
  <c r="T6" i="231"/>
  <c r="T26" i="231" s="1"/>
  <c r="P6" i="231"/>
  <c r="N6" i="231"/>
  <c r="M6" i="231"/>
  <c r="N23" i="231"/>
  <c r="M23" i="231"/>
  <c r="N22" i="231"/>
  <c r="M22" i="231"/>
  <c r="N21" i="231"/>
  <c r="M21" i="231"/>
  <c r="N12" i="231"/>
  <c r="N7" i="231"/>
  <c r="M7" i="231"/>
  <c r="J23" i="231"/>
  <c r="J22" i="231"/>
  <c r="J21" i="231"/>
  <c r="J7" i="231"/>
  <c r="J26" i="231" s="1"/>
  <c r="H23" i="231"/>
  <c r="H22" i="231"/>
  <c r="H21" i="231"/>
  <c r="H12" i="231"/>
  <c r="H6" i="231"/>
  <c r="E23" i="231"/>
  <c r="E22" i="231"/>
  <c r="E21" i="231"/>
  <c r="E12" i="231"/>
  <c r="K23" i="231"/>
  <c r="G23" i="231"/>
  <c r="D23" i="231"/>
  <c r="K22" i="231"/>
  <c r="G22" i="231"/>
  <c r="D22" i="231"/>
  <c r="K21" i="231"/>
  <c r="G21" i="231"/>
  <c r="D21" i="231"/>
  <c r="K12" i="231"/>
  <c r="K7" i="231"/>
  <c r="K26" i="231" s="1"/>
  <c r="G6" i="231"/>
  <c r="C23" i="231"/>
  <c r="C22" i="231"/>
  <c r="C21" i="231"/>
  <c r="M26" i="231" l="1"/>
  <c r="S27" i="231"/>
  <c r="D26" i="231"/>
  <c r="D27" i="231" s="1"/>
  <c r="N26" i="231"/>
  <c r="Q26" i="231"/>
  <c r="Q27" i="231" s="1"/>
  <c r="G26" i="231"/>
  <c r="E26" i="231"/>
  <c r="H26" i="231"/>
  <c r="P26" i="231"/>
  <c r="G27" i="231"/>
  <c r="E27" i="231"/>
  <c r="J27" i="231"/>
  <c r="P27" i="231"/>
  <c r="H27" i="231"/>
  <c r="K27" i="231"/>
  <c r="T27" i="231"/>
  <c r="M27" i="231"/>
  <c r="N27" i="231"/>
  <c r="C12" i="231"/>
  <c r="C7" i="231"/>
  <c r="C6" i="231"/>
  <c r="CK43" i="230"/>
  <c r="CK40" i="230"/>
  <c r="CK28" i="230"/>
  <c r="CK3" i="230"/>
  <c r="BV75" i="230"/>
  <c r="BV72" i="230"/>
  <c r="BV61" i="230"/>
  <c r="BV59" i="230" s="1"/>
  <c r="BV53" i="230"/>
  <c r="BV49" i="230"/>
  <c r="BV46" i="230"/>
  <c r="BV43" i="230"/>
  <c r="BV40" i="230"/>
  <c r="BV34" i="230"/>
  <c r="BV28" i="230"/>
  <c r="BV23" i="230"/>
  <c r="BV18" i="230"/>
  <c r="BV9" i="230"/>
  <c r="BM75" i="230"/>
  <c r="BM72" i="230"/>
  <c r="BM61" i="230"/>
  <c r="BM53" i="230"/>
  <c r="BM49" i="230"/>
  <c r="BM46" i="230"/>
  <c r="BM43" i="230"/>
  <c r="BM40" i="230"/>
  <c r="BM34" i="230"/>
  <c r="BM28" i="230"/>
  <c r="BM23" i="230"/>
  <c r="BM18" i="230"/>
  <c r="BM9" i="230"/>
  <c r="CQ69" i="230"/>
  <c r="CN69" i="230"/>
  <c r="AX69" i="230"/>
  <c r="BP69" i="230" s="1"/>
  <c r="B97" i="230"/>
  <c r="C111" i="230"/>
  <c r="B94" i="230"/>
  <c r="CQ72" i="230"/>
  <c r="CN72" i="230"/>
  <c r="CH72" i="230"/>
  <c r="CE72" i="230"/>
  <c r="CB72" i="230"/>
  <c r="BY72" i="230"/>
  <c r="BS72" i="230"/>
  <c r="BP72" i="230"/>
  <c r="BJ72" i="230"/>
  <c r="BG72" i="230"/>
  <c r="AX72" i="230"/>
  <c r="CE69" i="230" l="1"/>
  <c r="BS69" i="230"/>
  <c r="BG69" i="230"/>
  <c r="CB69" i="230"/>
  <c r="CK72" i="230"/>
  <c r="CI69" i="230"/>
  <c r="CI66" i="230" s="1"/>
  <c r="CI8" i="230" s="1"/>
  <c r="CG69" i="230"/>
  <c r="CG66" i="230" s="1"/>
  <c r="CG8" i="230" s="1"/>
  <c r="BW69" i="230"/>
  <c r="BW66" i="230" s="1"/>
  <c r="BW8" i="230" s="1"/>
  <c r="BU69" i="230"/>
  <c r="BU66" i="230" s="1"/>
  <c r="BU8" i="230" s="1"/>
  <c r="BK69" i="230"/>
  <c r="BK66" i="230" s="1"/>
  <c r="BK8" i="230" s="1"/>
  <c r="BI69" i="230"/>
  <c r="CF69" i="230"/>
  <c r="CF66" i="230" s="1"/>
  <c r="CF8" i="230" s="1"/>
  <c r="CD69" i="230"/>
  <c r="CD66" i="230" s="1"/>
  <c r="CD8" i="230" s="1"/>
  <c r="BT69" i="230"/>
  <c r="BT66" i="230" s="1"/>
  <c r="BT8" i="230" s="1"/>
  <c r="BR69" i="230"/>
  <c r="BR66" i="230" s="1"/>
  <c r="BR8" i="230" s="1"/>
  <c r="BH69" i="230"/>
  <c r="CC69" i="230"/>
  <c r="CC66" i="230" s="1"/>
  <c r="CC8" i="230" s="1"/>
  <c r="CA69" i="230"/>
  <c r="CA66" i="230" s="1"/>
  <c r="CA8" i="230" s="1"/>
  <c r="BQ69" i="230"/>
  <c r="BQ66" i="230" s="1"/>
  <c r="BQ8" i="230" s="1"/>
  <c r="BO69" i="230"/>
  <c r="BO66" i="230" s="1"/>
  <c r="BO8" i="230" s="1"/>
  <c r="CJ69" i="230"/>
  <c r="CJ66" i="230" s="1"/>
  <c r="CJ8" i="230" s="1"/>
  <c r="BZ69" i="230"/>
  <c r="BZ66" i="230" s="1"/>
  <c r="BZ8" i="230" s="1"/>
  <c r="BX69" i="230"/>
  <c r="BX66" i="230" s="1"/>
  <c r="BX8" i="230" s="1"/>
  <c r="BN69" i="230"/>
  <c r="BN66" i="230" s="1"/>
  <c r="BN8" i="230" s="1"/>
  <c r="BL69" i="230"/>
  <c r="BL66" i="230" s="1"/>
  <c r="BL8" i="230" s="1"/>
  <c r="BY69" i="230"/>
  <c r="BM69" i="230"/>
  <c r="BM66" i="230" s="1"/>
  <c r="CH69" i="230"/>
  <c r="BV69" i="230"/>
  <c r="BV66" i="230" s="1"/>
  <c r="BV8" i="230" s="1"/>
  <c r="BJ69" i="230"/>
  <c r="CK23" i="230"/>
  <c r="CK53" i="230"/>
  <c r="CK18" i="230"/>
  <c r="BV12" i="230"/>
  <c r="BV13" i="230" s="1"/>
  <c r="BV11" i="230"/>
  <c r="BM59" i="230"/>
  <c r="BM11" i="230" s="1"/>
  <c r="CK75" i="230"/>
  <c r="CK34" i="230"/>
  <c r="CK9" i="230"/>
  <c r="B115" i="230"/>
  <c r="C115" i="230"/>
  <c r="C116" i="230" s="1"/>
  <c r="CQ75" i="230"/>
  <c r="CN75" i="230"/>
  <c r="CH75" i="230"/>
  <c r="CE75" i="230"/>
  <c r="CB75" i="230"/>
  <c r="BY75" i="230"/>
  <c r="BS75" i="230"/>
  <c r="BP75" i="230"/>
  <c r="BJ75" i="230"/>
  <c r="BG75" i="230"/>
  <c r="BA75" i="230"/>
  <c r="AX75" i="230"/>
  <c r="BA64" i="230"/>
  <c r="BA61" i="230"/>
  <c r="CN61" i="230"/>
  <c r="CH61" i="230"/>
  <c r="CE61" i="230"/>
  <c r="CB61" i="230"/>
  <c r="BY61" i="230"/>
  <c r="BS61" i="230"/>
  <c r="BP61" i="230"/>
  <c r="BJ61" i="230"/>
  <c r="BG61" i="230"/>
  <c r="AX61" i="230"/>
  <c r="BZ10" i="230" l="1"/>
  <c r="BZ7" i="230"/>
  <c r="CA10" i="230"/>
  <c r="CA7" i="230"/>
  <c r="BT10" i="230"/>
  <c r="BT7" i="230"/>
  <c r="BK7" i="230"/>
  <c r="BK10" i="230"/>
  <c r="CI7" i="230"/>
  <c r="CI10" i="230"/>
  <c r="CK69" i="230"/>
  <c r="CK66" i="230" s="1"/>
  <c r="BL7" i="230"/>
  <c r="BL10" i="230"/>
  <c r="CJ7" i="230"/>
  <c r="CJ10" i="230"/>
  <c r="CC10" i="230"/>
  <c r="CC7" i="230"/>
  <c r="CD10" i="230"/>
  <c r="CD7" i="230"/>
  <c r="BU10" i="230"/>
  <c r="BU7" i="230"/>
  <c r="BN7" i="230"/>
  <c r="BN10" i="230"/>
  <c r="BO7" i="230"/>
  <c r="BO10" i="230"/>
  <c r="BH66" i="230"/>
  <c r="BH8" i="230" s="1"/>
  <c r="CL69" i="230"/>
  <c r="CL66" i="230" s="1"/>
  <c r="CL8" i="230" s="1"/>
  <c r="CF7" i="230"/>
  <c r="CF10" i="230"/>
  <c r="BW10" i="230"/>
  <c r="BW7" i="230"/>
  <c r="BX10" i="230"/>
  <c r="BX7" i="230"/>
  <c r="BQ10" i="230"/>
  <c r="BQ7" i="230"/>
  <c r="BR10" i="230"/>
  <c r="BR7" i="230"/>
  <c r="BI66" i="230"/>
  <c r="BI8" i="230" s="1"/>
  <c r="CM69" i="230"/>
  <c r="CM66" i="230" s="1"/>
  <c r="CM8" i="230" s="1"/>
  <c r="CG10" i="230"/>
  <c r="CG7" i="230"/>
  <c r="CK61" i="230"/>
  <c r="BM8" i="230"/>
  <c r="BM10" i="230" s="1"/>
  <c r="BV10" i="230"/>
  <c r="BV7" i="230"/>
  <c r="BM12" i="230"/>
  <c r="BM13" i="230" s="1"/>
  <c r="B117" i="230"/>
  <c r="CL10" i="230" l="1"/>
  <c r="CL7" i="230"/>
  <c r="BI10" i="230"/>
  <c r="BI7" i="230"/>
  <c r="BH7" i="230"/>
  <c r="BH10" i="230"/>
  <c r="CM7" i="230"/>
  <c r="CM10" i="230"/>
  <c r="BM7" i="230"/>
  <c r="CK59" i="230"/>
  <c r="CQ66" i="230"/>
  <c r="CQ56" i="230"/>
  <c r="CQ55" i="230"/>
  <c r="CQ46" i="230"/>
  <c r="CQ43" i="230"/>
  <c r="CQ40" i="230"/>
  <c r="CQ34" i="230"/>
  <c r="CQ28" i="230"/>
  <c r="CQ23" i="230"/>
  <c r="CQ18" i="230"/>
  <c r="CQ9" i="230"/>
  <c r="K37" i="224"/>
  <c r="K35" i="224"/>
  <c r="K34" i="224"/>
  <c r="K33" i="224"/>
  <c r="K32" i="224"/>
  <c r="K31" i="224"/>
  <c r="K30" i="224"/>
  <c r="K28" i="224"/>
  <c r="K26" i="224"/>
  <c r="K25" i="224"/>
  <c r="K24" i="224"/>
  <c r="K23" i="224"/>
  <c r="K22" i="224"/>
  <c r="K19" i="224"/>
  <c r="K18" i="224"/>
  <c r="K17" i="224"/>
  <c r="K16" i="224"/>
  <c r="K15" i="224"/>
  <c r="K14" i="224"/>
  <c r="K13" i="224"/>
  <c r="K12" i="224"/>
  <c r="CN56" i="230"/>
  <c r="CN55" i="230"/>
  <c r="CH48" i="230"/>
  <c r="CK48" i="230" s="1"/>
  <c r="BD48" i="230" s="1"/>
  <c r="CH47" i="230"/>
  <c r="CK47" i="230" s="1"/>
  <c r="BD47" i="230" s="1"/>
  <c r="CH49" i="230"/>
  <c r="CB49" i="230"/>
  <c r="BY49" i="230"/>
  <c r="BS49" i="230"/>
  <c r="BP49" i="230"/>
  <c r="BJ49" i="230"/>
  <c r="BG49" i="230"/>
  <c r="CK49" i="230" l="1"/>
  <c r="BD49" i="230" s="1"/>
  <c r="BD46" i="230" s="1"/>
  <c r="CK12" i="230"/>
  <c r="CK13" i="230" s="1"/>
  <c r="CQ53" i="230"/>
  <c r="CQ59" i="230"/>
  <c r="CQ12" i="230" s="1"/>
  <c r="CQ13" i="230" s="1"/>
  <c r="CE66" i="230"/>
  <c r="CE59" i="230"/>
  <c r="CE12" i="230" s="1"/>
  <c r="CE13" i="230" s="1"/>
  <c r="CE53" i="230"/>
  <c r="CE46" i="230"/>
  <c r="CE43" i="230"/>
  <c r="CE40" i="230"/>
  <c r="CE34" i="230"/>
  <c r="CE28" i="230"/>
  <c r="CE23" i="230"/>
  <c r="CE18" i="230"/>
  <c r="CE9" i="230"/>
  <c r="CH66" i="230"/>
  <c r="CH59" i="230"/>
  <c r="CH12" i="230" s="1"/>
  <c r="CH13" i="230" s="1"/>
  <c r="CH53" i="230"/>
  <c r="CH46" i="230"/>
  <c r="CH43" i="230"/>
  <c r="CH40" i="230"/>
  <c r="CH34" i="230"/>
  <c r="CH28" i="230"/>
  <c r="CH23" i="230"/>
  <c r="CH18" i="230"/>
  <c r="CH9" i="230"/>
  <c r="CB66" i="230"/>
  <c r="CB59" i="230"/>
  <c r="CB12" i="230" s="1"/>
  <c r="CB13" i="230" s="1"/>
  <c r="CB53" i="230"/>
  <c r="CB46" i="230"/>
  <c r="CB43" i="230"/>
  <c r="CB40" i="230"/>
  <c r="CB34" i="230"/>
  <c r="CB28" i="230"/>
  <c r="CB23" i="230"/>
  <c r="CB18" i="230"/>
  <c r="CB9" i="230"/>
  <c r="BS66" i="230"/>
  <c r="BS59" i="230"/>
  <c r="BS12" i="230" s="1"/>
  <c r="BS13" i="230" s="1"/>
  <c r="BS53" i="230"/>
  <c r="BS46" i="230"/>
  <c r="BS43" i="230"/>
  <c r="BS40" i="230"/>
  <c r="BS34" i="230"/>
  <c r="BS28" i="230"/>
  <c r="BS23" i="230"/>
  <c r="BS18" i="230"/>
  <c r="BS9" i="230"/>
  <c r="BJ66" i="230"/>
  <c r="BJ59" i="230"/>
  <c r="BJ12" i="230" s="1"/>
  <c r="BJ13" i="230" s="1"/>
  <c r="BJ53" i="230"/>
  <c r="BJ46" i="230"/>
  <c r="BJ43" i="230"/>
  <c r="BJ40" i="230"/>
  <c r="BJ34" i="230"/>
  <c r="BJ28" i="230"/>
  <c r="BJ23" i="230"/>
  <c r="BJ18" i="230"/>
  <c r="BJ9" i="230"/>
  <c r="BY66" i="230"/>
  <c r="BY59" i="230"/>
  <c r="BY12" i="230" s="1"/>
  <c r="BY13" i="230" s="1"/>
  <c r="BY53" i="230"/>
  <c r="BY46" i="230"/>
  <c r="BY43" i="230"/>
  <c r="BY40" i="230"/>
  <c r="BY34" i="230"/>
  <c r="BY28" i="230"/>
  <c r="BY23" i="230"/>
  <c r="BY18" i="230"/>
  <c r="BY9" i="230"/>
  <c r="BP66" i="230"/>
  <c r="BP59" i="230"/>
  <c r="BP12" i="230" s="1"/>
  <c r="BP13" i="230" s="1"/>
  <c r="BP53" i="230"/>
  <c r="BP46" i="230"/>
  <c r="BP43" i="230"/>
  <c r="BP40" i="230"/>
  <c r="BP34" i="230"/>
  <c r="BP28" i="230"/>
  <c r="BP23" i="230"/>
  <c r="BP18" i="230"/>
  <c r="BP9" i="230"/>
  <c r="CK46" i="230" l="1"/>
  <c r="CK8" i="230" s="1"/>
  <c r="CK7" i="230" s="1"/>
  <c r="BD8" i="230"/>
  <c r="BD11" i="230"/>
  <c r="CB8" i="230"/>
  <c r="CB7" i="230" s="1"/>
  <c r="CQ8" i="230"/>
  <c r="CQ11" i="230"/>
  <c r="CE11" i="230"/>
  <c r="CH8" i="230"/>
  <c r="CH7" i="230" s="1"/>
  <c r="CE8" i="230"/>
  <c r="CB11" i="230"/>
  <c r="CH11" i="230"/>
  <c r="BY8" i="230"/>
  <c r="BY7" i="230" s="1"/>
  <c r="BY11" i="230"/>
  <c r="BP8" i="230"/>
  <c r="BP7" i="230" s="1"/>
  <c r="BS8" i="230"/>
  <c r="BS7" i="230" s="1"/>
  <c r="BP11" i="230"/>
  <c r="BS11" i="230"/>
  <c r="BJ8" i="230"/>
  <c r="BJ7" i="230" s="1"/>
  <c r="BJ11" i="230"/>
  <c r="CK11" i="230" l="1"/>
  <c r="CK10" i="230" s="1"/>
  <c r="BD10" i="230"/>
  <c r="BD7" i="230"/>
  <c r="CB10" i="230"/>
  <c r="CQ10" i="230"/>
  <c r="CQ7" i="230"/>
  <c r="CE10" i="230"/>
  <c r="CE7" i="230"/>
  <c r="CH10" i="230"/>
  <c r="BJ10" i="230"/>
  <c r="BP10" i="230"/>
  <c r="BS10" i="230"/>
  <c r="BY10" i="230"/>
  <c r="BA66" i="230"/>
  <c r="BA59" i="230"/>
  <c r="BA12" i="230" s="1"/>
  <c r="BA53" i="230"/>
  <c r="BA46" i="230"/>
  <c r="BA43" i="230"/>
  <c r="BA40" i="230"/>
  <c r="BA34" i="230"/>
  <c r="BA28" i="230"/>
  <c r="BA23" i="230"/>
  <c r="BA18" i="230"/>
  <c r="BA9" i="230"/>
  <c r="BG66" i="230"/>
  <c r="BG59" i="230"/>
  <c r="BG12" i="230" s="1"/>
  <c r="BG13" i="230" s="1"/>
  <c r="BG53" i="230"/>
  <c r="BG46" i="230"/>
  <c r="BG43" i="230"/>
  <c r="BG40" i="230"/>
  <c r="BG34" i="230"/>
  <c r="BG28" i="230"/>
  <c r="BG23" i="230"/>
  <c r="BG18" i="230"/>
  <c r="BG9" i="230"/>
  <c r="CN66" i="230"/>
  <c r="CN59" i="230"/>
  <c r="CN12" i="230" s="1"/>
  <c r="CN13" i="230" s="1"/>
  <c r="CN53" i="230"/>
  <c r="CN46" i="230"/>
  <c r="CN43" i="230"/>
  <c r="CN40" i="230"/>
  <c r="CN34" i="230"/>
  <c r="CN28" i="230"/>
  <c r="CN23" i="230"/>
  <c r="CN18" i="230"/>
  <c r="CN9" i="230"/>
  <c r="BG11" i="230" l="1"/>
  <c r="CN11" i="230"/>
  <c r="BA11" i="230"/>
  <c r="BA8" i="230"/>
  <c r="BA7" i="230" s="1"/>
  <c r="BG8" i="230"/>
  <c r="CN8" i="230"/>
  <c r="AX9" i="230"/>
  <c r="AX18" i="230"/>
  <c r="AX23" i="230"/>
  <c r="AX28" i="230"/>
  <c r="AX34" i="230"/>
  <c r="AX40" i="230"/>
  <c r="AX43" i="230"/>
  <c r="AX46" i="230"/>
  <c r="AX53" i="230"/>
  <c r="AX59" i="230"/>
  <c r="AX12" i="230" s="1"/>
  <c r="AX13" i="230" s="1"/>
  <c r="AX66" i="230"/>
  <c r="J54" i="230"/>
  <c r="BG10" i="230" l="1"/>
  <c r="BG7" i="230"/>
  <c r="CN10" i="230"/>
  <c r="CN7" i="230"/>
  <c r="BA10" i="230"/>
  <c r="AX8" i="230"/>
  <c r="AX11" i="230"/>
  <c r="AX10" i="230" l="1"/>
  <c r="AX7" i="230"/>
  <c r="H21" i="224" l="1"/>
  <c r="K21" i="224" s="1"/>
  <c r="H36" i="224"/>
  <c r="K36" i="224" s="1"/>
  <c r="H27" i="224"/>
  <c r="K27" i="224" s="1"/>
  <c r="AQ8" i="224"/>
  <c r="AO8" i="224"/>
  <c r="AJ37" i="224" l="1"/>
  <c r="AC37" i="224"/>
  <c r="AE37" i="224"/>
  <c r="O37" i="224"/>
  <c r="AN37" i="224" s="1"/>
  <c r="AU37" i="224"/>
  <c r="AJ36" i="224"/>
  <c r="AC36" i="224"/>
  <c r="AE36" i="224"/>
  <c r="O36" i="224"/>
  <c r="AN36" i="224" s="1"/>
  <c r="AU36" i="224"/>
  <c r="AJ35" i="224"/>
  <c r="AC35" i="224"/>
  <c r="AE35" i="224"/>
  <c r="O35" i="224"/>
  <c r="AN35" i="224" s="1"/>
  <c r="AJ34" i="224"/>
  <c r="AC34" i="224"/>
  <c r="AE34" i="224"/>
  <c r="O34" i="224"/>
  <c r="AN34" i="224" s="1"/>
  <c r="AU34" i="224"/>
  <c r="AJ33" i="224"/>
  <c r="AC33" i="224"/>
  <c r="AE33" i="224"/>
  <c r="O33" i="224"/>
  <c r="AU33" i="224"/>
  <c r="AJ32" i="224"/>
  <c r="AC32" i="224"/>
  <c r="AE32" i="224"/>
  <c r="O32" i="224"/>
  <c r="AN32" i="224" s="1"/>
  <c r="AJ31" i="224"/>
  <c r="AC31" i="224"/>
  <c r="AE31" i="224"/>
  <c r="O31" i="224"/>
  <c r="AN31" i="224" s="1"/>
  <c r="AU31" i="224"/>
  <c r="AJ30" i="224"/>
  <c r="AC30" i="224"/>
  <c r="AE30" i="224"/>
  <c r="O30" i="224"/>
  <c r="AU30" i="224"/>
  <c r="AJ28" i="224"/>
  <c r="AC28" i="224"/>
  <c r="AE28" i="224"/>
  <c r="O28" i="224"/>
  <c r="AN28" i="224" s="1"/>
  <c r="AJ27" i="224"/>
  <c r="AC27" i="224"/>
  <c r="AE27" i="224"/>
  <c r="O27" i="224"/>
  <c r="AP27" i="224" s="1"/>
  <c r="AR27" i="224" s="1"/>
  <c r="AU27" i="224"/>
  <c r="AJ26" i="224"/>
  <c r="AC26" i="224"/>
  <c r="AE26" i="224"/>
  <c r="O26" i="224"/>
  <c r="AU26" i="224"/>
  <c r="AJ25" i="224"/>
  <c r="AC25" i="224"/>
  <c r="AE25" i="224"/>
  <c r="O25" i="224"/>
  <c r="AU25" i="224"/>
  <c r="AV26" i="224" l="1"/>
  <c r="AV30" i="224"/>
  <c r="AV37" i="224"/>
  <c r="AV32" i="224"/>
  <c r="AP32" i="224"/>
  <c r="AR32" i="224" s="1"/>
  <c r="AS32" i="224" s="1"/>
  <c r="AN26" i="224"/>
  <c r="AN27" i="224"/>
  <c r="AV31" i="224"/>
  <c r="Z34" i="224"/>
  <c r="AA34" i="224" s="1"/>
  <c r="AF34" i="224" s="1"/>
  <c r="AP37" i="224"/>
  <c r="AR37" i="224" s="1"/>
  <c r="AS37" i="224" s="1"/>
  <c r="AV27" i="224"/>
  <c r="AP35" i="224"/>
  <c r="AR35" i="224" s="1"/>
  <c r="AS35" i="224" s="1"/>
  <c r="AV28" i="224"/>
  <c r="Z30" i="224"/>
  <c r="AA30" i="224" s="1"/>
  <c r="AF30" i="224" s="1"/>
  <c r="Z31" i="224"/>
  <c r="AA31" i="224" s="1"/>
  <c r="AF31" i="224" s="1"/>
  <c r="AP31" i="224"/>
  <c r="AR31" i="224" s="1"/>
  <c r="AS31" i="224" s="1"/>
  <c r="AV34" i="224"/>
  <c r="AV35" i="224"/>
  <c r="Z26" i="224"/>
  <c r="AA26" i="224" s="1"/>
  <c r="AF26" i="224" s="1"/>
  <c r="Z27" i="224"/>
  <c r="AA27" i="224" s="1"/>
  <c r="AF27" i="224" s="1"/>
  <c r="AP28" i="224"/>
  <c r="AR28" i="224" s="1"/>
  <c r="AS28" i="224" s="1"/>
  <c r="AN30" i="224"/>
  <c r="Z35" i="224"/>
  <c r="AA35" i="224" s="1"/>
  <c r="AF35" i="224" s="1"/>
  <c r="AU35" i="224"/>
  <c r="AP36" i="224"/>
  <c r="AR36" i="224" s="1"/>
  <c r="AS36" i="224" s="1"/>
  <c r="AV36" i="224"/>
  <c r="AP25" i="224"/>
  <c r="AR25" i="224" s="1"/>
  <c r="AS25" i="224" s="1"/>
  <c r="AV25" i="224"/>
  <c r="AS27" i="224"/>
  <c r="Z28" i="224"/>
  <c r="AA28" i="224" s="1"/>
  <c r="AF28" i="224" s="1"/>
  <c r="AU28" i="224"/>
  <c r="AV29" i="224"/>
  <c r="Z32" i="224"/>
  <c r="AA32" i="224" s="1"/>
  <c r="AF32" i="224" s="1"/>
  <c r="AU32" i="224"/>
  <c r="AP33" i="224"/>
  <c r="AR33" i="224" s="1"/>
  <c r="AS33" i="224" s="1"/>
  <c r="AV33" i="224"/>
  <c r="Z36" i="224"/>
  <c r="AA36" i="224" s="1"/>
  <c r="AF36" i="224" s="1"/>
  <c r="Z25" i="224"/>
  <c r="AA25" i="224" s="1"/>
  <c r="AF25" i="224" s="1"/>
  <c r="AN25" i="224"/>
  <c r="AP26" i="224"/>
  <c r="AR26" i="224" s="1"/>
  <c r="AS26" i="224" s="1"/>
  <c r="AP30" i="224"/>
  <c r="AR30" i="224" s="1"/>
  <c r="AS30" i="224" s="1"/>
  <c r="Z33" i="224"/>
  <c r="AA33" i="224" s="1"/>
  <c r="AF33" i="224" s="1"/>
  <c r="AN33" i="224"/>
  <c r="AP34" i="224"/>
  <c r="AR34" i="224" s="1"/>
  <c r="AS34" i="224" s="1"/>
  <c r="Z37" i="224"/>
  <c r="AA37" i="224" s="1"/>
  <c r="AF37" i="224" s="1"/>
  <c r="AG31" i="224" l="1"/>
  <c r="E31" i="224" s="1"/>
  <c r="AG26" i="224"/>
  <c r="F26" i="224" s="1"/>
  <c r="C26" i="224" s="1"/>
  <c r="AG34" i="224"/>
  <c r="AG33" i="224"/>
  <c r="AG32" i="224"/>
  <c r="AG27" i="224"/>
  <c r="F27" i="224" s="1"/>
  <c r="C27" i="224" s="1"/>
  <c r="AG37" i="224"/>
  <c r="F37" i="224" s="1"/>
  <c r="C37" i="224" s="1"/>
  <c r="AG30" i="224"/>
  <c r="F30" i="224" s="1"/>
  <c r="C30" i="224" s="1"/>
  <c r="AG35" i="224"/>
  <c r="F35" i="224" s="1"/>
  <c r="C35" i="224" s="1"/>
  <c r="AG36" i="224"/>
  <c r="F36" i="224" s="1"/>
  <c r="C36" i="224" s="1"/>
  <c r="AG28" i="224"/>
  <c r="AG25" i="224"/>
  <c r="F25" i="224" s="1"/>
  <c r="C25" i="224" s="1"/>
  <c r="F31" i="224" l="1"/>
  <c r="C31" i="224" s="1"/>
  <c r="E26" i="224"/>
  <c r="G26" i="224" s="1"/>
  <c r="D26" i="224" s="1"/>
  <c r="B26" i="224" s="1"/>
  <c r="F121" i="191" s="1"/>
  <c r="E34" i="224"/>
  <c r="F34" i="224"/>
  <c r="C34" i="224" s="1"/>
  <c r="E27" i="224"/>
  <c r="G27" i="224" s="1"/>
  <c r="D27" i="224" s="1"/>
  <c r="B27" i="224" s="1"/>
  <c r="F122" i="191" s="1"/>
  <c r="F33" i="224"/>
  <c r="C33" i="224" s="1"/>
  <c r="E33" i="224"/>
  <c r="F32" i="224"/>
  <c r="C32" i="224" s="1"/>
  <c r="E32" i="224"/>
  <c r="E37" i="224"/>
  <c r="G37" i="224" s="1"/>
  <c r="D37" i="224" s="1"/>
  <c r="B37" i="224" s="1"/>
  <c r="F132" i="191" s="1"/>
  <c r="E30" i="224"/>
  <c r="G30" i="224" s="1"/>
  <c r="D30" i="224" s="1"/>
  <c r="B30" i="224" s="1"/>
  <c r="F125" i="191" s="1"/>
  <c r="E28" i="224"/>
  <c r="F28" i="224"/>
  <c r="C28" i="224" s="1"/>
  <c r="E25" i="224"/>
  <c r="G25" i="224" s="1"/>
  <c r="D25" i="224" s="1"/>
  <c r="B25" i="224" s="1"/>
  <c r="F120" i="191" s="1"/>
  <c r="E36" i="224"/>
  <c r="G36" i="224" s="1"/>
  <c r="D36" i="224" s="1"/>
  <c r="B36" i="224" s="1"/>
  <c r="F131" i="191" s="1"/>
  <c r="E35" i="224"/>
  <c r="G35" i="224" s="1"/>
  <c r="D35" i="224" s="1"/>
  <c r="B35" i="224" s="1"/>
  <c r="F130" i="191" s="1"/>
  <c r="G31" i="224" l="1"/>
  <c r="D31" i="224" s="1"/>
  <c r="B31" i="224" s="1"/>
  <c r="F126" i="191" s="1"/>
  <c r="G34" i="224"/>
  <c r="D34" i="224" s="1"/>
  <c r="B34" i="224" s="1"/>
  <c r="F129" i="191" s="1"/>
  <c r="G33" i="224"/>
  <c r="D33" i="224" s="1"/>
  <c r="B33" i="224" s="1"/>
  <c r="F128" i="191" s="1"/>
  <c r="G28" i="224"/>
  <c r="D28" i="224" s="1"/>
  <c r="B28" i="224" s="1"/>
  <c r="F123" i="191" s="1"/>
  <c r="G32" i="224"/>
  <c r="D32" i="224" s="1"/>
  <c r="B32" i="224" s="1"/>
  <c r="F127" i="191" s="1"/>
  <c r="AJ24" i="224"/>
  <c r="AC24" i="224"/>
  <c r="AE24" i="224"/>
  <c r="O24" i="224"/>
  <c r="AN24" i="224" s="1"/>
  <c r="AU24" i="224"/>
  <c r="AJ23" i="224"/>
  <c r="AC23" i="224"/>
  <c r="AE23" i="224"/>
  <c r="O23" i="224"/>
  <c r="AJ22" i="224"/>
  <c r="AC22" i="224"/>
  <c r="AE22" i="224"/>
  <c r="O22" i="224"/>
  <c r="AN22" i="224" s="1"/>
  <c r="AJ21" i="224"/>
  <c r="AC21" i="224"/>
  <c r="AE21" i="224"/>
  <c r="O21" i="224"/>
  <c r="AP21" i="224" s="1"/>
  <c r="AR21" i="224" s="1"/>
  <c r="AS21" i="224" s="1"/>
  <c r="AJ19" i="224"/>
  <c r="AC19" i="224"/>
  <c r="AE19" i="224"/>
  <c r="O19" i="224"/>
  <c r="AJ18" i="224"/>
  <c r="AC18" i="224"/>
  <c r="AE18" i="224"/>
  <c r="O18" i="224"/>
  <c r="AU18" i="224"/>
  <c r="AJ17" i="224"/>
  <c r="AC17" i="224"/>
  <c r="AE17" i="224"/>
  <c r="O17" i="224"/>
  <c r="AP17" i="224" s="1"/>
  <c r="AR17" i="224" s="1"/>
  <c r="AS17" i="224" s="1"/>
  <c r="AJ16" i="224"/>
  <c r="AC16" i="224"/>
  <c r="AE16" i="224"/>
  <c r="O16" i="224"/>
  <c r="AN16" i="224" s="1"/>
  <c r="AU16" i="224"/>
  <c r="AJ15" i="224"/>
  <c r="AC15" i="224"/>
  <c r="AE15" i="224"/>
  <c r="O15" i="224"/>
  <c r="AC14" i="224"/>
  <c r="AE14" i="224"/>
  <c r="O14" i="224"/>
  <c r="AV14" i="224" s="1"/>
  <c r="AU14" i="224"/>
  <c r="AJ13" i="224"/>
  <c r="AC13" i="224"/>
  <c r="AE13" i="224"/>
  <c r="O13" i="224"/>
  <c r="AP13" i="224" s="1"/>
  <c r="AR13" i="224" s="1"/>
  <c r="AS13" i="224" s="1"/>
  <c r="AJ12" i="224"/>
  <c r="AC12" i="224"/>
  <c r="AE12" i="224"/>
  <c r="O12" i="224"/>
  <c r="AN12" i="224" s="1"/>
  <c r="AU12" i="224"/>
  <c r="AV11" i="224"/>
  <c r="AN21" i="224" l="1"/>
  <c r="Z22" i="224"/>
  <c r="AA22" i="224" s="1"/>
  <c r="AF22" i="224" s="1"/>
  <c r="AN17" i="224"/>
  <c r="AN13" i="224"/>
  <c r="AV18" i="224"/>
  <c r="AP14" i="224"/>
  <c r="AR14" i="224" s="1"/>
  <c r="AS14" i="224" s="1"/>
  <c r="AV13" i="224"/>
  <c r="AN14" i="224"/>
  <c r="AV17" i="224"/>
  <c r="AN18" i="224"/>
  <c r="AV19" i="224"/>
  <c r="Z21" i="224"/>
  <c r="AA21" i="224" s="1"/>
  <c r="AF21" i="224" s="1"/>
  <c r="AV22" i="224"/>
  <c r="AU13" i="224"/>
  <c r="Z14" i="224"/>
  <c r="AA14" i="224" s="1"/>
  <c r="AF14" i="224" s="1"/>
  <c r="AU17" i="224"/>
  <c r="Z18" i="224"/>
  <c r="AF18" i="224" s="1"/>
  <c r="AP22" i="224"/>
  <c r="AR22" i="224" s="1"/>
  <c r="AS22" i="224" s="1"/>
  <c r="AP18" i="224"/>
  <c r="AR18" i="224" s="1"/>
  <c r="AS18" i="224" s="1"/>
  <c r="AU21" i="224"/>
  <c r="Z13" i="224"/>
  <c r="AA13" i="224" s="1"/>
  <c r="AF13" i="224" s="1"/>
  <c r="Z17" i="224"/>
  <c r="AA17" i="224" s="1"/>
  <c r="AF17" i="224" s="1"/>
  <c r="AV21" i="224"/>
  <c r="AV23" i="224"/>
  <c r="AP15" i="224"/>
  <c r="AR15" i="224" s="1"/>
  <c r="AS15" i="224" s="1"/>
  <c r="AV15" i="224"/>
  <c r="AP19" i="224"/>
  <c r="AR19" i="224" s="1"/>
  <c r="AS19" i="224" s="1"/>
  <c r="AU22" i="224"/>
  <c r="AP12" i="224"/>
  <c r="AR12" i="224" s="1"/>
  <c r="AS12" i="224" s="1"/>
  <c r="AV12" i="224"/>
  <c r="Z15" i="224"/>
  <c r="AA15" i="224" s="1"/>
  <c r="AF15" i="224" s="1"/>
  <c r="AN15" i="224"/>
  <c r="AU15" i="224"/>
  <c r="AP16" i="224"/>
  <c r="AR16" i="224" s="1"/>
  <c r="AS16" i="224" s="1"/>
  <c r="AV16" i="224"/>
  <c r="Z19" i="224"/>
  <c r="AF19" i="224" s="1"/>
  <c r="AN19" i="224"/>
  <c r="AU19" i="224"/>
  <c r="AV20" i="224"/>
  <c r="Z23" i="224"/>
  <c r="AA23" i="224" s="1"/>
  <c r="AF23" i="224" s="1"/>
  <c r="AN23" i="224"/>
  <c r="AU23" i="224"/>
  <c r="AP24" i="224"/>
  <c r="AR24" i="224" s="1"/>
  <c r="AS24" i="224" s="1"/>
  <c r="AV24" i="224"/>
  <c r="Z12" i="224"/>
  <c r="AA12" i="224" s="1"/>
  <c r="AF12" i="224" s="1"/>
  <c r="Z16" i="224"/>
  <c r="AA16" i="224" s="1"/>
  <c r="AF16" i="224" s="1"/>
  <c r="Z24" i="224"/>
  <c r="AA24" i="224" s="1"/>
  <c r="AF24" i="224" s="1"/>
  <c r="AP23" i="224"/>
  <c r="AR23" i="224" s="1"/>
  <c r="AS23" i="224" s="1"/>
  <c r="AG22" i="224" l="1"/>
  <c r="F22" i="224" s="1"/>
  <c r="C22" i="224" s="1"/>
  <c r="AG14" i="224"/>
  <c r="F14" i="224" s="1"/>
  <c r="C14" i="224" s="1"/>
  <c r="AG18" i="224"/>
  <c r="F18" i="224" s="1"/>
  <c r="C18" i="224" s="1"/>
  <c r="AG15" i="224"/>
  <c r="F15" i="224" s="1"/>
  <c r="C15" i="224" s="1"/>
  <c r="AG19" i="224"/>
  <c r="F19" i="224" s="1"/>
  <c r="C19" i="224" s="1"/>
  <c r="AG16" i="224"/>
  <c r="F16" i="224" s="1"/>
  <c r="C16" i="224" s="1"/>
  <c r="AG17" i="224"/>
  <c r="AG21" i="224"/>
  <c r="F21" i="224" s="1"/>
  <c r="C21" i="224" s="1"/>
  <c r="AG13" i="224"/>
  <c r="F13" i="224" s="1"/>
  <c r="C13" i="224" s="1"/>
  <c r="AG12" i="224"/>
  <c r="F12" i="224" s="1"/>
  <c r="C12" i="224" s="1"/>
  <c r="AG23" i="224"/>
  <c r="F23" i="224" s="1"/>
  <c r="C23" i="224" s="1"/>
  <c r="AG24" i="224"/>
  <c r="F24" i="224" s="1"/>
  <c r="C24" i="224" s="1"/>
  <c r="E14" i="224" l="1"/>
  <c r="G14" i="224" s="1"/>
  <c r="D14" i="224" s="1"/>
  <c r="B14" i="224" s="1"/>
  <c r="F109" i="191" s="1"/>
  <c r="E22" i="224"/>
  <c r="G22" i="224" s="1"/>
  <c r="D22" i="224" s="1"/>
  <c r="B22" i="224" s="1"/>
  <c r="F117" i="191" s="1"/>
  <c r="E18" i="224"/>
  <c r="G18" i="224" s="1"/>
  <c r="D18" i="224" s="1"/>
  <c r="B18" i="224" s="1"/>
  <c r="F113" i="191" s="1"/>
  <c r="E13" i="224"/>
  <c r="G13" i="224" s="1"/>
  <c r="D13" i="224" s="1"/>
  <c r="B13" i="224" s="1"/>
  <c r="F108" i="191" s="1"/>
  <c r="E19" i="224"/>
  <c r="G19" i="224" s="1"/>
  <c r="D19" i="224" s="1"/>
  <c r="B19" i="224" s="1"/>
  <c r="F114" i="191" s="1"/>
  <c r="E16" i="224"/>
  <c r="G16" i="224" s="1"/>
  <c r="D16" i="224" s="1"/>
  <c r="B16" i="224" s="1"/>
  <c r="F111" i="191" s="1"/>
  <c r="E21" i="224"/>
  <c r="G21" i="224" s="1"/>
  <c r="D21" i="224" s="1"/>
  <c r="B21" i="224" s="1"/>
  <c r="F116" i="191" s="1"/>
  <c r="F17" i="224"/>
  <c r="C17" i="224" s="1"/>
  <c r="E17" i="224"/>
  <c r="E15" i="224"/>
  <c r="G15" i="224" s="1"/>
  <c r="D15" i="224" s="1"/>
  <c r="B15" i="224" s="1"/>
  <c r="F110" i="191" s="1"/>
  <c r="E24" i="224"/>
  <c r="G24" i="224" s="1"/>
  <c r="D24" i="224" s="1"/>
  <c r="B24" i="224" s="1"/>
  <c r="F119" i="191" s="1"/>
  <c r="E12" i="224"/>
  <c r="G12" i="224" s="1"/>
  <c r="D12" i="224" s="1"/>
  <c r="B12" i="224" s="1"/>
  <c r="F107" i="191" s="1"/>
  <c r="E23" i="224"/>
  <c r="G23" i="224" s="1"/>
  <c r="D23" i="224" s="1"/>
  <c r="B23" i="224" s="1"/>
  <c r="F118" i="191" s="1"/>
  <c r="G17" i="224" l="1"/>
  <c r="D17" i="224" s="1"/>
  <c r="B17" i="224" s="1"/>
  <c r="F112" i="191" s="1"/>
  <c r="U18" i="135" l="1"/>
  <c r="T18" i="135"/>
  <c r="S18" i="135"/>
  <c r="R18" i="135"/>
  <c r="Q18" i="135"/>
  <c r="P18" i="135"/>
  <c r="N18" i="135"/>
  <c r="M18" i="135"/>
  <c r="L18" i="135"/>
  <c r="K18" i="135"/>
  <c r="J18" i="135"/>
  <c r="I18" i="135"/>
  <c r="G18" i="135"/>
  <c r="F18" i="135"/>
  <c r="E18" i="135"/>
  <c r="D18" i="135"/>
  <c r="C18" i="135"/>
  <c r="B18" i="135"/>
  <c r="U11" i="135"/>
  <c r="T11" i="135"/>
  <c r="S11" i="135"/>
  <c r="R11" i="135"/>
  <c r="Q11" i="135"/>
  <c r="P11" i="135"/>
  <c r="N11" i="135"/>
  <c r="M11" i="135"/>
  <c r="L11" i="135"/>
  <c r="K11" i="135"/>
  <c r="J11" i="135"/>
  <c r="I11" i="135"/>
  <c r="G11" i="135"/>
  <c r="G14" i="135" s="1"/>
  <c r="G16" i="135" s="1"/>
  <c r="F11" i="135"/>
  <c r="F14" i="135" s="1"/>
  <c r="F16" i="135" s="1"/>
  <c r="E11" i="135"/>
  <c r="E14" i="135" s="1"/>
  <c r="E16" i="135" s="1"/>
  <c r="D11" i="135"/>
  <c r="D14" i="135" s="1"/>
  <c r="D16" i="135" s="1"/>
  <c r="C11" i="135"/>
  <c r="C14" i="135" s="1"/>
  <c r="C16" i="135" s="1"/>
  <c r="B11" i="135"/>
  <c r="B14" i="135" s="1"/>
  <c r="B16" i="135" s="1"/>
  <c r="N5" i="135"/>
  <c r="U5" i="135" s="1"/>
  <c r="U14" i="135" s="1"/>
  <c r="U16" i="135" s="1"/>
  <c r="M5" i="135"/>
  <c r="T5" i="135" s="1"/>
  <c r="T14" i="135" s="1"/>
  <c r="T16" i="135" s="1"/>
  <c r="L5" i="135"/>
  <c r="L14" i="135" s="1"/>
  <c r="L16" i="135" s="1"/>
  <c r="K5" i="135"/>
  <c r="K14" i="135" s="1"/>
  <c r="K16" i="135" s="1"/>
  <c r="J5" i="135"/>
  <c r="Q5" i="135" s="1"/>
  <c r="Q14" i="135" s="1"/>
  <c r="Q16" i="135" s="1"/>
  <c r="I5" i="135"/>
  <c r="P5" i="135" s="1"/>
  <c r="P14" i="135" s="1"/>
  <c r="P16" i="135" s="1"/>
  <c r="L32" i="223"/>
  <c r="G63" i="223"/>
  <c r="F63" i="223"/>
  <c r="E63" i="223"/>
  <c r="D63" i="223"/>
  <c r="C63" i="223"/>
  <c r="B63" i="223"/>
  <c r="G62" i="223"/>
  <c r="G64" i="223" s="1"/>
  <c r="F62" i="223"/>
  <c r="F64" i="223" s="1"/>
  <c r="E62" i="223"/>
  <c r="E64" i="223" s="1"/>
  <c r="D62" i="223"/>
  <c r="D64" i="223" s="1"/>
  <c r="C62" i="223"/>
  <c r="C64" i="223" s="1"/>
  <c r="B62" i="223"/>
  <c r="B64" i="223" s="1"/>
  <c r="BI61" i="223"/>
  <c r="BH61" i="223"/>
  <c r="BG61" i="223"/>
  <c r="BF61" i="223"/>
  <c r="BE61" i="223"/>
  <c r="BD61" i="223"/>
  <c r="BJ61" i="223" s="1"/>
  <c r="BK61" i="223" s="1"/>
  <c r="N61" i="223"/>
  <c r="M61" i="223"/>
  <c r="BA61" i="223" s="1"/>
  <c r="L61" i="223"/>
  <c r="AZ61" i="223" s="1"/>
  <c r="K61" i="223"/>
  <c r="AY61" i="223" s="1"/>
  <c r="J61" i="223"/>
  <c r="I61" i="223"/>
  <c r="H61" i="223"/>
  <c r="BI60" i="223"/>
  <c r="BH60" i="223"/>
  <c r="BG60" i="223"/>
  <c r="BF60" i="223"/>
  <c r="BE60" i="223"/>
  <c r="BD60" i="223"/>
  <c r="BJ60" i="223" s="1"/>
  <c r="BK60" i="223" s="1"/>
  <c r="N60" i="223"/>
  <c r="BB60" i="223" s="1"/>
  <c r="M60" i="223"/>
  <c r="BA60" i="223" s="1"/>
  <c r="L60" i="223"/>
  <c r="AZ60" i="223" s="1"/>
  <c r="K60" i="223"/>
  <c r="J60" i="223"/>
  <c r="AX60" i="223" s="1"/>
  <c r="I60" i="223"/>
  <c r="AW60" i="223" s="1"/>
  <c r="H60" i="223"/>
  <c r="BI59" i="223"/>
  <c r="BH59" i="223"/>
  <c r="BG59" i="223"/>
  <c r="BF59" i="223"/>
  <c r="BE59" i="223"/>
  <c r="BD59" i="223"/>
  <c r="BJ59" i="223" s="1"/>
  <c r="BK59" i="223" s="1"/>
  <c r="AY59" i="223"/>
  <c r="N59" i="223"/>
  <c r="BB59" i="223" s="1"/>
  <c r="M59" i="223"/>
  <c r="BA59" i="223" s="1"/>
  <c r="L59" i="223"/>
  <c r="K59" i="223"/>
  <c r="J59" i="223"/>
  <c r="AX59" i="223" s="1"/>
  <c r="I59" i="223"/>
  <c r="H59" i="223"/>
  <c r="BI58" i="223"/>
  <c r="BH58" i="223"/>
  <c r="BG58" i="223"/>
  <c r="BF58" i="223"/>
  <c r="BE58" i="223"/>
  <c r="BD58" i="223"/>
  <c r="BJ58" i="223" s="1"/>
  <c r="BK58" i="223" s="1"/>
  <c r="N58" i="223"/>
  <c r="BB58" i="223" s="1"/>
  <c r="M58" i="223"/>
  <c r="L58" i="223"/>
  <c r="AZ58" i="223" s="1"/>
  <c r="K58" i="223"/>
  <c r="AY58" i="223" s="1"/>
  <c r="J58" i="223"/>
  <c r="AX58" i="223" s="1"/>
  <c r="I58" i="223"/>
  <c r="H58" i="223"/>
  <c r="BI57" i="223"/>
  <c r="BH57" i="223"/>
  <c r="BG57" i="223"/>
  <c r="BF57" i="223"/>
  <c r="BE57" i="223"/>
  <c r="BD57" i="223"/>
  <c r="BJ57" i="223" s="1"/>
  <c r="BK57" i="223" s="1"/>
  <c r="N57" i="223"/>
  <c r="M57" i="223"/>
  <c r="BA57" i="223" s="1"/>
  <c r="L57" i="223"/>
  <c r="AZ57" i="223" s="1"/>
  <c r="K57" i="223"/>
  <c r="AY57" i="223" s="1"/>
  <c r="J57" i="223"/>
  <c r="I57" i="223"/>
  <c r="H57" i="223"/>
  <c r="BI56" i="223"/>
  <c r="BH56" i="223"/>
  <c r="BG56" i="223"/>
  <c r="BF56" i="223"/>
  <c r="BE56" i="223"/>
  <c r="BD56" i="223"/>
  <c r="BJ56" i="223" s="1"/>
  <c r="BK56" i="223" s="1"/>
  <c r="N56" i="223"/>
  <c r="BB56" i="223" s="1"/>
  <c r="M56" i="223"/>
  <c r="BA56" i="223" s="1"/>
  <c r="L56" i="223"/>
  <c r="AZ56" i="223" s="1"/>
  <c r="K56" i="223"/>
  <c r="J56" i="223"/>
  <c r="AX56" i="223" s="1"/>
  <c r="I56" i="223"/>
  <c r="AW56" i="223" s="1"/>
  <c r="H56" i="223"/>
  <c r="BI55" i="223"/>
  <c r="BH55" i="223"/>
  <c r="BG55" i="223"/>
  <c r="BF55" i="223"/>
  <c r="BE55" i="223"/>
  <c r="BD55" i="223"/>
  <c r="BJ55" i="223" s="1"/>
  <c r="BK55" i="223" s="1"/>
  <c r="AY55" i="223"/>
  <c r="N55" i="223"/>
  <c r="BB55" i="223" s="1"/>
  <c r="M55" i="223"/>
  <c r="BA55" i="223" s="1"/>
  <c r="L55" i="223"/>
  <c r="K55" i="223"/>
  <c r="J55" i="223"/>
  <c r="AX55" i="223" s="1"/>
  <c r="I55" i="223"/>
  <c r="H55" i="223"/>
  <c r="BI54" i="223"/>
  <c r="BH54" i="223"/>
  <c r="BG54" i="223"/>
  <c r="BF54" i="223"/>
  <c r="BE54" i="223"/>
  <c r="BD54" i="223"/>
  <c r="BJ54" i="223" s="1"/>
  <c r="BK54" i="223" s="1"/>
  <c r="N54" i="223"/>
  <c r="BB54" i="223" s="1"/>
  <c r="M54" i="223"/>
  <c r="L54" i="223"/>
  <c r="AZ54" i="223" s="1"/>
  <c r="K54" i="223"/>
  <c r="J54" i="223"/>
  <c r="AX54" i="223" s="1"/>
  <c r="I54" i="223"/>
  <c r="H54" i="223"/>
  <c r="BI53" i="223"/>
  <c r="BH53" i="223"/>
  <c r="BG53" i="223"/>
  <c r="BF53" i="223"/>
  <c r="BE53" i="223"/>
  <c r="BD53" i="223"/>
  <c r="BJ53" i="223" s="1"/>
  <c r="BK53" i="223" s="1"/>
  <c r="AY53" i="223"/>
  <c r="N53" i="223"/>
  <c r="M53" i="223"/>
  <c r="BA53" i="223" s="1"/>
  <c r="L53" i="223"/>
  <c r="AZ53" i="223" s="1"/>
  <c r="K53" i="223"/>
  <c r="J53" i="223"/>
  <c r="I53" i="223"/>
  <c r="H53" i="223"/>
  <c r="BI52" i="223"/>
  <c r="BH52" i="223"/>
  <c r="BG52" i="223"/>
  <c r="BF52" i="223"/>
  <c r="BE52" i="223"/>
  <c r="BD52" i="223"/>
  <c r="BJ52" i="223" s="1"/>
  <c r="BK52" i="223" s="1"/>
  <c r="N52" i="223"/>
  <c r="BB52" i="223" s="1"/>
  <c r="M52" i="223"/>
  <c r="BA52" i="223" s="1"/>
  <c r="L52" i="223"/>
  <c r="AZ52" i="223" s="1"/>
  <c r="K52" i="223"/>
  <c r="J52" i="223"/>
  <c r="AX52" i="223" s="1"/>
  <c r="I52" i="223"/>
  <c r="AW52" i="223" s="1"/>
  <c r="H52" i="223"/>
  <c r="BI51" i="223"/>
  <c r="BH51" i="223"/>
  <c r="BG51" i="223"/>
  <c r="BF51" i="223"/>
  <c r="BE51" i="223"/>
  <c r="BD51" i="223"/>
  <c r="BJ51" i="223" s="1"/>
  <c r="BK51" i="223" s="1"/>
  <c r="AY51" i="223"/>
  <c r="N51" i="223"/>
  <c r="BB51" i="223" s="1"/>
  <c r="M51" i="223"/>
  <c r="BA51" i="223" s="1"/>
  <c r="L51" i="223"/>
  <c r="K51" i="223"/>
  <c r="J51" i="223"/>
  <c r="AX51" i="223" s="1"/>
  <c r="I51" i="223"/>
  <c r="H51" i="223"/>
  <c r="BI50" i="223"/>
  <c r="BH50" i="223"/>
  <c r="BG50" i="223"/>
  <c r="BF50" i="223"/>
  <c r="BE50" i="223"/>
  <c r="BD50" i="223"/>
  <c r="BJ50" i="223" s="1"/>
  <c r="BK50" i="223" s="1"/>
  <c r="N50" i="223"/>
  <c r="BB50" i="223" s="1"/>
  <c r="M50" i="223"/>
  <c r="L50" i="223"/>
  <c r="AZ50" i="223" s="1"/>
  <c r="K50" i="223"/>
  <c r="J50" i="223"/>
  <c r="AX50" i="223" s="1"/>
  <c r="I50" i="223"/>
  <c r="H50" i="223"/>
  <c r="BI49" i="223"/>
  <c r="BH49" i="223"/>
  <c r="BG49" i="223"/>
  <c r="BF49" i="223"/>
  <c r="BE49" i="223"/>
  <c r="BD49" i="223"/>
  <c r="BJ49" i="223" s="1"/>
  <c r="BK49" i="223" s="1"/>
  <c r="AY49" i="223"/>
  <c r="N49" i="223"/>
  <c r="M49" i="223"/>
  <c r="BA49" i="223" s="1"/>
  <c r="L49" i="223"/>
  <c r="AZ49" i="223" s="1"/>
  <c r="K49" i="223"/>
  <c r="J49" i="223"/>
  <c r="I49" i="223"/>
  <c r="H49" i="223"/>
  <c r="BI48" i="223"/>
  <c r="BH48" i="223"/>
  <c r="BG48" i="223"/>
  <c r="BF48" i="223"/>
  <c r="BE48" i="223"/>
  <c r="BD48" i="223"/>
  <c r="BJ48" i="223" s="1"/>
  <c r="BK48" i="223" s="1"/>
  <c r="N48" i="223"/>
  <c r="BB48" i="223" s="1"/>
  <c r="M48" i="223"/>
  <c r="BA48" i="223" s="1"/>
  <c r="L48" i="223"/>
  <c r="AZ48" i="223" s="1"/>
  <c r="K48" i="223"/>
  <c r="J48" i="223"/>
  <c r="AX48" i="223" s="1"/>
  <c r="I48" i="223"/>
  <c r="AW48" i="223" s="1"/>
  <c r="H48" i="223"/>
  <c r="BI47" i="223"/>
  <c r="BH47" i="223"/>
  <c r="BG47" i="223"/>
  <c r="BF47" i="223"/>
  <c r="BE47" i="223"/>
  <c r="BD47" i="223"/>
  <c r="BJ47" i="223" s="1"/>
  <c r="BK47" i="223" s="1"/>
  <c r="AY47" i="223"/>
  <c r="N47" i="223"/>
  <c r="BB47" i="223" s="1"/>
  <c r="M47" i="223"/>
  <c r="BA47" i="223" s="1"/>
  <c r="L47" i="223"/>
  <c r="K47" i="223"/>
  <c r="J47" i="223"/>
  <c r="AX47" i="223" s="1"/>
  <c r="I47" i="223"/>
  <c r="H47" i="223"/>
  <c r="BI46" i="223"/>
  <c r="BH46" i="223"/>
  <c r="BG46" i="223"/>
  <c r="BF46" i="223"/>
  <c r="BE46" i="223"/>
  <c r="BD46" i="223"/>
  <c r="BJ46" i="223" s="1"/>
  <c r="BK46" i="223" s="1"/>
  <c r="N46" i="223"/>
  <c r="BB46" i="223" s="1"/>
  <c r="M46" i="223"/>
  <c r="L46" i="223"/>
  <c r="AZ46" i="223" s="1"/>
  <c r="K46" i="223"/>
  <c r="AY46" i="223" s="1"/>
  <c r="J46" i="223"/>
  <c r="AX46" i="223" s="1"/>
  <c r="I46" i="223"/>
  <c r="H46" i="223"/>
  <c r="BI45" i="223"/>
  <c r="BH45" i="223"/>
  <c r="BG45" i="223"/>
  <c r="BF45" i="223"/>
  <c r="BE45" i="223"/>
  <c r="BD45" i="223"/>
  <c r="BJ45" i="223" s="1"/>
  <c r="BK45" i="223" s="1"/>
  <c r="AY45" i="223"/>
  <c r="N45" i="223"/>
  <c r="M45" i="223"/>
  <c r="BA45" i="223" s="1"/>
  <c r="L45" i="223"/>
  <c r="AZ45" i="223" s="1"/>
  <c r="K45" i="223"/>
  <c r="J45" i="223"/>
  <c r="I45" i="223"/>
  <c r="H45" i="223"/>
  <c r="BI44" i="223"/>
  <c r="BH44" i="223"/>
  <c r="BG44" i="223"/>
  <c r="BF44" i="223"/>
  <c r="BE44" i="223"/>
  <c r="BD44" i="223"/>
  <c r="BJ44" i="223" s="1"/>
  <c r="BK44" i="223" s="1"/>
  <c r="N44" i="223"/>
  <c r="BB44" i="223" s="1"/>
  <c r="M44" i="223"/>
  <c r="BA44" i="223" s="1"/>
  <c r="L44" i="223"/>
  <c r="AZ44" i="223" s="1"/>
  <c r="K44" i="223"/>
  <c r="J44" i="223"/>
  <c r="AX44" i="223" s="1"/>
  <c r="I44" i="223"/>
  <c r="H44" i="223"/>
  <c r="BI43" i="223"/>
  <c r="BH43" i="223"/>
  <c r="BG43" i="223"/>
  <c r="BF43" i="223"/>
  <c r="BE43" i="223"/>
  <c r="BD43" i="223"/>
  <c r="AY43" i="223"/>
  <c r="N43" i="223"/>
  <c r="M43" i="223"/>
  <c r="BA43" i="223" s="1"/>
  <c r="L43" i="223"/>
  <c r="K43" i="223"/>
  <c r="J43" i="223"/>
  <c r="I43" i="223"/>
  <c r="H43" i="223"/>
  <c r="BI42" i="223"/>
  <c r="BH42" i="223"/>
  <c r="BG42" i="223"/>
  <c r="BF42" i="223"/>
  <c r="BE42" i="223"/>
  <c r="BD42" i="223"/>
  <c r="N42" i="223"/>
  <c r="BB42" i="223" s="1"/>
  <c r="M42" i="223"/>
  <c r="L42" i="223"/>
  <c r="AZ42" i="223" s="1"/>
  <c r="K42" i="223"/>
  <c r="J42" i="223"/>
  <c r="AX42" i="223" s="1"/>
  <c r="I42" i="223"/>
  <c r="H42" i="223"/>
  <c r="BI41" i="223"/>
  <c r="BH41" i="223"/>
  <c r="BG41" i="223"/>
  <c r="BF41" i="223"/>
  <c r="BE41" i="223"/>
  <c r="BD41" i="223"/>
  <c r="N41" i="223"/>
  <c r="M41" i="223"/>
  <c r="BA41" i="223" s="1"/>
  <c r="L41" i="223"/>
  <c r="K41" i="223"/>
  <c r="J41" i="223"/>
  <c r="I41" i="223"/>
  <c r="H41" i="223"/>
  <c r="BI40" i="223"/>
  <c r="BH40" i="223"/>
  <c r="BG40" i="223"/>
  <c r="BF40" i="223"/>
  <c r="BE40" i="223"/>
  <c r="BD40" i="223"/>
  <c r="AY40" i="223"/>
  <c r="N40" i="223"/>
  <c r="BB40" i="223" s="1"/>
  <c r="M40" i="223"/>
  <c r="BA40" i="223" s="1"/>
  <c r="L40" i="223"/>
  <c r="K40" i="223"/>
  <c r="J40" i="223"/>
  <c r="AX40" i="223" s="1"/>
  <c r="I40" i="223"/>
  <c r="AW40" i="223" s="1"/>
  <c r="H40" i="223"/>
  <c r="BI39" i="223"/>
  <c r="BH39" i="223"/>
  <c r="BG39" i="223"/>
  <c r="BF39" i="223"/>
  <c r="BJ39" i="223" s="1"/>
  <c r="BK39" i="223" s="1"/>
  <c r="BE39" i="223"/>
  <c r="BD39" i="223"/>
  <c r="N39" i="223"/>
  <c r="BB39" i="223" s="1"/>
  <c r="M39" i="223"/>
  <c r="L39" i="223"/>
  <c r="AZ39" i="223" s="1"/>
  <c r="K39" i="223"/>
  <c r="AY39" i="223" s="1"/>
  <c r="J39" i="223"/>
  <c r="AX39" i="223" s="1"/>
  <c r="I39" i="223"/>
  <c r="H39" i="223"/>
  <c r="BI38" i="223"/>
  <c r="BH38" i="223"/>
  <c r="BG38" i="223"/>
  <c r="BF38" i="223"/>
  <c r="BE38" i="223"/>
  <c r="BD38" i="223"/>
  <c r="AY38" i="223"/>
  <c r="N38" i="223"/>
  <c r="M38" i="223"/>
  <c r="BA38" i="223" s="1"/>
  <c r="L38" i="223"/>
  <c r="AZ38" i="223" s="1"/>
  <c r="K38" i="223"/>
  <c r="J38" i="223"/>
  <c r="I38" i="223"/>
  <c r="AW38" i="223" s="1"/>
  <c r="H38" i="223"/>
  <c r="BI37" i="223"/>
  <c r="BH37" i="223"/>
  <c r="BG37" i="223"/>
  <c r="BF37" i="223"/>
  <c r="BE37" i="223"/>
  <c r="BD37" i="223"/>
  <c r="N37" i="223"/>
  <c r="BB37" i="223" s="1"/>
  <c r="M37" i="223"/>
  <c r="BA37" i="223" s="1"/>
  <c r="L37" i="223"/>
  <c r="AZ37" i="223" s="1"/>
  <c r="K37" i="223"/>
  <c r="J37" i="223"/>
  <c r="AX37" i="223" s="1"/>
  <c r="I37" i="223"/>
  <c r="AW37" i="223" s="1"/>
  <c r="H37" i="223"/>
  <c r="BI36" i="223"/>
  <c r="BH36" i="223"/>
  <c r="BG36" i="223"/>
  <c r="BF36" i="223"/>
  <c r="BE36" i="223"/>
  <c r="BD36" i="223"/>
  <c r="AY36" i="223"/>
  <c r="N36" i="223"/>
  <c r="BB36" i="223" s="1"/>
  <c r="M36" i="223"/>
  <c r="BA36" i="223" s="1"/>
  <c r="L36" i="223"/>
  <c r="K36" i="223"/>
  <c r="J36" i="223"/>
  <c r="AX36" i="223" s="1"/>
  <c r="I36" i="223"/>
  <c r="AW36" i="223" s="1"/>
  <c r="H36" i="223"/>
  <c r="BI35" i="223"/>
  <c r="BH35" i="223"/>
  <c r="BG35" i="223"/>
  <c r="BF35" i="223"/>
  <c r="BJ35" i="223" s="1"/>
  <c r="BK35" i="223" s="1"/>
  <c r="BE35" i="223"/>
  <c r="BD35" i="223"/>
  <c r="N35" i="223"/>
  <c r="BB35" i="223" s="1"/>
  <c r="M35" i="223"/>
  <c r="L35" i="223"/>
  <c r="AZ35" i="223" s="1"/>
  <c r="K35" i="223"/>
  <c r="AY35" i="223" s="1"/>
  <c r="J35" i="223"/>
  <c r="AX35" i="223" s="1"/>
  <c r="I35" i="223"/>
  <c r="H35" i="223"/>
  <c r="BI34" i="223"/>
  <c r="BH34" i="223"/>
  <c r="BG34" i="223"/>
  <c r="BF34" i="223"/>
  <c r="BE34" i="223"/>
  <c r="BD34" i="223"/>
  <c r="AY34" i="223"/>
  <c r="AW34" i="223"/>
  <c r="N34" i="223"/>
  <c r="M34" i="223"/>
  <c r="BA34" i="223" s="1"/>
  <c r="L34" i="223"/>
  <c r="AZ34" i="223" s="1"/>
  <c r="K34" i="223"/>
  <c r="J34" i="223"/>
  <c r="I34" i="223"/>
  <c r="H34" i="223"/>
  <c r="BI33" i="223"/>
  <c r="BH33" i="223"/>
  <c r="BG33" i="223"/>
  <c r="BF33" i="223"/>
  <c r="BE33" i="223"/>
  <c r="BD33" i="223"/>
  <c r="N33" i="223"/>
  <c r="BB33" i="223" s="1"/>
  <c r="M33" i="223"/>
  <c r="BA33" i="223" s="1"/>
  <c r="L33" i="223"/>
  <c r="AZ33" i="223" s="1"/>
  <c r="K33" i="223"/>
  <c r="J33" i="223"/>
  <c r="AX33" i="223" s="1"/>
  <c r="I33" i="223"/>
  <c r="AW33" i="223" s="1"/>
  <c r="H33" i="223"/>
  <c r="BI32" i="223"/>
  <c r="BH32" i="223"/>
  <c r="BG32" i="223"/>
  <c r="BF32" i="223"/>
  <c r="BE32" i="223"/>
  <c r="BD32" i="223"/>
  <c r="N32" i="223"/>
  <c r="BB32" i="223" s="1"/>
  <c r="M32" i="223"/>
  <c r="BA32" i="223" s="1"/>
  <c r="K32" i="223"/>
  <c r="AY32" i="223" s="1"/>
  <c r="J32" i="223"/>
  <c r="I32" i="223"/>
  <c r="AW32" i="223" s="1"/>
  <c r="H32" i="223"/>
  <c r="BI31" i="223"/>
  <c r="BH31" i="223"/>
  <c r="BG31" i="223"/>
  <c r="BF31" i="223"/>
  <c r="BE31" i="223"/>
  <c r="BD31" i="223"/>
  <c r="BB31" i="223"/>
  <c r="AX31" i="223"/>
  <c r="N31" i="223"/>
  <c r="M31" i="223"/>
  <c r="BA31" i="223" s="1"/>
  <c r="L31" i="223"/>
  <c r="AZ31" i="223" s="1"/>
  <c r="K31" i="223"/>
  <c r="J31" i="223"/>
  <c r="I31" i="223"/>
  <c r="AW31" i="223" s="1"/>
  <c r="H31" i="223"/>
  <c r="U18" i="223"/>
  <c r="T18" i="223"/>
  <c r="S18" i="223"/>
  <c r="R18" i="223"/>
  <c r="Q18" i="223"/>
  <c r="P18" i="223"/>
  <c r="N18" i="223"/>
  <c r="M18" i="223"/>
  <c r="L18" i="223"/>
  <c r="K18" i="223"/>
  <c r="J18" i="223"/>
  <c r="I18" i="223"/>
  <c r="G18" i="223"/>
  <c r="F18" i="223"/>
  <c r="E18" i="223"/>
  <c r="D18" i="223"/>
  <c r="C18" i="223"/>
  <c r="B18" i="223"/>
  <c r="C14" i="223"/>
  <c r="C16" i="223" s="1"/>
  <c r="C21" i="223" s="1"/>
  <c r="U11" i="223"/>
  <c r="T11" i="223"/>
  <c r="S11" i="223"/>
  <c r="R11" i="223"/>
  <c r="Q11" i="223"/>
  <c r="P11" i="223"/>
  <c r="N11" i="223"/>
  <c r="M11" i="223"/>
  <c r="L11" i="223"/>
  <c r="K11" i="223"/>
  <c r="J11" i="223"/>
  <c r="I11" i="223"/>
  <c r="G11" i="223"/>
  <c r="G14" i="223" s="1"/>
  <c r="F11" i="223"/>
  <c r="F14" i="223" s="1"/>
  <c r="E11" i="223"/>
  <c r="E14" i="223" s="1"/>
  <c r="D11" i="223"/>
  <c r="D14" i="223" s="1"/>
  <c r="C11" i="223"/>
  <c r="B11" i="223"/>
  <c r="B14" i="223" s="1"/>
  <c r="U5" i="223"/>
  <c r="U14" i="223" s="1"/>
  <c r="Q5" i="223"/>
  <c r="Q14" i="223" s="1"/>
  <c r="N5" i="223"/>
  <c r="M5" i="223"/>
  <c r="L5" i="223"/>
  <c r="S5" i="223" s="1"/>
  <c r="S14" i="223" s="1"/>
  <c r="S16" i="223" s="1"/>
  <c r="S21" i="223" s="1"/>
  <c r="K5" i="223"/>
  <c r="R5" i="223" s="1"/>
  <c r="R14" i="223" s="1"/>
  <c r="J5" i="223"/>
  <c r="I5" i="223"/>
  <c r="G16" i="223" l="1"/>
  <c r="G21" i="223" s="1"/>
  <c r="M14" i="223"/>
  <c r="BJ32" i="223"/>
  <c r="BK32" i="223" s="1"/>
  <c r="BJ33" i="223"/>
  <c r="BK33" i="223" s="1"/>
  <c r="BJ34" i="223"/>
  <c r="BK34" i="223" s="1"/>
  <c r="BJ36" i="223"/>
  <c r="BK36" i="223" s="1"/>
  <c r="BJ37" i="223"/>
  <c r="BK37" i="223" s="1"/>
  <c r="BJ40" i="223"/>
  <c r="BK40" i="223" s="1"/>
  <c r="BJ42" i="223"/>
  <c r="BK42" i="223" s="1"/>
  <c r="B21" i="135"/>
  <c r="F21" i="135"/>
  <c r="K21" i="135"/>
  <c r="P21" i="135"/>
  <c r="T21" i="135"/>
  <c r="F19" i="135"/>
  <c r="P19" i="135"/>
  <c r="I14" i="223"/>
  <c r="BJ38" i="223"/>
  <c r="BK38" i="223" s="1"/>
  <c r="O43" i="223"/>
  <c r="O45" i="223"/>
  <c r="O46" i="223"/>
  <c r="O47" i="223"/>
  <c r="O49" i="223"/>
  <c r="O51" i="223"/>
  <c r="O53" i="223"/>
  <c r="O55" i="223"/>
  <c r="O57" i="223"/>
  <c r="O58" i="223"/>
  <c r="O59" i="223"/>
  <c r="O61" i="223"/>
  <c r="C21" i="135"/>
  <c r="G21" i="135"/>
  <c r="L21" i="135"/>
  <c r="Q21" i="135"/>
  <c r="U21" i="135"/>
  <c r="G19" i="135"/>
  <c r="Q19" i="135"/>
  <c r="D19" i="135"/>
  <c r="M19" i="135"/>
  <c r="B19" i="135"/>
  <c r="K19" i="135"/>
  <c r="T19" i="135"/>
  <c r="O34" i="223"/>
  <c r="O36" i="223"/>
  <c r="O40" i="223"/>
  <c r="O41" i="223"/>
  <c r="AW43" i="223"/>
  <c r="AW45" i="223"/>
  <c r="AW47" i="223"/>
  <c r="AW49" i="223"/>
  <c r="O50" i="223"/>
  <c r="AW51" i="223"/>
  <c r="AW53" i="223"/>
  <c r="O54" i="223"/>
  <c r="AW55" i="223"/>
  <c r="AW57" i="223"/>
  <c r="AW59" i="223"/>
  <c r="AW61" i="223"/>
  <c r="E19" i="135"/>
  <c r="J19" i="135"/>
  <c r="C19" i="135"/>
  <c r="L19" i="135"/>
  <c r="U19" i="135"/>
  <c r="E21" i="135"/>
  <c r="D21" i="135"/>
  <c r="M21" i="135"/>
  <c r="S5" i="135"/>
  <c r="S14" i="135" s="1"/>
  <c r="S16" i="135" s="1"/>
  <c r="S21" i="135" s="1"/>
  <c r="J14" i="135"/>
  <c r="J16" i="135" s="1"/>
  <c r="J21" i="135" s="1"/>
  <c r="N14" i="135"/>
  <c r="N16" i="135" s="1"/>
  <c r="N21" i="135" s="1"/>
  <c r="R5" i="135"/>
  <c r="R14" i="135" s="1"/>
  <c r="R16" i="135" s="1"/>
  <c r="R21" i="135" s="1"/>
  <c r="I14" i="135"/>
  <c r="I16" i="135" s="1"/>
  <c r="I21" i="135" s="1"/>
  <c r="M14" i="135"/>
  <c r="M16" i="135" s="1"/>
  <c r="U16" i="223"/>
  <c r="U21" i="223" s="1"/>
  <c r="U19" i="223"/>
  <c r="Q16" i="223"/>
  <c r="Q21" i="223" s="1"/>
  <c r="Q19" i="223"/>
  <c r="D19" i="223"/>
  <c r="D16" i="223"/>
  <c r="D21" i="223" s="1"/>
  <c r="C19" i="223"/>
  <c r="C22" i="223" s="1"/>
  <c r="R19" i="223"/>
  <c r="R16" i="223"/>
  <c r="R21" i="223" s="1"/>
  <c r="J14" i="223"/>
  <c r="N14" i="223"/>
  <c r="I19" i="223"/>
  <c r="I16" i="223"/>
  <c r="I21" i="223" s="1"/>
  <c r="M19" i="223"/>
  <c r="M16" i="223"/>
  <c r="M21" i="223" s="1"/>
  <c r="B16" i="223"/>
  <c r="B21" i="223" s="1"/>
  <c r="B19" i="223"/>
  <c r="B22" i="223" s="1"/>
  <c r="P33" i="223" s="1"/>
  <c r="B17" i="223"/>
  <c r="F16" i="223"/>
  <c r="F21" i="223" s="1"/>
  <c r="F19" i="223"/>
  <c r="K63" i="223"/>
  <c r="K62" i="223"/>
  <c r="AY31" i="223"/>
  <c r="AX32" i="223"/>
  <c r="Q32" i="223"/>
  <c r="L14" i="223"/>
  <c r="O31" i="223"/>
  <c r="S19" i="223"/>
  <c r="S22" i="223" s="1"/>
  <c r="AO36" i="223" s="1"/>
  <c r="S17" i="223"/>
  <c r="E19" i="223"/>
  <c r="E16" i="223"/>
  <c r="E21" i="223" s="1"/>
  <c r="C17" i="223"/>
  <c r="G19" i="223"/>
  <c r="G22" i="223" s="1"/>
  <c r="O32" i="223"/>
  <c r="BF63" i="223"/>
  <c r="BF62" i="223"/>
  <c r="BF64" i="223" s="1"/>
  <c r="O39" i="223"/>
  <c r="J63" i="223"/>
  <c r="J62" i="223"/>
  <c r="N63" i="223"/>
  <c r="N62" i="223"/>
  <c r="BE63" i="223"/>
  <c r="BE62" i="223"/>
  <c r="BI63" i="223"/>
  <c r="BI62" i="223"/>
  <c r="AZ41" i="223"/>
  <c r="AY42" i="223"/>
  <c r="AX43" i="223"/>
  <c r="Q43" i="223"/>
  <c r="BB43" i="223"/>
  <c r="U43" i="223"/>
  <c r="AW44" i="223"/>
  <c r="O44" i="223"/>
  <c r="BJ31" i="223"/>
  <c r="O35" i="223"/>
  <c r="P5" i="223"/>
  <c r="P14" i="223" s="1"/>
  <c r="T5" i="223"/>
  <c r="T14" i="223" s="1"/>
  <c r="K14" i="223"/>
  <c r="U32" i="223"/>
  <c r="AZ32" i="223"/>
  <c r="AY33" i="223"/>
  <c r="BC33" i="223" s="1"/>
  <c r="AX34" i="223"/>
  <c r="BB34" i="223"/>
  <c r="AW35" i="223"/>
  <c r="BA35" i="223"/>
  <c r="Q36" i="223"/>
  <c r="U36" i="223"/>
  <c r="AZ36" i="223"/>
  <c r="AY37" i="223"/>
  <c r="BC37" i="223" s="1"/>
  <c r="O38" i="223"/>
  <c r="AO38" i="223"/>
  <c r="AX38" i="223"/>
  <c r="BB38" i="223"/>
  <c r="AW39" i="223"/>
  <c r="BC39" i="223" s="1"/>
  <c r="BA39" i="223"/>
  <c r="Q40" i="223"/>
  <c r="U40" i="223"/>
  <c r="AZ40" i="223"/>
  <c r="BC40" i="223" s="1"/>
  <c r="O42" i="223"/>
  <c r="BJ43" i="223"/>
  <c r="BK43" i="223" s="1"/>
  <c r="I63" i="223"/>
  <c r="I62" i="223"/>
  <c r="BH63" i="223"/>
  <c r="BH62" i="223"/>
  <c r="P41" i="223"/>
  <c r="AY41" i="223"/>
  <c r="AO47" i="223"/>
  <c r="AO51" i="223"/>
  <c r="AO55" i="223"/>
  <c r="AO59" i="223"/>
  <c r="M63" i="223"/>
  <c r="M62" i="223"/>
  <c r="BD63" i="223"/>
  <c r="BD62" i="223"/>
  <c r="H63" i="223"/>
  <c r="H62" i="223"/>
  <c r="L63" i="223"/>
  <c r="L62" i="223"/>
  <c r="BG62" i="223"/>
  <c r="BG63" i="223"/>
  <c r="Q41" i="223"/>
  <c r="AX41" i="223"/>
  <c r="U41" i="223"/>
  <c r="BB41" i="223"/>
  <c r="P42" i="223"/>
  <c r="AW42" i="223"/>
  <c r="BA42" i="223"/>
  <c r="AO43" i="223"/>
  <c r="AZ43" i="223"/>
  <c r="O33" i="223"/>
  <c r="O37" i="223"/>
  <c r="P31" i="223"/>
  <c r="Q34" i="223"/>
  <c r="U34" i="223"/>
  <c r="P35" i="223"/>
  <c r="Q38" i="223"/>
  <c r="U38" i="223"/>
  <c r="P39" i="223"/>
  <c r="AW41" i="223"/>
  <c r="BJ41" i="223"/>
  <c r="BK41" i="223" s="1"/>
  <c r="AY44" i="223"/>
  <c r="AO45" i="223"/>
  <c r="AX45" i="223"/>
  <c r="BB45" i="223"/>
  <c r="AW46" i="223"/>
  <c r="BA46" i="223"/>
  <c r="Q47" i="223"/>
  <c r="U47" i="223"/>
  <c r="AZ47" i="223"/>
  <c r="BC47" i="223" s="1"/>
  <c r="P48" i="223"/>
  <c r="AY48" i="223"/>
  <c r="BC48" i="223" s="1"/>
  <c r="AO49" i="223"/>
  <c r="AX49" i="223"/>
  <c r="BB49" i="223"/>
  <c r="BC49" i="223" s="1"/>
  <c r="AW50" i="223"/>
  <c r="BA50" i="223"/>
  <c r="Q51" i="223"/>
  <c r="U51" i="223"/>
  <c r="AZ51" i="223"/>
  <c r="P52" i="223"/>
  <c r="AY52" i="223"/>
  <c r="BC52" i="223" s="1"/>
  <c r="AO53" i="223"/>
  <c r="AX53" i="223"/>
  <c r="BB53" i="223"/>
  <c r="AW54" i="223"/>
  <c r="BA54" i="223"/>
  <c r="Q55" i="223"/>
  <c r="U55" i="223"/>
  <c r="AZ55" i="223"/>
  <c r="BC55" i="223" s="1"/>
  <c r="P56" i="223"/>
  <c r="AY56" i="223"/>
  <c r="BC56" i="223" s="1"/>
  <c r="AO57" i="223"/>
  <c r="AX57" i="223"/>
  <c r="BB57" i="223"/>
  <c r="AW58" i="223"/>
  <c r="BA58" i="223"/>
  <c r="Q59" i="223"/>
  <c r="U59" i="223"/>
  <c r="AZ59" i="223"/>
  <c r="BC59" i="223" s="1"/>
  <c r="P60" i="223"/>
  <c r="AY60" i="223"/>
  <c r="BC60" i="223" s="1"/>
  <c r="AO61" i="223"/>
  <c r="AX61" i="223"/>
  <c r="BB61" i="223"/>
  <c r="O48" i="223"/>
  <c r="O52" i="223"/>
  <c r="O56" i="223"/>
  <c r="O60" i="223"/>
  <c r="Q45" i="223"/>
  <c r="U45" i="223"/>
  <c r="P46" i="223"/>
  <c r="Q49" i="223"/>
  <c r="U49" i="223"/>
  <c r="P50" i="223"/>
  <c r="AY50" i="223"/>
  <c r="Q53" i="223"/>
  <c r="U53" i="223"/>
  <c r="P54" i="223"/>
  <c r="AY54" i="223"/>
  <c r="Q57" i="223"/>
  <c r="U57" i="223"/>
  <c r="P58" i="223"/>
  <c r="Q61" i="223"/>
  <c r="U61" i="223"/>
  <c r="BC61" i="223" l="1"/>
  <c r="BC57" i="223"/>
  <c r="AZ63" i="223"/>
  <c r="BC45" i="223"/>
  <c r="BC41" i="223"/>
  <c r="AX63" i="223"/>
  <c r="BG64" i="223"/>
  <c r="AO34" i="223"/>
  <c r="P44" i="223"/>
  <c r="BC32" i="223"/>
  <c r="I17" i="223"/>
  <c r="U23" i="135"/>
  <c r="U22" i="135"/>
  <c r="N19" i="135"/>
  <c r="K22" i="135"/>
  <c r="K24" i="135" s="1"/>
  <c r="K23" i="135"/>
  <c r="I19" i="135"/>
  <c r="F22" i="135"/>
  <c r="F23" i="135"/>
  <c r="I22" i="223"/>
  <c r="Q17" i="223"/>
  <c r="L22" i="135"/>
  <c r="L23" i="135"/>
  <c r="J23" i="135"/>
  <c r="J22" i="135"/>
  <c r="B22" i="135"/>
  <c r="B23" i="135"/>
  <c r="D22" i="135"/>
  <c r="D24" i="135" s="1"/>
  <c r="D23" i="135"/>
  <c r="BB63" i="223"/>
  <c r="BA63" i="223"/>
  <c r="BC38" i="223"/>
  <c r="P37" i="223"/>
  <c r="BB62" i="223"/>
  <c r="AO41" i="223"/>
  <c r="K64" i="223"/>
  <c r="Q22" i="223"/>
  <c r="C23" i="135"/>
  <c r="C22" i="135"/>
  <c r="E23" i="135"/>
  <c r="E22" i="135"/>
  <c r="R19" i="135"/>
  <c r="Q23" i="135"/>
  <c r="Q22" i="135"/>
  <c r="G17" i="223"/>
  <c r="AZ62" i="223"/>
  <c r="AZ64" i="223" s="1"/>
  <c r="BA62" i="223"/>
  <c r="BA64" i="223" s="1"/>
  <c r="S19" i="135"/>
  <c r="T23" i="135"/>
  <c r="T22" i="135"/>
  <c r="T24" i="135" s="1"/>
  <c r="M23" i="135"/>
  <c r="M22" i="135"/>
  <c r="G23" i="135"/>
  <c r="G22" i="135"/>
  <c r="G24" i="135" s="1"/>
  <c r="P23" i="135"/>
  <c r="P22" i="135"/>
  <c r="BB64" i="223"/>
  <c r="P16" i="223"/>
  <c r="P21" i="223" s="1"/>
  <c r="P19" i="223"/>
  <c r="O63" i="223"/>
  <c r="O62" i="223"/>
  <c r="O64" i="223" s="1"/>
  <c r="P61" i="223"/>
  <c r="P57" i="223"/>
  <c r="P53" i="223"/>
  <c r="P49" i="223"/>
  <c r="P45" i="223"/>
  <c r="P59" i="223"/>
  <c r="P55" i="223"/>
  <c r="P51" i="223"/>
  <c r="P47" i="223"/>
  <c r="P36" i="223"/>
  <c r="P32" i="223"/>
  <c r="P40" i="223"/>
  <c r="B24" i="223"/>
  <c r="B23" i="223" s="1"/>
  <c r="P43" i="223"/>
  <c r="P38" i="223"/>
  <c r="P34" i="223"/>
  <c r="AM60" i="223"/>
  <c r="AM56" i="223"/>
  <c r="AM52" i="223"/>
  <c r="AM48" i="223"/>
  <c r="AM44" i="223"/>
  <c r="AM58" i="223"/>
  <c r="AM54" i="223"/>
  <c r="AM50" i="223"/>
  <c r="AM46" i="223"/>
  <c r="AM39" i="223"/>
  <c r="AM35" i="223"/>
  <c r="AM31" i="223"/>
  <c r="AM42" i="223"/>
  <c r="AM33" i="223"/>
  <c r="AM37" i="223"/>
  <c r="Q24" i="223"/>
  <c r="Q23" i="223" s="1"/>
  <c r="BC42" i="223"/>
  <c r="E17" i="223"/>
  <c r="F17" i="223"/>
  <c r="M22" i="223"/>
  <c r="T16" i="223"/>
  <c r="T21" i="223" s="1"/>
  <c r="T19" i="223"/>
  <c r="AO58" i="223"/>
  <c r="AO54" i="223"/>
  <c r="AO50" i="223"/>
  <c r="AO46" i="223"/>
  <c r="AO60" i="223"/>
  <c r="AO56" i="223"/>
  <c r="AO52" i="223"/>
  <c r="AO48" i="223"/>
  <c r="AO44" i="223"/>
  <c r="AO37" i="223"/>
  <c r="AO33" i="223"/>
  <c r="S24" i="223"/>
  <c r="S23" i="223" s="1"/>
  <c r="AO31" i="223"/>
  <c r="AO42" i="223"/>
  <c r="AO39" i="223"/>
  <c r="AO35" i="223"/>
  <c r="AA59" i="223"/>
  <c r="AA55" i="223"/>
  <c r="AA51" i="223"/>
  <c r="AA47" i="223"/>
  <c r="AA61" i="223"/>
  <c r="AA57" i="223"/>
  <c r="AA53" i="223"/>
  <c r="AA49" i="223"/>
  <c r="AA45" i="223"/>
  <c r="AA43" i="223"/>
  <c r="I24" i="223"/>
  <c r="I23" i="223" s="1"/>
  <c r="AA38" i="223"/>
  <c r="AA34" i="223"/>
  <c r="AA40" i="223"/>
  <c r="AA36" i="223"/>
  <c r="AA32" i="223"/>
  <c r="J19" i="223"/>
  <c r="J22" i="223" s="1"/>
  <c r="J17" i="223"/>
  <c r="J16" i="223"/>
  <c r="J21" i="223" s="1"/>
  <c r="BC53" i="223"/>
  <c r="BC51" i="223"/>
  <c r="H64" i="223"/>
  <c r="M64" i="223"/>
  <c r="BH64" i="223"/>
  <c r="I64" i="223"/>
  <c r="BC35" i="223"/>
  <c r="BI64" i="223"/>
  <c r="N64" i="223"/>
  <c r="M17" i="223"/>
  <c r="BC36" i="223"/>
  <c r="AO40" i="223"/>
  <c r="AW63" i="223"/>
  <c r="U17" i="223"/>
  <c r="K16" i="223"/>
  <c r="K21" i="223" s="1"/>
  <c r="K19" i="223"/>
  <c r="N19" i="223"/>
  <c r="N22" i="223" s="1"/>
  <c r="N17" i="223"/>
  <c r="N16" i="223"/>
  <c r="N21" i="223" s="1"/>
  <c r="Q60" i="223"/>
  <c r="Q56" i="223"/>
  <c r="Q52" i="223"/>
  <c r="Q48" i="223"/>
  <c r="Q44" i="223"/>
  <c r="Q58" i="223"/>
  <c r="Q54" i="223"/>
  <c r="Q50" i="223"/>
  <c r="Q46" i="223"/>
  <c r="Q39" i="223"/>
  <c r="Q35" i="223"/>
  <c r="Q31" i="223"/>
  <c r="Q42" i="223"/>
  <c r="Q37" i="223"/>
  <c r="Q33" i="223"/>
  <c r="C24" i="223"/>
  <c r="C23" i="223" s="1"/>
  <c r="BC44" i="223"/>
  <c r="BC43" i="223"/>
  <c r="R22" i="223"/>
  <c r="AW62" i="223"/>
  <c r="AW64" i="223" s="1"/>
  <c r="D22" i="223"/>
  <c r="U22" i="223"/>
  <c r="BJ63" i="223"/>
  <c r="BJ62" i="223"/>
  <c r="BJ64" i="223" s="1"/>
  <c r="BK31" i="223"/>
  <c r="U60" i="223"/>
  <c r="U56" i="223"/>
  <c r="U52" i="223"/>
  <c r="U48" i="223"/>
  <c r="U44" i="223"/>
  <c r="U58" i="223"/>
  <c r="U54" i="223"/>
  <c r="U50" i="223"/>
  <c r="U46" i="223"/>
  <c r="U39" i="223"/>
  <c r="U35" i="223"/>
  <c r="U42" i="223"/>
  <c r="U31" i="223"/>
  <c r="U37" i="223"/>
  <c r="U33" i="223"/>
  <c r="G24" i="223"/>
  <c r="G23" i="223" s="1"/>
  <c r="L16" i="223"/>
  <c r="L21" i="223" s="1"/>
  <c r="L19" i="223"/>
  <c r="L22" i="223" s="1"/>
  <c r="L17" i="223"/>
  <c r="AY62" i="223"/>
  <c r="AY63" i="223"/>
  <c r="BC58" i="223"/>
  <c r="BC54" i="223"/>
  <c r="BC50" i="223"/>
  <c r="BC46" i="223"/>
  <c r="L64" i="223"/>
  <c r="BD64" i="223"/>
  <c r="BC34" i="223"/>
  <c r="BE64" i="223"/>
  <c r="J64" i="223"/>
  <c r="AX62" i="223"/>
  <c r="AX64" i="223" s="1"/>
  <c r="E22" i="223"/>
  <c r="F22" i="223"/>
  <c r="R17" i="223"/>
  <c r="AO32" i="223"/>
  <c r="BC31" i="223"/>
  <c r="D17" i="223"/>
  <c r="T22" i="223" l="1"/>
  <c r="P24" i="135"/>
  <c r="M24" i="135"/>
  <c r="S22" i="135"/>
  <c r="S23" i="135"/>
  <c r="Q24" i="135"/>
  <c r="AA42" i="223"/>
  <c r="AA44" i="223"/>
  <c r="AA46" i="223"/>
  <c r="AA50" i="223"/>
  <c r="AA54" i="223"/>
  <c r="AA58" i="223"/>
  <c r="AA52" i="223"/>
  <c r="AA56" i="223"/>
  <c r="AA60" i="223"/>
  <c r="AA31" i="223"/>
  <c r="AA35" i="223"/>
  <c r="AA41" i="223"/>
  <c r="AA39" i="223"/>
  <c r="AA33" i="223"/>
  <c r="AA37" i="223"/>
  <c r="AA48" i="223"/>
  <c r="C24" i="135"/>
  <c r="R22" i="135"/>
  <c r="R23" i="135"/>
  <c r="B24" i="135"/>
  <c r="L24" i="135"/>
  <c r="F24" i="135"/>
  <c r="N23" i="135"/>
  <c r="N22" i="135"/>
  <c r="K17" i="223"/>
  <c r="T17" i="223"/>
  <c r="E24" i="135"/>
  <c r="AM32" i="223"/>
  <c r="AM34" i="223"/>
  <c r="AM43" i="223"/>
  <c r="AM53" i="223"/>
  <c r="AM40" i="223"/>
  <c r="AM38" i="223"/>
  <c r="AM57" i="223"/>
  <c r="AM41" i="223"/>
  <c r="AM51" i="223"/>
  <c r="AM59" i="223"/>
  <c r="AM45" i="223"/>
  <c r="AM61" i="223"/>
  <c r="AM47" i="223"/>
  <c r="AM55" i="223"/>
  <c r="AM49" i="223"/>
  <c r="AM36" i="223"/>
  <c r="J24" i="135"/>
  <c r="I23" i="135"/>
  <c r="I22" i="135"/>
  <c r="U24" i="135"/>
  <c r="T61" i="223"/>
  <c r="T57" i="223"/>
  <c r="T53" i="223"/>
  <c r="T49" i="223"/>
  <c r="T45" i="223"/>
  <c r="T59" i="223"/>
  <c r="T55" i="223"/>
  <c r="T51" i="223"/>
  <c r="T47" i="223"/>
  <c r="T36" i="223"/>
  <c r="T32" i="223"/>
  <c r="T43" i="223"/>
  <c r="T40" i="223"/>
  <c r="F24" i="223"/>
  <c r="F23" i="223" s="1"/>
  <c r="T41" i="223"/>
  <c r="T34" i="223"/>
  <c r="T38" i="223"/>
  <c r="T42" i="223"/>
  <c r="T54" i="223"/>
  <c r="T33" i="223"/>
  <c r="T37" i="223"/>
  <c r="T50" i="223"/>
  <c r="T31" i="223"/>
  <c r="T35" i="223"/>
  <c r="T39" i="223"/>
  <c r="T44" i="223"/>
  <c r="T46" i="223"/>
  <c r="T48" i="223"/>
  <c r="T52" i="223"/>
  <c r="T56" i="223"/>
  <c r="T60" i="223"/>
  <c r="T58" i="223"/>
  <c r="U63" i="223"/>
  <c r="U62" i="223"/>
  <c r="U64" i="223" s="1"/>
  <c r="AQ60" i="223"/>
  <c r="AQ56" i="223"/>
  <c r="AQ52" i="223"/>
  <c r="AQ48" i="223"/>
  <c r="AQ44" i="223"/>
  <c r="AQ58" i="223"/>
  <c r="AQ54" i="223"/>
  <c r="AQ50" i="223"/>
  <c r="AQ46" i="223"/>
  <c r="AQ39" i="223"/>
  <c r="AQ35" i="223"/>
  <c r="AQ31" i="223"/>
  <c r="AQ42" i="223"/>
  <c r="AQ37" i="223"/>
  <c r="AQ33" i="223"/>
  <c r="U24" i="223"/>
  <c r="U23" i="223" s="1"/>
  <c r="AQ45" i="223"/>
  <c r="AQ53" i="223"/>
  <c r="AQ61" i="223"/>
  <c r="AQ32" i="223"/>
  <c r="AQ36" i="223"/>
  <c r="AQ34" i="223"/>
  <c r="AQ41" i="223"/>
  <c r="AQ49" i="223"/>
  <c r="AQ57" i="223"/>
  <c r="AQ47" i="223"/>
  <c r="AQ51" i="223"/>
  <c r="AQ55" i="223"/>
  <c r="AQ59" i="223"/>
  <c r="AQ38" i="223"/>
  <c r="AQ43" i="223"/>
  <c r="AQ40" i="223"/>
  <c r="Q63" i="223"/>
  <c r="Q62" i="223"/>
  <c r="K22" i="223"/>
  <c r="AD60" i="223"/>
  <c r="AD56" i="223"/>
  <c r="AD52" i="223"/>
  <c r="AD48" i="223"/>
  <c r="AD44" i="223"/>
  <c r="AD58" i="223"/>
  <c r="AD54" i="223"/>
  <c r="AD50" i="223"/>
  <c r="AD46" i="223"/>
  <c r="AD39" i="223"/>
  <c r="AD35" i="223"/>
  <c r="AD31" i="223"/>
  <c r="AD42" i="223"/>
  <c r="AD37" i="223"/>
  <c r="AD33" i="223"/>
  <c r="L24" i="223"/>
  <c r="L23" i="223" s="1"/>
  <c r="AD41" i="223"/>
  <c r="AD34" i="223"/>
  <c r="AD38" i="223"/>
  <c r="AD47" i="223"/>
  <c r="AD51" i="223"/>
  <c r="AD55" i="223"/>
  <c r="AD59" i="223"/>
  <c r="AD45" i="223"/>
  <c r="AD61" i="223"/>
  <c r="AD32" i="223"/>
  <c r="AD40" i="223"/>
  <c r="AD57" i="223"/>
  <c r="AD36" i="223"/>
  <c r="AD43" i="223"/>
  <c r="AD53" i="223"/>
  <c r="AD49" i="223"/>
  <c r="AN59" i="223"/>
  <c r="AN55" i="223"/>
  <c r="AN51" i="223"/>
  <c r="AN47" i="223"/>
  <c r="AN61" i="223"/>
  <c r="AN57" i="223"/>
  <c r="AN53" i="223"/>
  <c r="AN49" i="223"/>
  <c r="AN45" i="223"/>
  <c r="R24" i="223"/>
  <c r="AN38" i="223"/>
  <c r="AN34" i="223"/>
  <c r="AN43" i="223"/>
  <c r="R23" i="223"/>
  <c r="AN40" i="223"/>
  <c r="AN36" i="223"/>
  <c r="AN32" i="223"/>
  <c r="AN48" i="223"/>
  <c r="AN60" i="223"/>
  <c r="AN37" i="223"/>
  <c r="AN52" i="223"/>
  <c r="AN46" i="223"/>
  <c r="AN50" i="223"/>
  <c r="AN54" i="223"/>
  <c r="AN58" i="223"/>
  <c r="AN31" i="223"/>
  <c r="AN39" i="223"/>
  <c r="AN33" i="223"/>
  <c r="AN41" i="223"/>
  <c r="AN42" i="223"/>
  <c r="AN35" i="223"/>
  <c r="AN44" i="223"/>
  <c r="AN56" i="223"/>
  <c r="AB58" i="223"/>
  <c r="AB54" i="223"/>
  <c r="AB50" i="223"/>
  <c r="AB46" i="223"/>
  <c r="AB60" i="223"/>
  <c r="AB56" i="223"/>
  <c r="AB52" i="223"/>
  <c r="AB48" i="223"/>
  <c r="AB44" i="223"/>
  <c r="AB42" i="223"/>
  <c r="AB37" i="223"/>
  <c r="J24" i="223"/>
  <c r="J23" i="223" s="1"/>
  <c r="AB31" i="223"/>
  <c r="AB33" i="223"/>
  <c r="AB39" i="223"/>
  <c r="AB35" i="223"/>
  <c r="AB43" i="223"/>
  <c r="AB55" i="223"/>
  <c r="AB45" i="223"/>
  <c r="AB49" i="223"/>
  <c r="AB53" i="223"/>
  <c r="AB57" i="223"/>
  <c r="AB61" i="223"/>
  <c r="AB51" i="223"/>
  <c r="AB38" i="223"/>
  <c r="AB41" i="223"/>
  <c r="AB47" i="223"/>
  <c r="AB59" i="223"/>
  <c r="AB32" i="223"/>
  <c r="AB34" i="223"/>
  <c r="AB36" i="223"/>
  <c r="AB40" i="223"/>
  <c r="AP61" i="223"/>
  <c r="AP57" i="223"/>
  <c r="AP53" i="223"/>
  <c r="AP49" i="223"/>
  <c r="AP45" i="223"/>
  <c r="AP59" i="223"/>
  <c r="AP55" i="223"/>
  <c r="AP51" i="223"/>
  <c r="AP47" i="223"/>
  <c r="AP36" i="223"/>
  <c r="AP32" i="223"/>
  <c r="AP41" i="223"/>
  <c r="AP40" i="223"/>
  <c r="T24" i="223"/>
  <c r="T23" i="223" s="1"/>
  <c r="AP43" i="223"/>
  <c r="AP38" i="223"/>
  <c r="AP34" i="223"/>
  <c r="AP35" i="223"/>
  <c r="AP31" i="223"/>
  <c r="AP44" i="223"/>
  <c r="AP48" i="223"/>
  <c r="AP52" i="223"/>
  <c r="AP56" i="223"/>
  <c r="AP60" i="223"/>
  <c r="AP39" i="223"/>
  <c r="AP46" i="223"/>
  <c r="AP58" i="223"/>
  <c r="AP42" i="223"/>
  <c r="AP33" i="223"/>
  <c r="AP37" i="223"/>
  <c r="AP50" i="223"/>
  <c r="AP54" i="223"/>
  <c r="BK62" i="223"/>
  <c r="BK63" i="223"/>
  <c r="AF58" i="223"/>
  <c r="AF54" i="223"/>
  <c r="AF50" i="223"/>
  <c r="AF46" i="223"/>
  <c r="AF60" i="223"/>
  <c r="AF56" i="223"/>
  <c r="AF52" i="223"/>
  <c r="AF48" i="223"/>
  <c r="AF44" i="223"/>
  <c r="AF37" i="223"/>
  <c r="AF33" i="223"/>
  <c r="N24" i="223"/>
  <c r="N23" i="223" s="1"/>
  <c r="AF42" i="223"/>
  <c r="AF35" i="223"/>
  <c r="AF39" i="223"/>
  <c r="AF31" i="223"/>
  <c r="AF43" i="223"/>
  <c r="AF45" i="223"/>
  <c r="AF49" i="223"/>
  <c r="AF53" i="223"/>
  <c r="AF57" i="223"/>
  <c r="AF61" i="223"/>
  <c r="AF51" i="223"/>
  <c r="AF38" i="223"/>
  <c r="AF47" i="223"/>
  <c r="AF34" i="223"/>
  <c r="AF41" i="223"/>
  <c r="AF32" i="223"/>
  <c r="AF36" i="223"/>
  <c r="AF40" i="223"/>
  <c r="AF59" i="223"/>
  <c r="AF55" i="223"/>
  <c r="AM63" i="223"/>
  <c r="AM62" i="223"/>
  <c r="V47" i="223"/>
  <c r="X47" i="223" s="1"/>
  <c r="P22" i="223"/>
  <c r="P63" i="223"/>
  <c r="BC62" i="223"/>
  <c r="BC63" i="223"/>
  <c r="S58" i="223"/>
  <c r="S54" i="223"/>
  <c r="S50" i="223"/>
  <c r="S46" i="223"/>
  <c r="S60" i="223"/>
  <c r="S56" i="223"/>
  <c r="S52" i="223"/>
  <c r="S48" i="223"/>
  <c r="S44" i="223"/>
  <c r="S42" i="223"/>
  <c r="S37" i="223"/>
  <c r="S33" i="223"/>
  <c r="E24" i="223"/>
  <c r="S39" i="223"/>
  <c r="S35" i="223"/>
  <c r="S31" i="223"/>
  <c r="E23" i="223"/>
  <c r="S34" i="223"/>
  <c r="S43" i="223"/>
  <c r="S36" i="223"/>
  <c r="S40" i="223"/>
  <c r="S59" i="223"/>
  <c r="S55" i="223"/>
  <c r="S41" i="223"/>
  <c r="S45" i="223"/>
  <c r="S49" i="223"/>
  <c r="S53" i="223"/>
  <c r="S57" i="223"/>
  <c r="S61" i="223"/>
  <c r="S51" i="223"/>
  <c r="S38" i="223"/>
  <c r="S32" i="223"/>
  <c r="S47" i="223"/>
  <c r="R59" i="223"/>
  <c r="R55" i="223"/>
  <c r="V55" i="223" s="1"/>
  <c r="X55" i="223" s="1"/>
  <c r="R51" i="223"/>
  <c r="V51" i="223" s="1"/>
  <c r="X51" i="223" s="1"/>
  <c r="R47" i="223"/>
  <c r="R61" i="223"/>
  <c r="V61" i="223" s="1"/>
  <c r="X61" i="223" s="1"/>
  <c r="R57" i="223"/>
  <c r="R53" i="223"/>
  <c r="V53" i="223" s="1"/>
  <c r="X53" i="223" s="1"/>
  <c r="R49" i="223"/>
  <c r="R45" i="223"/>
  <c r="V45" i="223" s="1"/>
  <c r="X45" i="223" s="1"/>
  <c r="R43" i="223"/>
  <c r="V43" i="223" s="1"/>
  <c r="X43" i="223" s="1"/>
  <c r="D24" i="223"/>
  <c r="D23" i="223" s="1"/>
  <c r="R38" i="223"/>
  <c r="V38" i="223" s="1"/>
  <c r="X38" i="223" s="1"/>
  <c r="R34" i="223"/>
  <c r="V34" i="223" s="1"/>
  <c r="X34" i="223" s="1"/>
  <c r="R36" i="223"/>
  <c r="R32" i="223"/>
  <c r="V32" i="223" s="1"/>
  <c r="X32" i="223" s="1"/>
  <c r="R40" i="223"/>
  <c r="V40" i="223" s="1"/>
  <c r="X40" i="223" s="1"/>
  <c r="R46" i="223"/>
  <c r="V46" i="223" s="1"/>
  <c r="X46" i="223" s="1"/>
  <c r="R50" i="223"/>
  <c r="V50" i="223" s="1"/>
  <c r="X50" i="223" s="1"/>
  <c r="R54" i="223"/>
  <c r="R58" i="223"/>
  <c r="V58" i="223" s="1"/>
  <c r="X58" i="223" s="1"/>
  <c r="R44" i="223"/>
  <c r="V44" i="223" s="1"/>
  <c r="X44" i="223" s="1"/>
  <c r="R48" i="223"/>
  <c r="V48" i="223" s="1"/>
  <c r="X48" i="223" s="1"/>
  <c r="R31" i="223"/>
  <c r="V31" i="223" s="1"/>
  <c r="R39" i="223"/>
  <c r="V39" i="223" s="1"/>
  <c r="X39" i="223" s="1"/>
  <c r="R41" i="223"/>
  <c r="V41" i="223" s="1"/>
  <c r="X41" i="223" s="1"/>
  <c r="R33" i="223"/>
  <c r="V33" i="223" s="1"/>
  <c r="X33" i="223" s="1"/>
  <c r="R37" i="223"/>
  <c r="V37" i="223" s="1"/>
  <c r="X37" i="223" s="1"/>
  <c r="R60" i="223"/>
  <c r="V60" i="223" s="1"/>
  <c r="X60" i="223" s="1"/>
  <c r="R42" i="223"/>
  <c r="V42" i="223" s="1"/>
  <c r="X42" i="223" s="1"/>
  <c r="R35" i="223"/>
  <c r="V35" i="223" s="1"/>
  <c r="X35" i="223" s="1"/>
  <c r="R56" i="223"/>
  <c r="R52" i="223"/>
  <c r="V52" i="223" s="1"/>
  <c r="X52" i="223" s="1"/>
  <c r="AO63" i="223"/>
  <c r="AO62" i="223"/>
  <c r="AE59" i="223"/>
  <c r="AE55" i="223"/>
  <c r="AE51" i="223"/>
  <c r="AE47" i="223"/>
  <c r="AE61" i="223"/>
  <c r="AE57" i="223"/>
  <c r="AE53" i="223"/>
  <c r="AE49" i="223"/>
  <c r="AE45" i="223"/>
  <c r="AE41" i="223"/>
  <c r="M24" i="223"/>
  <c r="M23" i="223" s="1"/>
  <c r="AE38" i="223"/>
  <c r="AE34" i="223"/>
  <c r="AE43" i="223"/>
  <c r="AE40" i="223"/>
  <c r="AE36" i="223"/>
  <c r="AE32" i="223"/>
  <c r="AE35" i="223"/>
  <c r="AE56" i="223"/>
  <c r="AE60" i="223"/>
  <c r="AE52" i="223"/>
  <c r="AE42" i="223"/>
  <c r="AE46" i="223"/>
  <c r="AE50" i="223"/>
  <c r="AE54" i="223"/>
  <c r="AE58" i="223"/>
  <c r="AE48" i="223"/>
  <c r="AE44" i="223"/>
  <c r="AE31" i="223"/>
  <c r="AE39" i="223"/>
  <c r="AE33" i="223"/>
  <c r="AE37" i="223"/>
  <c r="AY64" i="223"/>
  <c r="V59" i="223"/>
  <c r="X59" i="223" s="1"/>
  <c r="V57" i="223"/>
  <c r="X57" i="223" s="1"/>
  <c r="P17" i="223"/>
  <c r="P62" i="223"/>
  <c r="P64" i="223" s="1"/>
  <c r="AO64" i="223" l="1"/>
  <c r="V36" i="223"/>
  <c r="X36" i="223" s="1"/>
  <c r="AM64" i="223"/>
  <c r="BK64" i="223"/>
  <c r="I24" i="135"/>
  <c r="R24" i="135"/>
  <c r="AA63" i="223"/>
  <c r="AA62" i="223"/>
  <c r="S24" i="135"/>
  <c r="V49" i="223"/>
  <c r="X49" i="223" s="1"/>
  <c r="N24" i="135"/>
  <c r="Z39" i="223"/>
  <c r="Y39" i="223" s="1"/>
  <c r="Z40" i="223"/>
  <c r="Y40" i="223" s="1"/>
  <c r="Z38" i="223"/>
  <c r="Y38" i="223" s="1"/>
  <c r="Y49" i="223"/>
  <c r="Z49" i="223"/>
  <c r="Y46" i="223"/>
  <c r="Z46" i="223"/>
  <c r="Z34" i="223"/>
  <c r="Y34" i="223" s="1"/>
  <c r="Z45" i="223"/>
  <c r="Y45" i="223" s="1"/>
  <c r="Z61" i="223"/>
  <c r="Y61" i="223" s="1"/>
  <c r="Z35" i="223"/>
  <c r="Y35" i="223" s="1"/>
  <c r="Z33" i="223"/>
  <c r="Y33" i="223" s="1"/>
  <c r="Z50" i="223"/>
  <c r="Y50" i="223" s="1"/>
  <c r="Z36" i="223"/>
  <c r="Y36" i="223" s="1"/>
  <c r="Z43" i="223"/>
  <c r="Y43" i="223"/>
  <c r="Z55" i="223"/>
  <c r="Y55" i="223" s="1"/>
  <c r="Y37" i="223"/>
  <c r="Z37" i="223"/>
  <c r="V63" i="223"/>
  <c r="X31" i="223"/>
  <c r="Z32" i="223"/>
  <c r="Y32" i="223" s="1"/>
  <c r="Z53" i="223"/>
  <c r="Y53" i="223" s="1"/>
  <c r="Z51" i="223"/>
  <c r="Y51" i="223" s="1"/>
  <c r="AE63" i="223"/>
  <c r="AE62" i="223"/>
  <c r="Z52" i="223"/>
  <c r="Y52" i="223" s="1"/>
  <c r="Z60" i="223"/>
  <c r="Y60" i="223" s="1"/>
  <c r="Z58" i="223"/>
  <c r="Y58" i="223" s="1"/>
  <c r="Z47" i="223"/>
  <c r="Y47" i="223" s="1"/>
  <c r="AC61" i="223"/>
  <c r="AG61" i="223" s="1"/>
  <c r="AI61" i="223" s="1"/>
  <c r="AC57" i="223"/>
  <c r="AG57" i="223" s="1"/>
  <c r="AI57" i="223" s="1"/>
  <c r="AC53" i="223"/>
  <c r="AG53" i="223" s="1"/>
  <c r="AI53" i="223" s="1"/>
  <c r="AC49" i="223"/>
  <c r="AG49" i="223" s="1"/>
  <c r="AI49" i="223" s="1"/>
  <c r="AC45" i="223"/>
  <c r="AG45" i="223" s="1"/>
  <c r="AI45" i="223" s="1"/>
  <c r="AC59" i="223"/>
  <c r="AG59" i="223" s="1"/>
  <c r="AI59" i="223" s="1"/>
  <c r="AC55" i="223"/>
  <c r="AG55" i="223" s="1"/>
  <c r="AI55" i="223" s="1"/>
  <c r="AC51" i="223"/>
  <c r="AG51" i="223" s="1"/>
  <c r="AI51" i="223" s="1"/>
  <c r="AC47" i="223"/>
  <c r="AG47" i="223" s="1"/>
  <c r="AI47" i="223" s="1"/>
  <c r="AC36" i="223"/>
  <c r="AG36" i="223" s="1"/>
  <c r="AI36" i="223" s="1"/>
  <c r="AC43" i="223"/>
  <c r="AG43" i="223" s="1"/>
  <c r="AI43" i="223" s="1"/>
  <c r="AC40" i="223"/>
  <c r="AG40" i="223" s="1"/>
  <c r="AI40" i="223" s="1"/>
  <c r="AC32" i="223"/>
  <c r="AG32" i="223" s="1"/>
  <c r="AI32" i="223" s="1"/>
  <c r="K24" i="223"/>
  <c r="K23" i="223" s="1"/>
  <c r="AC41" i="223"/>
  <c r="AC38" i="223"/>
  <c r="AG38" i="223" s="1"/>
  <c r="AI38" i="223" s="1"/>
  <c r="AC34" i="223"/>
  <c r="AG34" i="223" s="1"/>
  <c r="AI34" i="223" s="1"/>
  <c r="AC42" i="223"/>
  <c r="AC33" i="223"/>
  <c r="AC37" i="223"/>
  <c r="AC50" i="223"/>
  <c r="AC35" i="223"/>
  <c r="AG35" i="223" s="1"/>
  <c r="AI35" i="223" s="1"/>
  <c r="AC39" i="223"/>
  <c r="AC44" i="223"/>
  <c r="AC46" i="223"/>
  <c r="AG46" i="223" s="1"/>
  <c r="AI46" i="223" s="1"/>
  <c r="AC48" i="223"/>
  <c r="AG48" i="223" s="1"/>
  <c r="AI48" i="223" s="1"/>
  <c r="AC52" i="223"/>
  <c r="AC56" i="223"/>
  <c r="AG56" i="223" s="1"/>
  <c r="AI56" i="223" s="1"/>
  <c r="AC60" i="223"/>
  <c r="AC58" i="223"/>
  <c r="AC54" i="223"/>
  <c r="AC31" i="223"/>
  <c r="AQ63" i="223"/>
  <c r="AQ62" i="223"/>
  <c r="AQ64" i="223" s="1"/>
  <c r="Y59" i="223"/>
  <c r="Z59" i="223"/>
  <c r="Y42" i="223"/>
  <c r="Z42" i="223"/>
  <c r="Z41" i="223"/>
  <c r="Y41" i="223" s="1"/>
  <c r="Z44" i="223"/>
  <c r="Y44" i="223" s="1"/>
  <c r="AP62" i="223"/>
  <c r="AP64" i="223" s="1"/>
  <c r="AP63" i="223"/>
  <c r="AB63" i="223"/>
  <c r="AB62" i="223"/>
  <c r="AG31" i="223"/>
  <c r="AN63" i="223"/>
  <c r="AN62" i="223"/>
  <c r="AN64" i="223" s="1"/>
  <c r="T63" i="223"/>
  <c r="T62" i="223"/>
  <c r="T64" i="223" s="1"/>
  <c r="BC64" i="223"/>
  <c r="AG44" i="223"/>
  <c r="AI44" i="223" s="1"/>
  <c r="AG60" i="223"/>
  <c r="AI60" i="223" s="1"/>
  <c r="AG58" i="223"/>
  <c r="AI58" i="223" s="1"/>
  <c r="Z48" i="223"/>
  <c r="Y48" i="223"/>
  <c r="S63" i="223"/>
  <c r="S62" i="223"/>
  <c r="S64" i="223" s="1"/>
  <c r="AD63" i="223"/>
  <c r="AD62" i="223"/>
  <c r="AD64" i="223" s="1"/>
  <c r="AG33" i="223"/>
  <c r="AI33" i="223" s="1"/>
  <c r="AG42" i="223"/>
  <c r="AI42" i="223" s="1"/>
  <c r="AG54" i="223"/>
  <c r="AI54" i="223" s="1"/>
  <c r="Z57" i="223"/>
  <c r="Y57" i="223" s="1"/>
  <c r="R63" i="223"/>
  <c r="R62" i="223"/>
  <c r="AL61" i="223"/>
  <c r="AR61" i="223" s="1"/>
  <c r="AT61" i="223" s="1"/>
  <c r="AL57" i="223"/>
  <c r="AR57" i="223" s="1"/>
  <c r="AT57" i="223" s="1"/>
  <c r="AL53" i="223"/>
  <c r="AR53" i="223" s="1"/>
  <c r="AT53" i="223" s="1"/>
  <c r="AL49" i="223"/>
  <c r="AR49" i="223" s="1"/>
  <c r="AT49" i="223" s="1"/>
  <c r="AL45" i="223"/>
  <c r="AR45" i="223" s="1"/>
  <c r="AT45" i="223" s="1"/>
  <c r="AL59" i="223"/>
  <c r="AR59" i="223" s="1"/>
  <c r="AT59" i="223" s="1"/>
  <c r="AL55" i="223"/>
  <c r="AR55" i="223" s="1"/>
  <c r="AT55" i="223" s="1"/>
  <c r="AL51" i="223"/>
  <c r="AR51" i="223" s="1"/>
  <c r="AT51" i="223" s="1"/>
  <c r="AL47" i="223"/>
  <c r="AR47" i="223" s="1"/>
  <c r="AT47" i="223" s="1"/>
  <c r="AL36" i="223"/>
  <c r="AR36" i="223" s="1"/>
  <c r="AT36" i="223" s="1"/>
  <c r="AL32" i="223"/>
  <c r="AR32" i="223" s="1"/>
  <c r="AT32" i="223" s="1"/>
  <c r="AL43" i="223"/>
  <c r="AR43" i="223" s="1"/>
  <c r="AT43" i="223" s="1"/>
  <c r="AL40" i="223"/>
  <c r="AR40" i="223" s="1"/>
  <c r="AT40" i="223" s="1"/>
  <c r="P24" i="223"/>
  <c r="P23" i="223" s="1"/>
  <c r="AL38" i="223"/>
  <c r="AR38" i="223" s="1"/>
  <c r="AT38" i="223" s="1"/>
  <c r="AL34" i="223"/>
  <c r="AR34" i="223" s="1"/>
  <c r="AT34" i="223" s="1"/>
  <c r="AL54" i="223"/>
  <c r="AR54" i="223" s="1"/>
  <c r="AT54" i="223" s="1"/>
  <c r="AL46" i="223"/>
  <c r="AR46" i="223" s="1"/>
  <c r="AT46" i="223" s="1"/>
  <c r="AL58" i="223"/>
  <c r="AR58" i="223" s="1"/>
  <c r="AT58" i="223" s="1"/>
  <c r="AL35" i="223"/>
  <c r="AR35" i="223" s="1"/>
  <c r="AT35" i="223" s="1"/>
  <c r="AL42" i="223"/>
  <c r="AR42" i="223" s="1"/>
  <c r="AT42" i="223" s="1"/>
  <c r="AL31" i="223"/>
  <c r="AL48" i="223"/>
  <c r="AR48" i="223" s="1"/>
  <c r="AT48" i="223" s="1"/>
  <c r="AL52" i="223"/>
  <c r="AR52" i="223" s="1"/>
  <c r="AT52" i="223" s="1"/>
  <c r="AL56" i="223"/>
  <c r="AR56" i="223" s="1"/>
  <c r="AT56" i="223" s="1"/>
  <c r="AL60" i="223"/>
  <c r="AR60" i="223" s="1"/>
  <c r="AT60" i="223" s="1"/>
  <c r="AL39" i="223"/>
  <c r="AR39" i="223" s="1"/>
  <c r="AT39" i="223" s="1"/>
  <c r="AL44" i="223"/>
  <c r="AR44" i="223" s="1"/>
  <c r="AT44" i="223" s="1"/>
  <c r="AL41" i="223"/>
  <c r="AR41" i="223" s="1"/>
  <c r="AT41" i="223" s="1"/>
  <c r="AL33" i="223"/>
  <c r="AR33" i="223" s="1"/>
  <c r="AT33" i="223" s="1"/>
  <c r="AL37" i="223"/>
  <c r="AR37" i="223" s="1"/>
  <c r="AT37" i="223" s="1"/>
  <c r="AL50" i="223"/>
  <c r="AR50" i="223" s="1"/>
  <c r="AT50" i="223" s="1"/>
  <c r="AF63" i="223"/>
  <c r="AF62" i="223"/>
  <c r="V56" i="223"/>
  <c r="X56" i="223" s="1"/>
  <c r="V54" i="223"/>
  <c r="X54" i="223" s="1"/>
  <c r="AG41" i="223"/>
  <c r="AI41" i="223" s="1"/>
  <c r="AG39" i="223"/>
  <c r="AI39" i="223" s="1"/>
  <c r="AG37" i="223"/>
  <c r="AI37" i="223" s="1"/>
  <c r="AG52" i="223"/>
  <c r="AI52" i="223" s="1"/>
  <c r="AG50" i="223"/>
  <c r="AI50" i="223" s="1"/>
  <c r="Q64" i="223"/>
  <c r="AA64" i="223" l="1"/>
  <c r="R64" i="223"/>
  <c r="AK34" i="223"/>
  <c r="AJ34" i="223" s="1"/>
  <c r="AK32" i="223"/>
  <c r="AJ32" i="223" s="1"/>
  <c r="AK45" i="223"/>
  <c r="AJ45" i="223" s="1"/>
  <c r="AK61" i="223"/>
  <c r="AJ61" i="223" s="1"/>
  <c r="AK35" i="223"/>
  <c r="AJ35" i="223" s="1"/>
  <c r="AJ59" i="223"/>
  <c r="AK59" i="223"/>
  <c r="AK48" i="223"/>
  <c r="AJ48" i="223" s="1"/>
  <c r="AK41" i="223"/>
  <c r="AJ41" i="223" s="1"/>
  <c r="AV41" i="223"/>
  <c r="AU41" i="223" s="1"/>
  <c r="AV56" i="223"/>
  <c r="AU56" i="223" s="1"/>
  <c r="AV42" i="223"/>
  <c r="AU42" i="223" s="1"/>
  <c r="AU54" i="223"/>
  <c r="AV54" i="223"/>
  <c r="AV40" i="223"/>
  <c r="AU40" i="223" s="1"/>
  <c r="AV59" i="223"/>
  <c r="AU59" i="223" s="1"/>
  <c r="AV57" i="223"/>
  <c r="AU57" i="223" s="1"/>
  <c r="AJ42" i="223"/>
  <c r="AK42" i="223"/>
  <c r="AK58" i="223"/>
  <c r="AJ58" i="223" s="1"/>
  <c r="AG62" i="223"/>
  <c r="AG63" i="223"/>
  <c r="AI31" i="223"/>
  <c r="AK36" i="223"/>
  <c r="AJ36" i="223"/>
  <c r="AK55" i="223"/>
  <c r="AJ55" i="223" s="1"/>
  <c r="AK53" i="223"/>
  <c r="AJ53" i="223" s="1"/>
  <c r="X63" i="223"/>
  <c r="X62" i="223"/>
  <c r="Z31" i="223"/>
  <c r="Y31" i="223" s="1"/>
  <c r="AK50" i="223"/>
  <c r="AJ50" i="223" s="1"/>
  <c r="AK39" i="223"/>
  <c r="AJ39" i="223" s="1"/>
  <c r="AV33" i="223"/>
  <c r="AU33" i="223" s="1"/>
  <c r="AV60" i="223"/>
  <c r="AU60" i="223" s="1"/>
  <c r="AL62" i="223"/>
  <c r="AL63" i="223"/>
  <c r="AR31" i="223"/>
  <c r="AV46" i="223"/>
  <c r="AU46" i="223" s="1"/>
  <c r="AV36" i="223"/>
  <c r="AU36" i="223" s="1"/>
  <c r="AU55" i="223"/>
  <c r="AV55" i="223"/>
  <c r="AV53" i="223"/>
  <c r="AU53" i="223" s="1"/>
  <c r="AK56" i="223"/>
  <c r="AJ56" i="223" s="1"/>
  <c r="AK43" i="223"/>
  <c r="AJ43" i="223"/>
  <c r="AK51" i="223"/>
  <c r="AJ51" i="223" s="1"/>
  <c r="AK49" i="223"/>
  <c r="AJ49" i="223" s="1"/>
  <c r="AF64" i="223"/>
  <c r="AE64" i="223"/>
  <c r="AK37" i="223"/>
  <c r="AJ37" i="223" s="1"/>
  <c r="AV37" i="223"/>
  <c r="AU37" i="223" s="1"/>
  <c r="AV48" i="223"/>
  <c r="AU48" i="223"/>
  <c r="AV58" i="223"/>
  <c r="AU58" i="223" s="1"/>
  <c r="AV38" i="223"/>
  <c r="AU38" i="223"/>
  <c r="AV32" i="223"/>
  <c r="AU32" i="223" s="1"/>
  <c r="AV51" i="223"/>
  <c r="AU51" i="223" s="1"/>
  <c r="AU49" i="223"/>
  <c r="AV49" i="223"/>
  <c r="AK54" i="223"/>
  <c r="AJ54" i="223" s="1"/>
  <c r="AJ44" i="223"/>
  <c r="AK44" i="223"/>
  <c r="AC62" i="223"/>
  <c r="AC63" i="223"/>
  <c r="AJ38" i="223"/>
  <c r="AK38" i="223"/>
  <c r="AK40" i="223"/>
  <c r="AJ40" i="223" s="1"/>
  <c r="AJ47" i="223"/>
  <c r="AK47" i="223"/>
  <c r="Z56" i="223"/>
  <c r="Y56" i="223" s="1"/>
  <c r="AU39" i="223"/>
  <c r="AV39" i="223"/>
  <c r="AK52" i="223"/>
  <c r="AJ52" i="223" s="1"/>
  <c r="Z54" i="223"/>
  <c r="Y54" i="223" s="1"/>
  <c r="AV50" i="223"/>
  <c r="AU50" i="223" s="1"/>
  <c r="AV44" i="223"/>
  <c r="AU44" i="223" s="1"/>
  <c r="AV52" i="223"/>
  <c r="AU52" i="223"/>
  <c r="AV35" i="223"/>
  <c r="AU35" i="223" s="1"/>
  <c r="AV34" i="223"/>
  <c r="AU34" i="223"/>
  <c r="AV43" i="223"/>
  <c r="AU43" i="223" s="1"/>
  <c r="AV47" i="223"/>
  <c r="AU47" i="223" s="1"/>
  <c r="AV45" i="223"/>
  <c r="AU45" i="223" s="1"/>
  <c r="AV61" i="223"/>
  <c r="AU61" i="223" s="1"/>
  <c r="AJ33" i="223"/>
  <c r="AK33" i="223"/>
  <c r="AK60" i="223"/>
  <c r="AJ60" i="223" s="1"/>
  <c r="AK46" i="223"/>
  <c r="AJ46" i="223" s="1"/>
  <c r="AK57" i="223"/>
  <c r="AJ57" i="223" s="1"/>
  <c r="AB64" i="223"/>
  <c r="V62" i="223"/>
  <c r="Y62" i="223" l="1"/>
  <c r="Y64" i="223" s="1"/>
  <c r="Y63" i="223"/>
  <c r="X67" i="223"/>
  <c r="W67" i="223" s="1"/>
  <c r="X64" i="223"/>
  <c r="AI63" i="223"/>
  <c r="AI62" i="223"/>
  <c r="AJ31" i="223"/>
  <c r="AK31" i="223"/>
  <c r="AC64" i="223"/>
  <c r="AR63" i="223"/>
  <c r="AR62" i="223"/>
  <c r="AT31" i="223"/>
  <c r="Z63" i="223"/>
  <c r="Z62" i="223"/>
  <c r="AG67" i="223"/>
  <c r="AG64" i="223"/>
  <c r="V64" i="223"/>
  <c r="W62" i="223"/>
  <c r="V67" i="223"/>
  <c r="AL64" i="223"/>
  <c r="Z64" i="223" l="1"/>
  <c r="AI67" i="223"/>
  <c r="AH67" i="223" s="1"/>
  <c r="AI64" i="223"/>
  <c r="AR64" i="223"/>
  <c r="AR67" i="223"/>
  <c r="AJ63" i="223"/>
  <c r="AJ62" i="223"/>
  <c r="AJ64" i="223" s="1"/>
  <c r="AT63" i="223"/>
  <c r="AT62" i="223"/>
  <c r="AV31" i="223"/>
  <c r="AU31" i="223" s="1"/>
  <c r="AK63" i="223"/>
  <c r="AK62" i="223"/>
  <c r="AU62" i="223" l="1"/>
  <c r="AU64" i="223" s="1"/>
  <c r="AU63" i="223"/>
  <c r="AV63" i="223"/>
  <c r="AV62" i="223"/>
  <c r="AT64" i="223"/>
  <c r="AT67" i="223"/>
  <c r="AS67" i="223" s="1"/>
  <c r="AK64" i="223"/>
  <c r="AV64" i="223" l="1"/>
  <c r="FN42" i="222"/>
  <c r="FL42" i="222"/>
  <c r="FI42" i="222"/>
  <c r="FG42" i="222"/>
  <c r="FE42" i="222"/>
  <c r="FC42" i="222"/>
  <c r="FA42" i="222"/>
  <c r="EY42" i="222"/>
  <c r="EW42" i="222"/>
  <c r="EU42" i="222"/>
  <c r="ES42" i="222"/>
  <c r="EQ42" i="222"/>
  <c r="EO42" i="222"/>
  <c r="EM42" i="222"/>
  <c r="EK42" i="222"/>
  <c r="EH42" i="222"/>
  <c r="EF42" i="222"/>
  <c r="ED42" i="222"/>
  <c r="EB42" i="222"/>
  <c r="DZ42" i="222"/>
  <c r="DX42" i="222"/>
  <c r="CZ42" i="222"/>
  <c r="CS42" i="222"/>
  <c r="CR42" i="222"/>
  <c r="CQ42" i="222"/>
  <c r="CO42" i="222"/>
  <c r="CN42" i="222"/>
  <c r="CM42" i="222"/>
  <c r="CL42" i="222"/>
  <c r="CJ42" i="222"/>
  <c r="CI42" i="222"/>
  <c r="CH42" i="222"/>
  <c r="CG42" i="222"/>
  <c r="CE42" i="222"/>
  <c r="CD42" i="222"/>
  <c r="CC42" i="222"/>
  <c r="CB42" i="222"/>
  <c r="BZ42" i="222"/>
  <c r="BY42" i="222"/>
  <c r="BX42" i="222"/>
  <c r="BW42" i="222"/>
  <c r="BU42" i="222"/>
  <c r="BT42" i="222"/>
  <c r="BS42" i="222"/>
  <c r="BR42" i="222"/>
  <c r="BP42" i="222"/>
  <c r="BO42" i="222"/>
  <c r="BN42" i="222"/>
  <c r="BM42" i="222"/>
  <c r="BK42" i="222"/>
  <c r="BJ42" i="222"/>
  <c r="BI42" i="222"/>
  <c r="BH42" i="222"/>
  <c r="AQ42" i="222"/>
  <c r="Z42" i="222"/>
  <c r="X42" i="222"/>
  <c r="S42" i="222"/>
  <c r="R42" i="222"/>
  <c r="Q42" i="222"/>
  <c r="P42" i="222"/>
  <c r="O42" i="222"/>
  <c r="N42" i="222"/>
  <c r="M42" i="222"/>
  <c r="L42" i="222"/>
  <c r="K42" i="222"/>
  <c r="J42" i="222"/>
  <c r="H42" i="222"/>
  <c r="G42" i="222"/>
  <c r="F42" i="222"/>
  <c r="E42" i="222"/>
  <c r="D42" i="222"/>
  <c r="FN41" i="222"/>
  <c r="FL41" i="222"/>
  <c r="FI41" i="222"/>
  <c r="FI43" i="222" s="1"/>
  <c r="FG41" i="222"/>
  <c r="FI44" i="222" s="1"/>
  <c r="FI45" i="222" s="1"/>
  <c r="FE41" i="222"/>
  <c r="FE43" i="222" s="1"/>
  <c r="FC41" i="222"/>
  <c r="FC43" i="222" s="1"/>
  <c r="FA41" i="222"/>
  <c r="FA43" i="222" s="1"/>
  <c r="EY41" i="222"/>
  <c r="EY43" i="222" s="1"/>
  <c r="EW41" i="222"/>
  <c r="EU41" i="222"/>
  <c r="EU43" i="222" s="1"/>
  <c r="ES41" i="222"/>
  <c r="ES43" i="222" s="1"/>
  <c r="EQ41" i="222"/>
  <c r="EQ43" i="222" s="1"/>
  <c r="EO41" i="222"/>
  <c r="EM41" i="222"/>
  <c r="EK41" i="222"/>
  <c r="EK43" i="222" s="1"/>
  <c r="EH41" i="222"/>
  <c r="EF41" i="222"/>
  <c r="ED41" i="222"/>
  <c r="ED43" i="222" s="1"/>
  <c r="EB41" i="222"/>
  <c r="DZ41" i="222"/>
  <c r="DZ44" i="222" s="1"/>
  <c r="DX41" i="222"/>
  <c r="DB41" i="222"/>
  <c r="DA41" i="222"/>
  <c r="CZ41" i="222"/>
  <c r="CZ43" i="222" s="1"/>
  <c r="CV41" i="222"/>
  <c r="CS41" i="222"/>
  <c r="CS43" i="222" s="1"/>
  <c r="CR41" i="222"/>
  <c r="CR43" i="222" s="1"/>
  <c r="CQ41" i="222"/>
  <c r="CQ43" i="222" s="1"/>
  <c r="CO41" i="222"/>
  <c r="CO43" i="222" s="1"/>
  <c r="CN41" i="222"/>
  <c r="CN43" i="222" s="1"/>
  <c r="CM41" i="222"/>
  <c r="CM43" i="222" s="1"/>
  <c r="CL41" i="222"/>
  <c r="CL43" i="222" s="1"/>
  <c r="CJ41" i="222"/>
  <c r="CJ43" i="222" s="1"/>
  <c r="CI41" i="222"/>
  <c r="CI43" i="222" s="1"/>
  <c r="CH41" i="222"/>
  <c r="CH43" i="222" s="1"/>
  <c r="CG41" i="222"/>
  <c r="CG43" i="222" s="1"/>
  <c r="CE41" i="222"/>
  <c r="CE43" i="222" s="1"/>
  <c r="CD41" i="222"/>
  <c r="CD43" i="222" s="1"/>
  <c r="CC41" i="222"/>
  <c r="CC43" i="222" s="1"/>
  <c r="CB41" i="222"/>
  <c r="CB43" i="222" s="1"/>
  <c r="BZ41" i="222"/>
  <c r="BZ43" i="222" s="1"/>
  <c r="BY41" i="222"/>
  <c r="BY43" i="222" s="1"/>
  <c r="BX41" i="222"/>
  <c r="BX43" i="222" s="1"/>
  <c r="BW41" i="222"/>
  <c r="BW43" i="222" s="1"/>
  <c r="BU41" i="222"/>
  <c r="BU43" i="222" s="1"/>
  <c r="BT41" i="222"/>
  <c r="BT43" i="222" s="1"/>
  <c r="BS41" i="222"/>
  <c r="BS43" i="222" s="1"/>
  <c r="BR41" i="222"/>
  <c r="BR43" i="222" s="1"/>
  <c r="BP41" i="222"/>
  <c r="BP43" i="222" s="1"/>
  <c r="BO41" i="222"/>
  <c r="BO43" i="222" s="1"/>
  <c r="BN41" i="222"/>
  <c r="BN43" i="222" s="1"/>
  <c r="BM41" i="222"/>
  <c r="BM43" i="222" s="1"/>
  <c r="BK41" i="222"/>
  <c r="BK43" i="222" s="1"/>
  <c r="BJ41" i="222"/>
  <c r="BJ43" i="222" s="1"/>
  <c r="BI41" i="222"/>
  <c r="BI43" i="222" s="1"/>
  <c r="BH41" i="222"/>
  <c r="BH43" i="222" s="1"/>
  <c r="AQ41" i="222"/>
  <c r="AQ43" i="222" s="1"/>
  <c r="Z41" i="222"/>
  <c r="Z43" i="222" s="1"/>
  <c r="X41" i="222"/>
  <c r="S41" i="222"/>
  <c r="S43" i="222" s="1"/>
  <c r="R41" i="222"/>
  <c r="R43" i="222" s="1"/>
  <c r="Q41" i="222"/>
  <c r="Q43" i="222" s="1"/>
  <c r="P41" i="222"/>
  <c r="P43" i="222" s="1"/>
  <c r="O41" i="222"/>
  <c r="O43" i="222" s="1"/>
  <c r="N41" i="222"/>
  <c r="N43" i="222" s="1"/>
  <c r="M41" i="222"/>
  <c r="M43" i="222" s="1"/>
  <c r="L41" i="222"/>
  <c r="L43" i="222" s="1"/>
  <c r="K41" i="222"/>
  <c r="K43" i="222" s="1"/>
  <c r="J41" i="222"/>
  <c r="J43" i="222" s="1"/>
  <c r="H41" i="222"/>
  <c r="G41" i="222"/>
  <c r="G43" i="222" s="1"/>
  <c r="F41" i="222"/>
  <c r="F43" i="222" s="1"/>
  <c r="E41" i="222"/>
  <c r="E43" i="222" s="1"/>
  <c r="D41" i="222"/>
  <c r="FJ40" i="222"/>
  <c r="FH40" i="222"/>
  <c r="FF40" i="222"/>
  <c r="FD40" i="222"/>
  <c r="FB40" i="222"/>
  <c r="EZ40" i="222"/>
  <c r="EX40" i="222"/>
  <c r="EV40" i="222"/>
  <c r="ET40" i="222"/>
  <c r="ER40" i="222"/>
  <c r="EP40" i="222"/>
  <c r="EE40" i="222"/>
  <c r="GF40" i="222" s="1"/>
  <c r="EA40" i="222"/>
  <c r="GD40" i="222" s="1"/>
  <c r="DY40" i="222"/>
  <c r="GC40" i="222" s="1"/>
  <c r="DL40" i="222"/>
  <c r="DC40" i="222"/>
  <c r="DE40" i="222" s="1"/>
  <c r="CT40" i="222"/>
  <c r="BG40" i="222"/>
  <c r="BF40" i="222"/>
  <c r="BE40" i="222"/>
  <c r="AS40" i="222" s="1"/>
  <c r="BD40" i="222"/>
  <c r="BC40" i="222"/>
  <c r="AY40" i="222"/>
  <c r="AT40" i="222"/>
  <c r="AD40" i="222"/>
  <c r="DI40" i="222" s="1"/>
  <c r="FY40" i="222" s="1"/>
  <c r="AC40" i="222"/>
  <c r="DH40" i="222" s="1"/>
  <c r="DK40" i="222" s="1"/>
  <c r="AB40" i="222"/>
  <c r="DG40" i="222" s="1"/>
  <c r="AA40" i="222"/>
  <c r="W40" i="222"/>
  <c r="I40" i="222"/>
  <c r="C40" i="222"/>
  <c r="FJ39" i="222"/>
  <c r="FH39" i="222"/>
  <c r="FF39" i="222"/>
  <c r="FD39" i="222"/>
  <c r="FB39" i="222"/>
  <c r="EZ39" i="222"/>
  <c r="EX39" i="222"/>
  <c r="EV39" i="222"/>
  <c r="ET39" i="222"/>
  <c r="ER39" i="222"/>
  <c r="EP39" i="222"/>
  <c r="EE39" i="222"/>
  <c r="GF39" i="222" s="1"/>
  <c r="EA39" i="222"/>
  <c r="GD39" i="222" s="1"/>
  <c r="DY39" i="222"/>
  <c r="GC39" i="222" s="1"/>
  <c r="DL39" i="222"/>
  <c r="DC39" i="222"/>
  <c r="DE39" i="222" s="1"/>
  <c r="CT39" i="222"/>
  <c r="BG39" i="222"/>
  <c r="BF39" i="222"/>
  <c r="W39" i="222" s="1"/>
  <c r="BE39" i="222"/>
  <c r="BD39" i="222"/>
  <c r="AR39" i="222" s="1"/>
  <c r="BC39" i="222"/>
  <c r="AY39" i="222"/>
  <c r="AT39" i="222"/>
  <c r="AD39" i="222"/>
  <c r="DI39" i="222" s="1"/>
  <c r="FY39" i="222" s="1"/>
  <c r="AC39" i="222"/>
  <c r="DH39" i="222" s="1"/>
  <c r="AB39" i="222"/>
  <c r="DG39" i="222" s="1"/>
  <c r="AA39" i="222"/>
  <c r="DF39" i="222" s="1"/>
  <c r="U39" i="222"/>
  <c r="I39" i="222"/>
  <c r="GD38" i="222"/>
  <c r="FJ38" i="222"/>
  <c r="FH38" i="222"/>
  <c r="FF38" i="222"/>
  <c r="FD38" i="222"/>
  <c r="FB38" i="222"/>
  <c r="EZ38" i="222"/>
  <c r="EX38" i="222"/>
  <c r="EV38" i="222"/>
  <c r="ET38" i="222"/>
  <c r="ER38" i="222"/>
  <c r="EP38" i="222"/>
  <c r="EE38" i="222"/>
  <c r="GF38" i="222" s="1"/>
  <c r="EA38" i="222"/>
  <c r="DY38" i="222"/>
  <c r="GC38" i="222" s="1"/>
  <c r="DL38" i="222"/>
  <c r="DC38" i="222"/>
  <c r="DE38" i="222" s="1"/>
  <c r="CT38" i="222"/>
  <c r="BG38" i="222"/>
  <c r="BF38" i="222"/>
  <c r="BE38" i="222"/>
  <c r="BD38" i="222"/>
  <c r="U38" i="222" s="1"/>
  <c r="BC38" i="222"/>
  <c r="AY38" i="222"/>
  <c r="AS38" i="222"/>
  <c r="AR38" i="222"/>
  <c r="AD38" i="222"/>
  <c r="DI38" i="222" s="1"/>
  <c r="FY38" i="222" s="1"/>
  <c r="AC38" i="222"/>
  <c r="DH38" i="222" s="1"/>
  <c r="AB38" i="222"/>
  <c r="DG38" i="222" s="1"/>
  <c r="AA38" i="222"/>
  <c r="V38" i="222"/>
  <c r="I38" i="222"/>
  <c r="C38" i="222" s="1"/>
  <c r="FJ37" i="222"/>
  <c r="FH37" i="222"/>
  <c r="FF37" i="222"/>
  <c r="FD37" i="222"/>
  <c r="FB37" i="222"/>
  <c r="EZ37" i="222"/>
  <c r="EX37" i="222"/>
  <c r="EV37" i="222"/>
  <c r="ET37" i="222"/>
  <c r="ER37" i="222"/>
  <c r="EP37" i="222"/>
  <c r="EE37" i="222"/>
  <c r="GF37" i="222" s="1"/>
  <c r="EA37" i="222"/>
  <c r="GD37" i="222" s="1"/>
  <c r="DY37" i="222"/>
  <c r="DL37" i="222"/>
  <c r="DC37" i="222"/>
  <c r="DE37" i="222" s="1"/>
  <c r="CT37" i="222"/>
  <c r="BG37" i="222"/>
  <c r="BF37" i="222"/>
  <c r="BE37" i="222"/>
  <c r="V37" i="222" s="1"/>
  <c r="BD37" i="222"/>
  <c r="BC37" i="222"/>
  <c r="AY37" i="222"/>
  <c r="AT37" i="222"/>
  <c r="AD37" i="222"/>
  <c r="DI37" i="222" s="1"/>
  <c r="FY37" i="222" s="1"/>
  <c r="AC37" i="222"/>
  <c r="DH37" i="222" s="1"/>
  <c r="AB37" i="222"/>
  <c r="DG37" i="222" s="1"/>
  <c r="AA37" i="222"/>
  <c r="DF37" i="222" s="1"/>
  <c r="W37" i="222"/>
  <c r="I37" i="222"/>
  <c r="C37" i="222" s="1"/>
  <c r="GF36" i="222"/>
  <c r="FJ36" i="222"/>
  <c r="FH36" i="222"/>
  <c r="FF36" i="222"/>
  <c r="FD36" i="222"/>
  <c r="FB36" i="222"/>
  <c r="EZ36" i="222"/>
  <c r="EX36" i="222"/>
  <c r="EV36" i="222"/>
  <c r="ET36" i="222"/>
  <c r="ER36" i="222"/>
  <c r="EP36" i="222"/>
  <c r="EE36" i="222"/>
  <c r="EA36" i="222"/>
  <c r="DY36" i="222"/>
  <c r="GC36" i="222" s="1"/>
  <c r="DL36" i="222"/>
  <c r="DC36" i="222"/>
  <c r="DE36" i="222" s="1"/>
  <c r="CT36" i="222"/>
  <c r="BG36" i="222"/>
  <c r="BF36" i="222"/>
  <c r="BE36" i="222"/>
  <c r="AS36" i="222" s="1"/>
  <c r="BD36" i="222"/>
  <c r="BC36" i="222"/>
  <c r="AY36" i="222"/>
  <c r="AT36" i="222"/>
  <c r="AD36" i="222"/>
  <c r="DI36" i="222" s="1"/>
  <c r="FY36" i="222" s="1"/>
  <c r="AC36" i="222"/>
  <c r="DH36" i="222" s="1"/>
  <c r="AB36" i="222"/>
  <c r="AA36" i="222"/>
  <c r="DF36" i="222" s="1"/>
  <c r="W36" i="222"/>
  <c r="I36" i="222"/>
  <c r="GC35" i="222"/>
  <c r="FJ35" i="222"/>
  <c r="FH35" i="222"/>
  <c r="FF35" i="222"/>
  <c r="FD35" i="222"/>
  <c r="FB35" i="222"/>
  <c r="EZ35" i="222"/>
  <c r="EX35" i="222"/>
  <c r="EV35" i="222"/>
  <c r="ET35" i="222"/>
  <c r="ER35" i="222"/>
  <c r="EP35" i="222"/>
  <c r="EE35" i="222"/>
  <c r="GF35" i="222" s="1"/>
  <c r="EA35" i="222"/>
  <c r="GD35" i="222" s="1"/>
  <c r="DY35" i="222"/>
  <c r="DL35" i="222"/>
  <c r="DE35" i="222"/>
  <c r="FV35" i="222" s="1"/>
  <c r="DC35" i="222"/>
  <c r="CT35" i="222"/>
  <c r="BG35" i="222"/>
  <c r="BF35" i="222"/>
  <c r="BE35" i="222"/>
  <c r="BD35" i="222"/>
  <c r="AR35" i="222" s="1"/>
  <c r="BC35" i="222"/>
  <c r="AY35" i="222"/>
  <c r="AD35" i="222"/>
  <c r="DI35" i="222" s="1"/>
  <c r="FY35" i="222" s="1"/>
  <c r="AC35" i="222"/>
  <c r="DH35" i="222" s="1"/>
  <c r="AB35" i="222"/>
  <c r="DG35" i="222" s="1"/>
  <c r="AA35" i="222"/>
  <c r="DF35" i="222" s="1"/>
  <c r="I35" i="222"/>
  <c r="CU35" i="222" s="1"/>
  <c r="FJ34" i="222"/>
  <c r="FH34" i="222"/>
  <c r="FF34" i="222"/>
  <c r="FD34" i="222"/>
  <c r="FB34" i="222"/>
  <c r="EZ34" i="222"/>
  <c r="EX34" i="222"/>
  <c r="EV34" i="222"/>
  <c r="ET34" i="222"/>
  <c r="ER34" i="222"/>
  <c r="EP34" i="222"/>
  <c r="EE34" i="222"/>
  <c r="GF34" i="222" s="1"/>
  <c r="EA34" i="222"/>
  <c r="GD34" i="222" s="1"/>
  <c r="DY34" i="222"/>
  <c r="GC34" i="222" s="1"/>
  <c r="DL34" i="222"/>
  <c r="DE34" i="222"/>
  <c r="DC34" i="222"/>
  <c r="CT34" i="222"/>
  <c r="BG34" i="222"/>
  <c r="BF34" i="222"/>
  <c r="BE34" i="222"/>
  <c r="AS34" i="222" s="1"/>
  <c r="BD34" i="222"/>
  <c r="AR34" i="222" s="1"/>
  <c r="BC34" i="222"/>
  <c r="AY34" i="222"/>
  <c r="AD34" i="222"/>
  <c r="DI34" i="222" s="1"/>
  <c r="FY34" i="222" s="1"/>
  <c r="AC34" i="222"/>
  <c r="DH34" i="222" s="1"/>
  <c r="AB34" i="222"/>
  <c r="DG34" i="222" s="1"/>
  <c r="AA34" i="222"/>
  <c r="DF34" i="222" s="1"/>
  <c r="U34" i="222"/>
  <c r="I34" i="222"/>
  <c r="FJ33" i="222"/>
  <c r="FH33" i="222"/>
  <c r="FF33" i="222"/>
  <c r="FD33" i="222"/>
  <c r="FB33" i="222"/>
  <c r="EZ33" i="222"/>
  <c r="EX33" i="222"/>
  <c r="EV33" i="222"/>
  <c r="ET33" i="222"/>
  <c r="ER33" i="222"/>
  <c r="EP33" i="222"/>
  <c r="EE33" i="222"/>
  <c r="GF33" i="222" s="1"/>
  <c r="EA33" i="222"/>
  <c r="GD33" i="222" s="1"/>
  <c r="DY33" i="222"/>
  <c r="DL33" i="222"/>
  <c r="DC33" i="222"/>
  <c r="DE33" i="222" s="1"/>
  <c r="CT33" i="222"/>
  <c r="BG33" i="222"/>
  <c r="BF33" i="222"/>
  <c r="AT33" i="222" s="1"/>
  <c r="BE33" i="222"/>
  <c r="BD33" i="222"/>
  <c r="AR33" i="222" s="1"/>
  <c r="BC33" i="222"/>
  <c r="AY33" i="222"/>
  <c r="AS33" i="222"/>
  <c r="AD33" i="222"/>
  <c r="DI33" i="222" s="1"/>
  <c r="FY33" i="222" s="1"/>
  <c r="AC33" i="222"/>
  <c r="DH33" i="222" s="1"/>
  <c r="AB33" i="222"/>
  <c r="DG33" i="222" s="1"/>
  <c r="AA33" i="222"/>
  <c r="DF33" i="222" s="1"/>
  <c r="W33" i="222"/>
  <c r="V33" i="222"/>
  <c r="U33" i="222"/>
  <c r="I33" i="222"/>
  <c r="C33" i="222"/>
  <c r="GC32" i="222"/>
  <c r="FJ32" i="222"/>
  <c r="FH32" i="222"/>
  <c r="FF32" i="222"/>
  <c r="FD32" i="222"/>
  <c r="FB32" i="222"/>
  <c r="EZ32" i="222"/>
  <c r="EX32" i="222"/>
  <c r="EV32" i="222"/>
  <c r="ET32" i="222"/>
  <c r="ER32" i="222"/>
  <c r="EP32" i="222"/>
  <c r="EE32" i="222"/>
  <c r="GF32" i="222" s="1"/>
  <c r="EA32" i="222"/>
  <c r="DY32" i="222"/>
  <c r="DL32" i="222"/>
  <c r="DH32" i="222"/>
  <c r="DK32" i="222" s="1"/>
  <c r="DC32" i="222"/>
  <c r="DE32" i="222" s="1"/>
  <c r="CT32" i="222"/>
  <c r="BG32" i="222"/>
  <c r="BF32" i="222"/>
  <c r="AT32" i="222" s="1"/>
  <c r="BE32" i="222"/>
  <c r="AS32" i="222" s="1"/>
  <c r="BD32" i="222"/>
  <c r="BC32" i="222"/>
  <c r="AY32" i="222"/>
  <c r="AD32" i="222"/>
  <c r="DI32" i="222" s="1"/>
  <c r="FY32" i="222" s="1"/>
  <c r="AC32" i="222"/>
  <c r="AB32" i="222"/>
  <c r="DG32" i="222" s="1"/>
  <c r="AA32" i="222"/>
  <c r="W32" i="222"/>
  <c r="I32" i="222"/>
  <c r="FJ31" i="222"/>
  <c r="FH31" i="222"/>
  <c r="FF31" i="222"/>
  <c r="FD31" i="222"/>
  <c r="FB31" i="222"/>
  <c r="EZ31" i="222"/>
  <c r="EX31" i="222"/>
  <c r="EV31" i="222"/>
  <c r="ET31" i="222"/>
  <c r="ER31" i="222"/>
  <c r="EP31" i="222"/>
  <c r="EE31" i="222"/>
  <c r="GF31" i="222" s="1"/>
  <c r="EA31" i="222"/>
  <c r="GD31" i="222" s="1"/>
  <c r="DY31" i="222"/>
  <c r="GC31" i="222" s="1"/>
  <c r="DL31" i="222"/>
  <c r="DE31" i="222"/>
  <c r="DC31" i="222"/>
  <c r="CT31" i="222"/>
  <c r="BG31" i="222"/>
  <c r="BF31" i="222"/>
  <c r="BE31" i="222"/>
  <c r="BD31" i="222"/>
  <c r="AR31" i="222" s="1"/>
  <c r="BC31" i="222"/>
  <c r="AY31" i="222"/>
  <c r="AD31" i="222"/>
  <c r="DI31" i="222" s="1"/>
  <c r="FY31" i="222" s="1"/>
  <c r="AC31" i="222"/>
  <c r="DH31" i="222" s="1"/>
  <c r="AB31" i="222"/>
  <c r="DG31" i="222" s="1"/>
  <c r="AA31" i="222"/>
  <c r="DF31" i="222" s="1"/>
  <c r="U31" i="222"/>
  <c r="I31" i="222"/>
  <c r="GD30" i="222"/>
  <c r="FJ30" i="222"/>
  <c r="FH30" i="222"/>
  <c r="FF30" i="222"/>
  <c r="FD30" i="222"/>
  <c r="FB30" i="222"/>
  <c r="EZ30" i="222"/>
  <c r="EX30" i="222"/>
  <c r="EV30" i="222"/>
  <c r="FK30" i="222" s="1"/>
  <c r="GJ30" i="222" s="1"/>
  <c r="ET30" i="222"/>
  <c r="ER30" i="222"/>
  <c r="EP30" i="222"/>
  <c r="EE30" i="222"/>
  <c r="GF30" i="222" s="1"/>
  <c r="EA30" i="222"/>
  <c r="DY30" i="222"/>
  <c r="GC30" i="222" s="1"/>
  <c r="DL30" i="222"/>
  <c r="DK30" i="222"/>
  <c r="DC30" i="222"/>
  <c r="DE30" i="222" s="1"/>
  <c r="CT30" i="222"/>
  <c r="BG30" i="222"/>
  <c r="BF30" i="222"/>
  <c r="AT30" i="222" s="1"/>
  <c r="BE30" i="222"/>
  <c r="BD30" i="222"/>
  <c r="U30" i="222" s="1"/>
  <c r="BC30" i="222"/>
  <c r="AY30" i="222"/>
  <c r="AS30" i="222"/>
  <c r="AD30" i="222"/>
  <c r="DI30" i="222" s="1"/>
  <c r="FY30" i="222" s="1"/>
  <c r="AC30" i="222"/>
  <c r="DH30" i="222" s="1"/>
  <c r="AB30" i="222"/>
  <c r="DG30" i="222" s="1"/>
  <c r="AA30" i="222"/>
  <c r="V30" i="222"/>
  <c r="I30" i="222"/>
  <c r="C30" i="222"/>
  <c r="GC29" i="222"/>
  <c r="FJ29" i="222"/>
  <c r="FH29" i="222"/>
  <c r="FF29" i="222"/>
  <c r="FD29" i="222"/>
  <c r="FB29" i="222"/>
  <c r="EZ29" i="222"/>
  <c r="EX29" i="222"/>
  <c r="EV29" i="222"/>
  <c r="ET29" i="222"/>
  <c r="ER29" i="222"/>
  <c r="EP29" i="222"/>
  <c r="EE29" i="222"/>
  <c r="GF29" i="222" s="1"/>
  <c r="EA29" i="222"/>
  <c r="GD29" i="222" s="1"/>
  <c r="DY29" i="222"/>
  <c r="DL29" i="222"/>
  <c r="DC29" i="222"/>
  <c r="DE29" i="222" s="1"/>
  <c r="CT29" i="222"/>
  <c r="BG29" i="222"/>
  <c r="BF29" i="222"/>
  <c r="AT29" i="222" s="1"/>
  <c r="BE29" i="222"/>
  <c r="BD29" i="222"/>
  <c r="BC29" i="222"/>
  <c r="AY29" i="222"/>
  <c r="AS29" i="222"/>
  <c r="AD29" i="222"/>
  <c r="DI29" i="222" s="1"/>
  <c r="FY29" i="222" s="1"/>
  <c r="AC29" i="222"/>
  <c r="DH29" i="222" s="1"/>
  <c r="DK29" i="222" s="1"/>
  <c r="AB29" i="222"/>
  <c r="DG29" i="222" s="1"/>
  <c r="AA29" i="222"/>
  <c r="V29" i="222"/>
  <c r="I29" i="222"/>
  <c r="C29" i="222"/>
  <c r="FJ28" i="222"/>
  <c r="FH28" i="222"/>
  <c r="FF28" i="222"/>
  <c r="FD28" i="222"/>
  <c r="FB28" i="222"/>
  <c r="EZ28" i="222"/>
  <c r="EX28" i="222"/>
  <c r="EV28" i="222"/>
  <c r="ET28" i="222"/>
  <c r="ER28" i="222"/>
  <c r="EP28" i="222"/>
  <c r="EE28" i="222"/>
  <c r="GF28" i="222" s="1"/>
  <c r="EA28" i="222"/>
  <c r="GD28" i="222" s="1"/>
  <c r="DY28" i="222"/>
  <c r="GC28" i="222" s="1"/>
  <c r="DL28" i="222"/>
  <c r="DE28" i="222"/>
  <c r="DC28" i="222"/>
  <c r="CT28" i="222"/>
  <c r="BG28" i="222"/>
  <c r="BF28" i="222"/>
  <c r="BE28" i="222"/>
  <c r="BD28" i="222"/>
  <c r="AR28" i="222" s="1"/>
  <c r="BC28" i="222"/>
  <c r="AY28" i="222"/>
  <c r="AT28" i="222"/>
  <c r="AD28" i="222"/>
  <c r="DI28" i="222" s="1"/>
  <c r="FY28" i="222" s="1"/>
  <c r="AC28" i="222"/>
  <c r="AB28" i="222"/>
  <c r="DG28" i="222" s="1"/>
  <c r="AA28" i="222"/>
  <c r="DF28" i="222" s="1"/>
  <c r="W28" i="222"/>
  <c r="I28" i="222"/>
  <c r="CU28" i="222" s="1"/>
  <c r="FJ27" i="222"/>
  <c r="FH27" i="222"/>
  <c r="FF27" i="222"/>
  <c r="FD27" i="222"/>
  <c r="FB27" i="222"/>
  <c r="EZ27" i="222"/>
  <c r="EX27" i="222"/>
  <c r="EV27" i="222"/>
  <c r="ET27" i="222"/>
  <c r="ER27" i="222"/>
  <c r="EP27" i="222"/>
  <c r="EE27" i="222"/>
  <c r="GF27" i="222" s="1"/>
  <c r="EA27" i="222"/>
  <c r="GD27" i="222" s="1"/>
  <c r="DY27" i="222"/>
  <c r="GC27" i="222" s="1"/>
  <c r="DL27" i="222"/>
  <c r="DE27" i="222"/>
  <c r="DC27" i="222"/>
  <c r="CT27" i="222"/>
  <c r="BG27" i="222"/>
  <c r="BF27" i="222"/>
  <c r="BE27" i="222"/>
  <c r="AS27" i="222" s="1"/>
  <c r="BD27" i="222"/>
  <c r="AR27" i="222" s="1"/>
  <c r="BC27" i="222"/>
  <c r="AY27" i="222"/>
  <c r="AD27" i="222"/>
  <c r="DI27" i="222" s="1"/>
  <c r="FY27" i="222" s="1"/>
  <c r="AC27" i="222"/>
  <c r="DH27" i="222" s="1"/>
  <c r="AB27" i="222"/>
  <c r="DG27" i="222" s="1"/>
  <c r="AA27" i="222"/>
  <c r="DF27" i="222" s="1"/>
  <c r="U27" i="222"/>
  <c r="I27" i="222"/>
  <c r="FJ26" i="222"/>
  <c r="FH26" i="222"/>
  <c r="FF26" i="222"/>
  <c r="FD26" i="222"/>
  <c r="FB26" i="222"/>
  <c r="EZ26" i="222"/>
  <c r="EX26" i="222"/>
  <c r="EV26" i="222"/>
  <c r="ET26" i="222"/>
  <c r="ER26" i="222"/>
  <c r="EP26" i="222"/>
  <c r="EE26" i="222"/>
  <c r="GF26" i="222" s="1"/>
  <c r="EA26" i="222"/>
  <c r="GD26" i="222" s="1"/>
  <c r="DY26" i="222"/>
  <c r="DL26" i="222"/>
  <c r="DC26" i="222"/>
  <c r="DE26" i="222" s="1"/>
  <c r="CT26" i="222"/>
  <c r="BG26" i="222"/>
  <c r="BF26" i="222"/>
  <c r="BE26" i="222"/>
  <c r="V26" i="222" s="1"/>
  <c r="BD26" i="222"/>
  <c r="BC26" i="222"/>
  <c r="AY26" i="222"/>
  <c r="AS26" i="222"/>
  <c r="AR26" i="222"/>
  <c r="AD26" i="222"/>
  <c r="DI26" i="222" s="1"/>
  <c r="FY26" i="222" s="1"/>
  <c r="AC26" i="222"/>
  <c r="DH26" i="222" s="1"/>
  <c r="DK26" i="222" s="1"/>
  <c r="AB26" i="222"/>
  <c r="DG26" i="222" s="1"/>
  <c r="AA26" i="222"/>
  <c r="DF26" i="222" s="1"/>
  <c r="U26" i="222"/>
  <c r="I26" i="222"/>
  <c r="C26" i="222"/>
  <c r="FJ25" i="222"/>
  <c r="FH25" i="222"/>
  <c r="FF25" i="222"/>
  <c r="FD25" i="222"/>
  <c r="FB25" i="222"/>
  <c r="EZ25" i="222"/>
  <c r="EX25" i="222"/>
  <c r="EV25" i="222"/>
  <c r="ET25" i="222"/>
  <c r="ER25" i="222"/>
  <c r="EP25" i="222"/>
  <c r="EE25" i="222"/>
  <c r="GF25" i="222" s="1"/>
  <c r="EA25" i="222"/>
  <c r="GD25" i="222" s="1"/>
  <c r="DY25" i="222"/>
  <c r="DL25" i="222"/>
  <c r="DC25" i="222"/>
  <c r="DE25" i="222" s="1"/>
  <c r="CT25" i="222"/>
  <c r="BG25" i="222"/>
  <c r="BF25" i="222"/>
  <c r="BE25" i="222"/>
  <c r="AS25" i="222" s="1"/>
  <c r="BD25" i="222"/>
  <c r="BC25" i="222"/>
  <c r="AY25" i="222"/>
  <c r="AT25" i="222"/>
  <c r="AR25" i="222"/>
  <c r="AD25" i="222"/>
  <c r="DI25" i="222" s="1"/>
  <c r="FY25" i="222" s="1"/>
  <c r="AC25" i="222"/>
  <c r="DH25" i="222" s="1"/>
  <c r="AB25" i="222"/>
  <c r="DG25" i="222" s="1"/>
  <c r="AA25" i="222"/>
  <c r="DF25" i="222" s="1"/>
  <c r="W25" i="222"/>
  <c r="V25" i="222"/>
  <c r="U25" i="222"/>
  <c r="I25" i="222"/>
  <c r="C25" i="222" s="1"/>
  <c r="FJ24" i="222"/>
  <c r="FH24" i="222"/>
  <c r="FF24" i="222"/>
  <c r="FD24" i="222"/>
  <c r="FB24" i="222"/>
  <c r="EZ24" i="222"/>
  <c r="EX24" i="222"/>
  <c r="EV24" i="222"/>
  <c r="ET24" i="222"/>
  <c r="ER24" i="222"/>
  <c r="EP24" i="222"/>
  <c r="EE24" i="222"/>
  <c r="GF24" i="222" s="1"/>
  <c r="EA24" i="222"/>
  <c r="DY24" i="222"/>
  <c r="GC24" i="222" s="1"/>
  <c r="DL24" i="222"/>
  <c r="DC24" i="222"/>
  <c r="DE24" i="222" s="1"/>
  <c r="CT24" i="222"/>
  <c r="BG24" i="222"/>
  <c r="BF24" i="222"/>
  <c r="BE24" i="222"/>
  <c r="AS24" i="222" s="1"/>
  <c r="BD24" i="222"/>
  <c r="BC24" i="222"/>
  <c r="AY24" i="222"/>
  <c r="AT24" i="222"/>
  <c r="AD24" i="222"/>
  <c r="DI24" i="222" s="1"/>
  <c r="FY24" i="222" s="1"/>
  <c r="AC24" i="222"/>
  <c r="DH24" i="222" s="1"/>
  <c r="DK24" i="222" s="1"/>
  <c r="AB24" i="222"/>
  <c r="AA24" i="222"/>
  <c r="W24" i="222"/>
  <c r="I24" i="222"/>
  <c r="C24" i="222" s="1"/>
  <c r="GD23" i="222"/>
  <c r="FY23" i="222"/>
  <c r="FJ23" i="222"/>
  <c r="FH23" i="222"/>
  <c r="FF23" i="222"/>
  <c r="FD23" i="222"/>
  <c r="FB23" i="222"/>
  <c r="EZ23" i="222"/>
  <c r="EX23" i="222"/>
  <c r="EV23" i="222"/>
  <c r="ET23" i="222"/>
  <c r="ER23" i="222"/>
  <c r="FK23" i="222" s="1"/>
  <c r="GJ23" i="222" s="1"/>
  <c r="EP23" i="222"/>
  <c r="EE23" i="222"/>
  <c r="GF23" i="222" s="1"/>
  <c r="EA23" i="222"/>
  <c r="DY23" i="222"/>
  <c r="GC23" i="222" s="1"/>
  <c r="DL23" i="222"/>
  <c r="DE23" i="222"/>
  <c r="DC23" i="222"/>
  <c r="CT23" i="222"/>
  <c r="BG23" i="222"/>
  <c r="BF23" i="222"/>
  <c r="AT23" i="222" s="1"/>
  <c r="BE23" i="222"/>
  <c r="BD23" i="222"/>
  <c r="U23" i="222" s="1"/>
  <c r="BC23" i="222"/>
  <c r="AY23" i="222"/>
  <c r="AR23" i="222"/>
  <c r="AD23" i="222"/>
  <c r="DI23" i="222" s="1"/>
  <c r="AC23" i="222"/>
  <c r="AB23" i="222"/>
  <c r="DG23" i="222" s="1"/>
  <c r="AA23" i="222"/>
  <c r="DF23" i="222" s="1"/>
  <c r="I23" i="222"/>
  <c r="GD22" i="222"/>
  <c r="FJ22" i="222"/>
  <c r="FH22" i="222"/>
  <c r="FF22" i="222"/>
  <c r="FD22" i="222"/>
  <c r="FB22" i="222"/>
  <c r="EZ22" i="222"/>
  <c r="EX22" i="222"/>
  <c r="EV22" i="222"/>
  <c r="ET22" i="222"/>
  <c r="ER22" i="222"/>
  <c r="EP22" i="222"/>
  <c r="EE22" i="222"/>
  <c r="GF22" i="222" s="1"/>
  <c r="EA22" i="222"/>
  <c r="DY22" i="222"/>
  <c r="GC22" i="222" s="1"/>
  <c r="DL22" i="222"/>
  <c r="DE22" i="222"/>
  <c r="DC22" i="222"/>
  <c r="CT22" i="222"/>
  <c r="BG22" i="222"/>
  <c r="BF22" i="222"/>
  <c r="BE22" i="222"/>
  <c r="BD22" i="222"/>
  <c r="U22" i="222" s="1"/>
  <c r="AL22" i="222" s="1"/>
  <c r="BC22" i="222"/>
  <c r="AY22" i="222"/>
  <c r="AS22" i="222"/>
  <c r="AR22" i="222"/>
  <c r="AD22" i="222"/>
  <c r="DI22" i="222" s="1"/>
  <c r="FY22" i="222" s="1"/>
  <c r="AC22" i="222"/>
  <c r="DH22" i="222" s="1"/>
  <c r="AB22" i="222"/>
  <c r="DG22" i="222" s="1"/>
  <c r="AA22" i="222"/>
  <c r="DF22" i="222" s="1"/>
  <c r="V22" i="222"/>
  <c r="I22" i="222"/>
  <c r="C22" i="222" s="1"/>
  <c r="FJ21" i="222"/>
  <c r="FH21" i="222"/>
  <c r="FF21" i="222"/>
  <c r="FD21" i="222"/>
  <c r="FB21" i="222"/>
  <c r="EZ21" i="222"/>
  <c r="EX21" i="222"/>
  <c r="EV21" i="222"/>
  <c r="FK21" i="222" s="1"/>
  <c r="GJ21" i="222" s="1"/>
  <c r="ET21" i="222"/>
  <c r="ER21" i="222"/>
  <c r="EP21" i="222"/>
  <c r="EE21" i="222"/>
  <c r="GF21" i="222" s="1"/>
  <c r="EA21" i="222"/>
  <c r="GD21" i="222" s="1"/>
  <c r="DY21" i="222"/>
  <c r="DL21" i="222"/>
  <c r="DC21" i="222"/>
  <c r="DE21" i="222" s="1"/>
  <c r="CT21" i="222"/>
  <c r="BG21" i="222"/>
  <c r="BF21" i="222"/>
  <c r="BE21" i="222"/>
  <c r="AS21" i="222" s="1"/>
  <c r="BD21" i="222"/>
  <c r="BC21" i="222"/>
  <c r="AY21" i="222"/>
  <c r="AT21" i="222"/>
  <c r="AR21" i="222"/>
  <c r="AD21" i="222"/>
  <c r="DI21" i="222" s="1"/>
  <c r="FY21" i="222" s="1"/>
  <c r="AC21" i="222"/>
  <c r="DH21" i="222" s="1"/>
  <c r="AB21" i="222"/>
  <c r="DG21" i="222" s="1"/>
  <c r="AA21" i="222"/>
  <c r="DF21" i="222" s="1"/>
  <c r="W21" i="222"/>
  <c r="U21" i="222"/>
  <c r="I21" i="222"/>
  <c r="C21" i="222"/>
  <c r="GF20" i="222"/>
  <c r="FJ20" i="222"/>
  <c r="FH20" i="222"/>
  <c r="FF20" i="222"/>
  <c r="FD20" i="222"/>
  <c r="FB20" i="222"/>
  <c r="EZ20" i="222"/>
  <c r="EX20" i="222"/>
  <c r="EV20" i="222"/>
  <c r="ET20" i="222"/>
  <c r="ER20" i="222"/>
  <c r="EP20" i="222"/>
  <c r="FK20" i="222" s="1"/>
  <c r="GJ20" i="222" s="1"/>
  <c r="EE20" i="222"/>
  <c r="EA20" i="222"/>
  <c r="DY20" i="222"/>
  <c r="GC20" i="222" s="1"/>
  <c r="DL20" i="222"/>
  <c r="DC20" i="222"/>
  <c r="DE20" i="222" s="1"/>
  <c r="CT20" i="222"/>
  <c r="BG20" i="222"/>
  <c r="BF20" i="222"/>
  <c r="W20" i="222" s="1"/>
  <c r="BE20" i="222"/>
  <c r="BD20" i="222"/>
  <c r="BC20" i="222"/>
  <c r="AY20" i="222"/>
  <c r="AS20" i="222"/>
  <c r="AD20" i="222"/>
  <c r="DI20" i="222" s="1"/>
  <c r="FY20" i="222" s="1"/>
  <c r="AC20" i="222"/>
  <c r="DH20" i="222" s="1"/>
  <c r="DK20" i="222" s="1"/>
  <c r="AB20" i="222"/>
  <c r="AA20" i="222"/>
  <c r="DF20" i="222" s="1"/>
  <c r="V20" i="222"/>
  <c r="I20" i="222"/>
  <c r="C20" i="222"/>
  <c r="GC19" i="222"/>
  <c r="FJ19" i="222"/>
  <c r="FH19" i="222"/>
  <c r="FF19" i="222"/>
  <c r="FD19" i="222"/>
  <c r="FB19" i="222"/>
  <c r="EZ19" i="222"/>
  <c r="EX19" i="222"/>
  <c r="EV19" i="222"/>
  <c r="ET19" i="222"/>
  <c r="ER19" i="222"/>
  <c r="EP19" i="222"/>
  <c r="EE19" i="222"/>
  <c r="GF19" i="222" s="1"/>
  <c r="EA19" i="222"/>
  <c r="GD19" i="222" s="1"/>
  <c r="DY19" i="222"/>
  <c r="DL19" i="222"/>
  <c r="DE19" i="222"/>
  <c r="DC19" i="222"/>
  <c r="CT19" i="222"/>
  <c r="BG19" i="222"/>
  <c r="BF19" i="222"/>
  <c r="AT19" i="222" s="1"/>
  <c r="BE19" i="222"/>
  <c r="BD19" i="222"/>
  <c r="U19" i="222" s="1"/>
  <c r="BC19" i="222"/>
  <c r="AY19" i="222"/>
  <c r="AR19" i="222"/>
  <c r="AD19" i="222"/>
  <c r="DI19" i="222" s="1"/>
  <c r="FY19" i="222" s="1"/>
  <c r="AC19" i="222"/>
  <c r="DH19" i="222" s="1"/>
  <c r="AB19" i="222"/>
  <c r="DG19" i="222" s="1"/>
  <c r="AA19" i="222"/>
  <c r="DF19" i="222" s="1"/>
  <c r="I19" i="222"/>
  <c r="CU19" i="222" s="1"/>
  <c r="GD18" i="222"/>
  <c r="FJ18" i="222"/>
  <c r="FH18" i="222"/>
  <c r="FF18" i="222"/>
  <c r="FD18" i="222"/>
  <c r="FB18" i="222"/>
  <c r="EZ18" i="222"/>
  <c r="EX18" i="222"/>
  <c r="EV18" i="222"/>
  <c r="ET18" i="222"/>
  <c r="ER18" i="222"/>
  <c r="EP18" i="222"/>
  <c r="EE18" i="222"/>
  <c r="GF18" i="222" s="1"/>
  <c r="EA18" i="222"/>
  <c r="DY18" i="222"/>
  <c r="GC18" i="222" s="1"/>
  <c r="DL18" i="222"/>
  <c r="DE18" i="222"/>
  <c r="DC18" i="222"/>
  <c r="CT18" i="222"/>
  <c r="BG18" i="222"/>
  <c r="BF18" i="222"/>
  <c r="BE18" i="222"/>
  <c r="BD18" i="222"/>
  <c r="BC18" i="222"/>
  <c r="AY18" i="222"/>
  <c r="AS18" i="222"/>
  <c r="AR18" i="222"/>
  <c r="AD18" i="222"/>
  <c r="DI18" i="222" s="1"/>
  <c r="FY18" i="222" s="1"/>
  <c r="AC18" i="222"/>
  <c r="DH18" i="222" s="1"/>
  <c r="AB18" i="222"/>
  <c r="DG18" i="222" s="1"/>
  <c r="AA18" i="222"/>
  <c r="DF18" i="222" s="1"/>
  <c r="V18" i="222"/>
  <c r="U18" i="222"/>
  <c r="I18" i="222"/>
  <c r="C18" i="222"/>
  <c r="FJ17" i="222"/>
  <c r="FH17" i="222"/>
  <c r="FF17" i="222"/>
  <c r="FD17" i="222"/>
  <c r="FB17" i="222"/>
  <c r="EZ17" i="222"/>
  <c r="EX17" i="222"/>
  <c r="EV17" i="222"/>
  <c r="ET17" i="222"/>
  <c r="ER17" i="222"/>
  <c r="EP17" i="222"/>
  <c r="EE17" i="222"/>
  <c r="GF17" i="222" s="1"/>
  <c r="EA17" i="222"/>
  <c r="GD17" i="222" s="1"/>
  <c r="DY17" i="222"/>
  <c r="DL17" i="222"/>
  <c r="DC17" i="222"/>
  <c r="DE17" i="222" s="1"/>
  <c r="CT17" i="222"/>
  <c r="BG17" i="222"/>
  <c r="BF17" i="222"/>
  <c r="AT17" i="222" s="1"/>
  <c r="BE17" i="222"/>
  <c r="BD17" i="222"/>
  <c r="AR17" i="222" s="1"/>
  <c r="BC17" i="222"/>
  <c r="AY17" i="222"/>
  <c r="AS17" i="222"/>
  <c r="AD17" i="222"/>
  <c r="DI17" i="222" s="1"/>
  <c r="FY17" i="222" s="1"/>
  <c r="AC17" i="222"/>
  <c r="DH17" i="222" s="1"/>
  <c r="AB17" i="222"/>
  <c r="DG17" i="222" s="1"/>
  <c r="AA17" i="222"/>
  <c r="V17" i="222"/>
  <c r="I17" i="222"/>
  <c r="C17" i="222" s="1"/>
  <c r="GF16" i="222"/>
  <c r="FJ16" i="222"/>
  <c r="FH16" i="222"/>
  <c r="FF16" i="222"/>
  <c r="FD16" i="222"/>
  <c r="FB16" i="222"/>
  <c r="EZ16" i="222"/>
  <c r="EX16" i="222"/>
  <c r="EV16" i="222"/>
  <c r="ET16" i="222"/>
  <c r="ER16" i="222"/>
  <c r="EP16" i="222"/>
  <c r="FK16" i="222" s="1"/>
  <c r="GJ16" i="222" s="1"/>
  <c r="EE16" i="222"/>
  <c r="EA16" i="222"/>
  <c r="DY16" i="222"/>
  <c r="GC16" i="222" s="1"/>
  <c r="DL16" i="222"/>
  <c r="DC16" i="222"/>
  <c r="DE16" i="222" s="1"/>
  <c r="CT16" i="222"/>
  <c r="BG16" i="222"/>
  <c r="BF16" i="222"/>
  <c r="AT16" i="222" s="1"/>
  <c r="BE16" i="222"/>
  <c r="BD16" i="222"/>
  <c r="BC16" i="222"/>
  <c r="AY16" i="222"/>
  <c r="AS16" i="222"/>
  <c r="AD16" i="222"/>
  <c r="DI16" i="222" s="1"/>
  <c r="FY16" i="222" s="1"/>
  <c r="AC16" i="222"/>
  <c r="DH16" i="222" s="1"/>
  <c r="AB16" i="222"/>
  <c r="AA16" i="222"/>
  <c r="DF16" i="222" s="1"/>
  <c r="W16" i="222"/>
  <c r="AN16" i="222" s="1"/>
  <c r="V16" i="222"/>
  <c r="I16" i="222"/>
  <c r="C16" i="222" s="1"/>
  <c r="GD15" i="222"/>
  <c r="FJ15" i="222"/>
  <c r="FH15" i="222"/>
  <c r="FF15" i="222"/>
  <c r="FD15" i="222"/>
  <c r="FB15" i="222"/>
  <c r="EZ15" i="222"/>
  <c r="EX15" i="222"/>
  <c r="EV15" i="222"/>
  <c r="ET15" i="222"/>
  <c r="ER15" i="222"/>
  <c r="EP15" i="222"/>
  <c r="EE15" i="222"/>
  <c r="GF15" i="222" s="1"/>
  <c r="EA15" i="222"/>
  <c r="DY15" i="222"/>
  <c r="GC15" i="222" s="1"/>
  <c r="DL15" i="222"/>
  <c r="DE15" i="222"/>
  <c r="DC15" i="222"/>
  <c r="CT15" i="222"/>
  <c r="BG15" i="222"/>
  <c r="BF15" i="222"/>
  <c r="BE15" i="222"/>
  <c r="BD15" i="222"/>
  <c r="BC15" i="222"/>
  <c r="AY15" i="222"/>
  <c r="AT15" i="222"/>
  <c r="AR15" i="222"/>
  <c r="AD15" i="222"/>
  <c r="DI15" i="222" s="1"/>
  <c r="FY15" i="222" s="1"/>
  <c r="AC15" i="222"/>
  <c r="DH15" i="222" s="1"/>
  <c r="AB15" i="222"/>
  <c r="DG15" i="222" s="1"/>
  <c r="AA15" i="222"/>
  <c r="DF15" i="222" s="1"/>
  <c r="W15" i="222"/>
  <c r="U15" i="222"/>
  <c r="I15" i="222"/>
  <c r="CU15" i="222" s="1"/>
  <c r="FJ14" i="222"/>
  <c r="FH14" i="222"/>
  <c r="FF14" i="222"/>
  <c r="FD14" i="222"/>
  <c r="FB14" i="222"/>
  <c r="EZ14" i="222"/>
  <c r="EX14" i="222"/>
  <c r="EV14" i="222"/>
  <c r="ET14" i="222"/>
  <c r="ER14" i="222"/>
  <c r="EP14" i="222"/>
  <c r="EE14" i="222"/>
  <c r="GF14" i="222" s="1"/>
  <c r="EA14" i="222"/>
  <c r="GD14" i="222" s="1"/>
  <c r="DY14" i="222"/>
  <c r="GC14" i="222" s="1"/>
  <c r="DL14" i="222"/>
  <c r="DC14" i="222"/>
  <c r="DE14" i="222" s="1"/>
  <c r="CT14" i="222"/>
  <c r="BG14" i="222"/>
  <c r="BF14" i="222"/>
  <c r="BE14" i="222"/>
  <c r="BD14" i="222"/>
  <c r="BC14" i="222"/>
  <c r="AY14" i="222"/>
  <c r="AS14" i="222"/>
  <c r="AR14" i="222"/>
  <c r="AD14" i="222"/>
  <c r="DI14" i="222" s="1"/>
  <c r="FY14" i="222" s="1"/>
  <c r="AC14" i="222"/>
  <c r="DH14" i="222" s="1"/>
  <c r="AB14" i="222"/>
  <c r="DG14" i="222" s="1"/>
  <c r="AA14" i="222"/>
  <c r="V14" i="222"/>
  <c r="U14" i="222"/>
  <c r="I14" i="222"/>
  <c r="C14" i="222" s="1"/>
  <c r="FJ13" i="222"/>
  <c r="FH13" i="222"/>
  <c r="FF13" i="222"/>
  <c r="FD13" i="222"/>
  <c r="FB13" i="222"/>
  <c r="EZ13" i="222"/>
  <c r="EX13" i="222"/>
  <c r="EV13" i="222"/>
  <c r="FK13" i="222" s="1"/>
  <c r="GJ13" i="222" s="1"/>
  <c r="ET13" i="222"/>
  <c r="ER13" i="222"/>
  <c r="EP13" i="222"/>
  <c r="EE13" i="222"/>
  <c r="GF13" i="222" s="1"/>
  <c r="EA13" i="222"/>
  <c r="GD13" i="222" s="1"/>
  <c r="DY13" i="222"/>
  <c r="DL13" i="222"/>
  <c r="DC13" i="222"/>
  <c r="DE13" i="222" s="1"/>
  <c r="CT13" i="222"/>
  <c r="BG13" i="222"/>
  <c r="BF13" i="222"/>
  <c r="AT13" i="222" s="1"/>
  <c r="BE13" i="222"/>
  <c r="BD13" i="222"/>
  <c r="AR13" i="222" s="1"/>
  <c r="BC13" i="222"/>
  <c r="AY13" i="222"/>
  <c r="AS13" i="222"/>
  <c r="AD13" i="222"/>
  <c r="DI13" i="222" s="1"/>
  <c r="FY13" i="222" s="1"/>
  <c r="AC13" i="222"/>
  <c r="DH13" i="222" s="1"/>
  <c r="AB13" i="222"/>
  <c r="DG13" i="222" s="1"/>
  <c r="AA13" i="222"/>
  <c r="DF13" i="222" s="1"/>
  <c r="V13" i="222"/>
  <c r="I13" i="222"/>
  <c r="C13" i="222" s="1"/>
  <c r="FJ12" i="222"/>
  <c r="FH12" i="222"/>
  <c r="FF12" i="222"/>
  <c r="FD12" i="222"/>
  <c r="FB12" i="222"/>
  <c r="EZ12" i="222"/>
  <c r="EX12" i="222"/>
  <c r="EV12" i="222"/>
  <c r="ET12" i="222"/>
  <c r="ER12" i="222"/>
  <c r="EP12" i="222"/>
  <c r="EE12" i="222"/>
  <c r="GF12" i="222" s="1"/>
  <c r="EA12" i="222"/>
  <c r="GD12" i="222" s="1"/>
  <c r="DY12" i="222"/>
  <c r="GC12" i="222" s="1"/>
  <c r="DL12" i="222"/>
  <c r="DC12" i="222"/>
  <c r="DE12" i="222" s="1"/>
  <c r="CT12" i="222"/>
  <c r="BG12" i="222"/>
  <c r="BF12" i="222"/>
  <c r="AT12" i="222" s="1"/>
  <c r="BE12" i="222"/>
  <c r="AS12" i="222" s="1"/>
  <c r="BD12" i="222"/>
  <c r="BC12" i="222"/>
  <c r="AY12" i="222"/>
  <c r="AR12" i="222"/>
  <c r="AD12" i="222"/>
  <c r="DI12" i="222" s="1"/>
  <c r="FY12" i="222" s="1"/>
  <c r="AC12" i="222"/>
  <c r="DH12" i="222" s="1"/>
  <c r="AB12" i="222"/>
  <c r="DG12" i="222" s="1"/>
  <c r="AA12" i="222"/>
  <c r="U12" i="222"/>
  <c r="I12" i="222"/>
  <c r="FJ11" i="222"/>
  <c r="FH11" i="222"/>
  <c r="FF11" i="222"/>
  <c r="FD11" i="222"/>
  <c r="FB11" i="222"/>
  <c r="EZ11" i="222"/>
  <c r="EX11" i="222"/>
  <c r="EV11" i="222"/>
  <c r="ET11" i="222"/>
  <c r="ER11" i="222"/>
  <c r="EP11" i="222"/>
  <c r="EE11" i="222"/>
  <c r="GF11" i="222" s="1"/>
  <c r="EA11" i="222"/>
  <c r="GD11" i="222" s="1"/>
  <c r="DY11" i="222"/>
  <c r="GC11" i="222" s="1"/>
  <c r="DL11" i="222"/>
  <c r="DC11" i="222"/>
  <c r="DE11" i="222" s="1"/>
  <c r="CT11" i="222"/>
  <c r="BG11" i="222"/>
  <c r="BF11" i="222"/>
  <c r="AT11" i="222" s="1"/>
  <c r="BE11" i="222"/>
  <c r="BD11" i="222"/>
  <c r="AR11" i="222" s="1"/>
  <c r="BC11" i="222"/>
  <c r="AY11" i="222"/>
  <c r="AS11" i="222"/>
  <c r="AD11" i="222"/>
  <c r="DI11" i="222" s="1"/>
  <c r="FY11" i="222" s="1"/>
  <c r="AC11" i="222"/>
  <c r="DH11" i="222" s="1"/>
  <c r="AB11" i="222"/>
  <c r="DG11" i="222" s="1"/>
  <c r="AA11" i="222"/>
  <c r="W11" i="222"/>
  <c r="AN11" i="222" s="1"/>
  <c r="V11" i="222"/>
  <c r="I11" i="222"/>
  <c r="C11" i="222" s="1"/>
  <c r="GF10" i="222"/>
  <c r="FJ10" i="222"/>
  <c r="FH10" i="222"/>
  <c r="FF10" i="222"/>
  <c r="FD10" i="222"/>
  <c r="FB10" i="222"/>
  <c r="EZ10" i="222"/>
  <c r="EX10" i="222"/>
  <c r="EV10" i="222"/>
  <c r="ET10" i="222"/>
  <c r="ER10" i="222"/>
  <c r="EP10" i="222"/>
  <c r="EE10" i="222"/>
  <c r="EA10" i="222"/>
  <c r="DY10" i="222"/>
  <c r="GC10" i="222" s="1"/>
  <c r="DL10" i="222"/>
  <c r="DC10" i="222"/>
  <c r="DE10" i="222" s="1"/>
  <c r="CT10" i="222"/>
  <c r="BG10" i="222"/>
  <c r="BF10" i="222"/>
  <c r="W10" i="222" s="1"/>
  <c r="BE10" i="222"/>
  <c r="V10" i="222" s="1"/>
  <c r="BD10" i="222"/>
  <c r="BC10" i="222"/>
  <c r="AY10" i="222"/>
  <c r="AD10" i="222"/>
  <c r="AC10" i="222"/>
  <c r="DH10" i="222" s="1"/>
  <c r="AB10" i="222"/>
  <c r="DG10" i="222" s="1"/>
  <c r="AA10" i="222"/>
  <c r="I10" i="222"/>
  <c r="DN9" i="222"/>
  <c r="DN13" i="222" s="1"/>
  <c r="DM9" i="222"/>
  <c r="DM14" i="222" s="1"/>
  <c r="CX9" i="222"/>
  <c r="BB9" i="222"/>
  <c r="AY9" i="222"/>
  <c r="AO9" i="222"/>
  <c r="AO23" i="222" s="1"/>
  <c r="AN9" i="222"/>
  <c r="AN24" i="222" s="1"/>
  <c r="AM9" i="222"/>
  <c r="AM25" i="222" s="1"/>
  <c r="AL9" i="222"/>
  <c r="AL14" i="222" s="1"/>
  <c r="AK9" i="222"/>
  <c r="AJ9" i="222"/>
  <c r="AJ11" i="222" s="1"/>
  <c r="AI9" i="222"/>
  <c r="AI30" i="222" s="1"/>
  <c r="AH9" i="222"/>
  <c r="AG9" i="222"/>
  <c r="AF9" i="222"/>
  <c r="AT10" i="222" l="1"/>
  <c r="AM11" i="222"/>
  <c r="DN11" i="222"/>
  <c r="FK11" i="222"/>
  <c r="GJ11" i="222" s="1"/>
  <c r="W13" i="222"/>
  <c r="AM16" i="222"/>
  <c r="U17" i="222"/>
  <c r="FK18" i="222"/>
  <c r="GJ18" i="222" s="1"/>
  <c r="W19" i="222"/>
  <c r="AT20" i="222"/>
  <c r="FK22" i="222"/>
  <c r="GJ22" i="222" s="1"/>
  <c r="W23" i="222"/>
  <c r="V24" i="222"/>
  <c r="FK24" i="222"/>
  <c r="GJ24" i="222" s="1"/>
  <c r="W29" i="222"/>
  <c r="FV31" i="222"/>
  <c r="FK33" i="222"/>
  <c r="GJ33" i="222" s="1"/>
  <c r="FK34" i="222"/>
  <c r="GJ34" i="222" s="1"/>
  <c r="AS37" i="222"/>
  <c r="FK37" i="222"/>
  <c r="GJ37" i="222" s="1"/>
  <c r="EO43" i="222"/>
  <c r="EU44" i="222"/>
  <c r="EU45" i="222" s="1"/>
  <c r="EW43" i="222"/>
  <c r="FE44" i="222"/>
  <c r="FE45" i="222" s="1"/>
  <c r="AF11" i="222"/>
  <c r="AL12" i="222"/>
  <c r="AJ13" i="222"/>
  <c r="FK26" i="222"/>
  <c r="GJ26" i="222" s="1"/>
  <c r="FK27" i="222"/>
  <c r="GJ27" i="222" s="1"/>
  <c r="V40" i="222"/>
  <c r="FK40" i="222"/>
  <c r="GJ40" i="222" s="1"/>
  <c r="FG43" i="222"/>
  <c r="AI11" i="222"/>
  <c r="V12" i="222"/>
  <c r="AM12" i="222" s="1"/>
  <c r="AH12" i="222"/>
  <c r="U13" i="222"/>
  <c r="DF14" i="222"/>
  <c r="W17" i="222"/>
  <c r="FK17" i="222"/>
  <c r="GJ17" i="222" s="1"/>
  <c r="FK19" i="222"/>
  <c r="GJ19" i="222" s="1"/>
  <c r="V21" i="222"/>
  <c r="AM21" i="222" s="1"/>
  <c r="DN21" i="222"/>
  <c r="FV22" i="222"/>
  <c r="DF24" i="222"/>
  <c r="FK25" i="222"/>
  <c r="GJ25" i="222" s="1"/>
  <c r="FK38" i="222"/>
  <c r="GJ38" i="222" s="1"/>
  <c r="ED44" i="222"/>
  <c r="AH11" i="222"/>
  <c r="DF12" i="222"/>
  <c r="AI12" i="222"/>
  <c r="AM13" i="222"/>
  <c r="FK14" i="222"/>
  <c r="GJ14" i="222" s="1"/>
  <c r="AI17" i="222"/>
  <c r="FV18" i="222"/>
  <c r="AI26" i="222"/>
  <c r="FK29" i="222"/>
  <c r="GJ29" i="222" s="1"/>
  <c r="EM43" i="222"/>
  <c r="DH42" i="222"/>
  <c r="DK10" i="222"/>
  <c r="AL30" i="222"/>
  <c r="FV12" i="222"/>
  <c r="AM10" i="222"/>
  <c r="DE42" i="222"/>
  <c r="DE41" i="222"/>
  <c r="FX11" i="222"/>
  <c r="DK11" i="222"/>
  <c r="AK40" i="222"/>
  <c r="AK37" i="222"/>
  <c r="AK38" i="222"/>
  <c r="AK33" i="222"/>
  <c r="AK34" i="222"/>
  <c r="AK39" i="222"/>
  <c r="AK30" i="222"/>
  <c r="AK26" i="222"/>
  <c r="AK36" i="222"/>
  <c r="AK32" i="222"/>
  <c r="AK31" i="222"/>
  <c r="AK27" i="222"/>
  <c r="AK35" i="222"/>
  <c r="AK24" i="222"/>
  <c r="AK20" i="222"/>
  <c r="AK16" i="222"/>
  <c r="AK25" i="222"/>
  <c r="AK21" i="222"/>
  <c r="AK17" i="222"/>
  <c r="AK13" i="222"/>
  <c r="AK29" i="222"/>
  <c r="AK22" i="222"/>
  <c r="AK18" i="222"/>
  <c r="AK14" i="222"/>
  <c r="I42" i="222"/>
  <c r="I41" i="222"/>
  <c r="FH42" i="222"/>
  <c r="FH41" i="222"/>
  <c r="AL17" i="222"/>
  <c r="T17" i="222"/>
  <c r="B17" i="222" s="1"/>
  <c r="AT22" i="222"/>
  <c r="W22" i="222"/>
  <c r="GC26" i="222"/>
  <c r="AJ38" i="222"/>
  <c r="AJ39" i="222"/>
  <c r="AJ40" i="222"/>
  <c r="AJ34" i="222"/>
  <c r="AJ35" i="222"/>
  <c r="AJ31" i="222"/>
  <c r="AJ36" i="222"/>
  <c r="AJ33" i="222"/>
  <c r="AJ32" i="222"/>
  <c r="AJ27" i="222"/>
  <c r="AJ37" i="222"/>
  <c r="AJ28" i="222"/>
  <c r="AJ30" i="222"/>
  <c r="AJ26" i="222"/>
  <c r="AJ25" i="222"/>
  <c r="AJ21" i="222"/>
  <c r="AJ17" i="222"/>
  <c r="AJ29" i="222"/>
  <c r="AJ22" i="222"/>
  <c r="AJ18" i="222"/>
  <c r="AJ14" i="222"/>
  <c r="AJ23" i="222"/>
  <c r="AJ19" i="222"/>
  <c r="AJ15" i="222"/>
  <c r="BD42" i="222"/>
  <c r="BD41" i="222"/>
  <c r="BD43" i="222" s="1"/>
  <c r="EP42" i="222"/>
  <c r="EP41" i="222"/>
  <c r="FF42" i="222"/>
  <c r="FF41" i="222"/>
  <c r="FF43" i="222" s="1"/>
  <c r="DK13" i="222"/>
  <c r="FX13" i="222" s="1"/>
  <c r="DK14" i="222"/>
  <c r="GC17" i="222"/>
  <c r="AS19" i="222"/>
  <c r="V19" i="222"/>
  <c r="DK19" i="222"/>
  <c r="AL21" i="222"/>
  <c r="T21" i="222"/>
  <c r="B21" i="222" s="1"/>
  <c r="C23" i="222"/>
  <c r="AR24" i="222"/>
  <c r="AF24" i="222" s="1"/>
  <c r="U24" i="222"/>
  <c r="GD24" i="222"/>
  <c r="DK25" i="222"/>
  <c r="FV25" i="222"/>
  <c r="FV28" i="222"/>
  <c r="DG36" i="222"/>
  <c r="CU10" i="222"/>
  <c r="DK16" i="222"/>
  <c r="C10" i="222"/>
  <c r="U11" i="222"/>
  <c r="DF11" i="222"/>
  <c r="FV11" i="222" s="1"/>
  <c r="AI13" i="222"/>
  <c r="AN15" i="222"/>
  <c r="FV15" i="222"/>
  <c r="AJ16" i="222"/>
  <c r="DG16" i="222"/>
  <c r="AG19" i="222"/>
  <c r="AM20" i="222"/>
  <c r="AN20" i="222"/>
  <c r="AI21" i="222"/>
  <c r="AH22" i="222"/>
  <c r="AK23" i="222"/>
  <c r="DN25" i="222"/>
  <c r="AN28" i="222"/>
  <c r="AN29" i="222"/>
  <c r="AO40" i="222"/>
  <c r="AO37" i="222"/>
  <c r="AO38" i="222"/>
  <c r="AO39" i="222"/>
  <c r="AO33" i="222"/>
  <c r="AO34" i="222"/>
  <c r="AO35" i="222"/>
  <c r="AO30" i="222"/>
  <c r="AO26" i="222"/>
  <c r="AO27" i="222"/>
  <c r="AO31" i="222"/>
  <c r="AO29" i="222"/>
  <c r="AO24" i="222"/>
  <c r="AO20" i="222"/>
  <c r="AO16" i="222"/>
  <c r="AO28" i="222"/>
  <c r="AO25" i="222"/>
  <c r="AO21" i="222"/>
  <c r="AO17" i="222"/>
  <c r="AO13" i="222"/>
  <c r="AO32" i="222"/>
  <c r="AO22" i="222"/>
  <c r="AO18" i="222"/>
  <c r="AO14" i="222"/>
  <c r="DL42" i="222"/>
  <c r="DL41" i="222"/>
  <c r="EZ41" i="222"/>
  <c r="EZ43" i="222" s="1"/>
  <c r="EZ42" i="222"/>
  <c r="GC13" i="222"/>
  <c r="AS15" i="222"/>
  <c r="AG15" i="222" s="1"/>
  <c r="V15" i="222"/>
  <c r="AR20" i="222"/>
  <c r="U20" i="222"/>
  <c r="FV21" i="222"/>
  <c r="AT26" i="222"/>
  <c r="W26" i="222"/>
  <c r="CT41" i="222"/>
  <c r="CT43" i="222" s="1"/>
  <c r="CT42" i="222"/>
  <c r="GF42" i="222"/>
  <c r="GF41" i="222"/>
  <c r="AI38" i="222"/>
  <c r="AI39" i="222"/>
  <c r="AI40" i="222"/>
  <c r="AI35" i="222"/>
  <c r="AI31" i="222"/>
  <c r="AI36" i="222"/>
  <c r="AI32" i="222"/>
  <c r="AI37" i="222"/>
  <c r="AI28" i="222"/>
  <c r="AI29" i="222"/>
  <c r="AI33" i="222"/>
  <c r="AI27" i="222"/>
  <c r="AI22" i="222"/>
  <c r="AI18" i="222"/>
  <c r="AI14" i="222"/>
  <c r="AI23" i="222"/>
  <c r="AI19" i="222"/>
  <c r="AI15" i="222"/>
  <c r="AI34" i="222"/>
  <c r="AI24" i="222"/>
  <c r="AI20" i="222"/>
  <c r="AI16" i="222"/>
  <c r="AM38" i="222"/>
  <c r="AM22" i="222"/>
  <c r="AM18" i="222"/>
  <c r="AM14" i="222"/>
  <c r="AA41" i="222"/>
  <c r="AA43" i="222" s="1"/>
  <c r="AA42" i="222"/>
  <c r="BC41" i="222"/>
  <c r="BC42" i="222"/>
  <c r="BG41" i="222"/>
  <c r="BG42" i="222"/>
  <c r="DY42" i="222"/>
  <c r="DY41" i="222"/>
  <c r="EV42" i="222"/>
  <c r="EV41" i="222"/>
  <c r="FD42" i="222"/>
  <c r="FD41" i="222"/>
  <c r="AL13" i="222"/>
  <c r="T13" i="222"/>
  <c r="B13" i="222" s="1"/>
  <c r="FV13" i="222"/>
  <c r="AT14" i="222"/>
  <c r="W14" i="222"/>
  <c r="FV16" i="222"/>
  <c r="DK18" i="222"/>
  <c r="GC21" i="222"/>
  <c r="AS23" i="222"/>
  <c r="AG23" i="222" s="1"/>
  <c r="V23" i="222"/>
  <c r="AL25" i="222"/>
  <c r="T25" i="222"/>
  <c r="B25" i="222" s="1"/>
  <c r="FV27" i="222"/>
  <c r="DH28" i="222"/>
  <c r="CU32" i="222"/>
  <c r="C32" i="222"/>
  <c r="AO10" i="222"/>
  <c r="FW22" i="222"/>
  <c r="DM22" i="222"/>
  <c r="AK28" i="222"/>
  <c r="AN10" i="222"/>
  <c r="U10" i="222"/>
  <c r="AI10" i="222"/>
  <c r="AR10" i="222"/>
  <c r="AF10" i="222" s="1"/>
  <c r="DF10" i="222"/>
  <c r="DN10" i="222"/>
  <c r="FK10" i="222"/>
  <c r="DM11" i="222"/>
  <c r="FW11" i="222" s="1"/>
  <c r="W12" i="222"/>
  <c r="AN12" i="222" s="1"/>
  <c r="AG12" i="222"/>
  <c r="AK12" i="222"/>
  <c r="AO12" i="222"/>
  <c r="CU12" i="222"/>
  <c r="DK12" i="222"/>
  <c r="FK12" i="222"/>
  <c r="GJ12" i="222" s="1"/>
  <c r="AF13" i="222"/>
  <c r="AN13" i="222"/>
  <c r="FW14" i="222"/>
  <c r="AO15" i="222"/>
  <c r="DF17" i="222"/>
  <c r="AN19" i="222"/>
  <c r="FV19" i="222"/>
  <c r="AJ20" i="222"/>
  <c r="DG20" i="222"/>
  <c r="CU23" i="222"/>
  <c r="DH23" i="222"/>
  <c r="DH41" i="222" s="1"/>
  <c r="DH43" i="222" s="1"/>
  <c r="AM24" i="222"/>
  <c r="AI25" i="222"/>
  <c r="AM26" i="222"/>
  <c r="AL27" i="222"/>
  <c r="AM30" i="222"/>
  <c r="AO36" i="222"/>
  <c r="AG40" i="222"/>
  <c r="AG37" i="222"/>
  <c r="AG38" i="222"/>
  <c r="AG33" i="222"/>
  <c r="AG34" i="222"/>
  <c r="AG30" i="222"/>
  <c r="AG26" i="222"/>
  <c r="AG27" i="222"/>
  <c r="AG29" i="222"/>
  <c r="AG24" i="222"/>
  <c r="AG20" i="222"/>
  <c r="AG16" i="222"/>
  <c r="AG32" i="222"/>
  <c r="AG25" i="222"/>
  <c r="AG21" i="222"/>
  <c r="AG17" i="222"/>
  <c r="AG13" i="222"/>
  <c r="AG36" i="222"/>
  <c r="AG22" i="222"/>
  <c r="AG18" i="222"/>
  <c r="AG14" i="222"/>
  <c r="DM39" i="222"/>
  <c r="DM40" i="222"/>
  <c r="DM37" i="222"/>
  <c r="DM38" i="222"/>
  <c r="DM36" i="222"/>
  <c r="DM32" i="222"/>
  <c r="DM33" i="222"/>
  <c r="DM29" i="222"/>
  <c r="FW29" i="222" s="1"/>
  <c r="DM30" i="222"/>
  <c r="FW30" i="222" s="1"/>
  <c r="DM35" i="222"/>
  <c r="DM31" i="222"/>
  <c r="DM34" i="222"/>
  <c r="FW34" i="222" s="1"/>
  <c r="DM27" i="222"/>
  <c r="FW27" i="222" s="1"/>
  <c r="DM26" i="222"/>
  <c r="FW26" i="222" s="1"/>
  <c r="DM23" i="222"/>
  <c r="FW23" i="222" s="1"/>
  <c r="DM19" i="222"/>
  <c r="FW19" i="222" s="1"/>
  <c r="DM15" i="222"/>
  <c r="DM24" i="222"/>
  <c r="DM20" i="222"/>
  <c r="DM16" i="222"/>
  <c r="DM25" i="222"/>
  <c r="FW25" i="222" s="1"/>
  <c r="DM21" i="222"/>
  <c r="FW21" i="222" s="1"/>
  <c r="DM17" i="222"/>
  <c r="FW17" i="222" s="1"/>
  <c r="DM13" i="222"/>
  <c r="FW13" i="222" s="1"/>
  <c r="AC42" i="222"/>
  <c r="AC41" i="222"/>
  <c r="BE42" i="222"/>
  <c r="BE41" i="222"/>
  <c r="BE43" i="222" s="1"/>
  <c r="ER42" i="222"/>
  <c r="ER41" i="222"/>
  <c r="GC42" i="222"/>
  <c r="DK15" i="222"/>
  <c r="C19" i="222"/>
  <c r="GD20" i="222"/>
  <c r="FX21" i="222"/>
  <c r="DK21" i="222"/>
  <c r="FV24" i="222"/>
  <c r="FV26" i="222"/>
  <c r="AF38" i="222"/>
  <c r="AF39" i="222"/>
  <c r="AF34" i="222"/>
  <c r="AF35" i="222"/>
  <c r="AF31" i="222"/>
  <c r="AF27" i="222"/>
  <c r="AF28" i="222"/>
  <c r="AF33" i="222"/>
  <c r="AF25" i="222"/>
  <c r="AF21" i="222"/>
  <c r="AF17" i="222"/>
  <c r="AF26" i="222"/>
  <c r="AF22" i="222"/>
  <c r="AF18" i="222"/>
  <c r="AF14" i="222"/>
  <c r="AF23" i="222"/>
  <c r="AF19" i="222"/>
  <c r="AF15" i="222"/>
  <c r="AN40" i="222"/>
  <c r="AN37" i="222"/>
  <c r="AN33" i="222"/>
  <c r="AN32" i="222"/>
  <c r="AN25" i="222"/>
  <c r="AN21" i="222"/>
  <c r="AN17" i="222"/>
  <c r="AB41" i="222"/>
  <c r="AB43" i="222" s="1"/>
  <c r="AB42" i="222"/>
  <c r="EA42" i="222"/>
  <c r="EA41" i="222"/>
  <c r="EX42" i="222"/>
  <c r="EX41" i="222"/>
  <c r="AH39" i="222"/>
  <c r="AH40" i="222"/>
  <c r="AH37" i="222"/>
  <c r="AH36" i="222"/>
  <c r="AH32" i="222"/>
  <c r="AH33" i="222"/>
  <c r="AH29" i="222"/>
  <c r="AH30" i="222"/>
  <c r="AH23" i="222"/>
  <c r="AH19" i="222"/>
  <c r="AH15" i="222"/>
  <c r="AH24" i="222"/>
  <c r="AH20" i="222"/>
  <c r="AH16" i="222"/>
  <c r="AH28" i="222"/>
  <c r="AH26" i="222"/>
  <c r="AH25" i="222"/>
  <c r="AH21" i="222"/>
  <c r="AH17" i="222"/>
  <c r="AH13" i="222"/>
  <c r="AL39" i="222"/>
  <c r="AL31" i="222"/>
  <c r="AL23" i="222"/>
  <c r="AL19" i="222"/>
  <c r="AL15" i="222"/>
  <c r="DN38" i="222"/>
  <c r="DN39" i="222"/>
  <c r="DN40" i="222"/>
  <c r="FX40" i="222" s="1"/>
  <c r="DN35" i="222"/>
  <c r="DN31" i="222"/>
  <c r="DN36" i="222"/>
  <c r="DN32" i="222"/>
  <c r="DN37" i="222"/>
  <c r="DN34" i="222"/>
  <c r="DN33" i="222"/>
  <c r="DN28" i="222"/>
  <c r="DN29" i="222"/>
  <c r="DN30" i="222"/>
  <c r="DN22" i="222"/>
  <c r="DN18" i="222"/>
  <c r="DN14" i="222"/>
  <c r="FX14" i="222" s="1"/>
  <c r="DN27" i="222"/>
  <c r="DN26" i="222"/>
  <c r="FX26" i="222" s="1"/>
  <c r="DN23" i="222"/>
  <c r="DN19" i="222"/>
  <c r="FX19" i="222" s="1"/>
  <c r="DN15" i="222"/>
  <c r="DN24" i="222"/>
  <c r="FX24" i="222" s="1"/>
  <c r="DN20" i="222"/>
  <c r="FX20" i="222" s="1"/>
  <c r="DN16" i="222"/>
  <c r="DN12" i="222"/>
  <c r="AD42" i="222"/>
  <c r="AD41" i="222"/>
  <c r="BF41" i="222"/>
  <c r="BF43" i="222" s="1"/>
  <c r="BF42" i="222"/>
  <c r="EE42" i="222"/>
  <c r="EE41" i="222"/>
  <c r="ET42" i="222"/>
  <c r="ET41" i="222"/>
  <c r="FB42" i="222"/>
  <c r="FB41" i="222"/>
  <c r="FJ42" i="222"/>
  <c r="FJ41" i="222"/>
  <c r="C15" i="222"/>
  <c r="AR16" i="222"/>
  <c r="AF16" i="222" s="1"/>
  <c r="U16" i="222"/>
  <c r="GD16" i="222"/>
  <c r="DK17" i="222"/>
  <c r="FV17" i="222"/>
  <c r="AT18" i="222"/>
  <c r="AH18" i="222" s="1"/>
  <c r="W18" i="222"/>
  <c r="FV20" i="222"/>
  <c r="DK22" i="222"/>
  <c r="FX22" i="222" s="1"/>
  <c r="GC25" i="222"/>
  <c r="GC41" i="222" s="1"/>
  <c r="GC43" i="222" s="1"/>
  <c r="AS28" i="222"/>
  <c r="AG28" i="222" s="1"/>
  <c r="V28" i="222"/>
  <c r="AM28" i="222" s="1"/>
  <c r="AK10" i="222"/>
  <c r="DM12" i="222"/>
  <c r="FW12" i="222" s="1"/>
  <c r="AK19" i="222"/>
  <c r="FX29" i="222"/>
  <c r="AR30" i="222"/>
  <c r="AF30" i="222" s="1"/>
  <c r="AJ10" i="222"/>
  <c r="AS10" i="222"/>
  <c r="AG10" i="222" s="1"/>
  <c r="AH10" i="222"/>
  <c r="DI10" i="222"/>
  <c r="DM10" i="222"/>
  <c r="FW10" i="222" s="1"/>
  <c r="GD10" i="222"/>
  <c r="AG11" i="222"/>
  <c r="AK11" i="222"/>
  <c r="AO11" i="222"/>
  <c r="CU11" i="222"/>
  <c r="C12" i="222"/>
  <c r="AF12" i="222"/>
  <c r="AJ12" i="222"/>
  <c r="AH14" i="222"/>
  <c r="FV14" i="222"/>
  <c r="FW15" i="222"/>
  <c r="AK15" i="222"/>
  <c r="FK15" i="222"/>
  <c r="GJ15" i="222" s="1"/>
  <c r="AM17" i="222"/>
  <c r="DN17" i="222"/>
  <c r="FX17" i="222" s="1"/>
  <c r="AL18" i="222"/>
  <c r="DM18" i="222"/>
  <c r="FW18" i="222" s="1"/>
  <c r="AO19" i="222"/>
  <c r="AF20" i="222"/>
  <c r="AN23" i="222"/>
  <c r="FV23" i="222"/>
  <c r="AJ24" i="222"/>
  <c r="DG24" i="222"/>
  <c r="FW24" i="222" s="1"/>
  <c r="AL26" i="222"/>
  <c r="DM28" i="222"/>
  <c r="FW28" i="222" s="1"/>
  <c r="FX30" i="222"/>
  <c r="FW38" i="222"/>
  <c r="C27" i="222"/>
  <c r="CU27" i="222"/>
  <c r="W31" i="222"/>
  <c r="AN31" i="222" s="1"/>
  <c r="AT31" i="222"/>
  <c r="AH31" i="222" s="1"/>
  <c r="DK33" i="222"/>
  <c r="FX33" i="222" s="1"/>
  <c r="AT35" i="222"/>
  <c r="AH35" i="222" s="1"/>
  <c r="W35" i="222"/>
  <c r="AN35" i="222" s="1"/>
  <c r="CU14" i="222"/>
  <c r="CU18" i="222"/>
  <c r="CU22" i="222"/>
  <c r="FK28" i="222"/>
  <c r="GJ28" i="222" s="1"/>
  <c r="CU29" i="222"/>
  <c r="FW32" i="222"/>
  <c r="AM33" i="222"/>
  <c r="AT27" i="222"/>
  <c r="AH27" i="222" s="1"/>
  <c r="W27" i="222"/>
  <c r="AN27" i="222" s="1"/>
  <c r="C28" i="222"/>
  <c r="AR29" i="222"/>
  <c r="AF29" i="222" s="1"/>
  <c r="U29" i="222"/>
  <c r="DF30" i="222"/>
  <c r="FV30" i="222" s="1"/>
  <c r="AL34" i="222"/>
  <c r="DK35" i="222"/>
  <c r="FX35" i="222" s="1"/>
  <c r="CU13" i="222"/>
  <c r="CU17" i="222"/>
  <c r="CU21" i="222"/>
  <c r="CU25" i="222"/>
  <c r="AM29" i="222"/>
  <c r="FX32" i="222"/>
  <c r="FW33" i="222"/>
  <c r="AN36" i="222"/>
  <c r="DK27" i="222"/>
  <c r="FX27" i="222" s="1"/>
  <c r="FX31" i="222"/>
  <c r="DK31" i="222"/>
  <c r="DK34" i="222"/>
  <c r="FX34" i="222" s="1"/>
  <c r="CU36" i="222"/>
  <c r="C36" i="222"/>
  <c r="U37" i="222"/>
  <c r="AR37" i="222"/>
  <c r="AF37" i="222" s="1"/>
  <c r="CU16" i="222"/>
  <c r="CU20" i="222"/>
  <c r="CU24" i="222"/>
  <c r="C31" i="222"/>
  <c r="AS31" i="222"/>
  <c r="AG31" i="222" s="1"/>
  <c r="V31" i="222"/>
  <c r="AL33" i="222"/>
  <c r="T33" i="222"/>
  <c r="B33" i="222" s="1"/>
  <c r="FV33" i="222"/>
  <c r="AS35" i="222"/>
  <c r="AG35" i="222" s="1"/>
  <c r="V35" i="222"/>
  <c r="AM35" i="222" s="1"/>
  <c r="DK37" i="222"/>
  <c r="FX37" i="222" s="1"/>
  <c r="GC37" i="222"/>
  <c r="DF38" i="222"/>
  <c r="FV38" i="222" s="1"/>
  <c r="CU31" i="222"/>
  <c r="FK32" i="222"/>
  <c r="GJ32" i="222" s="1"/>
  <c r="FK35" i="222"/>
  <c r="GJ35" i="222" s="1"/>
  <c r="FV36" i="222"/>
  <c r="DK36" i="222"/>
  <c r="FX36" i="222" s="1"/>
  <c r="FK36" i="222"/>
  <c r="GJ36" i="222" s="1"/>
  <c r="AM37" i="222"/>
  <c r="FW37" i="222"/>
  <c r="FK39" i="222"/>
  <c r="GJ39" i="222" s="1"/>
  <c r="D43" i="222"/>
  <c r="H43" i="222"/>
  <c r="X43" i="222"/>
  <c r="EH45" i="222"/>
  <c r="EI34" i="222" s="1"/>
  <c r="GH34" i="222" s="1"/>
  <c r="GD32" i="222"/>
  <c r="GD36" i="222"/>
  <c r="DK39" i="222"/>
  <c r="FX39" i="222" s="1"/>
  <c r="AR40" i="222"/>
  <c r="AF40" i="222" s="1"/>
  <c r="U40" i="222"/>
  <c r="DX43" i="222"/>
  <c r="DX44" i="222"/>
  <c r="EF45" i="222"/>
  <c r="EG39" i="222" s="1"/>
  <c r="GG39" i="222" s="1"/>
  <c r="EF43" i="222"/>
  <c r="DF29" i="222"/>
  <c r="FK31" i="222"/>
  <c r="GJ31" i="222" s="1"/>
  <c r="FW35" i="222"/>
  <c r="FW40" i="222"/>
  <c r="EI30" i="222"/>
  <c r="GH30" i="222" s="1"/>
  <c r="AR32" i="222"/>
  <c r="AF32" i="222" s="1"/>
  <c r="U32" i="222"/>
  <c r="GC33" i="222"/>
  <c r="AT34" i="222"/>
  <c r="AH34" i="222" s="1"/>
  <c r="W34" i="222"/>
  <c r="AN34" i="222" s="1"/>
  <c r="C35" i="222"/>
  <c r="AR36" i="222"/>
  <c r="AF36" i="222" s="1"/>
  <c r="U36" i="222"/>
  <c r="EI39" i="222"/>
  <c r="GH39" i="222" s="1"/>
  <c r="C39" i="222"/>
  <c r="CU39" i="222"/>
  <c r="CU26" i="222"/>
  <c r="V27" i="222"/>
  <c r="U28" i="222"/>
  <c r="W30" i="222"/>
  <c r="AN30" i="222" s="1"/>
  <c r="CU30" i="222"/>
  <c r="FW31" i="222"/>
  <c r="V32" i="222"/>
  <c r="AM32" i="222" s="1"/>
  <c r="FV34" i="222"/>
  <c r="V36" i="222"/>
  <c r="AM36" i="222" s="1"/>
  <c r="AL38" i="222"/>
  <c r="FW39" i="222"/>
  <c r="FV37" i="222"/>
  <c r="AS39" i="222"/>
  <c r="AG39" i="222" s="1"/>
  <c r="V39" i="222"/>
  <c r="DF32" i="222"/>
  <c r="FV32" i="222" s="1"/>
  <c r="CU34" i="222"/>
  <c r="AN39" i="222"/>
  <c r="AM40" i="222"/>
  <c r="FN46" i="222"/>
  <c r="FO11" i="222" s="1"/>
  <c r="GL11" i="222" s="1"/>
  <c r="DK38" i="222"/>
  <c r="FX38" i="222" s="1"/>
  <c r="AT38" i="222"/>
  <c r="AH38" i="222" s="1"/>
  <c r="W38" i="222"/>
  <c r="FL46" i="222"/>
  <c r="FM37" i="222" s="1"/>
  <c r="GK37" i="222" s="1"/>
  <c r="FL43" i="222"/>
  <c r="CU33" i="222"/>
  <c r="C34" i="222"/>
  <c r="V34" i="222"/>
  <c r="AM34" i="222" s="1"/>
  <c r="U35" i="222"/>
  <c r="FV39" i="222"/>
  <c r="EB43" i="222"/>
  <c r="CU38" i="222"/>
  <c r="DF40" i="222"/>
  <c r="FV40" i="222" s="1"/>
  <c r="EG40" i="222"/>
  <c r="GG40" i="222" s="1"/>
  <c r="DZ43" i="222"/>
  <c r="EH43" i="222"/>
  <c r="FN43" i="222"/>
  <c r="EK46" i="222"/>
  <c r="EL25" i="222" s="1"/>
  <c r="CU37" i="222"/>
  <c r="CU40" i="222"/>
  <c r="FM38" i="222" l="1"/>
  <c r="GK38" i="222" s="1"/>
  <c r="FM39" i="222"/>
  <c r="GK39" i="222" s="1"/>
  <c r="EI36" i="222"/>
  <c r="GH36" i="222" s="1"/>
  <c r="FM18" i="222"/>
  <c r="GK18" i="222" s="1"/>
  <c r="FX12" i="222"/>
  <c r="FO38" i="222"/>
  <c r="GL38" i="222" s="1"/>
  <c r="EI38" i="222"/>
  <c r="GH38" i="222" s="1"/>
  <c r="EI35" i="222"/>
  <c r="GH35" i="222" s="1"/>
  <c r="FB43" i="222"/>
  <c r="FF44" i="222"/>
  <c r="FF45" i="222" s="1"/>
  <c r="FF46" i="222" s="1"/>
  <c r="ER43" i="222"/>
  <c r="AC43" i="222"/>
  <c r="DG42" i="222"/>
  <c r="FX18" i="222"/>
  <c r="DL43" i="222"/>
  <c r="FX16" i="222"/>
  <c r="FX10" i="222"/>
  <c r="FM34" i="222"/>
  <c r="GK34" i="222" s="1"/>
  <c r="EL33" i="222"/>
  <c r="FX15" i="222"/>
  <c r="EL11" i="222"/>
  <c r="EL17" i="222"/>
  <c r="EP43" i="222"/>
  <c r="EV44" i="222"/>
  <c r="EV45" i="222" s="1"/>
  <c r="EV46" i="222" s="1"/>
  <c r="FX25" i="222"/>
  <c r="V42" i="222"/>
  <c r="FH43" i="222"/>
  <c r="FJ44" i="222"/>
  <c r="FJ45" i="222" s="1"/>
  <c r="FJ46" i="222" s="1"/>
  <c r="GI25" i="222"/>
  <c r="FX42" i="222"/>
  <c r="AP30" i="222"/>
  <c r="AE30" i="222" s="1"/>
  <c r="AG42" i="222"/>
  <c r="AG41" i="222"/>
  <c r="AF41" i="222"/>
  <c r="AF42" i="222"/>
  <c r="EG38" i="222"/>
  <c r="GG38" i="222" s="1"/>
  <c r="EG37" i="222"/>
  <c r="GG37" i="222" s="1"/>
  <c r="EG30" i="222"/>
  <c r="GG30" i="222" s="1"/>
  <c r="EG27" i="222"/>
  <c r="GG27" i="222" s="1"/>
  <c r="EG22" i="222"/>
  <c r="GG22" i="222" s="1"/>
  <c r="EG18" i="222"/>
  <c r="GG18" i="222" s="1"/>
  <c r="EG14" i="222"/>
  <c r="GG14" i="222" s="1"/>
  <c r="EG34" i="222"/>
  <c r="GG34" i="222" s="1"/>
  <c r="EG33" i="222"/>
  <c r="GG33" i="222" s="1"/>
  <c r="EG26" i="222"/>
  <c r="GG26" i="222" s="1"/>
  <c r="EG21" i="222"/>
  <c r="GG21" i="222" s="1"/>
  <c r="EG17" i="222"/>
  <c r="GG17" i="222" s="1"/>
  <c r="EG25" i="222"/>
  <c r="GG25" i="222" s="1"/>
  <c r="EG13" i="222"/>
  <c r="GG13" i="222" s="1"/>
  <c r="EG11" i="222"/>
  <c r="GG11" i="222" s="1"/>
  <c r="GI33" i="222"/>
  <c r="AP13" i="222"/>
  <c r="AE13" i="222" s="1"/>
  <c r="GI11" i="222"/>
  <c r="T23" i="222"/>
  <c r="B23" i="222" s="1"/>
  <c r="AM23" i="222"/>
  <c r="GI17" i="222"/>
  <c r="BC43" i="222"/>
  <c r="BC47" i="222"/>
  <c r="BC44" i="222"/>
  <c r="FM40" i="222"/>
  <c r="GK40" i="222" s="1"/>
  <c r="FM36" i="222"/>
  <c r="GK36" i="222" s="1"/>
  <c r="FM32" i="222"/>
  <c r="GK32" i="222" s="1"/>
  <c r="FM28" i="222"/>
  <c r="GK28" i="222" s="1"/>
  <c r="FM29" i="222"/>
  <c r="GK29" i="222" s="1"/>
  <c r="FM24" i="222"/>
  <c r="GK24" i="222" s="1"/>
  <c r="FM11" i="222"/>
  <c r="GK11" i="222" s="1"/>
  <c r="FM20" i="222"/>
  <c r="GK20" i="222" s="1"/>
  <c r="FM16" i="222"/>
  <c r="GK16" i="222" s="1"/>
  <c r="FM10" i="222"/>
  <c r="AM27" i="222"/>
  <c r="T27" i="222"/>
  <c r="AL36" i="222"/>
  <c r="AP36" i="222" s="1"/>
  <c r="AE36" i="222" s="1"/>
  <c r="T36" i="222"/>
  <c r="AL40" i="222"/>
  <c r="AP40" i="222" s="1"/>
  <c r="AE40" i="222" s="1"/>
  <c r="T40" i="222"/>
  <c r="B40" i="222" s="1"/>
  <c r="EI40" i="222"/>
  <c r="GH40" i="222" s="1"/>
  <c r="EI33" i="222"/>
  <c r="GH33" i="222" s="1"/>
  <c r="EI37" i="222"/>
  <c r="GH37" i="222" s="1"/>
  <c r="EI21" i="222"/>
  <c r="GH21" i="222" s="1"/>
  <c r="EI17" i="222"/>
  <c r="GH17" i="222" s="1"/>
  <c r="EI13" i="222"/>
  <c r="GH13" i="222" s="1"/>
  <c r="EI22" i="222"/>
  <c r="GH22" i="222" s="1"/>
  <c r="EI24" i="222"/>
  <c r="GH24" i="222" s="1"/>
  <c r="EI20" i="222"/>
  <c r="GH20" i="222" s="1"/>
  <c r="EI26" i="222"/>
  <c r="GH26" i="222" s="1"/>
  <c r="EI16" i="222"/>
  <c r="GH16" i="222" s="1"/>
  <c r="EI12" i="222"/>
  <c r="GH12" i="222" s="1"/>
  <c r="EI11" i="222"/>
  <c r="GH11" i="222" s="1"/>
  <c r="AH42" i="222"/>
  <c r="AH41" i="222"/>
  <c r="AH43" i="222" s="1"/>
  <c r="GD44" i="222"/>
  <c r="EA43" i="222"/>
  <c r="AP21" i="222"/>
  <c r="AE21" i="222" s="1"/>
  <c r="FK42" i="222"/>
  <c r="FK41" i="222"/>
  <c r="GJ10" i="222"/>
  <c r="DF42" i="222"/>
  <c r="DF41" i="222"/>
  <c r="FX28" i="222"/>
  <c r="DK28" i="222"/>
  <c r="DY43" i="222"/>
  <c r="GC44" i="222"/>
  <c r="C41" i="222"/>
  <c r="C42" i="222"/>
  <c r="FM31" i="222"/>
  <c r="GK31" i="222" s="1"/>
  <c r="EG35" i="222"/>
  <c r="GG35" i="222" s="1"/>
  <c r="FO34" i="222"/>
  <c r="GL34" i="222" s="1"/>
  <c r="FO37" i="222"/>
  <c r="GL37" i="222" s="1"/>
  <c r="EI31" i="222"/>
  <c r="GH31" i="222" s="1"/>
  <c r="EG29" i="222"/>
  <c r="GG29" i="222" s="1"/>
  <c r="FM22" i="222"/>
  <c r="GK22" i="222" s="1"/>
  <c r="EI28" i="222"/>
  <c r="GH28" i="222" s="1"/>
  <c r="FM23" i="222"/>
  <c r="GK23" i="222" s="1"/>
  <c r="FO18" i="222"/>
  <c r="GL18" i="222" s="1"/>
  <c r="FO14" i="222"/>
  <c r="GL14" i="222" s="1"/>
  <c r="FM30" i="222"/>
  <c r="GK30" i="222" s="1"/>
  <c r="FM27" i="222"/>
  <c r="GK27" i="222" s="1"/>
  <c r="EI27" i="222"/>
  <c r="GH27" i="222" s="1"/>
  <c r="EL12" i="222"/>
  <c r="EL10" i="222"/>
  <c r="EI14" i="222"/>
  <c r="GH14" i="222" s="1"/>
  <c r="EL21" i="222"/>
  <c r="FJ43" i="222"/>
  <c r="ET43" i="222"/>
  <c r="EG19" i="222"/>
  <c r="GG19" i="222" s="1"/>
  <c r="EI10" i="222"/>
  <c r="EG32" i="222"/>
  <c r="GG32" i="222" s="1"/>
  <c r="FD43" i="222"/>
  <c r="W41" i="222"/>
  <c r="T12" i="222"/>
  <c r="B12" i="222" s="1"/>
  <c r="FM13" i="222"/>
  <c r="GK13" i="222" s="1"/>
  <c r="DE43" i="222"/>
  <c r="T30" i="222"/>
  <c r="B30" i="222" s="1"/>
  <c r="AN38" i="222"/>
  <c r="T38" i="222"/>
  <c r="B38" i="222" s="1"/>
  <c r="AM31" i="222"/>
  <c r="AP31" i="222" s="1"/>
  <c r="T31" i="222"/>
  <c r="AL37" i="222"/>
  <c r="T37" i="222"/>
  <c r="B37" i="222" s="1"/>
  <c r="AL29" i="222"/>
  <c r="T29" i="222"/>
  <c r="B29" i="222" s="1"/>
  <c r="AP25" i="222"/>
  <c r="AE25" i="222"/>
  <c r="EL39" i="222"/>
  <c r="EL36" i="222"/>
  <c r="EL35" i="222"/>
  <c r="EL31" i="222"/>
  <c r="EL38" i="222"/>
  <c r="EL23" i="222"/>
  <c r="EL19" i="222"/>
  <c r="EL15" i="222"/>
  <c r="EL28" i="222"/>
  <c r="EL27" i="222"/>
  <c r="EL24" i="222"/>
  <c r="EL20" i="222"/>
  <c r="EL16" i="222"/>
  <c r="EL14" i="222"/>
  <c r="EL22" i="222"/>
  <c r="EL18" i="222"/>
  <c r="T35" i="222"/>
  <c r="B35" i="222" s="1"/>
  <c r="AL35" i="222"/>
  <c r="AP35" i="222" s="1"/>
  <c r="T39" i="222"/>
  <c r="AM39" i="222"/>
  <c r="AL28" i="222"/>
  <c r="AP28" i="222" s="1"/>
  <c r="AE28" i="222" s="1"/>
  <c r="T28" i="222"/>
  <c r="B28" i="222" s="1"/>
  <c r="AL32" i="222"/>
  <c r="T32" i="222"/>
  <c r="B32" i="222" s="1"/>
  <c r="AP12" i="222"/>
  <c r="AE12" i="222"/>
  <c r="GD42" i="222"/>
  <c r="GD41" i="222"/>
  <c r="DI42" i="222"/>
  <c r="DI41" i="222"/>
  <c r="DI43" i="222" s="1"/>
  <c r="FY10" i="222"/>
  <c r="AJ41" i="222"/>
  <c r="AJ43" i="222" s="1"/>
  <c r="AJ42" i="222"/>
  <c r="AK42" i="222"/>
  <c r="AK41" i="222"/>
  <c r="AN18" i="222"/>
  <c r="T18" i="222"/>
  <c r="B18" i="222" s="1"/>
  <c r="AL16" i="222"/>
  <c r="T16" i="222"/>
  <c r="B16" i="222" s="1"/>
  <c r="AP15" i="222"/>
  <c r="AE15" i="222" s="1"/>
  <c r="AP17" i="222"/>
  <c r="AE17" i="222" s="1"/>
  <c r="AP33" i="222"/>
  <c r="AE33" i="222" s="1"/>
  <c r="AE34" i="222"/>
  <c r="AP34" i="222"/>
  <c r="DN41" i="222"/>
  <c r="DN43" i="222" s="1"/>
  <c r="DN42" i="222"/>
  <c r="U42" i="222"/>
  <c r="U41" i="222"/>
  <c r="AL10" i="222"/>
  <c r="AP10" i="222" s="1"/>
  <c r="T10" i="222"/>
  <c r="B10" i="222" s="1"/>
  <c r="BG44" i="222"/>
  <c r="BG43" i="222"/>
  <c r="EM46" i="222"/>
  <c r="BG47" i="222"/>
  <c r="AL20" i="222"/>
  <c r="T20" i="222"/>
  <c r="B20" i="222" s="1"/>
  <c r="T15" i="222"/>
  <c r="B15" i="222" s="1"/>
  <c r="AM15" i="222"/>
  <c r="AL11" i="222"/>
  <c r="AP11" i="222" s="1"/>
  <c r="T11" i="222"/>
  <c r="B11" i="222" s="1"/>
  <c r="AL24" i="222"/>
  <c r="T24" i="222"/>
  <c r="B24" i="222" s="1"/>
  <c r="AN22" i="222"/>
  <c r="AP22" i="222" s="1"/>
  <c r="AE22" i="222" s="1"/>
  <c r="T22" i="222"/>
  <c r="B22" i="222" s="1"/>
  <c r="I43" i="222"/>
  <c r="CU41" i="222"/>
  <c r="EB45" i="222"/>
  <c r="EG31" i="222"/>
  <c r="GG31" i="222" s="1"/>
  <c r="T34" i="222"/>
  <c r="B34" i="222" s="1"/>
  <c r="EG20" i="222"/>
  <c r="GG20" i="222" s="1"/>
  <c r="EG16" i="222"/>
  <c r="GG16" i="222" s="1"/>
  <c r="FO21" i="222"/>
  <c r="GL21" i="222" s="1"/>
  <c r="FO25" i="222"/>
  <c r="GL25" i="222" s="1"/>
  <c r="EL40" i="222"/>
  <c r="FM35" i="222"/>
  <c r="GK35" i="222" s="1"/>
  <c r="B39" i="222"/>
  <c r="EL37" i="222"/>
  <c r="B31" i="222"/>
  <c r="EL29" i="222"/>
  <c r="FO26" i="222"/>
  <c r="GL26" i="222" s="1"/>
  <c r="FM33" i="222"/>
  <c r="GK33" i="222" s="1"/>
  <c r="FM26" i="222"/>
  <c r="GK26" i="222" s="1"/>
  <c r="FM19" i="222"/>
  <c r="GK19" i="222" s="1"/>
  <c r="FM15" i="222"/>
  <c r="GK15" i="222" s="1"/>
  <c r="FO30" i="222"/>
  <c r="GL30" i="222" s="1"/>
  <c r="FO27" i="222"/>
  <c r="GL27" i="222" s="1"/>
  <c r="B27" i="222"/>
  <c r="EI25" i="222"/>
  <c r="GH25" i="222" s="1"/>
  <c r="FM12" i="222"/>
  <c r="GK12" i="222" s="1"/>
  <c r="FV29" i="222"/>
  <c r="EG15" i="222"/>
  <c r="GG15" i="222" s="1"/>
  <c r="EI19" i="222"/>
  <c r="GH19" i="222" s="1"/>
  <c r="EG12" i="222"/>
  <c r="GG12" i="222" s="1"/>
  <c r="EI32" i="222"/>
  <c r="GH32" i="222" s="1"/>
  <c r="FM17" i="222"/>
  <c r="GK17" i="222" s="1"/>
  <c r="W42" i="222"/>
  <c r="EI29" i="222"/>
  <c r="GH29" i="222" s="1"/>
  <c r="EG23" i="222"/>
  <c r="GG23" i="222" s="1"/>
  <c r="FO13" i="222"/>
  <c r="GL13" i="222" s="1"/>
  <c r="FV10" i="222"/>
  <c r="V41" i="222"/>
  <c r="V43" i="222" s="1"/>
  <c r="FO40" i="222"/>
  <c r="GL40" i="222" s="1"/>
  <c r="FO39" i="222"/>
  <c r="GL39" i="222" s="1"/>
  <c r="FO35" i="222"/>
  <c r="GL35" i="222" s="1"/>
  <c r="FO31" i="222"/>
  <c r="GL31" i="222" s="1"/>
  <c r="FO36" i="222"/>
  <c r="GL36" i="222" s="1"/>
  <c r="FO32" i="222"/>
  <c r="GL32" i="222" s="1"/>
  <c r="FO24" i="222"/>
  <c r="GL24" i="222" s="1"/>
  <c r="FO20" i="222"/>
  <c r="GL20" i="222" s="1"/>
  <c r="FO16" i="222"/>
  <c r="GL16" i="222" s="1"/>
  <c r="FO28" i="222"/>
  <c r="GL28" i="222" s="1"/>
  <c r="FO29" i="222"/>
  <c r="GL29" i="222" s="1"/>
  <c r="FO15" i="222"/>
  <c r="GL15" i="222" s="1"/>
  <c r="FO23" i="222"/>
  <c r="GL23" i="222" s="1"/>
  <c r="FO10" i="222"/>
  <c r="FO19" i="222"/>
  <c r="GL19" i="222" s="1"/>
  <c r="AP23" i="222"/>
  <c r="AE23" i="222" s="1"/>
  <c r="FW36" i="222"/>
  <c r="DM42" i="222"/>
  <c r="DM41" i="222"/>
  <c r="GF44" i="222"/>
  <c r="EE43" i="222"/>
  <c r="AP27" i="222"/>
  <c r="AE27" i="222" s="1"/>
  <c r="DK23" i="222"/>
  <c r="DK41" i="222" s="1"/>
  <c r="AI41" i="222"/>
  <c r="AI42" i="222"/>
  <c r="AO42" i="222"/>
  <c r="AO41" i="222"/>
  <c r="AN14" i="222"/>
  <c r="AP14" i="222" s="1"/>
  <c r="T14" i="222"/>
  <c r="B14" i="222" s="1"/>
  <c r="T26" i="222"/>
  <c r="B26" i="222" s="1"/>
  <c r="AN26" i="222"/>
  <c r="AP26" i="222" s="1"/>
  <c r="AE26" i="222" s="1"/>
  <c r="T19" i="222"/>
  <c r="B19" i="222" s="1"/>
  <c r="AM19" i="222"/>
  <c r="AM42" i="222" s="1"/>
  <c r="DK42" i="222"/>
  <c r="EG28" i="222"/>
  <c r="GG28" i="222" s="1"/>
  <c r="FO22" i="222"/>
  <c r="GL22" i="222" s="1"/>
  <c r="EL34" i="222"/>
  <c r="EL26" i="222"/>
  <c r="B36" i="222"/>
  <c r="EG36" i="222"/>
  <c r="GG36" i="222" s="1"/>
  <c r="EL32" i="222"/>
  <c r="FM14" i="222"/>
  <c r="GK14" i="222" s="1"/>
  <c r="FO33" i="222"/>
  <c r="GL33" i="222" s="1"/>
  <c r="EG24" i="222"/>
  <c r="GG24" i="222" s="1"/>
  <c r="EL30" i="222"/>
  <c r="FM21" i="222"/>
  <c r="GK21" i="222" s="1"/>
  <c r="EI15" i="222"/>
  <c r="GH15" i="222" s="1"/>
  <c r="AD43" i="222"/>
  <c r="EX43" i="222"/>
  <c r="FW20" i="222"/>
  <c r="FW42" i="222" s="1"/>
  <c r="FO12" i="222"/>
  <c r="GL12" i="222" s="1"/>
  <c r="EG10" i="222"/>
  <c r="FO17" i="222"/>
  <c r="GL17" i="222" s="1"/>
  <c r="EV43" i="222"/>
  <c r="GF43" i="222"/>
  <c r="FM25" i="222"/>
  <c r="GK25" i="222" s="1"/>
  <c r="EI18" i="222"/>
  <c r="GH18" i="222" s="1"/>
  <c r="FW16" i="222"/>
  <c r="FW41" i="222" s="1"/>
  <c r="FW43" i="222" s="1"/>
  <c r="EI23" i="222"/>
  <c r="GH23" i="222" s="1"/>
  <c r="EL13" i="222"/>
  <c r="DG41" i="222"/>
  <c r="DG43" i="222" s="1"/>
  <c r="FX23" i="222" l="1"/>
  <c r="FX41" i="222" s="1"/>
  <c r="FX43" i="222" s="1"/>
  <c r="AK43" i="222"/>
  <c r="U43" i="222"/>
  <c r="AE31" i="222"/>
  <c r="DF43" i="222"/>
  <c r="EJ25" i="222"/>
  <c r="DJ26" i="222"/>
  <c r="CW26" i="222"/>
  <c r="CY26" i="222" s="1"/>
  <c r="DO26" i="222" s="1"/>
  <c r="Y26" i="222"/>
  <c r="CW17" i="222"/>
  <c r="CY17" i="222" s="1"/>
  <c r="DJ17" i="222"/>
  <c r="Y17" i="222"/>
  <c r="DJ28" i="222"/>
  <c r="CW28" i="222"/>
  <c r="CY28" i="222" s="1"/>
  <c r="DO28" i="222" s="1"/>
  <c r="Y28" i="222"/>
  <c r="DJ31" i="222"/>
  <c r="Y31" i="222"/>
  <c r="CW31" i="222"/>
  <c r="CY31" i="222" s="1"/>
  <c r="CW27" i="222"/>
  <c r="CY27" i="222" s="1"/>
  <c r="DO27" i="222" s="1"/>
  <c r="Y27" i="222"/>
  <c r="DJ27" i="222"/>
  <c r="CW36" i="222"/>
  <c r="CY36" i="222" s="1"/>
  <c r="DJ36" i="222"/>
  <c r="Y36" i="222"/>
  <c r="CW13" i="222"/>
  <c r="CY13" i="222" s="1"/>
  <c r="DJ13" i="222"/>
  <c r="Y13" i="222"/>
  <c r="B42" i="222"/>
  <c r="B41" i="222"/>
  <c r="CW21" i="222"/>
  <c r="CY21" i="222" s="1"/>
  <c r="DJ21" i="222"/>
  <c r="Y21" i="222"/>
  <c r="DJ22" i="222"/>
  <c r="Y22" i="222"/>
  <c r="CW22" i="222"/>
  <c r="CY22" i="222" s="1"/>
  <c r="DO22" i="222" s="1"/>
  <c r="CW15" i="222"/>
  <c r="CY15" i="222" s="1"/>
  <c r="DJ15" i="222"/>
  <c r="Y15" i="222"/>
  <c r="CW40" i="222"/>
  <c r="CY40" i="222" s="1"/>
  <c r="DO40" i="222" s="1"/>
  <c r="DJ40" i="222"/>
  <c r="Y40" i="222"/>
  <c r="GI29" i="222"/>
  <c r="EJ29" i="222"/>
  <c r="GI28" i="222"/>
  <c r="EJ28" i="222"/>
  <c r="GJ44" i="222"/>
  <c r="FK43" i="222"/>
  <c r="EG42" i="222"/>
  <c r="EG41" i="222"/>
  <c r="GG10" i="222"/>
  <c r="GI32" i="222"/>
  <c r="EJ32" i="222"/>
  <c r="GI14" i="222"/>
  <c r="EJ14" i="222"/>
  <c r="EJ27" i="222"/>
  <c r="GI27" i="222"/>
  <c r="GI23" i="222"/>
  <c r="EJ23" i="222"/>
  <c r="EL42" i="222"/>
  <c r="EL41" i="222"/>
  <c r="GI10" i="222"/>
  <c r="EJ10" i="222"/>
  <c r="GJ42" i="222"/>
  <c r="GJ41" i="222"/>
  <c r="AP38" i="222"/>
  <c r="AE38" i="222" s="1"/>
  <c r="AP39" i="222"/>
  <c r="AE39" i="222" s="1"/>
  <c r="AP19" i="222"/>
  <c r="AE19" i="222" s="1"/>
  <c r="AP37" i="222"/>
  <c r="AE37" i="222" s="1"/>
  <c r="AP29" i="222"/>
  <c r="AE29" i="222" s="1"/>
  <c r="EJ34" i="222"/>
  <c r="GI34" i="222"/>
  <c r="FV42" i="222"/>
  <c r="FV41" i="222"/>
  <c r="DJ34" i="222"/>
  <c r="CW34" i="222"/>
  <c r="CY34" i="222" s="1"/>
  <c r="DO34" i="222" s="1"/>
  <c r="Y34" i="222"/>
  <c r="FY42" i="222"/>
  <c r="FY41" i="222"/>
  <c r="EJ16" i="222"/>
  <c r="GI16" i="222"/>
  <c r="GI39" i="222"/>
  <c r="EJ39" i="222"/>
  <c r="EJ13" i="222"/>
  <c r="GI13" i="222"/>
  <c r="EJ30" i="222"/>
  <c r="GI30" i="222"/>
  <c r="EN13" i="222"/>
  <c r="EN17" i="222"/>
  <c r="EN21" i="222"/>
  <c r="EN23" i="222"/>
  <c r="EN19" i="222"/>
  <c r="EN22" i="222"/>
  <c r="EN26" i="222"/>
  <c r="EN27" i="222"/>
  <c r="EN39" i="222"/>
  <c r="EN37" i="222"/>
  <c r="EN29" i="222"/>
  <c r="EN34" i="222"/>
  <c r="EN35" i="222"/>
  <c r="EN32" i="222"/>
  <c r="EN11" i="222"/>
  <c r="EN14" i="222"/>
  <c r="EN16" i="222"/>
  <c r="EN15" i="222"/>
  <c r="EN18" i="222"/>
  <c r="EN24" i="222"/>
  <c r="EN30" i="222"/>
  <c r="EN36" i="222"/>
  <c r="EN31" i="222"/>
  <c r="EN38" i="222"/>
  <c r="EN12" i="222"/>
  <c r="EN33" i="222"/>
  <c r="EN40" i="222"/>
  <c r="EN20" i="222"/>
  <c r="EN10" i="222"/>
  <c r="EN25" i="222"/>
  <c r="EN28" i="222"/>
  <c r="AL42" i="222"/>
  <c r="AL41" i="222"/>
  <c r="GI36" i="222"/>
  <c r="EJ36" i="222"/>
  <c r="EJ26" i="222"/>
  <c r="GI26" i="222"/>
  <c r="FO42" i="222"/>
  <c r="FO41" i="222"/>
  <c r="GL10" i="222"/>
  <c r="EJ37" i="222"/>
  <c r="GI37" i="222"/>
  <c r="EJ40" i="222"/>
  <c r="GI40" i="222"/>
  <c r="T41" i="222"/>
  <c r="T43" i="222" s="1"/>
  <c r="T42" i="222"/>
  <c r="GI22" i="222"/>
  <c r="EJ22" i="222"/>
  <c r="EJ24" i="222"/>
  <c r="GI24" i="222"/>
  <c r="GI19" i="222"/>
  <c r="EJ19" i="222"/>
  <c r="GI35" i="222"/>
  <c r="EJ35" i="222"/>
  <c r="AM41" i="222"/>
  <c r="AM43" i="222" s="1"/>
  <c r="AO43" i="222"/>
  <c r="DM43" i="222"/>
  <c r="AN41" i="222"/>
  <c r="AE14" i="222"/>
  <c r="GD43" i="222"/>
  <c r="AP20" i="222"/>
  <c r="AE20" i="222" s="1"/>
  <c r="AP16" i="222"/>
  <c r="AP24" i="222"/>
  <c r="AE24" i="222" s="1"/>
  <c r="EJ17" i="222"/>
  <c r="EJ11" i="222"/>
  <c r="AE35" i="222"/>
  <c r="EJ33" i="222"/>
  <c r="AE10" i="222"/>
  <c r="AG43" i="222"/>
  <c r="AE11" i="222"/>
  <c r="AP32" i="222"/>
  <c r="AE32" i="222" s="1"/>
  <c r="DJ12" i="222"/>
  <c r="CW12" i="222"/>
  <c r="CY12" i="222" s="1"/>
  <c r="Y12" i="222"/>
  <c r="GI38" i="222"/>
  <c r="EJ38" i="222"/>
  <c r="CW25" i="222"/>
  <c r="CY25" i="222" s="1"/>
  <c r="DO25" i="222" s="1"/>
  <c r="DJ25" i="222"/>
  <c r="Y25" i="222"/>
  <c r="FM42" i="222"/>
  <c r="FM41" i="222"/>
  <c r="GK10" i="222"/>
  <c r="CW30" i="222"/>
  <c r="CY30" i="222" s="1"/>
  <c r="DJ30" i="222"/>
  <c r="Y30" i="222"/>
  <c r="CW23" i="222"/>
  <c r="CY23" i="222" s="1"/>
  <c r="DJ23" i="222"/>
  <c r="Y23" i="222"/>
  <c r="EC35" i="222"/>
  <c r="EC23" i="222"/>
  <c r="EC29" i="222"/>
  <c r="EC13" i="222"/>
  <c r="EC27" i="222"/>
  <c r="EC31" i="222"/>
  <c r="EC33" i="222"/>
  <c r="EC37" i="222"/>
  <c r="EC38" i="222"/>
  <c r="EC12" i="222"/>
  <c r="EC15" i="222"/>
  <c r="EC10" i="222"/>
  <c r="EC21" i="222"/>
  <c r="EC28" i="222"/>
  <c r="EC36" i="222"/>
  <c r="EC30" i="222"/>
  <c r="EC40" i="222"/>
  <c r="EC26" i="222"/>
  <c r="EC16" i="222"/>
  <c r="EC19" i="222"/>
  <c r="EC14" i="222"/>
  <c r="EC18" i="222"/>
  <c r="EC11" i="222"/>
  <c r="EC17" i="222"/>
  <c r="EC22" i="222"/>
  <c r="EC24" i="222"/>
  <c r="EC25" i="222"/>
  <c r="EC34" i="222"/>
  <c r="EC32" i="222"/>
  <c r="EC20" i="222"/>
  <c r="EC39" i="222"/>
  <c r="CW33" i="222"/>
  <c r="CY33" i="222" s="1"/>
  <c r="DJ33" i="222"/>
  <c r="Y33" i="222"/>
  <c r="GI18" i="222"/>
  <c r="EJ18" i="222"/>
  <c r="EJ20" i="222"/>
  <c r="GI20" i="222"/>
  <c r="GI15" i="222"/>
  <c r="EJ15" i="222"/>
  <c r="GI31" i="222"/>
  <c r="EJ31" i="222"/>
  <c r="EI42" i="222"/>
  <c r="EI41" i="222"/>
  <c r="GH10" i="222"/>
  <c r="EJ21" i="222"/>
  <c r="GI21" i="222"/>
  <c r="GI12" i="222"/>
  <c r="EJ12" i="222"/>
  <c r="AP18" i="222"/>
  <c r="AE18" i="222" s="1"/>
  <c r="DK43" i="222"/>
  <c r="AI43" i="222"/>
  <c r="AN42" i="222"/>
  <c r="W43" i="222"/>
  <c r="C43" i="222"/>
  <c r="AF43" i="222"/>
  <c r="AP41" i="222" l="1"/>
  <c r="GJ43" i="222"/>
  <c r="B43" i="222"/>
  <c r="DO13" i="222"/>
  <c r="DJ18" i="222"/>
  <c r="CW18" i="222"/>
  <c r="CY18" i="222" s="1"/>
  <c r="DO18" i="222" s="1"/>
  <c r="Y18" i="222"/>
  <c r="CW24" i="222"/>
  <c r="CY24" i="222" s="1"/>
  <c r="DJ24" i="222"/>
  <c r="Y24" i="222"/>
  <c r="CW20" i="222"/>
  <c r="CY20" i="222" s="1"/>
  <c r="DO20" i="222" s="1"/>
  <c r="DJ20" i="222"/>
  <c r="Y20" i="222"/>
  <c r="CW19" i="222"/>
  <c r="CY19" i="222" s="1"/>
  <c r="DO19" i="222" s="1"/>
  <c r="DJ19" i="222"/>
  <c r="Y19" i="222"/>
  <c r="CW37" i="222"/>
  <c r="CY37" i="222" s="1"/>
  <c r="DJ37" i="222"/>
  <c r="Y37" i="222"/>
  <c r="DJ38" i="222"/>
  <c r="CW38" i="222"/>
  <c r="CY38" i="222" s="1"/>
  <c r="Y38" i="222"/>
  <c r="CW32" i="222"/>
  <c r="CY32" i="222" s="1"/>
  <c r="DJ32" i="222"/>
  <c r="Y32" i="222"/>
  <c r="CW29" i="222"/>
  <c r="CY29" i="222" s="1"/>
  <c r="DO29" i="222" s="1"/>
  <c r="DJ29" i="222"/>
  <c r="Y29" i="222"/>
  <c r="CW39" i="222"/>
  <c r="CY39" i="222" s="1"/>
  <c r="DJ39" i="222"/>
  <c r="Y39" i="222"/>
  <c r="EI43" i="222"/>
  <c r="GH44" i="222"/>
  <c r="GE34" i="222"/>
  <c r="DW34" i="222"/>
  <c r="FP34" i="222" s="1"/>
  <c r="GE17" i="222"/>
  <c r="DW17" i="222"/>
  <c r="FP17" i="222" s="1"/>
  <c r="DW19" i="222"/>
  <c r="FP19" i="222" s="1"/>
  <c r="GE19" i="222"/>
  <c r="GE30" i="222"/>
  <c r="DW30" i="222"/>
  <c r="FP30" i="222" s="1"/>
  <c r="EC42" i="222"/>
  <c r="EC41" i="222"/>
  <c r="GE10" i="222"/>
  <c r="DW10" i="222"/>
  <c r="GE37" i="222"/>
  <c r="DW37" i="222"/>
  <c r="FP37" i="222" s="1"/>
  <c r="GE13" i="222"/>
  <c r="DW13" i="222"/>
  <c r="FP13" i="222" s="1"/>
  <c r="FM43" i="222"/>
  <c r="GK44" i="222"/>
  <c r="CW11" i="222"/>
  <c r="CY11" i="222" s="1"/>
  <c r="DJ11" i="222"/>
  <c r="Y11" i="222"/>
  <c r="DJ35" i="222"/>
  <c r="Y35" i="222"/>
  <c r="CW35" i="222"/>
  <c r="CY35" i="222" s="1"/>
  <c r="GL44" i="222"/>
  <c r="FO43" i="222"/>
  <c r="GI44" i="222"/>
  <c r="EL43" i="222"/>
  <c r="DD17" i="222"/>
  <c r="FZ26" i="222"/>
  <c r="DD26" i="222"/>
  <c r="DO33" i="222"/>
  <c r="DO23" i="222"/>
  <c r="FZ23" i="222" s="1"/>
  <c r="DO30" i="222"/>
  <c r="AN43" i="222"/>
  <c r="DO21" i="222"/>
  <c r="AP42" i="222"/>
  <c r="AP43" i="222" s="1"/>
  <c r="GH42" i="222"/>
  <c r="GH41" i="222"/>
  <c r="FZ33" i="222"/>
  <c r="DD33" i="222"/>
  <c r="GE32" i="222"/>
  <c r="DW32" i="222"/>
  <c r="FP32" i="222" s="1"/>
  <c r="GE22" i="222"/>
  <c r="DW22" i="222"/>
  <c r="FP22" i="222" s="1"/>
  <c r="GE14" i="222"/>
  <c r="DW14" i="222"/>
  <c r="FP14" i="222" s="1"/>
  <c r="GE40" i="222"/>
  <c r="DW40" i="222"/>
  <c r="FP40" i="222" s="1"/>
  <c r="GE21" i="222"/>
  <c r="DW21" i="222"/>
  <c r="FP21" i="222" s="1"/>
  <c r="GE38" i="222"/>
  <c r="DW38" i="222"/>
  <c r="FP38" i="222" s="1"/>
  <c r="DW27" i="222"/>
  <c r="FP27" i="222" s="1"/>
  <c r="GE27" i="222"/>
  <c r="GE35" i="222"/>
  <c r="DW35" i="222"/>
  <c r="FP35" i="222" s="1"/>
  <c r="DD23" i="222"/>
  <c r="FZ30" i="222"/>
  <c r="DD30" i="222"/>
  <c r="GK42" i="222"/>
  <c r="GK41" i="222"/>
  <c r="DD12" i="222"/>
  <c r="DJ14" i="222"/>
  <c r="CW14" i="222"/>
  <c r="CY14" i="222" s="1"/>
  <c r="DO14" i="222" s="1"/>
  <c r="Y14" i="222"/>
  <c r="GL42" i="222"/>
  <c r="GL41" i="222"/>
  <c r="GL43" i="222" s="1"/>
  <c r="GI42" i="222"/>
  <c r="GI41" i="222"/>
  <c r="FZ21" i="222"/>
  <c r="DD21" i="222"/>
  <c r="DD31" i="222"/>
  <c r="AE16" i="222"/>
  <c r="GE20" i="222"/>
  <c r="DW20" i="222"/>
  <c r="FP20" i="222" s="1"/>
  <c r="GE24" i="222"/>
  <c r="DW24" i="222"/>
  <c r="FP24" i="222" s="1"/>
  <c r="GE18" i="222"/>
  <c r="DW18" i="222"/>
  <c r="FP18" i="222" s="1"/>
  <c r="GE26" i="222"/>
  <c r="DW26" i="222"/>
  <c r="FP26" i="222" s="1"/>
  <c r="GE28" i="222"/>
  <c r="DW28" i="222"/>
  <c r="FP28" i="222" s="1"/>
  <c r="GE12" i="222"/>
  <c r="DW12" i="222"/>
  <c r="FP12" i="222" s="1"/>
  <c r="GE31" i="222"/>
  <c r="DW31" i="222"/>
  <c r="FP31" i="222" s="1"/>
  <c r="DW23" i="222"/>
  <c r="FP23" i="222" s="1"/>
  <c r="GE23" i="222"/>
  <c r="AE41" i="222"/>
  <c r="AE42" i="222"/>
  <c r="CW10" i="222"/>
  <c r="CY10" i="222" s="1"/>
  <c r="DJ10" i="222"/>
  <c r="Y10" i="222"/>
  <c r="EJ41" i="222"/>
  <c r="EJ42" i="222"/>
  <c r="EG43" i="222"/>
  <c r="GG44" i="222"/>
  <c r="FZ40" i="222"/>
  <c r="DD40" i="222"/>
  <c r="FZ13" i="222"/>
  <c r="DD13" i="222"/>
  <c r="FZ28" i="222"/>
  <c r="DD28" i="222"/>
  <c r="DO12" i="222"/>
  <c r="DO15" i="222"/>
  <c r="DO36" i="222"/>
  <c r="DW39" i="222"/>
  <c r="FP39" i="222" s="1"/>
  <c r="GE39" i="222"/>
  <c r="GE25" i="222"/>
  <c r="DW25" i="222"/>
  <c r="FP25" i="222" s="1"/>
  <c r="GE11" i="222"/>
  <c r="DW11" i="222"/>
  <c r="FP11" i="222" s="1"/>
  <c r="GE16" i="222"/>
  <c r="DW16" i="222"/>
  <c r="FP16" i="222" s="1"/>
  <c r="GE36" i="222"/>
  <c r="DW36" i="222"/>
  <c r="FP36" i="222" s="1"/>
  <c r="DW15" i="222"/>
  <c r="FP15" i="222" s="1"/>
  <c r="GE15" i="222"/>
  <c r="GE33" i="222"/>
  <c r="DW33" i="222"/>
  <c r="FP33" i="222" s="1"/>
  <c r="GE29" i="222"/>
  <c r="DW29" i="222"/>
  <c r="FP29" i="222" s="1"/>
  <c r="FZ25" i="222"/>
  <c r="DD25" i="222"/>
  <c r="EN41" i="222"/>
  <c r="EN42" i="222"/>
  <c r="FZ34" i="222"/>
  <c r="DD34" i="222"/>
  <c r="GG42" i="222"/>
  <c r="GG41" i="222"/>
  <c r="FZ15" i="222"/>
  <c r="DD15" i="222"/>
  <c r="FZ22" i="222"/>
  <c r="DD22" i="222"/>
  <c r="FZ36" i="222"/>
  <c r="DD36" i="222"/>
  <c r="FZ27" i="222"/>
  <c r="DD27" i="222"/>
  <c r="AL43" i="222"/>
  <c r="FY43" i="222"/>
  <c r="FV43" i="222"/>
  <c r="DO31" i="222"/>
  <c r="FZ31" i="222" s="1"/>
  <c r="DO17" i="222"/>
  <c r="FZ17" i="222" s="1"/>
  <c r="DO11" i="222" l="1"/>
  <c r="GI43" i="222"/>
  <c r="GK43" i="222"/>
  <c r="EJ43" i="222"/>
  <c r="DO39" i="222"/>
  <c r="DO38" i="222"/>
  <c r="EN43" i="222"/>
  <c r="DP34" i="222"/>
  <c r="DR34" i="222" s="1"/>
  <c r="DQ34" i="222"/>
  <c r="DJ42" i="222"/>
  <c r="DD10" i="222"/>
  <c r="DW42" i="222"/>
  <c r="DW41" i="222"/>
  <c r="FP10" i="222"/>
  <c r="DD32" i="222"/>
  <c r="FZ38" i="222"/>
  <c r="DD38" i="222"/>
  <c r="DD24" i="222"/>
  <c r="FZ18" i="222"/>
  <c r="DD18" i="222"/>
  <c r="GG43" i="222"/>
  <c r="DO37" i="222"/>
  <c r="DQ36" i="222"/>
  <c r="DR36" i="222"/>
  <c r="DP36" i="222"/>
  <c r="DQ15" i="222"/>
  <c r="DP15" i="222"/>
  <c r="DP25" i="222"/>
  <c r="DR25" i="222" s="1"/>
  <c r="DQ25" i="222"/>
  <c r="DP13" i="222"/>
  <c r="DR13" i="222" s="1"/>
  <c r="DQ13" i="222"/>
  <c r="Y42" i="222"/>
  <c r="CW41" i="222"/>
  <c r="AE43" i="222"/>
  <c r="DQ23" i="222"/>
  <c r="DP23" i="222"/>
  <c r="DR23" i="222" s="1"/>
  <c r="DP17" i="222"/>
  <c r="DR17" i="222" s="1"/>
  <c r="DQ17" i="222"/>
  <c r="DD35" i="222"/>
  <c r="FZ37" i="222"/>
  <c r="DD37" i="222"/>
  <c r="FZ12" i="222"/>
  <c r="CW16" i="222"/>
  <c r="CY16" i="222" s="1"/>
  <c r="DJ16" i="222"/>
  <c r="Y16" i="222"/>
  <c r="Y41" i="222" s="1"/>
  <c r="Y43" i="222" s="1"/>
  <c r="DQ31" i="222"/>
  <c r="DP31" i="222"/>
  <c r="DR31" i="222" s="1"/>
  <c r="DP21" i="222"/>
  <c r="DR21" i="222" s="1"/>
  <c r="DQ21" i="222"/>
  <c r="DP12" i="222"/>
  <c r="DQ12" i="222"/>
  <c r="GE44" i="222"/>
  <c r="EC43" i="222"/>
  <c r="FZ39" i="222"/>
  <c r="DD39" i="222"/>
  <c r="FZ19" i="222"/>
  <c r="DD19" i="222"/>
  <c r="DP27" i="222"/>
  <c r="DQ27" i="222"/>
  <c r="DR27" i="222" s="1"/>
  <c r="DP22" i="222"/>
  <c r="DQ22" i="222"/>
  <c r="DP28" i="222"/>
  <c r="DR28" i="222" s="1"/>
  <c r="DQ28" i="222"/>
  <c r="DP40" i="222"/>
  <c r="DQ40" i="222"/>
  <c r="DR40" i="222"/>
  <c r="CY41" i="222"/>
  <c r="DO10" i="222"/>
  <c r="FZ10" i="222" s="1"/>
  <c r="FZ14" i="222"/>
  <c r="DD14" i="222"/>
  <c r="DP30" i="222"/>
  <c r="DR30" i="222" s="1"/>
  <c r="DQ30" i="222"/>
  <c r="DP33" i="222"/>
  <c r="DR33" i="222" s="1"/>
  <c r="DQ33" i="222"/>
  <c r="DP26" i="222"/>
  <c r="DQ26" i="222"/>
  <c r="DR26" i="222" s="1"/>
  <c r="FZ11" i="222"/>
  <c r="DD11" i="222"/>
  <c r="GE42" i="222"/>
  <c r="GE41" i="222"/>
  <c r="GE43" i="222" s="1"/>
  <c r="FZ29" i="222"/>
  <c r="DD29" i="222"/>
  <c r="FZ20" i="222"/>
  <c r="DD20" i="222"/>
  <c r="GH43" i="222"/>
  <c r="DO35" i="222"/>
  <c r="FZ35" i="222" s="1"/>
  <c r="DO32" i="222"/>
  <c r="FZ32" i="222" s="1"/>
  <c r="DO24" i="222"/>
  <c r="DR15" i="222" l="1"/>
  <c r="DR12" i="222"/>
  <c r="DR22" i="222"/>
  <c r="DW43" i="222"/>
  <c r="DS21" i="222"/>
  <c r="GB21" i="222" s="1"/>
  <c r="FU21" i="222"/>
  <c r="DS34" i="222"/>
  <c r="GB34" i="222" s="1"/>
  <c r="FU34" i="222"/>
  <c r="DS22" i="222"/>
  <c r="GB22" i="222" s="1"/>
  <c r="FU22" i="222"/>
  <c r="FU12" i="222"/>
  <c r="DS12" i="222"/>
  <c r="GB12" i="222" s="1"/>
  <c r="DS23" i="222"/>
  <c r="GB23" i="222" s="1"/>
  <c r="FU23" i="222"/>
  <c r="FU33" i="222"/>
  <c r="DS33" i="222"/>
  <c r="GB33" i="222" s="1"/>
  <c r="DS28" i="222"/>
  <c r="GB28" i="222" s="1"/>
  <c r="FU28" i="222"/>
  <c r="DS31" i="222"/>
  <c r="GB31" i="222" s="1"/>
  <c r="DT31" i="222"/>
  <c r="FR31" i="222" s="1"/>
  <c r="FU31" i="222"/>
  <c r="DS15" i="222"/>
  <c r="GB15" i="222" s="1"/>
  <c r="FU15" i="222"/>
  <c r="DT15" i="222"/>
  <c r="FR15" i="222" s="1"/>
  <c r="FU40" i="222"/>
  <c r="DT40" i="222"/>
  <c r="FR40" i="222" s="1"/>
  <c r="DS40" i="222"/>
  <c r="GB40" i="222" s="1"/>
  <c r="FU36" i="222"/>
  <c r="DS36" i="222"/>
  <c r="GB36" i="222" s="1"/>
  <c r="DP38" i="222"/>
  <c r="DR38" i="222" s="1"/>
  <c r="DQ38" i="222"/>
  <c r="DP20" i="222"/>
  <c r="DQ20" i="222"/>
  <c r="DQ35" i="222"/>
  <c r="DP35" i="222"/>
  <c r="DR35" i="222" s="1"/>
  <c r="FZ24" i="222"/>
  <c r="FZ42" i="222" s="1"/>
  <c r="DS27" i="222"/>
  <c r="GB27" i="222" s="1"/>
  <c r="FU27" i="222"/>
  <c r="DS13" i="222"/>
  <c r="GB13" i="222" s="1"/>
  <c r="FU13" i="222"/>
  <c r="DP18" i="222"/>
  <c r="DQ18" i="222"/>
  <c r="DR18" i="222" s="1"/>
  <c r="FP42" i="222"/>
  <c r="FP41" i="222"/>
  <c r="DO42" i="222"/>
  <c r="DQ39" i="222"/>
  <c r="DR39" i="222" s="1"/>
  <c r="DP39" i="222"/>
  <c r="DP24" i="222"/>
  <c r="DQ24" i="222"/>
  <c r="DR24" i="222"/>
  <c r="DQ32" i="222"/>
  <c r="DR32" i="222" s="1"/>
  <c r="DP32" i="222"/>
  <c r="DD42" i="222"/>
  <c r="DQ10" i="222"/>
  <c r="DP10" i="222"/>
  <c r="DR10" i="222" s="1"/>
  <c r="DO16" i="222"/>
  <c r="DO41" i="222" s="1"/>
  <c r="DO43" i="222" s="1"/>
  <c r="FU26" i="222"/>
  <c r="DT26" i="222"/>
  <c r="FR26" i="222" s="1"/>
  <c r="DS26" i="222"/>
  <c r="GB26" i="222" s="1"/>
  <c r="DP14" i="222"/>
  <c r="DR14" i="222" s="1"/>
  <c r="DQ14" i="222"/>
  <c r="DQ29" i="222"/>
  <c r="DP29" i="222"/>
  <c r="DP11" i="222"/>
  <c r="DQ11" i="222"/>
  <c r="FU30" i="222"/>
  <c r="DS30" i="222"/>
  <c r="GB30" i="222" s="1"/>
  <c r="DQ19" i="222"/>
  <c r="DR19" i="222" s="1"/>
  <c r="DP19" i="222"/>
  <c r="FZ16" i="222"/>
  <c r="FZ41" i="222" s="1"/>
  <c r="FZ43" i="222" s="1"/>
  <c r="DD16" i="222"/>
  <c r="DD41" i="222" s="1"/>
  <c r="DD43" i="222" s="1"/>
  <c r="DP37" i="222"/>
  <c r="DR37" i="222" s="1"/>
  <c r="DQ37" i="222"/>
  <c r="DS17" i="222"/>
  <c r="GB17" i="222" s="1"/>
  <c r="FU17" i="222"/>
  <c r="DS25" i="222"/>
  <c r="GB25" i="222" s="1"/>
  <c r="FU25" i="222"/>
  <c r="DT25" i="222"/>
  <c r="FR25" i="222" s="1"/>
  <c r="DJ41" i="222"/>
  <c r="DJ43" i="222" s="1"/>
  <c r="DT17" i="222" l="1"/>
  <c r="FR17" i="222" s="1"/>
  <c r="DT13" i="222"/>
  <c r="FR13" i="222" s="1"/>
  <c r="DR11" i="222"/>
  <c r="DR20" i="222"/>
  <c r="DT30" i="222"/>
  <c r="FR30" i="222" s="1"/>
  <c r="DR29" i="222"/>
  <c r="FU29" i="222" s="1"/>
  <c r="DT33" i="222"/>
  <c r="FR33" i="222" s="1"/>
  <c r="DT34" i="222"/>
  <c r="FR34" i="222" s="1"/>
  <c r="DS29" i="222"/>
  <c r="GB29" i="222" s="1"/>
  <c r="FU11" i="222"/>
  <c r="DS11" i="222"/>
  <c r="GB11" i="222" s="1"/>
  <c r="DS39" i="222"/>
  <c r="GB39" i="222" s="1"/>
  <c r="FU39" i="222"/>
  <c r="DS18" i="222"/>
  <c r="GB18" i="222" s="1"/>
  <c r="FU18" i="222"/>
  <c r="FU20" i="222"/>
  <c r="DS20" i="222"/>
  <c r="GB20" i="222" s="1"/>
  <c r="FU32" i="222"/>
  <c r="DS32" i="222"/>
  <c r="GB32" i="222" s="1"/>
  <c r="DT32" i="222"/>
  <c r="FR32" i="222" s="1"/>
  <c r="FU37" i="222"/>
  <c r="DS37" i="222"/>
  <c r="GB37" i="222" s="1"/>
  <c r="DS38" i="222"/>
  <c r="GB38" i="222" s="1"/>
  <c r="FU38" i="222"/>
  <c r="FT17" i="222"/>
  <c r="GA17" i="222"/>
  <c r="DS19" i="222"/>
  <c r="GB19" i="222" s="1"/>
  <c r="FU19" i="222"/>
  <c r="FT30" i="222"/>
  <c r="GA30" i="222"/>
  <c r="DS14" i="222"/>
  <c r="GB14" i="222" s="1"/>
  <c r="FU14" i="222"/>
  <c r="DR42" i="222"/>
  <c r="DS10" i="222"/>
  <c r="DT10" i="222" s="1"/>
  <c r="FU10" i="222"/>
  <c r="FU24" i="222"/>
  <c r="DS24" i="222"/>
  <c r="GB24" i="222" s="1"/>
  <c r="FT13" i="222"/>
  <c r="GA13" i="222"/>
  <c r="DS35" i="222"/>
  <c r="GB35" i="222" s="1"/>
  <c r="DT35" i="222"/>
  <c r="FR35" i="222" s="1"/>
  <c r="FU35" i="222"/>
  <c r="GA36" i="222"/>
  <c r="FT36" i="222"/>
  <c r="GA23" i="222"/>
  <c r="FT23" i="222"/>
  <c r="GA12" i="222"/>
  <c r="FT12" i="222"/>
  <c r="FT34" i="222"/>
  <c r="GA34" i="222"/>
  <c r="FT26" i="222"/>
  <c r="GA26" i="222"/>
  <c r="FT27" i="222"/>
  <c r="GA27" i="222"/>
  <c r="GA40" i="222"/>
  <c r="FT40" i="222"/>
  <c r="GA31" i="222"/>
  <c r="FT31" i="222"/>
  <c r="FT33" i="222"/>
  <c r="GA33" i="222"/>
  <c r="GA22" i="222"/>
  <c r="FT22" i="222"/>
  <c r="FT21" i="222"/>
  <c r="GA21" i="222"/>
  <c r="DT28" i="222"/>
  <c r="FR28" i="222" s="1"/>
  <c r="DQ42" i="222"/>
  <c r="GA28" i="222"/>
  <c r="FT28" i="222"/>
  <c r="FP43" i="222"/>
  <c r="DT27" i="222"/>
  <c r="FR27" i="222" s="1"/>
  <c r="DT36" i="222"/>
  <c r="FR36" i="222" s="1"/>
  <c r="DT22" i="222"/>
  <c r="FR22" i="222" s="1"/>
  <c r="DT21" i="222"/>
  <c r="FR21" i="222" s="1"/>
  <c r="FT25" i="222"/>
  <c r="GA25" i="222"/>
  <c r="DP16" i="222"/>
  <c r="DQ16" i="222"/>
  <c r="DQ41" i="222" s="1"/>
  <c r="DQ43" i="222" s="1"/>
  <c r="DP42" i="222"/>
  <c r="GA15" i="222"/>
  <c r="FT15" i="222"/>
  <c r="DT23" i="222"/>
  <c r="FR23" i="222" s="1"/>
  <c r="DT12" i="222"/>
  <c r="FR12" i="222" s="1"/>
  <c r="DT24" i="222" l="1"/>
  <c r="FR24" i="222" s="1"/>
  <c r="DR16" i="222"/>
  <c r="DS16" i="222" s="1"/>
  <c r="DT20" i="222"/>
  <c r="FR20" i="222" s="1"/>
  <c r="DR41" i="222"/>
  <c r="FR10" i="222"/>
  <c r="GA20" i="222"/>
  <c r="FT20" i="222"/>
  <c r="GA39" i="222"/>
  <c r="FT39" i="222"/>
  <c r="DP41" i="222"/>
  <c r="DP43" i="222" s="1"/>
  <c r="DT11" i="222"/>
  <c r="FR11" i="222" s="1"/>
  <c r="DT29" i="222"/>
  <c r="FR29" i="222" s="1"/>
  <c r="GA24" i="222"/>
  <c r="FT24" i="222"/>
  <c r="GA29" i="222"/>
  <c r="FT29" i="222"/>
  <c r="GA35" i="222"/>
  <c r="FT35" i="222"/>
  <c r="DS42" i="222"/>
  <c r="GB10" i="222"/>
  <c r="GA14" i="222"/>
  <c r="FT14" i="222"/>
  <c r="GA38" i="222"/>
  <c r="FT38" i="222"/>
  <c r="GA37" i="222"/>
  <c r="FT37" i="222"/>
  <c r="GA18" i="222"/>
  <c r="FT18" i="222"/>
  <c r="DT19" i="222"/>
  <c r="FR19" i="222" s="1"/>
  <c r="FU42" i="222"/>
  <c r="GA10" i="222"/>
  <c r="FT10" i="222"/>
  <c r="GA19" i="222"/>
  <c r="FT19" i="222"/>
  <c r="GA32" i="222"/>
  <c r="FT32" i="222"/>
  <c r="FT11" i="222"/>
  <c r="GA11" i="222"/>
  <c r="DT14" i="222"/>
  <c r="FR14" i="222" s="1"/>
  <c r="DT38" i="222"/>
  <c r="FR38" i="222" s="1"/>
  <c r="DT37" i="222"/>
  <c r="FR37" i="222" s="1"/>
  <c r="DT18" i="222"/>
  <c r="FR18" i="222" s="1"/>
  <c r="DT39" i="222"/>
  <c r="FR39" i="222" s="1"/>
  <c r="GB16" i="222" l="1"/>
  <c r="DS41" i="222"/>
  <c r="DS43" i="222" s="1"/>
  <c r="FU16" i="222"/>
  <c r="FU41" i="222" s="1"/>
  <c r="FU43" i="222" s="1"/>
  <c r="FT16" i="222"/>
  <c r="FT41" i="222" s="1"/>
  <c r="DT42" i="222"/>
  <c r="FT42" i="222"/>
  <c r="GB42" i="222"/>
  <c r="GB41" i="222"/>
  <c r="DT16" i="222"/>
  <c r="FR16" i="222" s="1"/>
  <c r="FR41" i="222" s="1"/>
  <c r="FR42" i="222"/>
  <c r="GA42" i="222"/>
  <c r="FU44" i="222"/>
  <c r="DR43" i="222"/>
  <c r="GB43" i="222" l="1"/>
  <c r="GB44" i="222"/>
  <c r="FR43" i="222"/>
  <c r="GA16" i="222"/>
  <c r="GA41" i="222" s="1"/>
  <c r="GA43" i="222" s="1"/>
  <c r="DT41" i="222"/>
  <c r="DT43" i="222" s="1"/>
  <c r="GN41" i="222"/>
  <c r="FT43" i="222"/>
  <c r="HT41" i="222"/>
  <c r="HD41" i="222"/>
  <c r="HT40" i="222" l="1"/>
  <c r="HT37" i="222"/>
  <c r="HT38" i="222"/>
  <c r="HT33" i="222"/>
  <c r="HT34" i="222"/>
  <c r="HT30" i="222"/>
  <c r="HT32" i="222"/>
  <c r="HT26" i="222"/>
  <c r="HT27" i="222"/>
  <c r="HT39" i="222"/>
  <c r="HT35" i="222"/>
  <c r="HT31" i="222"/>
  <c r="HT24" i="222"/>
  <c r="HT20" i="222"/>
  <c r="HT16" i="222"/>
  <c r="HT29" i="222"/>
  <c r="HT25" i="222"/>
  <c r="HT21" i="222"/>
  <c r="HT17" i="222"/>
  <c r="HT13" i="222"/>
  <c r="HT36" i="222"/>
  <c r="HT22" i="222"/>
  <c r="HT18" i="222"/>
  <c r="HT14" i="222"/>
  <c r="HT19" i="222"/>
  <c r="HT11" i="222"/>
  <c r="HT15" i="222"/>
  <c r="HT28" i="222"/>
  <c r="HT10" i="222"/>
  <c r="HT23" i="222"/>
  <c r="HT12" i="222"/>
  <c r="HD39" i="222"/>
  <c r="HD40" i="222"/>
  <c r="HD37" i="222"/>
  <c r="HD32" i="222"/>
  <c r="HD33" i="222"/>
  <c r="HD38" i="222"/>
  <c r="HD34" i="222"/>
  <c r="HD29" i="222"/>
  <c r="HD36" i="222"/>
  <c r="HD30" i="222"/>
  <c r="HD35" i="222"/>
  <c r="HD28" i="222"/>
  <c r="HD23" i="222"/>
  <c r="HD19" i="222"/>
  <c r="HD15" i="222"/>
  <c r="HD27" i="222"/>
  <c r="HD24" i="222"/>
  <c r="HD20" i="222"/>
  <c r="HD16" i="222"/>
  <c r="HD12" i="222"/>
  <c r="HD26" i="222"/>
  <c r="HD25" i="222"/>
  <c r="HD21" i="222"/>
  <c r="HD17" i="222"/>
  <c r="HD13" i="222"/>
  <c r="HD31" i="222"/>
  <c r="HD14" i="222"/>
  <c r="HD10" i="222"/>
  <c r="HD11" i="222"/>
  <c r="HD18" i="222"/>
  <c r="HD22" i="222"/>
  <c r="GN38" i="222"/>
  <c r="GN39" i="222"/>
  <c r="GN40" i="222"/>
  <c r="GN36" i="222"/>
  <c r="GN37" i="222"/>
  <c r="GN35" i="222"/>
  <c r="GN31" i="222"/>
  <c r="GN32" i="222"/>
  <c r="GN28" i="222"/>
  <c r="GN34" i="222"/>
  <c r="GN33" i="222"/>
  <c r="GN29" i="222"/>
  <c r="GN22" i="222"/>
  <c r="GN18" i="222"/>
  <c r="GN14" i="222"/>
  <c r="GN23" i="222"/>
  <c r="GN19" i="222"/>
  <c r="GN15" i="222"/>
  <c r="GN30" i="222"/>
  <c r="GN27" i="222"/>
  <c r="GN24" i="222"/>
  <c r="GN20" i="222"/>
  <c r="GN16" i="222"/>
  <c r="GN12" i="222"/>
  <c r="GN21" i="222"/>
  <c r="GN17" i="222"/>
  <c r="GN10" i="222"/>
  <c r="GN25" i="222"/>
  <c r="GN26" i="222"/>
  <c r="GN13" i="222"/>
  <c r="GN11" i="222"/>
  <c r="GY16" i="222" l="1"/>
  <c r="GU16" i="222"/>
  <c r="GR16" i="222"/>
  <c r="GS16" i="222"/>
  <c r="GZ16" i="222"/>
  <c r="HA16" i="222"/>
  <c r="GW16" i="222"/>
  <c r="GV16" i="222"/>
  <c r="GX16" i="222"/>
  <c r="GT16" i="222"/>
  <c r="HB16" i="222"/>
  <c r="GP16" i="222"/>
  <c r="GO16" i="222" s="1"/>
  <c r="GQ16" i="222"/>
  <c r="GY33" i="222"/>
  <c r="GU33" i="222"/>
  <c r="GS33" i="222"/>
  <c r="GR33" i="222"/>
  <c r="HA33" i="222"/>
  <c r="GX33" i="222"/>
  <c r="GV33" i="222"/>
  <c r="GZ33" i="222"/>
  <c r="GW33" i="222"/>
  <c r="GT33" i="222"/>
  <c r="HB33" i="222"/>
  <c r="GP33" i="222"/>
  <c r="GQ33" i="222"/>
  <c r="GR40" i="222"/>
  <c r="GY40" i="222"/>
  <c r="GS40" i="222"/>
  <c r="GU40" i="222"/>
  <c r="GV40" i="222"/>
  <c r="HA40" i="222"/>
  <c r="GW40" i="222"/>
  <c r="GZ40" i="222"/>
  <c r="HB40" i="222"/>
  <c r="GX40" i="222"/>
  <c r="GT40" i="222"/>
  <c r="GQ40" i="222"/>
  <c r="GP40" i="222"/>
  <c r="HO25" i="222"/>
  <c r="HK25" i="222"/>
  <c r="HI25" i="222"/>
  <c r="HH25" i="222"/>
  <c r="HN25" i="222"/>
  <c r="HM25" i="222"/>
  <c r="HL25" i="222"/>
  <c r="HP25" i="222"/>
  <c r="HQ25" i="222"/>
  <c r="HR25" i="222"/>
  <c r="HJ25" i="222"/>
  <c r="HG25" i="222"/>
  <c r="HF25" i="222"/>
  <c r="HE25" i="222" s="1"/>
  <c r="HO30" i="222"/>
  <c r="HK30" i="222"/>
  <c r="HI30" i="222"/>
  <c r="HH30" i="222"/>
  <c r="HM30" i="222"/>
  <c r="HL30" i="222"/>
  <c r="HQ30" i="222"/>
  <c r="HP30" i="222"/>
  <c r="HN30" i="222"/>
  <c r="HR30" i="222"/>
  <c r="HJ30" i="222"/>
  <c r="HG30" i="222"/>
  <c r="HF30" i="222"/>
  <c r="IA10" i="222"/>
  <c r="HX10" i="222"/>
  <c r="HY10" i="222"/>
  <c r="IE10" i="222"/>
  <c r="IF10" i="222"/>
  <c r="IB10" i="222"/>
  <c r="IG10" i="222"/>
  <c r="ID10" i="222"/>
  <c r="IC10" i="222"/>
  <c r="HZ10" i="222"/>
  <c r="IH10" i="222"/>
  <c r="HV10" i="222"/>
  <c r="HW10" i="222"/>
  <c r="IA25" i="222"/>
  <c r="IE25" i="222"/>
  <c r="HY25" i="222"/>
  <c r="HX25" i="222"/>
  <c r="IB25" i="222"/>
  <c r="IC25" i="222"/>
  <c r="ID25" i="222"/>
  <c r="IG25" i="222"/>
  <c r="IF25" i="222"/>
  <c r="IH25" i="222"/>
  <c r="HZ25" i="222"/>
  <c r="HW25" i="222"/>
  <c r="HV25" i="222"/>
  <c r="HY40" i="222"/>
  <c r="HX40" i="222"/>
  <c r="IE40" i="222"/>
  <c r="IA40" i="222"/>
  <c r="IB40" i="222"/>
  <c r="IF40" i="222"/>
  <c r="IG40" i="222"/>
  <c r="IC40" i="222"/>
  <c r="ID40" i="222"/>
  <c r="IH40" i="222"/>
  <c r="HZ40" i="222"/>
  <c r="HW40" i="222"/>
  <c r="HV40" i="222"/>
  <c r="GY25" i="222"/>
  <c r="GS25" i="222"/>
  <c r="GU25" i="222"/>
  <c r="GR25" i="222"/>
  <c r="GW25" i="222"/>
  <c r="GX25" i="222"/>
  <c r="HA25" i="222"/>
  <c r="GZ25" i="222"/>
  <c r="GV25" i="222"/>
  <c r="HB25" i="222"/>
  <c r="GT25" i="222"/>
  <c r="GQ25" i="222"/>
  <c r="GP25" i="222"/>
  <c r="GU12" i="222"/>
  <c r="GR12" i="222"/>
  <c r="GS12" i="222"/>
  <c r="GY12" i="222"/>
  <c r="GW12" i="222"/>
  <c r="GV12" i="222"/>
  <c r="GZ12" i="222"/>
  <c r="HA12" i="222"/>
  <c r="GX12" i="222"/>
  <c r="HB12" i="222"/>
  <c r="GT12" i="222"/>
  <c r="GP12" i="222"/>
  <c r="GQ12" i="222"/>
  <c r="GS27" i="222"/>
  <c r="GU27" i="222"/>
  <c r="GR27" i="222"/>
  <c r="GY27" i="222"/>
  <c r="GV27" i="222"/>
  <c r="GW27" i="222"/>
  <c r="GZ27" i="222"/>
  <c r="HA27" i="222"/>
  <c r="HB27" i="222"/>
  <c r="GX27" i="222"/>
  <c r="GT27" i="222"/>
  <c r="GQ27" i="222"/>
  <c r="GP27" i="222"/>
  <c r="GY23" i="222"/>
  <c r="GU23" i="222"/>
  <c r="GS23" i="222"/>
  <c r="GR23" i="222"/>
  <c r="GZ23" i="222"/>
  <c r="GW23" i="222"/>
  <c r="GV23" i="222"/>
  <c r="HA23" i="222"/>
  <c r="GX23" i="222"/>
  <c r="GT23" i="222"/>
  <c r="HB23" i="222"/>
  <c r="GP23" i="222"/>
  <c r="GQ23" i="222"/>
  <c r="GS29" i="222"/>
  <c r="GU29" i="222"/>
  <c r="GR29" i="222"/>
  <c r="GY29" i="222"/>
  <c r="GV29" i="222"/>
  <c r="GW29" i="222"/>
  <c r="HA29" i="222"/>
  <c r="GZ29" i="222"/>
  <c r="GX29" i="222"/>
  <c r="GT29" i="222"/>
  <c r="HB29" i="222"/>
  <c r="GP29" i="222"/>
  <c r="GO29" i="222" s="1"/>
  <c r="GQ29" i="222"/>
  <c r="GU32" i="222"/>
  <c r="GR32" i="222"/>
  <c r="GS32" i="222"/>
  <c r="GY32" i="222"/>
  <c r="GW32" i="222"/>
  <c r="HA32" i="222"/>
  <c r="GV32" i="222"/>
  <c r="GZ32" i="222"/>
  <c r="GX32" i="222"/>
  <c r="GT32" i="222"/>
  <c r="HB32" i="222"/>
  <c r="GP32" i="222"/>
  <c r="GQ32" i="222"/>
  <c r="GR36" i="222"/>
  <c r="GU36" i="222"/>
  <c r="GW36" i="222"/>
  <c r="GY36" i="222"/>
  <c r="GS36" i="222"/>
  <c r="GZ36" i="222"/>
  <c r="GV36" i="222"/>
  <c r="HA36" i="222"/>
  <c r="GX36" i="222"/>
  <c r="GT36" i="222"/>
  <c r="HB36" i="222"/>
  <c r="GQ36" i="222"/>
  <c r="GP36" i="222"/>
  <c r="HH22" i="222"/>
  <c r="HO22" i="222"/>
  <c r="HI22" i="222"/>
  <c r="HK22" i="222"/>
  <c r="HP22" i="222"/>
  <c r="HM22" i="222"/>
  <c r="HQ22" i="222"/>
  <c r="HL22" i="222"/>
  <c r="HR22" i="222"/>
  <c r="HN22" i="222"/>
  <c r="HJ22" i="222"/>
  <c r="HG22" i="222"/>
  <c r="HF22" i="222"/>
  <c r="HK14" i="222"/>
  <c r="HH14" i="222"/>
  <c r="HI14" i="222"/>
  <c r="HO14" i="222"/>
  <c r="HQ14" i="222"/>
  <c r="HM14" i="222"/>
  <c r="HP14" i="222"/>
  <c r="HL14" i="222"/>
  <c r="HN14" i="222"/>
  <c r="HJ14" i="222"/>
  <c r="HR14" i="222"/>
  <c r="HG14" i="222"/>
  <c r="HF14" i="222"/>
  <c r="HO21" i="222"/>
  <c r="HI21" i="222"/>
  <c r="HK21" i="222"/>
  <c r="HH21" i="222"/>
  <c r="HM21" i="222"/>
  <c r="HP21" i="222"/>
  <c r="HL21" i="222"/>
  <c r="HQ21" i="222"/>
  <c r="HN21" i="222"/>
  <c r="HJ21" i="222"/>
  <c r="HR21" i="222"/>
  <c r="HF21" i="222"/>
  <c r="HG21" i="222"/>
  <c r="HO16" i="222"/>
  <c r="HK16" i="222"/>
  <c r="HH16" i="222"/>
  <c r="HI16" i="222"/>
  <c r="HQ16" i="222"/>
  <c r="HM16" i="222"/>
  <c r="HL16" i="222"/>
  <c r="HP16" i="222"/>
  <c r="HN16" i="222"/>
  <c r="HJ16" i="222"/>
  <c r="HR16" i="222"/>
  <c r="HF16" i="222"/>
  <c r="HG16" i="222"/>
  <c r="HK15" i="222"/>
  <c r="HH15" i="222"/>
  <c r="HI15" i="222"/>
  <c r="HO15" i="222"/>
  <c r="HQ15" i="222"/>
  <c r="HP15" i="222"/>
  <c r="HL15" i="222"/>
  <c r="HM15" i="222"/>
  <c r="HN15" i="222"/>
  <c r="HR15" i="222"/>
  <c r="HJ15" i="222"/>
  <c r="HG15" i="222"/>
  <c r="HF15" i="222"/>
  <c r="HH35" i="222"/>
  <c r="HK35" i="222"/>
  <c r="HI35" i="222"/>
  <c r="HM35" i="222"/>
  <c r="HO35" i="222"/>
  <c r="HL35" i="222"/>
  <c r="HP35" i="222"/>
  <c r="HQ35" i="222"/>
  <c r="HN35" i="222"/>
  <c r="HJ35" i="222"/>
  <c r="HR35" i="222"/>
  <c r="HG35" i="222"/>
  <c r="HF35" i="222"/>
  <c r="HH34" i="222"/>
  <c r="HI34" i="222"/>
  <c r="HO34" i="222"/>
  <c r="HK34" i="222"/>
  <c r="HP34" i="222"/>
  <c r="HM34" i="222"/>
  <c r="HL34" i="222"/>
  <c r="HQ34" i="222"/>
  <c r="HR34" i="222"/>
  <c r="HN34" i="222"/>
  <c r="HJ34" i="222"/>
  <c r="HG34" i="222"/>
  <c r="HF34" i="222"/>
  <c r="HI37" i="222"/>
  <c r="HO37" i="222"/>
  <c r="HK37" i="222"/>
  <c r="HP37" i="222"/>
  <c r="HH37" i="222"/>
  <c r="HQ37" i="222"/>
  <c r="HL37" i="222"/>
  <c r="HM37" i="222"/>
  <c r="HN37" i="222"/>
  <c r="HJ37" i="222"/>
  <c r="HR37" i="222"/>
  <c r="HG37" i="222"/>
  <c r="HF37" i="222"/>
  <c r="IA23" i="222"/>
  <c r="HY23" i="222"/>
  <c r="HX23" i="222"/>
  <c r="IE23" i="222"/>
  <c r="IC23" i="222"/>
  <c r="IG23" i="222"/>
  <c r="IB23" i="222"/>
  <c r="IF23" i="222"/>
  <c r="ID23" i="222"/>
  <c r="IH23" i="222"/>
  <c r="HZ23" i="222"/>
  <c r="HV23" i="222"/>
  <c r="HW23" i="222"/>
  <c r="HX11" i="222"/>
  <c r="IA11" i="222"/>
  <c r="HY11" i="222"/>
  <c r="IE11" i="222"/>
  <c r="IG11" i="222"/>
  <c r="IC11" i="222"/>
  <c r="ID11" i="222"/>
  <c r="IF11" i="222"/>
  <c r="IB11" i="222"/>
  <c r="HZ11" i="222"/>
  <c r="IH11" i="222"/>
  <c r="HV11" i="222"/>
  <c r="HU11" i="222" s="1"/>
  <c r="HW11" i="222"/>
  <c r="HY22" i="222"/>
  <c r="IE22" i="222"/>
  <c r="IA22" i="222"/>
  <c r="HX22" i="222"/>
  <c r="IB22" i="222"/>
  <c r="IC22" i="222"/>
  <c r="IG22" i="222"/>
  <c r="IF22" i="222"/>
  <c r="IH22" i="222"/>
  <c r="ID22" i="222"/>
  <c r="HZ22" i="222"/>
  <c r="HV22" i="222"/>
  <c r="HW22" i="222"/>
  <c r="HY21" i="222"/>
  <c r="IE21" i="222"/>
  <c r="IA21" i="222"/>
  <c r="HX21" i="222"/>
  <c r="IG21" i="222"/>
  <c r="IC21" i="222"/>
  <c r="IF21" i="222"/>
  <c r="IB21" i="222"/>
  <c r="ID21" i="222"/>
  <c r="IH21" i="222"/>
  <c r="HZ21" i="222"/>
  <c r="HV21" i="222"/>
  <c r="HW21" i="222"/>
  <c r="IE20" i="222"/>
  <c r="HX20" i="222"/>
  <c r="IA20" i="222"/>
  <c r="HY20" i="222"/>
  <c r="IF20" i="222"/>
  <c r="IG20" i="222"/>
  <c r="IB20" i="222"/>
  <c r="IC20" i="222"/>
  <c r="ID20" i="222"/>
  <c r="IH20" i="222"/>
  <c r="HZ20" i="222"/>
  <c r="HW20" i="222"/>
  <c r="HV20" i="222"/>
  <c r="HU20" i="222" s="1"/>
  <c r="IA39" i="222"/>
  <c r="HY39" i="222"/>
  <c r="HX39" i="222"/>
  <c r="IC39" i="222"/>
  <c r="IB39" i="222"/>
  <c r="IF39" i="222"/>
  <c r="IE39" i="222"/>
  <c r="IG39" i="222"/>
  <c r="ID39" i="222"/>
  <c r="HZ39" i="222"/>
  <c r="IH39" i="222"/>
  <c r="HW39" i="222"/>
  <c r="HV39" i="222"/>
  <c r="IA30" i="222"/>
  <c r="IE30" i="222"/>
  <c r="HX30" i="222"/>
  <c r="HY30" i="222"/>
  <c r="IC30" i="222"/>
  <c r="IB30" i="222"/>
  <c r="IG30" i="222"/>
  <c r="IF30" i="222"/>
  <c r="ID30" i="222"/>
  <c r="IH30" i="222"/>
  <c r="HZ30" i="222"/>
  <c r="HV30" i="222"/>
  <c r="HW30" i="222"/>
  <c r="IA37" i="222"/>
  <c r="HY37" i="222"/>
  <c r="IE37" i="222"/>
  <c r="IF37" i="222"/>
  <c r="HX37" i="222"/>
  <c r="IG37" i="222"/>
  <c r="IB37" i="222"/>
  <c r="IC37" i="222"/>
  <c r="ID37" i="222"/>
  <c r="HZ37" i="222"/>
  <c r="IH37" i="222"/>
  <c r="HV37" i="222"/>
  <c r="HW37" i="222"/>
  <c r="GS11" i="222"/>
  <c r="GY11" i="222"/>
  <c r="GR11" i="222"/>
  <c r="GU11" i="222"/>
  <c r="HA11" i="222"/>
  <c r="GZ11" i="222"/>
  <c r="GV11" i="222"/>
  <c r="GW11" i="222"/>
  <c r="GX11" i="222"/>
  <c r="GT11" i="222"/>
  <c r="HB11" i="222"/>
  <c r="GQ11" i="222"/>
  <c r="GP11" i="222"/>
  <c r="GO11" i="222" s="1"/>
  <c r="GU30" i="222"/>
  <c r="GS30" i="222"/>
  <c r="GY30" i="222"/>
  <c r="GR30" i="222"/>
  <c r="GW30" i="222"/>
  <c r="GZ30" i="222"/>
  <c r="GV30" i="222"/>
  <c r="HA30" i="222"/>
  <c r="GX30" i="222"/>
  <c r="HB30" i="222"/>
  <c r="GT30" i="222"/>
  <c r="GP30" i="222"/>
  <c r="GO30" i="222" s="1"/>
  <c r="GQ30" i="222"/>
  <c r="GU31" i="222"/>
  <c r="GS31" i="222"/>
  <c r="GR31" i="222"/>
  <c r="GY31" i="222"/>
  <c r="GV31" i="222"/>
  <c r="HA31" i="222"/>
  <c r="GW31" i="222"/>
  <c r="GZ31" i="222"/>
  <c r="GX31" i="222"/>
  <c r="GT31" i="222"/>
  <c r="HB31" i="222"/>
  <c r="GP31" i="222"/>
  <c r="GQ31" i="222"/>
  <c r="HK31" i="222"/>
  <c r="HI31" i="222"/>
  <c r="HH31" i="222"/>
  <c r="HO31" i="222"/>
  <c r="HQ31" i="222"/>
  <c r="HM31" i="222"/>
  <c r="HP31" i="222"/>
  <c r="HL31" i="222"/>
  <c r="HN31" i="222"/>
  <c r="HJ31" i="222"/>
  <c r="HR31" i="222"/>
  <c r="HF31" i="222"/>
  <c r="HG31" i="222"/>
  <c r="HO19" i="222"/>
  <c r="HK19" i="222"/>
  <c r="HH19" i="222"/>
  <c r="HI19" i="222"/>
  <c r="HL19" i="222"/>
  <c r="HM19" i="222"/>
  <c r="HP19" i="222"/>
  <c r="HQ19" i="222"/>
  <c r="HN19" i="222"/>
  <c r="HJ19" i="222"/>
  <c r="HR19" i="222"/>
  <c r="HG19" i="222"/>
  <c r="HF19" i="222"/>
  <c r="HE19" i="222" s="1"/>
  <c r="HH38" i="222"/>
  <c r="HI38" i="222"/>
  <c r="HO38" i="222"/>
  <c r="HK38" i="222"/>
  <c r="HM38" i="222"/>
  <c r="HP38" i="222"/>
  <c r="HQ38" i="222"/>
  <c r="HL38" i="222"/>
  <c r="HN38" i="222"/>
  <c r="HR38" i="222"/>
  <c r="HJ38" i="222"/>
  <c r="HG38" i="222"/>
  <c r="HF38" i="222"/>
  <c r="HX19" i="222"/>
  <c r="IA19" i="222"/>
  <c r="IE19" i="222"/>
  <c r="HY19" i="222"/>
  <c r="IF19" i="222"/>
  <c r="IG19" i="222"/>
  <c r="IC19" i="222"/>
  <c r="IB19" i="222"/>
  <c r="ID19" i="222"/>
  <c r="HZ19" i="222"/>
  <c r="IH19" i="222"/>
  <c r="HW19" i="222"/>
  <c r="HV19" i="222"/>
  <c r="HY27" i="222"/>
  <c r="IE27" i="222"/>
  <c r="IA27" i="222"/>
  <c r="HX27" i="222"/>
  <c r="IF27" i="222"/>
  <c r="IG27" i="222"/>
  <c r="IC27" i="222"/>
  <c r="IB27" i="222"/>
  <c r="ID27" i="222"/>
  <c r="IH27" i="222"/>
  <c r="HZ27" i="222"/>
  <c r="HW27" i="222"/>
  <c r="HV27" i="222"/>
  <c r="GS26" i="222"/>
  <c r="GU26" i="222"/>
  <c r="GY26" i="222"/>
  <c r="GR26" i="222"/>
  <c r="GW26" i="222"/>
  <c r="HA26" i="222"/>
  <c r="GV26" i="222"/>
  <c r="GZ26" i="222"/>
  <c r="HB26" i="222"/>
  <c r="GX26" i="222"/>
  <c r="GT26" i="222"/>
  <c r="GQ26" i="222"/>
  <c r="GP26" i="222"/>
  <c r="GO26" i="222" s="1"/>
  <c r="GS21" i="222"/>
  <c r="GU21" i="222"/>
  <c r="GY21" i="222"/>
  <c r="GR21" i="222"/>
  <c r="GW21" i="222"/>
  <c r="GZ21" i="222"/>
  <c r="GV21" i="222"/>
  <c r="HA21" i="222"/>
  <c r="GX21" i="222"/>
  <c r="HB21" i="222"/>
  <c r="GT21" i="222"/>
  <c r="GQ21" i="222"/>
  <c r="GP21" i="222"/>
  <c r="GY24" i="222"/>
  <c r="GU24" i="222"/>
  <c r="GR24" i="222"/>
  <c r="GS24" i="222"/>
  <c r="HA24" i="222"/>
  <c r="GZ24" i="222"/>
  <c r="GV24" i="222"/>
  <c r="GW24" i="222"/>
  <c r="GX24" i="222"/>
  <c r="GT24" i="222"/>
  <c r="HB24" i="222"/>
  <c r="GP24" i="222"/>
  <c r="GQ24" i="222"/>
  <c r="GY19" i="222"/>
  <c r="GS19" i="222"/>
  <c r="GR19" i="222"/>
  <c r="GU19" i="222"/>
  <c r="GZ19" i="222"/>
  <c r="HA19" i="222"/>
  <c r="GV19" i="222"/>
  <c r="GW19" i="222"/>
  <c r="GX19" i="222"/>
  <c r="GT19" i="222"/>
  <c r="HB19" i="222"/>
  <c r="GP19" i="222"/>
  <c r="GQ19" i="222"/>
  <c r="GY22" i="222"/>
  <c r="GR22" i="222"/>
  <c r="GS22" i="222"/>
  <c r="GU22" i="222"/>
  <c r="GZ22" i="222"/>
  <c r="GV22" i="222"/>
  <c r="GW22" i="222"/>
  <c r="HA22" i="222"/>
  <c r="GX22" i="222"/>
  <c r="HB22" i="222"/>
  <c r="GT22" i="222"/>
  <c r="GQ22" i="222"/>
  <c r="GP22" i="222"/>
  <c r="GO22" i="222" s="1"/>
  <c r="GR28" i="222"/>
  <c r="GS28" i="222"/>
  <c r="GU28" i="222"/>
  <c r="GY28" i="222"/>
  <c r="HA28" i="222"/>
  <c r="GZ28" i="222"/>
  <c r="GW28" i="222"/>
  <c r="GV28" i="222"/>
  <c r="GX28" i="222"/>
  <c r="HB28" i="222"/>
  <c r="GT28" i="222"/>
  <c r="GQ28" i="222"/>
  <c r="GP28" i="222"/>
  <c r="GS37" i="222"/>
  <c r="GY37" i="222"/>
  <c r="GU37" i="222"/>
  <c r="GZ37" i="222"/>
  <c r="GR37" i="222"/>
  <c r="HA37" i="222"/>
  <c r="GV37" i="222"/>
  <c r="GW37" i="222"/>
  <c r="GX37" i="222"/>
  <c r="GT37" i="222"/>
  <c r="HB37" i="222"/>
  <c r="GQ37" i="222"/>
  <c r="GP37" i="222"/>
  <c r="GY38" i="222"/>
  <c r="GS38" i="222"/>
  <c r="GU38" i="222"/>
  <c r="GR38" i="222"/>
  <c r="GW38" i="222"/>
  <c r="HA38" i="222"/>
  <c r="GZ38" i="222"/>
  <c r="GV38" i="222"/>
  <c r="GX38" i="222"/>
  <c r="GT38" i="222"/>
  <c r="HB38" i="222"/>
  <c r="GP38" i="222"/>
  <c r="GQ38" i="222"/>
  <c r="HK10" i="222"/>
  <c r="HH10" i="222"/>
  <c r="HI10" i="222"/>
  <c r="HO10" i="222"/>
  <c r="HQ10" i="222"/>
  <c r="HN10" i="222"/>
  <c r="HP10" i="222"/>
  <c r="HM10" i="222"/>
  <c r="HL10" i="222"/>
  <c r="HJ10" i="222"/>
  <c r="HR10" i="222"/>
  <c r="HF10" i="222"/>
  <c r="HG10" i="222"/>
  <c r="HK17" i="222"/>
  <c r="HO17" i="222"/>
  <c r="HI17" i="222"/>
  <c r="HH17" i="222"/>
  <c r="HM17" i="222"/>
  <c r="HQ17" i="222"/>
  <c r="HP17" i="222"/>
  <c r="HL17" i="222"/>
  <c r="HN17" i="222"/>
  <c r="HR17" i="222"/>
  <c r="HJ17" i="222"/>
  <c r="HG17" i="222"/>
  <c r="HF17" i="222"/>
  <c r="HK12" i="222"/>
  <c r="HI12" i="222"/>
  <c r="HH12" i="222"/>
  <c r="HO12" i="222"/>
  <c r="HL12" i="222"/>
  <c r="HP12" i="222"/>
  <c r="HQ12" i="222"/>
  <c r="HM12" i="222"/>
  <c r="HN12" i="222"/>
  <c r="HR12" i="222"/>
  <c r="HJ12" i="222"/>
  <c r="HF12" i="222"/>
  <c r="HG12" i="222"/>
  <c r="HI27" i="222"/>
  <c r="HH27" i="222"/>
  <c r="HK27" i="222"/>
  <c r="HO27" i="222"/>
  <c r="HM27" i="222"/>
  <c r="HL27" i="222"/>
  <c r="HP27" i="222"/>
  <c r="HQ27" i="222"/>
  <c r="HR27" i="222"/>
  <c r="HN27" i="222"/>
  <c r="HJ27" i="222"/>
  <c r="HG27" i="222"/>
  <c r="HF27" i="222"/>
  <c r="HK28" i="222"/>
  <c r="HI28" i="222"/>
  <c r="HH28" i="222"/>
  <c r="HO28" i="222"/>
  <c r="HQ28" i="222"/>
  <c r="HL28" i="222"/>
  <c r="HM28" i="222"/>
  <c r="HP28" i="222"/>
  <c r="HN28" i="222"/>
  <c r="HR28" i="222"/>
  <c r="HJ28" i="222"/>
  <c r="HF28" i="222"/>
  <c r="HG28" i="222"/>
  <c r="HK29" i="222"/>
  <c r="HO29" i="222"/>
  <c r="HI29" i="222"/>
  <c r="HH29" i="222"/>
  <c r="HQ29" i="222"/>
  <c r="HP29" i="222"/>
  <c r="HL29" i="222"/>
  <c r="HM29" i="222"/>
  <c r="HN29" i="222"/>
  <c r="HJ29" i="222"/>
  <c r="HR29" i="222"/>
  <c r="HG29" i="222"/>
  <c r="HF29" i="222"/>
  <c r="HH32" i="222"/>
  <c r="HK32" i="222"/>
  <c r="HI32" i="222"/>
  <c r="HO32" i="222"/>
  <c r="HM32" i="222"/>
  <c r="HQ32" i="222"/>
  <c r="HL32" i="222"/>
  <c r="HP32" i="222"/>
  <c r="HN32" i="222"/>
  <c r="HJ32" i="222"/>
  <c r="HR32" i="222"/>
  <c r="HG32" i="222"/>
  <c r="HF32" i="222"/>
  <c r="HX12" i="222"/>
  <c r="HY12" i="222"/>
  <c r="IA12" i="222"/>
  <c r="IE12" i="222"/>
  <c r="IG12" i="222"/>
  <c r="IB12" i="222"/>
  <c r="IF12" i="222"/>
  <c r="IC12" i="222"/>
  <c r="ID12" i="222"/>
  <c r="HZ12" i="222"/>
  <c r="IH12" i="222"/>
  <c r="HV12" i="222"/>
  <c r="HW12" i="222"/>
  <c r="HX15" i="222"/>
  <c r="IA15" i="222"/>
  <c r="HY15" i="222"/>
  <c r="IE15" i="222"/>
  <c r="IC15" i="222"/>
  <c r="IF15" i="222"/>
  <c r="IB15" i="222"/>
  <c r="IG15" i="222"/>
  <c r="ID15" i="222"/>
  <c r="IH15" i="222"/>
  <c r="HZ15" i="222"/>
  <c r="HV15" i="222"/>
  <c r="HW15" i="222"/>
  <c r="HY18" i="222"/>
  <c r="IA18" i="222"/>
  <c r="HX18" i="222"/>
  <c r="IE18" i="222"/>
  <c r="IF18" i="222"/>
  <c r="IB18" i="222"/>
  <c r="IG18" i="222"/>
  <c r="IC18" i="222"/>
  <c r="ID18" i="222"/>
  <c r="IH18" i="222"/>
  <c r="HZ18" i="222"/>
  <c r="HW18" i="222"/>
  <c r="HV18" i="222"/>
  <c r="HY17" i="222"/>
  <c r="IA17" i="222"/>
  <c r="IE17" i="222"/>
  <c r="HX17" i="222"/>
  <c r="ID17" i="222"/>
  <c r="IC17" i="222"/>
  <c r="IG17" i="222"/>
  <c r="IF17" i="222"/>
  <c r="IB17" i="222"/>
  <c r="IH17" i="222"/>
  <c r="HZ17" i="222"/>
  <c r="HV17" i="222"/>
  <c r="HW17" i="222"/>
  <c r="IA16" i="222"/>
  <c r="HX16" i="222"/>
  <c r="IE16" i="222"/>
  <c r="HY16" i="222"/>
  <c r="IG16" i="222"/>
  <c r="IC16" i="222"/>
  <c r="IB16" i="222"/>
  <c r="IF16" i="222"/>
  <c r="ID16" i="222"/>
  <c r="HZ16" i="222"/>
  <c r="IH16" i="222"/>
  <c r="HW16" i="222"/>
  <c r="HV16" i="222"/>
  <c r="HY35" i="222"/>
  <c r="IA35" i="222"/>
  <c r="HX35" i="222"/>
  <c r="IE35" i="222"/>
  <c r="IC35" i="222"/>
  <c r="IG35" i="222"/>
  <c r="IB35" i="222"/>
  <c r="IF35" i="222"/>
  <c r="ID35" i="222"/>
  <c r="HZ35" i="222"/>
  <c r="IH35" i="222"/>
  <c r="HW35" i="222"/>
  <c r="HV35" i="222"/>
  <c r="HU35" i="222" s="1"/>
  <c r="HX32" i="222"/>
  <c r="IA32" i="222"/>
  <c r="HY32" i="222"/>
  <c r="IE32" i="222"/>
  <c r="IB32" i="222"/>
  <c r="IF32" i="222"/>
  <c r="IC32" i="222"/>
  <c r="IG32" i="222"/>
  <c r="ID32" i="222"/>
  <c r="HZ32" i="222"/>
  <c r="IH32" i="222"/>
  <c r="HV32" i="222"/>
  <c r="HU32" i="222" s="1"/>
  <c r="HW32" i="222"/>
  <c r="IA38" i="222"/>
  <c r="HX38" i="222"/>
  <c r="HY38" i="222"/>
  <c r="IE38" i="222"/>
  <c r="IG38" i="222"/>
  <c r="IF38" i="222"/>
  <c r="IC38" i="222"/>
  <c r="IB38" i="222"/>
  <c r="ID38" i="222"/>
  <c r="IH38" i="222"/>
  <c r="HZ38" i="222"/>
  <c r="HV38" i="222"/>
  <c r="HW38" i="222"/>
  <c r="GU10" i="222"/>
  <c r="GR10" i="222"/>
  <c r="GS10" i="222"/>
  <c r="GY10" i="222"/>
  <c r="GW10" i="222"/>
  <c r="GV10" i="222"/>
  <c r="GX10" i="222"/>
  <c r="GZ10" i="222"/>
  <c r="HA10" i="222"/>
  <c r="GT10" i="222"/>
  <c r="HB10" i="222"/>
  <c r="GP10" i="222"/>
  <c r="GQ10" i="222"/>
  <c r="GY14" i="222"/>
  <c r="GS14" i="222"/>
  <c r="GU14" i="222"/>
  <c r="GR14" i="222"/>
  <c r="GZ14" i="222"/>
  <c r="GW14" i="222"/>
  <c r="GV14" i="222"/>
  <c r="HA14" i="222"/>
  <c r="GX14" i="222"/>
  <c r="HB14" i="222"/>
  <c r="GT14" i="222"/>
  <c r="GP14" i="222"/>
  <c r="GQ14" i="222"/>
  <c r="HI18" i="222"/>
  <c r="HO18" i="222"/>
  <c r="HK18" i="222"/>
  <c r="HH18" i="222"/>
  <c r="HP18" i="222"/>
  <c r="HL18" i="222"/>
  <c r="HM18" i="222"/>
  <c r="HQ18" i="222"/>
  <c r="HN18" i="222"/>
  <c r="HR18" i="222"/>
  <c r="HJ18" i="222"/>
  <c r="HF18" i="222"/>
  <c r="HE18" i="222" s="1"/>
  <c r="HG18" i="222"/>
  <c r="HO20" i="222"/>
  <c r="HK20" i="222"/>
  <c r="HH20" i="222"/>
  <c r="HI20" i="222"/>
  <c r="HQ20" i="222"/>
  <c r="HL20" i="222"/>
  <c r="HM20" i="222"/>
  <c r="HP20" i="222"/>
  <c r="HN20" i="222"/>
  <c r="HR20" i="222"/>
  <c r="HJ20" i="222"/>
  <c r="HF20" i="222"/>
  <c r="HG20" i="222"/>
  <c r="HK40" i="222"/>
  <c r="HH40" i="222"/>
  <c r="HI40" i="222"/>
  <c r="HO40" i="222"/>
  <c r="HL40" i="222"/>
  <c r="HP40" i="222"/>
  <c r="HQ40" i="222"/>
  <c r="HM40" i="222"/>
  <c r="HN40" i="222"/>
  <c r="HR40" i="222"/>
  <c r="HJ40" i="222"/>
  <c r="HF40" i="222"/>
  <c r="HG40" i="222"/>
  <c r="HX36" i="222"/>
  <c r="IA36" i="222"/>
  <c r="IE36" i="222"/>
  <c r="HY36" i="222"/>
  <c r="IC36" i="222"/>
  <c r="IG36" i="222"/>
  <c r="IF36" i="222"/>
  <c r="IB36" i="222"/>
  <c r="ID36" i="222"/>
  <c r="IH36" i="222"/>
  <c r="HZ36" i="222"/>
  <c r="HV36" i="222"/>
  <c r="HW36" i="222"/>
  <c r="IA24" i="222"/>
  <c r="IE24" i="222"/>
  <c r="HX24" i="222"/>
  <c r="HY24" i="222"/>
  <c r="IC24" i="222"/>
  <c r="IB24" i="222"/>
  <c r="IG24" i="222"/>
  <c r="IF24" i="222"/>
  <c r="ID24" i="222"/>
  <c r="HZ24" i="222"/>
  <c r="IH24" i="222"/>
  <c r="HV24" i="222"/>
  <c r="HU24" i="222" s="1"/>
  <c r="HW24" i="222"/>
  <c r="HY34" i="222"/>
  <c r="IA34" i="222"/>
  <c r="HX34" i="222"/>
  <c r="IE34" i="222"/>
  <c r="IC34" i="222"/>
  <c r="IF34" i="222"/>
  <c r="IG34" i="222"/>
  <c r="IB34" i="222"/>
  <c r="IH34" i="222"/>
  <c r="ID34" i="222"/>
  <c r="HZ34" i="222"/>
  <c r="HV34" i="222"/>
  <c r="HW34" i="222"/>
  <c r="GY13" i="222"/>
  <c r="GS13" i="222"/>
  <c r="GU13" i="222"/>
  <c r="GR13" i="222"/>
  <c r="GZ13" i="222"/>
  <c r="GW13" i="222"/>
  <c r="HA13" i="222"/>
  <c r="GV13" i="222"/>
  <c r="GX13" i="222"/>
  <c r="HB13" i="222"/>
  <c r="GT13" i="222"/>
  <c r="GQ13" i="222"/>
  <c r="GP13" i="222"/>
  <c r="GY17" i="222"/>
  <c r="GU17" i="222"/>
  <c r="GS17" i="222"/>
  <c r="GR17" i="222"/>
  <c r="GX17" i="222"/>
  <c r="GW17" i="222"/>
  <c r="HA17" i="222"/>
  <c r="GZ17" i="222"/>
  <c r="GV17" i="222"/>
  <c r="HB17" i="222"/>
  <c r="GT17" i="222"/>
  <c r="GP17" i="222"/>
  <c r="GQ17" i="222"/>
  <c r="GU20" i="222"/>
  <c r="GY20" i="222"/>
  <c r="GR20" i="222"/>
  <c r="GS20" i="222"/>
  <c r="GW20" i="222"/>
  <c r="GZ20" i="222"/>
  <c r="HA20" i="222"/>
  <c r="GV20" i="222"/>
  <c r="GX20" i="222"/>
  <c r="GT20" i="222"/>
  <c r="HB20" i="222"/>
  <c r="GQ20" i="222"/>
  <c r="GP20" i="222"/>
  <c r="GR15" i="222"/>
  <c r="GS15" i="222"/>
  <c r="GU15" i="222"/>
  <c r="GY15" i="222"/>
  <c r="HA15" i="222"/>
  <c r="GZ15" i="222"/>
  <c r="GV15" i="222"/>
  <c r="GW15" i="222"/>
  <c r="GX15" i="222"/>
  <c r="GT15" i="222"/>
  <c r="HB15" i="222"/>
  <c r="GP15" i="222"/>
  <c r="GQ15" i="222"/>
  <c r="GY18" i="222"/>
  <c r="GR18" i="222"/>
  <c r="GU18" i="222"/>
  <c r="GS18" i="222"/>
  <c r="GZ18" i="222"/>
  <c r="GW18" i="222"/>
  <c r="GV18" i="222"/>
  <c r="HA18" i="222"/>
  <c r="GX18" i="222"/>
  <c r="GT18" i="222"/>
  <c r="HB18" i="222"/>
  <c r="GQ18" i="222"/>
  <c r="GP18" i="222"/>
  <c r="GR34" i="222"/>
  <c r="GY34" i="222"/>
  <c r="GU34" i="222"/>
  <c r="GS34" i="222"/>
  <c r="GW34" i="222"/>
  <c r="GZ34" i="222"/>
  <c r="GV34" i="222"/>
  <c r="HA34" i="222"/>
  <c r="HB34" i="222"/>
  <c r="GX34" i="222"/>
  <c r="GT34" i="222"/>
  <c r="GP34" i="222"/>
  <c r="GQ34" i="222"/>
  <c r="GU35" i="222"/>
  <c r="GS35" i="222"/>
  <c r="GR35" i="222"/>
  <c r="GW35" i="222"/>
  <c r="GY35" i="222"/>
  <c r="GV35" i="222"/>
  <c r="GZ35" i="222"/>
  <c r="HA35" i="222"/>
  <c r="GX35" i="222"/>
  <c r="GT35" i="222"/>
  <c r="HB35" i="222"/>
  <c r="GP35" i="222"/>
  <c r="GO35" i="222" s="1"/>
  <c r="GQ35" i="222"/>
  <c r="GS39" i="222"/>
  <c r="GU39" i="222"/>
  <c r="GR39" i="222"/>
  <c r="GV39" i="222"/>
  <c r="GZ39" i="222"/>
  <c r="GW39" i="222"/>
  <c r="GY39" i="222"/>
  <c r="HA39" i="222"/>
  <c r="GX39" i="222"/>
  <c r="GT39" i="222"/>
  <c r="HB39" i="222"/>
  <c r="GP39" i="222"/>
  <c r="GQ39" i="222"/>
  <c r="HK11" i="222"/>
  <c r="HO11" i="222"/>
  <c r="HI11" i="222"/>
  <c r="HH11" i="222"/>
  <c r="HQ11" i="222"/>
  <c r="HP11" i="222"/>
  <c r="HL11" i="222"/>
  <c r="HN11" i="222"/>
  <c r="HM11" i="222"/>
  <c r="HJ11" i="222"/>
  <c r="HR11" i="222"/>
  <c r="HG11" i="222"/>
  <c r="HF11" i="222"/>
  <c r="HI13" i="222"/>
  <c r="HK13" i="222"/>
  <c r="HO13" i="222"/>
  <c r="HH13" i="222"/>
  <c r="HP13" i="222"/>
  <c r="HM13" i="222"/>
  <c r="HQ13" i="222"/>
  <c r="HL13" i="222"/>
  <c r="HR13" i="222"/>
  <c r="HN13" i="222"/>
  <c r="HJ13" i="222"/>
  <c r="HG13" i="222"/>
  <c r="HF13" i="222"/>
  <c r="HE13" i="222" s="1"/>
  <c r="HK26" i="222"/>
  <c r="HO26" i="222"/>
  <c r="HI26" i="222"/>
  <c r="HH26" i="222"/>
  <c r="HL26" i="222"/>
  <c r="HM26" i="222"/>
  <c r="HP26" i="222"/>
  <c r="HQ26" i="222"/>
  <c r="HR26" i="222"/>
  <c r="HN26" i="222"/>
  <c r="HJ26" i="222"/>
  <c r="HF26" i="222"/>
  <c r="HE26" i="222" s="1"/>
  <c r="HG26" i="222"/>
  <c r="HH24" i="222"/>
  <c r="HO24" i="222"/>
  <c r="HK24" i="222"/>
  <c r="HI24" i="222"/>
  <c r="HL24" i="222"/>
  <c r="HM24" i="222"/>
  <c r="HQ24" i="222"/>
  <c r="HP24" i="222"/>
  <c r="HN24" i="222"/>
  <c r="HJ24" i="222"/>
  <c r="HR24" i="222"/>
  <c r="HF24" i="222"/>
  <c r="HG24" i="222"/>
  <c r="HI23" i="222"/>
  <c r="HO23" i="222"/>
  <c r="HK23" i="222"/>
  <c r="HH23" i="222"/>
  <c r="HL23" i="222"/>
  <c r="HQ23" i="222"/>
  <c r="HP23" i="222"/>
  <c r="HM23" i="222"/>
  <c r="HN23" i="222"/>
  <c r="HR23" i="222"/>
  <c r="HJ23" i="222"/>
  <c r="HG23" i="222"/>
  <c r="HF23" i="222"/>
  <c r="HH36" i="222"/>
  <c r="HK36" i="222"/>
  <c r="HI36" i="222"/>
  <c r="HO36" i="222"/>
  <c r="HM36" i="222"/>
  <c r="HQ36" i="222"/>
  <c r="HL36" i="222"/>
  <c r="HP36" i="222"/>
  <c r="HN36" i="222"/>
  <c r="HJ36" i="222"/>
  <c r="HR36" i="222"/>
  <c r="HG36" i="222"/>
  <c r="HF36" i="222"/>
  <c r="HE36" i="222" s="1"/>
  <c r="HI33" i="222"/>
  <c r="HO33" i="222"/>
  <c r="HK33" i="222"/>
  <c r="HH33" i="222"/>
  <c r="HM33" i="222"/>
  <c r="HN33" i="222"/>
  <c r="HL33" i="222"/>
  <c r="HP33" i="222"/>
  <c r="HQ33" i="222"/>
  <c r="HJ33" i="222"/>
  <c r="HR33" i="222"/>
  <c r="HG33" i="222"/>
  <c r="HF33" i="222"/>
  <c r="HK39" i="222"/>
  <c r="HH39" i="222"/>
  <c r="HI39" i="222"/>
  <c r="HO39" i="222"/>
  <c r="HM39" i="222"/>
  <c r="HL39" i="222"/>
  <c r="HP39" i="222"/>
  <c r="HQ39" i="222"/>
  <c r="HN39" i="222"/>
  <c r="HJ39" i="222"/>
  <c r="HR39" i="222"/>
  <c r="HF39" i="222"/>
  <c r="HG39" i="222"/>
  <c r="HX28" i="222"/>
  <c r="IA28" i="222"/>
  <c r="HY28" i="222"/>
  <c r="IE28" i="222"/>
  <c r="IF28" i="222"/>
  <c r="IC28" i="222"/>
  <c r="IB28" i="222"/>
  <c r="IG28" i="222"/>
  <c r="ID28" i="222"/>
  <c r="IH28" i="222"/>
  <c r="HZ28" i="222"/>
  <c r="HW28" i="222"/>
  <c r="HV28" i="222"/>
  <c r="HY14" i="222"/>
  <c r="IA14" i="222"/>
  <c r="HX14" i="222"/>
  <c r="IE14" i="222"/>
  <c r="IF14" i="222"/>
  <c r="IC14" i="222"/>
  <c r="IB14" i="222"/>
  <c r="IG14" i="222"/>
  <c r="ID14" i="222"/>
  <c r="HZ14" i="222"/>
  <c r="IH14" i="222"/>
  <c r="HW14" i="222"/>
  <c r="HV14" i="222"/>
  <c r="HU14" i="222" s="1"/>
  <c r="HY13" i="222"/>
  <c r="IA13" i="222"/>
  <c r="IE13" i="222"/>
  <c r="HX13" i="222"/>
  <c r="IB13" i="222"/>
  <c r="IF13" i="222"/>
  <c r="IC13" i="222"/>
  <c r="IG13" i="222"/>
  <c r="ID13" i="222"/>
  <c r="IH13" i="222"/>
  <c r="HZ13" i="222"/>
  <c r="HV13" i="222"/>
  <c r="HU13" i="222" s="1"/>
  <c r="HW13" i="222"/>
  <c r="IA29" i="222"/>
  <c r="HX29" i="222"/>
  <c r="HY29" i="222"/>
  <c r="IE29" i="222"/>
  <c r="IB29" i="222"/>
  <c r="IG29" i="222"/>
  <c r="IF29" i="222"/>
  <c r="IC29" i="222"/>
  <c r="ID29" i="222"/>
  <c r="IH29" i="222"/>
  <c r="HZ29" i="222"/>
  <c r="HV29" i="222"/>
  <c r="HW29" i="222"/>
  <c r="HY31" i="222"/>
  <c r="IA31" i="222"/>
  <c r="HX31" i="222"/>
  <c r="IE31" i="222"/>
  <c r="IB31" i="222"/>
  <c r="IG31" i="222"/>
  <c r="IC31" i="222"/>
  <c r="IF31" i="222"/>
  <c r="ID31" i="222"/>
  <c r="IH31" i="222"/>
  <c r="HZ31" i="222"/>
  <c r="HV31" i="222"/>
  <c r="HW31" i="222"/>
  <c r="IE26" i="222"/>
  <c r="IA26" i="222"/>
  <c r="HY26" i="222"/>
  <c r="HX26" i="222"/>
  <c r="IF26" i="222"/>
  <c r="IG26" i="222"/>
  <c r="IB26" i="222"/>
  <c r="IC26" i="222"/>
  <c r="IH26" i="222"/>
  <c r="ID26" i="222"/>
  <c r="HZ26" i="222"/>
  <c r="HW26" i="222"/>
  <c r="HV26" i="222"/>
  <c r="HU26" i="222" s="1"/>
  <c r="IE33" i="222"/>
  <c r="HY33" i="222"/>
  <c r="IA33" i="222"/>
  <c r="HX33" i="222"/>
  <c r="IB33" i="222"/>
  <c r="IF33" i="222"/>
  <c r="IC33" i="222"/>
  <c r="IG33" i="222"/>
  <c r="ID33" i="222"/>
  <c r="HZ33" i="222"/>
  <c r="IH33" i="222"/>
  <c r="HW33" i="222"/>
  <c r="HV33" i="222"/>
  <c r="HE15" i="222" l="1"/>
  <c r="HE22" i="222"/>
  <c r="HU12" i="222"/>
  <c r="HB42" i="222"/>
  <c r="HB41" i="222"/>
  <c r="GX42" i="222"/>
  <c r="GX41" i="222"/>
  <c r="GX43" i="222" s="1"/>
  <c r="GS42" i="222"/>
  <c r="GS41" i="222"/>
  <c r="HJ41" i="222"/>
  <c r="HJ42" i="222"/>
  <c r="HN41" i="222"/>
  <c r="HN42" i="222"/>
  <c r="HH42" i="222"/>
  <c r="HH41" i="222"/>
  <c r="HH43" i="222" s="1"/>
  <c r="HV41" i="222"/>
  <c r="HV42" i="222"/>
  <c r="HU10" i="222"/>
  <c r="ID41" i="222"/>
  <c r="ID43" i="222" s="1"/>
  <c r="ID42" i="222"/>
  <c r="IE41" i="222"/>
  <c r="IE43" i="222" s="1"/>
  <c r="IE42" i="222"/>
  <c r="HU33" i="222"/>
  <c r="HU29" i="222"/>
  <c r="HE39" i="222"/>
  <c r="HE33" i="222"/>
  <c r="HE24" i="222"/>
  <c r="GO39" i="222"/>
  <c r="GO15" i="222"/>
  <c r="GO20" i="222"/>
  <c r="HU34" i="222"/>
  <c r="HE20" i="222"/>
  <c r="HU38" i="222"/>
  <c r="HU17" i="222"/>
  <c r="HU18" i="222"/>
  <c r="HE29" i="222"/>
  <c r="HE12" i="222"/>
  <c r="HE17" i="222"/>
  <c r="GO28" i="222"/>
  <c r="GO24" i="222"/>
  <c r="GO21" i="222"/>
  <c r="HE38" i="222"/>
  <c r="GO31" i="222"/>
  <c r="HU30" i="222"/>
  <c r="HU39" i="222"/>
  <c r="HU22" i="222"/>
  <c r="HE35" i="222"/>
  <c r="HE21" i="222"/>
  <c r="HE14" i="222"/>
  <c r="GO32" i="222"/>
  <c r="GO12" i="222"/>
  <c r="GO25" i="222"/>
  <c r="HE30" i="222"/>
  <c r="GO33" i="222"/>
  <c r="GP42" i="222"/>
  <c r="GP41" i="222"/>
  <c r="GO10" i="222"/>
  <c r="GZ41" i="222"/>
  <c r="GZ42" i="222"/>
  <c r="GY42" i="222"/>
  <c r="GY41" i="222"/>
  <c r="GY43" i="222" s="1"/>
  <c r="HR41" i="222"/>
  <c r="HR42" i="222"/>
  <c r="HP42" i="222"/>
  <c r="HP41" i="222"/>
  <c r="HP43" i="222" s="1"/>
  <c r="HI41" i="222"/>
  <c r="HI42" i="222"/>
  <c r="HW41" i="222"/>
  <c r="HW42" i="222"/>
  <c r="IC42" i="222"/>
  <c r="IC41" i="222"/>
  <c r="IC43" i="222" s="1"/>
  <c r="IF41" i="222"/>
  <c r="IF42" i="222"/>
  <c r="IA41" i="222"/>
  <c r="IA42" i="222"/>
  <c r="HU31" i="222"/>
  <c r="HE40" i="222"/>
  <c r="HE32" i="222"/>
  <c r="GO38" i="222"/>
  <c r="GO37" i="222"/>
  <c r="GO19" i="222"/>
  <c r="HU19" i="222"/>
  <c r="HE31" i="222"/>
  <c r="HU37" i="222"/>
  <c r="HU21" i="222"/>
  <c r="HE34" i="222"/>
  <c r="HE16" i="222"/>
  <c r="GQ42" i="222"/>
  <c r="GQ41" i="222"/>
  <c r="GQ43" i="222" s="1"/>
  <c r="HA42" i="222"/>
  <c r="HA41" i="222"/>
  <c r="HA43" i="222" s="1"/>
  <c r="GW42" i="222"/>
  <c r="GW41" i="222"/>
  <c r="GW43" i="222" s="1"/>
  <c r="GU42" i="222"/>
  <c r="GU41" i="222"/>
  <c r="GU43" i="222" s="1"/>
  <c r="HF41" i="222"/>
  <c r="HF42" i="222"/>
  <c r="HE10" i="222"/>
  <c r="HM41" i="222"/>
  <c r="HM43" i="222" s="1"/>
  <c r="HM42" i="222"/>
  <c r="HO42" i="222"/>
  <c r="HO41" i="222"/>
  <c r="HZ41" i="222"/>
  <c r="HZ43" i="222" s="1"/>
  <c r="HZ42" i="222"/>
  <c r="IB41" i="222"/>
  <c r="IB43" i="222" s="1"/>
  <c r="IB42" i="222"/>
  <c r="HX41" i="222"/>
  <c r="HX43" i="222" s="1"/>
  <c r="HX42" i="222"/>
  <c r="HU28" i="222"/>
  <c r="HE23" i="222"/>
  <c r="HE11" i="222"/>
  <c r="GO34" i="222"/>
  <c r="GO18" i="222"/>
  <c r="GO17" i="222"/>
  <c r="GO13" i="222"/>
  <c r="HU36" i="222"/>
  <c r="GO14" i="222"/>
  <c r="HU16" i="222"/>
  <c r="HU15" i="222"/>
  <c r="HE28" i="222"/>
  <c r="HE27" i="222"/>
  <c r="HU27" i="222"/>
  <c r="HU23" i="222"/>
  <c r="HE37" i="222"/>
  <c r="GO36" i="222"/>
  <c r="GO23" i="222"/>
  <c r="GO27" i="222"/>
  <c r="HU25" i="222"/>
  <c r="GO40" i="222"/>
  <c r="GT42" i="222"/>
  <c r="GT41" i="222"/>
  <c r="GT43" i="222" s="1"/>
  <c r="GV41" i="222"/>
  <c r="GV42" i="222"/>
  <c r="GR41" i="222"/>
  <c r="GR42" i="222"/>
  <c r="HG42" i="222"/>
  <c r="HG41" i="222"/>
  <c r="HG43" i="222" s="1"/>
  <c r="HL42" i="222"/>
  <c r="HL41" i="222"/>
  <c r="HL43" i="222" s="1"/>
  <c r="HQ41" i="222"/>
  <c r="HQ42" i="222"/>
  <c r="HK42" i="222"/>
  <c r="HK41" i="222"/>
  <c r="HK43" i="222" s="1"/>
  <c r="IH41" i="222"/>
  <c r="IH42" i="222"/>
  <c r="IG42" i="222"/>
  <c r="IG41" i="222"/>
  <c r="IG43" i="222" s="1"/>
  <c r="HY42" i="222"/>
  <c r="HY41" i="222"/>
  <c r="HY43" i="222" s="1"/>
  <c r="HU40" i="222"/>
  <c r="GS43" i="222" l="1"/>
  <c r="HB43" i="222"/>
  <c r="IH43" i="222"/>
  <c r="HQ43" i="222"/>
  <c r="GV43" i="222"/>
  <c r="HF43" i="222"/>
  <c r="IF43" i="222"/>
  <c r="HW43" i="222"/>
  <c r="GP43" i="222"/>
  <c r="HV43" i="222"/>
  <c r="HN43" i="222"/>
  <c r="GO42" i="222"/>
  <c r="GO41" i="222"/>
  <c r="HE41" i="222"/>
  <c r="HE42" i="222"/>
  <c r="HU42" i="222"/>
  <c r="HU41" i="222"/>
  <c r="GR43" i="222"/>
  <c r="HO43" i="222"/>
  <c r="IA43" i="222"/>
  <c r="HI43" i="222"/>
  <c r="HR43" i="222"/>
  <c r="GZ43" i="222"/>
  <c r="HJ43" i="222"/>
  <c r="HU43" i="222" l="1"/>
  <c r="HU44" i="222"/>
  <c r="GO44" i="222"/>
  <c r="GO43" i="222"/>
  <c r="HE44" i="222"/>
  <c r="HE43" i="222"/>
  <c r="CG42" i="221" l="1"/>
  <c r="CE42" i="221"/>
  <c r="CB42" i="221"/>
  <c r="BZ42" i="221"/>
  <c r="BX42" i="221"/>
  <c r="BV42" i="221"/>
  <c r="BT42" i="221"/>
  <c r="BQ42" i="221"/>
  <c r="BP42" i="221"/>
  <c r="BO42" i="221"/>
  <c r="BN42" i="221"/>
  <c r="BM42" i="221"/>
  <c r="AU42" i="221"/>
  <c r="AP42" i="221"/>
  <c r="AJ42" i="221"/>
  <c r="AI42" i="221"/>
  <c r="AH42" i="221"/>
  <c r="AG42" i="221"/>
  <c r="AF42" i="221"/>
  <c r="AE42" i="221"/>
  <c r="AC42" i="221"/>
  <c r="AA42" i="221"/>
  <c r="Y42" i="221"/>
  <c r="W42" i="221"/>
  <c r="O42" i="221"/>
  <c r="J42" i="221"/>
  <c r="I42" i="221"/>
  <c r="H42" i="221"/>
  <c r="G42" i="221"/>
  <c r="F42" i="221"/>
  <c r="E42" i="221"/>
  <c r="D42" i="221"/>
  <c r="CG41" i="221"/>
  <c r="CG43" i="221" s="1"/>
  <c r="CE41" i="221"/>
  <c r="CB41" i="221"/>
  <c r="CB43" i="221" s="1"/>
  <c r="BZ41" i="221"/>
  <c r="BX41" i="221"/>
  <c r="BX43" i="221" s="1"/>
  <c r="BV41" i="221"/>
  <c r="BV43" i="221" s="1"/>
  <c r="BT41" i="221"/>
  <c r="BT43" i="221" s="1"/>
  <c r="BQ41" i="221"/>
  <c r="BQ43" i="221" s="1"/>
  <c r="BP41" i="221"/>
  <c r="BP43" i="221" s="1"/>
  <c r="BO41" i="221"/>
  <c r="BO43" i="221" s="1"/>
  <c r="BN41" i="221"/>
  <c r="BN43" i="221" s="1"/>
  <c r="BM41" i="221"/>
  <c r="BM43" i="221" s="1"/>
  <c r="AU41" i="221"/>
  <c r="AU43" i="221" s="1"/>
  <c r="AR41" i="221"/>
  <c r="AQ41" i="221"/>
  <c r="AP41" i="221"/>
  <c r="AP43" i="221" s="1"/>
  <c r="AL41" i="221"/>
  <c r="AJ41" i="221"/>
  <c r="AJ43" i="221" s="1"/>
  <c r="AI41" i="221"/>
  <c r="AI43" i="221" s="1"/>
  <c r="AH41" i="221"/>
  <c r="AH43" i="221" s="1"/>
  <c r="AG41" i="221"/>
  <c r="AF41" i="221"/>
  <c r="AF43" i="221" s="1"/>
  <c r="AE41" i="221"/>
  <c r="AE43" i="221" s="1"/>
  <c r="AC41" i="221"/>
  <c r="AC43" i="221" s="1"/>
  <c r="AA41" i="221"/>
  <c r="AA43" i="221" s="1"/>
  <c r="Y41" i="221"/>
  <c r="Y43" i="221" s="1"/>
  <c r="W41" i="221"/>
  <c r="W43" i="221" s="1"/>
  <c r="O41" i="221"/>
  <c r="O43" i="221" s="1"/>
  <c r="J41" i="221"/>
  <c r="J43" i="221" s="1"/>
  <c r="I41" i="221"/>
  <c r="I43" i="221" s="1"/>
  <c r="H41" i="221"/>
  <c r="H43" i="221" s="1"/>
  <c r="G41" i="221"/>
  <c r="G43" i="221" s="1"/>
  <c r="F41" i="221"/>
  <c r="F43" i="221" s="1"/>
  <c r="E41" i="221"/>
  <c r="E43" i="221" s="1"/>
  <c r="D41" i="221"/>
  <c r="D43" i="221" s="1"/>
  <c r="BY40" i="221"/>
  <c r="CX40" i="221" s="1"/>
  <c r="BU40" i="221"/>
  <c r="CV40" i="221" s="1"/>
  <c r="BL40" i="221"/>
  <c r="BD40" i="221"/>
  <c r="BC40" i="221"/>
  <c r="BB40" i="221"/>
  <c r="AO40" i="221"/>
  <c r="AM40" i="221"/>
  <c r="AK40" i="221"/>
  <c r="U40" i="221"/>
  <c r="V40" i="221" s="1"/>
  <c r="S40" i="221"/>
  <c r="AY40" i="221" s="1"/>
  <c r="CR40" i="221" s="1"/>
  <c r="R40" i="221"/>
  <c r="AX40" i="221" s="1"/>
  <c r="Q40" i="221"/>
  <c r="AW40" i="221" s="1"/>
  <c r="CP40" i="221" s="1"/>
  <c r="P40" i="221"/>
  <c r="AV40" i="221" s="1"/>
  <c r="M40" i="221"/>
  <c r="L40" i="221"/>
  <c r="K40" i="221"/>
  <c r="C40" i="221"/>
  <c r="B40" i="221" s="1"/>
  <c r="CX39" i="221"/>
  <c r="BY39" i="221"/>
  <c r="BU39" i="221"/>
  <c r="CV39" i="221" s="1"/>
  <c r="BL39" i="221"/>
  <c r="BD39" i="221"/>
  <c r="BC39" i="221"/>
  <c r="BB39" i="221"/>
  <c r="AX39" i="221"/>
  <c r="BA39" i="221" s="1"/>
  <c r="AO39" i="221"/>
  <c r="AM39" i="221"/>
  <c r="AK39" i="221"/>
  <c r="U39" i="221"/>
  <c r="V39" i="221" s="1"/>
  <c r="S39" i="221"/>
  <c r="AY39" i="221" s="1"/>
  <c r="CR39" i="221" s="1"/>
  <c r="R39" i="221"/>
  <c r="Q39" i="221"/>
  <c r="AW39" i="221" s="1"/>
  <c r="CP39" i="221" s="1"/>
  <c r="P39" i="221"/>
  <c r="AV39" i="221" s="1"/>
  <c r="M39" i="221"/>
  <c r="L39" i="221"/>
  <c r="K39" i="221"/>
  <c r="C39" i="221"/>
  <c r="B39" i="221" s="1"/>
  <c r="CX38" i="221"/>
  <c r="BY38" i="221"/>
  <c r="BU38" i="221"/>
  <c r="CV38" i="221" s="1"/>
  <c r="BL38" i="221"/>
  <c r="BD38" i="221"/>
  <c r="BC38" i="221"/>
  <c r="BB38" i="221"/>
  <c r="AX38" i="221"/>
  <c r="BA38" i="221" s="1"/>
  <c r="AO38" i="221"/>
  <c r="AM38" i="221"/>
  <c r="AK38" i="221"/>
  <c r="U38" i="221"/>
  <c r="V38" i="221" s="1"/>
  <c r="S38" i="221"/>
  <c r="AY38" i="221" s="1"/>
  <c r="CR38" i="221" s="1"/>
  <c r="R38" i="221"/>
  <c r="Q38" i="221"/>
  <c r="AW38" i="221" s="1"/>
  <c r="CP38" i="221" s="1"/>
  <c r="P38" i="221"/>
  <c r="AV38" i="221" s="1"/>
  <c r="CO38" i="221" s="1"/>
  <c r="M38" i="221"/>
  <c r="L38" i="221"/>
  <c r="K38" i="221"/>
  <c r="C38" i="221"/>
  <c r="B38" i="221" s="1"/>
  <c r="BY37" i="221"/>
  <c r="CX37" i="221" s="1"/>
  <c r="BU37" i="221"/>
  <c r="CV37" i="221" s="1"/>
  <c r="BL37" i="221"/>
  <c r="BD37" i="221"/>
  <c r="BC37" i="221"/>
  <c r="BB37" i="221"/>
  <c r="AO37" i="221"/>
  <c r="AM37" i="221"/>
  <c r="AK37" i="221"/>
  <c r="U37" i="221"/>
  <c r="V37" i="221" s="1"/>
  <c r="S37" i="221"/>
  <c r="AY37" i="221" s="1"/>
  <c r="CR37" i="221" s="1"/>
  <c r="R37" i="221"/>
  <c r="AX37" i="221" s="1"/>
  <c r="BA37" i="221" s="1"/>
  <c r="Q37" i="221"/>
  <c r="AW37" i="221" s="1"/>
  <c r="CP37" i="221" s="1"/>
  <c r="P37" i="221"/>
  <c r="AV37" i="221" s="1"/>
  <c r="CO37" i="221" s="1"/>
  <c r="M37" i="221"/>
  <c r="L37" i="221"/>
  <c r="K37" i="221"/>
  <c r="C37" i="221"/>
  <c r="BY36" i="221"/>
  <c r="CX36" i="221" s="1"/>
  <c r="BW36" i="221"/>
  <c r="CW36" i="221" s="1"/>
  <c r="BU36" i="221"/>
  <c r="CV36" i="221" s="1"/>
  <c r="BL36" i="221"/>
  <c r="BB36" i="221"/>
  <c r="AS36" i="221"/>
  <c r="AK36" i="221"/>
  <c r="U36" i="221"/>
  <c r="V36" i="221" s="1"/>
  <c r="S36" i="221"/>
  <c r="AY36" i="221" s="1"/>
  <c r="CR36" i="221" s="1"/>
  <c r="R36" i="221"/>
  <c r="AX36" i="221" s="1"/>
  <c r="Q36" i="221"/>
  <c r="AW36" i="221" s="1"/>
  <c r="P36" i="221"/>
  <c r="AV36" i="221" s="1"/>
  <c r="M36" i="221"/>
  <c r="L36" i="221"/>
  <c r="K36" i="221"/>
  <c r="C36" i="221"/>
  <c r="B36" i="221"/>
  <c r="BY35" i="221"/>
  <c r="CX35" i="221" s="1"/>
  <c r="BU35" i="221"/>
  <c r="CV35" i="221" s="1"/>
  <c r="BL35" i="221"/>
  <c r="BD35" i="221"/>
  <c r="BC35" i="221"/>
  <c r="BB35" i="221"/>
  <c r="AO35" i="221"/>
  <c r="AM35" i="221"/>
  <c r="AK35" i="221"/>
  <c r="U35" i="221"/>
  <c r="V35" i="221" s="1"/>
  <c r="S35" i="221"/>
  <c r="AY35" i="221" s="1"/>
  <c r="CR35" i="221" s="1"/>
  <c r="R35" i="221"/>
  <c r="AX35" i="221" s="1"/>
  <c r="Q35" i="221"/>
  <c r="P35" i="221"/>
  <c r="AV35" i="221" s="1"/>
  <c r="M35" i="221"/>
  <c r="L35" i="221"/>
  <c r="K35" i="221"/>
  <c r="C35" i="221"/>
  <c r="B35" i="221" s="1"/>
  <c r="BY34" i="221"/>
  <c r="CX34" i="221" s="1"/>
  <c r="BU34" i="221"/>
  <c r="CV34" i="221" s="1"/>
  <c r="BL34" i="221"/>
  <c r="BD34" i="221"/>
  <c r="BC34" i="221"/>
  <c r="BB34" i="221"/>
  <c r="AY34" i="221"/>
  <c r="CR34" i="221" s="1"/>
  <c r="AO34" i="221"/>
  <c r="AM34" i="221"/>
  <c r="AK34" i="221"/>
  <c r="V34" i="221"/>
  <c r="U34" i="221"/>
  <c r="S34" i="221"/>
  <c r="R34" i="221"/>
  <c r="AX34" i="221" s="1"/>
  <c r="Q34" i="221"/>
  <c r="AW34" i="221" s="1"/>
  <c r="CP34" i="221" s="1"/>
  <c r="P34" i="221"/>
  <c r="AV34" i="221" s="1"/>
  <c r="M34" i="221"/>
  <c r="L34" i="221"/>
  <c r="K34" i="221"/>
  <c r="C34" i="221"/>
  <c r="B34" i="221" s="1"/>
  <c r="BY33" i="221"/>
  <c r="CX33" i="221" s="1"/>
  <c r="BU33" i="221"/>
  <c r="CV33" i="221" s="1"/>
  <c r="BL33" i="221"/>
  <c r="BD33" i="221"/>
  <c r="BC33" i="221"/>
  <c r="BB33" i="221"/>
  <c r="AO33" i="221"/>
  <c r="AM33" i="221"/>
  <c r="AK33" i="221"/>
  <c r="V33" i="221"/>
  <c r="U33" i="221"/>
  <c r="S33" i="221"/>
  <c r="AY33" i="221" s="1"/>
  <c r="CR33" i="221" s="1"/>
  <c r="R33" i="221"/>
  <c r="AX33" i="221" s="1"/>
  <c r="Q33" i="221"/>
  <c r="AW33" i="221" s="1"/>
  <c r="CP33" i="221" s="1"/>
  <c r="P33" i="221"/>
  <c r="AV33" i="221" s="1"/>
  <c r="M33" i="221"/>
  <c r="L33" i="221"/>
  <c r="B33" i="221" s="1"/>
  <c r="K33" i="221"/>
  <c r="C33" i="221"/>
  <c r="BY32" i="221"/>
  <c r="CX32" i="221" s="1"/>
  <c r="BU32" i="221"/>
  <c r="CV32" i="221" s="1"/>
  <c r="BL32" i="221"/>
  <c r="BD32" i="221"/>
  <c r="BC32" i="221"/>
  <c r="BB32" i="221"/>
  <c r="AY32" i="221"/>
  <c r="CR32" i="221" s="1"/>
  <c r="AO32" i="221"/>
  <c r="AM32" i="221"/>
  <c r="AK32" i="221"/>
  <c r="V32" i="221"/>
  <c r="U32" i="221"/>
  <c r="S32" i="221"/>
  <c r="R32" i="221"/>
  <c r="AX32" i="221" s="1"/>
  <c r="BA32" i="221" s="1"/>
  <c r="CQ32" i="221" s="1"/>
  <c r="Q32" i="221"/>
  <c r="AW32" i="221" s="1"/>
  <c r="P32" i="221"/>
  <c r="AV32" i="221" s="1"/>
  <c r="CO32" i="221" s="1"/>
  <c r="M32" i="221"/>
  <c r="L32" i="221"/>
  <c r="K32" i="221"/>
  <c r="C32" i="221"/>
  <c r="BY31" i="221"/>
  <c r="CX31" i="221" s="1"/>
  <c r="BU31" i="221"/>
  <c r="CV31" i="221" s="1"/>
  <c r="BL31" i="221"/>
  <c r="BD31" i="221"/>
  <c r="BC31" i="221"/>
  <c r="BB31" i="221"/>
  <c r="AO31" i="221"/>
  <c r="AM31" i="221"/>
  <c r="AK31" i="221"/>
  <c r="U31" i="221"/>
  <c r="V31" i="221" s="1"/>
  <c r="S31" i="221"/>
  <c r="AY31" i="221" s="1"/>
  <c r="CR31" i="221" s="1"/>
  <c r="R31" i="221"/>
  <c r="AX31" i="221" s="1"/>
  <c r="Q31" i="221"/>
  <c r="AW31" i="221" s="1"/>
  <c r="CP31" i="221" s="1"/>
  <c r="P31" i="221"/>
  <c r="AV31" i="221" s="1"/>
  <c r="M31" i="221"/>
  <c r="L31" i="221"/>
  <c r="K31" i="221"/>
  <c r="C31" i="221"/>
  <c r="BY30" i="221"/>
  <c r="CX30" i="221" s="1"/>
  <c r="BU30" i="221"/>
  <c r="CV30" i="221" s="1"/>
  <c r="BL30" i="221"/>
  <c r="BD30" i="221"/>
  <c r="BC30" i="221"/>
  <c r="BB30" i="221"/>
  <c r="AO30" i="221"/>
  <c r="AM30" i="221"/>
  <c r="AK30" i="221"/>
  <c r="U30" i="221"/>
  <c r="V30" i="221" s="1"/>
  <c r="S30" i="221"/>
  <c r="AY30" i="221" s="1"/>
  <c r="CR30" i="221" s="1"/>
  <c r="R30" i="221"/>
  <c r="AX30" i="221" s="1"/>
  <c r="Q30" i="221"/>
  <c r="AW30" i="221" s="1"/>
  <c r="CP30" i="221" s="1"/>
  <c r="P30" i="221"/>
  <c r="AV30" i="221" s="1"/>
  <c r="M30" i="221"/>
  <c r="L30" i="221"/>
  <c r="K30" i="221"/>
  <c r="C30" i="221"/>
  <c r="BY29" i="221"/>
  <c r="CX29" i="221" s="1"/>
  <c r="BU29" i="221"/>
  <c r="CV29" i="221" s="1"/>
  <c r="BL29" i="221"/>
  <c r="BD29" i="221"/>
  <c r="BC29" i="221"/>
  <c r="BB29" i="221"/>
  <c r="AO29" i="221"/>
  <c r="AM29" i="221"/>
  <c r="AK29" i="221"/>
  <c r="U29" i="221"/>
  <c r="V29" i="221" s="1"/>
  <c r="S29" i="221"/>
  <c r="AY29" i="221" s="1"/>
  <c r="CR29" i="221" s="1"/>
  <c r="R29" i="221"/>
  <c r="AX29" i="221" s="1"/>
  <c r="Q29" i="221"/>
  <c r="P29" i="221"/>
  <c r="AV29" i="221" s="1"/>
  <c r="M29" i="221"/>
  <c r="L29" i="221"/>
  <c r="K29" i="221"/>
  <c r="C29" i="221"/>
  <c r="CX28" i="221"/>
  <c r="BY28" i="221"/>
  <c r="BU28" i="221"/>
  <c r="CV28" i="221" s="1"/>
  <c r="BL28" i="221"/>
  <c r="BD28" i="221"/>
  <c r="BC28" i="221"/>
  <c r="BB28" i="221"/>
  <c r="AO28" i="221"/>
  <c r="AM28" i="221"/>
  <c r="AK28" i="221"/>
  <c r="U28" i="221"/>
  <c r="V28" i="221" s="1"/>
  <c r="S28" i="221"/>
  <c r="AY28" i="221" s="1"/>
  <c r="CR28" i="221" s="1"/>
  <c r="R28" i="221"/>
  <c r="AX28" i="221" s="1"/>
  <c r="Q28" i="221"/>
  <c r="P28" i="221"/>
  <c r="AV28" i="221" s="1"/>
  <c r="M28" i="221"/>
  <c r="L28" i="221"/>
  <c r="K28" i="221"/>
  <c r="C28" i="221"/>
  <c r="BY27" i="221"/>
  <c r="CX27" i="221" s="1"/>
  <c r="BU27" i="221"/>
  <c r="CV27" i="221" s="1"/>
  <c r="BL27" i="221"/>
  <c r="BD27" i="221"/>
  <c r="BC27" i="221"/>
  <c r="BB27" i="221"/>
  <c r="AO27" i="221"/>
  <c r="AM27" i="221"/>
  <c r="AK27" i="221"/>
  <c r="U27" i="221"/>
  <c r="V27" i="221" s="1"/>
  <c r="S27" i="221"/>
  <c r="AY27" i="221" s="1"/>
  <c r="CR27" i="221" s="1"/>
  <c r="R27" i="221"/>
  <c r="AX27" i="221" s="1"/>
  <c r="Q27" i="221"/>
  <c r="AW27" i="221" s="1"/>
  <c r="CP27" i="221" s="1"/>
  <c r="P27" i="221"/>
  <c r="AV27" i="221" s="1"/>
  <c r="M27" i="221"/>
  <c r="L27" i="221"/>
  <c r="K27" i="221"/>
  <c r="C27" i="221"/>
  <c r="BY26" i="221"/>
  <c r="CX26" i="221" s="1"/>
  <c r="BU26" i="221"/>
  <c r="CV26" i="221" s="1"/>
  <c r="BL26" i="221"/>
  <c r="BD26" i="221"/>
  <c r="BC26" i="221"/>
  <c r="BB26" i="221"/>
  <c r="AO26" i="221"/>
  <c r="AM26" i="221"/>
  <c r="AK26" i="221"/>
  <c r="U26" i="221"/>
  <c r="V26" i="221" s="1"/>
  <c r="S26" i="221"/>
  <c r="AY26" i="221" s="1"/>
  <c r="CR26" i="221" s="1"/>
  <c r="R26" i="221"/>
  <c r="AX26" i="221" s="1"/>
  <c r="Q26" i="221"/>
  <c r="AW26" i="221" s="1"/>
  <c r="CP26" i="221" s="1"/>
  <c r="P26" i="221"/>
  <c r="AV26" i="221" s="1"/>
  <c r="M26" i="221"/>
  <c r="L26" i="221"/>
  <c r="K26" i="221"/>
  <c r="C26" i="221"/>
  <c r="B26" i="221" s="1"/>
  <c r="BY25" i="221"/>
  <c r="CX25" i="221" s="1"/>
  <c r="BU25" i="221"/>
  <c r="CV25" i="221" s="1"/>
  <c r="BL25" i="221"/>
  <c r="BD25" i="221"/>
  <c r="BC25" i="221"/>
  <c r="BB25" i="221"/>
  <c r="AO25" i="221"/>
  <c r="AM25" i="221"/>
  <c r="AK25" i="221"/>
  <c r="U25" i="221"/>
  <c r="V25" i="221" s="1"/>
  <c r="S25" i="221"/>
  <c r="AY25" i="221" s="1"/>
  <c r="CR25" i="221" s="1"/>
  <c r="R25" i="221"/>
  <c r="AX25" i="221" s="1"/>
  <c r="Q25" i="221"/>
  <c r="P25" i="221"/>
  <c r="AV25" i="221" s="1"/>
  <c r="M25" i="221"/>
  <c r="L25" i="221"/>
  <c r="K25" i="221"/>
  <c r="C25" i="221"/>
  <c r="BY24" i="221"/>
  <c r="CX24" i="221" s="1"/>
  <c r="BU24" i="221"/>
  <c r="CV24" i="221" s="1"/>
  <c r="BL24" i="221"/>
  <c r="BD24" i="221"/>
  <c r="BC24" i="221"/>
  <c r="BB24" i="221"/>
  <c r="AO24" i="221"/>
  <c r="AM24" i="221"/>
  <c r="AK24" i="221"/>
  <c r="U24" i="221"/>
  <c r="V24" i="221" s="1"/>
  <c r="S24" i="221"/>
  <c r="AY24" i="221" s="1"/>
  <c r="CR24" i="221" s="1"/>
  <c r="R24" i="221"/>
  <c r="AX24" i="221" s="1"/>
  <c r="Q24" i="221"/>
  <c r="P24" i="221"/>
  <c r="AV24" i="221" s="1"/>
  <c r="M24" i="221"/>
  <c r="L24" i="221"/>
  <c r="K24" i="221"/>
  <c r="C24" i="221"/>
  <c r="BY23" i="221"/>
  <c r="CX23" i="221" s="1"/>
  <c r="BU23" i="221"/>
  <c r="CV23" i="221" s="1"/>
  <c r="BL23" i="221"/>
  <c r="BD23" i="221"/>
  <c r="BC23" i="221"/>
  <c r="BB23" i="221"/>
  <c r="AO23" i="221"/>
  <c r="AM23" i="221"/>
  <c r="AK23" i="221"/>
  <c r="U23" i="221"/>
  <c r="V23" i="221" s="1"/>
  <c r="S23" i="221"/>
  <c r="AY23" i="221" s="1"/>
  <c r="CR23" i="221" s="1"/>
  <c r="R23" i="221"/>
  <c r="AX23" i="221" s="1"/>
  <c r="Q23" i="221"/>
  <c r="AW23" i="221" s="1"/>
  <c r="CP23" i="221" s="1"/>
  <c r="P23" i="221"/>
  <c r="AV23" i="221" s="1"/>
  <c r="M23" i="221"/>
  <c r="L23" i="221"/>
  <c r="K23" i="221"/>
  <c r="C23" i="221"/>
  <c r="BY22" i="221"/>
  <c r="CX22" i="221" s="1"/>
  <c r="BU22" i="221"/>
  <c r="CV22" i="221" s="1"/>
  <c r="BL22" i="221"/>
  <c r="BD22" i="221"/>
  <c r="BC22" i="221"/>
  <c r="BB22" i="221"/>
  <c r="AO22" i="221"/>
  <c r="AM22" i="221"/>
  <c r="AK22" i="221"/>
  <c r="U22" i="221"/>
  <c r="V22" i="221" s="1"/>
  <c r="S22" i="221"/>
  <c r="AY22" i="221" s="1"/>
  <c r="CR22" i="221" s="1"/>
  <c r="R22" i="221"/>
  <c r="AX22" i="221" s="1"/>
  <c r="Q22" i="221"/>
  <c r="AW22" i="221" s="1"/>
  <c r="CP22" i="221" s="1"/>
  <c r="P22" i="221"/>
  <c r="AV22" i="221" s="1"/>
  <c r="M22" i="221"/>
  <c r="L22" i="221"/>
  <c r="K22" i="221"/>
  <c r="C22" i="221"/>
  <c r="BY21" i="221"/>
  <c r="CX21" i="221" s="1"/>
  <c r="BU21" i="221"/>
  <c r="CV21" i="221" s="1"/>
  <c r="BL21" i="221"/>
  <c r="BD21" i="221"/>
  <c r="BC21" i="221"/>
  <c r="BB21" i="221"/>
  <c r="AO21" i="221"/>
  <c r="AM21" i="221"/>
  <c r="AK21" i="221"/>
  <c r="U21" i="221"/>
  <c r="V21" i="221" s="1"/>
  <c r="S21" i="221"/>
  <c r="AY21" i="221" s="1"/>
  <c r="CR21" i="221" s="1"/>
  <c r="R21" i="221"/>
  <c r="AX21" i="221" s="1"/>
  <c r="Q21" i="221"/>
  <c r="P21" i="221"/>
  <c r="AV21" i="221" s="1"/>
  <c r="M21" i="221"/>
  <c r="L21" i="221"/>
  <c r="K21" i="221"/>
  <c r="C21" i="221"/>
  <c r="CX20" i="221"/>
  <c r="BY20" i="221"/>
  <c r="BU20" i="221"/>
  <c r="CV20" i="221" s="1"/>
  <c r="BL20" i="221"/>
  <c r="BD20" i="221"/>
  <c r="BC20" i="221"/>
  <c r="BB20" i="221"/>
  <c r="AO20" i="221"/>
  <c r="AM20" i="221"/>
  <c r="AK20" i="221"/>
  <c r="U20" i="221"/>
  <c r="V20" i="221" s="1"/>
  <c r="S20" i="221"/>
  <c r="AY20" i="221" s="1"/>
  <c r="CR20" i="221" s="1"/>
  <c r="R20" i="221"/>
  <c r="AX20" i="221" s="1"/>
  <c r="Q20" i="221"/>
  <c r="P20" i="221"/>
  <c r="AV20" i="221" s="1"/>
  <c r="M20" i="221"/>
  <c r="L20" i="221"/>
  <c r="B20" i="221" s="1"/>
  <c r="K20" i="221"/>
  <c r="C20" i="221"/>
  <c r="CX19" i="221"/>
  <c r="BY19" i="221"/>
  <c r="BU19" i="221"/>
  <c r="BL19" i="221"/>
  <c r="BD19" i="221"/>
  <c r="BC19" i="221"/>
  <c r="BB19" i="221"/>
  <c r="AO19" i="221"/>
  <c r="AM19" i="221"/>
  <c r="AK19" i="221"/>
  <c r="U19" i="221"/>
  <c r="V19" i="221" s="1"/>
  <c r="S19" i="221"/>
  <c r="AY19" i="221" s="1"/>
  <c r="CR19" i="221" s="1"/>
  <c r="R19" i="221"/>
  <c r="AX19" i="221" s="1"/>
  <c r="BA19" i="221" s="1"/>
  <c r="Q19" i="221"/>
  <c r="AW19" i="221" s="1"/>
  <c r="CP19" i="221" s="1"/>
  <c r="P19" i="221"/>
  <c r="M19" i="221"/>
  <c r="L19" i="221"/>
  <c r="K19" i="221"/>
  <c r="C19" i="221"/>
  <c r="BY18" i="221"/>
  <c r="CX18" i="221" s="1"/>
  <c r="BU18" i="221"/>
  <c r="BL18" i="221"/>
  <c r="BD18" i="221"/>
  <c r="BC18" i="221"/>
  <c r="BB18" i="221"/>
  <c r="AO18" i="221"/>
  <c r="AM18" i="221"/>
  <c r="AK18" i="221"/>
  <c r="U18" i="221"/>
  <c r="V18" i="221" s="1"/>
  <c r="S18" i="221"/>
  <c r="AY18" i="221" s="1"/>
  <c r="CR18" i="221" s="1"/>
  <c r="R18" i="221"/>
  <c r="AX18" i="221" s="1"/>
  <c r="Q18" i="221"/>
  <c r="AW18" i="221" s="1"/>
  <c r="CP18" i="221" s="1"/>
  <c r="P18" i="221"/>
  <c r="M18" i="221"/>
  <c r="L18" i="221"/>
  <c r="B18" i="221" s="1"/>
  <c r="K18" i="221"/>
  <c r="C18" i="221"/>
  <c r="BY17" i="221"/>
  <c r="CX17" i="221" s="1"/>
  <c r="BU17" i="221"/>
  <c r="BL17" i="221"/>
  <c r="BD17" i="221"/>
  <c r="BC17" i="221"/>
  <c r="BB17" i="221"/>
  <c r="AO17" i="221"/>
  <c r="AM17" i="221"/>
  <c r="AK17" i="221"/>
  <c r="U17" i="221"/>
  <c r="V17" i="221" s="1"/>
  <c r="S17" i="221"/>
  <c r="AY17" i="221" s="1"/>
  <c r="CR17" i="221" s="1"/>
  <c r="R17" i="221"/>
  <c r="AX17" i="221" s="1"/>
  <c r="BA17" i="221" s="1"/>
  <c r="Q17" i="221"/>
  <c r="AW17" i="221" s="1"/>
  <c r="CP17" i="221" s="1"/>
  <c r="P17" i="221"/>
  <c r="M17" i="221"/>
  <c r="L17" i="221"/>
  <c r="K17" i="221"/>
  <c r="C17" i="221"/>
  <c r="BY16" i="221"/>
  <c r="CX16" i="221" s="1"/>
  <c r="BU16" i="221"/>
  <c r="BL16" i="221"/>
  <c r="BD16" i="221"/>
  <c r="BC16" i="221"/>
  <c r="BB16" i="221"/>
  <c r="AO16" i="221"/>
  <c r="AM16" i="221"/>
  <c r="AK16" i="221"/>
  <c r="U16" i="221"/>
  <c r="V16" i="221" s="1"/>
  <c r="S16" i="221"/>
  <c r="AY16" i="221" s="1"/>
  <c r="CR16" i="221" s="1"/>
  <c r="R16" i="221"/>
  <c r="AX16" i="221" s="1"/>
  <c r="Q16" i="221"/>
  <c r="AW16" i="221" s="1"/>
  <c r="CP16" i="221" s="1"/>
  <c r="P16" i="221"/>
  <c r="M16" i="221"/>
  <c r="L16" i="221"/>
  <c r="K16" i="221"/>
  <c r="C16" i="221"/>
  <c r="BY15" i="221"/>
  <c r="CX15" i="221" s="1"/>
  <c r="BU15" i="221"/>
  <c r="BL15" i="221"/>
  <c r="BD15" i="221"/>
  <c r="BC15" i="221"/>
  <c r="BB15" i="221"/>
  <c r="AO15" i="221"/>
  <c r="AM15" i="221"/>
  <c r="AK15" i="221"/>
  <c r="U15" i="221"/>
  <c r="V15" i="221" s="1"/>
  <c r="S15" i="221"/>
  <c r="AY15" i="221" s="1"/>
  <c r="CR15" i="221" s="1"/>
  <c r="R15" i="221"/>
  <c r="AX15" i="221" s="1"/>
  <c r="BA15" i="221" s="1"/>
  <c r="Q15" i="221"/>
  <c r="AW15" i="221" s="1"/>
  <c r="CP15" i="221" s="1"/>
  <c r="P15" i="221"/>
  <c r="M15" i="221"/>
  <c r="L15" i="221"/>
  <c r="K15" i="221"/>
  <c r="C15" i="221"/>
  <c r="BY14" i="221"/>
  <c r="CX14" i="221" s="1"/>
  <c r="BU14" i="221"/>
  <c r="BL14" i="221"/>
  <c r="BD14" i="221"/>
  <c r="BC14" i="221"/>
  <c r="BB14" i="221"/>
  <c r="AO14" i="221"/>
  <c r="AM14" i="221"/>
  <c r="AK14" i="221"/>
  <c r="U14" i="221"/>
  <c r="V14" i="221" s="1"/>
  <c r="S14" i="221"/>
  <c r="AY14" i="221" s="1"/>
  <c r="CR14" i="221" s="1"/>
  <c r="R14" i="221"/>
  <c r="AX14" i="221" s="1"/>
  <c r="Q14" i="221"/>
  <c r="AW14" i="221" s="1"/>
  <c r="CP14" i="221" s="1"/>
  <c r="P14" i="221"/>
  <c r="M14" i="221"/>
  <c r="L14" i="221"/>
  <c r="B14" i="221" s="1"/>
  <c r="K14" i="221"/>
  <c r="C14" i="221"/>
  <c r="BY13" i="221"/>
  <c r="CX13" i="221" s="1"/>
  <c r="BU13" i="221"/>
  <c r="BL13" i="221"/>
  <c r="BD13" i="221"/>
  <c r="BC13" i="221"/>
  <c r="BB13" i="221"/>
  <c r="AO13" i="221"/>
  <c r="AM13" i="221"/>
  <c r="AK13" i="221"/>
  <c r="U13" i="221"/>
  <c r="V13" i="221" s="1"/>
  <c r="S13" i="221"/>
  <c r="AY13" i="221" s="1"/>
  <c r="CR13" i="221" s="1"/>
  <c r="R13" i="221"/>
  <c r="AX13" i="221" s="1"/>
  <c r="BA13" i="221" s="1"/>
  <c r="Q13" i="221"/>
  <c r="AW13" i="221" s="1"/>
  <c r="CP13" i="221" s="1"/>
  <c r="P13" i="221"/>
  <c r="M13" i="221"/>
  <c r="L13" i="221"/>
  <c r="K13" i="221"/>
  <c r="C13" i="221"/>
  <c r="BY12" i="221"/>
  <c r="CX12" i="221" s="1"/>
  <c r="BU12" i="221"/>
  <c r="CV12" i="221" s="1"/>
  <c r="BL12" i="221"/>
  <c r="BD12" i="221"/>
  <c r="BC12" i="221"/>
  <c r="BB12" i="221"/>
  <c r="AO12" i="221"/>
  <c r="AM12" i="221"/>
  <c r="AK12" i="221"/>
  <c r="V12" i="221"/>
  <c r="U12" i="221"/>
  <c r="S12" i="221"/>
  <c r="AY12" i="221" s="1"/>
  <c r="CR12" i="221" s="1"/>
  <c r="R12" i="221"/>
  <c r="AX12" i="221" s="1"/>
  <c r="Q12" i="221"/>
  <c r="AW12" i="221" s="1"/>
  <c r="CP12" i="221" s="1"/>
  <c r="P12" i="221"/>
  <c r="AV12" i="221" s="1"/>
  <c r="M12" i="221"/>
  <c r="L12" i="221"/>
  <c r="T12" i="221" s="1"/>
  <c r="AZ12" i="221" s="1"/>
  <c r="K12" i="221"/>
  <c r="C12" i="221"/>
  <c r="B12" i="221" s="1"/>
  <c r="BY11" i="221"/>
  <c r="CX11" i="221" s="1"/>
  <c r="BU11" i="221"/>
  <c r="CV11" i="221" s="1"/>
  <c r="BL11" i="221"/>
  <c r="BD11" i="221"/>
  <c r="BC11" i="221"/>
  <c r="BB11" i="221"/>
  <c r="AO11" i="221"/>
  <c r="AM11" i="221"/>
  <c r="AK11" i="221"/>
  <c r="U11" i="221"/>
  <c r="V11" i="221" s="1"/>
  <c r="S11" i="221"/>
  <c r="AY11" i="221" s="1"/>
  <c r="CR11" i="221" s="1"/>
  <c r="R11" i="221"/>
  <c r="AX11" i="221" s="1"/>
  <c r="Q11" i="221"/>
  <c r="AW11" i="221" s="1"/>
  <c r="CP11" i="221" s="1"/>
  <c r="P11" i="221"/>
  <c r="AV11" i="221" s="1"/>
  <c r="M11" i="221"/>
  <c r="L11" i="221"/>
  <c r="K11" i="221"/>
  <c r="C11" i="221"/>
  <c r="B11" i="221" s="1"/>
  <c r="BY10" i="221"/>
  <c r="BU10" i="221"/>
  <c r="BL10" i="221"/>
  <c r="BD10" i="221"/>
  <c r="BC10" i="221"/>
  <c r="BB10" i="221"/>
  <c r="AO10" i="221"/>
  <c r="AM10" i="221"/>
  <c r="AK10" i="221"/>
  <c r="U10" i="221"/>
  <c r="V10" i="221" s="1"/>
  <c r="S10" i="221"/>
  <c r="R10" i="221"/>
  <c r="Q10" i="221"/>
  <c r="AW10" i="221" s="1"/>
  <c r="P10" i="221"/>
  <c r="AV10" i="221" s="1"/>
  <c r="M10" i="221"/>
  <c r="L10" i="221"/>
  <c r="T10" i="221" s="1"/>
  <c r="AZ10" i="221" s="1"/>
  <c r="K10" i="221"/>
  <c r="C10" i="221"/>
  <c r="BD9" i="221"/>
  <c r="BD36" i="221" s="1"/>
  <c r="BC9" i="221"/>
  <c r="BC36" i="221" s="1"/>
  <c r="T9" i="221"/>
  <c r="T11" i="221" l="1"/>
  <c r="AZ11" i="221" s="1"/>
  <c r="T16" i="221"/>
  <c r="AZ16" i="221" s="1"/>
  <c r="B30" i="221"/>
  <c r="B31" i="221"/>
  <c r="BZ45" i="221"/>
  <c r="B13" i="221"/>
  <c r="B15" i="221"/>
  <c r="BE16" i="221"/>
  <c r="B17" i="221"/>
  <c r="B19" i="221"/>
  <c r="B27" i="221"/>
  <c r="B32" i="221"/>
  <c r="B37" i="221"/>
  <c r="B22" i="221"/>
  <c r="B23" i="221"/>
  <c r="T13" i="221"/>
  <c r="AZ13" i="221" s="1"/>
  <c r="BE13" i="221" s="1"/>
  <c r="CS13" i="221" s="1"/>
  <c r="T15" i="221"/>
  <c r="AZ15" i="221" s="1"/>
  <c r="BE15" i="221" s="1"/>
  <c r="T17" i="221"/>
  <c r="AZ17" i="221" s="1"/>
  <c r="T19" i="221"/>
  <c r="AZ19" i="221" s="1"/>
  <c r="BE19" i="221" s="1"/>
  <c r="CS19" i="221" s="1"/>
  <c r="T32" i="221"/>
  <c r="T34" i="221"/>
  <c r="AZ34" i="221" s="1"/>
  <c r="AK41" i="221"/>
  <c r="CO11" i="221"/>
  <c r="AT11" i="221"/>
  <c r="BE11" i="221"/>
  <c r="BA12" i="221"/>
  <c r="CQ12" i="221" s="1"/>
  <c r="CO10" i="221"/>
  <c r="BE10" i="221"/>
  <c r="BA11" i="221"/>
  <c r="CQ11" i="221" s="1"/>
  <c r="CO12" i="221"/>
  <c r="AT12" i="221"/>
  <c r="BE12" i="221"/>
  <c r="CS12" i="221"/>
  <c r="CS16" i="221"/>
  <c r="BU42" i="221"/>
  <c r="BU41" i="221"/>
  <c r="AV15" i="221"/>
  <c r="N15" i="221"/>
  <c r="CV15" i="221"/>
  <c r="AV19" i="221"/>
  <c r="N19" i="221"/>
  <c r="CV19" i="221"/>
  <c r="AW25" i="221"/>
  <c r="CP25" i="221" s="1"/>
  <c r="BA29" i="221"/>
  <c r="CQ29" i="221" s="1"/>
  <c r="BA31" i="221"/>
  <c r="CQ31" i="221" s="1"/>
  <c r="AZ32" i="221"/>
  <c r="N32" i="221"/>
  <c r="BA34" i="221"/>
  <c r="CQ34" i="221" s="1"/>
  <c r="CO36" i="221"/>
  <c r="CO39" i="221"/>
  <c r="CO40" i="221"/>
  <c r="T37" i="221"/>
  <c r="AZ37" i="221" s="1"/>
  <c r="K42" i="221"/>
  <c r="K41" i="221"/>
  <c r="K43" i="221" s="1"/>
  <c r="AV13" i="221"/>
  <c r="N13" i="221"/>
  <c r="CV13" i="221"/>
  <c r="AV17" i="221"/>
  <c r="N17" i="221"/>
  <c r="CV17" i="221"/>
  <c r="BA21" i="221"/>
  <c r="CQ21" i="221"/>
  <c r="C42" i="221"/>
  <c r="C41" i="221"/>
  <c r="C43" i="221" s="1"/>
  <c r="BD42" i="221"/>
  <c r="BD41" i="221"/>
  <c r="CO21" i="221"/>
  <c r="CO22" i="221"/>
  <c r="CO25" i="221"/>
  <c r="CO26" i="221"/>
  <c r="CO29" i="221"/>
  <c r="CO30" i="221"/>
  <c r="N10" i="221"/>
  <c r="CV10" i="221"/>
  <c r="N11" i="221"/>
  <c r="N12" i="221"/>
  <c r="P41" i="221"/>
  <c r="P42" i="221"/>
  <c r="AW29" i="221"/>
  <c r="CP29" i="221" s="1"/>
  <c r="S42" i="221"/>
  <c r="S41" i="221"/>
  <c r="M41" i="221"/>
  <c r="M43" i="221" s="1"/>
  <c r="M42" i="221"/>
  <c r="R42" i="221"/>
  <c r="R41" i="221"/>
  <c r="BC42" i="221"/>
  <c r="BC41" i="221"/>
  <c r="BL42" i="221"/>
  <c r="BL41" i="221"/>
  <c r="BY42" i="221"/>
  <c r="BY41" i="221"/>
  <c r="AV14" i="221"/>
  <c r="CV14" i="221"/>
  <c r="AV16" i="221"/>
  <c r="N16" i="221"/>
  <c r="CV16" i="221"/>
  <c r="AV18" i="221"/>
  <c r="AV42" i="221" s="1"/>
  <c r="CV18" i="221"/>
  <c r="B10" i="221"/>
  <c r="AY10" i="221"/>
  <c r="CQ13" i="221"/>
  <c r="T14" i="221"/>
  <c r="AZ14" i="221" s="1"/>
  <c r="CQ15" i="221"/>
  <c r="B16" i="221"/>
  <c r="CQ17" i="221"/>
  <c r="T18" i="221"/>
  <c r="AZ18" i="221" s="1"/>
  <c r="CQ19" i="221"/>
  <c r="T20" i="221"/>
  <c r="AZ20" i="221" s="1"/>
  <c r="T24" i="221"/>
  <c r="AZ24" i="221" s="1"/>
  <c r="T28" i="221"/>
  <c r="AZ28" i="221" s="1"/>
  <c r="AW21" i="221"/>
  <c r="CP21" i="221" s="1"/>
  <c r="BA25" i="221"/>
  <c r="CQ25" i="221" s="1"/>
  <c r="L41" i="221"/>
  <c r="L43" i="221" s="1"/>
  <c r="L42" i="221"/>
  <c r="Q41" i="221"/>
  <c r="Q42" i="221"/>
  <c r="U41" i="221"/>
  <c r="U43" i="221" s="1"/>
  <c r="U42" i="221"/>
  <c r="BB42" i="221"/>
  <c r="BB41" i="221"/>
  <c r="AW20" i="221"/>
  <c r="CP20" i="221" s="1"/>
  <c r="N20" i="221"/>
  <c r="BA20" i="221"/>
  <c r="CQ20" i="221" s="1"/>
  <c r="AW24" i="221"/>
  <c r="CP24" i="221" s="1"/>
  <c r="N24" i="221"/>
  <c r="BA24" i="221"/>
  <c r="CQ24" i="221" s="1"/>
  <c r="AW28" i="221"/>
  <c r="CP28" i="221" s="1"/>
  <c r="N28" i="221"/>
  <c r="BA28" i="221"/>
  <c r="CQ28" i="221" s="1"/>
  <c r="AX10" i="221"/>
  <c r="CP10" i="221"/>
  <c r="CX10" i="221"/>
  <c r="BA14" i="221"/>
  <c r="CQ14" i="221" s="1"/>
  <c r="BA16" i="221"/>
  <c r="CQ16" i="221" s="1"/>
  <c r="BA18" i="221"/>
  <c r="CQ18" i="221" s="1"/>
  <c r="T21" i="221"/>
  <c r="AZ21" i="221" s="1"/>
  <c r="T25" i="221"/>
  <c r="AZ25" i="221" s="1"/>
  <c r="T29" i="221"/>
  <c r="AZ29" i="221" s="1"/>
  <c r="CO20" i="221"/>
  <c r="AT20" i="221"/>
  <c r="BA23" i="221"/>
  <c r="CQ23" i="221" s="1"/>
  <c r="CO24" i="221"/>
  <c r="AT24" i="221"/>
  <c r="BA27" i="221"/>
  <c r="CQ27" i="221" s="1"/>
  <c r="CO28" i="221"/>
  <c r="AT28" i="221"/>
  <c r="B21" i="221"/>
  <c r="BE21" i="221"/>
  <c r="T23" i="221"/>
  <c r="B25" i="221"/>
  <c r="BE25" i="221"/>
  <c r="T27" i="221"/>
  <c r="B29" i="221"/>
  <c r="T31" i="221"/>
  <c r="BA22" i="221"/>
  <c r="CQ22" i="221" s="1"/>
  <c r="CO23" i="221"/>
  <c r="BA26" i="221"/>
  <c r="CQ26" i="221" s="1"/>
  <c r="CO27" i="221"/>
  <c r="BA30" i="221"/>
  <c r="CQ30" i="221" s="1"/>
  <c r="CO31" i="221"/>
  <c r="BE20" i="221"/>
  <c r="T22" i="221"/>
  <c r="B24" i="221"/>
  <c r="BE24" i="221"/>
  <c r="T26" i="221"/>
  <c r="B28" i="221"/>
  <c r="BE28" i="221"/>
  <c r="T30" i="221"/>
  <c r="CP32" i="221"/>
  <c r="BA33" i="221"/>
  <c r="CQ33" i="221" s="1"/>
  <c r="CO35" i="221"/>
  <c r="AT32" i="221"/>
  <c r="T33" i="221"/>
  <c r="AZ33" i="221" s="1"/>
  <c r="CF37" i="221"/>
  <c r="CE46" i="221"/>
  <c r="CF39" i="221" s="1"/>
  <c r="AT34" i="221"/>
  <c r="CO34" i="221"/>
  <c r="BA36" i="221"/>
  <c r="CQ36" i="221" s="1"/>
  <c r="BA40" i="221"/>
  <c r="CQ40" i="221" s="1"/>
  <c r="CF33" i="221"/>
  <c r="BE34" i="221"/>
  <c r="T36" i="221"/>
  <c r="T39" i="221"/>
  <c r="AZ39" i="221" s="1"/>
  <c r="AT39" i="221" s="1"/>
  <c r="T40" i="221"/>
  <c r="AZ40" i="221" s="1"/>
  <c r="AT40" i="221" s="1"/>
  <c r="AT33" i="221"/>
  <c r="CO33" i="221"/>
  <c r="BA35" i="221"/>
  <c r="CQ35" i="221" s="1"/>
  <c r="CA35" i="221"/>
  <c r="CY35" i="221" s="1"/>
  <c r="CA34" i="221"/>
  <c r="CY34" i="221" s="1"/>
  <c r="CA33" i="221"/>
  <c r="CY33" i="221" s="1"/>
  <c r="CA32" i="221"/>
  <c r="CY32" i="221" s="1"/>
  <c r="CA40" i="221"/>
  <c r="CY40" i="221" s="1"/>
  <c r="CA39" i="221"/>
  <c r="CY39" i="221" s="1"/>
  <c r="CA38" i="221"/>
  <c r="CY38" i="221" s="1"/>
  <c r="CA37" i="221"/>
  <c r="CY37" i="221" s="1"/>
  <c r="CA36" i="221"/>
  <c r="CY36" i="221" s="1"/>
  <c r="BE33" i="221"/>
  <c r="T35" i="221"/>
  <c r="AZ35" i="221" s="1"/>
  <c r="CP36" i="221"/>
  <c r="CF36" i="221"/>
  <c r="BE37" i="221"/>
  <c r="T38" i="221"/>
  <c r="AZ38" i="221" s="1"/>
  <c r="AW35" i="221"/>
  <c r="CP35" i="221" s="1"/>
  <c r="N37" i="221"/>
  <c r="N38" i="221"/>
  <c r="N39" i="221"/>
  <c r="N40" i="221"/>
  <c r="AG43" i="221"/>
  <c r="CE43" i="221"/>
  <c r="BX44" i="221"/>
  <c r="BV45" i="221"/>
  <c r="CG46" i="221"/>
  <c r="CH33" i="221" s="1"/>
  <c r="DB33" i="221" s="1"/>
  <c r="N33" i="221"/>
  <c r="N34" i="221"/>
  <c r="N36" i="221"/>
  <c r="AT37" i="221"/>
  <c r="CQ37" i="221"/>
  <c r="AT38" i="221"/>
  <c r="CQ38" i="221"/>
  <c r="CQ39" i="221"/>
  <c r="BZ43" i="221"/>
  <c r="BT44" i="221"/>
  <c r="CB45" i="221"/>
  <c r="CF40" i="221" l="1"/>
  <c r="AV41" i="221"/>
  <c r="AV43" i="221" s="1"/>
  <c r="BU43" i="221"/>
  <c r="T42" i="221"/>
  <c r="CS15" i="221"/>
  <c r="CF32" i="221"/>
  <c r="CF22" i="221"/>
  <c r="BB43" i="221"/>
  <c r="P43" i="221"/>
  <c r="BE17" i="221"/>
  <c r="CS17" i="221" s="1"/>
  <c r="CA31" i="221"/>
  <c r="CY31" i="221" s="1"/>
  <c r="CA20" i="221"/>
  <c r="CY20" i="221" s="1"/>
  <c r="CA11" i="221"/>
  <c r="CY11" i="221" s="1"/>
  <c r="CA24" i="221"/>
  <c r="CY24" i="221" s="1"/>
  <c r="CA23" i="221"/>
  <c r="CY23" i="221" s="1"/>
  <c r="CA22" i="221"/>
  <c r="CY22" i="221" s="1"/>
  <c r="CA21" i="221"/>
  <c r="CY21" i="221" s="1"/>
  <c r="CA28" i="221"/>
  <c r="CY28" i="221" s="1"/>
  <c r="CA27" i="221"/>
  <c r="CY27" i="221" s="1"/>
  <c r="CA26" i="221"/>
  <c r="CY26" i="221" s="1"/>
  <c r="CA25" i="221"/>
  <c r="CY25" i="221" s="1"/>
  <c r="CA18" i="221"/>
  <c r="CY18" i="221" s="1"/>
  <c r="CA16" i="221"/>
  <c r="CY16" i="221" s="1"/>
  <c r="CA14" i="221"/>
  <c r="CY14" i="221" s="1"/>
  <c r="CA12" i="221"/>
  <c r="CY12" i="221" s="1"/>
  <c r="CA10" i="221"/>
  <c r="CY10" i="221" s="1"/>
  <c r="CA30" i="221"/>
  <c r="CY30" i="221" s="1"/>
  <c r="CA29" i="221"/>
  <c r="CY29" i="221" s="1"/>
  <c r="CA19" i="221"/>
  <c r="CY19" i="221" s="1"/>
  <c r="CA17" i="221"/>
  <c r="CY17" i="221" s="1"/>
  <c r="CA15" i="221"/>
  <c r="CY15" i="221" s="1"/>
  <c r="CA13" i="221"/>
  <c r="CY13" i="221" s="1"/>
  <c r="DA39" i="221"/>
  <c r="CD39" i="221"/>
  <c r="CH39" i="221"/>
  <c r="DB39" i="221" s="1"/>
  <c r="CH38" i="221"/>
  <c r="DB38" i="221" s="1"/>
  <c r="CH27" i="221"/>
  <c r="DB27" i="221" s="1"/>
  <c r="CH23" i="221"/>
  <c r="DB23" i="221" s="1"/>
  <c r="CH28" i="221"/>
  <c r="DB28" i="221" s="1"/>
  <c r="CH24" i="221"/>
  <c r="DB24" i="221" s="1"/>
  <c r="CH20" i="221"/>
  <c r="DB20" i="221" s="1"/>
  <c r="CH26" i="221"/>
  <c r="DB26" i="221" s="1"/>
  <c r="CH29" i="221"/>
  <c r="DB29" i="221" s="1"/>
  <c r="CH25" i="221"/>
  <c r="DB25" i="221" s="1"/>
  <c r="CH21" i="221"/>
  <c r="DB21" i="221" s="1"/>
  <c r="CH30" i="221"/>
  <c r="DB30" i="221" s="1"/>
  <c r="CH22" i="221"/>
  <c r="DB22" i="221" s="1"/>
  <c r="CH31" i="221"/>
  <c r="DB31" i="221" s="1"/>
  <c r="CH12" i="221"/>
  <c r="DB12" i="221" s="1"/>
  <c r="CH11" i="221"/>
  <c r="DB11" i="221" s="1"/>
  <c r="CH10" i="221"/>
  <c r="DA32" i="221"/>
  <c r="BF34" i="221"/>
  <c r="BG34" i="221"/>
  <c r="BH34" i="221" s="1"/>
  <c r="AZ26" i="221"/>
  <c r="N26" i="221"/>
  <c r="DA22" i="221"/>
  <c r="CD22" i="221"/>
  <c r="CX42" i="221"/>
  <c r="CX41" i="221"/>
  <c r="CX43" i="221" s="1"/>
  <c r="AY42" i="221"/>
  <c r="AY41" i="221"/>
  <c r="CR10" i="221"/>
  <c r="CH36" i="221"/>
  <c r="DB36" i="221" s="1"/>
  <c r="CS35" i="221"/>
  <c r="BE35" i="221"/>
  <c r="CH16" i="221"/>
  <c r="DB16" i="221" s="1"/>
  <c r="CS25" i="221"/>
  <c r="CS21" i="221"/>
  <c r="CS28" i="221"/>
  <c r="CF19" i="221"/>
  <c r="AT25" i="221"/>
  <c r="CA41" i="221"/>
  <c r="CF35" i="221"/>
  <c r="BE14" i="221"/>
  <c r="CS14" i="221" s="1"/>
  <c r="CD33" i="221"/>
  <c r="DA33" i="221"/>
  <c r="DA37" i="221"/>
  <c r="AZ30" i="221"/>
  <c r="N30" i="221"/>
  <c r="BG28" i="221"/>
  <c r="BH28" i="221" s="1"/>
  <c r="BF28" i="221"/>
  <c r="BG20" i="221"/>
  <c r="BF20" i="221"/>
  <c r="BH20" i="221" s="1"/>
  <c r="CV42" i="221"/>
  <c r="CV41" i="221"/>
  <c r="CV43" i="221" s="1"/>
  <c r="BF11" i="221"/>
  <c r="BH11" i="221" s="1"/>
  <c r="BG11" i="221"/>
  <c r="CH35" i="221"/>
  <c r="DB35" i="221" s="1"/>
  <c r="BE38" i="221"/>
  <c r="CS38" i="221" s="1"/>
  <c r="BE40" i="221"/>
  <c r="CH32" i="221"/>
  <c r="DB32" i="221" s="1"/>
  <c r="CF26" i="221"/>
  <c r="BE29" i="221"/>
  <c r="CS29" i="221" s="1"/>
  <c r="CH17" i="221"/>
  <c r="DB17" i="221" s="1"/>
  <c r="CH13" i="221"/>
  <c r="DB13" i="221" s="1"/>
  <c r="CF29" i="221"/>
  <c r="CF25" i="221"/>
  <c r="CF21" i="221"/>
  <c r="CF18" i="221"/>
  <c r="CS24" i="221"/>
  <c r="CF10" i="221"/>
  <c r="BY43" i="221"/>
  <c r="BC43" i="221"/>
  <c r="N29" i="221"/>
  <c r="CF17" i="221"/>
  <c r="AT21" i="221"/>
  <c r="CS37" i="221"/>
  <c r="DA36" i="221"/>
  <c r="CD36" i="221"/>
  <c r="DA40" i="221"/>
  <c r="AZ27" i="221"/>
  <c r="N27" i="221"/>
  <c r="AZ23" i="221"/>
  <c r="N23" i="221"/>
  <c r="AX42" i="221"/>
  <c r="AX41" i="221"/>
  <c r="BA10" i="221"/>
  <c r="CQ10" i="221" s="1"/>
  <c r="CY42" i="221"/>
  <c r="CY41" i="221"/>
  <c r="CY43" i="221" s="1"/>
  <c r="AT18" i="221"/>
  <c r="CO18" i="221"/>
  <c r="AT16" i="221"/>
  <c r="CO16" i="221"/>
  <c r="AT14" i="221"/>
  <c r="CO14" i="221"/>
  <c r="AT19" i="221"/>
  <c r="CO19" i="221"/>
  <c r="AT15" i="221"/>
  <c r="CO15" i="221"/>
  <c r="CH37" i="221"/>
  <c r="DB37" i="221" s="1"/>
  <c r="CS33" i="221"/>
  <c r="CF30" i="221"/>
  <c r="CH18" i="221"/>
  <c r="DB18" i="221" s="1"/>
  <c r="CH14" i="221"/>
  <c r="DB14" i="221" s="1"/>
  <c r="CF16" i="221"/>
  <c r="N21" i="221"/>
  <c r="CF31" i="221"/>
  <c r="CS20" i="221"/>
  <c r="CF24" i="221"/>
  <c r="CF20" i="221"/>
  <c r="CF15" i="221"/>
  <c r="BD43" i="221"/>
  <c r="AW42" i="221"/>
  <c r="CF38" i="221"/>
  <c r="CS34" i="221"/>
  <c r="N25" i="221"/>
  <c r="CF11" i="221"/>
  <c r="AT10" i="221"/>
  <c r="CF12" i="221"/>
  <c r="CC40" i="221"/>
  <c r="CZ40" i="221" s="1"/>
  <c r="CC39" i="221"/>
  <c r="CZ39" i="221" s="1"/>
  <c r="CC38" i="221"/>
  <c r="CZ38" i="221" s="1"/>
  <c r="CC37" i="221"/>
  <c r="CZ37" i="221" s="1"/>
  <c r="CC36" i="221"/>
  <c r="CC35" i="221"/>
  <c r="CZ35" i="221" s="1"/>
  <c r="CC34" i="221"/>
  <c r="CZ34" i="221" s="1"/>
  <c r="CC33" i="221"/>
  <c r="CZ33" i="221" s="1"/>
  <c r="CC32" i="221"/>
  <c r="CZ32" i="221" s="1"/>
  <c r="CC31" i="221"/>
  <c r="CZ31" i="221" s="1"/>
  <c r="CC30" i="221"/>
  <c r="CZ30" i="221" s="1"/>
  <c r="CC29" i="221"/>
  <c r="CZ29" i="221" s="1"/>
  <c r="CC28" i="221"/>
  <c r="CZ28" i="221" s="1"/>
  <c r="CC27" i="221"/>
  <c r="CZ27" i="221" s="1"/>
  <c r="CC26" i="221"/>
  <c r="CZ26" i="221" s="1"/>
  <c r="CC25" i="221"/>
  <c r="CZ25" i="221" s="1"/>
  <c r="CC24" i="221"/>
  <c r="CZ24" i="221" s="1"/>
  <c r="CC23" i="221"/>
  <c r="CZ23" i="221" s="1"/>
  <c r="CC22" i="221"/>
  <c r="CZ22" i="221" s="1"/>
  <c r="CC21" i="221"/>
  <c r="CZ21" i="221" s="1"/>
  <c r="CC20" i="221"/>
  <c r="CZ20" i="221" s="1"/>
  <c r="CC18" i="221"/>
  <c r="CZ18" i="221" s="1"/>
  <c r="CC16" i="221"/>
  <c r="CZ16" i="221" s="1"/>
  <c r="CC14" i="221"/>
  <c r="CZ14" i="221" s="1"/>
  <c r="CC19" i="221"/>
  <c r="CZ19" i="221" s="1"/>
  <c r="CC11" i="221"/>
  <c r="CZ11" i="221" s="1"/>
  <c r="CC10" i="221"/>
  <c r="CC15" i="221"/>
  <c r="CZ15" i="221" s="1"/>
  <c r="CC17" i="221"/>
  <c r="CZ17" i="221" s="1"/>
  <c r="CC13" i="221"/>
  <c r="CZ13" i="221" s="1"/>
  <c r="CC12" i="221"/>
  <c r="CZ12" i="221" s="1"/>
  <c r="BF37" i="221"/>
  <c r="BH37" i="221" s="1"/>
  <c r="BG37" i="221"/>
  <c r="BW35" i="221"/>
  <c r="BW34" i="221"/>
  <c r="BW33" i="221"/>
  <c r="BW32" i="221"/>
  <c r="BW40" i="221"/>
  <c r="BW39" i="221"/>
  <c r="BW38" i="221"/>
  <c r="BW37" i="221"/>
  <c r="BW31" i="221"/>
  <c r="BW27" i="221"/>
  <c r="BW23" i="221"/>
  <c r="BW28" i="221"/>
  <c r="BW24" i="221"/>
  <c r="BW20" i="221"/>
  <c r="BW19" i="221"/>
  <c r="BW17" i="221"/>
  <c r="BW15" i="221"/>
  <c r="BW13" i="221"/>
  <c r="BW12" i="221"/>
  <c r="BW11" i="221"/>
  <c r="BW10" i="221"/>
  <c r="BW26" i="221"/>
  <c r="BW29" i="221"/>
  <c r="BW25" i="221"/>
  <c r="BW21" i="221"/>
  <c r="BW18" i="221"/>
  <c r="BW16" i="221"/>
  <c r="BW14" i="221"/>
  <c r="BW30" i="221"/>
  <c r="BW22" i="221"/>
  <c r="BF33" i="221"/>
  <c r="BG33" i="221"/>
  <c r="AZ36" i="221"/>
  <c r="AM36" i="221"/>
  <c r="AO36" i="221" s="1"/>
  <c r="AZ22" i="221"/>
  <c r="N22" i="221"/>
  <c r="AZ31" i="221"/>
  <c r="N31" i="221"/>
  <c r="BG24" i="221"/>
  <c r="BF24" i="221"/>
  <c r="CP42" i="221"/>
  <c r="CP41" i="221"/>
  <c r="B42" i="221"/>
  <c r="B41" i="221"/>
  <c r="AT17" i="221"/>
  <c r="CO17" i="221"/>
  <c r="AT13" i="221"/>
  <c r="CO13" i="221"/>
  <c r="BE32" i="221"/>
  <c r="BF32" i="221" s="1"/>
  <c r="BF12" i="221"/>
  <c r="BG12" i="221"/>
  <c r="CO42" i="221"/>
  <c r="CH34" i="221"/>
  <c r="DB34" i="221" s="1"/>
  <c r="CH40" i="221"/>
  <c r="DB40" i="221" s="1"/>
  <c r="CS40" i="221"/>
  <c r="BE39" i="221"/>
  <c r="CF34" i="221"/>
  <c r="AT35" i="221"/>
  <c r="CF27" i="221"/>
  <c r="CF23" i="221"/>
  <c r="CH19" i="221"/>
  <c r="DB19" i="221" s="1"/>
  <c r="CH15" i="221"/>
  <c r="DB15" i="221" s="1"/>
  <c r="CF14" i="221"/>
  <c r="Q43" i="221"/>
  <c r="T41" i="221"/>
  <c r="N18" i="221"/>
  <c r="N42" i="221" s="1"/>
  <c r="N14" i="221"/>
  <c r="N41" i="221" s="1"/>
  <c r="N43" i="221" s="1"/>
  <c r="BL43" i="221"/>
  <c r="R43" i="221"/>
  <c r="S43" i="221"/>
  <c r="CF28" i="221"/>
  <c r="CF13" i="221"/>
  <c r="AT29" i="221"/>
  <c r="CA42" i="221"/>
  <c r="AW41" i="221"/>
  <c r="AW43" i="221" s="1"/>
  <c r="N35" i="221"/>
  <c r="CS10" i="221"/>
  <c r="BE18" i="221"/>
  <c r="CS11" i="221"/>
  <c r="AZ41" i="221" l="1"/>
  <c r="BH12" i="221"/>
  <c r="CP43" i="221"/>
  <c r="AX43" i="221"/>
  <c r="CO41" i="221"/>
  <c r="CO43" i="221" s="1"/>
  <c r="B43" i="221"/>
  <c r="BH24" i="221"/>
  <c r="BH33" i="221"/>
  <c r="BI12" i="221"/>
  <c r="CU12" i="221" s="1"/>
  <c r="CN12" i="221"/>
  <c r="BI37" i="221"/>
  <c r="CU37" i="221" s="1"/>
  <c r="CN37" i="221"/>
  <c r="CQ42" i="221"/>
  <c r="CQ41" i="221"/>
  <c r="CQ43" i="221" s="1"/>
  <c r="BI28" i="221"/>
  <c r="CU28" i="221" s="1"/>
  <c r="CN28" i="221"/>
  <c r="BI24" i="221"/>
  <c r="CU24" i="221" s="1"/>
  <c r="CN24" i="221"/>
  <c r="CN33" i="221"/>
  <c r="BI33" i="221"/>
  <c r="CU33" i="221" s="1"/>
  <c r="CD13" i="221"/>
  <c r="DA13" i="221"/>
  <c r="DA23" i="221"/>
  <c r="CD23" i="221"/>
  <c r="BG13" i="221"/>
  <c r="BF13" i="221"/>
  <c r="CW30" i="221"/>
  <c r="BS30" i="221"/>
  <c r="CW21" i="221"/>
  <c r="BS21" i="221"/>
  <c r="BW42" i="221"/>
  <c r="BW41" i="221"/>
  <c r="BW43" i="221" s="1"/>
  <c r="CW10" i="221"/>
  <c r="BS10" i="221"/>
  <c r="CW15" i="221"/>
  <c r="BS15" i="221"/>
  <c r="CW24" i="221"/>
  <c r="BS24" i="221"/>
  <c r="CW31" i="221"/>
  <c r="BS31" i="221"/>
  <c r="CW40" i="221"/>
  <c r="BS40" i="221"/>
  <c r="CW35" i="221"/>
  <c r="BS35" i="221"/>
  <c r="CC42" i="221"/>
  <c r="CC41" i="221"/>
  <c r="CZ10" i="221"/>
  <c r="BF10" i="221"/>
  <c r="BH10" i="221" s="1"/>
  <c r="BG10" i="221"/>
  <c r="DA38" i="221"/>
  <c r="CD38" i="221"/>
  <c r="DA20" i="221"/>
  <c r="CD20" i="221"/>
  <c r="DA30" i="221"/>
  <c r="CD30" i="221"/>
  <c r="BE23" i="221"/>
  <c r="AT23" i="221"/>
  <c r="BG21" i="221"/>
  <c r="BF21" i="221"/>
  <c r="BH21" i="221"/>
  <c r="DA21" i="221"/>
  <c r="CD21" i="221"/>
  <c r="BI11" i="221"/>
  <c r="CU11" i="221" s="1"/>
  <c r="CN11" i="221"/>
  <c r="AT26" i="221"/>
  <c r="BE26" i="221"/>
  <c r="CD37" i="221"/>
  <c r="BF38" i="221"/>
  <c r="CA43" i="221"/>
  <c r="CS18" i="221"/>
  <c r="BG32" i="221"/>
  <c r="BG29" i="221"/>
  <c r="BH29" i="221" s="1"/>
  <c r="BF29" i="221"/>
  <c r="T43" i="221"/>
  <c r="AM41" i="221"/>
  <c r="CD34" i="221"/>
  <c r="DA34" i="221"/>
  <c r="BE31" i="221"/>
  <c r="CS31" i="221" s="1"/>
  <c r="AT31" i="221"/>
  <c r="CW22" i="221"/>
  <c r="BS22" i="221"/>
  <c r="CI22" i="221" s="1"/>
  <c r="CW18" i="221"/>
  <c r="BS18" i="221"/>
  <c r="CW26" i="221"/>
  <c r="BS26" i="221"/>
  <c r="CW13" i="221"/>
  <c r="BS13" i="221"/>
  <c r="CI13" i="221" s="1"/>
  <c r="CW20" i="221"/>
  <c r="BS20" i="221"/>
  <c r="CI20" i="221" s="1"/>
  <c r="CW27" i="221"/>
  <c r="BS27" i="221"/>
  <c r="CW39" i="221"/>
  <c r="BS39" i="221"/>
  <c r="CI39" i="221" s="1"/>
  <c r="CW34" i="221"/>
  <c r="BS34" i="221"/>
  <c r="CD12" i="221"/>
  <c r="DA12" i="221"/>
  <c r="CD15" i="221"/>
  <c r="DA15" i="221"/>
  <c r="DA31" i="221"/>
  <c r="CD31" i="221"/>
  <c r="BG19" i="221"/>
  <c r="BF19" i="221"/>
  <c r="BH19" i="221" s="1"/>
  <c r="BG16" i="221"/>
  <c r="BF16" i="221"/>
  <c r="BA42" i="221"/>
  <c r="BA41" i="221"/>
  <c r="BA43" i="221" s="1"/>
  <c r="DA18" i="221"/>
  <c r="CD18" i="221"/>
  <c r="BI20" i="221"/>
  <c r="CU20" i="221" s="1"/>
  <c r="BJ20" i="221"/>
  <c r="CK20" i="221" s="1"/>
  <c r="CN20" i="221"/>
  <c r="AT30" i="221"/>
  <c r="BE30" i="221"/>
  <c r="CD35" i="221"/>
  <c r="DA35" i="221"/>
  <c r="CN34" i="221"/>
  <c r="BI34" i="221"/>
  <c r="CU34" i="221" s="1"/>
  <c r="BG38" i="221"/>
  <c r="CD32" i="221"/>
  <c r="BF40" i="221"/>
  <c r="BF35" i="221"/>
  <c r="BH35" i="221" s="1"/>
  <c r="BG35" i="221"/>
  <c r="BG17" i="221"/>
  <c r="BF17" i="221"/>
  <c r="BH17" i="221" s="1"/>
  <c r="AT36" i="221"/>
  <c r="CW16" i="221"/>
  <c r="BS16" i="221"/>
  <c r="CW29" i="221"/>
  <c r="BS29" i="221"/>
  <c r="CW12" i="221"/>
  <c r="BS12" i="221"/>
  <c r="CI12" i="221" s="1"/>
  <c r="CW19" i="221"/>
  <c r="BS19" i="221"/>
  <c r="CW23" i="221"/>
  <c r="BS23" i="221"/>
  <c r="CI23" i="221" s="1"/>
  <c r="CW38" i="221"/>
  <c r="BS38" i="221"/>
  <c r="CI38" i="221" s="1"/>
  <c r="CW33" i="221"/>
  <c r="BS33" i="221"/>
  <c r="CI33" i="221" s="1"/>
  <c r="CZ36" i="221"/>
  <c r="BS36" i="221"/>
  <c r="CI36" i="221" s="1"/>
  <c r="AT27" i="221"/>
  <c r="BE27" i="221"/>
  <c r="DA29" i="221"/>
  <c r="CD29" i="221"/>
  <c r="DA26" i="221"/>
  <c r="CD26" i="221"/>
  <c r="CD19" i="221"/>
  <c r="DA19" i="221"/>
  <c r="CS32" i="221"/>
  <c r="CS39" i="221"/>
  <c r="CD40" i="221"/>
  <c r="AZ42" i="221"/>
  <c r="AZ43" i="221" s="1"/>
  <c r="AY43" i="221"/>
  <c r="BG40" i="221"/>
  <c r="BF39" i="221"/>
  <c r="DA28" i="221"/>
  <c r="CD28" i="221"/>
  <c r="DA14" i="221"/>
  <c r="CD14" i="221"/>
  <c r="DA27" i="221"/>
  <c r="CD27" i="221"/>
  <c r="AT22" i="221"/>
  <c r="AT41" i="221" s="1"/>
  <c r="BE22" i="221"/>
  <c r="BE41" i="221" s="1"/>
  <c r="BE36" i="221"/>
  <c r="AO41" i="221"/>
  <c r="CW14" i="221"/>
  <c r="BS14" i="221"/>
  <c r="CI14" i="221" s="1"/>
  <c r="CW25" i="221"/>
  <c r="BS25" i="221"/>
  <c r="CW11" i="221"/>
  <c r="BS11" i="221"/>
  <c r="CW17" i="221"/>
  <c r="BS17" i="221"/>
  <c r="CW28" i="221"/>
  <c r="BS28" i="221"/>
  <c r="CW37" i="221"/>
  <c r="BS37" i="221"/>
  <c r="CI37" i="221" s="1"/>
  <c r="CW32" i="221"/>
  <c r="BS32" i="221"/>
  <c r="CI32" i="221" s="1"/>
  <c r="CD11" i="221"/>
  <c r="DA11" i="221"/>
  <c r="DA24" i="221"/>
  <c r="CD24" i="221"/>
  <c r="CD16" i="221"/>
  <c r="DA16" i="221"/>
  <c r="BG15" i="221"/>
  <c r="BF15" i="221"/>
  <c r="BH15" i="221" s="1"/>
  <c r="BG14" i="221"/>
  <c r="BH14" i="221" s="1"/>
  <c r="BF14" i="221"/>
  <c r="BG18" i="221"/>
  <c r="BH18" i="221"/>
  <c r="BF18" i="221"/>
  <c r="CD17" i="221"/>
  <c r="DA17" i="221"/>
  <c r="CF42" i="221"/>
  <c r="CF41" i="221"/>
  <c r="CD10" i="221"/>
  <c r="DA10" i="221"/>
  <c r="DA25" i="221"/>
  <c r="CD25" i="221"/>
  <c r="BG25" i="221"/>
  <c r="BF25" i="221"/>
  <c r="BH25" i="221"/>
  <c r="CR42" i="221"/>
  <c r="CR41" i="221"/>
  <c r="CH42" i="221"/>
  <c r="CH41" i="221"/>
  <c r="CH43" i="221" s="1"/>
  <c r="DB10" i="221"/>
  <c r="BH32" i="221"/>
  <c r="BH40" i="221"/>
  <c r="BG39" i="221"/>
  <c r="CF43" i="221" l="1"/>
  <c r="BH38" i="221"/>
  <c r="BH13" i="221"/>
  <c r="CN13" i="221" s="1"/>
  <c r="BJ33" i="221"/>
  <c r="BJ37" i="221"/>
  <c r="BH39" i="221"/>
  <c r="BJ11" i="221"/>
  <c r="CR43" i="221"/>
  <c r="CI17" i="221"/>
  <c r="CS22" i="221"/>
  <c r="BJ34" i="221"/>
  <c r="BH16" i="221"/>
  <c r="CN16" i="221" s="1"/>
  <c r="BI16" i="221"/>
  <c r="CU16" i="221" s="1"/>
  <c r="BI39" i="221"/>
  <c r="CU39" i="221" s="1"/>
  <c r="CN39" i="221"/>
  <c r="CN17" i="221"/>
  <c r="BI17" i="221"/>
  <c r="CU17" i="221" s="1"/>
  <c r="CN15" i="221"/>
  <c r="BI15" i="221"/>
  <c r="CU15" i="221" s="1"/>
  <c r="CN35" i="221"/>
  <c r="BI35" i="221"/>
  <c r="CU35" i="221" s="1"/>
  <c r="CN19" i="221"/>
  <c r="BI19" i="221"/>
  <c r="CU19" i="221" s="1"/>
  <c r="CN14" i="221"/>
  <c r="BJ14" i="221"/>
  <c r="CK14" i="221" s="1"/>
  <c r="BI14" i="221"/>
  <c r="CU14" i="221" s="1"/>
  <c r="BI29" i="221"/>
  <c r="CU29" i="221" s="1"/>
  <c r="CN29" i="221"/>
  <c r="BI38" i="221"/>
  <c r="CU38" i="221" s="1"/>
  <c r="CN38" i="221"/>
  <c r="BI13" i="221"/>
  <c r="CU13" i="221" s="1"/>
  <c r="DB42" i="221"/>
  <c r="DB41" i="221"/>
  <c r="BI25" i="221"/>
  <c r="CU25" i="221" s="1"/>
  <c r="CN25" i="221"/>
  <c r="BG27" i="221"/>
  <c r="BF27" i="221"/>
  <c r="BH27" i="221" s="1"/>
  <c r="BG30" i="221"/>
  <c r="BF30" i="221"/>
  <c r="BF31" i="221"/>
  <c r="BG31" i="221"/>
  <c r="BH31" i="221" s="1"/>
  <c r="BG26" i="221"/>
  <c r="BF26" i="221"/>
  <c r="BI21" i="221"/>
  <c r="CU21" i="221" s="1"/>
  <c r="CN21" i="221"/>
  <c r="CN10" i="221"/>
  <c r="BI10" i="221"/>
  <c r="BJ10" i="221" s="1"/>
  <c r="CW42" i="221"/>
  <c r="CW41" i="221"/>
  <c r="CW43" i="221" s="1"/>
  <c r="CM24" i="221"/>
  <c r="CT24" i="221"/>
  <c r="CI16" i="221"/>
  <c r="CK34" i="221"/>
  <c r="CI34" i="221"/>
  <c r="CI27" i="221"/>
  <c r="CI18" i="221"/>
  <c r="AT42" i="221"/>
  <c r="AT43" i="221" s="1"/>
  <c r="CC43" i="221"/>
  <c r="BJ12" i="221"/>
  <c r="CK12" i="221" s="1"/>
  <c r="BJ32" i="221"/>
  <c r="CK32" i="221" s="1"/>
  <c r="CN32" i="221"/>
  <c r="BI32" i="221"/>
  <c r="CU32" i="221" s="1"/>
  <c r="CN18" i="221"/>
  <c r="BI18" i="221"/>
  <c r="CU18" i="221" s="1"/>
  <c r="CT34" i="221"/>
  <c r="CM34" i="221"/>
  <c r="BG23" i="221"/>
  <c r="BF23" i="221"/>
  <c r="CZ42" i="221"/>
  <c r="CZ41" i="221"/>
  <c r="BS42" i="221"/>
  <c r="BS41" i="221"/>
  <c r="CI10" i="221"/>
  <c r="CI25" i="221"/>
  <c r="CS36" i="221"/>
  <c r="CI40" i="221"/>
  <c r="CI24" i="221"/>
  <c r="CI21" i="221"/>
  <c r="CK33" i="221"/>
  <c r="CK37" i="221"/>
  <c r="BI40" i="221"/>
  <c r="CU40" i="221" s="1"/>
  <c r="CN40" i="221"/>
  <c r="CD42" i="221"/>
  <c r="CD41" i="221"/>
  <c r="BG22" i="221"/>
  <c r="BF22" i="221"/>
  <c r="BH22" i="221" s="1"/>
  <c r="BF36" i="221"/>
  <c r="BF41" i="221" s="1"/>
  <c r="BF43" i="221" s="1"/>
  <c r="BG36" i="221"/>
  <c r="CM20" i="221"/>
  <c r="CT20" i="221"/>
  <c r="BF42" i="221"/>
  <c r="CT33" i="221"/>
  <c r="CM33" i="221"/>
  <c r="CT37" i="221"/>
  <c r="CM37" i="221"/>
  <c r="CT12" i="221"/>
  <c r="CM12" i="221"/>
  <c r="CI19" i="221"/>
  <c r="CI29" i="221"/>
  <c r="CI26" i="221"/>
  <c r="BJ28" i="221"/>
  <c r="DA42" i="221"/>
  <c r="DA41" i="221"/>
  <c r="DA43" i="221" s="1"/>
  <c r="CT11" i="221"/>
  <c r="CM11" i="221"/>
  <c r="BG42" i="221"/>
  <c r="BG41" i="221"/>
  <c r="CM28" i="221"/>
  <c r="CT28" i="221"/>
  <c r="CI28" i="221"/>
  <c r="CI11" i="221"/>
  <c r="CK11" i="221" s="1"/>
  <c r="CS27" i="221"/>
  <c r="CS30" i="221"/>
  <c r="CS26" i="221"/>
  <c r="CS23" i="221"/>
  <c r="CI35" i="221"/>
  <c r="CI31" i="221"/>
  <c r="CI15" i="221"/>
  <c r="CI30" i="221"/>
  <c r="BJ24" i="221"/>
  <c r="CK24" i="221" s="1"/>
  <c r="BE42" i="221"/>
  <c r="BE43" i="221" s="1"/>
  <c r="BJ25" i="221" l="1"/>
  <c r="CS42" i="221"/>
  <c r="BS43" i="221"/>
  <c r="BH23" i="221"/>
  <c r="BH30" i="221"/>
  <c r="BJ13" i="221"/>
  <c r="CK13" i="221" s="1"/>
  <c r="BJ38" i="221"/>
  <c r="CK38" i="221" s="1"/>
  <c r="CS41" i="221"/>
  <c r="CS43" i="221" s="1"/>
  <c r="BH36" i="221"/>
  <c r="BJ40" i="221"/>
  <c r="CK40" i="221" s="1"/>
  <c r="BH26" i="221"/>
  <c r="BI26" i="221" s="1"/>
  <c r="DB43" i="221"/>
  <c r="BI27" i="221"/>
  <c r="CU27" i="221" s="1"/>
  <c r="BJ27" i="221"/>
  <c r="CK27" i="221" s="1"/>
  <c r="CN27" i="221"/>
  <c r="BH42" i="221"/>
  <c r="BI23" i="221"/>
  <c r="CU23" i="221" s="1"/>
  <c r="BJ23" i="221"/>
  <c r="CK23" i="221" s="1"/>
  <c r="CN23" i="221"/>
  <c r="BI30" i="221"/>
  <c r="CU30" i="221" s="1"/>
  <c r="CN30" i="221"/>
  <c r="CM18" i="221"/>
  <c r="CT18" i="221"/>
  <c r="CK10" i="221"/>
  <c r="BI31" i="221"/>
  <c r="CU31" i="221" s="1"/>
  <c r="BJ31" i="221"/>
  <c r="CK31" i="221" s="1"/>
  <c r="CN31" i="221"/>
  <c r="CM16" i="221"/>
  <c r="CT16" i="221"/>
  <c r="CK25" i="221"/>
  <c r="BI36" i="221"/>
  <c r="CU36" i="221" s="1"/>
  <c r="BJ36" i="221"/>
  <c r="CK36" i="221" s="1"/>
  <c r="CN36" i="221"/>
  <c r="BI22" i="221"/>
  <c r="CU22" i="221" s="1"/>
  <c r="CN22" i="221"/>
  <c r="CT40" i="221"/>
  <c r="CM40" i="221"/>
  <c r="CI42" i="221"/>
  <c r="CI41" i="221"/>
  <c r="CI43" i="221" s="1"/>
  <c r="CN42" i="221"/>
  <c r="CT10" i="221"/>
  <c r="CM21" i="221"/>
  <c r="CT21" i="221"/>
  <c r="CT38" i="221"/>
  <c r="CM38" i="221"/>
  <c r="CM29" i="221"/>
  <c r="CT29" i="221"/>
  <c r="CM14" i="221"/>
  <c r="CT14" i="221"/>
  <c r="CM19" i="221"/>
  <c r="CT19" i="221"/>
  <c r="CK28" i="221"/>
  <c r="BJ18" i="221"/>
  <c r="CK18" i="221" s="1"/>
  <c r="BJ15" i="221"/>
  <c r="CK15" i="221" s="1"/>
  <c r="BJ17" i="221"/>
  <c r="CK17" i="221" s="1"/>
  <c r="BJ39" i="221"/>
  <c r="CK39" i="221" s="1"/>
  <c r="BJ16" i="221"/>
  <c r="CK16" i="221" s="1"/>
  <c r="CT32" i="221"/>
  <c r="CM32" i="221"/>
  <c r="BI42" i="221"/>
  <c r="CU10" i="221"/>
  <c r="CM13" i="221"/>
  <c r="CT13" i="221"/>
  <c r="CT39" i="221"/>
  <c r="CM39" i="221"/>
  <c r="BG43" i="221"/>
  <c r="BJ21" i="221"/>
  <c r="CK21" i="221" s="1"/>
  <c r="BJ29" i="221"/>
  <c r="CK29" i="221" s="1"/>
  <c r="BJ35" i="221"/>
  <c r="CK35" i="221" s="1"/>
  <c r="CM25" i="221"/>
  <c r="CT25" i="221"/>
  <c r="CT35" i="221"/>
  <c r="CM35" i="221"/>
  <c r="CM15" i="221"/>
  <c r="CT15" i="221"/>
  <c r="CM17" i="221"/>
  <c r="CT17" i="221"/>
  <c r="CD43" i="221"/>
  <c r="CZ43" i="221"/>
  <c r="BH41" i="221"/>
  <c r="BH43" i="221" s="1"/>
  <c r="BJ19" i="221"/>
  <c r="CK19" i="221" s="1"/>
  <c r="CU26" i="221" l="1"/>
  <c r="BI41" i="221"/>
  <c r="BI43" i="221" s="1"/>
  <c r="BJ22" i="221"/>
  <c r="CK22" i="221" s="1"/>
  <c r="CN26" i="221"/>
  <c r="CN41" i="221" s="1"/>
  <c r="CN43" i="221" s="1"/>
  <c r="CM22" i="221"/>
  <c r="CT22" i="221"/>
  <c r="BJ30" i="221"/>
  <c r="CK30" i="221" s="1"/>
  <c r="CK42" i="221" s="1"/>
  <c r="CU42" i="221"/>
  <c r="CU41" i="221"/>
  <c r="CM23" i="221"/>
  <c r="CT23" i="221"/>
  <c r="CM27" i="221"/>
  <c r="CT27" i="221"/>
  <c r="CM26" i="221"/>
  <c r="CT26" i="221"/>
  <c r="CT36" i="221"/>
  <c r="CM36" i="221"/>
  <c r="CT31" i="221"/>
  <c r="CM31" i="221"/>
  <c r="CM10" i="221"/>
  <c r="BJ42" i="221"/>
  <c r="BJ26" i="221"/>
  <c r="CK26" i="221" s="1"/>
  <c r="CK41" i="221" s="1"/>
  <c r="CK43" i="221" s="1"/>
  <c r="CM30" i="221"/>
  <c r="CT30" i="221"/>
  <c r="CT41" i="221" s="1"/>
  <c r="BJ41" i="221" l="1"/>
  <c r="BJ43" i="221" s="1"/>
  <c r="CU43" i="221"/>
  <c r="CT42" i="221"/>
  <c r="CT43" i="221" s="1"/>
  <c r="CM42" i="221"/>
  <c r="CM41" i="221"/>
  <c r="ED41" i="221" l="1"/>
  <c r="DQ41" i="221"/>
  <c r="DD41" i="221"/>
  <c r="CM43" i="221"/>
  <c r="ED35" i="221" l="1"/>
  <c r="ED34" i="221"/>
  <c r="ED33" i="221"/>
  <c r="ED40" i="221"/>
  <c r="ED39" i="221"/>
  <c r="ED38" i="221"/>
  <c r="ED37" i="221"/>
  <c r="ED36" i="221"/>
  <c r="ED32" i="221"/>
  <c r="ED31" i="221"/>
  <c r="ED30" i="221"/>
  <c r="ED29" i="221"/>
  <c r="ED28" i="221"/>
  <c r="ED27" i="221"/>
  <c r="ED26" i="221"/>
  <c r="ED25" i="221"/>
  <c r="ED24" i="221"/>
  <c r="ED23" i="221"/>
  <c r="ED22" i="221"/>
  <c r="ED21" i="221"/>
  <c r="ED20" i="221"/>
  <c r="ED18" i="221"/>
  <c r="ED17" i="221"/>
  <c r="ED16" i="221"/>
  <c r="ED15" i="221"/>
  <c r="ED14" i="221"/>
  <c r="ED13" i="221"/>
  <c r="ED12" i="221"/>
  <c r="ED19" i="221"/>
  <c r="ED11" i="221"/>
  <c r="ED10" i="221"/>
  <c r="DQ35" i="221"/>
  <c r="DQ34" i="221"/>
  <c r="DQ33" i="221"/>
  <c r="DQ40" i="221"/>
  <c r="DQ39" i="221"/>
  <c r="DQ38" i="221"/>
  <c r="DQ37" i="221"/>
  <c r="DQ36" i="221"/>
  <c r="DQ32" i="221"/>
  <c r="DQ31" i="221"/>
  <c r="DQ30" i="221"/>
  <c r="DQ29" i="221"/>
  <c r="DQ28" i="221"/>
  <c r="DQ27" i="221"/>
  <c r="DQ26" i="221"/>
  <c r="DQ25" i="221"/>
  <c r="DQ24" i="221"/>
  <c r="DQ23" i="221"/>
  <c r="DQ22" i="221"/>
  <c r="DQ21" i="221"/>
  <c r="DQ20" i="221"/>
  <c r="DQ19" i="221"/>
  <c r="DQ18" i="221"/>
  <c r="DQ17" i="221"/>
  <c r="DQ16" i="221"/>
  <c r="DQ15" i="221"/>
  <c r="DQ14" i="221"/>
  <c r="DQ13" i="221"/>
  <c r="DQ12" i="221"/>
  <c r="DQ11" i="221"/>
  <c r="DQ10" i="221"/>
  <c r="DD35" i="221"/>
  <c r="DD34" i="221"/>
  <c r="DD33" i="221"/>
  <c r="DD40" i="221"/>
  <c r="DD39" i="221"/>
  <c r="DD38" i="221"/>
  <c r="DD37" i="221"/>
  <c r="DD36" i="221"/>
  <c r="DD32" i="221"/>
  <c r="DD31" i="221"/>
  <c r="DD30" i="221"/>
  <c r="DD29" i="221"/>
  <c r="DD28" i="221"/>
  <c r="DD27" i="221"/>
  <c r="DD26" i="221"/>
  <c r="DD25" i="221"/>
  <c r="DD24" i="221"/>
  <c r="DD23" i="221"/>
  <c r="DD22" i="221"/>
  <c r="DD21" i="221"/>
  <c r="DD20" i="221"/>
  <c r="DD19" i="221"/>
  <c r="DD18" i="221"/>
  <c r="DD17" i="221"/>
  <c r="DD16" i="221"/>
  <c r="DD15" i="221"/>
  <c r="DD14" i="221"/>
  <c r="DD13" i="221"/>
  <c r="DD12" i="221"/>
  <c r="DD11" i="221"/>
  <c r="DD10" i="221"/>
  <c r="DH10" i="221" l="1"/>
  <c r="DK10" i="221"/>
  <c r="DO10" i="221"/>
  <c r="DJ10" i="221"/>
  <c r="DL10" i="221"/>
  <c r="DM10" i="221"/>
  <c r="DN10" i="221"/>
  <c r="DI10" i="221"/>
  <c r="DF10" i="221"/>
  <c r="DG10" i="221"/>
  <c r="DJ14" i="221"/>
  <c r="DK14" i="221"/>
  <c r="DH14" i="221"/>
  <c r="DL14" i="221"/>
  <c r="DN14" i="221"/>
  <c r="DO14" i="221"/>
  <c r="DI14" i="221"/>
  <c r="DM14" i="221"/>
  <c r="DF14" i="221"/>
  <c r="DE14" i="221" s="1"/>
  <c r="DG14" i="221"/>
  <c r="DJ18" i="221"/>
  <c r="DK18" i="221"/>
  <c r="DH18" i="221"/>
  <c r="DN18" i="221"/>
  <c r="DO18" i="221"/>
  <c r="DL18" i="221"/>
  <c r="DM18" i="221"/>
  <c r="DI18" i="221"/>
  <c r="DG18" i="221"/>
  <c r="DF18" i="221"/>
  <c r="DJ22" i="221"/>
  <c r="DH22" i="221"/>
  <c r="DK22" i="221"/>
  <c r="DL22" i="221"/>
  <c r="DM22" i="221"/>
  <c r="DN22" i="221"/>
  <c r="DI22" i="221"/>
  <c r="DO22" i="221"/>
  <c r="DF22" i="221"/>
  <c r="DE22" i="221" s="1"/>
  <c r="DG22" i="221"/>
  <c r="DJ26" i="221"/>
  <c r="DK26" i="221"/>
  <c r="DH26" i="221"/>
  <c r="DL26" i="221"/>
  <c r="DN26" i="221"/>
  <c r="DM26" i="221"/>
  <c r="DI26" i="221"/>
  <c r="DO26" i="221"/>
  <c r="DG26" i="221"/>
  <c r="DF26" i="221"/>
  <c r="DH30" i="221"/>
  <c r="DK30" i="221"/>
  <c r="DJ30" i="221"/>
  <c r="DL30" i="221"/>
  <c r="DN30" i="221"/>
  <c r="DO30" i="221"/>
  <c r="DM30" i="221"/>
  <c r="DI30" i="221"/>
  <c r="DG30" i="221"/>
  <c r="DF30" i="221"/>
  <c r="DH37" i="221"/>
  <c r="DJ37" i="221"/>
  <c r="DO37" i="221"/>
  <c r="DK37" i="221"/>
  <c r="DM37" i="221"/>
  <c r="DL37" i="221"/>
  <c r="DN37" i="221"/>
  <c r="DI37" i="221"/>
  <c r="DF37" i="221"/>
  <c r="DG37" i="221"/>
  <c r="DH33" i="221"/>
  <c r="DJ33" i="221"/>
  <c r="DN33" i="221"/>
  <c r="DK33" i="221"/>
  <c r="DO33" i="221"/>
  <c r="DL33" i="221"/>
  <c r="DM33" i="221"/>
  <c r="DI33" i="221"/>
  <c r="DG33" i="221"/>
  <c r="DF33" i="221"/>
  <c r="DW11" i="221"/>
  <c r="DU11" i="221"/>
  <c r="DX11" i="221"/>
  <c r="EB11" i="221"/>
  <c r="EA11" i="221"/>
  <c r="DY11" i="221"/>
  <c r="DZ11" i="221"/>
  <c r="DV11" i="221"/>
  <c r="DT11" i="221"/>
  <c r="DS11" i="221"/>
  <c r="DW15" i="221"/>
  <c r="EB15" i="221"/>
  <c r="DX15" i="221"/>
  <c r="DU15" i="221"/>
  <c r="DY15" i="221"/>
  <c r="EA15" i="221"/>
  <c r="DZ15" i="221"/>
  <c r="DV15" i="221"/>
  <c r="DT15" i="221"/>
  <c r="DS15" i="221"/>
  <c r="DX19" i="221"/>
  <c r="DW19" i="221"/>
  <c r="EB19" i="221"/>
  <c r="DU19" i="221"/>
  <c r="EA19" i="221"/>
  <c r="DY19" i="221"/>
  <c r="DV19" i="221"/>
  <c r="DZ19" i="221"/>
  <c r="DS19" i="221"/>
  <c r="DT19" i="221"/>
  <c r="DX23" i="221"/>
  <c r="DU23" i="221"/>
  <c r="DW23" i="221"/>
  <c r="EA23" i="221"/>
  <c r="DY23" i="221"/>
  <c r="EB23" i="221"/>
  <c r="DZ23" i="221"/>
  <c r="DV23" i="221"/>
  <c r="DS23" i="221"/>
  <c r="DR23" i="221" s="1"/>
  <c r="DT23" i="221"/>
  <c r="DW27" i="221"/>
  <c r="DX27" i="221"/>
  <c r="DU27" i="221"/>
  <c r="EA27" i="221"/>
  <c r="DY27" i="221"/>
  <c r="DV27" i="221"/>
  <c r="EB27" i="221"/>
  <c r="DZ27" i="221"/>
  <c r="DT27" i="221"/>
  <c r="DS27" i="221"/>
  <c r="DX31" i="221"/>
  <c r="DU31" i="221"/>
  <c r="DW31" i="221"/>
  <c r="EA31" i="221"/>
  <c r="DY31" i="221"/>
  <c r="DZ31" i="221"/>
  <c r="EB31" i="221"/>
  <c r="DV31" i="221"/>
  <c r="DS31" i="221"/>
  <c r="DR31" i="221" s="1"/>
  <c r="DT31" i="221"/>
  <c r="DU38" i="221"/>
  <c r="DW38" i="221"/>
  <c r="DX38" i="221"/>
  <c r="DY38" i="221"/>
  <c r="EB38" i="221"/>
  <c r="EA38" i="221"/>
  <c r="DV38" i="221"/>
  <c r="DZ38" i="221"/>
  <c r="DS38" i="221"/>
  <c r="DT38" i="221"/>
  <c r="DW34" i="221"/>
  <c r="DU34" i="221"/>
  <c r="EB34" i="221"/>
  <c r="DX34" i="221"/>
  <c r="DY34" i="221"/>
  <c r="EA34" i="221"/>
  <c r="DT34" i="221"/>
  <c r="DV34" i="221"/>
  <c r="DZ34" i="221"/>
  <c r="DS34" i="221"/>
  <c r="EK19" i="221"/>
  <c r="EO19" i="221"/>
  <c r="EJ19" i="221"/>
  <c r="EH19" i="221"/>
  <c r="EN19" i="221"/>
  <c r="EL19" i="221"/>
  <c r="EM19" i="221"/>
  <c r="EI19" i="221"/>
  <c r="EG19" i="221"/>
  <c r="EF19" i="221"/>
  <c r="EJ15" i="221"/>
  <c r="EO15" i="221"/>
  <c r="EK15" i="221"/>
  <c r="EH15" i="221"/>
  <c r="EL15" i="221"/>
  <c r="EN15" i="221"/>
  <c r="EI15" i="221"/>
  <c r="EM15" i="221"/>
  <c r="EF15" i="221"/>
  <c r="EE15" i="221" s="1"/>
  <c r="EG15" i="221"/>
  <c r="EK20" i="221"/>
  <c r="EH20" i="221"/>
  <c r="EJ20" i="221"/>
  <c r="EO20" i="221"/>
  <c r="EL20" i="221"/>
  <c r="EN20" i="221"/>
  <c r="EG20" i="221"/>
  <c r="EM20" i="221"/>
  <c r="EI20" i="221"/>
  <c r="EF20" i="221"/>
  <c r="EK24" i="221"/>
  <c r="EJ24" i="221"/>
  <c r="EH24" i="221"/>
  <c r="EO24" i="221"/>
  <c r="EL24" i="221"/>
  <c r="EN24" i="221"/>
  <c r="EI24" i="221"/>
  <c r="EF24" i="221"/>
  <c r="EM24" i="221"/>
  <c r="EG24" i="221"/>
  <c r="EH28" i="221"/>
  <c r="EK28" i="221"/>
  <c r="EJ28" i="221"/>
  <c r="EO28" i="221"/>
  <c r="EN28" i="221"/>
  <c r="EL28" i="221"/>
  <c r="EI28" i="221"/>
  <c r="EF28" i="221"/>
  <c r="EG28" i="221"/>
  <c r="EM28" i="221"/>
  <c r="EH32" i="221"/>
  <c r="EJ32" i="221"/>
  <c r="EK32" i="221"/>
  <c r="EN32" i="221"/>
  <c r="EO32" i="221"/>
  <c r="EL32" i="221"/>
  <c r="EM32" i="221"/>
  <c r="EI32" i="221"/>
  <c r="EF32" i="221"/>
  <c r="EE32" i="221" s="1"/>
  <c r="EG32" i="221"/>
  <c r="EJ39" i="221"/>
  <c r="EH39" i="221"/>
  <c r="EK39" i="221"/>
  <c r="EM39" i="221"/>
  <c r="EN39" i="221"/>
  <c r="EL39" i="221"/>
  <c r="EO39" i="221"/>
  <c r="EI39" i="221"/>
  <c r="EG39" i="221"/>
  <c r="EF39" i="221"/>
  <c r="EJ35" i="221"/>
  <c r="EH35" i="221"/>
  <c r="EK35" i="221"/>
  <c r="EO35" i="221"/>
  <c r="EL35" i="221"/>
  <c r="EN35" i="221"/>
  <c r="EI35" i="221"/>
  <c r="EM35" i="221"/>
  <c r="EF35" i="221"/>
  <c r="EE35" i="221" s="1"/>
  <c r="EG35" i="221"/>
  <c r="DJ13" i="221"/>
  <c r="DO13" i="221"/>
  <c r="DK13" i="221"/>
  <c r="DH13" i="221"/>
  <c r="DL13" i="221"/>
  <c r="DN13" i="221"/>
  <c r="DI13" i="221"/>
  <c r="DM13" i="221"/>
  <c r="DF13" i="221"/>
  <c r="DG13" i="221"/>
  <c r="DJ17" i="221"/>
  <c r="DO17" i="221"/>
  <c r="DK17" i="221"/>
  <c r="DH17" i="221"/>
  <c r="DL17" i="221"/>
  <c r="DN17" i="221"/>
  <c r="DI17" i="221"/>
  <c r="DM17" i="221"/>
  <c r="DF17" i="221"/>
  <c r="DE17" i="221" s="1"/>
  <c r="DG17" i="221"/>
  <c r="DK21" i="221"/>
  <c r="DH21" i="221"/>
  <c r="DJ21" i="221"/>
  <c r="DO21" i="221"/>
  <c r="DL21" i="221"/>
  <c r="DN21" i="221"/>
  <c r="DI21" i="221"/>
  <c r="DM21" i="221"/>
  <c r="DG21" i="221"/>
  <c r="DF21" i="221"/>
  <c r="DK25" i="221"/>
  <c r="DH25" i="221"/>
  <c r="DJ25" i="221"/>
  <c r="DO25" i="221"/>
  <c r="DN25" i="221"/>
  <c r="DL25" i="221"/>
  <c r="DI25" i="221"/>
  <c r="DM25" i="221"/>
  <c r="DG25" i="221"/>
  <c r="DF25" i="221"/>
  <c r="DK29" i="221"/>
  <c r="DH29" i="221"/>
  <c r="DJ29" i="221"/>
  <c r="DL29" i="221"/>
  <c r="DO29" i="221"/>
  <c r="DN29" i="221"/>
  <c r="DI29" i="221"/>
  <c r="DM29" i="221"/>
  <c r="DG29" i="221"/>
  <c r="DF29" i="221"/>
  <c r="DI36" i="221"/>
  <c r="DJ36" i="221"/>
  <c r="DH36" i="221"/>
  <c r="DK36" i="221"/>
  <c r="DN36" i="221"/>
  <c r="DM36" i="221"/>
  <c r="DO36" i="221"/>
  <c r="DL36" i="221"/>
  <c r="DG36" i="221"/>
  <c r="DF36" i="221"/>
  <c r="DH40" i="221"/>
  <c r="DJ40" i="221"/>
  <c r="DK40" i="221"/>
  <c r="DL40" i="221"/>
  <c r="DN40" i="221"/>
  <c r="DO40" i="221"/>
  <c r="DM40" i="221"/>
  <c r="DI40" i="221"/>
  <c r="DG40" i="221"/>
  <c r="DF40" i="221"/>
  <c r="DW10" i="221"/>
  <c r="DU10" i="221"/>
  <c r="DX10" i="221"/>
  <c r="EB10" i="221"/>
  <c r="DY10" i="221"/>
  <c r="DZ10" i="221"/>
  <c r="EA10" i="221"/>
  <c r="DV10" i="221"/>
  <c r="DS10" i="221"/>
  <c r="DT10" i="221"/>
  <c r="DX14" i="221"/>
  <c r="DW14" i="221"/>
  <c r="DU14" i="221"/>
  <c r="EB14" i="221"/>
  <c r="DY14" i="221"/>
  <c r="EA14" i="221"/>
  <c r="DZ14" i="221"/>
  <c r="DV14" i="221"/>
  <c r="DS14" i="221"/>
  <c r="DT14" i="221"/>
  <c r="DX18" i="221"/>
  <c r="DW18" i="221"/>
  <c r="DU18" i="221"/>
  <c r="DY18" i="221"/>
  <c r="EA18" i="221"/>
  <c r="EB18" i="221"/>
  <c r="DZ18" i="221"/>
  <c r="DV18" i="221"/>
  <c r="DT18" i="221"/>
  <c r="DS18" i="221"/>
  <c r="DX22" i="221"/>
  <c r="DW22" i="221"/>
  <c r="DU22" i="221"/>
  <c r="DY22" i="221"/>
  <c r="EA22" i="221"/>
  <c r="DZ22" i="221"/>
  <c r="EB22" i="221"/>
  <c r="DV22" i="221"/>
  <c r="DT22" i="221"/>
  <c r="DS22" i="221"/>
  <c r="DX26" i="221"/>
  <c r="DW26" i="221"/>
  <c r="DU26" i="221"/>
  <c r="EA26" i="221"/>
  <c r="DY26" i="221"/>
  <c r="EB26" i="221"/>
  <c r="DV26" i="221"/>
  <c r="DZ26" i="221"/>
  <c r="DT26" i="221"/>
  <c r="DS26" i="221"/>
  <c r="DX30" i="221"/>
  <c r="DU30" i="221"/>
  <c r="DW30" i="221"/>
  <c r="DY30" i="221"/>
  <c r="EA30" i="221"/>
  <c r="EB30" i="221"/>
  <c r="DV30" i="221"/>
  <c r="DZ30" i="221"/>
  <c r="DS30" i="221"/>
  <c r="DT30" i="221"/>
  <c r="DW37" i="221"/>
  <c r="DU37" i="221"/>
  <c r="EB37" i="221"/>
  <c r="DX37" i="221"/>
  <c r="DZ37" i="221"/>
  <c r="DY37" i="221"/>
  <c r="EA37" i="221"/>
  <c r="DT37" i="221"/>
  <c r="DV37" i="221"/>
  <c r="DS37" i="221"/>
  <c r="DW33" i="221"/>
  <c r="DU33" i="221"/>
  <c r="DX33" i="221"/>
  <c r="EB33" i="221"/>
  <c r="EA33" i="221"/>
  <c r="DZ33" i="221"/>
  <c r="DY33" i="221"/>
  <c r="DS33" i="221"/>
  <c r="DV33" i="221"/>
  <c r="DT33" i="221"/>
  <c r="EK11" i="221"/>
  <c r="EJ11" i="221"/>
  <c r="EH11" i="221"/>
  <c r="EO11" i="221"/>
  <c r="EL11" i="221"/>
  <c r="EN11" i="221"/>
  <c r="EM11" i="221"/>
  <c r="EI11" i="221"/>
  <c r="EG11" i="221"/>
  <c r="EF11" i="221"/>
  <c r="EJ14" i="221"/>
  <c r="EK14" i="221"/>
  <c r="EH14" i="221"/>
  <c r="EN14" i="221"/>
  <c r="EL14" i="221"/>
  <c r="EO14" i="221"/>
  <c r="EM14" i="221"/>
  <c r="EI14" i="221"/>
  <c r="EG14" i="221"/>
  <c r="EF14" i="221"/>
  <c r="EJ18" i="221"/>
  <c r="EK18" i="221"/>
  <c r="EH18" i="221"/>
  <c r="EO18" i="221"/>
  <c r="EL18" i="221"/>
  <c r="EN18" i="221"/>
  <c r="EI18" i="221"/>
  <c r="EM18" i="221"/>
  <c r="EF18" i="221"/>
  <c r="EE18" i="221" s="1"/>
  <c r="EG18" i="221"/>
  <c r="EK23" i="221"/>
  <c r="EJ23" i="221"/>
  <c r="EH23" i="221"/>
  <c r="EN23" i="221"/>
  <c r="EL23" i="221"/>
  <c r="EI23" i="221"/>
  <c r="EM23" i="221"/>
  <c r="EO23" i="221"/>
  <c r="EF23" i="221"/>
  <c r="EG23" i="221"/>
  <c r="EK27" i="221"/>
  <c r="EH27" i="221"/>
  <c r="EJ27" i="221"/>
  <c r="EN27" i="221"/>
  <c r="EL27" i="221"/>
  <c r="EO27" i="221"/>
  <c r="EM27" i="221"/>
  <c r="EI27" i="221"/>
  <c r="EF27" i="221"/>
  <c r="EE27" i="221" s="1"/>
  <c r="EG27" i="221"/>
  <c r="EK31" i="221"/>
  <c r="EH31" i="221"/>
  <c r="EJ31" i="221"/>
  <c r="EL31" i="221"/>
  <c r="EN31" i="221"/>
  <c r="EM31" i="221"/>
  <c r="EI31" i="221"/>
  <c r="EO31" i="221"/>
  <c r="EF31" i="221"/>
  <c r="EG31" i="221"/>
  <c r="EJ38" i="221"/>
  <c r="EH38" i="221"/>
  <c r="EK38" i="221"/>
  <c r="EN38" i="221"/>
  <c r="EL38" i="221"/>
  <c r="EO38" i="221"/>
  <c r="EM38" i="221"/>
  <c r="EI38" i="221"/>
  <c r="EG38" i="221"/>
  <c r="EF38" i="221"/>
  <c r="EH34" i="221"/>
  <c r="EJ34" i="221"/>
  <c r="EO34" i="221"/>
  <c r="EK34" i="221"/>
  <c r="EN34" i="221"/>
  <c r="EL34" i="221"/>
  <c r="EF34" i="221"/>
  <c r="EE34" i="221" s="1"/>
  <c r="EG34" i="221"/>
  <c r="EI34" i="221"/>
  <c r="EM34" i="221"/>
  <c r="DJ16" i="221"/>
  <c r="DK16" i="221"/>
  <c r="DO16" i="221"/>
  <c r="DH16" i="221"/>
  <c r="DN16" i="221"/>
  <c r="DL16" i="221"/>
  <c r="DI16" i="221"/>
  <c r="DM16" i="221"/>
  <c r="DF16" i="221"/>
  <c r="DE16" i="221" s="1"/>
  <c r="DG16" i="221"/>
  <c r="DH24" i="221"/>
  <c r="DK24" i="221"/>
  <c r="DJ24" i="221"/>
  <c r="DO24" i="221"/>
  <c r="DN24" i="221"/>
  <c r="DL24" i="221"/>
  <c r="DI24" i="221"/>
  <c r="DF24" i="221"/>
  <c r="DM24" i="221"/>
  <c r="DG24" i="221"/>
  <c r="DJ32" i="221"/>
  <c r="DH32" i="221"/>
  <c r="DK32" i="221"/>
  <c r="DM32" i="221"/>
  <c r="DN32" i="221"/>
  <c r="DL32" i="221"/>
  <c r="DO32" i="221"/>
  <c r="DI32" i="221"/>
  <c r="DG32" i="221"/>
  <c r="DF32" i="221"/>
  <c r="DH39" i="221"/>
  <c r="DJ39" i="221"/>
  <c r="DK39" i="221"/>
  <c r="DL39" i="221"/>
  <c r="DO39" i="221"/>
  <c r="DM39" i="221"/>
  <c r="DN39" i="221"/>
  <c r="DI39" i="221"/>
  <c r="DF39" i="221"/>
  <c r="DG39" i="221"/>
  <c r="DJ35" i="221"/>
  <c r="DH35" i="221"/>
  <c r="DK35" i="221"/>
  <c r="DN35" i="221"/>
  <c r="DO35" i="221"/>
  <c r="DL35" i="221"/>
  <c r="DI35" i="221"/>
  <c r="DM35" i="221"/>
  <c r="DF35" i="221"/>
  <c r="DE35" i="221" s="1"/>
  <c r="DG35" i="221"/>
  <c r="DW13" i="221"/>
  <c r="EB13" i="221"/>
  <c r="DX13" i="221"/>
  <c r="DU13" i="221"/>
  <c r="EA13" i="221"/>
  <c r="DY13" i="221"/>
  <c r="DZ13" i="221"/>
  <c r="DV13" i="221"/>
  <c r="DS13" i="221"/>
  <c r="DT13" i="221"/>
  <c r="DW17" i="221"/>
  <c r="EB17" i="221"/>
  <c r="DX17" i="221"/>
  <c r="DU17" i="221"/>
  <c r="EA17" i="221"/>
  <c r="DY17" i="221"/>
  <c r="DV17" i="221"/>
  <c r="DZ17" i="221"/>
  <c r="DT17" i="221"/>
  <c r="DS17" i="221"/>
  <c r="DW21" i="221"/>
  <c r="DX21" i="221"/>
  <c r="DU21" i="221"/>
  <c r="EB21" i="221"/>
  <c r="EA21" i="221"/>
  <c r="DY21" i="221"/>
  <c r="DV21" i="221"/>
  <c r="DZ21" i="221"/>
  <c r="DT21" i="221"/>
  <c r="DS21" i="221"/>
  <c r="DX25" i="221"/>
  <c r="DU25" i="221"/>
  <c r="DW25" i="221"/>
  <c r="EB25" i="221"/>
  <c r="DY25" i="221"/>
  <c r="EA25" i="221"/>
  <c r="DZ25" i="221"/>
  <c r="DV25" i="221"/>
  <c r="DT25" i="221"/>
  <c r="DS25" i="221"/>
  <c r="DW29" i="221"/>
  <c r="DX29" i="221"/>
  <c r="DU29" i="221"/>
  <c r="EA29" i="221"/>
  <c r="DY29" i="221"/>
  <c r="EB29" i="221"/>
  <c r="DV29" i="221"/>
  <c r="DZ29" i="221"/>
  <c r="DS29" i="221"/>
  <c r="DT29" i="221"/>
  <c r="DV36" i="221"/>
  <c r="DW36" i="221"/>
  <c r="DU36" i="221"/>
  <c r="DX36" i="221"/>
  <c r="EA36" i="221"/>
  <c r="DZ36" i="221"/>
  <c r="EB36" i="221"/>
  <c r="DY36" i="221"/>
  <c r="DT36" i="221"/>
  <c r="DS36" i="221"/>
  <c r="DU40" i="221"/>
  <c r="DW40" i="221"/>
  <c r="DX40" i="221"/>
  <c r="EB40" i="221"/>
  <c r="DZ40" i="221"/>
  <c r="DY40" i="221"/>
  <c r="EA40" i="221"/>
  <c r="DV40" i="221"/>
  <c r="DS40" i="221"/>
  <c r="DT40" i="221"/>
  <c r="EJ10" i="221"/>
  <c r="EO10" i="221"/>
  <c r="EH10" i="221"/>
  <c r="EK10" i="221"/>
  <c r="EN10" i="221"/>
  <c r="EI10" i="221"/>
  <c r="EL10" i="221"/>
  <c r="EM10" i="221"/>
  <c r="EF10" i="221"/>
  <c r="EG10" i="221"/>
  <c r="EJ13" i="221"/>
  <c r="EO13" i="221"/>
  <c r="EK13" i="221"/>
  <c r="EH13" i="221"/>
  <c r="EN13" i="221"/>
  <c r="EL13" i="221"/>
  <c r="EM13" i="221"/>
  <c r="EI13" i="221"/>
  <c r="EF13" i="221"/>
  <c r="EG13" i="221"/>
  <c r="EJ17" i="221"/>
  <c r="EK17" i="221"/>
  <c r="EO17" i="221"/>
  <c r="EH17" i="221"/>
  <c r="EN17" i="221"/>
  <c r="EL17" i="221"/>
  <c r="EI17" i="221"/>
  <c r="EM17" i="221"/>
  <c r="EF17" i="221"/>
  <c r="EE17" i="221" s="1"/>
  <c r="EG17" i="221"/>
  <c r="EJ22" i="221"/>
  <c r="EH22" i="221"/>
  <c r="EK22" i="221"/>
  <c r="EM22" i="221"/>
  <c r="EL22" i="221"/>
  <c r="EN22" i="221"/>
  <c r="EO22" i="221"/>
  <c r="EI22" i="221"/>
  <c r="EG22" i="221"/>
  <c r="EF22" i="221"/>
  <c r="EK26" i="221"/>
  <c r="EH26" i="221"/>
  <c r="EJ26" i="221"/>
  <c r="EN26" i="221"/>
  <c r="EL26" i="221"/>
  <c r="EM26" i="221"/>
  <c r="EI26" i="221"/>
  <c r="EO26" i="221"/>
  <c r="EG26" i="221"/>
  <c r="EF26" i="221"/>
  <c r="EJ30" i="221"/>
  <c r="EK30" i="221"/>
  <c r="EH30" i="221"/>
  <c r="EL30" i="221"/>
  <c r="EN30" i="221"/>
  <c r="EO30" i="221"/>
  <c r="EM30" i="221"/>
  <c r="EI30" i="221"/>
  <c r="EG30" i="221"/>
  <c r="EF30" i="221"/>
  <c r="EH37" i="221"/>
  <c r="EJ37" i="221"/>
  <c r="EK37" i="221"/>
  <c r="EO37" i="221"/>
  <c r="EL37" i="221"/>
  <c r="EN37" i="221"/>
  <c r="EM37" i="221"/>
  <c r="EG37" i="221"/>
  <c r="EI37" i="221"/>
  <c r="EF37" i="221"/>
  <c r="EJ33" i="221"/>
  <c r="EH33" i="221"/>
  <c r="EK33" i="221"/>
  <c r="EO33" i="221"/>
  <c r="EN33" i="221"/>
  <c r="EM33" i="221"/>
  <c r="EL33" i="221"/>
  <c r="EG33" i="221"/>
  <c r="EF33" i="221"/>
  <c r="EI33" i="221"/>
  <c r="DJ12" i="221"/>
  <c r="DH12" i="221"/>
  <c r="DK12" i="221"/>
  <c r="DO12" i="221"/>
  <c r="DL12" i="221"/>
  <c r="DN12" i="221"/>
  <c r="DF12" i="221"/>
  <c r="DG12" i="221"/>
  <c r="DM12" i="221"/>
  <c r="DI12" i="221"/>
  <c r="DH20" i="221"/>
  <c r="DJ20" i="221"/>
  <c r="DK20" i="221"/>
  <c r="DO20" i="221"/>
  <c r="DN20" i="221"/>
  <c r="DL20" i="221"/>
  <c r="DI20" i="221"/>
  <c r="DF20" i="221"/>
  <c r="DG20" i="221"/>
  <c r="DM20" i="221"/>
  <c r="DJ28" i="221"/>
  <c r="DH28" i="221"/>
  <c r="DK28" i="221"/>
  <c r="DO28" i="221"/>
  <c r="DL28" i="221"/>
  <c r="DN28" i="221"/>
  <c r="DI28" i="221"/>
  <c r="DG28" i="221"/>
  <c r="DM28" i="221"/>
  <c r="DF28" i="221"/>
  <c r="DJ11" i="221"/>
  <c r="DH11" i="221"/>
  <c r="DK11" i="221"/>
  <c r="DO11" i="221"/>
  <c r="DN11" i="221"/>
  <c r="DL11" i="221"/>
  <c r="DI11" i="221"/>
  <c r="DG11" i="221"/>
  <c r="DF11" i="221"/>
  <c r="DM11" i="221"/>
  <c r="DJ15" i="221"/>
  <c r="DO15" i="221"/>
  <c r="DK15" i="221"/>
  <c r="DH15" i="221"/>
  <c r="DL15" i="221"/>
  <c r="DN15" i="221"/>
  <c r="DM15" i="221"/>
  <c r="DI15" i="221"/>
  <c r="DG15" i="221"/>
  <c r="DF15" i="221"/>
  <c r="DJ19" i="221"/>
  <c r="DO19" i="221"/>
  <c r="DK19" i="221"/>
  <c r="DH19" i="221"/>
  <c r="DL19" i="221"/>
  <c r="DN19" i="221"/>
  <c r="DM19" i="221"/>
  <c r="DI19" i="221"/>
  <c r="DF19" i="221"/>
  <c r="DG19" i="221"/>
  <c r="DJ23" i="221"/>
  <c r="DH23" i="221"/>
  <c r="DK23" i="221"/>
  <c r="DN23" i="221"/>
  <c r="DL23" i="221"/>
  <c r="DM23" i="221"/>
  <c r="DO23" i="221"/>
  <c r="DI23" i="221"/>
  <c r="DG23" i="221"/>
  <c r="DF23" i="221"/>
  <c r="DH27" i="221"/>
  <c r="DK27" i="221"/>
  <c r="DJ27" i="221"/>
  <c r="DN27" i="221"/>
  <c r="DL27" i="221"/>
  <c r="DM27" i="221"/>
  <c r="DO27" i="221"/>
  <c r="DI27" i="221"/>
  <c r="DF27" i="221"/>
  <c r="DG27" i="221"/>
  <c r="DH31" i="221"/>
  <c r="DJ31" i="221"/>
  <c r="DK31" i="221"/>
  <c r="DL31" i="221"/>
  <c r="DN31" i="221"/>
  <c r="DI31" i="221"/>
  <c r="DM31" i="221"/>
  <c r="DO31" i="221"/>
  <c r="DG31" i="221"/>
  <c r="DF31" i="221"/>
  <c r="DH38" i="221"/>
  <c r="DJ38" i="221"/>
  <c r="DK38" i="221"/>
  <c r="DL38" i="221"/>
  <c r="DO38" i="221"/>
  <c r="DN38" i="221"/>
  <c r="DI38" i="221"/>
  <c r="DM38" i="221"/>
  <c r="DF38" i="221"/>
  <c r="DG38" i="221"/>
  <c r="DJ34" i="221"/>
  <c r="DH34" i="221"/>
  <c r="DK34" i="221"/>
  <c r="DO34" i="221"/>
  <c r="DN34" i="221"/>
  <c r="DL34" i="221"/>
  <c r="DM34" i="221"/>
  <c r="DF34" i="221"/>
  <c r="DG34" i="221"/>
  <c r="DI34" i="221"/>
  <c r="DW12" i="221"/>
  <c r="DX12" i="221"/>
  <c r="DU12" i="221"/>
  <c r="EB12" i="221"/>
  <c r="DY12" i="221"/>
  <c r="EA12" i="221"/>
  <c r="DV12" i="221"/>
  <c r="DS12" i="221"/>
  <c r="DT12" i="221"/>
  <c r="DZ12" i="221"/>
  <c r="DX16" i="221"/>
  <c r="EB16" i="221"/>
  <c r="DW16" i="221"/>
  <c r="DU16" i="221"/>
  <c r="DY16" i="221"/>
  <c r="EA16" i="221"/>
  <c r="DV16" i="221"/>
  <c r="DZ16" i="221"/>
  <c r="DS16" i="221"/>
  <c r="DR16" i="221" s="1"/>
  <c r="DT16" i="221"/>
  <c r="DX20" i="221"/>
  <c r="DU20" i="221"/>
  <c r="DW20" i="221"/>
  <c r="EB20" i="221"/>
  <c r="EA20" i="221"/>
  <c r="DY20" i="221"/>
  <c r="DS20" i="221"/>
  <c r="DR20" i="221" s="1"/>
  <c r="DZ20" i="221"/>
  <c r="DT20" i="221"/>
  <c r="DV20" i="221"/>
  <c r="DX24" i="221"/>
  <c r="DW24" i="221"/>
  <c r="DU24" i="221"/>
  <c r="EB24" i="221"/>
  <c r="DY24" i="221"/>
  <c r="EA24" i="221"/>
  <c r="DT24" i="221"/>
  <c r="DS24" i="221"/>
  <c r="DV24" i="221"/>
  <c r="DZ24" i="221"/>
  <c r="DW28" i="221"/>
  <c r="DU28" i="221"/>
  <c r="DX28" i="221"/>
  <c r="EB28" i="221"/>
  <c r="DY28" i="221"/>
  <c r="EA28" i="221"/>
  <c r="DZ28" i="221"/>
  <c r="DT28" i="221"/>
  <c r="DS28" i="221"/>
  <c r="DV28" i="221"/>
  <c r="DW32" i="221"/>
  <c r="DU32" i="221"/>
  <c r="DX32" i="221"/>
  <c r="EA32" i="221"/>
  <c r="EB32" i="221"/>
  <c r="DY32" i="221"/>
  <c r="DZ32" i="221"/>
  <c r="DV32" i="221"/>
  <c r="DT32" i="221"/>
  <c r="DS32" i="221"/>
  <c r="DW39" i="221"/>
  <c r="DU39" i="221"/>
  <c r="DX39" i="221"/>
  <c r="DZ39" i="221"/>
  <c r="EA39" i="221"/>
  <c r="DY39" i="221"/>
  <c r="EB39" i="221"/>
  <c r="DV39" i="221"/>
  <c r="DS39" i="221"/>
  <c r="DT39" i="221"/>
  <c r="DW35" i="221"/>
  <c r="DU35" i="221"/>
  <c r="DX35" i="221"/>
  <c r="DY35" i="221"/>
  <c r="EA35" i="221"/>
  <c r="EB35" i="221"/>
  <c r="DV35" i="221"/>
  <c r="DZ35" i="221"/>
  <c r="DT35" i="221"/>
  <c r="DS35" i="221"/>
  <c r="EJ12" i="221"/>
  <c r="EK12" i="221"/>
  <c r="EH12" i="221"/>
  <c r="EO12" i="221"/>
  <c r="EN12" i="221"/>
  <c r="EL12" i="221"/>
  <c r="EM12" i="221"/>
  <c r="EF12" i="221"/>
  <c r="EI12" i="221"/>
  <c r="EG12" i="221"/>
  <c r="EJ16" i="221"/>
  <c r="EK16" i="221"/>
  <c r="EO16" i="221"/>
  <c r="EH16" i="221"/>
  <c r="EL16" i="221"/>
  <c r="EN16" i="221"/>
  <c r="EM16" i="221"/>
  <c r="EI16" i="221"/>
  <c r="EG16" i="221"/>
  <c r="EF16" i="221"/>
  <c r="EK21" i="221"/>
  <c r="EH21" i="221"/>
  <c r="EJ21" i="221"/>
  <c r="EO21" i="221"/>
  <c r="EL21" i="221"/>
  <c r="EN21" i="221"/>
  <c r="EM21" i="221"/>
  <c r="EI21" i="221"/>
  <c r="EG21" i="221"/>
  <c r="EF21" i="221"/>
  <c r="EK25" i="221"/>
  <c r="EH25" i="221"/>
  <c r="EJ25" i="221"/>
  <c r="EO25" i="221"/>
  <c r="EL25" i="221"/>
  <c r="EN25" i="221"/>
  <c r="EM25" i="221"/>
  <c r="EI25" i="221"/>
  <c r="EF25" i="221"/>
  <c r="EG25" i="221"/>
  <c r="EK29" i="221"/>
  <c r="EH29" i="221"/>
  <c r="EJ29" i="221"/>
  <c r="EO29" i="221"/>
  <c r="EL29" i="221"/>
  <c r="EN29" i="221"/>
  <c r="EI29" i="221"/>
  <c r="EM29" i="221"/>
  <c r="EG29" i="221"/>
  <c r="EF29" i="221"/>
  <c r="EH36" i="221"/>
  <c r="EJ36" i="221"/>
  <c r="EI36" i="221"/>
  <c r="EK36" i="221"/>
  <c r="EM36" i="221"/>
  <c r="EN36" i="221"/>
  <c r="EO36" i="221"/>
  <c r="EL36" i="221"/>
  <c r="EG36" i="221"/>
  <c r="EF36" i="221"/>
  <c r="EH40" i="221"/>
  <c r="EJ40" i="221"/>
  <c r="EK40" i="221"/>
  <c r="EN40" i="221"/>
  <c r="EO40" i="221"/>
  <c r="EM40" i="221"/>
  <c r="EL40" i="221"/>
  <c r="EI40" i="221"/>
  <c r="EF40" i="221"/>
  <c r="EG40" i="221"/>
  <c r="EE21" i="221" l="1"/>
  <c r="EE14" i="221"/>
  <c r="DE29" i="221"/>
  <c r="EE39" i="221"/>
  <c r="EE24" i="221"/>
  <c r="EE20" i="221"/>
  <c r="EE19" i="221"/>
  <c r="DR27" i="221"/>
  <c r="DR11" i="221"/>
  <c r="DE26" i="221"/>
  <c r="EE29" i="221"/>
  <c r="EL41" i="221"/>
  <c r="EL43" i="221" s="1"/>
  <c r="EL42" i="221"/>
  <c r="EH41" i="221"/>
  <c r="EH43" i="221" s="1"/>
  <c r="EH42" i="221"/>
  <c r="EA42" i="221"/>
  <c r="EA41" i="221"/>
  <c r="DX42" i="221"/>
  <c r="DX41" i="221"/>
  <c r="DF42" i="221"/>
  <c r="DF41" i="221"/>
  <c r="DE10" i="221"/>
  <c r="DL41" i="221"/>
  <c r="DL42" i="221"/>
  <c r="DH41" i="221"/>
  <c r="DH42" i="221"/>
  <c r="EE40" i="221"/>
  <c r="DR39" i="221"/>
  <c r="DR28" i="221"/>
  <c r="DE38" i="221"/>
  <c r="DE27" i="221"/>
  <c r="DE19" i="221"/>
  <c r="DE11" i="221"/>
  <c r="DE12" i="221"/>
  <c r="EE33" i="221"/>
  <c r="EE13" i="221"/>
  <c r="DR40" i="221"/>
  <c r="DR29" i="221"/>
  <c r="DR13" i="221"/>
  <c r="DE39" i="221"/>
  <c r="EE31" i="221"/>
  <c r="EE23" i="221"/>
  <c r="DR30" i="221"/>
  <c r="DR14" i="221"/>
  <c r="DE13" i="221"/>
  <c r="DR38" i="221"/>
  <c r="DR19" i="221"/>
  <c r="DE37" i="221"/>
  <c r="EM41" i="221"/>
  <c r="EM42" i="221"/>
  <c r="EK42" i="221"/>
  <c r="EK41" i="221"/>
  <c r="EK43" i="221" s="1"/>
  <c r="DV41" i="221"/>
  <c r="DV42" i="221"/>
  <c r="EB42" i="221"/>
  <c r="EB41" i="221"/>
  <c r="EB43" i="221" s="1"/>
  <c r="DG42" i="221"/>
  <c r="DG41" i="221"/>
  <c r="DG43" i="221" s="1"/>
  <c r="DM42" i="221"/>
  <c r="DM41" i="221"/>
  <c r="DM43" i="221" s="1"/>
  <c r="DK42" i="221"/>
  <c r="DK41" i="221"/>
  <c r="DK43" i="221" s="1"/>
  <c r="DR24" i="221"/>
  <c r="DE34" i="221"/>
  <c r="EE30" i="221"/>
  <c r="EE22" i="221"/>
  <c r="DR21" i="221"/>
  <c r="DR22" i="221"/>
  <c r="DE40" i="221"/>
  <c r="DE21" i="221"/>
  <c r="DE18" i="221"/>
  <c r="EF41" i="221"/>
  <c r="EF43" i="221" s="1"/>
  <c r="EF42" i="221"/>
  <c r="EE10" i="221"/>
  <c r="EN41" i="221"/>
  <c r="EN42" i="221"/>
  <c r="EJ41" i="221"/>
  <c r="EJ42" i="221"/>
  <c r="DS42" i="221"/>
  <c r="DS41" i="221"/>
  <c r="DS43" i="221" s="1"/>
  <c r="DR10" i="221"/>
  <c r="DY41" i="221"/>
  <c r="DY43" i="221" s="1"/>
  <c r="DY42" i="221"/>
  <c r="DW42" i="221"/>
  <c r="DW41" i="221"/>
  <c r="DN42" i="221"/>
  <c r="DN41" i="221"/>
  <c r="DO42" i="221"/>
  <c r="DO41" i="221"/>
  <c r="EE25" i="221"/>
  <c r="EG42" i="221"/>
  <c r="EG41" i="221"/>
  <c r="EG43" i="221" s="1"/>
  <c r="EI41" i="221"/>
  <c r="EI42" i="221"/>
  <c r="EO42" i="221"/>
  <c r="EO41" i="221"/>
  <c r="EO43" i="221" s="1"/>
  <c r="DT42" i="221"/>
  <c r="DT41" i="221"/>
  <c r="DT43" i="221" s="1"/>
  <c r="DZ41" i="221"/>
  <c r="DZ42" i="221"/>
  <c r="DU41" i="221"/>
  <c r="DU42" i="221"/>
  <c r="DI42" i="221"/>
  <c r="DI41" i="221"/>
  <c r="DI43" i="221" s="1"/>
  <c r="DJ42" i="221"/>
  <c r="DJ41" i="221"/>
  <c r="DJ43" i="221" s="1"/>
  <c r="EE36" i="221"/>
  <c r="EE16" i="221"/>
  <c r="EE12" i="221"/>
  <c r="DR35" i="221"/>
  <c r="DR32" i="221"/>
  <c r="DR12" i="221"/>
  <c r="DE31" i="221"/>
  <c r="DE23" i="221"/>
  <c r="DE15" i="221"/>
  <c r="DE28" i="221"/>
  <c r="DE20" i="221"/>
  <c r="EE37" i="221"/>
  <c r="EE26" i="221"/>
  <c r="DR36" i="221"/>
  <c r="DR25" i="221"/>
  <c r="DR17" i="221"/>
  <c r="DE32" i="221"/>
  <c r="DE24" i="221"/>
  <c r="EE38" i="221"/>
  <c r="EE11" i="221"/>
  <c r="DR33" i="221"/>
  <c r="DR37" i="221"/>
  <c r="DR26" i="221"/>
  <c r="DR18" i="221"/>
  <c r="DE36" i="221"/>
  <c r="DE25" i="221"/>
  <c r="EE28" i="221"/>
  <c r="DR34" i="221"/>
  <c r="DR15" i="221"/>
  <c r="DE33" i="221"/>
  <c r="DE30" i="221"/>
  <c r="DR41" i="221" l="1"/>
  <c r="DR42" i="221"/>
  <c r="DU43" i="221"/>
  <c r="EI43" i="221"/>
  <c r="DO43" i="221"/>
  <c r="DW43" i="221"/>
  <c r="EJ43" i="221"/>
  <c r="DV43" i="221"/>
  <c r="EM43" i="221"/>
  <c r="DH43" i="221"/>
  <c r="DF43" i="221"/>
  <c r="EA43" i="221"/>
  <c r="EE41" i="221"/>
  <c r="EE42" i="221"/>
  <c r="DE42" i="221"/>
  <c r="DE41" i="221"/>
  <c r="DZ43" i="221"/>
  <c r="DN43" i="221"/>
  <c r="EN43" i="221"/>
  <c r="DL43" i="221"/>
  <c r="DX43" i="221"/>
  <c r="EE44" i="221" l="1"/>
  <c r="EE43" i="221"/>
  <c r="DR43" i="221"/>
  <c r="DR44" i="221"/>
  <c r="DE44" i="221"/>
  <c r="DE43" i="221"/>
  <c r="KV185" i="87" l="1"/>
  <c r="KL185" i="87"/>
  <c r="JR185" i="87"/>
  <c r="IX185" i="87"/>
  <c r="IS185" i="87"/>
  <c r="IN185" i="87"/>
  <c r="ID185" i="87"/>
  <c r="HO185" i="87"/>
  <c r="HJ185" i="87"/>
  <c r="GP185" i="87"/>
  <c r="GK185" i="87"/>
  <c r="GF185" i="87"/>
  <c r="FL185" i="87"/>
  <c r="FV185" i="87"/>
  <c r="FB185" i="87"/>
  <c r="ER185" i="87"/>
  <c r="EH185" i="87"/>
  <c r="EC185" i="87"/>
  <c r="DX185" i="87"/>
  <c r="DN185" i="87"/>
  <c r="DD185" i="87"/>
  <c r="CJ185" i="87"/>
  <c r="BZ185" i="87"/>
  <c r="BF185" i="87"/>
  <c r="AV185" i="87"/>
  <c r="AL185" i="87"/>
  <c r="AB185" i="87"/>
  <c r="R185" i="87"/>
  <c r="H185" i="87"/>
  <c r="EM97" i="87"/>
  <c r="FQ97" i="87"/>
  <c r="BU126" i="87"/>
  <c r="LA126" i="87"/>
  <c r="LA97" i="87"/>
  <c r="KQ126" i="87"/>
  <c r="KQ97" i="87"/>
  <c r="KG126" i="87"/>
  <c r="KG97" i="87"/>
  <c r="JW126" i="87"/>
  <c r="JW97" i="87"/>
  <c r="JM126" i="87"/>
  <c r="JM97" i="87"/>
  <c r="JC126" i="87"/>
  <c r="JC97" i="87"/>
  <c r="IS126" i="87"/>
  <c r="IS97" i="87"/>
  <c r="II126" i="87"/>
  <c r="II97" i="87"/>
  <c r="HY126" i="87"/>
  <c r="HY97" i="87"/>
  <c r="HO126" i="87"/>
  <c r="HO97" i="87"/>
  <c r="HE126" i="87"/>
  <c r="HE97" i="87"/>
  <c r="GU126" i="87"/>
  <c r="GU97" i="87"/>
  <c r="GK126" i="87"/>
  <c r="GK97" i="87"/>
  <c r="GA126" i="87"/>
  <c r="GA97" i="87"/>
  <c r="FQ126" i="87"/>
  <c r="FG126" i="87"/>
  <c r="FG97" i="87"/>
  <c r="EW126" i="87"/>
  <c r="EW97" i="87"/>
  <c r="EM126" i="87"/>
  <c r="EC126" i="87"/>
  <c r="EC97" i="87"/>
  <c r="DS126" i="87"/>
  <c r="DS97" i="87"/>
  <c r="DI126" i="87"/>
  <c r="DI97" i="87"/>
  <c r="CY126" i="87"/>
  <c r="CY97" i="87"/>
  <c r="CO126" i="87"/>
  <c r="CO97" i="87"/>
  <c r="CE126" i="87"/>
  <c r="CE97" i="87"/>
  <c r="BU97" i="87"/>
  <c r="BK126" i="87"/>
  <c r="BK97" i="87"/>
  <c r="BA126" i="87"/>
  <c r="BA97" i="87"/>
  <c r="AQ126" i="87"/>
  <c r="AQ97" i="87"/>
  <c r="AG126" i="87"/>
  <c r="AG97" i="87"/>
  <c r="W126" i="87"/>
  <c r="W97" i="87"/>
  <c r="M97" i="87"/>
  <c r="M126" i="87"/>
  <c r="KG68" i="87"/>
  <c r="JW68" i="87"/>
  <c r="HO68" i="87"/>
  <c r="AQ68" i="87"/>
  <c r="AG68" i="87"/>
  <c r="M68" i="87"/>
  <c r="LA39" i="87"/>
  <c r="KQ39" i="87"/>
  <c r="KG39" i="87"/>
  <c r="JW39" i="87"/>
  <c r="JM39" i="87"/>
  <c r="JC39" i="87"/>
  <c r="IS39" i="87"/>
  <c r="II39" i="87"/>
  <c r="HY39" i="87"/>
  <c r="HO39" i="87"/>
  <c r="HE39" i="87"/>
  <c r="GU39" i="87"/>
  <c r="GK39" i="87"/>
  <c r="GA39" i="87"/>
  <c r="FQ39" i="87"/>
  <c r="FG39" i="87"/>
  <c r="EW39" i="87"/>
  <c r="EM39" i="87"/>
  <c r="EC39" i="87"/>
  <c r="DS39" i="87"/>
  <c r="DI39" i="87"/>
  <c r="CY39" i="87"/>
  <c r="CO39" i="87"/>
  <c r="CE39" i="87"/>
  <c r="BU39" i="87"/>
  <c r="BK39" i="87"/>
  <c r="BA39" i="87"/>
  <c r="AQ39" i="87"/>
  <c r="AG39" i="87"/>
  <c r="W39" i="87"/>
  <c r="M39" i="87" l="1"/>
  <c r="AG50" i="219" l="1"/>
  <c r="AH50" i="219" s="1"/>
  <c r="AJ50" i="219" s="1"/>
  <c r="AK50" i="219" s="1"/>
  <c r="AF50" i="219"/>
  <c r="AE50" i="219"/>
  <c r="T50" i="219"/>
  <c r="V50" i="219" s="1"/>
  <c r="W50" i="219" s="1"/>
  <c r="L50" i="219"/>
  <c r="N50" i="219" s="1"/>
  <c r="O50" i="219" s="1"/>
  <c r="D50" i="219"/>
  <c r="AR48" i="219"/>
  <c r="AO48" i="219"/>
  <c r="AN48" i="219"/>
  <c r="AI48" i="219"/>
  <c r="U48" i="219"/>
  <c r="S48" i="219"/>
  <c r="M48" i="219"/>
  <c r="K48" i="219"/>
  <c r="E48" i="219"/>
  <c r="C48" i="219"/>
  <c r="AR46" i="219"/>
  <c r="AR47" i="219" s="1"/>
  <c r="AO46" i="219"/>
  <c r="AO47" i="219" s="1"/>
  <c r="AN46" i="219"/>
  <c r="AN47" i="219" s="1"/>
  <c r="AI46" i="219"/>
  <c r="AI47" i="219" s="1"/>
  <c r="U46" i="219"/>
  <c r="U47" i="219" s="1"/>
  <c r="S46" i="219"/>
  <c r="S47" i="219" s="1"/>
  <c r="M46" i="219"/>
  <c r="M47" i="219" s="1"/>
  <c r="K46" i="219"/>
  <c r="K47" i="219" s="1"/>
  <c r="E46" i="219"/>
  <c r="E47" i="219" s="1"/>
  <c r="C46" i="219"/>
  <c r="C47" i="219" s="1"/>
  <c r="BD45" i="219"/>
  <c r="AX45" i="219"/>
  <c r="AQ45" i="219"/>
  <c r="AS45" i="219" s="1"/>
  <c r="AU45" i="219" s="1"/>
  <c r="AV45" i="219" s="1"/>
  <c r="AA45" i="219"/>
  <c r="AA48" i="219" s="1"/>
  <c r="T45" i="219"/>
  <c r="V45" i="219" s="1"/>
  <c r="X45" i="219" s="1"/>
  <c r="Y45" i="219" s="1"/>
  <c r="L45" i="219"/>
  <c r="N45" i="219" s="1"/>
  <c r="P45" i="219" s="1"/>
  <c r="Q45" i="219" s="1"/>
  <c r="D45" i="219"/>
  <c r="F45" i="219" s="1"/>
  <c r="H45" i="219" s="1"/>
  <c r="I45" i="219" s="1"/>
  <c r="BD44" i="219"/>
  <c r="AX44" i="219"/>
  <c r="AQ44" i="219"/>
  <c r="AS44" i="219" s="1"/>
  <c r="AU44" i="219" s="1"/>
  <c r="AV44" i="219" s="1"/>
  <c r="AE44" i="219"/>
  <c r="AC44" i="219"/>
  <c r="AF44" i="219" s="1"/>
  <c r="T44" i="219"/>
  <c r="V44" i="219" s="1"/>
  <c r="X44" i="219" s="1"/>
  <c r="Y44" i="219" s="1"/>
  <c r="L44" i="219"/>
  <c r="N44" i="219" s="1"/>
  <c r="P44" i="219" s="1"/>
  <c r="Q44" i="219" s="1"/>
  <c r="D44" i="219"/>
  <c r="F44" i="219" s="1"/>
  <c r="H44" i="219" s="1"/>
  <c r="BD43" i="219"/>
  <c r="AX43" i="219"/>
  <c r="AQ43" i="219"/>
  <c r="AS43" i="219" s="1"/>
  <c r="AU43" i="219" s="1"/>
  <c r="AV43" i="219" s="1"/>
  <c r="AE43" i="219"/>
  <c r="AC43" i="219"/>
  <c r="AG43" i="219" s="1"/>
  <c r="T43" i="219"/>
  <c r="V43" i="219" s="1"/>
  <c r="X43" i="219" s="1"/>
  <c r="Y43" i="219" s="1"/>
  <c r="L43" i="219"/>
  <c r="N43" i="219" s="1"/>
  <c r="P43" i="219" s="1"/>
  <c r="Q43" i="219" s="1"/>
  <c r="D43" i="219"/>
  <c r="F43" i="219" s="1"/>
  <c r="H43" i="219" s="1"/>
  <c r="I43" i="219" s="1"/>
  <c r="BD42" i="219"/>
  <c r="AX42" i="219"/>
  <c r="AQ42" i="219"/>
  <c r="AS42" i="219" s="1"/>
  <c r="AU42" i="219" s="1"/>
  <c r="AV42" i="219" s="1"/>
  <c r="AE42" i="219"/>
  <c r="AC42" i="219"/>
  <c r="AF42" i="219" s="1"/>
  <c r="T42" i="219"/>
  <c r="V42" i="219" s="1"/>
  <c r="X42" i="219" s="1"/>
  <c r="Y42" i="219" s="1"/>
  <c r="L42" i="219"/>
  <c r="N42" i="219" s="1"/>
  <c r="P42" i="219" s="1"/>
  <c r="Q42" i="219" s="1"/>
  <c r="D42" i="219"/>
  <c r="F42" i="219" s="1"/>
  <c r="H42" i="219" s="1"/>
  <c r="BD41" i="219"/>
  <c r="AX41" i="219"/>
  <c r="AQ41" i="219"/>
  <c r="AS41" i="219" s="1"/>
  <c r="AU41" i="219" s="1"/>
  <c r="AV41" i="219" s="1"/>
  <c r="AE41" i="219"/>
  <c r="AC41" i="219"/>
  <c r="AG41" i="219" s="1"/>
  <c r="T41" i="219"/>
  <c r="V41" i="219" s="1"/>
  <c r="X41" i="219" s="1"/>
  <c r="Y41" i="219" s="1"/>
  <c r="L41" i="219"/>
  <c r="N41" i="219" s="1"/>
  <c r="P41" i="219" s="1"/>
  <c r="Q41" i="219" s="1"/>
  <c r="D41" i="219"/>
  <c r="BD40" i="219"/>
  <c r="AX40" i="219"/>
  <c r="AQ40" i="219"/>
  <c r="AS40" i="219" s="1"/>
  <c r="AU40" i="219" s="1"/>
  <c r="AV40" i="219" s="1"/>
  <c r="AE40" i="219"/>
  <c r="AC40" i="219"/>
  <c r="AF40" i="219" s="1"/>
  <c r="T40" i="219"/>
  <c r="V40" i="219" s="1"/>
  <c r="X40" i="219" s="1"/>
  <c r="Y40" i="219" s="1"/>
  <c r="L40" i="219"/>
  <c r="N40" i="219" s="1"/>
  <c r="P40" i="219" s="1"/>
  <c r="Q40" i="219" s="1"/>
  <c r="D40" i="219"/>
  <c r="F40" i="219" s="1"/>
  <c r="H40" i="219" s="1"/>
  <c r="BD39" i="219"/>
  <c r="AX39" i="219"/>
  <c r="AQ39" i="219"/>
  <c r="AS39" i="219" s="1"/>
  <c r="AU39" i="219" s="1"/>
  <c r="AV39" i="219" s="1"/>
  <c r="AF39" i="219"/>
  <c r="AE39" i="219"/>
  <c r="AC39" i="219"/>
  <c r="AG39" i="219" s="1"/>
  <c r="AH39" i="219" s="1"/>
  <c r="T39" i="219"/>
  <c r="V39" i="219" s="1"/>
  <c r="X39" i="219" s="1"/>
  <c r="Y39" i="219" s="1"/>
  <c r="L39" i="219"/>
  <c r="N39" i="219" s="1"/>
  <c r="P39" i="219" s="1"/>
  <c r="Q39" i="219" s="1"/>
  <c r="D39" i="219"/>
  <c r="F39" i="219" s="1"/>
  <c r="H39" i="219" s="1"/>
  <c r="I39" i="219" s="1"/>
  <c r="BD38" i="219"/>
  <c r="AX38" i="219"/>
  <c r="AQ38" i="219"/>
  <c r="AS38" i="219" s="1"/>
  <c r="AU38" i="219" s="1"/>
  <c r="AV38" i="219" s="1"/>
  <c r="AE38" i="219"/>
  <c r="AC38" i="219"/>
  <c r="AF38" i="219" s="1"/>
  <c r="T38" i="219"/>
  <c r="V38" i="219" s="1"/>
  <c r="X38" i="219" s="1"/>
  <c r="Y38" i="219" s="1"/>
  <c r="L38" i="219"/>
  <c r="N38" i="219" s="1"/>
  <c r="P38" i="219" s="1"/>
  <c r="Q38" i="219" s="1"/>
  <c r="D38" i="219"/>
  <c r="F38" i="219" s="1"/>
  <c r="H38" i="219" s="1"/>
  <c r="BD37" i="219"/>
  <c r="AX37" i="219"/>
  <c r="AQ37" i="219"/>
  <c r="AS37" i="219" s="1"/>
  <c r="AU37" i="219" s="1"/>
  <c r="AV37" i="219" s="1"/>
  <c r="AE37" i="219"/>
  <c r="AC37" i="219"/>
  <c r="AG37" i="219" s="1"/>
  <c r="T37" i="219"/>
  <c r="V37" i="219" s="1"/>
  <c r="X37" i="219" s="1"/>
  <c r="Y37" i="219" s="1"/>
  <c r="L37" i="219"/>
  <c r="N37" i="219" s="1"/>
  <c r="P37" i="219" s="1"/>
  <c r="Q37" i="219" s="1"/>
  <c r="D37" i="219"/>
  <c r="BD36" i="219"/>
  <c r="AX36" i="219"/>
  <c r="AQ36" i="219"/>
  <c r="AS36" i="219" s="1"/>
  <c r="AU36" i="219" s="1"/>
  <c r="AV36" i="219" s="1"/>
  <c r="AE36" i="219"/>
  <c r="AC36" i="219"/>
  <c r="AF36" i="219" s="1"/>
  <c r="T36" i="219"/>
  <c r="V36" i="219" s="1"/>
  <c r="X36" i="219" s="1"/>
  <c r="Y36" i="219" s="1"/>
  <c r="L36" i="219"/>
  <c r="N36" i="219" s="1"/>
  <c r="P36" i="219" s="1"/>
  <c r="Q36" i="219" s="1"/>
  <c r="D36" i="219"/>
  <c r="F36" i="219" s="1"/>
  <c r="H36" i="219" s="1"/>
  <c r="BD35" i="219"/>
  <c r="AX35" i="219"/>
  <c r="AQ35" i="219"/>
  <c r="AS35" i="219" s="1"/>
  <c r="AU35" i="219" s="1"/>
  <c r="AV35" i="219" s="1"/>
  <c r="AF35" i="219"/>
  <c r="AE35" i="219"/>
  <c r="AC35" i="219"/>
  <c r="AG35" i="219" s="1"/>
  <c r="AH35" i="219" s="1"/>
  <c r="T35" i="219"/>
  <c r="V35" i="219" s="1"/>
  <c r="X35" i="219" s="1"/>
  <c r="Y35" i="219" s="1"/>
  <c r="L35" i="219"/>
  <c r="N35" i="219" s="1"/>
  <c r="P35" i="219" s="1"/>
  <c r="Q35" i="219" s="1"/>
  <c r="D35" i="219"/>
  <c r="F35" i="219" s="1"/>
  <c r="H35" i="219" s="1"/>
  <c r="I35" i="219" s="1"/>
  <c r="BD34" i="219"/>
  <c r="AX34" i="219"/>
  <c r="AQ34" i="219"/>
  <c r="AS34" i="219" s="1"/>
  <c r="AU34" i="219" s="1"/>
  <c r="AV34" i="219" s="1"/>
  <c r="AE34" i="219"/>
  <c r="AC34" i="219"/>
  <c r="AF34" i="219" s="1"/>
  <c r="T34" i="219"/>
  <c r="V34" i="219" s="1"/>
  <c r="X34" i="219" s="1"/>
  <c r="Y34" i="219" s="1"/>
  <c r="L34" i="219"/>
  <c r="N34" i="219" s="1"/>
  <c r="P34" i="219" s="1"/>
  <c r="Q34" i="219" s="1"/>
  <c r="D34" i="219"/>
  <c r="F34" i="219" s="1"/>
  <c r="H34" i="219" s="1"/>
  <c r="BD33" i="219"/>
  <c r="AX33" i="219"/>
  <c r="AQ33" i="219"/>
  <c r="AS33" i="219" s="1"/>
  <c r="AU33" i="219" s="1"/>
  <c r="AV33" i="219" s="1"/>
  <c r="AE33" i="219"/>
  <c r="AC33" i="219"/>
  <c r="AG33" i="219" s="1"/>
  <c r="T33" i="219"/>
  <c r="V33" i="219" s="1"/>
  <c r="X33" i="219" s="1"/>
  <c r="Y33" i="219" s="1"/>
  <c r="L33" i="219"/>
  <c r="H33" i="219"/>
  <c r="I33" i="219" s="1"/>
  <c r="F33" i="219"/>
  <c r="BD32" i="219"/>
  <c r="AX32" i="219"/>
  <c r="AQ32" i="219"/>
  <c r="AS32" i="219" s="1"/>
  <c r="AU32" i="219" s="1"/>
  <c r="AV32" i="219" s="1"/>
  <c r="AE32" i="219"/>
  <c r="AC32" i="219"/>
  <c r="AG32" i="219" s="1"/>
  <c r="T32" i="219"/>
  <c r="V32" i="219" s="1"/>
  <c r="X32" i="219" s="1"/>
  <c r="Y32" i="219" s="1"/>
  <c r="L32" i="219"/>
  <c r="N32" i="219" s="1"/>
  <c r="P32" i="219" s="1"/>
  <c r="Q32" i="219" s="1"/>
  <c r="D32" i="219"/>
  <c r="BD31" i="219"/>
  <c r="AX31" i="219"/>
  <c r="AQ31" i="219"/>
  <c r="AS31" i="219" s="1"/>
  <c r="AU31" i="219" s="1"/>
  <c r="AV31" i="219" s="1"/>
  <c r="AF31" i="219"/>
  <c r="AE31" i="219"/>
  <c r="AC31" i="219"/>
  <c r="AG31" i="219" s="1"/>
  <c r="T31" i="219"/>
  <c r="V31" i="219" s="1"/>
  <c r="X31" i="219" s="1"/>
  <c r="Y31" i="219" s="1"/>
  <c r="N31" i="219"/>
  <c r="P31" i="219" s="1"/>
  <c r="Q31" i="219" s="1"/>
  <c r="L31" i="219"/>
  <c r="D31" i="219"/>
  <c r="F31" i="219" s="1"/>
  <c r="H31" i="219" s="1"/>
  <c r="BD30" i="219"/>
  <c r="AX30" i="219"/>
  <c r="AQ30" i="219"/>
  <c r="AS30" i="219" s="1"/>
  <c r="AU30" i="219" s="1"/>
  <c r="AV30" i="219" s="1"/>
  <c r="AE30" i="219"/>
  <c r="AC30" i="219"/>
  <c r="AG30" i="219" s="1"/>
  <c r="T30" i="219"/>
  <c r="V30" i="219" s="1"/>
  <c r="X30" i="219" s="1"/>
  <c r="Y30" i="219" s="1"/>
  <c r="L30" i="219"/>
  <c r="F30" i="219"/>
  <c r="H30" i="219" s="1"/>
  <c r="BD29" i="219"/>
  <c r="AX29" i="219"/>
  <c r="AQ29" i="219"/>
  <c r="AS29" i="219" s="1"/>
  <c r="AU29" i="219" s="1"/>
  <c r="AV29" i="219" s="1"/>
  <c r="AE29" i="219"/>
  <c r="AC29" i="219"/>
  <c r="AF29" i="219" s="1"/>
  <c r="T29" i="219"/>
  <c r="V29" i="219" s="1"/>
  <c r="X29" i="219" s="1"/>
  <c r="Y29" i="219" s="1"/>
  <c r="L29" i="219"/>
  <c r="N29" i="219" s="1"/>
  <c r="P29" i="219" s="1"/>
  <c r="Q29" i="219" s="1"/>
  <c r="D29" i="219"/>
  <c r="F29" i="219" s="1"/>
  <c r="H29" i="219" s="1"/>
  <c r="BD28" i="219"/>
  <c r="AX28" i="219"/>
  <c r="AQ28" i="219"/>
  <c r="AS28" i="219" s="1"/>
  <c r="AU28" i="219" s="1"/>
  <c r="AV28" i="219" s="1"/>
  <c r="AG28" i="219"/>
  <c r="AE28" i="219"/>
  <c r="AC28" i="219"/>
  <c r="AF28" i="219" s="1"/>
  <c r="T28" i="219"/>
  <c r="V28" i="219" s="1"/>
  <c r="X28" i="219" s="1"/>
  <c r="Y28" i="219" s="1"/>
  <c r="L28" i="219"/>
  <c r="N28" i="219" s="1"/>
  <c r="P28" i="219" s="1"/>
  <c r="Q28" i="219" s="1"/>
  <c r="D28" i="219"/>
  <c r="BD27" i="219"/>
  <c r="AX27" i="219"/>
  <c r="AQ27" i="219"/>
  <c r="AS27" i="219" s="1"/>
  <c r="AU27" i="219" s="1"/>
  <c r="AV27" i="219" s="1"/>
  <c r="AE27" i="219"/>
  <c r="AC27" i="219"/>
  <c r="AF27" i="219" s="1"/>
  <c r="T27" i="219"/>
  <c r="V27" i="219" s="1"/>
  <c r="X27" i="219" s="1"/>
  <c r="Y27" i="219" s="1"/>
  <c r="L27" i="219"/>
  <c r="N27" i="219" s="1"/>
  <c r="P27" i="219" s="1"/>
  <c r="Q27" i="219" s="1"/>
  <c r="D27" i="219"/>
  <c r="F27" i="219" s="1"/>
  <c r="H27" i="219" s="1"/>
  <c r="BD26" i="219"/>
  <c r="AX26" i="219"/>
  <c r="AQ26" i="219"/>
  <c r="AS26" i="219" s="1"/>
  <c r="AU26" i="219" s="1"/>
  <c r="AV26" i="219" s="1"/>
  <c r="AG26" i="219"/>
  <c r="AE26" i="219"/>
  <c r="AC26" i="219"/>
  <c r="AF26" i="219" s="1"/>
  <c r="T26" i="219"/>
  <c r="V26" i="219" s="1"/>
  <c r="X26" i="219" s="1"/>
  <c r="Y26" i="219" s="1"/>
  <c r="L26" i="219"/>
  <c r="N26" i="219" s="1"/>
  <c r="P26" i="219" s="1"/>
  <c r="Q26" i="219" s="1"/>
  <c r="D26" i="219"/>
  <c r="BD25" i="219"/>
  <c r="AX25" i="219"/>
  <c r="AQ25" i="219"/>
  <c r="AS25" i="219" s="1"/>
  <c r="AU25" i="219" s="1"/>
  <c r="AV25" i="219" s="1"/>
  <c r="AE25" i="219"/>
  <c r="AC25" i="219"/>
  <c r="AF25" i="219" s="1"/>
  <c r="T25" i="219"/>
  <c r="V25" i="219" s="1"/>
  <c r="X25" i="219" s="1"/>
  <c r="Y25" i="219" s="1"/>
  <c r="L25" i="219"/>
  <c r="N25" i="219" s="1"/>
  <c r="P25" i="219" s="1"/>
  <c r="Q25" i="219" s="1"/>
  <c r="D25" i="219"/>
  <c r="F25" i="219" s="1"/>
  <c r="H25" i="219" s="1"/>
  <c r="BD24" i="219"/>
  <c r="AX24" i="219"/>
  <c r="AQ24" i="219"/>
  <c r="AS24" i="219" s="1"/>
  <c r="AU24" i="219" s="1"/>
  <c r="AV24" i="219" s="1"/>
  <c r="AG24" i="219"/>
  <c r="AE24" i="219"/>
  <c r="AC24" i="219"/>
  <c r="AF24" i="219" s="1"/>
  <c r="T24" i="219"/>
  <c r="V24" i="219" s="1"/>
  <c r="X24" i="219" s="1"/>
  <c r="Y24" i="219" s="1"/>
  <c r="L24" i="219"/>
  <c r="N24" i="219" s="1"/>
  <c r="P24" i="219" s="1"/>
  <c r="Q24" i="219" s="1"/>
  <c r="D24" i="219"/>
  <c r="BD23" i="219"/>
  <c r="AX23" i="219"/>
  <c r="AQ23" i="219"/>
  <c r="AS23" i="219" s="1"/>
  <c r="AU23" i="219" s="1"/>
  <c r="AV23" i="219" s="1"/>
  <c r="AE23" i="219"/>
  <c r="AC23" i="219"/>
  <c r="AF23" i="219" s="1"/>
  <c r="T23" i="219"/>
  <c r="V23" i="219" s="1"/>
  <c r="X23" i="219" s="1"/>
  <c r="Y23" i="219" s="1"/>
  <c r="L23" i="219"/>
  <c r="N23" i="219" s="1"/>
  <c r="P23" i="219" s="1"/>
  <c r="Q23" i="219" s="1"/>
  <c r="D23" i="219"/>
  <c r="F23" i="219" s="1"/>
  <c r="H23" i="219" s="1"/>
  <c r="BD22" i="219"/>
  <c r="AX22" i="219"/>
  <c r="AQ22" i="219"/>
  <c r="AS22" i="219" s="1"/>
  <c r="AU22" i="219" s="1"/>
  <c r="AV22" i="219" s="1"/>
  <c r="AG22" i="219"/>
  <c r="AE22" i="219"/>
  <c r="AC22" i="219"/>
  <c r="AF22" i="219" s="1"/>
  <c r="T22" i="219"/>
  <c r="V22" i="219" s="1"/>
  <c r="X22" i="219" s="1"/>
  <c r="Y22" i="219" s="1"/>
  <c r="L22" i="219"/>
  <c r="N22" i="219" s="1"/>
  <c r="P22" i="219" s="1"/>
  <c r="Q22" i="219" s="1"/>
  <c r="D22" i="219"/>
  <c r="BD21" i="219"/>
  <c r="AX21" i="219"/>
  <c r="AQ21" i="219"/>
  <c r="AS21" i="219" s="1"/>
  <c r="AU21" i="219" s="1"/>
  <c r="AV21" i="219" s="1"/>
  <c r="AE21" i="219"/>
  <c r="AC21" i="219"/>
  <c r="AF21" i="219" s="1"/>
  <c r="T21" i="219"/>
  <c r="V21" i="219" s="1"/>
  <c r="X21" i="219" s="1"/>
  <c r="Y21" i="219" s="1"/>
  <c r="L21" i="219"/>
  <c r="N21" i="219" s="1"/>
  <c r="P21" i="219" s="1"/>
  <c r="Q21" i="219" s="1"/>
  <c r="D21" i="219"/>
  <c r="F21" i="219" s="1"/>
  <c r="H21" i="219" s="1"/>
  <c r="BD20" i="219"/>
  <c r="AX20" i="219"/>
  <c r="AQ20" i="219"/>
  <c r="AS20" i="219" s="1"/>
  <c r="AU20" i="219" s="1"/>
  <c r="AV20" i="219" s="1"/>
  <c r="AG20" i="219"/>
  <c r="AE20" i="219"/>
  <c r="AC20" i="219"/>
  <c r="AF20" i="219" s="1"/>
  <c r="T20" i="219"/>
  <c r="V20" i="219" s="1"/>
  <c r="X20" i="219" s="1"/>
  <c r="Y20" i="219" s="1"/>
  <c r="L20" i="219"/>
  <c r="N20" i="219" s="1"/>
  <c r="P20" i="219" s="1"/>
  <c r="Q20" i="219" s="1"/>
  <c r="D20" i="219"/>
  <c r="BD19" i="219"/>
  <c r="AX19" i="219"/>
  <c r="AQ19" i="219"/>
  <c r="AS19" i="219" s="1"/>
  <c r="AU19" i="219" s="1"/>
  <c r="AV19" i="219" s="1"/>
  <c r="AE19" i="219"/>
  <c r="AC19" i="219"/>
  <c r="AF19" i="219" s="1"/>
  <c r="T19" i="219"/>
  <c r="V19" i="219" s="1"/>
  <c r="X19" i="219" s="1"/>
  <c r="Y19" i="219" s="1"/>
  <c r="L19" i="219"/>
  <c r="N19" i="219" s="1"/>
  <c r="P19" i="219" s="1"/>
  <c r="Q19" i="219" s="1"/>
  <c r="D19" i="219"/>
  <c r="F19" i="219" s="1"/>
  <c r="H19" i="219" s="1"/>
  <c r="BD18" i="219"/>
  <c r="AX18" i="219"/>
  <c r="AQ18" i="219"/>
  <c r="AS18" i="219" s="1"/>
  <c r="AU18" i="219" s="1"/>
  <c r="AV18" i="219" s="1"/>
  <c r="AG18" i="219"/>
  <c r="AE18" i="219"/>
  <c r="AC18" i="219"/>
  <c r="AF18" i="219" s="1"/>
  <c r="T18" i="219"/>
  <c r="V18" i="219" s="1"/>
  <c r="X18" i="219" s="1"/>
  <c r="Y18" i="219" s="1"/>
  <c r="L18" i="219"/>
  <c r="N18" i="219" s="1"/>
  <c r="P18" i="219" s="1"/>
  <c r="Q18" i="219" s="1"/>
  <c r="D18" i="219"/>
  <c r="BD17" i="219"/>
  <c r="AX17" i="219"/>
  <c r="AQ17" i="219"/>
  <c r="AS17" i="219" s="1"/>
  <c r="AU17" i="219" s="1"/>
  <c r="AV17" i="219" s="1"/>
  <c r="AE17" i="219"/>
  <c r="AC17" i="219"/>
  <c r="AF17" i="219" s="1"/>
  <c r="T17" i="219"/>
  <c r="V17" i="219" s="1"/>
  <c r="X17" i="219" s="1"/>
  <c r="Y17" i="219" s="1"/>
  <c r="L17" i="219"/>
  <c r="N17" i="219" s="1"/>
  <c r="P17" i="219" s="1"/>
  <c r="Q17" i="219" s="1"/>
  <c r="D17" i="219"/>
  <c r="F17" i="219" s="1"/>
  <c r="H17" i="219" s="1"/>
  <c r="BD16" i="219"/>
  <c r="AX16" i="219"/>
  <c r="AQ16" i="219"/>
  <c r="AS16" i="219" s="1"/>
  <c r="AU16" i="219" s="1"/>
  <c r="AV16" i="219" s="1"/>
  <c r="AG16" i="219"/>
  <c r="AH16" i="219" s="1"/>
  <c r="AE16" i="219"/>
  <c r="AC16" i="219"/>
  <c r="AF16" i="219" s="1"/>
  <c r="T16" i="219"/>
  <c r="V16" i="219" s="1"/>
  <c r="X16" i="219" s="1"/>
  <c r="Y16" i="219" s="1"/>
  <c r="L16" i="219"/>
  <c r="N16" i="219" s="1"/>
  <c r="P16" i="219" s="1"/>
  <c r="Q16" i="219" s="1"/>
  <c r="D16" i="219"/>
  <c r="BD15" i="219"/>
  <c r="BD48" i="219" s="1"/>
  <c r="AX15" i="219"/>
  <c r="AX48" i="219" s="1"/>
  <c r="AQ15" i="219"/>
  <c r="AE15" i="219"/>
  <c r="AC15" i="219"/>
  <c r="T15" i="219"/>
  <c r="L15" i="219"/>
  <c r="D15" i="219"/>
  <c r="F15" i="219" s="1"/>
  <c r="K44" i="218"/>
  <c r="K43" i="218"/>
  <c r="K42" i="218"/>
  <c r="J42" i="218"/>
  <c r="K41" i="218"/>
  <c r="L40" i="218"/>
  <c r="K40" i="218"/>
  <c r="J33" i="203" s="1"/>
  <c r="K39" i="218"/>
  <c r="L38" i="218"/>
  <c r="K38" i="218"/>
  <c r="J31" i="203" s="1"/>
  <c r="K37" i="218"/>
  <c r="L36" i="218"/>
  <c r="K36" i="218"/>
  <c r="J29" i="203" s="1"/>
  <c r="F35" i="218"/>
  <c r="E35" i="218"/>
  <c r="D35" i="218"/>
  <c r="G35" i="218" s="1"/>
  <c r="L34" i="218"/>
  <c r="K34" i="218"/>
  <c r="J27" i="203" s="1"/>
  <c r="K33" i="218"/>
  <c r="L32" i="218"/>
  <c r="K32" i="218"/>
  <c r="J25" i="203" s="1"/>
  <c r="K31" i="218"/>
  <c r="L30" i="218"/>
  <c r="K30" i="218"/>
  <c r="J23" i="203" s="1"/>
  <c r="K29" i="218"/>
  <c r="L28" i="218"/>
  <c r="K28" i="218"/>
  <c r="K27" i="218"/>
  <c r="N26" i="218"/>
  <c r="L26" i="218"/>
  <c r="K26" i="218"/>
  <c r="J19" i="203" s="1"/>
  <c r="N25" i="218"/>
  <c r="L25" i="218"/>
  <c r="K25" i="218"/>
  <c r="L24" i="218"/>
  <c r="K24" i="218"/>
  <c r="K23" i="218"/>
  <c r="K22" i="218"/>
  <c r="N21" i="218"/>
  <c r="L21" i="218"/>
  <c r="K21" i="218"/>
  <c r="L20" i="218"/>
  <c r="K20" i="218"/>
  <c r="K19" i="218"/>
  <c r="K18" i="218"/>
  <c r="N17" i="218"/>
  <c r="L17" i="218"/>
  <c r="K17" i="218"/>
  <c r="L16" i="218"/>
  <c r="K16" i="218"/>
  <c r="G15" i="218"/>
  <c r="E15" i="218"/>
  <c r="D15" i="218"/>
  <c r="K15" i="218" s="1"/>
  <c r="B15" i="218"/>
  <c r="K14" i="218"/>
  <c r="I106" i="217"/>
  <c r="F106" i="217"/>
  <c r="E106" i="217"/>
  <c r="C106" i="217"/>
  <c r="G105" i="217"/>
  <c r="G106" i="217" s="1"/>
  <c r="I104" i="217"/>
  <c r="F104" i="217"/>
  <c r="E104" i="217"/>
  <c r="C104" i="217"/>
  <c r="G103" i="217"/>
  <c r="G104" i="217" s="1"/>
  <c r="I102" i="217"/>
  <c r="F102" i="217"/>
  <c r="E102" i="217"/>
  <c r="C102" i="217"/>
  <c r="G101" i="217"/>
  <c r="G102" i="217" s="1"/>
  <c r="I100" i="217"/>
  <c r="F100" i="217"/>
  <c r="E100" i="217"/>
  <c r="C100" i="217"/>
  <c r="G99" i="217"/>
  <c r="G100" i="217" s="1"/>
  <c r="I98" i="217"/>
  <c r="F98" i="217"/>
  <c r="E98" i="217"/>
  <c r="C98" i="217"/>
  <c r="G97" i="217"/>
  <c r="G98" i="217" s="1"/>
  <c r="I96" i="217"/>
  <c r="F96" i="217"/>
  <c r="E96" i="217"/>
  <c r="C96" i="217"/>
  <c r="G95" i="217"/>
  <c r="G96" i="217" s="1"/>
  <c r="I94" i="217"/>
  <c r="F94" i="217"/>
  <c r="E94" i="217"/>
  <c r="C94" i="217"/>
  <c r="G93" i="217"/>
  <c r="G92" i="217"/>
  <c r="G91" i="217"/>
  <c r="G90" i="217"/>
  <c r="G89" i="217"/>
  <c r="I88" i="217"/>
  <c r="F88" i="217"/>
  <c r="E88" i="217"/>
  <c r="C88" i="217"/>
  <c r="G87" i="217"/>
  <c r="G88" i="217" s="1"/>
  <c r="I86" i="217"/>
  <c r="F86" i="217"/>
  <c r="E86" i="217"/>
  <c r="C86" i="217"/>
  <c r="G85" i="217"/>
  <c r="G86" i="217" s="1"/>
  <c r="I84" i="217"/>
  <c r="E84" i="217"/>
  <c r="C84" i="217"/>
  <c r="G83" i="217"/>
  <c r="G84" i="217" s="1"/>
  <c r="F83" i="217"/>
  <c r="F84" i="217" s="1"/>
  <c r="I82" i="217"/>
  <c r="F82" i="217"/>
  <c r="E82" i="217"/>
  <c r="C82" i="217"/>
  <c r="G81" i="217"/>
  <c r="G80" i="217"/>
  <c r="G82" i="217" s="1"/>
  <c r="I79" i="217"/>
  <c r="E79" i="217"/>
  <c r="F78" i="217"/>
  <c r="F79" i="217" s="1"/>
  <c r="C78" i="217"/>
  <c r="C79" i="217" s="1"/>
  <c r="I77" i="217"/>
  <c r="F77" i="217"/>
  <c r="E77" i="217"/>
  <c r="C77" i="217"/>
  <c r="G76" i="217"/>
  <c r="G77" i="217" s="1"/>
  <c r="I75" i="217"/>
  <c r="F75" i="217"/>
  <c r="E75" i="217"/>
  <c r="C75" i="217"/>
  <c r="G74" i="217"/>
  <c r="G73" i="217"/>
  <c r="G75" i="217" s="1"/>
  <c r="I72" i="217"/>
  <c r="F72" i="217"/>
  <c r="E72" i="217"/>
  <c r="C72" i="217"/>
  <c r="G71" i="217"/>
  <c r="G72" i="217" s="1"/>
  <c r="I70" i="217"/>
  <c r="F70" i="217"/>
  <c r="E70" i="217"/>
  <c r="C70" i="217"/>
  <c r="G69" i="217"/>
  <c r="G70" i="217" s="1"/>
  <c r="I68" i="217"/>
  <c r="F68" i="217"/>
  <c r="E68" i="217"/>
  <c r="C68" i="217"/>
  <c r="G67" i="217"/>
  <c r="G68" i="217" s="1"/>
  <c r="I66" i="217"/>
  <c r="F66" i="217"/>
  <c r="E66" i="217"/>
  <c r="C66" i="217"/>
  <c r="G65" i="217"/>
  <c r="G66" i="217" s="1"/>
  <c r="I64" i="217"/>
  <c r="F64" i="217"/>
  <c r="E64" i="217"/>
  <c r="C64" i="217"/>
  <c r="G63" i="217"/>
  <c r="G62" i="217"/>
  <c r="G61" i="217"/>
  <c r="I60" i="217"/>
  <c r="F60" i="217"/>
  <c r="E60" i="217"/>
  <c r="C60" i="217"/>
  <c r="G59" i="217"/>
  <c r="G58" i="217"/>
  <c r="G57" i="217"/>
  <c r="I56" i="217"/>
  <c r="F56" i="217"/>
  <c r="E56" i="217"/>
  <c r="C56" i="217"/>
  <c r="G55" i="217"/>
  <c r="G54" i="217"/>
  <c r="G53" i="217"/>
  <c r="I52" i="217"/>
  <c r="F52" i="217"/>
  <c r="E52" i="217"/>
  <c r="C52" i="217"/>
  <c r="G51" i="217"/>
  <c r="G50" i="217"/>
  <c r="G49" i="217"/>
  <c r="G52" i="217" s="1"/>
  <c r="I48" i="217"/>
  <c r="C48" i="217"/>
  <c r="G47" i="217"/>
  <c r="G46" i="217"/>
  <c r="G45" i="217"/>
  <c r="F45" i="217"/>
  <c r="F48" i="217" s="1"/>
  <c r="E45" i="217"/>
  <c r="E48" i="217" s="1"/>
  <c r="I44" i="217"/>
  <c r="F44" i="217"/>
  <c r="E44" i="217"/>
  <c r="C44" i="217"/>
  <c r="G43" i="217"/>
  <c r="G42" i="217"/>
  <c r="G41" i="217"/>
  <c r="I40" i="217"/>
  <c r="F40" i="217"/>
  <c r="E40" i="217"/>
  <c r="C40" i="217"/>
  <c r="G39" i="217"/>
  <c r="G38" i="217"/>
  <c r="G37" i="217"/>
  <c r="I36" i="217"/>
  <c r="F36" i="217"/>
  <c r="E36" i="217"/>
  <c r="C36" i="217"/>
  <c r="G35" i="217"/>
  <c r="G34" i="217"/>
  <c r="G33" i="217"/>
  <c r="G36" i="217" s="1"/>
  <c r="I32" i="217"/>
  <c r="F32" i="217"/>
  <c r="E32" i="217"/>
  <c r="C32" i="217"/>
  <c r="G31" i="217"/>
  <c r="G30" i="217"/>
  <c r="G29" i="217"/>
  <c r="I28" i="217"/>
  <c r="F28" i="217"/>
  <c r="E28" i="217"/>
  <c r="C28" i="217"/>
  <c r="G27" i="217"/>
  <c r="G26" i="217"/>
  <c r="G25" i="217"/>
  <c r="I24" i="217"/>
  <c r="F24" i="217"/>
  <c r="E24" i="217"/>
  <c r="C24" i="217"/>
  <c r="G23" i="217"/>
  <c r="G22" i="217"/>
  <c r="G21" i="217"/>
  <c r="I20" i="217"/>
  <c r="F20" i="217"/>
  <c r="C20" i="217"/>
  <c r="G19" i="217"/>
  <c r="G18" i="217"/>
  <c r="G17" i="217"/>
  <c r="E17" i="217"/>
  <c r="E20" i="217" s="1"/>
  <c r="I16" i="217"/>
  <c r="F16" i="217"/>
  <c r="E16" i="217"/>
  <c r="C16" i="217"/>
  <c r="G15" i="217"/>
  <c r="G14" i="217"/>
  <c r="G13" i="217"/>
  <c r="H36" i="217" l="1"/>
  <c r="D12" i="203"/>
  <c r="K12" i="203"/>
  <c r="H52" i="217"/>
  <c r="D16" i="203"/>
  <c r="K16" i="203"/>
  <c r="H66" i="217"/>
  <c r="D20" i="203"/>
  <c r="K20" i="203"/>
  <c r="H75" i="217"/>
  <c r="D24" i="203"/>
  <c r="K24" i="203"/>
  <c r="H82" i="217"/>
  <c r="D27" i="203"/>
  <c r="K27" i="203"/>
  <c r="H88" i="217"/>
  <c r="K30" i="203"/>
  <c r="D30" i="203"/>
  <c r="H100" i="217"/>
  <c r="K34" i="203"/>
  <c r="D34" i="203"/>
  <c r="J7" i="203"/>
  <c r="C7" i="203"/>
  <c r="J8" i="203"/>
  <c r="C8" i="203"/>
  <c r="J12" i="203"/>
  <c r="C12" i="203"/>
  <c r="J16" i="203"/>
  <c r="C16" i="203"/>
  <c r="J20" i="203"/>
  <c r="L27" i="218"/>
  <c r="C20" i="203"/>
  <c r="J22" i="203"/>
  <c r="C22" i="203"/>
  <c r="L29" i="218"/>
  <c r="J24" i="203"/>
  <c r="L31" i="218"/>
  <c r="C24" i="203"/>
  <c r="J26" i="203"/>
  <c r="C26" i="203"/>
  <c r="L33" i="218"/>
  <c r="N36" i="218"/>
  <c r="O36" i="218" s="1"/>
  <c r="N38" i="218"/>
  <c r="O38" i="218" s="1"/>
  <c r="N40" i="218"/>
  <c r="O40" i="218" s="1"/>
  <c r="K47" i="218"/>
  <c r="J35" i="203"/>
  <c r="C35" i="203"/>
  <c r="L42" i="218"/>
  <c r="N42" i="218" s="1"/>
  <c r="L48" i="219"/>
  <c r="N15" i="219"/>
  <c r="N48" i="219" s="1"/>
  <c r="AQ48" i="219"/>
  <c r="AS15" i="219"/>
  <c r="G20" i="217"/>
  <c r="G32" i="217"/>
  <c r="G64" i="217"/>
  <c r="H68" i="217"/>
  <c r="D21" i="203"/>
  <c r="K21" i="203"/>
  <c r="G78" i="217"/>
  <c r="G79" i="217" s="1"/>
  <c r="G94" i="217"/>
  <c r="H102" i="217"/>
  <c r="D35" i="203"/>
  <c r="K35" i="203"/>
  <c r="L14" i="218"/>
  <c r="N16" i="218"/>
  <c r="O16" i="218" s="1"/>
  <c r="J11" i="203"/>
  <c r="C11" i="203"/>
  <c r="L19" i="218"/>
  <c r="N20" i="218"/>
  <c r="O20" i="218" s="1"/>
  <c r="J15" i="203"/>
  <c r="C15" i="203"/>
  <c r="L23" i="218"/>
  <c r="N24" i="218"/>
  <c r="O24" i="218" s="1"/>
  <c r="J30" i="203"/>
  <c r="C30" i="203"/>
  <c r="L37" i="218"/>
  <c r="J32" i="203"/>
  <c r="L39" i="218"/>
  <c r="C32" i="203"/>
  <c r="J34" i="203"/>
  <c r="C34" i="203"/>
  <c r="L41" i="218"/>
  <c r="J36" i="203"/>
  <c r="L43" i="218"/>
  <c r="N43" i="218" s="1"/>
  <c r="C36" i="203"/>
  <c r="T48" i="219"/>
  <c r="V15" i="219"/>
  <c r="AH18" i="219"/>
  <c r="AW18" i="219" s="1"/>
  <c r="AY18" i="219" s="1"/>
  <c r="G16" i="217"/>
  <c r="G28" i="217"/>
  <c r="G44" i="217"/>
  <c r="G60" i="217"/>
  <c r="H70" i="217"/>
  <c r="K22" i="203"/>
  <c r="D22" i="203"/>
  <c r="H77" i="217"/>
  <c r="D25" i="203"/>
  <c r="K25" i="203"/>
  <c r="H96" i="217"/>
  <c r="D32" i="203"/>
  <c r="K32" i="203"/>
  <c r="H104" i="217"/>
  <c r="D36" i="203"/>
  <c r="K36" i="203"/>
  <c r="J10" i="203"/>
  <c r="C10" i="203"/>
  <c r="L18" i="218"/>
  <c r="J14" i="203"/>
  <c r="C14" i="203"/>
  <c r="L22" i="218"/>
  <c r="J18" i="203"/>
  <c r="C18" i="203"/>
  <c r="O26" i="218"/>
  <c r="J21" i="203"/>
  <c r="C21" i="203"/>
  <c r="J37" i="203"/>
  <c r="L44" i="218"/>
  <c r="N44" i="218" s="1"/>
  <c r="C37" i="203"/>
  <c r="G24" i="217"/>
  <c r="G40" i="217"/>
  <c r="G48" i="217"/>
  <c r="G56" i="217"/>
  <c r="H72" i="217"/>
  <c r="D23" i="203"/>
  <c r="K23" i="203"/>
  <c r="H84" i="217"/>
  <c r="D28" i="203"/>
  <c r="K28" i="203"/>
  <c r="H86" i="217"/>
  <c r="D29" i="203"/>
  <c r="K29" i="203"/>
  <c r="H98" i="217"/>
  <c r="D33" i="203"/>
  <c r="K33" i="203"/>
  <c r="H106" i="217"/>
  <c r="D37" i="203"/>
  <c r="K37" i="203"/>
  <c r="J9" i="203"/>
  <c r="C9" i="203"/>
  <c r="O17" i="218"/>
  <c r="J13" i="203"/>
  <c r="C13" i="203"/>
  <c r="O21" i="218"/>
  <c r="J17" i="203"/>
  <c r="C17" i="203"/>
  <c r="O25" i="218"/>
  <c r="O28" i="218"/>
  <c r="N28" i="218"/>
  <c r="N30" i="218"/>
  <c r="O30" i="218" s="1"/>
  <c r="O32" i="218"/>
  <c r="N32" i="218"/>
  <c r="N34" i="218"/>
  <c r="O34" i="218" s="1"/>
  <c r="AH20" i="219"/>
  <c r="AH24" i="219"/>
  <c r="AH28" i="219"/>
  <c r="AF43" i="219"/>
  <c r="AH43" i="219" s="1"/>
  <c r="C33" i="203"/>
  <c r="C29" i="203"/>
  <c r="C25" i="203"/>
  <c r="AH31" i="219"/>
  <c r="N33" i="219"/>
  <c r="P33" i="219" s="1"/>
  <c r="Q33" i="219" s="1"/>
  <c r="F37" i="219"/>
  <c r="H37" i="219" s="1"/>
  <c r="I37" i="219" s="1"/>
  <c r="F41" i="219"/>
  <c r="H41" i="219" s="1"/>
  <c r="I41" i="219" s="1"/>
  <c r="AC45" i="219"/>
  <c r="AW50" i="219"/>
  <c r="AH22" i="219"/>
  <c r="AW22" i="219" s="1"/>
  <c r="AY22" i="219" s="1"/>
  <c r="AH26" i="219"/>
  <c r="AW26" i="219" s="1"/>
  <c r="AY26" i="219" s="1"/>
  <c r="AF33" i="219"/>
  <c r="AH33" i="219" s="1"/>
  <c r="AF37" i="219"/>
  <c r="AH37" i="219" s="1"/>
  <c r="AF41" i="219"/>
  <c r="AH41" i="219" s="1"/>
  <c r="AE45" i="219"/>
  <c r="AE48" i="219" s="1"/>
  <c r="C31" i="203"/>
  <c r="C27" i="203"/>
  <c r="C23" i="203"/>
  <c r="C19" i="203"/>
  <c r="C41" i="203"/>
  <c r="I30" i="219"/>
  <c r="I19" i="219"/>
  <c r="I23" i="219"/>
  <c r="I27" i="219"/>
  <c r="I34" i="219"/>
  <c r="I38" i="219"/>
  <c r="I42" i="219"/>
  <c r="AW31" i="219"/>
  <c r="AY31" i="219" s="1"/>
  <c r="BC16" i="219"/>
  <c r="BE16" i="219" s="1"/>
  <c r="AJ16" i="219"/>
  <c r="AL16" i="219" s="1"/>
  <c r="AM16" i="219" s="1"/>
  <c r="BC24" i="219"/>
  <c r="BE24" i="219" s="1"/>
  <c r="AJ24" i="219"/>
  <c r="AL24" i="219" s="1"/>
  <c r="AM24" i="219" s="1"/>
  <c r="BC28" i="219"/>
  <c r="BE28" i="219" s="1"/>
  <c r="AJ28" i="219"/>
  <c r="AL28" i="219" s="1"/>
  <c r="AM28" i="219" s="1"/>
  <c r="BC18" i="219"/>
  <c r="BE18" i="219" s="1"/>
  <c r="AJ18" i="219"/>
  <c r="AL18" i="219" s="1"/>
  <c r="AM18" i="219" s="1"/>
  <c r="BC22" i="219"/>
  <c r="BE22" i="219" s="1"/>
  <c r="AJ22" i="219"/>
  <c r="AL22" i="219" s="1"/>
  <c r="AM22" i="219" s="1"/>
  <c r="BC26" i="219"/>
  <c r="BE26" i="219" s="1"/>
  <c r="AJ26" i="219"/>
  <c r="AL26" i="219" s="1"/>
  <c r="AM26" i="219" s="1"/>
  <c r="V48" i="219"/>
  <c r="AS48" i="219"/>
  <c r="AW16" i="219"/>
  <c r="AY16" i="219" s="1"/>
  <c r="AW20" i="219"/>
  <c r="AY20" i="219" s="1"/>
  <c r="AW24" i="219"/>
  <c r="AY24" i="219" s="1"/>
  <c r="AW28" i="219"/>
  <c r="AY28" i="219" s="1"/>
  <c r="AW35" i="219"/>
  <c r="AY35" i="219" s="1"/>
  <c r="AW39" i="219"/>
  <c r="AY39" i="219" s="1"/>
  <c r="I17" i="219"/>
  <c r="I21" i="219"/>
  <c r="AJ31" i="219"/>
  <c r="AL31" i="219" s="1"/>
  <c r="AM31" i="219" s="1"/>
  <c r="BC31" i="219"/>
  <c r="BE31" i="219" s="1"/>
  <c r="BC35" i="219"/>
  <c r="BE35" i="219" s="1"/>
  <c r="AJ35" i="219"/>
  <c r="AL35" i="219" s="1"/>
  <c r="I36" i="219"/>
  <c r="BC39" i="219"/>
  <c r="BE39" i="219" s="1"/>
  <c r="AJ39" i="219"/>
  <c r="AL39" i="219" s="1"/>
  <c r="I40" i="219"/>
  <c r="I44" i="219"/>
  <c r="I25" i="219"/>
  <c r="I29" i="219"/>
  <c r="BC20" i="219"/>
  <c r="BE20" i="219" s="1"/>
  <c r="AJ20" i="219"/>
  <c r="AL20" i="219" s="1"/>
  <c r="AM20" i="219" s="1"/>
  <c r="AG15" i="219"/>
  <c r="F16" i="219"/>
  <c r="H16" i="219" s="1"/>
  <c r="AG17" i="219"/>
  <c r="AH17" i="219" s="1"/>
  <c r="AJ17" i="219" s="1"/>
  <c r="AL17" i="219" s="1"/>
  <c r="AM17" i="219" s="1"/>
  <c r="F18" i="219"/>
  <c r="H18" i="219" s="1"/>
  <c r="AG19" i="219"/>
  <c r="AH19" i="219" s="1"/>
  <c r="AJ19" i="219" s="1"/>
  <c r="AL19" i="219" s="1"/>
  <c r="AM19" i="219" s="1"/>
  <c r="F20" i="219"/>
  <c r="H20" i="219" s="1"/>
  <c r="AG21" i="219"/>
  <c r="AH21" i="219" s="1"/>
  <c r="AJ21" i="219" s="1"/>
  <c r="AL21" i="219" s="1"/>
  <c r="AM21" i="219" s="1"/>
  <c r="F22" i="219"/>
  <c r="H22" i="219" s="1"/>
  <c r="AG23" i="219"/>
  <c r="AH23" i="219" s="1"/>
  <c r="AJ23" i="219" s="1"/>
  <c r="AL23" i="219" s="1"/>
  <c r="AM23" i="219" s="1"/>
  <c r="F24" i="219"/>
  <c r="H24" i="219" s="1"/>
  <c r="AG25" i="219"/>
  <c r="AH25" i="219" s="1"/>
  <c r="AJ25" i="219" s="1"/>
  <c r="AL25" i="219" s="1"/>
  <c r="AM25" i="219" s="1"/>
  <c r="F26" i="219"/>
  <c r="H26" i="219" s="1"/>
  <c r="AG27" i="219"/>
  <c r="AH27" i="219" s="1"/>
  <c r="AJ27" i="219" s="1"/>
  <c r="AL27" i="219" s="1"/>
  <c r="AM27" i="219" s="1"/>
  <c r="F28" i="219"/>
  <c r="H28" i="219" s="1"/>
  <c r="AG29" i="219"/>
  <c r="AH29" i="219" s="1"/>
  <c r="AJ29" i="219" s="1"/>
  <c r="AL29" i="219" s="1"/>
  <c r="AM29" i="219" s="1"/>
  <c r="AF30" i="219"/>
  <c r="AH30" i="219" s="1"/>
  <c r="AF32" i="219"/>
  <c r="AH32" i="219" s="1"/>
  <c r="AG34" i="219"/>
  <c r="AH34" i="219" s="1"/>
  <c r="AJ34" i="219" s="1"/>
  <c r="AL34" i="219" s="1"/>
  <c r="AM34" i="219" s="1"/>
  <c r="AG36" i="219"/>
  <c r="AH36" i="219" s="1"/>
  <c r="AJ36" i="219" s="1"/>
  <c r="AL36" i="219" s="1"/>
  <c r="AM36" i="219" s="1"/>
  <c r="AG38" i="219"/>
  <c r="AH38" i="219" s="1"/>
  <c r="AJ38" i="219" s="1"/>
  <c r="AL38" i="219" s="1"/>
  <c r="AM38" i="219" s="1"/>
  <c r="AG40" i="219"/>
  <c r="AH40" i="219" s="1"/>
  <c r="AJ40" i="219" s="1"/>
  <c r="AL40" i="219" s="1"/>
  <c r="AM40" i="219" s="1"/>
  <c r="AG42" i="219"/>
  <c r="AH42" i="219" s="1"/>
  <c r="AJ42" i="219" s="1"/>
  <c r="AL42" i="219" s="1"/>
  <c r="AM42" i="219" s="1"/>
  <c r="AG44" i="219"/>
  <c r="AH44" i="219" s="1"/>
  <c r="AJ44" i="219" s="1"/>
  <c r="AL44" i="219" s="1"/>
  <c r="AM44" i="219" s="1"/>
  <c r="AA46" i="219"/>
  <c r="AA47" i="219" s="1"/>
  <c r="AQ46" i="219"/>
  <c r="AQ47" i="219" s="1"/>
  <c r="BD46" i="219"/>
  <c r="BD47" i="219" s="1"/>
  <c r="AW17" i="219"/>
  <c r="AY17" i="219" s="1"/>
  <c r="H15" i="219"/>
  <c r="P15" i="219"/>
  <c r="X15" i="219"/>
  <c r="AF15" i="219"/>
  <c r="AU15" i="219"/>
  <c r="BC19" i="219"/>
  <c r="BE19" i="219" s="1"/>
  <c r="BC21" i="219"/>
  <c r="BE21" i="219" s="1"/>
  <c r="BC23" i="219"/>
  <c r="BE23" i="219" s="1"/>
  <c r="BC27" i="219"/>
  <c r="BE27" i="219" s="1"/>
  <c r="N30" i="219"/>
  <c r="P30" i="219" s="1"/>
  <c r="Q30" i="219" s="1"/>
  <c r="I31" i="219"/>
  <c r="BA31" i="219" s="1"/>
  <c r="F32" i="219"/>
  <c r="H32" i="219" s="1"/>
  <c r="BC34" i="219"/>
  <c r="BE34" i="219" s="1"/>
  <c r="BC36" i="219"/>
  <c r="BE36" i="219" s="1"/>
  <c r="BC38" i="219"/>
  <c r="BE38" i="219" s="1"/>
  <c r="BC42" i="219"/>
  <c r="BE42" i="219" s="1"/>
  <c r="D46" i="219"/>
  <c r="D47" i="219" s="1"/>
  <c r="T46" i="219"/>
  <c r="T47" i="219" s="1"/>
  <c r="D48" i="219"/>
  <c r="F50" i="219"/>
  <c r="AE46" i="219"/>
  <c r="AS46" i="219"/>
  <c r="AS47" i="219" s="1"/>
  <c r="AX46" i="219"/>
  <c r="AX47" i="219" s="1"/>
  <c r="F46" i="219"/>
  <c r="L46" i="219"/>
  <c r="L47" i="219" s="1"/>
  <c r="V46" i="219"/>
  <c r="V47" i="219" s="1"/>
  <c r="AC46" i="219"/>
  <c r="L15" i="218"/>
  <c r="K35" i="218"/>
  <c r="O42" i="218"/>
  <c r="O43" i="218"/>
  <c r="O44" i="218"/>
  <c r="J72" i="217"/>
  <c r="K72" i="217" s="1"/>
  <c r="J84" i="217"/>
  <c r="K84" i="217" s="1"/>
  <c r="J86" i="217"/>
  <c r="K86" i="217" s="1"/>
  <c r="J98" i="217"/>
  <c r="K98" i="217" s="1"/>
  <c r="J106" i="217"/>
  <c r="K106" i="217" s="1"/>
  <c r="J70" i="217"/>
  <c r="K70" i="217" s="1"/>
  <c r="J77" i="217"/>
  <c r="K77" i="217" s="1"/>
  <c r="J96" i="217"/>
  <c r="K96" i="217" s="1"/>
  <c r="J104" i="217"/>
  <c r="K104" i="217" s="1"/>
  <c r="G109" i="217"/>
  <c r="G107" i="217"/>
  <c r="H16" i="217"/>
  <c r="G108" i="217"/>
  <c r="H20" i="217"/>
  <c r="J68" i="217"/>
  <c r="K68" i="217" s="1"/>
  <c r="J102" i="217"/>
  <c r="K102" i="217" s="1"/>
  <c r="J36" i="217"/>
  <c r="K36" i="217" s="1"/>
  <c r="J52" i="217"/>
  <c r="K52" i="217" s="1"/>
  <c r="J66" i="217"/>
  <c r="K66" i="217" s="1"/>
  <c r="J75" i="217"/>
  <c r="K75" i="217" s="1"/>
  <c r="J82" i="217"/>
  <c r="K82" i="217" s="1"/>
  <c r="J88" i="217"/>
  <c r="K88" i="217" s="1"/>
  <c r="J100" i="217"/>
  <c r="K100" i="217" s="1"/>
  <c r="H83" i="217"/>
  <c r="BC33" i="219" l="1"/>
  <c r="BE33" i="219" s="1"/>
  <c r="AJ33" i="219"/>
  <c r="AL33" i="219" s="1"/>
  <c r="AW33" i="219"/>
  <c r="AY33" i="219" s="1"/>
  <c r="BC43" i="219"/>
  <c r="BE43" i="219" s="1"/>
  <c r="AW43" i="219"/>
  <c r="AY43" i="219" s="1"/>
  <c r="AJ43" i="219"/>
  <c r="AL43" i="219" s="1"/>
  <c r="AJ41" i="219"/>
  <c r="AL41" i="219" s="1"/>
  <c r="AW41" i="219"/>
  <c r="AY41" i="219" s="1"/>
  <c r="BC41" i="219"/>
  <c r="BE41" i="219" s="1"/>
  <c r="AW37" i="219"/>
  <c r="AY37" i="219" s="1"/>
  <c r="BC37" i="219"/>
  <c r="BE37" i="219" s="1"/>
  <c r="AJ37" i="219"/>
  <c r="AL37" i="219" s="1"/>
  <c r="L35" i="218"/>
  <c r="J28" i="203"/>
  <c r="C28" i="203"/>
  <c r="C39" i="203" s="1"/>
  <c r="C40" i="203" s="1"/>
  <c r="AE47" i="219"/>
  <c r="N46" i="219"/>
  <c r="N47" i="219" s="1"/>
  <c r="BC25" i="219"/>
  <c r="BE25" i="219" s="1"/>
  <c r="AG45" i="219"/>
  <c r="AH45" i="219" s="1"/>
  <c r="AF45" i="219"/>
  <c r="H40" i="217"/>
  <c r="D13" i="203"/>
  <c r="K13" i="203"/>
  <c r="AC48" i="219"/>
  <c r="N18" i="218"/>
  <c r="O18" i="218" s="1"/>
  <c r="H44" i="217"/>
  <c r="J44" i="217" s="1"/>
  <c r="K44" i="217" s="1"/>
  <c r="K14" i="203"/>
  <c r="D14" i="203"/>
  <c r="N37" i="218"/>
  <c r="O37" i="218" s="1"/>
  <c r="N23" i="218"/>
  <c r="O23" i="218" s="1"/>
  <c r="N19" i="218"/>
  <c r="O19" i="218" s="1"/>
  <c r="L47" i="218"/>
  <c r="N14" i="218"/>
  <c r="H94" i="217"/>
  <c r="D31" i="203"/>
  <c r="K31" i="203"/>
  <c r="O33" i="218"/>
  <c r="N33" i="218"/>
  <c r="O31" i="218"/>
  <c r="N31" i="218"/>
  <c r="H24" i="217"/>
  <c r="J24" i="217" s="1"/>
  <c r="K24" i="217" s="1"/>
  <c r="D9" i="203"/>
  <c r="K9" i="203"/>
  <c r="N22" i="218"/>
  <c r="O22" i="218" s="1"/>
  <c r="H28" i="217"/>
  <c r="J28" i="217" s="1"/>
  <c r="K28" i="217" s="1"/>
  <c r="K10" i="203"/>
  <c r="D10" i="203"/>
  <c r="H79" i="217"/>
  <c r="K26" i="203"/>
  <c r="D26" i="203"/>
  <c r="H64" i="217"/>
  <c r="D19" i="203"/>
  <c r="K19" i="203"/>
  <c r="AC47" i="219"/>
  <c r="BC44" i="219"/>
  <c r="BE44" i="219" s="1"/>
  <c r="BC29" i="219"/>
  <c r="BE29" i="219" s="1"/>
  <c r="H56" i="217"/>
  <c r="J56" i="217" s="1"/>
  <c r="K56" i="217" s="1"/>
  <c r="D17" i="203"/>
  <c r="K17" i="203"/>
  <c r="D7" i="203"/>
  <c r="K7" i="203"/>
  <c r="O41" i="218"/>
  <c r="N41" i="218"/>
  <c r="N39" i="218"/>
  <c r="O39" i="218" s="1"/>
  <c r="H32" i="217"/>
  <c r="D11" i="203"/>
  <c r="K11" i="203"/>
  <c r="O29" i="218"/>
  <c r="N29" i="218"/>
  <c r="N27" i="218"/>
  <c r="O27" i="218" s="1"/>
  <c r="H48" i="217"/>
  <c r="J48" i="217" s="1"/>
  <c r="K48" i="217" s="1"/>
  <c r="D15" i="203"/>
  <c r="K15" i="203"/>
  <c r="H60" i="217"/>
  <c r="K18" i="203"/>
  <c r="D18" i="203"/>
  <c r="D8" i="203"/>
  <c r="K8" i="203"/>
  <c r="AJ32" i="219"/>
  <c r="AL32" i="219" s="1"/>
  <c r="AM32" i="219" s="1"/>
  <c r="BC32" i="219"/>
  <c r="BE32" i="219" s="1"/>
  <c r="AW32" i="219"/>
  <c r="AY32" i="219" s="1"/>
  <c r="AJ30" i="219"/>
  <c r="AL30" i="219" s="1"/>
  <c r="AM30" i="219" s="1"/>
  <c r="BC30" i="219"/>
  <c r="BE30" i="219" s="1"/>
  <c r="AW30" i="219"/>
  <c r="AY30" i="219" s="1"/>
  <c r="AZ50" i="219"/>
  <c r="G50" i="219"/>
  <c r="BA50" i="219" s="1"/>
  <c r="AZ32" i="219"/>
  <c r="I32" i="219"/>
  <c r="BA32" i="219" s="1"/>
  <c r="X48" i="219"/>
  <c r="X46" i="219"/>
  <c r="X47" i="219" s="1"/>
  <c r="Y15" i="219"/>
  <c r="AZ26" i="219"/>
  <c r="I26" i="219"/>
  <c r="BA26" i="219" s="1"/>
  <c r="AZ22" i="219"/>
  <c r="I22" i="219"/>
  <c r="BA22" i="219" s="1"/>
  <c r="I18" i="219"/>
  <c r="BA18" i="219" s="1"/>
  <c r="AZ18" i="219"/>
  <c r="AZ43" i="219"/>
  <c r="AM43" i="219"/>
  <c r="BA43" i="219" s="1"/>
  <c r="AZ39" i="219"/>
  <c r="AM39" i="219"/>
  <c r="BA39" i="219" s="1"/>
  <c r="AZ35" i="219"/>
  <c r="AM35" i="219"/>
  <c r="BA35" i="219" s="1"/>
  <c r="BC40" i="219"/>
  <c r="BE40" i="219" s="1"/>
  <c r="AW25" i="219"/>
  <c r="AY25" i="219" s="1"/>
  <c r="BA29" i="219"/>
  <c r="BA21" i="219"/>
  <c r="AW38" i="219"/>
  <c r="AY38" i="219" s="1"/>
  <c r="BC17" i="219"/>
  <c r="BE17" i="219" s="1"/>
  <c r="AZ23" i="219"/>
  <c r="AZ30" i="219"/>
  <c r="AF48" i="219"/>
  <c r="AF46" i="219"/>
  <c r="AF47" i="219" s="1"/>
  <c r="AG48" i="219"/>
  <c r="AG46" i="219"/>
  <c r="AH15" i="219"/>
  <c r="AZ41" i="219"/>
  <c r="AM41" i="219"/>
  <c r="BA41" i="219" s="1"/>
  <c r="AZ37" i="219"/>
  <c r="AM37" i="219"/>
  <c r="BA37" i="219" s="1"/>
  <c r="AZ33" i="219"/>
  <c r="AM33" i="219"/>
  <c r="BA33" i="219" s="1"/>
  <c r="AW36" i="219"/>
  <c r="AY36" i="219" s="1"/>
  <c r="AZ25" i="219"/>
  <c r="AZ44" i="219"/>
  <c r="AZ40" i="219"/>
  <c r="AZ36" i="219"/>
  <c r="AZ17" i="219"/>
  <c r="AZ31" i="219"/>
  <c r="AW23" i="219"/>
  <c r="AY23" i="219" s="1"/>
  <c r="AW29" i="219"/>
  <c r="AY29" i="219" s="1"/>
  <c r="BA23" i="219"/>
  <c r="BA30" i="219"/>
  <c r="AU48" i="219"/>
  <c r="AU46" i="219"/>
  <c r="AV15" i="219"/>
  <c r="H48" i="219"/>
  <c r="H46" i="219"/>
  <c r="I15" i="219"/>
  <c r="AZ28" i="219"/>
  <c r="I28" i="219"/>
  <c r="BA28" i="219" s="1"/>
  <c r="AZ24" i="219"/>
  <c r="I24" i="219"/>
  <c r="BA24" i="219" s="1"/>
  <c r="AZ20" i="219"/>
  <c r="I20" i="219"/>
  <c r="BA20" i="219" s="1"/>
  <c r="AZ16" i="219"/>
  <c r="I16" i="219"/>
  <c r="BA16" i="219" s="1"/>
  <c r="AW40" i="219"/>
  <c r="AY40" i="219" s="1"/>
  <c r="BA25" i="219"/>
  <c r="BA44" i="219"/>
  <c r="BA40" i="219"/>
  <c r="BA36" i="219"/>
  <c r="BA17" i="219"/>
  <c r="AW42" i="219"/>
  <c r="AY42" i="219" s="1"/>
  <c r="AW34" i="219"/>
  <c r="AY34" i="219" s="1"/>
  <c r="F48" i="219"/>
  <c r="F47" i="219" s="1"/>
  <c r="AZ42" i="219"/>
  <c r="AZ38" i="219"/>
  <c r="AZ34" i="219"/>
  <c r="AZ27" i="219"/>
  <c r="AZ19" i="219"/>
  <c r="P48" i="219"/>
  <c r="P46" i="219"/>
  <c r="Q15" i="219"/>
  <c r="AW44" i="219"/>
  <c r="AY44" i="219" s="1"/>
  <c r="AW21" i="219"/>
  <c r="AY21" i="219" s="1"/>
  <c r="AZ29" i="219"/>
  <c r="AZ21" i="219"/>
  <c r="AW27" i="219"/>
  <c r="AY27" i="219" s="1"/>
  <c r="AW19" i="219"/>
  <c r="AY19" i="219" s="1"/>
  <c r="BA42" i="219"/>
  <c r="BA38" i="219"/>
  <c r="BA34" i="219"/>
  <c r="BA27" i="219"/>
  <c r="BA19" i="219"/>
  <c r="N35" i="218"/>
  <c r="O35" i="218" s="1"/>
  <c r="L46" i="218"/>
  <c r="N15" i="218"/>
  <c r="K46" i="218"/>
  <c r="L45" i="218"/>
  <c r="K45" i="218"/>
  <c r="H109" i="217"/>
  <c r="H107" i="217"/>
  <c r="J16" i="217"/>
  <c r="K16" i="217" s="1"/>
  <c r="H108" i="217"/>
  <c r="J20" i="217"/>
  <c r="J32" i="217" l="1"/>
  <c r="K32" i="217" s="1"/>
  <c r="AJ45" i="219"/>
  <c r="AL45" i="219" s="1"/>
  <c r="BC45" i="219"/>
  <c r="BE45" i="219" s="1"/>
  <c r="AW45" i="219"/>
  <c r="AY45" i="219" s="1"/>
  <c r="J94" i="217"/>
  <c r="K94" i="217" s="1"/>
  <c r="K20" i="217"/>
  <c r="J60" i="217"/>
  <c r="K60" i="217" s="1"/>
  <c r="D41" i="203"/>
  <c r="D39" i="203"/>
  <c r="J79" i="217"/>
  <c r="K79" i="217" s="1"/>
  <c r="K109" i="217" s="1"/>
  <c r="O14" i="218"/>
  <c r="O47" i="218" s="1"/>
  <c r="N47" i="218"/>
  <c r="J40" i="217"/>
  <c r="J64" i="217"/>
  <c r="K64" i="217" s="1"/>
  <c r="BB21" i="219"/>
  <c r="BF21" i="219"/>
  <c r="Q48" i="219"/>
  <c r="Q46" i="219"/>
  <c r="BF40" i="219"/>
  <c r="BB40" i="219"/>
  <c r="BB23" i="219"/>
  <c r="BF23" i="219"/>
  <c r="Y48" i="219"/>
  <c r="Y46" i="219"/>
  <c r="Y47" i="219" s="1"/>
  <c r="BF32" i="219"/>
  <c r="BB32" i="219"/>
  <c r="H47" i="219"/>
  <c r="BF27" i="219"/>
  <c r="BB27" i="219"/>
  <c r="BB19" i="219"/>
  <c r="BF19" i="219"/>
  <c r="BF42" i="219"/>
  <c r="BB42" i="219"/>
  <c r="BF16" i="219"/>
  <c r="BB16" i="219"/>
  <c r="BF24" i="219"/>
  <c r="BB24" i="219"/>
  <c r="BF36" i="219"/>
  <c r="BB36" i="219"/>
  <c r="BF37" i="219"/>
  <c r="BB37" i="219"/>
  <c r="BF30" i="219"/>
  <c r="BB30" i="219"/>
  <c r="BF39" i="219"/>
  <c r="BB39" i="219"/>
  <c r="BF26" i="219"/>
  <c r="BB26" i="219"/>
  <c r="AU47" i="219"/>
  <c r="AG47" i="219"/>
  <c r="BF38" i="219"/>
  <c r="BB38" i="219"/>
  <c r="I48" i="219"/>
  <c r="I46" i="219"/>
  <c r="AV48" i="219"/>
  <c r="AV46" i="219"/>
  <c r="AV47" i="219" s="1"/>
  <c r="BB17" i="219"/>
  <c r="BF17" i="219"/>
  <c r="BF25" i="219"/>
  <c r="BB25" i="219"/>
  <c r="AH48" i="219"/>
  <c r="AH46" i="219"/>
  <c r="AJ15" i="219"/>
  <c r="BC15" i="219"/>
  <c r="AW15" i="219"/>
  <c r="BF18" i="219"/>
  <c r="BB18" i="219"/>
  <c r="BB29" i="219"/>
  <c r="BF29" i="219"/>
  <c r="BF34" i="219"/>
  <c r="BB34" i="219"/>
  <c r="BF20" i="219"/>
  <c r="BB20" i="219"/>
  <c r="BF28" i="219"/>
  <c r="BB28" i="219"/>
  <c r="BF31" i="219"/>
  <c r="BB31" i="219"/>
  <c r="BF44" i="219"/>
  <c r="BB44" i="219"/>
  <c r="BF33" i="219"/>
  <c r="BB33" i="219"/>
  <c r="BF41" i="219"/>
  <c r="BB41" i="219"/>
  <c r="BF35" i="219"/>
  <c r="BB35" i="219"/>
  <c r="BF43" i="219"/>
  <c r="BB43" i="219"/>
  <c r="BF22" i="219"/>
  <c r="BB22" i="219"/>
  <c r="P47" i="219"/>
  <c r="N46" i="218"/>
  <c r="N45" i="218"/>
  <c r="O15" i="218"/>
  <c r="J108" i="217" l="1"/>
  <c r="J109" i="217"/>
  <c r="J107" i="217"/>
  <c r="AM45" i="219"/>
  <c r="AZ45" i="219"/>
  <c r="AH47" i="219"/>
  <c r="K40" i="217"/>
  <c r="K107" i="217" s="1"/>
  <c r="Q47" i="219"/>
  <c r="D40" i="203"/>
  <c r="AW48" i="219"/>
  <c r="AW46" i="219"/>
  <c r="AY15" i="219"/>
  <c r="I47" i="219"/>
  <c r="AJ48" i="219"/>
  <c r="AJ46" i="219"/>
  <c r="AL15" i="219"/>
  <c r="BE15" i="219"/>
  <c r="BC48" i="219"/>
  <c r="BC46" i="219"/>
  <c r="O46" i="218"/>
  <c r="O45" i="218"/>
  <c r="K108" i="217" l="1"/>
  <c r="BF45" i="219"/>
  <c r="BB45" i="219"/>
  <c r="BC47" i="219"/>
  <c r="AJ47" i="219"/>
  <c r="AW47" i="219"/>
  <c r="AM52" i="219"/>
  <c r="BA45" i="219"/>
  <c r="AL48" i="219"/>
  <c r="AL46" i="219"/>
  <c r="AM15" i="219"/>
  <c r="AZ15" i="219"/>
  <c r="AY48" i="219"/>
  <c r="AY46" i="219"/>
  <c r="BE48" i="219"/>
  <c r="BE46" i="219"/>
  <c r="BE47" i="219" s="1"/>
  <c r="AY47" i="219" l="1"/>
  <c r="AL47" i="219"/>
  <c r="BF15" i="219"/>
  <c r="AZ48" i="219"/>
  <c r="AZ46" i="219"/>
  <c r="BB15" i="219"/>
  <c r="AM48" i="219"/>
  <c r="AM46" i="219"/>
  <c r="AM47" i="219" s="1"/>
  <c r="BA15" i="219"/>
  <c r="BA48" i="219" l="1"/>
  <c r="BA46" i="219"/>
  <c r="AZ47" i="219"/>
  <c r="BB48" i="219"/>
  <c r="BB46" i="219"/>
  <c r="BB47" i="219" l="1"/>
  <c r="BA47" i="219"/>
  <c r="N295" i="215" l="1"/>
  <c r="N294" i="215"/>
  <c r="N293" i="215"/>
  <c r="N292" i="215"/>
  <c r="N291" i="215"/>
  <c r="N290" i="215"/>
  <c r="N289" i="215"/>
  <c r="N288" i="215"/>
  <c r="N287" i="215"/>
  <c r="N286" i="215"/>
  <c r="N285" i="215"/>
  <c r="N284" i="215"/>
  <c r="N283" i="215"/>
  <c r="N282" i="215"/>
  <c r="N260" i="215"/>
  <c r="G260" i="215"/>
  <c r="H260" i="215" s="1"/>
  <c r="M260" i="215" s="1"/>
  <c r="N259" i="215"/>
  <c r="G259" i="215"/>
  <c r="L259" i="215" s="1"/>
  <c r="N258" i="215"/>
  <c r="F258" i="215"/>
  <c r="G258" i="215" s="1"/>
  <c r="N257" i="215"/>
  <c r="F257" i="215"/>
  <c r="G257" i="215" s="1"/>
  <c r="N256" i="215"/>
  <c r="G256" i="215"/>
  <c r="L256" i="215" s="1"/>
  <c r="F256" i="215"/>
  <c r="N255" i="215"/>
  <c r="F255" i="215"/>
  <c r="G255" i="215" s="1"/>
  <c r="N254" i="215"/>
  <c r="N261" i="215" s="1"/>
  <c r="G254" i="215"/>
  <c r="H254" i="215" s="1"/>
  <c r="M254" i="215" s="1"/>
  <c r="F254" i="215"/>
  <c r="N251" i="215"/>
  <c r="G251" i="215"/>
  <c r="L251" i="215" s="1"/>
  <c r="N250" i="215"/>
  <c r="H250" i="215"/>
  <c r="M250" i="215" s="1"/>
  <c r="G250" i="215"/>
  <c r="L250" i="215" s="1"/>
  <c r="N249" i="215"/>
  <c r="G249" i="215"/>
  <c r="L249" i="215" s="1"/>
  <c r="N248" i="215"/>
  <c r="H248" i="215"/>
  <c r="M248" i="215" s="1"/>
  <c r="G248" i="215"/>
  <c r="L248" i="215" s="1"/>
  <c r="N247" i="215"/>
  <c r="G247" i="215"/>
  <c r="L247" i="215" s="1"/>
  <c r="N246" i="215"/>
  <c r="H246" i="215"/>
  <c r="M246" i="215" s="1"/>
  <c r="O246" i="215" s="1"/>
  <c r="G246" i="215"/>
  <c r="L246" i="215" s="1"/>
  <c r="N245" i="215"/>
  <c r="G245" i="215"/>
  <c r="L245" i="215" s="1"/>
  <c r="N244" i="215"/>
  <c r="H244" i="215"/>
  <c r="M244" i="215" s="1"/>
  <c r="G244" i="215"/>
  <c r="L244" i="215" s="1"/>
  <c r="N243" i="215"/>
  <c r="N252" i="215" s="1"/>
  <c r="G243" i="215"/>
  <c r="L243" i="215" s="1"/>
  <c r="N240" i="215"/>
  <c r="N241" i="215" s="1"/>
  <c r="F240" i="215"/>
  <c r="E240" i="215"/>
  <c r="N235" i="215"/>
  <c r="F235" i="215"/>
  <c r="G235" i="215" s="1"/>
  <c r="L235" i="215" s="1"/>
  <c r="E235" i="215"/>
  <c r="N234" i="215"/>
  <c r="F234" i="215"/>
  <c r="G234" i="215" s="1"/>
  <c r="L234" i="215" s="1"/>
  <c r="E234" i="215"/>
  <c r="N233" i="215"/>
  <c r="N236" i="215" s="1"/>
  <c r="N237" i="215" s="1"/>
  <c r="F233" i="215"/>
  <c r="G233" i="215" s="1"/>
  <c r="L233" i="215" s="1"/>
  <c r="E233" i="215"/>
  <c r="N230" i="215"/>
  <c r="N231" i="215" s="1"/>
  <c r="J230" i="215"/>
  <c r="G230" i="215"/>
  <c r="H230" i="215" s="1"/>
  <c r="M230" i="215" s="1"/>
  <c r="M231" i="215" s="1"/>
  <c r="N225" i="215"/>
  <c r="J225" i="215"/>
  <c r="G225" i="215"/>
  <c r="L225" i="215" s="1"/>
  <c r="N224" i="215"/>
  <c r="J224" i="215"/>
  <c r="G224" i="215"/>
  <c r="H224" i="215" s="1"/>
  <c r="M224" i="215" s="1"/>
  <c r="N223" i="215"/>
  <c r="J223" i="215"/>
  <c r="G223" i="215"/>
  <c r="N222" i="215"/>
  <c r="N227" i="215" s="1"/>
  <c r="J222" i="215"/>
  <c r="G222" i="215"/>
  <c r="H222" i="215" s="1"/>
  <c r="M222" i="215" s="1"/>
  <c r="M227" i="215" s="1"/>
  <c r="N221" i="215"/>
  <c r="J221" i="215"/>
  <c r="G221" i="215"/>
  <c r="L221" i="215" s="1"/>
  <c r="N220" i="215"/>
  <c r="J220" i="215"/>
  <c r="G220" i="215"/>
  <c r="H220" i="215" s="1"/>
  <c r="M220" i="215" s="1"/>
  <c r="N219" i="215"/>
  <c r="J219" i="215"/>
  <c r="G219" i="215"/>
  <c r="N218" i="215"/>
  <c r="N226" i="215" s="1"/>
  <c r="J218" i="215"/>
  <c r="G218" i="215"/>
  <c r="H218" i="215" s="1"/>
  <c r="M218" i="215" s="1"/>
  <c r="N215" i="215"/>
  <c r="N216" i="215" s="1"/>
  <c r="J215" i="215"/>
  <c r="G215" i="215"/>
  <c r="L215" i="215" s="1"/>
  <c r="N212" i="215"/>
  <c r="J212" i="215"/>
  <c r="G212" i="215"/>
  <c r="H212" i="215" s="1"/>
  <c r="M212" i="215" s="1"/>
  <c r="N211" i="215"/>
  <c r="J211" i="215"/>
  <c r="G211" i="215"/>
  <c r="N210" i="215"/>
  <c r="E210" i="215"/>
  <c r="G210" i="215" s="1"/>
  <c r="N209" i="215"/>
  <c r="J209" i="215"/>
  <c r="G209" i="215"/>
  <c r="L209" i="215" s="1"/>
  <c r="N208" i="215"/>
  <c r="J208" i="215"/>
  <c r="G208" i="215"/>
  <c r="L208" i="215" s="1"/>
  <c r="N205" i="215"/>
  <c r="E205" i="215"/>
  <c r="J205" i="215" s="1"/>
  <c r="N204" i="215"/>
  <c r="N206" i="215" s="1"/>
  <c r="E204" i="215"/>
  <c r="J204" i="215" s="1"/>
  <c r="N201" i="215"/>
  <c r="N202" i="215" s="1"/>
  <c r="E201" i="215"/>
  <c r="J201" i="215" s="1"/>
  <c r="N198" i="215"/>
  <c r="N199" i="215" s="1"/>
  <c r="J198" i="215"/>
  <c r="G198" i="215"/>
  <c r="H198" i="215" s="1"/>
  <c r="M198" i="215" s="1"/>
  <c r="M199" i="215" s="1"/>
  <c r="N195" i="215"/>
  <c r="H195" i="215"/>
  <c r="M195" i="215" s="1"/>
  <c r="G195" i="215"/>
  <c r="L195" i="215" s="1"/>
  <c r="N194" i="215"/>
  <c r="H194" i="215"/>
  <c r="M194" i="215" s="1"/>
  <c r="G194" i="215"/>
  <c r="L194" i="215" s="1"/>
  <c r="N193" i="215"/>
  <c r="G193" i="215"/>
  <c r="L193" i="215" s="1"/>
  <c r="N192" i="215"/>
  <c r="G192" i="215"/>
  <c r="L192" i="215" s="1"/>
  <c r="N191" i="215"/>
  <c r="H191" i="215"/>
  <c r="M191" i="215" s="1"/>
  <c r="G191" i="215"/>
  <c r="L191" i="215" s="1"/>
  <c r="N190" i="215"/>
  <c r="H190" i="215"/>
  <c r="M190" i="215" s="1"/>
  <c r="G190" i="215"/>
  <c r="L190" i="215" s="1"/>
  <c r="N189" i="215"/>
  <c r="G189" i="215"/>
  <c r="L189" i="215" s="1"/>
  <c r="N188" i="215"/>
  <c r="G188" i="215"/>
  <c r="L188" i="215" s="1"/>
  <c r="N187" i="215"/>
  <c r="H187" i="215"/>
  <c r="M187" i="215" s="1"/>
  <c r="G187" i="215"/>
  <c r="L187" i="215" s="1"/>
  <c r="K184" i="215"/>
  <c r="N184" i="215" s="1"/>
  <c r="J184" i="215"/>
  <c r="H184" i="215"/>
  <c r="G184" i="215"/>
  <c r="K183" i="215"/>
  <c r="N183" i="215" s="1"/>
  <c r="N185" i="215" s="1"/>
  <c r="J183" i="215"/>
  <c r="H183" i="215"/>
  <c r="G183" i="215"/>
  <c r="N178" i="215"/>
  <c r="J178" i="215"/>
  <c r="G178" i="215"/>
  <c r="H178" i="215" s="1"/>
  <c r="M178" i="215" s="1"/>
  <c r="N177" i="215"/>
  <c r="J177" i="215"/>
  <c r="G177" i="215"/>
  <c r="L177" i="215" s="1"/>
  <c r="N176" i="215"/>
  <c r="J176" i="215"/>
  <c r="G176" i="215"/>
  <c r="H176" i="215" s="1"/>
  <c r="M176" i="215" s="1"/>
  <c r="I174" i="215"/>
  <c r="N174" i="215" s="1"/>
  <c r="G174" i="215"/>
  <c r="H174" i="215" s="1"/>
  <c r="M174" i="215" s="1"/>
  <c r="E174" i="215"/>
  <c r="I173" i="215"/>
  <c r="N173" i="215" s="1"/>
  <c r="E173" i="215"/>
  <c r="G173" i="215" s="1"/>
  <c r="H173" i="215" s="1"/>
  <c r="M173" i="215" s="1"/>
  <c r="I172" i="215"/>
  <c r="N172" i="215" s="1"/>
  <c r="G172" i="215"/>
  <c r="H172" i="215" s="1"/>
  <c r="M172" i="215" s="1"/>
  <c r="E172" i="215"/>
  <c r="I171" i="215"/>
  <c r="N171" i="215" s="1"/>
  <c r="E171" i="215"/>
  <c r="G171" i="215" s="1"/>
  <c r="H171" i="215" s="1"/>
  <c r="M171" i="215" s="1"/>
  <c r="N170" i="215"/>
  <c r="M170" i="215"/>
  <c r="O170" i="215" s="1"/>
  <c r="N169" i="215"/>
  <c r="J169" i="215"/>
  <c r="G169" i="215"/>
  <c r="H169" i="215" s="1"/>
  <c r="M169" i="215" s="1"/>
  <c r="N168" i="215"/>
  <c r="J168" i="215"/>
  <c r="G168" i="215"/>
  <c r="L168" i="215" s="1"/>
  <c r="N167" i="215"/>
  <c r="J167" i="215"/>
  <c r="G167" i="215"/>
  <c r="H167" i="215" s="1"/>
  <c r="M167" i="215" s="1"/>
  <c r="N166" i="215"/>
  <c r="J166" i="215"/>
  <c r="G166" i="215"/>
  <c r="N165" i="215"/>
  <c r="J165" i="215"/>
  <c r="G165" i="215"/>
  <c r="H165" i="215" s="1"/>
  <c r="M165" i="215" s="1"/>
  <c r="N162" i="215"/>
  <c r="J162" i="215"/>
  <c r="G162" i="215"/>
  <c r="L162" i="215" s="1"/>
  <c r="N161" i="215"/>
  <c r="J161" i="215"/>
  <c r="G161" i="215"/>
  <c r="H161" i="215" s="1"/>
  <c r="M161" i="215" s="1"/>
  <c r="K160" i="215"/>
  <c r="N160" i="215" s="1"/>
  <c r="J160" i="215"/>
  <c r="G160" i="215"/>
  <c r="L160" i="215" s="1"/>
  <c r="N155" i="215"/>
  <c r="L155" i="215"/>
  <c r="G155" i="215"/>
  <c r="H155" i="215" s="1"/>
  <c r="M155" i="215" s="1"/>
  <c r="N154" i="215"/>
  <c r="G154" i="215"/>
  <c r="L154" i="215" s="1"/>
  <c r="N153" i="215"/>
  <c r="G153" i="215"/>
  <c r="H153" i="215" s="1"/>
  <c r="M153" i="215" s="1"/>
  <c r="N152" i="215"/>
  <c r="G152" i="215"/>
  <c r="L152" i="215" s="1"/>
  <c r="N151" i="215"/>
  <c r="L151" i="215"/>
  <c r="G151" i="215"/>
  <c r="H151" i="215" s="1"/>
  <c r="M151" i="215" s="1"/>
  <c r="N146" i="215"/>
  <c r="J146" i="215"/>
  <c r="G146" i="215"/>
  <c r="H146" i="215" s="1"/>
  <c r="M146" i="215" s="1"/>
  <c r="N145" i="215"/>
  <c r="L145" i="215"/>
  <c r="J145" i="215"/>
  <c r="H145" i="215"/>
  <c r="M145" i="215" s="1"/>
  <c r="G145" i="215"/>
  <c r="K144" i="215"/>
  <c r="N144" i="215" s="1"/>
  <c r="E144" i="215"/>
  <c r="G144" i="215" s="1"/>
  <c r="N143" i="215"/>
  <c r="J143" i="215"/>
  <c r="G143" i="215"/>
  <c r="H143" i="215" s="1"/>
  <c r="M143" i="215" s="1"/>
  <c r="N142" i="215"/>
  <c r="J142" i="215"/>
  <c r="G142" i="215"/>
  <c r="L142" i="215" s="1"/>
  <c r="J141" i="215"/>
  <c r="I141" i="215"/>
  <c r="N141" i="215" s="1"/>
  <c r="G141" i="215"/>
  <c r="L141" i="215" s="1"/>
  <c r="J140" i="215"/>
  <c r="I140" i="215"/>
  <c r="N140" i="215" s="1"/>
  <c r="G140" i="215"/>
  <c r="L140" i="215" s="1"/>
  <c r="N137" i="215"/>
  <c r="J137" i="215"/>
  <c r="G137" i="215"/>
  <c r="L137" i="215" s="1"/>
  <c r="N136" i="215"/>
  <c r="J136" i="215"/>
  <c r="G136" i="215"/>
  <c r="N135" i="215"/>
  <c r="J135" i="215"/>
  <c r="G135" i="215"/>
  <c r="L135" i="215" s="1"/>
  <c r="N134" i="215"/>
  <c r="J134" i="215"/>
  <c r="G134" i="215"/>
  <c r="L134" i="215" s="1"/>
  <c r="N133" i="215"/>
  <c r="N138" i="215" s="1"/>
  <c r="J133" i="215"/>
  <c r="G133" i="215"/>
  <c r="L133" i="215" s="1"/>
  <c r="N132" i="215"/>
  <c r="J132" i="215"/>
  <c r="G132" i="215"/>
  <c r="N129" i="215"/>
  <c r="J129" i="215"/>
  <c r="G129" i="215"/>
  <c r="L129" i="215" s="1"/>
  <c r="N128" i="215"/>
  <c r="J128" i="215"/>
  <c r="G128" i="215"/>
  <c r="L128" i="215" s="1"/>
  <c r="N127" i="215"/>
  <c r="J127" i="215"/>
  <c r="G127" i="215"/>
  <c r="L127" i="215" s="1"/>
  <c r="N126" i="215"/>
  <c r="J126" i="215"/>
  <c r="G126" i="215"/>
  <c r="N125" i="215"/>
  <c r="J125" i="215"/>
  <c r="G125" i="215"/>
  <c r="L125" i="215" s="1"/>
  <c r="N124" i="215"/>
  <c r="J124" i="215"/>
  <c r="G124" i="215"/>
  <c r="L124" i="215" s="1"/>
  <c r="N123" i="215"/>
  <c r="J123" i="215"/>
  <c r="G123" i="215"/>
  <c r="L123" i="215" s="1"/>
  <c r="N122" i="215"/>
  <c r="J122" i="215"/>
  <c r="G122" i="215"/>
  <c r="N121" i="215"/>
  <c r="J121" i="215"/>
  <c r="G121" i="215"/>
  <c r="L121" i="215" s="1"/>
  <c r="N120" i="215"/>
  <c r="J120" i="215"/>
  <c r="G120" i="215"/>
  <c r="L120" i="215" s="1"/>
  <c r="N119" i="215"/>
  <c r="J119" i="215"/>
  <c r="G119" i="215"/>
  <c r="L119" i="215" s="1"/>
  <c r="N118" i="215"/>
  <c r="J118" i="215"/>
  <c r="G118" i="215"/>
  <c r="N117" i="215"/>
  <c r="J117" i="215"/>
  <c r="G117" i="215"/>
  <c r="L117" i="215" s="1"/>
  <c r="N116" i="215"/>
  <c r="J116" i="215"/>
  <c r="G116" i="215"/>
  <c r="L116" i="215" s="1"/>
  <c r="N115" i="215"/>
  <c r="J115" i="215"/>
  <c r="G115" i="215"/>
  <c r="L115" i="215" s="1"/>
  <c r="N114" i="215"/>
  <c r="J114" i="215"/>
  <c r="G114" i="215"/>
  <c r="N113" i="215"/>
  <c r="J113" i="215"/>
  <c r="G113" i="215"/>
  <c r="L113" i="215" s="1"/>
  <c r="K112" i="215"/>
  <c r="N112" i="215" s="1"/>
  <c r="E112" i="215"/>
  <c r="G112" i="215" s="1"/>
  <c r="N111" i="215"/>
  <c r="E111" i="215"/>
  <c r="G111" i="215" s="1"/>
  <c r="N108" i="215"/>
  <c r="G108" i="215"/>
  <c r="L108" i="215" s="1"/>
  <c r="E108" i="215"/>
  <c r="N107" i="215"/>
  <c r="E107" i="215"/>
  <c r="G107" i="215" s="1"/>
  <c r="N106" i="215"/>
  <c r="E106" i="215"/>
  <c r="G106" i="215" s="1"/>
  <c r="H106" i="215" s="1"/>
  <c r="M106" i="215" s="1"/>
  <c r="N105" i="215"/>
  <c r="H105" i="215"/>
  <c r="M105" i="215" s="1"/>
  <c r="E105" i="215"/>
  <c r="G105" i="215" s="1"/>
  <c r="L105" i="215" s="1"/>
  <c r="N104" i="215"/>
  <c r="F104" i="215"/>
  <c r="G104" i="215" s="1"/>
  <c r="H104" i="215" s="1"/>
  <c r="M104" i="215" s="1"/>
  <c r="N103" i="215"/>
  <c r="E103" i="215"/>
  <c r="G103" i="215" s="1"/>
  <c r="L103" i="215" s="1"/>
  <c r="N102" i="215"/>
  <c r="L102" i="215"/>
  <c r="O102" i="215" s="1"/>
  <c r="G102" i="215"/>
  <c r="H102" i="215" s="1"/>
  <c r="M102" i="215" s="1"/>
  <c r="N101" i="215"/>
  <c r="E101" i="215"/>
  <c r="G101" i="215" s="1"/>
  <c r="H101" i="215" s="1"/>
  <c r="M101" i="215" s="1"/>
  <c r="N100" i="215"/>
  <c r="G100" i="215"/>
  <c r="L100" i="215" s="1"/>
  <c r="N99" i="215"/>
  <c r="H99" i="215"/>
  <c r="M99" i="215" s="1"/>
  <c r="G99" i="215"/>
  <c r="L99" i="215" s="1"/>
  <c r="N98" i="215"/>
  <c r="E98" i="215"/>
  <c r="G98" i="215" s="1"/>
  <c r="L98" i="215" s="1"/>
  <c r="N97" i="215"/>
  <c r="G97" i="215"/>
  <c r="H97" i="215" s="1"/>
  <c r="M97" i="215" s="1"/>
  <c r="F97" i="215"/>
  <c r="E97" i="215"/>
  <c r="N96" i="215"/>
  <c r="G96" i="215"/>
  <c r="H96" i="215" s="1"/>
  <c r="M96" i="215" s="1"/>
  <c r="N95" i="215"/>
  <c r="F95" i="215"/>
  <c r="E95" i="215"/>
  <c r="G95" i="215" s="1"/>
  <c r="N94" i="215"/>
  <c r="N93" i="215"/>
  <c r="G93" i="215"/>
  <c r="H93" i="215" s="1"/>
  <c r="M93" i="215" s="1"/>
  <c r="N92" i="215"/>
  <c r="F92" i="215"/>
  <c r="F94" i="215" s="1"/>
  <c r="E92" i="215"/>
  <c r="E94" i="215" s="1"/>
  <c r="F87" i="215"/>
  <c r="I87" i="215" s="1"/>
  <c r="N87" i="215" s="1"/>
  <c r="E87" i="215"/>
  <c r="I86" i="215"/>
  <c r="N86" i="215" s="1"/>
  <c r="G86" i="215"/>
  <c r="F85" i="215"/>
  <c r="I85" i="215" s="1"/>
  <c r="N85" i="215" s="1"/>
  <c r="E85" i="215"/>
  <c r="F84" i="215"/>
  <c r="I84" i="215" s="1"/>
  <c r="N84" i="215" s="1"/>
  <c r="E84" i="215"/>
  <c r="F83" i="215"/>
  <c r="I83" i="215" s="1"/>
  <c r="N83" i="215" s="1"/>
  <c r="E83" i="215"/>
  <c r="I82" i="215"/>
  <c r="N82" i="215" s="1"/>
  <c r="F82" i="215"/>
  <c r="E82" i="215"/>
  <c r="G82" i="215" s="1"/>
  <c r="F81" i="215"/>
  <c r="I81" i="215" s="1"/>
  <c r="N81" i="215" s="1"/>
  <c r="E81" i="215"/>
  <c r="F80" i="215"/>
  <c r="I80" i="215" s="1"/>
  <c r="N80" i="215" s="1"/>
  <c r="E80" i="215"/>
  <c r="N79" i="215"/>
  <c r="F79" i="215"/>
  <c r="I79" i="215" s="1"/>
  <c r="E79" i="215"/>
  <c r="G79" i="215" s="1"/>
  <c r="H79" i="215" s="1"/>
  <c r="M79" i="215" s="1"/>
  <c r="I78" i="215"/>
  <c r="N78" i="215" s="1"/>
  <c r="F78" i="215"/>
  <c r="E78" i="215"/>
  <c r="G78" i="215" s="1"/>
  <c r="N77" i="215"/>
  <c r="F77" i="215"/>
  <c r="I77" i="215" s="1"/>
  <c r="E77" i="215"/>
  <c r="G77" i="215" s="1"/>
  <c r="I76" i="215"/>
  <c r="N76" i="215" s="1"/>
  <c r="F76" i="215"/>
  <c r="E76" i="215"/>
  <c r="G76" i="215" s="1"/>
  <c r="F75" i="215"/>
  <c r="I75" i="215" s="1"/>
  <c r="N75" i="215" s="1"/>
  <c r="E75" i="215"/>
  <c r="I74" i="215"/>
  <c r="N74" i="215" s="1"/>
  <c r="F74" i="215"/>
  <c r="E74" i="215"/>
  <c r="G74" i="215" s="1"/>
  <c r="F73" i="215"/>
  <c r="I73" i="215" s="1"/>
  <c r="N73" i="215" s="1"/>
  <c r="E73" i="215"/>
  <c r="F72" i="215"/>
  <c r="I72" i="215" s="1"/>
  <c r="N72" i="215" s="1"/>
  <c r="E72" i="215"/>
  <c r="N71" i="215"/>
  <c r="F71" i="215"/>
  <c r="I71" i="215" s="1"/>
  <c r="E71" i="215"/>
  <c r="G71" i="215" s="1"/>
  <c r="H71" i="215" s="1"/>
  <c r="M71" i="215" s="1"/>
  <c r="I70" i="215"/>
  <c r="N70" i="215" s="1"/>
  <c r="G70" i="215"/>
  <c r="F69" i="215"/>
  <c r="I69" i="215" s="1"/>
  <c r="N69" i="215" s="1"/>
  <c r="E69" i="215"/>
  <c r="F68" i="215"/>
  <c r="I68" i="215" s="1"/>
  <c r="N68" i="215" s="1"/>
  <c r="E68" i="215"/>
  <c r="N67" i="215"/>
  <c r="F67" i="215"/>
  <c r="I67" i="215" s="1"/>
  <c r="E67" i="215"/>
  <c r="G67" i="215" s="1"/>
  <c r="H67" i="215" s="1"/>
  <c r="M67" i="215" s="1"/>
  <c r="G66" i="215"/>
  <c r="F66" i="215"/>
  <c r="I66" i="215" s="1"/>
  <c r="N66" i="215" s="1"/>
  <c r="E66" i="215"/>
  <c r="L65" i="215"/>
  <c r="F65" i="215"/>
  <c r="I65" i="215" s="1"/>
  <c r="N65" i="215" s="1"/>
  <c r="E65" i="215"/>
  <c r="G65" i="215" s="1"/>
  <c r="H65" i="215" s="1"/>
  <c r="M65" i="215" s="1"/>
  <c r="G64" i="215"/>
  <c r="F64" i="215"/>
  <c r="I64" i="215" s="1"/>
  <c r="N64" i="215" s="1"/>
  <c r="E64" i="215"/>
  <c r="F63" i="215"/>
  <c r="I63" i="215" s="1"/>
  <c r="N63" i="215" s="1"/>
  <c r="E63" i="215"/>
  <c r="I62" i="215"/>
  <c r="N62" i="215" s="1"/>
  <c r="F62" i="215"/>
  <c r="E62" i="215"/>
  <c r="G62" i="215" s="1"/>
  <c r="F61" i="215"/>
  <c r="I61" i="215" s="1"/>
  <c r="N61" i="215" s="1"/>
  <c r="E61" i="215"/>
  <c r="F60" i="215"/>
  <c r="I60" i="215" s="1"/>
  <c r="N60" i="215" s="1"/>
  <c r="E60" i="215"/>
  <c r="N59" i="215"/>
  <c r="F59" i="215"/>
  <c r="I59" i="215" s="1"/>
  <c r="E59" i="215"/>
  <c r="G59" i="215" s="1"/>
  <c r="H59" i="215" s="1"/>
  <c r="M59" i="215" s="1"/>
  <c r="G58" i="215"/>
  <c r="F58" i="215"/>
  <c r="I58" i="215" s="1"/>
  <c r="N58" i="215" s="1"/>
  <c r="E58" i="215"/>
  <c r="F57" i="215"/>
  <c r="I57" i="215" s="1"/>
  <c r="N57" i="215" s="1"/>
  <c r="E57" i="215"/>
  <c r="G57" i="215" s="1"/>
  <c r="H57" i="215" s="1"/>
  <c r="M57" i="215" s="1"/>
  <c r="F56" i="215"/>
  <c r="I56" i="215" s="1"/>
  <c r="N56" i="215" s="1"/>
  <c r="E56" i="215"/>
  <c r="G56" i="215" s="1"/>
  <c r="F55" i="215"/>
  <c r="I55" i="215" s="1"/>
  <c r="N55" i="215" s="1"/>
  <c r="E55" i="215"/>
  <c r="I54" i="215"/>
  <c r="N54" i="215" s="1"/>
  <c r="F54" i="215"/>
  <c r="E54" i="215"/>
  <c r="G54" i="215" s="1"/>
  <c r="F53" i="215"/>
  <c r="I53" i="215" s="1"/>
  <c r="N53" i="215" s="1"/>
  <c r="E53" i="215"/>
  <c r="F52" i="215"/>
  <c r="I52" i="215" s="1"/>
  <c r="N52" i="215" s="1"/>
  <c r="E52" i="215"/>
  <c r="N51" i="215"/>
  <c r="I51" i="215"/>
  <c r="G51" i="215"/>
  <c r="L51" i="215" s="1"/>
  <c r="F50" i="215"/>
  <c r="I50" i="215" s="1"/>
  <c r="N50" i="215" s="1"/>
  <c r="E50" i="215"/>
  <c r="F49" i="215"/>
  <c r="I49" i="215" s="1"/>
  <c r="N49" i="215" s="1"/>
  <c r="E49" i="215"/>
  <c r="I48" i="215"/>
  <c r="N48" i="215" s="1"/>
  <c r="F48" i="215"/>
  <c r="E48" i="215"/>
  <c r="G48" i="215" s="1"/>
  <c r="F47" i="215"/>
  <c r="I47" i="215" s="1"/>
  <c r="N47" i="215" s="1"/>
  <c r="E47" i="215"/>
  <c r="G47" i="215" s="1"/>
  <c r="N42" i="215"/>
  <c r="L42" i="215"/>
  <c r="G42" i="215"/>
  <c r="H42" i="215" s="1"/>
  <c r="M42" i="215" s="1"/>
  <c r="N41" i="215"/>
  <c r="F41" i="215"/>
  <c r="E41" i="215"/>
  <c r="G41" i="215" s="1"/>
  <c r="L41" i="215" s="1"/>
  <c r="I39" i="215"/>
  <c r="N39" i="215" s="1"/>
  <c r="F39" i="215"/>
  <c r="E39" i="215"/>
  <c r="G39" i="215" s="1"/>
  <c r="N38" i="215"/>
  <c r="F38" i="215"/>
  <c r="E38" i="215"/>
  <c r="N37" i="215"/>
  <c r="F37" i="215"/>
  <c r="E37" i="215"/>
  <c r="N35" i="215"/>
  <c r="G35" i="215"/>
  <c r="H35" i="215" s="1"/>
  <c r="M35" i="215" s="1"/>
  <c r="N34" i="215"/>
  <c r="G34" i="215"/>
  <c r="L34" i="215" s="1"/>
  <c r="F32" i="215"/>
  <c r="G32" i="215" s="1"/>
  <c r="E32" i="215"/>
  <c r="E33" i="215" s="1"/>
  <c r="W24" i="214"/>
  <c r="U23" i="214"/>
  <c r="AW23" i="214" s="1"/>
  <c r="U22" i="214"/>
  <c r="AW22" i="214" s="1"/>
  <c r="U21" i="214"/>
  <c r="AW21" i="214" s="1"/>
  <c r="U20" i="214"/>
  <c r="AW20" i="214" s="1"/>
  <c r="U19" i="214"/>
  <c r="AW19" i="214" s="1"/>
  <c r="U18" i="214"/>
  <c r="AW18" i="214" s="1"/>
  <c r="U17" i="214"/>
  <c r="AW17" i="214" s="1"/>
  <c r="U16" i="214"/>
  <c r="AW16" i="214" s="1"/>
  <c r="U15" i="214"/>
  <c r="AW15" i="214" s="1"/>
  <c r="U14" i="214"/>
  <c r="AW14" i="214" s="1"/>
  <c r="U13" i="214"/>
  <c r="AW13" i="214" s="1"/>
  <c r="U12" i="214"/>
  <c r="AW12" i="214" s="1"/>
  <c r="U11" i="214"/>
  <c r="AW11" i="214" s="1"/>
  <c r="V24" i="213"/>
  <c r="V23" i="213"/>
  <c r="T23" i="213"/>
  <c r="AV23" i="213" s="1"/>
  <c r="V22" i="213"/>
  <c r="AD22" i="213" s="1"/>
  <c r="T22" i="213"/>
  <c r="AV22" i="213" s="1"/>
  <c r="V21" i="213"/>
  <c r="T21" i="213"/>
  <c r="AV21" i="213" s="1"/>
  <c r="V20" i="213"/>
  <c r="AD20" i="213" s="1"/>
  <c r="T20" i="213"/>
  <c r="AV20" i="213" s="1"/>
  <c r="V19" i="213"/>
  <c r="T19" i="213"/>
  <c r="AV19" i="213" s="1"/>
  <c r="V18" i="213"/>
  <c r="AD18" i="213" s="1"/>
  <c r="T18" i="213"/>
  <c r="AV18" i="213" s="1"/>
  <c r="V17" i="213"/>
  <c r="T17" i="213"/>
  <c r="AV17" i="213" s="1"/>
  <c r="V16" i="213"/>
  <c r="AD16" i="213" s="1"/>
  <c r="T16" i="213"/>
  <c r="AV16" i="213" s="1"/>
  <c r="V15" i="213"/>
  <c r="T15" i="213"/>
  <c r="AV15" i="213" s="1"/>
  <c r="V14" i="213"/>
  <c r="AD14" i="213" s="1"/>
  <c r="T14" i="213"/>
  <c r="AV14" i="213" s="1"/>
  <c r="V13" i="213"/>
  <c r="T13" i="213"/>
  <c r="AV13" i="213" s="1"/>
  <c r="V12" i="213"/>
  <c r="T12" i="213"/>
  <c r="AV12" i="213" s="1"/>
  <c r="V11" i="213"/>
  <c r="T11" i="213"/>
  <c r="AV11" i="213" s="1"/>
  <c r="S23" i="211"/>
  <c r="AV23" i="211" s="1"/>
  <c r="E91" i="191" s="1"/>
  <c r="S22" i="211"/>
  <c r="AV22" i="211" s="1"/>
  <c r="E90" i="191" s="1"/>
  <c r="S21" i="211"/>
  <c r="AV21" i="211" s="1"/>
  <c r="E89" i="191" s="1"/>
  <c r="S20" i="211"/>
  <c r="AV20" i="211" s="1"/>
  <c r="E88" i="191" s="1"/>
  <c r="S19" i="211"/>
  <c r="AV19" i="211" s="1"/>
  <c r="E87" i="191" s="1"/>
  <c r="S18" i="211"/>
  <c r="AV18" i="211" s="1"/>
  <c r="E86" i="191" s="1"/>
  <c r="S17" i="211"/>
  <c r="AV17" i="211" s="1"/>
  <c r="E85" i="191" s="1"/>
  <c r="S16" i="211"/>
  <c r="AV16" i="211" s="1"/>
  <c r="E84" i="191" s="1"/>
  <c r="S15" i="211"/>
  <c r="AV15" i="211" s="1"/>
  <c r="E83" i="191" s="1"/>
  <c r="S14" i="211"/>
  <c r="AV14" i="211" s="1"/>
  <c r="E82" i="191" s="1"/>
  <c r="S13" i="211"/>
  <c r="AV13" i="211" s="1"/>
  <c r="E81" i="191" s="1"/>
  <c r="S12" i="211"/>
  <c r="AV12" i="211" s="1"/>
  <c r="E80" i="191" s="1"/>
  <c r="S11" i="211"/>
  <c r="AV11" i="211" s="1"/>
  <c r="E79" i="191" s="1"/>
  <c r="AL24" i="214"/>
  <c r="AJ24" i="214" s="1"/>
  <c r="AC24" i="214"/>
  <c r="AE24" i="214"/>
  <c r="O24" i="214"/>
  <c r="AN24" i="214" s="1"/>
  <c r="I24" i="214"/>
  <c r="AL23" i="214"/>
  <c r="AJ23" i="214" s="1"/>
  <c r="AC23" i="214"/>
  <c r="Z23" i="214"/>
  <c r="AA23" i="214" s="1"/>
  <c r="AF23" i="214" s="1"/>
  <c r="O23" i="214"/>
  <c r="AP23" i="214" s="1"/>
  <c r="AR23" i="214" s="1"/>
  <c r="I23" i="214"/>
  <c r="AL22" i="214"/>
  <c r="AJ22" i="214" s="1"/>
  <c r="AC22" i="214"/>
  <c r="O22" i="214"/>
  <c r="AN22" i="214" s="1"/>
  <c r="I22" i="214"/>
  <c r="AP21" i="214"/>
  <c r="AR21" i="214" s="1"/>
  <c r="AL21" i="214"/>
  <c r="AJ21" i="214" s="1"/>
  <c r="AC21" i="214"/>
  <c r="O21" i="214"/>
  <c r="AN21" i="214" s="1"/>
  <c r="I21" i="214"/>
  <c r="AS21" i="214" s="1"/>
  <c r="AL20" i="214"/>
  <c r="AJ20" i="214" s="1"/>
  <c r="AC20" i="214"/>
  <c r="O20" i="214"/>
  <c r="AN20" i="214" s="1"/>
  <c r="I20" i="214"/>
  <c r="AP19" i="214"/>
  <c r="AR19" i="214" s="1"/>
  <c r="AL19" i="214"/>
  <c r="AJ19" i="214" s="1"/>
  <c r="AC19" i="214"/>
  <c r="AA19" i="214"/>
  <c r="AF19" i="214" s="1"/>
  <c r="Z19" i="214"/>
  <c r="O19" i="214"/>
  <c r="AN19" i="214" s="1"/>
  <c r="I19" i="214"/>
  <c r="AS19" i="214" s="1"/>
  <c r="AL18" i="214"/>
  <c r="AJ18" i="214" s="1"/>
  <c r="AC18" i="214"/>
  <c r="O18" i="214"/>
  <c r="AN18" i="214" s="1"/>
  <c r="I18" i="214"/>
  <c r="AL17" i="214"/>
  <c r="AJ17" i="214" s="1"/>
  <c r="AC17" i="214"/>
  <c r="O17" i="214"/>
  <c r="AP17" i="214" s="1"/>
  <c r="AR17" i="214" s="1"/>
  <c r="I17" i="214"/>
  <c r="AP16" i="214"/>
  <c r="AR16" i="214" s="1"/>
  <c r="AL16" i="214"/>
  <c r="AJ16" i="214" s="1"/>
  <c r="AC16" i="214"/>
  <c r="O16" i="214"/>
  <c r="AN16" i="214" s="1"/>
  <c r="I16" i="214"/>
  <c r="AL15" i="214"/>
  <c r="AJ15" i="214" s="1"/>
  <c r="AC15" i="214"/>
  <c r="O15" i="214"/>
  <c r="AN15" i="214" s="1"/>
  <c r="I15" i="214"/>
  <c r="AL14" i="214"/>
  <c r="AJ14" i="214" s="1"/>
  <c r="AC14" i="214"/>
  <c r="O14" i="214"/>
  <c r="AN14" i="214" s="1"/>
  <c r="I14" i="214"/>
  <c r="AP13" i="214"/>
  <c r="AR13" i="214" s="1"/>
  <c r="AL13" i="214"/>
  <c r="AJ13" i="214" s="1"/>
  <c r="AC13" i="214"/>
  <c r="O13" i="214"/>
  <c r="AN13" i="214" s="1"/>
  <c r="I13" i="214"/>
  <c r="AL12" i="214"/>
  <c r="AJ12" i="214" s="1"/>
  <c r="AC12" i="214"/>
  <c r="O12" i="214"/>
  <c r="AN12" i="214" s="1"/>
  <c r="I12" i="214"/>
  <c r="AP11" i="214"/>
  <c r="AR11" i="214" s="1"/>
  <c r="AL11" i="214"/>
  <c r="AJ11" i="214" s="1"/>
  <c r="AC11" i="214"/>
  <c r="O11" i="214"/>
  <c r="AN11" i="214" s="1"/>
  <c r="I11" i="214"/>
  <c r="AQ8" i="214"/>
  <c r="AO8" i="214"/>
  <c r="AK24" i="213"/>
  <c r="AI24" i="213" s="1"/>
  <c r="AB24" i="213"/>
  <c r="AD24" i="213"/>
  <c r="N24" i="213"/>
  <c r="AO24" i="213" s="1"/>
  <c r="AQ24" i="213" s="1"/>
  <c r="I24" i="213"/>
  <c r="AT24" i="213" s="1"/>
  <c r="AK23" i="213"/>
  <c r="AI23" i="213" s="1"/>
  <c r="AB23" i="213"/>
  <c r="AD23" i="213"/>
  <c r="N23" i="213"/>
  <c r="AO23" i="213" s="1"/>
  <c r="AQ23" i="213" s="1"/>
  <c r="I23" i="213"/>
  <c r="AR23" i="213" s="1"/>
  <c r="AK22" i="213"/>
  <c r="AI22" i="213" s="1"/>
  <c r="AB22" i="213"/>
  <c r="N22" i="213"/>
  <c r="AO22" i="213" s="1"/>
  <c r="AQ22" i="213" s="1"/>
  <c r="I22" i="213"/>
  <c r="AT22" i="213" s="1"/>
  <c r="AK21" i="213"/>
  <c r="AI21" i="213"/>
  <c r="AB21" i="213"/>
  <c r="AD21" i="213"/>
  <c r="N21" i="213"/>
  <c r="AM21" i="213" s="1"/>
  <c r="I21" i="213"/>
  <c r="AT21" i="213" s="1"/>
  <c r="AT20" i="213"/>
  <c r="AK20" i="213"/>
  <c r="AI20" i="213"/>
  <c r="AB20" i="213"/>
  <c r="N20" i="213"/>
  <c r="AO20" i="213" s="1"/>
  <c r="AQ20" i="213" s="1"/>
  <c r="I20" i="213"/>
  <c r="AM19" i="213"/>
  <c r="AK19" i="213"/>
  <c r="AI19" i="213" s="1"/>
  <c r="AB19" i="213"/>
  <c r="AF19" i="213" s="1"/>
  <c r="Y19" i="213"/>
  <c r="Z19" i="213" s="1"/>
  <c r="AE19" i="213" s="1"/>
  <c r="AD19" i="213"/>
  <c r="N19" i="213"/>
  <c r="I19" i="213"/>
  <c r="AT19" i="213" s="1"/>
  <c r="AK18" i="213"/>
  <c r="AI18" i="213" s="1"/>
  <c r="AB18" i="213"/>
  <c r="N18" i="213"/>
  <c r="AO18" i="213" s="1"/>
  <c r="AQ18" i="213" s="1"/>
  <c r="I18" i="213"/>
  <c r="AT18" i="213" s="1"/>
  <c r="AM17" i="213"/>
  <c r="AK17" i="213"/>
  <c r="AI17" i="213"/>
  <c r="AB17" i="213"/>
  <c r="Y17" i="213"/>
  <c r="Z17" i="213" s="1"/>
  <c r="AE17" i="213" s="1"/>
  <c r="AD17" i="213"/>
  <c r="N17" i="213"/>
  <c r="I17" i="213"/>
  <c r="AT17" i="213" s="1"/>
  <c r="AT16" i="213"/>
  <c r="AK16" i="213"/>
  <c r="AI16" i="213"/>
  <c r="AB16" i="213"/>
  <c r="N16" i="213"/>
  <c r="AO16" i="213" s="1"/>
  <c r="AQ16" i="213" s="1"/>
  <c r="I16" i="213"/>
  <c r="AK15" i="213"/>
  <c r="AI15" i="213" s="1"/>
  <c r="AB15" i="213"/>
  <c r="AD15" i="213"/>
  <c r="N15" i="213"/>
  <c r="AM15" i="213" s="1"/>
  <c r="I15" i="213"/>
  <c r="AT15" i="213" s="1"/>
  <c r="AK14" i="213"/>
  <c r="AI14" i="213" s="1"/>
  <c r="AB14" i="213"/>
  <c r="N14" i="213"/>
  <c r="AO14" i="213" s="1"/>
  <c r="AQ14" i="213" s="1"/>
  <c r="I14" i="213"/>
  <c r="AT14" i="213" s="1"/>
  <c r="AK13" i="213"/>
  <c r="AI13" i="213"/>
  <c r="AB13" i="213"/>
  <c r="AD13" i="213"/>
  <c r="N13" i="213"/>
  <c r="AM13" i="213" s="1"/>
  <c r="I13" i="213"/>
  <c r="AT13" i="213" s="1"/>
  <c r="AK12" i="213"/>
  <c r="AI12" i="213"/>
  <c r="AB12" i="213"/>
  <c r="AD12" i="213"/>
  <c r="N12" i="213"/>
  <c r="AO12" i="213" s="1"/>
  <c r="AQ12" i="213" s="1"/>
  <c r="I12" i="213"/>
  <c r="AT12" i="213" s="1"/>
  <c r="AK11" i="213"/>
  <c r="AI11" i="213"/>
  <c r="AB11" i="213"/>
  <c r="AD11" i="213"/>
  <c r="N11" i="213"/>
  <c r="AM11" i="213" s="1"/>
  <c r="I11" i="213"/>
  <c r="AT11" i="213" s="1"/>
  <c r="AP8" i="213"/>
  <c r="AN8" i="213"/>
  <c r="AI3" i="214"/>
  <c r="W113" i="212"/>
  <c r="V113" i="212"/>
  <c r="U113" i="212"/>
  <c r="T113" i="212"/>
  <c r="S113" i="212"/>
  <c r="R113" i="212"/>
  <c r="Q113" i="212"/>
  <c r="P113" i="212"/>
  <c r="O113" i="212"/>
  <c r="N113" i="212"/>
  <c r="M113" i="212"/>
  <c r="L113" i="212"/>
  <c r="K113" i="212"/>
  <c r="J113" i="212"/>
  <c r="I113" i="212"/>
  <c r="H113" i="212"/>
  <c r="G113" i="212"/>
  <c r="F113" i="212"/>
  <c r="E113" i="212"/>
  <c r="D113" i="212"/>
  <c r="Z55" i="212"/>
  <c r="W55" i="212"/>
  <c r="V55" i="212"/>
  <c r="U55" i="212"/>
  <c r="T55" i="212"/>
  <c r="S55" i="212"/>
  <c r="R55" i="212"/>
  <c r="Q55" i="212"/>
  <c r="P55" i="212"/>
  <c r="O55" i="212"/>
  <c r="N55" i="212"/>
  <c r="M55" i="212"/>
  <c r="L55" i="212"/>
  <c r="K55" i="212"/>
  <c r="J55" i="212"/>
  <c r="I55" i="212"/>
  <c r="H55" i="212"/>
  <c r="G55" i="212"/>
  <c r="F55" i="212"/>
  <c r="E55" i="212"/>
  <c r="D55" i="212"/>
  <c r="Z49" i="212"/>
  <c r="Z52" i="212" s="1"/>
  <c r="W49" i="212"/>
  <c r="W52" i="212" s="1"/>
  <c r="V49" i="212"/>
  <c r="V52" i="212" s="1"/>
  <c r="U49" i="212"/>
  <c r="U52" i="212" s="1"/>
  <c r="T49" i="212"/>
  <c r="T52" i="212" s="1"/>
  <c r="S49" i="212"/>
  <c r="S52" i="212" s="1"/>
  <c r="R49" i="212"/>
  <c r="R52" i="212" s="1"/>
  <c r="Q49" i="212"/>
  <c r="Q52" i="212" s="1"/>
  <c r="P49" i="212"/>
  <c r="P52" i="212" s="1"/>
  <c r="O49" i="212"/>
  <c r="O52" i="212" s="1"/>
  <c r="N49" i="212"/>
  <c r="N52" i="212" s="1"/>
  <c r="M49" i="212"/>
  <c r="M52" i="212" s="1"/>
  <c r="L49" i="212"/>
  <c r="L52" i="212" s="1"/>
  <c r="K49" i="212"/>
  <c r="K52" i="212" s="1"/>
  <c r="J49" i="212"/>
  <c r="J52" i="212" s="1"/>
  <c r="I49" i="212"/>
  <c r="I52" i="212" s="1"/>
  <c r="H49" i="212"/>
  <c r="H52" i="212" s="1"/>
  <c r="G49" i="212"/>
  <c r="G52" i="212" s="1"/>
  <c r="F49" i="212"/>
  <c r="F52" i="212" s="1"/>
  <c r="E49" i="212"/>
  <c r="E52" i="212" s="1"/>
  <c r="D49" i="212"/>
  <c r="D52" i="212" s="1"/>
  <c r="Z48" i="212"/>
  <c r="P48" i="212"/>
  <c r="K48" i="212"/>
  <c r="Z43" i="212"/>
  <c r="W43" i="212"/>
  <c r="V43" i="212"/>
  <c r="U43" i="212"/>
  <c r="T43" i="212"/>
  <c r="S43" i="212"/>
  <c r="R43" i="212"/>
  <c r="Q43" i="212"/>
  <c r="P43" i="212"/>
  <c r="O43" i="212"/>
  <c r="N43" i="212"/>
  <c r="M43" i="212"/>
  <c r="L43" i="212"/>
  <c r="K43" i="212"/>
  <c r="J43" i="212"/>
  <c r="I43" i="212"/>
  <c r="H43" i="212"/>
  <c r="G43" i="212"/>
  <c r="F43" i="212"/>
  <c r="E43" i="212"/>
  <c r="D43" i="212"/>
  <c r="Z40" i="212"/>
  <c r="W40" i="212"/>
  <c r="V40" i="212"/>
  <c r="U40" i="212"/>
  <c r="U72" i="212" s="1"/>
  <c r="U129" i="212" s="1"/>
  <c r="T40" i="212"/>
  <c r="T109" i="212" s="1"/>
  <c r="T166" i="212" s="1"/>
  <c r="S40" i="212"/>
  <c r="R40" i="212"/>
  <c r="Q40" i="212"/>
  <c r="Q72" i="212" s="1"/>
  <c r="Q129" i="212" s="1"/>
  <c r="P40" i="212"/>
  <c r="P73" i="212" s="1"/>
  <c r="P130" i="212" s="1"/>
  <c r="O40" i="212"/>
  <c r="N40" i="212"/>
  <c r="M40" i="212"/>
  <c r="M72" i="212" s="1"/>
  <c r="M129" i="212" s="1"/>
  <c r="L40" i="212"/>
  <c r="K40" i="212"/>
  <c r="J40" i="212"/>
  <c r="I40" i="212"/>
  <c r="I72" i="212" s="1"/>
  <c r="I129" i="212" s="1"/>
  <c r="H40" i="212"/>
  <c r="H108" i="212" s="1"/>
  <c r="H165" i="212" s="1"/>
  <c r="G40" i="212"/>
  <c r="F40" i="212"/>
  <c r="F72" i="212" s="1"/>
  <c r="F129" i="212" s="1"/>
  <c r="E40" i="212"/>
  <c r="E72" i="212" s="1"/>
  <c r="E129" i="212" s="1"/>
  <c r="D40" i="212"/>
  <c r="Z39" i="212"/>
  <c r="Z74" i="212" s="1"/>
  <c r="W39" i="212"/>
  <c r="V39" i="212"/>
  <c r="V74" i="212" s="1"/>
  <c r="V131" i="212" s="1"/>
  <c r="U39" i="212"/>
  <c r="U110" i="212" s="1"/>
  <c r="U167" i="212" s="1"/>
  <c r="T39" i="212"/>
  <c r="T74" i="212" s="1"/>
  <c r="T131" i="212" s="1"/>
  <c r="S39" i="212"/>
  <c r="R39" i="212"/>
  <c r="R74" i="212" s="1"/>
  <c r="R131" i="212" s="1"/>
  <c r="Q39" i="212"/>
  <c r="Q110" i="212" s="1"/>
  <c r="Q167" i="212" s="1"/>
  <c r="P39" i="212"/>
  <c r="P74" i="212" s="1"/>
  <c r="P131" i="212" s="1"/>
  <c r="O39" i="212"/>
  <c r="N39" i="212"/>
  <c r="N74" i="212" s="1"/>
  <c r="N131" i="212" s="1"/>
  <c r="M39" i="212"/>
  <c r="M110" i="212" s="1"/>
  <c r="M167" i="212" s="1"/>
  <c r="L39" i="212"/>
  <c r="L74" i="212" s="1"/>
  <c r="L131" i="212" s="1"/>
  <c r="K39" i="212"/>
  <c r="K74" i="212" s="1"/>
  <c r="K131" i="212" s="1"/>
  <c r="J39" i="212"/>
  <c r="J74" i="212" s="1"/>
  <c r="J131" i="212" s="1"/>
  <c r="I39" i="212"/>
  <c r="I110" i="212" s="1"/>
  <c r="I167" i="212" s="1"/>
  <c r="H39" i="212"/>
  <c r="H74" i="212" s="1"/>
  <c r="H131" i="212" s="1"/>
  <c r="G39" i="212"/>
  <c r="G74" i="212" s="1"/>
  <c r="G131" i="212" s="1"/>
  <c r="F39" i="212"/>
  <c r="F74" i="212" s="1"/>
  <c r="F131" i="212" s="1"/>
  <c r="E39" i="212"/>
  <c r="E110" i="212" s="1"/>
  <c r="E167" i="212" s="1"/>
  <c r="D39" i="212"/>
  <c r="D74" i="212" s="1"/>
  <c r="D131" i="212" s="1"/>
  <c r="W36" i="212"/>
  <c r="V36" i="212"/>
  <c r="U36" i="212"/>
  <c r="T36" i="212"/>
  <c r="S36" i="212"/>
  <c r="R36" i="212"/>
  <c r="Q36" i="212"/>
  <c r="P36" i="212"/>
  <c r="O36" i="212"/>
  <c r="N36" i="212"/>
  <c r="M36" i="212"/>
  <c r="L36" i="212"/>
  <c r="K36" i="212"/>
  <c r="Z36" i="212" s="1"/>
  <c r="J36" i="212"/>
  <c r="I36" i="212"/>
  <c r="H36" i="212"/>
  <c r="G36" i="212"/>
  <c r="F36" i="212"/>
  <c r="E36" i="212"/>
  <c r="D36" i="212"/>
  <c r="Z35" i="212"/>
  <c r="W35" i="212"/>
  <c r="V35" i="212"/>
  <c r="U35" i="212"/>
  <c r="T35" i="212"/>
  <c r="S35" i="212"/>
  <c r="R35" i="212"/>
  <c r="Q35" i="212"/>
  <c r="P35" i="212"/>
  <c r="O35" i="212"/>
  <c r="N35" i="212"/>
  <c r="M35" i="212"/>
  <c r="L35" i="212"/>
  <c r="K35" i="212"/>
  <c r="J35" i="212"/>
  <c r="I35" i="212"/>
  <c r="H35" i="212"/>
  <c r="G35" i="212"/>
  <c r="F35" i="212"/>
  <c r="E35" i="212"/>
  <c r="D35" i="212"/>
  <c r="Z33" i="212"/>
  <c r="W33" i="212"/>
  <c r="V33" i="212"/>
  <c r="U33" i="212"/>
  <c r="T33" i="212"/>
  <c r="S33" i="212"/>
  <c r="R33" i="212"/>
  <c r="Q33" i="212"/>
  <c r="P33" i="212"/>
  <c r="O33" i="212"/>
  <c r="N33" i="212"/>
  <c r="M33" i="212"/>
  <c r="L33" i="212"/>
  <c r="K33" i="212"/>
  <c r="J33" i="212"/>
  <c r="I33" i="212"/>
  <c r="H33" i="212"/>
  <c r="G33" i="212"/>
  <c r="F33" i="212"/>
  <c r="E33" i="212"/>
  <c r="D33" i="212"/>
  <c r="W32" i="212"/>
  <c r="V32" i="212"/>
  <c r="U32" i="212"/>
  <c r="T32" i="212"/>
  <c r="S32" i="212"/>
  <c r="R32" i="212"/>
  <c r="Q32" i="212"/>
  <c r="P32" i="212"/>
  <c r="O32" i="212"/>
  <c r="N32" i="212"/>
  <c r="M32" i="212"/>
  <c r="L32" i="212"/>
  <c r="K32" i="212"/>
  <c r="Z32" i="212" s="1"/>
  <c r="J32" i="212"/>
  <c r="I32" i="212"/>
  <c r="H32" i="212"/>
  <c r="G32" i="212"/>
  <c r="F32" i="212"/>
  <c r="E32" i="212"/>
  <c r="D32" i="212"/>
  <c r="W31" i="212"/>
  <c r="V31" i="212"/>
  <c r="U31" i="212"/>
  <c r="T31" i="212"/>
  <c r="S31" i="212"/>
  <c r="R31" i="212"/>
  <c r="Q31" i="212"/>
  <c r="P31" i="212"/>
  <c r="O31" i="212"/>
  <c r="N31" i="212"/>
  <c r="M31" i="212"/>
  <c r="L31" i="212"/>
  <c r="K31" i="212"/>
  <c r="Z31" i="212" s="1"/>
  <c r="J31" i="212"/>
  <c r="I31" i="212"/>
  <c r="H31" i="212"/>
  <c r="G31" i="212"/>
  <c r="F31" i="212"/>
  <c r="E31" i="212"/>
  <c r="D31" i="212"/>
  <c r="Z30" i="212"/>
  <c r="W30" i="212"/>
  <c r="V30" i="212"/>
  <c r="U30" i="212"/>
  <c r="T30" i="212"/>
  <c r="S30" i="212"/>
  <c r="R30" i="212"/>
  <c r="Q30" i="212"/>
  <c r="P30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Z29" i="212"/>
  <c r="W29" i="212"/>
  <c r="V29" i="212"/>
  <c r="U29" i="212"/>
  <c r="T29" i="212"/>
  <c r="S29" i="212"/>
  <c r="R29" i="212"/>
  <c r="Q29" i="212"/>
  <c r="P29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Z28" i="212"/>
  <c r="W28" i="212"/>
  <c r="V28" i="212"/>
  <c r="U28" i="212"/>
  <c r="T28" i="212"/>
  <c r="S28" i="212"/>
  <c r="R28" i="212"/>
  <c r="Q28" i="212"/>
  <c r="P28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Z27" i="212"/>
  <c r="W27" i="212"/>
  <c r="V27" i="212"/>
  <c r="U27" i="212"/>
  <c r="T27" i="212"/>
  <c r="S27" i="212"/>
  <c r="R27" i="212"/>
  <c r="Q27" i="212"/>
  <c r="P27" i="212"/>
  <c r="O27" i="212"/>
  <c r="N27" i="212"/>
  <c r="M27" i="212"/>
  <c r="L27" i="212"/>
  <c r="K27" i="212"/>
  <c r="J27" i="212"/>
  <c r="I27" i="212"/>
  <c r="H27" i="212"/>
  <c r="G27" i="212"/>
  <c r="F27" i="212"/>
  <c r="E27" i="212"/>
  <c r="D27" i="212"/>
  <c r="Z26" i="212"/>
  <c r="W26" i="212"/>
  <c r="V26" i="212"/>
  <c r="U26" i="212"/>
  <c r="T26" i="212"/>
  <c r="S26" i="212"/>
  <c r="R26" i="212"/>
  <c r="Q26" i="212"/>
  <c r="P26" i="212"/>
  <c r="O26" i="212"/>
  <c r="N26" i="212"/>
  <c r="M26" i="212"/>
  <c r="L26" i="212"/>
  <c r="K26" i="212"/>
  <c r="J26" i="212"/>
  <c r="I26" i="212"/>
  <c r="H26" i="212"/>
  <c r="G26" i="212"/>
  <c r="F26" i="212"/>
  <c r="E26" i="212"/>
  <c r="D26" i="212"/>
  <c r="Z25" i="212"/>
  <c r="W25" i="212"/>
  <c r="V25" i="212"/>
  <c r="U25" i="212"/>
  <c r="T25" i="212"/>
  <c r="S25" i="212"/>
  <c r="R25" i="212"/>
  <c r="Q25" i="212"/>
  <c r="P25" i="212"/>
  <c r="O25" i="212"/>
  <c r="N25" i="212"/>
  <c r="M25" i="212"/>
  <c r="L25" i="212"/>
  <c r="K25" i="212"/>
  <c r="J25" i="212"/>
  <c r="I25" i="212"/>
  <c r="H25" i="212"/>
  <c r="G25" i="212"/>
  <c r="F25" i="212"/>
  <c r="E25" i="212"/>
  <c r="D25" i="212"/>
  <c r="Z24" i="212"/>
  <c r="W24" i="212"/>
  <c r="W69" i="212" s="1"/>
  <c r="V24" i="212"/>
  <c r="V70" i="212" s="1"/>
  <c r="V127" i="212" s="1"/>
  <c r="U24" i="212"/>
  <c r="U106" i="212" s="1"/>
  <c r="U163" i="212" s="1"/>
  <c r="T24" i="212"/>
  <c r="S24" i="212"/>
  <c r="S69" i="212" s="1"/>
  <c r="R24" i="212"/>
  <c r="R70" i="212" s="1"/>
  <c r="R127" i="212" s="1"/>
  <c r="Q24" i="212"/>
  <c r="Q106" i="212" s="1"/>
  <c r="Q163" i="212" s="1"/>
  <c r="P24" i="212"/>
  <c r="O24" i="212"/>
  <c r="O69" i="212" s="1"/>
  <c r="N24" i="212"/>
  <c r="N70" i="212" s="1"/>
  <c r="N127" i="212" s="1"/>
  <c r="M24" i="212"/>
  <c r="M106" i="212" s="1"/>
  <c r="M163" i="212" s="1"/>
  <c r="L24" i="212"/>
  <c r="K24" i="212"/>
  <c r="K69" i="212" s="1"/>
  <c r="J24" i="212"/>
  <c r="J70" i="212" s="1"/>
  <c r="J127" i="212" s="1"/>
  <c r="I24" i="212"/>
  <c r="I106" i="212" s="1"/>
  <c r="I163" i="212" s="1"/>
  <c r="H24" i="212"/>
  <c r="G24" i="212"/>
  <c r="G69" i="212" s="1"/>
  <c r="F24" i="212"/>
  <c r="F70" i="212" s="1"/>
  <c r="F127" i="212" s="1"/>
  <c r="E24" i="212"/>
  <c r="E106" i="212" s="1"/>
  <c r="E163" i="212" s="1"/>
  <c r="D24" i="212"/>
  <c r="Z23" i="212"/>
  <c r="Z68" i="212" s="1"/>
  <c r="W23" i="212"/>
  <c r="W65" i="212" s="1"/>
  <c r="V23" i="212"/>
  <c r="V66" i="212" s="1"/>
  <c r="V123" i="212" s="1"/>
  <c r="U23" i="212"/>
  <c r="T23" i="212"/>
  <c r="T68" i="212" s="1"/>
  <c r="T125" i="212" s="1"/>
  <c r="S23" i="212"/>
  <c r="S65" i="212" s="1"/>
  <c r="R23" i="212"/>
  <c r="R66" i="212" s="1"/>
  <c r="R123" i="212" s="1"/>
  <c r="Q23" i="212"/>
  <c r="P23" i="212"/>
  <c r="P68" i="212" s="1"/>
  <c r="P125" i="212" s="1"/>
  <c r="O23" i="212"/>
  <c r="O65" i="212" s="1"/>
  <c r="N23" i="212"/>
  <c r="N66" i="212" s="1"/>
  <c r="N123" i="212" s="1"/>
  <c r="M23" i="212"/>
  <c r="L23" i="212"/>
  <c r="L68" i="212" s="1"/>
  <c r="L125" i="212" s="1"/>
  <c r="K23" i="212"/>
  <c r="K65" i="212" s="1"/>
  <c r="J23" i="212"/>
  <c r="J66" i="212" s="1"/>
  <c r="J123" i="212" s="1"/>
  <c r="I23" i="212"/>
  <c r="H23" i="212"/>
  <c r="H68" i="212" s="1"/>
  <c r="H125" i="212" s="1"/>
  <c r="G23" i="212"/>
  <c r="G65" i="212" s="1"/>
  <c r="F23" i="212"/>
  <c r="F66" i="212" s="1"/>
  <c r="F123" i="212" s="1"/>
  <c r="E23" i="212"/>
  <c r="D23" i="212"/>
  <c r="D68" i="212" s="1"/>
  <c r="D125" i="212" s="1"/>
  <c r="Z10" i="212"/>
  <c r="X10" i="212"/>
  <c r="W10" i="212"/>
  <c r="V10" i="212"/>
  <c r="U10" i="212"/>
  <c r="T10" i="212"/>
  <c r="S10" i="212"/>
  <c r="R10" i="212"/>
  <c r="Q10" i="212"/>
  <c r="P10" i="212"/>
  <c r="O10" i="212"/>
  <c r="N10" i="212"/>
  <c r="M10" i="212"/>
  <c r="L10" i="212"/>
  <c r="K10" i="212"/>
  <c r="J10" i="212"/>
  <c r="I10" i="212"/>
  <c r="H10" i="212"/>
  <c r="G10" i="212"/>
  <c r="F10" i="212"/>
  <c r="E10" i="212"/>
  <c r="D10" i="212"/>
  <c r="Z9" i="212"/>
  <c r="W9" i="212"/>
  <c r="V9" i="212"/>
  <c r="U9" i="212"/>
  <c r="T9" i="212"/>
  <c r="S9" i="212"/>
  <c r="R9" i="212"/>
  <c r="Q9" i="212"/>
  <c r="P9" i="212"/>
  <c r="O9" i="212"/>
  <c r="N9" i="212"/>
  <c r="M9" i="212"/>
  <c r="L9" i="212"/>
  <c r="K9" i="212"/>
  <c r="X9" i="212" s="1"/>
  <c r="J9" i="212"/>
  <c r="I9" i="212"/>
  <c r="H9" i="212"/>
  <c r="G9" i="212"/>
  <c r="F9" i="212"/>
  <c r="E9" i="212"/>
  <c r="D9" i="212"/>
  <c r="Z8" i="212"/>
  <c r="W8" i="212"/>
  <c r="V8" i="212"/>
  <c r="U8" i="212"/>
  <c r="T8" i="212"/>
  <c r="S8" i="212"/>
  <c r="R8" i="212"/>
  <c r="Q8" i="212"/>
  <c r="P8" i="212"/>
  <c r="O8" i="212"/>
  <c r="N8" i="212"/>
  <c r="M8" i="212"/>
  <c r="L8" i="212"/>
  <c r="K8" i="212"/>
  <c r="X8" i="212" s="1"/>
  <c r="J8" i="212"/>
  <c r="I8" i="212"/>
  <c r="H8" i="212"/>
  <c r="G8" i="212"/>
  <c r="F8" i="212"/>
  <c r="E8" i="212"/>
  <c r="D8" i="212"/>
  <c r="Z7" i="212"/>
  <c r="W7" i="212"/>
  <c r="V7" i="212"/>
  <c r="U7" i="212"/>
  <c r="T7" i="212"/>
  <c r="S7" i="212"/>
  <c r="R7" i="212"/>
  <c r="Q7" i="212"/>
  <c r="P7" i="212"/>
  <c r="O7" i="212"/>
  <c r="N7" i="212"/>
  <c r="M7" i="212"/>
  <c r="L7" i="212"/>
  <c r="K7" i="212"/>
  <c r="X7" i="212" s="1"/>
  <c r="J7" i="212"/>
  <c r="I7" i="212"/>
  <c r="H7" i="212"/>
  <c r="G7" i="212"/>
  <c r="F7" i="212"/>
  <c r="E7" i="212"/>
  <c r="D7" i="212"/>
  <c r="L32" i="215" l="1"/>
  <c r="H32" i="215"/>
  <c r="M32" i="215" s="1"/>
  <c r="E104" i="212"/>
  <c r="E161" i="212" s="1"/>
  <c r="I104" i="212"/>
  <c r="I161" i="212" s="1"/>
  <c r="M104" i="212"/>
  <c r="M161" i="212" s="1"/>
  <c r="Q104" i="212"/>
  <c r="Q161" i="212" s="1"/>
  <c r="U104" i="212"/>
  <c r="U161" i="212" s="1"/>
  <c r="D69" i="212"/>
  <c r="H69" i="212"/>
  <c r="L69" i="212"/>
  <c r="P69" i="212"/>
  <c r="T69" i="212"/>
  <c r="Z69" i="212"/>
  <c r="Z62" i="212" s="1"/>
  <c r="O74" i="212"/>
  <c r="O131" i="212" s="1"/>
  <c r="S74" i="212"/>
  <c r="S131" i="212" s="1"/>
  <c r="W74" i="212"/>
  <c r="W131" i="212" s="1"/>
  <c r="J72" i="212"/>
  <c r="J129" i="212" s="1"/>
  <c r="N72" i="212"/>
  <c r="N129" i="212" s="1"/>
  <c r="R72" i="212"/>
  <c r="R129" i="212" s="1"/>
  <c r="V72" i="212"/>
  <c r="V129" i="212" s="1"/>
  <c r="O64" i="212"/>
  <c r="O121" i="212" s="1"/>
  <c r="K68" i="212"/>
  <c r="K125" i="212" s="1"/>
  <c r="F73" i="212"/>
  <c r="F130" i="212" s="1"/>
  <c r="V73" i="212"/>
  <c r="V130" i="212" s="1"/>
  <c r="AS17" i="214"/>
  <c r="AP18" i="214"/>
  <c r="AR18" i="214" s="1"/>
  <c r="AS18" i="214" s="1"/>
  <c r="AP22" i="214"/>
  <c r="AR22" i="214" s="1"/>
  <c r="W12" i="214"/>
  <c r="AE12" i="214" s="1"/>
  <c r="W14" i="214"/>
  <c r="AE14" i="214" s="1"/>
  <c r="W16" i="214"/>
  <c r="AE16" i="214" s="1"/>
  <c r="W18" i="214"/>
  <c r="AE18" i="214" s="1"/>
  <c r="W20" i="214"/>
  <c r="AE20" i="214" s="1"/>
  <c r="W22" i="214"/>
  <c r="AE22" i="214" s="1"/>
  <c r="I32" i="215"/>
  <c r="N32" i="215" s="1"/>
  <c r="G37" i="215"/>
  <c r="G49" i="215"/>
  <c r="L49" i="215" s="1"/>
  <c r="H258" i="215"/>
  <c r="M258" i="215" s="1"/>
  <c r="L258" i="215"/>
  <c r="D99" i="212"/>
  <c r="H104" i="212"/>
  <c r="H161" i="212" s="1"/>
  <c r="L85" i="212"/>
  <c r="P103" i="212"/>
  <c r="T101" i="212"/>
  <c r="Z63" i="212"/>
  <c r="E66" i="212"/>
  <c r="E123" i="212" s="1"/>
  <c r="I66" i="212"/>
  <c r="I123" i="212" s="1"/>
  <c r="M66" i="212"/>
  <c r="M123" i="212" s="1"/>
  <c r="Q66" i="212"/>
  <c r="Q123" i="212" s="1"/>
  <c r="U66" i="212"/>
  <c r="U123" i="212" s="1"/>
  <c r="S64" i="212"/>
  <c r="S121" i="212" s="1"/>
  <c r="O68" i="212"/>
  <c r="O125" i="212" s="1"/>
  <c r="J73" i="212"/>
  <c r="J130" i="212" s="1"/>
  <c r="AP14" i="214"/>
  <c r="AR14" i="214" s="1"/>
  <c r="AN17" i="214"/>
  <c r="AS23" i="214"/>
  <c r="AP24" i="214"/>
  <c r="AR24" i="214" s="1"/>
  <c r="F33" i="215"/>
  <c r="H77" i="215"/>
  <c r="M77" i="215" s="1"/>
  <c r="L77" i="215"/>
  <c r="H95" i="215"/>
  <c r="M95" i="215" s="1"/>
  <c r="L95" i="215"/>
  <c r="O248" i="215"/>
  <c r="G64" i="212"/>
  <c r="G121" i="212" s="1"/>
  <c r="W64" i="212"/>
  <c r="W121" i="212" s="1"/>
  <c r="S68" i="212"/>
  <c r="S125" i="212" s="1"/>
  <c r="N73" i="212"/>
  <c r="N130" i="212" s="1"/>
  <c r="Y15" i="213"/>
  <c r="Z15" i="213" s="1"/>
  <c r="AE15" i="213" s="1"/>
  <c r="AF17" i="213"/>
  <c r="Y23" i="213"/>
  <c r="Z23" i="213" s="1"/>
  <c r="AE23" i="213" s="1"/>
  <c r="AM23" i="213"/>
  <c r="AP12" i="214"/>
  <c r="AR12" i="214" s="1"/>
  <c r="AP15" i="214"/>
  <c r="AR15" i="214" s="1"/>
  <c r="Z17" i="214"/>
  <c r="AA17" i="214" s="1"/>
  <c r="AF17" i="214" s="1"/>
  <c r="AP20" i="214"/>
  <c r="AR20" i="214" s="1"/>
  <c r="AS20" i="214" s="1"/>
  <c r="Z21" i="214"/>
  <c r="AA21" i="214" s="1"/>
  <c r="AF21" i="214" s="1"/>
  <c r="AN23" i="214"/>
  <c r="W11" i="214"/>
  <c r="AE11" i="214" s="1"/>
  <c r="W13" i="214"/>
  <c r="AE13" i="214" s="1"/>
  <c r="W15" i="214"/>
  <c r="AE15" i="214" s="1"/>
  <c r="W17" i="214"/>
  <c r="AE17" i="214" s="1"/>
  <c r="AG17" i="214" s="1"/>
  <c r="W19" i="214"/>
  <c r="AE19" i="214" s="1"/>
  <c r="AG19" i="214" s="1"/>
  <c r="W21" i="214"/>
  <c r="AE21" i="214" s="1"/>
  <c r="AG21" i="214" s="1"/>
  <c r="W23" i="214"/>
  <c r="AE23" i="214" s="1"/>
  <c r="L35" i="215"/>
  <c r="O35" i="215" s="1"/>
  <c r="O250" i="215"/>
  <c r="D105" i="212"/>
  <c r="H88" i="212"/>
  <c r="H145" i="212" s="1"/>
  <c r="L106" i="212"/>
  <c r="L163" i="212" s="1"/>
  <c r="P87" i="212"/>
  <c r="T106" i="212"/>
  <c r="T163" i="212" s="1"/>
  <c r="F69" i="212"/>
  <c r="J69" i="212"/>
  <c r="N69" i="212"/>
  <c r="R69" i="212"/>
  <c r="V69" i="212"/>
  <c r="K64" i="212"/>
  <c r="K121" i="212" s="1"/>
  <c r="G68" i="212"/>
  <c r="G125" i="212" s="1"/>
  <c r="W68" i="212"/>
  <c r="W125" i="212" s="1"/>
  <c r="R73" i="212"/>
  <c r="R130" i="212" s="1"/>
  <c r="Y11" i="213"/>
  <c r="Z11" i="213" s="1"/>
  <c r="AE11" i="213" s="1"/>
  <c r="Y13" i="213"/>
  <c r="Z13" i="213" s="1"/>
  <c r="AE13" i="213" s="1"/>
  <c r="AF15" i="213"/>
  <c r="Y21" i="213"/>
  <c r="Z21" i="213" s="1"/>
  <c r="AE21" i="213" s="1"/>
  <c r="AF23" i="213"/>
  <c r="AT23" i="213"/>
  <c r="AS16" i="214"/>
  <c r="H34" i="215"/>
  <c r="M34" i="215" s="1"/>
  <c r="O34" i="215" s="1"/>
  <c r="L57" i="215"/>
  <c r="G84" i="215"/>
  <c r="O244" i="215"/>
  <c r="M183" i="215"/>
  <c r="M184" i="215"/>
  <c r="N213" i="215"/>
  <c r="N88" i="215"/>
  <c r="N89" i="215" s="1"/>
  <c r="L89" i="215" s="1"/>
  <c r="G72" i="215"/>
  <c r="G75" i="215"/>
  <c r="G80" i="215"/>
  <c r="G83" i="215"/>
  <c r="G87" i="215"/>
  <c r="G94" i="215"/>
  <c r="N130" i="215"/>
  <c r="H113" i="215"/>
  <c r="M113" i="215" s="1"/>
  <c r="H114" i="215"/>
  <c r="M114" i="215" s="1"/>
  <c r="H115" i="215"/>
  <c r="M115" i="215" s="1"/>
  <c r="H117" i="215"/>
  <c r="M117" i="215" s="1"/>
  <c r="H118" i="215"/>
  <c r="M118" i="215" s="1"/>
  <c r="H119" i="215"/>
  <c r="M119" i="215" s="1"/>
  <c r="H121" i="215"/>
  <c r="M121" i="215" s="1"/>
  <c r="H122" i="215"/>
  <c r="M122" i="215" s="1"/>
  <c r="H123" i="215"/>
  <c r="M123" i="215" s="1"/>
  <c r="H125" i="215"/>
  <c r="M125" i="215" s="1"/>
  <c r="H126" i="215"/>
  <c r="M126" i="215" s="1"/>
  <c r="H127" i="215"/>
  <c r="M127" i="215" s="1"/>
  <c r="H129" i="215"/>
  <c r="M129" i="215" s="1"/>
  <c r="H132" i="215"/>
  <c r="M132" i="215" s="1"/>
  <c r="H133" i="215"/>
  <c r="M133" i="215" s="1"/>
  <c r="H135" i="215"/>
  <c r="M135" i="215" s="1"/>
  <c r="H136" i="215"/>
  <c r="M136" i="215" s="1"/>
  <c r="H137" i="215"/>
  <c r="M137" i="215" s="1"/>
  <c r="L143" i="215"/>
  <c r="O143" i="215" s="1"/>
  <c r="N163" i="215"/>
  <c r="N271" i="215" s="1"/>
  <c r="L161" i="215"/>
  <c r="O161" i="215" s="1"/>
  <c r="L165" i="215"/>
  <c r="L167" i="215"/>
  <c r="O167" i="215" s="1"/>
  <c r="L169" i="215"/>
  <c r="O169" i="215" s="1"/>
  <c r="L176" i="215"/>
  <c r="O176" i="215" s="1"/>
  <c r="L178" i="215"/>
  <c r="O178" i="215" s="1"/>
  <c r="N196" i="215"/>
  <c r="O190" i="215"/>
  <c r="O191" i="215"/>
  <c r="H192" i="215"/>
  <c r="M192" i="215" s="1"/>
  <c r="O192" i="215" s="1"/>
  <c r="H193" i="215"/>
  <c r="M193" i="215" s="1"/>
  <c r="L198" i="215"/>
  <c r="O198" i="215" s="1"/>
  <c r="O199" i="215" s="1"/>
  <c r="H209" i="215"/>
  <c r="M209" i="215" s="1"/>
  <c r="L212" i="215"/>
  <c r="O212" i="215" s="1"/>
  <c r="L218" i="215"/>
  <c r="L220" i="215"/>
  <c r="O220" i="215" s="1"/>
  <c r="L222" i="215"/>
  <c r="L227" i="215" s="1"/>
  <c r="N228" i="215"/>
  <c r="L224" i="215"/>
  <c r="O224" i="215" s="1"/>
  <c r="L230" i="215"/>
  <c r="L231" i="215" s="1"/>
  <c r="N272" i="215"/>
  <c r="G38" i="215"/>
  <c r="G52" i="215"/>
  <c r="G55" i="215"/>
  <c r="G60" i="215"/>
  <c r="G63" i="215"/>
  <c r="G68" i="215"/>
  <c r="G92" i="215"/>
  <c r="L97" i="215"/>
  <c r="O97" i="215" s="1"/>
  <c r="H100" i="215"/>
  <c r="M100" i="215" s="1"/>
  <c r="O100" i="215" s="1"/>
  <c r="N156" i="215"/>
  <c r="N157" i="215" s="1"/>
  <c r="L153" i="215"/>
  <c r="O153" i="215" s="1"/>
  <c r="H160" i="215"/>
  <c r="M160" i="215" s="1"/>
  <c r="H166" i="215"/>
  <c r="M166" i="215" s="1"/>
  <c r="L183" i="215"/>
  <c r="L184" i="215"/>
  <c r="O184" i="215" s="1"/>
  <c r="H188" i="215"/>
  <c r="M188" i="215" s="1"/>
  <c r="O188" i="215" s="1"/>
  <c r="H189" i="215"/>
  <c r="M189" i="215" s="1"/>
  <c r="O194" i="215"/>
  <c r="O195" i="215"/>
  <c r="H211" i="215"/>
  <c r="M211" i="215" s="1"/>
  <c r="H219" i="215"/>
  <c r="M219" i="215" s="1"/>
  <c r="H223" i="215"/>
  <c r="M223" i="215" s="1"/>
  <c r="G240" i="215"/>
  <c r="H243" i="215"/>
  <c r="M243" i="215" s="1"/>
  <c r="H245" i="215"/>
  <c r="M245" i="215" s="1"/>
  <c r="O245" i="215" s="1"/>
  <c r="H247" i="215"/>
  <c r="M247" i="215" s="1"/>
  <c r="O247" i="215" s="1"/>
  <c r="H249" i="215"/>
  <c r="M249" i="215" s="1"/>
  <c r="O249" i="215" s="1"/>
  <c r="H251" i="215"/>
  <c r="M251" i="215" s="1"/>
  <c r="O251" i="215" s="1"/>
  <c r="L254" i="215"/>
  <c r="L260" i="215"/>
  <c r="E36" i="215"/>
  <c r="G33" i="215"/>
  <c r="L39" i="215"/>
  <c r="O39" i="215" s="1"/>
  <c r="H39" i="215"/>
  <c r="M39" i="215" s="1"/>
  <c r="L48" i="215"/>
  <c r="H48" i="215"/>
  <c r="M48" i="215" s="1"/>
  <c r="H74" i="215"/>
  <c r="M74" i="215" s="1"/>
  <c r="L74" i="215"/>
  <c r="H82" i="215"/>
  <c r="M82" i="215" s="1"/>
  <c r="L82" i="215"/>
  <c r="O42" i="215"/>
  <c r="L72" i="215"/>
  <c r="H72" i="215"/>
  <c r="M72" i="215" s="1"/>
  <c r="L80" i="215"/>
  <c r="H80" i="215"/>
  <c r="M80" i="215" s="1"/>
  <c r="H94" i="215"/>
  <c r="M94" i="215" s="1"/>
  <c r="L94" i="215"/>
  <c r="O32" i="215"/>
  <c r="H37" i="215"/>
  <c r="M37" i="215" s="1"/>
  <c r="L37" i="215"/>
  <c r="H47" i="215"/>
  <c r="M47" i="215" s="1"/>
  <c r="L47" i="215"/>
  <c r="L54" i="215"/>
  <c r="O54" i="215" s="1"/>
  <c r="H54" i="215"/>
  <c r="M54" i="215" s="1"/>
  <c r="L62" i="215"/>
  <c r="H62" i="215"/>
  <c r="M62" i="215" s="1"/>
  <c r="H38" i="215"/>
  <c r="M38" i="215" s="1"/>
  <c r="L38" i="215"/>
  <c r="H52" i="215"/>
  <c r="M52" i="215" s="1"/>
  <c r="L52" i="215"/>
  <c r="H60" i="215"/>
  <c r="M60" i="215" s="1"/>
  <c r="L60" i="215"/>
  <c r="H68" i="215"/>
  <c r="M68" i="215" s="1"/>
  <c r="L68" i="215"/>
  <c r="O99" i="215"/>
  <c r="H56" i="215"/>
  <c r="M56" i="215" s="1"/>
  <c r="L56" i="215"/>
  <c r="O56" i="215" s="1"/>
  <c r="H64" i="215"/>
  <c r="M64" i="215" s="1"/>
  <c r="L64" i="215"/>
  <c r="L76" i="215"/>
  <c r="H76" i="215"/>
  <c r="M76" i="215" s="1"/>
  <c r="L84" i="215"/>
  <c r="H84" i="215"/>
  <c r="M84" i="215" s="1"/>
  <c r="L112" i="215"/>
  <c r="L163" i="215"/>
  <c r="O160" i="215"/>
  <c r="O243" i="215"/>
  <c r="L252" i="215"/>
  <c r="H257" i="215"/>
  <c r="M257" i="215" s="1"/>
  <c r="L257" i="215"/>
  <c r="H41" i="215"/>
  <c r="M41" i="215" s="1"/>
  <c r="O41" i="215" s="1"/>
  <c r="H49" i="215"/>
  <c r="M49" i="215" s="1"/>
  <c r="O49" i="215" s="1"/>
  <c r="G50" i="215"/>
  <c r="H51" i="215"/>
  <c r="M51" i="215" s="1"/>
  <c r="O51" i="215" s="1"/>
  <c r="G85" i="215"/>
  <c r="L93" i="215"/>
  <c r="O93" i="215" s="1"/>
  <c r="L96" i="215"/>
  <c r="O96" i="215" s="1"/>
  <c r="H98" i="215"/>
  <c r="M98" i="215" s="1"/>
  <c r="L101" i="215"/>
  <c r="O101" i="215" s="1"/>
  <c r="L104" i="215"/>
  <c r="O104" i="215" s="1"/>
  <c r="N147" i="215"/>
  <c r="N148" i="215" s="1"/>
  <c r="L148" i="215" s="1"/>
  <c r="O151" i="215"/>
  <c r="N179" i="215"/>
  <c r="N180" i="215" s="1"/>
  <c r="O189" i="215"/>
  <c r="O258" i="215"/>
  <c r="H78" i="215"/>
  <c r="M78" i="215" s="1"/>
  <c r="L78" i="215"/>
  <c r="N276" i="215"/>
  <c r="N264" i="215"/>
  <c r="L210" i="215"/>
  <c r="L236" i="215"/>
  <c r="H255" i="215"/>
  <c r="M255" i="215" s="1"/>
  <c r="L255" i="215"/>
  <c r="O57" i="215"/>
  <c r="L66" i="215"/>
  <c r="H66" i="215"/>
  <c r="M66" i="215" s="1"/>
  <c r="H70" i="215"/>
  <c r="M70" i="215" s="1"/>
  <c r="L70" i="215"/>
  <c r="L111" i="215"/>
  <c r="G53" i="215"/>
  <c r="L59" i="215"/>
  <c r="O59" i="215" s="1"/>
  <c r="G61" i="215"/>
  <c r="L67" i="215"/>
  <c r="O67" i="215" s="1"/>
  <c r="G69" i="215"/>
  <c r="L71" i="215"/>
  <c r="O71" i="215" s="1"/>
  <c r="G73" i="215"/>
  <c r="L79" i="215"/>
  <c r="O79" i="215" s="1"/>
  <c r="G81" i="215"/>
  <c r="N109" i="215"/>
  <c r="H103" i="215"/>
  <c r="M103" i="215" s="1"/>
  <c r="O103" i="215" s="1"/>
  <c r="O105" i="215"/>
  <c r="O145" i="215"/>
  <c r="O155" i="215"/>
  <c r="M196" i="215"/>
  <c r="O193" i="215"/>
  <c r="L58" i="215"/>
  <c r="H58" i="215"/>
  <c r="M58" i="215" s="1"/>
  <c r="L86" i="215"/>
  <c r="H86" i="215"/>
  <c r="M86" i="215" s="1"/>
  <c r="H107" i="215"/>
  <c r="M107" i="215" s="1"/>
  <c r="L107" i="215"/>
  <c r="L144" i="215"/>
  <c r="O183" i="215"/>
  <c r="O185" i="215" s="1"/>
  <c r="L185" i="215"/>
  <c r="O187" i="215"/>
  <c r="L196" i="215"/>
  <c r="L216" i="215"/>
  <c r="H240" i="215"/>
  <c r="M240" i="215" s="1"/>
  <c r="M241" i="215" s="1"/>
  <c r="L240" i="215"/>
  <c r="O65" i="215"/>
  <c r="O77" i="215"/>
  <c r="O113" i="215"/>
  <c r="O115" i="215"/>
  <c r="O117" i="215"/>
  <c r="O119" i="215"/>
  <c r="O121" i="215"/>
  <c r="O123" i="215"/>
  <c r="O125" i="215"/>
  <c r="O127" i="215"/>
  <c r="O129" i="215"/>
  <c r="O133" i="215"/>
  <c r="O135" i="215"/>
  <c r="O137" i="215"/>
  <c r="O209" i="215"/>
  <c r="O254" i="215"/>
  <c r="O260" i="215"/>
  <c r="H108" i="215"/>
  <c r="M108" i="215" s="1"/>
  <c r="O108" i="215" s="1"/>
  <c r="J111" i="215"/>
  <c r="H111" i="215" s="1"/>
  <c r="M111" i="215" s="1"/>
  <c r="J112" i="215"/>
  <c r="H112" i="215" s="1"/>
  <c r="M112" i="215" s="1"/>
  <c r="L114" i="215"/>
  <c r="O114" i="215" s="1"/>
  <c r="H116" i="215"/>
  <c r="M116" i="215" s="1"/>
  <c r="O116" i="215" s="1"/>
  <c r="L118" i="215"/>
  <c r="O118" i="215" s="1"/>
  <c r="H120" i="215"/>
  <c r="M120" i="215" s="1"/>
  <c r="O120" i="215" s="1"/>
  <c r="L122" i="215"/>
  <c r="O122" i="215" s="1"/>
  <c r="H124" i="215"/>
  <c r="M124" i="215" s="1"/>
  <c r="O124" i="215" s="1"/>
  <c r="L126" i="215"/>
  <c r="O126" i="215" s="1"/>
  <c r="H128" i="215"/>
  <c r="M128" i="215" s="1"/>
  <c r="O128" i="215" s="1"/>
  <c r="L132" i="215"/>
  <c r="H134" i="215"/>
  <c r="M134" i="215" s="1"/>
  <c r="M138" i="215" s="1"/>
  <c r="L136" i="215"/>
  <c r="O136" i="215" s="1"/>
  <c r="H140" i="215"/>
  <c r="M140" i="215" s="1"/>
  <c r="H141" i="215"/>
  <c r="M141" i="215" s="1"/>
  <c r="O141" i="215" s="1"/>
  <c r="H142" i="215"/>
  <c r="M142" i="215" s="1"/>
  <c r="O142" i="215" s="1"/>
  <c r="J144" i="215"/>
  <c r="H144" i="215" s="1"/>
  <c r="M144" i="215" s="1"/>
  <c r="L146" i="215"/>
  <c r="O146" i="215" s="1"/>
  <c r="H152" i="215"/>
  <c r="M152" i="215" s="1"/>
  <c r="O152" i="215" s="1"/>
  <c r="H154" i="215"/>
  <c r="M154" i="215" s="1"/>
  <c r="O154" i="215" s="1"/>
  <c r="H162" i="215"/>
  <c r="M162" i="215" s="1"/>
  <c r="O162" i="215" s="1"/>
  <c r="O165" i="215"/>
  <c r="L166" i="215"/>
  <c r="O166" i="215" s="1"/>
  <c r="H168" i="215"/>
  <c r="M168" i="215" s="1"/>
  <c r="O168" i="215" s="1"/>
  <c r="L171" i="215"/>
  <c r="O171" i="215" s="1"/>
  <c r="L172" i="215"/>
  <c r="O172" i="215" s="1"/>
  <c r="L173" i="215"/>
  <c r="O173" i="215" s="1"/>
  <c r="L174" i="215"/>
  <c r="O174" i="215" s="1"/>
  <c r="H177" i="215"/>
  <c r="M177" i="215" s="1"/>
  <c r="O177" i="215" s="1"/>
  <c r="G201" i="215"/>
  <c r="G204" i="215"/>
  <c r="G205" i="215"/>
  <c r="H208" i="215"/>
  <c r="M208" i="215" s="1"/>
  <c r="O208" i="215" s="1"/>
  <c r="J210" i="215"/>
  <c r="H210" i="215" s="1"/>
  <c r="M210" i="215" s="1"/>
  <c r="L211" i="215"/>
  <c r="O211" i="215" s="1"/>
  <c r="H215" i="215"/>
  <c r="M215" i="215" s="1"/>
  <c r="M216" i="215" s="1"/>
  <c r="O218" i="215"/>
  <c r="L219" i="215"/>
  <c r="O219" i="215" s="1"/>
  <c r="H221" i="215"/>
  <c r="M221" i="215" s="1"/>
  <c r="O221" i="215" s="1"/>
  <c r="O222" i="215"/>
  <c r="O227" i="215" s="1"/>
  <c r="L223" i="215"/>
  <c r="H225" i="215"/>
  <c r="M225" i="215" s="1"/>
  <c r="O225" i="215" s="1"/>
  <c r="O230" i="215"/>
  <c r="O231" i="215" s="1"/>
  <c r="H233" i="215"/>
  <c r="M233" i="215" s="1"/>
  <c r="H234" i="215"/>
  <c r="M234" i="215" s="1"/>
  <c r="O234" i="215" s="1"/>
  <c r="H235" i="215"/>
  <c r="M235" i="215" s="1"/>
  <c r="O235" i="215" s="1"/>
  <c r="H256" i="215"/>
  <c r="M256" i="215" s="1"/>
  <c r="O256" i="215" s="1"/>
  <c r="H259" i="215"/>
  <c r="M259" i="215" s="1"/>
  <c r="O259" i="215" s="1"/>
  <c r="L106" i="215"/>
  <c r="O106" i="215" s="1"/>
  <c r="L156" i="215"/>
  <c r="L199" i="215"/>
  <c r="L261" i="215"/>
  <c r="AG23" i="214"/>
  <c r="E23" i="214" s="1"/>
  <c r="AS11" i="214"/>
  <c r="AS13" i="214"/>
  <c r="AS15" i="214"/>
  <c r="Z12" i="214"/>
  <c r="AA12" i="214" s="1"/>
  <c r="AF12" i="214" s="1"/>
  <c r="AU12" i="214"/>
  <c r="Z14" i="214"/>
  <c r="AA14" i="214" s="1"/>
  <c r="AF14" i="214" s="1"/>
  <c r="AU14" i="214"/>
  <c r="Z16" i="214"/>
  <c r="AA16" i="214" s="1"/>
  <c r="AF16" i="214" s="1"/>
  <c r="AU16" i="214"/>
  <c r="E17" i="214"/>
  <c r="Z18" i="214"/>
  <c r="AA18" i="214" s="1"/>
  <c r="AF18" i="214" s="1"/>
  <c r="AU18" i="214"/>
  <c r="E19" i="214"/>
  <c r="Z20" i="214"/>
  <c r="AA20" i="214" s="1"/>
  <c r="AF20" i="214" s="1"/>
  <c r="AU20" i="214"/>
  <c r="E21" i="214"/>
  <c r="Z22" i="214"/>
  <c r="AA22" i="214" s="1"/>
  <c r="AF22" i="214" s="1"/>
  <c r="AU22" i="214"/>
  <c r="Z24" i="214"/>
  <c r="AA24" i="214" s="1"/>
  <c r="AF24" i="214" s="1"/>
  <c r="AU24" i="214"/>
  <c r="AS12" i="214"/>
  <c r="AS14" i="214"/>
  <c r="AS22" i="214"/>
  <c r="AS24" i="214"/>
  <c r="Z11" i="214"/>
  <c r="AA11" i="214" s="1"/>
  <c r="AF11" i="214" s="1"/>
  <c r="AU11" i="214"/>
  <c r="Z13" i="214"/>
  <c r="AA13" i="214" s="1"/>
  <c r="AF13" i="214" s="1"/>
  <c r="AU13" i="214"/>
  <c r="Z15" i="214"/>
  <c r="AA15" i="214" s="1"/>
  <c r="AF15" i="214" s="1"/>
  <c r="AU15" i="214"/>
  <c r="AU17" i="214"/>
  <c r="AU19" i="214"/>
  <c r="AU21" i="214"/>
  <c r="AU23" i="214"/>
  <c r="F17" i="214"/>
  <c r="C17" i="214" s="1"/>
  <c r="F19" i="214"/>
  <c r="C19" i="214" s="1"/>
  <c r="F21" i="214"/>
  <c r="C21" i="214" s="1"/>
  <c r="AF11" i="213"/>
  <c r="E11" i="213" s="1"/>
  <c r="E15" i="213"/>
  <c r="E17" i="213"/>
  <c r="E19" i="213"/>
  <c r="E23" i="213"/>
  <c r="F11" i="213"/>
  <c r="AR12" i="213"/>
  <c r="AR14" i="213"/>
  <c r="F15" i="213"/>
  <c r="AR16" i="213"/>
  <c r="F17" i="213"/>
  <c r="AR18" i="213"/>
  <c r="F19" i="213"/>
  <c r="AR20" i="213"/>
  <c r="AR22" i="213"/>
  <c r="AR24" i="213"/>
  <c r="Y12" i="213"/>
  <c r="Z12" i="213" s="1"/>
  <c r="AE12" i="213" s="1"/>
  <c r="AM12" i="213"/>
  <c r="Y14" i="213"/>
  <c r="Z14" i="213" s="1"/>
  <c r="AE14" i="213" s="1"/>
  <c r="AM14" i="213"/>
  <c r="Y16" i="213"/>
  <c r="Z16" i="213" s="1"/>
  <c r="AE16" i="213" s="1"/>
  <c r="AM16" i="213"/>
  <c r="Y18" i="213"/>
  <c r="Z18" i="213" s="1"/>
  <c r="AE18" i="213" s="1"/>
  <c r="AM18" i="213"/>
  <c r="Y20" i="213"/>
  <c r="Z20" i="213" s="1"/>
  <c r="AE20" i="213" s="1"/>
  <c r="AM20" i="213"/>
  <c r="Y22" i="213"/>
  <c r="Z22" i="213" s="1"/>
  <c r="AE22" i="213" s="1"/>
  <c r="AM22" i="213"/>
  <c r="Y24" i="213"/>
  <c r="Z24" i="213" s="1"/>
  <c r="AE24" i="213" s="1"/>
  <c r="AM24" i="213"/>
  <c r="AO11" i="213"/>
  <c r="AQ11" i="213" s="1"/>
  <c r="AR11" i="213" s="1"/>
  <c r="AO13" i="213"/>
  <c r="AQ13" i="213" s="1"/>
  <c r="AR13" i="213" s="1"/>
  <c r="AO15" i="213"/>
  <c r="AQ15" i="213" s="1"/>
  <c r="AR15" i="213" s="1"/>
  <c r="AO17" i="213"/>
  <c r="AQ17" i="213" s="1"/>
  <c r="AR17" i="213" s="1"/>
  <c r="AO19" i="213"/>
  <c r="AQ19" i="213" s="1"/>
  <c r="AR19" i="213" s="1"/>
  <c r="AO21" i="213"/>
  <c r="AQ21" i="213" s="1"/>
  <c r="AR21" i="213" s="1"/>
  <c r="F23" i="213"/>
  <c r="C23" i="213" s="1"/>
  <c r="D126" i="212"/>
  <c r="D119" i="212" s="1"/>
  <c r="D62" i="212"/>
  <c r="L126" i="212"/>
  <c r="L119" i="212" s="1"/>
  <c r="L62" i="212"/>
  <c r="K126" i="212"/>
  <c r="K119" i="212" s="1"/>
  <c r="K62" i="212"/>
  <c r="S126" i="212"/>
  <c r="S119" i="212" s="1"/>
  <c r="S62" i="212"/>
  <c r="D162" i="212"/>
  <c r="J126" i="212"/>
  <c r="J119" i="212" s="1"/>
  <c r="J62" i="212"/>
  <c r="R126" i="212"/>
  <c r="R119" i="212" s="1"/>
  <c r="R62" i="212"/>
  <c r="G122" i="212"/>
  <c r="K122" i="212"/>
  <c r="O122" i="212"/>
  <c r="S122" i="212"/>
  <c r="W122" i="212"/>
  <c r="H126" i="212"/>
  <c r="H119" i="212" s="1"/>
  <c r="H62" i="212"/>
  <c r="P126" i="212"/>
  <c r="P119" i="212" s="1"/>
  <c r="P62" i="212"/>
  <c r="T126" i="212"/>
  <c r="T119" i="212" s="1"/>
  <c r="T62" i="212"/>
  <c r="G126" i="212"/>
  <c r="G119" i="212" s="1"/>
  <c r="G62" i="212"/>
  <c r="O126" i="212"/>
  <c r="O119" i="212" s="1"/>
  <c r="O62" i="212"/>
  <c r="W126" i="212"/>
  <c r="W119" i="212" s="1"/>
  <c r="W62" i="212"/>
  <c r="P144" i="212"/>
  <c r="F126" i="212"/>
  <c r="F119" i="212" s="1"/>
  <c r="F62" i="212"/>
  <c r="N126" i="212"/>
  <c r="N119" i="212" s="1"/>
  <c r="N62" i="212"/>
  <c r="V126" i="212"/>
  <c r="V119" i="212" s="1"/>
  <c r="V62" i="212"/>
  <c r="D156" i="212"/>
  <c r="L142" i="212"/>
  <c r="P160" i="212"/>
  <c r="T158" i="212"/>
  <c r="D173" i="212"/>
  <c r="D172" i="212"/>
  <c r="D174" i="212" s="1"/>
  <c r="D175" i="212" s="1"/>
  <c r="L173" i="212"/>
  <c r="L172" i="212"/>
  <c r="L174" i="212" s="1"/>
  <c r="L175" i="212" s="1"/>
  <c r="Z173" i="212"/>
  <c r="Z172" i="212"/>
  <c r="Z174" i="212" s="1"/>
  <c r="Z175" i="212" s="1"/>
  <c r="Z176" i="212" s="1"/>
  <c r="G172" i="212"/>
  <c r="G174" i="212" s="1"/>
  <c r="G175" i="212" s="1"/>
  <c r="G173" i="212"/>
  <c r="K172" i="212"/>
  <c r="K174" i="212" s="1"/>
  <c r="K175" i="212" s="1"/>
  <c r="K176" i="212" s="1"/>
  <c r="K173" i="212"/>
  <c r="O172" i="212"/>
  <c r="O174" i="212" s="1"/>
  <c r="O175" i="212" s="1"/>
  <c r="O173" i="212"/>
  <c r="S172" i="212"/>
  <c r="S174" i="212" s="1"/>
  <c r="S175" i="212" s="1"/>
  <c r="S176" i="212" s="1"/>
  <c r="S173" i="212"/>
  <c r="W172" i="212"/>
  <c r="W174" i="212" s="1"/>
  <c r="W175" i="212" s="1"/>
  <c r="W173" i="212"/>
  <c r="H63" i="212"/>
  <c r="J65" i="212"/>
  <c r="R65" i="212"/>
  <c r="L67" i="212"/>
  <c r="T67" i="212"/>
  <c r="Z67" i="212"/>
  <c r="I70" i="212"/>
  <c r="I127" i="212" s="1"/>
  <c r="Q70" i="212"/>
  <c r="Q127" i="212" s="1"/>
  <c r="L71" i="212"/>
  <c r="L128" i="212" s="1"/>
  <c r="Z71" i="212"/>
  <c r="Z59" i="212" s="1"/>
  <c r="I74" i="212"/>
  <c r="I131" i="212" s="1"/>
  <c r="U74" i="212"/>
  <c r="U131" i="212" s="1"/>
  <c r="P81" i="212"/>
  <c r="H82" i="212"/>
  <c r="H139" i="212" s="1"/>
  <c r="D83" i="212"/>
  <c r="L83" i="212"/>
  <c r="D84" i="212"/>
  <c r="D141" i="212" s="1"/>
  <c r="L84" i="212"/>
  <c r="L141" i="212" s="1"/>
  <c r="P84" i="212"/>
  <c r="P141" i="212" s="1"/>
  <c r="T84" i="212"/>
  <c r="T141" i="212" s="1"/>
  <c r="P85" i="212"/>
  <c r="H86" i="212"/>
  <c r="H143" i="212" s="1"/>
  <c r="P86" i="212"/>
  <c r="P143" i="212" s="1"/>
  <c r="H87" i="212"/>
  <c r="T87" i="212"/>
  <c r="P88" i="212"/>
  <c r="P145" i="212" s="1"/>
  <c r="H89" i="212"/>
  <c r="H146" i="212" s="1"/>
  <c r="T89" i="212"/>
  <c r="T146" i="212" s="1"/>
  <c r="H90" i="212"/>
  <c r="H147" i="212" s="1"/>
  <c r="T90" i="212"/>
  <c r="T147" i="212" s="1"/>
  <c r="H91" i="212"/>
  <c r="H148" i="212" s="1"/>
  <c r="D92" i="212"/>
  <c r="D149" i="212" s="1"/>
  <c r="P92" i="212"/>
  <c r="P149" i="212" s="1"/>
  <c r="H99" i="212"/>
  <c r="T99" i="212"/>
  <c r="D101" i="212"/>
  <c r="P101" i="212"/>
  <c r="D102" i="212"/>
  <c r="D159" i="212" s="1"/>
  <c r="L102" i="212"/>
  <c r="L159" i="212" s="1"/>
  <c r="P102" i="212"/>
  <c r="P159" i="212" s="1"/>
  <c r="T102" i="212"/>
  <c r="T159" i="212" s="1"/>
  <c r="L103" i="212"/>
  <c r="D104" i="212"/>
  <c r="D161" i="212" s="1"/>
  <c r="P104" i="212"/>
  <c r="P161" i="212" s="1"/>
  <c r="H105" i="212"/>
  <c r="P105" i="212"/>
  <c r="H106" i="212"/>
  <c r="H163" i="212" s="1"/>
  <c r="P106" i="212"/>
  <c r="P163" i="212" s="1"/>
  <c r="D107" i="212"/>
  <c r="D164" i="212" s="1"/>
  <c r="H107" i="212"/>
  <c r="H164" i="212" s="1"/>
  <c r="T107" i="212"/>
  <c r="T164" i="212" s="1"/>
  <c r="P108" i="212"/>
  <c r="P165" i="212" s="1"/>
  <c r="D109" i="212"/>
  <c r="D166" i="212" s="1"/>
  <c r="L109" i="212"/>
  <c r="L166" i="212" s="1"/>
  <c r="L110" i="212"/>
  <c r="L167" i="212" s="1"/>
  <c r="G63" i="212"/>
  <c r="K63" i="212"/>
  <c r="O63" i="212"/>
  <c r="S63" i="212"/>
  <c r="W63" i="212"/>
  <c r="F64" i="212"/>
  <c r="F121" i="212" s="1"/>
  <c r="J64" i="212"/>
  <c r="J121" i="212" s="1"/>
  <c r="N64" i="212"/>
  <c r="N121" i="212" s="1"/>
  <c r="R64" i="212"/>
  <c r="R121" i="212" s="1"/>
  <c r="V64" i="212"/>
  <c r="V121" i="212" s="1"/>
  <c r="E65" i="212"/>
  <c r="I65" i="212"/>
  <c r="M65" i="212"/>
  <c r="Q65" i="212"/>
  <c r="U65" i="212"/>
  <c r="D66" i="212"/>
  <c r="D123" i="212" s="1"/>
  <c r="H66" i="212"/>
  <c r="H123" i="212" s="1"/>
  <c r="L66" i="212"/>
  <c r="L123" i="212" s="1"/>
  <c r="P66" i="212"/>
  <c r="P123" i="212" s="1"/>
  <c r="T66" i="212"/>
  <c r="T123" i="212" s="1"/>
  <c r="Z66" i="212"/>
  <c r="G67" i="212"/>
  <c r="K67" i="212"/>
  <c r="O67" i="212"/>
  <c r="S67" i="212"/>
  <c r="W67" i="212"/>
  <c r="F68" i="212"/>
  <c r="F125" i="212" s="1"/>
  <c r="J68" i="212"/>
  <c r="J125" i="212" s="1"/>
  <c r="N68" i="212"/>
  <c r="N125" i="212" s="1"/>
  <c r="R68" i="212"/>
  <c r="R125" i="212" s="1"/>
  <c r="V68" i="212"/>
  <c r="V125" i="212" s="1"/>
  <c r="E69" i="212"/>
  <c r="I69" i="212"/>
  <c r="M69" i="212"/>
  <c r="Q69" i="212"/>
  <c r="U69" i="212"/>
  <c r="D70" i="212"/>
  <c r="D127" i="212" s="1"/>
  <c r="H70" i="212"/>
  <c r="H127" i="212" s="1"/>
  <c r="L70" i="212"/>
  <c r="L127" i="212" s="1"/>
  <c r="P70" i="212"/>
  <c r="P127" i="212" s="1"/>
  <c r="T70" i="212"/>
  <c r="T127" i="212" s="1"/>
  <c r="Z70" i="212"/>
  <c r="G71" i="212"/>
  <c r="G128" i="212" s="1"/>
  <c r="K71" i="212"/>
  <c r="K128" i="212" s="1"/>
  <c r="O71" i="212"/>
  <c r="O128" i="212" s="1"/>
  <c r="S71" i="212"/>
  <c r="S128" i="212" s="1"/>
  <c r="W71" i="212"/>
  <c r="W128" i="212" s="1"/>
  <c r="E73" i="212"/>
  <c r="E130" i="212" s="1"/>
  <c r="I73" i="212"/>
  <c r="I130" i="212" s="1"/>
  <c r="M73" i="212"/>
  <c r="M130" i="212" s="1"/>
  <c r="Q73" i="212"/>
  <c r="Q130" i="212" s="1"/>
  <c r="U73" i="212"/>
  <c r="U130" i="212" s="1"/>
  <c r="G81" i="212"/>
  <c r="K81" i="212"/>
  <c r="O81" i="212"/>
  <c r="S81" i="212"/>
  <c r="W81" i="212"/>
  <c r="G82" i="212"/>
  <c r="G139" i="212" s="1"/>
  <c r="K82" i="212"/>
  <c r="K139" i="212" s="1"/>
  <c r="O82" i="212"/>
  <c r="O139" i="212" s="1"/>
  <c r="S82" i="212"/>
  <c r="S139" i="212" s="1"/>
  <c r="W82" i="212"/>
  <c r="W139" i="212" s="1"/>
  <c r="G83" i="212"/>
  <c r="K83" i="212"/>
  <c r="O83" i="212"/>
  <c r="S83" i="212"/>
  <c r="W83" i="212"/>
  <c r="G84" i="212"/>
  <c r="G141" i="212" s="1"/>
  <c r="K84" i="212"/>
  <c r="K141" i="212" s="1"/>
  <c r="O84" i="212"/>
  <c r="O141" i="212" s="1"/>
  <c r="S84" i="212"/>
  <c r="S141" i="212" s="1"/>
  <c r="W84" i="212"/>
  <c r="W141" i="212" s="1"/>
  <c r="G85" i="212"/>
  <c r="K85" i="212"/>
  <c r="O85" i="212"/>
  <c r="S85" i="212"/>
  <c r="W85" i="212"/>
  <c r="G86" i="212"/>
  <c r="G143" i="212" s="1"/>
  <c r="K86" i="212"/>
  <c r="K143" i="212" s="1"/>
  <c r="O86" i="212"/>
  <c r="O143" i="212" s="1"/>
  <c r="S86" i="212"/>
  <c r="S143" i="212" s="1"/>
  <c r="W86" i="212"/>
  <c r="W143" i="212" s="1"/>
  <c r="G87" i="212"/>
  <c r="K87" i="212"/>
  <c r="O87" i="212"/>
  <c r="S87" i="212"/>
  <c r="W87" i="212"/>
  <c r="G88" i="212"/>
  <c r="G145" i="212" s="1"/>
  <c r="K88" i="212"/>
  <c r="K145" i="212" s="1"/>
  <c r="O88" i="212"/>
  <c r="O145" i="212" s="1"/>
  <c r="S88" i="212"/>
  <c r="S145" i="212" s="1"/>
  <c r="W88" i="212"/>
  <c r="W145" i="212" s="1"/>
  <c r="G89" i="212"/>
  <c r="G146" i="212" s="1"/>
  <c r="K89" i="212"/>
  <c r="K146" i="212" s="1"/>
  <c r="O89" i="212"/>
  <c r="O146" i="212" s="1"/>
  <c r="S89" i="212"/>
  <c r="S146" i="212" s="1"/>
  <c r="W89" i="212"/>
  <c r="W146" i="212" s="1"/>
  <c r="G90" i="212"/>
  <c r="G147" i="212" s="1"/>
  <c r="K90" i="212"/>
  <c r="K147" i="212" s="1"/>
  <c r="O90" i="212"/>
  <c r="O147" i="212" s="1"/>
  <c r="S90" i="212"/>
  <c r="S147" i="212" s="1"/>
  <c r="W90" i="212"/>
  <c r="W147" i="212" s="1"/>
  <c r="G91" i="212"/>
  <c r="G148" i="212" s="1"/>
  <c r="K91" i="212"/>
  <c r="K148" i="212" s="1"/>
  <c r="O91" i="212"/>
  <c r="O148" i="212" s="1"/>
  <c r="S91" i="212"/>
  <c r="S148" i="212" s="1"/>
  <c r="W91" i="212"/>
  <c r="W148" i="212" s="1"/>
  <c r="G92" i="212"/>
  <c r="G149" i="212" s="1"/>
  <c r="K92" i="212"/>
  <c r="K149" i="212" s="1"/>
  <c r="O92" i="212"/>
  <c r="O149" i="212" s="1"/>
  <c r="S92" i="212"/>
  <c r="S149" i="212" s="1"/>
  <c r="W92" i="212"/>
  <c r="W149" i="212" s="1"/>
  <c r="G99" i="212"/>
  <c r="K99" i="212"/>
  <c r="O99" i="212"/>
  <c r="S99" i="212"/>
  <c r="W99" i="212"/>
  <c r="G100" i="212"/>
  <c r="G157" i="212" s="1"/>
  <c r="K100" i="212"/>
  <c r="K157" i="212" s="1"/>
  <c r="O100" i="212"/>
  <c r="O157" i="212" s="1"/>
  <c r="S100" i="212"/>
  <c r="S157" i="212" s="1"/>
  <c r="W100" i="212"/>
  <c r="W157" i="212" s="1"/>
  <c r="G101" i="212"/>
  <c r="K101" i="212"/>
  <c r="O101" i="212"/>
  <c r="S101" i="212"/>
  <c r="W101" i="212"/>
  <c r="G102" i="212"/>
  <c r="G159" i="212" s="1"/>
  <c r="K102" i="212"/>
  <c r="K159" i="212" s="1"/>
  <c r="O102" i="212"/>
  <c r="O159" i="212" s="1"/>
  <c r="S102" i="212"/>
  <c r="S159" i="212" s="1"/>
  <c r="W102" i="212"/>
  <c r="W159" i="212" s="1"/>
  <c r="G103" i="212"/>
  <c r="K103" i="212"/>
  <c r="O103" i="212"/>
  <c r="S103" i="212"/>
  <c r="W103" i="212"/>
  <c r="G104" i="212"/>
  <c r="G161" i="212" s="1"/>
  <c r="K104" i="212"/>
  <c r="K161" i="212" s="1"/>
  <c r="O104" i="212"/>
  <c r="O161" i="212" s="1"/>
  <c r="S104" i="212"/>
  <c r="S161" i="212" s="1"/>
  <c r="W104" i="212"/>
  <c r="W161" i="212" s="1"/>
  <c r="G105" i="212"/>
  <c r="K105" i="212"/>
  <c r="O105" i="212"/>
  <c r="S105" i="212"/>
  <c r="W105" i="212"/>
  <c r="G106" i="212"/>
  <c r="G163" i="212" s="1"/>
  <c r="K106" i="212"/>
  <c r="K163" i="212" s="1"/>
  <c r="O106" i="212"/>
  <c r="O163" i="212" s="1"/>
  <c r="S106" i="212"/>
  <c r="S163" i="212" s="1"/>
  <c r="W106" i="212"/>
  <c r="W163" i="212" s="1"/>
  <c r="G107" i="212"/>
  <c r="G164" i="212" s="1"/>
  <c r="K107" i="212"/>
  <c r="K164" i="212" s="1"/>
  <c r="O107" i="212"/>
  <c r="O164" i="212" s="1"/>
  <c r="S107" i="212"/>
  <c r="S164" i="212" s="1"/>
  <c r="W107" i="212"/>
  <c r="W164" i="212" s="1"/>
  <c r="G108" i="212"/>
  <c r="G165" i="212" s="1"/>
  <c r="K108" i="212"/>
  <c r="K165" i="212" s="1"/>
  <c r="O108" i="212"/>
  <c r="O165" i="212" s="1"/>
  <c r="S108" i="212"/>
  <c r="S165" i="212" s="1"/>
  <c r="W108" i="212"/>
  <c r="W165" i="212" s="1"/>
  <c r="G109" i="212"/>
  <c r="G166" i="212" s="1"/>
  <c r="K109" i="212"/>
  <c r="K166" i="212" s="1"/>
  <c r="O109" i="212"/>
  <c r="O166" i="212" s="1"/>
  <c r="S109" i="212"/>
  <c r="S166" i="212" s="1"/>
  <c r="W109" i="212"/>
  <c r="W166" i="212" s="1"/>
  <c r="G110" i="212"/>
  <c r="G167" i="212" s="1"/>
  <c r="K110" i="212"/>
  <c r="K167" i="212" s="1"/>
  <c r="O110" i="212"/>
  <c r="O167" i="212" s="1"/>
  <c r="S110" i="212"/>
  <c r="S167" i="212" s="1"/>
  <c r="W110" i="212"/>
  <c r="W167" i="212" s="1"/>
  <c r="H173" i="212"/>
  <c r="H172" i="212"/>
  <c r="H174" i="212" s="1"/>
  <c r="H175" i="212" s="1"/>
  <c r="H176" i="212" s="1"/>
  <c r="T173" i="212"/>
  <c r="T172" i="212"/>
  <c r="T174" i="212" s="1"/>
  <c r="T175" i="212" s="1"/>
  <c r="T176" i="212" s="1"/>
  <c r="F172" i="212"/>
  <c r="F174" i="212" s="1"/>
  <c r="F175" i="212" s="1"/>
  <c r="F176" i="212" s="1"/>
  <c r="F173" i="212"/>
  <c r="J172" i="212"/>
  <c r="J174" i="212" s="1"/>
  <c r="J175" i="212" s="1"/>
  <c r="J176" i="212" s="1"/>
  <c r="J173" i="212"/>
  <c r="N172" i="212"/>
  <c r="N174" i="212" s="1"/>
  <c r="N175" i="212" s="1"/>
  <c r="N176" i="212" s="1"/>
  <c r="N173" i="212"/>
  <c r="R172" i="212"/>
  <c r="R174" i="212" s="1"/>
  <c r="R175" i="212" s="1"/>
  <c r="R176" i="212" s="1"/>
  <c r="R173" i="212"/>
  <c r="V172" i="212"/>
  <c r="V174" i="212" s="1"/>
  <c r="V175" i="212" s="1"/>
  <c r="V176" i="212" s="1"/>
  <c r="V173" i="212"/>
  <c r="D63" i="212"/>
  <c r="P63" i="212"/>
  <c r="N65" i="212"/>
  <c r="D67" i="212"/>
  <c r="P67" i="212"/>
  <c r="E70" i="212"/>
  <c r="E127" i="212" s="1"/>
  <c r="U70" i="212"/>
  <c r="U127" i="212" s="1"/>
  <c r="P71" i="212"/>
  <c r="P128" i="212" s="1"/>
  <c r="G72" i="212"/>
  <c r="G129" i="212" s="1"/>
  <c r="K72" i="212"/>
  <c r="K129" i="212" s="1"/>
  <c r="O72" i="212"/>
  <c r="O129" i="212" s="1"/>
  <c r="S72" i="212"/>
  <c r="S129" i="212" s="1"/>
  <c r="W72" i="212"/>
  <c r="W129" i="212" s="1"/>
  <c r="E74" i="212"/>
  <c r="E131" i="212" s="1"/>
  <c r="H81" i="212"/>
  <c r="L81" i="212"/>
  <c r="D82" i="212"/>
  <c r="D139" i="212" s="1"/>
  <c r="P82" i="212"/>
  <c r="P139" i="212" s="1"/>
  <c r="T82" i="212"/>
  <c r="T139" i="212" s="1"/>
  <c r="P83" i="212"/>
  <c r="H84" i="212"/>
  <c r="H141" i="212" s="1"/>
  <c r="H85" i="212"/>
  <c r="T85" i="212"/>
  <c r="L86" i="212"/>
  <c r="L143" i="212" s="1"/>
  <c r="T86" i="212"/>
  <c r="T143" i="212" s="1"/>
  <c r="T88" i="212"/>
  <c r="T145" i="212" s="1"/>
  <c r="L89" i="212"/>
  <c r="L146" i="212" s="1"/>
  <c r="L90" i="212"/>
  <c r="L147" i="212" s="1"/>
  <c r="D91" i="212"/>
  <c r="D148" i="212" s="1"/>
  <c r="P91" i="212"/>
  <c r="P148" i="212" s="1"/>
  <c r="H92" i="212"/>
  <c r="H149" i="212" s="1"/>
  <c r="T92" i="212"/>
  <c r="T149" i="212" s="1"/>
  <c r="L99" i="212"/>
  <c r="D100" i="212"/>
  <c r="D157" i="212" s="1"/>
  <c r="L100" i="212"/>
  <c r="L157" i="212" s="1"/>
  <c r="T100" i="212"/>
  <c r="T157" i="212" s="1"/>
  <c r="L101" i="212"/>
  <c r="D103" i="212"/>
  <c r="T103" i="212"/>
  <c r="L104" i="212"/>
  <c r="L161" i="212" s="1"/>
  <c r="T104" i="212"/>
  <c r="T161" i="212" s="1"/>
  <c r="L105" i="212"/>
  <c r="D106" i="212"/>
  <c r="D163" i="212" s="1"/>
  <c r="P107" i="212"/>
  <c r="P164" i="212" s="1"/>
  <c r="F63" i="212"/>
  <c r="J63" i="212"/>
  <c r="N63" i="212"/>
  <c r="R63" i="212"/>
  <c r="V63" i="212"/>
  <c r="E64" i="212"/>
  <c r="E121" i="212" s="1"/>
  <c r="I64" i="212"/>
  <c r="I121" i="212" s="1"/>
  <c r="M64" i="212"/>
  <c r="M121" i="212" s="1"/>
  <c r="Q64" i="212"/>
  <c r="Q121" i="212" s="1"/>
  <c r="U64" i="212"/>
  <c r="U121" i="212" s="1"/>
  <c r="D65" i="212"/>
  <c r="H65" i="212"/>
  <c r="L65" i="212"/>
  <c r="P65" i="212"/>
  <c r="T65" i="212"/>
  <c r="Z65" i="212"/>
  <c r="G66" i="212"/>
  <c r="G123" i="212" s="1"/>
  <c r="K66" i="212"/>
  <c r="K123" i="212" s="1"/>
  <c r="O66" i="212"/>
  <c r="O123" i="212" s="1"/>
  <c r="S66" i="212"/>
  <c r="S123" i="212" s="1"/>
  <c r="W66" i="212"/>
  <c r="W123" i="212" s="1"/>
  <c r="F67" i="212"/>
  <c r="J67" i="212"/>
  <c r="N67" i="212"/>
  <c r="R67" i="212"/>
  <c r="V67" i="212"/>
  <c r="E68" i="212"/>
  <c r="E125" i="212" s="1"/>
  <c r="I68" i="212"/>
  <c r="I125" i="212" s="1"/>
  <c r="M68" i="212"/>
  <c r="M125" i="212" s="1"/>
  <c r="Q68" i="212"/>
  <c r="Q125" i="212" s="1"/>
  <c r="U68" i="212"/>
  <c r="U125" i="212" s="1"/>
  <c r="G70" i="212"/>
  <c r="G127" i="212" s="1"/>
  <c r="K70" i="212"/>
  <c r="K127" i="212" s="1"/>
  <c r="O70" i="212"/>
  <c r="O127" i="212" s="1"/>
  <c r="S70" i="212"/>
  <c r="S127" i="212" s="1"/>
  <c r="W70" i="212"/>
  <c r="W127" i="212" s="1"/>
  <c r="F71" i="212"/>
  <c r="F128" i="212" s="1"/>
  <c r="J71" i="212"/>
  <c r="J128" i="212" s="1"/>
  <c r="N71" i="212"/>
  <c r="N128" i="212" s="1"/>
  <c r="R71" i="212"/>
  <c r="R128" i="212" s="1"/>
  <c r="V71" i="212"/>
  <c r="V128" i="212" s="1"/>
  <c r="D73" i="212"/>
  <c r="D130" i="212" s="1"/>
  <c r="H73" i="212"/>
  <c r="H130" i="212" s="1"/>
  <c r="L73" i="212"/>
  <c r="L130" i="212" s="1"/>
  <c r="T73" i="212"/>
  <c r="T130" i="212" s="1"/>
  <c r="Z73" i="212"/>
  <c r="F81" i="212"/>
  <c r="J81" i="212"/>
  <c r="N81" i="212"/>
  <c r="R81" i="212"/>
  <c r="V81" i="212"/>
  <c r="F82" i="212"/>
  <c r="F139" i="212" s="1"/>
  <c r="J82" i="212"/>
  <c r="J139" i="212" s="1"/>
  <c r="N82" i="212"/>
  <c r="N139" i="212" s="1"/>
  <c r="R82" i="212"/>
  <c r="R139" i="212" s="1"/>
  <c r="V82" i="212"/>
  <c r="V139" i="212" s="1"/>
  <c r="F83" i="212"/>
  <c r="J83" i="212"/>
  <c r="N83" i="212"/>
  <c r="R83" i="212"/>
  <c r="V83" i="212"/>
  <c r="F84" i="212"/>
  <c r="F141" i="212" s="1"/>
  <c r="J84" i="212"/>
  <c r="J141" i="212" s="1"/>
  <c r="N84" i="212"/>
  <c r="N141" i="212" s="1"/>
  <c r="R84" i="212"/>
  <c r="R141" i="212" s="1"/>
  <c r="V84" i="212"/>
  <c r="V141" i="212" s="1"/>
  <c r="F85" i="212"/>
  <c r="J85" i="212"/>
  <c r="N85" i="212"/>
  <c r="R85" i="212"/>
  <c r="V85" i="212"/>
  <c r="F86" i="212"/>
  <c r="F143" i="212" s="1"/>
  <c r="J86" i="212"/>
  <c r="J143" i="212" s="1"/>
  <c r="N86" i="212"/>
  <c r="N143" i="212" s="1"/>
  <c r="R86" i="212"/>
  <c r="R143" i="212" s="1"/>
  <c r="V86" i="212"/>
  <c r="V143" i="212" s="1"/>
  <c r="F87" i="212"/>
  <c r="J87" i="212"/>
  <c r="N87" i="212"/>
  <c r="R87" i="212"/>
  <c r="V87" i="212"/>
  <c r="F88" i="212"/>
  <c r="F145" i="212" s="1"/>
  <c r="J88" i="212"/>
  <c r="J145" i="212" s="1"/>
  <c r="N88" i="212"/>
  <c r="N145" i="212" s="1"/>
  <c r="R88" i="212"/>
  <c r="R145" i="212" s="1"/>
  <c r="V88" i="212"/>
  <c r="V145" i="212" s="1"/>
  <c r="F89" i="212"/>
  <c r="F146" i="212" s="1"/>
  <c r="J89" i="212"/>
  <c r="J146" i="212" s="1"/>
  <c r="N89" i="212"/>
  <c r="N146" i="212" s="1"/>
  <c r="R89" i="212"/>
  <c r="R146" i="212" s="1"/>
  <c r="V89" i="212"/>
  <c r="V146" i="212" s="1"/>
  <c r="F90" i="212"/>
  <c r="F147" i="212" s="1"/>
  <c r="J90" i="212"/>
  <c r="J147" i="212" s="1"/>
  <c r="N90" i="212"/>
  <c r="N147" i="212" s="1"/>
  <c r="R90" i="212"/>
  <c r="R147" i="212" s="1"/>
  <c r="V90" i="212"/>
  <c r="V147" i="212" s="1"/>
  <c r="F91" i="212"/>
  <c r="F148" i="212" s="1"/>
  <c r="J91" i="212"/>
  <c r="J148" i="212" s="1"/>
  <c r="N91" i="212"/>
  <c r="N148" i="212" s="1"/>
  <c r="R91" i="212"/>
  <c r="R148" i="212" s="1"/>
  <c r="V91" i="212"/>
  <c r="V148" i="212" s="1"/>
  <c r="F92" i="212"/>
  <c r="F149" i="212" s="1"/>
  <c r="J92" i="212"/>
  <c r="J149" i="212" s="1"/>
  <c r="N92" i="212"/>
  <c r="N149" i="212" s="1"/>
  <c r="R92" i="212"/>
  <c r="R149" i="212" s="1"/>
  <c r="V92" i="212"/>
  <c r="V149" i="212" s="1"/>
  <c r="F99" i="212"/>
  <c r="J99" i="212"/>
  <c r="N99" i="212"/>
  <c r="R99" i="212"/>
  <c r="V99" i="212"/>
  <c r="F100" i="212"/>
  <c r="F157" i="212" s="1"/>
  <c r="J100" i="212"/>
  <c r="J157" i="212" s="1"/>
  <c r="N100" i="212"/>
  <c r="N157" i="212" s="1"/>
  <c r="R100" i="212"/>
  <c r="R157" i="212" s="1"/>
  <c r="V100" i="212"/>
  <c r="V157" i="212" s="1"/>
  <c r="F101" i="212"/>
  <c r="J101" i="212"/>
  <c r="N101" i="212"/>
  <c r="R101" i="212"/>
  <c r="V101" i="212"/>
  <c r="F102" i="212"/>
  <c r="F159" i="212" s="1"/>
  <c r="J102" i="212"/>
  <c r="J159" i="212" s="1"/>
  <c r="N102" i="212"/>
  <c r="N159" i="212" s="1"/>
  <c r="R102" i="212"/>
  <c r="R159" i="212" s="1"/>
  <c r="V102" i="212"/>
  <c r="V159" i="212" s="1"/>
  <c r="F103" i="212"/>
  <c r="J103" i="212"/>
  <c r="N103" i="212"/>
  <c r="R103" i="212"/>
  <c r="V103" i="212"/>
  <c r="F104" i="212"/>
  <c r="F161" i="212" s="1"/>
  <c r="J104" i="212"/>
  <c r="J161" i="212" s="1"/>
  <c r="N104" i="212"/>
  <c r="N161" i="212" s="1"/>
  <c r="R104" i="212"/>
  <c r="R161" i="212" s="1"/>
  <c r="V104" i="212"/>
  <c r="V161" i="212" s="1"/>
  <c r="F105" i="212"/>
  <c r="J105" i="212"/>
  <c r="N105" i="212"/>
  <c r="R105" i="212"/>
  <c r="V105" i="212"/>
  <c r="F106" i="212"/>
  <c r="F163" i="212" s="1"/>
  <c r="J106" i="212"/>
  <c r="J163" i="212" s="1"/>
  <c r="N106" i="212"/>
  <c r="N163" i="212" s="1"/>
  <c r="R106" i="212"/>
  <c r="R163" i="212" s="1"/>
  <c r="V106" i="212"/>
  <c r="V163" i="212" s="1"/>
  <c r="F107" i="212"/>
  <c r="F164" i="212" s="1"/>
  <c r="J107" i="212"/>
  <c r="J164" i="212" s="1"/>
  <c r="N107" i="212"/>
  <c r="N164" i="212" s="1"/>
  <c r="R107" i="212"/>
  <c r="R164" i="212" s="1"/>
  <c r="V107" i="212"/>
  <c r="V164" i="212" s="1"/>
  <c r="F108" i="212"/>
  <c r="F165" i="212" s="1"/>
  <c r="J108" i="212"/>
  <c r="J165" i="212" s="1"/>
  <c r="N108" i="212"/>
  <c r="N165" i="212" s="1"/>
  <c r="R108" i="212"/>
  <c r="R165" i="212" s="1"/>
  <c r="V108" i="212"/>
  <c r="V165" i="212" s="1"/>
  <c r="F109" i="212"/>
  <c r="F166" i="212" s="1"/>
  <c r="J109" i="212"/>
  <c r="J166" i="212" s="1"/>
  <c r="N109" i="212"/>
  <c r="N166" i="212" s="1"/>
  <c r="R109" i="212"/>
  <c r="R166" i="212" s="1"/>
  <c r="V109" i="212"/>
  <c r="V166" i="212" s="1"/>
  <c r="F110" i="212"/>
  <c r="F167" i="212" s="1"/>
  <c r="J110" i="212"/>
  <c r="J167" i="212" s="1"/>
  <c r="N110" i="212"/>
  <c r="N167" i="212" s="1"/>
  <c r="R110" i="212"/>
  <c r="R167" i="212" s="1"/>
  <c r="V110" i="212"/>
  <c r="V167" i="212" s="1"/>
  <c r="P173" i="212"/>
  <c r="P172" i="212"/>
  <c r="P174" i="212" s="1"/>
  <c r="P175" i="212" s="1"/>
  <c r="P176" i="212" s="1"/>
  <c r="E172" i="212"/>
  <c r="E174" i="212" s="1"/>
  <c r="E175" i="212" s="1"/>
  <c r="E176" i="212" s="1"/>
  <c r="E173" i="212"/>
  <c r="I172" i="212"/>
  <c r="I174" i="212" s="1"/>
  <c r="I175" i="212" s="1"/>
  <c r="I176" i="212" s="1"/>
  <c r="I173" i="212"/>
  <c r="M172" i="212"/>
  <c r="M174" i="212" s="1"/>
  <c r="M175" i="212" s="1"/>
  <c r="M176" i="212" s="1"/>
  <c r="M173" i="212"/>
  <c r="Q172" i="212"/>
  <c r="Q174" i="212" s="1"/>
  <c r="Q175" i="212" s="1"/>
  <c r="Q176" i="212" s="1"/>
  <c r="Q173" i="212"/>
  <c r="U172" i="212"/>
  <c r="U174" i="212" s="1"/>
  <c r="U175" i="212" s="1"/>
  <c r="U176" i="212" s="1"/>
  <c r="U173" i="212"/>
  <c r="L63" i="212"/>
  <c r="T63" i="212"/>
  <c r="F65" i="212"/>
  <c r="V65" i="212"/>
  <c r="H67" i="212"/>
  <c r="M70" i="212"/>
  <c r="M127" i="212" s="1"/>
  <c r="D71" i="212"/>
  <c r="D128" i="212" s="1"/>
  <c r="H71" i="212"/>
  <c r="H128" i="212" s="1"/>
  <c r="T71" i="212"/>
  <c r="T128" i="212" s="1"/>
  <c r="M74" i="212"/>
  <c r="M131" i="212" s="1"/>
  <c r="Q74" i="212"/>
  <c r="Q131" i="212" s="1"/>
  <c r="D81" i="212"/>
  <c r="T81" i="212"/>
  <c r="L82" i="212"/>
  <c r="L139" i="212" s="1"/>
  <c r="H83" i="212"/>
  <c r="T83" i="212"/>
  <c r="D85" i="212"/>
  <c r="D86" i="212"/>
  <c r="D143" i="212" s="1"/>
  <c r="D87" i="212"/>
  <c r="L87" i="212"/>
  <c r="D88" i="212"/>
  <c r="D145" i="212" s="1"/>
  <c r="L88" i="212"/>
  <c r="L145" i="212" s="1"/>
  <c r="D89" i="212"/>
  <c r="D146" i="212" s="1"/>
  <c r="P89" i="212"/>
  <c r="P146" i="212" s="1"/>
  <c r="D90" i="212"/>
  <c r="D147" i="212" s="1"/>
  <c r="P90" i="212"/>
  <c r="P147" i="212" s="1"/>
  <c r="L91" i="212"/>
  <c r="L148" i="212" s="1"/>
  <c r="T91" i="212"/>
  <c r="T148" i="212" s="1"/>
  <c r="L92" i="212"/>
  <c r="L149" i="212" s="1"/>
  <c r="P99" i="212"/>
  <c r="H100" i="212"/>
  <c r="H157" i="212" s="1"/>
  <c r="P100" i="212"/>
  <c r="P157" i="212" s="1"/>
  <c r="H101" i="212"/>
  <c r="H102" i="212"/>
  <c r="H159" i="212" s="1"/>
  <c r="H103" i="212"/>
  <c r="T105" i="212"/>
  <c r="L107" i="212"/>
  <c r="L164" i="212" s="1"/>
  <c r="D108" i="212"/>
  <c r="D165" i="212" s="1"/>
  <c r="L108" i="212"/>
  <c r="L165" i="212" s="1"/>
  <c r="T108" i="212"/>
  <c r="T165" i="212" s="1"/>
  <c r="H109" i="212"/>
  <c r="H166" i="212" s="1"/>
  <c r="P109" i="212"/>
  <c r="P166" i="212" s="1"/>
  <c r="D110" i="212"/>
  <c r="D167" i="212" s="1"/>
  <c r="H110" i="212"/>
  <c r="H167" i="212" s="1"/>
  <c r="P110" i="212"/>
  <c r="P167" i="212" s="1"/>
  <c r="T110" i="212"/>
  <c r="T167" i="212" s="1"/>
  <c r="E63" i="212"/>
  <c r="I63" i="212"/>
  <c r="M63" i="212"/>
  <c r="Q63" i="212"/>
  <c r="U63" i="212"/>
  <c r="D64" i="212"/>
  <c r="D121" i="212" s="1"/>
  <c r="H64" i="212"/>
  <c r="H121" i="212" s="1"/>
  <c r="L64" i="212"/>
  <c r="L121" i="212" s="1"/>
  <c r="P64" i="212"/>
  <c r="P121" i="212" s="1"/>
  <c r="T64" i="212"/>
  <c r="T121" i="212" s="1"/>
  <c r="Z64" i="212"/>
  <c r="E67" i="212"/>
  <c r="I67" i="212"/>
  <c r="M67" i="212"/>
  <c r="Q67" i="212"/>
  <c r="U67" i="212"/>
  <c r="E71" i="212"/>
  <c r="E128" i="212" s="1"/>
  <c r="I71" i="212"/>
  <c r="I128" i="212" s="1"/>
  <c r="M71" i="212"/>
  <c r="M128" i="212" s="1"/>
  <c r="Q71" i="212"/>
  <c r="Q128" i="212" s="1"/>
  <c r="U71" i="212"/>
  <c r="U128" i="212" s="1"/>
  <c r="D72" i="212"/>
  <c r="D129" i="212" s="1"/>
  <c r="H72" i="212"/>
  <c r="H129" i="212" s="1"/>
  <c r="L72" i="212"/>
  <c r="L129" i="212" s="1"/>
  <c r="P72" i="212"/>
  <c r="P129" i="212" s="1"/>
  <c r="T72" i="212"/>
  <c r="T129" i="212" s="1"/>
  <c r="Z72" i="212"/>
  <c r="G73" i="212"/>
  <c r="G130" i="212" s="1"/>
  <c r="K73" i="212"/>
  <c r="K130" i="212" s="1"/>
  <c r="O73" i="212"/>
  <c r="O130" i="212" s="1"/>
  <c r="S73" i="212"/>
  <c r="S130" i="212" s="1"/>
  <c r="W73" i="212"/>
  <c r="W130" i="212" s="1"/>
  <c r="E81" i="212"/>
  <c r="I81" i="212"/>
  <c r="M81" i="212"/>
  <c r="Q81" i="212"/>
  <c r="U81" i="212"/>
  <c r="E82" i="212"/>
  <c r="E139" i="212" s="1"/>
  <c r="I82" i="212"/>
  <c r="I139" i="212" s="1"/>
  <c r="M82" i="212"/>
  <c r="M139" i="212" s="1"/>
  <c r="Q82" i="212"/>
  <c r="Q139" i="212" s="1"/>
  <c r="U82" i="212"/>
  <c r="U139" i="212" s="1"/>
  <c r="E83" i="212"/>
  <c r="I83" i="212"/>
  <c r="M83" i="212"/>
  <c r="Q83" i="212"/>
  <c r="U83" i="212"/>
  <c r="E84" i="212"/>
  <c r="E141" i="212" s="1"/>
  <c r="I84" i="212"/>
  <c r="I141" i="212" s="1"/>
  <c r="M84" i="212"/>
  <c r="M141" i="212" s="1"/>
  <c r="Q84" i="212"/>
  <c r="Q141" i="212" s="1"/>
  <c r="U84" i="212"/>
  <c r="U141" i="212" s="1"/>
  <c r="E85" i="212"/>
  <c r="I85" i="212"/>
  <c r="M85" i="212"/>
  <c r="Q85" i="212"/>
  <c r="U85" i="212"/>
  <c r="E86" i="212"/>
  <c r="E143" i="212" s="1"/>
  <c r="I86" i="212"/>
  <c r="I143" i="212" s="1"/>
  <c r="M86" i="212"/>
  <c r="M143" i="212" s="1"/>
  <c r="Q86" i="212"/>
  <c r="Q143" i="212" s="1"/>
  <c r="U86" i="212"/>
  <c r="U143" i="212" s="1"/>
  <c r="E87" i="212"/>
  <c r="I87" i="212"/>
  <c r="M87" i="212"/>
  <c r="Q87" i="212"/>
  <c r="U87" i="212"/>
  <c r="E88" i="212"/>
  <c r="E145" i="212" s="1"/>
  <c r="I88" i="212"/>
  <c r="I145" i="212" s="1"/>
  <c r="M88" i="212"/>
  <c r="M145" i="212" s="1"/>
  <c r="Q88" i="212"/>
  <c r="Q145" i="212" s="1"/>
  <c r="U88" i="212"/>
  <c r="U145" i="212" s="1"/>
  <c r="E89" i="212"/>
  <c r="E146" i="212" s="1"/>
  <c r="I89" i="212"/>
  <c r="I146" i="212" s="1"/>
  <c r="M89" i="212"/>
  <c r="M146" i="212" s="1"/>
  <c r="Q89" i="212"/>
  <c r="Q146" i="212" s="1"/>
  <c r="U89" i="212"/>
  <c r="U146" i="212" s="1"/>
  <c r="E90" i="212"/>
  <c r="E147" i="212" s="1"/>
  <c r="I90" i="212"/>
  <c r="I147" i="212" s="1"/>
  <c r="M90" i="212"/>
  <c r="M147" i="212" s="1"/>
  <c r="Q90" i="212"/>
  <c r="Q147" i="212" s="1"/>
  <c r="U90" i="212"/>
  <c r="U147" i="212" s="1"/>
  <c r="E91" i="212"/>
  <c r="E148" i="212" s="1"/>
  <c r="I91" i="212"/>
  <c r="I148" i="212" s="1"/>
  <c r="M91" i="212"/>
  <c r="M148" i="212" s="1"/>
  <c r="Q91" i="212"/>
  <c r="Q148" i="212" s="1"/>
  <c r="U91" i="212"/>
  <c r="U148" i="212" s="1"/>
  <c r="E92" i="212"/>
  <c r="E149" i="212" s="1"/>
  <c r="I92" i="212"/>
  <c r="I149" i="212" s="1"/>
  <c r="M92" i="212"/>
  <c r="M149" i="212" s="1"/>
  <c r="Q92" i="212"/>
  <c r="Q149" i="212" s="1"/>
  <c r="U92" i="212"/>
  <c r="U149" i="212" s="1"/>
  <c r="E99" i="212"/>
  <c r="I99" i="212"/>
  <c r="M99" i="212"/>
  <c r="Q99" i="212"/>
  <c r="U99" i="212"/>
  <c r="E100" i="212"/>
  <c r="E157" i="212" s="1"/>
  <c r="I100" i="212"/>
  <c r="I157" i="212" s="1"/>
  <c r="M100" i="212"/>
  <c r="M157" i="212" s="1"/>
  <c r="Q100" i="212"/>
  <c r="Q157" i="212" s="1"/>
  <c r="U100" i="212"/>
  <c r="U157" i="212" s="1"/>
  <c r="E101" i="212"/>
  <c r="I101" i="212"/>
  <c r="M101" i="212"/>
  <c r="Q101" i="212"/>
  <c r="U101" i="212"/>
  <c r="E102" i="212"/>
  <c r="E159" i="212" s="1"/>
  <c r="I102" i="212"/>
  <c r="I159" i="212" s="1"/>
  <c r="M102" i="212"/>
  <c r="M159" i="212" s="1"/>
  <c r="Q102" i="212"/>
  <c r="Q159" i="212" s="1"/>
  <c r="U102" i="212"/>
  <c r="U159" i="212" s="1"/>
  <c r="E103" i="212"/>
  <c r="I103" i="212"/>
  <c r="M103" i="212"/>
  <c r="Q103" i="212"/>
  <c r="U103" i="212"/>
  <c r="E105" i="212"/>
  <c r="I105" i="212"/>
  <c r="M105" i="212"/>
  <c r="Q105" i="212"/>
  <c r="U105" i="212"/>
  <c r="E107" i="212"/>
  <c r="E164" i="212" s="1"/>
  <c r="I107" i="212"/>
  <c r="I164" i="212" s="1"/>
  <c r="M107" i="212"/>
  <c r="M164" i="212" s="1"/>
  <c r="Q107" i="212"/>
  <c r="Q164" i="212" s="1"/>
  <c r="U107" i="212"/>
  <c r="U164" i="212" s="1"/>
  <c r="E108" i="212"/>
  <c r="E165" i="212" s="1"/>
  <c r="I108" i="212"/>
  <c r="I165" i="212" s="1"/>
  <c r="M108" i="212"/>
  <c r="M165" i="212" s="1"/>
  <c r="Q108" i="212"/>
  <c r="Q165" i="212" s="1"/>
  <c r="U108" i="212"/>
  <c r="U165" i="212" s="1"/>
  <c r="E109" i="212"/>
  <c r="E166" i="212" s="1"/>
  <c r="I109" i="212"/>
  <c r="I166" i="212" s="1"/>
  <c r="M109" i="212"/>
  <c r="M166" i="212" s="1"/>
  <c r="Q109" i="212"/>
  <c r="Q166" i="212" s="1"/>
  <c r="U109" i="212"/>
  <c r="U166" i="212" s="1"/>
  <c r="AJ24" i="211"/>
  <c r="AH24" i="211" s="1"/>
  <c r="AA24" i="211"/>
  <c r="U24" i="211"/>
  <c r="AC24" i="211" s="1"/>
  <c r="M24" i="211"/>
  <c r="AL24" i="211" s="1"/>
  <c r="I24" i="211"/>
  <c r="AJ23" i="211"/>
  <c r="AH23" i="211" s="1"/>
  <c r="AA23" i="211"/>
  <c r="U23" i="211"/>
  <c r="AC23" i="211" s="1"/>
  <c r="M23" i="211"/>
  <c r="I23" i="211"/>
  <c r="AJ22" i="211"/>
  <c r="AH22" i="211" s="1"/>
  <c r="AA22" i="211"/>
  <c r="U22" i="211"/>
  <c r="AC22" i="211" s="1"/>
  <c r="M22" i="211"/>
  <c r="AL22" i="211" s="1"/>
  <c r="I22" i="211"/>
  <c r="AS22" i="211" s="1"/>
  <c r="AJ21" i="211"/>
  <c r="AH21" i="211" s="1"/>
  <c r="AA21" i="211"/>
  <c r="U21" i="211"/>
  <c r="AC21" i="211" s="1"/>
  <c r="M21" i="211"/>
  <c r="AL21" i="211" s="1"/>
  <c r="I21" i="211"/>
  <c r="AS21" i="211" s="1"/>
  <c r="AJ20" i="211"/>
  <c r="AH20" i="211" s="1"/>
  <c r="AA20" i="211"/>
  <c r="U20" i="211"/>
  <c r="AC20" i="211" s="1"/>
  <c r="M20" i="211"/>
  <c r="AL20" i="211" s="1"/>
  <c r="I20" i="211"/>
  <c r="AJ19" i="211"/>
  <c r="AH19" i="211" s="1"/>
  <c r="AA19" i="211"/>
  <c r="U19" i="211"/>
  <c r="AC19" i="211" s="1"/>
  <c r="M19" i="211"/>
  <c r="I19" i="211"/>
  <c r="AJ18" i="211"/>
  <c r="AH18" i="211" s="1"/>
  <c r="AA18" i="211"/>
  <c r="U18" i="211"/>
  <c r="AC18" i="211" s="1"/>
  <c r="M18" i="211"/>
  <c r="AL18" i="211" s="1"/>
  <c r="I18" i="211"/>
  <c r="AS18" i="211" s="1"/>
  <c r="AJ17" i="211"/>
  <c r="AH17" i="211" s="1"/>
  <c r="AA17" i="211"/>
  <c r="U17" i="211"/>
  <c r="AC17" i="211" s="1"/>
  <c r="M17" i="211"/>
  <c r="AL17" i="211" s="1"/>
  <c r="I17" i="211"/>
  <c r="AJ16" i="211"/>
  <c r="AH16" i="211" s="1"/>
  <c r="AA16" i="211"/>
  <c r="U16" i="211"/>
  <c r="AC16" i="211" s="1"/>
  <c r="M16" i="211"/>
  <c r="I16" i="211"/>
  <c r="AS16" i="211" s="1"/>
  <c r="AJ15" i="211"/>
  <c r="AH15" i="211"/>
  <c r="AA15" i="211"/>
  <c r="U15" i="211"/>
  <c r="AC15" i="211" s="1"/>
  <c r="M15" i="211"/>
  <c r="I15" i="211"/>
  <c r="AS15" i="211" s="1"/>
  <c r="AN14" i="211"/>
  <c r="AP14" i="211" s="1"/>
  <c r="AJ14" i="211"/>
  <c r="AH14" i="211"/>
  <c r="AA14" i="211"/>
  <c r="U14" i="211"/>
  <c r="AC14" i="211" s="1"/>
  <c r="M14" i="211"/>
  <c r="AL14" i="211" s="1"/>
  <c r="I14" i="211"/>
  <c r="AS14" i="211" s="1"/>
  <c r="AJ13" i="211"/>
  <c r="AH13" i="211" s="1"/>
  <c r="AA13" i="211"/>
  <c r="U13" i="211"/>
  <c r="AC13" i="211" s="1"/>
  <c r="M13" i="211"/>
  <c r="AL13" i="211" s="1"/>
  <c r="I13" i="211"/>
  <c r="AS13" i="211" s="1"/>
  <c r="AJ12" i="211"/>
  <c r="AH12" i="211" s="1"/>
  <c r="AA12" i="211"/>
  <c r="U12" i="211"/>
  <c r="AC12" i="211" s="1"/>
  <c r="M12" i="211"/>
  <c r="I12" i="211"/>
  <c r="AS12" i="211" s="1"/>
  <c r="AJ11" i="211"/>
  <c r="AH11" i="211" s="1"/>
  <c r="AA11" i="211"/>
  <c r="U11" i="211"/>
  <c r="AC11" i="211" s="1"/>
  <c r="M11" i="211"/>
  <c r="I11" i="211"/>
  <c r="AS11" i="211" s="1"/>
  <c r="AO8" i="211"/>
  <c r="AM8" i="211"/>
  <c r="AI3" i="211"/>
  <c r="H418" i="191"/>
  <c r="G418" i="191"/>
  <c r="F418" i="191"/>
  <c r="H355" i="191"/>
  <c r="G355" i="191"/>
  <c r="F355" i="191"/>
  <c r="YO1306" i="191"/>
  <c r="YN1306" i="191"/>
  <c r="YM1306" i="191"/>
  <c r="H412" i="191"/>
  <c r="G412" i="191"/>
  <c r="F412" i="191"/>
  <c r="H349" i="191"/>
  <c r="G349" i="191"/>
  <c r="F349" i="191"/>
  <c r="YO1300" i="191"/>
  <c r="YN1300" i="191"/>
  <c r="YM1300" i="191"/>
  <c r="X17" i="209"/>
  <c r="T17" i="209"/>
  <c r="J17" i="209"/>
  <c r="K17" i="209" s="1"/>
  <c r="H17" i="209"/>
  <c r="I17" i="209" s="1"/>
  <c r="F17" i="209"/>
  <c r="G17" i="209" s="1"/>
  <c r="D17" i="209"/>
  <c r="E17" i="209" s="1"/>
  <c r="C17" i="209"/>
  <c r="B17" i="209" s="1"/>
  <c r="L17" i="209" s="1"/>
  <c r="X16" i="209"/>
  <c r="T16" i="209"/>
  <c r="J16" i="209"/>
  <c r="K16" i="209" s="1"/>
  <c r="H16" i="209"/>
  <c r="I16" i="209" s="1"/>
  <c r="F16" i="209"/>
  <c r="G16" i="209" s="1"/>
  <c r="D16" i="209"/>
  <c r="E16" i="209" s="1"/>
  <c r="C16" i="209"/>
  <c r="B16" i="209" s="1"/>
  <c r="L16" i="209" s="1"/>
  <c r="Y14" i="209"/>
  <c r="X14" i="209"/>
  <c r="K14" i="209"/>
  <c r="I14" i="209"/>
  <c r="G14" i="209"/>
  <c r="E14" i="209"/>
  <c r="Q14" i="209" s="1"/>
  <c r="S14" i="209" s="1"/>
  <c r="B14" i="209"/>
  <c r="O14" i="209" s="1"/>
  <c r="P14" i="209" s="1"/>
  <c r="Y13" i="209"/>
  <c r="X13" i="209"/>
  <c r="K13" i="209"/>
  <c r="I13" i="209"/>
  <c r="G13" i="209"/>
  <c r="E13" i="209"/>
  <c r="N13" i="209" s="1"/>
  <c r="B13" i="209"/>
  <c r="O13" i="209" s="1"/>
  <c r="P13" i="209" s="1"/>
  <c r="L11" i="209"/>
  <c r="K11" i="209"/>
  <c r="I11" i="209"/>
  <c r="G11" i="209"/>
  <c r="E11" i="209"/>
  <c r="Q11" i="209" s="1"/>
  <c r="B11" i="209"/>
  <c r="O11" i="209" s="1"/>
  <c r="P11" i="209" s="1"/>
  <c r="L10" i="209"/>
  <c r="K10" i="209"/>
  <c r="I10" i="209"/>
  <c r="G10" i="209"/>
  <c r="E10" i="209"/>
  <c r="Q10" i="209" s="1"/>
  <c r="B10" i="209"/>
  <c r="O10" i="209" s="1"/>
  <c r="P10" i="209" s="1"/>
  <c r="S13" i="208"/>
  <c r="Q13" i="208"/>
  <c r="O13" i="208"/>
  <c r="M13" i="208"/>
  <c r="K13" i="208"/>
  <c r="I13" i="208" s="1"/>
  <c r="G13" i="208"/>
  <c r="E13" i="208"/>
  <c r="C13" i="208"/>
  <c r="E20" i="207"/>
  <c r="C20" i="207"/>
  <c r="G20" i="207" s="1"/>
  <c r="E19" i="207"/>
  <c r="C19" i="207"/>
  <c r="G19" i="207" s="1"/>
  <c r="E18" i="207"/>
  <c r="C18" i="207"/>
  <c r="G18" i="207" s="1"/>
  <c r="E17" i="207"/>
  <c r="C17" i="207"/>
  <c r="G17" i="207" s="1"/>
  <c r="E16" i="207"/>
  <c r="C16" i="207"/>
  <c r="G16" i="207" s="1"/>
  <c r="E15" i="207"/>
  <c r="C15" i="207"/>
  <c r="G15" i="207" s="1"/>
  <c r="E14" i="207"/>
  <c r="C14" i="207"/>
  <c r="G14" i="207" s="1"/>
  <c r="E13" i="207"/>
  <c r="C13" i="207"/>
  <c r="G13" i="207" s="1"/>
  <c r="E12" i="207"/>
  <c r="C12" i="207"/>
  <c r="G12" i="207" s="1"/>
  <c r="E11" i="207"/>
  <c r="C11" i="207"/>
  <c r="G11" i="207" s="1"/>
  <c r="E10" i="207"/>
  <c r="C10" i="207"/>
  <c r="G10" i="207" s="1"/>
  <c r="E9" i="207"/>
  <c r="C9" i="207"/>
  <c r="G9" i="207" s="1"/>
  <c r="E8" i="207"/>
  <c r="C8" i="207"/>
  <c r="G8" i="207" s="1"/>
  <c r="E7" i="207"/>
  <c r="C7" i="207"/>
  <c r="G7" i="207" s="1"/>
  <c r="E6" i="207"/>
  <c r="C6" i="207"/>
  <c r="G6" i="207" s="1"/>
  <c r="E5" i="207"/>
  <c r="C5" i="207"/>
  <c r="G5" i="207" s="1"/>
  <c r="G21" i="207" s="1"/>
  <c r="F31" i="206"/>
  <c r="G31" i="206" s="1"/>
  <c r="D31" i="206"/>
  <c r="F30" i="206"/>
  <c r="G30" i="206" s="1"/>
  <c r="D30" i="206"/>
  <c r="F29" i="206"/>
  <c r="G29" i="206" s="1"/>
  <c r="D29" i="206"/>
  <c r="F28" i="206"/>
  <c r="G28" i="206" s="1"/>
  <c r="D28" i="206"/>
  <c r="F27" i="206"/>
  <c r="G27" i="206" s="1"/>
  <c r="D27" i="206"/>
  <c r="F26" i="206"/>
  <c r="G26" i="206" s="1"/>
  <c r="D26" i="206"/>
  <c r="F25" i="206"/>
  <c r="G25" i="206" s="1"/>
  <c r="D25" i="206"/>
  <c r="F24" i="206"/>
  <c r="G24" i="206" s="1"/>
  <c r="D24" i="206"/>
  <c r="F17" i="206"/>
  <c r="G17" i="206" s="1"/>
  <c r="D17" i="206"/>
  <c r="G16" i="206"/>
  <c r="F16" i="206"/>
  <c r="D16" i="206"/>
  <c r="H16" i="206" s="1"/>
  <c r="F15" i="206"/>
  <c r="G15" i="206" s="1"/>
  <c r="D15" i="206"/>
  <c r="F14" i="206"/>
  <c r="E14" i="206"/>
  <c r="D14" i="206"/>
  <c r="F13" i="206"/>
  <c r="G13" i="206" s="1"/>
  <c r="D13" i="206"/>
  <c r="F12" i="206"/>
  <c r="G12" i="206" s="1"/>
  <c r="D12" i="206"/>
  <c r="F11" i="206"/>
  <c r="G11" i="206" s="1"/>
  <c r="D11" i="206"/>
  <c r="F10" i="206"/>
  <c r="G10" i="206" s="1"/>
  <c r="D10" i="206"/>
  <c r="F9" i="206"/>
  <c r="G9" i="206" s="1"/>
  <c r="D9" i="206"/>
  <c r="F8" i="206"/>
  <c r="G8" i="206" s="1"/>
  <c r="D8" i="206"/>
  <c r="F7" i="206"/>
  <c r="G7" i="206" s="1"/>
  <c r="D7" i="206"/>
  <c r="F6" i="206"/>
  <c r="G6" i="206" s="1"/>
  <c r="D6" i="206"/>
  <c r="F5" i="206"/>
  <c r="G5" i="206" s="1"/>
  <c r="D5" i="206"/>
  <c r="E5" i="205"/>
  <c r="G5" i="205" s="1"/>
  <c r="J5" i="205" s="1"/>
  <c r="F39" i="204"/>
  <c r="J39" i="204" s="1"/>
  <c r="E39" i="204"/>
  <c r="I39" i="204" s="1"/>
  <c r="F38" i="204"/>
  <c r="J38" i="204" s="1"/>
  <c r="E38" i="204"/>
  <c r="I38" i="204" s="1"/>
  <c r="F37" i="204"/>
  <c r="J37" i="204" s="1"/>
  <c r="E37" i="204"/>
  <c r="I37" i="204" s="1"/>
  <c r="F36" i="204"/>
  <c r="J36" i="204" s="1"/>
  <c r="E36" i="204"/>
  <c r="I36" i="204" s="1"/>
  <c r="F35" i="204"/>
  <c r="J35" i="204" s="1"/>
  <c r="E35" i="204"/>
  <c r="I35" i="204" s="1"/>
  <c r="F34" i="204"/>
  <c r="J34" i="204" s="1"/>
  <c r="E34" i="204"/>
  <c r="I34" i="204" s="1"/>
  <c r="F33" i="204"/>
  <c r="J33" i="204" s="1"/>
  <c r="E33" i="204"/>
  <c r="I33" i="204" s="1"/>
  <c r="F32" i="204"/>
  <c r="J32" i="204" s="1"/>
  <c r="E32" i="204"/>
  <c r="I32" i="204" s="1"/>
  <c r="D31" i="204"/>
  <c r="F31" i="204" s="1"/>
  <c r="J31" i="204" s="1"/>
  <c r="F30" i="204"/>
  <c r="J30" i="204" s="1"/>
  <c r="E30" i="204"/>
  <c r="I30" i="204" s="1"/>
  <c r="F29" i="204"/>
  <c r="J29" i="204" s="1"/>
  <c r="E29" i="204"/>
  <c r="I29" i="204" s="1"/>
  <c r="F28" i="204"/>
  <c r="J28" i="204" s="1"/>
  <c r="E28" i="204"/>
  <c r="I28" i="204" s="1"/>
  <c r="F27" i="204"/>
  <c r="J27" i="204" s="1"/>
  <c r="E27" i="204"/>
  <c r="I27" i="204" s="1"/>
  <c r="F26" i="204"/>
  <c r="J26" i="204" s="1"/>
  <c r="E26" i="204"/>
  <c r="I26" i="204" s="1"/>
  <c r="F25" i="204"/>
  <c r="J25" i="204" s="1"/>
  <c r="E25" i="204"/>
  <c r="I25" i="204" s="1"/>
  <c r="F24" i="204"/>
  <c r="J24" i="204" s="1"/>
  <c r="E24" i="204"/>
  <c r="I24" i="204" s="1"/>
  <c r="F23" i="204"/>
  <c r="J23" i="204" s="1"/>
  <c r="E23" i="204"/>
  <c r="I23" i="204" s="1"/>
  <c r="D22" i="204"/>
  <c r="E22" i="204" s="1"/>
  <c r="F21" i="204"/>
  <c r="J21" i="204" s="1"/>
  <c r="E21" i="204"/>
  <c r="I21" i="204" s="1"/>
  <c r="H20" i="204"/>
  <c r="G20" i="204"/>
  <c r="F20" i="204"/>
  <c r="J20" i="204" s="1"/>
  <c r="E20" i="204"/>
  <c r="I20" i="204" s="1"/>
  <c r="D19" i="204"/>
  <c r="E19" i="204" s="1"/>
  <c r="L18" i="204"/>
  <c r="F18" i="204"/>
  <c r="J18" i="204" s="1"/>
  <c r="E18" i="204"/>
  <c r="I18" i="204" s="1"/>
  <c r="L17" i="204"/>
  <c r="F17" i="204"/>
  <c r="J17" i="204" s="1"/>
  <c r="E17" i="204"/>
  <c r="I17" i="204" s="1"/>
  <c r="D16" i="204"/>
  <c r="E16" i="204" s="1"/>
  <c r="D15" i="204"/>
  <c r="F15" i="204" s="1"/>
  <c r="J15" i="204" s="1"/>
  <c r="F14" i="204"/>
  <c r="J14" i="204" s="1"/>
  <c r="D14" i="204"/>
  <c r="E14" i="204" s="1"/>
  <c r="D13" i="204"/>
  <c r="E13" i="204" s="1"/>
  <c r="D12" i="204"/>
  <c r="E12" i="204" s="1"/>
  <c r="F11" i="204"/>
  <c r="J11" i="204" s="1"/>
  <c r="E11" i="204"/>
  <c r="I11" i="204" s="1"/>
  <c r="F10" i="204"/>
  <c r="J10" i="204" s="1"/>
  <c r="E10" i="204"/>
  <c r="I10" i="204" s="1"/>
  <c r="F9" i="204"/>
  <c r="E9" i="204"/>
  <c r="O38" i="203"/>
  <c r="N38" i="203"/>
  <c r="G38" i="203"/>
  <c r="O37" i="203"/>
  <c r="N37" i="203"/>
  <c r="B37" i="203"/>
  <c r="G37" i="203"/>
  <c r="O36" i="203"/>
  <c r="N36" i="203"/>
  <c r="G36" i="203"/>
  <c r="O35" i="203"/>
  <c r="N35" i="203"/>
  <c r="G35" i="203"/>
  <c r="O34" i="203"/>
  <c r="N34" i="203"/>
  <c r="G34" i="203"/>
  <c r="B34" i="203"/>
  <c r="O33" i="203"/>
  <c r="N33" i="203"/>
  <c r="B33" i="203"/>
  <c r="G33" i="203"/>
  <c r="O32" i="203"/>
  <c r="N32" i="203"/>
  <c r="G32" i="203"/>
  <c r="O31" i="203"/>
  <c r="N31" i="203"/>
  <c r="G31" i="203"/>
  <c r="O30" i="203"/>
  <c r="N30" i="203"/>
  <c r="G30" i="203"/>
  <c r="B30" i="203"/>
  <c r="O29" i="203"/>
  <c r="N29" i="203"/>
  <c r="B29" i="203"/>
  <c r="G29" i="203"/>
  <c r="O28" i="203"/>
  <c r="N28" i="203"/>
  <c r="G28" i="203"/>
  <c r="O27" i="203"/>
  <c r="N27" i="203"/>
  <c r="G27" i="203"/>
  <c r="O26" i="203"/>
  <c r="N26" i="203"/>
  <c r="G26" i="203"/>
  <c r="B26" i="203"/>
  <c r="O25" i="203"/>
  <c r="N25" i="203"/>
  <c r="G25" i="203"/>
  <c r="O24" i="203"/>
  <c r="N24" i="203"/>
  <c r="G24" i="203"/>
  <c r="O23" i="203"/>
  <c r="N23" i="203"/>
  <c r="G23" i="203"/>
  <c r="O22" i="203"/>
  <c r="N22" i="203"/>
  <c r="G22" i="203"/>
  <c r="B22" i="203"/>
  <c r="O21" i="203"/>
  <c r="N21" i="203"/>
  <c r="B21" i="203"/>
  <c r="G21" i="203"/>
  <c r="O20" i="203"/>
  <c r="N20" i="203"/>
  <c r="G20" i="203"/>
  <c r="O19" i="203"/>
  <c r="G19" i="203"/>
  <c r="O18" i="203"/>
  <c r="G18" i="203"/>
  <c r="B18" i="203"/>
  <c r="O17" i="203"/>
  <c r="N17" i="203"/>
  <c r="B17" i="203"/>
  <c r="G17" i="203"/>
  <c r="O16" i="203"/>
  <c r="N16" i="203"/>
  <c r="G16" i="203"/>
  <c r="O15" i="203"/>
  <c r="N15" i="203"/>
  <c r="G15" i="203"/>
  <c r="O14" i="203"/>
  <c r="G14" i="203"/>
  <c r="B14" i="203"/>
  <c r="O13" i="203"/>
  <c r="N13" i="203"/>
  <c r="B13" i="203"/>
  <c r="G13" i="203"/>
  <c r="O12" i="203"/>
  <c r="N12" i="203"/>
  <c r="G12" i="203"/>
  <c r="O11" i="203"/>
  <c r="N11" i="203"/>
  <c r="G11" i="203"/>
  <c r="O10" i="203"/>
  <c r="G10" i="203"/>
  <c r="B10" i="203"/>
  <c r="O9" i="203"/>
  <c r="N9" i="203"/>
  <c r="B9" i="203"/>
  <c r="G9" i="203"/>
  <c r="O8" i="203"/>
  <c r="N8" i="203"/>
  <c r="G8" i="203"/>
  <c r="G7" i="203"/>
  <c r="E115" i="202"/>
  <c r="D115" i="202"/>
  <c r="C114" i="202"/>
  <c r="D113" i="202"/>
  <c r="D112" i="202"/>
  <c r="D114" i="202" s="1"/>
  <c r="C112" i="202"/>
  <c r="B112" i="202"/>
  <c r="B114" i="202" s="1"/>
  <c r="E111" i="202"/>
  <c r="F111" i="202" s="1"/>
  <c r="G111" i="202" s="1"/>
  <c r="E110" i="202"/>
  <c r="F110" i="202" s="1"/>
  <c r="G110" i="202" s="1"/>
  <c r="F109" i="202"/>
  <c r="G109" i="202" s="1"/>
  <c r="E109" i="202"/>
  <c r="E108" i="202"/>
  <c r="F108" i="202" s="1"/>
  <c r="G108" i="202" s="1"/>
  <c r="E107" i="202"/>
  <c r="F107" i="202" s="1"/>
  <c r="F112" i="202" s="1"/>
  <c r="D101" i="202"/>
  <c r="C101" i="202"/>
  <c r="B101" i="202"/>
  <c r="E101" i="202" s="1"/>
  <c r="E100" i="202"/>
  <c r="F100" i="202" s="1"/>
  <c r="G100" i="202" s="1"/>
  <c r="E99" i="202"/>
  <c r="F99" i="202" s="1"/>
  <c r="D96" i="202"/>
  <c r="C96" i="202"/>
  <c r="C104" i="202" s="1"/>
  <c r="B96" i="202"/>
  <c r="E95" i="202"/>
  <c r="F95" i="202" s="1"/>
  <c r="G95" i="202" s="1"/>
  <c r="E94" i="202"/>
  <c r="F94" i="202" s="1"/>
  <c r="G94" i="202" s="1"/>
  <c r="E93" i="202"/>
  <c r="F93" i="202" s="1"/>
  <c r="G93" i="202" s="1"/>
  <c r="E92" i="202"/>
  <c r="F92" i="202" s="1"/>
  <c r="G92" i="202" s="1"/>
  <c r="E91" i="202"/>
  <c r="F91" i="202" s="1"/>
  <c r="G91" i="202" s="1"/>
  <c r="F90" i="202"/>
  <c r="G90" i="202" s="1"/>
  <c r="E90" i="202"/>
  <c r="E89" i="202"/>
  <c r="F89" i="202" s="1"/>
  <c r="G89" i="202" s="1"/>
  <c r="E88" i="202"/>
  <c r="F88" i="202" s="1"/>
  <c r="G88" i="202" s="1"/>
  <c r="E87" i="202"/>
  <c r="F87" i="202" s="1"/>
  <c r="G87" i="202" s="1"/>
  <c r="E86" i="202"/>
  <c r="F86" i="202" s="1"/>
  <c r="G86" i="202" s="1"/>
  <c r="E85" i="202"/>
  <c r="F85" i="202" s="1"/>
  <c r="G85" i="202" s="1"/>
  <c r="E84" i="202"/>
  <c r="F84" i="202" s="1"/>
  <c r="G84" i="202" s="1"/>
  <c r="E83" i="202"/>
  <c r="F83" i="202" s="1"/>
  <c r="G83" i="202" s="1"/>
  <c r="E82" i="202"/>
  <c r="F82" i="202" s="1"/>
  <c r="G82" i="202" s="1"/>
  <c r="E81" i="202"/>
  <c r="F81" i="202" s="1"/>
  <c r="G81" i="202" s="1"/>
  <c r="E80" i="202"/>
  <c r="F80" i="202" s="1"/>
  <c r="G80" i="202" s="1"/>
  <c r="E79" i="202"/>
  <c r="F79" i="202" s="1"/>
  <c r="G79" i="202" s="1"/>
  <c r="E78" i="202"/>
  <c r="F78" i="202" s="1"/>
  <c r="G78" i="202" s="1"/>
  <c r="E77" i="202"/>
  <c r="F77" i="202" s="1"/>
  <c r="G77" i="202" s="1"/>
  <c r="F76" i="202"/>
  <c r="G76" i="202" s="1"/>
  <c r="E76" i="202"/>
  <c r="E75" i="202"/>
  <c r="F75" i="202" s="1"/>
  <c r="G75" i="202" s="1"/>
  <c r="E74" i="202"/>
  <c r="F74" i="202" s="1"/>
  <c r="G74" i="202" s="1"/>
  <c r="E73" i="202"/>
  <c r="F73" i="202" s="1"/>
  <c r="G73" i="202" s="1"/>
  <c r="E72" i="202"/>
  <c r="F72" i="202" s="1"/>
  <c r="G72" i="202" s="1"/>
  <c r="E71" i="202"/>
  <c r="F71" i="202" s="1"/>
  <c r="G71" i="202" s="1"/>
  <c r="E70" i="202"/>
  <c r="F70" i="202" s="1"/>
  <c r="G70" i="202" s="1"/>
  <c r="E69" i="202"/>
  <c r="F69" i="202" s="1"/>
  <c r="G69" i="202" s="1"/>
  <c r="F68" i="202"/>
  <c r="G68" i="202" s="1"/>
  <c r="E68" i="202"/>
  <c r="E67" i="202"/>
  <c r="F67" i="202" s="1"/>
  <c r="G67" i="202" s="1"/>
  <c r="E66" i="202"/>
  <c r="F66" i="202" s="1"/>
  <c r="G66" i="202" s="1"/>
  <c r="E65" i="202"/>
  <c r="F65" i="202" s="1"/>
  <c r="G65" i="202" s="1"/>
  <c r="E64" i="202"/>
  <c r="F64" i="202" s="1"/>
  <c r="G64" i="202" s="1"/>
  <c r="E63" i="202"/>
  <c r="F63" i="202" s="1"/>
  <c r="G63" i="202" s="1"/>
  <c r="F62" i="202"/>
  <c r="G62" i="202" s="1"/>
  <c r="E62" i="202"/>
  <c r="E61" i="202"/>
  <c r="F61" i="202" s="1"/>
  <c r="G61" i="202" s="1"/>
  <c r="E60" i="202"/>
  <c r="F60" i="202" s="1"/>
  <c r="G60" i="202" s="1"/>
  <c r="E59" i="202"/>
  <c r="F59" i="202" s="1"/>
  <c r="G59" i="202" s="1"/>
  <c r="E58" i="202"/>
  <c r="F58" i="202" s="1"/>
  <c r="G58" i="202" s="1"/>
  <c r="E57" i="202"/>
  <c r="F57" i="202" s="1"/>
  <c r="G57" i="202" s="1"/>
  <c r="E56" i="202"/>
  <c r="F56" i="202" s="1"/>
  <c r="G56" i="202" s="1"/>
  <c r="E55" i="202"/>
  <c r="F55" i="202" s="1"/>
  <c r="G55" i="202" s="1"/>
  <c r="F54" i="202"/>
  <c r="G54" i="202" s="1"/>
  <c r="E54" i="202"/>
  <c r="E53" i="202"/>
  <c r="F53" i="202" s="1"/>
  <c r="G53" i="202" s="1"/>
  <c r="E52" i="202"/>
  <c r="F52" i="202" s="1"/>
  <c r="G52" i="202" s="1"/>
  <c r="E51" i="202"/>
  <c r="F51" i="202" s="1"/>
  <c r="G51" i="202" s="1"/>
  <c r="E50" i="202"/>
  <c r="F50" i="202" s="1"/>
  <c r="G50" i="202" s="1"/>
  <c r="E49" i="202"/>
  <c r="F49" i="202" s="1"/>
  <c r="G49" i="202" s="1"/>
  <c r="E48" i="202"/>
  <c r="F48" i="202" s="1"/>
  <c r="G48" i="202" s="1"/>
  <c r="E47" i="202"/>
  <c r="F47" i="202" s="1"/>
  <c r="G47" i="202" s="1"/>
  <c r="F46" i="202"/>
  <c r="G46" i="202" s="1"/>
  <c r="E46" i="202"/>
  <c r="E45" i="202"/>
  <c r="F45" i="202" s="1"/>
  <c r="G45" i="202" s="1"/>
  <c r="E44" i="202"/>
  <c r="F44" i="202" s="1"/>
  <c r="G44" i="202" s="1"/>
  <c r="E43" i="202"/>
  <c r="F43" i="202" s="1"/>
  <c r="G43" i="202" s="1"/>
  <c r="E42" i="202"/>
  <c r="F42" i="202" s="1"/>
  <c r="G42" i="202" s="1"/>
  <c r="E41" i="202"/>
  <c r="F41" i="202" s="1"/>
  <c r="D39" i="202"/>
  <c r="D38" i="202"/>
  <c r="C38" i="202"/>
  <c r="C116" i="202" s="1"/>
  <c r="B38" i="202"/>
  <c r="B40" i="202" s="1"/>
  <c r="E37" i="202"/>
  <c r="F37" i="202" s="1"/>
  <c r="G37" i="202" s="1"/>
  <c r="E36" i="202"/>
  <c r="F36" i="202" s="1"/>
  <c r="G36" i="202" s="1"/>
  <c r="E35" i="202"/>
  <c r="F35" i="202" s="1"/>
  <c r="G35" i="202" s="1"/>
  <c r="E34" i="202"/>
  <c r="F34" i="202" s="1"/>
  <c r="G34" i="202" s="1"/>
  <c r="F33" i="202"/>
  <c r="G33" i="202" s="1"/>
  <c r="E33" i="202"/>
  <c r="E32" i="202"/>
  <c r="F32" i="202" s="1"/>
  <c r="G32" i="202" s="1"/>
  <c r="E31" i="202"/>
  <c r="F31" i="202" s="1"/>
  <c r="G31" i="202" s="1"/>
  <c r="E30" i="202"/>
  <c r="F30" i="202" s="1"/>
  <c r="G30" i="202" s="1"/>
  <c r="E29" i="202"/>
  <c r="F29" i="202" s="1"/>
  <c r="G29" i="202" s="1"/>
  <c r="E28" i="202"/>
  <c r="F28" i="202" s="1"/>
  <c r="G28" i="202" s="1"/>
  <c r="E27" i="202"/>
  <c r="F27" i="202" s="1"/>
  <c r="G27" i="202" s="1"/>
  <c r="E26" i="202"/>
  <c r="F26" i="202" s="1"/>
  <c r="G26" i="202" s="1"/>
  <c r="E25" i="202"/>
  <c r="F25" i="202" s="1"/>
  <c r="G25" i="202" s="1"/>
  <c r="E24" i="202"/>
  <c r="F24" i="202" s="1"/>
  <c r="G24" i="202" s="1"/>
  <c r="E23" i="202"/>
  <c r="F23" i="202" s="1"/>
  <c r="G23" i="202" s="1"/>
  <c r="E22" i="202"/>
  <c r="F22" i="202" s="1"/>
  <c r="G22" i="202" s="1"/>
  <c r="E21" i="202"/>
  <c r="F21" i="202" s="1"/>
  <c r="G21" i="202" s="1"/>
  <c r="E20" i="202"/>
  <c r="F20" i="202" s="1"/>
  <c r="G20" i="202" s="1"/>
  <c r="E19" i="202"/>
  <c r="F19" i="202" s="1"/>
  <c r="G19" i="202" s="1"/>
  <c r="E18" i="202"/>
  <c r="F18" i="202" s="1"/>
  <c r="G18" i="202" s="1"/>
  <c r="F17" i="202"/>
  <c r="G17" i="202" s="1"/>
  <c r="E17" i="202"/>
  <c r="E16" i="202"/>
  <c r="F16" i="202" s="1"/>
  <c r="G16" i="202" s="1"/>
  <c r="E15" i="202"/>
  <c r="F15" i="202" s="1"/>
  <c r="G15" i="202" s="1"/>
  <c r="E14" i="202"/>
  <c r="F14" i="202" s="1"/>
  <c r="G14" i="202" s="1"/>
  <c r="E13" i="202"/>
  <c r="F13" i="202" s="1"/>
  <c r="G13" i="202" s="1"/>
  <c r="E12" i="202"/>
  <c r="F12" i="202" s="1"/>
  <c r="G12" i="202" s="1"/>
  <c r="E11" i="202"/>
  <c r="F11" i="202" s="1"/>
  <c r="G11" i="202" s="1"/>
  <c r="E10" i="202"/>
  <c r="F10" i="202" s="1"/>
  <c r="G10" i="202" s="1"/>
  <c r="F9" i="202"/>
  <c r="G9" i="202" s="1"/>
  <c r="E9" i="202"/>
  <c r="E8" i="202"/>
  <c r="F8" i="202" s="1"/>
  <c r="G8" i="202" s="1"/>
  <c r="E7" i="202"/>
  <c r="F7" i="202" s="1"/>
  <c r="R26" i="201"/>
  <c r="R27" i="201" s="1"/>
  <c r="J26" i="201"/>
  <c r="J27" i="201" s="1"/>
  <c r="B26" i="201"/>
  <c r="B27" i="201" s="1"/>
  <c r="R19" i="201"/>
  <c r="R20" i="201" s="1"/>
  <c r="J19" i="201"/>
  <c r="J20" i="201" s="1"/>
  <c r="B19" i="201"/>
  <c r="B20" i="201" s="1"/>
  <c r="O10" i="201"/>
  <c r="Q10" i="201" s="1"/>
  <c r="J10" i="201"/>
  <c r="G10" i="201"/>
  <c r="I10" i="201" s="1"/>
  <c r="R7" i="201"/>
  <c r="R9" i="201" s="1"/>
  <c r="R11" i="201" s="1"/>
  <c r="J7" i="201"/>
  <c r="J9" i="201" s="1"/>
  <c r="B7" i="201"/>
  <c r="B9" i="201" s="1"/>
  <c r="B11" i="201" s="1"/>
  <c r="AS68" i="200"/>
  <c r="AR68" i="200"/>
  <c r="AQ68" i="200"/>
  <c r="AP68" i="200"/>
  <c r="AO68" i="200"/>
  <c r="AN68" i="200"/>
  <c r="AM68" i="200"/>
  <c r="AL68" i="200"/>
  <c r="AK68" i="200"/>
  <c r="AJ68" i="200"/>
  <c r="AE68" i="200"/>
  <c r="AD68" i="200"/>
  <c r="AC68" i="200"/>
  <c r="AB68" i="200"/>
  <c r="AA68" i="200"/>
  <c r="Z68" i="200"/>
  <c r="Y68" i="200"/>
  <c r="X68" i="200"/>
  <c r="W68" i="200"/>
  <c r="V68" i="200"/>
  <c r="U68" i="200"/>
  <c r="T68" i="200"/>
  <c r="S68" i="200"/>
  <c r="R68" i="200"/>
  <c r="Q68" i="200"/>
  <c r="P68" i="200"/>
  <c r="O68" i="200"/>
  <c r="N68" i="200"/>
  <c r="M68" i="200"/>
  <c r="L68" i="200"/>
  <c r="K68" i="200"/>
  <c r="J68" i="200"/>
  <c r="I68" i="200"/>
  <c r="H68" i="200"/>
  <c r="G68" i="200"/>
  <c r="F68" i="200"/>
  <c r="E68" i="200"/>
  <c r="D68" i="200"/>
  <c r="C68" i="200"/>
  <c r="B68" i="200"/>
  <c r="AT67" i="200"/>
  <c r="AI67" i="200"/>
  <c r="AH67" i="200"/>
  <c r="AU67" i="200" s="1"/>
  <c r="AG67" i="200"/>
  <c r="AF67" i="200"/>
  <c r="AT66" i="200"/>
  <c r="AI66" i="200"/>
  <c r="AH66" i="200"/>
  <c r="AU66" i="200" s="1"/>
  <c r="AG66" i="200"/>
  <c r="AF66" i="200"/>
  <c r="AU65" i="200"/>
  <c r="AT65" i="200"/>
  <c r="AI65" i="200"/>
  <c r="AV65" i="200" s="1"/>
  <c r="AH65" i="200"/>
  <c r="AG65" i="200"/>
  <c r="AF65" i="200"/>
  <c r="AT64" i="200"/>
  <c r="AI64" i="200"/>
  <c r="AH64" i="200"/>
  <c r="AU64" i="200" s="1"/>
  <c r="AG64" i="200"/>
  <c r="AF64" i="200"/>
  <c r="AT63" i="200"/>
  <c r="AI63" i="200"/>
  <c r="AH63" i="200"/>
  <c r="AG63" i="200"/>
  <c r="AF63" i="200"/>
  <c r="AS62" i="200"/>
  <c r="AS69" i="200" s="1"/>
  <c r="AR62" i="200"/>
  <c r="AR69" i="200" s="1"/>
  <c r="AQ62" i="200"/>
  <c r="AQ69" i="200" s="1"/>
  <c r="AP62" i="200"/>
  <c r="AP69" i="200" s="1"/>
  <c r="AO62" i="200"/>
  <c r="AO69" i="200" s="1"/>
  <c r="AN62" i="200"/>
  <c r="AN69" i="200" s="1"/>
  <c r="AM62" i="200"/>
  <c r="AM69" i="200" s="1"/>
  <c r="AL62" i="200"/>
  <c r="AL69" i="200" s="1"/>
  <c r="AK62" i="200"/>
  <c r="AK69" i="200" s="1"/>
  <c r="AJ62" i="200"/>
  <c r="AJ69" i="200" s="1"/>
  <c r="AE62" i="200"/>
  <c r="AE69" i="200" s="1"/>
  <c r="AD62" i="200"/>
  <c r="AD69" i="200" s="1"/>
  <c r="AC62" i="200"/>
  <c r="AC69" i="200" s="1"/>
  <c r="AB62" i="200"/>
  <c r="AB69" i="200" s="1"/>
  <c r="AA62" i="200"/>
  <c r="AA69" i="200" s="1"/>
  <c r="Z62" i="200"/>
  <c r="Z69" i="200" s="1"/>
  <c r="Y62" i="200"/>
  <c r="Y69" i="200" s="1"/>
  <c r="X62" i="200"/>
  <c r="X69" i="200" s="1"/>
  <c r="W62" i="200"/>
  <c r="W69" i="200" s="1"/>
  <c r="V62" i="200"/>
  <c r="V69" i="200" s="1"/>
  <c r="U62" i="200"/>
  <c r="U69" i="200" s="1"/>
  <c r="T62" i="200"/>
  <c r="T69" i="200" s="1"/>
  <c r="S62" i="200"/>
  <c r="S69" i="200" s="1"/>
  <c r="R62" i="200"/>
  <c r="R69" i="200" s="1"/>
  <c r="Q62" i="200"/>
  <c r="Q69" i="200" s="1"/>
  <c r="P62" i="200"/>
  <c r="P69" i="200" s="1"/>
  <c r="O62" i="200"/>
  <c r="O69" i="200" s="1"/>
  <c r="N62" i="200"/>
  <c r="N69" i="200" s="1"/>
  <c r="M62" i="200"/>
  <c r="M69" i="200" s="1"/>
  <c r="L62" i="200"/>
  <c r="L69" i="200" s="1"/>
  <c r="K62" i="200"/>
  <c r="K69" i="200" s="1"/>
  <c r="J62" i="200"/>
  <c r="J69" i="200" s="1"/>
  <c r="I62" i="200"/>
  <c r="I69" i="200" s="1"/>
  <c r="H62" i="200"/>
  <c r="H69" i="200" s="1"/>
  <c r="G62" i="200"/>
  <c r="G69" i="200" s="1"/>
  <c r="F62" i="200"/>
  <c r="F69" i="200" s="1"/>
  <c r="E62" i="200"/>
  <c r="E69" i="200" s="1"/>
  <c r="D62" i="200"/>
  <c r="D69" i="200" s="1"/>
  <c r="C62" i="200"/>
  <c r="C69" i="200" s="1"/>
  <c r="B62" i="200"/>
  <c r="B69" i="200" s="1"/>
  <c r="AU61" i="200"/>
  <c r="AT61" i="200"/>
  <c r="AI61" i="200"/>
  <c r="AV61" i="200" s="1"/>
  <c r="AH61" i="200"/>
  <c r="AG61" i="200"/>
  <c r="AF61" i="200"/>
  <c r="AT60" i="200"/>
  <c r="AI60" i="200"/>
  <c r="AH60" i="200"/>
  <c r="AU60" i="200" s="1"/>
  <c r="AG60" i="200"/>
  <c r="AF60" i="200"/>
  <c r="AT59" i="200"/>
  <c r="AI59" i="200"/>
  <c r="AV59" i="200" s="1"/>
  <c r="AH59" i="200"/>
  <c r="AU59" i="200" s="1"/>
  <c r="AG59" i="200"/>
  <c r="AF59" i="200"/>
  <c r="AT58" i="200"/>
  <c r="AI58" i="200"/>
  <c r="AH58" i="200"/>
  <c r="AU58" i="200" s="1"/>
  <c r="AG58" i="200"/>
  <c r="AF58" i="200"/>
  <c r="AT57" i="200"/>
  <c r="AI57" i="200"/>
  <c r="AH57" i="200"/>
  <c r="AU57" i="200" s="1"/>
  <c r="AG57" i="200"/>
  <c r="AF57" i="200"/>
  <c r="AT56" i="200"/>
  <c r="AI56" i="200"/>
  <c r="AV56" i="200" s="1"/>
  <c r="AH56" i="200"/>
  <c r="AU56" i="200" s="1"/>
  <c r="AG56" i="200"/>
  <c r="AF56" i="200"/>
  <c r="AT55" i="200"/>
  <c r="AI55" i="200"/>
  <c r="AH55" i="200"/>
  <c r="AU55" i="200" s="1"/>
  <c r="AG55" i="200"/>
  <c r="AF55" i="200"/>
  <c r="AT54" i="200"/>
  <c r="AI54" i="200"/>
  <c r="AH54" i="200"/>
  <c r="AU54" i="200" s="1"/>
  <c r="AG54" i="200"/>
  <c r="AF54" i="200"/>
  <c r="AU53" i="200"/>
  <c r="AT53" i="200"/>
  <c r="AI53" i="200"/>
  <c r="AV53" i="200" s="1"/>
  <c r="AH53" i="200"/>
  <c r="AG53" i="200"/>
  <c r="AF53" i="200"/>
  <c r="AT52" i="200"/>
  <c r="AI52" i="200"/>
  <c r="AH52" i="200"/>
  <c r="AU52" i="200" s="1"/>
  <c r="AG52" i="200"/>
  <c r="AF52" i="200"/>
  <c r="AT51" i="200"/>
  <c r="AI51" i="200"/>
  <c r="AV51" i="200" s="1"/>
  <c r="AH51" i="200"/>
  <c r="AU51" i="200" s="1"/>
  <c r="AG51" i="200"/>
  <c r="AF51" i="200"/>
  <c r="AT50" i="200"/>
  <c r="AI50" i="200"/>
  <c r="AH50" i="200"/>
  <c r="AU50" i="200" s="1"/>
  <c r="AG50" i="200"/>
  <c r="AF50" i="200"/>
  <c r="AT49" i="200"/>
  <c r="AI49" i="200"/>
  <c r="AH49" i="200"/>
  <c r="AU49" i="200" s="1"/>
  <c r="AG49" i="200"/>
  <c r="AF49" i="200"/>
  <c r="AT48" i="200"/>
  <c r="AI48" i="200"/>
  <c r="AV48" i="200" s="1"/>
  <c r="AH48" i="200"/>
  <c r="AU48" i="200" s="1"/>
  <c r="AG48" i="200"/>
  <c r="AF48" i="200"/>
  <c r="AT47" i="200"/>
  <c r="AI47" i="200"/>
  <c r="AH47" i="200"/>
  <c r="AU47" i="200" s="1"/>
  <c r="AG47" i="200"/>
  <c r="AF47" i="200"/>
  <c r="AT46" i="200"/>
  <c r="AI46" i="200"/>
  <c r="AH46" i="200"/>
  <c r="AU46" i="200" s="1"/>
  <c r="AG46" i="200"/>
  <c r="AF46" i="200"/>
  <c r="AU45" i="200"/>
  <c r="AT45" i="200"/>
  <c r="AI45" i="200"/>
  <c r="AV45" i="200" s="1"/>
  <c r="AH45" i="200"/>
  <c r="AG45" i="200"/>
  <c r="AF45" i="200"/>
  <c r="AT44" i="200"/>
  <c r="AI44" i="200"/>
  <c r="AH44" i="200"/>
  <c r="AU44" i="200" s="1"/>
  <c r="AG44" i="200"/>
  <c r="AF44" i="200"/>
  <c r="AT43" i="200"/>
  <c r="AI43" i="200"/>
  <c r="AV43" i="200" s="1"/>
  <c r="AH43" i="200"/>
  <c r="AU43" i="200" s="1"/>
  <c r="AG43" i="200"/>
  <c r="AF43" i="200"/>
  <c r="AT42" i="200"/>
  <c r="AI42" i="200"/>
  <c r="AH42" i="200"/>
  <c r="AU42" i="200" s="1"/>
  <c r="AG42" i="200"/>
  <c r="AF42" i="200"/>
  <c r="AT41" i="200"/>
  <c r="AI41" i="200"/>
  <c r="AH41" i="200"/>
  <c r="AU41" i="200" s="1"/>
  <c r="AG41" i="200"/>
  <c r="AF41" i="200"/>
  <c r="AT40" i="200"/>
  <c r="AI40" i="200"/>
  <c r="AH40" i="200"/>
  <c r="AU40" i="200" s="1"/>
  <c r="AG40" i="200"/>
  <c r="AF40" i="200"/>
  <c r="AT39" i="200"/>
  <c r="AI39" i="200"/>
  <c r="AH39" i="200"/>
  <c r="AU39" i="200" s="1"/>
  <c r="AG39" i="200"/>
  <c r="AF39" i="200"/>
  <c r="AT38" i="200"/>
  <c r="AI38" i="200"/>
  <c r="AH38" i="200"/>
  <c r="AU38" i="200" s="1"/>
  <c r="AG38" i="200"/>
  <c r="AF38" i="200"/>
  <c r="AU37" i="200"/>
  <c r="AT37" i="200"/>
  <c r="AI37" i="200"/>
  <c r="AV37" i="200" s="1"/>
  <c r="AH37" i="200"/>
  <c r="AG37" i="200"/>
  <c r="AF37" i="200"/>
  <c r="AT36" i="200"/>
  <c r="AI36" i="200"/>
  <c r="AH36" i="200"/>
  <c r="AU36" i="200" s="1"/>
  <c r="AG36" i="200"/>
  <c r="AF36" i="200"/>
  <c r="AT35" i="200"/>
  <c r="AI35" i="200"/>
  <c r="AV35" i="200" s="1"/>
  <c r="AH35" i="200"/>
  <c r="AU35" i="200" s="1"/>
  <c r="AG35" i="200"/>
  <c r="AF35" i="200"/>
  <c r="AT34" i="200"/>
  <c r="AI34" i="200"/>
  <c r="AH34" i="200"/>
  <c r="AU34" i="200" s="1"/>
  <c r="AG34" i="200"/>
  <c r="AF34" i="200"/>
  <c r="AT33" i="200"/>
  <c r="AI33" i="200"/>
  <c r="AH33" i="200"/>
  <c r="AU33" i="200" s="1"/>
  <c r="AG33" i="200"/>
  <c r="AF33" i="200"/>
  <c r="AT32" i="200"/>
  <c r="AI32" i="200"/>
  <c r="AV32" i="200" s="1"/>
  <c r="AH32" i="200"/>
  <c r="AU32" i="200" s="1"/>
  <c r="AG32" i="200"/>
  <c r="AF32" i="200"/>
  <c r="AT31" i="200"/>
  <c r="AI31" i="200"/>
  <c r="AH31" i="200"/>
  <c r="AU31" i="200" s="1"/>
  <c r="AG31" i="200"/>
  <c r="AF31" i="200"/>
  <c r="AT30" i="200"/>
  <c r="AI30" i="200"/>
  <c r="AH30" i="200"/>
  <c r="AU30" i="200" s="1"/>
  <c r="AG30" i="200"/>
  <c r="AF30" i="200"/>
  <c r="AU29" i="200"/>
  <c r="AT29" i="200"/>
  <c r="AI29" i="200"/>
  <c r="AV29" i="200" s="1"/>
  <c r="AH29" i="200"/>
  <c r="AG29" i="200"/>
  <c r="AF29" i="200"/>
  <c r="AT28" i="200"/>
  <c r="AI28" i="200"/>
  <c r="AH28" i="200"/>
  <c r="AU28" i="200" s="1"/>
  <c r="AG28" i="200"/>
  <c r="AF28" i="200"/>
  <c r="AT27" i="200"/>
  <c r="AI27" i="200"/>
  <c r="AH27" i="200"/>
  <c r="AU27" i="200" s="1"/>
  <c r="AG27" i="200"/>
  <c r="AF27" i="200"/>
  <c r="AT26" i="200"/>
  <c r="AI26" i="200"/>
  <c r="AH26" i="200"/>
  <c r="AU26" i="200" s="1"/>
  <c r="AG26" i="200"/>
  <c r="AF26" i="200"/>
  <c r="AT25" i="200"/>
  <c r="AI25" i="200"/>
  <c r="AH25" i="200"/>
  <c r="AU25" i="200" s="1"/>
  <c r="AG25" i="200"/>
  <c r="AF25" i="200"/>
  <c r="AT24" i="200"/>
  <c r="AI24" i="200"/>
  <c r="AH24" i="200"/>
  <c r="AU24" i="200" s="1"/>
  <c r="AG24" i="200"/>
  <c r="AF24" i="200"/>
  <c r="AT23" i="200"/>
  <c r="AI23" i="200"/>
  <c r="AH23" i="200"/>
  <c r="AU23" i="200" s="1"/>
  <c r="AG23" i="200"/>
  <c r="AF23" i="200"/>
  <c r="AT22" i="200"/>
  <c r="AI22" i="200"/>
  <c r="AH22" i="200"/>
  <c r="AU22" i="200" s="1"/>
  <c r="AG22" i="200"/>
  <c r="AF22" i="200"/>
  <c r="AU21" i="200"/>
  <c r="AT21" i="200"/>
  <c r="AI21" i="200"/>
  <c r="AV21" i="200" s="1"/>
  <c r="AH21" i="200"/>
  <c r="AG21" i="200"/>
  <c r="AF21" i="200"/>
  <c r="AT20" i="200"/>
  <c r="AI20" i="200"/>
  <c r="AH20" i="200"/>
  <c r="AU20" i="200" s="1"/>
  <c r="AG20" i="200"/>
  <c r="AF20" i="200"/>
  <c r="AT19" i="200"/>
  <c r="AI19" i="200"/>
  <c r="AV19" i="200" s="1"/>
  <c r="AH19" i="200"/>
  <c r="AU19" i="200" s="1"/>
  <c r="AG19" i="200"/>
  <c r="AF19" i="200"/>
  <c r="AT18" i="200"/>
  <c r="AI18" i="200"/>
  <c r="AH18" i="200"/>
  <c r="AU18" i="200" s="1"/>
  <c r="AG18" i="200"/>
  <c r="AF18" i="200"/>
  <c r="AT17" i="200"/>
  <c r="AI17" i="200"/>
  <c r="AH17" i="200"/>
  <c r="AU17" i="200" s="1"/>
  <c r="AG17" i="200"/>
  <c r="AF17" i="200"/>
  <c r="AT16" i="200"/>
  <c r="AI16" i="200"/>
  <c r="AV16" i="200" s="1"/>
  <c r="AH16" i="200"/>
  <c r="AU16" i="200" s="1"/>
  <c r="AG16" i="200"/>
  <c r="AF16" i="200"/>
  <c r="AT15" i="200"/>
  <c r="AI15" i="200"/>
  <c r="AH15" i="200"/>
  <c r="AU15" i="200" s="1"/>
  <c r="AG15" i="200"/>
  <c r="AF15" i="200"/>
  <c r="AT14" i="200"/>
  <c r="AI14" i="200"/>
  <c r="AH14" i="200"/>
  <c r="AU14" i="200" s="1"/>
  <c r="AG14" i="200"/>
  <c r="AF14" i="200"/>
  <c r="AU13" i="200"/>
  <c r="AT13" i="200"/>
  <c r="AI13" i="200"/>
  <c r="AV13" i="200" s="1"/>
  <c r="AH13" i="200"/>
  <c r="AG13" i="200"/>
  <c r="AF13" i="200"/>
  <c r="AT12" i="200"/>
  <c r="AI12" i="200"/>
  <c r="AH12" i="200"/>
  <c r="AU12" i="200" s="1"/>
  <c r="AG12" i="200"/>
  <c r="AF12" i="200"/>
  <c r="AT11" i="200"/>
  <c r="AI11" i="200"/>
  <c r="AH11" i="200"/>
  <c r="AU11" i="200" s="1"/>
  <c r="AG11" i="200"/>
  <c r="AF11" i="200"/>
  <c r="AT10" i="200"/>
  <c r="AI10" i="200"/>
  <c r="AH10" i="200"/>
  <c r="AU10" i="200" s="1"/>
  <c r="AG10" i="200"/>
  <c r="AF10" i="200"/>
  <c r="AT9" i="200"/>
  <c r="AI9" i="200"/>
  <c r="AH9" i="200"/>
  <c r="AU9" i="200" s="1"/>
  <c r="AG9" i="200"/>
  <c r="AF9" i="200"/>
  <c r="AT8" i="200"/>
  <c r="AI8" i="200"/>
  <c r="AH8" i="200"/>
  <c r="AU8" i="200" s="1"/>
  <c r="AG8" i="200"/>
  <c r="AF8" i="200"/>
  <c r="AT7" i="200"/>
  <c r="AI7" i="200"/>
  <c r="AH7" i="200"/>
  <c r="AG7" i="200"/>
  <c r="AF7" i="200"/>
  <c r="D7" i="199"/>
  <c r="E7" i="199"/>
  <c r="F7" i="199"/>
  <c r="G7" i="199"/>
  <c r="H7" i="199"/>
  <c r="I7" i="199"/>
  <c r="J7" i="199"/>
  <c r="K7" i="199"/>
  <c r="X7" i="199" s="1"/>
  <c r="L7" i="199"/>
  <c r="M7" i="199"/>
  <c r="N7" i="199"/>
  <c r="O7" i="199"/>
  <c r="P7" i="199"/>
  <c r="Q7" i="199"/>
  <c r="R7" i="199"/>
  <c r="S7" i="199"/>
  <c r="T7" i="199"/>
  <c r="U7" i="199"/>
  <c r="V7" i="199"/>
  <c r="W7" i="199"/>
  <c r="D8" i="199"/>
  <c r="E8" i="199"/>
  <c r="F8" i="199"/>
  <c r="G8" i="199"/>
  <c r="H8" i="199"/>
  <c r="I8" i="199"/>
  <c r="J8" i="199"/>
  <c r="K8" i="199"/>
  <c r="L8" i="199"/>
  <c r="M8" i="199"/>
  <c r="N8" i="199"/>
  <c r="O8" i="199"/>
  <c r="P8" i="199"/>
  <c r="Q8" i="199"/>
  <c r="R8" i="199"/>
  <c r="S8" i="199"/>
  <c r="T8" i="199"/>
  <c r="U8" i="199"/>
  <c r="V8" i="199"/>
  <c r="W8" i="199"/>
  <c r="X8" i="199"/>
  <c r="D9" i="199"/>
  <c r="E9" i="199"/>
  <c r="F9" i="199"/>
  <c r="G9" i="199"/>
  <c r="H9" i="199"/>
  <c r="I9" i="199"/>
  <c r="J9" i="199"/>
  <c r="K9" i="199"/>
  <c r="X9" i="199" s="1"/>
  <c r="L9" i="199"/>
  <c r="M9" i="199"/>
  <c r="N9" i="199"/>
  <c r="O9" i="199"/>
  <c r="P9" i="199"/>
  <c r="Q9" i="199"/>
  <c r="R9" i="199"/>
  <c r="S9" i="199"/>
  <c r="T9" i="199"/>
  <c r="U9" i="199"/>
  <c r="V9" i="199"/>
  <c r="W9" i="199"/>
  <c r="D10" i="199"/>
  <c r="E10" i="199"/>
  <c r="F10" i="199"/>
  <c r="G10" i="199"/>
  <c r="H10" i="199"/>
  <c r="I10" i="199"/>
  <c r="J10" i="199"/>
  <c r="K10" i="199"/>
  <c r="L10" i="199"/>
  <c r="M10" i="199"/>
  <c r="N10" i="199"/>
  <c r="O10" i="199"/>
  <c r="P10" i="199"/>
  <c r="Q10" i="199"/>
  <c r="R10" i="199"/>
  <c r="S10" i="199"/>
  <c r="T10" i="199"/>
  <c r="U10" i="199"/>
  <c r="V10" i="199"/>
  <c r="W10" i="199"/>
  <c r="X10" i="199"/>
  <c r="D23" i="199"/>
  <c r="E23" i="199"/>
  <c r="F23" i="199"/>
  <c r="G23" i="199"/>
  <c r="H23" i="199"/>
  <c r="I23" i="199"/>
  <c r="J23" i="199"/>
  <c r="K23" i="199"/>
  <c r="L23" i="199"/>
  <c r="M23" i="199"/>
  <c r="N23" i="199"/>
  <c r="O23" i="199"/>
  <c r="P23" i="199"/>
  <c r="Q23" i="199"/>
  <c r="R23" i="199"/>
  <c r="S23" i="199"/>
  <c r="T23" i="199"/>
  <c r="U23" i="199"/>
  <c r="V23" i="199"/>
  <c r="W23" i="199"/>
  <c r="D24" i="199"/>
  <c r="E24" i="199"/>
  <c r="F24" i="199"/>
  <c r="G24" i="199"/>
  <c r="H24" i="199"/>
  <c r="I24" i="199"/>
  <c r="J24" i="199"/>
  <c r="K24" i="199"/>
  <c r="L24" i="199"/>
  <c r="M24" i="199"/>
  <c r="N24" i="199"/>
  <c r="O24" i="199"/>
  <c r="P24" i="199"/>
  <c r="Q24" i="199"/>
  <c r="R24" i="199"/>
  <c r="S24" i="199"/>
  <c r="T24" i="199"/>
  <c r="U24" i="199"/>
  <c r="V24" i="199"/>
  <c r="W24" i="199"/>
  <c r="D25" i="199"/>
  <c r="E25" i="199"/>
  <c r="F25" i="199"/>
  <c r="G25" i="199"/>
  <c r="H25" i="199"/>
  <c r="I25" i="199"/>
  <c r="J25" i="199"/>
  <c r="K25" i="199"/>
  <c r="L25" i="199"/>
  <c r="M25" i="199"/>
  <c r="N25" i="199"/>
  <c r="O25" i="199"/>
  <c r="P25" i="199"/>
  <c r="Q25" i="199"/>
  <c r="R25" i="199"/>
  <c r="S25" i="199"/>
  <c r="T25" i="199"/>
  <c r="U25" i="199"/>
  <c r="V25" i="199"/>
  <c r="W25" i="199"/>
  <c r="D26" i="199"/>
  <c r="E26" i="199"/>
  <c r="F26" i="199"/>
  <c r="G26" i="199"/>
  <c r="H26" i="199"/>
  <c r="I26" i="199"/>
  <c r="J26" i="199"/>
  <c r="K26" i="199"/>
  <c r="L26" i="199"/>
  <c r="M26" i="199"/>
  <c r="N26" i="199"/>
  <c r="O26" i="199"/>
  <c r="P26" i="199"/>
  <c r="Q26" i="199"/>
  <c r="R26" i="199"/>
  <c r="S26" i="199"/>
  <c r="T26" i="199"/>
  <c r="U26" i="199"/>
  <c r="V26" i="199"/>
  <c r="W26" i="199"/>
  <c r="D27" i="199"/>
  <c r="E27" i="199"/>
  <c r="F27" i="199"/>
  <c r="G27" i="199"/>
  <c r="H27" i="199"/>
  <c r="I27" i="199"/>
  <c r="J27" i="199"/>
  <c r="K27" i="199"/>
  <c r="L27" i="199"/>
  <c r="M27" i="199"/>
  <c r="N27" i="199"/>
  <c r="O27" i="199"/>
  <c r="P27" i="199"/>
  <c r="Q27" i="199"/>
  <c r="R27" i="199"/>
  <c r="S27" i="199"/>
  <c r="T27" i="199"/>
  <c r="U27" i="199"/>
  <c r="V27" i="199"/>
  <c r="W27" i="199"/>
  <c r="D28" i="199"/>
  <c r="E28" i="199"/>
  <c r="F28" i="199"/>
  <c r="G28" i="199"/>
  <c r="H28" i="199"/>
  <c r="I28" i="199"/>
  <c r="J28" i="199"/>
  <c r="K28" i="199"/>
  <c r="L28" i="199"/>
  <c r="M28" i="199"/>
  <c r="N28" i="199"/>
  <c r="O28" i="199"/>
  <c r="P28" i="199"/>
  <c r="Q28" i="199"/>
  <c r="R28" i="199"/>
  <c r="S28" i="199"/>
  <c r="T28" i="199"/>
  <c r="U28" i="199"/>
  <c r="V28" i="199"/>
  <c r="W28" i="199"/>
  <c r="D31" i="199"/>
  <c r="E31" i="199"/>
  <c r="F31" i="199"/>
  <c r="G31" i="199"/>
  <c r="H31" i="199"/>
  <c r="I31" i="199"/>
  <c r="J31" i="199"/>
  <c r="K31" i="199"/>
  <c r="L31" i="199"/>
  <c r="M31" i="199"/>
  <c r="N31" i="199"/>
  <c r="O31" i="199"/>
  <c r="P31" i="199"/>
  <c r="Q31" i="199"/>
  <c r="R31" i="199"/>
  <c r="S31" i="199"/>
  <c r="T31" i="199"/>
  <c r="U31" i="199"/>
  <c r="V31" i="199"/>
  <c r="W31" i="199"/>
  <c r="D32" i="199"/>
  <c r="E32" i="199"/>
  <c r="F32" i="199"/>
  <c r="G32" i="199"/>
  <c r="H32" i="199"/>
  <c r="I32" i="199"/>
  <c r="J32" i="199"/>
  <c r="K32" i="199"/>
  <c r="L32" i="199"/>
  <c r="M32" i="199"/>
  <c r="N32" i="199"/>
  <c r="O32" i="199"/>
  <c r="P32" i="199"/>
  <c r="Q32" i="199"/>
  <c r="R32" i="199"/>
  <c r="S32" i="199"/>
  <c r="T32" i="199"/>
  <c r="U32" i="199"/>
  <c r="V32" i="199"/>
  <c r="W32" i="199"/>
  <c r="D33" i="199"/>
  <c r="E33" i="199"/>
  <c r="F33" i="199"/>
  <c r="G33" i="199"/>
  <c r="H33" i="199"/>
  <c r="I33" i="199"/>
  <c r="J33" i="199"/>
  <c r="K33" i="199"/>
  <c r="L33" i="199"/>
  <c r="M33" i="199"/>
  <c r="N33" i="199"/>
  <c r="O33" i="199"/>
  <c r="P33" i="199"/>
  <c r="Q33" i="199"/>
  <c r="R33" i="199"/>
  <c r="S33" i="199"/>
  <c r="T33" i="199"/>
  <c r="U33" i="199"/>
  <c r="V33" i="199"/>
  <c r="W33" i="199"/>
  <c r="D35" i="199"/>
  <c r="E35" i="199"/>
  <c r="F35" i="199"/>
  <c r="G35" i="199"/>
  <c r="H35" i="199"/>
  <c r="I35" i="199"/>
  <c r="J35" i="199"/>
  <c r="K35" i="199"/>
  <c r="L35" i="199"/>
  <c r="M35" i="199"/>
  <c r="N35" i="199"/>
  <c r="O35" i="199"/>
  <c r="P35" i="199"/>
  <c r="Q35" i="199"/>
  <c r="R35" i="199"/>
  <c r="S35" i="199"/>
  <c r="T35" i="199"/>
  <c r="U35" i="199"/>
  <c r="V35" i="199"/>
  <c r="W35" i="199"/>
  <c r="D36" i="199"/>
  <c r="E36" i="199"/>
  <c r="F36" i="199"/>
  <c r="G36" i="199"/>
  <c r="H36" i="199"/>
  <c r="I36" i="199"/>
  <c r="J36" i="199"/>
  <c r="K36" i="199"/>
  <c r="L36" i="199"/>
  <c r="M36" i="199"/>
  <c r="N36" i="199"/>
  <c r="O36" i="199"/>
  <c r="P36" i="199"/>
  <c r="Q36" i="199"/>
  <c r="R36" i="199"/>
  <c r="S36" i="199"/>
  <c r="T36" i="199"/>
  <c r="U36" i="199"/>
  <c r="V36" i="199"/>
  <c r="W36" i="199"/>
  <c r="D39" i="199"/>
  <c r="E39" i="199"/>
  <c r="F39" i="199"/>
  <c r="G39" i="199"/>
  <c r="H39" i="199"/>
  <c r="I39" i="199"/>
  <c r="J39" i="199"/>
  <c r="K39" i="199"/>
  <c r="L39" i="199"/>
  <c r="M39" i="199"/>
  <c r="N39" i="199"/>
  <c r="O39" i="199"/>
  <c r="P39" i="199"/>
  <c r="Q39" i="199"/>
  <c r="R39" i="199"/>
  <c r="S39" i="199"/>
  <c r="T39" i="199"/>
  <c r="U39" i="199"/>
  <c r="V39" i="199"/>
  <c r="W39" i="199"/>
  <c r="D43" i="199"/>
  <c r="E43" i="199"/>
  <c r="F43" i="199"/>
  <c r="G43" i="199"/>
  <c r="H43" i="199"/>
  <c r="I43" i="199"/>
  <c r="J43" i="199"/>
  <c r="K43" i="199"/>
  <c r="L43" i="199"/>
  <c r="M43" i="199"/>
  <c r="N43" i="199"/>
  <c r="O43" i="199"/>
  <c r="P43" i="199"/>
  <c r="Q43" i="199"/>
  <c r="R43" i="199"/>
  <c r="S43" i="199"/>
  <c r="T43" i="199"/>
  <c r="U43" i="199"/>
  <c r="V43" i="199"/>
  <c r="W43" i="199"/>
  <c r="E45" i="199"/>
  <c r="F45" i="199"/>
  <c r="G45" i="199"/>
  <c r="H45" i="199"/>
  <c r="I45" i="199"/>
  <c r="J45" i="199"/>
  <c r="K45" i="199"/>
  <c r="L45" i="199"/>
  <c r="M45" i="199"/>
  <c r="N45" i="199"/>
  <c r="O45" i="199"/>
  <c r="P45" i="199"/>
  <c r="Q45" i="199"/>
  <c r="R45" i="199"/>
  <c r="S45" i="199"/>
  <c r="T45" i="199"/>
  <c r="U45" i="199"/>
  <c r="V45" i="199"/>
  <c r="W45" i="199"/>
  <c r="K48" i="199"/>
  <c r="P48" i="199"/>
  <c r="D49" i="199"/>
  <c r="E49" i="199"/>
  <c r="F49" i="199"/>
  <c r="G49" i="199"/>
  <c r="H49" i="199"/>
  <c r="I49" i="199"/>
  <c r="J49" i="199"/>
  <c r="K49" i="199"/>
  <c r="L49" i="199"/>
  <c r="M49" i="199"/>
  <c r="N49" i="199"/>
  <c r="O49" i="199"/>
  <c r="P49" i="199"/>
  <c r="Q49" i="199"/>
  <c r="R49" i="199"/>
  <c r="S49" i="199"/>
  <c r="T49" i="199"/>
  <c r="U49" i="199"/>
  <c r="V49" i="199"/>
  <c r="W49" i="199"/>
  <c r="D52" i="199"/>
  <c r="E52" i="199"/>
  <c r="F52" i="199"/>
  <c r="G52" i="199"/>
  <c r="H52" i="199"/>
  <c r="I52" i="199"/>
  <c r="J52" i="199"/>
  <c r="K52" i="199"/>
  <c r="L52" i="199"/>
  <c r="M52" i="199"/>
  <c r="N52" i="199"/>
  <c r="O52" i="199"/>
  <c r="P52" i="199"/>
  <c r="Q52" i="199"/>
  <c r="R52" i="199"/>
  <c r="S52" i="199"/>
  <c r="T52" i="199"/>
  <c r="U52" i="199"/>
  <c r="V52" i="199"/>
  <c r="W52" i="199"/>
  <c r="D63" i="199"/>
  <c r="F63" i="199"/>
  <c r="H63" i="199"/>
  <c r="J63" i="199"/>
  <c r="L63" i="199"/>
  <c r="N63" i="199"/>
  <c r="P63" i="199"/>
  <c r="R63" i="199"/>
  <c r="T63" i="199"/>
  <c r="V63" i="199"/>
  <c r="D64" i="199"/>
  <c r="F64" i="199"/>
  <c r="H64" i="199"/>
  <c r="J64" i="199"/>
  <c r="L64" i="199"/>
  <c r="N64" i="199"/>
  <c r="P64" i="199"/>
  <c r="R64" i="199"/>
  <c r="T64" i="199"/>
  <c r="V64" i="199"/>
  <c r="D65" i="199"/>
  <c r="F65" i="199"/>
  <c r="H65" i="199"/>
  <c r="J65" i="199"/>
  <c r="L65" i="199"/>
  <c r="N65" i="199"/>
  <c r="P65" i="199"/>
  <c r="R65" i="199"/>
  <c r="T65" i="199"/>
  <c r="V65" i="199"/>
  <c r="D66" i="199"/>
  <c r="F66" i="199"/>
  <c r="H66" i="199"/>
  <c r="J66" i="199"/>
  <c r="L66" i="199"/>
  <c r="N66" i="199"/>
  <c r="P66" i="199"/>
  <c r="R66" i="199"/>
  <c r="T66" i="199"/>
  <c r="V66" i="199"/>
  <c r="D67" i="199"/>
  <c r="F67" i="199"/>
  <c r="H67" i="199"/>
  <c r="J67" i="199"/>
  <c r="L67" i="199"/>
  <c r="N67" i="199"/>
  <c r="P67" i="199"/>
  <c r="R67" i="199"/>
  <c r="T67" i="199"/>
  <c r="V67" i="199"/>
  <c r="D68" i="199"/>
  <c r="F68" i="199"/>
  <c r="H68" i="199"/>
  <c r="J68" i="199"/>
  <c r="L68" i="199"/>
  <c r="N68" i="199"/>
  <c r="P68" i="199"/>
  <c r="R68" i="199"/>
  <c r="T68" i="199"/>
  <c r="V68" i="199"/>
  <c r="D69" i="199"/>
  <c r="F69" i="199"/>
  <c r="H69" i="199"/>
  <c r="J69" i="199"/>
  <c r="L69" i="199"/>
  <c r="N69" i="199"/>
  <c r="P69" i="199"/>
  <c r="R69" i="199"/>
  <c r="T69" i="199"/>
  <c r="V69" i="199"/>
  <c r="D70" i="199"/>
  <c r="F70" i="199"/>
  <c r="H70" i="199"/>
  <c r="J70" i="199"/>
  <c r="L70" i="199"/>
  <c r="N70" i="199"/>
  <c r="O70" i="199"/>
  <c r="P70" i="199"/>
  <c r="Q70" i="199"/>
  <c r="R70" i="199"/>
  <c r="S70" i="199"/>
  <c r="T70" i="199"/>
  <c r="U70" i="199"/>
  <c r="V70" i="199"/>
  <c r="W70" i="199"/>
  <c r="D71" i="199"/>
  <c r="E71" i="199"/>
  <c r="F71" i="199"/>
  <c r="G71" i="199"/>
  <c r="H71" i="199"/>
  <c r="I71" i="199"/>
  <c r="J71" i="199"/>
  <c r="K71" i="199"/>
  <c r="L71" i="199"/>
  <c r="M71" i="199"/>
  <c r="N71" i="199"/>
  <c r="O71" i="199"/>
  <c r="P71" i="199"/>
  <c r="Q71" i="199"/>
  <c r="R71" i="199"/>
  <c r="S71" i="199"/>
  <c r="T71" i="199"/>
  <c r="U71" i="199"/>
  <c r="V71" i="199"/>
  <c r="W71" i="199"/>
  <c r="D72" i="199"/>
  <c r="E72" i="199"/>
  <c r="F72" i="199"/>
  <c r="G72" i="199"/>
  <c r="H72" i="199"/>
  <c r="I72" i="199"/>
  <c r="J72" i="199"/>
  <c r="K72" i="199"/>
  <c r="L72" i="199"/>
  <c r="M72" i="199"/>
  <c r="N72" i="199"/>
  <c r="O72" i="199"/>
  <c r="P72" i="199"/>
  <c r="Q72" i="199"/>
  <c r="R72" i="199"/>
  <c r="S72" i="199"/>
  <c r="T72" i="199"/>
  <c r="U72" i="199"/>
  <c r="V72" i="199"/>
  <c r="W72" i="199"/>
  <c r="D73" i="199"/>
  <c r="E73" i="199"/>
  <c r="F73" i="199"/>
  <c r="G73" i="199"/>
  <c r="H73" i="199"/>
  <c r="I73" i="199"/>
  <c r="J73" i="199"/>
  <c r="K73" i="199"/>
  <c r="L73" i="199"/>
  <c r="M73" i="199"/>
  <c r="N73" i="199"/>
  <c r="O73" i="199"/>
  <c r="P73" i="199"/>
  <c r="Q73" i="199"/>
  <c r="R73" i="199"/>
  <c r="S73" i="199"/>
  <c r="T73" i="199"/>
  <c r="U73" i="199"/>
  <c r="V73" i="199"/>
  <c r="W73" i="199"/>
  <c r="D74" i="199"/>
  <c r="E74" i="199"/>
  <c r="F74" i="199"/>
  <c r="G74" i="199"/>
  <c r="H74" i="199"/>
  <c r="I74" i="199"/>
  <c r="J74" i="199"/>
  <c r="K74" i="199"/>
  <c r="L74" i="199"/>
  <c r="M74" i="199"/>
  <c r="N74" i="199"/>
  <c r="O74" i="199"/>
  <c r="P74" i="199"/>
  <c r="Q74" i="199"/>
  <c r="R74" i="199"/>
  <c r="S74" i="199"/>
  <c r="T74" i="199"/>
  <c r="U74" i="199"/>
  <c r="V74" i="199"/>
  <c r="W74" i="199"/>
  <c r="D81" i="199"/>
  <c r="E81" i="199"/>
  <c r="F81" i="199"/>
  <c r="G81" i="199"/>
  <c r="H81" i="199"/>
  <c r="I81" i="199"/>
  <c r="J81" i="199"/>
  <c r="K81" i="199"/>
  <c r="L81" i="199"/>
  <c r="M81" i="199"/>
  <c r="N81" i="199"/>
  <c r="O81" i="199"/>
  <c r="P81" i="199"/>
  <c r="Q81" i="199"/>
  <c r="R81" i="199"/>
  <c r="S81" i="199"/>
  <c r="T81" i="199"/>
  <c r="U81" i="199"/>
  <c r="V81" i="199"/>
  <c r="W81" i="199"/>
  <c r="D82" i="199"/>
  <c r="E82" i="199"/>
  <c r="F82" i="199"/>
  <c r="G82" i="199"/>
  <c r="H82" i="199"/>
  <c r="I82" i="199"/>
  <c r="J82" i="199"/>
  <c r="K82" i="199"/>
  <c r="L82" i="199"/>
  <c r="M82" i="199"/>
  <c r="N82" i="199"/>
  <c r="O82" i="199"/>
  <c r="P82" i="199"/>
  <c r="Q82" i="199"/>
  <c r="R82" i="199"/>
  <c r="S82" i="199"/>
  <c r="T82" i="199"/>
  <c r="U82" i="199"/>
  <c r="V82" i="199"/>
  <c r="W82" i="199"/>
  <c r="D83" i="199"/>
  <c r="E83" i="199"/>
  <c r="F83" i="199"/>
  <c r="G83" i="199"/>
  <c r="H83" i="199"/>
  <c r="I83" i="199"/>
  <c r="J83" i="199"/>
  <c r="K83" i="199"/>
  <c r="L83" i="199"/>
  <c r="M83" i="199"/>
  <c r="N83" i="199"/>
  <c r="O83" i="199"/>
  <c r="P83" i="199"/>
  <c r="Q83" i="199"/>
  <c r="R83" i="199"/>
  <c r="S83" i="199"/>
  <c r="T83" i="199"/>
  <c r="U83" i="199"/>
  <c r="V83" i="199"/>
  <c r="W83" i="199"/>
  <c r="D84" i="199"/>
  <c r="E84" i="199"/>
  <c r="F84" i="199"/>
  <c r="G84" i="199"/>
  <c r="H84" i="199"/>
  <c r="I84" i="199"/>
  <c r="J84" i="199"/>
  <c r="K84" i="199"/>
  <c r="L84" i="199"/>
  <c r="M84" i="199"/>
  <c r="N84" i="199"/>
  <c r="O84" i="199"/>
  <c r="P84" i="199"/>
  <c r="Q84" i="199"/>
  <c r="R84" i="199"/>
  <c r="S84" i="199"/>
  <c r="T84" i="199"/>
  <c r="U84" i="199"/>
  <c r="V84" i="199"/>
  <c r="W84" i="199"/>
  <c r="D85" i="199"/>
  <c r="E85" i="199"/>
  <c r="F85" i="199"/>
  <c r="G85" i="199"/>
  <c r="H85" i="199"/>
  <c r="I85" i="199"/>
  <c r="J85" i="199"/>
  <c r="K85" i="199"/>
  <c r="L85" i="199"/>
  <c r="M85" i="199"/>
  <c r="N85" i="199"/>
  <c r="O85" i="199"/>
  <c r="P85" i="199"/>
  <c r="Q85" i="199"/>
  <c r="R85" i="199"/>
  <c r="S85" i="199"/>
  <c r="T85" i="199"/>
  <c r="U85" i="199"/>
  <c r="V85" i="199"/>
  <c r="W85" i="199"/>
  <c r="D86" i="199"/>
  <c r="E86" i="199"/>
  <c r="F86" i="199"/>
  <c r="G86" i="199"/>
  <c r="H86" i="199"/>
  <c r="I86" i="199"/>
  <c r="J86" i="199"/>
  <c r="K86" i="199"/>
  <c r="L86" i="199"/>
  <c r="M86" i="199"/>
  <c r="N86" i="199"/>
  <c r="O86" i="199"/>
  <c r="P86" i="199"/>
  <c r="Q86" i="199"/>
  <c r="R86" i="199"/>
  <c r="S86" i="199"/>
  <c r="T86" i="199"/>
  <c r="U86" i="199"/>
  <c r="V86" i="199"/>
  <c r="W86" i="199"/>
  <c r="D87" i="199"/>
  <c r="E87" i="199"/>
  <c r="F87" i="199"/>
  <c r="G87" i="199"/>
  <c r="H87" i="199"/>
  <c r="I87" i="199"/>
  <c r="J87" i="199"/>
  <c r="K87" i="199"/>
  <c r="L87" i="199"/>
  <c r="M87" i="199"/>
  <c r="N87" i="199"/>
  <c r="O87" i="199"/>
  <c r="P87" i="199"/>
  <c r="Q87" i="199"/>
  <c r="R87" i="199"/>
  <c r="S87" i="199"/>
  <c r="T87" i="199"/>
  <c r="U87" i="199"/>
  <c r="V87" i="199"/>
  <c r="W87" i="199"/>
  <c r="D88" i="199"/>
  <c r="E88" i="199"/>
  <c r="F88" i="199"/>
  <c r="G88" i="199"/>
  <c r="H88" i="199"/>
  <c r="I88" i="199"/>
  <c r="J88" i="199"/>
  <c r="K88" i="199"/>
  <c r="L88" i="199"/>
  <c r="M88" i="199"/>
  <c r="N88" i="199"/>
  <c r="O88" i="199"/>
  <c r="P88" i="199"/>
  <c r="Q88" i="199"/>
  <c r="R88" i="199"/>
  <c r="S88" i="199"/>
  <c r="T88" i="199"/>
  <c r="U88" i="199"/>
  <c r="V88" i="199"/>
  <c r="W88" i="199"/>
  <c r="D89" i="199"/>
  <c r="E89" i="199"/>
  <c r="F89" i="199"/>
  <c r="G89" i="199"/>
  <c r="H89" i="199"/>
  <c r="I89" i="199"/>
  <c r="J89" i="199"/>
  <c r="K89" i="199"/>
  <c r="L89" i="199"/>
  <c r="M89" i="199"/>
  <c r="N89" i="199"/>
  <c r="O89" i="199"/>
  <c r="P89" i="199"/>
  <c r="Q89" i="199"/>
  <c r="R89" i="199"/>
  <c r="S89" i="199"/>
  <c r="T89" i="199"/>
  <c r="U89" i="199"/>
  <c r="V89" i="199"/>
  <c r="W89" i="199"/>
  <c r="D90" i="199"/>
  <c r="E90" i="199"/>
  <c r="F90" i="199"/>
  <c r="G90" i="199"/>
  <c r="H90" i="199"/>
  <c r="I90" i="199"/>
  <c r="J90" i="199"/>
  <c r="K90" i="199"/>
  <c r="L90" i="199"/>
  <c r="M90" i="199"/>
  <c r="N90" i="199"/>
  <c r="O90" i="199"/>
  <c r="P90" i="199"/>
  <c r="Q90" i="199"/>
  <c r="R90" i="199"/>
  <c r="S90" i="199"/>
  <c r="T90" i="199"/>
  <c r="U90" i="199"/>
  <c r="V90" i="199"/>
  <c r="W90" i="199"/>
  <c r="D91" i="199"/>
  <c r="E91" i="199"/>
  <c r="F91" i="199"/>
  <c r="G91" i="199"/>
  <c r="H91" i="199"/>
  <c r="I91" i="199"/>
  <c r="J91" i="199"/>
  <c r="K91" i="199"/>
  <c r="L91" i="199"/>
  <c r="M91" i="199"/>
  <c r="N91" i="199"/>
  <c r="O91" i="199"/>
  <c r="P91" i="199"/>
  <c r="Q91" i="199"/>
  <c r="R91" i="199"/>
  <c r="S91" i="199"/>
  <c r="T91" i="199"/>
  <c r="U91" i="199"/>
  <c r="V91" i="199"/>
  <c r="W91" i="199"/>
  <c r="D92" i="199"/>
  <c r="E92" i="199"/>
  <c r="F92" i="199"/>
  <c r="G92" i="199"/>
  <c r="H92" i="199"/>
  <c r="I92" i="199"/>
  <c r="J92" i="199"/>
  <c r="K92" i="199"/>
  <c r="L92" i="199"/>
  <c r="M92" i="199"/>
  <c r="N92" i="199"/>
  <c r="O92" i="199"/>
  <c r="P92" i="199"/>
  <c r="Q92" i="199"/>
  <c r="R92" i="199"/>
  <c r="S92" i="199"/>
  <c r="T92" i="199"/>
  <c r="U92" i="199"/>
  <c r="V92" i="199"/>
  <c r="W92" i="199"/>
  <c r="D99" i="199"/>
  <c r="E99" i="199"/>
  <c r="F99" i="199"/>
  <c r="G99" i="199"/>
  <c r="H99" i="199"/>
  <c r="I99" i="199"/>
  <c r="J99" i="199"/>
  <c r="K99" i="199"/>
  <c r="L99" i="199"/>
  <c r="M99" i="199"/>
  <c r="N99" i="199"/>
  <c r="O99" i="199"/>
  <c r="P99" i="199"/>
  <c r="Q99" i="199"/>
  <c r="R99" i="199"/>
  <c r="S99" i="199"/>
  <c r="T99" i="199"/>
  <c r="U99" i="199"/>
  <c r="V99" i="199"/>
  <c r="W99" i="199"/>
  <c r="D100" i="199"/>
  <c r="E100" i="199"/>
  <c r="F100" i="199"/>
  <c r="G100" i="199"/>
  <c r="H100" i="199"/>
  <c r="I100" i="199"/>
  <c r="J100" i="199"/>
  <c r="K100" i="199"/>
  <c r="L100" i="199"/>
  <c r="M100" i="199"/>
  <c r="N100" i="199"/>
  <c r="O100" i="199"/>
  <c r="P100" i="199"/>
  <c r="Q100" i="199"/>
  <c r="R100" i="199"/>
  <c r="S100" i="199"/>
  <c r="T100" i="199"/>
  <c r="U100" i="199"/>
  <c r="V100" i="199"/>
  <c r="W100" i="199"/>
  <c r="D101" i="199"/>
  <c r="E101" i="199"/>
  <c r="F101" i="199"/>
  <c r="G101" i="199"/>
  <c r="H101" i="199"/>
  <c r="I101" i="199"/>
  <c r="J101" i="199"/>
  <c r="K101" i="199"/>
  <c r="L101" i="199"/>
  <c r="M101" i="199"/>
  <c r="N101" i="199"/>
  <c r="O101" i="199"/>
  <c r="P101" i="199"/>
  <c r="Q101" i="199"/>
  <c r="R101" i="199"/>
  <c r="S101" i="199"/>
  <c r="T101" i="199"/>
  <c r="U101" i="199"/>
  <c r="V101" i="199"/>
  <c r="W101" i="199"/>
  <c r="D102" i="199"/>
  <c r="E102" i="199"/>
  <c r="F102" i="199"/>
  <c r="G102" i="199"/>
  <c r="H102" i="199"/>
  <c r="I102" i="199"/>
  <c r="J102" i="199"/>
  <c r="K102" i="199"/>
  <c r="L102" i="199"/>
  <c r="M102" i="199"/>
  <c r="N102" i="199"/>
  <c r="O102" i="199"/>
  <c r="P102" i="199"/>
  <c r="Q102" i="199"/>
  <c r="R102" i="199"/>
  <c r="S102" i="199"/>
  <c r="T102" i="199"/>
  <c r="U102" i="199"/>
  <c r="V102" i="199"/>
  <c r="W102" i="199"/>
  <c r="D103" i="199"/>
  <c r="E103" i="199"/>
  <c r="F103" i="199"/>
  <c r="G103" i="199"/>
  <c r="H103" i="199"/>
  <c r="I103" i="199"/>
  <c r="J103" i="199"/>
  <c r="K103" i="199"/>
  <c r="L103" i="199"/>
  <c r="M103" i="199"/>
  <c r="N103" i="199"/>
  <c r="O103" i="199"/>
  <c r="P103" i="199"/>
  <c r="Q103" i="199"/>
  <c r="R103" i="199"/>
  <c r="S103" i="199"/>
  <c r="T103" i="199"/>
  <c r="U103" i="199"/>
  <c r="V103" i="199"/>
  <c r="W103" i="199"/>
  <c r="D104" i="199"/>
  <c r="E104" i="199"/>
  <c r="F104" i="199"/>
  <c r="G104" i="199"/>
  <c r="H104" i="199"/>
  <c r="I104" i="199"/>
  <c r="J104" i="199"/>
  <c r="K104" i="199"/>
  <c r="L104" i="199"/>
  <c r="M104" i="199"/>
  <c r="N104" i="199"/>
  <c r="O104" i="199"/>
  <c r="P104" i="199"/>
  <c r="Q104" i="199"/>
  <c r="R104" i="199"/>
  <c r="S104" i="199"/>
  <c r="T104" i="199"/>
  <c r="U104" i="199"/>
  <c r="V104" i="199"/>
  <c r="W104" i="199"/>
  <c r="D105" i="199"/>
  <c r="E105" i="199"/>
  <c r="F105" i="199"/>
  <c r="G105" i="199"/>
  <c r="H105" i="199"/>
  <c r="I105" i="199"/>
  <c r="J105" i="199"/>
  <c r="K105" i="199"/>
  <c r="L105" i="199"/>
  <c r="M105" i="199"/>
  <c r="N105" i="199"/>
  <c r="O105" i="199"/>
  <c r="P105" i="199"/>
  <c r="Q105" i="199"/>
  <c r="R105" i="199"/>
  <c r="S105" i="199"/>
  <c r="T105" i="199"/>
  <c r="U105" i="199"/>
  <c r="V105" i="199"/>
  <c r="W105" i="199"/>
  <c r="D106" i="199"/>
  <c r="E106" i="199"/>
  <c r="F106" i="199"/>
  <c r="G106" i="199"/>
  <c r="H106" i="199"/>
  <c r="I106" i="199"/>
  <c r="J106" i="199"/>
  <c r="K106" i="199"/>
  <c r="L106" i="199"/>
  <c r="M106" i="199"/>
  <c r="N106" i="199"/>
  <c r="O106" i="199"/>
  <c r="P106" i="199"/>
  <c r="Q106" i="199"/>
  <c r="R106" i="199"/>
  <c r="S106" i="199"/>
  <c r="T106" i="199"/>
  <c r="U106" i="199"/>
  <c r="V106" i="199"/>
  <c r="W106" i="199"/>
  <c r="D107" i="199"/>
  <c r="E107" i="199"/>
  <c r="F107" i="199"/>
  <c r="G107" i="199"/>
  <c r="H107" i="199"/>
  <c r="I107" i="199"/>
  <c r="J107" i="199"/>
  <c r="K107" i="199"/>
  <c r="L107" i="199"/>
  <c r="M107" i="199"/>
  <c r="N107" i="199"/>
  <c r="O107" i="199"/>
  <c r="P107" i="199"/>
  <c r="Q107" i="199"/>
  <c r="R107" i="199"/>
  <c r="S107" i="199"/>
  <c r="T107" i="199"/>
  <c r="U107" i="199"/>
  <c r="V107" i="199"/>
  <c r="W107" i="199"/>
  <c r="D108" i="199"/>
  <c r="E108" i="199"/>
  <c r="F108" i="199"/>
  <c r="G108" i="199"/>
  <c r="H108" i="199"/>
  <c r="I108" i="199"/>
  <c r="J108" i="199"/>
  <c r="K108" i="199"/>
  <c r="L108" i="199"/>
  <c r="M108" i="199"/>
  <c r="N108" i="199"/>
  <c r="O108" i="199"/>
  <c r="P108" i="199"/>
  <c r="Q108" i="199"/>
  <c r="R108" i="199"/>
  <c r="S108" i="199"/>
  <c r="T108" i="199"/>
  <c r="U108" i="199"/>
  <c r="V108" i="199"/>
  <c r="W108" i="199"/>
  <c r="D109" i="199"/>
  <c r="E109" i="199"/>
  <c r="F109" i="199"/>
  <c r="G109" i="199"/>
  <c r="H109" i="199"/>
  <c r="I109" i="199"/>
  <c r="J109" i="199"/>
  <c r="K109" i="199"/>
  <c r="L109" i="199"/>
  <c r="M109" i="199"/>
  <c r="N109" i="199"/>
  <c r="O109" i="199"/>
  <c r="P109" i="199"/>
  <c r="Q109" i="199"/>
  <c r="R109" i="199"/>
  <c r="S109" i="199"/>
  <c r="T109" i="199"/>
  <c r="U109" i="199"/>
  <c r="V109" i="199"/>
  <c r="W109" i="199"/>
  <c r="D110" i="199"/>
  <c r="E110" i="199"/>
  <c r="F110" i="199"/>
  <c r="G110" i="199"/>
  <c r="H110" i="199"/>
  <c r="I110" i="199"/>
  <c r="J110" i="199"/>
  <c r="K110" i="199"/>
  <c r="L110" i="199"/>
  <c r="M110" i="199"/>
  <c r="N110" i="199"/>
  <c r="O110" i="199"/>
  <c r="P110" i="199"/>
  <c r="Q110" i="199"/>
  <c r="R110" i="199"/>
  <c r="S110" i="199"/>
  <c r="T110" i="199"/>
  <c r="U110" i="199"/>
  <c r="V110" i="199"/>
  <c r="W110" i="199"/>
  <c r="D120" i="199"/>
  <c r="F120" i="199"/>
  <c r="H120" i="199"/>
  <c r="J120" i="199"/>
  <c r="L120" i="199"/>
  <c r="N120" i="199"/>
  <c r="P120" i="199"/>
  <c r="R120" i="199"/>
  <c r="T120" i="199"/>
  <c r="V120" i="199"/>
  <c r="D121" i="199"/>
  <c r="F121" i="199"/>
  <c r="H121" i="199"/>
  <c r="J121" i="199"/>
  <c r="L121" i="199"/>
  <c r="N121" i="199"/>
  <c r="P121" i="199"/>
  <c r="R121" i="199"/>
  <c r="T121" i="199"/>
  <c r="V121" i="199"/>
  <c r="D122" i="199"/>
  <c r="F122" i="199"/>
  <c r="H122" i="199"/>
  <c r="J122" i="199"/>
  <c r="L122" i="199"/>
  <c r="N122" i="199"/>
  <c r="P122" i="199"/>
  <c r="R122" i="199"/>
  <c r="T122" i="199"/>
  <c r="V122" i="199"/>
  <c r="D123" i="199"/>
  <c r="F123" i="199"/>
  <c r="H123" i="199"/>
  <c r="J123" i="199"/>
  <c r="L123" i="199"/>
  <c r="N123" i="199"/>
  <c r="P123" i="199"/>
  <c r="R123" i="199"/>
  <c r="T123" i="199"/>
  <c r="V123" i="199"/>
  <c r="D124" i="199"/>
  <c r="F124" i="199"/>
  <c r="H124" i="199"/>
  <c r="J124" i="199"/>
  <c r="L124" i="199"/>
  <c r="N124" i="199"/>
  <c r="P124" i="199"/>
  <c r="R124" i="199"/>
  <c r="T124" i="199"/>
  <c r="V124" i="199"/>
  <c r="D125" i="199"/>
  <c r="F125" i="199"/>
  <c r="H125" i="199"/>
  <c r="J125" i="199"/>
  <c r="L125" i="199"/>
  <c r="N125" i="199"/>
  <c r="P125" i="199"/>
  <c r="R125" i="199"/>
  <c r="T125" i="199"/>
  <c r="V125" i="199"/>
  <c r="D126" i="199"/>
  <c r="F126" i="199"/>
  <c r="H126" i="199"/>
  <c r="J126" i="199"/>
  <c r="L126" i="199"/>
  <c r="N126" i="199"/>
  <c r="P126" i="199"/>
  <c r="R126" i="199"/>
  <c r="T126" i="199"/>
  <c r="V126" i="199"/>
  <c r="D127" i="199"/>
  <c r="F127" i="199"/>
  <c r="H127" i="199"/>
  <c r="J127" i="199"/>
  <c r="L127" i="199"/>
  <c r="N127" i="199"/>
  <c r="O127" i="199"/>
  <c r="P127" i="199"/>
  <c r="Q127" i="199"/>
  <c r="R127" i="199"/>
  <c r="S127" i="199"/>
  <c r="T127" i="199"/>
  <c r="U127" i="199"/>
  <c r="V127" i="199"/>
  <c r="W127" i="199"/>
  <c r="D128" i="199"/>
  <c r="E128" i="199"/>
  <c r="F128" i="199"/>
  <c r="G128" i="199"/>
  <c r="H128" i="199"/>
  <c r="I128" i="199"/>
  <c r="J128" i="199"/>
  <c r="K128" i="199"/>
  <c r="L128" i="199"/>
  <c r="M128" i="199"/>
  <c r="N128" i="199"/>
  <c r="O128" i="199"/>
  <c r="P128" i="199"/>
  <c r="Q128" i="199"/>
  <c r="R128" i="199"/>
  <c r="S128" i="199"/>
  <c r="T128" i="199"/>
  <c r="U128" i="199"/>
  <c r="V128" i="199"/>
  <c r="W128" i="199"/>
  <c r="D129" i="199"/>
  <c r="E129" i="199"/>
  <c r="F129" i="199"/>
  <c r="G129" i="199"/>
  <c r="H129" i="199"/>
  <c r="I129" i="199"/>
  <c r="J129" i="199"/>
  <c r="K129" i="199"/>
  <c r="L129" i="199"/>
  <c r="M129" i="199"/>
  <c r="N129" i="199"/>
  <c r="O129" i="199"/>
  <c r="P129" i="199"/>
  <c r="Q129" i="199"/>
  <c r="R129" i="199"/>
  <c r="S129" i="199"/>
  <c r="T129" i="199"/>
  <c r="U129" i="199"/>
  <c r="V129" i="199"/>
  <c r="W129" i="199"/>
  <c r="D130" i="199"/>
  <c r="E130" i="199"/>
  <c r="F130" i="199"/>
  <c r="G130" i="199"/>
  <c r="H130" i="199"/>
  <c r="I130" i="199"/>
  <c r="J130" i="199"/>
  <c r="K130" i="199"/>
  <c r="L130" i="199"/>
  <c r="M130" i="199"/>
  <c r="N130" i="199"/>
  <c r="O130" i="199"/>
  <c r="P130" i="199"/>
  <c r="Q130" i="199"/>
  <c r="R130" i="199"/>
  <c r="S130" i="199"/>
  <c r="T130" i="199"/>
  <c r="U130" i="199"/>
  <c r="V130" i="199"/>
  <c r="W130" i="199"/>
  <c r="D131" i="199"/>
  <c r="E131" i="199"/>
  <c r="F131" i="199"/>
  <c r="G131" i="199"/>
  <c r="H131" i="199"/>
  <c r="I131" i="199"/>
  <c r="J131" i="199"/>
  <c r="K131" i="199"/>
  <c r="L131" i="199"/>
  <c r="M131" i="199"/>
  <c r="N131" i="199"/>
  <c r="O131" i="199"/>
  <c r="P131" i="199"/>
  <c r="Q131" i="199"/>
  <c r="R131" i="199"/>
  <c r="S131" i="199"/>
  <c r="T131" i="199"/>
  <c r="U131" i="199"/>
  <c r="V131" i="199"/>
  <c r="W131" i="199"/>
  <c r="D138" i="199"/>
  <c r="E138" i="199"/>
  <c r="F138" i="199"/>
  <c r="G138" i="199"/>
  <c r="H138" i="199"/>
  <c r="I138" i="199"/>
  <c r="J138" i="199"/>
  <c r="K138" i="199"/>
  <c r="L138" i="199"/>
  <c r="M138" i="199"/>
  <c r="N138" i="199"/>
  <c r="O138" i="199"/>
  <c r="P138" i="199"/>
  <c r="Q138" i="199"/>
  <c r="R138" i="199"/>
  <c r="S138" i="199"/>
  <c r="T138" i="199"/>
  <c r="U138" i="199"/>
  <c r="V138" i="199"/>
  <c r="W138" i="199"/>
  <c r="D139" i="199"/>
  <c r="E139" i="199"/>
  <c r="F139" i="199"/>
  <c r="G139" i="199"/>
  <c r="H139" i="199"/>
  <c r="I139" i="199"/>
  <c r="J139" i="199"/>
  <c r="K139" i="199"/>
  <c r="L139" i="199"/>
  <c r="M139" i="199"/>
  <c r="N139" i="199"/>
  <c r="O139" i="199"/>
  <c r="P139" i="199"/>
  <c r="Q139" i="199"/>
  <c r="R139" i="199"/>
  <c r="S139" i="199"/>
  <c r="T139" i="199"/>
  <c r="U139" i="199"/>
  <c r="V139" i="199"/>
  <c r="W139" i="199"/>
  <c r="D140" i="199"/>
  <c r="E140" i="199"/>
  <c r="F140" i="199"/>
  <c r="G140" i="199"/>
  <c r="H140" i="199"/>
  <c r="I140" i="199"/>
  <c r="J140" i="199"/>
  <c r="K140" i="199"/>
  <c r="L140" i="199"/>
  <c r="M140" i="199"/>
  <c r="N140" i="199"/>
  <c r="O140" i="199"/>
  <c r="P140" i="199"/>
  <c r="Q140" i="199"/>
  <c r="R140" i="199"/>
  <c r="S140" i="199"/>
  <c r="T140" i="199"/>
  <c r="U140" i="199"/>
  <c r="V140" i="199"/>
  <c r="W140" i="199"/>
  <c r="D141" i="199"/>
  <c r="E141" i="199"/>
  <c r="F141" i="199"/>
  <c r="G141" i="199"/>
  <c r="H141" i="199"/>
  <c r="I141" i="199"/>
  <c r="J141" i="199"/>
  <c r="K141" i="199"/>
  <c r="L141" i="199"/>
  <c r="M141" i="199"/>
  <c r="N141" i="199"/>
  <c r="O141" i="199"/>
  <c r="P141" i="199"/>
  <c r="Q141" i="199"/>
  <c r="R141" i="199"/>
  <c r="S141" i="199"/>
  <c r="T141" i="199"/>
  <c r="U141" i="199"/>
  <c r="V141" i="199"/>
  <c r="W141" i="199"/>
  <c r="D142" i="199"/>
  <c r="E142" i="199"/>
  <c r="F142" i="199"/>
  <c r="G142" i="199"/>
  <c r="H142" i="199"/>
  <c r="I142" i="199"/>
  <c r="J142" i="199"/>
  <c r="K142" i="199"/>
  <c r="L142" i="199"/>
  <c r="M142" i="199"/>
  <c r="N142" i="199"/>
  <c r="O142" i="199"/>
  <c r="P142" i="199"/>
  <c r="Q142" i="199"/>
  <c r="R142" i="199"/>
  <c r="S142" i="199"/>
  <c r="T142" i="199"/>
  <c r="U142" i="199"/>
  <c r="V142" i="199"/>
  <c r="W142" i="199"/>
  <c r="D143" i="199"/>
  <c r="E143" i="199"/>
  <c r="F143" i="199"/>
  <c r="G143" i="199"/>
  <c r="H143" i="199"/>
  <c r="I143" i="199"/>
  <c r="J143" i="199"/>
  <c r="K143" i="199"/>
  <c r="L143" i="199"/>
  <c r="M143" i="199"/>
  <c r="N143" i="199"/>
  <c r="O143" i="199"/>
  <c r="P143" i="199"/>
  <c r="Q143" i="199"/>
  <c r="R143" i="199"/>
  <c r="S143" i="199"/>
  <c r="T143" i="199"/>
  <c r="U143" i="199"/>
  <c r="V143" i="199"/>
  <c r="W143" i="199"/>
  <c r="D144" i="199"/>
  <c r="E144" i="199"/>
  <c r="F144" i="199"/>
  <c r="G144" i="199"/>
  <c r="H144" i="199"/>
  <c r="I144" i="199"/>
  <c r="J144" i="199"/>
  <c r="K144" i="199"/>
  <c r="L144" i="199"/>
  <c r="M144" i="199"/>
  <c r="N144" i="199"/>
  <c r="O144" i="199"/>
  <c r="P144" i="199"/>
  <c r="Q144" i="199"/>
  <c r="R144" i="199"/>
  <c r="S144" i="199"/>
  <c r="T144" i="199"/>
  <c r="U144" i="199"/>
  <c r="V144" i="199"/>
  <c r="W144" i="199"/>
  <c r="D145" i="199"/>
  <c r="E145" i="199"/>
  <c r="F145" i="199"/>
  <c r="G145" i="199"/>
  <c r="H145" i="199"/>
  <c r="I145" i="199"/>
  <c r="J145" i="199"/>
  <c r="K145" i="199"/>
  <c r="L145" i="199"/>
  <c r="M145" i="199"/>
  <c r="N145" i="199"/>
  <c r="O145" i="199"/>
  <c r="P145" i="199"/>
  <c r="Q145" i="199"/>
  <c r="R145" i="199"/>
  <c r="S145" i="199"/>
  <c r="T145" i="199"/>
  <c r="U145" i="199"/>
  <c r="V145" i="199"/>
  <c r="W145" i="199"/>
  <c r="D146" i="199"/>
  <c r="E146" i="199"/>
  <c r="F146" i="199"/>
  <c r="G146" i="199"/>
  <c r="H146" i="199"/>
  <c r="I146" i="199"/>
  <c r="J146" i="199"/>
  <c r="K146" i="199"/>
  <c r="L146" i="199"/>
  <c r="M146" i="199"/>
  <c r="N146" i="199"/>
  <c r="O146" i="199"/>
  <c r="P146" i="199"/>
  <c r="Q146" i="199"/>
  <c r="R146" i="199"/>
  <c r="S146" i="199"/>
  <c r="T146" i="199"/>
  <c r="U146" i="199"/>
  <c r="V146" i="199"/>
  <c r="W146" i="199"/>
  <c r="D147" i="199"/>
  <c r="E147" i="199"/>
  <c r="F147" i="199"/>
  <c r="G147" i="199"/>
  <c r="H147" i="199"/>
  <c r="I147" i="199"/>
  <c r="J147" i="199"/>
  <c r="K147" i="199"/>
  <c r="L147" i="199"/>
  <c r="M147" i="199"/>
  <c r="N147" i="199"/>
  <c r="O147" i="199"/>
  <c r="P147" i="199"/>
  <c r="Q147" i="199"/>
  <c r="R147" i="199"/>
  <c r="S147" i="199"/>
  <c r="T147" i="199"/>
  <c r="U147" i="199"/>
  <c r="V147" i="199"/>
  <c r="W147" i="199"/>
  <c r="D148" i="199"/>
  <c r="E148" i="199"/>
  <c r="F148" i="199"/>
  <c r="G148" i="199"/>
  <c r="H148" i="199"/>
  <c r="I148" i="199"/>
  <c r="J148" i="199"/>
  <c r="K148" i="199"/>
  <c r="L148" i="199"/>
  <c r="M148" i="199"/>
  <c r="N148" i="199"/>
  <c r="O148" i="199"/>
  <c r="P148" i="199"/>
  <c r="Q148" i="199"/>
  <c r="R148" i="199"/>
  <c r="S148" i="199"/>
  <c r="T148" i="199"/>
  <c r="U148" i="199"/>
  <c r="V148" i="199"/>
  <c r="W148" i="199"/>
  <c r="D149" i="199"/>
  <c r="E149" i="199"/>
  <c r="F149" i="199"/>
  <c r="G149" i="199"/>
  <c r="H149" i="199"/>
  <c r="I149" i="199"/>
  <c r="J149" i="199"/>
  <c r="K149" i="199"/>
  <c r="L149" i="199"/>
  <c r="M149" i="199"/>
  <c r="N149" i="199"/>
  <c r="O149" i="199"/>
  <c r="P149" i="199"/>
  <c r="Q149" i="199"/>
  <c r="R149" i="199"/>
  <c r="S149" i="199"/>
  <c r="T149" i="199"/>
  <c r="U149" i="199"/>
  <c r="V149" i="199"/>
  <c r="W149" i="199"/>
  <c r="D156" i="199"/>
  <c r="E156" i="199"/>
  <c r="F156" i="199"/>
  <c r="G156" i="199"/>
  <c r="H156" i="199"/>
  <c r="I156" i="199"/>
  <c r="J156" i="199"/>
  <c r="K156" i="199"/>
  <c r="L156" i="199"/>
  <c r="M156" i="199"/>
  <c r="N156" i="199"/>
  <c r="O156" i="199"/>
  <c r="P156" i="199"/>
  <c r="Q156" i="199"/>
  <c r="R156" i="199"/>
  <c r="S156" i="199"/>
  <c r="T156" i="199"/>
  <c r="U156" i="199"/>
  <c r="V156" i="199"/>
  <c r="W156" i="199"/>
  <c r="D157" i="199"/>
  <c r="E157" i="199"/>
  <c r="F157" i="199"/>
  <c r="G157" i="199"/>
  <c r="H157" i="199"/>
  <c r="I157" i="199"/>
  <c r="J157" i="199"/>
  <c r="K157" i="199"/>
  <c r="L157" i="199"/>
  <c r="M157" i="199"/>
  <c r="N157" i="199"/>
  <c r="O157" i="199"/>
  <c r="P157" i="199"/>
  <c r="Q157" i="199"/>
  <c r="R157" i="199"/>
  <c r="S157" i="199"/>
  <c r="T157" i="199"/>
  <c r="U157" i="199"/>
  <c r="V157" i="199"/>
  <c r="W157" i="199"/>
  <c r="D158" i="199"/>
  <c r="E158" i="199"/>
  <c r="F158" i="199"/>
  <c r="G158" i="199"/>
  <c r="H158" i="199"/>
  <c r="I158" i="199"/>
  <c r="J158" i="199"/>
  <c r="K158" i="199"/>
  <c r="L158" i="199"/>
  <c r="M158" i="199"/>
  <c r="N158" i="199"/>
  <c r="O158" i="199"/>
  <c r="P158" i="199"/>
  <c r="Q158" i="199"/>
  <c r="R158" i="199"/>
  <c r="S158" i="199"/>
  <c r="T158" i="199"/>
  <c r="U158" i="199"/>
  <c r="V158" i="199"/>
  <c r="W158" i="199"/>
  <c r="D159" i="199"/>
  <c r="E159" i="199"/>
  <c r="F159" i="199"/>
  <c r="G159" i="199"/>
  <c r="H159" i="199"/>
  <c r="I159" i="199"/>
  <c r="J159" i="199"/>
  <c r="K159" i="199"/>
  <c r="L159" i="199"/>
  <c r="M159" i="199"/>
  <c r="N159" i="199"/>
  <c r="O159" i="199"/>
  <c r="P159" i="199"/>
  <c r="Q159" i="199"/>
  <c r="R159" i="199"/>
  <c r="S159" i="199"/>
  <c r="T159" i="199"/>
  <c r="U159" i="199"/>
  <c r="V159" i="199"/>
  <c r="W159" i="199"/>
  <c r="D160" i="199"/>
  <c r="E160" i="199"/>
  <c r="F160" i="199"/>
  <c r="G160" i="199"/>
  <c r="H160" i="199"/>
  <c r="I160" i="199"/>
  <c r="J160" i="199"/>
  <c r="K160" i="199"/>
  <c r="L160" i="199"/>
  <c r="M160" i="199"/>
  <c r="N160" i="199"/>
  <c r="O160" i="199"/>
  <c r="P160" i="199"/>
  <c r="Q160" i="199"/>
  <c r="R160" i="199"/>
  <c r="S160" i="199"/>
  <c r="T160" i="199"/>
  <c r="U160" i="199"/>
  <c r="V160" i="199"/>
  <c r="W160" i="199"/>
  <c r="D161" i="199"/>
  <c r="E161" i="199"/>
  <c r="F161" i="199"/>
  <c r="G161" i="199"/>
  <c r="H161" i="199"/>
  <c r="I161" i="199"/>
  <c r="J161" i="199"/>
  <c r="K161" i="199"/>
  <c r="L161" i="199"/>
  <c r="M161" i="199"/>
  <c r="N161" i="199"/>
  <c r="O161" i="199"/>
  <c r="P161" i="199"/>
  <c r="Q161" i="199"/>
  <c r="R161" i="199"/>
  <c r="S161" i="199"/>
  <c r="T161" i="199"/>
  <c r="U161" i="199"/>
  <c r="V161" i="199"/>
  <c r="W161" i="199"/>
  <c r="D162" i="199"/>
  <c r="E162" i="199"/>
  <c r="F162" i="199"/>
  <c r="G162" i="199"/>
  <c r="H162" i="199"/>
  <c r="I162" i="199"/>
  <c r="J162" i="199"/>
  <c r="K162" i="199"/>
  <c r="L162" i="199"/>
  <c r="M162" i="199"/>
  <c r="N162" i="199"/>
  <c r="O162" i="199"/>
  <c r="P162" i="199"/>
  <c r="Q162" i="199"/>
  <c r="R162" i="199"/>
  <c r="S162" i="199"/>
  <c r="T162" i="199"/>
  <c r="U162" i="199"/>
  <c r="V162" i="199"/>
  <c r="W162" i="199"/>
  <c r="D163" i="199"/>
  <c r="E163" i="199"/>
  <c r="F163" i="199"/>
  <c r="G163" i="199"/>
  <c r="H163" i="199"/>
  <c r="I163" i="199"/>
  <c r="J163" i="199"/>
  <c r="K163" i="199"/>
  <c r="L163" i="199"/>
  <c r="M163" i="199"/>
  <c r="N163" i="199"/>
  <c r="O163" i="199"/>
  <c r="P163" i="199"/>
  <c r="Q163" i="199"/>
  <c r="R163" i="199"/>
  <c r="S163" i="199"/>
  <c r="T163" i="199"/>
  <c r="U163" i="199"/>
  <c r="V163" i="199"/>
  <c r="W163" i="199"/>
  <c r="D164" i="199"/>
  <c r="E164" i="199"/>
  <c r="F164" i="199"/>
  <c r="G164" i="199"/>
  <c r="H164" i="199"/>
  <c r="I164" i="199"/>
  <c r="J164" i="199"/>
  <c r="K164" i="199"/>
  <c r="L164" i="199"/>
  <c r="M164" i="199"/>
  <c r="N164" i="199"/>
  <c r="O164" i="199"/>
  <c r="P164" i="199"/>
  <c r="Q164" i="199"/>
  <c r="R164" i="199"/>
  <c r="S164" i="199"/>
  <c r="T164" i="199"/>
  <c r="U164" i="199"/>
  <c r="V164" i="199"/>
  <c r="W164" i="199"/>
  <c r="D165" i="199"/>
  <c r="E165" i="199"/>
  <c r="F165" i="199"/>
  <c r="G165" i="199"/>
  <c r="H165" i="199"/>
  <c r="I165" i="199"/>
  <c r="J165" i="199"/>
  <c r="K165" i="199"/>
  <c r="L165" i="199"/>
  <c r="M165" i="199"/>
  <c r="N165" i="199"/>
  <c r="O165" i="199"/>
  <c r="P165" i="199"/>
  <c r="Q165" i="199"/>
  <c r="R165" i="199"/>
  <c r="S165" i="199"/>
  <c r="T165" i="199"/>
  <c r="U165" i="199"/>
  <c r="V165" i="199"/>
  <c r="W165" i="199"/>
  <c r="D166" i="199"/>
  <c r="E166" i="199"/>
  <c r="F166" i="199"/>
  <c r="G166" i="199"/>
  <c r="H166" i="199"/>
  <c r="I166" i="199"/>
  <c r="J166" i="199"/>
  <c r="K166" i="199"/>
  <c r="L166" i="199"/>
  <c r="M166" i="199"/>
  <c r="N166" i="199"/>
  <c r="O166" i="199"/>
  <c r="P166" i="199"/>
  <c r="Q166" i="199"/>
  <c r="R166" i="199"/>
  <c r="S166" i="199"/>
  <c r="T166" i="199"/>
  <c r="U166" i="199"/>
  <c r="V166" i="199"/>
  <c r="W166" i="199"/>
  <c r="D167" i="199"/>
  <c r="E167" i="199"/>
  <c r="F167" i="199"/>
  <c r="G167" i="199"/>
  <c r="H167" i="199"/>
  <c r="I167" i="199"/>
  <c r="J167" i="199"/>
  <c r="K167" i="199"/>
  <c r="L167" i="199"/>
  <c r="M167" i="199"/>
  <c r="N167" i="199"/>
  <c r="O167" i="199"/>
  <c r="P167" i="199"/>
  <c r="Q167" i="199"/>
  <c r="R167" i="199"/>
  <c r="S167" i="199"/>
  <c r="T167" i="199"/>
  <c r="U167" i="199"/>
  <c r="V167" i="199"/>
  <c r="W167" i="199"/>
  <c r="D172" i="199"/>
  <c r="E172" i="199"/>
  <c r="F172" i="199"/>
  <c r="G172" i="199"/>
  <c r="H172" i="199"/>
  <c r="I172" i="199"/>
  <c r="J172" i="199"/>
  <c r="K172" i="199"/>
  <c r="L172" i="199"/>
  <c r="M172" i="199"/>
  <c r="N172" i="199"/>
  <c r="O172" i="199"/>
  <c r="P172" i="199"/>
  <c r="Q172" i="199"/>
  <c r="R172" i="199"/>
  <c r="S172" i="199"/>
  <c r="T172" i="199"/>
  <c r="U172" i="199"/>
  <c r="V172" i="199"/>
  <c r="W172" i="199"/>
  <c r="D173" i="199"/>
  <c r="E173" i="199"/>
  <c r="F173" i="199"/>
  <c r="G173" i="199"/>
  <c r="H173" i="199"/>
  <c r="I173" i="199"/>
  <c r="J173" i="199"/>
  <c r="K173" i="199"/>
  <c r="L173" i="199"/>
  <c r="M173" i="199"/>
  <c r="N173" i="199"/>
  <c r="O173" i="199"/>
  <c r="P173" i="199"/>
  <c r="Q173" i="199"/>
  <c r="R173" i="199"/>
  <c r="S173" i="199"/>
  <c r="T173" i="199"/>
  <c r="U173" i="199"/>
  <c r="V173" i="199"/>
  <c r="W173" i="199"/>
  <c r="D174" i="199"/>
  <c r="E174" i="199"/>
  <c r="F174" i="199"/>
  <c r="G174" i="199"/>
  <c r="H174" i="199"/>
  <c r="I174" i="199"/>
  <c r="J174" i="199"/>
  <c r="K174" i="199"/>
  <c r="L174" i="199"/>
  <c r="M174" i="199"/>
  <c r="N174" i="199"/>
  <c r="O174" i="199"/>
  <c r="P174" i="199"/>
  <c r="Q174" i="199"/>
  <c r="R174" i="199"/>
  <c r="S174" i="199"/>
  <c r="T174" i="199"/>
  <c r="U174" i="199"/>
  <c r="V174" i="199"/>
  <c r="W174" i="199"/>
  <c r="D175" i="199"/>
  <c r="E175" i="199"/>
  <c r="F175" i="199"/>
  <c r="G175" i="199"/>
  <c r="H175" i="199"/>
  <c r="I175" i="199"/>
  <c r="J175" i="199"/>
  <c r="K175" i="199"/>
  <c r="E176" i="199" s="1"/>
  <c r="L175" i="199"/>
  <c r="M175" i="199"/>
  <c r="N175" i="199"/>
  <c r="O175" i="199"/>
  <c r="P175" i="199"/>
  <c r="Q175" i="199"/>
  <c r="R175" i="199"/>
  <c r="S175" i="199"/>
  <c r="T175" i="199"/>
  <c r="U175" i="199"/>
  <c r="V175" i="199"/>
  <c r="W175" i="199"/>
  <c r="D176" i="199"/>
  <c r="F176" i="199"/>
  <c r="G176" i="199"/>
  <c r="H176" i="199"/>
  <c r="J176" i="199"/>
  <c r="K176" i="199"/>
  <c r="L176" i="199"/>
  <c r="N176" i="199"/>
  <c r="O176" i="199"/>
  <c r="P176" i="199"/>
  <c r="R176" i="199"/>
  <c r="S176" i="199"/>
  <c r="T176" i="199"/>
  <c r="V176" i="199"/>
  <c r="W176" i="199"/>
  <c r="D116" i="202" l="1"/>
  <c r="W155" i="199"/>
  <c r="S155" i="199"/>
  <c r="O155" i="199"/>
  <c r="K155" i="199"/>
  <c r="G155" i="199"/>
  <c r="W154" i="199"/>
  <c r="S154" i="199"/>
  <c r="O154" i="199"/>
  <c r="K154" i="199"/>
  <c r="G154" i="199"/>
  <c r="W153" i="199"/>
  <c r="S153" i="199"/>
  <c r="O153" i="199"/>
  <c r="K153" i="199"/>
  <c r="G153" i="199"/>
  <c r="W152" i="199"/>
  <c r="S152" i="199"/>
  <c r="O152" i="199"/>
  <c r="K152" i="199"/>
  <c r="G152" i="199"/>
  <c r="V155" i="199"/>
  <c r="R155" i="199"/>
  <c r="N155" i="199"/>
  <c r="J155" i="199"/>
  <c r="F155" i="199"/>
  <c r="V154" i="199"/>
  <c r="R154" i="199"/>
  <c r="N154" i="199"/>
  <c r="J154" i="199"/>
  <c r="F154" i="199"/>
  <c r="V153" i="199"/>
  <c r="R153" i="199"/>
  <c r="N153" i="199"/>
  <c r="J153" i="199"/>
  <c r="F153" i="199"/>
  <c r="V152" i="199"/>
  <c r="R152" i="199"/>
  <c r="N152" i="199"/>
  <c r="J152" i="199"/>
  <c r="F152" i="199"/>
  <c r="V137" i="199"/>
  <c r="R137" i="199"/>
  <c r="N137" i="199"/>
  <c r="J137" i="199"/>
  <c r="F137" i="199"/>
  <c r="V136" i="199"/>
  <c r="R136" i="199"/>
  <c r="U176" i="199"/>
  <c r="Q176" i="199"/>
  <c r="M176" i="199"/>
  <c r="I176" i="199"/>
  <c r="U155" i="199"/>
  <c r="Q155" i="199"/>
  <c r="M155" i="199"/>
  <c r="I155" i="199"/>
  <c r="E155" i="199"/>
  <c r="U154" i="199"/>
  <c r="Q154" i="199"/>
  <c r="M154" i="199"/>
  <c r="I154" i="199"/>
  <c r="E154" i="199"/>
  <c r="U153" i="199"/>
  <c r="Q153" i="199"/>
  <c r="M153" i="199"/>
  <c r="I153" i="199"/>
  <c r="E153" i="199"/>
  <c r="U152" i="199"/>
  <c r="Q152" i="199"/>
  <c r="M152" i="199"/>
  <c r="I152" i="199"/>
  <c r="E152" i="199"/>
  <c r="T155" i="199"/>
  <c r="P155" i="199"/>
  <c r="L155" i="199"/>
  <c r="H155" i="199"/>
  <c r="D155" i="199"/>
  <c r="T154" i="199"/>
  <c r="P154" i="199"/>
  <c r="L154" i="199"/>
  <c r="H154" i="199"/>
  <c r="D154" i="199"/>
  <c r="T153" i="199"/>
  <c r="P153" i="199"/>
  <c r="L153" i="199"/>
  <c r="H153" i="199"/>
  <c r="D153" i="199"/>
  <c r="T152" i="199"/>
  <c r="P152" i="199"/>
  <c r="L152" i="199"/>
  <c r="H152" i="199"/>
  <c r="D152" i="199"/>
  <c r="T137" i="199"/>
  <c r="P137" i="199"/>
  <c r="L137" i="199"/>
  <c r="H137" i="199"/>
  <c r="D137" i="199"/>
  <c r="T136" i="199"/>
  <c r="P136" i="199"/>
  <c r="L136" i="199"/>
  <c r="H136" i="199"/>
  <c r="D136" i="199"/>
  <c r="T135" i="199"/>
  <c r="P135" i="199"/>
  <c r="L135" i="199"/>
  <c r="H135" i="199"/>
  <c r="D135" i="199"/>
  <c r="T134" i="199"/>
  <c r="P134" i="199"/>
  <c r="L134" i="199"/>
  <c r="H134" i="199"/>
  <c r="D134" i="199"/>
  <c r="T119" i="199"/>
  <c r="P119" i="199"/>
  <c r="L119" i="199"/>
  <c r="H119" i="199"/>
  <c r="D119" i="199"/>
  <c r="T118" i="199"/>
  <c r="P118" i="199"/>
  <c r="L118" i="199"/>
  <c r="H118" i="199"/>
  <c r="D118" i="199"/>
  <c r="T117" i="199"/>
  <c r="P117" i="199"/>
  <c r="L117" i="199"/>
  <c r="H117" i="199"/>
  <c r="D117" i="199"/>
  <c r="T116" i="199"/>
  <c r="P116" i="199"/>
  <c r="L116" i="199"/>
  <c r="H116" i="199"/>
  <c r="D116" i="199"/>
  <c r="T98" i="199"/>
  <c r="P98" i="199"/>
  <c r="L98" i="199"/>
  <c r="H98" i="199"/>
  <c r="D98" i="199"/>
  <c r="T97" i="199"/>
  <c r="P97" i="199"/>
  <c r="L97" i="199"/>
  <c r="H97" i="199"/>
  <c r="D97" i="199"/>
  <c r="T96" i="199"/>
  <c r="P96" i="199"/>
  <c r="L96" i="199"/>
  <c r="H96" i="199"/>
  <c r="D96" i="199"/>
  <c r="T95" i="199"/>
  <c r="P95" i="199"/>
  <c r="L95" i="199"/>
  <c r="H95" i="199"/>
  <c r="D95" i="199"/>
  <c r="T80" i="199"/>
  <c r="P80" i="199"/>
  <c r="L80" i="199"/>
  <c r="H80" i="199"/>
  <c r="D80" i="199"/>
  <c r="T79" i="199"/>
  <c r="P79" i="199"/>
  <c r="L79" i="199"/>
  <c r="H79" i="199"/>
  <c r="D79" i="199"/>
  <c r="T78" i="199"/>
  <c r="P78" i="199"/>
  <c r="L78" i="199"/>
  <c r="H78" i="199"/>
  <c r="D78" i="199"/>
  <c r="T77" i="199"/>
  <c r="P77" i="199"/>
  <c r="L77" i="199"/>
  <c r="H77" i="199"/>
  <c r="D77" i="199"/>
  <c r="V62" i="199"/>
  <c r="N62" i="199"/>
  <c r="F62" i="199"/>
  <c r="V61" i="199"/>
  <c r="N61" i="199"/>
  <c r="F61" i="199"/>
  <c r="V60" i="199"/>
  <c r="N60" i="199"/>
  <c r="F60" i="199"/>
  <c r="V59" i="199"/>
  <c r="N59" i="199"/>
  <c r="F59" i="199"/>
  <c r="W137" i="199"/>
  <c r="S137" i="199"/>
  <c r="O137" i="199"/>
  <c r="K137" i="199"/>
  <c r="G137" i="199"/>
  <c r="W136" i="199"/>
  <c r="S136" i="199"/>
  <c r="O136" i="199"/>
  <c r="K136" i="199"/>
  <c r="G136" i="199"/>
  <c r="W135" i="199"/>
  <c r="S135" i="199"/>
  <c r="O135" i="199"/>
  <c r="K135" i="199"/>
  <c r="G135" i="199"/>
  <c r="W134" i="199"/>
  <c r="S134" i="199"/>
  <c r="O134" i="199"/>
  <c r="K134" i="199"/>
  <c r="G134" i="199"/>
  <c r="W98" i="199"/>
  <c r="S98" i="199"/>
  <c r="O98" i="199"/>
  <c r="K98" i="199"/>
  <c r="G98" i="199"/>
  <c r="W97" i="199"/>
  <c r="S97" i="199"/>
  <c r="O97" i="199"/>
  <c r="K97" i="199"/>
  <c r="G97" i="199"/>
  <c r="W96" i="199"/>
  <c r="S96" i="199"/>
  <c r="O96" i="199"/>
  <c r="K96" i="199"/>
  <c r="G96" i="199"/>
  <c r="W95" i="199"/>
  <c r="S95" i="199"/>
  <c r="O95" i="199"/>
  <c r="K95" i="199"/>
  <c r="G95" i="199"/>
  <c r="W80" i="199"/>
  <c r="S80" i="199"/>
  <c r="O80" i="199"/>
  <c r="K80" i="199"/>
  <c r="G80" i="199"/>
  <c r="W79" i="199"/>
  <c r="S79" i="199"/>
  <c r="O79" i="199"/>
  <c r="K79" i="199"/>
  <c r="G79" i="199"/>
  <c r="W78" i="199"/>
  <c r="S78" i="199"/>
  <c r="O78" i="199"/>
  <c r="K78" i="199"/>
  <c r="G78" i="199"/>
  <c r="W77" i="199"/>
  <c r="S77" i="199"/>
  <c r="O77" i="199"/>
  <c r="K77" i="199"/>
  <c r="G77" i="199"/>
  <c r="T62" i="199"/>
  <c r="L62" i="199"/>
  <c r="D62" i="199"/>
  <c r="T61" i="199"/>
  <c r="L61" i="199"/>
  <c r="D61" i="199"/>
  <c r="T60" i="199"/>
  <c r="L60" i="199"/>
  <c r="D60" i="199"/>
  <c r="T59" i="199"/>
  <c r="L59" i="199"/>
  <c r="D59" i="199"/>
  <c r="U69" i="199"/>
  <c r="Q69" i="199"/>
  <c r="M69" i="199"/>
  <c r="M70" i="199"/>
  <c r="M127" i="199" s="1"/>
  <c r="I69" i="199"/>
  <c r="I70" i="199"/>
  <c r="I127" i="199" s="1"/>
  <c r="E69" i="199"/>
  <c r="E70" i="199"/>
  <c r="E127" i="199" s="1"/>
  <c r="U63" i="199"/>
  <c r="U64" i="199"/>
  <c r="U121" i="199" s="1"/>
  <c r="U65" i="199"/>
  <c r="U66" i="199"/>
  <c r="U123" i="199" s="1"/>
  <c r="U67" i="199"/>
  <c r="U68" i="199"/>
  <c r="U125" i="199" s="1"/>
  <c r="Q63" i="199"/>
  <c r="Q64" i="199"/>
  <c r="Q121" i="199" s="1"/>
  <c r="Q65" i="199"/>
  <c r="Q66" i="199"/>
  <c r="Q123" i="199" s="1"/>
  <c r="Q67" i="199"/>
  <c r="Q68" i="199"/>
  <c r="Q125" i="199" s="1"/>
  <c r="M63" i="199"/>
  <c r="M64" i="199"/>
  <c r="M121" i="199" s="1"/>
  <c r="M65" i="199"/>
  <c r="M66" i="199"/>
  <c r="M123" i="199" s="1"/>
  <c r="M67" i="199"/>
  <c r="M68" i="199"/>
  <c r="M125" i="199" s="1"/>
  <c r="I63" i="199"/>
  <c r="I64" i="199"/>
  <c r="I121" i="199" s="1"/>
  <c r="I65" i="199"/>
  <c r="I66" i="199"/>
  <c r="I123" i="199" s="1"/>
  <c r="I67" i="199"/>
  <c r="I68" i="199"/>
  <c r="I125" i="199" s="1"/>
  <c r="E63" i="199"/>
  <c r="E64" i="199"/>
  <c r="E121" i="199" s="1"/>
  <c r="E65" i="199"/>
  <c r="E66" i="199"/>
  <c r="E123" i="199" s="1"/>
  <c r="E67" i="199"/>
  <c r="E68" i="199"/>
  <c r="E125" i="199" s="1"/>
  <c r="AF62" i="200"/>
  <c r="AT62" i="200"/>
  <c r="N136" i="199"/>
  <c r="J136" i="199"/>
  <c r="F136" i="199"/>
  <c r="V135" i="199"/>
  <c r="R135" i="199"/>
  <c r="N135" i="199"/>
  <c r="J135" i="199"/>
  <c r="F135" i="199"/>
  <c r="V134" i="199"/>
  <c r="R134" i="199"/>
  <c r="N134" i="199"/>
  <c r="J134" i="199"/>
  <c r="F134" i="199"/>
  <c r="V119" i="199"/>
  <c r="R119" i="199"/>
  <c r="N119" i="199"/>
  <c r="J119" i="199"/>
  <c r="F119" i="199"/>
  <c r="V118" i="199"/>
  <c r="R118" i="199"/>
  <c r="N118" i="199"/>
  <c r="J118" i="199"/>
  <c r="F118" i="199"/>
  <c r="V117" i="199"/>
  <c r="R117" i="199"/>
  <c r="N117" i="199"/>
  <c r="J117" i="199"/>
  <c r="F117" i="199"/>
  <c r="V116" i="199"/>
  <c r="R116" i="199"/>
  <c r="N116" i="199"/>
  <c r="J116" i="199"/>
  <c r="F116" i="199"/>
  <c r="V98" i="199"/>
  <c r="R98" i="199"/>
  <c r="N98" i="199"/>
  <c r="J98" i="199"/>
  <c r="F98" i="199"/>
  <c r="V97" i="199"/>
  <c r="R97" i="199"/>
  <c r="N97" i="199"/>
  <c r="J97" i="199"/>
  <c r="F97" i="199"/>
  <c r="V96" i="199"/>
  <c r="R96" i="199"/>
  <c r="N96" i="199"/>
  <c r="J96" i="199"/>
  <c r="F96" i="199"/>
  <c r="V95" i="199"/>
  <c r="R95" i="199"/>
  <c r="N95" i="199"/>
  <c r="J95" i="199"/>
  <c r="F95" i="199"/>
  <c r="V80" i="199"/>
  <c r="R80" i="199"/>
  <c r="N80" i="199"/>
  <c r="J80" i="199"/>
  <c r="F80" i="199"/>
  <c r="V79" i="199"/>
  <c r="R79" i="199"/>
  <c r="N79" i="199"/>
  <c r="J79" i="199"/>
  <c r="F79" i="199"/>
  <c r="V78" i="199"/>
  <c r="R78" i="199"/>
  <c r="N78" i="199"/>
  <c r="J78" i="199"/>
  <c r="F78" i="199"/>
  <c r="V77" i="199"/>
  <c r="R77" i="199"/>
  <c r="N77" i="199"/>
  <c r="J77" i="199"/>
  <c r="F77" i="199"/>
  <c r="R62" i="199"/>
  <c r="J62" i="199"/>
  <c r="R61" i="199"/>
  <c r="J61" i="199"/>
  <c r="R60" i="199"/>
  <c r="J60" i="199"/>
  <c r="R59" i="199"/>
  <c r="J59" i="199"/>
  <c r="AG68" i="200"/>
  <c r="U137" i="199"/>
  <c r="Q137" i="199"/>
  <c r="M137" i="199"/>
  <c r="I137" i="199"/>
  <c r="E137" i="199"/>
  <c r="U136" i="199"/>
  <c r="Q136" i="199"/>
  <c r="M136" i="199"/>
  <c r="I136" i="199"/>
  <c r="E136" i="199"/>
  <c r="U135" i="199"/>
  <c r="Q135" i="199"/>
  <c r="M135" i="199"/>
  <c r="I135" i="199"/>
  <c r="E135" i="199"/>
  <c r="U134" i="199"/>
  <c r="Q134" i="199"/>
  <c r="M134" i="199"/>
  <c r="I134" i="199"/>
  <c r="E134" i="199"/>
  <c r="U98" i="199"/>
  <c r="Q98" i="199"/>
  <c r="M98" i="199"/>
  <c r="I98" i="199"/>
  <c r="E98" i="199"/>
  <c r="U97" i="199"/>
  <c r="Q97" i="199"/>
  <c r="M97" i="199"/>
  <c r="I97" i="199"/>
  <c r="E97" i="199"/>
  <c r="U96" i="199"/>
  <c r="Q96" i="199"/>
  <c r="M96" i="199"/>
  <c r="I96" i="199"/>
  <c r="E96" i="199"/>
  <c r="U95" i="199"/>
  <c r="Q95" i="199"/>
  <c r="M95" i="199"/>
  <c r="I95" i="199"/>
  <c r="E95" i="199"/>
  <c r="U80" i="199"/>
  <c r="Q80" i="199"/>
  <c r="M80" i="199"/>
  <c r="I80" i="199"/>
  <c r="E80" i="199"/>
  <c r="U79" i="199"/>
  <c r="Q79" i="199"/>
  <c r="M79" i="199"/>
  <c r="I79" i="199"/>
  <c r="E79" i="199"/>
  <c r="U78" i="199"/>
  <c r="Q78" i="199"/>
  <c r="M78" i="199"/>
  <c r="I78" i="199"/>
  <c r="E78" i="199"/>
  <c r="U77" i="199"/>
  <c r="Q77" i="199"/>
  <c r="M77" i="199"/>
  <c r="I77" i="199"/>
  <c r="E77" i="199"/>
  <c r="P62" i="199"/>
  <c r="H62" i="199"/>
  <c r="P61" i="199"/>
  <c r="H61" i="199"/>
  <c r="P60" i="199"/>
  <c r="H60" i="199"/>
  <c r="P59" i="199"/>
  <c r="H59" i="199"/>
  <c r="W69" i="199"/>
  <c r="S69" i="199"/>
  <c r="O69" i="199"/>
  <c r="K69" i="199"/>
  <c r="K70" i="199"/>
  <c r="K127" i="199" s="1"/>
  <c r="G69" i="199"/>
  <c r="G70" i="199"/>
  <c r="G127" i="199" s="1"/>
  <c r="W63" i="199"/>
  <c r="W64" i="199"/>
  <c r="W121" i="199" s="1"/>
  <c r="W65" i="199"/>
  <c r="W66" i="199"/>
  <c r="W123" i="199" s="1"/>
  <c r="W67" i="199"/>
  <c r="W68" i="199"/>
  <c r="W125" i="199" s="1"/>
  <c r="S63" i="199"/>
  <c r="S64" i="199"/>
  <c r="S121" i="199" s="1"/>
  <c r="S65" i="199"/>
  <c r="S66" i="199"/>
  <c r="S123" i="199" s="1"/>
  <c r="S67" i="199"/>
  <c r="S68" i="199"/>
  <c r="S125" i="199" s="1"/>
  <c r="O63" i="199"/>
  <c r="O64" i="199"/>
  <c r="O121" i="199" s="1"/>
  <c r="O65" i="199"/>
  <c r="O66" i="199"/>
  <c r="O123" i="199" s="1"/>
  <c r="O67" i="199"/>
  <c r="O68" i="199"/>
  <c r="O125" i="199" s="1"/>
  <c r="K63" i="199"/>
  <c r="K64" i="199"/>
  <c r="K121" i="199" s="1"/>
  <c r="K65" i="199"/>
  <c r="K66" i="199"/>
  <c r="K123" i="199" s="1"/>
  <c r="K67" i="199"/>
  <c r="K68" i="199"/>
  <c r="K125" i="199" s="1"/>
  <c r="G63" i="199"/>
  <c r="G64" i="199"/>
  <c r="G121" i="199" s="1"/>
  <c r="G65" i="199"/>
  <c r="G66" i="199"/>
  <c r="G123" i="199" s="1"/>
  <c r="G67" i="199"/>
  <c r="G68" i="199"/>
  <c r="G125" i="199" s="1"/>
  <c r="AH62" i="200"/>
  <c r="AG62" i="200"/>
  <c r="AV9" i="200"/>
  <c r="AV25" i="200"/>
  <c r="AV41" i="200"/>
  <c r="AV57" i="200"/>
  <c r="AF68" i="200"/>
  <c r="AT68" i="200"/>
  <c r="K21" i="204"/>
  <c r="Q13" i="209"/>
  <c r="S13" i="209" s="1"/>
  <c r="P154" i="212"/>
  <c r="O107" i="215"/>
  <c r="O80" i="215"/>
  <c r="M252" i="215"/>
  <c r="H75" i="215"/>
  <c r="M75" i="215" s="1"/>
  <c r="L75" i="215"/>
  <c r="O75" i="215" s="1"/>
  <c r="F115" i="202"/>
  <c r="G115" i="202" s="1"/>
  <c r="L21" i="204"/>
  <c r="E31" i="204"/>
  <c r="I31" i="204" s="1"/>
  <c r="H5" i="206"/>
  <c r="H7" i="206"/>
  <c r="H9" i="206"/>
  <c r="H11" i="206"/>
  <c r="H13" i="206"/>
  <c r="H15" i="206"/>
  <c r="H25" i="206"/>
  <c r="H27" i="206"/>
  <c r="H29" i="206"/>
  <c r="H31" i="206"/>
  <c r="N14" i="209"/>
  <c r="P137" i="212"/>
  <c r="K117" i="212"/>
  <c r="C19" i="213"/>
  <c r="C15" i="213"/>
  <c r="M179" i="215"/>
  <c r="M180" i="215" s="1"/>
  <c r="L180" i="215" s="1"/>
  <c r="M261" i="215"/>
  <c r="M268" i="215" s="1"/>
  <c r="O252" i="215"/>
  <c r="O94" i="215"/>
  <c r="O48" i="215"/>
  <c r="H92" i="215"/>
  <c r="M92" i="215" s="1"/>
  <c r="L92" i="215"/>
  <c r="O92" i="215" s="1"/>
  <c r="H55" i="215"/>
  <c r="M55" i="215" s="1"/>
  <c r="L55" i="215"/>
  <c r="L87" i="215"/>
  <c r="H87" i="215"/>
  <c r="M87" i="215" s="1"/>
  <c r="O95" i="215"/>
  <c r="I33" i="215"/>
  <c r="N33" i="215" s="1"/>
  <c r="N43" i="215" s="1"/>
  <c r="F36" i="215"/>
  <c r="I36" i="215" s="1"/>
  <c r="N36" i="215" s="1"/>
  <c r="AI62" i="200"/>
  <c r="AV17" i="200"/>
  <c r="AV20" i="200"/>
  <c r="AV23" i="200"/>
  <c r="AV33" i="200"/>
  <c r="AV36" i="200"/>
  <c r="AV39" i="200"/>
  <c r="AV49" i="200"/>
  <c r="AV52" i="200"/>
  <c r="AV55" i="200"/>
  <c r="AH68" i="200"/>
  <c r="J11" i="201"/>
  <c r="E15" i="204"/>
  <c r="I15" i="204" s="1"/>
  <c r="K20" i="204"/>
  <c r="G21" i="204"/>
  <c r="G23" i="204"/>
  <c r="G24" i="204"/>
  <c r="G25" i="204"/>
  <c r="G26" i="204"/>
  <c r="G27" i="204"/>
  <c r="G28" i="204"/>
  <c r="G29" i="204"/>
  <c r="G30" i="204"/>
  <c r="L176" i="212"/>
  <c r="D152" i="212"/>
  <c r="O70" i="215"/>
  <c r="O134" i="215"/>
  <c r="O84" i="215"/>
  <c r="O60" i="215"/>
  <c r="O38" i="215"/>
  <c r="L83" i="215"/>
  <c r="O83" i="215" s="1"/>
  <c r="H83" i="215"/>
  <c r="M83" i="215" s="1"/>
  <c r="M185" i="215"/>
  <c r="AF21" i="213"/>
  <c r="B104" i="202"/>
  <c r="H17" i="204"/>
  <c r="H18" i="204"/>
  <c r="L20" i="204"/>
  <c r="H21" i="204"/>
  <c r="F22" i="204"/>
  <c r="J22" i="204" s="1"/>
  <c r="K23" i="204"/>
  <c r="K24" i="204"/>
  <c r="K25" i="204"/>
  <c r="K26" i="204"/>
  <c r="K27" i="204"/>
  <c r="K28" i="204"/>
  <c r="K29" i="204"/>
  <c r="K30" i="204"/>
  <c r="H6" i="206"/>
  <c r="H8" i="206"/>
  <c r="H10" i="206"/>
  <c r="H12" i="206"/>
  <c r="G14" i="206"/>
  <c r="H17" i="206"/>
  <c r="H24" i="206"/>
  <c r="H26" i="206"/>
  <c r="H28" i="206"/>
  <c r="H30" i="206"/>
  <c r="AT12" i="211"/>
  <c r="AT14" i="211"/>
  <c r="AT16" i="211"/>
  <c r="S117" i="212"/>
  <c r="C17" i="213"/>
  <c r="G21" i="214"/>
  <c r="D21" i="214" s="1"/>
  <c r="M226" i="215"/>
  <c r="M109" i="215"/>
  <c r="H63" i="215"/>
  <c r="M63" i="215" s="1"/>
  <c r="L63" i="215"/>
  <c r="AF13" i="213"/>
  <c r="N7" i="203"/>
  <c r="J39" i="203"/>
  <c r="J41" i="203"/>
  <c r="G41" i="203"/>
  <c r="G39" i="203"/>
  <c r="G40" i="203" s="1"/>
  <c r="K41" i="203"/>
  <c r="K39" i="203"/>
  <c r="I35" i="203"/>
  <c r="I10" i="203"/>
  <c r="I14" i="203"/>
  <c r="I18" i="203"/>
  <c r="I19" i="203"/>
  <c r="I7" i="203"/>
  <c r="N10" i="203"/>
  <c r="M10" i="203" s="1"/>
  <c r="N19" i="203"/>
  <c r="I23" i="203"/>
  <c r="I11" i="203"/>
  <c r="N14" i="203"/>
  <c r="M14" i="203" s="1"/>
  <c r="I27" i="203"/>
  <c r="I15" i="203"/>
  <c r="N18" i="203"/>
  <c r="M18" i="203" s="1"/>
  <c r="I31" i="203"/>
  <c r="B38" i="203"/>
  <c r="M28" i="203"/>
  <c r="M34" i="203"/>
  <c r="M30" i="203"/>
  <c r="M16" i="203"/>
  <c r="M32" i="203"/>
  <c r="M12" i="203"/>
  <c r="M8" i="203"/>
  <c r="M24" i="203"/>
  <c r="M20" i="203"/>
  <c r="M36" i="203"/>
  <c r="M22" i="203"/>
  <c r="M38" i="203"/>
  <c r="H201" i="215"/>
  <c r="M201" i="215" s="1"/>
  <c r="M202" i="215" s="1"/>
  <c r="L201" i="215"/>
  <c r="O47" i="215"/>
  <c r="O179" i="215"/>
  <c r="O181" i="215" s="1"/>
  <c r="M147" i="215"/>
  <c r="M149" i="215" s="1"/>
  <c r="M130" i="215"/>
  <c r="L226" i="215"/>
  <c r="O210" i="215"/>
  <c r="O213" i="215" s="1"/>
  <c r="O140" i="215"/>
  <c r="H204" i="215"/>
  <c r="M204" i="215" s="1"/>
  <c r="L204" i="215"/>
  <c r="L138" i="215"/>
  <c r="O132" i="215"/>
  <c r="O138" i="215" s="1"/>
  <c r="L81" i="215"/>
  <c r="H81" i="215"/>
  <c r="M81" i="215" s="1"/>
  <c r="L69" i="215"/>
  <c r="H69" i="215"/>
  <c r="M69" i="215" s="1"/>
  <c r="L53" i="215"/>
  <c r="H53" i="215"/>
  <c r="M53" i="215" s="1"/>
  <c r="H50" i="215"/>
  <c r="M50" i="215" s="1"/>
  <c r="L50" i="215"/>
  <c r="H33" i="215"/>
  <c r="M33" i="215" s="1"/>
  <c r="L33" i="215"/>
  <c r="O196" i="215"/>
  <c r="O144" i="215"/>
  <c r="L109" i="215"/>
  <c r="O58" i="215"/>
  <c r="M156" i="215"/>
  <c r="M157" i="215" s="1"/>
  <c r="L157" i="215" s="1"/>
  <c r="O255" i="215"/>
  <c r="L147" i="215"/>
  <c r="O78" i="215"/>
  <c r="L271" i="215"/>
  <c r="O82" i="215"/>
  <c r="M237" i="215"/>
  <c r="L237" i="215" s="1"/>
  <c r="M236" i="215"/>
  <c r="H205" i="215"/>
  <c r="M205" i="215" s="1"/>
  <c r="L205" i="215"/>
  <c r="O240" i="215"/>
  <c r="O241" i="215" s="1"/>
  <c r="L241" i="215"/>
  <c r="H85" i="215"/>
  <c r="M85" i="215" s="1"/>
  <c r="L85" i="215"/>
  <c r="M228" i="215"/>
  <c r="M163" i="215"/>
  <c r="M271" i="215" s="1"/>
  <c r="N269" i="215"/>
  <c r="O257" i="215"/>
  <c r="O163" i="215"/>
  <c r="O271" i="215" s="1"/>
  <c r="O64" i="215"/>
  <c r="O68" i="215"/>
  <c r="O52" i="215"/>
  <c r="O37" i="215"/>
  <c r="O98" i="215"/>
  <c r="O109" i="215" s="1"/>
  <c r="L228" i="215"/>
  <c r="O223" i="215"/>
  <c r="O228" i="215" s="1"/>
  <c r="L73" i="215"/>
  <c r="H73" i="215"/>
  <c r="M73" i="215" s="1"/>
  <c r="L61" i="215"/>
  <c r="O61" i="215" s="1"/>
  <c r="H61" i="215"/>
  <c r="M61" i="215" s="1"/>
  <c r="L130" i="215"/>
  <c r="O111" i="215"/>
  <c r="N263" i="215"/>
  <c r="N44" i="215"/>
  <c r="O226" i="215"/>
  <c r="M213" i="215"/>
  <c r="O215" i="215"/>
  <c r="O216" i="215" s="1"/>
  <c r="O86" i="215"/>
  <c r="O66" i="215"/>
  <c r="L179" i="215"/>
  <c r="O233" i="215"/>
  <c r="O236" i="215" s="1"/>
  <c r="O238" i="215" s="1"/>
  <c r="L238" i="215" s="1"/>
  <c r="L213" i="215"/>
  <c r="O156" i="215"/>
  <c r="O158" i="215" s="1"/>
  <c r="L158" i="215" s="1"/>
  <c r="O112" i="215"/>
  <c r="O76" i="215"/>
  <c r="O62" i="215"/>
  <c r="O72" i="215"/>
  <c r="O74" i="215"/>
  <c r="AT11" i="211"/>
  <c r="X12" i="211"/>
  <c r="Y12" i="211" s="1"/>
  <c r="AD12" i="211" s="1"/>
  <c r="X13" i="211"/>
  <c r="Y13" i="211" s="1"/>
  <c r="AD13" i="211" s="1"/>
  <c r="AN13" i="211"/>
  <c r="AP13" i="211" s="1"/>
  <c r="AQ13" i="211" s="1"/>
  <c r="AS17" i="211"/>
  <c r="AT18" i="211"/>
  <c r="AT22" i="211"/>
  <c r="AL12" i="211"/>
  <c r="AT15" i="211"/>
  <c r="X16" i="211"/>
  <c r="Y16" i="211" s="1"/>
  <c r="AD16" i="211" s="1"/>
  <c r="X17" i="211"/>
  <c r="Y17" i="211" s="1"/>
  <c r="AD17" i="211" s="1"/>
  <c r="AN17" i="211"/>
  <c r="AP17" i="211" s="1"/>
  <c r="AQ17" i="211" s="1"/>
  <c r="AN18" i="211"/>
  <c r="AP18" i="211" s="1"/>
  <c r="X21" i="211"/>
  <c r="Y21" i="211" s="1"/>
  <c r="AD21" i="211" s="1"/>
  <c r="AT13" i="211"/>
  <c r="AL16" i="211"/>
  <c r="AT19" i="211"/>
  <c r="AT17" i="211"/>
  <c r="AN22" i="211"/>
  <c r="AP22" i="211" s="1"/>
  <c r="F23" i="214"/>
  <c r="C23" i="214" s="1"/>
  <c r="AE16" i="211"/>
  <c r="F16" i="211" s="1"/>
  <c r="AE21" i="211"/>
  <c r="E21" i="211" s="1"/>
  <c r="AT23" i="211"/>
  <c r="AG18" i="214"/>
  <c r="F18" i="214" s="1"/>
  <c r="C18" i="214" s="1"/>
  <c r="AG14" i="214"/>
  <c r="F14" i="214" s="1"/>
  <c r="C14" i="214" s="1"/>
  <c r="G17" i="214"/>
  <c r="D17" i="214" s="1"/>
  <c r="G11" i="213"/>
  <c r="D11" i="213" s="1"/>
  <c r="AF24" i="213"/>
  <c r="F24" i="213" s="1"/>
  <c r="C24" i="213" s="1"/>
  <c r="B21" i="214"/>
  <c r="H89" i="191" s="1"/>
  <c r="G19" i="214"/>
  <c r="D19" i="214" s="1"/>
  <c r="B19" i="214" s="1"/>
  <c r="H87" i="191" s="1"/>
  <c r="AG22" i="214"/>
  <c r="F22" i="214" s="1"/>
  <c r="C22" i="214" s="1"/>
  <c r="AG20" i="214"/>
  <c r="F20" i="214" s="1"/>
  <c r="C20" i="214" s="1"/>
  <c r="AG15" i="214"/>
  <c r="F15" i="214" s="1"/>
  <c r="C15" i="214" s="1"/>
  <c r="AG11" i="214"/>
  <c r="F11" i="214" s="1"/>
  <c r="C11" i="214" s="1"/>
  <c r="B17" i="214"/>
  <c r="H85" i="191" s="1"/>
  <c r="G23" i="214"/>
  <c r="D23" i="214" s="1"/>
  <c r="B23" i="214" s="1"/>
  <c r="H91" i="191" s="1"/>
  <c r="AG13" i="214"/>
  <c r="F13" i="214" s="1"/>
  <c r="C13" i="214" s="1"/>
  <c r="AG24" i="214"/>
  <c r="F24" i="214" s="1"/>
  <c r="C24" i="214" s="1"/>
  <c r="AG16" i="214"/>
  <c r="F16" i="214" s="1"/>
  <c r="C16" i="214" s="1"/>
  <c r="AG12" i="214"/>
  <c r="F12" i="214" s="1"/>
  <c r="C12" i="214" s="1"/>
  <c r="E14" i="214"/>
  <c r="G14" i="214" s="1"/>
  <c r="D14" i="214" s="1"/>
  <c r="B14" i="214" s="1"/>
  <c r="H82" i="191" s="1"/>
  <c r="G23" i="213"/>
  <c r="D23" i="213" s="1"/>
  <c r="G15" i="213"/>
  <c r="D15" i="213" s="1"/>
  <c r="B15" i="213" s="1"/>
  <c r="G83" i="191" s="1"/>
  <c r="AF22" i="213"/>
  <c r="F22" i="213" s="1"/>
  <c r="C22" i="213" s="1"/>
  <c r="AF18" i="213"/>
  <c r="F18" i="213" s="1"/>
  <c r="C18" i="213" s="1"/>
  <c r="AF14" i="213"/>
  <c r="F14" i="213" s="1"/>
  <c r="C14" i="213" s="1"/>
  <c r="B23" i="213"/>
  <c r="G91" i="191" s="1"/>
  <c r="C11" i="213"/>
  <c r="B11" i="213" s="1"/>
  <c r="G79" i="191" s="1"/>
  <c r="G17" i="213"/>
  <c r="D17" i="213" s="1"/>
  <c r="B17" i="213" s="1"/>
  <c r="G85" i="191" s="1"/>
  <c r="E24" i="213"/>
  <c r="G24" i="213" s="1"/>
  <c r="D24" i="213" s="1"/>
  <c r="B24" i="213" s="1"/>
  <c r="G19" i="213"/>
  <c r="D19" i="213" s="1"/>
  <c r="B19" i="213" s="1"/>
  <c r="G87" i="191" s="1"/>
  <c r="AF20" i="213"/>
  <c r="F20" i="213" s="1"/>
  <c r="C20" i="213" s="1"/>
  <c r="AF16" i="213"/>
  <c r="F16" i="213" s="1"/>
  <c r="C16" i="213" s="1"/>
  <c r="AF12" i="213"/>
  <c r="F12" i="213" s="1"/>
  <c r="C12" i="213" s="1"/>
  <c r="AE13" i="211"/>
  <c r="E13" i="211" s="1"/>
  <c r="I162" i="212"/>
  <c r="I155" i="212" s="1"/>
  <c r="I98" i="212"/>
  <c r="E158" i="212"/>
  <c r="E153" i="212" s="1"/>
  <c r="E96" i="212"/>
  <c r="U144" i="212"/>
  <c r="U137" i="212" s="1"/>
  <c r="U80" i="212"/>
  <c r="M142" i="212"/>
  <c r="M136" i="212" s="1"/>
  <c r="M79" i="212"/>
  <c r="E140" i="212"/>
  <c r="E135" i="212" s="1"/>
  <c r="E78" i="212"/>
  <c r="M138" i="212"/>
  <c r="M134" i="212" s="1"/>
  <c r="M77" i="212"/>
  <c r="M120" i="212"/>
  <c r="M116" i="212" s="1"/>
  <c r="M59" i="212"/>
  <c r="H158" i="212"/>
  <c r="H153" i="212" s="1"/>
  <c r="H96" i="212"/>
  <c r="D142" i="212"/>
  <c r="D136" i="212" s="1"/>
  <c r="D79" i="212"/>
  <c r="L120" i="212"/>
  <c r="L116" i="212" s="1"/>
  <c r="L59" i="212"/>
  <c r="N162" i="212"/>
  <c r="N155" i="212" s="1"/>
  <c r="N98" i="212"/>
  <c r="V160" i="212"/>
  <c r="V154" i="212" s="1"/>
  <c r="V97" i="212"/>
  <c r="F156" i="212"/>
  <c r="F152" i="212" s="1"/>
  <c r="F95" i="212"/>
  <c r="N144" i="212"/>
  <c r="N137" i="212" s="1"/>
  <c r="N80" i="212"/>
  <c r="F142" i="212"/>
  <c r="F136" i="212" s="1"/>
  <c r="F79" i="212"/>
  <c r="N140" i="212"/>
  <c r="N135" i="212" s="1"/>
  <c r="N78" i="212"/>
  <c r="V138" i="212"/>
  <c r="V134" i="212" s="1"/>
  <c r="V77" i="212"/>
  <c r="D122" i="212"/>
  <c r="D117" i="212" s="1"/>
  <c r="D60" i="212"/>
  <c r="O162" i="212"/>
  <c r="O155" i="212" s="1"/>
  <c r="O98" i="212"/>
  <c r="W160" i="212"/>
  <c r="W154" i="212" s="1"/>
  <c r="W97" i="212"/>
  <c r="W156" i="212"/>
  <c r="W152" i="212" s="1"/>
  <c r="W95" i="212"/>
  <c r="O144" i="212"/>
  <c r="O137" i="212" s="1"/>
  <c r="O80" i="212"/>
  <c r="W142" i="212"/>
  <c r="W136" i="212" s="1"/>
  <c r="W79" i="212"/>
  <c r="G138" i="212"/>
  <c r="G134" i="212" s="1"/>
  <c r="G77" i="212"/>
  <c r="I126" i="212"/>
  <c r="I119" i="212" s="1"/>
  <c r="I62" i="212"/>
  <c r="S124" i="212"/>
  <c r="S118" i="212" s="1"/>
  <c r="S61" i="212"/>
  <c r="G120" i="212"/>
  <c r="G116" i="212" s="1"/>
  <c r="G59" i="212"/>
  <c r="U158" i="212"/>
  <c r="U153" i="212" s="1"/>
  <c r="U96" i="212"/>
  <c r="E144" i="212"/>
  <c r="E137" i="212" s="1"/>
  <c r="E80" i="212"/>
  <c r="U140" i="212"/>
  <c r="U135" i="212" s="1"/>
  <c r="U78" i="212"/>
  <c r="Q124" i="212"/>
  <c r="Q118" i="212" s="1"/>
  <c r="Q61" i="212"/>
  <c r="T138" i="212"/>
  <c r="T134" i="212" s="1"/>
  <c r="T77" i="212"/>
  <c r="H124" i="212"/>
  <c r="H118" i="212" s="1"/>
  <c r="H61" i="212"/>
  <c r="F160" i="212"/>
  <c r="F154" i="212" s="1"/>
  <c r="F97" i="212"/>
  <c r="N158" i="212"/>
  <c r="N153" i="212" s="1"/>
  <c r="N96" i="212"/>
  <c r="V156" i="212"/>
  <c r="V152" i="212" s="1"/>
  <c r="V95" i="212"/>
  <c r="V142" i="212"/>
  <c r="V136" i="212" s="1"/>
  <c r="V79" i="212"/>
  <c r="F138" i="212"/>
  <c r="F134" i="212" s="1"/>
  <c r="F77" i="212"/>
  <c r="J124" i="212"/>
  <c r="J118" i="212" s="1"/>
  <c r="J61" i="212"/>
  <c r="T122" i="212"/>
  <c r="T117" i="212" s="1"/>
  <c r="T60" i="212"/>
  <c r="N120" i="212"/>
  <c r="N116" i="212" s="1"/>
  <c r="N59" i="212"/>
  <c r="T160" i="212"/>
  <c r="T154" i="212" s="1"/>
  <c r="T97" i="212"/>
  <c r="T142" i="212"/>
  <c r="T136" i="212" s="1"/>
  <c r="T79" i="212"/>
  <c r="H138" i="212"/>
  <c r="H134" i="212" s="1"/>
  <c r="H77" i="212"/>
  <c r="N122" i="212"/>
  <c r="N117" i="212" s="1"/>
  <c r="N60" i="212"/>
  <c r="G160" i="212"/>
  <c r="G154" i="212" s="1"/>
  <c r="G97" i="212"/>
  <c r="O158" i="212"/>
  <c r="O153" i="212" s="1"/>
  <c r="O96" i="212"/>
  <c r="G156" i="212"/>
  <c r="G152" i="212" s="1"/>
  <c r="G95" i="212"/>
  <c r="G142" i="212"/>
  <c r="G136" i="212" s="1"/>
  <c r="G79" i="212"/>
  <c r="O140" i="212"/>
  <c r="O135" i="212" s="1"/>
  <c r="O78" i="212"/>
  <c r="W138" i="212"/>
  <c r="W134" i="212" s="1"/>
  <c r="W77" i="212"/>
  <c r="M122" i="212"/>
  <c r="M117" i="212" s="1"/>
  <c r="M60" i="212"/>
  <c r="W120" i="212"/>
  <c r="W116" i="212" s="1"/>
  <c r="W59" i="212"/>
  <c r="D158" i="212"/>
  <c r="D153" i="212" s="1"/>
  <c r="D96" i="212"/>
  <c r="H144" i="212"/>
  <c r="H137" i="212" s="1"/>
  <c r="H80" i="212"/>
  <c r="L140" i="212"/>
  <c r="L135" i="212" s="1"/>
  <c r="L78" i="212"/>
  <c r="L124" i="212"/>
  <c r="L118" i="212" s="1"/>
  <c r="L61" i="212"/>
  <c r="M162" i="212"/>
  <c r="M155" i="212" s="1"/>
  <c r="M98" i="212"/>
  <c r="Q160" i="212"/>
  <c r="Q154" i="212" s="1"/>
  <c r="Q97" i="212"/>
  <c r="I158" i="212"/>
  <c r="I153" i="212" s="1"/>
  <c r="I96" i="212"/>
  <c r="Q156" i="212"/>
  <c r="Q152" i="212" s="1"/>
  <c r="Q95" i="212"/>
  <c r="I144" i="212"/>
  <c r="I137" i="212" s="1"/>
  <c r="I80" i="212"/>
  <c r="Q142" i="212"/>
  <c r="Q136" i="212" s="1"/>
  <c r="Q79" i="212"/>
  <c r="I140" i="212"/>
  <c r="I135" i="212" s="1"/>
  <c r="I78" i="212"/>
  <c r="Q138" i="212"/>
  <c r="Q134" i="212" s="1"/>
  <c r="Q77" i="212"/>
  <c r="U124" i="212"/>
  <c r="U118" i="212" s="1"/>
  <c r="U61" i="212"/>
  <c r="E124" i="212"/>
  <c r="E118" i="212" s="1"/>
  <c r="E61" i="212"/>
  <c r="Q120" i="212"/>
  <c r="Q116" i="212" s="1"/>
  <c r="Q59" i="212"/>
  <c r="P156" i="212"/>
  <c r="P152" i="212" s="1"/>
  <c r="P95" i="212"/>
  <c r="T120" i="212"/>
  <c r="T116" i="212" s="1"/>
  <c r="T59" i="212"/>
  <c r="R162" i="212"/>
  <c r="R155" i="212" s="1"/>
  <c r="R98" i="212"/>
  <c r="J160" i="212"/>
  <c r="J154" i="212" s="1"/>
  <c r="J97" i="212"/>
  <c r="R158" i="212"/>
  <c r="R153" i="212" s="1"/>
  <c r="R96" i="212"/>
  <c r="J156" i="212"/>
  <c r="J152" i="212" s="1"/>
  <c r="J95" i="212"/>
  <c r="R144" i="212"/>
  <c r="R137" i="212" s="1"/>
  <c r="R80" i="212"/>
  <c r="J142" i="212"/>
  <c r="J136" i="212" s="1"/>
  <c r="J79" i="212"/>
  <c r="R140" i="212"/>
  <c r="R135" i="212" s="1"/>
  <c r="R78" i="212"/>
  <c r="J138" i="212"/>
  <c r="J134" i="212" s="1"/>
  <c r="J77" i="212"/>
  <c r="N124" i="212"/>
  <c r="N118" i="212" s="1"/>
  <c r="N61" i="212"/>
  <c r="H122" i="212"/>
  <c r="H117" i="212" s="1"/>
  <c r="H60" i="212"/>
  <c r="R120" i="212"/>
  <c r="R116" i="212" s="1"/>
  <c r="R59" i="212"/>
  <c r="P140" i="212"/>
  <c r="P135" i="212" s="1"/>
  <c r="P78" i="212"/>
  <c r="L138" i="212"/>
  <c r="L134" i="212" s="1"/>
  <c r="L77" i="212"/>
  <c r="D124" i="212"/>
  <c r="D118" i="212" s="1"/>
  <c r="D61" i="212"/>
  <c r="S162" i="212"/>
  <c r="S155" i="212" s="1"/>
  <c r="S98" i="212"/>
  <c r="K160" i="212"/>
  <c r="K154" i="212" s="1"/>
  <c r="K97" i="212"/>
  <c r="S158" i="212"/>
  <c r="S153" i="212" s="1"/>
  <c r="S96" i="212"/>
  <c r="K156" i="212"/>
  <c r="K152" i="212" s="1"/>
  <c r="K95" i="212"/>
  <c r="S144" i="212"/>
  <c r="S137" i="212" s="1"/>
  <c r="S80" i="212"/>
  <c r="K142" i="212"/>
  <c r="K136" i="212" s="1"/>
  <c r="K79" i="212"/>
  <c r="S140" i="212"/>
  <c r="S135" i="212" s="1"/>
  <c r="S78" i="212"/>
  <c r="K138" i="212"/>
  <c r="K134" i="212" s="1"/>
  <c r="K77" i="212"/>
  <c r="M126" i="212"/>
  <c r="M119" i="212" s="1"/>
  <c r="M62" i="212"/>
  <c r="W124" i="212"/>
  <c r="W118" i="212" s="1"/>
  <c r="W61" i="212"/>
  <c r="G124" i="212"/>
  <c r="G118" i="212" s="1"/>
  <c r="G61" i="212"/>
  <c r="Q122" i="212"/>
  <c r="Q117" i="212" s="1"/>
  <c r="Q60" i="212"/>
  <c r="K120" i="212"/>
  <c r="K116" i="212" s="1"/>
  <c r="K59" i="212"/>
  <c r="H162" i="212"/>
  <c r="H155" i="212" s="1"/>
  <c r="H98" i="212"/>
  <c r="P158" i="212"/>
  <c r="P153" i="212" s="1"/>
  <c r="P96" i="212"/>
  <c r="T144" i="212"/>
  <c r="T137" i="212" s="1"/>
  <c r="T80" i="212"/>
  <c r="P142" i="212"/>
  <c r="P136" i="212" s="1"/>
  <c r="P79" i="212"/>
  <c r="P138" i="212"/>
  <c r="P134" i="212" s="1"/>
  <c r="P77" i="212"/>
  <c r="T124" i="212"/>
  <c r="T118" i="212" s="1"/>
  <c r="T61" i="212"/>
  <c r="H120" i="212"/>
  <c r="H116" i="212" s="1"/>
  <c r="H59" i="212"/>
  <c r="D155" i="212"/>
  <c r="Z60" i="212"/>
  <c r="P97" i="212"/>
  <c r="D95" i="212"/>
  <c r="P80" i="212"/>
  <c r="S60" i="212"/>
  <c r="K60" i="212"/>
  <c r="D98" i="212"/>
  <c r="M160" i="212"/>
  <c r="M154" i="212" s="1"/>
  <c r="M97" i="212"/>
  <c r="U160" i="212"/>
  <c r="U154" i="212" s="1"/>
  <c r="U97" i="212"/>
  <c r="E156" i="212"/>
  <c r="E152" i="212" s="1"/>
  <c r="E95" i="212"/>
  <c r="E142" i="212"/>
  <c r="E136" i="212" s="1"/>
  <c r="E79" i="212"/>
  <c r="M140" i="212"/>
  <c r="M135" i="212" s="1"/>
  <c r="M78" i="212"/>
  <c r="U138" i="212"/>
  <c r="U134" i="212" s="1"/>
  <c r="U77" i="212"/>
  <c r="I124" i="212"/>
  <c r="I118" i="212" s="1"/>
  <c r="I61" i="212"/>
  <c r="U120" i="212"/>
  <c r="U116" i="212" s="1"/>
  <c r="U59" i="212"/>
  <c r="H160" i="212"/>
  <c r="H154" i="212" s="1"/>
  <c r="H97" i="212"/>
  <c r="D144" i="212"/>
  <c r="D137" i="212" s="1"/>
  <c r="D80" i="212"/>
  <c r="F122" i="212"/>
  <c r="F117" i="212" s="1"/>
  <c r="F60" i="212"/>
  <c r="V162" i="212"/>
  <c r="V155" i="212" s="1"/>
  <c r="V98" i="212"/>
  <c r="N160" i="212"/>
  <c r="N154" i="212" s="1"/>
  <c r="N97" i="212"/>
  <c r="V158" i="212"/>
  <c r="V153" i="212" s="1"/>
  <c r="V96" i="212"/>
  <c r="F158" i="212"/>
  <c r="F153" i="212" s="1"/>
  <c r="F96" i="212"/>
  <c r="N156" i="212"/>
  <c r="N152" i="212" s="1"/>
  <c r="N95" i="212"/>
  <c r="V144" i="212"/>
  <c r="V137" i="212" s="1"/>
  <c r="V80" i="212"/>
  <c r="F144" i="212"/>
  <c r="F137" i="212" s="1"/>
  <c r="F80" i="212"/>
  <c r="N142" i="212"/>
  <c r="N136" i="212" s="1"/>
  <c r="N79" i="212"/>
  <c r="V140" i="212"/>
  <c r="V135" i="212" s="1"/>
  <c r="V78" i="212"/>
  <c r="F140" i="212"/>
  <c r="F135" i="212" s="1"/>
  <c r="F78" i="212"/>
  <c r="N138" i="212"/>
  <c r="N134" i="212" s="1"/>
  <c r="N77" i="212"/>
  <c r="R124" i="212"/>
  <c r="R118" i="212" s="1"/>
  <c r="R61" i="212"/>
  <c r="L122" i="212"/>
  <c r="L117" i="212" s="1"/>
  <c r="L60" i="212"/>
  <c r="V120" i="212"/>
  <c r="V116" i="212" s="1"/>
  <c r="V59" i="212"/>
  <c r="F120" i="212"/>
  <c r="F116" i="212" s="1"/>
  <c r="F59" i="212"/>
  <c r="L158" i="212"/>
  <c r="L153" i="212" s="1"/>
  <c r="L96" i="212"/>
  <c r="L156" i="212"/>
  <c r="L152" i="212" s="1"/>
  <c r="L95" i="212"/>
  <c r="P124" i="212"/>
  <c r="P118" i="212" s="1"/>
  <c r="P61" i="212"/>
  <c r="D120" i="212"/>
  <c r="D116" i="212" s="1"/>
  <c r="D59" i="212"/>
  <c r="W162" i="212"/>
  <c r="W155" i="212" s="1"/>
  <c r="W98" i="212"/>
  <c r="G162" i="212"/>
  <c r="G155" i="212" s="1"/>
  <c r="G98" i="212"/>
  <c r="O160" i="212"/>
  <c r="O154" i="212" s="1"/>
  <c r="O97" i="212"/>
  <c r="W158" i="212"/>
  <c r="W153" i="212" s="1"/>
  <c r="W96" i="212"/>
  <c r="G158" i="212"/>
  <c r="G153" i="212" s="1"/>
  <c r="G96" i="212"/>
  <c r="O156" i="212"/>
  <c r="O152" i="212" s="1"/>
  <c r="O95" i="212"/>
  <c r="W144" i="212"/>
  <c r="W137" i="212" s="1"/>
  <c r="W80" i="212"/>
  <c r="G144" i="212"/>
  <c r="G137" i="212" s="1"/>
  <c r="G80" i="212"/>
  <c r="O142" i="212"/>
  <c r="O136" i="212" s="1"/>
  <c r="O79" i="212"/>
  <c r="W140" i="212"/>
  <c r="W135" i="212" s="1"/>
  <c r="W78" i="212"/>
  <c r="G140" i="212"/>
  <c r="G135" i="212" s="1"/>
  <c r="G78" i="212"/>
  <c r="O138" i="212"/>
  <c r="O134" i="212" s="1"/>
  <c r="O77" i="212"/>
  <c r="Q126" i="212"/>
  <c r="Q119" i="212" s="1"/>
  <c r="Q62" i="212"/>
  <c r="K124" i="212"/>
  <c r="K118" i="212" s="1"/>
  <c r="K61" i="212"/>
  <c r="U122" i="212"/>
  <c r="U117" i="212" s="1"/>
  <c r="U60" i="212"/>
  <c r="E122" i="212"/>
  <c r="E117" i="212" s="1"/>
  <c r="E60" i="212"/>
  <c r="O120" i="212"/>
  <c r="O116" i="212" s="1"/>
  <c r="O59" i="212"/>
  <c r="P162" i="212"/>
  <c r="P155" i="212" s="1"/>
  <c r="P98" i="212"/>
  <c r="L160" i="212"/>
  <c r="L154" i="212" s="1"/>
  <c r="L97" i="212"/>
  <c r="H156" i="212"/>
  <c r="H152" i="212" s="1"/>
  <c r="H95" i="212"/>
  <c r="J122" i="212"/>
  <c r="J117" i="212" s="1"/>
  <c r="J60" i="212"/>
  <c r="Z61" i="212"/>
  <c r="D176" i="212"/>
  <c r="T153" i="212"/>
  <c r="L136" i="212"/>
  <c r="W117" i="212"/>
  <c r="O117" i="212"/>
  <c r="G117" i="212"/>
  <c r="M156" i="212"/>
  <c r="M152" i="212" s="1"/>
  <c r="M95" i="212"/>
  <c r="Q162" i="212"/>
  <c r="Q155" i="212" s="1"/>
  <c r="Q98" i="212"/>
  <c r="E160" i="212"/>
  <c r="E154" i="212" s="1"/>
  <c r="E97" i="212"/>
  <c r="M158" i="212"/>
  <c r="M153" i="212" s="1"/>
  <c r="M96" i="212"/>
  <c r="U156" i="212"/>
  <c r="U152" i="212" s="1"/>
  <c r="U95" i="212"/>
  <c r="M144" i="212"/>
  <c r="M137" i="212" s="1"/>
  <c r="M80" i="212"/>
  <c r="U142" i="212"/>
  <c r="U136" i="212" s="1"/>
  <c r="U79" i="212"/>
  <c r="E138" i="212"/>
  <c r="E134" i="212" s="1"/>
  <c r="E77" i="212"/>
  <c r="E120" i="212"/>
  <c r="E116" i="212" s="1"/>
  <c r="E59" i="212"/>
  <c r="H140" i="212"/>
  <c r="H135" i="212" s="1"/>
  <c r="H78" i="212"/>
  <c r="F162" i="212"/>
  <c r="F155" i="212" s="1"/>
  <c r="F98" i="212"/>
  <c r="U162" i="212"/>
  <c r="U155" i="212" s="1"/>
  <c r="U98" i="212"/>
  <c r="E162" i="212"/>
  <c r="E155" i="212" s="1"/>
  <c r="E98" i="212"/>
  <c r="I160" i="212"/>
  <c r="I154" i="212" s="1"/>
  <c r="I97" i="212"/>
  <c r="Q158" i="212"/>
  <c r="Q153" i="212" s="1"/>
  <c r="Q96" i="212"/>
  <c r="I156" i="212"/>
  <c r="I152" i="212" s="1"/>
  <c r="I95" i="212"/>
  <c r="Q144" i="212"/>
  <c r="Q137" i="212" s="1"/>
  <c r="Q80" i="212"/>
  <c r="I142" i="212"/>
  <c r="I136" i="212" s="1"/>
  <c r="I79" i="212"/>
  <c r="Q140" i="212"/>
  <c r="Q135" i="212" s="1"/>
  <c r="Q78" i="212"/>
  <c r="I138" i="212"/>
  <c r="I134" i="212" s="1"/>
  <c r="I77" i="212"/>
  <c r="M124" i="212"/>
  <c r="M118" i="212" s="1"/>
  <c r="M61" i="212"/>
  <c r="I120" i="212"/>
  <c r="I116" i="212" s="1"/>
  <c r="I59" i="212"/>
  <c r="T162" i="212"/>
  <c r="T155" i="212" s="1"/>
  <c r="T98" i="212"/>
  <c r="L144" i="212"/>
  <c r="L137" i="212" s="1"/>
  <c r="L80" i="212"/>
  <c r="T140" i="212"/>
  <c r="T135" i="212" s="1"/>
  <c r="T78" i="212"/>
  <c r="D138" i="212"/>
  <c r="D134" i="212" s="1"/>
  <c r="D77" i="212"/>
  <c r="V122" i="212"/>
  <c r="V117" i="212" s="1"/>
  <c r="V60" i="212"/>
  <c r="J162" i="212"/>
  <c r="J155" i="212" s="1"/>
  <c r="J98" i="212"/>
  <c r="R160" i="212"/>
  <c r="R154" i="212" s="1"/>
  <c r="R97" i="212"/>
  <c r="J158" i="212"/>
  <c r="J153" i="212" s="1"/>
  <c r="J96" i="212"/>
  <c r="R156" i="212"/>
  <c r="R152" i="212" s="1"/>
  <c r="R95" i="212"/>
  <c r="J144" i="212"/>
  <c r="J137" i="212" s="1"/>
  <c r="J80" i="212"/>
  <c r="R142" i="212"/>
  <c r="R136" i="212" s="1"/>
  <c r="R79" i="212"/>
  <c r="J140" i="212"/>
  <c r="J135" i="212" s="1"/>
  <c r="J78" i="212"/>
  <c r="R138" i="212"/>
  <c r="R134" i="212" s="1"/>
  <c r="R77" i="212"/>
  <c r="V124" i="212"/>
  <c r="V118" i="212" s="1"/>
  <c r="V61" i="212"/>
  <c r="F124" i="212"/>
  <c r="F118" i="212" s="1"/>
  <c r="F61" i="212"/>
  <c r="P122" i="212"/>
  <c r="P117" i="212" s="1"/>
  <c r="P60" i="212"/>
  <c r="J120" i="212"/>
  <c r="J116" i="212" s="1"/>
  <c r="J59" i="212"/>
  <c r="L162" i="212"/>
  <c r="L155" i="212" s="1"/>
  <c r="L98" i="212"/>
  <c r="D160" i="212"/>
  <c r="D154" i="212" s="1"/>
  <c r="D97" i="212"/>
  <c r="H142" i="212"/>
  <c r="H136" i="212" s="1"/>
  <c r="H79" i="212"/>
  <c r="P120" i="212"/>
  <c r="P116" i="212" s="1"/>
  <c r="P59" i="212"/>
  <c r="K162" i="212"/>
  <c r="K155" i="212" s="1"/>
  <c r="K98" i="212"/>
  <c r="S160" i="212"/>
  <c r="S154" i="212" s="1"/>
  <c r="S97" i="212"/>
  <c r="K158" i="212"/>
  <c r="K153" i="212" s="1"/>
  <c r="K96" i="212"/>
  <c r="S156" i="212"/>
  <c r="S152" i="212" s="1"/>
  <c r="S95" i="212"/>
  <c r="K144" i="212"/>
  <c r="K137" i="212" s="1"/>
  <c r="K80" i="212"/>
  <c r="S142" i="212"/>
  <c r="S136" i="212" s="1"/>
  <c r="S79" i="212"/>
  <c r="K140" i="212"/>
  <c r="K135" i="212" s="1"/>
  <c r="K78" i="212"/>
  <c r="S138" i="212"/>
  <c r="S134" i="212" s="1"/>
  <c r="S77" i="212"/>
  <c r="U126" i="212"/>
  <c r="U119" i="212" s="1"/>
  <c r="U62" i="212"/>
  <c r="E126" i="212"/>
  <c r="E119" i="212" s="1"/>
  <c r="E62" i="212"/>
  <c r="O124" i="212"/>
  <c r="O118" i="212" s="1"/>
  <c r="O61" i="212"/>
  <c r="I122" i="212"/>
  <c r="I117" i="212" s="1"/>
  <c r="I60" i="212"/>
  <c r="S120" i="212"/>
  <c r="S116" i="212" s="1"/>
  <c r="S59" i="212"/>
  <c r="T156" i="212"/>
  <c r="T152" i="212" s="1"/>
  <c r="T95" i="212"/>
  <c r="D140" i="212"/>
  <c r="D135" i="212" s="1"/>
  <c r="D78" i="212"/>
  <c r="R122" i="212"/>
  <c r="R117" i="212" s="1"/>
  <c r="R60" i="212"/>
  <c r="W176" i="212"/>
  <c r="O176" i="212"/>
  <c r="G176" i="212"/>
  <c r="T96" i="212"/>
  <c r="L79" i="212"/>
  <c r="W60" i="212"/>
  <c r="O60" i="212"/>
  <c r="G60" i="212"/>
  <c r="AE12" i="211"/>
  <c r="F12" i="211" s="1"/>
  <c r="F21" i="211"/>
  <c r="X11" i="211"/>
  <c r="Y11" i="211" s="1"/>
  <c r="AD11" i="211" s="1"/>
  <c r="AL11" i="211"/>
  <c r="AN12" i="211"/>
  <c r="AP12" i="211" s="1"/>
  <c r="AQ12" i="211" s="1"/>
  <c r="AQ14" i="211"/>
  <c r="X15" i="211"/>
  <c r="Y15" i="211" s="1"/>
  <c r="AD15" i="211" s="1"/>
  <c r="AL15" i="211"/>
  <c r="AN16" i="211"/>
  <c r="AP16" i="211" s="1"/>
  <c r="AQ16" i="211" s="1"/>
  <c r="AQ18" i="211"/>
  <c r="X19" i="211"/>
  <c r="Y19" i="211" s="1"/>
  <c r="AD19" i="211" s="1"/>
  <c r="AL19" i="211"/>
  <c r="AS19" i="211"/>
  <c r="AN20" i="211"/>
  <c r="AP20" i="211" s="1"/>
  <c r="AQ20" i="211" s="1"/>
  <c r="AT20" i="211"/>
  <c r="AQ22" i="211"/>
  <c r="X23" i="211"/>
  <c r="Y23" i="211" s="1"/>
  <c r="AD23" i="211" s="1"/>
  <c r="AL23" i="211"/>
  <c r="AS23" i="211"/>
  <c r="AN24" i="211"/>
  <c r="AP24" i="211" s="1"/>
  <c r="AQ24" i="211" s="1"/>
  <c r="AT24" i="211"/>
  <c r="X20" i="211"/>
  <c r="Y20" i="211" s="1"/>
  <c r="AD20" i="211" s="1"/>
  <c r="AS20" i="211"/>
  <c r="AN21" i="211"/>
  <c r="AP21" i="211" s="1"/>
  <c r="AQ21" i="211" s="1"/>
  <c r="AT21" i="211"/>
  <c r="X24" i="211"/>
  <c r="Y24" i="211" s="1"/>
  <c r="AD24" i="211" s="1"/>
  <c r="AS24" i="211"/>
  <c r="AN11" i="211"/>
  <c r="AP11" i="211" s="1"/>
  <c r="AQ11" i="211" s="1"/>
  <c r="X14" i="211"/>
  <c r="Y14" i="211" s="1"/>
  <c r="AD14" i="211" s="1"/>
  <c r="AN15" i="211"/>
  <c r="AP15" i="211" s="1"/>
  <c r="AQ15" i="211" s="1"/>
  <c r="X18" i="211"/>
  <c r="Y18" i="211" s="1"/>
  <c r="AD18" i="211" s="1"/>
  <c r="AN19" i="211"/>
  <c r="AP19" i="211" s="1"/>
  <c r="AQ19" i="211" s="1"/>
  <c r="X22" i="211"/>
  <c r="Y22" i="211" s="1"/>
  <c r="AD22" i="211" s="1"/>
  <c r="AN23" i="211"/>
  <c r="AP23" i="211" s="1"/>
  <c r="AQ23" i="211" s="1"/>
  <c r="N16" i="209"/>
  <c r="N17" i="209"/>
  <c r="S16" i="209"/>
  <c r="U16" i="209" s="1"/>
  <c r="V16" i="209" s="1"/>
  <c r="U13" i="209"/>
  <c r="V13" i="209" s="1"/>
  <c r="S10" i="209"/>
  <c r="U10" i="209" s="1"/>
  <c r="U14" i="209"/>
  <c r="V14" i="209" s="1"/>
  <c r="S17" i="209"/>
  <c r="U17" i="209" s="1"/>
  <c r="V17" i="209" s="1"/>
  <c r="S11" i="209"/>
  <c r="U11" i="209" s="1"/>
  <c r="T10" i="209"/>
  <c r="Q16" i="209"/>
  <c r="Q17" i="209"/>
  <c r="Z16" i="209"/>
  <c r="AC16" i="209" s="1"/>
  <c r="M16" i="209"/>
  <c r="AB16" i="209"/>
  <c r="AE16" i="209" s="1"/>
  <c r="Z17" i="209"/>
  <c r="AC17" i="209" s="1"/>
  <c r="B42" i="209" s="1"/>
  <c r="M17" i="209"/>
  <c r="AB17" i="209"/>
  <c r="AE17" i="209" s="1"/>
  <c r="N10" i="209"/>
  <c r="AB10" i="209"/>
  <c r="AE10" i="209" s="1"/>
  <c r="L13" i="209"/>
  <c r="O16" i="209"/>
  <c r="P16" i="209" s="1"/>
  <c r="Y16" i="209"/>
  <c r="AA16" i="209" s="1"/>
  <c r="AD16" i="209" s="1"/>
  <c r="O17" i="209"/>
  <c r="P17" i="209" s="1"/>
  <c r="Y17" i="209"/>
  <c r="AA17" i="209" s="1"/>
  <c r="AD17" i="209" s="1"/>
  <c r="B41" i="209" s="1"/>
  <c r="M10" i="209"/>
  <c r="N11" i="209"/>
  <c r="AB11" i="209"/>
  <c r="AE11" i="209" s="1"/>
  <c r="M11" i="209"/>
  <c r="L14" i="209"/>
  <c r="H21" i="207"/>
  <c r="G23" i="207"/>
  <c r="H32" i="206"/>
  <c r="H14" i="206"/>
  <c r="H18" i="206" s="1"/>
  <c r="K13" i="204"/>
  <c r="G13" i="204"/>
  <c r="I13" i="204"/>
  <c r="K22" i="204"/>
  <c r="G22" i="204"/>
  <c r="I22" i="204"/>
  <c r="I12" i="204"/>
  <c r="K12" i="204"/>
  <c r="G12" i="204"/>
  <c r="K19" i="204"/>
  <c r="G19" i="204"/>
  <c r="I19" i="204"/>
  <c r="I16" i="204"/>
  <c r="K16" i="204"/>
  <c r="G16" i="204"/>
  <c r="K14" i="204"/>
  <c r="G14" i="204"/>
  <c r="I14" i="204"/>
  <c r="E40" i="204"/>
  <c r="E41" i="204" s="1"/>
  <c r="H9" i="204"/>
  <c r="L9" i="204"/>
  <c r="H10" i="204"/>
  <c r="L10" i="204"/>
  <c r="H11" i="204"/>
  <c r="L11" i="204"/>
  <c r="F13" i="204"/>
  <c r="H15" i="204"/>
  <c r="L15" i="204"/>
  <c r="G17" i="204"/>
  <c r="K17" i="204"/>
  <c r="G18" i="204"/>
  <c r="K18" i="204"/>
  <c r="F19" i="204"/>
  <c r="H31" i="204"/>
  <c r="L31" i="204"/>
  <c r="H32" i="204"/>
  <c r="L32" i="204"/>
  <c r="H33" i="204"/>
  <c r="L33" i="204"/>
  <c r="H34" i="204"/>
  <c r="L34" i="204"/>
  <c r="H35" i="204"/>
  <c r="L35" i="204"/>
  <c r="H36" i="204"/>
  <c r="L36" i="204"/>
  <c r="H37" i="204"/>
  <c r="L37" i="204"/>
  <c r="H38" i="204"/>
  <c r="L38" i="204"/>
  <c r="H39" i="204"/>
  <c r="L39" i="204"/>
  <c r="G9" i="204"/>
  <c r="K9" i="204"/>
  <c r="G10" i="204"/>
  <c r="K10" i="204"/>
  <c r="G11" i="204"/>
  <c r="K11" i="204"/>
  <c r="F12" i="204"/>
  <c r="H14" i="204"/>
  <c r="L14" i="204"/>
  <c r="G15" i="204"/>
  <c r="K15" i="204"/>
  <c r="F16" i="204"/>
  <c r="H22" i="204"/>
  <c r="L22" i="204"/>
  <c r="H23" i="204"/>
  <c r="L23" i="204"/>
  <c r="H24" i="204"/>
  <c r="L24" i="204"/>
  <c r="H25" i="204"/>
  <c r="L25" i="204"/>
  <c r="H26" i="204"/>
  <c r="L26" i="204"/>
  <c r="H27" i="204"/>
  <c r="L27" i="204"/>
  <c r="H28" i="204"/>
  <c r="L28" i="204"/>
  <c r="H29" i="204"/>
  <c r="L29" i="204"/>
  <c r="H30" i="204"/>
  <c r="L30" i="204"/>
  <c r="G31" i="204"/>
  <c r="K31" i="204"/>
  <c r="G32" i="204"/>
  <c r="K32" i="204"/>
  <c r="G33" i="204"/>
  <c r="K33" i="204"/>
  <c r="G34" i="204"/>
  <c r="K34" i="204"/>
  <c r="G35" i="204"/>
  <c r="K35" i="204"/>
  <c r="G36" i="204"/>
  <c r="K36" i="204"/>
  <c r="G37" i="204"/>
  <c r="K37" i="204"/>
  <c r="G38" i="204"/>
  <c r="K38" i="204"/>
  <c r="G39" i="204"/>
  <c r="K39" i="204"/>
  <c r="J9" i="204"/>
  <c r="I9" i="204"/>
  <c r="B25" i="203"/>
  <c r="M26" i="203"/>
  <c r="I8" i="203"/>
  <c r="I12" i="203"/>
  <c r="I16" i="203"/>
  <c r="I20" i="203"/>
  <c r="I24" i="203"/>
  <c r="I28" i="203"/>
  <c r="I32" i="203"/>
  <c r="I36" i="203"/>
  <c r="B7" i="203"/>
  <c r="I9" i="203"/>
  <c r="B11" i="203"/>
  <c r="I13" i="203"/>
  <c r="B15" i="203"/>
  <c r="I17" i="203"/>
  <c r="B19" i="203"/>
  <c r="I21" i="203"/>
  <c r="B23" i="203"/>
  <c r="I25" i="203"/>
  <c r="B27" i="203"/>
  <c r="I29" i="203"/>
  <c r="B31" i="203"/>
  <c r="I33" i="203"/>
  <c r="B35" i="203"/>
  <c r="I37" i="203"/>
  <c r="B8" i="203"/>
  <c r="B12" i="203"/>
  <c r="B16" i="203"/>
  <c r="B20" i="203"/>
  <c r="I22" i="203"/>
  <c r="B24" i="203"/>
  <c r="I26" i="203"/>
  <c r="B28" i="203"/>
  <c r="I30" i="203"/>
  <c r="B32" i="203"/>
  <c r="I34" i="203"/>
  <c r="B36" i="203"/>
  <c r="I38" i="203"/>
  <c r="M9" i="203"/>
  <c r="M13" i="203"/>
  <c r="M17" i="203"/>
  <c r="M21" i="203"/>
  <c r="M25" i="203"/>
  <c r="M29" i="203"/>
  <c r="M33" i="203"/>
  <c r="M37" i="203"/>
  <c r="M11" i="203"/>
  <c r="M15" i="203"/>
  <c r="M19" i="203"/>
  <c r="M23" i="203"/>
  <c r="M27" i="203"/>
  <c r="M31" i="203"/>
  <c r="M35" i="203"/>
  <c r="O7" i="203"/>
  <c r="H7" i="203"/>
  <c r="H8" i="203"/>
  <c r="F8" i="203" s="1"/>
  <c r="R8" i="203" s="1"/>
  <c r="H9" i="203"/>
  <c r="F9" i="203" s="1"/>
  <c r="R9" i="203" s="1"/>
  <c r="H10" i="203"/>
  <c r="F10" i="203" s="1"/>
  <c r="R10" i="203" s="1"/>
  <c r="H11" i="203"/>
  <c r="F11" i="203" s="1"/>
  <c r="R11" i="203" s="1"/>
  <c r="H12" i="203"/>
  <c r="F12" i="203" s="1"/>
  <c r="R12" i="203" s="1"/>
  <c r="H13" i="203"/>
  <c r="F13" i="203" s="1"/>
  <c r="R13" i="203" s="1"/>
  <c r="H14" i="203"/>
  <c r="F14" i="203" s="1"/>
  <c r="R14" i="203" s="1"/>
  <c r="H15" i="203"/>
  <c r="F15" i="203" s="1"/>
  <c r="R15" i="203" s="1"/>
  <c r="H16" i="203"/>
  <c r="F16" i="203" s="1"/>
  <c r="R16" i="203" s="1"/>
  <c r="H17" i="203"/>
  <c r="F17" i="203" s="1"/>
  <c r="R17" i="203" s="1"/>
  <c r="H18" i="203"/>
  <c r="F18" i="203" s="1"/>
  <c r="R18" i="203" s="1"/>
  <c r="H19" i="203"/>
  <c r="F19" i="203" s="1"/>
  <c r="R19" i="203" s="1"/>
  <c r="H20" i="203"/>
  <c r="F20" i="203" s="1"/>
  <c r="R20" i="203" s="1"/>
  <c r="H21" i="203"/>
  <c r="F21" i="203" s="1"/>
  <c r="R21" i="203" s="1"/>
  <c r="H22" i="203"/>
  <c r="F22" i="203" s="1"/>
  <c r="R22" i="203" s="1"/>
  <c r="H23" i="203"/>
  <c r="F23" i="203" s="1"/>
  <c r="R23" i="203" s="1"/>
  <c r="H24" i="203"/>
  <c r="F24" i="203" s="1"/>
  <c r="R24" i="203" s="1"/>
  <c r="H25" i="203"/>
  <c r="F25" i="203" s="1"/>
  <c r="R25" i="203" s="1"/>
  <c r="H26" i="203"/>
  <c r="F26" i="203" s="1"/>
  <c r="R26" i="203" s="1"/>
  <c r="H27" i="203"/>
  <c r="F27" i="203" s="1"/>
  <c r="R27" i="203" s="1"/>
  <c r="H28" i="203"/>
  <c r="F28" i="203" s="1"/>
  <c r="R28" i="203" s="1"/>
  <c r="H29" i="203"/>
  <c r="F29" i="203" s="1"/>
  <c r="R29" i="203" s="1"/>
  <c r="H30" i="203"/>
  <c r="F30" i="203" s="1"/>
  <c r="R30" i="203" s="1"/>
  <c r="H31" i="203"/>
  <c r="F31" i="203" s="1"/>
  <c r="R31" i="203" s="1"/>
  <c r="H32" i="203"/>
  <c r="F32" i="203" s="1"/>
  <c r="R32" i="203" s="1"/>
  <c r="H33" i="203"/>
  <c r="F33" i="203" s="1"/>
  <c r="R33" i="203" s="1"/>
  <c r="H34" i="203"/>
  <c r="F34" i="203" s="1"/>
  <c r="R34" i="203" s="1"/>
  <c r="H35" i="203"/>
  <c r="F35" i="203" s="1"/>
  <c r="R35" i="203" s="1"/>
  <c r="H36" i="203"/>
  <c r="F36" i="203" s="1"/>
  <c r="R36" i="203" s="1"/>
  <c r="H37" i="203"/>
  <c r="F37" i="203" s="1"/>
  <c r="R37" i="203" s="1"/>
  <c r="H38" i="203"/>
  <c r="F38" i="203" s="1"/>
  <c r="D104" i="202"/>
  <c r="F38" i="202"/>
  <c r="C40" i="202"/>
  <c r="E104" i="202"/>
  <c r="F101" i="202"/>
  <c r="F96" i="202"/>
  <c r="G41" i="202"/>
  <c r="G96" i="202" s="1"/>
  <c r="G7" i="202"/>
  <c r="G38" i="202" s="1"/>
  <c r="D40" i="202"/>
  <c r="G107" i="202"/>
  <c r="G112" i="202" s="1"/>
  <c r="E112" i="202"/>
  <c r="B116" i="202"/>
  <c r="E116" i="202" s="1"/>
  <c r="E38" i="202"/>
  <c r="G99" i="202"/>
  <c r="G101" i="202" s="1"/>
  <c r="E96" i="202"/>
  <c r="B15" i="201"/>
  <c r="B13" i="201"/>
  <c r="B21" i="201" s="1"/>
  <c r="R15" i="201"/>
  <c r="R28" i="201" s="1"/>
  <c r="R13" i="201"/>
  <c r="R21" i="201" s="1"/>
  <c r="B28" i="201"/>
  <c r="J15" i="201"/>
  <c r="J28" i="201" s="1"/>
  <c r="J13" i="201"/>
  <c r="J21" i="201" s="1"/>
  <c r="AH69" i="200"/>
  <c r="AG69" i="200"/>
  <c r="AV12" i="200"/>
  <c r="AV15" i="200"/>
  <c r="AV28" i="200"/>
  <c r="AV31" i="200"/>
  <c r="AV44" i="200"/>
  <c r="AV47" i="200"/>
  <c r="AV60" i="200"/>
  <c r="AV64" i="200"/>
  <c r="AV67" i="200"/>
  <c r="AV8" i="200"/>
  <c r="AV11" i="200"/>
  <c r="AV24" i="200"/>
  <c r="AV27" i="200"/>
  <c r="AV40" i="200"/>
  <c r="AU7" i="200"/>
  <c r="AU62" i="200" s="1"/>
  <c r="AU63" i="200"/>
  <c r="AU68" i="200" s="1"/>
  <c r="AI68" i="200"/>
  <c r="AI69" i="200" s="1"/>
  <c r="AV10" i="200"/>
  <c r="AV14" i="200"/>
  <c r="AV18" i="200"/>
  <c r="AV22" i="200"/>
  <c r="AV26" i="200"/>
  <c r="AV30" i="200"/>
  <c r="AV34" i="200"/>
  <c r="AV38" i="200"/>
  <c r="AV42" i="200"/>
  <c r="AV46" i="200"/>
  <c r="AV50" i="200"/>
  <c r="AV54" i="200"/>
  <c r="AV58" i="200"/>
  <c r="AV66" i="200"/>
  <c r="AV7" i="200" l="1"/>
  <c r="AV62" i="200" s="1"/>
  <c r="B31" i="201"/>
  <c r="E13" i="213"/>
  <c r="F13" i="213"/>
  <c r="C13" i="213" s="1"/>
  <c r="O62" i="199"/>
  <c r="O126" i="199"/>
  <c r="O119" i="199" s="1"/>
  <c r="E61" i="199"/>
  <c r="E124" i="199"/>
  <c r="E118" i="199" s="1"/>
  <c r="E59" i="199"/>
  <c r="E120" i="199"/>
  <c r="E116" i="199" s="1"/>
  <c r="I60" i="199"/>
  <c r="I122" i="199"/>
  <c r="I117" i="199" s="1"/>
  <c r="M61" i="199"/>
  <c r="M124" i="199"/>
  <c r="M118" i="199" s="1"/>
  <c r="M59" i="199"/>
  <c r="M120" i="199"/>
  <c r="M116" i="199" s="1"/>
  <c r="Q60" i="199"/>
  <c r="Q122" i="199"/>
  <c r="Q117" i="199" s="1"/>
  <c r="U61" i="199"/>
  <c r="U124" i="199"/>
  <c r="U118" i="199" s="1"/>
  <c r="U59" i="199"/>
  <c r="U120" i="199"/>
  <c r="U116" i="199" s="1"/>
  <c r="I62" i="199"/>
  <c r="I126" i="199"/>
  <c r="I119" i="199" s="1"/>
  <c r="U62" i="199"/>
  <c r="U126" i="199"/>
  <c r="U119" i="199" s="1"/>
  <c r="M88" i="215"/>
  <c r="M90" i="215" s="1"/>
  <c r="L90" i="215" s="1"/>
  <c r="O269" i="215"/>
  <c r="O63" i="215"/>
  <c r="O87" i="215"/>
  <c r="G60" i="199"/>
  <c r="G122" i="199"/>
  <c r="G117" i="199" s="1"/>
  <c r="K61" i="199"/>
  <c r="K124" i="199"/>
  <c r="K118" i="199" s="1"/>
  <c r="K59" i="199"/>
  <c r="K120" i="199"/>
  <c r="K116" i="199" s="1"/>
  <c r="O60" i="199"/>
  <c r="O122" i="199"/>
  <c r="O117" i="199" s="1"/>
  <c r="S61" i="199"/>
  <c r="S124" i="199"/>
  <c r="S118" i="199" s="1"/>
  <c r="S59" i="199"/>
  <c r="S120" i="199"/>
  <c r="S116" i="199" s="1"/>
  <c r="W60" i="199"/>
  <c r="W122" i="199"/>
  <c r="W117" i="199" s="1"/>
  <c r="G62" i="199"/>
  <c r="G126" i="199"/>
  <c r="G119" i="199" s="1"/>
  <c r="S62" i="199"/>
  <c r="S126" i="199"/>
  <c r="S119" i="199" s="1"/>
  <c r="AT69" i="200"/>
  <c r="R31" i="201"/>
  <c r="I40" i="204"/>
  <c r="I41" i="204" s="1"/>
  <c r="O55" i="215"/>
  <c r="G36" i="215"/>
  <c r="W62" i="199"/>
  <c r="W126" i="199"/>
  <c r="W119" i="199" s="1"/>
  <c r="AF69" i="200"/>
  <c r="E60" i="199"/>
  <c r="E122" i="199"/>
  <c r="E117" i="199" s="1"/>
  <c r="I61" i="199"/>
  <c r="I124" i="199"/>
  <c r="I118" i="199" s="1"/>
  <c r="I59" i="199"/>
  <c r="I120" i="199"/>
  <c r="I116" i="199" s="1"/>
  <c r="M60" i="199"/>
  <c r="M122" i="199"/>
  <c r="M117" i="199" s="1"/>
  <c r="Q61" i="199"/>
  <c r="Q124" i="199"/>
  <c r="Q118" i="199" s="1"/>
  <c r="Q59" i="199"/>
  <c r="Q120" i="199"/>
  <c r="Q116" i="199" s="1"/>
  <c r="U60" i="199"/>
  <c r="U122" i="199"/>
  <c r="U117" i="199" s="1"/>
  <c r="E62" i="199"/>
  <c r="E126" i="199"/>
  <c r="E119" i="199" s="1"/>
  <c r="M62" i="199"/>
  <c r="M126" i="199"/>
  <c r="M119" i="199" s="1"/>
  <c r="O261" i="215"/>
  <c r="O268" i="215" s="1"/>
  <c r="O278" i="215" s="1"/>
  <c r="O50" i="215"/>
  <c r="J40" i="203"/>
  <c r="E21" i="213"/>
  <c r="F21" i="213"/>
  <c r="C21" i="213" s="1"/>
  <c r="G61" i="199"/>
  <c r="G124" i="199"/>
  <c r="G118" i="199" s="1"/>
  <c r="G59" i="199"/>
  <c r="G120" i="199"/>
  <c r="G116" i="199" s="1"/>
  <c r="K60" i="199"/>
  <c r="K122" i="199"/>
  <c r="K117" i="199" s="1"/>
  <c r="O61" i="199"/>
  <c r="O124" i="199"/>
  <c r="O118" i="199" s="1"/>
  <c r="O59" i="199"/>
  <c r="O120" i="199"/>
  <c r="O116" i="199" s="1"/>
  <c r="S60" i="199"/>
  <c r="S122" i="199"/>
  <c r="S117" i="199" s="1"/>
  <c r="W61" i="199"/>
  <c r="W124" i="199"/>
  <c r="W118" i="199" s="1"/>
  <c r="W59" i="199"/>
  <c r="W120" i="199"/>
  <c r="W116" i="199" s="1"/>
  <c r="K62" i="199"/>
  <c r="K126" i="199"/>
  <c r="K119" i="199" s="1"/>
  <c r="Q62" i="199"/>
  <c r="Q126" i="199"/>
  <c r="Q119" i="199" s="1"/>
  <c r="H41" i="203"/>
  <c r="H39" i="203"/>
  <c r="H40" i="203" s="1"/>
  <c r="I39" i="203"/>
  <c r="I40" i="203" s="1"/>
  <c r="I41" i="203"/>
  <c r="N41" i="203"/>
  <c r="N39" i="203"/>
  <c r="N40" i="203" s="1"/>
  <c r="K40" i="203"/>
  <c r="M7" i="203"/>
  <c r="O41" i="203"/>
  <c r="O39" i="203"/>
  <c r="O40" i="203" s="1"/>
  <c r="B41" i="203"/>
  <c r="B39" i="203"/>
  <c r="N268" i="215"/>
  <c r="L44" i="215"/>
  <c r="L268" i="215" s="1"/>
  <c r="M276" i="215"/>
  <c r="O201" i="215"/>
  <c r="O202" i="215" s="1"/>
  <c r="L202" i="215"/>
  <c r="O53" i="215"/>
  <c r="O81" i="215"/>
  <c r="M206" i="215"/>
  <c r="M272" i="215" s="1"/>
  <c r="L295" i="215"/>
  <c r="F847" i="191" s="1"/>
  <c r="L293" i="215"/>
  <c r="F845" i="191" s="1"/>
  <c r="L291" i="215"/>
  <c r="F843" i="191" s="1"/>
  <c r="L289" i="215"/>
  <c r="F841" i="191" s="1"/>
  <c r="L287" i="215"/>
  <c r="F839" i="191" s="1"/>
  <c r="L285" i="215"/>
  <c r="F837" i="191" s="1"/>
  <c r="L283" i="215"/>
  <c r="F835" i="191" s="1"/>
  <c r="L294" i="215"/>
  <c r="F846" i="191" s="1"/>
  <c r="L292" i="215"/>
  <c r="F844" i="191" s="1"/>
  <c r="L290" i="215"/>
  <c r="F842" i="191" s="1"/>
  <c r="L288" i="215"/>
  <c r="F840" i="191" s="1"/>
  <c r="L286" i="215"/>
  <c r="F838" i="191" s="1"/>
  <c r="L284" i="215"/>
  <c r="F836" i="191" s="1"/>
  <c r="L282" i="215"/>
  <c r="F834" i="191" s="1"/>
  <c r="O33" i="215"/>
  <c r="O204" i="215"/>
  <c r="L206" i="215"/>
  <c r="L181" i="215"/>
  <c r="L272" i="215" s="1"/>
  <c r="O73" i="215"/>
  <c r="O130" i="215"/>
  <c r="O69" i="215"/>
  <c r="L88" i="215"/>
  <c r="O85" i="215"/>
  <c r="O205" i="215"/>
  <c r="O147" i="215"/>
  <c r="O149" i="215" s="1"/>
  <c r="L149" i="215" s="1"/>
  <c r="C16" i="211"/>
  <c r="E16" i="211"/>
  <c r="G16" i="211" s="1"/>
  <c r="D16" i="211" s="1"/>
  <c r="AE17" i="211"/>
  <c r="E17" i="211" s="1"/>
  <c r="E15" i="214"/>
  <c r="G15" i="214" s="1"/>
  <c r="D15" i="214" s="1"/>
  <c r="E18" i="214"/>
  <c r="G18" i="214" s="1"/>
  <c r="D18" i="214" s="1"/>
  <c r="B18" i="214" s="1"/>
  <c r="H86" i="191" s="1"/>
  <c r="E22" i="213"/>
  <c r="G22" i="213" s="1"/>
  <c r="D22" i="213" s="1"/>
  <c r="B22" i="213" s="1"/>
  <c r="G90" i="191" s="1"/>
  <c r="E14" i="213"/>
  <c r="G14" i="213" s="1"/>
  <c r="D14" i="213" s="1"/>
  <c r="B15" i="214"/>
  <c r="H83" i="191" s="1"/>
  <c r="E22" i="214"/>
  <c r="G22" i="214" s="1"/>
  <c r="D22" i="214" s="1"/>
  <c r="B22" i="214" s="1"/>
  <c r="H90" i="191" s="1"/>
  <c r="E13" i="214"/>
  <c r="G13" i="214" s="1"/>
  <c r="D13" i="214" s="1"/>
  <c r="B13" i="214" s="1"/>
  <c r="H81" i="191" s="1"/>
  <c r="E24" i="214"/>
  <c r="G24" i="214" s="1"/>
  <c r="D24" i="214" s="1"/>
  <c r="B24" i="214" s="1"/>
  <c r="E11" i="214"/>
  <c r="G11" i="214" s="1"/>
  <c r="D11" i="214" s="1"/>
  <c r="B11" i="214" s="1"/>
  <c r="H79" i="191" s="1"/>
  <c r="E16" i="214"/>
  <c r="G16" i="214" s="1"/>
  <c r="D16" i="214" s="1"/>
  <c r="B16" i="214" s="1"/>
  <c r="H84" i="191" s="1"/>
  <c r="E20" i="214"/>
  <c r="G20" i="214" s="1"/>
  <c r="D20" i="214" s="1"/>
  <c r="B20" i="214" s="1"/>
  <c r="H88" i="191" s="1"/>
  <c r="E12" i="214"/>
  <c r="G12" i="214" s="1"/>
  <c r="D12" i="214" s="1"/>
  <c r="B12" i="214" s="1"/>
  <c r="H80" i="191" s="1"/>
  <c r="E16" i="213"/>
  <c r="G16" i="213" s="1"/>
  <c r="D16" i="213" s="1"/>
  <c r="B16" i="213" s="1"/>
  <c r="G84" i="191" s="1"/>
  <c r="B14" i="213"/>
  <c r="G82" i="191" s="1"/>
  <c r="E12" i="213"/>
  <c r="G12" i="213" s="1"/>
  <c r="D12" i="213" s="1"/>
  <c r="B12" i="213" s="1"/>
  <c r="G80" i="191" s="1"/>
  <c r="E18" i="213"/>
  <c r="G18" i="213" s="1"/>
  <c r="D18" i="213" s="1"/>
  <c r="B18" i="213" s="1"/>
  <c r="G86" i="191" s="1"/>
  <c r="E20" i="213"/>
  <c r="G20" i="213" s="1"/>
  <c r="D20" i="213" s="1"/>
  <c r="B20" i="213" s="1"/>
  <c r="G88" i="191" s="1"/>
  <c r="B16" i="211"/>
  <c r="F84" i="191" s="1"/>
  <c r="F13" i="211"/>
  <c r="C13" i="211" s="1"/>
  <c r="G21" i="211"/>
  <c r="D21" i="211" s="1"/>
  <c r="AE23" i="211"/>
  <c r="F23" i="211" s="1"/>
  <c r="C23" i="211" s="1"/>
  <c r="AE15" i="211"/>
  <c r="F15" i="211" s="1"/>
  <c r="C15" i="211" s="1"/>
  <c r="AE22" i="211"/>
  <c r="F22" i="211" s="1"/>
  <c r="C22" i="211" s="1"/>
  <c r="E12" i="211"/>
  <c r="G12" i="211" s="1"/>
  <c r="D12" i="211" s="1"/>
  <c r="AE14" i="211"/>
  <c r="F14" i="211" s="1"/>
  <c r="C14" i="211" s="1"/>
  <c r="AE20" i="211"/>
  <c r="F20" i="211" s="1"/>
  <c r="C20" i="211" s="1"/>
  <c r="C12" i="211"/>
  <c r="AE24" i="211"/>
  <c r="F24" i="211" s="1"/>
  <c r="C24" i="211" s="1"/>
  <c r="C21" i="211"/>
  <c r="AE11" i="211"/>
  <c r="F11" i="211" s="1"/>
  <c r="C11" i="211" s="1"/>
  <c r="AE18" i="211"/>
  <c r="F18" i="211" s="1"/>
  <c r="C18" i="211" s="1"/>
  <c r="AE19" i="211"/>
  <c r="F19" i="211" s="1"/>
  <c r="C19" i="211" s="1"/>
  <c r="Y10" i="209"/>
  <c r="AA10" i="209" s="1"/>
  <c r="AD10" i="209" s="1"/>
  <c r="V10" i="209"/>
  <c r="X10" i="209"/>
  <c r="Z10" i="209" s="1"/>
  <c r="AC10" i="209" s="1"/>
  <c r="T11" i="209"/>
  <c r="Z14" i="209"/>
  <c r="AC14" i="209" s="1"/>
  <c r="B36" i="209" s="1"/>
  <c r="F231" i="191" s="1"/>
  <c r="AA14" i="209"/>
  <c r="AD14" i="209" s="1"/>
  <c r="B35" i="209" s="1"/>
  <c r="F230" i="191" s="1"/>
  <c r="AB14" i="209"/>
  <c r="AE14" i="209" s="1"/>
  <c r="M14" i="209"/>
  <c r="AB13" i="209"/>
  <c r="AE13" i="209" s="1"/>
  <c r="M13" i="209"/>
  <c r="Z13" i="209"/>
  <c r="AC13" i="209" s="1"/>
  <c r="B30" i="209" s="1"/>
  <c r="F225" i="191" s="1"/>
  <c r="AA13" i="209"/>
  <c r="AD13" i="209" s="1"/>
  <c r="B29" i="209" s="1"/>
  <c r="F224" i="191" s="1"/>
  <c r="B39" i="209"/>
  <c r="B40" i="209"/>
  <c r="B37" i="209"/>
  <c r="B38" i="209"/>
  <c r="H20" i="206"/>
  <c r="I18" i="206"/>
  <c r="I32" i="206"/>
  <c r="H34" i="206"/>
  <c r="G40" i="204"/>
  <c r="L19" i="204"/>
  <c r="H19" i="204"/>
  <c r="J19" i="204"/>
  <c r="K40" i="204"/>
  <c r="K41" i="204" s="1"/>
  <c r="L12" i="204"/>
  <c r="L40" i="204" s="1"/>
  <c r="L41" i="204" s="1"/>
  <c r="H12" i="204"/>
  <c r="J12" i="204"/>
  <c r="L13" i="204"/>
  <c r="H13" i="204"/>
  <c r="J13" i="204"/>
  <c r="L16" i="204"/>
  <c r="H16" i="204"/>
  <c r="J16" i="204"/>
  <c r="F40" i="204"/>
  <c r="F41" i="204" s="1"/>
  <c r="F7" i="203"/>
  <c r="F104" i="202"/>
  <c r="G104" i="202"/>
  <c r="G116" i="202"/>
  <c r="F116" i="202"/>
  <c r="R34" i="201"/>
  <c r="R35" i="201" s="1"/>
  <c r="R32" i="201"/>
  <c r="R33" i="201" s="1"/>
  <c r="B32" i="201"/>
  <c r="B33" i="201" s="1"/>
  <c r="B34" i="201"/>
  <c r="B35" i="201" s="1"/>
  <c r="J31" i="201"/>
  <c r="AV63" i="200"/>
  <c r="AV68" i="200" s="1"/>
  <c r="AV69" i="200" s="1"/>
  <c r="AV70" i="200" s="1"/>
  <c r="AU69" i="200"/>
  <c r="G13" i="213" l="1"/>
  <c r="D13" i="213" s="1"/>
  <c r="B13" i="213" s="1"/>
  <c r="G81" i="191" s="1"/>
  <c r="J40" i="204"/>
  <c r="J41" i="204" s="1"/>
  <c r="O88" i="215"/>
  <c r="G21" i="213"/>
  <c r="D21" i="213" s="1"/>
  <c r="B21" i="213" s="1"/>
  <c r="G89" i="191" s="1"/>
  <c r="H40" i="204"/>
  <c r="H36" i="215"/>
  <c r="M36" i="215" s="1"/>
  <c r="M43" i="215" s="1"/>
  <c r="L36" i="215"/>
  <c r="R7" i="203"/>
  <c r="F39" i="203"/>
  <c r="F41" i="203"/>
  <c r="M41" i="203"/>
  <c r="M39" i="203"/>
  <c r="M40" i="203" s="1"/>
  <c r="B40" i="203"/>
  <c r="L264" i="215"/>
  <c r="L276" i="215"/>
  <c r="M263" i="215"/>
  <c r="M45" i="215"/>
  <c r="O206" i="215"/>
  <c r="O272" i="215" s="1"/>
  <c r="M289" i="215" s="1"/>
  <c r="F904" i="191" s="1"/>
  <c r="M264" i="215"/>
  <c r="O276" i="215"/>
  <c r="N278" i="215"/>
  <c r="N277" i="215"/>
  <c r="J294" i="215"/>
  <c r="F217" i="191" s="1"/>
  <c r="J292" i="215"/>
  <c r="F215" i="191" s="1"/>
  <c r="J290" i="215"/>
  <c r="F213" i="191" s="1"/>
  <c r="J288" i="215"/>
  <c r="F211" i="191" s="1"/>
  <c r="J286" i="215"/>
  <c r="F209" i="191" s="1"/>
  <c r="J284" i="215"/>
  <c r="F207" i="191" s="1"/>
  <c r="J282" i="215"/>
  <c r="F205" i="191" s="1"/>
  <c r="J295" i="215"/>
  <c r="F218" i="191" s="1"/>
  <c r="J293" i="215"/>
  <c r="F216" i="191" s="1"/>
  <c r="J291" i="215"/>
  <c r="F214" i="191" s="1"/>
  <c r="J289" i="215"/>
  <c r="F212" i="191" s="1"/>
  <c r="J287" i="215"/>
  <c r="F210" i="191" s="1"/>
  <c r="J285" i="215"/>
  <c r="F208" i="191" s="1"/>
  <c r="J283" i="215"/>
  <c r="F206" i="191" s="1"/>
  <c r="F17" i="211"/>
  <c r="G13" i="211"/>
  <c r="D13" i="211" s="1"/>
  <c r="B13" i="211" s="1"/>
  <c r="F81" i="191" s="1"/>
  <c r="B21" i="211"/>
  <c r="F89" i="191" s="1"/>
  <c r="E23" i="211"/>
  <c r="G23" i="211" s="1"/>
  <c r="D23" i="211" s="1"/>
  <c r="B23" i="211" s="1"/>
  <c r="F91" i="191" s="1"/>
  <c r="E15" i="211"/>
  <c r="G15" i="211" s="1"/>
  <c r="D15" i="211" s="1"/>
  <c r="B15" i="211" s="1"/>
  <c r="F83" i="191" s="1"/>
  <c r="B12" i="211"/>
  <c r="F80" i="191" s="1"/>
  <c r="E11" i="211"/>
  <c r="G11" i="211" s="1"/>
  <c r="D11" i="211" s="1"/>
  <c r="B11" i="211" s="1"/>
  <c r="F79" i="191" s="1"/>
  <c r="E24" i="211"/>
  <c r="G24" i="211" s="1"/>
  <c r="D24" i="211" s="1"/>
  <c r="B24" i="211" s="1"/>
  <c r="E18" i="211"/>
  <c r="G18" i="211" s="1"/>
  <c r="D18" i="211" s="1"/>
  <c r="B18" i="211" s="1"/>
  <c r="F86" i="191" s="1"/>
  <c r="E14" i="211"/>
  <c r="G14" i="211" s="1"/>
  <c r="D14" i="211" s="1"/>
  <c r="B14" i="211" s="1"/>
  <c r="F82" i="191" s="1"/>
  <c r="E20" i="211"/>
  <c r="G20" i="211" s="1"/>
  <c r="D20" i="211" s="1"/>
  <c r="B20" i="211" s="1"/>
  <c r="F88" i="191" s="1"/>
  <c r="E19" i="211"/>
  <c r="G19" i="211" s="1"/>
  <c r="D19" i="211" s="1"/>
  <c r="B19" i="211" s="1"/>
  <c r="F87" i="191" s="1"/>
  <c r="E22" i="211"/>
  <c r="G22" i="211" s="1"/>
  <c r="D22" i="211" s="1"/>
  <c r="B22" i="211" s="1"/>
  <c r="F90" i="191" s="1"/>
  <c r="B27" i="209"/>
  <c r="F222" i="191" s="1"/>
  <c r="B28" i="209"/>
  <c r="F223" i="191" s="1"/>
  <c r="B25" i="209"/>
  <c r="F220" i="191" s="1"/>
  <c r="B26" i="209"/>
  <c r="F221" i="191" s="1"/>
  <c r="B31" i="209"/>
  <c r="F226" i="191" s="1"/>
  <c r="B32" i="209"/>
  <c r="F227" i="191" s="1"/>
  <c r="B33" i="209"/>
  <c r="F228" i="191" s="1"/>
  <c r="B34" i="209"/>
  <c r="F229" i="191" s="1"/>
  <c r="V11" i="209"/>
  <c r="X11" i="209"/>
  <c r="Z11" i="209" s="1"/>
  <c r="AC11" i="209" s="1"/>
  <c r="Y11" i="209"/>
  <c r="AA11" i="209" s="1"/>
  <c r="AD11" i="209" s="1"/>
  <c r="H45" i="204"/>
  <c r="H48" i="204"/>
  <c r="H41" i="204"/>
  <c r="G45" i="204"/>
  <c r="G48" i="204"/>
  <c r="G41" i="204"/>
  <c r="J32" i="201"/>
  <c r="J33" i="201" s="1"/>
  <c r="J34" i="201"/>
  <c r="J35" i="201" s="1"/>
  <c r="ZG1374" i="191"/>
  <c r="ZF1374" i="191"/>
  <c r="ZE1374" i="191"/>
  <c r="RB1374" i="191"/>
  <c r="RB1375" i="191" s="1"/>
  <c r="RA1374" i="191"/>
  <c r="RA1375" i="191" s="1"/>
  <c r="QZ1374" i="191"/>
  <c r="QZ1375" i="191" s="1"/>
  <c r="JU1374" i="191"/>
  <c r="JU1375" i="191" s="1"/>
  <c r="JT1374" i="191"/>
  <c r="JT1375" i="191" s="1"/>
  <c r="JS1374" i="191"/>
  <c r="JS1375" i="191" s="1"/>
  <c r="GM1374" i="191"/>
  <c r="GM1375" i="191" s="1"/>
  <c r="ZG1357" i="191"/>
  <c r="ZF1357" i="191"/>
  <c r="ZE1357" i="191"/>
  <c r="ZD1357" i="191"/>
  <c r="ZC1357" i="191"/>
  <c r="ZB1357" i="191"/>
  <c r="ZD1374" i="191" l="1"/>
  <c r="G214" i="191"/>
  <c r="H214" i="191"/>
  <c r="H215" i="191"/>
  <c r="G215" i="191"/>
  <c r="ZC1374" i="191"/>
  <c r="G208" i="191"/>
  <c r="H208" i="191"/>
  <c r="G216" i="191"/>
  <c r="H216" i="191"/>
  <c r="H209" i="191"/>
  <c r="G209" i="191"/>
  <c r="G217" i="191"/>
  <c r="H217" i="191"/>
  <c r="G206" i="191"/>
  <c r="H206" i="191"/>
  <c r="O36" i="215"/>
  <c r="O43" i="215" s="1"/>
  <c r="L43" i="215"/>
  <c r="L263" i="215" s="1"/>
  <c r="G223" i="191"/>
  <c r="G160" i="191" s="1"/>
  <c r="G34" i="191" s="1"/>
  <c r="H223" i="191"/>
  <c r="H160" i="191" s="1"/>
  <c r="H34" i="191" s="1"/>
  <c r="F160" i="191"/>
  <c r="F34" i="191" s="1"/>
  <c r="G210" i="191"/>
  <c r="H210" i="191"/>
  <c r="G218" i="191"/>
  <c r="H218" i="191"/>
  <c r="H211" i="191"/>
  <c r="G211" i="191"/>
  <c r="H229" i="191"/>
  <c r="H166" i="191" s="1"/>
  <c r="H40" i="191" s="1"/>
  <c r="G229" i="191"/>
  <c r="G166" i="191" s="1"/>
  <c r="G40" i="191" s="1"/>
  <c r="F166" i="191"/>
  <c r="F40" i="191" s="1"/>
  <c r="H207" i="191"/>
  <c r="G207" i="191"/>
  <c r="G212" i="191"/>
  <c r="H212" i="191"/>
  <c r="H205" i="191"/>
  <c r="G205" i="191"/>
  <c r="G213" i="191"/>
  <c r="H213" i="191"/>
  <c r="F40" i="203"/>
  <c r="R39" i="203"/>
  <c r="M295" i="215"/>
  <c r="F910" i="191" s="1"/>
  <c r="M293" i="215"/>
  <c r="F908" i="191" s="1"/>
  <c r="M291" i="215"/>
  <c r="F906" i="191" s="1"/>
  <c r="M287" i="215"/>
  <c r="F902" i="191" s="1"/>
  <c r="M285" i="215"/>
  <c r="F900" i="191" s="1"/>
  <c r="M283" i="215"/>
  <c r="F898" i="191" s="1"/>
  <c r="M294" i="215"/>
  <c r="F909" i="191" s="1"/>
  <c r="M292" i="215"/>
  <c r="F907" i="191" s="1"/>
  <c r="M290" i="215"/>
  <c r="F905" i="191" s="1"/>
  <c r="M288" i="215"/>
  <c r="F903" i="191" s="1"/>
  <c r="M286" i="215"/>
  <c r="F901" i="191" s="1"/>
  <c r="M284" i="215"/>
  <c r="F899" i="191" s="1"/>
  <c r="M282" i="215"/>
  <c r="F897" i="191" s="1"/>
  <c r="O277" i="215"/>
  <c r="O279" i="215"/>
  <c r="L279" i="215" s="1"/>
  <c r="O294" i="215"/>
  <c r="F1161" i="191" s="1"/>
  <c r="O292" i="215"/>
  <c r="F1159" i="191" s="1"/>
  <c r="O290" i="215"/>
  <c r="F1157" i="191" s="1"/>
  <c r="O288" i="215"/>
  <c r="F1155" i="191" s="1"/>
  <c r="O286" i="215"/>
  <c r="F1153" i="191" s="1"/>
  <c r="O284" i="215"/>
  <c r="F1151" i="191" s="1"/>
  <c r="O282" i="215"/>
  <c r="F1149" i="191" s="1"/>
  <c r="O295" i="215"/>
  <c r="F1162" i="191" s="1"/>
  <c r="O293" i="215"/>
  <c r="F1160" i="191" s="1"/>
  <c r="O291" i="215"/>
  <c r="F1158" i="191" s="1"/>
  <c r="O289" i="215"/>
  <c r="F1156" i="191" s="1"/>
  <c r="O287" i="215"/>
  <c r="F1154" i="191" s="1"/>
  <c r="O285" i="215"/>
  <c r="F1152" i="191" s="1"/>
  <c r="O283" i="215"/>
  <c r="F1150" i="191" s="1"/>
  <c r="O263" i="215"/>
  <c r="M269" i="215"/>
  <c r="L45" i="215"/>
  <c r="L269" i="215" s="1"/>
  <c r="O264" i="215"/>
  <c r="C17" i="211"/>
  <c r="G17" i="211"/>
  <c r="D17" i="211" s="1"/>
  <c r="ZB1374" i="191"/>
  <c r="G1236" i="191" l="1"/>
  <c r="J1306" i="191"/>
  <c r="I1300" i="191"/>
  <c r="F1230" i="191"/>
  <c r="H1236" i="191"/>
  <c r="K1306" i="191"/>
  <c r="K1300" i="191"/>
  <c r="H1230" i="191"/>
  <c r="J1300" i="191"/>
  <c r="G1230" i="191"/>
  <c r="I1306" i="191"/>
  <c r="F1236" i="191"/>
  <c r="K294" i="215"/>
  <c r="F280" i="191" s="1"/>
  <c r="K292" i="215"/>
  <c r="F278" i="191" s="1"/>
  <c r="K290" i="215"/>
  <c r="F276" i="191" s="1"/>
  <c r="K288" i="215"/>
  <c r="F274" i="191" s="1"/>
  <c r="K286" i="215"/>
  <c r="F272" i="191" s="1"/>
  <c r="K284" i="215"/>
  <c r="F270" i="191" s="1"/>
  <c r="K282" i="215"/>
  <c r="F268" i="191" s="1"/>
  <c r="K295" i="215"/>
  <c r="F281" i="191" s="1"/>
  <c r="K293" i="215"/>
  <c r="F279" i="191" s="1"/>
  <c r="K291" i="215"/>
  <c r="F277" i="191" s="1"/>
  <c r="K289" i="215"/>
  <c r="F275" i="191" s="1"/>
  <c r="K287" i="215"/>
  <c r="F273" i="191" s="1"/>
  <c r="K285" i="215"/>
  <c r="F271" i="191" s="1"/>
  <c r="K283" i="215"/>
  <c r="F269" i="191" s="1"/>
  <c r="L277" i="215"/>
  <c r="M277" i="215"/>
  <c r="M278" i="215"/>
  <c r="L278" i="215" s="1"/>
  <c r="B17" i="211"/>
  <c r="F85" i="191" s="1"/>
  <c r="G273" i="191" l="1"/>
  <c r="H273" i="191"/>
  <c r="G281" i="191"/>
  <c r="H281" i="191"/>
  <c r="G274" i="191"/>
  <c r="H274" i="191"/>
  <c r="H275" i="191"/>
  <c r="G275" i="191"/>
  <c r="G268" i="191"/>
  <c r="H268" i="191"/>
  <c r="G276" i="191"/>
  <c r="H276" i="191"/>
  <c r="EN1306" i="191"/>
  <c r="AM1306" i="191"/>
  <c r="XC1306" i="191"/>
  <c r="JJ1306" i="191"/>
  <c r="WH1306" i="191"/>
  <c r="LU1306" i="191"/>
  <c r="NK1306" i="191"/>
  <c r="R1306" i="191"/>
  <c r="MP1306" i="191"/>
  <c r="CC1306" i="191"/>
  <c r="PA1306" i="191"/>
  <c r="QQ1306" i="191"/>
  <c r="CX1306" i="191"/>
  <c r="PV1306" i="191"/>
  <c r="FI1306" i="191"/>
  <c r="SG1306" i="191"/>
  <c r="TW1306" i="191"/>
  <c r="GD1306" i="191"/>
  <c r="TB1306" i="191"/>
  <c r="IO1306" i="191"/>
  <c r="VM1306" i="191"/>
  <c r="XX1306" i="191"/>
  <c r="YS1306" i="191"/>
  <c r="KZ1306" i="191"/>
  <c r="UR1306" i="191"/>
  <c r="DS1306" i="191"/>
  <c r="HT1306" i="191"/>
  <c r="GY1306" i="191"/>
  <c r="RL1306" i="191"/>
  <c r="OF1306" i="191"/>
  <c r="KE1306" i="191"/>
  <c r="BH1306" i="191"/>
  <c r="BJ1300" i="191"/>
  <c r="LB1300" i="191"/>
  <c r="KG1300" i="191"/>
  <c r="YU1300" i="191"/>
  <c r="UT1300" i="191"/>
  <c r="CZ1300" i="191"/>
  <c r="EP1300" i="191"/>
  <c r="DU1300" i="191"/>
  <c r="CE1300" i="191"/>
  <c r="SI1300" i="191"/>
  <c r="WJ1300" i="191"/>
  <c r="HA1300" i="191"/>
  <c r="AO1300" i="191"/>
  <c r="QS1300" i="191"/>
  <c r="GF1300" i="191"/>
  <c r="FK1300" i="191"/>
  <c r="OH1300" i="191"/>
  <c r="PC1300" i="191"/>
  <c r="T1300" i="191"/>
  <c r="XE1300" i="191"/>
  <c r="HV1300" i="191"/>
  <c r="IQ1300" i="191"/>
  <c r="PX1300" i="191"/>
  <c r="LW1300" i="191"/>
  <c r="MR1300" i="191"/>
  <c r="JL1300" i="191"/>
  <c r="XZ1300" i="191"/>
  <c r="NM1300" i="191"/>
  <c r="VO1300" i="191"/>
  <c r="RN1300" i="191"/>
  <c r="TY1300" i="191"/>
  <c r="TD1300" i="191"/>
  <c r="R1300" i="191"/>
  <c r="EN1300" i="191"/>
  <c r="HT1300" i="191"/>
  <c r="VM1300" i="191"/>
  <c r="YS1300" i="191"/>
  <c r="FI1300" i="191"/>
  <c r="PA1300" i="191"/>
  <c r="KZ1300" i="191"/>
  <c r="PV1300" i="191"/>
  <c r="UR1300" i="191"/>
  <c r="LU1300" i="191"/>
  <c r="QQ1300" i="191"/>
  <c r="OF1300" i="191"/>
  <c r="CC1300" i="191"/>
  <c r="TW1300" i="191"/>
  <c r="BH1300" i="191"/>
  <c r="IO1300" i="191"/>
  <c r="MP1300" i="191"/>
  <c r="NK1300" i="191"/>
  <c r="GD1300" i="191"/>
  <c r="TB1300" i="191"/>
  <c r="XC1300" i="191"/>
  <c r="JJ1300" i="191"/>
  <c r="KE1300" i="191"/>
  <c r="AM1300" i="191"/>
  <c r="CX1300" i="191"/>
  <c r="XX1300" i="191"/>
  <c r="RL1300" i="191"/>
  <c r="WH1300" i="191"/>
  <c r="SG1300" i="191"/>
  <c r="GY1300" i="191"/>
  <c r="DS1300" i="191"/>
  <c r="G269" i="191"/>
  <c r="H269" i="191"/>
  <c r="G277" i="191"/>
  <c r="H277" i="191"/>
  <c r="G270" i="191"/>
  <c r="H270" i="191"/>
  <c r="G278" i="191"/>
  <c r="H278" i="191"/>
  <c r="JL1306" i="191"/>
  <c r="XE1306" i="191"/>
  <c r="TD1306" i="191"/>
  <c r="VO1306" i="191"/>
  <c r="UT1306" i="191"/>
  <c r="TY1306" i="191"/>
  <c r="RN1306" i="191"/>
  <c r="FK1306" i="191"/>
  <c r="BJ1306" i="191"/>
  <c r="XZ1306" i="191"/>
  <c r="GF1306" i="191"/>
  <c r="PX1306" i="191"/>
  <c r="T1306" i="191"/>
  <c r="AO1306" i="191"/>
  <c r="CE1306" i="191"/>
  <c r="LB1306" i="191"/>
  <c r="DU1306" i="191"/>
  <c r="HV1306" i="191"/>
  <c r="NM1306" i="191"/>
  <c r="EP1306" i="191"/>
  <c r="MR1306" i="191"/>
  <c r="WJ1306" i="191"/>
  <c r="PC1306" i="191"/>
  <c r="SI1306" i="191"/>
  <c r="KG1306" i="191"/>
  <c r="CZ1306" i="191"/>
  <c r="LW1306" i="191"/>
  <c r="HA1306" i="191"/>
  <c r="QS1306" i="191"/>
  <c r="IQ1306" i="191"/>
  <c r="YU1306" i="191"/>
  <c r="OH1306" i="191"/>
  <c r="WI1306" i="191"/>
  <c r="NL1306" i="191"/>
  <c r="GZ1306" i="191"/>
  <c r="DT1306" i="191"/>
  <c r="JK1306" i="191"/>
  <c r="KF1306" i="191"/>
  <c r="CY1306" i="191"/>
  <c r="CD1306" i="191"/>
  <c r="US1306" i="191"/>
  <c r="FJ1306" i="191"/>
  <c r="LV1306" i="191"/>
  <c r="IP1306" i="191"/>
  <c r="RM1306" i="191"/>
  <c r="MQ1306" i="191"/>
  <c r="HU1306" i="191"/>
  <c r="SH1306" i="191"/>
  <c r="BI1306" i="191"/>
  <c r="YT1306" i="191"/>
  <c r="XD1306" i="191"/>
  <c r="TC1306" i="191"/>
  <c r="GE1306" i="191"/>
  <c r="S1306" i="191"/>
  <c r="XY1306" i="191"/>
  <c r="VN1306" i="191"/>
  <c r="TX1306" i="191"/>
  <c r="QR1306" i="191"/>
  <c r="AN1306" i="191"/>
  <c r="OG1306" i="191"/>
  <c r="PW1306" i="191"/>
  <c r="PB1306" i="191"/>
  <c r="LA1306" i="191"/>
  <c r="EO1306" i="191"/>
  <c r="H271" i="191"/>
  <c r="G271" i="191"/>
  <c r="H279" i="191"/>
  <c r="G279" i="191"/>
  <c r="G272" i="191"/>
  <c r="H272" i="191"/>
  <c r="G280" i="191"/>
  <c r="H280" i="191"/>
  <c r="YT1300" i="191"/>
  <c r="VN1300" i="191"/>
  <c r="NL1300" i="191"/>
  <c r="EO1300" i="191"/>
  <c r="SH1300" i="191"/>
  <c r="PW1300" i="191"/>
  <c r="KF1300" i="191"/>
  <c r="OG1300" i="191"/>
  <c r="AN1300" i="191"/>
  <c r="IP1300" i="191"/>
  <c r="QR1300" i="191"/>
  <c r="S1300" i="191"/>
  <c r="CD1300" i="191"/>
  <c r="GZ1300" i="191"/>
  <c r="TX1300" i="191"/>
  <c r="CY1300" i="191"/>
  <c r="TC1300" i="191"/>
  <c r="XY1300" i="191"/>
  <c r="GE1300" i="191"/>
  <c r="LV1300" i="191"/>
  <c r="JK1300" i="191"/>
  <c r="XD1300" i="191"/>
  <c r="HU1300" i="191"/>
  <c r="RM1300" i="191"/>
  <c r="FJ1300" i="191"/>
  <c r="BI1300" i="191"/>
  <c r="LA1300" i="191"/>
  <c r="WI1300" i="191"/>
  <c r="PB1300" i="191"/>
  <c r="DT1300" i="191"/>
  <c r="MQ1300" i="191"/>
  <c r="US1300" i="191"/>
  <c r="ZE1356" i="191"/>
  <c r="ZD1356" i="191"/>
  <c r="ZC1356" i="191"/>
  <c r="ZB1356" i="191"/>
  <c r="YL1356" i="191"/>
  <c r="YK1356" i="191"/>
  <c r="XQ1356" i="191"/>
  <c r="XP1356" i="191"/>
  <c r="WV1356" i="191"/>
  <c r="WU1356" i="191"/>
  <c r="WA1356" i="191"/>
  <c r="VZ1356" i="191"/>
  <c r="VF1356" i="191"/>
  <c r="VE1356" i="191"/>
  <c r="UK1356" i="191"/>
  <c r="UJ1356" i="191"/>
  <c r="TP1356" i="191"/>
  <c r="TO1356" i="191"/>
  <c r="SU1356" i="191"/>
  <c r="ST1356" i="191"/>
  <c r="RZ1356" i="191"/>
  <c r="RY1356" i="191"/>
  <c r="RE1356" i="191"/>
  <c r="RD1356" i="191"/>
  <c r="QJ1356" i="191"/>
  <c r="QI1356" i="191"/>
  <c r="PO1356" i="191"/>
  <c r="PN1356" i="191"/>
  <c r="OT1356" i="191"/>
  <c r="OS1356" i="191"/>
  <c r="NY1356" i="191"/>
  <c r="NX1356" i="191"/>
  <c r="ND1356" i="191"/>
  <c r="NC1356" i="191"/>
  <c r="MI1356" i="191"/>
  <c r="MH1356" i="191"/>
  <c r="LN1356" i="191"/>
  <c r="LM1356" i="191"/>
  <c r="KS1356" i="191"/>
  <c r="KR1356" i="191"/>
  <c r="JX1356" i="191"/>
  <c r="JW1356" i="191"/>
  <c r="JC1356" i="191"/>
  <c r="JB1356" i="191"/>
  <c r="IH1356" i="191"/>
  <c r="IG1356" i="191"/>
  <c r="HM1356" i="191"/>
  <c r="HL1356" i="191"/>
  <c r="GR1356" i="191"/>
  <c r="GQ1356" i="191"/>
  <c r="FW1356" i="191"/>
  <c r="FV1356" i="191"/>
  <c r="FB1356" i="191"/>
  <c r="FA1356" i="191"/>
  <c r="EG1356" i="191"/>
  <c r="EF1356" i="191"/>
  <c r="DL1356" i="191"/>
  <c r="DK1356" i="191"/>
  <c r="CQ1356" i="191"/>
  <c r="CP1356" i="191"/>
  <c r="BV1356" i="191"/>
  <c r="BU1356" i="191"/>
  <c r="BA1356" i="191"/>
  <c r="AZ1356" i="191"/>
  <c r="AF1356" i="191"/>
  <c r="AE1356" i="191"/>
  <c r="ZE1355" i="191"/>
  <c r="ZD1355" i="191"/>
  <c r="ZC1355" i="191"/>
  <c r="ZB1355" i="191"/>
  <c r="YL1355" i="191"/>
  <c r="YK1355" i="191"/>
  <c r="XQ1355" i="191"/>
  <c r="XP1355" i="191"/>
  <c r="WV1355" i="191"/>
  <c r="WU1355" i="191"/>
  <c r="WA1355" i="191"/>
  <c r="VZ1355" i="191"/>
  <c r="VF1355" i="191"/>
  <c r="VE1355" i="191"/>
  <c r="UK1355" i="191"/>
  <c r="UJ1355" i="191"/>
  <c r="TP1355" i="191"/>
  <c r="TO1355" i="191"/>
  <c r="SU1355" i="191"/>
  <c r="ST1355" i="191"/>
  <c r="RZ1355" i="191"/>
  <c r="RY1355" i="191"/>
  <c r="RE1355" i="191"/>
  <c r="RD1355" i="191"/>
  <c r="QJ1355" i="191"/>
  <c r="QI1355" i="191"/>
  <c r="PO1355" i="191"/>
  <c r="PN1355" i="191"/>
  <c r="OT1355" i="191"/>
  <c r="OS1355" i="191"/>
  <c r="NY1355" i="191"/>
  <c r="NX1355" i="191"/>
  <c r="ND1355" i="191"/>
  <c r="NC1355" i="191"/>
  <c r="MI1355" i="191"/>
  <c r="MH1355" i="191"/>
  <c r="LN1355" i="191"/>
  <c r="LM1355" i="191"/>
  <c r="KS1355" i="191"/>
  <c r="KR1355" i="191"/>
  <c r="JX1355" i="191"/>
  <c r="JW1355" i="191"/>
  <c r="JC1355" i="191"/>
  <c r="JB1355" i="191"/>
  <c r="IH1355" i="191"/>
  <c r="IG1355" i="191"/>
  <c r="HM1355" i="191"/>
  <c r="HL1355" i="191"/>
  <c r="GR1355" i="191"/>
  <c r="GQ1355" i="191"/>
  <c r="FW1355" i="191"/>
  <c r="FV1355" i="191"/>
  <c r="FB1355" i="191"/>
  <c r="FA1355" i="191"/>
  <c r="EG1355" i="191"/>
  <c r="EF1355" i="191"/>
  <c r="DL1355" i="191"/>
  <c r="DK1355" i="191"/>
  <c r="CQ1355" i="191"/>
  <c r="CP1355" i="191"/>
  <c r="BV1355" i="191"/>
  <c r="BU1355" i="191"/>
  <c r="BA1355" i="191"/>
  <c r="AZ1355" i="191"/>
  <c r="AF1355" i="191"/>
  <c r="AE1355" i="191"/>
  <c r="ZE1354" i="191"/>
  <c r="ZD1354" i="191"/>
  <c r="ZC1354" i="191"/>
  <c r="ZB1354" i="191"/>
  <c r="YL1354" i="191"/>
  <c r="YK1354" i="191"/>
  <c r="XQ1354" i="191"/>
  <c r="XP1354" i="191"/>
  <c r="WV1354" i="191"/>
  <c r="WU1354" i="191"/>
  <c r="WA1354" i="191"/>
  <c r="VZ1354" i="191"/>
  <c r="VF1354" i="191"/>
  <c r="VE1354" i="191"/>
  <c r="UK1354" i="191"/>
  <c r="UJ1354" i="191"/>
  <c r="TP1354" i="191"/>
  <c r="TO1354" i="191"/>
  <c r="SU1354" i="191"/>
  <c r="ST1354" i="191"/>
  <c r="RZ1354" i="191"/>
  <c r="RY1354" i="191"/>
  <c r="RE1354" i="191"/>
  <c r="RD1354" i="191"/>
  <c r="QJ1354" i="191"/>
  <c r="QI1354" i="191"/>
  <c r="PO1354" i="191"/>
  <c r="PN1354" i="191"/>
  <c r="OT1354" i="191"/>
  <c r="OS1354" i="191"/>
  <c r="NY1354" i="191"/>
  <c r="NX1354" i="191"/>
  <c r="ND1354" i="191"/>
  <c r="NC1354" i="191"/>
  <c r="MI1354" i="191"/>
  <c r="MH1354" i="191"/>
  <c r="LN1354" i="191"/>
  <c r="LM1354" i="191"/>
  <c r="KS1354" i="191"/>
  <c r="KR1354" i="191"/>
  <c r="JX1354" i="191"/>
  <c r="JW1354" i="191"/>
  <c r="JC1354" i="191"/>
  <c r="JB1354" i="191"/>
  <c r="IH1354" i="191"/>
  <c r="IG1354" i="191"/>
  <c r="HM1354" i="191"/>
  <c r="HL1354" i="191"/>
  <c r="GR1354" i="191"/>
  <c r="GQ1354" i="191"/>
  <c r="FW1354" i="191"/>
  <c r="FV1354" i="191"/>
  <c r="FB1354" i="191"/>
  <c r="FA1354" i="191"/>
  <c r="EG1354" i="191"/>
  <c r="EF1354" i="191"/>
  <c r="DL1354" i="191"/>
  <c r="DK1354" i="191"/>
  <c r="CQ1354" i="191"/>
  <c r="CP1354" i="191"/>
  <c r="BV1354" i="191"/>
  <c r="BU1354" i="191"/>
  <c r="BA1354" i="191"/>
  <c r="AZ1354" i="191"/>
  <c r="AF1354" i="191"/>
  <c r="AE1354" i="191"/>
  <c r="ZG1354" i="191" l="1"/>
  <c r="ZG1356" i="191"/>
  <c r="ZF1356" i="191"/>
  <c r="ZF1354" i="191"/>
  <c r="ZG1355" i="191"/>
  <c r="ZF1355" i="191"/>
  <c r="KB185" i="87" l="1"/>
  <c r="JH185" i="87"/>
  <c r="GZ185" i="87"/>
  <c r="BP185" i="87"/>
  <c r="KT38" i="87" l="1"/>
  <c r="KT37" i="87"/>
  <c r="KT36" i="87"/>
  <c r="KT35" i="87"/>
  <c r="KT34" i="87"/>
  <c r="KT33" i="87"/>
  <c r="KT32" i="87"/>
  <c r="KT31" i="87"/>
  <c r="KT29" i="87"/>
  <c r="KT28" i="87"/>
  <c r="KT27" i="87"/>
  <c r="KT26" i="87"/>
  <c r="KT25" i="87"/>
  <c r="KT24" i="87"/>
  <c r="KT23" i="87"/>
  <c r="KT22" i="87"/>
  <c r="KT20" i="87"/>
  <c r="KT19" i="87"/>
  <c r="KT18" i="87"/>
  <c r="KT17" i="87"/>
  <c r="KT16" i="87"/>
  <c r="KT15" i="87"/>
  <c r="KT14" i="87"/>
  <c r="KT13" i="87"/>
  <c r="KJ38" i="87"/>
  <c r="KJ37" i="87"/>
  <c r="KJ36" i="87"/>
  <c r="KJ35" i="87"/>
  <c r="KJ34" i="87"/>
  <c r="KJ33" i="87"/>
  <c r="KJ32" i="87"/>
  <c r="KJ31" i="87"/>
  <c r="KJ29" i="87"/>
  <c r="KJ28" i="87"/>
  <c r="KJ27" i="87"/>
  <c r="KJ26" i="87"/>
  <c r="KJ25" i="87"/>
  <c r="KJ24" i="87"/>
  <c r="KJ23" i="87"/>
  <c r="KJ22" i="87"/>
  <c r="KJ20" i="87"/>
  <c r="KJ19" i="87"/>
  <c r="KJ18" i="87"/>
  <c r="KJ17" i="87"/>
  <c r="KJ16" i="87"/>
  <c r="KJ15" i="87"/>
  <c r="KJ14" i="87"/>
  <c r="KJ13" i="87"/>
  <c r="JZ38" i="87"/>
  <c r="JZ37" i="87"/>
  <c r="JZ36" i="87"/>
  <c r="JZ35" i="87"/>
  <c r="JZ34" i="87"/>
  <c r="JZ33" i="87"/>
  <c r="JZ32" i="87"/>
  <c r="JZ31" i="87"/>
  <c r="JZ29" i="87"/>
  <c r="JZ28" i="87"/>
  <c r="JZ27" i="87"/>
  <c r="JZ26" i="87"/>
  <c r="JZ25" i="87"/>
  <c r="JZ24" i="87"/>
  <c r="JZ23" i="87"/>
  <c r="JZ22" i="87"/>
  <c r="JZ20" i="87"/>
  <c r="JZ19" i="87"/>
  <c r="JZ18" i="87"/>
  <c r="JZ17" i="87"/>
  <c r="JZ16" i="87"/>
  <c r="JZ15" i="87"/>
  <c r="JZ14" i="87"/>
  <c r="JZ13" i="87"/>
  <c r="JP38" i="87"/>
  <c r="JP37" i="87"/>
  <c r="JP36" i="87"/>
  <c r="JP35" i="87"/>
  <c r="JP34" i="87"/>
  <c r="JP33" i="87"/>
  <c r="JP32" i="87"/>
  <c r="JP31" i="87"/>
  <c r="JP29" i="87"/>
  <c r="JP28" i="87"/>
  <c r="JP27" i="87"/>
  <c r="JP26" i="87"/>
  <c r="JP25" i="87"/>
  <c r="JP24" i="87"/>
  <c r="JP23" i="87"/>
  <c r="JP22" i="87"/>
  <c r="JP20" i="87"/>
  <c r="JP19" i="87"/>
  <c r="JP18" i="87"/>
  <c r="JP17" i="87"/>
  <c r="JP16" i="87"/>
  <c r="JP15" i="87"/>
  <c r="JP14" i="87"/>
  <c r="JP13" i="87"/>
  <c r="JF38" i="87"/>
  <c r="JF37" i="87"/>
  <c r="JF36" i="87"/>
  <c r="JF35" i="87"/>
  <c r="JF34" i="87"/>
  <c r="JF33" i="87"/>
  <c r="JF32" i="87"/>
  <c r="JF31" i="87"/>
  <c r="JF29" i="87"/>
  <c r="JF28" i="87"/>
  <c r="JF27" i="87"/>
  <c r="JF26" i="87"/>
  <c r="JF25" i="87"/>
  <c r="JF24" i="87"/>
  <c r="JF23" i="87"/>
  <c r="JF22" i="87"/>
  <c r="JF20" i="87"/>
  <c r="JF19" i="87"/>
  <c r="JF18" i="87"/>
  <c r="JF17" i="87"/>
  <c r="JF16" i="87"/>
  <c r="JF15" i="87"/>
  <c r="JF14" i="87"/>
  <c r="JF13" i="87"/>
  <c r="IV38" i="87"/>
  <c r="IV37" i="87"/>
  <c r="IV36" i="87"/>
  <c r="IV35" i="87"/>
  <c r="IV34" i="87"/>
  <c r="IV33" i="87"/>
  <c r="IV32" i="87"/>
  <c r="IV31" i="87"/>
  <c r="IV29" i="87"/>
  <c r="IV28" i="87"/>
  <c r="IV27" i="87"/>
  <c r="IV26" i="87"/>
  <c r="IV25" i="87"/>
  <c r="IV24" i="87"/>
  <c r="IV23" i="87"/>
  <c r="IV22" i="87"/>
  <c r="IV20" i="87"/>
  <c r="IV19" i="87"/>
  <c r="IV18" i="87"/>
  <c r="IV17" i="87"/>
  <c r="IV16" i="87"/>
  <c r="IV15" i="87"/>
  <c r="IV14" i="87"/>
  <c r="IV13" i="87"/>
  <c r="IL38" i="87"/>
  <c r="IL37" i="87"/>
  <c r="IL36" i="87"/>
  <c r="IL35" i="87"/>
  <c r="IL34" i="87"/>
  <c r="IL33" i="87"/>
  <c r="IL32" i="87"/>
  <c r="IL31" i="87"/>
  <c r="IL29" i="87"/>
  <c r="IL28" i="87"/>
  <c r="IL27" i="87"/>
  <c r="IL26" i="87"/>
  <c r="IL25" i="87"/>
  <c r="IL24" i="87"/>
  <c r="IL23" i="87"/>
  <c r="IL22" i="87"/>
  <c r="IL20" i="87"/>
  <c r="IL19" i="87"/>
  <c r="IL18" i="87"/>
  <c r="IL17" i="87"/>
  <c r="IL16" i="87"/>
  <c r="IL15" i="87"/>
  <c r="IL14" i="87"/>
  <c r="IL13" i="87"/>
  <c r="IB38" i="87"/>
  <c r="IB37" i="87"/>
  <c r="IB36" i="87"/>
  <c r="IB35" i="87"/>
  <c r="IB34" i="87"/>
  <c r="IB33" i="87"/>
  <c r="IB32" i="87"/>
  <c r="IB31" i="87"/>
  <c r="IB29" i="87"/>
  <c r="IB28" i="87"/>
  <c r="IB27" i="87"/>
  <c r="IB26" i="87"/>
  <c r="IB25" i="87"/>
  <c r="IB24" i="87"/>
  <c r="IB23" i="87"/>
  <c r="IB22" i="87"/>
  <c r="IB20" i="87"/>
  <c r="IB19" i="87"/>
  <c r="IB18" i="87"/>
  <c r="IB17" i="87"/>
  <c r="IB16" i="87"/>
  <c r="IB15" i="87"/>
  <c r="IB14" i="87"/>
  <c r="IB13" i="87"/>
  <c r="HR38" i="87"/>
  <c r="HR37" i="87"/>
  <c r="HR36" i="87"/>
  <c r="HR35" i="87"/>
  <c r="HR34" i="87"/>
  <c r="HR33" i="87"/>
  <c r="HR32" i="87"/>
  <c r="HR31" i="87"/>
  <c r="HR29" i="87"/>
  <c r="HR28" i="87"/>
  <c r="HR27" i="87"/>
  <c r="HR26" i="87"/>
  <c r="HR25" i="87"/>
  <c r="HR24" i="87"/>
  <c r="HR23" i="87"/>
  <c r="HR22" i="87"/>
  <c r="HR20" i="87"/>
  <c r="HR19" i="87"/>
  <c r="HR18" i="87"/>
  <c r="HR17" i="87"/>
  <c r="HR16" i="87"/>
  <c r="HR15" i="87"/>
  <c r="HR14" i="87"/>
  <c r="HR13" i="87"/>
  <c r="HH38" i="87"/>
  <c r="HH37" i="87"/>
  <c r="HH36" i="87"/>
  <c r="HH35" i="87"/>
  <c r="HH34" i="87"/>
  <c r="HH33" i="87"/>
  <c r="HH32" i="87"/>
  <c r="HH31" i="87"/>
  <c r="HH29" i="87"/>
  <c r="HH28" i="87"/>
  <c r="HH27" i="87"/>
  <c r="HH26" i="87"/>
  <c r="HH25" i="87"/>
  <c r="HH24" i="87"/>
  <c r="HH23" i="87"/>
  <c r="HH22" i="87"/>
  <c r="HH20" i="87"/>
  <c r="HH19" i="87"/>
  <c r="HH18" i="87"/>
  <c r="HH17" i="87"/>
  <c r="HH16" i="87"/>
  <c r="HH15" i="87"/>
  <c r="HH14" i="87"/>
  <c r="HH13" i="87"/>
  <c r="GX38" i="87"/>
  <c r="GX37" i="87"/>
  <c r="GX36" i="87"/>
  <c r="GX35" i="87"/>
  <c r="GX34" i="87"/>
  <c r="GX33" i="87"/>
  <c r="GX32" i="87"/>
  <c r="GX31" i="87"/>
  <c r="GX29" i="87"/>
  <c r="GX28" i="87"/>
  <c r="GX27" i="87"/>
  <c r="GX26" i="87"/>
  <c r="GX25" i="87"/>
  <c r="GX24" i="87"/>
  <c r="GX23" i="87"/>
  <c r="GX22" i="87"/>
  <c r="GX20" i="87"/>
  <c r="GX19" i="87"/>
  <c r="GX18" i="87"/>
  <c r="GX17" i="87"/>
  <c r="GX16" i="87"/>
  <c r="GX15" i="87"/>
  <c r="GX14" i="87"/>
  <c r="GX13" i="87"/>
  <c r="GN38" i="87"/>
  <c r="GN37" i="87"/>
  <c r="GN36" i="87"/>
  <c r="GN35" i="87"/>
  <c r="GN34" i="87"/>
  <c r="GN33" i="87"/>
  <c r="GN32" i="87"/>
  <c r="GN31" i="87"/>
  <c r="GN29" i="87"/>
  <c r="GN28" i="87"/>
  <c r="GN27" i="87"/>
  <c r="GN26" i="87"/>
  <c r="GN25" i="87"/>
  <c r="GN24" i="87"/>
  <c r="GN23" i="87"/>
  <c r="GN22" i="87"/>
  <c r="GN20" i="87"/>
  <c r="GN19" i="87"/>
  <c r="GN18" i="87"/>
  <c r="GN17" i="87"/>
  <c r="GN16" i="87"/>
  <c r="GN15" i="87"/>
  <c r="GN14" i="87"/>
  <c r="GN13" i="87"/>
  <c r="GD38" i="87"/>
  <c r="GD37" i="87"/>
  <c r="GD36" i="87"/>
  <c r="GD35" i="87"/>
  <c r="GD34" i="87"/>
  <c r="GD33" i="87"/>
  <c r="GD32" i="87"/>
  <c r="GD31" i="87"/>
  <c r="GD29" i="87"/>
  <c r="GD28" i="87"/>
  <c r="GD27" i="87"/>
  <c r="GD26" i="87"/>
  <c r="GD25" i="87"/>
  <c r="GD24" i="87"/>
  <c r="GD23" i="87"/>
  <c r="GD22" i="87"/>
  <c r="GD20" i="87"/>
  <c r="GD19" i="87"/>
  <c r="GD18" i="87"/>
  <c r="GD17" i="87"/>
  <c r="GD16" i="87"/>
  <c r="GD15" i="87"/>
  <c r="GD14" i="87"/>
  <c r="GD13" i="87"/>
  <c r="FT38" i="87"/>
  <c r="FT37" i="87"/>
  <c r="FT36" i="87"/>
  <c r="FT35" i="87"/>
  <c r="FT34" i="87"/>
  <c r="FT33" i="87"/>
  <c r="FT32" i="87"/>
  <c r="FT31" i="87"/>
  <c r="FT29" i="87"/>
  <c r="FT28" i="87"/>
  <c r="FT27" i="87"/>
  <c r="FT26" i="87"/>
  <c r="FT25" i="87"/>
  <c r="FT24" i="87"/>
  <c r="FT23" i="87"/>
  <c r="FT22" i="87"/>
  <c r="FT20" i="87"/>
  <c r="FT19" i="87"/>
  <c r="FT18" i="87"/>
  <c r="FT17" i="87"/>
  <c r="FT16" i="87"/>
  <c r="FT15" i="87"/>
  <c r="FT14" i="87"/>
  <c r="FT13" i="87"/>
  <c r="FJ38" i="87"/>
  <c r="FJ37" i="87"/>
  <c r="FJ36" i="87"/>
  <c r="FJ35" i="87"/>
  <c r="FJ34" i="87"/>
  <c r="FJ33" i="87"/>
  <c r="FJ32" i="87"/>
  <c r="FJ31" i="87"/>
  <c r="FJ29" i="87"/>
  <c r="FJ28" i="87"/>
  <c r="FJ27" i="87"/>
  <c r="FJ26" i="87"/>
  <c r="FJ25" i="87"/>
  <c r="FJ24" i="87"/>
  <c r="FJ23" i="87"/>
  <c r="FJ22" i="87"/>
  <c r="FJ20" i="87"/>
  <c r="FJ19" i="87"/>
  <c r="FJ18" i="87"/>
  <c r="FJ17" i="87"/>
  <c r="FJ16" i="87"/>
  <c r="FJ15" i="87"/>
  <c r="FJ14" i="87"/>
  <c r="FJ13" i="87"/>
  <c r="EZ38" i="87"/>
  <c r="EZ37" i="87"/>
  <c r="EZ36" i="87"/>
  <c r="EZ35" i="87"/>
  <c r="EZ34" i="87"/>
  <c r="EZ33" i="87"/>
  <c r="EZ32" i="87"/>
  <c r="EZ31" i="87"/>
  <c r="EZ29" i="87"/>
  <c r="EZ28" i="87"/>
  <c r="EZ27" i="87"/>
  <c r="EZ26" i="87"/>
  <c r="EZ25" i="87"/>
  <c r="EZ24" i="87"/>
  <c r="EZ23" i="87"/>
  <c r="EZ22" i="87"/>
  <c r="EZ20" i="87"/>
  <c r="EZ19" i="87"/>
  <c r="EZ18" i="87"/>
  <c r="EZ17" i="87"/>
  <c r="EZ16" i="87"/>
  <c r="EZ15" i="87"/>
  <c r="EZ14" i="87"/>
  <c r="EZ13" i="87"/>
  <c r="EP38" i="87"/>
  <c r="EP37" i="87"/>
  <c r="EP36" i="87"/>
  <c r="EP35" i="87"/>
  <c r="EP34" i="87"/>
  <c r="EP33" i="87"/>
  <c r="EP32" i="87"/>
  <c r="EP31" i="87"/>
  <c r="EP29" i="87"/>
  <c r="EP28" i="87"/>
  <c r="EP27" i="87"/>
  <c r="EP26" i="87"/>
  <c r="EP25" i="87"/>
  <c r="EP24" i="87"/>
  <c r="EP23" i="87"/>
  <c r="EP22" i="87"/>
  <c r="EP20" i="87"/>
  <c r="EP19" i="87"/>
  <c r="EP18" i="87"/>
  <c r="EP17" i="87"/>
  <c r="EP16" i="87"/>
  <c r="EP15" i="87"/>
  <c r="EP14" i="87"/>
  <c r="EP13" i="87"/>
  <c r="EF38" i="87"/>
  <c r="EF37" i="87"/>
  <c r="EF36" i="87"/>
  <c r="EF35" i="87"/>
  <c r="EF34" i="87"/>
  <c r="EF33" i="87"/>
  <c r="EF32" i="87"/>
  <c r="EF31" i="87"/>
  <c r="EF29" i="87"/>
  <c r="EF28" i="87"/>
  <c r="EF27" i="87"/>
  <c r="EF26" i="87"/>
  <c r="EF25" i="87"/>
  <c r="EF24" i="87"/>
  <c r="EF23" i="87"/>
  <c r="EF22" i="87"/>
  <c r="EF20" i="87"/>
  <c r="EF19" i="87"/>
  <c r="EF18" i="87"/>
  <c r="EF17" i="87"/>
  <c r="EF16" i="87"/>
  <c r="EF15" i="87"/>
  <c r="EF14" i="87"/>
  <c r="EF13" i="87"/>
  <c r="DV38" i="87"/>
  <c r="DV37" i="87"/>
  <c r="DV36" i="87"/>
  <c r="DV35" i="87"/>
  <c r="DV34" i="87"/>
  <c r="DV33" i="87"/>
  <c r="DV32" i="87"/>
  <c r="DV31" i="87"/>
  <c r="DV29" i="87"/>
  <c r="DV28" i="87"/>
  <c r="DV27" i="87"/>
  <c r="DV26" i="87"/>
  <c r="DV25" i="87"/>
  <c r="DV24" i="87"/>
  <c r="DV23" i="87"/>
  <c r="DV22" i="87"/>
  <c r="DV20" i="87"/>
  <c r="DV19" i="87"/>
  <c r="DV18" i="87"/>
  <c r="DV17" i="87"/>
  <c r="DV16" i="87"/>
  <c r="DV15" i="87"/>
  <c r="DV14" i="87"/>
  <c r="DV13" i="87"/>
  <c r="DL38" i="87"/>
  <c r="DL37" i="87"/>
  <c r="DL36" i="87"/>
  <c r="DL35" i="87"/>
  <c r="DL34" i="87"/>
  <c r="DL33" i="87"/>
  <c r="DL32" i="87"/>
  <c r="DL31" i="87"/>
  <c r="DL29" i="87"/>
  <c r="DL28" i="87"/>
  <c r="DL27" i="87"/>
  <c r="DL26" i="87"/>
  <c r="DL25" i="87"/>
  <c r="DL24" i="87"/>
  <c r="DL23" i="87"/>
  <c r="DL22" i="87"/>
  <c r="DL20" i="87"/>
  <c r="DL19" i="87"/>
  <c r="DL18" i="87"/>
  <c r="DL17" i="87"/>
  <c r="DL16" i="87"/>
  <c r="DL15" i="87"/>
  <c r="DL14" i="87"/>
  <c r="DL13" i="87"/>
  <c r="DB38" i="87"/>
  <c r="DB37" i="87"/>
  <c r="DB36" i="87"/>
  <c r="DB35" i="87"/>
  <c r="DB34" i="87"/>
  <c r="DB33" i="87"/>
  <c r="DB32" i="87"/>
  <c r="DB31" i="87"/>
  <c r="DB29" i="87"/>
  <c r="DB28" i="87"/>
  <c r="DB27" i="87"/>
  <c r="DB26" i="87"/>
  <c r="DB25" i="87"/>
  <c r="DB24" i="87"/>
  <c r="DB23" i="87"/>
  <c r="DB22" i="87"/>
  <c r="DB20" i="87"/>
  <c r="DB19" i="87"/>
  <c r="DB18" i="87"/>
  <c r="DB17" i="87"/>
  <c r="DB16" i="87"/>
  <c r="DB15" i="87"/>
  <c r="DB14" i="87"/>
  <c r="DB13" i="87"/>
  <c r="CR38" i="87"/>
  <c r="CR37" i="87"/>
  <c r="CR36" i="87"/>
  <c r="CR35" i="87"/>
  <c r="CR34" i="87"/>
  <c r="CR33" i="87"/>
  <c r="CR32" i="87"/>
  <c r="CR31" i="87"/>
  <c r="CR29" i="87"/>
  <c r="CR28" i="87"/>
  <c r="CR27" i="87"/>
  <c r="CR26" i="87"/>
  <c r="CR25" i="87"/>
  <c r="CR24" i="87"/>
  <c r="CR23" i="87"/>
  <c r="CR22" i="87"/>
  <c r="CR20" i="87"/>
  <c r="CR19" i="87"/>
  <c r="CR18" i="87"/>
  <c r="CR17" i="87"/>
  <c r="CR16" i="87"/>
  <c r="CR15" i="87"/>
  <c r="CR14" i="87"/>
  <c r="CR13" i="87"/>
  <c r="CH38" i="87"/>
  <c r="CH37" i="87"/>
  <c r="CH36" i="87"/>
  <c r="CH35" i="87"/>
  <c r="CH34" i="87"/>
  <c r="CH33" i="87"/>
  <c r="CH32" i="87"/>
  <c r="CH31" i="87"/>
  <c r="CH29" i="87"/>
  <c r="CH28" i="87"/>
  <c r="CH27" i="87"/>
  <c r="CH26" i="87"/>
  <c r="CH25" i="87"/>
  <c r="CH24" i="87"/>
  <c r="CH23" i="87"/>
  <c r="CH22" i="87"/>
  <c r="CH20" i="87"/>
  <c r="CH19" i="87"/>
  <c r="CH18" i="87"/>
  <c r="CH17" i="87"/>
  <c r="CH16" i="87"/>
  <c r="CH15" i="87"/>
  <c r="CH14" i="87"/>
  <c r="CH13" i="87"/>
  <c r="BX38" i="87"/>
  <c r="BX37" i="87"/>
  <c r="BX36" i="87"/>
  <c r="BX35" i="87"/>
  <c r="BX34" i="87"/>
  <c r="BX33" i="87"/>
  <c r="BX32" i="87"/>
  <c r="BX31" i="87"/>
  <c r="BX29" i="87"/>
  <c r="BX28" i="87"/>
  <c r="BX27" i="87"/>
  <c r="BX26" i="87"/>
  <c r="BX25" i="87"/>
  <c r="BX24" i="87"/>
  <c r="BX23" i="87"/>
  <c r="BX22" i="87"/>
  <c r="BX20" i="87"/>
  <c r="BX19" i="87"/>
  <c r="BX18" i="87"/>
  <c r="BX17" i="87"/>
  <c r="BX16" i="87"/>
  <c r="BX15" i="87"/>
  <c r="BX14" i="87"/>
  <c r="BX13" i="87"/>
  <c r="BN38" i="87"/>
  <c r="BN37" i="87"/>
  <c r="BN36" i="87"/>
  <c r="BN35" i="87"/>
  <c r="BN34" i="87"/>
  <c r="BN33" i="87"/>
  <c r="BN32" i="87"/>
  <c r="BN31" i="87"/>
  <c r="BN29" i="87"/>
  <c r="BN28" i="87"/>
  <c r="BN27" i="87"/>
  <c r="BN26" i="87"/>
  <c r="BN25" i="87"/>
  <c r="BN24" i="87"/>
  <c r="BN23" i="87"/>
  <c r="BN22" i="87"/>
  <c r="BN20" i="87"/>
  <c r="BN19" i="87"/>
  <c r="BN18" i="87"/>
  <c r="BN17" i="87"/>
  <c r="BN16" i="87"/>
  <c r="BN15" i="87"/>
  <c r="BN14" i="87"/>
  <c r="BN13" i="87"/>
  <c r="BD38" i="87"/>
  <c r="BD37" i="87"/>
  <c r="BD36" i="87"/>
  <c r="BD35" i="87"/>
  <c r="BD34" i="87"/>
  <c r="BD33" i="87"/>
  <c r="BD32" i="87"/>
  <c r="BD31" i="87"/>
  <c r="BD29" i="87"/>
  <c r="BD28" i="87"/>
  <c r="BD27" i="87"/>
  <c r="BD26" i="87"/>
  <c r="BD25" i="87"/>
  <c r="BD24" i="87"/>
  <c r="BD23" i="87"/>
  <c r="BD22" i="87"/>
  <c r="BD20" i="87"/>
  <c r="BD19" i="87"/>
  <c r="BD18" i="87"/>
  <c r="BD17" i="87"/>
  <c r="BD16" i="87"/>
  <c r="BD15" i="87"/>
  <c r="BD14" i="87"/>
  <c r="BD13" i="87"/>
  <c r="AT38" i="87"/>
  <c r="AT37" i="87"/>
  <c r="AT36" i="87"/>
  <c r="AT35" i="87"/>
  <c r="AT34" i="87"/>
  <c r="AT33" i="87"/>
  <c r="AT32" i="87"/>
  <c r="AT31" i="87"/>
  <c r="AT29" i="87"/>
  <c r="AT28" i="87"/>
  <c r="AT27" i="87"/>
  <c r="AT26" i="87"/>
  <c r="AT25" i="87"/>
  <c r="AT24" i="87"/>
  <c r="AT23" i="87"/>
  <c r="AT22" i="87"/>
  <c r="AT20" i="87"/>
  <c r="AT19" i="87"/>
  <c r="AT18" i="87"/>
  <c r="AT17" i="87"/>
  <c r="AT16" i="87"/>
  <c r="AT15" i="87"/>
  <c r="AT14" i="87"/>
  <c r="AT13" i="87"/>
  <c r="AJ38" i="87"/>
  <c r="AJ37" i="87"/>
  <c r="AJ36" i="87"/>
  <c r="AJ35" i="87"/>
  <c r="AJ34" i="87"/>
  <c r="AJ33" i="87"/>
  <c r="AJ32" i="87"/>
  <c r="AJ31" i="87"/>
  <c r="AJ29" i="87"/>
  <c r="AJ28" i="87"/>
  <c r="AJ27" i="87"/>
  <c r="AJ26" i="87"/>
  <c r="AJ25" i="87"/>
  <c r="AJ24" i="87"/>
  <c r="AJ23" i="87"/>
  <c r="AJ22" i="87"/>
  <c r="AJ20" i="87"/>
  <c r="AJ19" i="87"/>
  <c r="AJ18" i="87"/>
  <c r="AJ17" i="87"/>
  <c r="AJ16" i="87"/>
  <c r="AJ15" i="87"/>
  <c r="AJ14" i="87"/>
  <c r="AJ13" i="87"/>
  <c r="Z38" i="87"/>
  <c r="Z37" i="87"/>
  <c r="Z36" i="87"/>
  <c r="Z35" i="87"/>
  <c r="Z34" i="87"/>
  <c r="Z33" i="87"/>
  <c r="Z32" i="87"/>
  <c r="Z31" i="87"/>
  <c r="Z29" i="87"/>
  <c r="Z28" i="87"/>
  <c r="Z27" i="87"/>
  <c r="Z26" i="87"/>
  <c r="Z25" i="87"/>
  <c r="Z24" i="87"/>
  <c r="Z23" i="87"/>
  <c r="Z22" i="87"/>
  <c r="Z20" i="87"/>
  <c r="Z19" i="87"/>
  <c r="Z18" i="87"/>
  <c r="Z17" i="87"/>
  <c r="Z16" i="87"/>
  <c r="Z15" i="87"/>
  <c r="Z14" i="87"/>
  <c r="Z13" i="87"/>
  <c r="P38" i="87"/>
  <c r="P37" i="87"/>
  <c r="P36" i="87"/>
  <c r="P35" i="87"/>
  <c r="P34" i="87"/>
  <c r="P33" i="87"/>
  <c r="P32" i="87"/>
  <c r="P31" i="87"/>
  <c r="P29" i="87"/>
  <c r="P28" i="87"/>
  <c r="P27" i="87"/>
  <c r="P26" i="87"/>
  <c r="P25" i="87"/>
  <c r="P24" i="87"/>
  <c r="P23" i="87"/>
  <c r="P22" i="87"/>
  <c r="P20" i="87"/>
  <c r="P19" i="87"/>
  <c r="P18" i="87"/>
  <c r="P17" i="87"/>
  <c r="P16" i="87"/>
  <c r="P15" i="87"/>
  <c r="P14" i="87"/>
  <c r="P13" i="87"/>
  <c r="F38" i="87"/>
  <c r="F37" i="87"/>
  <c r="F36" i="87"/>
  <c r="F35" i="87"/>
  <c r="F34" i="87"/>
  <c r="F33" i="87"/>
  <c r="F32" i="87"/>
  <c r="F31" i="87"/>
  <c r="F29" i="87"/>
  <c r="F28" i="87"/>
  <c r="F27" i="87"/>
  <c r="F26" i="87"/>
  <c r="F25" i="87"/>
  <c r="F24" i="87"/>
  <c r="F23" i="87"/>
  <c r="F22" i="87"/>
  <c r="F20" i="87"/>
  <c r="F19" i="87"/>
  <c r="F18" i="87"/>
  <c r="F17" i="87"/>
  <c r="F16" i="87"/>
  <c r="F15" i="87"/>
  <c r="F14" i="87"/>
  <c r="F13" i="87"/>
  <c r="ZG1373" i="191" l="1"/>
  <c r="ZF1373" i="191"/>
  <c r="ZE1373" i="191"/>
  <c r="ZD1373" i="191"/>
  <c r="ZC1373" i="191"/>
  <c r="ZB1373" i="191"/>
  <c r="YO1367" i="191"/>
  <c r="YN1367" i="191"/>
  <c r="YM1367" i="191"/>
  <c r="YO1366" i="191"/>
  <c r="YN1366" i="191"/>
  <c r="YM1366" i="191"/>
  <c r="YO1365" i="191"/>
  <c r="YN1365" i="191"/>
  <c r="YM1365" i="191"/>
  <c r="YO1363" i="191"/>
  <c r="YN1363" i="191"/>
  <c r="YM1363" i="191"/>
  <c r="YO1362" i="191"/>
  <c r="YN1362" i="191"/>
  <c r="YM1362" i="191"/>
  <c r="YO1361" i="191"/>
  <c r="YN1361" i="191"/>
  <c r="YM1361" i="191"/>
  <c r="XT1360" i="191"/>
  <c r="XS1360" i="191"/>
  <c r="XR1360" i="191"/>
  <c r="WY1360" i="191"/>
  <c r="WX1360" i="191"/>
  <c r="WW1360" i="191"/>
  <c r="WD1360" i="191"/>
  <c r="WC1360" i="191"/>
  <c r="WB1360" i="191"/>
  <c r="VI1360" i="191"/>
  <c r="VH1360" i="191"/>
  <c r="VG1360" i="191"/>
  <c r="UN1360" i="191"/>
  <c r="UM1360" i="191"/>
  <c r="UL1360" i="191"/>
  <c r="TS1360" i="191"/>
  <c r="TR1360" i="191"/>
  <c r="TQ1360" i="191"/>
  <c r="SX1360" i="191"/>
  <c r="SW1360" i="191"/>
  <c r="SV1360" i="191"/>
  <c r="SC1360" i="191"/>
  <c r="SB1360" i="191"/>
  <c r="SA1360" i="191"/>
  <c r="RH1360" i="191"/>
  <c r="RG1360" i="191"/>
  <c r="RF1360" i="191"/>
  <c r="QM1360" i="191"/>
  <c r="QL1360" i="191"/>
  <c r="QK1360" i="191"/>
  <c r="PR1360" i="191"/>
  <c r="PQ1360" i="191"/>
  <c r="PP1360" i="191"/>
  <c r="OW1360" i="191"/>
  <c r="OV1360" i="191"/>
  <c r="OU1360" i="191"/>
  <c r="OB1360" i="191"/>
  <c r="OA1360" i="191"/>
  <c r="NZ1360" i="191"/>
  <c r="NG1360" i="191"/>
  <c r="NF1360" i="191"/>
  <c r="NE1360" i="191"/>
  <c r="ML1360" i="191"/>
  <c r="MK1360" i="191"/>
  <c r="MJ1360" i="191"/>
  <c r="LQ1360" i="191"/>
  <c r="LP1360" i="191"/>
  <c r="LO1360" i="191"/>
  <c r="KV1360" i="191"/>
  <c r="KU1360" i="191"/>
  <c r="KT1360" i="191"/>
  <c r="KA1360" i="191"/>
  <c r="JZ1360" i="191"/>
  <c r="JY1360" i="191"/>
  <c r="JF1360" i="191"/>
  <c r="JE1360" i="191"/>
  <c r="JD1360" i="191"/>
  <c r="IK1360" i="191"/>
  <c r="IJ1360" i="191"/>
  <c r="II1360" i="191"/>
  <c r="HP1360" i="191"/>
  <c r="HO1360" i="191"/>
  <c r="HN1360" i="191"/>
  <c r="GU1360" i="191"/>
  <c r="GT1360" i="191"/>
  <c r="GS1360" i="191"/>
  <c r="FZ1360" i="191"/>
  <c r="FY1360" i="191"/>
  <c r="FX1360" i="191"/>
  <c r="FE1360" i="191"/>
  <c r="FD1360" i="191"/>
  <c r="FC1360" i="191"/>
  <c r="EJ1360" i="191"/>
  <c r="EI1360" i="191"/>
  <c r="EH1360" i="191"/>
  <c r="DO1360" i="191"/>
  <c r="DN1360" i="191"/>
  <c r="DM1360" i="191"/>
  <c r="CT1360" i="191"/>
  <c r="CS1360" i="191"/>
  <c r="CR1360" i="191"/>
  <c r="BY1360" i="191"/>
  <c r="BX1360" i="191"/>
  <c r="BW1360" i="191"/>
  <c r="BD1360" i="191"/>
  <c r="BC1360" i="191"/>
  <c r="BB1360" i="191"/>
  <c r="AI1360" i="191"/>
  <c r="AH1360" i="191"/>
  <c r="AG1360" i="191"/>
  <c r="N1360" i="191"/>
  <c r="M1360" i="191"/>
  <c r="L1360" i="191"/>
  <c r="VF1353" i="191"/>
  <c r="VF1352" i="191" s="1"/>
  <c r="ZE1353" i="191"/>
  <c r="ZF1353" i="191" s="1"/>
  <c r="YL1353" i="191"/>
  <c r="YK1353" i="191"/>
  <c r="YK1352" i="191" s="1"/>
  <c r="YJ1353" i="191"/>
  <c r="XQ1353" i="191"/>
  <c r="XQ1352" i="191" s="1"/>
  <c r="XP1353" i="191"/>
  <c r="XP1352" i="191" s="1"/>
  <c r="XO1353" i="191"/>
  <c r="XO1352" i="191" s="1"/>
  <c r="WV1353" i="191"/>
  <c r="WU1353" i="191"/>
  <c r="WT1353" i="191"/>
  <c r="WA1353" i="191"/>
  <c r="WA1352" i="191" s="1"/>
  <c r="VZ1353" i="191"/>
  <c r="VZ1352" i="191" s="1"/>
  <c r="VY1353" i="191"/>
  <c r="VY1352" i="191" s="1"/>
  <c r="VE1353" i="191"/>
  <c r="VD1353" i="191"/>
  <c r="VD1352" i="191" s="1"/>
  <c r="UK1353" i="191"/>
  <c r="UJ1353" i="191"/>
  <c r="UJ1352" i="191" s="1"/>
  <c r="UI1353" i="191"/>
  <c r="TP1353" i="191"/>
  <c r="TP1352" i="191" s="1"/>
  <c r="TO1353" i="191"/>
  <c r="TO1352" i="191" s="1"/>
  <c r="TN1353" i="191"/>
  <c r="TN1352" i="191" s="1"/>
  <c r="SU1353" i="191"/>
  <c r="ST1353" i="191"/>
  <c r="ST1352" i="191" s="1"/>
  <c r="SS1353" i="191"/>
  <c r="RZ1353" i="191"/>
  <c r="RZ1352" i="191" s="1"/>
  <c r="RY1353" i="191"/>
  <c r="RX1353" i="191"/>
  <c r="RX1352" i="191" s="1"/>
  <c r="RE1353" i="191"/>
  <c r="RD1353" i="191"/>
  <c r="RC1353" i="191"/>
  <c r="QJ1353" i="191"/>
  <c r="QJ1352" i="191" s="1"/>
  <c r="QI1353" i="191"/>
  <c r="QH1353" i="191"/>
  <c r="QH1352" i="191" s="1"/>
  <c r="PO1353" i="191"/>
  <c r="PN1353" i="191"/>
  <c r="PN1352" i="191" s="1"/>
  <c r="PM1353" i="191"/>
  <c r="OT1353" i="191"/>
  <c r="OT1352" i="191" s="1"/>
  <c r="OS1353" i="191"/>
  <c r="OR1353" i="191"/>
  <c r="OR1352" i="191" s="1"/>
  <c r="NY1353" i="191"/>
  <c r="NX1353" i="191"/>
  <c r="NW1353" i="191"/>
  <c r="ND1353" i="191"/>
  <c r="ND1352" i="191" s="1"/>
  <c r="NC1353" i="191"/>
  <c r="NB1353" i="191"/>
  <c r="NB1352" i="191" s="1"/>
  <c r="MI1353" i="191"/>
  <c r="MH1353" i="191"/>
  <c r="MH1352" i="191" s="1"/>
  <c r="MG1353" i="191"/>
  <c r="LN1353" i="191"/>
  <c r="LN1352" i="191" s="1"/>
  <c r="LM1353" i="191"/>
  <c r="LL1353" i="191"/>
  <c r="LL1352" i="191" s="1"/>
  <c r="KS1353" i="191"/>
  <c r="KR1353" i="191"/>
  <c r="KQ1353" i="191"/>
  <c r="JX1353" i="191"/>
  <c r="JX1352" i="191" s="1"/>
  <c r="JW1353" i="191"/>
  <c r="JV1353" i="191"/>
  <c r="JV1352" i="191" s="1"/>
  <c r="JC1353" i="191"/>
  <c r="JB1353" i="191"/>
  <c r="JB1352" i="191" s="1"/>
  <c r="JA1353" i="191"/>
  <c r="IH1353" i="191"/>
  <c r="IH1352" i="191" s="1"/>
  <c r="IG1353" i="191"/>
  <c r="IF1353" i="191"/>
  <c r="IF1352" i="191" s="1"/>
  <c r="HM1353" i="191"/>
  <c r="HL1353" i="191"/>
  <c r="HL1352" i="191" s="1"/>
  <c r="HK1353" i="191"/>
  <c r="GR1353" i="191"/>
  <c r="GR1352" i="191" s="1"/>
  <c r="GQ1353" i="191"/>
  <c r="GP1353" i="191"/>
  <c r="FW1353" i="191"/>
  <c r="FV1353" i="191"/>
  <c r="FV1352" i="191" s="1"/>
  <c r="FU1353" i="191"/>
  <c r="FU1352" i="191" s="1"/>
  <c r="FB1353" i="191"/>
  <c r="FA1353" i="191"/>
  <c r="EZ1353" i="191"/>
  <c r="EZ1352" i="191" s="1"/>
  <c r="EG1353" i="191"/>
  <c r="EF1353" i="191"/>
  <c r="EE1353" i="191"/>
  <c r="DL1353" i="191"/>
  <c r="DL1352" i="191" s="1"/>
  <c r="DK1353" i="191"/>
  <c r="DJ1353" i="191"/>
  <c r="DJ1352" i="191" s="1"/>
  <c r="CQ1353" i="191"/>
  <c r="CP1353" i="191"/>
  <c r="CP1352" i="191" s="1"/>
  <c r="CO1353" i="191"/>
  <c r="BV1353" i="191"/>
  <c r="BU1353" i="191"/>
  <c r="BT1353" i="191"/>
  <c r="BT1352" i="191" s="1"/>
  <c r="BA1353" i="191"/>
  <c r="AZ1353" i="191"/>
  <c r="AY1353" i="191"/>
  <c r="AF1353" i="191"/>
  <c r="AF1352" i="191" s="1"/>
  <c r="AE1353" i="191"/>
  <c r="AD1353" i="191"/>
  <c r="AD1352" i="191" s="1"/>
  <c r="ZD1352" i="191"/>
  <c r="ZC1352" i="191"/>
  <c r="ZB1352" i="191"/>
  <c r="YL1352" i="191"/>
  <c r="YJ1352" i="191"/>
  <c r="WV1352" i="191"/>
  <c r="WU1352" i="191"/>
  <c r="WT1352" i="191"/>
  <c r="VE1352" i="191"/>
  <c r="UK1352" i="191"/>
  <c r="UI1352" i="191"/>
  <c r="SU1352" i="191"/>
  <c r="SS1352" i="191"/>
  <c r="RY1352" i="191"/>
  <c r="RE1352" i="191"/>
  <c r="RD1352" i="191"/>
  <c r="RC1352" i="191"/>
  <c r="QI1352" i="191"/>
  <c r="PO1352" i="191"/>
  <c r="PM1352" i="191"/>
  <c r="OS1352" i="191"/>
  <c r="NY1352" i="191"/>
  <c r="NX1352" i="191"/>
  <c r="NW1352" i="191"/>
  <c r="NC1352" i="191"/>
  <c r="MI1352" i="191"/>
  <c r="MG1352" i="191"/>
  <c r="LM1352" i="191"/>
  <c r="KS1352" i="191"/>
  <c r="KR1352" i="191"/>
  <c r="KQ1352" i="191"/>
  <c r="JW1352" i="191"/>
  <c r="JC1352" i="191"/>
  <c r="JA1352" i="191"/>
  <c r="IG1352" i="191"/>
  <c r="HM1352" i="191"/>
  <c r="HK1352" i="191"/>
  <c r="GQ1352" i="191"/>
  <c r="GP1352" i="191"/>
  <c r="FW1352" i="191"/>
  <c r="FB1352" i="191"/>
  <c r="FA1352" i="191"/>
  <c r="EG1352" i="191"/>
  <c r="EF1352" i="191"/>
  <c r="EE1352" i="191"/>
  <c r="DK1352" i="191"/>
  <c r="CQ1352" i="191"/>
  <c r="CO1352" i="191"/>
  <c r="BV1352" i="191"/>
  <c r="BU1352" i="191"/>
  <c r="BA1352" i="191"/>
  <c r="AZ1352" i="191"/>
  <c r="AY1352" i="191"/>
  <c r="AE1352" i="191"/>
  <c r="YO1346" i="191"/>
  <c r="YN1346" i="191"/>
  <c r="YM1346" i="191"/>
  <c r="YO1345" i="191"/>
  <c r="YN1345" i="191"/>
  <c r="YM1345" i="191"/>
  <c r="YO1344" i="191"/>
  <c r="YN1344" i="191"/>
  <c r="YM1344" i="191"/>
  <c r="YO1343" i="191"/>
  <c r="YN1343" i="191"/>
  <c r="YM1343" i="191"/>
  <c r="YO1342" i="191"/>
  <c r="YN1342" i="191"/>
  <c r="YM1342" i="191"/>
  <c r="YO1341" i="191"/>
  <c r="YN1341" i="191"/>
  <c r="YM1341" i="191"/>
  <c r="YO1340" i="191"/>
  <c r="YN1340" i="191"/>
  <c r="YM1340" i="191"/>
  <c r="YO1339" i="191"/>
  <c r="YN1339" i="191"/>
  <c r="YM1339" i="191"/>
  <c r="XT1338" i="191"/>
  <c r="XS1338" i="191"/>
  <c r="XR1338" i="191"/>
  <c r="WY1338" i="191"/>
  <c r="WX1338" i="191"/>
  <c r="WW1338" i="191"/>
  <c r="WD1338" i="191"/>
  <c r="WC1338" i="191"/>
  <c r="WB1338" i="191"/>
  <c r="VI1338" i="191"/>
  <c r="VH1338" i="191"/>
  <c r="VG1338" i="191"/>
  <c r="UN1338" i="191"/>
  <c r="UM1338" i="191"/>
  <c r="UL1338" i="191"/>
  <c r="TS1338" i="191"/>
  <c r="TR1338" i="191"/>
  <c r="TQ1338" i="191"/>
  <c r="SX1338" i="191"/>
  <c r="SW1338" i="191"/>
  <c r="SV1338" i="191"/>
  <c r="SC1338" i="191"/>
  <c r="SB1338" i="191"/>
  <c r="SA1338" i="191"/>
  <c r="RH1338" i="191"/>
  <c r="RG1338" i="191"/>
  <c r="RF1338" i="191"/>
  <c r="QM1338" i="191"/>
  <c r="QL1338" i="191"/>
  <c r="QK1338" i="191"/>
  <c r="PR1338" i="191"/>
  <c r="PQ1338" i="191"/>
  <c r="PP1338" i="191"/>
  <c r="OW1338" i="191"/>
  <c r="OV1338" i="191"/>
  <c r="OU1338" i="191"/>
  <c r="OB1338" i="191"/>
  <c r="OA1338" i="191"/>
  <c r="NZ1338" i="191"/>
  <c r="NG1338" i="191"/>
  <c r="NF1338" i="191"/>
  <c r="NE1338" i="191"/>
  <c r="ML1338" i="191"/>
  <c r="MK1338" i="191"/>
  <c r="MJ1338" i="191"/>
  <c r="LQ1338" i="191"/>
  <c r="LP1338" i="191"/>
  <c r="LO1338" i="191"/>
  <c r="KV1338" i="191"/>
  <c r="KU1338" i="191"/>
  <c r="KT1338" i="191"/>
  <c r="KA1338" i="191"/>
  <c r="JZ1338" i="191"/>
  <c r="JY1338" i="191"/>
  <c r="JF1338" i="191"/>
  <c r="JE1338" i="191"/>
  <c r="JD1338" i="191"/>
  <c r="IK1338" i="191"/>
  <c r="IJ1338" i="191"/>
  <c r="II1338" i="191"/>
  <c r="HP1338" i="191"/>
  <c r="HO1338" i="191"/>
  <c r="HN1338" i="191"/>
  <c r="GU1338" i="191"/>
  <c r="GT1338" i="191"/>
  <c r="GS1338" i="191"/>
  <c r="FZ1338" i="191"/>
  <c r="FY1338" i="191"/>
  <c r="FX1338" i="191"/>
  <c r="FE1338" i="191"/>
  <c r="FD1338" i="191"/>
  <c r="FC1338" i="191"/>
  <c r="EJ1338" i="191"/>
  <c r="EI1338" i="191"/>
  <c r="EH1338" i="191"/>
  <c r="DO1338" i="191"/>
  <c r="DN1338" i="191"/>
  <c r="DM1338" i="191"/>
  <c r="CT1338" i="191"/>
  <c r="CS1338" i="191"/>
  <c r="CR1338" i="191"/>
  <c r="BY1338" i="191"/>
  <c r="BX1338" i="191"/>
  <c r="BW1338" i="191"/>
  <c r="BD1338" i="191"/>
  <c r="BC1338" i="191"/>
  <c r="BB1338" i="191"/>
  <c r="AI1338" i="191"/>
  <c r="AH1338" i="191"/>
  <c r="AG1338" i="191"/>
  <c r="N1338" i="191"/>
  <c r="M1338" i="191"/>
  <c r="L1338" i="191"/>
  <c r="YO1336" i="191"/>
  <c r="YM1336" i="191"/>
  <c r="AH1336" i="191"/>
  <c r="YO1335" i="191"/>
  <c r="YN1335" i="191"/>
  <c r="YM1335" i="191"/>
  <c r="YO1334" i="191"/>
  <c r="YN1334" i="191"/>
  <c r="YM1334" i="191"/>
  <c r="YO1333" i="191"/>
  <c r="YN1333" i="191"/>
  <c r="YM1333" i="191"/>
  <c r="YO1332" i="191"/>
  <c r="YN1332" i="191"/>
  <c r="YM1332" i="191"/>
  <c r="YO1331" i="191"/>
  <c r="YN1331" i="191"/>
  <c r="YM1331" i="191"/>
  <c r="YO1330" i="191"/>
  <c r="YN1330" i="191"/>
  <c r="YM1330" i="191"/>
  <c r="YO1329" i="191"/>
  <c r="YN1329" i="191"/>
  <c r="YM1329" i="191"/>
  <c r="XT1328" i="191"/>
  <c r="XS1328" i="191"/>
  <c r="XR1328" i="191"/>
  <c r="WY1328" i="191"/>
  <c r="WX1328" i="191"/>
  <c r="WW1328" i="191"/>
  <c r="WD1328" i="191"/>
  <c r="WC1328" i="191"/>
  <c r="WB1328" i="191"/>
  <c r="VI1328" i="191"/>
  <c r="VH1328" i="191"/>
  <c r="VG1328" i="191"/>
  <c r="UN1328" i="191"/>
  <c r="UM1328" i="191"/>
  <c r="UL1328" i="191"/>
  <c r="TS1328" i="191"/>
  <c r="TR1328" i="191"/>
  <c r="TQ1328" i="191"/>
  <c r="SX1328" i="191"/>
  <c r="SW1328" i="191"/>
  <c r="SV1328" i="191"/>
  <c r="SC1328" i="191"/>
  <c r="SB1328" i="191"/>
  <c r="SA1328" i="191"/>
  <c r="RH1328" i="191"/>
  <c r="RG1328" i="191"/>
  <c r="RF1328" i="191"/>
  <c r="QM1328" i="191"/>
  <c r="QL1328" i="191"/>
  <c r="QK1328" i="191"/>
  <c r="PR1328" i="191"/>
  <c r="PQ1328" i="191"/>
  <c r="PP1328" i="191"/>
  <c r="OW1328" i="191"/>
  <c r="OV1328" i="191"/>
  <c r="OU1328" i="191"/>
  <c r="OB1328" i="191"/>
  <c r="OA1328" i="191"/>
  <c r="NZ1328" i="191"/>
  <c r="NG1328" i="191"/>
  <c r="NF1328" i="191"/>
  <c r="NE1328" i="191"/>
  <c r="ML1328" i="191"/>
  <c r="MK1328" i="191"/>
  <c r="MJ1328" i="191"/>
  <c r="LQ1328" i="191"/>
  <c r="LP1328" i="191"/>
  <c r="LO1328" i="191"/>
  <c r="KV1328" i="191"/>
  <c r="KU1328" i="191"/>
  <c r="KT1328" i="191"/>
  <c r="KA1328" i="191"/>
  <c r="JZ1328" i="191"/>
  <c r="JY1328" i="191"/>
  <c r="JF1328" i="191"/>
  <c r="JE1328" i="191"/>
  <c r="JD1328" i="191"/>
  <c r="IK1328" i="191"/>
  <c r="IJ1328" i="191"/>
  <c r="II1328" i="191"/>
  <c r="HP1328" i="191"/>
  <c r="HO1328" i="191"/>
  <c r="HN1328" i="191"/>
  <c r="GU1328" i="191"/>
  <c r="GT1328" i="191"/>
  <c r="GS1328" i="191"/>
  <c r="FZ1328" i="191"/>
  <c r="FY1328" i="191"/>
  <c r="FX1328" i="191"/>
  <c r="FE1328" i="191"/>
  <c r="FD1328" i="191"/>
  <c r="FC1328" i="191"/>
  <c r="EJ1328" i="191"/>
  <c r="EI1328" i="191"/>
  <c r="EH1328" i="191"/>
  <c r="DO1328" i="191"/>
  <c r="DN1328" i="191"/>
  <c r="DM1328" i="191"/>
  <c r="CT1328" i="191"/>
  <c r="CS1328" i="191"/>
  <c r="CR1328" i="191"/>
  <c r="BY1328" i="191"/>
  <c r="BX1328" i="191"/>
  <c r="BW1328" i="191"/>
  <c r="BD1328" i="191"/>
  <c r="BC1328" i="191"/>
  <c r="BB1328" i="191"/>
  <c r="AI1328" i="191"/>
  <c r="AH1328" i="191"/>
  <c r="AG1328" i="191"/>
  <c r="N1328" i="191"/>
  <c r="M1328" i="191"/>
  <c r="L1328" i="191"/>
  <c r="YO1326" i="191"/>
  <c r="YN1326" i="191"/>
  <c r="YM1326" i="191"/>
  <c r="YO1325" i="191"/>
  <c r="YN1325" i="191"/>
  <c r="YM1325" i="191"/>
  <c r="YO1324" i="191"/>
  <c r="YN1324" i="191"/>
  <c r="YM1324" i="191"/>
  <c r="YO1323" i="191"/>
  <c r="YN1323" i="191"/>
  <c r="YM1323" i="191"/>
  <c r="YO1322" i="191"/>
  <c r="YN1322" i="191"/>
  <c r="YM1322" i="191"/>
  <c r="YO1321" i="191"/>
  <c r="YN1321" i="191"/>
  <c r="YM1321" i="191"/>
  <c r="YM1320" i="191"/>
  <c r="AI1320" i="191"/>
  <c r="YO1320" i="191" s="1"/>
  <c r="AH1320" i="191"/>
  <c r="YO1319" i="191"/>
  <c r="YN1319" i="191"/>
  <c r="YM1319" i="191"/>
  <c r="XT1318" i="191"/>
  <c r="XS1318" i="191"/>
  <c r="XR1318" i="191"/>
  <c r="WY1318" i="191"/>
  <c r="WX1318" i="191"/>
  <c r="WW1318" i="191"/>
  <c r="WD1318" i="191"/>
  <c r="WC1318" i="191"/>
  <c r="WB1318" i="191"/>
  <c r="VI1318" i="191"/>
  <c r="VH1318" i="191"/>
  <c r="VG1318" i="191"/>
  <c r="UN1318" i="191"/>
  <c r="UM1318" i="191"/>
  <c r="UL1318" i="191"/>
  <c r="TS1318" i="191"/>
  <c r="TR1318" i="191"/>
  <c r="TQ1318" i="191"/>
  <c r="SX1318" i="191"/>
  <c r="SW1318" i="191"/>
  <c r="SV1318" i="191"/>
  <c r="SC1318" i="191"/>
  <c r="SB1318" i="191"/>
  <c r="SA1318" i="191"/>
  <c r="RH1318" i="191"/>
  <c r="RG1318" i="191"/>
  <c r="RF1318" i="191"/>
  <c r="QM1318" i="191"/>
  <c r="QL1318" i="191"/>
  <c r="QK1318" i="191"/>
  <c r="PR1318" i="191"/>
  <c r="PQ1318" i="191"/>
  <c r="PP1318" i="191"/>
  <c r="OW1318" i="191"/>
  <c r="OV1318" i="191"/>
  <c r="OU1318" i="191"/>
  <c r="OB1318" i="191"/>
  <c r="OA1318" i="191"/>
  <c r="NZ1318" i="191"/>
  <c r="NG1318" i="191"/>
  <c r="NF1318" i="191"/>
  <c r="NE1318" i="191"/>
  <c r="ML1318" i="191"/>
  <c r="MK1318" i="191"/>
  <c r="MJ1318" i="191"/>
  <c r="LQ1318" i="191"/>
  <c r="LP1318" i="191"/>
  <c r="LO1318" i="191"/>
  <c r="KV1318" i="191"/>
  <c r="KU1318" i="191"/>
  <c r="KT1318" i="191"/>
  <c r="KA1318" i="191"/>
  <c r="JZ1318" i="191"/>
  <c r="JY1318" i="191"/>
  <c r="JF1318" i="191"/>
  <c r="JE1318" i="191"/>
  <c r="JD1318" i="191"/>
  <c r="IK1318" i="191"/>
  <c r="IJ1318" i="191"/>
  <c r="II1318" i="191"/>
  <c r="HP1318" i="191"/>
  <c r="HO1318" i="191"/>
  <c r="HN1318" i="191"/>
  <c r="GU1318" i="191"/>
  <c r="GT1318" i="191"/>
  <c r="GS1318" i="191"/>
  <c r="FZ1318" i="191"/>
  <c r="FY1318" i="191"/>
  <c r="FX1318" i="191"/>
  <c r="FE1318" i="191"/>
  <c r="FD1318" i="191"/>
  <c r="FC1318" i="191"/>
  <c r="EJ1318" i="191"/>
  <c r="EI1318" i="191"/>
  <c r="EH1318" i="191"/>
  <c r="DO1318" i="191"/>
  <c r="DN1318" i="191"/>
  <c r="DM1318" i="191"/>
  <c r="CT1318" i="191"/>
  <c r="CS1318" i="191"/>
  <c r="CR1318" i="191"/>
  <c r="BY1318" i="191"/>
  <c r="BX1318" i="191"/>
  <c r="BW1318" i="191"/>
  <c r="BD1318" i="191"/>
  <c r="BC1318" i="191"/>
  <c r="BB1318" i="191"/>
  <c r="AI1318" i="191"/>
  <c r="AH1318" i="191"/>
  <c r="AG1318" i="191"/>
  <c r="N1318" i="191"/>
  <c r="M1318" i="191"/>
  <c r="L1318" i="191"/>
  <c r="ZG1315" i="191"/>
  <c r="ZG1375" i="191" s="1"/>
  <c r="ZF1315" i="191"/>
  <c r="ZF1375" i="191" s="1"/>
  <c r="ZE1315" i="191"/>
  <c r="ZE1375" i="191" s="1"/>
  <c r="ZD1315" i="191"/>
  <c r="ZD1375" i="191" s="1"/>
  <c r="ZC1315" i="191"/>
  <c r="ZC1375" i="191" s="1"/>
  <c r="ZB1315" i="191"/>
  <c r="ZB1375" i="191" s="1"/>
  <c r="ZG1314" i="191"/>
  <c r="ZF1314" i="191"/>
  <c r="ZE1314" i="191"/>
  <c r="ZD1314" i="191"/>
  <c r="ZC1314" i="191"/>
  <c r="ZB1314" i="191"/>
  <c r="YO1308" i="191"/>
  <c r="YN1308" i="191"/>
  <c r="YM1308" i="191"/>
  <c r="YO1307" i="191"/>
  <c r="YN1307" i="191"/>
  <c r="YM1307" i="191"/>
  <c r="YO1305" i="191"/>
  <c r="YN1305" i="191"/>
  <c r="YM1305" i="191"/>
  <c r="YO1304" i="191"/>
  <c r="YN1304" i="191"/>
  <c r="YM1304" i="191"/>
  <c r="YO1303" i="191"/>
  <c r="YN1303" i="191"/>
  <c r="YM1303" i="191"/>
  <c r="YO1302" i="191"/>
  <c r="YN1302" i="191"/>
  <c r="YM1302" i="191"/>
  <c r="YO1301" i="191"/>
  <c r="YN1301" i="191"/>
  <c r="YM1301" i="191"/>
  <c r="YO1299" i="191"/>
  <c r="YN1299" i="191"/>
  <c r="YM1299" i="191"/>
  <c r="YO1298" i="191"/>
  <c r="YN1298" i="191"/>
  <c r="YM1298" i="191"/>
  <c r="YO1297" i="191"/>
  <c r="YN1297" i="191"/>
  <c r="YM1297" i="191"/>
  <c r="ZD1296" i="191"/>
  <c r="ZC1296" i="191"/>
  <c r="ZB1296" i="191"/>
  <c r="YR1296" i="191"/>
  <c r="YQ1296" i="191"/>
  <c r="YP1296" i="191"/>
  <c r="YI1296" i="191"/>
  <c r="YH1296" i="191"/>
  <c r="YG1296" i="191"/>
  <c r="XW1296" i="191"/>
  <c r="XV1296" i="191"/>
  <c r="XU1296" i="191"/>
  <c r="XT1296" i="191"/>
  <c r="XS1296" i="191"/>
  <c r="XR1296" i="191"/>
  <c r="XN1296" i="191"/>
  <c r="XM1296" i="191"/>
  <c r="XL1296" i="191"/>
  <c r="XB1296" i="191"/>
  <c r="XA1296" i="191"/>
  <c r="WZ1296" i="191"/>
  <c r="WY1296" i="191"/>
  <c r="WX1296" i="191"/>
  <c r="WW1296" i="191"/>
  <c r="WS1296" i="191"/>
  <c r="WR1296" i="191"/>
  <c r="WQ1296" i="191"/>
  <c r="WG1296" i="191"/>
  <c r="WF1296" i="191"/>
  <c r="WE1296" i="191"/>
  <c r="WD1296" i="191"/>
  <c r="WC1296" i="191"/>
  <c r="WB1296" i="191"/>
  <c r="VX1296" i="191"/>
  <c r="VW1296" i="191"/>
  <c r="VV1296" i="191"/>
  <c r="VL1296" i="191"/>
  <c r="VK1296" i="191"/>
  <c r="VJ1296" i="191"/>
  <c r="VI1296" i="191"/>
  <c r="VH1296" i="191"/>
  <c r="VG1296" i="191"/>
  <c r="VC1296" i="191"/>
  <c r="VB1296" i="191"/>
  <c r="VA1296" i="191"/>
  <c r="UQ1296" i="191"/>
  <c r="UP1296" i="191"/>
  <c r="UO1296" i="191"/>
  <c r="UN1296" i="191"/>
  <c r="UM1296" i="191"/>
  <c r="UL1296" i="191"/>
  <c r="UH1296" i="191"/>
  <c r="UG1296" i="191"/>
  <c r="UF1296" i="191"/>
  <c r="TV1296" i="191"/>
  <c r="TU1296" i="191"/>
  <c r="TT1296" i="191"/>
  <c r="TS1296" i="191"/>
  <c r="TR1296" i="191"/>
  <c r="TQ1296" i="191"/>
  <c r="TM1296" i="191"/>
  <c r="TL1296" i="191"/>
  <c r="TK1296" i="191"/>
  <c r="TA1296" i="191"/>
  <c r="SZ1296" i="191"/>
  <c r="SY1296" i="191"/>
  <c r="SX1296" i="191"/>
  <c r="SW1296" i="191"/>
  <c r="SV1296" i="191"/>
  <c r="SR1296" i="191"/>
  <c r="SQ1296" i="191"/>
  <c r="SP1296" i="191"/>
  <c r="SF1296" i="191"/>
  <c r="SE1296" i="191"/>
  <c r="SD1296" i="191"/>
  <c r="SC1296" i="191"/>
  <c r="SB1296" i="191"/>
  <c r="SA1296" i="191"/>
  <c r="RW1296" i="191"/>
  <c r="RV1296" i="191"/>
  <c r="RU1296" i="191"/>
  <c r="RK1296" i="191"/>
  <c r="RJ1296" i="191"/>
  <c r="RI1296" i="191"/>
  <c r="RH1296" i="191"/>
  <c r="RG1296" i="191"/>
  <c r="RF1296" i="191"/>
  <c r="RB1296" i="191"/>
  <c r="RA1296" i="191"/>
  <c r="QZ1296" i="191"/>
  <c r="QP1296" i="191"/>
  <c r="QO1296" i="191"/>
  <c r="QN1296" i="191"/>
  <c r="QM1296" i="191"/>
  <c r="QL1296" i="191"/>
  <c r="QK1296" i="191"/>
  <c r="QG1296" i="191"/>
  <c r="QF1296" i="191"/>
  <c r="QE1296" i="191"/>
  <c r="PU1296" i="191"/>
  <c r="PT1296" i="191"/>
  <c r="PS1296" i="191"/>
  <c r="PR1296" i="191"/>
  <c r="PQ1296" i="191"/>
  <c r="PP1296" i="191"/>
  <c r="PL1296" i="191"/>
  <c r="PK1296" i="191"/>
  <c r="PJ1296" i="191"/>
  <c r="OZ1296" i="191"/>
  <c r="OY1296" i="191"/>
  <c r="OX1296" i="191"/>
  <c r="OW1296" i="191"/>
  <c r="OV1296" i="191"/>
  <c r="OU1296" i="191"/>
  <c r="OQ1296" i="191"/>
  <c r="OP1296" i="191"/>
  <c r="OO1296" i="191"/>
  <c r="OE1296" i="191"/>
  <c r="OD1296" i="191"/>
  <c r="OC1296" i="191"/>
  <c r="OB1296" i="191"/>
  <c r="OA1296" i="191"/>
  <c r="NZ1296" i="191"/>
  <c r="NV1296" i="191"/>
  <c r="NU1296" i="191"/>
  <c r="NT1296" i="191"/>
  <c r="NJ1296" i="191"/>
  <c r="NI1296" i="191"/>
  <c r="NH1296" i="191"/>
  <c r="NG1296" i="191"/>
  <c r="NF1296" i="191"/>
  <c r="NE1296" i="191"/>
  <c r="NA1296" i="191"/>
  <c r="MZ1296" i="191"/>
  <c r="MY1296" i="191"/>
  <c r="MO1296" i="191"/>
  <c r="MN1296" i="191"/>
  <c r="MM1296" i="191"/>
  <c r="ML1296" i="191"/>
  <c r="MK1296" i="191"/>
  <c r="MJ1296" i="191"/>
  <c r="MF1296" i="191"/>
  <c r="ME1296" i="191"/>
  <c r="MD1296" i="191"/>
  <c r="LT1296" i="191"/>
  <c r="LS1296" i="191"/>
  <c r="LR1296" i="191"/>
  <c r="LQ1296" i="191"/>
  <c r="LP1296" i="191"/>
  <c r="LO1296" i="191"/>
  <c r="LK1296" i="191"/>
  <c r="LJ1296" i="191"/>
  <c r="LI1296" i="191"/>
  <c r="KY1296" i="191"/>
  <c r="KX1296" i="191"/>
  <c r="KW1296" i="191"/>
  <c r="KV1296" i="191"/>
  <c r="KU1296" i="191"/>
  <c r="KT1296" i="191"/>
  <c r="KP1296" i="191"/>
  <c r="KO1296" i="191"/>
  <c r="KN1296" i="191"/>
  <c r="KD1296" i="191"/>
  <c r="KC1296" i="191"/>
  <c r="KB1296" i="191"/>
  <c r="KA1296" i="191"/>
  <c r="JZ1296" i="191"/>
  <c r="JY1296" i="191"/>
  <c r="JU1296" i="191"/>
  <c r="JT1296" i="191"/>
  <c r="JS1296" i="191"/>
  <c r="JI1296" i="191"/>
  <c r="JH1296" i="191"/>
  <c r="JG1296" i="191"/>
  <c r="JF1296" i="191"/>
  <c r="JE1296" i="191"/>
  <c r="JD1296" i="191"/>
  <c r="IZ1296" i="191"/>
  <c r="IY1296" i="191"/>
  <c r="IX1296" i="191"/>
  <c r="IN1296" i="191"/>
  <c r="IM1296" i="191"/>
  <c r="IL1296" i="191"/>
  <c r="IK1296" i="191"/>
  <c r="IJ1296" i="191"/>
  <c r="II1296" i="191"/>
  <c r="IE1296" i="191"/>
  <c r="ID1296" i="191"/>
  <c r="IC1296" i="191"/>
  <c r="HS1296" i="191"/>
  <c r="HR1296" i="191"/>
  <c r="HQ1296" i="191"/>
  <c r="HP1296" i="191"/>
  <c r="HO1296" i="191"/>
  <c r="HN1296" i="191"/>
  <c r="HJ1296" i="191"/>
  <c r="HI1296" i="191"/>
  <c r="HH1296" i="191"/>
  <c r="GX1296" i="191"/>
  <c r="GW1296" i="191"/>
  <c r="GV1296" i="191"/>
  <c r="GU1296" i="191"/>
  <c r="GT1296" i="191"/>
  <c r="GS1296" i="191"/>
  <c r="GO1296" i="191"/>
  <c r="GN1296" i="191"/>
  <c r="GM1296" i="191"/>
  <c r="GC1296" i="191"/>
  <c r="GB1296" i="191"/>
  <c r="GA1296" i="191"/>
  <c r="FZ1296" i="191"/>
  <c r="FY1296" i="191"/>
  <c r="FX1296" i="191"/>
  <c r="FT1296" i="191"/>
  <c r="FS1296" i="191"/>
  <c r="FR1296" i="191"/>
  <c r="FH1296" i="191"/>
  <c r="FG1296" i="191"/>
  <c r="FF1296" i="191"/>
  <c r="FE1296" i="191"/>
  <c r="FD1296" i="191"/>
  <c r="FC1296" i="191"/>
  <c r="EY1296" i="191"/>
  <c r="EX1296" i="191"/>
  <c r="EW1296" i="191"/>
  <c r="EM1296" i="191"/>
  <c r="EL1296" i="191"/>
  <c r="EK1296" i="191"/>
  <c r="EJ1296" i="191"/>
  <c r="EI1296" i="191"/>
  <c r="EH1296" i="191"/>
  <c r="ED1296" i="191"/>
  <c r="EC1296" i="191"/>
  <c r="EB1296" i="191"/>
  <c r="DR1296" i="191"/>
  <c r="DQ1296" i="191"/>
  <c r="DP1296" i="191"/>
  <c r="DO1296" i="191"/>
  <c r="DN1296" i="191"/>
  <c r="DM1296" i="191"/>
  <c r="DI1296" i="191"/>
  <c r="DH1296" i="191"/>
  <c r="DG1296" i="191"/>
  <c r="CW1296" i="191"/>
  <c r="CV1296" i="191"/>
  <c r="CU1296" i="191"/>
  <c r="CT1296" i="191"/>
  <c r="CS1296" i="191"/>
  <c r="CR1296" i="191"/>
  <c r="CN1296" i="191"/>
  <c r="CM1296" i="191"/>
  <c r="CL1296" i="191"/>
  <c r="CB1296" i="191"/>
  <c r="CA1296" i="191"/>
  <c r="BZ1296" i="191"/>
  <c r="BY1296" i="191"/>
  <c r="BX1296" i="191"/>
  <c r="BW1296" i="191"/>
  <c r="BS1296" i="191"/>
  <c r="BR1296" i="191"/>
  <c r="BQ1296" i="191"/>
  <c r="BG1296" i="191"/>
  <c r="BF1296" i="191"/>
  <c r="BE1296" i="191"/>
  <c r="BD1296" i="191"/>
  <c r="BC1296" i="191"/>
  <c r="BB1296" i="191"/>
  <c r="AX1296" i="191"/>
  <c r="AW1296" i="191"/>
  <c r="AV1296" i="191"/>
  <c r="AL1296" i="191"/>
  <c r="AK1296" i="191"/>
  <c r="AJ1296" i="191"/>
  <c r="AI1296" i="191"/>
  <c r="AH1296" i="191"/>
  <c r="AG1296" i="191"/>
  <c r="AC1296" i="191"/>
  <c r="AB1296" i="191"/>
  <c r="AA1296" i="191"/>
  <c r="Q1296" i="191"/>
  <c r="P1296" i="191"/>
  <c r="O1296" i="191"/>
  <c r="N1296" i="191"/>
  <c r="M1296" i="191"/>
  <c r="L1296" i="191"/>
  <c r="YO1294" i="191"/>
  <c r="YN1294" i="191"/>
  <c r="YM1294" i="191"/>
  <c r="YO1293" i="191"/>
  <c r="YN1293" i="191"/>
  <c r="YM1293" i="191"/>
  <c r="YO1292" i="191"/>
  <c r="YN1292" i="191"/>
  <c r="YM1292" i="191"/>
  <c r="YO1291" i="191"/>
  <c r="YN1291" i="191"/>
  <c r="YM1291" i="191"/>
  <c r="YO1290" i="191"/>
  <c r="YN1290" i="191"/>
  <c r="YM1290" i="191"/>
  <c r="YO1289" i="191"/>
  <c r="YN1289" i="191"/>
  <c r="YM1289" i="191"/>
  <c r="YO1288" i="191"/>
  <c r="YN1288" i="191"/>
  <c r="YM1288" i="191"/>
  <c r="YO1287" i="191"/>
  <c r="YN1287" i="191"/>
  <c r="YM1287" i="191"/>
  <c r="YO1286" i="191"/>
  <c r="YN1286" i="191"/>
  <c r="YM1286" i="191"/>
  <c r="YO1285" i="191"/>
  <c r="YN1285" i="191"/>
  <c r="YM1285" i="191"/>
  <c r="YO1284" i="191"/>
  <c r="YN1284" i="191"/>
  <c r="YM1284" i="191"/>
  <c r="YO1283" i="191"/>
  <c r="YN1283" i="191"/>
  <c r="YM1283" i="191"/>
  <c r="YO1282" i="191"/>
  <c r="YN1282" i="191"/>
  <c r="YM1282" i="191"/>
  <c r="YO1281" i="191"/>
  <c r="YN1281" i="191"/>
  <c r="YM1281" i="191"/>
  <c r="XT1280" i="191"/>
  <c r="XS1280" i="191"/>
  <c r="XR1280" i="191"/>
  <c r="WY1280" i="191"/>
  <c r="WX1280" i="191"/>
  <c r="WW1280" i="191"/>
  <c r="WD1280" i="191"/>
  <c r="WC1280" i="191"/>
  <c r="WB1280" i="191"/>
  <c r="VI1280" i="191"/>
  <c r="VH1280" i="191"/>
  <c r="VG1280" i="191"/>
  <c r="UN1280" i="191"/>
  <c r="UM1280" i="191"/>
  <c r="UL1280" i="191"/>
  <c r="TS1280" i="191"/>
  <c r="TR1280" i="191"/>
  <c r="TQ1280" i="191"/>
  <c r="SX1280" i="191"/>
  <c r="SW1280" i="191"/>
  <c r="SV1280" i="191"/>
  <c r="SC1280" i="191"/>
  <c r="SB1280" i="191"/>
  <c r="SA1280" i="191"/>
  <c r="RH1280" i="191"/>
  <c r="RG1280" i="191"/>
  <c r="RF1280" i="191"/>
  <c r="QM1280" i="191"/>
  <c r="QL1280" i="191"/>
  <c r="QK1280" i="191"/>
  <c r="PR1280" i="191"/>
  <c r="PQ1280" i="191"/>
  <c r="PP1280" i="191"/>
  <c r="OW1280" i="191"/>
  <c r="OV1280" i="191"/>
  <c r="OU1280" i="191"/>
  <c r="OB1280" i="191"/>
  <c r="OA1280" i="191"/>
  <c r="NZ1280" i="191"/>
  <c r="NG1280" i="191"/>
  <c r="NF1280" i="191"/>
  <c r="NE1280" i="191"/>
  <c r="ML1280" i="191"/>
  <c r="MK1280" i="191"/>
  <c r="MJ1280" i="191"/>
  <c r="LQ1280" i="191"/>
  <c r="LP1280" i="191"/>
  <c r="LO1280" i="191"/>
  <c r="KV1280" i="191"/>
  <c r="KU1280" i="191"/>
  <c r="KT1280" i="191"/>
  <c r="KA1280" i="191"/>
  <c r="JZ1280" i="191"/>
  <c r="JY1280" i="191"/>
  <c r="JF1280" i="191"/>
  <c r="JE1280" i="191"/>
  <c r="JD1280" i="191"/>
  <c r="IK1280" i="191"/>
  <c r="IJ1280" i="191"/>
  <c r="II1280" i="191"/>
  <c r="HP1280" i="191"/>
  <c r="HO1280" i="191"/>
  <c r="HN1280" i="191"/>
  <c r="GU1280" i="191"/>
  <c r="GT1280" i="191"/>
  <c r="GS1280" i="191"/>
  <c r="FZ1280" i="191"/>
  <c r="FY1280" i="191"/>
  <c r="FX1280" i="191"/>
  <c r="FE1280" i="191"/>
  <c r="FD1280" i="191"/>
  <c r="FC1280" i="191"/>
  <c r="EJ1280" i="191"/>
  <c r="EI1280" i="191"/>
  <c r="EH1280" i="191"/>
  <c r="DO1280" i="191"/>
  <c r="DN1280" i="191"/>
  <c r="DM1280" i="191"/>
  <c r="CT1280" i="191"/>
  <c r="CS1280" i="191"/>
  <c r="CR1280" i="191"/>
  <c r="BY1280" i="191"/>
  <c r="BX1280" i="191"/>
  <c r="BW1280" i="191"/>
  <c r="BD1280" i="191"/>
  <c r="BC1280" i="191"/>
  <c r="BB1280" i="191"/>
  <c r="AI1280" i="191"/>
  <c r="AH1280" i="191"/>
  <c r="AG1280" i="191"/>
  <c r="N1280" i="191"/>
  <c r="M1280" i="191"/>
  <c r="L1280" i="191"/>
  <c r="G1162" i="191"/>
  <c r="H1139" i="191"/>
  <c r="G1139" i="191"/>
  <c r="F1139" i="191"/>
  <c r="E1139" i="191"/>
  <c r="H1135" i="191"/>
  <c r="G1135" i="191"/>
  <c r="F1135" i="191"/>
  <c r="E1135" i="191"/>
  <c r="H1134" i="191"/>
  <c r="G1134" i="191"/>
  <c r="F1134" i="191"/>
  <c r="E1134" i="191"/>
  <c r="H1133" i="191"/>
  <c r="G1133" i="191"/>
  <c r="F1133" i="191"/>
  <c r="E1133" i="191"/>
  <c r="H1130" i="191"/>
  <c r="G1130" i="191"/>
  <c r="F1130" i="191"/>
  <c r="E1130" i="191"/>
  <c r="H1126" i="191"/>
  <c r="G1126" i="191"/>
  <c r="F1126" i="191"/>
  <c r="E1126" i="191"/>
  <c r="H1124" i="191"/>
  <c r="G1124" i="191"/>
  <c r="F1124" i="191"/>
  <c r="E1124" i="191"/>
  <c r="H1121" i="191"/>
  <c r="G1121" i="191"/>
  <c r="F1121" i="191"/>
  <c r="E1121" i="191"/>
  <c r="H1120" i="191"/>
  <c r="G1120" i="191"/>
  <c r="F1120" i="191"/>
  <c r="E1120" i="191"/>
  <c r="H1118" i="191"/>
  <c r="G1118" i="191"/>
  <c r="F1118" i="191"/>
  <c r="E1118" i="191"/>
  <c r="H1115" i="191"/>
  <c r="G1115" i="191"/>
  <c r="F1115" i="191"/>
  <c r="E1115" i="191"/>
  <c r="G910" i="191"/>
  <c r="G847" i="191"/>
  <c r="F816" i="191"/>
  <c r="E816" i="191"/>
  <c r="F807" i="191"/>
  <c r="E807" i="191"/>
  <c r="H454" i="191"/>
  <c r="G454" i="191"/>
  <c r="F454" i="191"/>
  <c r="H453" i="191"/>
  <c r="G453" i="191"/>
  <c r="F453" i="191"/>
  <c r="H452" i="191"/>
  <c r="G452" i="191"/>
  <c r="F452" i="191"/>
  <c r="H451" i="191"/>
  <c r="G451" i="191"/>
  <c r="F451" i="191"/>
  <c r="H450" i="191"/>
  <c r="G450" i="191"/>
  <c r="F450" i="191"/>
  <c r="H449" i="191"/>
  <c r="G449" i="191"/>
  <c r="F449" i="191"/>
  <c r="H420" i="191"/>
  <c r="G420" i="191"/>
  <c r="F420" i="191"/>
  <c r="H419" i="191"/>
  <c r="G419" i="191"/>
  <c r="F419" i="191"/>
  <c r="H417" i="191"/>
  <c r="G417" i="191"/>
  <c r="F417" i="191"/>
  <c r="H416" i="191"/>
  <c r="G416" i="191"/>
  <c r="F416" i="191"/>
  <c r="H415" i="191"/>
  <c r="G415" i="191"/>
  <c r="F415" i="191"/>
  <c r="H414" i="191"/>
  <c r="G414" i="191"/>
  <c r="F414" i="191"/>
  <c r="H413" i="191"/>
  <c r="G413" i="191"/>
  <c r="F413" i="191"/>
  <c r="H411" i="191"/>
  <c r="G411" i="191"/>
  <c r="F411" i="191"/>
  <c r="H410" i="191"/>
  <c r="G410" i="191"/>
  <c r="F410" i="191"/>
  <c r="H409" i="191"/>
  <c r="G409" i="191"/>
  <c r="F409" i="191"/>
  <c r="H407" i="191"/>
  <c r="G407" i="191"/>
  <c r="F407" i="191"/>
  <c r="H406" i="191"/>
  <c r="G406" i="191"/>
  <c r="F406" i="191"/>
  <c r="H405" i="191"/>
  <c r="G405" i="191"/>
  <c r="F405" i="191"/>
  <c r="H404" i="191"/>
  <c r="G404" i="191"/>
  <c r="F404" i="191"/>
  <c r="H403" i="191"/>
  <c r="G403" i="191"/>
  <c r="F403" i="191"/>
  <c r="H402" i="191"/>
  <c r="G402" i="191"/>
  <c r="F402" i="191"/>
  <c r="H401" i="191"/>
  <c r="G401" i="191"/>
  <c r="F401" i="191"/>
  <c r="H400" i="191"/>
  <c r="G400" i="191"/>
  <c r="F400" i="191"/>
  <c r="H399" i="191"/>
  <c r="G399" i="191"/>
  <c r="F399" i="191"/>
  <c r="H398" i="191"/>
  <c r="G398" i="191"/>
  <c r="F398" i="191"/>
  <c r="H397" i="191"/>
  <c r="G397" i="191"/>
  <c r="F397" i="191"/>
  <c r="H396" i="191"/>
  <c r="G396" i="191"/>
  <c r="F396" i="191"/>
  <c r="H395" i="191"/>
  <c r="G395" i="191"/>
  <c r="F395" i="191"/>
  <c r="H394" i="191"/>
  <c r="G394" i="191"/>
  <c r="F394" i="191"/>
  <c r="H391" i="191"/>
  <c r="K1367" i="191" s="1"/>
  <c r="G391" i="191"/>
  <c r="J1367" i="191" s="1"/>
  <c r="F391" i="191"/>
  <c r="I1367" i="191" s="1"/>
  <c r="H390" i="191"/>
  <c r="K1366" i="191" s="1"/>
  <c r="G390" i="191"/>
  <c r="J1366" i="191" s="1"/>
  <c r="F390" i="191"/>
  <c r="I1366" i="191" s="1"/>
  <c r="H389" i="191"/>
  <c r="K1365" i="191" s="1"/>
  <c r="G389" i="191"/>
  <c r="J1365" i="191" s="1"/>
  <c r="F389" i="191"/>
  <c r="I1365" i="191" s="1"/>
  <c r="H388" i="191"/>
  <c r="K1363" i="191" s="1"/>
  <c r="G388" i="191"/>
  <c r="J1363" i="191" s="1"/>
  <c r="F388" i="191"/>
  <c r="I1363" i="191" s="1"/>
  <c r="H387" i="191"/>
  <c r="K1362" i="191" s="1"/>
  <c r="G387" i="191"/>
  <c r="J1362" i="191" s="1"/>
  <c r="F387" i="191"/>
  <c r="I1362" i="191" s="1"/>
  <c r="H386" i="191"/>
  <c r="K1361" i="191" s="1"/>
  <c r="G386" i="191"/>
  <c r="J1361" i="191" s="1"/>
  <c r="F386" i="191"/>
  <c r="I1361" i="191" s="1"/>
  <c r="H357" i="191"/>
  <c r="G357" i="191"/>
  <c r="F357" i="191"/>
  <c r="H356" i="191"/>
  <c r="G356" i="191"/>
  <c r="F356" i="191"/>
  <c r="H354" i="191"/>
  <c r="G354" i="191"/>
  <c r="F354" i="191"/>
  <c r="H353" i="191"/>
  <c r="G353" i="191"/>
  <c r="F353" i="191"/>
  <c r="H352" i="191"/>
  <c r="G352" i="191"/>
  <c r="F352" i="191"/>
  <c r="H351" i="191"/>
  <c r="G351" i="191"/>
  <c r="F351" i="191"/>
  <c r="H350" i="191"/>
  <c r="G350" i="191"/>
  <c r="F350" i="191"/>
  <c r="H348" i="191"/>
  <c r="G348" i="191"/>
  <c r="F348" i="191"/>
  <c r="H347" i="191"/>
  <c r="G347" i="191"/>
  <c r="F347" i="191"/>
  <c r="H346" i="191"/>
  <c r="G346" i="191"/>
  <c r="F346" i="191"/>
  <c r="H231" i="191"/>
  <c r="H168" i="191" s="1"/>
  <c r="H42" i="191" s="1"/>
  <c r="G230" i="191"/>
  <c r="G167" i="191" s="1"/>
  <c r="G41" i="191" s="1"/>
  <c r="H228" i="191"/>
  <c r="H165" i="191" s="1"/>
  <c r="H39" i="191" s="1"/>
  <c r="G227" i="191"/>
  <c r="G164" i="191" s="1"/>
  <c r="G38" i="191" s="1"/>
  <c r="H226" i="191"/>
  <c r="H163" i="191" s="1"/>
  <c r="H37" i="191" s="1"/>
  <c r="G225" i="191"/>
  <c r="G162" i="191" s="1"/>
  <c r="G36" i="191" s="1"/>
  <c r="H224" i="191"/>
  <c r="H161" i="191" s="1"/>
  <c r="H35" i="191" s="1"/>
  <c r="G222" i="191"/>
  <c r="G159" i="191" s="1"/>
  <c r="G33" i="191" s="1"/>
  <c r="H221" i="191"/>
  <c r="H158" i="191" s="1"/>
  <c r="H32" i="191" s="1"/>
  <c r="G220" i="191"/>
  <c r="G157" i="191" s="1"/>
  <c r="G31" i="191" s="1"/>
  <c r="F168" i="191"/>
  <c r="F42" i="191" s="1"/>
  <c r="F165" i="191"/>
  <c r="F39" i="191" s="1"/>
  <c r="F163" i="191"/>
  <c r="F37" i="191" s="1"/>
  <c r="F161" i="191"/>
  <c r="F35" i="191" s="1"/>
  <c r="F158" i="191"/>
  <c r="F32" i="191" s="1"/>
  <c r="H155" i="191"/>
  <c r="H29" i="191" s="1"/>
  <c r="G155" i="191"/>
  <c r="G29" i="191" s="1"/>
  <c r="G1294" i="191" s="1"/>
  <c r="F155" i="191"/>
  <c r="F29" i="191" s="1"/>
  <c r="YM1360" i="191" l="1"/>
  <c r="F344" i="191"/>
  <c r="I1294" i="191" s="1"/>
  <c r="WH1294" i="191" s="1"/>
  <c r="G344" i="191"/>
  <c r="J1294" i="191" s="1"/>
  <c r="XD1294" i="191" s="1"/>
  <c r="YO1360" i="191"/>
  <c r="YO1338" i="191"/>
  <c r="YN1338" i="191"/>
  <c r="YM1338" i="191"/>
  <c r="YM1318" i="191"/>
  <c r="YN1296" i="191"/>
  <c r="YO1296" i="191"/>
  <c r="YM1296" i="191"/>
  <c r="YO1280" i="191"/>
  <c r="YN1280" i="191"/>
  <c r="ZF1352" i="191"/>
  <c r="G224" i="191"/>
  <c r="G161" i="191" s="1"/>
  <c r="G35" i="191" s="1"/>
  <c r="G1231" i="191" s="1"/>
  <c r="YM1328" i="191"/>
  <c r="G228" i="191"/>
  <c r="G165" i="191" s="1"/>
  <c r="G39" i="191" s="1"/>
  <c r="G1235" i="191" s="1"/>
  <c r="YO1328" i="191"/>
  <c r="G221" i="191"/>
  <c r="G158" i="191" s="1"/>
  <c r="G32" i="191" s="1"/>
  <c r="G1228" i="191" s="1"/>
  <c r="G226" i="191"/>
  <c r="G163" i="191" s="1"/>
  <c r="G37" i="191" s="1"/>
  <c r="J1303" i="191" s="1"/>
  <c r="G231" i="191"/>
  <c r="G168" i="191" s="1"/>
  <c r="G42" i="191" s="1"/>
  <c r="G1238" i="191" s="1"/>
  <c r="YM1280" i="191"/>
  <c r="ZE1352" i="191"/>
  <c r="ZG1352" i="191"/>
  <c r="YN1360" i="191"/>
  <c r="F1294" i="191"/>
  <c r="H1294" i="191"/>
  <c r="I1301" i="191"/>
  <c r="F1231" i="191"/>
  <c r="I1305" i="191"/>
  <c r="F1235" i="191"/>
  <c r="J1297" i="191"/>
  <c r="G1227" i="191"/>
  <c r="K1301" i="191"/>
  <c r="H1231" i="191"/>
  <c r="J1302" i="191"/>
  <c r="G1232" i="191"/>
  <c r="K1305" i="191"/>
  <c r="H1235" i="191"/>
  <c r="J1307" i="191"/>
  <c r="G1237" i="191"/>
  <c r="I1298" i="191"/>
  <c r="F1228" i="191"/>
  <c r="I1303" i="191"/>
  <c r="F1233" i="191"/>
  <c r="I1308" i="191"/>
  <c r="F1238" i="191"/>
  <c r="K1298" i="191"/>
  <c r="H1228" i="191"/>
  <c r="J1299" i="191"/>
  <c r="G1229" i="191"/>
  <c r="K1303" i="191"/>
  <c r="H1233" i="191"/>
  <c r="J1304" i="191"/>
  <c r="G1234" i="191"/>
  <c r="K1308" i="191"/>
  <c r="H1238" i="191"/>
  <c r="YQ1294" i="191"/>
  <c r="XV1294" i="191"/>
  <c r="XA1294" i="191"/>
  <c r="WF1294" i="191"/>
  <c r="VK1294" i="191"/>
  <c r="UP1294" i="191"/>
  <c r="TU1294" i="191"/>
  <c r="SZ1294" i="191"/>
  <c r="SE1294" i="191"/>
  <c r="RJ1294" i="191"/>
  <c r="QO1294" i="191"/>
  <c r="PT1294" i="191"/>
  <c r="OY1294" i="191"/>
  <c r="OD1294" i="191"/>
  <c r="NI1294" i="191"/>
  <c r="MN1294" i="191"/>
  <c r="LS1294" i="191"/>
  <c r="KX1294" i="191"/>
  <c r="KC1294" i="191"/>
  <c r="JH1294" i="191"/>
  <c r="IM1294" i="191"/>
  <c r="HR1294" i="191"/>
  <c r="GW1294" i="191"/>
  <c r="GB1294" i="191"/>
  <c r="FG1294" i="191"/>
  <c r="EL1294" i="191"/>
  <c r="DQ1294" i="191"/>
  <c r="CV1294" i="191"/>
  <c r="CA1294" i="191"/>
  <c r="BF1294" i="191"/>
  <c r="AK1294" i="191"/>
  <c r="P1294" i="191"/>
  <c r="YT1361" i="191"/>
  <c r="XY1361" i="191"/>
  <c r="XD1361" i="191"/>
  <c r="WI1361" i="191"/>
  <c r="VN1361" i="191"/>
  <c r="US1361" i="191"/>
  <c r="TX1361" i="191"/>
  <c r="TC1361" i="191"/>
  <c r="SH1361" i="191"/>
  <c r="RM1361" i="191"/>
  <c r="QR1361" i="191"/>
  <c r="PW1361" i="191"/>
  <c r="PB1361" i="191"/>
  <c r="OG1361" i="191"/>
  <c r="NL1361" i="191"/>
  <c r="MQ1361" i="191"/>
  <c r="LV1361" i="191"/>
  <c r="LA1361" i="191"/>
  <c r="KF1361" i="191"/>
  <c r="JK1361" i="191"/>
  <c r="IP1361" i="191"/>
  <c r="HU1361" i="191"/>
  <c r="GZ1361" i="191"/>
  <c r="GE1361" i="191"/>
  <c r="FJ1361" i="191"/>
  <c r="EO1361" i="191"/>
  <c r="DT1361" i="191"/>
  <c r="CY1361" i="191"/>
  <c r="CD1361" i="191"/>
  <c r="BI1361" i="191"/>
  <c r="AN1361" i="191"/>
  <c r="S1361" i="191"/>
  <c r="XX1362" i="191"/>
  <c r="XC1362" i="191"/>
  <c r="WH1362" i="191"/>
  <c r="VM1362" i="191"/>
  <c r="UR1362" i="191"/>
  <c r="TW1362" i="191"/>
  <c r="TB1362" i="191"/>
  <c r="SG1362" i="191"/>
  <c r="RL1362" i="191"/>
  <c r="QQ1362" i="191"/>
  <c r="PV1362" i="191"/>
  <c r="PA1362" i="191"/>
  <c r="OF1362" i="191"/>
  <c r="NK1362" i="191"/>
  <c r="MP1362" i="191"/>
  <c r="LU1362" i="191"/>
  <c r="KZ1362" i="191"/>
  <c r="KE1362" i="191"/>
  <c r="JJ1362" i="191"/>
  <c r="IO1362" i="191"/>
  <c r="HT1362" i="191"/>
  <c r="GY1362" i="191"/>
  <c r="GD1362" i="191"/>
  <c r="FI1362" i="191"/>
  <c r="EN1362" i="191"/>
  <c r="DS1362" i="191"/>
  <c r="CX1362" i="191"/>
  <c r="CC1362" i="191"/>
  <c r="BH1362" i="191"/>
  <c r="AM1362" i="191"/>
  <c r="R1362" i="191"/>
  <c r="YS1362" i="191"/>
  <c r="XZ1362" i="191"/>
  <c r="XE1362" i="191"/>
  <c r="WJ1362" i="191"/>
  <c r="VO1362" i="191"/>
  <c r="UT1362" i="191"/>
  <c r="TY1362" i="191"/>
  <c r="TD1362" i="191"/>
  <c r="SI1362" i="191"/>
  <c r="RN1362" i="191"/>
  <c r="QS1362" i="191"/>
  <c r="PX1362" i="191"/>
  <c r="PC1362" i="191"/>
  <c r="OH1362" i="191"/>
  <c r="NM1362" i="191"/>
  <c r="MR1362" i="191"/>
  <c r="LW1362" i="191"/>
  <c r="LB1362" i="191"/>
  <c r="KG1362" i="191"/>
  <c r="JL1362" i="191"/>
  <c r="IQ1362" i="191"/>
  <c r="HV1362" i="191"/>
  <c r="HA1362" i="191"/>
  <c r="GF1362" i="191"/>
  <c r="FK1362" i="191"/>
  <c r="EP1362" i="191"/>
  <c r="DU1362" i="191"/>
  <c r="CZ1362" i="191"/>
  <c r="CE1362" i="191"/>
  <c r="BJ1362" i="191"/>
  <c r="AO1362" i="191"/>
  <c r="T1362" i="191"/>
  <c r="YU1362" i="191"/>
  <c r="YT1363" i="191"/>
  <c r="XY1363" i="191"/>
  <c r="XD1363" i="191"/>
  <c r="WI1363" i="191"/>
  <c r="VN1363" i="191"/>
  <c r="US1363" i="191"/>
  <c r="TX1363" i="191"/>
  <c r="TC1363" i="191"/>
  <c r="SH1363" i="191"/>
  <c r="RM1363" i="191"/>
  <c r="QR1363" i="191"/>
  <c r="PW1363" i="191"/>
  <c r="PB1363" i="191"/>
  <c r="OG1363" i="191"/>
  <c r="NL1363" i="191"/>
  <c r="MQ1363" i="191"/>
  <c r="LV1363" i="191"/>
  <c r="LA1363" i="191"/>
  <c r="KF1363" i="191"/>
  <c r="JK1363" i="191"/>
  <c r="IP1363" i="191"/>
  <c r="HU1363" i="191"/>
  <c r="GZ1363" i="191"/>
  <c r="GE1363" i="191"/>
  <c r="FJ1363" i="191"/>
  <c r="EO1363" i="191"/>
  <c r="DT1363" i="191"/>
  <c r="CY1363" i="191"/>
  <c r="CD1363" i="191"/>
  <c r="BI1363" i="191"/>
  <c r="AN1363" i="191"/>
  <c r="S1363" i="191"/>
  <c r="YS1365" i="191"/>
  <c r="XX1365" i="191"/>
  <c r="XC1365" i="191"/>
  <c r="WH1365" i="191"/>
  <c r="VM1365" i="191"/>
  <c r="UR1365" i="191"/>
  <c r="TW1365" i="191"/>
  <c r="TB1365" i="191"/>
  <c r="SG1365" i="191"/>
  <c r="RL1365" i="191"/>
  <c r="QQ1365" i="191"/>
  <c r="PV1365" i="191"/>
  <c r="PA1365" i="191"/>
  <c r="OF1365" i="191"/>
  <c r="NK1365" i="191"/>
  <c r="MP1365" i="191"/>
  <c r="LU1365" i="191"/>
  <c r="KZ1365" i="191"/>
  <c r="KE1365" i="191"/>
  <c r="JJ1365" i="191"/>
  <c r="IO1365" i="191"/>
  <c r="HT1365" i="191"/>
  <c r="GY1365" i="191"/>
  <c r="GD1365" i="191"/>
  <c r="FI1365" i="191"/>
  <c r="EN1365" i="191"/>
  <c r="DS1365" i="191"/>
  <c r="CX1365" i="191"/>
  <c r="CC1365" i="191"/>
  <c r="BH1365" i="191"/>
  <c r="AM1365" i="191"/>
  <c r="R1365" i="191"/>
  <c r="XY1366" i="191"/>
  <c r="XD1366" i="191"/>
  <c r="WI1366" i="191"/>
  <c r="VN1366" i="191"/>
  <c r="US1366" i="191"/>
  <c r="TX1366" i="191"/>
  <c r="TC1366" i="191"/>
  <c r="SH1366" i="191"/>
  <c r="RM1366" i="191"/>
  <c r="QR1366" i="191"/>
  <c r="PW1366" i="191"/>
  <c r="PB1366" i="191"/>
  <c r="OG1366" i="191"/>
  <c r="NL1366" i="191"/>
  <c r="MQ1366" i="191"/>
  <c r="LV1366" i="191"/>
  <c r="LA1366" i="191"/>
  <c r="KF1366" i="191"/>
  <c r="JK1366" i="191"/>
  <c r="IP1366" i="191"/>
  <c r="HU1366" i="191"/>
  <c r="GZ1366" i="191"/>
  <c r="GE1366" i="191"/>
  <c r="FJ1366" i="191"/>
  <c r="EO1366" i="191"/>
  <c r="DT1366" i="191"/>
  <c r="CY1366" i="191"/>
  <c r="CD1366" i="191"/>
  <c r="BI1366" i="191"/>
  <c r="AN1366" i="191"/>
  <c r="S1366" i="191"/>
  <c r="YT1366" i="191"/>
  <c r="YS1367" i="191"/>
  <c r="XX1367" i="191"/>
  <c r="XC1367" i="191"/>
  <c r="WH1367" i="191"/>
  <c r="VM1367" i="191"/>
  <c r="UR1367" i="191"/>
  <c r="TW1367" i="191"/>
  <c r="TB1367" i="191"/>
  <c r="SG1367" i="191"/>
  <c r="RL1367" i="191"/>
  <c r="QQ1367" i="191"/>
  <c r="PV1367" i="191"/>
  <c r="PA1367" i="191"/>
  <c r="OF1367" i="191"/>
  <c r="NK1367" i="191"/>
  <c r="MP1367" i="191"/>
  <c r="LU1367" i="191"/>
  <c r="KZ1367" i="191"/>
  <c r="KE1367" i="191"/>
  <c r="JJ1367" i="191"/>
  <c r="IO1367" i="191"/>
  <c r="HT1367" i="191"/>
  <c r="GY1367" i="191"/>
  <c r="GD1367" i="191"/>
  <c r="FI1367" i="191"/>
  <c r="EN1367" i="191"/>
  <c r="DS1367" i="191"/>
  <c r="CX1367" i="191"/>
  <c r="CC1367" i="191"/>
  <c r="BH1367" i="191"/>
  <c r="AM1367" i="191"/>
  <c r="R1367" i="191"/>
  <c r="YU1367" i="191"/>
  <c r="XZ1367" i="191"/>
  <c r="XE1367" i="191"/>
  <c r="WJ1367" i="191"/>
  <c r="VO1367" i="191"/>
  <c r="UT1367" i="191"/>
  <c r="TY1367" i="191"/>
  <c r="TD1367" i="191"/>
  <c r="SI1367" i="191"/>
  <c r="RN1367" i="191"/>
  <c r="QS1367" i="191"/>
  <c r="PX1367" i="191"/>
  <c r="PC1367" i="191"/>
  <c r="OH1367" i="191"/>
  <c r="NM1367" i="191"/>
  <c r="MR1367" i="191"/>
  <c r="LW1367" i="191"/>
  <c r="LB1367" i="191"/>
  <c r="KG1367" i="191"/>
  <c r="JL1367" i="191"/>
  <c r="IQ1367" i="191"/>
  <c r="HV1367" i="191"/>
  <c r="HA1367" i="191"/>
  <c r="GF1367" i="191"/>
  <c r="FK1367" i="191"/>
  <c r="EP1367" i="191"/>
  <c r="DU1367" i="191"/>
  <c r="CZ1367" i="191"/>
  <c r="CE1367" i="191"/>
  <c r="BJ1367" i="191"/>
  <c r="AO1367" i="191"/>
  <c r="T1367" i="191"/>
  <c r="H222" i="191"/>
  <c r="H159" i="191" s="1"/>
  <c r="H33" i="191" s="1"/>
  <c r="H847" i="191"/>
  <c r="H910" i="191"/>
  <c r="H1162" i="191"/>
  <c r="YU1365" i="191"/>
  <c r="XZ1365" i="191"/>
  <c r="XE1365" i="191"/>
  <c r="WJ1365" i="191"/>
  <c r="VO1365" i="191"/>
  <c r="UT1365" i="191"/>
  <c r="TY1365" i="191"/>
  <c r="TD1365" i="191"/>
  <c r="SI1365" i="191"/>
  <c r="RN1365" i="191"/>
  <c r="QS1365" i="191"/>
  <c r="PX1365" i="191"/>
  <c r="PC1365" i="191"/>
  <c r="OH1365" i="191"/>
  <c r="NM1365" i="191"/>
  <c r="MR1365" i="191"/>
  <c r="LW1365" i="191"/>
  <c r="LB1365" i="191"/>
  <c r="KG1365" i="191"/>
  <c r="JL1365" i="191"/>
  <c r="IQ1365" i="191"/>
  <c r="HV1365" i="191"/>
  <c r="HA1365" i="191"/>
  <c r="GF1365" i="191"/>
  <c r="FK1365" i="191"/>
  <c r="EP1365" i="191"/>
  <c r="DU1365" i="191"/>
  <c r="CZ1365" i="191"/>
  <c r="CE1365" i="191"/>
  <c r="BJ1365" i="191"/>
  <c r="AO1365" i="191"/>
  <c r="T1365" i="191"/>
  <c r="XX1361" i="191"/>
  <c r="XC1361" i="191"/>
  <c r="WH1361" i="191"/>
  <c r="VM1361" i="191"/>
  <c r="UR1361" i="191"/>
  <c r="TW1361" i="191"/>
  <c r="TB1361" i="191"/>
  <c r="SG1361" i="191"/>
  <c r="RL1361" i="191"/>
  <c r="QQ1361" i="191"/>
  <c r="PV1361" i="191"/>
  <c r="PA1361" i="191"/>
  <c r="OF1361" i="191"/>
  <c r="NK1361" i="191"/>
  <c r="MP1361" i="191"/>
  <c r="LU1361" i="191"/>
  <c r="KZ1361" i="191"/>
  <c r="KE1361" i="191"/>
  <c r="JJ1361" i="191"/>
  <c r="IO1361" i="191"/>
  <c r="HT1361" i="191"/>
  <c r="GY1361" i="191"/>
  <c r="GD1361" i="191"/>
  <c r="FI1361" i="191"/>
  <c r="EN1361" i="191"/>
  <c r="DS1361" i="191"/>
  <c r="CX1361" i="191"/>
  <c r="CC1361" i="191"/>
  <c r="BH1361" i="191"/>
  <c r="AM1361" i="191"/>
  <c r="R1361" i="191"/>
  <c r="YS1361" i="191"/>
  <c r="XZ1361" i="191"/>
  <c r="XE1361" i="191"/>
  <c r="WJ1361" i="191"/>
  <c r="VO1361" i="191"/>
  <c r="UT1361" i="191"/>
  <c r="TY1361" i="191"/>
  <c r="TD1361" i="191"/>
  <c r="SI1361" i="191"/>
  <c r="RN1361" i="191"/>
  <c r="QS1361" i="191"/>
  <c r="PX1361" i="191"/>
  <c r="PC1361" i="191"/>
  <c r="OH1361" i="191"/>
  <c r="NM1361" i="191"/>
  <c r="MR1361" i="191"/>
  <c r="LW1361" i="191"/>
  <c r="LB1361" i="191"/>
  <c r="KG1361" i="191"/>
  <c r="JL1361" i="191"/>
  <c r="IQ1361" i="191"/>
  <c r="HV1361" i="191"/>
  <c r="HA1361" i="191"/>
  <c r="GF1361" i="191"/>
  <c r="FK1361" i="191"/>
  <c r="EP1361" i="191"/>
  <c r="DU1361" i="191"/>
  <c r="CZ1361" i="191"/>
  <c r="CE1361" i="191"/>
  <c r="BJ1361" i="191"/>
  <c r="AO1361" i="191"/>
  <c r="T1361" i="191"/>
  <c r="YU1361" i="191"/>
  <c r="YT1362" i="191"/>
  <c r="XY1362" i="191"/>
  <c r="XD1362" i="191"/>
  <c r="WI1362" i="191"/>
  <c r="VN1362" i="191"/>
  <c r="US1362" i="191"/>
  <c r="TX1362" i="191"/>
  <c r="TC1362" i="191"/>
  <c r="SH1362" i="191"/>
  <c r="RM1362" i="191"/>
  <c r="QR1362" i="191"/>
  <c r="PW1362" i="191"/>
  <c r="PB1362" i="191"/>
  <c r="OG1362" i="191"/>
  <c r="NL1362" i="191"/>
  <c r="MQ1362" i="191"/>
  <c r="LV1362" i="191"/>
  <c r="LA1362" i="191"/>
  <c r="KF1362" i="191"/>
  <c r="JK1362" i="191"/>
  <c r="IP1362" i="191"/>
  <c r="HU1362" i="191"/>
  <c r="GZ1362" i="191"/>
  <c r="GE1362" i="191"/>
  <c r="FJ1362" i="191"/>
  <c r="EO1362" i="191"/>
  <c r="DT1362" i="191"/>
  <c r="CY1362" i="191"/>
  <c r="CD1362" i="191"/>
  <c r="BI1362" i="191"/>
  <c r="AN1362" i="191"/>
  <c r="S1362" i="191"/>
  <c r="XX1363" i="191"/>
  <c r="XC1363" i="191"/>
  <c r="WH1363" i="191"/>
  <c r="VM1363" i="191"/>
  <c r="UR1363" i="191"/>
  <c r="TW1363" i="191"/>
  <c r="TB1363" i="191"/>
  <c r="SG1363" i="191"/>
  <c r="RL1363" i="191"/>
  <c r="QQ1363" i="191"/>
  <c r="PV1363" i="191"/>
  <c r="PA1363" i="191"/>
  <c r="OF1363" i="191"/>
  <c r="NK1363" i="191"/>
  <c r="MP1363" i="191"/>
  <c r="LU1363" i="191"/>
  <c r="KZ1363" i="191"/>
  <c r="KE1363" i="191"/>
  <c r="JJ1363" i="191"/>
  <c r="IO1363" i="191"/>
  <c r="HT1363" i="191"/>
  <c r="GY1363" i="191"/>
  <c r="GD1363" i="191"/>
  <c r="FI1363" i="191"/>
  <c r="EN1363" i="191"/>
  <c r="DS1363" i="191"/>
  <c r="CX1363" i="191"/>
  <c r="YS1363" i="191"/>
  <c r="CC1363" i="191"/>
  <c r="BH1363" i="191"/>
  <c r="AM1363" i="191"/>
  <c r="R1363" i="191"/>
  <c r="XZ1363" i="191"/>
  <c r="XE1363" i="191"/>
  <c r="WJ1363" i="191"/>
  <c r="VO1363" i="191"/>
  <c r="UT1363" i="191"/>
  <c r="TY1363" i="191"/>
  <c r="TD1363" i="191"/>
  <c r="SI1363" i="191"/>
  <c r="RN1363" i="191"/>
  <c r="QS1363" i="191"/>
  <c r="PX1363" i="191"/>
  <c r="PC1363" i="191"/>
  <c r="OH1363" i="191"/>
  <c r="NM1363" i="191"/>
  <c r="MR1363" i="191"/>
  <c r="LW1363" i="191"/>
  <c r="LB1363" i="191"/>
  <c r="KG1363" i="191"/>
  <c r="JL1363" i="191"/>
  <c r="IQ1363" i="191"/>
  <c r="HV1363" i="191"/>
  <c r="HA1363" i="191"/>
  <c r="GF1363" i="191"/>
  <c r="FK1363" i="191"/>
  <c r="EP1363" i="191"/>
  <c r="DU1363" i="191"/>
  <c r="CZ1363" i="191"/>
  <c r="YU1363" i="191"/>
  <c r="CE1363" i="191"/>
  <c r="BJ1363" i="191"/>
  <c r="AO1363" i="191"/>
  <c r="T1363" i="191"/>
  <c r="XY1365" i="191"/>
  <c r="XD1365" i="191"/>
  <c r="YT1365" i="191"/>
  <c r="VN1365" i="191"/>
  <c r="US1365" i="191"/>
  <c r="TX1365" i="191"/>
  <c r="TC1365" i="191"/>
  <c r="SH1365" i="191"/>
  <c r="RM1365" i="191"/>
  <c r="QR1365" i="191"/>
  <c r="PW1365" i="191"/>
  <c r="PB1365" i="191"/>
  <c r="OG1365" i="191"/>
  <c r="NL1365" i="191"/>
  <c r="MQ1365" i="191"/>
  <c r="LV1365" i="191"/>
  <c r="LA1365" i="191"/>
  <c r="KF1365" i="191"/>
  <c r="JK1365" i="191"/>
  <c r="IP1365" i="191"/>
  <c r="HU1365" i="191"/>
  <c r="GZ1365" i="191"/>
  <c r="GE1365" i="191"/>
  <c r="FJ1365" i="191"/>
  <c r="EO1365" i="191"/>
  <c r="DT1365" i="191"/>
  <c r="CY1365" i="191"/>
  <c r="CD1365" i="191"/>
  <c r="BI1365" i="191"/>
  <c r="AN1365" i="191"/>
  <c r="S1365" i="191"/>
  <c r="WI1365" i="191"/>
  <c r="YS1366" i="191"/>
  <c r="XX1366" i="191"/>
  <c r="XC1366" i="191"/>
  <c r="WH1366" i="191"/>
  <c r="VM1366" i="191"/>
  <c r="UR1366" i="191"/>
  <c r="TW1366" i="191"/>
  <c r="TB1366" i="191"/>
  <c r="SG1366" i="191"/>
  <c r="RL1366" i="191"/>
  <c r="QQ1366" i="191"/>
  <c r="PV1366" i="191"/>
  <c r="PA1366" i="191"/>
  <c r="OF1366" i="191"/>
  <c r="NK1366" i="191"/>
  <c r="MP1366" i="191"/>
  <c r="LU1366" i="191"/>
  <c r="KZ1366" i="191"/>
  <c r="KE1366" i="191"/>
  <c r="JJ1366" i="191"/>
  <c r="IO1366" i="191"/>
  <c r="HT1366" i="191"/>
  <c r="GY1366" i="191"/>
  <c r="GD1366" i="191"/>
  <c r="FI1366" i="191"/>
  <c r="EN1366" i="191"/>
  <c r="DS1366" i="191"/>
  <c r="CX1366" i="191"/>
  <c r="CC1366" i="191"/>
  <c r="BH1366" i="191"/>
  <c r="AM1366" i="191"/>
  <c r="R1366" i="191"/>
  <c r="YU1366" i="191"/>
  <c r="XZ1366" i="191"/>
  <c r="XE1366" i="191"/>
  <c r="WJ1366" i="191"/>
  <c r="VO1366" i="191"/>
  <c r="UT1366" i="191"/>
  <c r="TY1366" i="191"/>
  <c r="TD1366" i="191"/>
  <c r="SI1366" i="191"/>
  <c r="RN1366" i="191"/>
  <c r="QS1366" i="191"/>
  <c r="PX1366" i="191"/>
  <c r="PC1366" i="191"/>
  <c r="OH1366" i="191"/>
  <c r="NM1366" i="191"/>
  <c r="MR1366" i="191"/>
  <c r="LW1366" i="191"/>
  <c r="LB1366" i="191"/>
  <c r="KG1366" i="191"/>
  <c r="JL1366" i="191"/>
  <c r="IQ1366" i="191"/>
  <c r="HV1366" i="191"/>
  <c r="HA1366" i="191"/>
  <c r="GF1366" i="191"/>
  <c r="FK1366" i="191"/>
  <c r="EP1366" i="191"/>
  <c r="DU1366" i="191"/>
  <c r="CZ1366" i="191"/>
  <c r="CE1366" i="191"/>
  <c r="BJ1366" i="191"/>
  <c r="AO1366" i="191"/>
  <c r="T1366" i="191"/>
  <c r="XY1367" i="191"/>
  <c r="XD1367" i="191"/>
  <c r="WI1367" i="191"/>
  <c r="VN1367" i="191"/>
  <c r="US1367" i="191"/>
  <c r="TX1367" i="191"/>
  <c r="TC1367" i="191"/>
  <c r="SH1367" i="191"/>
  <c r="RM1367" i="191"/>
  <c r="QR1367" i="191"/>
  <c r="PW1367" i="191"/>
  <c r="PB1367" i="191"/>
  <c r="YT1367" i="191"/>
  <c r="OG1367" i="191"/>
  <c r="NL1367" i="191"/>
  <c r="MQ1367" i="191"/>
  <c r="LV1367" i="191"/>
  <c r="LA1367" i="191"/>
  <c r="KF1367" i="191"/>
  <c r="JK1367" i="191"/>
  <c r="IP1367" i="191"/>
  <c r="HU1367" i="191"/>
  <c r="GZ1367" i="191"/>
  <c r="GE1367" i="191"/>
  <c r="FJ1367" i="191"/>
  <c r="EO1367" i="191"/>
  <c r="DT1367" i="191"/>
  <c r="CY1367" i="191"/>
  <c r="CD1367" i="191"/>
  <c r="BI1367" i="191"/>
  <c r="AN1367" i="191"/>
  <c r="S1367" i="191"/>
  <c r="H220" i="191"/>
  <c r="H157" i="191" s="1"/>
  <c r="H31" i="191" s="1"/>
  <c r="H225" i="191"/>
  <c r="H162" i="191" s="1"/>
  <c r="H36" i="191" s="1"/>
  <c r="H227" i="191"/>
  <c r="H164" i="191" s="1"/>
  <c r="H38" i="191" s="1"/>
  <c r="H230" i="191"/>
  <c r="H167" i="191" s="1"/>
  <c r="H41" i="191" s="1"/>
  <c r="F157" i="191"/>
  <c r="F31" i="191" s="1"/>
  <c r="F159" i="191"/>
  <c r="F33" i="191" s="1"/>
  <c r="F162" i="191"/>
  <c r="F36" i="191" s="1"/>
  <c r="F164" i="191"/>
  <c r="F38" i="191" s="1"/>
  <c r="F167" i="191"/>
  <c r="F41" i="191" s="1"/>
  <c r="YO1318" i="191"/>
  <c r="YN1320" i="191"/>
  <c r="YN1336" i="191"/>
  <c r="ZG1353" i="191"/>
  <c r="FI1294" i="191" l="1"/>
  <c r="YS1294" i="191"/>
  <c r="EN1294" i="191"/>
  <c r="RL1294" i="191"/>
  <c r="CC1294" i="191"/>
  <c r="IO1294" i="191"/>
  <c r="PA1294" i="191"/>
  <c r="VM1294" i="191"/>
  <c r="LU1294" i="191"/>
  <c r="SG1294" i="191"/>
  <c r="KZ1294" i="191"/>
  <c r="XX1294" i="191"/>
  <c r="BH1294" i="191"/>
  <c r="HT1294" i="191"/>
  <c r="OF1294" i="191"/>
  <c r="UR1294" i="191"/>
  <c r="AM1294" i="191"/>
  <c r="DS1294" i="191"/>
  <c r="GY1294" i="191"/>
  <c r="KE1294" i="191"/>
  <c r="NK1294" i="191"/>
  <c r="QQ1294" i="191"/>
  <c r="TW1294" i="191"/>
  <c r="XC1294" i="191"/>
  <c r="R1294" i="191"/>
  <c r="CX1294" i="191"/>
  <c r="GD1294" i="191"/>
  <c r="JJ1294" i="191"/>
  <c r="MP1294" i="191"/>
  <c r="PV1294" i="191"/>
  <c r="TB1294" i="191"/>
  <c r="F1225" i="191"/>
  <c r="J1305" i="191"/>
  <c r="XD1305" i="191" s="1"/>
  <c r="J1301" i="191"/>
  <c r="WI1301" i="191" s="1"/>
  <c r="PW1294" i="191"/>
  <c r="J1298" i="191"/>
  <c r="US1298" i="191" s="1"/>
  <c r="CY1294" i="191"/>
  <c r="CD1294" i="191"/>
  <c r="PB1294" i="191"/>
  <c r="JK1294" i="191"/>
  <c r="WI1294" i="191"/>
  <c r="IP1294" i="191"/>
  <c r="VN1294" i="191"/>
  <c r="S1294" i="191"/>
  <c r="GE1294" i="191"/>
  <c r="MQ1294" i="191"/>
  <c r="TC1294" i="191"/>
  <c r="YT1294" i="191"/>
  <c r="FJ1294" i="191"/>
  <c r="LV1294" i="191"/>
  <c r="SH1294" i="191"/>
  <c r="BI1294" i="191"/>
  <c r="EO1294" i="191"/>
  <c r="HU1294" i="191"/>
  <c r="LA1294" i="191"/>
  <c r="OG1294" i="191"/>
  <c r="RM1294" i="191"/>
  <c r="US1294" i="191"/>
  <c r="XY1294" i="191"/>
  <c r="G1225" i="191"/>
  <c r="AN1294" i="191"/>
  <c r="DT1294" i="191"/>
  <c r="GZ1294" i="191"/>
  <c r="KF1294" i="191"/>
  <c r="NL1294" i="191"/>
  <c r="QR1294" i="191"/>
  <c r="TX1294" i="191"/>
  <c r="G1233" i="191"/>
  <c r="J1308" i="191"/>
  <c r="TX1308" i="191" s="1"/>
  <c r="I1304" i="191"/>
  <c r="F1234" i="191"/>
  <c r="I1299" i="191"/>
  <c r="F1229" i="191"/>
  <c r="K1307" i="191"/>
  <c r="H1237" i="191"/>
  <c r="K1302" i="191"/>
  <c r="H1232" i="191"/>
  <c r="K1299" i="191"/>
  <c r="H1229" i="191"/>
  <c r="YT1307" i="191"/>
  <c r="XY1307" i="191"/>
  <c r="WI1307" i="191"/>
  <c r="US1307" i="191"/>
  <c r="TC1307" i="191"/>
  <c r="RM1307" i="191"/>
  <c r="PW1307" i="191"/>
  <c r="OG1307" i="191"/>
  <c r="MQ1307" i="191"/>
  <c r="LA1307" i="191"/>
  <c r="JK1307" i="191"/>
  <c r="HU1307" i="191"/>
  <c r="GE1307" i="191"/>
  <c r="EO1307" i="191"/>
  <c r="CY1307" i="191"/>
  <c r="BI1307" i="191"/>
  <c r="S1307" i="191"/>
  <c r="XD1307" i="191"/>
  <c r="VN1307" i="191"/>
  <c r="TX1307" i="191"/>
  <c r="SH1307" i="191"/>
  <c r="QR1307" i="191"/>
  <c r="PB1307" i="191"/>
  <c r="NL1307" i="191"/>
  <c r="LV1307" i="191"/>
  <c r="KF1307" i="191"/>
  <c r="IP1307" i="191"/>
  <c r="GZ1307" i="191"/>
  <c r="FJ1307" i="191"/>
  <c r="DT1307" i="191"/>
  <c r="CD1307" i="191"/>
  <c r="AN1307" i="191"/>
  <c r="YU1305" i="191"/>
  <c r="XZ1305" i="191"/>
  <c r="WJ1305" i="191"/>
  <c r="UT1305" i="191"/>
  <c r="TD1305" i="191"/>
  <c r="RN1305" i="191"/>
  <c r="PX1305" i="191"/>
  <c r="OH1305" i="191"/>
  <c r="MR1305" i="191"/>
  <c r="LB1305" i="191"/>
  <c r="JL1305" i="191"/>
  <c r="HV1305" i="191"/>
  <c r="GF1305" i="191"/>
  <c r="EP1305" i="191"/>
  <c r="CZ1305" i="191"/>
  <c r="BJ1305" i="191"/>
  <c r="T1305" i="191"/>
  <c r="XE1305" i="191"/>
  <c r="VO1305" i="191"/>
  <c r="TY1305" i="191"/>
  <c r="SI1305" i="191"/>
  <c r="QS1305" i="191"/>
  <c r="PC1305" i="191"/>
  <c r="NM1305" i="191"/>
  <c r="LW1305" i="191"/>
  <c r="KG1305" i="191"/>
  <c r="IQ1305" i="191"/>
  <c r="HA1305" i="191"/>
  <c r="FK1305" i="191"/>
  <c r="DU1305" i="191"/>
  <c r="CE1305" i="191"/>
  <c r="AO1305" i="191"/>
  <c r="XD1303" i="191"/>
  <c r="VN1303" i="191"/>
  <c r="TX1303" i="191"/>
  <c r="SH1303" i="191"/>
  <c r="QR1303" i="191"/>
  <c r="PB1303" i="191"/>
  <c r="NL1303" i="191"/>
  <c r="LV1303" i="191"/>
  <c r="KF1303" i="191"/>
  <c r="IP1303" i="191"/>
  <c r="GZ1303" i="191"/>
  <c r="FJ1303" i="191"/>
  <c r="DT1303" i="191"/>
  <c r="CD1303" i="191"/>
  <c r="AN1303" i="191"/>
  <c r="YT1303" i="191"/>
  <c r="XY1303" i="191"/>
  <c r="WI1303" i="191"/>
  <c r="US1303" i="191"/>
  <c r="TC1303" i="191"/>
  <c r="RM1303" i="191"/>
  <c r="PW1303" i="191"/>
  <c r="OG1303" i="191"/>
  <c r="MQ1303" i="191"/>
  <c r="LA1303" i="191"/>
  <c r="JK1303" i="191"/>
  <c r="HU1303" i="191"/>
  <c r="GE1303" i="191"/>
  <c r="EO1303" i="191"/>
  <c r="CY1303" i="191"/>
  <c r="BI1303" i="191"/>
  <c r="S1303" i="191"/>
  <c r="YT1302" i="191"/>
  <c r="XY1302" i="191"/>
  <c r="WI1302" i="191"/>
  <c r="US1302" i="191"/>
  <c r="TC1302" i="191"/>
  <c r="RM1302" i="191"/>
  <c r="PW1302" i="191"/>
  <c r="OG1302" i="191"/>
  <c r="MQ1302" i="191"/>
  <c r="LA1302" i="191"/>
  <c r="JK1302" i="191"/>
  <c r="HU1302" i="191"/>
  <c r="GE1302" i="191"/>
  <c r="EO1302" i="191"/>
  <c r="CY1302" i="191"/>
  <c r="BI1302" i="191"/>
  <c r="S1302" i="191"/>
  <c r="XD1302" i="191"/>
  <c r="VN1302" i="191"/>
  <c r="TX1302" i="191"/>
  <c r="SH1302" i="191"/>
  <c r="QR1302" i="191"/>
  <c r="PB1302" i="191"/>
  <c r="NL1302" i="191"/>
  <c r="LV1302" i="191"/>
  <c r="KF1302" i="191"/>
  <c r="IP1302" i="191"/>
  <c r="GZ1302" i="191"/>
  <c r="FJ1302" i="191"/>
  <c r="DT1302" i="191"/>
  <c r="CD1302" i="191"/>
  <c r="AN1302" i="191"/>
  <c r="YU1301" i="191"/>
  <c r="XZ1301" i="191"/>
  <c r="XE1301" i="191"/>
  <c r="VO1301" i="191"/>
  <c r="TY1301" i="191"/>
  <c r="SI1301" i="191"/>
  <c r="QS1301" i="191"/>
  <c r="PC1301" i="191"/>
  <c r="NM1301" i="191"/>
  <c r="LW1301" i="191"/>
  <c r="KG1301" i="191"/>
  <c r="IQ1301" i="191"/>
  <c r="HA1301" i="191"/>
  <c r="FK1301" i="191"/>
  <c r="DU1301" i="191"/>
  <c r="CE1301" i="191"/>
  <c r="AO1301" i="191"/>
  <c r="WJ1301" i="191"/>
  <c r="UT1301" i="191"/>
  <c r="TD1301" i="191"/>
  <c r="RN1301" i="191"/>
  <c r="PX1301" i="191"/>
  <c r="OH1301" i="191"/>
  <c r="MR1301" i="191"/>
  <c r="LB1301" i="191"/>
  <c r="JL1301" i="191"/>
  <c r="HV1301" i="191"/>
  <c r="GF1301" i="191"/>
  <c r="EP1301" i="191"/>
  <c r="CZ1301" i="191"/>
  <c r="BJ1301" i="191"/>
  <c r="T1301" i="191"/>
  <c r="YT1298" i="191"/>
  <c r="XD1297" i="191"/>
  <c r="VN1297" i="191"/>
  <c r="TX1297" i="191"/>
  <c r="SH1297" i="191"/>
  <c r="QR1297" i="191"/>
  <c r="PB1297" i="191"/>
  <c r="NL1297" i="191"/>
  <c r="LV1297" i="191"/>
  <c r="KF1297" i="191"/>
  <c r="IP1297" i="191"/>
  <c r="GZ1297" i="191"/>
  <c r="FJ1297" i="191"/>
  <c r="DT1297" i="191"/>
  <c r="CD1297" i="191"/>
  <c r="AN1297" i="191"/>
  <c r="YT1297" i="191"/>
  <c r="XY1297" i="191"/>
  <c r="WI1297" i="191"/>
  <c r="US1297" i="191"/>
  <c r="TC1297" i="191"/>
  <c r="RM1297" i="191"/>
  <c r="PW1297" i="191"/>
  <c r="OG1297" i="191"/>
  <c r="MQ1297" i="191"/>
  <c r="LA1297" i="191"/>
  <c r="JK1297" i="191"/>
  <c r="HU1297" i="191"/>
  <c r="GE1297" i="191"/>
  <c r="EO1297" i="191"/>
  <c r="CY1297" i="191"/>
  <c r="BI1297" i="191"/>
  <c r="S1297" i="191"/>
  <c r="YS1305" i="191"/>
  <c r="XX1305" i="191"/>
  <c r="WH1305" i="191"/>
  <c r="UR1305" i="191"/>
  <c r="TB1305" i="191"/>
  <c r="RL1305" i="191"/>
  <c r="PV1305" i="191"/>
  <c r="OF1305" i="191"/>
  <c r="MP1305" i="191"/>
  <c r="KZ1305" i="191"/>
  <c r="JJ1305" i="191"/>
  <c r="HT1305" i="191"/>
  <c r="GD1305" i="191"/>
  <c r="EN1305" i="191"/>
  <c r="CX1305" i="191"/>
  <c r="BH1305" i="191"/>
  <c r="R1305" i="191"/>
  <c r="XC1305" i="191"/>
  <c r="VM1305" i="191"/>
  <c r="TW1305" i="191"/>
  <c r="SG1305" i="191"/>
  <c r="QQ1305" i="191"/>
  <c r="PA1305" i="191"/>
  <c r="NK1305" i="191"/>
  <c r="LU1305" i="191"/>
  <c r="KE1305" i="191"/>
  <c r="IO1305" i="191"/>
  <c r="GY1305" i="191"/>
  <c r="FI1305" i="191"/>
  <c r="DS1305" i="191"/>
  <c r="CC1305" i="191"/>
  <c r="AM1305" i="191"/>
  <c r="YS1301" i="191"/>
  <c r="XX1301" i="191"/>
  <c r="VM1301" i="191"/>
  <c r="TW1301" i="191"/>
  <c r="SG1301" i="191"/>
  <c r="QQ1301" i="191"/>
  <c r="PA1301" i="191"/>
  <c r="NK1301" i="191"/>
  <c r="LU1301" i="191"/>
  <c r="KE1301" i="191"/>
  <c r="IO1301" i="191"/>
  <c r="GY1301" i="191"/>
  <c r="FI1301" i="191"/>
  <c r="DS1301" i="191"/>
  <c r="CC1301" i="191"/>
  <c r="AM1301" i="191"/>
  <c r="XC1301" i="191"/>
  <c r="WH1301" i="191"/>
  <c r="UR1301" i="191"/>
  <c r="TB1301" i="191"/>
  <c r="RL1301" i="191"/>
  <c r="PV1301" i="191"/>
  <c r="OF1301" i="191"/>
  <c r="MP1301" i="191"/>
  <c r="KZ1301" i="191"/>
  <c r="JJ1301" i="191"/>
  <c r="HT1301" i="191"/>
  <c r="GD1301" i="191"/>
  <c r="EN1301" i="191"/>
  <c r="CX1301" i="191"/>
  <c r="BH1301" i="191"/>
  <c r="R1301" i="191"/>
  <c r="XW1294" i="191"/>
  <c r="XB1294" i="191"/>
  <c r="WG1294" i="191"/>
  <c r="VL1294" i="191"/>
  <c r="UQ1294" i="191"/>
  <c r="TV1294" i="191"/>
  <c r="TA1294" i="191"/>
  <c r="SF1294" i="191"/>
  <c r="RK1294" i="191"/>
  <c r="QP1294" i="191"/>
  <c r="PU1294" i="191"/>
  <c r="OZ1294" i="191"/>
  <c r="OE1294" i="191"/>
  <c r="NJ1294" i="191"/>
  <c r="MO1294" i="191"/>
  <c r="LT1294" i="191"/>
  <c r="KY1294" i="191"/>
  <c r="KD1294" i="191"/>
  <c r="JI1294" i="191"/>
  <c r="IN1294" i="191"/>
  <c r="HS1294" i="191"/>
  <c r="GX1294" i="191"/>
  <c r="GC1294" i="191"/>
  <c r="FH1294" i="191"/>
  <c r="EM1294" i="191"/>
  <c r="DR1294" i="191"/>
  <c r="CW1294" i="191"/>
  <c r="CB1294" i="191"/>
  <c r="BG1294" i="191"/>
  <c r="AL1294" i="191"/>
  <c r="Q1294" i="191"/>
  <c r="YR1294" i="191"/>
  <c r="XU1294" i="191"/>
  <c r="WZ1294" i="191"/>
  <c r="WE1294" i="191"/>
  <c r="VJ1294" i="191"/>
  <c r="UO1294" i="191"/>
  <c r="TT1294" i="191"/>
  <c r="SY1294" i="191"/>
  <c r="SD1294" i="191"/>
  <c r="RI1294" i="191"/>
  <c r="QN1294" i="191"/>
  <c r="PS1294" i="191"/>
  <c r="OX1294" i="191"/>
  <c r="OC1294" i="191"/>
  <c r="NH1294" i="191"/>
  <c r="MM1294" i="191"/>
  <c r="LR1294" i="191"/>
  <c r="KW1294" i="191"/>
  <c r="KB1294" i="191"/>
  <c r="JG1294" i="191"/>
  <c r="IL1294" i="191"/>
  <c r="HQ1294" i="191"/>
  <c r="GV1294" i="191"/>
  <c r="GA1294" i="191"/>
  <c r="FF1294" i="191"/>
  <c r="EK1294" i="191"/>
  <c r="DP1294" i="191"/>
  <c r="CU1294" i="191"/>
  <c r="BZ1294" i="191"/>
  <c r="BE1294" i="191"/>
  <c r="AJ1294" i="191"/>
  <c r="O1294" i="191"/>
  <c r="YP1294" i="191"/>
  <c r="YU1360" i="191"/>
  <c r="YU1369" i="191" s="1"/>
  <c r="ZA1370" i="191" s="1"/>
  <c r="T1360" i="191"/>
  <c r="T1369" i="191" s="1"/>
  <c r="Z1370" i="191" s="1"/>
  <c r="AO1360" i="191"/>
  <c r="AO1369" i="191" s="1"/>
  <c r="AU1370" i="191" s="1"/>
  <c r="BJ1360" i="191"/>
  <c r="BJ1369" i="191" s="1"/>
  <c r="BP1370" i="191" s="1"/>
  <c r="CE1360" i="191"/>
  <c r="CE1369" i="191" s="1"/>
  <c r="CK1370" i="191" s="1"/>
  <c r="CZ1360" i="191"/>
  <c r="CZ1369" i="191" s="1"/>
  <c r="DF1370" i="191" s="1"/>
  <c r="DU1360" i="191"/>
  <c r="DU1369" i="191" s="1"/>
  <c r="EA1370" i="191" s="1"/>
  <c r="EP1360" i="191"/>
  <c r="EP1369" i="191" s="1"/>
  <c r="EV1370" i="191" s="1"/>
  <c r="FK1360" i="191"/>
  <c r="FK1369" i="191" s="1"/>
  <c r="FQ1370" i="191" s="1"/>
  <c r="GF1360" i="191"/>
  <c r="GF1369" i="191" s="1"/>
  <c r="GL1370" i="191" s="1"/>
  <c r="HA1360" i="191"/>
  <c r="HA1369" i="191" s="1"/>
  <c r="HG1370" i="191" s="1"/>
  <c r="HV1360" i="191"/>
  <c r="HV1369" i="191" s="1"/>
  <c r="IB1370" i="191" s="1"/>
  <c r="IQ1360" i="191"/>
  <c r="IQ1369" i="191" s="1"/>
  <c r="IW1370" i="191" s="1"/>
  <c r="JL1360" i="191"/>
  <c r="JL1369" i="191" s="1"/>
  <c r="JR1370" i="191" s="1"/>
  <c r="KG1360" i="191"/>
  <c r="KG1369" i="191" s="1"/>
  <c r="KM1370" i="191" s="1"/>
  <c r="LB1360" i="191"/>
  <c r="LB1369" i="191" s="1"/>
  <c r="LH1370" i="191" s="1"/>
  <c r="LW1360" i="191"/>
  <c r="LW1369" i="191" s="1"/>
  <c r="MC1370" i="191" s="1"/>
  <c r="MR1360" i="191"/>
  <c r="MR1369" i="191" s="1"/>
  <c r="MX1370" i="191" s="1"/>
  <c r="NM1360" i="191"/>
  <c r="NM1369" i="191" s="1"/>
  <c r="NS1370" i="191" s="1"/>
  <c r="OH1360" i="191"/>
  <c r="OH1369" i="191" s="1"/>
  <c r="ON1370" i="191" s="1"/>
  <c r="PC1360" i="191"/>
  <c r="PC1369" i="191" s="1"/>
  <c r="PI1370" i="191" s="1"/>
  <c r="PX1360" i="191"/>
  <c r="PX1369" i="191" s="1"/>
  <c r="QD1370" i="191" s="1"/>
  <c r="QS1360" i="191"/>
  <c r="QS1369" i="191" s="1"/>
  <c r="QY1370" i="191" s="1"/>
  <c r="RN1360" i="191"/>
  <c r="RN1369" i="191" s="1"/>
  <c r="RT1370" i="191" s="1"/>
  <c r="SI1360" i="191"/>
  <c r="SI1369" i="191" s="1"/>
  <c r="SO1370" i="191" s="1"/>
  <c r="TD1360" i="191"/>
  <c r="TD1369" i="191" s="1"/>
  <c r="TJ1370" i="191" s="1"/>
  <c r="TY1360" i="191"/>
  <c r="TY1369" i="191" s="1"/>
  <c r="UE1370" i="191" s="1"/>
  <c r="UT1360" i="191"/>
  <c r="UT1369" i="191" s="1"/>
  <c r="UZ1370" i="191" s="1"/>
  <c r="VO1360" i="191"/>
  <c r="VO1369" i="191" s="1"/>
  <c r="VU1370" i="191" s="1"/>
  <c r="WJ1360" i="191"/>
  <c r="WJ1369" i="191" s="1"/>
  <c r="WP1370" i="191" s="1"/>
  <c r="XE1360" i="191"/>
  <c r="XE1369" i="191" s="1"/>
  <c r="XK1370" i="191" s="1"/>
  <c r="XZ1360" i="191"/>
  <c r="XZ1369" i="191" s="1"/>
  <c r="YF1370" i="191" s="1"/>
  <c r="YS1360" i="191"/>
  <c r="YS1369" i="191" s="1"/>
  <c r="YY1370" i="191" s="1"/>
  <c r="R1360" i="191"/>
  <c r="R1369" i="191" s="1"/>
  <c r="X1370" i="191" s="1"/>
  <c r="AM1360" i="191"/>
  <c r="AM1369" i="191" s="1"/>
  <c r="AS1370" i="191" s="1"/>
  <c r="BH1360" i="191"/>
  <c r="BH1369" i="191" s="1"/>
  <c r="BN1370" i="191" s="1"/>
  <c r="CC1360" i="191"/>
  <c r="CC1369" i="191" s="1"/>
  <c r="CI1370" i="191" s="1"/>
  <c r="CX1360" i="191"/>
  <c r="CX1369" i="191" s="1"/>
  <c r="DD1370" i="191" s="1"/>
  <c r="DS1360" i="191"/>
  <c r="DS1369" i="191" s="1"/>
  <c r="DY1370" i="191" s="1"/>
  <c r="EN1360" i="191"/>
  <c r="EN1369" i="191" s="1"/>
  <c r="ET1370" i="191" s="1"/>
  <c r="FI1360" i="191"/>
  <c r="FI1369" i="191" s="1"/>
  <c r="FO1370" i="191" s="1"/>
  <c r="GD1360" i="191"/>
  <c r="GD1369" i="191" s="1"/>
  <c r="GJ1370" i="191" s="1"/>
  <c r="GY1360" i="191"/>
  <c r="GY1369" i="191" s="1"/>
  <c r="HE1370" i="191" s="1"/>
  <c r="HT1360" i="191"/>
  <c r="HT1369" i="191" s="1"/>
  <c r="HZ1370" i="191" s="1"/>
  <c r="IO1360" i="191"/>
  <c r="IO1369" i="191" s="1"/>
  <c r="IU1370" i="191" s="1"/>
  <c r="JJ1360" i="191"/>
  <c r="JJ1369" i="191" s="1"/>
  <c r="JP1370" i="191" s="1"/>
  <c r="KE1360" i="191"/>
  <c r="KE1369" i="191" s="1"/>
  <c r="KK1370" i="191" s="1"/>
  <c r="KZ1360" i="191"/>
  <c r="KZ1369" i="191" s="1"/>
  <c r="LF1370" i="191" s="1"/>
  <c r="LU1360" i="191"/>
  <c r="LU1369" i="191" s="1"/>
  <c r="MA1370" i="191" s="1"/>
  <c r="MP1360" i="191"/>
  <c r="MP1369" i="191" s="1"/>
  <c r="MV1370" i="191" s="1"/>
  <c r="NK1360" i="191"/>
  <c r="NK1369" i="191" s="1"/>
  <c r="NQ1370" i="191" s="1"/>
  <c r="OF1360" i="191"/>
  <c r="OF1369" i="191" s="1"/>
  <c r="OL1370" i="191" s="1"/>
  <c r="PA1360" i="191"/>
  <c r="PA1369" i="191" s="1"/>
  <c r="PG1370" i="191" s="1"/>
  <c r="PV1360" i="191"/>
  <c r="PV1369" i="191" s="1"/>
  <c r="QB1370" i="191" s="1"/>
  <c r="QQ1360" i="191"/>
  <c r="QQ1369" i="191" s="1"/>
  <c r="QW1370" i="191" s="1"/>
  <c r="RL1360" i="191"/>
  <c r="RL1369" i="191" s="1"/>
  <c r="RR1370" i="191" s="1"/>
  <c r="SG1360" i="191"/>
  <c r="SG1369" i="191" s="1"/>
  <c r="SM1370" i="191" s="1"/>
  <c r="TB1360" i="191"/>
  <c r="TB1369" i="191" s="1"/>
  <c r="TH1370" i="191" s="1"/>
  <c r="TW1360" i="191"/>
  <c r="TW1369" i="191" s="1"/>
  <c r="UC1370" i="191" s="1"/>
  <c r="UR1360" i="191"/>
  <c r="UR1369" i="191" s="1"/>
  <c r="UX1370" i="191" s="1"/>
  <c r="VM1360" i="191"/>
  <c r="VM1369" i="191" s="1"/>
  <c r="VS1370" i="191" s="1"/>
  <c r="WH1360" i="191"/>
  <c r="WH1369" i="191" s="1"/>
  <c r="WN1370" i="191" s="1"/>
  <c r="XC1360" i="191"/>
  <c r="XC1369" i="191" s="1"/>
  <c r="XI1370" i="191" s="1"/>
  <c r="XX1360" i="191"/>
  <c r="XX1369" i="191" s="1"/>
  <c r="YD1370" i="191" s="1"/>
  <c r="YN1328" i="191"/>
  <c r="YN1318" i="191"/>
  <c r="I1307" i="191"/>
  <c r="F1237" i="191"/>
  <c r="I1302" i="191"/>
  <c r="F1232" i="191"/>
  <c r="I1297" i="191"/>
  <c r="F1227" i="191"/>
  <c r="K1304" i="191"/>
  <c r="H1234" i="191"/>
  <c r="K1297" i="191"/>
  <c r="H1227" i="191"/>
  <c r="YU1308" i="191"/>
  <c r="XZ1308" i="191"/>
  <c r="WJ1308" i="191"/>
  <c r="UT1308" i="191"/>
  <c r="TD1308" i="191"/>
  <c r="RN1308" i="191"/>
  <c r="PX1308" i="191"/>
  <c r="OH1308" i="191"/>
  <c r="MR1308" i="191"/>
  <c r="LB1308" i="191"/>
  <c r="JL1308" i="191"/>
  <c r="HV1308" i="191"/>
  <c r="GF1308" i="191"/>
  <c r="EP1308" i="191"/>
  <c r="CZ1308" i="191"/>
  <c r="BJ1308" i="191"/>
  <c r="T1308" i="191"/>
  <c r="XE1308" i="191"/>
  <c r="VO1308" i="191"/>
  <c r="TY1308" i="191"/>
  <c r="SI1308" i="191"/>
  <c r="QS1308" i="191"/>
  <c r="PC1308" i="191"/>
  <c r="NM1308" i="191"/>
  <c r="LW1308" i="191"/>
  <c r="KG1308" i="191"/>
  <c r="IQ1308" i="191"/>
  <c r="HA1308" i="191"/>
  <c r="FK1308" i="191"/>
  <c r="DU1308" i="191"/>
  <c r="CE1308" i="191"/>
  <c r="AO1308" i="191"/>
  <c r="PB1305" i="191"/>
  <c r="YT1304" i="191"/>
  <c r="XY1304" i="191"/>
  <c r="WI1304" i="191"/>
  <c r="US1304" i="191"/>
  <c r="TC1304" i="191"/>
  <c r="RM1304" i="191"/>
  <c r="PW1304" i="191"/>
  <c r="OG1304" i="191"/>
  <c r="MQ1304" i="191"/>
  <c r="LA1304" i="191"/>
  <c r="JK1304" i="191"/>
  <c r="HU1304" i="191"/>
  <c r="GE1304" i="191"/>
  <c r="EO1304" i="191"/>
  <c r="CY1304" i="191"/>
  <c r="BI1304" i="191"/>
  <c r="S1304" i="191"/>
  <c r="XD1304" i="191"/>
  <c r="VN1304" i="191"/>
  <c r="TX1304" i="191"/>
  <c r="SH1304" i="191"/>
  <c r="QR1304" i="191"/>
  <c r="PB1304" i="191"/>
  <c r="NL1304" i="191"/>
  <c r="LV1304" i="191"/>
  <c r="KF1304" i="191"/>
  <c r="IP1304" i="191"/>
  <c r="GZ1304" i="191"/>
  <c r="FJ1304" i="191"/>
  <c r="DT1304" i="191"/>
  <c r="CD1304" i="191"/>
  <c r="AN1304" i="191"/>
  <c r="YU1303" i="191"/>
  <c r="XZ1303" i="191"/>
  <c r="WJ1303" i="191"/>
  <c r="UT1303" i="191"/>
  <c r="TD1303" i="191"/>
  <c r="RN1303" i="191"/>
  <c r="PX1303" i="191"/>
  <c r="OH1303" i="191"/>
  <c r="MR1303" i="191"/>
  <c r="LB1303" i="191"/>
  <c r="JL1303" i="191"/>
  <c r="HV1303" i="191"/>
  <c r="GF1303" i="191"/>
  <c r="EP1303" i="191"/>
  <c r="CZ1303" i="191"/>
  <c r="BJ1303" i="191"/>
  <c r="T1303" i="191"/>
  <c r="XE1303" i="191"/>
  <c r="VO1303" i="191"/>
  <c r="TY1303" i="191"/>
  <c r="SI1303" i="191"/>
  <c r="QS1303" i="191"/>
  <c r="PC1303" i="191"/>
  <c r="NM1303" i="191"/>
  <c r="LW1303" i="191"/>
  <c r="KG1303" i="191"/>
  <c r="IQ1303" i="191"/>
  <c r="HA1303" i="191"/>
  <c r="FK1303" i="191"/>
  <c r="DU1303" i="191"/>
  <c r="CE1303" i="191"/>
  <c r="AO1303" i="191"/>
  <c r="XD1301" i="191"/>
  <c r="XY1301" i="191"/>
  <c r="US1301" i="191"/>
  <c r="RM1301" i="191"/>
  <c r="OG1301" i="191"/>
  <c r="LA1301" i="191"/>
  <c r="HU1301" i="191"/>
  <c r="EO1301" i="191"/>
  <c r="BI1301" i="191"/>
  <c r="VN1301" i="191"/>
  <c r="SH1301" i="191"/>
  <c r="PB1301" i="191"/>
  <c r="LV1301" i="191"/>
  <c r="IP1301" i="191"/>
  <c r="FJ1301" i="191"/>
  <c r="CD1301" i="191"/>
  <c r="XD1299" i="191"/>
  <c r="VN1299" i="191"/>
  <c r="TX1299" i="191"/>
  <c r="SH1299" i="191"/>
  <c r="QR1299" i="191"/>
  <c r="PB1299" i="191"/>
  <c r="NL1299" i="191"/>
  <c r="LV1299" i="191"/>
  <c r="KF1299" i="191"/>
  <c r="IP1299" i="191"/>
  <c r="GZ1299" i="191"/>
  <c r="FJ1299" i="191"/>
  <c r="DT1299" i="191"/>
  <c r="CD1299" i="191"/>
  <c r="AN1299" i="191"/>
  <c r="YT1299" i="191"/>
  <c r="XY1299" i="191"/>
  <c r="WI1299" i="191"/>
  <c r="US1299" i="191"/>
  <c r="TC1299" i="191"/>
  <c r="RM1299" i="191"/>
  <c r="PW1299" i="191"/>
  <c r="OG1299" i="191"/>
  <c r="MQ1299" i="191"/>
  <c r="LA1299" i="191"/>
  <c r="JK1299" i="191"/>
  <c r="HU1299" i="191"/>
  <c r="GE1299" i="191"/>
  <c r="EO1299" i="191"/>
  <c r="CY1299" i="191"/>
  <c r="BI1299" i="191"/>
  <c r="S1299" i="191"/>
  <c r="XE1298" i="191"/>
  <c r="VO1298" i="191"/>
  <c r="TY1298" i="191"/>
  <c r="SI1298" i="191"/>
  <c r="QS1298" i="191"/>
  <c r="PC1298" i="191"/>
  <c r="NM1298" i="191"/>
  <c r="LW1298" i="191"/>
  <c r="KG1298" i="191"/>
  <c r="IQ1298" i="191"/>
  <c r="HA1298" i="191"/>
  <c r="FK1298" i="191"/>
  <c r="DU1298" i="191"/>
  <c r="CE1298" i="191"/>
  <c r="AO1298" i="191"/>
  <c r="YU1298" i="191"/>
  <c r="XZ1298" i="191"/>
  <c r="WJ1298" i="191"/>
  <c r="UT1298" i="191"/>
  <c r="TD1298" i="191"/>
  <c r="RN1298" i="191"/>
  <c r="PX1298" i="191"/>
  <c r="OH1298" i="191"/>
  <c r="MR1298" i="191"/>
  <c r="LB1298" i="191"/>
  <c r="JL1298" i="191"/>
  <c r="HV1298" i="191"/>
  <c r="GF1298" i="191"/>
  <c r="EP1298" i="191"/>
  <c r="CZ1298" i="191"/>
  <c r="BJ1298" i="191"/>
  <c r="T1298" i="191"/>
  <c r="YS1308" i="191"/>
  <c r="XX1308" i="191"/>
  <c r="WH1308" i="191"/>
  <c r="UR1308" i="191"/>
  <c r="TB1308" i="191"/>
  <c r="RL1308" i="191"/>
  <c r="PV1308" i="191"/>
  <c r="OF1308" i="191"/>
  <c r="MP1308" i="191"/>
  <c r="KZ1308" i="191"/>
  <c r="JJ1308" i="191"/>
  <c r="HT1308" i="191"/>
  <c r="GD1308" i="191"/>
  <c r="EN1308" i="191"/>
  <c r="CX1308" i="191"/>
  <c r="BH1308" i="191"/>
  <c r="R1308" i="191"/>
  <c r="XC1308" i="191"/>
  <c r="VM1308" i="191"/>
  <c r="TW1308" i="191"/>
  <c r="SG1308" i="191"/>
  <c r="QQ1308" i="191"/>
  <c r="PA1308" i="191"/>
  <c r="NK1308" i="191"/>
  <c r="LU1308" i="191"/>
  <c r="KE1308" i="191"/>
  <c r="IO1308" i="191"/>
  <c r="GY1308" i="191"/>
  <c r="FI1308" i="191"/>
  <c r="DS1308" i="191"/>
  <c r="CC1308" i="191"/>
  <c r="AM1308" i="191"/>
  <c r="YS1303" i="191"/>
  <c r="XX1303" i="191"/>
  <c r="WH1303" i="191"/>
  <c r="UR1303" i="191"/>
  <c r="TB1303" i="191"/>
  <c r="RL1303" i="191"/>
  <c r="PV1303" i="191"/>
  <c r="OF1303" i="191"/>
  <c r="MP1303" i="191"/>
  <c r="KZ1303" i="191"/>
  <c r="JJ1303" i="191"/>
  <c r="HT1303" i="191"/>
  <c r="GD1303" i="191"/>
  <c r="EN1303" i="191"/>
  <c r="CX1303" i="191"/>
  <c r="BH1303" i="191"/>
  <c r="R1303" i="191"/>
  <c r="XC1303" i="191"/>
  <c r="VM1303" i="191"/>
  <c r="TW1303" i="191"/>
  <c r="SG1303" i="191"/>
  <c r="QQ1303" i="191"/>
  <c r="PA1303" i="191"/>
  <c r="NK1303" i="191"/>
  <c r="LU1303" i="191"/>
  <c r="KE1303" i="191"/>
  <c r="IO1303" i="191"/>
  <c r="GY1303" i="191"/>
  <c r="FI1303" i="191"/>
  <c r="DS1303" i="191"/>
  <c r="CC1303" i="191"/>
  <c r="AM1303" i="191"/>
  <c r="XC1298" i="191"/>
  <c r="VM1298" i="191"/>
  <c r="TW1298" i="191"/>
  <c r="SG1298" i="191"/>
  <c r="QQ1298" i="191"/>
  <c r="PA1298" i="191"/>
  <c r="NK1298" i="191"/>
  <c r="LU1298" i="191"/>
  <c r="KE1298" i="191"/>
  <c r="IO1298" i="191"/>
  <c r="GY1298" i="191"/>
  <c r="FI1298" i="191"/>
  <c r="DS1298" i="191"/>
  <c r="CC1298" i="191"/>
  <c r="AM1298" i="191"/>
  <c r="YS1298" i="191"/>
  <c r="XX1298" i="191"/>
  <c r="WH1298" i="191"/>
  <c r="UR1298" i="191"/>
  <c r="TB1298" i="191"/>
  <c r="RL1298" i="191"/>
  <c r="PV1298" i="191"/>
  <c r="OF1298" i="191"/>
  <c r="MP1298" i="191"/>
  <c r="KZ1298" i="191"/>
  <c r="JJ1298" i="191"/>
  <c r="HT1298" i="191"/>
  <c r="GD1298" i="191"/>
  <c r="EN1298" i="191"/>
  <c r="CX1298" i="191"/>
  <c r="BH1298" i="191"/>
  <c r="R1298" i="191"/>
  <c r="H344" i="191"/>
  <c r="S1360" i="191"/>
  <c r="S1369" i="191" s="1"/>
  <c r="Y1370" i="191" s="1"/>
  <c r="AN1360" i="191"/>
  <c r="AN1369" i="191" s="1"/>
  <c r="AT1370" i="191" s="1"/>
  <c r="BI1360" i="191"/>
  <c r="BI1369" i="191" s="1"/>
  <c r="BO1370" i="191" s="1"/>
  <c r="CD1360" i="191"/>
  <c r="CD1369" i="191" s="1"/>
  <c r="CJ1370" i="191" s="1"/>
  <c r="CY1360" i="191"/>
  <c r="CY1369" i="191" s="1"/>
  <c r="DE1370" i="191" s="1"/>
  <c r="DT1360" i="191"/>
  <c r="DT1369" i="191" s="1"/>
  <c r="DZ1370" i="191" s="1"/>
  <c r="EO1360" i="191"/>
  <c r="EO1369" i="191" s="1"/>
  <c r="EU1370" i="191" s="1"/>
  <c r="FJ1360" i="191"/>
  <c r="FJ1369" i="191" s="1"/>
  <c r="FP1370" i="191" s="1"/>
  <c r="GE1360" i="191"/>
  <c r="GE1369" i="191" s="1"/>
  <c r="GK1370" i="191" s="1"/>
  <c r="GZ1360" i="191"/>
  <c r="GZ1369" i="191" s="1"/>
  <c r="HF1370" i="191" s="1"/>
  <c r="HU1360" i="191"/>
  <c r="HU1369" i="191" s="1"/>
  <c r="IA1370" i="191" s="1"/>
  <c r="IP1360" i="191"/>
  <c r="IP1369" i="191" s="1"/>
  <c r="IV1370" i="191" s="1"/>
  <c r="JK1360" i="191"/>
  <c r="JK1369" i="191" s="1"/>
  <c r="JQ1370" i="191" s="1"/>
  <c r="KF1360" i="191"/>
  <c r="KF1369" i="191" s="1"/>
  <c r="KL1370" i="191" s="1"/>
  <c r="LA1360" i="191"/>
  <c r="LA1369" i="191" s="1"/>
  <c r="LG1370" i="191" s="1"/>
  <c r="LV1360" i="191"/>
  <c r="LV1369" i="191" s="1"/>
  <c r="MB1370" i="191" s="1"/>
  <c r="MQ1360" i="191"/>
  <c r="MQ1369" i="191" s="1"/>
  <c r="MW1370" i="191" s="1"/>
  <c r="NL1360" i="191"/>
  <c r="NL1369" i="191" s="1"/>
  <c r="NR1370" i="191" s="1"/>
  <c r="OG1360" i="191"/>
  <c r="OG1369" i="191" s="1"/>
  <c r="OM1370" i="191" s="1"/>
  <c r="PB1360" i="191"/>
  <c r="PB1369" i="191" s="1"/>
  <c r="PH1370" i="191" s="1"/>
  <c r="PW1360" i="191"/>
  <c r="PW1369" i="191" s="1"/>
  <c r="QC1370" i="191" s="1"/>
  <c r="QR1360" i="191"/>
  <c r="QR1369" i="191" s="1"/>
  <c r="QX1370" i="191" s="1"/>
  <c r="RM1360" i="191"/>
  <c r="RM1369" i="191" s="1"/>
  <c r="RS1370" i="191" s="1"/>
  <c r="SH1360" i="191"/>
  <c r="SH1369" i="191" s="1"/>
  <c r="SN1370" i="191" s="1"/>
  <c r="TC1360" i="191"/>
  <c r="TC1369" i="191" s="1"/>
  <c r="TI1370" i="191" s="1"/>
  <c r="TX1360" i="191"/>
  <c r="TX1369" i="191" s="1"/>
  <c r="UD1370" i="191" s="1"/>
  <c r="US1360" i="191"/>
  <c r="US1369" i="191" s="1"/>
  <c r="UY1370" i="191" s="1"/>
  <c r="VN1360" i="191"/>
  <c r="VN1369" i="191" s="1"/>
  <c r="VT1370" i="191" s="1"/>
  <c r="WI1360" i="191"/>
  <c r="WI1369" i="191" s="1"/>
  <c r="WO1370" i="191" s="1"/>
  <c r="XD1360" i="191"/>
  <c r="XD1369" i="191" s="1"/>
  <c r="XJ1370" i="191" s="1"/>
  <c r="XY1360" i="191"/>
  <c r="XY1369" i="191" s="1"/>
  <c r="YE1370" i="191" s="1"/>
  <c r="YT1360" i="191"/>
  <c r="YT1369" i="191" s="1"/>
  <c r="YZ1370" i="191" s="1"/>
  <c r="PW1305" i="191" l="1"/>
  <c r="LV1298" i="191"/>
  <c r="GE1298" i="191"/>
  <c r="SH1298" i="191"/>
  <c r="JK1298" i="191"/>
  <c r="FJ1298" i="191"/>
  <c r="VN1298" i="191"/>
  <c r="MQ1298" i="191"/>
  <c r="IP1298" i="191"/>
  <c r="S1298" i="191"/>
  <c r="TC1298" i="191"/>
  <c r="WI1298" i="191"/>
  <c r="CD1298" i="191"/>
  <c r="PB1298" i="191"/>
  <c r="CY1298" i="191"/>
  <c r="PW1298" i="191"/>
  <c r="DT1298" i="191"/>
  <c r="KF1298" i="191"/>
  <c r="QR1298" i="191"/>
  <c r="XD1298" i="191"/>
  <c r="EO1298" i="191"/>
  <c r="LA1298" i="191"/>
  <c r="RM1298" i="191"/>
  <c r="XY1298" i="191"/>
  <c r="AN1298" i="191"/>
  <c r="GZ1298" i="191"/>
  <c r="NL1298" i="191"/>
  <c r="TX1298" i="191"/>
  <c r="BI1298" i="191"/>
  <c r="HU1298" i="191"/>
  <c r="OG1298" i="191"/>
  <c r="JK1305" i="191"/>
  <c r="IP1305" i="191"/>
  <c r="CY1305" i="191"/>
  <c r="CD1305" i="191"/>
  <c r="WI1305" i="191"/>
  <c r="VN1305" i="191"/>
  <c r="DT1301" i="191"/>
  <c r="KF1301" i="191"/>
  <c r="QR1301" i="191"/>
  <c r="S1301" i="191"/>
  <c r="GE1301" i="191"/>
  <c r="MQ1301" i="191"/>
  <c r="TC1301" i="191"/>
  <c r="YT1301" i="191"/>
  <c r="AN1301" i="191"/>
  <c r="GZ1301" i="191"/>
  <c r="NL1301" i="191"/>
  <c r="TX1301" i="191"/>
  <c r="CY1301" i="191"/>
  <c r="JK1301" i="191"/>
  <c r="PW1301" i="191"/>
  <c r="BI1305" i="191"/>
  <c r="HU1305" i="191"/>
  <c r="OG1305" i="191"/>
  <c r="US1305" i="191"/>
  <c r="AN1305" i="191"/>
  <c r="GZ1305" i="191"/>
  <c r="NL1305" i="191"/>
  <c r="TX1305" i="191"/>
  <c r="S1305" i="191"/>
  <c r="GE1305" i="191"/>
  <c r="MQ1305" i="191"/>
  <c r="TC1305" i="191"/>
  <c r="YT1305" i="191"/>
  <c r="FJ1305" i="191"/>
  <c r="LV1305" i="191"/>
  <c r="SH1305" i="191"/>
  <c r="EO1305" i="191"/>
  <c r="LA1305" i="191"/>
  <c r="RM1305" i="191"/>
  <c r="XY1305" i="191"/>
  <c r="DT1305" i="191"/>
  <c r="KF1305" i="191"/>
  <c r="QR1305" i="191"/>
  <c r="MQ1308" i="191"/>
  <c r="YT1308" i="191"/>
  <c r="YT1296" i="191" s="1"/>
  <c r="LV1308" i="191"/>
  <c r="S1308" i="191"/>
  <c r="JK1308" i="191"/>
  <c r="WI1308" i="191"/>
  <c r="IP1308" i="191"/>
  <c r="GE1308" i="191"/>
  <c r="TC1308" i="191"/>
  <c r="FJ1308" i="191"/>
  <c r="CY1308" i="191"/>
  <c r="PW1308" i="191"/>
  <c r="CD1308" i="191"/>
  <c r="SH1308" i="191"/>
  <c r="EO1308" i="191"/>
  <c r="LA1308" i="191"/>
  <c r="RM1308" i="191"/>
  <c r="XY1308" i="191"/>
  <c r="DT1308" i="191"/>
  <c r="KF1308" i="191"/>
  <c r="VN1308" i="191"/>
  <c r="BI1308" i="191"/>
  <c r="HU1308" i="191"/>
  <c r="OG1308" i="191"/>
  <c r="US1308" i="191"/>
  <c r="AN1308" i="191"/>
  <c r="GZ1308" i="191"/>
  <c r="PB1308" i="191"/>
  <c r="QR1308" i="191"/>
  <c r="XD1308" i="191"/>
  <c r="NL1308" i="191"/>
  <c r="YZ1362" i="191"/>
  <c r="ZF1362" i="191" s="1"/>
  <c r="YZ1367" i="191"/>
  <c r="ZF1367" i="191" s="1"/>
  <c r="YZ1361" i="191"/>
  <c r="ZF1361" i="191" s="1"/>
  <c r="YZ1363" i="191"/>
  <c r="ZF1363" i="191" s="1"/>
  <c r="YZ1366" i="191"/>
  <c r="ZF1366" i="191" s="1"/>
  <c r="YZ1365" i="191"/>
  <c r="ZF1365" i="191" s="1"/>
  <c r="VT1362" i="191"/>
  <c r="VZ1362" i="191" s="1"/>
  <c r="VT1367" i="191"/>
  <c r="VZ1367" i="191" s="1"/>
  <c r="VT1361" i="191"/>
  <c r="VZ1361" i="191" s="1"/>
  <c r="VT1363" i="191"/>
  <c r="VZ1363" i="191" s="1"/>
  <c r="VT1366" i="191"/>
  <c r="VZ1366" i="191" s="1"/>
  <c r="VT1365" i="191"/>
  <c r="VZ1365" i="191" s="1"/>
  <c r="SN1362" i="191"/>
  <c r="ST1362" i="191" s="1"/>
  <c r="SN1365" i="191"/>
  <c r="ST1365" i="191" s="1"/>
  <c r="SN1367" i="191"/>
  <c r="ST1367" i="191" s="1"/>
  <c r="SN1361" i="191"/>
  <c r="ST1361" i="191" s="1"/>
  <c r="SN1363" i="191"/>
  <c r="ST1363" i="191" s="1"/>
  <c r="SN1366" i="191"/>
  <c r="ST1366" i="191" s="1"/>
  <c r="PH1362" i="191"/>
  <c r="PN1362" i="191" s="1"/>
  <c r="PH1365" i="191"/>
  <c r="PN1365" i="191" s="1"/>
  <c r="PH1367" i="191"/>
  <c r="PN1367" i="191" s="1"/>
  <c r="PH1361" i="191"/>
  <c r="PN1361" i="191" s="1"/>
  <c r="PH1363" i="191"/>
  <c r="PN1363" i="191" s="1"/>
  <c r="PH1366" i="191"/>
  <c r="PN1366" i="191" s="1"/>
  <c r="MB1362" i="191"/>
  <c r="MH1362" i="191" s="1"/>
  <c r="MB1365" i="191"/>
  <c r="MH1365" i="191" s="1"/>
  <c r="MB1367" i="191"/>
  <c r="MH1367" i="191" s="1"/>
  <c r="MB1361" i="191"/>
  <c r="MH1361" i="191" s="1"/>
  <c r="MB1363" i="191"/>
  <c r="MH1363" i="191" s="1"/>
  <c r="MB1366" i="191"/>
  <c r="MH1366" i="191" s="1"/>
  <c r="IV1362" i="191"/>
  <c r="JB1362" i="191" s="1"/>
  <c r="IV1365" i="191"/>
  <c r="JB1365" i="191" s="1"/>
  <c r="IV1367" i="191"/>
  <c r="JB1367" i="191" s="1"/>
  <c r="IV1361" i="191"/>
  <c r="JB1361" i="191" s="1"/>
  <c r="IV1363" i="191"/>
  <c r="JB1363" i="191" s="1"/>
  <c r="IV1366" i="191"/>
  <c r="JB1366" i="191" s="1"/>
  <c r="FP1362" i="191"/>
  <c r="FV1362" i="191" s="1"/>
  <c r="FP1365" i="191"/>
  <c r="FV1365" i="191" s="1"/>
  <c r="FP1367" i="191"/>
  <c r="FV1367" i="191" s="1"/>
  <c r="FP1361" i="191"/>
  <c r="FV1361" i="191" s="1"/>
  <c r="FP1363" i="191"/>
  <c r="FV1363" i="191" s="1"/>
  <c r="FP1366" i="191"/>
  <c r="FV1366" i="191" s="1"/>
  <c r="CJ1362" i="191"/>
  <c r="CP1362" i="191" s="1"/>
  <c r="CJ1365" i="191"/>
  <c r="CP1365" i="191" s="1"/>
  <c r="CJ1367" i="191"/>
  <c r="CP1367" i="191" s="1"/>
  <c r="CJ1361" i="191"/>
  <c r="CP1361" i="191" s="1"/>
  <c r="CJ1363" i="191"/>
  <c r="CP1363" i="191" s="1"/>
  <c r="CJ1366" i="191"/>
  <c r="CP1366" i="191" s="1"/>
  <c r="AT1362" i="191"/>
  <c r="AZ1362" i="191" s="1"/>
  <c r="AT1365" i="191"/>
  <c r="AZ1365" i="191" s="1"/>
  <c r="AT1367" i="191"/>
  <c r="AZ1367" i="191" s="1"/>
  <c r="AT1361" i="191"/>
  <c r="AZ1361" i="191" s="1"/>
  <c r="AT1363" i="191"/>
  <c r="AZ1363" i="191" s="1"/>
  <c r="AT1366" i="191"/>
  <c r="AZ1366" i="191" s="1"/>
  <c r="YE1362" i="191"/>
  <c r="YK1362" i="191" s="1"/>
  <c r="YE1365" i="191"/>
  <c r="YK1365" i="191" s="1"/>
  <c r="YE1367" i="191"/>
  <c r="YK1367" i="191" s="1"/>
  <c r="YE1361" i="191"/>
  <c r="YK1361" i="191" s="1"/>
  <c r="YE1363" i="191"/>
  <c r="YK1363" i="191" s="1"/>
  <c r="YE1366" i="191"/>
  <c r="YK1366" i="191" s="1"/>
  <c r="WO1362" i="191"/>
  <c r="WU1362" i="191" s="1"/>
  <c r="WO1365" i="191"/>
  <c r="WU1365" i="191" s="1"/>
  <c r="WO1367" i="191"/>
  <c r="WU1367" i="191" s="1"/>
  <c r="WO1361" i="191"/>
  <c r="WU1361" i="191" s="1"/>
  <c r="WO1363" i="191"/>
  <c r="WU1363" i="191" s="1"/>
  <c r="WO1366" i="191"/>
  <c r="WU1366" i="191" s="1"/>
  <c r="UY1362" i="191"/>
  <c r="VE1362" i="191" s="1"/>
  <c r="UY1365" i="191"/>
  <c r="VE1365" i="191" s="1"/>
  <c r="UY1367" i="191"/>
  <c r="VE1367" i="191" s="1"/>
  <c r="UY1361" i="191"/>
  <c r="VE1361" i="191" s="1"/>
  <c r="UY1363" i="191"/>
  <c r="VE1363" i="191" s="1"/>
  <c r="UY1366" i="191"/>
  <c r="VE1366" i="191" s="1"/>
  <c r="TI1362" i="191"/>
  <c r="TO1362" i="191" s="1"/>
  <c r="TI1365" i="191"/>
  <c r="TO1365" i="191" s="1"/>
  <c r="TI1367" i="191"/>
  <c r="TO1367" i="191" s="1"/>
  <c r="TI1361" i="191"/>
  <c r="TO1361" i="191" s="1"/>
  <c r="TI1363" i="191"/>
  <c r="TO1363" i="191" s="1"/>
  <c r="TI1366" i="191"/>
  <c r="TO1366" i="191" s="1"/>
  <c r="RS1362" i="191"/>
  <c r="RY1362" i="191" s="1"/>
  <c r="RS1365" i="191"/>
  <c r="RY1365" i="191" s="1"/>
  <c r="RS1367" i="191"/>
  <c r="RY1367" i="191" s="1"/>
  <c r="RS1361" i="191"/>
  <c r="RY1361" i="191" s="1"/>
  <c r="RS1363" i="191"/>
  <c r="RY1363" i="191" s="1"/>
  <c r="RS1366" i="191"/>
  <c r="RY1366" i="191" s="1"/>
  <c r="QC1362" i="191"/>
  <c r="QI1362" i="191" s="1"/>
  <c r="QC1365" i="191"/>
  <c r="QI1365" i="191" s="1"/>
  <c r="QC1367" i="191"/>
  <c r="QI1367" i="191" s="1"/>
  <c r="QC1361" i="191"/>
  <c r="QI1361" i="191" s="1"/>
  <c r="QC1363" i="191"/>
  <c r="QI1363" i="191" s="1"/>
  <c r="QC1366" i="191"/>
  <c r="QI1366" i="191" s="1"/>
  <c r="OM1362" i="191"/>
  <c r="OS1362" i="191" s="1"/>
  <c r="OM1365" i="191"/>
  <c r="OS1365" i="191" s="1"/>
  <c r="OM1367" i="191"/>
  <c r="OS1367" i="191" s="1"/>
  <c r="OM1361" i="191"/>
  <c r="OS1361" i="191" s="1"/>
  <c r="OM1363" i="191"/>
  <c r="OS1363" i="191" s="1"/>
  <c r="OM1366" i="191"/>
  <c r="OS1366" i="191" s="1"/>
  <c r="MW1362" i="191"/>
  <c r="NC1362" i="191" s="1"/>
  <c r="MW1365" i="191"/>
  <c r="NC1365" i="191" s="1"/>
  <c r="MW1367" i="191"/>
  <c r="NC1367" i="191" s="1"/>
  <c r="MW1361" i="191"/>
  <c r="NC1361" i="191" s="1"/>
  <c r="MW1363" i="191"/>
  <c r="NC1363" i="191" s="1"/>
  <c r="MW1366" i="191"/>
  <c r="NC1366" i="191" s="1"/>
  <c r="LG1362" i="191"/>
  <c r="LM1362" i="191" s="1"/>
  <c r="LG1365" i="191"/>
  <c r="LM1365" i="191" s="1"/>
  <c r="LG1367" i="191"/>
  <c r="LM1367" i="191" s="1"/>
  <c r="LG1361" i="191"/>
  <c r="LM1361" i="191" s="1"/>
  <c r="LG1363" i="191"/>
  <c r="LM1363" i="191" s="1"/>
  <c r="LG1366" i="191"/>
  <c r="LM1366" i="191" s="1"/>
  <c r="JQ1362" i="191"/>
  <c r="JW1362" i="191" s="1"/>
  <c r="JQ1365" i="191"/>
  <c r="JW1365" i="191" s="1"/>
  <c r="JQ1367" i="191"/>
  <c r="JW1367" i="191" s="1"/>
  <c r="JQ1361" i="191"/>
  <c r="JW1361" i="191" s="1"/>
  <c r="JQ1363" i="191"/>
  <c r="JW1363" i="191" s="1"/>
  <c r="JQ1366" i="191"/>
  <c r="JW1366" i="191" s="1"/>
  <c r="IA1362" i="191"/>
  <c r="IG1362" i="191" s="1"/>
  <c r="IA1365" i="191"/>
  <c r="IG1365" i="191" s="1"/>
  <c r="IA1367" i="191"/>
  <c r="IG1367" i="191" s="1"/>
  <c r="IA1361" i="191"/>
  <c r="IG1361" i="191" s="1"/>
  <c r="IA1363" i="191"/>
  <c r="IG1363" i="191" s="1"/>
  <c r="IA1366" i="191"/>
  <c r="IG1366" i="191" s="1"/>
  <c r="GK1362" i="191"/>
  <c r="GQ1362" i="191" s="1"/>
  <c r="GK1365" i="191"/>
  <c r="GQ1365" i="191" s="1"/>
  <c r="GK1367" i="191"/>
  <c r="GQ1367" i="191" s="1"/>
  <c r="GK1361" i="191"/>
  <c r="GQ1361" i="191" s="1"/>
  <c r="GK1363" i="191"/>
  <c r="GQ1363" i="191" s="1"/>
  <c r="GK1366" i="191"/>
  <c r="GQ1366" i="191" s="1"/>
  <c r="EU1362" i="191"/>
  <c r="FA1362" i="191" s="1"/>
  <c r="EU1365" i="191"/>
  <c r="FA1365" i="191" s="1"/>
  <c r="EU1367" i="191"/>
  <c r="FA1367" i="191" s="1"/>
  <c r="EU1361" i="191"/>
  <c r="FA1361" i="191" s="1"/>
  <c r="EU1363" i="191"/>
  <c r="FA1363" i="191" s="1"/>
  <c r="EU1366" i="191"/>
  <c r="FA1366" i="191" s="1"/>
  <c r="DE1362" i="191"/>
  <c r="DK1362" i="191" s="1"/>
  <c r="DE1365" i="191"/>
  <c r="DK1365" i="191" s="1"/>
  <c r="DE1367" i="191"/>
  <c r="DK1367" i="191" s="1"/>
  <c r="DE1361" i="191"/>
  <c r="DK1361" i="191" s="1"/>
  <c r="DE1363" i="191"/>
  <c r="DK1363" i="191" s="1"/>
  <c r="DE1366" i="191"/>
  <c r="DK1366" i="191" s="1"/>
  <c r="BO1362" i="191"/>
  <c r="BU1362" i="191" s="1"/>
  <c r="BO1365" i="191"/>
  <c r="BU1365" i="191" s="1"/>
  <c r="BO1367" i="191"/>
  <c r="BU1367" i="191" s="1"/>
  <c r="BO1361" i="191"/>
  <c r="BU1361" i="191" s="1"/>
  <c r="BO1363" i="191"/>
  <c r="BU1363" i="191" s="1"/>
  <c r="BO1366" i="191"/>
  <c r="BU1366" i="191" s="1"/>
  <c r="Y1362" i="191"/>
  <c r="AE1362" i="191" s="1"/>
  <c r="Y1365" i="191"/>
  <c r="AE1365" i="191" s="1"/>
  <c r="Y1367" i="191"/>
  <c r="AE1367" i="191" s="1"/>
  <c r="Y1361" i="191"/>
  <c r="AE1361" i="191" s="1"/>
  <c r="Y1363" i="191"/>
  <c r="AE1363" i="191" s="1"/>
  <c r="Y1366" i="191"/>
  <c r="AE1366" i="191" s="1"/>
  <c r="K1294" i="191"/>
  <c r="H1225" i="191"/>
  <c r="YU1297" i="191"/>
  <c r="XZ1297" i="191"/>
  <c r="WJ1297" i="191"/>
  <c r="UT1297" i="191"/>
  <c r="TD1297" i="191"/>
  <c r="RN1297" i="191"/>
  <c r="PX1297" i="191"/>
  <c r="OH1297" i="191"/>
  <c r="MR1297" i="191"/>
  <c r="LB1297" i="191"/>
  <c r="JL1297" i="191"/>
  <c r="HV1297" i="191"/>
  <c r="GF1297" i="191"/>
  <c r="EP1297" i="191"/>
  <c r="CZ1297" i="191"/>
  <c r="BJ1297" i="191"/>
  <c r="T1297" i="191"/>
  <c r="XE1297" i="191"/>
  <c r="VO1297" i="191"/>
  <c r="TY1297" i="191"/>
  <c r="SI1297" i="191"/>
  <c r="QS1297" i="191"/>
  <c r="PC1297" i="191"/>
  <c r="NM1297" i="191"/>
  <c r="LW1297" i="191"/>
  <c r="KG1297" i="191"/>
  <c r="IQ1297" i="191"/>
  <c r="HA1297" i="191"/>
  <c r="FK1297" i="191"/>
  <c r="DU1297" i="191"/>
  <c r="CE1297" i="191"/>
  <c r="AO1297" i="191"/>
  <c r="XE1304" i="191"/>
  <c r="VO1304" i="191"/>
  <c r="TY1304" i="191"/>
  <c r="SI1304" i="191"/>
  <c r="QS1304" i="191"/>
  <c r="PC1304" i="191"/>
  <c r="NM1304" i="191"/>
  <c r="LW1304" i="191"/>
  <c r="KG1304" i="191"/>
  <c r="IQ1304" i="191"/>
  <c r="HA1304" i="191"/>
  <c r="FK1304" i="191"/>
  <c r="DU1304" i="191"/>
  <c r="CE1304" i="191"/>
  <c r="AO1304" i="191"/>
  <c r="YU1304" i="191"/>
  <c r="XZ1304" i="191"/>
  <c r="WJ1304" i="191"/>
  <c r="UT1304" i="191"/>
  <c r="TD1304" i="191"/>
  <c r="RN1304" i="191"/>
  <c r="PX1304" i="191"/>
  <c r="OH1304" i="191"/>
  <c r="MR1304" i="191"/>
  <c r="LB1304" i="191"/>
  <c r="JL1304" i="191"/>
  <c r="HV1304" i="191"/>
  <c r="GF1304" i="191"/>
  <c r="EP1304" i="191"/>
  <c r="CZ1304" i="191"/>
  <c r="BJ1304" i="191"/>
  <c r="T1304" i="191"/>
  <c r="YS1297" i="191"/>
  <c r="XX1297" i="191"/>
  <c r="WH1297" i="191"/>
  <c r="UR1297" i="191"/>
  <c r="TB1297" i="191"/>
  <c r="RL1297" i="191"/>
  <c r="PV1297" i="191"/>
  <c r="OF1297" i="191"/>
  <c r="MP1297" i="191"/>
  <c r="KZ1297" i="191"/>
  <c r="JJ1297" i="191"/>
  <c r="HT1297" i="191"/>
  <c r="GD1297" i="191"/>
  <c r="EN1297" i="191"/>
  <c r="CX1297" i="191"/>
  <c r="BH1297" i="191"/>
  <c r="R1297" i="191"/>
  <c r="XC1297" i="191"/>
  <c r="VM1297" i="191"/>
  <c r="TW1297" i="191"/>
  <c r="SG1297" i="191"/>
  <c r="QQ1297" i="191"/>
  <c r="PA1297" i="191"/>
  <c r="NK1297" i="191"/>
  <c r="LU1297" i="191"/>
  <c r="KE1297" i="191"/>
  <c r="IO1297" i="191"/>
  <c r="GY1297" i="191"/>
  <c r="FI1297" i="191"/>
  <c r="DS1297" i="191"/>
  <c r="CC1297" i="191"/>
  <c r="AM1297" i="191"/>
  <c r="XC1302" i="191"/>
  <c r="VM1302" i="191"/>
  <c r="TW1302" i="191"/>
  <c r="SG1302" i="191"/>
  <c r="QQ1302" i="191"/>
  <c r="PA1302" i="191"/>
  <c r="NK1302" i="191"/>
  <c r="LU1302" i="191"/>
  <c r="KE1302" i="191"/>
  <c r="IO1302" i="191"/>
  <c r="GY1302" i="191"/>
  <c r="FI1302" i="191"/>
  <c r="DS1302" i="191"/>
  <c r="CC1302" i="191"/>
  <c r="AM1302" i="191"/>
  <c r="YS1302" i="191"/>
  <c r="XX1302" i="191"/>
  <c r="WH1302" i="191"/>
  <c r="UR1302" i="191"/>
  <c r="TB1302" i="191"/>
  <c r="RL1302" i="191"/>
  <c r="PV1302" i="191"/>
  <c r="OF1302" i="191"/>
  <c r="MP1302" i="191"/>
  <c r="KZ1302" i="191"/>
  <c r="JJ1302" i="191"/>
  <c r="HT1302" i="191"/>
  <c r="GD1302" i="191"/>
  <c r="EN1302" i="191"/>
  <c r="CX1302" i="191"/>
  <c r="BH1302" i="191"/>
  <c r="R1302" i="191"/>
  <c r="XC1307" i="191"/>
  <c r="VM1307" i="191"/>
  <c r="TW1307" i="191"/>
  <c r="SG1307" i="191"/>
  <c r="QQ1307" i="191"/>
  <c r="PA1307" i="191"/>
  <c r="NK1307" i="191"/>
  <c r="LU1307" i="191"/>
  <c r="KE1307" i="191"/>
  <c r="IO1307" i="191"/>
  <c r="GY1307" i="191"/>
  <c r="FI1307" i="191"/>
  <c r="DS1307" i="191"/>
  <c r="CC1307" i="191"/>
  <c r="AM1307" i="191"/>
  <c r="YS1307" i="191"/>
  <c r="XX1307" i="191"/>
  <c r="WH1307" i="191"/>
  <c r="UR1307" i="191"/>
  <c r="TB1307" i="191"/>
  <c r="RL1307" i="191"/>
  <c r="PV1307" i="191"/>
  <c r="OF1307" i="191"/>
  <c r="MP1307" i="191"/>
  <c r="KZ1307" i="191"/>
  <c r="JJ1307" i="191"/>
  <c r="HT1307" i="191"/>
  <c r="GD1307" i="191"/>
  <c r="EN1307" i="191"/>
  <c r="CX1307" i="191"/>
  <c r="BH1307" i="191"/>
  <c r="R1307" i="191"/>
  <c r="XI1361" i="191"/>
  <c r="XO1361" i="191" s="1"/>
  <c r="XI1363" i="191"/>
  <c r="XO1363" i="191" s="1"/>
  <c r="XI1366" i="191"/>
  <c r="XO1366" i="191" s="1"/>
  <c r="XI1362" i="191"/>
  <c r="XO1362" i="191" s="1"/>
  <c r="XI1365" i="191"/>
  <c r="XO1365" i="191" s="1"/>
  <c r="XI1367" i="191"/>
  <c r="XO1367" i="191" s="1"/>
  <c r="VS1361" i="191"/>
  <c r="VY1361" i="191" s="1"/>
  <c r="VS1363" i="191"/>
  <c r="VY1363" i="191" s="1"/>
  <c r="VS1366" i="191"/>
  <c r="VY1366" i="191" s="1"/>
  <c r="VS1362" i="191"/>
  <c r="VY1362" i="191" s="1"/>
  <c r="VS1365" i="191"/>
  <c r="VY1365" i="191" s="1"/>
  <c r="VS1367" i="191"/>
  <c r="VY1367" i="191" s="1"/>
  <c r="UC1361" i="191"/>
  <c r="UI1361" i="191" s="1"/>
  <c r="UC1363" i="191"/>
  <c r="UI1363" i="191" s="1"/>
  <c r="UC1366" i="191"/>
  <c r="UI1366" i="191" s="1"/>
  <c r="UC1362" i="191"/>
  <c r="UI1362" i="191" s="1"/>
  <c r="UC1365" i="191"/>
  <c r="UI1365" i="191" s="1"/>
  <c r="UC1367" i="191"/>
  <c r="UI1367" i="191" s="1"/>
  <c r="SM1361" i="191"/>
  <c r="SS1361" i="191" s="1"/>
  <c r="SM1363" i="191"/>
  <c r="SS1363" i="191" s="1"/>
  <c r="SM1366" i="191"/>
  <c r="SS1366" i="191" s="1"/>
  <c r="SM1362" i="191"/>
  <c r="SS1362" i="191" s="1"/>
  <c r="SM1365" i="191"/>
  <c r="SS1365" i="191" s="1"/>
  <c r="SM1367" i="191"/>
  <c r="SS1367" i="191" s="1"/>
  <c r="QW1361" i="191"/>
  <c r="RC1361" i="191" s="1"/>
  <c r="QW1363" i="191"/>
  <c r="RC1363" i="191" s="1"/>
  <c r="QW1366" i="191"/>
  <c r="RC1366" i="191" s="1"/>
  <c r="QW1362" i="191"/>
  <c r="RC1362" i="191" s="1"/>
  <c r="QW1365" i="191"/>
  <c r="RC1365" i="191" s="1"/>
  <c r="QW1367" i="191"/>
  <c r="RC1367" i="191" s="1"/>
  <c r="PG1361" i="191"/>
  <c r="PM1361" i="191" s="1"/>
  <c r="PG1363" i="191"/>
  <c r="PM1363" i="191" s="1"/>
  <c r="PG1366" i="191"/>
  <c r="PM1366" i="191" s="1"/>
  <c r="PG1362" i="191"/>
  <c r="PM1362" i="191" s="1"/>
  <c r="PG1365" i="191"/>
  <c r="PM1365" i="191" s="1"/>
  <c r="PG1367" i="191"/>
  <c r="PM1367" i="191" s="1"/>
  <c r="NQ1361" i="191"/>
  <c r="NW1361" i="191" s="1"/>
  <c r="NQ1363" i="191"/>
  <c r="NW1363" i="191" s="1"/>
  <c r="NQ1366" i="191"/>
  <c r="NW1366" i="191" s="1"/>
  <c r="NQ1362" i="191"/>
  <c r="NW1362" i="191" s="1"/>
  <c r="NQ1365" i="191"/>
  <c r="NW1365" i="191" s="1"/>
  <c r="NQ1367" i="191"/>
  <c r="NW1367" i="191" s="1"/>
  <c r="MA1361" i="191"/>
  <c r="MG1361" i="191" s="1"/>
  <c r="MA1363" i="191"/>
  <c r="MG1363" i="191" s="1"/>
  <c r="MA1366" i="191"/>
  <c r="MG1366" i="191" s="1"/>
  <c r="MA1362" i="191"/>
  <c r="MG1362" i="191" s="1"/>
  <c r="MA1365" i="191"/>
  <c r="MG1365" i="191" s="1"/>
  <c r="MA1367" i="191"/>
  <c r="MG1367" i="191" s="1"/>
  <c r="KK1361" i="191"/>
  <c r="KQ1361" i="191" s="1"/>
  <c r="KK1363" i="191"/>
  <c r="KQ1363" i="191" s="1"/>
  <c r="KK1366" i="191"/>
  <c r="KQ1366" i="191" s="1"/>
  <c r="KK1362" i="191"/>
  <c r="KQ1362" i="191" s="1"/>
  <c r="KK1365" i="191"/>
  <c r="KQ1365" i="191" s="1"/>
  <c r="KK1367" i="191"/>
  <c r="KQ1367" i="191" s="1"/>
  <c r="IU1361" i="191"/>
  <c r="JA1361" i="191" s="1"/>
  <c r="IU1363" i="191"/>
  <c r="JA1363" i="191" s="1"/>
  <c r="IU1366" i="191"/>
  <c r="JA1366" i="191" s="1"/>
  <c r="IU1362" i="191"/>
  <c r="JA1362" i="191" s="1"/>
  <c r="IU1365" i="191"/>
  <c r="JA1365" i="191" s="1"/>
  <c r="IU1367" i="191"/>
  <c r="JA1367" i="191" s="1"/>
  <c r="HE1361" i="191"/>
  <c r="HK1361" i="191" s="1"/>
  <c r="HE1363" i="191"/>
  <c r="HK1363" i="191" s="1"/>
  <c r="HE1366" i="191"/>
  <c r="HK1366" i="191" s="1"/>
  <c r="HE1362" i="191"/>
  <c r="HK1362" i="191" s="1"/>
  <c r="HE1365" i="191"/>
  <c r="HK1365" i="191" s="1"/>
  <c r="HE1367" i="191"/>
  <c r="HK1367" i="191" s="1"/>
  <c r="FO1361" i="191"/>
  <c r="FU1361" i="191" s="1"/>
  <c r="FO1363" i="191"/>
  <c r="FU1363" i="191" s="1"/>
  <c r="FO1366" i="191"/>
  <c r="FU1366" i="191" s="1"/>
  <c r="FO1362" i="191"/>
  <c r="FU1362" i="191" s="1"/>
  <c r="FO1365" i="191"/>
  <c r="FU1365" i="191" s="1"/>
  <c r="FO1367" i="191"/>
  <c r="FU1367" i="191" s="1"/>
  <c r="DY1361" i="191"/>
  <c r="EE1361" i="191" s="1"/>
  <c r="DY1363" i="191"/>
  <c r="EE1363" i="191" s="1"/>
  <c r="DY1366" i="191"/>
  <c r="EE1366" i="191" s="1"/>
  <c r="DY1362" i="191"/>
  <c r="EE1362" i="191" s="1"/>
  <c r="DY1365" i="191"/>
  <c r="EE1365" i="191" s="1"/>
  <c r="DY1367" i="191"/>
  <c r="EE1367" i="191" s="1"/>
  <c r="CI1361" i="191"/>
  <c r="CO1361" i="191" s="1"/>
  <c r="CI1363" i="191"/>
  <c r="CO1363" i="191" s="1"/>
  <c r="CI1366" i="191"/>
  <c r="CO1366" i="191" s="1"/>
  <c r="CI1362" i="191"/>
  <c r="CO1362" i="191" s="1"/>
  <c r="CI1365" i="191"/>
  <c r="CO1365" i="191" s="1"/>
  <c r="CI1367" i="191"/>
  <c r="CO1367" i="191" s="1"/>
  <c r="AS1361" i="191"/>
  <c r="AY1361" i="191" s="1"/>
  <c r="AS1363" i="191"/>
  <c r="AY1363" i="191" s="1"/>
  <c r="AS1366" i="191"/>
  <c r="AY1366" i="191" s="1"/>
  <c r="AS1362" i="191"/>
  <c r="AY1362" i="191" s="1"/>
  <c r="AS1365" i="191"/>
  <c r="AY1365" i="191" s="1"/>
  <c r="AS1367" i="191"/>
  <c r="AY1367" i="191" s="1"/>
  <c r="YY1361" i="191"/>
  <c r="ZE1361" i="191" s="1"/>
  <c r="YY1363" i="191"/>
  <c r="ZE1363" i="191" s="1"/>
  <c r="YY1366" i="191"/>
  <c r="ZE1366" i="191" s="1"/>
  <c r="YY1362" i="191"/>
  <c r="ZE1362" i="191" s="1"/>
  <c r="YY1365" i="191"/>
  <c r="ZE1365" i="191" s="1"/>
  <c r="YY1367" i="191"/>
  <c r="ZE1367" i="191" s="1"/>
  <c r="XK1365" i="191"/>
  <c r="XQ1365" i="191" s="1"/>
  <c r="XK1361" i="191"/>
  <c r="XQ1361" i="191" s="1"/>
  <c r="XK1363" i="191"/>
  <c r="XQ1363" i="191" s="1"/>
  <c r="XK1366" i="191"/>
  <c r="XQ1366" i="191" s="1"/>
  <c r="XK1362" i="191"/>
  <c r="XQ1362" i="191" s="1"/>
  <c r="XK1367" i="191"/>
  <c r="XQ1367" i="191" s="1"/>
  <c r="VU1365" i="191"/>
  <c r="WA1365" i="191" s="1"/>
  <c r="VU1361" i="191"/>
  <c r="WA1361" i="191" s="1"/>
  <c r="VU1363" i="191"/>
  <c r="WA1363" i="191" s="1"/>
  <c r="VU1366" i="191"/>
  <c r="WA1366" i="191" s="1"/>
  <c r="VU1362" i="191"/>
  <c r="WA1362" i="191" s="1"/>
  <c r="VU1367" i="191"/>
  <c r="WA1367" i="191" s="1"/>
  <c r="UE1365" i="191"/>
  <c r="UK1365" i="191" s="1"/>
  <c r="UE1361" i="191"/>
  <c r="UK1361" i="191" s="1"/>
  <c r="UE1363" i="191"/>
  <c r="UK1363" i="191" s="1"/>
  <c r="UE1366" i="191"/>
  <c r="UK1366" i="191" s="1"/>
  <c r="UE1362" i="191"/>
  <c r="UK1362" i="191" s="1"/>
  <c r="UE1367" i="191"/>
  <c r="UK1367" i="191" s="1"/>
  <c r="SO1365" i="191"/>
  <c r="SU1365" i="191" s="1"/>
  <c r="SO1361" i="191"/>
  <c r="SU1361" i="191" s="1"/>
  <c r="SO1363" i="191"/>
  <c r="SU1363" i="191" s="1"/>
  <c r="SO1366" i="191"/>
  <c r="SU1366" i="191" s="1"/>
  <c r="SO1362" i="191"/>
  <c r="SU1362" i="191" s="1"/>
  <c r="SO1367" i="191"/>
  <c r="SU1367" i="191" s="1"/>
  <c r="QY1365" i="191"/>
  <c r="RE1365" i="191" s="1"/>
  <c r="QY1361" i="191"/>
  <c r="RE1361" i="191" s="1"/>
  <c r="QY1363" i="191"/>
  <c r="RE1363" i="191" s="1"/>
  <c r="QY1366" i="191"/>
  <c r="RE1366" i="191" s="1"/>
  <c r="QY1362" i="191"/>
  <c r="RE1362" i="191" s="1"/>
  <c r="QY1367" i="191"/>
  <c r="RE1367" i="191" s="1"/>
  <c r="PI1365" i="191"/>
  <c r="PO1365" i="191" s="1"/>
  <c r="PI1361" i="191"/>
  <c r="PO1361" i="191" s="1"/>
  <c r="PI1363" i="191"/>
  <c r="PO1363" i="191" s="1"/>
  <c r="PI1366" i="191"/>
  <c r="PO1366" i="191" s="1"/>
  <c r="PI1362" i="191"/>
  <c r="PO1362" i="191" s="1"/>
  <c r="PI1367" i="191"/>
  <c r="PO1367" i="191" s="1"/>
  <c r="NS1365" i="191"/>
  <c r="NY1365" i="191" s="1"/>
  <c r="NS1361" i="191"/>
  <c r="NY1361" i="191" s="1"/>
  <c r="NS1363" i="191"/>
  <c r="NY1363" i="191" s="1"/>
  <c r="NS1366" i="191"/>
  <c r="NY1366" i="191" s="1"/>
  <c r="NS1362" i="191"/>
  <c r="NY1362" i="191" s="1"/>
  <c r="NS1367" i="191"/>
  <c r="NY1367" i="191" s="1"/>
  <c r="MC1365" i="191"/>
  <c r="MI1365" i="191" s="1"/>
  <c r="MC1361" i="191"/>
  <c r="MI1361" i="191" s="1"/>
  <c r="MC1363" i="191"/>
  <c r="MI1363" i="191" s="1"/>
  <c r="MC1366" i="191"/>
  <c r="MI1366" i="191" s="1"/>
  <c r="MC1362" i="191"/>
  <c r="MI1362" i="191" s="1"/>
  <c r="MC1367" i="191"/>
  <c r="MI1367" i="191" s="1"/>
  <c r="KM1365" i="191"/>
  <c r="KS1365" i="191" s="1"/>
  <c r="KM1361" i="191"/>
  <c r="KS1361" i="191" s="1"/>
  <c r="KM1363" i="191"/>
  <c r="KS1363" i="191" s="1"/>
  <c r="KM1366" i="191"/>
  <c r="KS1366" i="191" s="1"/>
  <c r="KM1362" i="191"/>
  <c r="KS1362" i="191" s="1"/>
  <c r="KM1367" i="191"/>
  <c r="KS1367" i="191" s="1"/>
  <c r="IW1365" i="191"/>
  <c r="JC1365" i="191" s="1"/>
  <c r="IW1361" i="191"/>
  <c r="JC1361" i="191" s="1"/>
  <c r="IW1363" i="191"/>
  <c r="JC1363" i="191" s="1"/>
  <c r="IW1366" i="191"/>
  <c r="JC1366" i="191" s="1"/>
  <c r="IW1362" i="191"/>
  <c r="JC1362" i="191" s="1"/>
  <c r="IW1367" i="191"/>
  <c r="JC1367" i="191" s="1"/>
  <c r="HG1365" i="191"/>
  <c r="HM1365" i="191" s="1"/>
  <c r="HG1361" i="191"/>
  <c r="HM1361" i="191" s="1"/>
  <c r="HG1363" i="191"/>
  <c r="HM1363" i="191" s="1"/>
  <c r="HG1366" i="191"/>
  <c r="HM1366" i="191" s="1"/>
  <c r="HG1362" i="191"/>
  <c r="HM1362" i="191" s="1"/>
  <c r="HG1367" i="191"/>
  <c r="HM1367" i="191" s="1"/>
  <c r="FQ1365" i="191"/>
  <c r="FW1365" i="191" s="1"/>
  <c r="FQ1361" i="191"/>
  <c r="FW1361" i="191" s="1"/>
  <c r="FQ1363" i="191"/>
  <c r="FW1363" i="191" s="1"/>
  <c r="FQ1366" i="191"/>
  <c r="FW1366" i="191" s="1"/>
  <c r="FQ1362" i="191"/>
  <c r="FW1362" i="191" s="1"/>
  <c r="FQ1367" i="191"/>
  <c r="FW1367" i="191" s="1"/>
  <c r="EA1365" i="191"/>
  <c r="EG1365" i="191" s="1"/>
  <c r="EA1361" i="191"/>
  <c r="EG1361" i="191" s="1"/>
  <c r="EA1363" i="191"/>
  <c r="EG1363" i="191" s="1"/>
  <c r="EA1366" i="191"/>
  <c r="EG1366" i="191" s="1"/>
  <c r="EA1362" i="191"/>
  <c r="EG1362" i="191" s="1"/>
  <c r="EA1367" i="191"/>
  <c r="EG1367" i="191" s="1"/>
  <c r="CK1365" i="191"/>
  <c r="CQ1365" i="191" s="1"/>
  <c r="CK1361" i="191"/>
  <c r="CQ1361" i="191" s="1"/>
  <c r="CK1363" i="191"/>
  <c r="CQ1363" i="191" s="1"/>
  <c r="CK1366" i="191"/>
  <c r="CQ1366" i="191" s="1"/>
  <c r="CK1362" i="191"/>
  <c r="CQ1362" i="191" s="1"/>
  <c r="CK1367" i="191"/>
  <c r="CQ1367" i="191" s="1"/>
  <c r="AU1365" i="191"/>
  <c r="BA1365" i="191" s="1"/>
  <c r="AU1361" i="191"/>
  <c r="BA1361" i="191" s="1"/>
  <c r="AU1363" i="191"/>
  <c r="BA1363" i="191" s="1"/>
  <c r="AU1366" i="191"/>
  <c r="BA1366" i="191" s="1"/>
  <c r="AU1362" i="191"/>
  <c r="BA1362" i="191" s="1"/>
  <c r="AU1367" i="191"/>
  <c r="BA1367" i="191" s="1"/>
  <c r="ZA1365" i="191"/>
  <c r="ZG1365" i="191" s="1"/>
  <c r="ZA1361" i="191"/>
  <c r="ZG1361" i="191" s="1"/>
  <c r="ZA1363" i="191"/>
  <c r="ZG1363" i="191" s="1"/>
  <c r="ZA1366" i="191"/>
  <c r="ZG1366" i="191" s="1"/>
  <c r="ZA1362" i="191"/>
  <c r="ZG1362" i="191" s="1"/>
  <c r="ZA1367" i="191"/>
  <c r="ZG1367" i="191" s="1"/>
  <c r="YU1299" i="191"/>
  <c r="XZ1299" i="191"/>
  <c r="WJ1299" i="191"/>
  <c r="UT1299" i="191"/>
  <c r="TD1299" i="191"/>
  <c r="RN1299" i="191"/>
  <c r="PX1299" i="191"/>
  <c r="OH1299" i="191"/>
  <c r="MR1299" i="191"/>
  <c r="LB1299" i="191"/>
  <c r="JL1299" i="191"/>
  <c r="HV1299" i="191"/>
  <c r="GF1299" i="191"/>
  <c r="EP1299" i="191"/>
  <c r="CZ1299" i="191"/>
  <c r="BJ1299" i="191"/>
  <c r="T1299" i="191"/>
  <c r="XE1299" i="191"/>
  <c r="VO1299" i="191"/>
  <c r="TY1299" i="191"/>
  <c r="SI1299" i="191"/>
  <c r="QS1299" i="191"/>
  <c r="PC1299" i="191"/>
  <c r="NM1299" i="191"/>
  <c r="LW1299" i="191"/>
  <c r="KG1299" i="191"/>
  <c r="IQ1299" i="191"/>
  <c r="HA1299" i="191"/>
  <c r="FK1299" i="191"/>
  <c r="DU1299" i="191"/>
  <c r="CE1299" i="191"/>
  <c r="AO1299" i="191"/>
  <c r="XE1302" i="191"/>
  <c r="VO1302" i="191"/>
  <c r="TY1302" i="191"/>
  <c r="SI1302" i="191"/>
  <c r="QS1302" i="191"/>
  <c r="PC1302" i="191"/>
  <c r="NM1302" i="191"/>
  <c r="LW1302" i="191"/>
  <c r="KG1302" i="191"/>
  <c r="IQ1302" i="191"/>
  <c r="HA1302" i="191"/>
  <c r="FK1302" i="191"/>
  <c r="DU1302" i="191"/>
  <c r="CE1302" i="191"/>
  <c r="AO1302" i="191"/>
  <c r="YU1302" i="191"/>
  <c r="XZ1302" i="191"/>
  <c r="WJ1302" i="191"/>
  <c r="UT1302" i="191"/>
  <c r="TD1302" i="191"/>
  <c r="RN1302" i="191"/>
  <c r="PX1302" i="191"/>
  <c r="OH1302" i="191"/>
  <c r="MR1302" i="191"/>
  <c r="LB1302" i="191"/>
  <c r="JL1302" i="191"/>
  <c r="HV1302" i="191"/>
  <c r="GF1302" i="191"/>
  <c r="EP1302" i="191"/>
  <c r="CZ1302" i="191"/>
  <c r="BJ1302" i="191"/>
  <c r="T1302" i="191"/>
  <c r="XE1307" i="191"/>
  <c r="VO1307" i="191"/>
  <c r="TY1307" i="191"/>
  <c r="SI1307" i="191"/>
  <c r="QS1307" i="191"/>
  <c r="PC1307" i="191"/>
  <c r="NM1307" i="191"/>
  <c r="LW1307" i="191"/>
  <c r="KG1307" i="191"/>
  <c r="IQ1307" i="191"/>
  <c r="HA1307" i="191"/>
  <c r="FK1307" i="191"/>
  <c r="DU1307" i="191"/>
  <c r="CE1307" i="191"/>
  <c r="AO1307" i="191"/>
  <c r="YU1307" i="191"/>
  <c r="XZ1307" i="191"/>
  <c r="WJ1307" i="191"/>
  <c r="UT1307" i="191"/>
  <c r="TD1307" i="191"/>
  <c r="RN1307" i="191"/>
  <c r="PX1307" i="191"/>
  <c r="OH1307" i="191"/>
  <c r="MR1307" i="191"/>
  <c r="LB1307" i="191"/>
  <c r="JL1307" i="191"/>
  <c r="HV1307" i="191"/>
  <c r="GF1307" i="191"/>
  <c r="EP1307" i="191"/>
  <c r="CZ1307" i="191"/>
  <c r="BJ1307" i="191"/>
  <c r="T1307" i="191"/>
  <c r="YS1299" i="191"/>
  <c r="XX1299" i="191"/>
  <c r="WH1299" i="191"/>
  <c r="UR1299" i="191"/>
  <c r="TB1299" i="191"/>
  <c r="RL1299" i="191"/>
  <c r="PV1299" i="191"/>
  <c r="OF1299" i="191"/>
  <c r="MP1299" i="191"/>
  <c r="KZ1299" i="191"/>
  <c r="JJ1299" i="191"/>
  <c r="HT1299" i="191"/>
  <c r="GD1299" i="191"/>
  <c r="EN1299" i="191"/>
  <c r="CX1299" i="191"/>
  <c r="BH1299" i="191"/>
  <c r="R1299" i="191"/>
  <c r="XC1299" i="191"/>
  <c r="VM1299" i="191"/>
  <c r="TW1299" i="191"/>
  <c r="SG1299" i="191"/>
  <c r="QQ1299" i="191"/>
  <c r="PA1299" i="191"/>
  <c r="NK1299" i="191"/>
  <c r="LU1299" i="191"/>
  <c r="KE1299" i="191"/>
  <c r="IO1299" i="191"/>
  <c r="GY1299" i="191"/>
  <c r="FI1299" i="191"/>
  <c r="DS1299" i="191"/>
  <c r="CC1299" i="191"/>
  <c r="AM1299" i="191"/>
  <c r="XC1304" i="191"/>
  <c r="VM1304" i="191"/>
  <c r="TW1304" i="191"/>
  <c r="SG1304" i="191"/>
  <c r="QQ1304" i="191"/>
  <c r="PA1304" i="191"/>
  <c r="NK1304" i="191"/>
  <c r="LU1304" i="191"/>
  <c r="KE1304" i="191"/>
  <c r="IO1304" i="191"/>
  <c r="GY1304" i="191"/>
  <c r="FI1304" i="191"/>
  <c r="DS1304" i="191"/>
  <c r="CC1304" i="191"/>
  <c r="AM1304" i="191"/>
  <c r="YS1304" i="191"/>
  <c r="XX1304" i="191"/>
  <c r="WH1304" i="191"/>
  <c r="UR1304" i="191"/>
  <c r="TB1304" i="191"/>
  <c r="RL1304" i="191"/>
  <c r="PV1304" i="191"/>
  <c r="OF1304" i="191"/>
  <c r="MP1304" i="191"/>
  <c r="KZ1304" i="191"/>
  <c r="JJ1304" i="191"/>
  <c r="HT1304" i="191"/>
  <c r="GD1304" i="191"/>
  <c r="EN1304" i="191"/>
  <c r="CX1304" i="191"/>
  <c r="BH1304" i="191"/>
  <c r="R1304" i="191"/>
  <c r="XJ1362" i="191"/>
  <c r="XP1362" i="191" s="1"/>
  <c r="XJ1365" i="191"/>
  <c r="XP1365" i="191" s="1"/>
  <c r="XJ1367" i="191"/>
  <c r="XP1367" i="191" s="1"/>
  <c r="XJ1361" i="191"/>
  <c r="XP1361" i="191" s="1"/>
  <c r="XJ1363" i="191"/>
  <c r="XP1363" i="191" s="1"/>
  <c r="XJ1366" i="191"/>
  <c r="XP1366" i="191" s="1"/>
  <c r="UD1362" i="191"/>
  <c r="UJ1362" i="191" s="1"/>
  <c r="UD1365" i="191"/>
  <c r="UJ1365" i="191" s="1"/>
  <c r="UD1367" i="191"/>
  <c r="UJ1367" i="191" s="1"/>
  <c r="UD1361" i="191"/>
  <c r="UJ1361" i="191" s="1"/>
  <c r="UD1363" i="191"/>
  <c r="UJ1363" i="191" s="1"/>
  <c r="UD1366" i="191"/>
  <c r="UJ1366" i="191" s="1"/>
  <c r="QX1362" i="191"/>
  <c r="RD1362" i="191" s="1"/>
  <c r="QX1365" i="191"/>
  <c r="RD1365" i="191" s="1"/>
  <c r="QX1367" i="191"/>
  <c r="RD1367" i="191" s="1"/>
  <c r="QX1361" i="191"/>
  <c r="RD1361" i="191" s="1"/>
  <c r="QX1363" i="191"/>
  <c r="RD1363" i="191" s="1"/>
  <c r="QX1366" i="191"/>
  <c r="RD1366" i="191" s="1"/>
  <c r="NR1362" i="191"/>
  <c r="NX1362" i="191" s="1"/>
  <c r="NR1365" i="191"/>
  <c r="NX1365" i="191" s="1"/>
  <c r="NR1367" i="191"/>
  <c r="NX1367" i="191" s="1"/>
  <c r="NR1361" i="191"/>
  <c r="NX1361" i="191" s="1"/>
  <c r="NR1363" i="191"/>
  <c r="NX1363" i="191" s="1"/>
  <c r="NR1366" i="191"/>
  <c r="NX1366" i="191" s="1"/>
  <c r="KL1362" i="191"/>
  <c r="KR1362" i="191" s="1"/>
  <c r="KL1365" i="191"/>
  <c r="KR1365" i="191" s="1"/>
  <c r="KL1367" i="191"/>
  <c r="KR1367" i="191" s="1"/>
  <c r="KL1361" i="191"/>
  <c r="KR1361" i="191" s="1"/>
  <c r="KL1363" i="191"/>
  <c r="KR1363" i="191" s="1"/>
  <c r="KL1366" i="191"/>
  <c r="KR1366" i="191" s="1"/>
  <c r="HF1362" i="191"/>
  <c r="HL1362" i="191" s="1"/>
  <c r="HF1365" i="191"/>
  <c r="HL1365" i="191" s="1"/>
  <c r="HF1367" i="191"/>
  <c r="HL1367" i="191" s="1"/>
  <c r="HF1361" i="191"/>
  <c r="HL1361" i="191" s="1"/>
  <c r="HF1363" i="191"/>
  <c r="HL1363" i="191" s="1"/>
  <c r="HF1366" i="191"/>
  <c r="HL1366" i="191" s="1"/>
  <c r="DZ1362" i="191"/>
  <c r="EF1362" i="191" s="1"/>
  <c r="DZ1365" i="191"/>
  <c r="EF1365" i="191" s="1"/>
  <c r="DZ1367" i="191"/>
  <c r="EF1367" i="191" s="1"/>
  <c r="DZ1361" i="191"/>
  <c r="EF1361" i="191" s="1"/>
  <c r="DZ1363" i="191"/>
  <c r="EF1363" i="191" s="1"/>
  <c r="DZ1366" i="191"/>
  <c r="EF1366" i="191" s="1"/>
  <c r="YD1361" i="191"/>
  <c r="YJ1361" i="191" s="1"/>
  <c r="YD1363" i="191"/>
  <c r="YJ1363" i="191" s="1"/>
  <c r="YD1366" i="191"/>
  <c r="YJ1366" i="191" s="1"/>
  <c r="YD1362" i="191"/>
  <c r="YJ1362" i="191" s="1"/>
  <c r="YD1365" i="191"/>
  <c r="YJ1365" i="191" s="1"/>
  <c r="YD1367" i="191"/>
  <c r="YJ1367" i="191" s="1"/>
  <c r="WN1361" i="191"/>
  <c r="WT1361" i="191" s="1"/>
  <c r="WN1363" i="191"/>
  <c r="WT1363" i="191" s="1"/>
  <c r="WN1366" i="191"/>
  <c r="WT1366" i="191" s="1"/>
  <c r="WN1362" i="191"/>
  <c r="WT1362" i="191" s="1"/>
  <c r="WN1365" i="191"/>
  <c r="WT1365" i="191" s="1"/>
  <c r="WN1367" i="191"/>
  <c r="WT1367" i="191" s="1"/>
  <c r="UX1361" i="191"/>
  <c r="VD1361" i="191" s="1"/>
  <c r="UX1363" i="191"/>
  <c r="VD1363" i="191" s="1"/>
  <c r="UX1366" i="191"/>
  <c r="VD1366" i="191" s="1"/>
  <c r="UX1362" i="191"/>
  <c r="VD1362" i="191" s="1"/>
  <c r="UX1365" i="191"/>
  <c r="VD1365" i="191" s="1"/>
  <c r="UX1367" i="191"/>
  <c r="VD1367" i="191" s="1"/>
  <c r="TH1361" i="191"/>
  <c r="TN1361" i="191" s="1"/>
  <c r="TH1363" i="191"/>
  <c r="TN1363" i="191" s="1"/>
  <c r="TH1366" i="191"/>
  <c r="TN1366" i="191" s="1"/>
  <c r="TH1362" i="191"/>
  <c r="TN1362" i="191" s="1"/>
  <c r="TH1365" i="191"/>
  <c r="TN1365" i="191" s="1"/>
  <c r="TH1367" i="191"/>
  <c r="TN1367" i="191" s="1"/>
  <c r="RR1361" i="191"/>
  <c r="RX1361" i="191" s="1"/>
  <c r="RR1363" i="191"/>
  <c r="RX1363" i="191" s="1"/>
  <c r="RR1366" i="191"/>
  <c r="RX1366" i="191" s="1"/>
  <c r="RR1362" i="191"/>
  <c r="RX1362" i="191" s="1"/>
  <c r="RR1365" i="191"/>
  <c r="RX1365" i="191" s="1"/>
  <c r="RR1367" i="191"/>
  <c r="RX1367" i="191" s="1"/>
  <c r="QB1361" i="191"/>
  <c r="QH1361" i="191" s="1"/>
  <c r="QB1363" i="191"/>
  <c r="QH1363" i="191" s="1"/>
  <c r="QB1366" i="191"/>
  <c r="QH1366" i="191" s="1"/>
  <c r="QB1362" i="191"/>
  <c r="QH1362" i="191" s="1"/>
  <c r="QB1365" i="191"/>
  <c r="QH1365" i="191" s="1"/>
  <c r="QB1367" i="191"/>
  <c r="QH1367" i="191" s="1"/>
  <c r="OL1361" i="191"/>
  <c r="OR1361" i="191" s="1"/>
  <c r="OL1363" i="191"/>
  <c r="OR1363" i="191" s="1"/>
  <c r="OL1366" i="191"/>
  <c r="OR1366" i="191" s="1"/>
  <c r="OL1362" i="191"/>
  <c r="OR1362" i="191" s="1"/>
  <c r="OL1365" i="191"/>
  <c r="OR1365" i="191" s="1"/>
  <c r="OL1367" i="191"/>
  <c r="OR1367" i="191" s="1"/>
  <c r="MV1361" i="191"/>
  <c r="NB1361" i="191" s="1"/>
  <c r="MV1363" i="191"/>
  <c r="NB1363" i="191" s="1"/>
  <c r="MV1366" i="191"/>
  <c r="NB1366" i="191" s="1"/>
  <c r="MV1362" i="191"/>
  <c r="NB1362" i="191" s="1"/>
  <c r="MV1365" i="191"/>
  <c r="NB1365" i="191" s="1"/>
  <c r="MV1367" i="191"/>
  <c r="NB1367" i="191" s="1"/>
  <c r="LF1361" i="191"/>
  <c r="LL1361" i="191" s="1"/>
  <c r="LF1363" i="191"/>
  <c r="LL1363" i="191" s="1"/>
  <c r="LF1366" i="191"/>
  <c r="LL1366" i="191" s="1"/>
  <c r="LF1362" i="191"/>
  <c r="LL1362" i="191" s="1"/>
  <c r="LF1365" i="191"/>
  <c r="LL1365" i="191" s="1"/>
  <c r="LF1367" i="191"/>
  <c r="LL1367" i="191" s="1"/>
  <c r="JP1361" i="191"/>
  <c r="JV1361" i="191" s="1"/>
  <c r="JP1363" i="191"/>
  <c r="JV1363" i="191" s="1"/>
  <c r="JP1366" i="191"/>
  <c r="JV1366" i="191" s="1"/>
  <c r="JP1362" i="191"/>
  <c r="JV1362" i="191" s="1"/>
  <c r="JP1365" i="191"/>
  <c r="JV1365" i="191" s="1"/>
  <c r="JP1367" i="191"/>
  <c r="JV1367" i="191" s="1"/>
  <c r="HZ1361" i="191"/>
  <c r="IF1361" i="191" s="1"/>
  <c r="HZ1363" i="191"/>
  <c r="IF1363" i="191" s="1"/>
  <c r="HZ1366" i="191"/>
  <c r="IF1366" i="191" s="1"/>
  <c r="HZ1362" i="191"/>
  <c r="IF1362" i="191" s="1"/>
  <c r="HZ1365" i="191"/>
  <c r="IF1365" i="191" s="1"/>
  <c r="HZ1367" i="191"/>
  <c r="IF1367" i="191" s="1"/>
  <c r="GJ1361" i="191"/>
  <c r="GP1361" i="191" s="1"/>
  <c r="GJ1363" i="191"/>
  <c r="GP1363" i="191" s="1"/>
  <c r="GJ1366" i="191"/>
  <c r="GP1366" i="191" s="1"/>
  <c r="GJ1362" i="191"/>
  <c r="GP1362" i="191" s="1"/>
  <c r="GJ1365" i="191"/>
  <c r="GP1365" i="191" s="1"/>
  <c r="GJ1367" i="191"/>
  <c r="GP1367" i="191" s="1"/>
  <c r="ET1361" i="191"/>
  <c r="EZ1361" i="191" s="1"/>
  <c r="ET1363" i="191"/>
  <c r="EZ1363" i="191" s="1"/>
  <c r="ET1366" i="191"/>
  <c r="EZ1366" i="191" s="1"/>
  <c r="ET1362" i="191"/>
  <c r="EZ1362" i="191" s="1"/>
  <c r="ET1365" i="191"/>
  <c r="EZ1365" i="191" s="1"/>
  <c r="ET1367" i="191"/>
  <c r="EZ1367" i="191" s="1"/>
  <c r="DD1361" i="191"/>
  <c r="DJ1361" i="191" s="1"/>
  <c r="DD1363" i="191"/>
  <c r="DJ1363" i="191" s="1"/>
  <c r="DD1366" i="191"/>
  <c r="DJ1366" i="191" s="1"/>
  <c r="DD1362" i="191"/>
  <c r="DJ1362" i="191" s="1"/>
  <c r="DD1365" i="191"/>
  <c r="DJ1365" i="191" s="1"/>
  <c r="DD1367" i="191"/>
  <c r="DJ1367" i="191" s="1"/>
  <c r="BN1361" i="191"/>
  <c r="BT1361" i="191" s="1"/>
  <c r="BN1363" i="191"/>
  <c r="BT1363" i="191" s="1"/>
  <c r="BN1366" i="191"/>
  <c r="BT1366" i="191" s="1"/>
  <c r="BN1362" i="191"/>
  <c r="BT1362" i="191" s="1"/>
  <c r="BN1365" i="191"/>
  <c r="BT1365" i="191" s="1"/>
  <c r="BN1367" i="191"/>
  <c r="BT1367" i="191" s="1"/>
  <c r="X1361" i="191"/>
  <c r="AD1361" i="191" s="1"/>
  <c r="X1363" i="191"/>
  <c r="AD1363" i="191" s="1"/>
  <c r="X1366" i="191"/>
  <c r="AD1366" i="191" s="1"/>
  <c r="X1362" i="191"/>
  <c r="AD1362" i="191" s="1"/>
  <c r="X1365" i="191"/>
  <c r="AD1365" i="191" s="1"/>
  <c r="X1367" i="191"/>
  <c r="AD1367" i="191" s="1"/>
  <c r="YF1365" i="191"/>
  <c r="YL1365" i="191" s="1"/>
  <c r="YF1361" i="191"/>
  <c r="YL1361" i="191" s="1"/>
  <c r="YF1363" i="191"/>
  <c r="YL1363" i="191" s="1"/>
  <c r="YF1366" i="191"/>
  <c r="YL1366" i="191" s="1"/>
  <c r="YF1362" i="191"/>
  <c r="YL1362" i="191" s="1"/>
  <c r="YF1367" i="191"/>
  <c r="YL1367" i="191" s="1"/>
  <c r="WP1365" i="191"/>
  <c r="WV1365" i="191" s="1"/>
  <c r="WP1361" i="191"/>
  <c r="WV1361" i="191" s="1"/>
  <c r="WP1363" i="191"/>
  <c r="WV1363" i="191" s="1"/>
  <c r="WP1366" i="191"/>
  <c r="WV1366" i="191" s="1"/>
  <c r="WP1362" i="191"/>
  <c r="WV1362" i="191" s="1"/>
  <c r="WP1367" i="191"/>
  <c r="WV1367" i="191" s="1"/>
  <c r="UZ1365" i="191"/>
  <c r="VF1365" i="191" s="1"/>
  <c r="UZ1361" i="191"/>
  <c r="VF1361" i="191" s="1"/>
  <c r="UZ1363" i="191"/>
  <c r="VF1363" i="191" s="1"/>
  <c r="UZ1366" i="191"/>
  <c r="VF1366" i="191" s="1"/>
  <c r="UZ1362" i="191"/>
  <c r="VF1362" i="191" s="1"/>
  <c r="UZ1367" i="191"/>
  <c r="VF1367" i="191" s="1"/>
  <c r="TJ1365" i="191"/>
  <c r="TP1365" i="191" s="1"/>
  <c r="TJ1361" i="191"/>
  <c r="TP1361" i="191" s="1"/>
  <c r="TJ1363" i="191"/>
  <c r="TP1363" i="191" s="1"/>
  <c r="TJ1366" i="191"/>
  <c r="TP1366" i="191" s="1"/>
  <c r="TJ1362" i="191"/>
  <c r="TP1362" i="191" s="1"/>
  <c r="TJ1367" i="191"/>
  <c r="TP1367" i="191" s="1"/>
  <c r="RT1365" i="191"/>
  <c r="RZ1365" i="191" s="1"/>
  <c r="RT1361" i="191"/>
  <c r="RZ1361" i="191" s="1"/>
  <c r="RT1363" i="191"/>
  <c r="RZ1363" i="191" s="1"/>
  <c r="RT1366" i="191"/>
  <c r="RZ1366" i="191" s="1"/>
  <c r="RT1362" i="191"/>
  <c r="RZ1362" i="191" s="1"/>
  <c r="RT1367" i="191"/>
  <c r="RZ1367" i="191" s="1"/>
  <c r="QD1365" i="191"/>
  <c r="QJ1365" i="191" s="1"/>
  <c r="QD1361" i="191"/>
  <c r="QJ1361" i="191" s="1"/>
  <c r="QD1363" i="191"/>
  <c r="QJ1363" i="191" s="1"/>
  <c r="QD1366" i="191"/>
  <c r="QJ1366" i="191" s="1"/>
  <c r="QD1362" i="191"/>
  <c r="QJ1362" i="191" s="1"/>
  <c r="QD1367" i="191"/>
  <c r="QJ1367" i="191" s="1"/>
  <c r="ON1365" i="191"/>
  <c r="OT1365" i="191" s="1"/>
  <c r="ON1361" i="191"/>
  <c r="OT1361" i="191" s="1"/>
  <c r="ON1363" i="191"/>
  <c r="OT1363" i="191" s="1"/>
  <c r="ON1366" i="191"/>
  <c r="OT1366" i="191" s="1"/>
  <c r="ON1362" i="191"/>
  <c r="OT1362" i="191" s="1"/>
  <c r="ON1367" i="191"/>
  <c r="OT1367" i="191" s="1"/>
  <c r="MX1365" i="191"/>
  <c r="ND1365" i="191" s="1"/>
  <c r="MX1361" i="191"/>
  <c r="ND1361" i="191" s="1"/>
  <c r="MX1363" i="191"/>
  <c r="ND1363" i="191" s="1"/>
  <c r="MX1366" i="191"/>
  <c r="ND1366" i="191" s="1"/>
  <c r="MX1362" i="191"/>
  <c r="ND1362" i="191" s="1"/>
  <c r="MX1367" i="191"/>
  <c r="ND1367" i="191" s="1"/>
  <c r="LH1365" i="191"/>
  <c r="LN1365" i="191" s="1"/>
  <c r="LH1361" i="191"/>
  <c r="LN1361" i="191" s="1"/>
  <c r="LH1363" i="191"/>
  <c r="LN1363" i="191" s="1"/>
  <c r="LH1366" i="191"/>
  <c r="LN1366" i="191" s="1"/>
  <c r="LH1362" i="191"/>
  <c r="LN1362" i="191" s="1"/>
  <c r="LH1367" i="191"/>
  <c r="LN1367" i="191" s="1"/>
  <c r="JR1365" i="191"/>
  <c r="JX1365" i="191" s="1"/>
  <c r="JR1361" i="191"/>
  <c r="JX1361" i="191" s="1"/>
  <c r="JR1363" i="191"/>
  <c r="JX1363" i="191" s="1"/>
  <c r="JR1366" i="191"/>
  <c r="JX1366" i="191" s="1"/>
  <c r="JR1362" i="191"/>
  <c r="JX1362" i="191" s="1"/>
  <c r="JR1367" i="191"/>
  <c r="JX1367" i="191" s="1"/>
  <c r="IB1365" i="191"/>
  <c r="IH1365" i="191" s="1"/>
  <c r="IB1361" i="191"/>
  <c r="IH1361" i="191" s="1"/>
  <c r="IB1363" i="191"/>
  <c r="IH1363" i="191" s="1"/>
  <c r="IB1366" i="191"/>
  <c r="IH1366" i="191" s="1"/>
  <c r="IB1362" i="191"/>
  <c r="IH1362" i="191" s="1"/>
  <c r="IB1367" i="191"/>
  <c r="IH1367" i="191" s="1"/>
  <c r="GL1365" i="191"/>
  <c r="GR1365" i="191" s="1"/>
  <c r="GL1361" i="191"/>
  <c r="GR1361" i="191" s="1"/>
  <c r="GL1363" i="191"/>
  <c r="GR1363" i="191" s="1"/>
  <c r="GL1366" i="191"/>
  <c r="GR1366" i="191" s="1"/>
  <c r="GL1362" i="191"/>
  <c r="GR1362" i="191" s="1"/>
  <c r="GL1367" i="191"/>
  <c r="GR1367" i="191" s="1"/>
  <c r="EV1365" i="191"/>
  <c r="FB1365" i="191" s="1"/>
  <c r="EV1361" i="191"/>
  <c r="FB1361" i="191" s="1"/>
  <c r="EV1363" i="191"/>
  <c r="FB1363" i="191" s="1"/>
  <c r="EV1366" i="191"/>
  <c r="FB1366" i="191" s="1"/>
  <c r="EV1362" i="191"/>
  <c r="FB1362" i="191" s="1"/>
  <c r="EV1367" i="191"/>
  <c r="FB1367" i="191" s="1"/>
  <c r="DF1365" i="191"/>
  <c r="DL1365" i="191" s="1"/>
  <c r="DF1361" i="191"/>
  <c r="DL1361" i="191" s="1"/>
  <c r="DF1363" i="191"/>
  <c r="DL1363" i="191" s="1"/>
  <c r="DF1366" i="191"/>
  <c r="DL1366" i="191" s="1"/>
  <c r="DF1362" i="191"/>
  <c r="DL1362" i="191" s="1"/>
  <c r="DF1367" i="191"/>
  <c r="DL1367" i="191" s="1"/>
  <c r="BP1365" i="191"/>
  <c r="BV1365" i="191" s="1"/>
  <c r="BP1361" i="191"/>
  <c r="BV1361" i="191" s="1"/>
  <c r="BP1363" i="191"/>
  <c r="BV1363" i="191" s="1"/>
  <c r="BP1366" i="191"/>
  <c r="BV1366" i="191" s="1"/>
  <c r="BP1362" i="191"/>
  <c r="BV1362" i="191" s="1"/>
  <c r="BP1367" i="191"/>
  <c r="BV1367" i="191" s="1"/>
  <c r="Z1365" i="191"/>
  <c r="AF1365" i="191" s="1"/>
  <c r="Z1361" i="191"/>
  <c r="AF1361" i="191" s="1"/>
  <c r="Z1363" i="191"/>
  <c r="AF1363" i="191" s="1"/>
  <c r="Z1366" i="191"/>
  <c r="AF1366" i="191" s="1"/>
  <c r="Z1362" i="191"/>
  <c r="AF1362" i="191" s="1"/>
  <c r="Z1367" i="191"/>
  <c r="AF1367" i="191" s="1"/>
  <c r="HU1296" i="191"/>
  <c r="PB1296" i="191" l="1"/>
  <c r="US1296" i="191"/>
  <c r="TX1296" i="191"/>
  <c r="PW1296" i="191"/>
  <c r="DT1296" i="191"/>
  <c r="CD1296" i="191"/>
  <c r="BI1296" i="191"/>
  <c r="S1296" i="191"/>
  <c r="IP1296" i="191"/>
  <c r="RM1296" i="191"/>
  <c r="LA1296" i="191"/>
  <c r="GE1296" i="191"/>
  <c r="JK1296" i="191"/>
  <c r="OG1296" i="191"/>
  <c r="TC1296" i="191"/>
  <c r="VN1296" i="191"/>
  <c r="MQ1296" i="191"/>
  <c r="KF1296" i="191"/>
  <c r="QR1296" i="191"/>
  <c r="GZ1296" i="191"/>
  <c r="EO1296" i="191"/>
  <c r="CY1296" i="191"/>
  <c r="LV1296" i="191"/>
  <c r="XD1296" i="191"/>
  <c r="AN1296" i="191"/>
  <c r="FJ1296" i="191"/>
  <c r="XY1296" i="191"/>
  <c r="SH1296" i="191"/>
  <c r="WI1296" i="191"/>
  <c r="NL1296" i="191"/>
  <c r="YU1294" i="191"/>
  <c r="XZ1294" i="191"/>
  <c r="XE1294" i="191"/>
  <c r="WJ1294" i="191"/>
  <c r="VO1294" i="191"/>
  <c r="UT1294" i="191"/>
  <c r="TY1294" i="191"/>
  <c r="TD1294" i="191"/>
  <c r="SI1294" i="191"/>
  <c r="RN1294" i="191"/>
  <c r="QS1294" i="191"/>
  <c r="PX1294" i="191"/>
  <c r="PC1294" i="191"/>
  <c r="OH1294" i="191"/>
  <c r="NM1294" i="191"/>
  <c r="MR1294" i="191"/>
  <c r="LW1294" i="191"/>
  <c r="LB1294" i="191"/>
  <c r="KG1294" i="191"/>
  <c r="JL1294" i="191"/>
  <c r="IQ1294" i="191"/>
  <c r="HV1294" i="191"/>
  <c r="HA1294" i="191"/>
  <c r="GF1294" i="191"/>
  <c r="FK1294" i="191"/>
  <c r="EP1294" i="191"/>
  <c r="DU1294" i="191"/>
  <c r="CZ1294" i="191"/>
  <c r="CE1294" i="191"/>
  <c r="BJ1294" i="191"/>
  <c r="AO1294" i="191"/>
  <c r="T1294" i="191"/>
  <c r="AD1360" i="191"/>
  <c r="AD1371" i="191" s="1"/>
  <c r="AD1372" i="191" s="1"/>
  <c r="BT1360" i="191"/>
  <c r="BT1371" i="191" s="1"/>
  <c r="BT1372" i="191" s="1"/>
  <c r="DJ1360" i="191"/>
  <c r="DJ1371" i="191" s="1"/>
  <c r="DJ1372" i="191" s="1"/>
  <c r="EZ1360" i="191"/>
  <c r="EZ1371" i="191" s="1"/>
  <c r="EZ1372" i="191" s="1"/>
  <c r="GP1360" i="191"/>
  <c r="GP1371" i="191" s="1"/>
  <c r="GP1372" i="191" s="1"/>
  <c r="IF1360" i="191"/>
  <c r="IF1371" i="191" s="1"/>
  <c r="IF1372" i="191" s="1"/>
  <c r="JV1360" i="191"/>
  <c r="JV1371" i="191" s="1"/>
  <c r="JV1372" i="191" s="1"/>
  <c r="LL1360" i="191"/>
  <c r="LL1371" i="191" s="1"/>
  <c r="LL1372" i="191" s="1"/>
  <c r="NB1360" i="191"/>
  <c r="NB1371" i="191" s="1"/>
  <c r="NB1372" i="191" s="1"/>
  <c r="OR1360" i="191"/>
  <c r="OR1371" i="191" s="1"/>
  <c r="OR1372" i="191" s="1"/>
  <c r="QH1360" i="191"/>
  <c r="QH1371" i="191" s="1"/>
  <c r="QH1372" i="191" s="1"/>
  <c r="RX1360" i="191"/>
  <c r="RX1371" i="191" s="1"/>
  <c r="RX1372" i="191" s="1"/>
  <c r="TN1360" i="191"/>
  <c r="TN1371" i="191" s="1"/>
  <c r="TN1372" i="191" s="1"/>
  <c r="VD1360" i="191"/>
  <c r="VD1371" i="191" s="1"/>
  <c r="VD1372" i="191" s="1"/>
  <c r="WT1360" i="191"/>
  <c r="WT1371" i="191" s="1"/>
  <c r="WT1372" i="191" s="1"/>
  <c r="YJ1360" i="191"/>
  <c r="YJ1371" i="191" s="1"/>
  <c r="YJ1372" i="191" s="1"/>
  <c r="ZE1360" i="191"/>
  <c r="ZE1371" i="191" s="1"/>
  <c r="AY1360" i="191"/>
  <c r="AY1371" i="191" s="1"/>
  <c r="AY1372" i="191" s="1"/>
  <c r="CO1360" i="191"/>
  <c r="CO1371" i="191" s="1"/>
  <c r="CO1372" i="191" s="1"/>
  <c r="EE1360" i="191"/>
  <c r="EE1371" i="191" s="1"/>
  <c r="EE1372" i="191" s="1"/>
  <c r="FU1360" i="191"/>
  <c r="FU1371" i="191" s="1"/>
  <c r="FU1372" i="191" s="1"/>
  <c r="HK1360" i="191"/>
  <c r="HK1371" i="191" s="1"/>
  <c r="HK1372" i="191" s="1"/>
  <c r="JA1360" i="191"/>
  <c r="JA1371" i="191" s="1"/>
  <c r="JA1372" i="191" s="1"/>
  <c r="KQ1360" i="191"/>
  <c r="KQ1371" i="191" s="1"/>
  <c r="KQ1372" i="191" s="1"/>
  <c r="MG1360" i="191"/>
  <c r="MG1371" i="191" s="1"/>
  <c r="MG1372" i="191" s="1"/>
  <c r="NW1360" i="191"/>
  <c r="NW1371" i="191" s="1"/>
  <c r="NW1372" i="191" s="1"/>
  <c r="PM1360" i="191"/>
  <c r="PM1371" i="191" s="1"/>
  <c r="PM1372" i="191" s="1"/>
  <c r="RC1360" i="191"/>
  <c r="RC1371" i="191" s="1"/>
  <c r="RC1372" i="191" s="1"/>
  <c r="SS1360" i="191"/>
  <c r="SS1371" i="191" s="1"/>
  <c r="SS1372" i="191" s="1"/>
  <c r="UI1360" i="191"/>
  <c r="UI1371" i="191" s="1"/>
  <c r="UI1372" i="191" s="1"/>
  <c r="VY1360" i="191"/>
  <c r="VY1371" i="191" s="1"/>
  <c r="VY1372" i="191" s="1"/>
  <c r="XO1360" i="191"/>
  <c r="XO1371" i="191" s="1"/>
  <c r="XO1372" i="191" s="1"/>
  <c r="AM1296" i="191"/>
  <c r="CC1296" i="191"/>
  <c r="DS1296" i="191"/>
  <c r="FI1296" i="191"/>
  <c r="GY1296" i="191"/>
  <c r="IO1296" i="191"/>
  <c r="KE1296" i="191"/>
  <c r="LU1296" i="191"/>
  <c r="NK1296" i="191"/>
  <c r="PA1296" i="191"/>
  <c r="QQ1296" i="191"/>
  <c r="SG1296" i="191"/>
  <c r="TW1296" i="191"/>
  <c r="VM1296" i="191"/>
  <c r="XC1296" i="191"/>
  <c r="YS1296" i="191"/>
  <c r="AO1296" i="191"/>
  <c r="CE1296" i="191"/>
  <c r="DU1296" i="191"/>
  <c r="FK1296" i="191"/>
  <c r="HA1296" i="191"/>
  <c r="IQ1296" i="191"/>
  <c r="KG1296" i="191"/>
  <c r="LW1296" i="191"/>
  <c r="NM1296" i="191"/>
  <c r="PC1296" i="191"/>
  <c r="QS1296" i="191"/>
  <c r="SI1296" i="191"/>
  <c r="TY1296" i="191"/>
  <c r="VO1296" i="191"/>
  <c r="XE1296" i="191"/>
  <c r="YU1296" i="191"/>
  <c r="VZ1360" i="191"/>
  <c r="VZ1371" i="191" s="1"/>
  <c r="VZ1372" i="191" s="1"/>
  <c r="ZF1360" i="191"/>
  <c r="ZF1371" i="191" s="1"/>
  <c r="AF1360" i="191"/>
  <c r="AF1371" i="191" s="1"/>
  <c r="AF1372" i="191" s="1"/>
  <c r="BV1360" i="191"/>
  <c r="BV1371" i="191" s="1"/>
  <c r="BV1372" i="191" s="1"/>
  <c r="DL1360" i="191"/>
  <c r="DL1371" i="191" s="1"/>
  <c r="DL1372" i="191" s="1"/>
  <c r="FB1360" i="191"/>
  <c r="FB1371" i="191" s="1"/>
  <c r="FB1372" i="191" s="1"/>
  <c r="GR1360" i="191"/>
  <c r="GR1371" i="191" s="1"/>
  <c r="GR1372" i="191" s="1"/>
  <c r="IH1360" i="191"/>
  <c r="IH1371" i="191" s="1"/>
  <c r="IH1372" i="191" s="1"/>
  <c r="JX1360" i="191"/>
  <c r="JX1371" i="191" s="1"/>
  <c r="JX1372" i="191" s="1"/>
  <c r="LN1360" i="191"/>
  <c r="LN1371" i="191" s="1"/>
  <c r="LN1372" i="191" s="1"/>
  <c r="ND1360" i="191"/>
  <c r="ND1371" i="191" s="1"/>
  <c r="ND1372" i="191" s="1"/>
  <c r="OT1360" i="191"/>
  <c r="OT1371" i="191" s="1"/>
  <c r="OT1372" i="191" s="1"/>
  <c r="QJ1360" i="191"/>
  <c r="QJ1371" i="191" s="1"/>
  <c r="QJ1372" i="191" s="1"/>
  <c r="RZ1360" i="191"/>
  <c r="RZ1371" i="191" s="1"/>
  <c r="RZ1372" i="191" s="1"/>
  <c r="TP1360" i="191"/>
  <c r="TP1371" i="191" s="1"/>
  <c r="TP1372" i="191" s="1"/>
  <c r="VF1360" i="191"/>
  <c r="VF1371" i="191" s="1"/>
  <c r="VF1372" i="191" s="1"/>
  <c r="WV1360" i="191"/>
  <c r="WV1371" i="191" s="1"/>
  <c r="WV1372" i="191" s="1"/>
  <c r="YL1360" i="191"/>
  <c r="YL1371" i="191" s="1"/>
  <c r="YL1372" i="191" s="1"/>
  <c r="EF1360" i="191"/>
  <c r="EF1371" i="191" s="1"/>
  <c r="EF1372" i="191" s="1"/>
  <c r="HL1360" i="191"/>
  <c r="HL1371" i="191" s="1"/>
  <c r="HL1372" i="191" s="1"/>
  <c r="KR1360" i="191"/>
  <c r="KR1371" i="191" s="1"/>
  <c r="KR1372" i="191" s="1"/>
  <c r="NX1360" i="191"/>
  <c r="NX1371" i="191" s="1"/>
  <c r="NX1372" i="191" s="1"/>
  <c r="RD1360" i="191"/>
  <c r="RD1371" i="191" s="1"/>
  <c r="RD1372" i="191" s="1"/>
  <c r="UJ1360" i="191"/>
  <c r="UJ1371" i="191" s="1"/>
  <c r="UJ1372" i="191" s="1"/>
  <c r="XP1360" i="191"/>
  <c r="XP1371" i="191" s="1"/>
  <c r="XP1372" i="191" s="1"/>
  <c r="ZG1360" i="191"/>
  <c r="ZG1371" i="191" s="1"/>
  <c r="BA1360" i="191"/>
  <c r="BA1371" i="191" s="1"/>
  <c r="BA1372" i="191" s="1"/>
  <c r="CQ1360" i="191"/>
  <c r="CQ1371" i="191" s="1"/>
  <c r="CQ1372" i="191" s="1"/>
  <c r="EG1360" i="191"/>
  <c r="EG1371" i="191" s="1"/>
  <c r="EG1372" i="191" s="1"/>
  <c r="FW1360" i="191"/>
  <c r="FW1371" i="191" s="1"/>
  <c r="FW1372" i="191" s="1"/>
  <c r="HM1360" i="191"/>
  <c r="HM1371" i="191" s="1"/>
  <c r="HM1372" i="191" s="1"/>
  <c r="JC1360" i="191"/>
  <c r="JC1371" i="191" s="1"/>
  <c r="JC1372" i="191" s="1"/>
  <c r="KS1360" i="191"/>
  <c r="KS1371" i="191" s="1"/>
  <c r="KS1372" i="191" s="1"/>
  <c r="MI1360" i="191"/>
  <c r="MI1371" i="191" s="1"/>
  <c r="MI1372" i="191" s="1"/>
  <c r="NY1360" i="191"/>
  <c r="NY1371" i="191" s="1"/>
  <c r="NY1372" i="191" s="1"/>
  <c r="PO1360" i="191"/>
  <c r="PO1371" i="191" s="1"/>
  <c r="PO1372" i="191" s="1"/>
  <c r="RE1360" i="191"/>
  <c r="RE1371" i="191" s="1"/>
  <c r="RE1372" i="191" s="1"/>
  <c r="SU1360" i="191"/>
  <c r="SU1371" i="191" s="1"/>
  <c r="SU1372" i="191" s="1"/>
  <c r="UK1360" i="191"/>
  <c r="UK1371" i="191" s="1"/>
  <c r="UK1372" i="191" s="1"/>
  <c r="WA1360" i="191"/>
  <c r="WA1371" i="191" s="1"/>
  <c r="WA1372" i="191" s="1"/>
  <c r="XQ1360" i="191"/>
  <c r="XQ1371" i="191" s="1"/>
  <c r="XQ1372" i="191" s="1"/>
  <c r="R1296" i="191"/>
  <c r="BH1296" i="191"/>
  <c r="CX1296" i="191"/>
  <c r="EN1296" i="191"/>
  <c r="GD1296" i="191"/>
  <c r="HT1296" i="191"/>
  <c r="JJ1296" i="191"/>
  <c r="KZ1296" i="191"/>
  <c r="MP1296" i="191"/>
  <c r="OF1296" i="191"/>
  <c r="PV1296" i="191"/>
  <c r="RL1296" i="191"/>
  <c r="TB1296" i="191"/>
  <c r="UR1296" i="191"/>
  <c r="WH1296" i="191"/>
  <c r="XX1296" i="191"/>
  <c r="T1296" i="191"/>
  <c r="BJ1296" i="191"/>
  <c r="CZ1296" i="191"/>
  <c r="EP1296" i="191"/>
  <c r="GF1296" i="191"/>
  <c r="HV1296" i="191"/>
  <c r="JL1296" i="191"/>
  <c r="LB1296" i="191"/>
  <c r="MR1296" i="191"/>
  <c r="OH1296" i="191"/>
  <c r="PX1296" i="191"/>
  <c r="RN1296" i="191"/>
  <c r="TD1296" i="191"/>
  <c r="UT1296" i="191"/>
  <c r="WJ1296" i="191"/>
  <c r="XZ1296" i="191"/>
  <c r="AE1360" i="191"/>
  <c r="AE1371" i="191" s="1"/>
  <c r="AE1372" i="191" s="1"/>
  <c r="BU1360" i="191"/>
  <c r="BU1371" i="191" s="1"/>
  <c r="BU1372" i="191" s="1"/>
  <c r="DK1360" i="191"/>
  <c r="DK1371" i="191" s="1"/>
  <c r="DK1372" i="191" s="1"/>
  <c r="FA1360" i="191"/>
  <c r="FA1371" i="191" s="1"/>
  <c r="FA1372" i="191" s="1"/>
  <c r="GQ1360" i="191"/>
  <c r="GQ1371" i="191" s="1"/>
  <c r="GQ1372" i="191" s="1"/>
  <c r="IG1360" i="191"/>
  <c r="IG1371" i="191" s="1"/>
  <c r="IG1372" i="191" s="1"/>
  <c r="JW1360" i="191"/>
  <c r="JW1371" i="191" s="1"/>
  <c r="JW1372" i="191" s="1"/>
  <c r="LM1360" i="191"/>
  <c r="LM1371" i="191" s="1"/>
  <c r="LM1372" i="191" s="1"/>
  <c r="NC1360" i="191"/>
  <c r="NC1371" i="191" s="1"/>
  <c r="NC1372" i="191" s="1"/>
  <c r="OS1360" i="191"/>
  <c r="OS1371" i="191" s="1"/>
  <c r="OS1372" i="191" s="1"/>
  <c r="QI1360" i="191"/>
  <c r="QI1371" i="191" s="1"/>
  <c r="QI1372" i="191" s="1"/>
  <c r="RY1360" i="191"/>
  <c r="RY1371" i="191" s="1"/>
  <c r="RY1372" i="191" s="1"/>
  <c r="TO1360" i="191"/>
  <c r="TO1371" i="191" s="1"/>
  <c r="TO1372" i="191" s="1"/>
  <c r="VE1360" i="191"/>
  <c r="VE1371" i="191" s="1"/>
  <c r="VE1372" i="191" s="1"/>
  <c r="WU1360" i="191"/>
  <c r="WU1371" i="191" s="1"/>
  <c r="WU1372" i="191" s="1"/>
  <c r="YK1360" i="191"/>
  <c r="YK1371" i="191" s="1"/>
  <c r="YK1372" i="191" s="1"/>
  <c r="AZ1360" i="191"/>
  <c r="AZ1371" i="191" s="1"/>
  <c r="AZ1372" i="191" s="1"/>
  <c r="CP1360" i="191"/>
  <c r="CP1371" i="191" s="1"/>
  <c r="CP1372" i="191" s="1"/>
  <c r="FV1360" i="191"/>
  <c r="FV1371" i="191" s="1"/>
  <c r="FV1372" i="191" s="1"/>
  <c r="JB1360" i="191"/>
  <c r="JB1371" i="191" s="1"/>
  <c r="JB1372" i="191" s="1"/>
  <c r="MH1360" i="191"/>
  <c r="MH1371" i="191" s="1"/>
  <c r="MH1372" i="191" s="1"/>
  <c r="PN1360" i="191"/>
  <c r="PN1371" i="191" s="1"/>
  <c r="PN1372" i="191" s="1"/>
  <c r="ST1360" i="191"/>
  <c r="ST1371" i="191" s="1"/>
  <c r="ST1372" i="191" s="1"/>
  <c r="ZF1372" i="191" l="1"/>
  <c r="ZG1372" i="191"/>
  <c r="ZE1372" i="191"/>
  <c r="P17" i="135" l="1"/>
  <c r="F17" i="135"/>
  <c r="T17" i="135"/>
  <c r="K17" i="135"/>
  <c r="B17" i="135"/>
  <c r="U17" i="135"/>
  <c r="Q17" i="135"/>
  <c r="L17" i="135"/>
  <c r="G17" i="135"/>
  <c r="C17" i="135"/>
  <c r="R17" i="135"/>
  <c r="M17" i="135"/>
  <c r="I17" i="135"/>
  <c r="D17" i="135"/>
  <c r="S17" i="135"/>
  <c r="N17" i="135"/>
  <c r="J17" i="135"/>
  <c r="E17" i="135"/>
  <c r="HT185" i="87" l="1"/>
  <c r="CT185" i="87" l="1"/>
  <c r="B25" i="135" l="1"/>
  <c r="LJ234" i="87" l="1"/>
  <c r="LI234" i="87"/>
  <c r="LD234" i="87"/>
  <c r="LJ225" i="87"/>
  <c r="LI225" i="87"/>
  <c r="LD225" i="87"/>
  <c r="LD205" i="87"/>
  <c r="LD196" i="87"/>
  <c r="KT205" i="87"/>
  <c r="KJ205" i="87"/>
  <c r="JZ205" i="87"/>
  <c r="JP205" i="87"/>
  <c r="JF205" i="87"/>
  <c r="IV205" i="87"/>
  <c r="IL205" i="87"/>
  <c r="IB205" i="87"/>
  <c r="HR205" i="87"/>
  <c r="HH205" i="87"/>
  <c r="GX205" i="87"/>
  <c r="GN205" i="87"/>
  <c r="GD205" i="87"/>
  <c r="FT205" i="87"/>
  <c r="FJ205" i="87"/>
  <c r="EZ205" i="87"/>
  <c r="EP205" i="87"/>
  <c r="EF205" i="87"/>
  <c r="DV205" i="87"/>
  <c r="DL205" i="87"/>
  <c r="DB205" i="87"/>
  <c r="CR205" i="87"/>
  <c r="CH205" i="87"/>
  <c r="BX205" i="87"/>
  <c r="BN205" i="87"/>
  <c r="BD205" i="87"/>
  <c r="AT205" i="87"/>
  <c r="AJ205" i="87"/>
  <c r="Z205" i="87"/>
  <c r="P205" i="87"/>
  <c r="KT196" i="87"/>
  <c r="KJ196" i="87"/>
  <c r="JZ196" i="87"/>
  <c r="JP196" i="87"/>
  <c r="JF196" i="87"/>
  <c r="IV196" i="87"/>
  <c r="IL196" i="87"/>
  <c r="IB196" i="87"/>
  <c r="HR196" i="87"/>
  <c r="HH196" i="87"/>
  <c r="GX196" i="87"/>
  <c r="GN196" i="87"/>
  <c r="GD196" i="87"/>
  <c r="FT196" i="87"/>
  <c r="FJ196" i="87"/>
  <c r="EZ196" i="87"/>
  <c r="EP196" i="87"/>
  <c r="EF196" i="87"/>
  <c r="DV196" i="87"/>
  <c r="DL196" i="87"/>
  <c r="DB196" i="87"/>
  <c r="CR196" i="87"/>
  <c r="CH196" i="87"/>
  <c r="BX196" i="87"/>
  <c r="BN196" i="87"/>
  <c r="BD196" i="87"/>
  <c r="AT196" i="87"/>
  <c r="AJ196" i="87"/>
  <c r="Z196" i="87"/>
  <c r="P196" i="87"/>
  <c r="KT89" i="87"/>
  <c r="KT236" i="87"/>
  <c r="KT151" i="87"/>
  <c r="KW151" i="87" s="1"/>
  <c r="KT240" i="87"/>
  <c r="KT226" i="87"/>
  <c r="KT198" i="87"/>
  <c r="KW198" i="87" s="1"/>
  <c r="KT111" i="87"/>
  <c r="KW111" i="87" s="1"/>
  <c r="KT201" i="87"/>
  <c r="KW201" i="87" s="1"/>
  <c r="KT231" i="87"/>
  <c r="KT86" i="87"/>
  <c r="KW86" i="87" s="1"/>
  <c r="KT72" i="87"/>
  <c r="KW72" i="87" s="1"/>
  <c r="KT132" i="87"/>
  <c r="KT133" i="87"/>
  <c r="KW133" i="87" s="1"/>
  <c r="KT163" i="87"/>
  <c r="KT78" i="87"/>
  <c r="KW78" i="87" s="1"/>
  <c r="KJ176" i="87"/>
  <c r="KJ177" i="87"/>
  <c r="KJ238" i="87"/>
  <c r="KJ123" i="87"/>
  <c r="KM123" i="87" s="1"/>
  <c r="KJ212" i="87"/>
  <c r="KJ67" i="87"/>
  <c r="KM67" i="87" s="1"/>
  <c r="KJ81" i="87"/>
  <c r="KM81" i="87" s="1"/>
  <c r="KJ83" i="87"/>
  <c r="KM83" i="87" s="1"/>
  <c r="KJ201" i="87"/>
  <c r="KJ172" i="87"/>
  <c r="KJ203" i="87"/>
  <c r="KJ174" i="87"/>
  <c r="KJ217" i="87"/>
  <c r="KJ218" i="87"/>
  <c r="KJ73" i="87"/>
  <c r="KM73" i="87" s="1"/>
  <c r="KJ75" i="87"/>
  <c r="KM75" i="87" s="1"/>
  <c r="KJ222" i="87"/>
  <c r="KJ194" i="87"/>
  <c r="JZ60" i="87"/>
  <c r="JZ148" i="87"/>
  <c r="KC148" i="87" s="1"/>
  <c r="JZ208" i="87"/>
  <c r="JZ121" i="87"/>
  <c r="KC121" i="87" s="1"/>
  <c r="JZ181" i="87"/>
  <c r="JZ212" i="87"/>
  <c r="KC38" i="87"/>
  <c r="JZ197" i="87"/>
  <c r="JZ198" i="87"/>
  <c r="KC198" i="87" s="1"/>
  <c r="JZ141" i="87"/>
  <c r="KC141" i="87" s="1"/>
  <c r="JZ85" i="87"/>
  <c r="KC85" i="87" s="1"/>
  <c r="JZ217" i="87"/>
  <c r="JZ159" i="87"/>
  <c r="JZ190" i="87"/>
  <c r="KC190" i="87" s="1"/>
  <c r="JZ134" i="87"/>
  <c r="KC134" i="87" s="1"/>
  <c r="JZ194" i="87"/>
  <c r="KC20" i="87"/>
  <c r="JP118" i="87"/>
  <c r="JP148" i="87"/>
  <c r="JS148" i="87" s="1"/>
  <c r="JS33" i="87"/>
  <c r="JP64" i="87"/>
  <c r="JP94" i="87"/>
  <c r="JP124" i="87"/>
  <c r="JS124" i="87" s="1"/>
  <c r="JS38" i="87"/>
  <c r="JP167" i="87"/>
  <c r="JP110" i="87"/>
  <c r="JS110" i="87" s="1"/>
  <c r="JP111" i="87"/>
  <c r="JS25" i="87"/>
  <c r="JP114" i="87"/>
  <c r="JP217" i="87"/>
  <c r="JP72" i="87"/>
  <c r="JS72" i="87" s="1"/>
  <c r="JP45" i="87"/>
  <c r="JP47" i="87"/>
  <c r="JP135" i="87"/>
  <c r="JP107" i="87"/>
  <c r="JS107" i="87" s="1"/>
  <c r="JF206" i="87"/>
  <c r="JF236" i="87"/>
  <c r="JF62" i="87"/>
  <c r="JI62" i="87" s="1"/>
  <c r="JF211" i="87"/>
  <c r="JF197" i="87"/>
  <c r="JF198" i="87"/>
  <c r="JI198" i="87" s="1"/>
  <c r="JF140" i="87"/>
  <c r="JI140" i="87" s="1"/>
  <c r="JI25" i="87"/>
  <c r="JF201" i="87"/>
  <c r="JF231" i="87"/>
  <c r="JI29" i="87"/>
  <c r="JF188" i="87"/>
  <c r="JF130" i="87"/>
  <c r="JI130" i="87" s="1"/>
  <c r="JF102" i="87"/>
  <c r="JI102" i="87" s="1"/>
  <c r="JF192" i="87"/>
  <c r="JI192" i="87" s="1"/>
  <c r="JF134" i="87"/>
  <c r="JF135" i="87"/>
  <c r="JI135" i="87" s="1"/>
  <c r="JF107" i="87"/>
  <c r="JI107" i="87" s="1"/>
  <c r="IV119" i="87"/>
  <c r="IY119" i="87" s="1"/>
  <c r="IV237" i="87"/>
  <c r="IV239" i="87"/>
  <c r="IV152" i="87"/>
  <c r="IY152" i="87" s="1"/>
  <c r="IV182" i="87"/>
  <c r="IV109" i="87"/>
  <c r="IV81" i="87"/>
  <c r="IY81" i="87" s="1"/>
  <c r="IV54" i="87"/>
  <c r="IV172" i="87"/>
  <c r="IV174" i="87"/>
  <c r="IV188" i="87"/>
  <c r="IV218" i="87"/>
  <c r="IV74" i="87"/>
  <c r="IV162" i="87"/>
  <c r="IV222" i="87"/>
  <c r="IY19" i="87"/>
  <c r="IV224" i="87"/>
  <c r="IL235" i="87"/>
  <c r="IL90" i="87"/>
  <c r="IO90" i="87" s="1"/>
  <c r="IL208" i="87"/>
  <c r="IL151" i="87"/>
  <c r="IO36" i="87"/>
  <c r="IL66" i="87"/>
  <c r="IO66" i="87" s="1"/>
  <c r="IL198" i="87"/>
  <c r="IO198" i="87" s="1"/>
  <c r="IL142" i="87"/>
  <c r="IL203" i="87"/>
  <c r="IO29" i="87"/>
  <c r="IL159" i="87"/>
  <c r="IL190" i="87"/>
  <c r="IO190" i="87" s="1"/>
  <c r="IL132" i="87"/>
  <c r="IL162" i="87"/>
  <c r="IL163" i="87"/>
  <c r="IL48" i="87"/>
  <c r="IO48" i="87" s="1"/>
  <c r="IL49" i="87"/>
  <c r="IO49" i="87" s="1"/>
  <c r="IB177" i="87"/>
  <c r="IB93" i="87"/>
  <c r="IB123" i="87"/>
  <c r="IE123" i="87" s="1"/>
  <c r="IB95" i="87"/>
  <c r="IE95" i="87" s="1"/>
  <c r="IB154" i="87"/>
  <c r="IE154" i="87" s="1"/>
  <c r="IB52" i="87"/>
  <c r="IB230" i="87"/>
  <c r="IB114" i="87"/>
  <c r="IB57" i="87"/>
  <c r="IE57" i="87" s="1"/>
  <c r="IB188" i="87"/>
  <c r="IB130" i="87"/>
  <c r="IE130" i="87" s="1"/>
  <c r="IB73" i="87"/>
  <c r="IB76" i="87"/>
  <c r="IB136" i="87"/>
  <c r="HR236" i="87"/>
  <c r="HR179" i="87"/>
  <c r="HR210" i="87"/>
  <c r="HR240" i="87"/>
  <c r="HR153" i="87"/>
  <c r="HU153" i="87" s="1"/>
  <c r="HR198" i="87"/>
  <c r="HU198" i="87" s="1"/>
  <c r="HR231" i="87"/>
  <c r="HR173" i="87"/>
  <c r="HR217" i="87"/>
  <c r="HR101" i="87"/>
  <c r="HU101" i="87" s="1"/>
  <c r="HR102" i="87"/>
  <c r="HU102" i="87" s="1"/>
  <c r="HR74" i="87"/>
  <c r="HR221" i="87"/>
  <c r="HR163" i="87"/>
  <c r="HH177" i="87"/>
  <c r="HH91" i="87"/>
  <c r="HK91" i="87" s="1"/>
  <c r="HH238" i="87"/>
  <c r="HH152" i="87"/>
  <c r="HK152" i="87" s="1"/>
  <c r="HH95" i="87"/>
  <c r="HK95" i="87" s="1"/>
  <c r="HH125" i="87"/>
  <c r="HK125" i="87" s="1"/>
  <c r="HH167" i="87"/>
  <c r="HH52" i="87"/>
  <c r="HH169" i="87"/>
  <c r="HH143" i="87"/>
  <c r="HH174" i="87"/>
  <c r="HH188" i="87"/>
  <c r="HH218" i="87"/>
  <c r="HH190" i="87"/>
  <c r="HH104" i="87"/>
  <c r="HK104" i="87" s="1"/>
  <c r="HH222" i="87"/>
  <c r="HH224" i="87"/>
  <c r="GX60" i="87"/>
  <c r="GX148" i="87"/>
  <c r="HA148" i="87" s="1"/>
  <c r="GX239" i="87"/>
  <c r="GX123" i="87"/>
  <c r="HA123" i="87" s="1"/>
  <c r="GX80" i="87"/>
  <c r="GX198" i="87"/>
  <c r="HA198" i="87" s="1"/>
  <c r="GX113" i="87"/>
  <c r="GX114" i="87"/>
  <c r="HA114" i="87" s="1"/>
  <c r="GX57" i="87"/>
  <c r="HA57" i="87" s="1"/>
  <c r="GX87" i="87"/>
  <c r="HA87" i="87" s="1"/>
  <c r="GX130" i="87"/>
  <c r="HA130" i="87" s="1"/>
  <c r="GX221" i="87"/>
  <c r="GX134" i="87"/>
  <c r="GX77" i="87"/>
  <c r="HA77" i="87" s="1"/>
  <c r="HA20" i="87"/>
  <c r="GN148" i="87"/>
  <c r="GQ148" i="87" s="1"/>
  <c r="GN151" i="87"/>
  <c r="GQ151" i="87" s="1"/>
  <c r="GN123" i="87"/>
  <c r="GQ123" i="87" s="1"/>
  <c r="GQ37" i="87"/>
  <c r="GN67" i="87"/>
  <c r="GQ67" i="87" s="1"/>
  <c r="GN138" i="87"/>
  <c r="GN52" i="87"/>
  <c r="GN82" i="87"/>
  <c r="GN54" i="87"/>
  <c r="GN201" i="87"/>
  <c r="GN143" i="87"/>
  <c r="GN57" i="87"/>
  <c r="GQ57" i="87" s="1"/>
  <c r="GN188" i="87"/>
  <c r="GN218" i="87"/>
  <c r="GN222" i="87"/>
  <c r="GD235" i="87"/>
  <c r="GD148" i="87"/>
  <c r="GG148" i="87" s="1"/>
  <c r="GD240" i="87"/>
  <c r="GG38" i="87"/>
  <c r="GD198" i="87"/>
  <c r="GG198" i="87" s="1"/>
  <c r="GD53" i="87"/>
  <c r="GD231" i="87"/>
  <c r="GD159" i="87"/>
  <c r="GD132" i="87"/>
  <c r="GD192" i="87"/>
  <c r="GG192" i="87" s="1"/>
  <c r="GD105" i="87"/>
  <c r="GD77" i="87"/>
  <c r="GG77" i="87" s="1"/>
  <c r="GD136" i="87"/>
  <c r="GG136" i="87" s="1"/>
  <c r="FT119" i="87"/>
  <c r="FW119" i="87" s="1"/>
  <c r="FT62" i="87"/>
  <c r="FW62" i="87" s="1"/>
  <c r="FT94" i="87"/>
  <c r="FW94" i="87" s="1"/>
  <c r="FT110" i="87"/>
  <c r="FW110" i="87" s="1"/>
  <c r="FT112" i="87"/>
  <c r="FW112" i="87" s="1"/>
  <c r="FT231" i="87"/>
  <c r="FT116" i="87"/>
  <c r="FW116" i="87" s="1"/>
  <c r="FT217" i="87"/>
  <c r="FT130" i="87"/>
  <c r="FW130" i="87" s="1"/>
  <c r="FT160" i="87"/>
  <c r="FT132" i="87"/>
  <c r="FT222" i="87"/>
  <c r="FT223" i="87"/>
  <c r="FT224" i="87"/>
  <c r="FJ118" i="87"/>
  <c r="FJ148" i="87"/>
  <c r="FM148" i="87" s="1"/>
  <c r="FM34" i="87"/>
  <c r="FM35" i="87"/>
  <c r="FJ181" i="87"/>
  <c r="FJ198" i="87"/>
  <c r="FM198" i="87" s="1"/>
  <c r="FM24" i="87"/>
  <c r="FJ114" i="87"/>
  <c r="FM114" i="87" s="1"/>
  <c r="FJ144" i="87"/>
  <c r="FM144" i="87" s="1"/>
  <c r="FM29" i="87"/>
  <c r="FJ130" i="87"/>
  <c r="FM130" i="87" s="1"/>
  <c r="FJ190" i="87"/>
  <c r="FM190" i="87" s="1"/>
  <c r="FJ46" i="87"/>
  <c r="FM46" i="87" s="1"/>
  <c r="FJ163" i="87"/>
  <c r="FJ194" i="87"/>
  <c r="FM20" i="87"/>
  <c r="EZ176" i="87"/>
  <c r="EZ119" i="87"/>
  <c r="FC119" i="87" s="1"/>
  <c r="FC34" i="87"/>
  <c r="EZ94" i="87"/>
  <c r="EZ96" i="87"/>
  <c r="FC96" i="87" s="1"/>
  <c r="EZ197" i="87"/>
  <c r="EZ52" i="87"/>
  <c r="EZ82" i="87"/>
  <c r="EZ54" i="87"/>
  <c r="EZ114" i="87"/>
  <c r="EZ174" i="87"/>
  <c r="EZ188" i="87"/>
  <c r="EZ218" i="87"/>
  <c r="EZ132" i="87"/>
  <c r="EZ192" i="87"/>
  <c r="FC192" i="87" s="1"/>
  <c r="EZ222" i="87"/>
  <c r="EZ77" i="87"/>
  <c r="FC77" i="87" s="1"/>
  <c r="EZ107" i="87"/>
  <c r="FC107" i="87" s="1"/>
  <c r="EP206" i="87"/>
  <c r="EP90" i="87"/>
  <c r="ES90" i="87" s="1"/>
  <c r="EP62" i="87"/>
  <c r="ES62" i="87" s="1"/>
  <c r="EP92" i="87"/>
  <c r="ES92" i="87" s="1"/>
  <c r="EP210" i="87"/>
  <c r="EP181" i="87"/>
  <c r="EP183" i="87"/>
  <c r="EP198" i="87"/>
  <c r="ES198" i="87" s="1"/>
  <c r="EP82" i="87"/>
  <c r="ES82" i="87" s="1"/>
  <c r="EP85" i="87"/>
  <c r="EP57" i="87"/>
  <c r="ES57" i="87" s="1"/>
  <c r="EP217" i="87"/>
  <c r="EP130" i="87"/>
  <c r="ES130" i="87" s="1"/>
  <c r="EP105" i="87"/>
  <c r="EP164" i="87"/>
  <c r="EP107" i="87"/>
  <c r="ES107" i="87" s="1"/>
  <c r="EF176" i="87"/>
  <c r="EF177" i="87"/>
  <c r="EF123" i="87"/>
  <c r="EI123" i="87" s="1"/>
  <c r="EF95" i="87"/>
  <c r="EI95" i="87" s="1"/>
  <c r="EI38" i="87"/>
  <c r="EF110" i="87"/>
  <c r="EI110" i="87" s="1"/>
  <c r="EF83" i="87"/>
  <c r="EI83" i="87" s="1"/>
  <c r="EF172" i="87"/>
  <c r="EF115" i="87"/>
  <c r="EI115" i="87" s="1"/>
  <c r="EF72" i="87"/>
  <c r="EI72" i="87" s="1"/>
  <c r="EF222" i="87"/>
  <c r="EF77" i="87"/>
  <c r="EI77" i="87" s="1"/>
  <c r="EF224" i="87"/>
  <c r="DV90" i="87"/>
  <c r="DY90" i="87" s="1"/>
  <c r="DV150" i="87"/>
  <c r="DY150" i="87" s="1"/>
  <c r="DV180" i="87"/>
  <c r="DV211" i="87"/>
  <c r="DY211" i="87" s="1"/>
  <c r="DV153" i="87"/>
  <c r="DY153" i="87" s="1"/>
  <c r="DV125" i="87"/>
  <c r="DY125" i="87" s="1"/>
  <c r="DV51" i="87"/>
  <c r="DV198" i="87"/>
  <c r="DY198" i="87" s="1"/>
  <c r="DV199" i="87"/>
  <c r="DV201" i="87"/>
  <c r="DV56" i="87"/>
  <c r="DV203" i="87"/>
  <c r="DV217" i="87"/>
  <c r="DY14" i="87"/>
  <c r="DV103" i="87"/>
  <c r="DV222" i="87"/>
  <c r="DL206" i="87"/>
  <c r="DO206" i="87" s="1"/>
  <c r="DL119" i="87"/>
  <c r="DO119" i="87" s="1"/>
  <c r="DL62" i="87"/>
  <c r="DO62" i="87" s="1"/>
  <c r="DL94" i="87"/>
  <c r="DO94" i="87" s="1"/>
  <c r="DL242" i="87"/>
  <c r="DL167" i="87"/>
  <c r="DL139" i="87"/>
  <c r="DO139" i="87" s="1"/>
  <c r="DL169" i="87"/>
  <c r="DL171" i="87"/>
  <c r="DL202" i="87"/>
  <c r="DO202" i="87" s="1"/>
  <c r="DL188" i="87"/>
  <c r="DO188" i="87" s="1"/>
  <c r="DL72" i="87"/>
  <c r="DO72" i="87" s="1"/>
  <c r="DO15" i="87"/>
  <c r="DL192" i="87"/>
  <c r="DO192" i="87" s="1"/>
  <c r="DL105" i="87"/>
  <c r="DO105" i="87" s="1"/>
  <c r="DL106" i="87"/>
  <c r="DL107" i="87"/>
  <c r="DO107" i="87" s="1"/>
  <c r="DB90" i="87"/>
  <c r="DE90" i="87" s="1"/>
  <c r="DB91" i="87"/>
  <c r="DE91" i="87" s="1"/>
  <c r="DB179" i="87"/>
  <c r="DB210" i="87"/>
  <c r="DB211" i="87"/>
  <c r="DE211" i="87" s="1"/>
  <c r="DB168" i="87"/>
  <c r="DE24" i="87"/>
  <c r="DE25" i="87"/>
  <c r="DB201" i="87"/>
  <c r="DB114" i="87"/>
  <c r="DE114" i="87" s="1"/>
  <c r="DB58" i="87"/>
  <c r="DE58" i="87" s="1"/>
  <c r="DB188" i="87"/>
  <c r="DB130" i="87"/>
  <c r="DE130" i="87" s="1"/>
  <c r="DB73" i="87"/>
  <c r="DE73" i="87" s="1"/>
  <c r="DB134" i="87"/>
  <c r="DE134" i="87" s="1"/>
  <c r="DB107" i="87"/>
  <c r="DE107" i="87" s="1"/>
  <c r="CR177" i="87"/>
  <c r="CR238" i="87"/>
  <c r="CR65" i="87"/>
  <c r="CU38" i="87"/>
  <c r="CR109" i="87"/>
  <c r="CR81" i="87"/>
  <c r="CU81" i="87" s="1"/>
  <c r="CR228" i="87"/>
  <c r="CR113" i="87"/>
  <c r="CR56" i="87"/>
  <c r="CR203" i="87"/>
  <c r="CR174" i="87"/>
  <c r="CR101" i="87"/>
  <c r="CU101" i="87" s="1"/>
  <c r="CR222" i="87"/>
  <c r="CR77" i="87"/>
  <c r="CU77" i="87" s="1"/>
  <c r="CH118" i="87"/>
  <c r="CH236" i="87"/>
  <c r="CH208" i="87"/>
  <c r="CH121" i="87"/>
  <c r="CK121" i="87" s="1"/>
  <c r="CH211" i="87"/>
  <c r="CK211" i="87" s="1"/>
  <c r="CH183" i="87"/>
  <c r="CH168" i="87"/>
  <c r="CH199" i="87"/>
  <c r="CK199" i="87" s="1"/>
  <c r="CH200" i="87"/>
  <c r="CK200" i="87" s="1"/>
  <c r="CH55" i="87"/>
  <c r="CH231" i="87"/>
  <c r="CK29" i="87"/>
  <c r="CH129" i="87"/>
  <c r="CH101" i="87"/>
  <c r="CK101" i="87" s="1"/>
  <c r="CH74" i="87"/>
  <c r="CH104" i="87"/>
  <c r="CK104" i="87" s="1"/>
  <c r="CH134" i="87"/>
  <c r="CK19" i="87"/>
  <c r="BX148" i="87"/>
  <c r="CA148" i="87" s="1"/>
  <c r="BX121" i="87"/>
  <c r="CA121" i="87" s="1"/>
  <c r="BX64" i="87"/>
  <c r="BX65" i="87"/>
  <c r="BX241" i="87"/>
  <c r="CA38" i="87"/>
  <c r="BX81" i="87"/>
  <c r="CA81" i="87" s="1"/>
  <c r="BX201" i="87"/>
  <c r="BX172" i="87"/>
  <c r="BX86" i="87"/>
  <c r="CA86" i="87" s="1"/>
  <c r="BX100" i="87"/>
  <c r="BX101" i="87"/>
  <c r="CA101" i="87" s="1"/>
  <c r="BX222" i="87"/>
  <c r="BX107" i="87"/>
  <c r="CA107" i="87" s="1"/>
  <c r="BN206" i="87"/>
  <c r="BN236" i="87"/>
  <c r="BN62" i="87"/>
  <c r="BQ62" i="87" s="1"/>
  <c r="BQ34" i="87"/>
  <c r="BN211" i="87"/>
  <c r="BQ211" i="87" s="1"/>
  <c r="BN80" i="87"/>
  <c r="BN168" i="87"/>
  <c r="BN53" i="87"/>
  <c r="BN172" i="87"/>
  <c r="BN232" i="87"/>
  <c r="BN188" i="87"/>
  <c r="BN72" i="87"/>
  <c r="BQ72" i="87" s="1"/>
  <c r="BQ17" i="87"/>
  <c r="BN163" i="87"/>
  <c r="BN107" i="87"/>
  <c r="BQ107" i="87" s="1"/>
  <c r="BD177" i="87"/>
  <c r="BD62" i="87"/>
  <c r="BG62" i="87" s="1"/>
  <c r="BD122" i="87"/>
  <c r="BG122" i="87" s="1"/>
  <c r="BD123" i="87"/>
  <c r="BG123" i="87" s="1"/>
  <c r="BD66" i="87"/>
  <c r="BG66" i="87" s="1"/>
  <c r="BD96" i="87"/>
  <c r="BG96" i="87" s="1"/>
  <c r="BD139" i="87"/>
  <c r="BG139" i="87" s="1"/>
  <c r="BG24" i="87"/>
  <c r="BD54" i="87"/>
  <c r="BD201" i="87"/>
  <c r="BD172" i="87"/>
  <c r="BD203" i="87"/>
  <c r="BD217" i="87"/>
  <c r="BD130" i="87"/>
  <c r="BD132" i="87"/>
  <c r="BD133" i="87"/>
  <c r="BD105" i="87"/>
  <c r="BG105" i="87" s="1"/>
  <c r="BD224" i="87"/>
  <c r="AT206" i="87"/>
  <c r="AT119" i="87"/>
  <c r="AW119" i="87" s="1"/>
  <c r="AT208" i="87"/>
  <c r="AT211" i="87"/>
  <c r="AT183" i="87"/>
  <c r="AT109" i="87"/>
  <c r="AT110" i="87"/>
  <c r="AW110" i="87" s="1"/>
  <c r="AT199" i="87"/>
  <c r="AT200" i="87"/>
  <c r="AW200" i="87" s="1"/>
  <c r="AT84" i="87"/>
  <c r="AT231" i="87"/>
  <c r="AW29" i="87"/>
  <c r="AT130" i="87"/>
  <c r="AW130" i="87" s="1"/>
  <c r="AT221" i="87"/>
  <c r="AT163" i="87"/>
  <c r="AW19" i="87"/>
  <c r="AJ148" i="87"/>
  <c r="AM148" i="87" s="1"/>
  <c r="AJ92" i="87"/>
  <c r="AM92" i="87" s="1"/>
  <c r="AJ210" i="87"/>
  <c r="AM36" i="87"/>
  <c r="AJ139" i="87"/>
  <c r="AM139" i="87" s="1"/>
  <c r="AJ228" i="87"/>
  <c r="AM25" i="87"/>
  <c r="AJ201" i="87"/>
  <c r="AJ85" i="87"/>
  <c r="AJ86" i="87"/>
  <c r="AM86" i="87" s="1"/>
  <c r="AJ188" i="87"/>
  <c r="AJ218" i="87"/>
  <c r="AJ103" i="87"/>
  <c r="AJ222" i="87"/>
  <c r="Z236" i="87"/>
  <c r="Z121" i="87"/>
  <c r="AC121" i="87" s="1"/>
  <c r="Z240" i="87"/>
  <c r="AC38" i="87"/>
  <c r="Z197" i="87"/>
  <c r="Z227" i="87"/>
  <c r="Z53" i="87"/>
  <c r="AC25" i="87"/>
  <c r="Z201" i="87"/>
  <c r="Z231" i="87"/>
  <c r="Z57" i="87"/>
  <c r="AC57" i="87" s="1"/>
  <c r="Z233" i="87"/>
  <c r="Z217" i="87"/>
  <c r="Z101" i="87"/>
  <c r="AC15" i="87"/>
  <c r="Z221" i="87"/>
  <c r="Z134" i="87"/>
  <c r="Z106" i="87"/>
  <c r="Z107" i="87"/>
  <c r="AC107" i="87" s="1"/>
  <c r="P118" i="87"/>
  <c r="P90" i="87"/>
  <c r="S90" i="87" s="1"/>
  <c r="P120" i="87"/>
  <c r="S120" i="87" s="1"/>
  <c r="P122" i="87"/>
  <c r="S122" i="87" s="1"/>
  <c r="P94" i="87"/>
  <c r="S94" i="87" s="1"/>
  <c r="P124" i="87"/>
  <c r="S124" i="87" s="1"/>
  <c r="P81" i="87"/>
  <c r="S81" i="87" s="1"/>
  <c r="P83" i="87"/>
  <c r="S83" i="87" s="1"/>
  <c r="S27" i="87"/>
  <c r="P57" i="87"/>
  <c r="S57" i="87" s="1"/>
  <c r="P174" i="87"/>
  <c r="P217" i="87"/>
  <c r="P218" i="87"/>
  <c r="P219" i="87"/>
  <c r="P45" i="87"/>
  <c r="P221" i="87"/>
  <c r="P222" i="87"/>
  <c r="P224" i="87"/>
  <c r="F235" i="87"/>
  <c r="F236" i="87"/>
  <c r="F237" i="87"/>
  <c r="F209" i="87"/>
  <c r="I209" i="87" s="1"/>
  <c r="F239" i="87"/>
  <c r="F211" i="87"/>
  <c r="I211" i="87" s="1"/>
  <c r="F241" i="87"/>
  <c r="F213" i="87"/>
  <c r="F226" i="87"/>
  <c r="F227" i="87"/>
  <c r="F228" i="87"/>
  <c r="F229" i="87"/>
  <c r="F231" i="87"/>
  <c r="F232" i="87"/>
  <c r="F233" i="87"/>
  <c r="F217" i="87"/>
  <c r="F189" i="87"/>
  <c r="F219" i="87"/>
  <c r="F220" i="87"/>
  <c r="F221" i="87"/>
  <c r="F222" i="87"/>
  <c r="F223" i="87"/>
  <c r="F224" i="87"/>
  <c r="KT239" i="87"/>
  <c r="IB239" i="87"/>
  <c r="FJ239" i="87"/>
  <c r="KJ235" i="87"/>
  <c r="HH235" i="87"/>
  <c r="EZ235" i="87"/>
  <c r="KZ234" i="87"/>
  <c r="KY234" i="87"/>
  <c r="KT234" i="87"/>
  <c r="KP234" i="87"/>
  <c r="KO234" i="87"/>
  <c r="KJ234" i="87"/>
  <c r="KF234" i="87"/>
  <c r="KE234" i="87"/>
  <c r="JZ234" i="87"/>
  <c r="JV234" i="87"/>
  <c r="JU234" i="87"/>
  <c r="JP234" i="87"/>
  <c r="JL234" i="87"/>
  <c r="JK234" i="87"/>
  <c r="JF234" i="87"/>
  <c r="JB234" i="87"/>
  <c r="JA234" i="87"/>
  <c r="IV234" i="87"/>
  <c r="IR234" i="87"/>
  <c r="IQ234" i="87"/>
  <c r="IL234" i="87"/>
  <c r="IH234" i="87"/>
  <c r="IG234" i="87"/>
  <c r="IB234" i="87"/>
  <c r="HX234" i="87"/>
  <c r="HW234" i="87"/>
  <c r="HR234" i="87"/>
  <c r="HN234" i="87"/>
  <c r="HM234" i="87"/>
  <c r="HH234" i="87"/>
  <c r="HD234" i="87"/>
  <c r="HC234" i="87"/>
  <c r="GX234" i="87"/>
  <c r="GT234" i="87"/>
  <c r="GS234" i="87"/>
  <c r="GN234" i="87"/>
  <c r="GJ234" i="87"/>
  <c r="GI234" i="87"/>
  <c r="GD234" i="87"/>
  <c r="FZ234" i="87"/>
  <c r="FY234" i="87"/>
  <c r="FT234" i="87"/>
  <c r="FP234" i="87"/>
  <c r="FO234" i="87"/>
  <c r="FJ234" i="87"/>
  <c r="FF234" i="87"/>
  <c r="FE234" i="87"/>
  <c r="EZ234" i="87"/>
  <c r="EV234" i="87"/>
  <c r="EU234" i="87"/>
  <c r="EP234" i="87"/>
  <c r="EL234" i="87"/>
  <c r="EK234" i="87"/>
  <c r="EF234" i="87"/>
  <c r="EB234" i="87"/>
  <c r="EA234" i="87"/>
  <c r="DV234" i="87"/>
  <c r="DR234" i="87"/>
  <c r="DQ234" i="87"/>
  <c r="DL234" i="87"/>
  <c r="DH234" i="87"/>
  <c r="DG234" i="87"/>
  <c r="DB234" i="87"/>
  <c r="CX234" i="87"/>
  <c r="CW234" i="87"/>
  <c r="CR234" i="87"/>
  <c r="CN234" i="87"/>
  <c r="CM234" i="87"/>
  <c r="CH234" i="87"/>
  <c r="CD234" i="87"/>
  <c r="CC234" i="87"/>
  <c r="BX234" i="87"/>
  <c r="BT234" i="87"/>
  <c r="BS234" i="87"/>
  <c r="BN234" i="87"/>
  <c r="BJ234" i="87"/>
  <c r="BI234" i="87"/>
  <c r="BD234" i="87"/>
  <c r="AZ234" i="87"/>
  <c r="AY234" i="87"/>
  <c r="AT234" i="87"/>
  <c r="AP234" i="87"/>
  <c r="AO234" i="87"/>
  <c r="AJ234" i="87"/>
  <c r="AF234" i="87"/>
  <c r="AE234" i="87"/>
  <c r="Z234" i="87"/>
  <c r="V234" i="87"/>
  <c r="U234" i="87"/>
  <c r="P234" i="87"/>
  <c r="KT230" i="87"/>
  <c r="GX230" i="87"/>
  <c r="JF227" i="87"/>
  <c r="IL226" i="87"/>
  <c r="EF226" i="87"/>
  <c r="KZ225" i="87"/>
  <c r="KY225" i="87"/>
  <c r="KT225" i="87"/>
  <c r="KP225" i="87"/>
  <c r="KO225" i="87"/>
  <c r="KJ225" i="87"/>
  <c r="KF225" i="87"/>
  <c r="KE225" i="87"/>
  <c r="JZ225" i="87"/>
  <c r="JV225" i="87"/>
  <c r="JU225" i="87"/>
  <c r="JP225" i="87"/>
  <c r="JL225" i="87"/>
  <c r="JK225" i="87"/>
  <c r="JF225" i="87"/>
  <c r="JB225" i="87"/>
  <c r="JA225" i="87"/>
  <c r="IV225" i="87"/>
  <c r="IR225" i="87"/>
  <c r="IQ225" i="87"/>
  <c r="IL225" i="87"/>
  <c r="IH225" i="87"/>
  <c r="IG225" i="87"/>
  <c r="IB225" i="87"/>
  <c r="HX225" i="87"/>
  <c r="HW225" i="87"/>
  <c r="HR225" i="87"/>
  <c r="HN225" i="87"/>
  <c r="HM225" i="87"/>
  <c r="HH225" i="87"/>
  <c r="HD225" i="87"/>
  <c r="HC225" i="87"/>
  <c r="GX225" i="87"/>
  <c r="GT225" i="87"/>
  <c r="GS225" i="87"/>
  <c r="GN225" i="87"/>
  <c r="GJ225" i="87"/>
  <c r="GI225" i="87"/>
  <c r="GD225" i="87"/>
  <c r="FZ225" i="87"/>
  <c r="FY225" i="87"/>
  <c r="FT225" i="87"/>
  <c r="FP225" i="87"/>
  <c r="FO225" i="87"/>
  <c r="FJ225" i="87"/>
  <c r="FF225" i="87"/>
  <c r="FE225" i="87"/>
  <c r="EZ225" i="87"/>
  <c r="EV225" i="87"/>
  <c r="EU225" i="87"/>
  <c r="EP225" i="87"/>
  <c r="EL225" i="87"/>
  <c r="EK225" i="87"/>
  <c r="EF225" i="87"/>
  <c r="EB225" i="87"/>
  <c r="EA225" i="87"/>
  <c r="DV225" i="87"/>
  <c r="DR225" i="87"/>
  <c r="DQ225" i="87"/>
  <c r="DL225" i="87"/>
  <c r="DH225" i="87"/>
  <c r="DG225" i="87"/>
  <c r="DB225" i="87"/>
  <c r="CX225" i="87"/>
  <c r="CW225" i="87"/>
  <c r="CR225" i="87"/>
  <c r="CN225" i="87"/>
  <c r="CM225" i="87"/>
  <c r="CH225" i="87"/>
  <c r="CD225" i="87"/>
  <c r="CC225" i="87"/>
  <c r="BX225" i="87"/>
  <c r="BT225" i="87"/>
  <c r="BS225" i="87"/>
  <c r="BN225" i="87"/>
  <c r="BJ225" i="87"/>
  <c r="BI225" i="87"/>
  <c r="BD225" i="87"/>
  <c r="AZ225" i="87"/>
  <c r="AY225" i="87"/>
  <c r="AT225" i="87"/>
  <c r="AP225" i="87"/>
  <c r="AO225" i="87"/>
  <c r="AJ225" i="87"/>
  <c r="AF225" i="87"/>
  <c r="AE225" i="87"/>
  <c r="Z225" i="87"/>
  <c r="V225" i="87"/>
  <c r="U225" i="87"/>
  <c r="P225" i="87"/>
  <c r="IL221" i="87"/>
  <c r="GX217" i="87"/>
  <c r="KX185" i="87"/>
  <c r="KN185" i="87"/>
  <c r="KN205" i="87" s="1"/>
  <c r="KD185" i="87"/>
  <c r="KD192" i="87" s="1"/>
  <c r="JT185" i="87"/>
  <c r="JT205" i="87" s="1"/>
  <c r="JJ185" i="87"/>
  <c r="JJ202" i="87" s="1"/>
  <c r="IZ185" i="87"/>
  <c r="IZ205" i="87" s="1"/>
  <c r="IP185" i="87"/>
  <c r="IP204" i="87" s="1"/>
  <c r="IF185" i="87"/>
  <c r="IF193" i="87" s="1"/>
  <c r="HV185" i="87"/>
  <c r="HL185" i="87"/>
  <c r="HL205" i="87" s="1"/>
  <c r="HB185" i="87"/>
  <c r="HB212" i="87" s="1"/>
  <c r="GR185" i="87"/>
  <c r="GR205" i="87" s="1"/>
  <c r="GH185" i="87"/>
  <c r="GH204" i="87" s="1"/>
  <c r="FX185" i="87"/>
  <c r="FX205" i="87" s="1"/>
  <c r="FN185" i="87"/>
  <c r="FN204" i="87" s="1"/>
  <c r="FD185" i="87"/>
  <c r="FD205" i="87" s="1"/>
  <c r="ET185" i="87"/>
  <c r="EJ185" i="87"/>
  <c r="EJ205" i="87" s="1"/>
  <c r="DZ185" i="87"/>
  <c r="DZ210" i="87" s="1"/>
  <c r="DP185" i="87"/>
  <c r="DP205" i="87" s="1"/>
  <c r="DF185" i="87"/>
  <c r="DF211" i="87" s="1"/>
  <c r="CV185" i="87"/>
  <c r="CV205" i="87" s="1"/>
  <c r="CL185" i="87"/>
  <c r="CB185" i="87"/>
  <c r="CB202" i="87" s="1"/>
  <c r="BR185" i="87"/>
  <c r="BH185" i="87"/>
  <c r="BH199" i="87" s="1"/>
  <c r="AX185" i="87"/>
  <c r="AN185" i="87"/>
  <c r="AN199" i="87" s="1"/>
  <c r="AD185" i="87"/>
  <c r="T185" i="87"/>
  <c r="T194" i="87" s="1"/>
  <c r="KJ180" i="87"/>
  <c r="FJ180" i="87"/>
  <c r="IV177" i="87"/>
  <c r="IB176" i="87"/>
  <c r="GD176" i="87"/>
  <c r="KT171" i="87"/>
  <c r="HH171" i="87"/>
  <c r="DB169" i="87"/>
  <c r="IL167" i="87"/>
  <c r="GN167" i="87"/>
  <c r="CH167" i="87"/>
  <c r="KT162" i="87"/>
  <c r="HH162" i="87"/>
  <c r="FJ162" i="87"/>
  <c r="DL162" i="87"/>
  <c r="KT159" i="87"/>
  <c r="IV158" i="87"/>
  <c r="LA155" i="87"/>
  <c r="LA214" i="87" s="1"/>
  <c r="KQ155" i="87"/>
  <c r="KQ214" i="87" s="1"/>
  <c r="KG155" i="87"/>
  <c r="KG214" i="87" s="1"/>
  <c r="JW155" i="87"/>
  <c r="JW214" i="87" s="1"/>
  <c r="JM155" i="87"/>
  <c r="JM214" i="87" s="1"/>
  <c r="JC155" i="87"/>
  <c r="JC214" i="87" s="1"/>
  <c r="IS155" i="87"/>
  <c r="IS214" i="87" s="1"/>
  <c r="II155" i="87"/>
  <c r="II214" i="87" s="1"/>
  <c r="HY155" i="87"/>
  <c r="HY214" i="87" s="1"/>
  <c r="HO155" i="87"/>
  <c r="HO214" i="87" s="1"/>
  <c r="HE155" i="87"/>
  <c r="HE214" i="87" s="1"/>
  <c r="GU155" i="87"/>
  <c r="GU214" i="87" s="1"/>
  <c r="GK155" i="87"/>
  <c r="GK214" i="87" s="1"/>
  <c r="GA155" i="87"/>
  <c r="GA214" i="87" s="1"/>
  <c r="FQ155" i="87"/>
  <c r="FQ214" i="87" s="1"/>
  <c r="FG155" i="87"/>
  <c r="FG214" i="87" s="1"/>
  <c r="EW155" i="87"/>
  <c r="EW214" i="87" s="1"/>
  <c r="EM155" i="87"/>
  <c r="EM214" i="87" s="1"/>
  <c r="EC155" i="87"/>
  <c r="EC214" i="87" s="1"/>
  <c r="DS155" i="87"/>
  <c r="DS214" i="87" s="1"/>
  <c r="DI155" i="87"/>
  <c r="DI214" i="87" s="1"/>
  <c r="CY155" i="87"/>
  <c r="CY214" i="87" s="1"/>
  <c r="CO155" i="87"/>
  <c r="CO214" i="87" s="1"/>
  <c r="CE155" i="87"/>
  <c r="CE214" i="87" s="1"/>
  <c r="BU155" i="87"/>
  <c r="BU214" i="87" s="1"/>
  <c r="BK155" i="87"/>
  <c r="BK214" i="87" s="1"/>
  <c r="BA155" i="87"/>
  <c r="BA214" i="87" s="1"/>
  <c r="AQ155" i="87"/>
  <c r="AQ214" i="87" s="1"/>
  <c r="AG155" i="87"/>
  <c r="AG214" i="87" s="1"/>
  <c r="W155" i="87"/>
  <c r="W214" i="87" s="1"/>
  <c r="IB152" i="87"/>
  <c r="IE152" i="87" s="1"/>
  <c r="JP151" i="87"/>
  <c r="HH151" i="87"/>
  <c r="FJ151" i="87"/>
  <c r="FM151" i="87" s="1"/>
  <c r="KT148" i="87"/>
  <c r="KW148" i="87" s="1"/>
  <c r="KT147" i="87"/>
  <c r="IL147" i="87"/>
  <c r="GN147" i="87"/>
  <c r="JP143" i="87"/>
  <c r="KT142" i="87"/>
  <c r="KW142" i="87" s="1"/>
  <c r="GX142" i="87"/>
  <c r="EF142" i="87"/>
  <c r="IL139" i="87"/>
  <c r="IO139" i="87" s="1"/>
  <c r="IL138" i="87"/>
  <c r="DL138" i="87"/>
  <c r="DO138" i="87" s="1"/>
  <c r="EP134" i="87"/>
  <c r="JP133" i="87"/>
  <c r="GX133" i="87"/>
  <c r="HA133" i="87" s="1"/>
  <c r="DL133" i="87"/>
  <c r="DO133" i="87" s="1"/>
  <c r="KT130" i="87"/>
  <c r="KW130" i="87" s="1"/>
  <c r="HR130" i="87"/>
  <c r="HU130" i="87" s="1"/>
  <c r="FJ129" i="87"/>
  <c r="KX126" i="87"/>
  <c r="KN126" i="87"/>
  <c r="KD126" i="87"/>
  <c r="JT126" i="87"/>
  <c r="JJ126" i="87"/>
  <c r="IZ126" i="87"/>
  <c r="IP126" i="87"/>
  <c r="IF126" i="87"/>
  <c r="HV126" i="87"/>
  <c r="HL126" i="87"/>
  <c r="HB126" i="87"/>
  <c r="GR126" i="87"/>
  <c r="GH126" i="87"/>
  <c r="FX126" i="87"/>
  <c r="FN126" i="87"/>
  <c r="FD126" i="87"/>
  <c r="ET126" i="87"/>
  <c r="EJ126" i="87"/>
  <c r="DZ126" i="87"/>
  <c r="DP126" i="87"/>
  <c r="DF126" i="87"/>
  <c r="CV126" i="87"/>
  <c r="CL126" i="87"/>
  <c r="CB126" i="87"/>
  <c r="BR126" i="87"/>
  <c r="BH126" i="87"/>
  <c r="AX126" i="87"/>
  <c r="AN126" i="87"/>
  <c r="AD126" i="87"/>
  <c r="T126" i="87"/>
  <c r="JZ123" i="87"/>
  <c r="KC123" i="87" s="1"/>
  <c r="FT123" i="87"/>
  <c r="FW123" i="87" s="1"/>
  <c r="JP122" i="87"/>
  <c r="HH122" i="87"/>
  <c r="FJ122" i="87"/>
  <c r="FM122" i="87" s="1"/>
  <c r="CH122" i="87"/>
  <c r="CK122" i="87" s="1"/>
  <c r="JF119" i="87"/>
  <c r="JI119" i="87" s="1"/>
  <c r="EP119" i="87"/>
  <c r="ES119" i="87" s="1"/>
  <c r="KT118" i="87"/>
  <c r="GX118" i="87"/>
  <c r="EF118" i="87"/>
  <c r="BD118" i="87"/>
  <c r="JZ114" i="87"/>
  <c r="KC114" i="87" s="1"/>
  <c r="GD114" i="87"/>
  <c r="IL113" i="87"/>
  <c r="EP113" i="87"/>
  <c r="BD113" i="87"/>
  <c r="KJ110" i="87"/>
  <c r="KM110" i="87" s="1"/>
  <c r="HH110" i="87"/>
  <c r="HK110" i="87" s="1"/>
  <c r="KT109" i="87"/>
  <c r="HR109" i="87"/>
  <c r="EF109" i="87"/>
  <c r="BX109" i="87"/>
  <c r="JF106" i="87"/>
  <c r="JZ105" i="87"/>
  <c r="GX105" i="87"/>
  <c r="IL104" i="87"/>
  <c r="IO104" i="87" s="1"/>
  <c r="EZ104" i="87"/>
  <c r="FC104" i="87" s="1"/>
  <c r="BD104" i="87"/>
  <c r="BG104" i="87" s="1"/>
  <c r="JZ101" i="87"/>
  <c r="KC101" i="87" s="1"/>
  <c r="HH101" i="87"/>
  <c r="HK101" i="87" s="1"/>
  <c r="EZ100" i="87"/>
  <c r="KX97" i="87"/>
  <c r="KX104" i="87" s="1"/>
  <c r="KN97" i="87"/>
  <c r="KD97" i="87"/>
  <c r="KD104" i="87" s="1"/>
  <c r="JT97" i="87"/>
  <c r="JJ97" i="87"/>
  <c r="JJ104" i="87" s="1"/>
  <c r="IZ97" i="87"/>
  <c r="IP97" i="87"/>
  <c r="IP104" i="87" s="1"/>
  <c r="IF97" i="87"/>
  <c r="HV97" i="87"/>
  <c r="HV104" i="87" s="1"/>
  <c r="HL97" i="87"/>
  <c r="HB97" i="87"/>
  <c r="HB104" i="87" s="1"/>
  <c r="GR97" i="87"/>
  <c r="GH97" i="87"/>
  <c r="GH104" i="87" s="1"/>
  <c r="FX97" i="87"/>
  <c r="FN97" i="87"/>
  <c r="FN105" i="87" s="1"/>
  <c r="FD97" i="87"/>
  <c r="ET97" i="87"/>
  <c r="ET105" i="87" s="1"/>
  <c r="EJ97" i="87"/>
  <c r="DZ97" i="87"/>
  <c r="DZ105" i="87" s="1"/>
  <c r="DP97" i="87"/>
  <c r="DF97" i="87"/>
  <c r="DF105" i="87" s="1"/>
  <c r="CV97" i="87"/>
  <c r="CL97" i="87"/>
  <c r="CL105" i="87" s="1"/>
  <c r="CB97" i="87"/>
  <c r="BR97" i="87"/>
  <c r="BR105" i="87" s="1"/>
  <c r="BH97" i="87"/>
  <c r="AX97" i="87"/>
  <c r="AX105" i="87" s="1"/>
  <c r="AN97" i="87"/>
  <c r="AD97" i="87"/>
  <c r="AD105" i="87" s="1"/>
  <c r="T97" i="87"/>
  <c r="HR95" i="87"/>
  <c r="HU95" i="87" s="1"/>
  <c r="KJ94" i="87"/>
  <c r="KM94" i="87" s="1"/>
  <c r="HR94" i="87"/>
  <c r="HU94" i="87" s="1"/>
  <c r="BX94" i="87"/>
  <c r="IV93" i="87"/>
  <c r="IY93" i="87" s="1"/>
  <c r="GX93" i="87"/>
  <c r="CH93" i="87"/>
  <c r="CK93" i="87" s="1"/>
  <c r="AJ93" i="87"/>
  <c r="GN91" i="87"/>
  <c r="GQ91" i="87" s="1"/>
  <c r="KT90" i="87"/>
  <c r="KW90" i="87" s="1"/>
  <c r="IV90" i="87"/>
  <c r="IY90" i="87" s="1"/>
  <c r="EF90" i="87"/>
  <c r="EI90" i="87" s="1"/>
  <c r="JP89" i="87"/>
  <c r="FJ89" i="87"/>
  <c r="CR89" i="87"/>
  <c r="IB86" i="87"/>
  <c r="IE86" i="87" s="1"/>
  <c r="JF85" i="87"/>
  <c r="HH85" i="87"/>
  <c r="IL84" i="87"/>
  <c r="FJ84" i="87"/>
  <c r="CH84" i="87"/>
  <c r="IB82" i="87"/>
  <c r="KT81" i="87"/>
  <c r="KW81" i="87" s="1"/>
  <c r="IL81" i="87"/>
  <c r="IO81" i="87" s="1"/>
  <c r="EF81" i="87"/>
  <c r="EI81" i="87" s="1"/>
  <c r="KT80" i="87"/>
  <c r="IL80" i="87"/>
  <c r="FT80" i="87"/>
  <c r="CR80" i="87"/>
  <c r="AT80" i="87"/>
  <c r="IB77" i="87"/>
  <c r="IE77" i="87" s="1"/>
  <c r="JZ76" i="87"/>
  <c r="KC76" i="87" s="1"/>
  <c r="HR76" i="87"/>
  <c r="AT76" i="87"/>
  <c r="HH75" i="87"/>
  <c r="HK75" i="87" s="1"/>
  <c r="DV75" i="87"/>
  <c r="DY75" i="87" s="1"/>
  <c r="P75" i="87"/>
  <c r="GD73" i="87"/>
  <c r="JF72" i="87"/>
  <c r="JI72" i="87" s="1"/>
  <c r="GD72" i="87"/>
  <c r="GG72" i="87" s="1"/>
  <c r="FJ71" i="87"/>
  <c r="P71" i="87"/>
  <c r="KX68" i="87"/>
  <c r="KX96" i="87" s="1"/>
  <c r="KN68" i="87"/>
  <c r="KN96" i="87" s="1"/>
  <c r="KD68" i="87"/>
  <c r="KD96" i="87" s="1"/>
  <c r="JT68" i="87"/>
  <c r="JT96" i="87" s="1"/>
  <c r="JJ68" i="87"/>
  <c r="JJ96" i="87" s="1"/>
  <c r="IZ68" i="87"/>
  <c r="IZ96" i="87" s="1"/>
  <c r="IP68" i="87"/>
  <c r="IP96" i="87" s="1"/>
  <c r="IF68" i="87"/>
  <c r="IF96" i="87" s="1"/>
  <c r="HV68" i="87"/>
  <c r="HV96" i="87" s="1"/>
  <c r="HL68" i="87"/>
  <c r="HL96" i="87" s="1"/>
  <c r="HB68" i="87"/>
  <c r="HB96" i="87" s="1"/>
  <c r="GR68" i="87"/>
  <c r="GR96" i="87" s="1"/>
  <c r="GH68" i="87"/>
  <c r="GH96" i="87" s="1"/>
  <c r="FX68" i="87"/>
  <c r="FX96" i="87" s="1"/>
  <c r="FN68" i="87"/>
  <c r="FN96" i="87" s="1"/>
  <c r="FD68" i="87"/>
  <c r="FD96" i="87" s="1"/>
  <c r="ET68" i="87"/>
  <c r="ET96" i="87" s="1"/>
  <c r="EJ68" i="87"/>
  <c r="EJ96" i="87" s="1"/>
  <c r="DZ68" i="87"/>
  <c r="DZ96" i="87" s="1"/>
  <c r="DP68" i="87"/>
  <c r="DP96" i="87" s="1"/>
  <c r="DF68" i="87"/>
  <c r="DF96" i="87" s="1"/>
  <c r="CV68" i="87"/>
  <c r="CV96" i="87" s="1"/>
  <c r="CL68" i="87"/>
  <c r="CL96" i="87" s="1"/>
  <c r="CB68" i="87"/>
  <c r="CB96" i="87" s="1"/>
  <c r="BR68" i="87"/>
  <c r="BR96" i="87" s="1"/>
  <c r="BH68" i="87"/>
  <c r="BH96" i="87" s="1"/>
  <c r="AX68" i="87"/>
  <c r="AX96" i="87" s="1"/>
  <c r="AN68" i="87"/>
  <c r="AN96" i="87" s="1"/>
  <c r="AD68" i="87"/>
  <c r="AD96" i="87" s="1"/>
  <c r="T68" i="87"/>
  <c r="T96" i="87" s="1"/>
  <c r="BX66" i="87"/>
  <c r="CA66" i="87" s="1"/>
  <c r="IV65" i="87"/>
  <c r="IY65" i="87" s="1"/>
  <c r="GX65" i="87"/>
  <c r="HA65" i="87" s="1"/>
  <c r="DB65" i="87"/>
  <c r="DE65" i="87" s="1"/>
  <c r="JF64" i="87"/>
  <c r="JI64" i="87" s="1"/>
  <c r="GX64" i="87"/>
  <c r="EP64" i="87"/>
  <c r="AT64" i="87"/>
  <c r="HH62" i="87"/>
  <c r="HK62" i="87" s="1"/>
  <c r="KJ61" i="87"/>
  <c r="KM61" i="87" s="1"/>
  <c r="HH61" i="87"/>
  <c r="HK61" i="87" s="1"/>
  <c r="EF61" i="87"/>
  <c r="EI61" i="87" s="1"/>
  <c r="KT60" i="87"/>
  <c r="IB60" i="87"/>
  <c r="FJ60" i="87"/>
  <c r="CH60" i="87"/>
  <c r="KJ57" i="87"/>
  <c r="KM57" i="87" s="1"/>
  <c r="EZ57" i="87"/>
  <c r="FC57" i="87" s="1"/>
  <c r="KJ56" i="87"/>
  <c r="KM56" i="87" s="1"/>
  <c r="IL56" i="87"/>
  <c r="FT56" i="87"/>
  <c r="CH56" i="87"/>
  <c r="P56" i="87"/>
  <c r="S56" i="87" s="1"/>
  <c r="IL55" i="87"/>
  <c r="FJ55" i="87"/>
  <c r="DB55" i="87"/>
  <c r="BD55" i="87"/>
  <c r="JF53" i="87"/>
  <c r="DL53" i="87"/>
  <c r="KT52" i="87"/>
  <c r="HR52" i="87"/>
  <c r="EP52" i="87"/>
  <c r="JZ51" i="87"/>
  <c r="IB51" i="87"/>
  <c r="CH51" i="87"/>
  <c r="AJ51" i="87"/>
  <c r="HR48" i="87"/>
  <c r="HU48" i="87" s="1"/>
  <c r="BX48" i="87"/>
  <c r="CA48" i="87" s="1"/>
  <c r="KT47" i="87"/>
  <c r="IV47" i="87"/>
  <c r="GN47" i="87"/>
  <c r="GQ47" i="87" s="1"/>
  <c r="EF47" i="87"/>
  <c r="AJ47" i="87"/>
  <c r="KJ46" i="87"/>
  <c r="KM46" i="87" s="1"/>
  <c r="IB46" i="87"/>
  <c r="IE46" i="87" s="1"/>
  <c r="DL46" i="87"/>
  <c r="DO46" i="87" s="1"/>
  <c r="AT46" i="87"/>
  <c r="AW46" i="87" s="1"/>
  <c r="EZ44" i="87"/>
  <c r="JZ43" i="87"/>
  <c r="KC43" i="87" s="1"/>
  <c r="HH43" i="87"/>
  <c r="HK43" i="87" s="1"/>
  <c r="EP43" i="87"/>
  <c r="ES43" i="87" s="1"/>
  <c r="P43" i="87"/>
  <c r="P42" i="87"/>
  <c r="KX39" i="87"/>
  <c r="KX42" i="87" s="1"/>
  <c r="KN39" i="87"/>
  <c r="KD39" i="87"/>
  <c r="KD42" i="87" s="1"/>
  <c r="JT39" i="87"/>
  <c r="JJ39" i="87"/>
  <c r="JJ42" i="87" s="1"/>
  <c r="IZ39" i="87"/>
  <c r="IP39" i="87"/>
  <c r="IP42" i="87" s="1"/>
  <c r="IF39" i="87"/>
  <c r="HV39" i="87"/>
  <c r="HV42" i="87" s="1"/>
  <c r="HL39" i="87"/>
  <c r="HB39" i="87"/>
  <c r="HB42" i="87" s="1"/>
  <c r="GR39" i="87"/>
  <c r="GH39" i="87"/>
  <c r="GH42" i="87" s="1"/>
  <c r="FX39" i="87"/>
  <c r="FN39" i="87"/>
  <c r="FN42" i="87" s="1"/>
  <c r="FD39" i="87"/>
  <c r="ET39" i="87"/>
  <c r="ET42" i="87" s="1"/>
  <c r="EJ39" i="87"/>
  <c r="DZ39" i="87"/>
  <c r="DZ42" i="87" s="1"/>
  <c r="DP39" i="87"/>
  <c r="DF39" i="87"/>
  <c r="DF42" i="87" s="1"/>
  <c r="CV39" i="87"/>
  <c r="CL39" i="87"/>
  <c r="CL42" i="87" s="1"/>
  <c r="CB39" i="87"/>
  <c r="BR39" i="87"/>
  <c r="BR42" i="87" s="1"/>
  <c r="BH39" i="87"/>
  <c r="AX39" i="87"/>
  <c r="AX42" i="87" s="1"/>
  <c r="AN39" i="87"/>
  <c r="AD39" i="87"/>
  <c r="AD42" i="87" s="1"/>
  <c r="T39" i="87"/>
  <c r="IE37" i="87"/>
  <c r="IY36" i="87"/>
  <c r="FM36" i="87"/>
  <c r="KW35" i="87"/>
  <c r="DO35" i="87"/>
  <c r="KW33" i="87"/>
  <c r="IO33" i="87"/>
  <c r="FC33" i="87"/>
  <c r="JI32" i="87"/>
  <c r="HK32" i="87"/>
  <c r="EI32" i="87"/>
  <c r="KW28" i="87"/>
  <c r="JI28" i="87"/>
  <c r="GG28" i="87"/>
  <c r="BQ28" i="87"/>
  <c r="FM27" i="87"/>
  <c r="KW26" i="87"/>
  <c r="KW24" i="87"/>
  <c r="KM24" i="87"/>
  <c r="IY24" i="87"/>
  <c r="CA24" i="87"/>
  <c r="AC24" i="87"/>
  <c r="KM23" i="87"/>
  <c r="IY23" i="87"/>
  <c r="FW23" i="87"/>
  <c r="CU23" i="87"/>
  <c r="KW19" i="87"/>
  <c r="KM19" i="87"/>
  <c r="JI19" i="87"/>
  <c r="IE19" i="87"/>
  <c r="FW19" i="87"/>
  <c r="DO19" i="87"/>
  <c r="BQ19" i="87"/>
  <c r="KC18" i="87"/>
  <c r="DE18" i="87"/>
  <c r="KW17" i="87"/>
  <c r="IO17" i="87"/>
  <c r="GG17" i="87"/>
  <c r="FM17" i="87"/>
  <c r="CU17" i="87"/>
  <c r="CA17" i="87"/>
  <c r="BG17" i="87"/>
  <c r="KW15" i="87"/>
  <c r="KM15" i="87"/>
  <c r="JI15" i="87"/>
  <c r="FM15" i="87"/>
  <c r="BQ15" i="87"/>
  <c r="KM14" i="87"/>
  <c r="IY14" i="87"/>
  <c r="GG14" i="87"/>
  <c r="CU14" i="87"/>
  <c r="DO13" i="87"/>
  <c r="KX10" i="87"/>
  <c r="KX38" i="87" s="1"/>
  <c r="KN10" i="87"/>
  <c r="KN38" i="87" s="1"/>
  <c r="KD10" i="87"/>
  <c r="KD38" i="87" s="1"/>
  <c r="JT10" i="87"/>
  <c r="JT38" i="87" s="1"/>
  <c r="JJ10" i="87"/>
  <c r="JJ38" i="87" s="1"/>
  <c r="IZ10" i="87"/>
  <c r="IZ38" i="87" s="1"/>
  <c r="IP10" i="87"/>
  <c r="IP38" i="87" s="1"/>
  <c r="IF10" i="87"/>
  <c r="IF38" i="87" s="1"/>
  <c r="HV10" i="87"/>
  <c r="HV38" i="87" s="1"/>
  <c r="HL10" i="87"/>
  <c r="HL38" i="87" s="1"/>
  <c r="HB10" i="87"/>
  <c r="HB38" i="87" s="1"/>
  <c r="GR10" i="87"/>
  <c r="GR38" i="87" s="1"/>
  <c r="GH10" i="87"/>
  <c r="GH38" i="87" s="1"/>
  <c r="FX10" i="87"/>
  <c r="FX38" i="87" s="1"/>
  <c r="FN10" i="87"/>
  <c r="FN38" i="87" s="1"/>
  <c r="FD10" i="87"/>
  <c r="FD38" i="87" s="1"/>
  <c r="ET10" i="87"/>
  <c r="ET38" i="87" s="1"/>
  <c r="EJ10" i="87"/>
  <c r="EJ38" i="87" s="1"/>
  <c r="DZ10" i="87"/>
  <c r="DZ38" i="87" s="1"/>
  <c r="DP10" i="87"/>
  <c r="DP38" i="87" s="1"/>
  <c r="DF10" i="87"/>
  <c r="DF38" i="87" s="1"/>
  <c r="CV10" i="87"/>
  <c r="CV38" i="87" s="1"/>
  <c r="CL10" i="87"/>
  <c r="CL38" i="87" s="1"/>
  <c r="CB10" i="87"/>
  <c r="CB38" i="87" s="1"/>
  <c r="BR10" i="87"/>
  <c r="BR38" i="87" s="1"/>
  <c r="BH10" i="87"/>
  <c r="BH38" i="87" s="1"/>
  <c r="AX10" i="87"/>
  <c r="AX38" i="87" s="1"/>
  <c r="AN10" i="87"/>
  <c r="AN38" i="87" s="1"/>
  <c r="AD10" i="87"/>
  <c r="AD38" i="87" s="1"/>
  <c r="T10" i="87"/>
  <c r="T38" i="87" s="1"/>
  <c r="L234" i="87"/>
  <c r="K234" i="87"/>
  <c r="L225" i="87"/>
  <c r="K225" i="87"/>
  <c r="F234" i="87"/>
  <c r="F230" i="87"/>
  <c r="F225" i="87"/>
  <c r="F206" i="87"/>
  <c r="F205" i="87"/>
  <c r="F201" i="87"/>
  <c r="F196" i="87"/>
  <c r="LF185" i="87"/>
  <c r="J185" i="87"/>
  <c r="J207" i="87" s="1"/>
  <c r="ES14" i="87" l="1"/>
  <c r="HU14" i="87"/>
  <c r="JS14" i="87"/>
  <c r="BG18" i="87"/>
  <c r="IO18" i="87"/>
  <c r="AC23" i="87"/>
  <c r="EI23" i="87"/>
  <c r="HK23" i="87"/>
  <c r="JS23" i="87"/>
  <c r="HA27" i="87"/>
  <c r="CU32" i="87"/>
  <c r="FW32" i="87"/>
  <c r="IO32" i="87"/>
  <c r="KM32" i="87"/>
  <c r="DY36" i="87"/>
  <c r="KM36" i="87"/>
  <c r="DB43" i="87"/>
  <c r="DE43" i="87" s="1"/>
  <c r="FT43" i="87"/>
  <c r="FW43" i="87" s="1"/>
  <c r="IV43" i="87"/>
  <c r="IY43" i="87" s="1"/>
  <c r="KT43" i="87"/>
  <c r="KW43" i="87" s="1"/>
  <c r="FT47" i="87"/>
  <c r="HR47" i="87"/>
  <c r="JZ47" i="87"/>
  <c r="KC47" i="87" s="1"/>
  <c r="DL52" i="87"/>
  <c r="GD52" i="87"/>
  <c r="GG52" i="87" s="1"/>
  <c r="JF52" i="87"/>
  <c r="EP56" i="87"/>
  <c r="HH56" i="87"/>
  <c r="JF56" i="87"/>
  <c r="BD61" i="87"/>
  <c r="BG61" i="87" s="1"/>
  <c r="FT61" i="87"/>
  <c r="FW61" i="87" s="1"/>
  <c r="IV61" i="87"/>
  <c r="IY61" i="87" s="1"/>
  <c r="FT65" i="87"/>
  <c r="FW65" i="87" s="1"/>
  <c r="HR65" i="87"/>
  <c r="HU65" i="87" s="1"/>
  <c r="KJ65" i="87"/>
  <c r="KM65" i="87" s="1"/>
  <c r="DV72" i="87"/>
  <c r="DY72" i="87" s="1"/>
  <c r="IL72" i="87"/>
  <c r="IO72" i="87" s="1"/>
  <c r="KJ72" i="87"/>
  <c r="KM72" i="87" s="1"/>
  <c r="FT76" i="87"/>
  <c r="JF76" i="87"/>
  <c r="KT76" i="87"/>
  <c r="HH81" i="87"/>
  <c r="HK81" i="87" s="1"/>
  <c r="JF81" i="87"/>
  <c r="JI81" i="87" s="1"/>
  <c r="CR85" i="87"/>
  <c r="IL85" i="87"/>
  <c r="KT85" i="87"/>
  <c r="GX90" i="87"/>
  <c r="HA90" i="87" s="1"/>
  <c r="JZ90" i="87"/>
  <c r="KC90" i="87" s="1"/>
  <c r="GD94" i="87"/>
  <c r="IV94" i="87"/>
  <c r="IY94" i="87" s="1"/>
  <c r="EF101" i="87"/>
  <c r="EI101" i="87" s="1"/>
  <c r="IV101" i="87"/>
  <c r="IY101" i="87" s="1"/>
  <c r="KT101" i="87"/>
  <c r="KW101" i="87" s="1"/>
  <c r="CR105" i="87"/>
  <c r="IV105" i="87"/>
  <c r="KT105" i="87"/>
  <c r="CR110" i="87"/>
  <c r="CU110" i="87" s="1"/>
  <c r="IV110" i="87"/>
  <c r="IY110" i="87" s="1"/>
  <c r="IV114" i="87"/>
  <c r="KT114" i="87"/>
  <c r="IL119" i="87"/>
  <c r="IO119" i="87" s="1"/>
  <c r="KT119" i="87"/>
  <c r="KW119" i="87" s="1"/>
  <c r="IV123" i="87"/>
  <c r="IY123" i="87" s="1"/>
  <c r="KT123" i="87"/>
  <c r="KW123" i="87" s="1"/>
  <c r="EF130" i="87"/>
  <c r="EI130" i="87" s="1"/>
  <c r="JZ130" i="87"/>
  <c r="KC130" i="87" s="1"/>
  <c r="KT134" i="87"/>
  <c r="KT139" i="87"/>
  <c r="KW139" i="87" s="1"/>
  <c r="FT143" i="87"/>
  <c r="KJ152" i="87"/>
  <c r="KM152" i="87" s="1"/>
  <c r="EP159" i="87"/>
  <c r="JF163" i="87"/>
  <c r="JF168" i="87"/>
  <c r="HH172" i="87"/>
  <c r="IL181" i="87"/>
  <c r="IB218" i="87"/>
  <c r="IB222" i="87"/>
  <c r="GX231" i="87"/>
  <c r="JZ236" i="87"/>
  <c r="GX240" i="87"/>
  <c r="BG14" i="87"/>
  <c r="EI14" i="87"/>
  <c r="FW14" i="87"/>
  <c r="HK14" i="87"/>
  <c r="IO14" i="87"/>
  <c r="JI14" i="87"/>
  <c r="KC14" i="87"/>
  <c r="KW14" i="87"/>
  <c r="GQ18" i="87"/>
  <c r="KM18" i="87"/>
  <c r="BQ23" i="87"/>
  <c r="DY23" i="87"/>
  <c r="ES23" i="87"/>
  <c r="GG23" i="87"/>
  <c r="IO23" i="87"/>
  <c r="JI23" i="87"/>
  <c r="KC23" i="87"/>
  <c r="KW23" i="87"/>
  <c r="BQ27" i="87"/>
  <c r="KM27" i="87"/>
  <c r="BG32" i="87"/>
  <c r="DO32" i="87"/>
  <c r="ES32" i="87"/>
  <c r="GG32" i="87"/>
  <c r="HU32" i="87"/>
  <c r="IY32" i="87"/>
  <c r="KC32" i="87"/>
  <c r="KW32" i="87"/>
  <c r="BG36" i="87"/>
  <c r="EI36" i="87"/>
  <c r="FW36" i="87"/>
  <c r="HK36" i="87"/>
  <c r="KC36" i="87"/>
  <c r="KW36" i="87"/>
  <c r="CH43" i="87"/>
  <c r="CK43" i="87" s="1"/>
  <c r="EF43" i="87"/>
  <c r="EI43" i="87" s="1"/>
  <c r="EZ43" i="87"/>
  <c r="FC43" i="87" s="1"/>
  <c r="GD43" i="87"/>
  <c r="GG43" i="87" s="1"/>
  <c r="HR43" i="87"/>
  <c r="HU43" i="87" s="1"/>
  <c r="JF43" i="87"/>
  <c r="JI43" i="87" s="1"/>
  <c r="KJ43" i="87"/>
  <c r="KM43" i="87" s="1"/>
  <c r="CR47" i="87"/>
  <c r="EP47" i="87"/>
  <c r="GD47" i="87"/>
  <c r="HH47" i="87"/>
  <c r="IL47" i="87"/>
  <c r="IO47" i="87" s="1"/>
  <c r="JF47" i="87"/>
  <c r="KJ47" i="87"/>
  <c r="KM47" i="87" s="1"/>
  <c r="BN52" i="87"/>
  <c r="EF52" i="87"/>
  <c r="EI52" i="87" s="1"/>
  <c r="FT52" i="87"/>
  <c r="IV52" i="87"/>
  <c r="KJ52" i="87"/>
  <c r="EF56" i="87"/>
  <c r="FJ56" i="87"/>
  <c r="FM56" i="87" s="1"/>
  <c r="GD56" i="87"/>
  <c r="IB56" i="87"/>
  <c r="IV56" i="87"/>
  <c r="JZ56" i="87"/>
  <c r="KC56" i="87" s="1"/>
  <c r="KT56" i="87"/>
  <c r="DL61" i="87"/>
  <c r="DO61" i="87" s="1"/>
  <c r="FJ61" i="87"/>
  <c r="FM61" i="87" s="1"/>
  <c r="GD61" i="87"/>
  <c r="GG61" i="87" s="1"/>
  <c r="IL61" i="87"/>
  <c r="IO61" i="87" s="1"/>
  <c r="JF61" i="87"/>
  <c r="JI61" i="87" s="1"/>
  <c r="KT61" i="87"/>
  <c r="KW61" i="87" s="1"/>
  <c r="BD65" i="87"/>
  <c r="BG65" i="87" s="1"/>
  <c r="EF65" i="87"/>
  <c r="EI65" i="87" s="1"/>
  <c r="GD65" i="87"/>
  <c r="HH65" i="87"/>
  <c r="HK65" i="87" s="1"/>
  <c r="IL65" i="87"/>
  <c r="IO65" i="87" s="1"/>
  <c r="JF65" i="87"/>
  <c r="KT65" i="87"/>
  <c r="KW65" i="87" s="1"/>
  <c r="BD72" i="87"/>
  <c r="BG72" i="87" s="1"/>
  <c r="FJ72" i="87"/>
  <c r="FM72" i="87" s="1"/>
  <c r="HH72" i="87"/>
  <c r="HK72" i="87" s="1"/>
  <c r="IV72" i="87"/>
  <c r="IY72" i="87" s="1"/>
  <c r="JZ72" i="87"/>
  <c r="KC72" i="87" s="1"/>
  <c r="EF76" i="87"/>
  <c r="HH76" i="87"/>
  <c r="IV76" i="87"/>
  <c r="JP76" i="87"/>
  <c r="KJ76" i="87"/>
  <c r="KM76" i="87" s="1"/>
  <c r="AT81" i="87"/>
  <c r="AW81" i="87" s="1"/>
  <c r="FT81" i="87"/>
  <c r="FW81" i="87" s="1"/>
  <c r="HR81" i="87"/>
  <c r="HU81" i="87" s="1"/>
  <c r="BD85" i="87"/>
  <c r="BG85" i="87" s="1"/>
  <c r="FT85" i="87"/>
  <c r="HR85" i="87"/>
  <c r="IV85" i="87"/>
  <c r="KJ85" i="87"/>
  <c r="KM85" i="87" s="1"/>
  <c r="BN90" i="87"/>
  <c r="BQ90" i="87" s="1"/>
  <c r="GD90" i="87"/>
  <c r="GG90" i="87" s="1"/>
  <c r="HH90" i="87"/>
  <c r="HK90" i="87" s="1"/>
  <c r="JF90" i="87"/>
  <c r="JI90" i="87" s="1"/>
  <c r="KJ90" i="87"/>
  <c r="KM90" i="87" s="1"/>
  <c r="EF94" i="87"/>
  <c r="EI94" i="87" s="1"/>
  <c r="HH94" i="87"/>
  <c r="HK94" i="87" s="1"/>
  <c r="IL94" i="87"/>
  <c r="IO94" i="87" s="1"/>
  <c r="JF94" i="87"/>
  <c r="KT94" i="87"/>
  <c r="KW94" i="87" s="1"/>
  <c r="GD101" i="87"/>
  <c r="GG101" i="87" s="1"/>
  <c r="IL101" i="87"/>
  <c r="IO101" i="87" s="1"/>
  <c r="JF101" i="87"/>
  <c r="JI101" i="87" s="1"/>
  <c r="KJ101" i="87"/>
  <c r="KM101" i="87" s="1"/>
  <c r="FT105" i="87"/>
  <c r="HR105" i="87"/>
  <c r="JF105" i="87"/>
  <c r="KJ105" i="87"/>
  <c r="EP110" i="87"/>
  <c r="ES110" i="87" s="1"/>
  <c r="IB110" i="87"/>
  <c r="IE110" i="87" s="1"/>
  <c r="JF110" i="87"/>
  <c r="JI110" i="87" s="1"/>
  <c r="KT110" i="87"/>
  <c r="KW110" i="87" s="1"/>
  <c r="DV114" i="87"/>
  <c r="IL114" i="87"/>
  <c r="JF114" i="87"/>
  <c r="KJ114" i="87"/>
  <c r="KM114" i="87" s="1"/>
  <c r="CR119" i="87"/>
  <c r="CU119" i="87" s="1"/>
  <c r="GD119" i="87"/>
  <c r="GG119" i="87" s="1"/>
  <c r="KJ119" i="87"/>
  <c r="KM119" i="87" s="1"/>
  <c r="CR123" i="87"/>
  <c r="HH123" i="87"/>
  <c r="HK123" i="87" s="1"/>
  <c r="JF123" i="87"/>
  <c r="GD130" i="87"/>
  <c r="GG130" i="87" s="1"/>
  <c r="IV130" i="87"/>
  <c r="IY130" i="87" s="1"/>
  <c r="KJ130" i="87"/>
  <c r="KM130" i="87" s="1"/>
  <c r="DV139" i="87"/>
  <c r="DY139" i="87" s="1"/>
  <c r="JZ139" i="87"/>
  <c r="KC139" i="87" s="1"/>
  <c r="IB143" i="87"/>
  <c r="KT143" i="87"/>
  <c r="EP148" i="87"/>
  <c r="ES148" i="87" s="1"/>
  <c r="JF152" i="87"/>
  <c r="JF159" i="87"/>
  <c r="DB163" i="87"/>
  <c r="GD168" i="87"/>
  <c r="DV181" i="87"/>
  <c r="KT181" i="87"/>
  <c r="FT218" i="87"/>
  <c r="DL222" i="87"/>
  <c r="FJ231" i="87"/>
  <c r="GD236" i="87"/>
  <c r="JZ240" i="87"/>
  <c r="GX226" i="87"/>
  <c r="EZ51" i="87"/>
  <c r="EZ138" i="87"/>
  <c r="P197" i="87"/>
  <c r="P51" i="87"/>
  <c r="AJ192" i="87"/>
  <c r="AM192" i="87" s="1"/>
  <c r="AJ104" i="87"/>
  <c r="AM104" i="87" s="1"/>
  <c r="AJ75" i="87"/>
  <c r="AM75" i="87" s="1"/>
  <c r="AJ206" i="87"/>
  <c r="AJ60" i="87"/>
  <c r="AT210" i="87"/>
  <c r="AT93" i="87"/>
  <c r="BD197" i="87"/>
  <c r="BD109" i="87"/>
  <c r="BD80" i="87"/>
  <c r="BN106" i="87"/>
  <c r="BQ106" i="87" s="1"/>
  <c r="BN48" i="87"/>
  <c r="BQ48" i="87" s="1"/>
  <c r="BX106" i="87"/>
  <c r="CA106" i="87" s="1"/>
  <c r="BX77" i="87"/>
  <c r="CA77" i="87" s="1"/>
  <c r="BX206" i="87"/>
  <c r="BX118" i="87"/>
  <c r="CH210" i="87"/>
  <c r="CK210" i="87" s="1"/>
  <c r="CH64" i="87"/>
  <c r="CK64" i="87" s="1"/>
  <c r="CR192" i="87"/>
  <c r="CU192" i="87" s="1"/>
  <c r="CR104" i="87"/>
  <c r="CU104" i="87" s="1"/>
  <c r="CR212" i="87"/>
  <c r="CU212" i="87" s="1"/>
  <c r="CU37" i="87"/>
  <c r="DB197" i="87"/>
  <c r="DB109" i="87"/>
  <c r="DV235" i="87"/>
  <c r="DV118" i="87"/>
  <c r="DV89" i="87"/>
  <c r="EF221" i="87"/>
  <c r="EF133" i="87"/>
  <c r="EI133" i="87" s="1"/>
  <c r="EF75" i="87"/>
  <c r="EI75" i="87" s="1"/>
  <c r="EF46" i="87"/>
  <c r="EI46" i="87" s="1"/>
  <c r="EF217" i="87"/>
  <c r="EF100" i="87"/>
  <c r="EF201" i="87"/>
  <c r="EF171" i="87"/>
  <c r="EF113" i="87"/>
  <c r="EF84" i="87"/>
  <c r="EF55" i="87"/>
  <c r="EF197" i="87"/>
  <c r="EF167" i="87"/>
  <c r="EF80" i="87"/>
  <c r="EF51" i="87"/>
  <c r="EF210" i="87"/>
  <c r="EI210" i="87" s="1"/>
  <c r="EI35" i="87"/>
  <c r="EP192" i="87"/>
  <c r="ES192" i="87" s="1"/>
  <c r="EP162" i="87"/>
  <c r="EP201" i="87"/>
  <c r="EP142" i="87"/>
  <c r="EP197" i="87"/>
  <c r="EP138" i="87"/>
  <c r="EP109" i="87"/>
  <c r="EZ173" i="87"/>
  <c r="EZ86" i="87"/>
  <c r="FC86" i="87" s="1"/>
  <c r="EZ201" i="87"/>
  <c r="EZ55" i="87"/>
  <c r="EZ182" i="87"/>
  <c r="EZ66" i="87"/>
  <c r="FC66" i="87" s="1"/>
  <c r="EZ210" i="87"/>
  <c r="EZ239" i="87"/>
  <c r="EZ180" i="87"/>
  <c r="EZ151" i="87"/>
  <c r="EZ122" i="87"/>
  <c r="FJ158" i="87"/>
  <c r="FJ217" i="87"/>
  <c r="FJ237" i="87"/>
  <c r="FM33" i="87"/>
  <c r="FT192" i="87"/>
  <c r="FW192" i="87" s="1"/>
  <c r="FT162" i="87"/>
  <c r="FT201" i="87"/>
  <c r="FT142" i="87"/>
  <c r="FT113" i="87"/>
  <c r="FT84" i="87"/>
  <c r="FT197" i="87"/>
  <c r="FT138" i="87"/>
  <c r="FT210" i="87"/>
  <c r="FT239" i="87"/>
  <c r="FT151" i="87"/>
  <c r="FT122" i="87"/>
  <c r="FT206" i="87"/>
  <c r="FT235" i="87"/>
  <c r="FT176" i="87"/>
  <c r="FT60" i="87"/>
  <c r="GD102" i="87"/>
  <c r="GD44" i="87"/>
  <c r="GD201" i="87"/>
  <c r="GD55" i="87"/>
  <c r="GD197" i="87"/>
  <c r="GD167" i="87"/>
  <c r="GD80" i="87"/>
  <c r="GD239" i="87"/>
  <c r="GD64" i="87"/>
  <c r="GG64" i="87" s="1"/>
  <c r="GN221" i="87"/>
  <c r="GN162" i="87"/>
  <c r="GN102" i="87"/>
  <c r="GN73" i="87"/>
  <c r="GN206" i="87"/>
  <c r="GN118" i="87"/>
  <c r="GX208" i="87"/>
  <c r="GX178" i="87"/>
  <c r="HH194" i="87"/>
  <c r="HH48" i="87"/>
  <c r="HK48" i="87" s="1"/>
  <c r="HH210" i="87"/>
  <c r="HH239" i="87"/>
  <c r="HH93" i="87"/>
  <c r="HH64" i="87"/>
  <c r="HH206" i="87"/>
  <c r="HH118" i="87"/>
  <c r="HH60" i="87"/>
  <c r="HR201" i="87"/>
  <c r="HR230" i="87"/>
  <c r="HU24" i="87"/>
  <c r="HR82" i="87"/>
  <c r="HU82" i="87" s="1"/>
  <c r="HR197" i="87"/>
  <c r="HR80" i="87"/>
  <c r="HR206" i="87"/>
  <c r="HR176" i="87"/>
  <c r="IB192" i="87"/>
  <c r="IE192" i="87" s="1"/>
  <c r="IB162" i="87"/>
  <c r="IB104" i="87"/>
  <c r="IE104" i="87" s="1"/>
  <c r="IB53" i="87"/>
  <c r="IB111" i="87"/>
  <c r="IB62" i="87"/>
  <c r="IE62" i="87" s="1"/>
  <c r="IB91" i="87"/>
  <c r="IE91" i="87" s="1"/>
  <c r="IE33" i="87"/>
  <c r="IB206" i="87"/>
  <c r="IB235" i="87"/>
  <c r="IB147" i="87"/>
  <c r="IL199" i="87"/>
  <c r="IO199" i="87" s="1"/>
  <c r="IL53" i="87"/>
  <c r="IO53" i="87" s="1"/>
  <c r="IL197" i="87"/>
  <c r="IL109" i="87"/>
  <c r="IL51" i="87"/>
  <c r="F197" i="87"/>
  <c r="F210" i="87"/>
  <c r="I210" i="87" s="1"/>
  <c r="HU15" i="87"/>
  <c r="AM17" i="87"/>
  <c r="CK17" i="87"/>
  <c r="DO17" i="87"/>
  <c r="FW17" i="87"/>
  <c r="HK17" i="87"/>
  <c r="CU19" i="87"/>
  <c r="ES19" i="87"/>
  <c r="GG19" i="87"/>
  <c r="JS19" i="87"/>
  <c r="AM24" i="87"/>
  <c r="JI24" i="87"/>
  <c r="AC28" i="87"/>
  <c r="FC28" i="87"/>
  <c r="IE28" i="87"/>
  <c r="DE33" i="87"/>
  <c r="HK33" i="87"/>
  <c r="CK35" i="87"/>
  <c r="FC37" i="87"/>
  <c r="JS37" i="87"/>
  <c r="KJ44" i="87"/>
  <c r="KM44" i="87" s="1"/>
  <c r="CH46" i="87"/>
  <c r="CK46" i="87" s="1"/>
  <c r="IV46" i="87"/>
  <c r="IY46" i="87" s="1"/>
  <c r="FT48" i="87"/>
  <c r="FW48" i="87" s="1"/>
  <c r="JP48" i="87"/>
  <c r="JS48" i="87" s="1"/>
  <c r="BD51" i="87"/>
  <c r="FT51" i="87"/>
  <c r="IV51" i="87"/>
  <c r="AJ53" i="87"/>
  <c r="AM53" i="87" s="1"/>
  <c r="GN53" i="87"/>
  <c r="Z55" i="87"/>
  <c r="EP55" i="87"/>
  <c r="GX55" i="87"/>
  <c r="KT55" i="87"/>
  <c r="KW55" i="87" s="1"/>
  <c r="BN57" i="87"/>
  <c r="BQ57" i="87" s="1"/>
  <c r="HR57" i="87"/>
  <c r="HU57" i="87" s="1"/>
  <c r="AT60" i="87"/>
  <c r="EF60" i="87"/>
  <c r="FT64" i="87"/>
  <c r="IB64" i="87"/>
  <c r="IB66" i="87"/>
  <c r="IE66" i="87" s="1"/>
  <c r="BX71" i="87"/>
  <c r="CH75" i="87"/>
  <c r="CK75" i="87" s="1"/>
  <c r="EZ75" i="87"/>
  <c r="FC75" i="87" s="1"/>
  <c r="P80" i="87"/>
  <c r="EZ80" i="87"/>
  <c r="JP80" i="87"/>
  <c r="DV84" i="87"/>
  <c r="GX84" i="87"/>
  <c r="KT84" i="87"/>
  <c r="KW84" i="87" s="1"/>
  <c r="AT89" i="87"/>
  <c r="EF89" i="87"/>
  <c r="HH89" i="87"/>
  <c r="IV91" i="87"/>
  <c r="IY91" i="87" s="1"/>
  <c r="BD93" i="87"/>
  <c r="BG93" i="87" s="1"/>
  <c r="EZ93" i="87"/>
  <c r="KT93" i="87"/>
  <c r="KW93" i="87" s="1"/>
  <c r="IB100" i="87"/>
  <c r="KT104" i="87"/>
  <c r="KW104" i="87" s="1"/>
  <c r="KY104" i="87" s="1"/>
  <c r="FT109" i="87"/>
  <c r="KT113" i="87"/>
  <c r="KW113" i="87" s="1"/>
  <c r="IL118" i="87"/>
  <c r="EF122" i="87"/>
  <c r="EI122" i="87" s="1"/>
  <c r="GD122" i="87"/>
  <c r="GG122" i="87" s="1"/>
  <c r="IV122" i="87"/>
  <c r="IY122" i="87" s="1"/>
  <c r="KT122" i="87"/>
  <c r="KW122" i="87" s="1"/>
  <c r="EZ133" i="87"/>
  <c r="FC133" i="87" s="1"/>
  <c r="IB133" i="87"/>
  <c r="IE133" i="87" s="1"/>
  <c r="EF138" i="87"/>
  <c r="KT138" i="87"/>
  <c r="EZ142" i="87"/>
  <c r="DV147" i="87"/>
  <c r="HH147" i="87"/>
  <c r="JP147" i="87"/>
  <c r="DV151" i="87"/>
  <c r="DB158" i="87"/>
  <c r="EF162" i="87"/>
  <c r="GD162" i="87"/>
  <c r="EZ167" i="87"/>
  <c r="FT171" i="87"/>
  <c r="JF171" i="87"/>
  <c r="HH176" i="87"/>
  <c r="CH180" i="87"/>
  <c r="HH180" i="87"/>
  <c r="FT226" i="87"/>
  <c r="HR226" i="87"/>
  <c r="EF230" i="87"/>
  <c r="GN235" i="87"/>
  <c r="EF239" i="87"/>
  <c r="P201" i="87"/>
  <c r="P113" i="87"/>
  <c r="P55" i="87"/>
  <c r="AJ197" i="87"/>
  <c r="AJ80" i="87"/>
  <c r="AM37" i="87"/>
  <c r="AJ66" i="87"/>
  <c r="AM66" i="87" s="1"/>
  <c r="AJ62" i="87"/>
  <c r="AM62" i="87" s="1"/>
  <c r="AM33" i="87"/>
  <c r="AT188" i="87"/>
  <c r="AT71" i="87"/>
  <c r="AT201" i="87"/>
  <c r="AT55" i="87"/>
  <c r="AT197" i="87"/>
  <c r="AT51" i="87"/>
  <c r="BD210" i="87"/>
  <c r="BG210" i="87" s="1"/>
  <c r="BG35" i="87"/>
  <c r="BD206" i="87"/>
  <c r="BD60" i="87"/>
  <c r="BN192" i="87"/>
  <c r="BQ192" i="87" s="1"/>
  <c r="BN104" i="87"/>
  <c r="BQ104" i="87" s="1"/>
  <c r="BN73" i="87"/>
  <c r="BQ73" i="87" s="1"/>
  <c r="BN44" i="87"/>
  <c r="BQ44" i="87" s="1"/>
  <c r="BN201" i="87"/>
  <c r="BN84" i="87"/>
  <c r="BN55" i="87"/>
  <c r="BN197" i="87"/>
  <c r="BN138" i="87"/>
  <c r="BN210" i="87"/>
  <c r="BN64" i="87"/>
  <c r="BX192" i="87"/>
  <c r="CA192" i="87" s="1"/>
  <c r="BX46" i="87"/>
  <c r="CA46" i="87" s="1"/>
  <c r="BX188" i="87"/>
  <c r="BX42" i="87"/>
  <c r="BX197" i="87"/>
  <c r="BX51" i="87"/>
  <c r="BX210" i="87"/>
  <c r="BX122" i="87"/>
  <c r="BX93" i="87"/>
  <c r="CH192" i="87"/>
  <c r="CK192" i="87" s="1"/>
  <c r="CH133" i="87"/>
  <c r="CK133" i="87" s="1"/>
  <c r="CH201" i="87"/>
  <c r="CH142" i="87"/>
  <c r="CH113" i="87"/>
  <c r="CH197" i="87"/>
  <c r="CH109" i="87"/>
  <c r="CH80" i="87"/>
  <c r="CH206" i="87"/>
  <c r="CH89" i="87"/>
  <c r="CR188" i="87"/>
  <c r="CR129" i="87"/>
  <c r="CR71" i="87"/>
  <c r="CR201" i="87"/>
  <c r="CR84" i="87"/>
  <c r="CR55" i="87"/>
  <c r="CR197" i="87"/>
  <c r="CR51" i="87"/>
  <c r="CR210" i="87"/>
  <c r="CR122" i="87"/>
  <c r="CR93" i="87"/>
  <c r="CR206" i="87"/>
  <c r="CR147" i="87"/>
  <c r="DB133" i="87"/>
  <c r="DB75" i="87"/>
  <c r="DE75" i="87" s="1"/>
  <c r="DB46" i="87"/>
  <c r="DE46" i="87" s="1"/>
  <c r="DB206" i="87"/>
  <c r="DB60" i="87"/>
  <c r="DL210" i="87"/>
  <c r="DL151" i="87"/>
  <c r="DO151" i="87" s="1"/>
  <c r="DL91" i="87"/>
  <c r="DO91" i="87" s="1"/>
  <c r="DO33" i="87"/>
  <c r="DV192" i="87"/>
  <c r="DY192" i="87" s="1"/>
  <c r="DV162" i="87"/>
  <c r="DV197" i="87"/>
  <c r="DV138" i="87"/>
  <c r="FC19" i="87"/>
  <c r="EZ48" i="87"/>
  <c r="FC48" i="87" s="1"/>
  <c r="EZ206" i="87"/>
  <c r="EZ118" i="87"/>
  <c r="EZ89" i="87"/>
  <c r="EZ60" i="87"/>
  <c r="FJ192" i="87"/>
  <c r="FM192" i="87" s="1"/>
  <c r="FJ133" i="87"/>
  <c r="FM133" i="87" s="1"/>
  <c r="FJ104" i="87"/>
  <c r="FM104" i="87" s="1"/>
  <c r="FJ75" i="87"/>
  <c r="FM75" i="87" s="1"/>
  <c r="FJ171" i="87"/>
  <c r="FJ230" i="87"/>
  <c r="FJ197" i="87"/>
  <c r="FJ226" i="87"/>
  <c r="FJ80" i="87"/>
  <c r="FJ51" i="87"/>
  <c r="FJ210" i="87"/>
  <c r="FJ93" i="87"/>
  <c r="FM93" i="87" s="1"/>
  <c r="FJ64" i="87"/>
  <c r="FM64" i="87" s="1"/>
  <c r="FJ206" i="87"/>
  <c r="FJ147" i="87"/>
  <c r="GD129" i="87"/>
  <c r="GD158" i="87"/>
  <c r="GD95" i="87"/>
  <c r="GG95" i="87" s="1"/>
  <c r="GG37" i="87"/>
  <c r="GN197" i="87"/>
  <c r="GN226" i="87"/>
  <c r="GN64" i="87"/>
  <c r="GQ64" i="87" s="1"/>
  <c r="GQ35" i="87"/>
  <c r="GX188" i="87"/>
  <c r="GX100" i="87"/>
  <c r="GX201" i="87"/>
  <c r="GX171" i="87"/>
  <c r="GX197" i="87"/>
  <c r="GX167" i="87"/>
  <c r="GX138" i="87"/>
  <c r="GX109" i="87"/>
  <c r="GX51" i="87"/>
  <c r="GX210" i="87"/>
  <c r="GX180" i="87"/>
  <c r="GX151" i="87"/>
  <c r="GX122" i="87"/>
  <c r="GX206" i="87"/>
  <c r="GX235" i="87"/>
  <c r="GX176" i="87"/>
  <c r="GX147" i="87"/>
  <c r="GX89" i="87"/>
  <c r="HH192" i="87"/>
  <c r="HK192" i="87" s="1"/>
  <c r="HH221" i="87"/>
  <c r="HH133" i="87"/>
  <c r="HK133" i="87" s="1"/>
  <c r="HH46" i="87"/>
  <c r="HK46" i="87" s="1"/>
  <c r="HH230" i="87"/>
  <c r="HH113" i="87"/>
  <c r="HH84" i="87"/>
  <c r="HH197" i="87"/>
  <c r="HH226" i="87"/>
  <c r="HR106" i="87"/>
  <c r="HR223" i="87"/>
  <c r="HR120" i="87"/>
  <c r="HU120" i="87" s="1"/>
  <c r="HR62" i="87"/>
  <c r="HU62" i="87" s="1"/>
  <c r="IB48" i="87"/>
  <c r="IE48" i="87" s="1"/>
  <c r="IB106" i="87"/>
  <c r="IB160" i="87"/>
  <c r="IB102" i="87"/>
  <c r="IB201" i="87"/>
  <c r="IB142" i="87"/>
  <c r="IB55" i="87"/>
  <c r="IB197" i="87"/>
  <c r="IB226" i="87"/>
  <c r="IB167" i="87"/>
  <c r="IB210" i="87"/>
  <c r="IB151" i="87"/>
  <c r="IL192" i="87"/>
  <c r="IO192" i="87" s="1"/>
  <c r="IL133" i="87"/>
  <c r="IO133" i="87" s="1"/>
  <c r="IL75" i="87"/>
  <c r="IO75" i="87" s="1"/>
  <c r="IL46" i="87"/>
  <c r="IO46" i="87" s="1"/>
  <c r="IL188" i="87"/>
  <c r="IL71" i="87"/>
  <c r="IL201" i="87"/>
  <c r="IL230" i="87"/>
  <c r="IL171" i="87"/>
  <c r="IL210" i="87"/>
  <c r="IL239" i="87"/>
  <c r="IL180" i="87"/>
  <c r="IL122" i="87"/>
  <c r="IL93" i="87"/>
  <c r="IL64" i="87"/>
  <c r="IL206" i="87"/>
  <c r="IL176" i="87"/>
  <c r="IL89" i="87"/>
  <c r="IL60" i="87"/>
  <c r="IV201" i="87"/>
  <c r="IV142" i="87"/>
  <c r="IV84" i="87"/>
  <c r="IV55" i="87"/>
  <c r="IV197" i="87"/>
  <c r="IV167" i="87"/>
  <c r="IV138" i="87"/>
  <c r="IV80" i="87"/>
  <c r="IV210" i="87"/>
  <c r="IY210" i="87" s="1"/>
  <c r="IV151" i="87"/>
  <c r="IY151" i="87" s="1"/>
  <c r="IV206" i="87"/>
  <c r="IV147" i="87"/>
  <c r="JF77" i="87"/>
  <c r="JI77" i="87" s="1"/>
  <c r="JF48" i="87"/>
  <c r="JI48" i="87" s="1"/>
  <c r="JF44" i="87"/>
  <c r="JI44" i="87" s="1"/>
  <c r="JF73" i="87"/>
  <c r="JI73" i="87" s="1"/>
  <c r="JF115" i="87"/>
  <c r="JI115" i="87" s="1"/>
  <c r="JF86" i="87"/>
  <c r="JI86" i="87" s="1"/>
  <c r="JF95" i="87"/>
  <c r="JI95" i="87" s="1"/>
  <c r="JI37" i="87"/>
  <c r="JF210" i="87"/>
  <c r="JI210" i="87" s="1"/>
  <c r="JF122" i="87"/>
  <c r="JI122" i="87" s="1"/>
  <c r="JF91" i="87"/>
  <c r="JI91" i="87" s="1"/>
  <c r="JF120" i="87"/>
  <c r="JI120" i="87" s="1"/>
  <c r="JI33" i="87"/>
  <c r="JS17" i="87"/>
  <c r="JP162" i="87"/>
  <c r="JP104" i="87"/>
  <c r="JS104" i="87" s="1"/>
  <c r="JP232" i="87"/>
  <c r="JP57" i="87"/>
  <c r="JS57" i="87" s="1"/>
  <c r="JS28" i="87"/>
  <c r="JP201" i="87"/>
  <c r="JP113" i="87"/>
  <c r="JP197" i="87"/>
  <c r="JP51" i="87"/>
  <c r="JP178" i="87"/>
  <c r="JP62" i="87"/>
  <c r="JS62" i="87" s="1"/>
  <c r="JZ192" i="87"/>
  <c r="KC192" i="87" s="1"/>
  <c r="JZ46" i="87"/>
  <c r="KC46" i="87" s="1"/>
  <c r="JZ173" i="87"/>
  <c r="JZ115" i="87"/>
  <c r="KC115" i="87" s="1"/>
  <c r="JZ84" i="87"/>
  <c r="KC84" i="87" s="1"/>
  <c r="JZ171" i="87"/>
  <c r="JZ210" i="87"/>
  <c r="KC210" i="87" s="1"/>
  <c r="JZ239" i="87"/>
  <c r="JZ122" i="87"/>
  <c r="KC122" i="87" s="1"/>
  <c r="JZ93" i="87"/>
  <c r="KC93" i="87" s="1"/>
  <c r="JZ206" i="87"/>
  <c r="JZ235" i="87"/>
  <c r="JZ89" i="87"/>
  <c r="KJ192" i="87"/>
  <c r="KM192" i="87" s="1"/>
  <c r="KJ133" i="87"/>
  <c r="KM133" i="87" s="1"/>
  <c r="KJ167" i="87"/>
  <c r="KJ226" i="87"/>
  <c r="KJ109" i="87"/>
  <c r="KJ80" i="87"/>
  <c r="KJ210" i="87"/>
  <c r="KJ151" i="87"/>
  <c r="KJ208" i="87"/>
  <c r="KM208" i="87" s="1"/>
  <c r="KM33" i="87"/>
  <c r="KJ206" i="87"/>
  <c r="KJ147" i="87"/>
  <c r="KJ118" i="87"/>
  <c r="KJ60" i="87"/>
  <c r="KT77" i="87"/>
  <c r="KW77" i="87" s="1"/>
  <c r="KT106" i="87"/>
  <c r="KW106" i="87" s="1"/>
  <c r="KT192" i="87"/>
  <c r="KW192" i="87" s="1"/>
  <c r="KT221" i="87"/>
  <c r="KT75" i="87"/>
  <c r="KW75" i="87" s="1"/>
  <c r="KT46" i="87"/>
  <c r="KW46" i="87" s="1"/>
  <c r="KT73" i="87"/>
  <c r="KW73" i="87" s="1"/>
  <c r="KT44" i="87"/>
  <c r="KW44" i="87" s="1"/>
  <c r="KT188" i="87"/>
  <c r="KT217" i="87"/>
  <c r="KT129" i="87"/>
  <c r="KT100" i="87"/>
  <c r="KT53" i="87"/>
  <c r="KW53" i="87" s="1"/>
  <c r="KT82" i="87"/>
  <c r="KW82" i="87" s="1"/>
  <c r="KT197" i="87"/>
  <c r="KT167" i="87"/>
  <c r="KT51" i="87"/>
  <c r="KT95" i="87"/>
  <c r="KW95" i="87" s="1"/>
  <c r="KW37" i="87"/>
  <c r="KT210" i="87"/>
  <c r="KW210" i="87" s="1"/>
  <c r="KT180" i="87"/>
  <c r="KT64" i="87"/>
  <c r="KW64" i="87" s="1"/>
  <c r="KT62" i="87"/>
  <c r="KW62" i="87" s="1"/>
  <c r="KT91" i="87"/>
  <c r="KW91" i="87" s="1"/>
  <c r="KT206" i="87"/>
  <c r="KT235" i="87"/>
  <c r="KT176" i="87"/>
  <c r="AN189" i="87"/>
  <c r="HB189" i="87"/>
  <c r="KD190" i="87"/>
  <c r="FN191" i="87"/>
  <c r="T192" i="87"/>
  <c r="CB193" i="87"/>
  <c r="IF194" i="87"/>
  <c r="IF197" i="87"/>
  <c r="DF204" i="87"/>
  <c r="IF205" i="87"/>
  <c r="KD205" i="87"/>
  <c r="JJ207" i="87"/>
  <c r="FN210" i="87"/>
  <c r="JJ211" i="87"/>
  <c r="IP188" i="87"/>
  <c r="DZ189" i="87"/>
  <c r="JJ189" i="87"/>
  <c r="CB191" i="87"/>
  <c r="IF191" i="87"/>
  <c r="DF192" i="87"/>
  <c r="CB195" i="87"/>
  <c r="CB198" i="87"/>
  <c r="CB205" i="87"/>
  <c r="FN206" i="87"/>
  <c r="IP208" i="87"/>
  <c r="IP212" i="87"/>
  <c r="AT138" i="87"/>
  <c r="AT230" i="87"/>
  <c r="FT202" i="87"/>
  <c r="BD114" i="87"/>
  <c r="BG114" i="87" s="1"/>
  <c r="Z119" i="87"/>
  <c r="AC119" i="87" s="1"/>
  <c r="P101" i="87"/>
  <c r="DB152" i="87"/>
  <c r="DE152" i="87" s="1"/>
  <c r="DL177" i="87"/>
  <c r="P123" i="87"/>
  <c r="S123" i="87" s="1"/>
  <c r="P84" i="87"/>
  <c r="AT104" i="87"/>
  <c r="AW104" i="87" s="1"/>
  <c r="AJ113" i="87"/>
  <c r="AJ118" i="87"/>
  <c r="Z133" i="87"/>
  <c r="CH138" i="87"/>
  <c r="BD142" i="87"/>
  <c r="BX147" i="87"/>
  <c r="CH151" i="87"/>
  <c r="CK151" i="87" s="1"/>
  <c r="BX162" i="87"/>
  <c r="CH176" i="87"/>
  <c r="CR230" i="87"/>
  <c r="P109" i="87"/>
  <c r="AT113" i="87"/>
  <c r="AT118" i="87"/>
  <c r="AT122" i="87"/>
  <c r="BX133" i="87"/>
  <c r="CA133" i="87" s="1"/>
  <c r="BN142" i="87"/>
  <c r="CH147" i="87"/>
  <c r="CH158" i="87"/>
  <c r="CH162" i="87"/>
  <c r="CH171" i="87"/>
  <c r="DV230" i="87"/>
  <c r="AJ129" i="87"/>
  <c r="AT142" i="87"/>
  <c r="AJ167" i="87"/>
  <c r="BD171" i="87"/>
  <c r="AT217" i="87"/>
  <c r="CH221" i="87"/>
  <c r="AJ138" i="87"/>
  <c r="AT147" i="87"/>
  <c r="BX217" i="87"/>
  <c r="CH235" i="87"/>
  <c r="P110" i="87"/>
  <c r="S110" i="87" s="1"/>
  <c r="BN143" i="87"/>
  <c r="BQ143" i="87" s="1"/>
  <c r="DB240" i="87"/>
  <c r="P105" i="87"/>
  <c r="S105" i="87" s="1"/>
  <c r="BN130" i="87"/>
  <c r="BQ130" i="87" s="1"/>
  <c r="CR172" i="87"/>
  <c r="DB227" i="87"/>
  <c r="DB236" i="87"/>
  <c r="EZ95" i="87"/>
  <c r="FC95" i="87" s="1"/>
  <c r="Z82" i="87"/>
  <c r="AC82" i="87" s="1"/>
  <c r="BN115" i="87"/>
  <c r="BQ115" i="87" s="1"/>
  <c r="AT176" i="87"/>
  <c r="BX180" i="87"/>
  <c r="CH226" i="87"/>
  <c r="DB230" i="87"/>
  <c r="BD239" i="87"/>
  <c r="BD162" i="87"/>
  <c r="AT167" i="87"/>
  <c r="P171" i="87"/>
  <c r="BD176" i="87"/>
  <c r="P226" i="87"/>
  <c r="BX230" i="87"/>
  <c r="BD235" i="87"/>
  <c r="BN239" i="87"/>
  <c r="P138" i="87"/>
  <c r="AT171" i="87"/>
  <c r="P139" i="87"/>
  <c r="S139" i="87" s="1"/>
  <c r="P77" i="87"/>
  <c r="S77" i="87" s="1"/>
  <c r="P106" i="87"/>
  <c r="S106" i="87" s="1"/>
  <c r="Z182" i="87"/>
  <c r="Z66" i="87"/>
  <c r="AC66" i="87" s="1"/>
  <c r="Z178" i="87"/>
  <c r="Z91" i="87"/>
  <c r="AC91" i="87" s="1"/>
  <c r="AJ77" i="87"/>
  <c r="AJ48" i="87"/>
  <c r="AJ73" i="87"/>
  <c r="AJ44" i="87"/>
  <c r="AJ115" i="87"/>
  <c r="AM115" i="87" s="1"/>
  <c r="AJ57" i="87"/>
  <c r="AM57" i="87" s="1"/>
  <c r="AM28" i="87"/>
  <c r="AT203" i="87"/>
  <c r="AW203" i="87" s="1"/>
  <c r="AW28" i="87"/>
  <c r="BD219" i="87"/>
  <c r="BD73" i="87"/>
  <c r="BG73" i="87" s="1"/>
  <c r="BN140" i="87"/>
  <c r="BQ140" i="87" s="1"/>
  <c r="BQ24" i="87"/>
  <c r="BN111" i="87"/>
  <c r="BQ111" i="87" s="1"/>
  <c r="BN66" i="87"/>
  <c r="BQ66" i="87" s="1"/>
  <c r="BQ37" i="87"/>
  <c r="BN120" i="87"/>
  <c r="BQ120" i="87" s="1"/>
  <c r="BQ33" i="87"/>
  <c r="BX190" i="87"/>
  <c r="CA190" i="87" s="1"/>
  <c r="BX102" i="87"/>
  <c r="CA102" i="87" s="1"/>
  <c r="BX111" i="87"/>
  <c r="CA111" i="87" s="1"/>
  <c r="BX82" i="87"/>
  <c r="CA82" i="87" s="1"/>
  <c r="BX53" i="87"/>
  <c r="CA53" i="87" s="1"/>
  <c r="BX91" i="87"/>
  <c r="CA91" i="87" s="1"/>
  <c r="CA33" i="87"/>
  <c r="CH212" i="87"/>
  <c r="CK212" i="87" s="1"/>
  <c r="CH66" i="87"/>
  <c r="CK66" i="87" s="1"/>
  <c r="CR190" i="87"/>
  <c r="CR102" i="87"/>
  <c r="CR208" i="87"/>
  <c r="CU208" i="87" s="1"/>
  <c r="CR120" i="87"/>
  <c r="CU120" i="87" s="1"/>
  <c r="CR62" i="87"/>
  <c r="CU62" i="87" s="1"/>
  <c r="DB135" i="87"/>
  <c r="DE135" i="87" s="1"/>
  <c r="DB77" i="87"/>
  <c r="DE77" i="87" s="1"/>
  <c r="DB48" i="87"/>
  <c r="DE48" i="87" s="1"/>
  <c r="DE28" i="87"/>
  <c r="DB86" i="87"/>
  <c r="DE86" i="87" s="1"/>
  <c r="DB57" i="87"/>
  <c r="DE57" i="87" s="1"/>
  <c r="DB82" i="87"/>
  <c r="DE82" i="87" s="1"/>
  <c r="DB53" i="87"/>
  <c r="DE53" i="87" s="1"/>
  <c r="DB124" i="87"/>
  <c r="DE124" i="87" s="1"/>
  <c r="DB66" i="87"/>
  <c r="DE66" i="87" s="1"/>
  <c r="DE37" i="87"/>
  <c r="DB237" i="87"/>
  <c r="DB62" i="87"/>
  <c r="DE62" i="87" s="1"/>
  <c r="DL194" i="87"/>
  <c r="DO194" i="87" s="1"/>
  <c r="DL48" i="87"/>
  <c r="DO48" i="87" s="1"/>
  <c r="DL73" i="87"/>
  <c r="DO73" i="87" s="1"/>
  <c r="DL44" i="87"/>
  <c r="DO44" i="87" s="1"/>
  <c r="DL173" i="87"/>
  <c r="DL57" i="87"/>
  <c r="DV219" i="87"/>
  <c r="DV44" i="87"/>
  <c r="EF160" i="87"/>
  <c r="EF199" i="87"/>
  <c r="EF82" i="87"/>
  <c r="EF91" i="87"/>
  <c r="EI91" i="87" s="1"/>
  <c r="EI33" i="87"/>
  <c r="EP86" i="87"/>
  <c r="ES86" i="87" s="1"/>
  <c r="ES28" i="87"/>
  <c r="ES24" i="87"/>
  <c r="EP53" i="87"/>
  <c r="ES53" i="87" s="1"/>
  <c r="EP95" i="87"/>
  <c r="ES95" i="87" s="1"/>
  <c r="ES37" i="87"/>
  <c r="EP149" i="87"/>
  <c r="ES149" i="87" s="1"/>
  <c r="ES33" i="87"/>
  <c r="EP91" i="87"/>
  <c r="ES91" i="87" s="1"/>
  <c r="EZ73" i="87"/>
  <c r="EZ131" i="87"/>
  <c r="EZ111" i="87"/>
  <c r="EZ53" i="87"/>
  <c r="EZ91" i="87"/>
  <c r="FC91" i="87" s="1"/>
  <c r="EZ62" i="87"/>
  <c r="FC62" i="87" s="1"/>
  <c r="GD106" i="87"/>
  <c r="GG106" i="87" s="1"/>
  <c r="GD48" i="87"/>
  <c r="GG48" i="87" s="1"/>
  <c r="GD144" i="87"/>
  <c r="GG144" i="87" s="1"/>
  <c r="GD57" i="87"/>
  <c r="GG57" i="87" s="1"/>
  <c r="GD169" i="87"/>
  <c r="GD82" i="87"/>
  <c r="GN164" i="87"/>
  <c r="GN48" i="87"/>
  <c r="GQ48" i="87" s="1"/>
  <c r="GQ19" i="87"/>
  <c r="P111" i="87"/>
  <c r="S111" i="87" s="1"/>
  <c r="S24" i="87"/>
  <c r="P53" i="87"/>
  <c r="S53" i="87" s="1"/>
  <c r="CA15" i="87"/>
  <c r="CA19" i="87"/>
  <c r="CA28" i="87"/>
  <c r="AW33" i="87"/>
  <c r="CA37" i="87"/>
  <c r="BX44" i="87"/>
  <c r="CA44" i="87" s="1"/>
  <c r="EF53" i="87"/>
  <c r="BX57" i="87"/>
  <c r="CA57" i="87" s="1"/>
  <c r="BX62" i="87"/>
  <c r="CA62" i="87" s="1"/>
  <c r="EP66" i="87"/>
  <c r="ES66" i="87" s="1"/>
  <c r="BN77" i="87"/>
  <c r="BQ77" i="87" s="1"/>
  <c r="BN82" i="87"/>
  <c r="BQ82" i="87" s="1"/>
  <c r="GD86" i="87"/>
  <c r="GG86" i="87" s="1"/>
  <c r="FJ91" i="87"/>
  <c r="FM91" i="87" s="1"/>
  <c r="FT102" i="87"/>
  <c r="EF106" i="87"/>
  <c r="EI106" i="87" s="1"/>
  <c r="DL115" i="87"/>
  <c r="EP124" i="87"/>
  <c r="ES124" i="87" s="1"/>
  <c r="GN135" i="87"/>
  <c r="GQ135" i="87" s="1"/>
  <c r="GD111" i="87"/>
  <c r="GD164" i="87"/>
  <c r="IB44" i="87"/>
  <c r="KT48" i="87"/>
  <c r="KW48" i="87" s="1"/>
  <c r="HR53" i="87"/>
  <c r="HU53" i="87" s="1"/>
  <c r="JP53" i="87"/>
  <c r="KT57" i="87"/>
  <c r="KW57" i="87" s="1"/>
  <c r="KJ62" i="87"/>
  <c r="KM62" i="87" s="1"/>
  <c r="GN66" i="87"/>
  <c r="GQ66" i="87" s="1"/>
  <c r="JF66" i="87"/>
  <c r="JI66" i="87" s="1"/>
  <c r="HH73" i="87"/>
  <c r="HH77" i="87"/>
  <c r="HK77" i="87" s="1"/>
  <c r="JF82" i="87"/>
  <c r="JI82" i="87" s="1"/>
  <c r="GN86" i="87"/>
  <c r="GQ86" i="87" s="1"/>
  <c r="JP86" i="87"/>
  <c r="JS86" i="87" s="1"/>
  <c r="GN95" i="87"/>
  <c r="GQ95" i="87" s="1"/>
  <c r="KT102" i="87"/>
  <c r="KW102" i="87" s="1"/>
  <c r="JZ106" i="87"/>
  <c r="KC106" i="87" s="1"/>
  <c r="JF111" i="87"/>
  <c r="JI111" i="87" s="1"/>
  <c r="HR115" i="87"/>
  <c r="HU115" i="87" s="1"/>
  <c r="HR124" i="87"/>
  <c r="HU124" i="87" s="1"/>
  <c r="IL178" i="87"/>
  <c r="KT228" i="87"/>
  <c r="GQ28" i="87"/>
  <c r="HK19" i="87"/>
  <c r="HU28" i="87"/>
  <c r="HU33" i="87"/>
  <c r="HU37" i="87"/>
  <c r="JF57" i="87"/>
  <c r="JI57" i="87" s="1"/>
  <c r="IV62" i="87"/>
  <c r="IY62" i="87" s="1"/>
  <c r="HR66" i="87"/>
  <c r="HU66" i="87" s="1"/>
  <c r="KT66" i="87"/>
  <c r="KW66" i="87" s="1"/>
  <c r="HR73" i="87"/>
  <c r="HU73" i="87" s="1"/>
  <c r="HR77" i="87"/>
  <c r="HU77" i="87" s="1"/>
  <c r="JP82" i="87"/>
  <c r="HR86" i="87"/>
  <c r="HU86" i="87" s="1"/>
  <c r="HR91" i="87"/>
  <c r="HU91" i="87" s="1"/>
  <c r="JZ91" i="87"/>
  <c r="KC91" i="87" s="1"/>
  <c r="KJ106" i="87"/>
  <c r="KM106" i="87" s="1"/>
  <c r="IV124" i="87"/>
  <c r="IY124" i="87" s="1"/>
  <c r="Z62" i="87"/>
  <c r="AC62" i="87" s="1"/>
  <c r="P73" i="87"/>
  <c r="S73" i="87" s="1"/>
  <c r="BX73" i="87"/>
  <c r="CA73" i="87" s="1"/>
  <c r="AJ82" i="87"/>
  <c r="AM82" i="87" s="1"/>
  <c r="BN86" i="87"/>
  <c r="BQ86" i="87" s="1"/>
  <c r="BN91" i="87"/>
  <c r="BQ91" i="87" s="1"/>
  <c r="BN95" i="87"/>
  <c r="BQ95" i="87" s="1"/>
  <c r="FJ106" i="87"/>
  <c r="FM106" i="87" s="1"/>
  <c r="HH131" i="87"/>
  <c r="BX160" i="87"/>
  <c r="BN182" i="87"/>
  <c r="BX219" i="87"/>
  <c r="AT77" i="87"/>
  <c r="AW77" i="87" s="1"/>
  <c r="AT82" i="87"/>
  <c r="BX95" i="87"/>
  <c r="CA95" i="87" s="1"/>
  <c r="DL144" i="87"/>
  <c r="GX149" i="87"/>
  <c r="HA149" i="87" s="1"/>
  <c r="EZ153" i="87"/>
  <c r="FC153" i="87" s="1"/>
  <c r="DB164" i="87"/>
  <c r="FT219" i="87"/>
  <c r="DB223" i="87"/>
  <c r="AT151" i="87"/>
  <c r="BD167" i="87"/>
  <c r="BX176" i="87"/>
  <c r="CR221" i="87"/>
  <c r="AT226" i="87"/>
  <c r="CH230" i="87"/>
  <c r="CH239" i="87"/>
  <c r="F198" i="87"/>
  <c r="I198" i="87" s="1"/>
  <c r="BQ14" i="87"/>
  <c r="BQ18" i="87"/>
  <c r="CA23" i="87"/>
  <c r="BQ32" i="87"/>
  <c r="DE36" i="87"/>
  <c r="CR43" i="87"/>
  <c r="CU43" i="87" s="1"/>
  <c r="P47" i="87"/>
  <c r="S47" i="87" s="1"/>
  <c r="P52" i="87"/>
  <c r="S52" i="87" s="1"/>
  <c r="DV52" i="87"/>
  <c r="DY52" i="87" s="1"/>
  <c r="BN56" i="87"/>
  <c r="BQ56" i="87" s="1"/>
  <c r="CR61" i="87"/>
  <c r="CU61" i="87" s="1"/>
  <c r="EP61" i="87"/>
  <c r="ES61" i="87" s="1"/>
  <c r="CH65" i="87"/>
  <c r="CK65" i="87" s="1"/>
  <c r="EP65" i="87"/>
  <c r="BX72" i="87"/>
  <c r="CA72" i="87" s="1"/>
  <c r="FT72" i="87"/>
  <c r="FW72" i="87" s="1"/>
  <c r="FJ76" i="87"/>
  <c r="FJ81" i="87"/>
  <c r="FM81" i="87" s="1"/>
  <c r="P85" i="87"/>
  <c r="S85" i="87" s="1"/>
  <c r="EF85" i="87"/>
  <c r="Z90" i="87"/>
  <c r="AC90" i="87" s="1"/>
  <c r="FJ90" i="87"/>
  <c r="FM90" i="87" s="1"/>
  <c r="BD94" i="87"/>
  <c r="BG94" i="87" s="1"/>
  <c r="FJ94" i="87"/>
  <c r="FM94" i="87" s="1"/>
  <c r="FJ101" i="87"/>
  <c r="FM101" i="87" s="1"/>
  <c r="BN105" i="87"/>
  <c r="BQ105" i="87" s="1"/>
  <c r="BS105" i="87" s="1"/>
  <c r="DV110" i="87"/>
  <c r="DY110" i="87" s="1"/>
  <c r="P114" i="87"/>
  <c r="S114" i="87" s="1"/>
  <c r="EP114" i="87"/>
  <c r="BN119" i="87"/>
  <c r="BQ119" i="87" s="1"/>
  <c r="DL130" i="87"/>
  <c r="DO130" i="87" s="1"/>
  <c r="BX139" i="87"/>
  <c r="CA139" i="87" s="1"/>
  <c r="CR148" i="87"/>
  <c r="CU148" i="87" s="1"/>
  <c r="EZ172" i="87"/>
  <c r="BX177" i="87"/>
  <c r="GD181" i="87"/>
  <c r="CR218" i="87"/>
  <c r="DB231" i="87"/>
  <c r="EP236" i="87"/>
  <c r="FJ240" i="87"/>
  <c r="F202" i="87"/>
  <c r="F218" i="87"/>
  <c r="S18" i="87"/>
  <c r="BG23" i="87"/>
  <c r="BG27" i="87"/>
  <c r="S32" i="87"/>
  <c r="BQ36" i="87"/>
  <c r="BN43" i="87"/>
  <c r="BQ43" i="87" s="1"/>
  <c r="DL43" i="87"/>
  <c r="DO43" i="87" s="1"/>
  <c r="BN47" i="87"/>
  <c r="BQ47" i="87" s="1"/>
  <c r="CR52" i="87"/>
  <c r="CU52" i="87" s="1"/>
  <c r="DB56" i="87"/>
  <c r="DE56" i="87" s="1"/>
  <c r="P61" i="87"/>
  <c r="S61" i="87" s="1"/>
  <c r="DV61" i="87"/>
  <c r="DY61" i="87" s="1"/>
  <c r="DV65" i="87"/>
  <c r="DY65" i="87" s="1"/>
  <c r="Z72" i="87"/>
  <c r="EP72" i="87"/>
  <c r="ES72" i="87" s="1"/>
  <c r="BN76" i="87"/>
  <c r="BQ76" i="87" s="1"/>
  <c r="GD76" i="87"/>
  <c r="BN81" i="87"/>
  <c r="BQ81" i="87" s="1"/>
  <c r="GD81" i="87"/>
  <c r="GG81" i="87" s="1"/>
  <c r="BX85" i="87"/>
  <c r="GD85" i="87"/>
  <c r="CH90" i="87"/>
  <c r="CK90" i="87" s="1"/>
  <c r="CR94" i="87"/>
  <c r="BN101" i="87"/>
  <c r="BQ101" i="87" s="1"/>
  <c r="EF105" i="87"/>
  <c r="BD110" i="87"/>
  <c r="BG110" i="87" s="1"/>
  <c r="GD110" i="87"/>
  <c r="GG110" i="87" s="1"/>
  <c r="CR114" i="87"/>
  <c r="DV119" i="87"/>
  <c r="DY119" i="87" s="1"/>
  <c r="Z130" i="87"/>
  <c r="EZ130" i="87"/>
  <c r="FC130" i="87" s="1"/>
  <c r="GD134" i="87"/>
  <c r="FJ139" i="87"/>
  <c r="FM139" i="87" s="1"/>
  <c r="EF143" i="87"/>
  <c r="FT152" i="87"/>
  <c r="FW152" i="87" s="1"/>
  <c r="CH159" i="87"/>
  <c r="EP163" i="87"/>
  <c r="EP168" i="87"/>
  <c r="FT177" i="87"/>
  <c r="GD227" i="87"/>
  <c r="Z148" i="87"/>
  <c r="AC148" i="87" s="1"/>
  <c r="AT236" i="87"/>
  <c r="P142" i="87"/>
  <c r="P167" i="87"/>
  <c r="AT180" i="87"/>
  <c r="BX226" i="87"/>
  <c r="BD230" i="87"/>
  <c r="AT235" i="87"/>
  <c r="AT239" i="87"/>
  <c r="Z159" i="87"/>
  <c r="Z163" i="87"/>
  <c r="P172" i="87"/>
  <c r="BD218" i="87"/>
  <c r="BD222" i="87"/>
  <c r="BN227" i="87"/>
  <c r="BN181" i="87"/>
  <c r="S36" i="87"/>
  <c r="BD47" i="87"/>
  <c r="BG47" i="87" s="1"/>
  <c r="BD52" i="87"/>
  <c r="BG52" i="87" s="1"/>
  <c r="BD56" i="87"/>
  <c r="BG56" i="87" s="1"/>
  <c r="BN61" i="87"/>
  <c r="BQ61" i="87" s="1"/>
  <c r="P65" i="87"/>
  <c r="S65" i="87" s="1"/>
  <c r="AJ72" i="87"/>
  <c r="CR72" i="87"/>
  <c r="CU72" i="87" s="1"/>
  <c r="BD76" i="87"/>
  <c r="BG76" i="87" s="1"/>
  <c r="EP76" i="87"/>
  <c r="BD81" i="87"/>
  <c r="BG81" i="87" s="1"/>
  <c r="EP81" i="87"/>
  <c r="ES81" i="87" s="1"/>
  <c r="BN85" i="87"/>
  <c r="BQ85" i="87" s="1"/>
  <c r="DV85" i="87"/>
  <c r="BD90" i="87"/>
  <c r="BG90" i="87" s="1"/>
  <c r="CR90" i="87"/>
  <c r="CU90" i="87" s="1"/>
  <c r="FT90" i="87"/>
  <c r="FW90" i="87" s="1"/>
  <c r="CH94" i="87"/>
  <c r="CK94" i="87" s="1"/>
  <c r="EP94" i="87"/>
  <c r="BD101" i="87"/>
  <c r="BG101" i="87" s="1"/>
  <c r="EP101" i="87"/>
  <c r="ES101" i="87" s="1"/>
  <c r="BX105" i="87"/>
  <c r="HH105" i="87"/>
  <c r="BN110" i="87"/>
  <c r="BQ110" i="87" s="1"/>
  <c r="GN110" i="87"/>
  <c r="GQ110" i="87" s="1"/>
  <c r="Z114" i="87"/>
  <c r="DL114" i="87"/>
  <c r="DO114" i="87" s="1"/>
  <c r="FT114" i="87"/>
  <c r="P119" i="87"/>
  <c r="S119" i="87" s="1"/>
  <c r="BX119" i="87"/>
  <c r="CA119" i="87" s="1"/>
  <c r="EF119" i="87"/>
  <c r="EI119" i="87" s="1"/>
  <c r="HH119" i="87"/>
  <c r="HK119" i="87" s="1"/>
  <c r="BN123" i="87"/>
  <c r="BQ123" i="87" s="1"/>
  <c r="EP123" i="87"/>
  <c r="IL123" i="87"/>
  <c r="IO123" i="87" s="1"/>
  <c r="P130" i="87"/>
  <c r="CR130" i="87"/>
  <c r="CU130" i="87" s="1"/>
  <c r="HH130" i="87"/>
  <c r="HK130" i="87" s="1"/>
  <c r="BN134" i="87"/>
  <c r="BQ134" i="87" s="1"/>
  <c r="HR134" i="87"/>
  <c r="CR139" i="87"/>
  <c r="CU139" i="87" s="1"/>
  <c r="GD139" i="87"/>
  <c r="GG139" i="87" s="1"/>
  <c r="EZ143" i="87"/>
  <c r="IV143" i="87"/>
  <c r="P148" i="87"/>
  <c r="S148" i="87" s="1"/>
  <c r="EF148" i="87"/>
  <c r="EI148" i="87" s="1"/>
  <c r="DV152" i="87"/>
  <c r="DY152" i="87" s="1"/>
  <c r="BN159" i="87"/>
  <c r="FJ159" i="87"/>
  <c r="GD163" i="87"/>
  <c r="FJ168" i="87"/>
  <c r="KT168" i="87"/>
  <c r="FT172" i="87"/>
  <c r="DB181" i="87"/>
  <c r="HR181" i="87"/>
  <c r="EF218" i="87"/>
  <c r="EP227" i="87"/>
  <c r="KT227" i="87"/>
  <c r="EP231" i="87"/>
  <c r="IL231" i="87"/>
  <c r="FJ236" i="87"/>
  <c r="EP240" i="87"/>
  <c r="JF240" i="87"/>
  <c r="P177" i="87"/>
  <c r="F240" i="87"/>
  <c r="S23" i="87"/>
  <c r="BD43" i="87"/>
  <c r="BG43" i="87" s="1"/>
  <c r="Z47" i="87"/>
  <c r="BX56" i="87"/>
  <c r="AT61" i="87"/>
  <c r="AW61" i="87" s="1"/>
  <c r="BN65" i="87"/>
  <c r="BQ65" i="87" s="1"/>
  <c r="P72" i="87"/>
  <c r="P76" i="87"/>
  <c r="S76" i="87" s="1"/>
  <c r="CR76" i="87"/>
  <c r="Z85" i="87"/>
  <c r="CH85" i="87"/>
  <c r="BX90" i="87"/>
  <c r="CA90" i="87" s="1"/>
  <c r="BN94" i="87"/>
  <c r="BQ94" i="87" s="1"/>
  <c r="DV94" i="87"/>
  <c r="DY94" i="87" s="1"/>
  <c r="FT101" i="87"/>
  <c r="FW101" i="87" s="1"/>
  <c r="DV105" i="87"/>
  <c r="DY105" i="87" s="1"/>
  <c r="EA105" i="87" s="1"/>
  <c r="Z110" i="87"/>
  <c r="AC110" i="87" s="1"/>
  <c r="DL110" i="87"/>
  <c r="DO110" i="87" s="1"/>
  <c r="HR110" i="87"/>
  <c r="HU110" i="87" s="1"/>
  <c r="BN114" i="87"/>
  <c r="BQ114" i="87" s="1"/>
  <c r="EF114" i="87"/>
  <c r="HH114" i="87"/>
  <c r="BD119" i="87"/>
  <c r="BG119" i="87" s="1"/>
  <c r="DB119" i="87"/>
  <c r="DE119" i="87" s="1"/>
  <c r="Z123" i="87"/>
  <c r="AC123" i="87" s="1"/>
  <c r="DB123" i="87"/>
  <c r="DE123" i="87" s="1"/>
  <c r="GD123" i="87"/>
  <c r="DV130" i="87"/>
  <c r="DY130" i="87" s="1"/>
  <c r="IL130" i="87"/>
  <c r="IO130" i="87" s="1"/>
  <c r="FJ134" i="87"/>
  <c r="EP139" i="87"/>
  <c r="ES139" i="87" s="1"/>
  <c r="JF139" i="87"/>
  <c r="JI139" i="87" s="1"/>
  <c r="DB143" i="87"/>
  <c r="DE143" i="87" s="1"/>
  <c r="BD148" i="87"/>
  <c r="BG148" i="87" s="1"/>
  <c r="BN152" i="87"/>
  <c r="BQ152" i="87" s="1"/>
  <c r="DB159" i="87"/>
  <c r="HR159" i="87"/>
  <c r="DV163" i="87"/>
  <c r="JZ163" i="87"/>
  <c r="IL168" i="87"/>
  <c r="JF181" i="87"/>
  <c r="BX218" i="87"/>
  <c r="CH227" i="87"/>
  <c r="IL227" i="87"/>
  <c r="BN231" i="87"/>
  <c r="DV236" i="87"/>
  <c r="BN240" i="87"/>
  <c r="KM29" i="87"/>
  <c r="KJ112" i="87"/>
  <c r="KM112" i="87" s="1"/>
  <c r="CH116" i="87"/>
  <c r="CK116" i="87" s="1"/>
  <c r="FW25" i="87"/>
  <c r="JZ83" i="87"/>
  <c r="KC83" i="87" s="1"/>
  <c r="AJ230" i="87"/>
  <c r="AJ235" i="87"/>
  <c r="IL58" i="87"/>
  <c r="IO58" i="87" s="1"/>
  <c r="KM34" i="87"/>
  <c r="DB92" i="87"/>
  <c r="DE92" i="87" s="1"/>
  <c r="CU34" i="87"/>
  <c r="IL103" i="87"/>
  <c r="IE38" i="87"/>
  <c r="IG38" i="87" s="1"/>
  <c r="DV45" i="87"/>
  <c r="FJ63" i="87"/>
  <c r="FM63" i="87" s="1"/>
  <c r="F242" i="87"/>
  <c r="AC20" i="87"/>
  <c r="F204" i="87"/>
  <c r="I204" i="87" s="1"/>
  <c r="CK25" i="87"/>
  <c r="HU34" i="87"/>
  <c r="DL67" i="87"/>
  <c r="DO67" i="87" s="1"/>
  <c r="DB87" i="87"/>
  <c r="DE87" i="87" s="1"/>
  <c r="AT112" i="87"/>
  <c r="AW112" i="87" s="1"/>
  <c r="Z103" i="87"/>
  <c r="Z74" i="87"/>
  <c r="AJ78" i="87"/>
  <c r="AM78" i="87" s="1"/>
  <c r="AJ107" i="87"/>
  <c r="AM107" i="87" s="1"/>
  <c r="AJ112" i="87"/>
  <c r="AM112" i="87" s="1"/>
  <c r="AJ83" i="87"/>
  <c r="AM83" i="87" s="1"/>
  <c r="AJ54" i="87"/>
  <c r="AM54" i="87" s="1"/>
  <c r="AT161" i="87"/>
  <c r="AT74" i="87"/>
  <c r="AT92" i="87"/>
  <c r="AW92" i="87" s="1"/>
  <c r="AT179" i="87"/>
  <c r="AT121" i="87"/>
  <c r="AW121" i="87" s="1"/>
  <c r="AT63" i="87"/>
  <c r="AW63" i="87" s="1"/>
  <c r="BD174" i="87"/>
  <c r="BD87" i="87"/>
  <c r="BG87" i="87" s="1"/>
  <c r="BN141" i="87"/>
  <c r="BQ141" i="87" s="1"/>
  <c r="BN83" i="87"/>
  <c r="BQ83" i="87" s="1"/>
  <c r="BN54" i="87"/>
  <c r="BQ54" i="87" s="1"/>
  <c r="BN170" i="87"/>
  <c r="BN154" i="87"/>
  <c r="BQ154" i="87" s="1"/>
  <c r="BN96" i="87"/>
  <c r="BQ96" i="87" s="1"/>
  <c r="BS96" i="87" s="1"/>
  <c r="BX74" i="87"/>
  <c r="BX45" i="87"/>
  <c r="BX132" i="87"/>
  <c r="BX103" i="87"/>
  <c r="BX242" i="87"/>
  <c r="BX96" i="87"/>
  <c r="CA96" i="87" s="1"/>
  <c r="CC96" i="87" s="1"/>
  <c r="BX125" i="87"/>
  <c r="CA125" i="87" s="1"/>
  <c r="BX67" i="87"/>
  <c r="CA67" i="87" s="1"/>
  <c r="CH165" i="87"/>
  <c r="CH49" i="87"/>
  <c r="CK49" i="87" s="1"/>
  <c r="CR224" i="87"/>
  <c r="CR136" i="87"/>
  <c r="CU136" i="87" s="1"/>
  <c r="DB96" i="87"/>
  <c r="DE96" i="87" s="1"/>
  <c r="DG96" i="87" s="1"/>
  <c r="DB154" i="87"/>
  <c r="DE154" i="87" s="1"/>
  <c r="DB125" i="87"/>
  <c r="DE125" i="87" s="1"/>
  <c r="DB67" i="87"/>
  <c r="DE67" i="87" s="1"/>
  <c r="DL132" i="87"/>
  <c r="DO132" i="87" s="1"/>
  <c r="DL74" i="87"/>
  <c r="DO74" i="87" s="1"/>
  <c r="DL103" i="87"/>
  <c r="DO103" i="87" s="1"/>
  <c r="DL112" i="87"/>
  <c r="DO112" i="87" s="1"/>
  <c r="DL83" i="87"/>
  <c r="DO83" i="87" s="1"/>
  <c r="DV83" i="87"/>
  <c r="DY83" i="87" s="1"/>
  <c r="DV54" i="87"/>
  <c r="DY54" i="87" s="1"/>
  <c r="EF174" i="87"/>
  <c r="EF116" i="87"/>
  <c r="EI116" i="87" s="1"/>
  <c r="EF242" i="87"/>
  <c r="EF96" i="87"/>
  <c r="EI96" i="87" s="1"/>
  <c r="EK96" i="87" s="1"/>
  <c r="EF67" i="87"/>
  <c r="EI67" i="87" s="1"/>
  <c r="EF125" i="87"/>
  <c r="EI125" i="87" s="1"/>
  <c r="EF238" i="87"/>
  <c r="EF121" i="87"/>
  <c r="EI121" i="87" s="1"/>
  <c r="EF92" i="87"/>
  <c r="EI92" i="87" s="1"/>
  <c r="EP74" i="87"/>
  <c r="EP45" i="87"/>
  <c r="EP161" i="87"/>
  <c r="EP103" i="87"/>
  <c r="EP96" i="87"/>
  <c r="ES96" i="87" s="1"/>
  <c r="EU96" i="87" s="1"/>
  <c r="EP67" i="87"/>
  <c r="ES67" i="87" s="1"/>
  <c r="EP125" i="87"/>
  <c r="ES125" i="87" s="1"/>
  <c r="EZ83" i="87"/>
  <c r="FC83" i="87" s="1"/>
  <c r="EZ112" i="87"/>
  <c r="FC112" i="87" s="1"/>
  <c r="FJ165" i="87"/>
  <c r="FJ49" i="87"/>
  <c r="FM49" i="87" s="1"/>
  <c r="FJ233" i="87"/>
  <c r="FJ87" i="87"/>
  <c r="FM87" i="87" s="1"/>
  <c r="FJ58" i="87"/>
  <c r="FM58" i="87" s="1"/>
  <c r="FJ183" i="87"/>
  <c r="FJ96" i="87"/>
  <c r="FM96" i="87" s="1"/>
  <c r="FO96" i="87" s="1"/>
  <c r="FT238" i="87"/>
  <c r="FT92" i="87"/>
  <c r="FW92" i="87" s="1"/>
  <c r="GD107" i="87"/>
  <c r="GG107" i="87" s="1"/>
  <c r="GD49" i="87"/>
  <c r="GG49" i="87" s="1"/>
  <c r="GG25" i="87"/>
  <c r="GD83" i="87"/>
  <c r="GG83" i="87" s="1"/>
  <c r="GD141" i="87"/>
  <c r="GG141" i="87" s="1"/>
  <c r="GD179" i="87"/>
  <c r="GD121" i="87"/>
  <c r="GG121" i="87" s="1"/>
  <c r="GD63" i="87"/>
  <c r="GG63" i="87" s="1"/>
  <c r="GN103" i="87"/>
  <c r="GN74" i="87"/>
  <c r="GN45" i="87"/>
  <c r="GX183" i="87"/>
  <c r="GX125" i="87"/>
  <c r="HA125" i="87" s="1"/>
  <c r="HH74" i="87"/>
  <c r="HH103" i="87"/>
  <c r="HH83" i="87"/>
  <c r="HK83" i="87" s="1"/>
  <c r="HH54" i="87"/>
  <c r="HK54" i="87" s="1"/>
  <c r="HH112" i="87"/>
  <c r="HK112" i="87" s="1"/>
  <c r="HH242" i="87"/>
  <c r="HH96" i="87"/>
  <c r="HK96" i="87" s="1"/>
  <c r="HM96" i="87" s="1"/>
  <c r="HR107" i="87"/>
  <c r="HU107" i="87" s="1"/>
  <c r="HR49" i="87"/>
  <c r="HU49" i="87" s="1"/>
  <c r="HR233" i="87"/>
  <c r="HR116" i="87"/>
  <c r="HU116" i="87" s="1"/>
  <c r="IB74" i="87"/>
  <c r="IB103" i="87"/>
  <c r="IB45" i="87"/>
  <c r="IB54" i="87"/>
  <c r="IE54" i="87" s="1"/>
  <c r="IB112" i="87"/>
  <c r="IE112" i="87" s="1"/>
  <c r="IB83" i="87"/>
  <c r="IE83" i="87" s="1"/>
  <c r="IB150" i="87"/>
  <c r="IE150" i="87" s="1"/>
  <c r="IB238" i="87"/>
  <c r="IB63" i="87"/>
  <c r="IE63" i="87" s="1"/>
  <c r="IL161" i="87"/>
  <c r="IL74" i="87"/>
  <c r="IL141" i="87"/>
  <c r="IO141" i="87" s="1"/>
  <c r="IL112" i="87"/>
  <c r="IO112" i="87" s="1"/>
  <c r="IL83" i="87"/>
  <c r="IO83" i="87" s="1"/>
  <c r="IL179" i="87"/>
  <c r="IL92" i="87"/>
  <c r="IO92" i="87" s="1"/>
  <c r="IL63" i="87"/>
  <c r="IO63" i="87" s="1"/>
  <c r="IV242" i="87"/>
  <c r="IV125" i="87"/>
  <c r="IY125" i="87" s="1"/>
  <c r="IV154" i="87"/>
  <c r="IY154" i="87" s="1"/>
  <c r="IV238" i="87"/>
  <c r="IV92" i="87"/>
  <c r="IY92" i="87" s="1"/>
  <c r="IV121" i="87"/>
  <c r="IY121" i="87" s="1"/>
  <c r="JF191" i="87"/>
  <c r="JF132" i="87"/>
  <c r="JF103" i="87"/>
  <c r="JF200" i="87"/>
  <c r="JI200" i="87" s="1"/>
  <c r="JF112" i="87"/>
  <c r="JI112" i="87" s="1"/>
  <c r="JF154" i="87"/>
  <c r="JI154" i="87" s="1"/>
  <c r="JF183" i="87"/>
  <c r="JF96" i="87"/>
  <c r="JI96" i="87" s="1"/>
  <c r="JK96" i="87" s="1"/>
  <c r="JF67" i="87"/>
  <c r="JI67" i="87" s="1"/>
  <c r="JF63" i="87"/>
  <c r="JI63" i="87" s="1"/>
  <c r="JF121" i="87"/>
  <c r="JI121" i="87" s="1"/>
  <c r="JF179" i="87"/>
  <c r="JP103" i="87"/>
  <c r="JP74" i="87"/>
  <c r="JP242" i="87"/>
  <c r="JP96" i="87"/>
  <c r="JS96" i="87" s="1"/>
  <c r="JU96" i="87" s="1"/>
  <c r="JP67" i="87"/>
  <c r="JS67" i="87" s="1"/>
  <c r="JP125" i="87"/>
  <c r="JS125" i="87" s="1"/>
  <c r="JZ165" i="87"/>
  <c r="JZ78" i="87"/>
  <c r="KC78" i="87" s="1"/>
  <c r="JZ49" i="87"/>
  <c r="KC49" i="87" s="1"/>
  <c r="JZ233" i="87"/>
  <c r="JZ58" i="87"/>
  <c r="KC58" i="87" s="1"/>
  <c r="JZ116" i="87"/>
  <c r="KC116" i="87" s="1"/>
  <c r="JZ87" i="87"/>
  <c r="KC87" i="87" s="1"/>
  <c r="JZ112" i="87"/>
  <c r="KC112" i="87" s="1"/>
  <c r="JZ54" i="87"/>
  <c r="KC54" i="87" s="1"/>
  <c r="JZ179" i="87"/>
  <c r="JZ150" i="87"/>
  <c r="KC150" i="87" s="1"/>
  <c r="JZ92" i="87"/>
  <c r="KC92" i="87" s="1"/>
  <c r="KJ74" i="87"/>
  <c r="KJ45" i="87"/>
  <c r="KJ242" i="87"/>
  <c r="KJ125" i="87"/>
  <c r="KM125" i="87" s="1"/>
  <c r="KT233" i="87"/>
  <c r="KT116" i="87"/>
  <c r="KW116" i="87" s="1"/>
  <c r="KT87" i="87"/>
  <c r="KW87" i="87" s="1"/>
  <c r="KT183" i="87"/>
  <c r="KT154" i="87"/>
  <c r="KW154" i="87" s="1"/>
  <c r="KT96" i="87"/>
  <c r="KW96" i="87" s="1"/>
  <c r="KY96" i="87" s="1"/>
  <c r="KT67" i="87"/>
  <c r="KW67" i="87" s="1"/>
  <c r="AW25" i="87"/>
  <c r="DO25" i="87"/>
  <c r="KW29" i="87"/>
  <c r="HA38" i="87"/>
  <c r="HC38" i="87" s="1"/>
  <c r="IL54" i="87"/>
  <c r="IO54" i="87" s="1"/>
  <c r="KT58" i="87"/>
  <c r="KW58" i="87" s="1"/>
  <c r="HR63" i="87"/>
  <c r="HU63" i="87" s="1"/>
  <c r="FJ67" i="87"/>
  <c r="FM67" i="87" s="1"/>
  <c r="AJ74" i="87"/>
  <c r="KT74" i="87"/>
  <c r="CH83" i="87"/>
  <c r="CK83" i="87" s="1"/>
  <c r="EZ87" i="87"/>
  <c r="FC87" i="87" s="1"/>
  <c r="GX96" i="87"/>
  <c r="HA96" i="87" s="1"/>
  <c r="HC96" i="87" s="1"/>
  <c r="KT103" i="87"/>
  <c r="DV112" i="87"/>
  <c r="DY112" i="87" s="1"/>
  <c r="FJ116" i="87"/>
  <c r="FM116" i="87" s="1"/>
  <c r="BD125" i="87"/>
  <c r="BG125" i="87" s="1"/>
  <c r="JF125" i="87"/>
  <c r="JI125" i="87" s="1"/>
  <c r="P238" i="87"/>
  <c r="P121" i="87"/>
  <c r="S121" i="87" s="1"/>
  <c r="Z125" i="87"/>
  <c r="AC125" i="87" s="1"/>
  <c r="Z183" i="87"/>
  <c r="Z96" i="87"/>
  <c r="AC96" i="87" s="1"/>
  <c r="AE96" i="87" s="1"/>
  <c r="AJ45" i="87"/>
  <c r="AJ132" i="87"/>
  <c r="AJ242" i="87"/>
  <c r="AJ125" i="87"/>
  <c r="AM125" i="87" s="1"/>
  <c r="BD238" i="87"/>
  <c r="BD92" i="87"/>
  <c r="BG92" i="87" s="1"/>
  <c r="BN145" i="87"/>
  <c r="BQ145" i="87" s="1"/>
  <c r="BN116" i="87"/>
  <c r="BQ116" i="87" s="1"/>
  <c r="BX116" i="87"/>
  <c r="CA116" i="87" s="1"/>
  <c r="BX87" i="87"/>
  <c r="CA87" i="87" s="1"/>
  <c r="BX174" i="87"/>
  <c r="BX58" i="87"/>
  <c r="CA58" i="87" s="1"/>
  <c r="BX238" i="87"/>
  <c r="BX92" i="87"/>
  <c r="CA92" i="87" s="1"/>
  <c r="CH233" i="87"/>
  <c r="CH58" i="87"/>
  <c r="CK58" i="87" s="1"/>
  <c r="CR132" i="87"/>
  <c r="CR74" i="87"/>
  <c r="CR54" i="87"/>
  <c r="CU54" i="87" s="1"/>
  <c r="CR112" i="87"/>
  <c r="CU112" i="87" s="1"/>
  <c r="CR83" i="87"/>
  <c r="CU83" i="87" s="1"/>
  <c r="DL238" i="87"/>
  <c r="DL121" i="87"/>
  <c r="DO121" i="87" s="1"/>
  <c r="DL92" i="87"/>
  <c r="DO92" i="87" s="1"/>
  <c r="DL63" i="87"/>
  <c r="DO63" i="87" s="1"/>
  <c r="DV233" i="87"/>
  <c r="DV116" i="87"/>
  <c r="DY116" i="87" s="1"/>
  <c r="DV87" i="87"/>
  <c r="DY87" i="87" s="1"/>
  <c r="DV179" i="87"/>
  <c r="DV121" i="87"/>
  <c r="DY121" i="87" s="1"/>
  <c r="DV92" i="87"/>
  <c r="DY92" i="87" s="1"/>
  <c r="DV63" i="87"/>
  <c r="DY63" i="87" s="1"/>
  <c r="EF74" i="87"/>
  <c r="EF45" i="87"/>
  <c r="EP233" i="87"/>
  <c r="EP87" i="87"/>
  <c r="ES87" i="87" s="1"/>
  <c r="EP229" i="87"/>
  <c r="EP54" i="87"/>
  <c r="ES54" i="87" s="1"/>
  <c r="EP83" i="87"/>
  <c r="ES83" i="87" s="1"/>
  <c r="EP121" i="87"/>
  <c r="ES121" i="87" s="1"/>
  <c r="EP63" i="87"/>
  <c r="ES63" i="87" s="1"/>
  <c r="EZ238" i="87"/>
  <c r="EZ92" i="87"/>
  <c r="FC92" i="87" s="1"/>
  <c r="FJ191" i="87"/>
  <c r="FJ103" i="87"/>
  <c r="FJ132" i="87"/>
  <c r="FJ74" i="87"/>
  <c r="FJ141" i="87"/>
  <c r="FM141" i="87" s="1"/>
  <c r="FJ112" i="87"/>
  <c r="FM112" i="87" s="1"/>
  <c r="FJ170" i="87"/>
  <c r="FJ83" i="87"/>
  <c r="FM83" i="87" s="1"/>
  <c r="FJ54" i="87"/>
  <c r="FM54" i="87" s="1"/>
  <c r="FJ179" i="87"/>
  <c r="FJ92" i="87"/>
  <c r="FM92" i="87" s="1"/>
  <c r="FJ121" i="87"/>
  <c r="FM121" i="87" s="1"/>
  <c r="FT242" i="87"/>
  <c r="FT96" i="87"/>
  <c r="FW96" i="87" s="1"/>
  <c r="FY96" i="87" s="1"/>
  <c r="FT125" i="87"/>
  <c r="FW125" i="87" s="1"/>
  <c r="FT67" i="87"/>
  <c r="FW67" i="87" s="1"/>
  <c r="GD183" i="87"/>
  <c r="GD96" i="87"/>
  <c r="GG96" i="87" s="1"/>
  <c r="GI96" i="87" s="1"/>
  <c r="GD125" i="87"/>
  <c r="GG125" i="87" s="1"/>
  <c r="GD67" i="87"/>
  <c r="GG67" i="87" s="1"/>
  <c r="GN78" i="87"/>
  <c r="GQ78" i="87" s="1"/>
  <c r="GN107" i="87"/>
  <c r="GQ107" i="87" s="1"/>
  <c r="GN174" i="87"/>
  <c r="GN58" i="87"/>
  <c r="GQ58" i="87" s="1"/>
  <c r="GN87" i="87"/>
  <c r="GQ87" i="87" s="1"/>
  <c r="GN238" i="87"/>
  <c r="GN63" i="87"/>
  <c r="GQ63" i="87" s="1"/>
  <c r="GN92" i="87"/>
  <c r="GQ92" i="87" s="1"/>
  <c r="GX165" i="87"/>
  <c r="GX78" i="87"/>
  <c r="HA78" i="87" s="1"/>
  <c r="GX74" i="87"/>
  <c r="GX132" i="87"/>
  <c r="GX200" i="87"/>
  <c r="HA200" i="87" s="1"/>
  <c r="GX54" i="87"/>
  <c r="HA54" i="87" s="1"/>
  <c r="GX179" i="87"/>
  <c r="GX121" i="87"/>
  <c r="HA121" i="87" s="1"/>
  <c r="GX63" i="87"/>
  <c r="HA63" i="87" s="1"/>
  <c r="HR191" i="87"/>
  <c r="HR132" i="87"/>
  <c r="HR103" i="87"/>
  <c r="IB87" i="87"/>
  <c r="IE87" i="87" s="1"/>
  <c r="IB116" i="87"/>
  <c r="IE116" i="87" s="1"/>
  <c r="IB125" i="87"/>
  <c r="IE125" i="87" s="1"/>
  <c r="IB96" i="87"/>
  <c r="IE96" i="87" s="1"/>
  <c r="IG96" i="87" s="1"/>
  <c r="IB67" i="87"/>
  <c r="IE67" i="87" s="1"/>
  <c r="IL165" i="87"/>
  <c r="IL78" i="87"/>
  <c r="IO78" i="87" s="1"/>
  <c r="IL233" i="87"/>
  <c r="IL145" i="87"/>
  <c r="IO145" i="87" s="1"/>
  <c r="IL183" i="87"/>
  <c r="IL96" i="87"/>
  <c r="IO96" i="87" s="1"/>
  <c r="IQ96" i="87" s="1"/>
  <c r="IL67" i="87"/>
  <c r="IO67" i="87" s="1"/>
  <c r="IL125" i="87"/>
  <c r="IO125" i="87" s="1"/>
  <c r="JF233" i="87"/>
  <c r="JF145" i="87"/>
  <c r="JI145" i="87" s="1"/>
  <c r="JF58" i="87"/>
  <c r="JI58" i="87" s="1"/>
  <c r="JP174" i="87"/>
  <c r="JP58" i="87"/>
  <c r="JS58" i="87" s="1"/>
  <c r="JP116" i="87"/>
  <c r="JS116" i="87" s="1"/>
  <c r="JP87" i="87"/>
  <c r="JS87" i="87" s="1"/>
  <c r="JP83" i="87"/>
  <c r="JS83" i="87" s="1"/>
  <c r="JP112" i="87"/>
  <c r="JS112" i="87" s="1"/>
  <c r="JP54" i="87"/>
  <c r="JS54" i="87" s="1"/>
  <c r="JP238" i="87"/>
  <c r="JP121" i="87"/>
  <c r="JS121" i="87" s="1"/>
  <c r="JP63" i="87"/>
  <c r="JS63" i="87" s="1"/>
  <c r="JP150" i="87"/>
  <c r="JS150" i="87" s="1"/>
  <c r="JP92" i="87"/>
  <c r="JS92" i="87" s="1"/>
  <c r="JZ103" i="87"/>
  <c r="KC103" i="87" s="1"/>
  <c r="JZ74" i="87"/>
  <c r="KC74" i="87" s="1"/>
  <c r="JZ132" i="87"/>
  <c r="KC132" i="87" s="1"/>
  <c r="JZ45" i="87"/>
  <c r="KC45" i="87" s="1"/>
  <c r="JZ183" i="87"/>
  <c r="JZ96" i="87"/>
  <c r="KC96" i="87" s="1"/>
  <c r="KE96" i="87" s="1"/>
  <c r="JZ67" i="87"/>
  <c r="KC67" i="87" s="1"/>
  <c r="JZ125" i="87"/>
  <c r="KC125" i="87" s="1"/>
  <c r="KJ224" i="87"/>
  <c r="KJ107" i="87"/>
  <c r="KM107" i="87" s="1"/>
  <c r="KJ136" i="87"/>
  <c r="KM136" i="87" s="1"/>
  <c r="KT107" i="87"/>
  <c r="KW107" i="87" s="1"/>
  <c r="KT165" i="87"/>
  <c r="KT49" i="87"/>
  <c r="KW49" i="87" s="1"/>
  <c r="KT54" i="87"/>
  <c r="KW54" i="87" s="1"/>
  <c r="KT141" i="87"/>
  <c r="KW141" i="87" s="1"/>
  <c r="KT112" i="87"/>
  <c r="KW112" i="87" s="1"/>
  <c r="KT83" i="87"/>
  <c r="KW83" i="87" s="1"/>
  <c r="KT179" i="87"/>
  <c r="KT92" i="87"/>
  <c r="KW92" i="87" s="1"/>
  <c r="KT121" i="87"/>
  <c r="KW121" i="87" s="1"/>
  <c r="KT63" i="87"/>
  <c r="KW63" i="87" s="1"/>
  <c r="F191" i="87"/>
  <c r="F200" i="87"/>
  <c r="I200" i="87" s="1"/>
  <c r="CK20" i="87"/>
  <c r="KW20" i="87"/>
  <c r="HK25" i="87"/>
  <c r="BG29" i="87"/>
  <c r="GQ29" i="87"/>
  <c r="DO34" i="87"/>
  <c r="IO34" i="87"/>
  <c r="KW34" i="87"/>
  <c r="AM38" i="87"/>
  <c r="AO38" i="87" s="1"/>
  <c r="ES38" i="87"/>
  <c r="EU38" i="87" s="1"/>
  <c r="IO38" i="87"/>
  <c r="IQ38" i="87" s="1"/>
  <c r="EZ45" i="87"/>
  <c r="KT45" i="87"/>
  <c r="F238" i="87"/>
  <c r="KT10" i="87"/>
  <c r="KU13" i="87" s="1"/>
  <c r="KV13" i="87" s="1"/>
  <c r="KW13" i="87" s="1"/>
  <c r="DO16" i="87"/>
  <c r="DE20" i="87"/>
  <c r="HU20" i="87"/>
  <c r="BQ25" i="87"/>
  <c r="DY25" i="87"/>
  <c r="IE25" i="87"/>
  <c r="KC25" i="87"/>
  <c r="S29" i="87"/>
  <c r="BQ29" i="87"/>
  <c r="DY29" i="87"/>
  <c r="HA29" i="87"/>
  <c r="JS29" i="87"/>
  <c r="DY34" i="87"/>
  <c r="GG34" i="87"/>
  <c r="JS34" i="87"/>
  <c r="BG38" i="87"/>
  <c r="BI38" i="87" s="1"/>
  <c r="DO38" i="87"/>
  <c r="DQ38" i="87" s="1"/>
  <c r="FM38" i="87"/>
  <c r="FO38" i="87" s="1"/>
  <c r="HK38" i="87"/>
  <c r="HM38" i="87" s="1"/>
  <c r="IY38" i="87"/>
  <c r="JA38" i="87" s="1"/>
  <c r="KM38" i="87"/>
  <c r="KO38" i="87" s="1"/>
  <c r="FJ45" i="87"/>
  <c r="Z54" i="87"/>
  <c r="AC54" i="87" s="1"/>
  <c r="BN58" i="87"/>
  <c r="BQ58" i="87" s="1"/>
  <c r="JZ63" i="87"/>
  <c r="KC63" i="87" s="1"/>
  <c r="HH67" i="87"/>
  <c r="HK67" i="87" s="1"/>
  <c r="IL87" i="87"/>
  <c r="IO87" i="87" s="1"/>
  <c r="GD92" i="87"/>
  <c r="GG92" i="87" s="1"/>
  <c r="IV96" i="87"/>
  <c r="IY96" i="87" s="1"/>
  <c r="JA96" i="87" s="1"/>
  <c r="EF103" i="87"/>
  <c r="GN112" i="87"/>
  <c r="GQ112" i="87" s="1"/>
  <c r="IL116" i="87"/>
  <c r="IO116" i="87" s="1"/>
  <c r="EZ121" i="87"/>
  <c r="FC121" i="87" s="1"/>
  <c r="KT125" i="87"/>
  <c r="KW125" i="87" s="1"/>
  <c r="EP179" i="87"/>
  <c r="P132" i="87"/>
  <c r="P74" i="87"/>
  <c r="P242" i="87"/>
  <c r="P154" i="87"/>
  <c r="S154" i="87" s="1"/>
  <c r="P125" i="87"/>
  <c r="S125" i="87" s="1"/>
  <c r="P96" i="87"/>
  <c r="S96" i="87" s="1"/>
  <c r="U96" i="87" s="1"/>
  <c r="P67" i="87"/>
  <c r="S67" i="87" s="1"/>
  <c r="AJ174" i="87"/>
  <c r="AJ116" i="87"/>
  <c r="AM116" i="87" s="1"/>
  <c r="AT165" i="87"/>
  <c r="AT78" i="87"/>
  <c r="AW78" i="87" s="1"/>
  <c r="AT233" i="87"/>
  <c r="AT87" i="87"/>
  <c r="AW87" i="87" s="1"/>
  <c r="BD242" i="87"/>
  <c r="BD67" i="87"/>
  <c r="BG67" i="87" s="1"/>
  <c r="BN191" i="87"/>
  <c r="BN74" i="87"/>
  <c r="BN220" i="87"/>
  <c r="BN150" i="87"/>
  <c r="BQ150" i="87" s="1"/>
  <c r="BN63" i="87"/>
  <c r="BQ63" i="87" s="1"/>
  <c r="BN92" i="87"/>
  <c r="BQ92" i="87" s="1"/>
  <c r="BX83" i="87"/>
  <c r="CA83" i="87" s="1"/>
  <c r="BX54" i="87"/>
  <c r="CA54" i="87" s="1"/>
  <c r="BX112" i="87"/>
  <c r="CA112" i="87" s="1"/>
  <c r="CR242" i="87"/>
  <c r="CR96" i="87"/>
  <c r="CU96" i="87" s="1"/>
  <c r="CW96" i="87" s="1"/>
  <c r="CR125" i="87"/>
  <c r="CU125" i="87" s="1"/>
  <c r="CR67" i="87"/>
  <c r="CU67" i="87" s="1"/>
  <c r="DB191" i="87"/>
  <c r="DB74" i="87"/>
  <c r="DL174" i="87"/>
  <c r="DL58" i="87"/>
  <c r="DL116" i="87"/>
  <c r="DL87" i="87"/>
  <c r="DV165" i="87"/>
  <c r="DV78" i="87"/>
  <c r="DY78" i="87" s="1"/>
  <c r="DV49" i="87"/>
  <c r="DY49" i="87" s="1"/>
  <c r="DV183" i="87"/>
  <c r="DV96" i="87"/>
  <c r="DY96" i="87" s="1"/>
  <c r="EA96" i="87" s="1"/>
  <c r="DV67" i="87"/>
  <c r="DY67" i="87" s="1"/>
  <c r="EF141" i="87"/>
  <c r="EI141" i="87" s="1"/>
  <c r="EF54" i="87"/>
  <c r="EI54" i="87" s="1"/>
  <c r="EF112" i="87"/>
  <c r="EI112" i="87" s="1"/>
  <c r="EZ154" i="87"/>
  <c r="FC154" i="87" s="1"/>
  <c r="EZ125" i="87"/>
  <c r="FC125" i="87" s="1"/>
  <c r="GD233" i="87"/>
  <c r="GD58" i="87"/>
  <c r="GG58" i="87" s="1"/>
  <c r="GD116" i="87"/>
  <c r="GG116" i="87" s="1"/>
  <c r="HR125" i="87"/>
  <c r="HU125" i="87" s="1"/>
  <c r="HR67" i="87"/>
  <c r="HU67" i="87" s="1"/>
  <c r="KC16" i="87"/>
  <c r="DY20" i="87"/>
  <c r="IO20" i="87"/>
  <c r="CA25" i="87"/>
  <c r="FM25" i="87"/>
  <c r="IO25" i="87"/>
  <c r="KW25" i="87"/>
  <c r="AC29" i="87"/>
  <c r="CA29" i="87"/>
  <c r="ES29" i="87"/>
  <c r="HU29" i="87"/>
  <c r="KC29" i="87"/>
  <c r="CA34" i="87"/>
  <c r="ES34" i="87"/>
  <c r="GQ34" i="87"/>
  <c r="KC34" i="87"/>
  <c r="S38" i="87"/>
  <c r="U38" i="87" s="1"/>
  <c r="BQ38" i="87"/>
  <c r="BS38" i="87" s="1"/>
  <c r="DY38" i="87"/>
  <c r="EA38" i="87" s="1"/>
  <c r="FW38" i="87"/>
  <c r="FY38" i="87" s="1"/>
  <c r="HU38" i="87"/>
  <c r="HW38" i="87" s="1"/>
  <c r="JI38" i="87"/>
  <c r="JK38" i="87" s="1"/>
  <c r="KW38" i="87"/>
  <c r="KY38" i="87" s="1"/>
  <c r="DL45" i="87"/>
  <c r="DO45" i="87" s="1"/>
  <c r="IL45" i="87"/>
  <c r="EP49" i="87"/>
  <c r="ES49" i="87" s="1"/>
  <c r="DL54" i="87"/>
  <c r="DO54" i="87" s="1"/>
  <c r="DV58" i="87"/>
  <c r="DY58" i="87" s="1"/>
  <c r="BX63" i="87"/>
  <c r="CA63" i="87" s="1"/>
  <c r="BN67" i="87"/>
  <c r="BQ67" i="87" s="1"/>
  <c r="IV67" i="87"/>
  <c r="IY67" i="87" s="1"/>
  <c r="DV74" i="87"/>
  <c r="FJ78" i="87"/>
  <c r="FM78" i="87" s="1"/>
  <c r="GN83" i="87"/>
  <c r="GQ83" i="87" s="1"/>
  <c r="P87" i="87"/>
  <c r="S87" i="87" s="1"/>
  <c r="JF92" i="87"/>
  <c r="JI92" i="87" s="1"/>
  <c r="DL96" i="87"/>
  <c r="DO96" i="87" s="1"/>
  <c r="DQ96" i="87" s="1"/>
  <c r="KJ96" i="87"/>
  <c r="KM96" i="87" s="1"/>
  <c r="KO96" i="87" s="1"/>
  <c r="GX103" i="87"/>
  <c r="IV112" i="87"/>
  <c r="IY112" i="87" s="1"/>
  <c r="IL121" i="87"/>
  <c r="IO121" i="87" s="1"/>
  <c r="FJ125" i="87"/>
  <c r="FM125" i="87" s="1"/>
  <c r="DV132" i="87"/>
  <c r="DB141" i="87"/>
  <c r="DE141" i="87" s="1"/>
  <c r="HR145" i="87"/>
  <c r="HU145" i="87" s="1"/>
  <c r="Z241" i="87"/>
  <c r="P203" i="87"/>
  <c r="S203" i="87" s="1"/>
  <c r="P173" i="87"/>
  <c r="P199" i="87"/>
  <c r="S199" i="87" s="1"/>
  <c r="P228" i="87"/>
  <c r="Z194" i="87"/>
  <c r="AC194" i="87" s="1"/>
  <c r="Z164" i="87"/>
  <c r="Z190" i="87"/>
  <c r="AC190" i="87" s="1"/>
  <c r="Z219" i="87"/>
  <c r="Z203" i="87"/>
  <c r="AC203" i="87" s="1"/>
  <c r="Z173" i="87"/>
  <c r="Z232" i="87"/>
  <c r="Z144" i="87"/>
  <c r="AC144" i="87" s="1"/>
  <c r="Z199" i="87"/>
  <c r="AC199" i="87" s="1"/>
  <c r="Z169" i="87"/>
  <c r="Z140" i="87"/>
  <c r="AC140" i="87" s="1"/>
  <c r="AJ194" i="87"/>
  <c r="AJ223" i="87"/>
  <c r="AJ164" i="87"/>
  <c r="AJ135" i="87"/>
  <c r="AJ190" i="87"/>
  <c r="AJ219" i="87"/>
  <c r="AJ160" i="87"/>
  <c r="AJ131" i="87"/>
  <c r="AJ203" i="87"/>
  <c r="AM203" i="87" s="1"/>
  <c r="AJ232" i="87"/>
  <c r="AJ144" i="87"/>
  <c r="AM144" i="87" s="1"/>
  <c r="AJ199" i="87"/>
  <c r="AM199" i="87" s="1"/>
  <c r="AO199" i="87" s="1"/>
  <c r="AP199" i="87" s="1"/>
  <c r="AJ140" i="87"/>
  <c r="AM140" i="87" s="1"/>
  <c r="AJ212" i="87"/>
  <c r="AM212" i="87" s="1"/>
  <c r="AJ182" i="87"/>
  <c r="AJ124" i="87"/>
  <c r="AM124" i="87" s="1"/>
  <c r="AJ241" i="87"/>
  <c r="AJ153" i="87"/>
  <c r="AM153" i="87" s="1"/>
  <c r="AJ208" i="87"/>
  <c r="AM208" i="87" s="1"/>
  <c r="AJ149" i="87"/>
  <c r="AM149" i="87" s="1"/>
  <c r="AJ178" i="87"/>
  <c r="AJ237" i="87"/>
  <c r="AJ120" i="87"/>
  <c r="AM120" i="87" s="1"/>
  <c r="AT219" i="87"/>
  <c r="AT131" i="87"/>
  <c r="AT212" i="87"/>
  <c r="AW212" i="87" s="1"/>
  <c r="AT241" i="87"/>
  <c r="AT153" i="87"/>
  <c r="AW153" i="87" s="1"/>
  <c r="BD48" i="87"/>
  <c r="BG48" i="87" s="1"/>
  <c r="BD135" i="87"/>
  <c r="BG135" i="87" s="1"/>
  <c r="BD199" i="87"/>
  <c r="BG199" i="87" s="1"/>
  <c r="BI199" i="87" s="1"/>
  <c r="BJ199" i="87" s="1"/>
  <c r="BD228" i="87"/>
  <c r="BD169" i="87"/>
  <c r="BD212" i="87"/>
  <c r="BG212" i="87" s="1"/>
  <c r="BD153" i="87"/>
  <c r="BG153" i="87" s="1"/>
  <c r="BD208" i="87"/>
  <c r="BG208" i="87" s="1"/>
  <c r="BD178" i="87"/>
  <c r="BD149" i="87"/>
  <c r="BG149" i="87" s="1"/>
  <c r="BN194" i="87"/>
  <c r="BQ194" i="87" s="1"/>
  <c r="BN135" i="87"/>
  <c r="BQ135" i="87" s="1"/>
  <c r="BN223" i="87"/>
  <c r="BN164" i="87"/>
  <c r="BN190" i="87"/>
  <c r="BQ190" i="87" s="1"/>
  <c r="BN219" i="87"/>
  <c r="BN160" i="87"/>
  <c r="BN131" i="87"/>
  <c r="BQ131" i="87" s="1"/>
  <c r="BN203" i="87"/>
  <c r="BQ203" i="87" s="1"/>
  <c r="BN173" i="87"/>
  <c r="BN199" i="87"/>
  <c r="BQ199" i="87" s="1"/>
  <c r="BN228" i="87"/>
  <c r="BN169" i="87"/>
  <c r="BN212" i="87"/>
  <c r="BQ212" i="87" s="1"/>
  <c r="BN241" i="87"/>
  <c r="BN208" i="87"/>
  <c r="BQ208" i="87" s="1"/>
  <c r="BN237" i="87"/>
  <c r="BN149" i="87"/>
  <c r="BQ149" i="87" s="1"/>
  <c r="BX194" i="87"/>
  <c r="BX223" i="87"/>
  <c r="BX164" i="87"/>
  <c r="BX203" i="87"/>
  <c r="CA203" i="87" s="1"/>
  <c r="BX173" i="87"/>
  <c r="BX232" i="87"/>
  <c r="BX144" i="87"/>
  <c r="CA144" i="87" s="1"/>
  <c r="BX199" i="87"/>
  <c r="CA199" i="87" s="1"/>
  <c r="BX228" i="87"/>
  <c r="BX169" i="87"/>
  <c r="BX140" i="87"/>
  <c r="CA140" i="87" s="1"/>
  <c r="BX212" i="87"/>
  <c r="CA212" i="87" s="1"/>
  <c r="BX182" i="87"/>
  <c r="BX153" i="87"/>
  <c r="CA153" i="87" s="1"/>
  <c r="BX124" i="87"/>
  <c r="CA124" i="87" s="1"/>
  <c r="BX208" i="87"/>
  <c r="CA208" i="87" s="1"/>
  <c r="BX237" i="87"/>
  <c r="BX149" i="87"/>
  <c r="CA149" i="87" s="1"/>
  <c r="BX120" i="87"/>
  <c r="CA120" i="87" s="1"/>
  <c r="BX178" i="87"/>
  <c r="CH194" i="87"/>
  <c r="CK194" i="87" s="1"/>
  <c r="CH223" i="87"/>
  <c r="CH190" i="87"/>
  <c r="CK190" i="87" s="1"/>
  <c r="CH160" i="87"/>
  <c r="CH203" i="87"/>
  <c r="CK203" i="87" s="1"/>
  <c r="CH173" i="87"/>
  <c r="CH232" i="87"/>
  <c r="CH144" i="87"/>
  <c r="CK144" i="87" s="1"/>
  <c r="CR194" i="87"/>
  <c r="CU194" i="87" s="1"/>
  <c r="CR164" i="87"/>
  <c r="CR199" i="87"/>
  <c r="CR140" i="87"/>
  <c r="DB219" i="87"/>
  <c r="DB131" i="87"/>
  <c r="DE131" i="87" s="1"/>
  <c r="DB203" i="87"/>
  <c r="DE203" i="87" s="1"/>
  <c r="DB232" i="87"/>
  <c r="DB144" i="87"/>
  <c r="DE144" i="87" s="1"/>
  <c r="DB199" i="87"/>
  <c r="DE199" i="87" s="1"/>
  <c r="DB140" i="87"/>
  <c r="DE140" i="87" s="1"/>
  <c r="DB228" i="87"/>
  <c r="DB212" i="87"/>
  <c r="DE212" i="87" s="1"/>
  <c r="DB182" i="87"/>
  <c r="DB153" i="87"/>
  <c r="DE153" i="87" s="1"/>
  <c r="DB241" i="87"/>
  <c r="DB208" i="87"/>
  <c r="DE208" i="87" s="1"/>
  <c r="DB178" i="87"/>
  <c r="DB149" i="87"/>
  <c r="DE149" i="87" s="1"/>
  <c r="DB120" i="87"/>
  <c r="DE120" i="87" s="1"/>
  <c r="DL190" i="87"/>
  <c r="DO190" i="87" s="1"/>
  <c r="DL131" i="87"/>
  <c r="DO131" i="87" s="1"/>
  <c r="DL219" i="87"/>
  <c r="DL212" i="87"/>
  <c r="DL124" i="87"/>
  <c r="DL208" i="87"/>
  <c r="DO208" i="87" s="1"/>
  <c r="DL178" i="87"/>
  <c r="DL149" i="87"/>
  <c r="DO149" i="87" s="1"/>
  <c r="DL237" i="87"/>
  <c r="DV194" i="87"/>
  <c r="DY194" i="87" s="1"/>
  <c r="DV223" i="87"/>
  <c r="DV178" i="87"/>
  <c r="DV149" i="87"/>
  <c r="DY149" i="87" s="1"/>
  <c r="EF135" i="87"/>
  <c r="EI135" i="87" s="1"/>
  <c r="EF164" i="87"/>
  <c r="EF203" i="87"/>
  <c r="EI203" i="87" s="1"/>
  <c r="EF173" i="87"/>
  <c r="EF144" i="87"/>
  <c r="EI144" i="87" s="1"/>
  <c r="EP190" i="87"/>
  <c r="EP131" i="87"/>
  <c r="EP219" i="87"/>
  <c r="EP203" i="87"/>
  <c r="ES203" i="87" s="1"/>
  <c r="EP173" i="87"/>
  <c r="EP144" i="87"/>
  <c r="ES144" i="87" s="1"/>
  <c r="EP232" i="87"/>
  <c r="EP115" i="87"/>
  <c r="ES115" i="87" s="1"/>
  <c r="EP199" i="87"/>
  <c r="ES199" i="87" s="1"/>
  <c r="EP228" i="87"/>
  <c r="EP169" i="87"/>
  <c r="EP140" i="87"/>
  <c r="ES140" i="87" s="1"/>
  <c r="EP212" i="87"/>
  <c r="ES212" i="87" s="1"/>
  <c r="EP182" i="87"/>
  <c r="EP153" i="87"/>
  <c r="ES153" i="87" s="1"/>
  <c r="EP241" i="87"/>
  <c r="EP208" i="87"/>
  <c r="ES208" i="87" s="1"/>
  <c r="EP237" i="87"/>
  <c r="EZ194" i="87"/>
  <c r="FC194" i="87" s="1"/>
  <c r="EZ164" i="87"/>
  <c r="EZ223" i="87"/>
  <c r="EZ135" i="87"/>
  <c r="FC135" i="87" s="1"/>
  <c r="EZ190" i="87"/>
  <c r="EZ219" i="87"/>
  <c r="EZ160" i="87"/>
  <c r="EZ203" i="87"/>
  <c r="FC203" i="87" s="1"/>
  <c r="EZ144" i="87"/>
  <c r="FC144" i="87" s="1"/>
  <c r="EZ232" i="87"/>
  <c r="EZ199" i="87"/>
  <c r="EZ228" i="87"/>
  <c r="EZ169" i="87"/>
  <c r="EZ140" i="87"/>
  <c r="EZ212" i="87"/>
  <c r="FC212" i="87" s="1"/>
  <c r="EZ241" i="87"/>
  <c r="EZ124" i="87"/>
  <c r="FC124" i="87" s="1"/>
  <c r="EZ208" i="87"/>
  <c r="FC208" i="87" s="1"/>
  <c r="EZ237" i="87"/>
  <c r="EZ120" i="87"/>
  <c r="FC120" i="87" s="1"/>
  <c r="EZ178" i="87"/>
  <c r="EZ149" i="87"/>
  <c r="FC149" i="87" s="1"/>
  <c r="FJ212" i="87"/>
  <c r="FM212" i="87" s="1"/>
  <c r="FJ153" i="87"/>
  <c r="FM153" i="87" s="1"/>
  <c r="FJ208" i="87"/>
  <c r="FM208" i="87" s="1"/>
  <c r="FJ149" i="87"/>
  <c r="FM149" i="87" s="1"/>
  <c r="FT203" i="87"/>
  <c r="FW203" i="87" s="1"/>
  <c r="FT115" i="87"/>
  <c r="FW115" i="87" s="1"/>
  <c r="FT199" i="87"/>
  <c r="FT169" i="87"/>
  <c r="FT212" i="87"/>
  <c r="FW212" i="87" s="1"/>
  <c r="FT182" i="87"/>
  <c r="FT208" i="87"/>
  <c r="FW208" i="87" s="1"/>
  <c r="FT178" i="87"/>
  <c r="GD194" i="87"/>
  <c r="GG194" i="87" s="1"/>
  <c r="GD223" i="87"/>
  <c r="GD135" i="87"/>
  <c r="GG135" i="87" s="1"/>
  <c r="GD190" i="87"/>
  <c r="GD160" i="87"/>
  <c r="GD219" i="87"/>
  <c r="GD131" i="87"/>
  <c r="GD203" i="87"/>
  <c r="GG203" i="87" s="1"/>
  <c r="GD232" i="87"/>
  <c r="GD173" i="87"/>
  <c r="GD199" i="87"/>
  <c r="GD140" i="87"/>
  <c r="GD212" i="87"/>
  <c r="GG212" i="87" s="1"/>
  <c r="GD182" i="87"/>
  <c r="GD241" i="87"/>
  <c r="GD178" i="87"/>
  <c r="GD120" i="87"/>
  <c r="GG120" i="87" s="1"/>
  <c r="GN219" i="87"/>
  <c r="GN131" i="87"/>
  <c r="GN203" i="87"/>
  <c r="GQ203" i="87" s="1"/>
  <c r="GN173" i="87"/>
  <c r="GN144" i="87"/>
  <c r="GQ144" i="87" s="1"/>
  <c r="GN115" i="87"/>
  <c r="GQ115" i="87" s="1"/>
  <c r="GN199" i="87"/>
  <c r="GN228" i="87"/>
  <c r="GN169" i="87"/>
  <c r="GN182" i="87"/>
  <c r="GN124" i="87"/>
  <c r="GQ124" i="87" s="1"/>
  <c r="GN153" i="87"/>
  <c r="GQ153" i="87" s="1"/>
  <c r="GN208" i="87"/>
  <c r="GQ208" i="87" s="1"/>
  <c r="GN149" i="87"/>
  <c r="GQ149" i="87" s="1"/>
  <c r="GN237" i="87"/>
  <c r="GX102" i="87"/>
  <c r="HA102" i="87" s="1"/>
  <c r="GX131" i="87"/>
  <c r="HA131" i="87" s="1"/>
  <c r="GX219" i="87"/>
  <c r="GX203" i="87"/>
  <c r="HA203" i="87" s="1"/>
  <c r="GX173" i="87"/>
  <c r="GX199" i="87"/>
  <c r="HA199" i="87" s="1"/>
  <c r="GX228" i="87"/>
  <c r="GX212" i="87"/>
  <c r="HA212" i="87" s="1"/>
  <c r="HC212" i="87" s="1"/>
  <c r="GX153" i="87"/>
  <c r="HA153" i="87" s="1"/>
  <c r="HH86" i="87"/>
  <c r="HK86" i="87" s="1"/>
  <c r="HH144" i="87"/>
  <c r="HK144" i="87" s="1"/>
  <c r="HH212" i="87"/>
  <c r="HK212" i="87" s="1"/>
  <c r="HH241" i="87"/>
  <c r="HH124" i="87"/>
  <c r="HK124" i="87" s="1"/>
  <c r="HH208" i="87"/>
  <c r="HK208" i="87" s="1"/>
  <c r="HH237" i="87"/>
  <c r="HH178" i="87"/>
  <c r="HR164" i="87"/>
  <c r="HR135" i="87"/>
  <c r="HU135" i="87" s="1"/>
  <c r="HR219" i="87"/>
  <c r="HR131" i="87"/>
  <c r="HU131" i="87" s="1"/>
  <c r="HR203" i="87"/>
  <c r="HU203" i="87" s="1"/>
  <c r="HR144" i="87"/>
  <c r="HU144" i="87" s="1"/>
  <c r="HR232" i="87"/>
  <c r="HR199" i="87"/>
  <c r="HU199" i="87" s="1"/>
  <c r="HR228" i="87"/>
  <c r="HR169" i="87"/>
  <c r="HR140" i="87"/>
  <c r="HU140" i="87" s="1"/>
  <c r="HR212" i="87"/>
  <c r="HU212" i="87" s="1"/>
  <c r="HR241" i="87"/>
  <c r="HR182" i="87"/>
  <c r="HR208" i="87"/>
  <c r="HU208" i="87" s="1"/>
  <c r="HR237" i="87"/>
  <c r="HR178" i="87"/>
  <c r="HR149" i="87"/>
  <c r="HU149" i="87" s="1"/>
  <c r="IB194" i="87"/>
  <c r="IE194" i="87" s="1"/>
  <c r="IG194" i="87" s="1"/>
  <c r="IB164" i="87"/>
  <c r="IB135" i="87"/>
  <c r="IE135" i="87" s="1"/>
  <c r="IB223" i="87"/>
  <c r="IB190" i="87"/>
  <c r="IB219" i="87"/>
  <c r="IB131" i="87"/>
  <c r="IB203" i="87"/>
  <c r="IE203" i="87" s="1"/>
  <c r="IB115" i="87"/>
  <c r="IE115" i="87" s="1"/>
  <c r="IB232" i="87"/>
  <c r="IB173" i="87"/>
  <c r="IB199" i="87"/>
  <c r="IB169" i="87"/>
  <c r="IB140" i="87"/>
  <c r="IB212" i="87"/>
  <c r="IE212" i="87" s="1"/>
  <c r="IB124" i="87"/>
  <c r="IE124" i="87" s="1"/>
  <c r="IB182" i="87"/>
  <c r="IB153" i="87"/>
  <c r="IE153" i="87" s="1"/>
  <c r="IB208" i="87"/>
  <c r="IE208" i="87" s="1"/>
  <c r="IB178" i="87"/>
  <c r="IB120" i="87"/>
  <c r="IE120" i="87" s="1"/>
  <c r="IB149" i="87"/>
  <c r="IE149" i="87" s="1"/>
  <c r="IL194" i="87"/>
  <c r="IO194" i="87" s="1"/>
  <c r="IL223" i="87"/>
  <c r="IL212" i="87"/>
  <c r="IO212" i="87" s="1"/>
  <c r="IQ212" i="87" s="1"/>
  <c r="IL153" i="87"/>
  <c r="IO153" i="87" s="1"/>
  <c r="IV77" i="87"/>
  <c r="IY77" i="87" s="1"/>
  <c r="IV135" i="87"/>
  <c r="IY135" i="87" s="1"/>
  <c r="IV219" i="87"/>
  <c r="IV160" i="87"/>
  <c r="IV203" i="87"/>
  <c r="IY203" i="87" s="1"/>
  <c r="IV173" i="87"/>
  <c r="IV144" i="87"/>
  <c r="IY144" i="87" s="1"/>
  <c r="IV199" i="87"/>
  <c r="IY199" i="87" s="1"/>
  <c r="IV140" i="87"/>
  <c r="IY140" i="87" s="1"/>
  <c r="JF194" i="87"/>
  <c r="JI194" i="87" s="1"/>
  <c r="JF223" i="87"/>
  <c r="JF164" i="87"/>
  <c r="JF190" i="87"/>
  <c r="JI190" i="87" s="1"/>
  <c r="JF131" i="87"/>
  <c r="JI131" i="87" s="1"/>
  <c r="JF160" i="87"/>
  <c r="JF203" i="87"/>
  <c r="JI203" i="87" s="1"/>
  <c r="JF232" i="87"/>
  <c r="JF173" i="87"/>
  <c r="JF144" i="87"/>
  <c r="JI144" i="87" s="1"/>
  <c r="JF199" i="87"/>
  <c r="JI199" i="87" s="1"/>
  <c r="JF228" i="87"/>
  <c r="JF212" i="87"/>
  <c r="JI212" i="87" s="1"/>
  <c r="JF182" i="87"/>
  <c r="JF153" i="87"/>
  <c r="JI153" i="87" s="1"/>
  <c r="JF241" i="87"/>
  <c r="JF124" i="87"/>
  <c r="JI124" i="87" s="1"/>
  <c r="JF208" i="87"/>
  <c r="JI208" i="87" s="1"/>
  <c r="JF149" i="87"/>
  <c r="JI149" i="87" s="1"/>
  <c r="JF237" i="87"/>
  <c r="JF178" i="87"/>
  <c r="JP219" i="87"/>
  <c r="JP160" i="87"/>
  <c r="JP203" i="87"/>
  <c r="JS203" i="87" s="1"/>
  <c r="JP144" i="87"/>
  <c r="JS144" i="87" s="1"/>
  <c r="JP115" i="87"/>
  <c r="JS115" i="87" s="1"/>
  <c r="JP199" i="87"/>
  <c r="JP228" i="87"/>
  <c r="JP169" i="87"/>
  <c r="JP140" i="87"/>
  <c r="JZ169" i="87"/>
  <c r="JZ228" i="87"/>
  <c r="KJ190" i="87"/>
  <c r="KM190" i="87" s="1"/>
  <c r="KJ219" i="87"/>
  <c r="KJ199" i="87"/>
  <c r="KM199" i="87" s="1"/>
  <c r="KJ140" i="87"/>
  <c r="KM140" i="87" s="1"/>
  <c r="KT194" i="87"/>
  <c r="KW194" i="87" s="1"/>
  <c r="KT164" i="87"/>
  <c r="KT135" i="87"/>
  <c r="KW135" i="87" s="1"/>
  <c r="KT223" i="87"/>
  <c r="KT190" i="87"/>
  <c r="KW190" i="87" s="1"/>
  <c r="KT219" i="87"/>
  <c r="KT160" i="87"/>
  <c r="KT203" i="87"/>
  <c r="KW203" i="87" s="1"/>
  <c r="KT115" i="87"/>
  <c r="KT232" i="87"/>
  <c r="KT173" i="87"/>
  <c r="KT199" i="87"/>
  <c r="KW199" i="87" s="1"/>
  <c r="KT140" i="87"/>
  <c r="KW140" i="87" s="1"/>
  <c r="KT169" i="87"/>
  <c r="KT212" i="87"/>
  <c r="KW212" i="87" s="1"/>
  <c r="KT124" i="87"/>
  <c r="KW124" i="87" s="1"/>
  <c r="KT241" i="87"/>
  <c r="KT208" i="87"/>
  <c r="KW208" i="87" s="1"/>
  <c r="KT178" i="87"/>
  <c r="KT237" i="87"/>
  <c r="KT120" i="87"/>
  <c r="KW120" i="87" s="1"/>
  <c r="P86" i="87"/>
  <c r="S86" i="87" s="1"/>
  <c r="AJ91" i="87"/>
  <c r="AM91" i="87" s="1"/>
  <c r="CH91" i="87"/>
  <c r="CK91" i="87" s="1"/>
  <c r="Z95" i="87"/>
  <c r="AC95" i="87" s="1"/>
  <c r="DB95" i="87"/>
  <c r="DE95" i="87" s="1"/>
  <c r="AJ102" i="87"/>
  <c r="DB102" i="87"/>
  <c r="DE102" i="87" s="1"/>
  <c r="AJ106" i="87"/>
  <c r="CH106" i="87"/>
  <c r="CK106" i="87" s="1"/>
  <c r="EP106" i="87"/>
  <c r="ES106" i="87" s="1"/>
  <c r="Z111" i="87"/>
  <c r="AC111" i="87" s="1"/>
  <c r="DB111" i="87"/>
  <c r="DE111" i="87" s="1"/>
  <c r="GN111" i="87"/>
  <c r="P115" i="87"/>
  <c r="S115" i="87" s="1"/>
  <c r="BX115" i="87"/>
  <c r="CA115" i="87" s="1"/>
  <c r="EZ115" i="87"/>
  <c r="FC115" i="87" s="1"/>
  <c r="EP120" i="87"/>
  <c r="ES120" i="87" s="1"/>
  <c r="FT124" i="87"/>
  <c r="FW124" i="87" s="1"/>
  <c r="KT131" i="87"/>
  <c r="KW131" i="87" s="1"/>
  <c r="DV140" i="87"/>
  <c r="IB144" i="87"/>
  <c r="IE144" i="87" s="1"/>
  <c r="AT149" i="87"/>
  <c r="AW149" i="87" s="1"/>
  <c r="KT149" i="87"/>
  <c r="KW149" i="87" s="1"/>
  <c r="KT153" i="87"/>
  <c r="KW153" i="87" s="1"/>
  <c r="KJ160" i="87"/>
  <c r="IV164" i="87"/>
  <c r="JF169" i="87"/>
  <c r="AJ173" i="87"/>
  <c r="JP173" i="87"/>
  <c r="BN178" i="87"/>
  <c r="HH182" i="87"/>
  <c r="JF219" i="87"/>
  <c r="JP223" i="87"/>
  <c r="GD228" i="87"/>
  <c r="EF232" i="87"/>
  <c r="IB237" i="87"/>
  <c r="FJ241" i="87"/>
  <c r="P82" i="87"/>
  <c r="S82" i="87" s="1"/>
  <c r="Z86" i="87"/>
  <c r="AC86" i="87" s="1"/>
  <c r="AT91" i="87"/>
  <c r="AW91" i="87" s="1"/>
  <c r="AJ95" i="87"/>
  <c r="AM95" i="87" s="1"/>
  <c r="DL95" i="87"/>
  <c r="BN102" i="87"/>
  <c r="BQ102" i="87" s="1"/>
  <c r="EZ102" i="87"/>
  <c r="BD106" i="87"/>
  <c r="BG106" i="87" s="1"/>
  <c r="DB106" i="87"/>
  <c r="DE106" i="87" s="1"/>
  <c r="EZ106" i="87"/>
  <c r="FC106" i="87" s="1"/>
  <c r="AJ111" i="87"/>
  <c r="AM111" i="87" s="1"/>
  <c r="EP111" i="87"/>
  <c r="ES111" i="87" s="1"/>
  <c r="HR111" i="87"/>
  <c r="HU111" i="87" s="1"/>
  <c r="Z115" i="87"/>
  <c r="AC115" i="87" s="1"/>
  <c r="DB115" i="87"/>
  <c r="DE115" i="87" s="1"/>
  <c r="GD115" i="87"/>
  <c r="GG115" i="87" s="1"/>
  <c r="FT120" i="87"/>
  <c r="FW120" i="87" s="1"/>
  <c r="BN124" i="87"/>
  <c r="BQ124" i="87" s="1"/>
  <c r="GX124" i="87"/>
  <c r="HA124" i="87" s="1"/>
  <c r="BX131" i="87"/>
  <c r="CA131" i="87" s="1"/>
  <c r="BX135" i="87"/>
  <c r="CA135" i="87" s="1"/>
  <c r="GN140" i="87"/>
  <c r="BN144" i="87"/>
  <c r="BQ144" i="87" s="1"/>
  <c r="KT144" i="87"/>
  <c r="KW144" i="87" s="1"/>
  <c r="CH149" i="87"/>
  <c r="CK149" i="87" s="1"/>
  <c r="BN153" i="87"/>
  <c r="BQ153" i="87" s="1"/>
  <c r="AT164" i="87"/>
  <c r="AJ169" i="87"/>
  <c r="DB173" i="87"/>
  <c r="EP178" i="87"/>
  <c r="KT182" i="87"/>
  <c r="AT223" i="87"/>
  <c r="IB228" i="87"/>
  <c r="GN232" i="87"/>
  <c r="Z237" i="87"/>
  <c r="IB241" i="87"/>
  <c r="P230" i="87"/>
  <c r="KM25" i="87"/>
  <c r="KM37" i="87"/>
  <c r="KJ48" i="87"/>
  <c r="KM48" i="87" s="1"/>
  <c r="KJ86" i="87"/>
  <c r="KM86" i="87" s="1"/>
  <c r="KJ103" i="87"/>
  <c r="KJ111" i="87"/>
  <c r="KM111" i="87" s="1"/>
  <c r="KJ237" i="87"/>
  <c r="KJ54" i="87"/>
  <c r="KM54" i="87" s="1"/>
  <c r="KJ63" i="87"/>
  <c r="KM63" i="87" s="1"/>
  <c r="KJ58" i="87"/>
  <c r="KM58" i="87" s="1"/>
  <c r="KJ77" i="87"/>
  <c r="KM77" i="87" s="1"/>
  <c r="KJ87" i="87"/>
  <c r="KM87" i="87" s="1"/>
  <c r="KJ92" i="87"/>
  <c r="KM92" i="87" s="1"/>
  <c r="KJ102" i="87"/>
  <c r="KM102" i="87" s="1"/>
  <c r="KJ116" i="87"/>
  <c r="KM116" i="87" s="1"/>
  <c r="KJ121" i="87"/>
  <c r="KM121" i="87" s="1"/>
  <c r="KJ145" i="87"/>
  <c r="KM145" i="87" s="1"/>
  <c r="JZ95" i="87"/>
  <c r="KC95" i="87" s="1"/>
  <c r="JZ120" i="87"/>
  <c r="KC120" i="87" s="1"/>
  <c r="JZ124" i="87"/>
  <c r="KC124" i="87" s="1"/>
  <c r="JZ241" i="87"/>
  <c r="JZ65" i="87"/>
  <c r="KC65" i="87" s="1"/>
  <c r="JZ73" i="87"/>
  <c r="KC73" i="87" s="1"/>
  <c r="JZ77" i="87"/>
  <c r="KC77" i="87" s="1"/>
  <c r="JZ81" i="87"/>
  <c r="KC81" i="87" s="1"/>
  <c r="JZ110" i="87"/>
  <c r="KC110" i="87" s="1"/>
  <c r="JZ119" i="87"/>
  <c r="KC119" i="87" s="1"/>
  <c r="JZ164" i="87"/>
  <c r="JZ227" i="87"/>
  <c r="JZ231" i="87"/>
  <c r="KC37" i="87"/>
  <c r="JZ44" i="87"/>
  <c r="KC44" i="87" s="1"/>
  <c r="KC27" i="87"/>
  <c r="JZ52" i="87"/>
  <c r="KC52" i="87" s="1"/>
  <c r="JZ61" i="87"/>
  <c r="KC61" i="87" s="1"/>
  <c r="JZ64" i="87"/>
  <c r="KC64" i="87" s="1"/>
  <c r="JZ75" i="87"/>
  <c r="KC75" i="87" s="1"/>
  <c r="JZ94" i="87"/>
  <c r="KC94" i="87" s="1"/>
  <c r="JZ162" i="87"/>
  <c r="JZ168" i="87"/>
  <c r="JZ221" i="87"/>
  <c r="JP56" i="87"/>
  <c r="JP85" i="87"/>
  <c r="JP119" i="87"/>
  <c r="JS119" i="87" s="1"/>
  <c r="JP218" i="87"/>
  <c r="JS32" i="87"/>
  <c r="JP52" i="87"/>
  <c r="JS52" i="87" s="1"/>
  <c r="JP55" i="87"/>
  <c r="JP60" i="87"/>
  <c r="JP61" i="87"/>
  <c r="JS61" i="87" s="1"/>
  <c r="JP75" i="87"/>
  <c r="JS75" i="87" s="1"/>
  <c r="JP81" i="87"/>
  <c r="JS81" i="87" s="1"/>
  <c r="JP84" i="87"/>
  <c r="JP105" i="87"/>
  <c r="JP109" i="87"/>
  <c r="JP130" i="87"/>
  <c r="JS130" i="87" s="1"/>
  <c r="JP142" i="87"/>
  <c r="JP172" i="87"/>
  <c r="JP177" i="87"/>
  <c r="JP180" i="87"/>
  <c r="JP221" i="87"/>
  <c r="JP222" i="87"/>
  <c r="JP226" i="87"/>
  <c r="JP43" i="87"/>
  <c r="JS43" i="87" s="1"/>
  <c r="JP101" i="87"/>
  <c r="JS101" i="87" s="1"/>
  <c r="JP123" i="87"/>
  <c r="JP46" i="87"/>
  <c r="JS46" i="87" s="1"/>
  <c r="JP65" i="87"/>
  <c r="JP90" i="87"/>
  <c r="JS90" i="87" s="1"/>
  <c r="JP138" i="87"/>
  <c r="JP158" i="87"/>
  <c r="JP171" i="87"/>
  <c r="JP230" i="87"/>
  <c r="JF55" i="87"/>
  <c r="JF75" i="87"/>
  <c r="JI75" i="87" s="1"/>
  <c r="JF80" i="87"/>
  <c r="JF84" i="87"/>
  <c r="JF167" i="87"/>
  <c r="JF180" i="87"/>
  <c r="JF235" i="87"/>
  <c r="JI34" i="87"/>
  <c r="JI35" i="87"/>
  <c r="JF42" i="87"/>
  <c r="JF45" i="87"/>
  <c r="JF46" i="87"/>
  <c r="JI46" i="87" s="1"/>
  <c r="JF51" i="87"/>
  <c r="JF60" i="87"/>
  <c r="JF74" i="87"/>
  <c r="JF78" i="87"/>
  <c r="JI78" i="87" s="1"/>
  <c r="JF87" i="87"/>
  <c r="JI87" i="87" s="1"/>
  <c r="JF93" i="87"/>
  <c r="JI93" i="87" s="1"/>
  <c r="JF100" i="87"/>
  <c r="JF113" i="87"/>
  <c r="JF118" i="87"/>
  <c r="JF133" i="87"/>
  <c r="JI133" i="87" s="1"/>
  <c r="JF138" i="87"/>
  <c r="JF142" i="87"/>
  <c r="JF147" i="87"/>
  <c r="JF151" i="87"/>
  <c r="JI151" i="87" s="1"/>
  <c r="JF170" i="87"/>
  <c r="JF221" i="87"/>
  <c r="JF229" i="87"/>
  <c r="JF230" i="87"/>
  <c r="JF89" i="87"/>
  <c r="JF104" i="87"/>
  <c r="JF129" i="87"/>
  <c r="JF176" i="87"/>
  <c r="JF239" i="87"/>
  <c r="JI17" i="87"/>
  <c r="JI20" i="87"/>
  <c r="JF49" i="87"/>
  <c r="JI49" i="87" s="1"/>
  <c r="JF54" i="87"/>
  <c r="JI54" i="87" s="1"/>
  <c r="JF83" i="87"/>
  <c r="JI83" i="87" s="1"/>
  <c r="JF109" i="87"/>
  <c r="JF116" i="87"/>
  <c r="JI116" i="87" s="1"/>
  <c r="JF162" i="87"/>
  <c r="JF226" i="87"/>
  <c r="IV107" i="87"/>
  <c r="IY107" i="87" s="1"/>
  <c r="IY25" i="87"/>
  <c r="IY34" i="87"/>
  <c r="IV83" i="87"/>
  <c r="IY83" i="87" s="1"/>
  <c r="IV87" i="87"/>
  <c r="IY87" i="87" s="1"/>
  <c r="IV103" i="87"/>
  <c r="IV150" i="87"/>
  <c r="IY150" i="87" s="1"/>
  <c r="IY29" i="87"/>
  <c r="IV45" i="87"/>
  <c r="IV58" i="87"/>
  <c r="IY58" i="87" s="1"/>
  <c r="IV63" i="87"/>
  <c r="IY63" i="87" s="1"/>
  <c r="IV111" i="87"/>
  <c r="IY111" i="87" s="1"/>
  <c r="IV116" i="87"/>
  <c r="IY116" i="87" s="1"/>
  <c r="IV136" i="87"/>
  <c r="IY136" i="87" s="1"/>
  <c r="IL91" i="87"/>
  <c r="IO91" i="87" s="1"/>
  <c r="IL111" i="87"/>
  <c r="IO111" i="87" s="1"/>
  <c r="IL131" i="87"/>
  <c r="IO131" i="87" s="1"/>
  <c r="IL135" i="87"/>
  <c r="IO135" i="87" s="1"/>
  <c r="IL140" i="87"/>
  <c r="IO140" i="87" s="1"/>
  <c r="IL164" i="87"/>
  <c r="IL44" i="87"/>
  <c r="IO44" i="87" s="1"/>
  <c r="IL57" i="87"/>
  <c r="IO57" i="87" s="1"/>
  <c r="IL62" i="87"/>
  <c r="IO62" i="87" s="1"/>
  <c r="IL82" i="87"/>
  <c r="IO82" i="87" s="1"/>
  <c r="IL95" i="87"/>
  <c r="IO95" i="87" s="1"/>
  <c r="IL105" i="87"/>
  <c r="IO105" i="87" s="1"/>
  <c r="IL110" i="87"/>
  <c r="IO110" i="87" s="1"/>
  <c r="IL115" i="87"/>
  <c r="IO115" i="87" s="1"/>
  <c r="IL120" i="87"/>
  <c r="IO120" i="87" s="1"/>
  <c r="IL124" i="87"/>
  <c r="IO124" i="87" s="1"/>
  <c r="IL144" i="87"/>
  <c r="IO144" i="87" s="1"/>
  <c r="IL148" i="87"/>
  <c r="IO148" i="87" s="1"/>
  <c r="IL149" i="87"/>
  <c r="IO149" i="87" s="1"/>
  <c r="IL160" i="87"/>
  <c r="IL182" i="87"/>
  <c r="IL228" i="87"/>
  <c r="IL236" i="87"/>
  <c r="IL240" i="87"/>
  <c r="IO24" i="87"/>
  <c r="IO37" i="87"/>
  <c r="IL73" i="87"/>
  <c r="IO73" i="87" s="1"/>
  <c r="IL106" i="87"/>
  <c r="IO106" i="87" s="1"/>
  <c r="IL169" i="87"/>
  <c r="IL219" i="87"/>
  <c r="IL232" i="87"/>
  <c r="IO15" i="87"/>
  <c r="IO19" i="87"/>
  <c r="IO28" i="87"/>
  <c r="IL43" i="87"/>
  <c r="IO43" i="87" s="1"/>
  <c r="IL52" i="87"/>
  <c r="IO52" i="87" s="1"/>
  <c r="IL76" i="87"/>
  <c r="IO76" i="87" s="1"/>
  <c r="IL77" i="87"/>
  <c r="IO77" i="87" s="1"/>
  <c r="IL86" i="87"/>
  <c r="IO86" i="87" s="1"/>
  <c r="IL102" i="87"/>
  <c r="IO102" i="87" s="1"/>
  <c r="IL134" i="87"/>
  <c r="IO134" i="87" s="1"/>
  <c r="IL173" i="87"/>
  <c r="IL237" i="87"/>
  <c r="IL241" i="87"/>
  <c r="IB65" i="87"/>
  <c r="IE65" i="87" s="1"/>
  <c r="IB94" i="87"/>
  <c r="IE94" i="87" s="1"/>
  <c r="IB42" i="87"/>
  <c r="IB43" i="87"/>
  <c r="IE43" i="87" s="1"/>
  <c r="IB72" i="87"/>
  <c r="IE72" i="87" s="1"/>
  <c r="IB80" i="87"/>
  <c r="IB84" i="87"/>
  <c r="IB89" i="87"/>
  <c r="IB90" i="87"/>
  <c r="IE90" i="87" s="1"/>
  <c r="IB118" i="87"/>
  <c r="IB122" i="87"/>
  <c r="IB158" i="87"/>
  <c r="IB171" i="87"/>
  <c r="IB180" i="87"/>
  <c r="IB81" i="87"/>
  <c r="IE81" i="87" s="1"/>
  <c r="IB119" i="87"/>
  <c r="IE119" i="87" s="1"/>
  <c r="IE17" i="87"/>
  <c r="IB75" i="87"/>
  <c r="IE75" i="87" s="1"/>
  <c r="IB105" i="87"/>
  <c r="IB109" i="87"/>
  <c r="IB113" i="87"/>
  <c r="IB129" i="87"/>
  <c r="IB138" i="87"/>
  <c r="IB172" i="87"/>
  <c r="IB217" i="87"/>
  <c r="IB221" i="87"/>
  <c r="HU17" i="87"/>
  <c r="HR51" i="87"/>
  <c r="HR60" i="87"/>
  <c r="HR71" i="87"/>
  <c r="HR84" i="87"/>
  <c r="HR113" i="87"/>
  <c r="HR118" i="87"/>
  <c r="HR133" i="87"/>
  <c r="HU133" i="87" s="1"/>
  <c r="HR138" i="87"/>
  <c r="HR147" i="87"/>
  <c r="HR151" i="87"/>
  <c r="HR171" i="87"/>
  <c r="HR235" i="87"/>
  <c r="HR58" i="87"/>
  <c r="HU58" i="87" s="1"/>
  <c r="HR64" i="87"/>
  <c r="HR89" i="87"/>
  <c r="HR93" i="87"/>
  <c r="HR122" i="87"/>
  <c r="HR167" i="87"/>
  <c r="HR180" i="87"/>
  <c r="HR55" i="87"/>
  <c r="HR142" i="87"/>
  <c r="HR239" i="87"/>
  <c r="HK37" i="87"/>
  <c r="HH66" i="87"/>
  <c r="HK66" i="87" s="1"/>
  <c r="HH111" i="87"/>
  <c r="HH116" i="87"/>
  <c r="HK116" i="87" s="1"/>
  <c r="HH120" i="87"/>
  <c r="HK120" i="87" s="1"/>
  <c r="HH140" i="87"/>
  <c r="HH149" i="87"/>
  <c r="HK149" i="87" s="1"/>
  <c r="HH153" i="87"/>
  <c r="HK153" i="87" s="1"/>
  <c r="HH164" i="87"/>
  <c r="HH228" i="87"/>
  <c r="HH58" i="87"/>
  <c r="HK58" i="87" s="1"/>
  <c r="HK28" i="87"/>
  <c r="HK29" i="87"/>
  <c r="HK34" i="87"/>
  <c r="HH44" i="87"/>
  <c r="HH45" i="87"/>
  <c r="HH63" i="87"/>
  <c r="HK63" i="87" s="1"/>
  <c r="HH87" i="87"/>
  <c r="HK87" i="87" s="1"/>
  <c r="HH92" i="87"/>
  <c r="HK92" i="87" s="1"/>
  <c r="HH102" i="87"/>
  <c r="HH106" i="87"/>
  <c r="HK106" i="87" s="1"/>
  <c r="HH107" i="87"/>
  <c r="HK107" i="87" s="1"/>
  <c r="HH121" i="87"/>
  <c r="HK121" i="87" s="1"/>
  <c r="HH135" i="87"/>
  <c r="HK135" i="87" s="1"/>
  <c r="HH160" i="87"/>
  <c r="HH219" i="87"/>
  <c r="HH223" i="87"/>
  <c r="GX120" i="87"/>
  <c r="HA120" i="87" s="1"/>
  <c r="GX232" i="87"/>
  <c r="GX237" i="87"/>
  <c r="HA23" i="87"/>
  <c r="GX48" i="87"/>
  <c r="HA48" i="87" s="1"/>
  <c r="GX66" i="87"/>
  <c r="HA66" i="87" s="1"/>
  <c r="GX82" i="87"/>
  <c r="HA82" i="87" s="1"/>
  <c r="GX91" i="87"/>
  <c r="HA91" i="87" s="1"/>
  <c r="GX106" i="87"/>
  <c r="HA106" i="87" s="1"/>
  <c r="GX111" i="87"/>
  <c r="HA111" i="87" s="1"/>
  <c r="GX119" i="87"/>
  <c r="HA119" i="87" s="1"/>
  <c r="GX144" i="87"/>
  <c r="HA144" i="87" s="1"/>
  <c r="GX181" i="87"/>
  <c r="GX182" i="87"/>
  <c r="GX236" i="87"/>
  <c r="HA37" i="87"/>
  <c r="GX53" i="87"/>
  <c r="HA53" i="87" s="1"/>
  <c r="GX223" i="87"/>
  <c r="HA15" i="87"/>
  <c r="HA24" i="87"/>
  <c r="HA28" i="87"/>
  <c r="HA32" i="87"/>
  <c r="HA33" i="87"/>
  <c r="GX44" i="87"/>
  <c r="HA44" i="87" s="1"/>
  <c r="GX62" i="87"/>
  <c r="HA62" i="87" s="1"/>
  <c r="GX76" i="87"/>
  <c r="GX86" i="87"/>
  <c r="HA86" i="87" s="1"/>
  <c r="GX95" i="87"/>
  <c r="HA95" i="87" s="1"/>
  <c r="GX115" i="87"/>
  <c r="HA115" i="87" s="1"/>
  <c r="GX139" i="87"/>
  <c r="HA139" i="87" s="1"/>
  <c r="GX140" i="87"/>
  <c r="HA140" i="87" s="1"/>
  <c r="GX159" i="87"/>
  <c r="GX160" i="87"/>
  <c r="GX163" i="87"/>
  <c r="GX168" i="87"/>
  <c r="GX169" i="87"/>
  <c r="GX241" i="87"/>
  <c r="GN43" i="87"/>
  <c r="GQ43" i="87" s="1"/>
  <c r="GN51" i="87"/>
  <c r="GN55" i="87"/>
  <c r="GN60" i="87"/>
  <c r="GN104" i="87"/>
  <c r="GQ104" i="87" s="1"/>
  <c r="GN113" i="87"/>
  <c r="GN114" i="87"/>
  <c r="GN142" i="87"/>
  <c r="GN171" i="87"/>
  <c r="GN172" i="87"/>
  <c r="GN177" i="87"/>
  <c r="GQ17" i="87"/>
  <c r="GN56" i="87"/>
  <c r="GN80" i="87"/>
  <c r="GN81" i="87"/>
  <c r="GQ81" i="87" s="1"/>
  <c r="GN84" i="87"/>
  <c r="GN109" i="87"/>
  <c r="GN119" i="87"/>
  <c r="GQ119" i="87" s="1"/>
  <c r="GN230" i="87"/>
  <c r="GD46" i="87"/>
  <c r="GG46" i="87" s="1"/>
  <c r="GD84" i="87"/>
  <c r="GD109" i="87"/>
  <c r="GG20" i="87"/>
  <c r="GG29" i="87"/>
  <c r="GG35" i="87"/>
  <c r="GD42" i="87"/>
  <c r="GD54" i="87"/>
  <c r="GG54" i="87" s="1"/>
  <c r="GD87" i="87"/>
  <c r="GG87" i="87" s="1"/>
  <c r="GD103" i="87"/>
  <c r="GD112" i="87"/>
  <c r="GG112" i="87" s="1"/>
  <c r="GD113" i="87"/>
  <c r="GD142" i="87"/>
  <c r="GD221" i="87"/>
  <c r="GD133" i="87"/>
  <c r="GG133" i="87" s="1"/>
  <c r="GD45" i="87"/>
  <c r="GD51" i="87"/>
  <c r="GD74" i="87"/>
  <c r="GD75" i="87"/>
  <c r="GG75" i="87" s="1"/>
  <c r="GD78" i="87"/>
  <c r="GG78" i="87" s="1"/>
  <c r="GD104" i="87"/>
  <c r="GG104" i="87" s="1"/>
  <c r="GI104" i="87" s="1"/>
  <c r="GD138" i="87"/>
  <c r="GD171" i="87"/>
  <c r="GD226" i="87"/>
  <c r="GD230" i="87"/>
  <c r="FW29" i="87"/>
  <c r="FT45" i="87"/>
  <c r="FT87" i="87"/>
  <c r="FW87" i="87" s="1"/>
  <c r="FT107" i="87"/>
  <c r="FW107" i="87" s="1"/>
  <c r="FT174" i="87"/>
  <c r="FT53" i="87"/>
  <c r="FT54" i="87"/>
  <c r="FW54" i="87" s="1"/>
  <c r="FT57" i="87"/>
  <c r="FW57" i="87" s="1"/>
  <c r="FT91" i="87"/>
  <c r="FW91" i="87" s="1"/>
  <c r="FT111" i="87"/>
  <c r="FT144" i="87"/>
  <c r="FW144" i="87" s="1"/>
  <c r="FT153" i="87"/>
  <c r="FW153" i="87" s="1"/>
  <c r="FT164" i="87"/>
  <c r="FT237" i="87"/>
  <c r="FT241" i="87"/>
  <c r="FW34" i="87"/>
  <c r="FW28" i="87"/>
  <c r="FT44" i="87"/>
  <c r="FT58" i="87"/>
  <c r="FW58" i="87" s="1"/>
  <c r="FT63" i="87"/>
  <c r="FW63" i="87" s="1"/>
  <c r="FT74" i="87"/>
  <c r="FT82" i="87"/>
  <c r="FT83" i="87"/>
  <c r="FW83" i="87" s="1"/>
  <c r="FT103" i="87"/>
  <c r="FT106" i="87"/>
  <c r="FW106" i="87" s="1"/>
  <c r="FT121" i="87"/>
  <c r="FW121" i="87" s="1"/>
  <c r="FT135" i="87"/>
  <c r="FW135" i="87" s="1"/>
  <c r="FT228" i="87"/>
  <c r="FT232" i="87"/>
  <c r="FM19" i="87"/>
  <c r="FJ48" i="87"/>
  <c r="FM48" i="87" s="1"/>
  <c r="FJ53" i="87"/>
  <c r="FM53" i="87" s="1"/>
  <c r="FJ66" i="87"/>
  <c r="FM66" i="87" s="1"/>
  <c r="FJ73" i="87"/>
  <c r="FM73" i="87" s="1"/>
  <c r="FJ140" i="87"/>
  <c r="FM140" i="87" s="1"/>
  <c r="FJ160" i="87"/>
  <c r="FM32" i="87"/>
  <c r="FJ43" i="87"/>
  <c r="FM43" i="87" s="1"/>
  <c r="FJ44" i="87"/>
  <c r="FJ47" i="87"/>
  <c r="FJ57" i="87"/>
  <c r="FM57" i="87" s="1"/>
  <c r="FJ62" i="87"/>
  <c r="FM62" i="87" s="1"/>
  <c r="FJ65" i="87"/>
  <c r="FM65" i="87" s="1"/>
  <c r="FJ95" i="87"/>
  <c r="FM95" i="87" s="1"/>
  <c r="FJ105" i="87"/>
  <c r="FJ119" i="87"/>
  <c r="FM119" i="87" s="1"/>
  <c r="FJ123" i="87"/>
  <c r="FM123" i="87" s="1"/>
  <c r="FJ135" i="87"/>
  <c r="FM135" i="87" s="1"/>
  <c r="FJ182" i="87"/>
  <c r="FJ219" i="87"/>
  <c r="FJ227" i="87"/>
  <c r="FJ102" i="87"/>
  <c r="FM102" i="87" s="1"/>
  <c r="FJ111" i="87"/>
  <c r="FM111" i="87" s="1"/>
  <c r="FJ124" i="87"/>
  <c r="FM124" i="87" s="1"/>
  <c r="FM14" i="87"/>
  <c r="FM23" i="87"/>
  <c r="FM37" i="87"/>
  <c r="FJ52" i="87"/>
  <c r="FM52" i="87" s="1"/>
  <c r="FJ77" i="87"/>
  <c r="FM77" i="87" s="1"/>
  <c r="FJ85" i="87"/>
  <c r="FM85" i="87" s="1"/>
  <c r="FJ110" i="87"/>
  <c r="FM110" i="87" s="1"/>
  <c r="FJ120" i="87"/>
  <c r="FM120" i="87" s="1"/>
  <c r="FJ131" i="87"/>
  <c r="FM131" i="87" s="1"/>
  <c r="FJ164" i="87"/>
  <c r="FJ176" i="87"/>
  <c r="FJ178" i="87"/>
  <c r="FJ221" i="87"/>
  <c r="FJ223" i="87"/>
  <c r="FJ235" i="87"/>
  <c r="EZ56" i="87"/>
  <c r="EZ65" i="87"/>
  <c r="EZ110" i="87"/>
  <c r="FC110" i="87" s="1"/>
  <c r="EZ152" i="87"/>
  <c r="FC17" i="87"/>
  <c r="EZ46" i="87"/>
  <c r="FC46" i="87" s="1"/>
  <c r="EZ64" i="87"/>
  <c r="EZ81" i="87"/>
  <c r="FC81" i="87" s="1"/>
  <c r="EZ84" i="87"/>
  <c r="EZ85" i="87"/>
  <c r="EZ113" i="87"/>
  <c r="EZ226" i="87"/>
  <c r="EZ230" i="87"/>
  <c r="FC23" i="87"/>
  <c r="FC32" i="87"/>
  <c r="EZ42" i="87"/>
  <c r="EZ74" i="87"/>
  <c r="EZ109" i="87"/>
  <c r="EZ116" i="87"/>
  <c r="FC116" i="87" s="1"/>
  <c r="EZ123" i="87"/>
  <c r="EZ147" i="87"/>
  <c r="EZ158" i="87"/>
  <c r="EZ162" i="87"/>
  <c r="EZ171" i="87"/>
  <c r="EZ177" i="87"/>
  <c r="EZ221" i="87"/>
  <c r="EP51" i="87"/>
  <c r="EP84" i="87"/>
  <c r="EP89" i="87"/>
  <c r="EP93" i="87"/>
  <c r="EP118" i="87"/>
  <c r="EP176" i="87"/>
  <c r="EP221" i="87"/>
  <c r="EP226" i="87"/>
  <c r="EP58" i="87"/>
  <c r="ES58" i="87" s="1"/>
  <c r="EP60" i="87"/>
  <c r="EP112" i="87"/>
  <c r="ES112" i="87" s="1"/>
  <c r="EP116" i="87"/>
  <c r="ES116" i="87" s="1"/>
  <c r="EP129" i="87"/>
  <c r="EP167" i="87"/>
  <c r="EP171" i="87"/>
  <c r="EP230" i="87"/>
  <c r="EP235" i="87"/>
  <c r="EP239" i="87"/>
  <c r="EP151" i="87"/>
  <c r="EP180" i="87"/>
  <c r="ES17" i="87"/>
  <c r="ES20" i="87"/>
  <c r="ES25" i="87"/>
  <c r="EP71" i="87"/>
  <c r="EP78" i="87"/>
  <c r="ES78" i="87" s="1"/>
  <c r="EP80" i="87"/>
  <c r="EP122" i="87"/>
  <c r="EP147" i="87"/>
  <c r="EI25" i="87"/>
  <c r="EI19" i="87"/>
  <c r="EI28" i="87"/>
  <c r="EF63" i="87"/>
  <c r="EI63" i="87" s="1"/>
  <c r="EF86" i="87"/>
  <c r="EI86" i="87" s="1"/>
  <c r="EF102" i="87"/>
  <c r="EF107" i="87"/>
  <c r="EI107" i="87" s="1"/>
  <c r="EF111" i="87"/>
  <c r="EF132" i="87"/>
  <c r="EF136" i="87"/>
  <c r="EI136" i="87" s="1"/>
  <c r="EF169" i="87"/>
  <c r="EI29" i="87"/>
  <c r="EF145" i="87"/>
  <c r="EI145" i="87" s="1"/>
  <c r="EI34" i="87"/>
  <c r="EF44" i="87"/>
  <c r="EF57" i="87"/>
  <c r="EI57" i="87" s="1"/>
  <c r="EF58" i="87"/>
  <c r="EI58" i="87" s="1"/>
  <c r="EF73" i="87"/>
  <c r="EF87" i="87"/>
  <c r="EI87" i="87" s="1"/>
  <c r="EF140" i="87"/>
  <c r="EF219" i="87"/>
  <c r="EF228" i="87"/>
  <c r="DV164" i="87"/>
  <c r="DV232" i="87"/>
  <c r="DV241" i="87"/>
  <c r="DV43" i="87"/>
  <c r="DY43" i="87" s="1"/>
  <c r="DV47" i="87"/>
  <c r="DY47" i="87" s="1"/>
  <c r="DV81" i="87"/>
  <c r="DY81" i="87" s="1"/>
  <c r="DV95" i="87"/>
  <c r="DY95" i="87" s="1"/>
  <c r="DV101" i="87"/>
  <c r="DY101" i="87" s="1"/>
  <c r="DV159" i="87"/>
  <c r="DV168" i="87"/>
  <c r="DV227" i="87"/>
  <c r="DV231" i="87"/>
  <c r="DV240" i="87"/>
  <c r="DV169" i="87"/>
  <c r="DV173" i="87"/>
  <c r="DV228" i="87"/>
  <c r="DY18" i="87"/>
  <c r="DY32" i="87"/>
  <c r="DV73" i="87"/>
  <c r="DV76" i="87"/>
  <c r="DY76" i="87" s="1"/>
  <c r="DV82" i="87"/>
  <c r="DV115" i="87"/>
  <c r="DY115" i="87" s="1"/>
  <c r="DV123" i="87"/>
  <c r="DY123" i="87" s="1"/>
  <c r="DV134" i="87"/>
  <c r="DY134" i="87" s="1"/>
  <c r="DV144" i="87"/>
  <c r="DY144" i="87" s="1"/>
  <c r="DL47" i="87"/>
  <c r="DO47" i="87" s="1"/>
  <c r="DL90" i="87"/>
  <c r="DO90" i="87" s="1"/>
  <c r="DL218" i="87"/>
  <c r="DO14" i="87"/>
  <c r="DO22" i="87"/>
  <c r="DO23" i="87"/>
  <c r="DO31" i="87"/>
  <c r="DL51" i="87"/>
  <c r="DO51" i="87" s="1"/>
  <c r="DL60" i="87"/>
  <c r="DO60" i="87" s="1"/>
  <c r="DL76" i="87"/>
  <c r="DO76" i="87" s="1"/>
  <c r="DL81" i="87"/>
  <c r="DO81" i="87" s="1"/>
  <c r="DL101" i="87"/>
  <c r="DO101" i="87" s="1"/>
  <c r="DL118" i="87"/>
  <c r="DO118" i="87" s="1"/>
  <c r="DL123" i="87"/>
  <c r="DO123" i="87" s="1"/>
  <c r="DL147" i="87"/>
  <c r="DO147" i="87" s="1"/>
  <c r="DL148" i="87"/>
  <c r="DO148" i="87" s="1"/>
  <c r="DL56" i="87"/>
  <c r="DO56" i="87" s="1"/>
  <c r="DL65" i="87"/>
  <c r="DO65" i="87" s="1"/>
  <c r="DL85" i="87"/>
  <c r="DO85" i="87" s="1"/>
  <c r="DO18" i="87"/>
  <c r="DO27" i="87"/>
  <c r="DO36" i="87"/>
  <c r="DL55" i="87"/>
  <c r="DL64" i="87"/>
  <c r="DO64" i="87" s="1"/>
  <c r="DL104" i="87"/>
  <c r="DO104" i="87" s="1"/>
  <c r="DL109" i="87"/>
  <c r="DO109" i="87" s="1"/>
  <c r="DL122" i="87"/>
  <c r="DO122" i="87" s="1"/>
  <c r="DL172" i="87"/>
  <c r="DL180" i="87"/>
  <c r="DL239" i="87"/>
  <c r="DB93" i="87"/>
  <c r="DB147" i="87"/>
  <c r="DB171" i="87"/>
  <c r="DB226" i="87"/>
  <c r="DB235" i="87"/>
  <c r="DB239" i="87"/>
  <c r="DE17" i="87"/>
  <c r="DB49" i="87"/>
  <c r="DE49" i="87" s="1"/>
  <c r="DB80" i="87"/>
  <c r="DB138" i="87"/>
  <c r="DB162" i="87"/>
  <c r="DB165" i="87"/>
  <c r="DB42" i="87"/>
  <c r="DB118" i="87"/>
  <c r="DB151" i="87"/>
  <c r="DB167" i="87"/>
  <c r="DB180" i="87"/>
  <c r="DB221" i="87"/>
  <c r="DB51" i="87"/>
  <c r="DB63" i="87"/>
  <c r="DE63" i="87" s="1"/>
  <c r="DB64" i="87"/>
  <c r="DB84" i="87"/>
  <c r="DB89" i="87"/>
  <c r="DB103" i="87"/>
  <c r="DB113" i="87"/>
  <c r="DB122" i="87"/>
  <c r="DB142" i="87"/>
  <c r="DB176" i="87"/>
  <c r="CR45" i="87"/>
  <c r="CR63" i="87"/>
  <c r="CU63" i="87" s="1"/>
  <c r="CR87" i="87"/>
  <c r="CU87" i="87" s="1"/>
  <c r="CU25" i="87"/>
  <c r="CU33" i="87"/>
  <c r="CR57" i="87"/>
  <c r="CU57" i="87" s="1"/>
  <c r="CR66" i="87"/>
  <c r="CU66" i="87" s="1"/>
  <c r="CR92" i="87"/>
  <c r="CU92" i="87" s="1"/>
  <c r="CR103" i="87"/>
  <c r="CR106" i="87"/>
  <c r="CU106" i="87" s="1"/>
  <c r="CR107" i="87"/>
  <c r="CU107" i="87" s="1"/>
  <c r="CR223" i="87"/>
  <c r="CR10" i="87"/>
  <c r="CS17" i="87" s="1"/>
  <c r="CT17" i="87" s="1"/>
  <c r="CU29" i="87"/>
  <c r="CR58" i="87"/>
  <c r="CU58" i="87" s="1"/>
  <c r="CR95" i="87"/>
  <c r="CU95" i="87" s="1"/>
  <c r="CR116" i="87"/>
  <c r="CU116" i="87" s="1"/>
  <c r="CR121" i="87"/>
  <c r="CU121" i="87" s="1"/>
  <c r="CR169" i="87"/>
  <c r="CR237" i="87"/>
  <c r="CH73" i="87"/>
  <c r="CK73" i="87" s="1"/>
  <c r="CH178" i="87"/>
  <c r="CH182" i="87"/>
  <c r="CK14" i="87"/>
  <c r="CK24" i="87"/>
  <c r="CK32" i="87"/>
  <c r="CK33" i="87"/>
  <c r="CK37" i="87"/>
  <c r="CH44" i="87"/>
  <c r="CK44" i="87" s="1"/>
  <c r="CH72" i="87"/>
  <c r="CK72" i="87" s="1"/>
  <c r="CH77" i="87"/>
  <c r="CK77" i="87" s="1"/>
  <c r="CH105" i="87"/>
  <c r="CH115" i="87"/>
  <c r="CK115" i="87" s="1"/>
  <c r="CH120" i="87"/>
  <c r="CK120" i="87" s="1"/>
  <c r="CH131" i="87"/>
  <c r="CK131" i="87" s="1"/>
  <c r="CH135" i="87"/>
  <c r="CK135" i="87" s="1"/>
  <c r="CH143" i="87"/>
  <c r="CH153" i="87"/>
  <c r="CK153" i="87" s="1"/>
  <c r="CH163" i="87"/>
  <c r="CH164" i="87"/>
  <c r="CH169" i="87"/>
  <c r="CH86" i="87"/>
  <c r="CK86" i="87" s="1"/>
  <c r="CH102" i="87"/>
  <c r="CK102" i="87" s="1"/>
  <c r="CH124" i="87"/>
  <c r="CK124" i="87" s="1"/>
  <c r="CK15" i="87"/>
  <c r="CK28" i="87"/>
  <c r="CH48" i="87"/>
  <c r="CK48" i="87" s="1"/>
  <c r="CH53" i="87"/>
  <c r="CK53" i="87" s="1"/>
  <c r="CH57" i="87"/>
  <c r="CK57" i="87" s="1"/>
  <c r="CH62" i="87"/>
  <c r="CK62" i="87" s="1"/>
  <c r="CH82" i="87"/>
  <c r="CK82" i="87" s="1"/>
  <c r="CH95" i="87"/>
  <c r="CK95" i="87" s="1"/>
  <c r="CH111" i="87"/>
  <c r="CK111" i="87" s="1"/>
  <c r="CH130" i="87"/>
  <c r="CK130" i="87" s="1"/>
  <c r="CH140" i="87"/>
  <c r="CK140" i="87" s="1"/>
  <c r="CH219" i="87"/>
  <c r="CH228" i="87"/>
  <c r="CH237" i="87"/>
  <c r="CH240" i="87"/>
  <c r="CH241" i="87"/>
  <c r="CA32" i="87"/>
  <c r="BX43" i="87"/>
  <c r="CA43" i="87" s="1"/>
  <c r="BX114" i="87"/>
  <c r="BX52" i="87"/>
  <c r="CA52" i="87" s="1"/>
  <c r="BX55" i="87"/>
  <c r="BX89" i="87"/>
  <c r="BX130" i="87"/>
  <c r="CA130" i="87" s="1"/>
  <c r="BX142" i="87"/>
  <c r="BX171" i="87"/>
  <c r="BX221" i="87"/>
  <c r="BX239" i="87"/>
  <c r="BX110" i="87"/>
  <c r="CA110" i="87" s="1"/>
  <c r="BX123" i="87"/>
  <c r="CA14" i="87"/>
  <c r="BX47" i="87"/>
  <c r="BX60" i="87"/>
  <c r="BX61" i="87"/>
  <c r="CA61" i="87" s="1"/>
  <c r="BX75" i="87"/>
  <c r="CA75" i="87" s="1"/>
  <c r="BX76" i="87"/>
  <c r="BX80" i="87"/>
  <c r="BX84" i="87"/>
  <c r="BX104" i="87"/>
  <c r="CA104" i="87" s="1"/>
  <c r="BX113" i="87"/>
  <c r="BX138" i="87"/>
  <c r="BX151" i="87"/>
  <c r="BX167" i="87"/>
  <c r="BX235" i="87"/>
  <c r="BN46" i="87"/>
  <c r="BQ46" i="87" s="1"/>
  <c r="BN89" i="87"/>
  <c r="BN93" i="87"/>
  <c r="BN133" i="87"/>
  <c r="BQ133" i="87" s="1"/>
  <c r="BN235" i="87"/>
  <c r="BN60" i="87"/>
  <c r="BN78" i="87"/>
  <c r="BQ78" i="87" s="1"/>
  <c r="BN87" i="87"/>
  <c r="BQ87" i="87" s="1"/>
  <c r="BN103" i="87"/>
  <c r="BN112" i="87"/>
  <c r="BQ112" i="87" s="1"/>
  <c r="BN118" i="87"/>
  <c r="BN122" i="87"/>
  <c r="BN132" i="87"/>
  <c r="BN167" i="87"/>
  <c r="BN171" i="87"/>
  <c r="BN176" i="87"/>
  <c r="BN180" i="87"/>
  <c r="BN158" i="87"/>
  <c r="BN221" i="87"/>
  <c r="BN226" i="87"/>
  <c r="BN230" i="87"/>
  <c r="BQ20" i="87"/>
  <c r="BN45" i="87"/>
  <c r="BN49" i="87"/>
  <c r="BQ49" i="87" s="1"/>
  <c r="BN51" i="87"/>
  <c r="BN75" i="87"/>
  <c r="BQ75" i="87" s="1"/>
  <c r="BN109" i="87"/>
  <c r="BN113" i="87"/>
  <c r="BN129" i="87"/>
  <c r="BN147" i="87"/>
  <c r="BN151" i="87"/>
  <c r="BN162" i="87"/>
  <c r="BG25" i="87"/>
  <c r="BD112" i="87"/>
  <c r="BG112" i="87" s="1"/>
  <c r="BD116" i="87"/>
  <c r="BG116" i="87" s="1"/>
  <c r="BG15" i="87"/>
  <c r="BD45" i="87"/>
  <c r="BG45" i="87" s="1"/>
  <c r="BD83" i="87"/>
  <c r="BG83" i="87" s="1"/>
  <c r="BD91" i="87"/>
  <c r="BG91" i="87" s="1"/>
  <c r="BD121" i="87"/>
  <c r="BG121" i="87" s="1"/>
  <c r="BD74" i="87"/>
  <c r="BG74" i="87" s="1"/>
  <c r="BG16" i="87"/>
  <c r="BG33" i="87"/>
  <c r="BG34" i="87"/>
  <c r="BD53" i="87"/>
  <c r="BG53" i="87" s="1"/>
  <c r="BD58" i="87"/>
  <c r="BG58" i="87" s="1"/>
  <c r="BD63" i="87"/>
  <c r="BG63" i="87" s="1"/>
  <c r="BD86" i="87"/>
  <c r="BG86" i="87" s="1"/>
  <c r="BD95" i="87"/>
  <c r="BG95" i="87" s="1"/>
  <c r="BD103" i="87"/>
  <c r="BG103" i="87" s="1"/>
  <c r="BD107" i="87"/>
  <c r="BG107" i="87" s="1"/>
  <c r="BD115" i="87"/>
  <c r="BG115" i="87" s="1"/>
  <c r="BD140" i="87"/>
  <c r="BG140" i="87" s="1"/>
  <c r="BD144" i="87"/>
  <c r="BG144" i="87" s="1"/>
  <c r="BD173" i="87"/>
  <c r="BD182" i="87"/>
  <c r="AT86" i="87"/>
  <c r="AW86" i="87" s="1"/>
  <c r="AT111" i="87"/>
  <c r="AT124" i="87"/>
  <c r="AW124" i="87" s="1"/>
  <c r="AT140" i="87"/>
  <c r="AT182" i="87"/>
  <c r="AT228" i="87"/>
  <c r="AT232" i="87"/>
  <c r="AW37" i="87"/>
  <c r="AT48" i="87"/>
  <c r="AW48" i="87" s="1"/>
  <c r="AT52" i="87"/>
  <c r="AW52" i="87" s="1"/>
  <c r="AT72" i="87"/>
  <c r="AW72" i="87" s="1"/>
  <c r="AT73" i="87"/>
  <c r="AT95" i="87"/>
  <c r="AW95" i="87" s="1"/>
  <c r="AT115" i="87"/>
  <c r="AW115" i="87" s="1"/>
  <c r="AT120" i="87"/>
  <c r="AW120" i="87" s="1"/>
  <c r="AT144" i="87"/>
  <c r="AW144" i="87" s="1"/>
  <c r="AT168" i="87"/>
  <c r="AT173" i="87"/>
  <c r="AT181" i="87"/>
  <c r="AT106" i="87"/>
  <c r="AW106" i="87" s="1"/>
  <c r="AT178" i="87"/>
  <c r="AT47" i="87"/>
  <c r="AT53" i="87"/>
  <c r="AT57" i="87"/>
  <c r="AW57" i="87" s="1"/>
  <c r="AT62" i="87"/>
  <c r="AW62" i="87" s="1"/>
  <c r="AT66" i="87"/>
  <c r="AW66" i="87" s="1"/>
  <c r="AT101" i="87"/>
  <c r="AW101" i="87" s="1"/>
  <c r="AT159" i="87"/>
  <c r="AT169" i="87"/>
  <c r="AT227" i="87"/>
  <c r="AT237" i="87"/>
  <c r="AJ94" i="87"/>
  <c r="AM94" i="87" s="1"/>
  <c r="AJ114" i="87"/>
  <c r="AJ177" i="87"/>
  <c r="AM32" i="87"/>
  <c r="AJ42" i="87"/>
  <c r="AJ43" i="87"/>
  <c r="AJ46" i="87"/>
  <c r="AM46" i="87" s="1"/>
  <c r="AJ65" i="87"/>
  <c r="AM65" i="87" s="1"/>
  <c r="AJ90" i="87"/>
  <c r="AM90" i="87" s="1"/>
  <c r="AJ123" i="87"/>
  <c r="AM123" i="87" s="1"/>
  <c r="AJ147" i="87"/>
  <c r="AJ162" i="87"/>
  <c r="AJ172" i="87"/>
  <c r="AJ239" i="87"/>
  <c r="AJ61" i="87"/>
  <c r="AM61" i="87" s="1"/>
  <c r="AJ55" i="87"/>
  <c r="AJ56" i="87"/>
  <c r="AJ64" i="87"/>
  <c r="AJ76" i="87"/>
  <c r="AJ84" i="87"/>
  <c r="AJ89" i="87"/>
  <c r="AJ105" i="87"/>
  <c r="AJ109" i="87"/>
  <c r="AJ122" i="87"/>
  <c r="AJ133" i="87"/>
  <c r="AM133" i="87" s="1"/>
  <c r="AJ142" i="87"/>
  <c r="AJ151" i="87"/>
  <c r="AJ158" i="87"/>
  <c r="AJ171" i="87"/>
  <c r="AJ176" i="87"/>
  <c r="AJ180" i="87"/>
  <c r="AJ221" i="87"/>
  <c r="AJ226" i="87"/>
  <c r="Z113" i="87"/>
  <c r="Z167" i="87"/>
  <c r="Z171" i="87"/>
  <c r="Z46" i="87"/>
  <c r="Z51" i="87"/>
  <c r="Z78" i="87"/>
  <c r="AC78" i="87" s="1"/>
  <c r="Z92" i="87"/>
  <c r="AC92" i="87" s="1"/>
  <c r="Z104" i="87"/>
  <c r="Z109" i="87"/>
  <c r="Z142" i="87"/>
  <c r="Z230" i="87"/>
  <c r="Z129" i="87"/>
  <c r="AC34" i="87"/>
  <c r="Z80" i="87"/>
  <c r="Z84" i="87"/>
  <c r="Z138" i="87"/>
  <c r="Z160" i="87"/>
  <c r="Z223" i="87"/>
  <c r="Z226" i="87"/>
  <c r="Z228" i="87"/>
  <c r="P58" i="87"/>
  <c r="S58" i="87" s="1"/>
  <c r="P112" i="87"/>
  <c r="S112" i="87" s="1"/>
  <c r="P116" i="87"/>
  <c r="S116" i="87" s="1"/>
  <c r="S25" i="87"/>
  <c r="S28" i="87"/>
  <c r="P103" i="87"/>
  <c r="P232" i="87"/>
  <c r="P54" i="87"/>
  <c r="S54" i="87" s="1"/>
  <c r="S34" i="87"/>
  <c r="P63" i="87"/>
  <c r="S63" i="87" s="1"/>
  <c r="P92" i="87"/>
  <c r="S92" i="87" s="1"/>
  <c r="P107" i="87"/>
  <c r="S107" i="87" s="1"/>
  <c r="P140" i="87"/>
  <c r="S140" i="87" s="1"/>
  <c r="P144" i="87"/>
  <c r="S144" i="87" s="1"/>
  <c r="P169" i="87"/>
  <c r="F193" i="87"/>
  <c r="F199" i="87"/>
  <c r="F203" i="87"/>
  <c r="I203" i="87" s="1"/>
  <c r="F207" i="87"/>
  <c r="I207" i="87" s="1"/>
  <c r="F208" i="87"/>
  <c r="I208" i="87" s="1"/>
  <c r="F212" i="87"/>
  <c r="I212" i="87" s="1"/>
  <c r="Z191" i="87"/>
  <c r="Z220" i="87"/>
  <c r="Z200" i="87"/>
  <c r="AC200" i="87" s="1"/>
  <c r="Z229" i="87"/>
  <c r="AJ121" i="87"/>
  <c r="AM121" i="87" s="1"/>
  <c r="AJ238" i="87"/>
  <c r="AT191" i="87"/>
  <c r="AT220" i="87"/>
  <c r="BN200" i="87"/>
  <c r="BQ200" i="87" s="1"/>
  <c r="BN229" i="87"/>
  <c r="BX136" i="87"/>
  <c r="CA136" i="87" s="1"/>
  <c r="BX224" i="87"/>
  <c r="CH191" i="87"/>
  <c r="CH220" i="87"/>
  <c r="DB145" i="87"/>
  <c r="DE145" i="87" s="1"/>
  <c r="DB233" i="87"/>
  <c r="DB200" i="87"/>
  <c r="DE200" i="87" s="1"/>
  <c r="DB229" i="87"/>
  <c r="DL136" i="87"/>
  <c r="DO136" i="87" s="1"/>
  <c r="DL224" i="87"/>
  <c r="DV191" i="87"/>
  <c r="DV220" i="87"/>
  <c r="DV141" i="87"/>
  <c r="DY141" i="87" s="1"/>
  <c r="DV229" i="87"/>
  <c r="EP191" i="87"/>
  <c r="EP220" i="87"/>
  <c r="EZ78" i="87"/>
  <c r="FC78" i="87" s="1"/>
  <c r="EZ224" i="87"/>
  <c r="GD191" i="87"/>
  <c r="GD220" i="87"/>
  <c r="GD200" i="87"/>
  <c r="GG200" i="87" s="1"/>
  <c r="GD229" i="87"/>
  <c r="GN125" i="87"/>
  <c r="GQ125" i="87" s="1"/>
  <c r="GN242" i="87"/>
  <c r="GX191" i="87"/>
  <c r="GX220" i="87"/>
  <c r="GX145" i="87"/>
  <c r="HA145" i="87" s="1"/>
  <c r="GX233" i="87"/>
  <c r="HR200" i="87"/>
  <c r="HU200" i="87" s="1"/>
  <c r="HR229" i="87"/>
  <c r="HR96" i="87"/>
  <c r="HU96" i="87" s="1"/>
  <c r="HW96" i="87" s="1"/>
  <c r="HR183" i="87"/>
  <c r="IL191" i="87"/>
  <c r="IL220" i="87"/>
  <c r="IL200" i="87"/>
  <c r="IO200" i="87" s="1"/>
  <c r="IL229" i="87"/>
  <c r="JP136" i="87"/>
  <c r="JS136" i="87" s="1"/>
  <c r="JP224" i="87"/>
  <c r="JZ191" i="87"/>
  <c r="KC191" i="87" s="1"/>
  <c r="JZ220" i="87"/>
  <c r="JZ200" i="87"/>
  <c r="KC200" i="87" s="1"/>
  <c r="JZ229" i="87"/>
  <c r="KT191" i="87"/>
  <c r="KT220" i="87"/>
  <c r="KT200" i="87"/>
  <c r="KW200" i="87" s="1"/>
  <c r="KT229" i="87"/>
  <c r="AT132" i="87"/>
  <c r="Z136" i="87"/>
  <c r="AC136" i="87" s="1"/>
  <c r="EZ145" i="87"/>
  <c r="FC145" i="87" s="1"/>
  <c r="AT150" i="87"/>
  <c r="AW150" i="87" s="1"/>
  <c r="FT150" i="87"/>
  <c r="FW150" i="87" s="1"/>
  <c r="AT154" i="87"/>
  <c r="AW154" i="87" s="1"/>
  <c r="DV154" i="87"/>
  <c r="DY154" i="87" s="1"/>
  <c r="BN161" i="87"/>
  <c r="FJ161" i="87"/>
  <c r="JF161" i="87"/>
  <c r="EP165" i="87"/>
  <c r="DB170" i="87"/>
  <c r="GD170" i="87"/>
  <c r="JZ170" i="87"/>
  <c r="BN179" i="87"/>
  <c r="BN183" i="87"/>
  <c r="T205" i="87"/>
  <c r="T193" i="87"/>
  <c r="T189" i="87"/>
  <c r="T199" i="87"/>
  <c r="T190" i="87"/>
  <c r="T198" i="87"/>
  <c r="T195" i="87"/>
  <c r="T191" i="87"/>
  <c r="BH201" i="87"/>
  <c r="BH198" i="87"/>
  <c r="BH195" i="87"/>
  <c r="BH191" i="87"/>
  <c r="BH197" i="87"/>
  <c r="BH194" i="87"/>
  <c r="BH192" i="87"/>
  <c r="BH188" i="87"/>
  <c r="BH205" i="87"/>
  <c r="BH189" i="87"/>
  <c r="FJ220" i="87"/>
  <c r="IB224" i="87"/>
  <c r="T188" i="87"/>
  <c r="BH190" i="87"/>
  <c r="T197" i="87"/>
  <c r="BN121" i="87"/>
  <c r="BQ121" i="87" s="1"/>
  <c r="BN125" i="87"/>
  <c r="BQ125" i="87" s="1"/>
  <c r="DL125" i="87"/>
  <c r="DO125" i="87" s="1"/>
  <c r="DB132" i="87"/>
  <c r="EP132" i="87"/>
  <c r="BD136" i="87"/>
  <c r="BG136" i="87" s="1"/>
  <c r="HH136" i="87"/>
  <c r="HK136" i="87" s="1"/>
  <c r="Z141" i="87"/>
  <c r="AC141" i="87" s="1"/>
  <c r="EZ141" i="87"/>
  <c r="FC141" i="87" s="1"/>
  <c r="JF141" i="87"/>
  <c r="JI141" i="87" s="1"/>
  <c r="AT145" i="87"/>
  <c r="AW145" i="87" s="1"/>
  <c r="GD145" i="87"/>
  <c r="GG145" i="87" s="1"/>
  <c r="JZ145" i="87"/>
  <c r="KC145" i="87" s="1"/>
  <c r="HH150" i="87"/>
  <c r="HK150" i="87" s="1"/>
  <c r="KT150" i="87"/>
  <c r="KW150" i="87" s="1"/>
  <c r="FT154" i="87"/>
  <c r="FW154" i="87" s="1"/>
  <c r="CH161" i="87"/>
  <c r="GD161" i="87"/>
  <c r="JZ161" i="87"/>
  <c r="GD165" i="87"/>
  <c r="DV170" i="87"/>
  <c r="GX170" i="87"/>
  <c r="KT170" i="87"/>
  <c r="IB174" i="87"/>
  <c r="CH179" i="87"/>
  <c r="DB183" i="87"/>
  <c r="DF202" i="87"/>
  <c r="DF189" i="87"/>
  <c r="DF213" i="87"/>
  <c r="DF209" i="87"/>
  <c r="DF203" i="87"/>
  <c r="DF190" i="87"/>
  <c r="DF200" i="87"/>
  <c r="DF193" i="87"/>
  <c r="DF191" i="87"/>
  <c r="ET201" i="87"/>
  <c r="ET213" i="87"/>
  <c r="ET209" i="87"/>
  <c r="ET191" i="87"/>
  <c r="ET205" i="87"/>
  <c r="ET204" i="87"/>
  <c r="ET200" i="87"/>
  <c r="ET192" i="87"/>
  <c r="ET188" i="87"/>
  <c r="ET211" i="87"/>
  <c r="ET207" i="87"/>
  <c r="ET189" i="87"/>
  <c r="GH201" i="87"/>
  <c r="GH200" i="87"/>
  <c r="GH189" i="87"/>
  <c r="GH211" i="87"/>
  <c r="GH207" i="87"/>
  <c r="GH203" i="87"/>
  <c r="GH190" i="87"/>
  <c r="GH202" i="87"/>
  <c r="GH191" i="87"/>
  <c r="HV211" i="87"/>
  <c r="HV207" i="87"/>
  <c r="HV191" i="87"/>
  <c r="HV205" i="87"/>
  <c r="HV204" i="87"/>
  <c r="HV202" i="87"/>
  <c r="HV199" i="87"/>
  <c r="HV188" i="87"/>
  <c r="HV213" i="87"/>
  <c r="HV209" i="87"/>
  <c r="HV189" i="87"/>
  <c r="JJ190" i="87"/>
  <c r="JJ213" i="87"/>
  <c r="JJ209" i="87"/>
  <c r="JJ203" i="87"/>
  <c r="JJ191" i="87"/>
  <c r="JJ205" i="87"/>
  <c r="JJ200" i="87"/>
  <c r="JJ188" i="87"/>
  <c r="JF220" i="87"/>
  <c r="CH229" i="87"/>
  <c r="BN233" i="87"/>
  <c r="EZ242" i="87"/>
  <c r="DF188" i="87"/>
  <c r="ET190" i="87"/>
  <c r="GH192" i="87"/>
  <c r="GI192" i="87" s="1"/>
  <c r="GJ192" i="87" s="1"/>
  <c r="HV200" i="87"/>
  <c r="ET203" i="87"/>
  <c r="JJ204" i="87"/>
  <c r="DF205" i="87"/>
  <c r="GH209" i="87"/>
  <c r="Z132" i="87"/>
  <c r="CH150" i="87"/>
  <c r="CK150" i="87" s="1"/>
  <c r="CH154" i="87"/>
  <c r="CK154" i="87" s="1"/>
  <c r="HH154" i="87"/>
  <c r="HK154" i="87" s="1"/>
  <c r="JZ154" i="87"/>
  <c r="KC154" i="87" s="1"/>
  <c r="DV161" i="87"/>
  <c r="HR161" i="87"/>
  <c r="KT161" i="87"/>
  <c r="BN165" i="87"/>
  <c r="JF165" i="87"/>
  <c r="Z170" i="87"/>
  <c r="EP170" i="87"/>
  <c r="IL170" i="87"/>
  <c r="Z179" i="87"/>
  <c r="FJ229" i="87"/>
  <c r="IB242" i="87"/>
  <c r="GH188" i="87"/>
  <c r="HV190" i="87"/>
  <c r="DF201" i="87"/>
  <c r="HV203" i="87"/>
  <c r="GH205" i="87"/>
  <c r="DF207" i="87"/>
  <c r="GH213" i="87"/>
  <c r="KE190" i="87"/>
  <c r="KF190" i="87" s="1"/>
  <c r="AN188" i="87"/>
  <c r="DZ188" i="87"/>
  <c r="HB188" i="87"/>
  <c r="KD189" i="87"/>
  <c r="CB190" i="87"/>
  <c r="FN190" i="87"/>
  <c r="FO190" i="87" s="1"/>
  <c r="FP190" i="87" s="1"/>
  <c r="IF190" i="87"/>
  <c r="IP191" i="87"/>
  <c r="AN192" i="87"/>
  <c r="DZ192" i="87"/>
  <c r="EA192" i="87" s="1"/>
  <c r="EB192" i="87" s="1"/>
  <c r="IF192" i="87"/>
  <c r="AN194" i="87"/>
  <c r="IF195" i="87"/>
  <c r="AN197" i="87"/>
  <c r="IF198" i="87"/>
  <c r="CB199" i="87"/>
  <c r="KD202" i="87"/>
  <c r="FN203" i="87"/>
  <c r="IP203" i="87"/>
  <c r="DZ204" i="87"/>
  <c r="HB204" i="87"/>
  <c r="KD204" i="87"/>
  <c r="FN205" i="87"/>
  <c r="HB206" i="87"/>
  <c r="DZ208" i="87"/>
  <c r="KD208" i="87"/>
  <c r="HB210" i="87"/>
  <c r="DZ212" i="87"/>
  <c r="KD212" i="87"/>
  <c r="KD188" i="87"/>
  <c r="CB189" i="87"/>
  <c r="FN189" i="87"/>
  <c r="IF189" i="87"/>
  <c r="IP190" i="87"/>
  <c r="IQ190" i="87" s="1"/>
  <c r="IR190" i="87" s="1"/>
  <c r="AN191" i="87"/>
  <c r="DZ191" i="87"/>
  <c r="HB191" i="87"/>
  <c r="DV193" i="87"/>
  <c r="DY193" i="87" s="1"/>
  <c r="AN195" i="87"/>
  <c r="AN198" i="87"/>
  <c r="AN205" i="87"/>
  <c r="IP205" i="87"/>
  <c r="IP206" i="87"/>
  <c r="FN208" i="87"/>
  <c r="IP210" i="87"/>
  <c r="FN212" i="87"/>
  <c r="KE192" i="87"/>
  <c r="KF192" i="87" s="1"/>
  <c r="CB188" i="87"/>
  <c r="FN188" i="87"/>
  <c r="IF188" i="87"/>
  <c r="IP189" i="87"/>
  <c r="AN190" i="87"/>
  <c r="DZ190" i="87"/>
  <c r="HB190" i="87"/>
  <c r="KD191" i="87"/>
  <c r="CB192" i="87"/>
  <c r="FN192" i="87"/>
  <c r="CB194" i="87"/>
  <c r="CB197" i="87"/>
  <c r="KD199" i="87"/>
  <c r="IP202" i="87"/>
  <c r="DZ203" i="87"/>
  <c r="HB203" i="87"/>
  <c r="KD203" i="87"/>
  <c r="DZ205" i="87"/>
  <c r="HB205" i="87"/>
  <c r="DZ206" i="87"/>
  <c r="KD206" i="87"/>
  <c r="HB208" i="87"/>
  <c r="KD210" i="87"/>
  <c r="KM17" i="87"/>
  <c r="KM28" i="87"/>
  <c r="KJ42" i="87"/>
  <c r="KJ55" i="87"/>
  <c r="KJ64" i="87"/>
  <c r="KJ66" i="87"/>
  <c r="KM66" i="87" s="1"/>
  <c r="KJ71" i="87"/>
  <c r="KJ89" i="87"/>
  <c r="KJ91" i="87"/>
  <c r="KM91" i="87" s="1"/>
  <c r="KJ93" i="87"/>
  <c r="KJ95" i="87"/>
  <c r="KM95" i="87" s="1"/>
  <c r="KJ104" i="87"/>
  <c r="KM104" i="87" s="1"/>
  <c r="KJ113" i="87"/>
  <c r="KJ120" i="87"/>
  <c r="KM120" i="87" s="1"/>
  <c r="KJ122" i="87"/>
  <c r="KJ124" i="87"/>
  <c r="KM124" i="87" s="1"/>
  <c r="KJ131" i="87"/>
  <c r="KM131" i="87" s="1"/>
  <c r="KJ135" i="87"/>
  <c r="KM135" i="87" s="1"/>
  <c r="KJ142" i="87"/>
  <c r="KJ149" i="87"/>
  <c r="KM149" i="87" s="1"/>
  <c r="KJ153" i="87"/>
  <c r="KM153" i="87" s="1"/>
  <c r="KJ158" i="87"/>
  <c r="KJ162" i="87"/>
  <c r="KJ164" i="87"/>
  <c r="KJ171" i="87"/>
  <c r="KJ173" i="87"/>
  <c r="KJ178" i="87"/>
  <c r="KJ182" i="87"/>
  <c r="KJ221" i="87"/>
  <c r="KJ223" i="87"/>
  <c r="KJ228" i="87"/>
  <c r="KJ230" i="87"/>
  <c r="KJ232" i="87"/>
  <c r="KJ239" i="87"/>
  <c r="KJ241" i="87"/>
  <c r="JZ201" i="87"/>
  <c r="KC201" i="87" s="1"/>
  <c r="KC15" i="87"/>
  <c r="KC17" i="87"/>
  <c r="KC19" i="87"/>
  <c r="KC28" i="87"/>
  <c r="KC33" i="87"/>
  <c r="KC35" i="87"/>
  <c r="JZ48" i="87"/>
  <c r="KC48" i="87" s="1"/>
  <c r="JZ55" i="87"/>
  <c r="KC55" i="87" s="1"/>
  <c r="JZ62" i="87"/>
  <c r="KC62" i="87" s="1"/>
  <c r="JZ66" i="87"/>
  <c r="JZ82" i="87"/>
  <c r="KC82" i="87" s="1"/>
  <c r="JZ100" i="87"/>
  <c r="JZ102" i="87"/>
  <c r="KC102" i="87" s="1"/>
  <c r="JZ104" i="87"/>
  <c r="KC104" i="87" s="1"/>
  <c r="KE104" i="87" s="1"/>
  <c r="JZ111" i="87"/>
  <c r="KC111" i="87" s="1"/>
  <c r="JZ113" i="87"/>
  <c r="KC113" i="87" s="1"/>
  <c r="JZ118" i="87"/>
  <c r="JZ131" i="87"/>
  <c r="KC131" i="87" s="1"/>
  <c r="JZ133" i="87"/>
  <c r="KC133" i="87" s="1"/>
  <c r="JZ135" i="87"/>
  <c r="KC135" i="87" s="1"/>
  <c r="JZ140" i="87"/>
  <c r="KC140" i="87" s="1"/>
  <c r="JZ142" i="87"/>
  <c r="KC142" i="87" s="1"/>
  <c r="JZ147" i="87"/>
  <c r="JZ149" i="87"/>
  <c r="KC149" i="87" s="1"/>
  <c r="JZ151" i="87"/>
  <c r="KC151" i="87" s="1"/>
  <c r="JZ153" i="87"/>
  <c r="KC153" i="87" s="1"/>
  <c r="JZ160" i="87"/>
  <c r="JZ176" i="87"/>
  <c r="JZ178" i="87"/>
  <c r="JZ180" i="87"/>
  <c r="JZ182" i="87"/>
  <c r="JZ219" i="87"/>
  <c r="JZ223" i="87"/>
  <c r="JZ226" i="87"/>
  <c r="JZ230" i="87"/>
  <c r="JZ237" i="87"/>
  <c r="IY17" i="87"/>
  <c r="IY28" i="87"/>
  <c r="IV53" i="87"/>
  <c r="IY53" i="87" s="1"/>
  <c r="IV57" i="87"/>
  <c r="IY57" i="87" s="1"/>
  <c r="IV60" i="87"/>
  <c r="IV82" i="87"/>
  <c r="IY82" i="87" s="1"/>
  <c r="IV86" i="87"/>
  <c r="IY86" i="87" s="1"/>
  <c r="IV113" i="87"/>
  <c r="IV115" i="87"/>
  <c r="IY115" i="87" s="1"/>
  <c r="IV120" i="87"/>
  <c r="IY120" i="87" s="1"/>
  <c r="IV131" i="87"/>
  <c r="IY131" i="87" s="1"/>
  <c r="IV133" i="87"/>
  <c r="IY133" i="87" s="1"/>
  <c r="IV169" i="87"/>
  <c r="IV171" i="87"/>
  <c r="IV178" i="87"/>
  <c r="IV217" i="87"/>
  <c r="IV221" i="87"/>
  <c r="IV226" i="87"/>
  <c r="IV228" i="87"/>
  <c r="IV230" i="87"/>
  <c r="IV232" i="87"/>
  <c r="IV235" i="87"/>
  <c r="IE14" i="87"/>
  <c r="IE23" i="87"/>
  <c r="IE29" i="87"/>
  <c r="IE32" i="87"/>
  <c r="IE34" i="87"/>
  <c r="IE36" i="87"/>
  <c r="IB47" i="87"/>
  <c r="IB58" i="87"/>
  <c r="IE58" i="87" s="1"/>
  <c r="IB61" i="87"/>
  <c r="IE61" i="87" s="1"/>
  <c r="IB85" i="87"/>
  <c r="IB92" i="87"/>
  <c r="IE92" i="87" s="1"/>
  <c r="IB101" i="87"/>
  <c r="IB107" i="87"/>
  <c r="IE107" i="87" s="1"/>
  <c r="IB121" i="87"/>
  <c r="IE121" i="87" s="1"/>
  <c r="HU23" i="87"/>
  <c r="HU25" i="87"/>
  <c r="HU36" i="87"/>
  <c r="HR45" i="87"/>
  <c r="HR54" i="87"/>
  <c r="HU54" i="87" s="1"/>
  <c r="HR56" i="87"/>
  <c r="HR61" i="87"/>
  <c r="HU61" i="87" s="1"/>
  <c r="HR72" i="87"/>
  <c r="HU72" i="87" s="1"/>
  <c r="HR78" i="87"/>
  <c r="HU78" i="87" s="1"/>
  <c r="HR83" i="87"/>
  <c r="HU83" i="87" s="1"/>
  <c r="HR87" i="87"/>
  <c r="HU87" i="87" s="1"/>
  <c r="HR90" i="87"/>
  <c r="HU90" i="87" s="1"/>
  <c r="HR92" i="87"/>
  <c r="HU92" i="87" s="1"/>
  <c r="HR112" i="87"/>
  <c r="HU112" i="87" s="1"/>
  <c r="HR114" i="87"/>
  <c r="HR119" i="87"/>
  <c r="HU119" i="87" s="1"/>
  <c r="HR121" i="87"/>
  <c r="HU121" i="87" s="1"/>
  <c r="HR123" i="87"/>
  <c r="HU123" i="87" s="1"/>
  <c r="HR139" i="87"/>
  <c r="HU139" i="87" s="1"/>
  <c r="HR141" i="87"/>
  <c r="HU141" i="87" s="1"/>
  <c r="HR148" i="87"/>
  <c r="HU148" i="87" s="1"/>
  <c r="HR165" i="87"/>
  <c r="HR168" i="87"/>
  <c r="HR170" i="87"/>
  <c r="HR220" i="87"/>
  <c r="HR227" i="87"/>
  <c r="HH199" i="87"/>
  <c r="GX202" i="87"/>
  <c r="HA202" i="87" s="1"/>
  <c r="HA14" i="87"/>
  <c r="HA25" i="87"/>
  <c r="HA34" i="87"/>
  <c r="HA36" i="87"/>
  <c r="GX43" i="87"/>
  <c r="HA43" i="87" s="1"/>
  <c r="GX45" i="87"/>
  <c r="GX47" i="87"/>
  <c r="GX49" i="87"/>
  <c r="HA49" i="87" s="1"/>
  <c r="GX52" i="87"/>
  <c r="HA52" i="87" s="1"/>
  <c r="GX56" i="87"/>
  <c r="HA56" i="87" s="1"/>
  <c r="GX58" i="87"/>
  <c r="HA58" i="87" s="1"/>
  <c r="GX61" i="87"/>
  <c r="HA61" i="87" s="1"/>
  <c r="GX67" i="87"/>
  <c r="HA67" i="87" s="1"/>
  <c r="GX72" i="87"/>
  <c r="HA72" i="87" s="1"/>
  <c r="GX81" i="87"/>
  <c r="HA81" i="87" s="1"/>
  <c r="GX83" i="87"/>
  <c r="HA83" i="87" s="1"/>
  <c r="GX85" i="87"/>
  <c r="HA85" i="87" s="1"/>
  <c r="GX92" i="87"/>
  <c r="HA92" i="87" s="1"/>
  <c r="GX94" i="87"/>
  <c r="HA94" i="87" s="1"/>
  <c r="GX101" i="87"/>
  <c r="HA101" i="87" s="1"/>
  <c r="GX110" i="87"/>
  <c r="HA110" i="87" s="1"/>
  <c r="GX112" i="87"/>
  <c r="HA112" i="87" s="1"/>
  <c r="GX116" i="87"/>
  <c r="HA116" i="87" s="1"/>
  <c r="GX141" i="87"/>
  <c r="HA141" i="87" s="1"/>
  <c r="GX161" i="87"/>
  <c r="GX227" i="87"/>
  <c r="GX229" i="87"/>
  <c r="GQ14" i="87"/>
  <c r="GQ23" i="87"/>
  <c r="GQ25" i="87"/>
  <c r="GQ32" i="87"/>
  <c r="GQ36" i="87"/>
  <c r="GQ38" i="87"/>
  <c r="GS38" i="87" s="1"/>
  <c r="GN61" i="87"/>
  <c r="GQ61" i="87" s="1"/>
  <c r="GN65" i="87"/>
  <c r="GQ65" i="87" s="1"/>
  <c r="GN72" i="87"/>
  <c r="GQ72" i="87" s="1"/>
  <c r="GN76" i="87"/>
  <c r="GQ76" i="87" s="1"/>
  <c r="GN85" i="87"/>
  <c r="GN90" i="87"/>
  <c r="GQ90" i="87" s="1"/>
  <c r="GN94" i="87"/>
  <c r="GQ94" i="87" s="1"/>
  <c r="GN96" i="87"/>
  <c r="GQ96" i="87" s="1"/>
  <c r="GS96" i="87" s="1"/>
  <c r="GN101" i="87"/>
  <c r="GQ101" i="87" s="1"/>
  <c r="GN105" i="87"/>
  <c r="GQ105" i="87" s="1"/>
  <c r="GN116" i="87"/>
  <c r="GQ116" i="87" s="1"/>
  <c r="GN121" i="87"/>
  <c r="GQ121" i="87" s="1"/>
  <c r="GN130" i="87"/>
  <c r="GQ130" i="87" s="1"/>
  <c r="GN224" i="87"/>
  <c r="FW33" i="87"/>
  <c r="FW37" i="87"/>
  <c r="FT55" i="87"/>
  <c r="FT66" i="87"/>
  <c r="FW66" i="87" s="1"/>
  <c r="FT75" i="87"/>
  <c r="FW75" i="87" s="1"/>
  <c r="FT86" i="87"/>
  <c r="FW86" i="87" s="1"/>
  <c r="FT89" i="87"/>
  <c r="FT93" i="87"/>
  <c r="FT95" i="87"/>
  <c r="FW95" i="87" s="1"/>
  <c r="FT118" i="87"/>
  <c r="FT140" i="87"/>
  <c r="FT147" i="87"/>
  <c r="FT149" i="87"/>
  <c r="FW149" i="87" s="1"/>
  <c r="FT167" i="87"/>
  <c r="FT173" i="87"/>
  <c r="FT180" i="87"/>
  <c r="FT221" i="87"/>
  <c r="FT230" i="87"/>
  <c r="FJ201" i="87"/>
  <c r="FC14" i="87"/>
  <c r="FC25" i="87"/>
  <c r="FC29" i="87"/>
  <c r="FC38" i="87"/>
  <c r="FE38" i="87" s="1"/>
  <c r="EZ47" i="87"/>
  <c r="EZ58" i="87"/>
  <c r="FC58" i="87" s="1"/>
  <c r="EZ61" i="87"/>
  <c r="FC61" i="87" s="1"/>
  <c r="EZ63" i="87"/>
  <c r="FC63" i="87" s="1"/>
  <c r="EZ67" i="87"/>
  <c r="FC67" i="87" s="1"/>
  <c r="EZ72" i="87"/>
  <c r="FC72" i="87" s="1"/>
  <c r="EZ76" i="87"/>
  <c r="EZ90" i="87"/>
  <c r="FC90" i="87" s="1"/>
  <c r="EZ101" i="87"/>
  <c r="FC101" i="87" s="1"/>
  <c r="EZ103" i="87"/>
  <c r="EZ105" i="87"/>
  <c r="EZ150" i="87"/>
  <c r="FC150" i="87" s="1"/>
  <c r="DY28" i="87"/>
  <c r="DY33" i="87"/>
  <c r="DV53" i="87"/>
  <c r="DV55" i="87"/>
  <c r="DV57" i="87"/>
  <c r="DY57" i="87" s="1"/>
  <c r="DV62" i="87"/>
  <c r="DY62" i="87" s="1"/>
  <c r="DV64" i="87"/>
  <c r="DV77" i="87"/>
  <c r="DY77" i="87" s="1"/>
  <c r="DV80" i="87"/>
  <c r="DV86" i="87"/>
  <c r="DY86" i="87" s="1"/>
  <c r="DV106" i="87"/>
  <c r="DY106" i="87" s="1"/>
  <c r="DV109" i="87"/>
  <c r="DV111" i="87"/>
  <c r="DV113" i="87"/>
  <c r="DV122" i="87"/>
  <c r="DV133" i="87"/>
  <c r="DY133" i="87" s="1"/>
  <c r="DV142" i="87"/>
  <c r="DV167" i="87"/>
  <c r="DV171" i="87"/>
  <c r="DV221" i="87"/>
  <c r="DV226" i="87"/>
  <c r="DL66" i="87"/>
  <c r="DL75" i="87"/>
  <c r="DO75" i="87" s="1"/>
  <c r="DL77" i="87"/>
  <c r="DO77" i="87" s="1"/>
  <c r="DL89" i="87"/>
  <c r="DO89" i="87" s="1"/>
  <c r="DL93" i="87"/>
  <c r="DO93" i="87" s="1"/>
  <c r="DL102" i="87"/>
  <c r="DO102" i="87" s="1"/>
  <c r="DL113" i="87"/>
  <c r="DL120" i="87"/>
  <c r="DO120" i="87" s="1"/>
  <c r="DL135" i="87"/>
  <c r="DO135" i="87" s="1"/>
  <c r="DL140" i="87"/>
  <c r="DL142" i="87"/>
  <c r="DL153" i="87"/>
  <c r="DL160" i="87"/>
  <c r="DL164" i="87"/>
  <c r="DL176" i="87"/>
  <c r="DL182" i="87"/>
  <c r="DL217" i="87"/>
  <c r="DL221" i="87"/>
  <c r="DL223" i="87"/>
  <c r="DL235" i="87"/>
  <c r="DL241" i="87"/>
  <c r="DE14" i="87"/>
  <c r="DE23" i="87"/>
  <c r="DE27" i="87"/>
  <c r="DE29" i="87"/>
  <c r="DE32" i="87"/>
  <c r="DE34" i="87"/>
  <c r="DE38" i="87"/>
  <c r="DG38" i="87" s="1"/>
  <c r="DB45" i="87"/>
  <c r="DB47" i="87"/>
  <c r="DE47" i="87" s="1"/>
  <c r="DB52" i="87"/>
  <c r="DE52" i="87" s="1"/>
  <c r="DB54" i="87"/>
  <c r="DE54" i="87" s="1"/>
  <c r="DB61" i="87"/>
  <c r="DE61" i="87" s="1"/>
  <c r="DB72" i="87"/>
  <c r="DE72" i="87" s="1"/>
  <c r="DB76" i="87"/>
  <c r="DE76" i="87" s="1"/>
  <c r="DB78" i="87"/>
  <c r="DE78" i="87" s="1"/>
  <c r="DB81" i="87"/>
  <c r="DE81" i="87" s="1"/>
  <c r="DB83" i="87"/>
  <c r="DE83" i="87" s="1"/>
  <c r="DB85" i="87"/>
  <c r="DE85" i="87" s="1"/>
  <c r="DB94" i="87"/>
  <c r="DE94" i="87" s="1"/>
  <c r="DB101" i="87"/>
  <c r="DE101" i="87" s="1"/>
  <c r="DB105" i="87"/>
  <c r="DE105" i="87" s="1"/>
  <c r="DG105" i="87" s="1"/>
  <c r="DB110" i="87"/>
  <c r="DE110" i="87" s="1"/>
  <c r="DB112" i="87"/>
  <c r="DE112" i="87" s="1"/>
  <c r="DB116" i="87"/>
  <c r="DE116" i="87" s="1"/>
  <c r="DB121" i="87"/>
  <c r="DE121" i="87" s="1"/>
  <c r="DB150" i="87"/>
  <c r="DE150" i="87" s="1"/>
  <c r="DB161" i="87"/>
  <c r="DB220" i="87"/>
  <c r="CU28" i="87"/>
  <c r="CR44" i="87"/>
  <c r="CR46" i="87"/>
  <c r="CU46" i="87" s="1"/>
  <c r="CR48" i="87"/>
  <c r="CU48" i="87" s="1"/>
  <c r="CR53" i="87"/>
  <c r="CR60" i="87"/>
  <c r="CR64" i="87"/>
  <c r="CR73" i="87"/>
  <c r="CR75" i="87"/>
  <c r="CU75" i="87" s="1"/>
  <c r="CR82" i="87"/>
  <c r="CR86" i="87"/>
  <c r="CU86" i="87" s="1"/>
  <c r="CR91" i="87"/>
  <c r="CU91" i="87" s="1"/>
  <c r="CR100" i="87"/>
  <c r="CR111" i="87"/>
  <c r="CR115" i="87"/>
  <c r="CU115" i="87" s="1"/>
  <c r="CR118" i="87"/>
  <c r="CR124" i="87"/>
  <c r="CU124" i="87" s="1"/>
  <c r="CR131" i="87"/>
  <c r="CR133" i="87"/>
  <c r="CU133" i="87" s="1"/>
  <c r="CR135" i="87"/>
  <c r="CU135" i="87" s="1"/>
  <c r="CR138" i="87"/>
  <c r="CR142" i="87"/>
  <c r="CR144" i="87"/>
  <c r="CU144" i="87" s="1"/>
  <c r="CR149" i="87"/>
  <c r="CU149" i="87" s="1"/>
  <c r="CR151" i="87"/>
  <c r="CR153" i="87"/>
  <c r="CU153" i="87" s="1"/>
  <c r="CR160" i="87"/>
  <c r="CR162" i="87"/>
  <c r="CR167" i="87"/>
  <c r="CR171" i="87"/>
  <c r="CR173" i="87"/>
  <c r="CR176" i="87"/>
  <c r="CR178" i="87"/>
  <c r="CR180" i="87"/>
  <c r="CR182" i="87"/>
  <c r="CR217" i="87"/>
  <c r="CR219" i="87"/>
  <c r="CR226" i="87"/>
  <c r="CR232" i="87"/>
  <c r="CR235" i="87"/>
  <c r="CR239" i="87"/>
  <c r="CR241" i="87"/>
  <c r="CK23" i="87"/>
  <c r="CK34" i="87"/>
  <c r="CK36" i="87"/>
  <c r="CK38" i="87"/>
  <c r="CM38" i="87" s="1"/>
  <c r="CH45" i="87"/>
  <c r="CH47" i="87"/>
  <c r="CH52" i="87"/>
  <c r="CK52" i="87" s="1"/>
  <c r="CH54" i="87"/>
  <c r="CK54" i="87" s="1"/>
  <c r="CH61" i="87"/>
  <c r="CK61" i="87" s="1"/>
  <c r="CH63" i="87"/>
  <c r="CK63" i="87" s="1"/>
  <c r="CH67" i="87"/>
  <c r="CK67" i="87" s="1"/>
  <c r="CH76" i="87"/>
  <c r="CH78" i="87"/>
  <c r="CK78" i="87" s="1"/>
  <c r="CH81" i="87"/>
  <c r="CK81" i="87" s="1"/>
  <c r="CH87" i="87"/>
  <c r="CK87" i="87" s="1"/>
  <c r="CH92" i="87"/>
  <c r="CK92" i="87" s="1"/>
  <c r="CH96" i="87"/>
  <c r="CK96" i="87" s="1"/>
  <c r="CM96" i="87" s="1"/>
  <c r="CH103" i="87"/>
  <c r="CH110" i="87"/>
  <c r="CK110" i="87" s="1"/>
  <c r="CH112" i="87"/>
  <c r="CK112" i="87" s="1"/>
  <c r="CH114" i="87"/>
  <c r="CH119" i="87"/>
  <c r="CK119" i="87" s="1"/>
  <c r="CH123" i="87"/>
  <c r="CK123" i="87" s="1"/>
  <c r="CH125" i="87"/>
  <c r="CK125" i="87" s="1"/>
  <c r="CH132" i="87"/>
  <c r="CH141" i="87"/>
  <c r="CK141" i="87" s="1"/>
  <c r="CH145" i="87"/>
  <c r="CK145" i="87" s="1"/>
  <c r="CH152" i="87"/>
  <c r="CK152" i="87" s="1"/>
  <c r="CH170" i="87"/>
  <c r="CH181" i="87"/>
  <c r="BG19" i="87"/>
  <c r="BG28" i="87"/>
  <c r="BG37" i="87"/>
  <c r="BD46" i="87"/>
  <c r="BG46" i="87" s="1"/>
  <c r="BD57" i="87"/>
  <c r="BG57" i="87" s="1"/>
  <c r="BD64" i="87"/>
  <c r="BG64" i="87" s="1"/>
  <c r="BD75" i="87"/>
  <c r="BG75" i="87" s="1"/>
  <c r="BD82" i="87"/>
  <c r="BG82" i="87" s="1"/>
  <c r="BD84" i="87"/>
  <c r="BD89" i="87"/>
  <c r="BD100" i="87"/>
  <c r="BD111" i="87"/>
  <c r="BG111" i="87" s="1"/>
  <c r="BD120" i="87"/>
  <c r="BG120" i="87" s="1"/>
  <c r="BD124" i="87"/>
  <c r="BG124" i="87" s="1"/>
  <c r="BD138" i="87"/>
  <c r="BD147" i="87"/>
  <c r="BD151" i="87"/>
  <c r="BG151" i="87" s="1"/>
  <c r="BD180" i="87"/>
  <c r="BD221" i="87"/>
  <c r="BD226" i="87"/>
  <c r="BD232" i="87"/>
  <c r="BD237" i="87"/>
  <c r="BD241" i="87"/>
  <c r="AW14" i="87"/>
  <c r="AW20" i="87"/>
  <c r="AW23" i="87"/>
  <c r="AW32" i="87"/>
  <c r="AW34" i="87"/>
  <c r="AW38" i="87"/>
  <c r="AY38" i="87" s="1"/>
  <c r="AT43" i="87"/>
  <c r="AW43" i="87" s="1"/>
  <c r="AT45" i="87"/>
  <c r="AT49" i="87"/>
  <c r="AW49" i="87" s="1"/>
  <c r="AT54" i="87"/>
  <c r="AW54" i="87" s="1"/>
  <c r="AT56" i="87"/>
  <c r="AT58" i="87"/>
  <c r="AW58" i="87" s="1"/>
  <c r="AT65" i="87"/>
  <c r="AT67" i="87"/>
  <c r="AW67" i="87" s="1"/>
  <c r="AT83" i="87"/>
  <c r="AW83" i="87" s="1"/>
  <c r="AT85" i="87"/>
  <c r="AT90" i="87"/>
  <c r="AW90" i="87" s="1"/>
  <c r="AT94" i="87"/>
  <c r="AT96" i="87"/>
  <c r="AW96" i="87" s="1"/>
  <c r="AY96" i="87" s="1"/>
  <c r="AT103" i="87"/>
  <c r="AT105" i="87"/>
  <c r="AT114" i="87"/>
  <c r="AT116" i="87"/>
  <c r="AW116" i="87" s="1"/>
  <c r="AT123" i="87"/>
  <c r="AT125" i="87"/>
  <c r="AW125" i="87" s="1"/>
  <c r="AT134" i="87"/>
  <c r="AT141" i="87"/>
  <c r="AW141" i="87" s="1"/>
  <c r="AT143" i="87"/>
  <c r="AT152" i="87"/>
  <c r="AT170" i="87"/>
  <c r="AT229" i="87"/>
  <c r="AT240" i="87"/>
  <c r="AM23" i="87"/>
  <c r="AM29" i="87"/>
  <c r="AM34" i="87"/>
  <c r="AJ52" i="87"/>
  <c r="AM52" i="87" s="1"/>
  <c r="AJ58" i="87"/>
  <c r="AM58" i="87" s="1"/>
  <c r="AJ63" i="87"/>
  <c r="AM63" i="87" s="1"/>
  <c r="AJ67" i="87"/>
  <c r="AM67" i="87" s="1"/>
  <c r="AJ81" i="87"/>
  <c r="AM81" i="87" s="1"/>
  <c r="AJ87" i="87"/>
  <c r="AM87" i="87" s="1"/>
  <c r="AJ96" i="87"/>
  <c r="AM96" i="87" s="1"/>
  <c r="AO96" i="87" s="1"/>
  <c r="AJ101" i="87"/>
  <c r="AJ110" i="87"/>
  <c r="AM110" i="87" s="1"/>
  <c r="AJ119" i="87"/>
  <c r="AM119" i="87" s="1"/>
  <c r="AJ130" i="87"/>
  <c r="AJ224" i="87"/>
  <c r="AC32" i="87"/>
  <c r="AC36" i="87"/>
  <c r="Z43" i="87"/>
  <c r="Z45" i="87"/>
  <c r="Z49" i="87"/>
  <c r="AC49" i="87" s="1"/>
  <c r="Z52" i="87"/>
  <c r="AC52" i="87" s="1"/>
  <c r="Z56" i="87"/>
  <c r="Z58" i="87"/>
  <c r="AC58" i="87" s="1"/>
  <c r="Z61" i="87"/>
  <c r="AC61" i="87" s="1"/>
  <c r="Z63" i="87"/>
  <c r="AC63" i="87" s="1"/>
  <c r="Z65" i="87"/>
  <c r="AC65" i="87" s="1"/>
  <c r="Z67" i="87"/>
  <c r="AC67" i="87" s="1"/>
  <c r="Z76" i="87"/>
  <c r="Z81" i="87"/>
  <c r="AC81" i="87" s="1"/>
  <c r="Z83" i="87"/>
  <c r="AC83" i="87" s="1"/>
  <c r="Z87" i="87"/>
  <c r="AC87" i="87" s="1"/>
  <c r="Z94" i="87"/>
  <c r="AC94" i="87" s="1"/>
  <c r="Z105" i="87"/>
  <c r="Z112" i="87"/>
  <c r="AC112" i="87" s="1"/>
  <c r="Z116" i="87"/>
  <c r="AC116" i="87" s="1"/>
  <c r="Z143" i="87"/>
  <c r="Z145" i="87"/>
  <c r="AC145" i="87" s="1"/>
  <c r="Z161" i="87"/>
  <c r="Z165" i="87"/>
  <c r="Z168" i="87"/>
  <c r="Z181" i="87"/>
  <c r="AJ10" i="87"/>
  <c r="AK15" i="87" s="1"/>
  <c r="AL15" i="87" s="1"/>
  <c r="AM15" i="87" s="1"/>
  <c r="HH10" i="87"/>
  <c r="HI17" i="87" s="1"/>
  <c r="HJ17" i="87" s="1"/>
  <c r="HR10" i="87"/>
  <c r="HS17" i="87" s="1"/>
  <c r="HT17" i="87" s="1"/>
  <c r="IB10" i="87"/>
  <c r="IC37" i="87" s="1"/>
  <c r="ID37" i="87" s="1"/>
  <c r="IL10" i="87"/>
  <c r="IM13" i="87" s="1"/>
  <c r="IN13" i="87" s="1"/>
  <c r="BN42" i="87"/>
  <c r="CR42" i="87"/>
  <c r="DL42" i="87"/>
  <c r="DO42" i="87" s="1"/>
  <c r="FJ42" i="87"/>
  <c r="HH42" i="87"/>
  <c r="IL42" i="87"/>
  <c r="JZ42" i="87"/>
  <c r="KT42" i="87"/>
  <c r="AJ71" i="87"/>
  <c r="BN71" i="87"/>
  <c r="CH71" i="87"/>
  <c r="DV71" i="87"/>
  <c r="EZ71" i="87"/>
  <c r="HH71" i="87"/>
  <c r="IB71" i="87"/>
  <c r="JF71" i="87"/>
  <c r="KT71" i="87"/>
  <c r="AJ100" i="87"/>
  <c r="BN100" i="87"/>
  <c r="CH100" i="87"/>
  <c r="DB100" i="87"/>
  <c r="EP100" i="87"/>
  <c r="FJ100" i="87"/>
  <c r="HR100" i="87"/>
  <c r="IL100" i="87"/>
  <c r="JP100" i="87"/>
  <c r="KJ100" i="87"/>
  <c r="BD129" i="87"/>
  <c r="BX129" i="87"/>
  <c r="DB129" i="87"/>
  <c r="EZ129" i="87"/>
  <c r="HH129" i="87"/>
  <c r="IL129" i="87"/>
  <c r="JZ129" i="87"/>
  <c r="AT158" i="87"/>
  <c r="BX158" i="87"/>
  <c r="CR158" i="87"/>
  <c r="EF158" i="87"/>
  <c r="FT158" i="87"/>
  <c r="HR158" i="87"/>
  <c r="IL158" i="87"/>
  <c r="JF158" i="87"/>
  <c r="JZ158" i="87"/>
  <c r="KT158" i="87"/>
  <c r="AJ217" i="87"/>
  <c r="BN217" i="87"/>
  <c r="CH217" i="87"/>
  <c r="DB217" i="87"/>
  <c r="EZ217" i="87"/>
  <c r="GD217" i="87"/>
  <c r="HH217" i="87"/>
  <c r="IL217" i="87"/>
  <c r="JF217" i="87"/>
  <c r="FJ200" i="87"/>
  <c r="FM200" i="87" s="1"/>
  <c r="F195" i="87"/>
  <c r="I195" i="87" s="1"/>
  <c r="BD10" i="87"/>
  <c r="BE25" i="87" s="1"/>
  <c r="BF25" i="87" s="1"/>
  <c r="BN10" i="87"/>
  <c r="BO13" i="87" s="1"/>
  <c r="BP13" i="87" s="1"/>
  <c r="BX10" i="87"/>
  <c r="BY38" i="87" s="1"/>
  <c r="BZ38" i="87" s="1"/>
  <c r="DL10" i="87"/>
  <c r="DM20" i="87" s="1"/>
  <c r="DN20" i="87" s="1"/>
  <c r="EP10" i="87"/>
  <c r="EQ23" i="87" s="1"/>
  <c r="ER23" i="87" s="1"/>
  <c r="EZ10" i="87"/>
  <c r="FA14" i="87" s="1"/>
  <c r="FB14" i="87" s="1"/>
  <c r="FJ10" i="87"/>
  <c r="FM10" i="87" s="1"/>
  <c r="FO10" i="87" s="1"/>
  <c r="FP10" i="87" s="1"/>
  <c r="GN10" i="87"/>
  <c r="GO19" i="87" s="1"/>
  <c r="GP19" i="87" s="1"/>
  <c r="JF10" i="87"/>
  <c r="JG31" i="87" s="1"/>
  <c r="JH31" i="87" s="1"/>
  <c r="JI31" i="87" s="1"/>
  <c r="JP10" i="87"/>
  <c r="JQ33" i="87" s="1"/>
  <c r="JR33" i="87" s="1"/>
  <c r="JZ10" i="87"/>
  <c r="KC10" i="87" s="1"/>
  <c r="KE10" i="87" s="1"/>
  <c r="KF10" i="87" s="1"/>
  <c r="S20" i="87"/>
  <c r="AM20" i="87"/>
  <c r="BG20" i="87"/>
  <c r="CA20" i="87"/>
  <c r="CU20" i="87"/>
  <c r="DO20" i="87"/>
  <c r="EI20" i="87"/>
  <c r="FC20" i="87"/>
  <c r="FW20" i="87"/>
  <c r="GQ20" i="87"/>
  <c r="HK20" i="87"/>
  <c r="IE20" i="87"/>
  <c r="IY20" i="87"/>
  <c r="JS20" i="87"/>
  <c r="KM20" i="87"/>
  <c r="P49" i="87"/>
  <c r="S49" i="87" s="1"/>
  <c r="AJ49" i="87"/>
  <c r="BD49" i="87"/>
  <c r="BG49" i="87" s="1"/>
  <c r="BX49" i="87"/>
  <c r="CA49" i="87" s="1"/>
  <c r="CR49" i="87"/>
  <c r="DL49" i="87"/>
  <c r="DO49" i="87" s="1"/>
  <c r="EF49" i="87"/>
  <c r="EI49" i="87" s="1"/>
  <c r="EZ49" i="87"/>
  <c r="FC49" i="87" s="1"/>
  <c r="FT49" i="87"/>
  <c r="FW49" i="87" s="1"/>
  <c r="GN49" i="87"/>
  <c r="GQ49" i="87" s="1"/>
  <c r="HH49" i="87"/>
  <c r="HK49" i="87" s="1"/>
  <c r="IB49" i="87"/>
  <c r="IV49" i="87"/>
  <c r="IY49" i="87" s="1"/>
  <c r="JP49" i="87"/>
  <c r="JS49" i="87" s="1"/>
  <c r="KJ49" i="87"/>
  <c r="KM49" i="87" s="1"/>
  <c r="P78" i="87"/>
  <c r="S78" i="87" s="1"/>
  <c r="BD78" i="87"/>
  <c r="BG78" i="87" s="1"/>
  <c r="BX78" i="87"/>
  <c r="CR78" i="87"/>
  <c r="CU78" i="87" s="1"/>
  <c r="DL78" i="87"/>
  <c r="DO78" i="87" s="1"/>
  <c r="EF78" i="87"/>
  <c r="EI78" i="87" s="1"/>
  <c r="FT78" i="87"/>
  <c r="FW78" i="87" s="1"/>
  <c r="HH78" i="87"/>
  <c r="HK78" i="87" s="1"/>
  <c r="IB78" i="87"/>
  <c r="IE78" i="87" s="1"/>
  <c r="IV78" i="87"/>
  <c r="IY78" i="87" s="1"/>
  <c r="JP78" i="87"/>
  <c r="JS78" i="87" s="1"/>
  <c r="KJ78" i="87"/>
  <c r="KM78" i="87" s="1"/>
  <c r="AT107" i="87"/>
  <c r="AW107" i="87" s="1"/>
  <c r="CH107" i="87"/>
  <c r="CK107" i="87" s="1"/>
  <c r="DV107" i="87"/>
  <c r="DY107" i="87" s="1"/>
  <c r="FJ107" i="87"/>
  <c r="FM107" i="87" s="1"/>
  <c r="GX107" i="87"/>
  <c r="HA107" i="87" s="1"/>
  <c r="IL107" i="87"/>
  <c r="JZ107" i="87"/>
  <c r="KC107" i="87" s="1"/>
  <c r="AT136" i="87"/>
  <c r="AW136" i="87" s="1"/>
  <c r="FJ136" i="87"/>
  <c r="FM136" i="87" s="1"/>
  <c r="GX136" i="87"/>
  <c r="HA136" i="87" s="1"/>
  <c r="IV192" i="87"/>
  <c r="IY192" i="87" s="1"/>
  <c r="AD201" i="87"/>
  <c r="AD212" i="87"/>
  <c r="AD210" i="87"/>
  <c r="AD208" i="87"/>
  <c r="AD199" i="87"/>
  <c r="AD198" i="87"/>
  <c r="AD197" i="87"/>
  <c r="AD196" i="87"/>
  <c r="AD195" i="87"/>
  <c r="AD194" i="87"/>
  <c r="AD193" i="87"/>
  <c r="AD213" i="87"/>
  <c r="AD209" i="87"/>
  <c r="AD206" i="87"/>
  <c r="AD203" i="87"/>
  <c r="AD202" i="87"/>
  <c r="AD192" i="87"/>
  <c r="AD191" i="87"/>
  <c r="AD190" i="87"/>
  <c r="AD189" i="87"/>
  <c r="AD188" i="87"/>
  <c r="AX201" i="87"/>
  <c r="AX193" i="87"/>
  <c r="AX213" i="87"/>
  <c r="AX211" i="87"/>
  <c r="AX209" i="87"/>
  <c r="AX207" i="87"/>
  <c r="AX200" i="87"/>
  <c r="AX199" i="87"/>
  <c r="AX198" i="87"/>
  <c r="AX197" i="87"/>
  <c r="AX196" i="87"/>
  <c r="AX195" i="87"/>
  <c r="AX194" i="87"/>
  <c r="AX210" i="87"/>
  <c r="AX204" i="87"/>
  <c r="AX192" i="87"/>
  <c r="AX191" i="87"/>
  <c r="AX190" i="87"/>
  <c r="AX189" i="87"/>
  <c r="AX188" i="87"/>
  <c r="BR193" i="87"/>
  <c r="BR212" i="87"/>
  <c r="BR210" i="87"/>
  <c r="BR208" i="87"/>
  <c r="BR202" i="87"/>
  <c r="BR201" i="87"/>
  <c r="BR199" i="87"/>
  <c r="BR198" i="87"/>
  <c r="BR197" i="87"/>
  <c r="BR196" i="87"/>
  <c r="BR195" i="87"/>
  <c r="BR194" i="87"/>
  <c r="BR211" i="87"/>
  <c r="BR207" i="87"/>
  <c r="BR206" i="87"/>
  <c r="BR203" i="87"/>
  <c r="BR200" i="87"/>
  <c r="BR192" i="87"/>
  <c r="BR191" i="87"/>
  <c r="BR190" i="87"/>
  <c r="BR189" i="87"/>
  <c r="BR188" i="87"/>
  <c r="CL213" i="87"/>
  <c r="CL211" i="87"/>
  <c r="CL209" i="87"/>
  <c r="CL207" i="87"/>
  <c r="CL202" i="87"/>
  <c r="CL200" i="87"/>
  <c r="CL199" i="87"/>
  <c r="CL198" i="87"/>
  <c r="CL197" i="87"/>
  <c r="CL196" i="87"/>
  <c r="CL195" i="87"/>
  <c r="CL194" i="87"/>
  <c r="CL193" i="87"/>
  <c r="CL212" i="87"/>
  <c r="CL208" i="87"/>
  <c r="CL204" i="87"/>
  <c r="CL192" i="87"/>
  <c r="CL191" i="87"/>
  <c r="CL190" i="87"/>
  <c r="CL189" i="87"/>
  <c r="CL188" i="87"/>
  <c r="KX201" i="87"/>
  <c r="KY201" i="87" s="1"/>
  <c r="KZ201" i="87" s="1"/>
  <c r="KX192" i="87"/>
  <c r="KX212" i="87"/>
  <c r="KX210" i="87"/>
  <c r="KX208" i="87"/>
  <c r="KX206" i="87"/>
  <c r="KX199" i="87"/>
  <c r="KX198" i="87"/>
  <c r="KX197" i="87"/>
  <c r="KX196" i="87"/>
  <c r="KX195" i="87"/>
  <c r="KX194" i="87"/>
  <c r="KX193" i="87"/>
  <c r="KX211" i="87"/>
  <c r="KX207" i="87"/>
  <c r="KX203" i="87"/>
  <c r="KX200" i="87"/>
  <c r="KX191" i="87"/>
  <c r="KX190" i="87"/>
  <c r="KX189" i="87"/>
  <c r="KX188" i="87"/>
  <c r="GH72" i="87"/>
  <c r="J191" i="87"/>
  <c r="J199" i="87"/>
  <c r="CV188" i="87"/>
  <c r="DP188" i="87"/>
  <c r="DQ188" i="87" s="1"/>
  <c r="DR188" i="87" s="1"/>
  <c r="EJ188" i="87"/>
  <c r="FD188" i="87"/>
  <c r="FX188" i="87"/>
  <c r="GR188" i="87"/>
  <c r="HL188" i="87"/>
  <c r="IZ188" i="87"/>
  <c r="JT188" i="87"/>
  <c r="KN188" i="87"/>
  <c r="CV190" i="87"/>
  <c r="DP190" i="87"/>
  <c r="EJ190" i="87"/>
  <c r="FD190" i="87"/>
  <c r="FX190" i="87"/>
  <c r="GR190" i="87"/>
  <c r="HL190" i="87"/>
  <c r="IZ190" i="87"/>
  <c r="JT190" i="87"/>
  <c r="KN190" i="87"/>
  <c r="CV192" i="87"/>
  <c r="DP192" i="87"/>
  <c r="DQ192" i="87" s="1"/>
  <c r="EJ192" i="87"/>
  <c r="FD192" i="87"/>
  <c r="FE192" i="87" s="1"/>
  <c r="FX192" i="87"/>
  <c r="GR192" i="87"/>
  <c r="JT192" i="87"/>
  <c r="FD193" i="87"/>
  <c r="CV194" i="87"/>
  <c r="FX194" i="87"/>
  <c r="KN194" i="87"/>
  <c r="FD195" i="87"/>
  <c r="CV197" i="87"/>
  <c r="FX197" i="87"/>
  <c r="KN197" i="87"/>
  <c r="FD198" i="87"/>
  <c r="CV199" i="87"/>
  <c r="FX199" i="87"/>
  <c r="CL201" i="87"/>
  <c r="AX202" i="87"/>
  <c r="AX203" i="87"/>
  <c r="AD204" i="87"/>
  <c r="KX204" i="87"/>
  <c r="AD205" i="87"/>
  <c r="AX205" i="87"/>
  <c r="BR205" i="87"/>
  <c r="CL205" i="87"/>
  <c r="KX205" i="87"/>
  <c r="CL206" i="87"/>
  <c r="AD207" i="87"/>
  <c r="AX208" i="87"/>
  <c r="BR209" i="87"/>
  <c r="KX209" i="87"/>
  <c r="J212" i="87"/>
  <c r="J210" i="87"/>
  <c r="J208" i="87"/>
  <c r="J206" i="87"/>
  <c r="J204" i="87"/>
  <c r="J202" i="87"/>
  <c r="J200" i="87"/>
  <c r="J198" i="87"/>
  <c r="J196" i="87"/>
  <c r="J194" i="87"/>
  <c r="J192" i="87"/>
  <c r="J190" i="87"/>
  <c r="J213" i="87"/>
  <c r="J209" i="87"/>
  <c r="J205" i="87"/>
  <c r="J201" i="87"/>
  <c r="J197" i="87"/>
  <c r="J193" i="87"/>
  <c r="J189" i="87"/>
  <c r="CV213" i="87"/>
  <c r="CV212" i="87"/>
  <c r="CV211" i="87"/>
  <c r="CV210" i="87"/>
  <c r="CV209" i="87"/>
  <c r="CV208" i="87"/>
  <c r="CV207" i="87"/>
  <c r="CV206" i="87"/>
  <c r="CV200" i="87"/>
  <c r="CV193" i="87"/>
  <c r="CV204" i="87"/>
  <c r="CV203" i="87"/>
  <c r="CV201" i="87"/>
  <c r="CV196" i="87"/>
  <c r="CV202" i="87"/>
  <c r="CV198" i="87"/>
  <c r="CV195" i="87"/>
  <c r="DP213" i="87"/>
  <c r="DP212" i="87"/>
  <c r="DP211" i="87"/>
  <c r="DP210" i="87"/>
  <c r="DP209" i="87"/>
  <c r="DP208" i="87"/>
  <c r="DP207" i="87"/>
  <c r="DP206" i="87"/>
  <c r="DP201" i="87"/>
  <c r="DP200" i="87"/>
  <c r="DP193" i="87"/>
  <c r="DP204" i="87"/>
  <c r="DP203" i="87"/>
  <c r="DP202" i="87"/>
  <c r="DQ202" i="87" s="1"/>
  <c r="DR202" i="87" s="1"/>
  <c r="DP196" i="87"/>
  <c r="DP199" i="87"/>
  <c r="DP197" i="87"/>
  <c r="DP194" i="87"/>
  <c r="EJ213" i="87"/>
  <c r="EJ212" i="87"/>
  <c r="EJ211" i="87"/>
  <c r="EJ210" i="87"/>
  <c r="EJ209" i="87"/>
  <c r="EJ208" i="87"/>
  <c r="EJ207" i="87"/>
  <c r="EJ206" i="87"/>
  <c r="EJ201" i="87"/>
  <c r="EJ200" i="87"/>
  <c r="EJ204" i="87"/>
  <c r="EJ203" i="87"/>
  <c r="EJ196" i="87"/>
  <c r="EJ198" i="87"/>
  <c r="EJ195" i="87"/>
  <c r="EJ193" i="87"/>
  <c r="FD213" i="87"/>
  <c r="FD212" i="87"/>
  <c r="FD211" i="87"/>
  <c r="FD210" i="87"/>
  <c r="FD209" i="87"/>
  <c r="FD208" i="87"/>
  <c r="FD207" i="87"/>
  <c r="FD206" i="87"/>
  <c r="FD201" i="87"/>
  <c r="FD200" i="87"/>
  <c r="FD204" i="87"/>
  <c r="FD203" i="87"/>
  <c r="FD196" i="87"/>
  <c r="FD202" i="87"/>
  <c r="FD199" i="87"/>
  <c r="FD197" i="87"/>
  <c r="FD194" i="87"/>
  <c r="FX213" i="87"/>
  <c r="FX212" i="87"/>
  <c r="FX211" i="87"/>
  <c r="FX210" i="87"/>
  <c r="FX209" i="87"/>
  <c r="FX208" i="87"/>
  <c r="FX207" i="87"/>
  <c r="FX206" i="87"/>
  <c r="FX201" i="87"/>
  <c r="FX200" i="87"/>
  <c r="FX204" i="87"/>
  <c r="FX203" i="87"/>
  <c r="FX202" i="87"/>
  <c r="FX196" i="87"/>
  <c r="FX198" i="87"/>
  <c r="FX195" i="87"/>
  <c r="FX193" i="87"/>
  <c r="GR213" i="87"/>
  <c r="GR212" i="87"/>
  <c r="GR211" i="87"/>
  <c r="GR210" i="87"/>
  <c r="GR209" i="87"/>
  <c r="GR208" i="87"/>
  <c r="GR207" i="87"/>
  <c r="GR206" i="87"/>
  <c r="GR202" i="87"/>
  <c r="GR201" i="87"/>
  <c r="GR200" i="87"/>
  <c r="GR204" i="87"/>
  <c r="GR203" i="87"/>
  <c r="GR196" i="87"/>
  <c r="GR199" i="87"/>
  <c r="GR197" i="87"/>
  <c r="GR194" i="87"/>
  <c r="HL213" i="87"/>
  <c r="HL212" i="87"/>
  <c r="HL211" i="87"/>
  <c r="HL210" i="87"/>
  <c r="HL209" i="87"/>
  <c r="HL208" i="87"/>
  <c r="HL207" i="87"/>
  <c r="HL206" i="87"/>
  <c r="HL202" i="87"/>
  <c r="HL201" i="87"/>
  <c r="HL200" i="87"/>
  <c r="HL199" i="87"/>
  <c r="HL204" i="87"/>
  <c r="HL203" i="87"/>
  <c r="HL196" i="87"/>
  <c r="HL198" i="87"/>
  <c r="HL195" i="87"/>
  <c r="HL193" i="87"/>
  <c r="HL192" i="87"/>
  <c r="IZ213" i="87"/>
  <c r="IZ212" i="87"/>
  <c r="IZ211" i="87"/>
  <c r="IZ210" i="87"/>
  <c r="IZ209" i="87"/>
  <c r="IZ208" i="87"/>
  <c r="IZ207" i="87"/>
  <c r="IZ206" i="87"/>
  <c r="IZ201" i="87"/>
  <c r="IZ200" i="87"/>
  <c r="IZ204" i="87"/>
  <c r="IZ203" i="87"/>
  <c r="IZ202" i="87"/>
  <c r="IZ196" i="87"/>
  <c r="IZ192" i="87"/>
  <c r="IZ199" i="87"/>
  <c r="IZ198" i="87"/>
  <c r="IZ195" i="87"/>
  <c r="IZ193" i="87"/>
  <c r="JT213" i="87"/>
  <c r="JT212" i="87"/>
  <c r="JT211" i="87"/>
  <c r="JT210" i="87"/>
  <c r="JT209" i="87"/>
  <c r="JT208" i="87"/>
  <c r="JT207" i="87"/>
  <c r="JT206" i="87"/>
  <c r="JT201" i="87"/>
  <c r="JT200" i="87"/>
  <c r="JT199" i="87"/>
  <c r="JT204" i="87"/>
  <c r="JT203" i="87"/>
  <c r="JT202" i="87"/>
  <c r="JT196" i="87"/>
  <c r="JT197" i="87"/>
  <c r="JT194" i="87"/>
  <c r="KN213" i="87"/>
  <c r="KN212" i="87"/>
  <c r="KN211" i="87"/>
  <c r="KN210" i="87"/>
  <c r="KN209" i="87"/>
  <c r="KN208" i="87"/>
  <c r="KN207" i="87"/>
  <c r="KN206" i="87"/>
  <c r="KN200" i="87"/>
  <c r="KN199" i="87"/>
  <c r="KN204" i="87"/>
  <c r="KN203" i="87"/>
  <c r="KN202" i="87"/>
  <c r="KN196" i="87"/>
  <c r="KN192" i="87"/>
  <c r="KN201" i="87"/>
  <c r="KN198" i="87"/>
  <c r="KN195" i="87"/>
  <c r="KN193" i="87"/>
  <c r="P195" i="87"/>
  <c r="S195" i="87" s="1"/>
  <c r="U195" i="87" s="1"/>
  <c r="P165" i="87"/>
  <c r="P136" i="87"/>
  <c r="S136" i="87" s="1"/>
  <c r="P193" i="87"/>
  <c r="S193" i="87" s="1"/>
  <c r="U193" i="87" s="1"/>
  <c r="V193" i="87" s="1"/>
  <c r="P163" i="87"/>
  <c r="P134" i="87"/>
  <c r="S134" i="87" s="1"/>
  <c r="P191" i="87"/>
  <c r="P220" i="87"/>
  <c r="P161" i="87"/>
  <c r="P189" i="87"/>
  <c r="P159" i="87"/>
  <c r="P204" i="87"/>
  <c r="S204" i="87" s="1"/>
  <c r="P233" i="87"/>
  <c r="P145" i="87"/>
  <c r="S145" i="87" s="1"/>
  <c r="P231" i="87"/>
  <c r="P143" i="87"/>
  <c r="S143" i="87" s="1"/>
  <c r="P200" i="87"/>
  <c r="S200" i="87" s="1"/>
  <c r="P229" i="87"/>
  <c r="P170" i="87"/>
  <c r="P141" i="87"/>
  <c r="S141" i="87" s="1"/>
  <c r="P198" i="87"/>
  <c r="S198" i="87" s="1"/>
  <c r="U198" i="87" s="1"/>
  <c r="V198" i="87" s="1"/>
  <c r="P227" i="87"/>
  <c r="P168" i="87"/>
  <c r="P213" i="87"/>
  <c r="S213" i="87" s="1"/>
  <c r="P183" i="87"/>
  <c r="P211" i="87"/>
  <c r="S211" i="87" s="1"/>
  <c r="P240" i="87"/>
  <c r="P181" i="87"/>
  <c r="P152" i="87"/>
  <c r="S152" i="87" s="1"/>
  <c r="P209" i="87"/>
  <c r="S209" i="87" s="1"/>
  <c r="P179" i="87"/>
  <c r="P150" i="87"/>
  <c r="S150" i="87" s="1"/>
  <c r="P207" i="87"/>
  <c r="S207" i="87" s="1"/>
  <c r="P236" i="87"/>
  <c r="Z195" i="87"/>
  <c r="AC195" i="87" s="1"/>
  <c r="AE195" i="87" s="1"/>
  <c r="Z224" i="87"/>
  <c r="Z193" i="87"/>
  <c r="Z222" i="87"/>
  <c r="Z189" i="87"/>
  <c r="Z218" i="87"/>
  <c r="Z204" i="87"/>
  <c r="AC204" i="87" s="1"/>
  <c r="AE204" i="87" s="1"/>
  <c r="Z174" i="87"/>
  <c r="Z202" i="87"/>
  <c r="Z172" i="87"/>
  <c r="Z198" i="87"/>
  <c r="AC198" i="87" s="1"/>
  <c r="AE198" i="87" s="1"/>
  <c r="AF198" i="87" s="1"/>
  <c r="Z139" i="87"/>
  <c r="AC139" i="87" s="1"/>
  <c r="Z213" i="87"/>
  <c r="AC213" i="87" s="1"/>
  <c r="Z242" i="87"/>
  <c r="Z154" i="87"/>
  <c r="AC154" i="87" s="1"/>
  <c r="Z211" i="87"/>
  <c r="AC211" i="87" s="1"/>
  <c r="Z152" i="87"/>
  <c r="AC152" i="87" s="1"/>
  <c r="Z209" i="87"/>
  <c r="AC209" i="87" s="1"/>
  <c r="AE209" i="87" s="1"/>
  <c r="Z238" i="87"/>
  <c r="Z150" i="87"/>
  <c r="AC150" i="87" s="1"/>
  <c r="Z207" i="87"/>
  <c r="AC207" i="87" s="1"/>
  <c r="AE207" i="87" s="1"/>
  <c r="AF207" i="87" s="1"/>
  <c r="Z177" i="87"/>
  <c r="AJ195" i="87"/>
  <c r="AM195" i="87" s="1"/>
  <c r="AJ165" i="87"/>
  <c r="AJ136" i="87"/>
  <c r="AM136" i="87" s="1"/>
  <c r="AJ193" i="87"/>
  <c r="AJ163" i="87"/>
  <c r="AJ134" i="87"/>
  <c r="AJ191" i="87"/>
  <c r="AJ220" i="87"/>
  <c r="AJ161" i="87"/>
  <c r="AJ189" i="87"/>
  <c r="AJ159" i="87"/>
  <c r="AJ204" i="87"/>
  <c r="AM204" i="87" s="1"/>
  <c r="AJ233" i="87"/>
  <c r="AJ145" i="87"/>
  <c r="AM145" i="87" s="1"/>
  <c r="AJ202" i="87"/>
  <c r="AJ231" i="87"/>
  <c r="AJ143" i="87"/>
  <c r="AJ200" i="87"/>
  <c r="AM200" i="87" s="1"/>
  <c r="AJ229" i="87"/>
  <c r="AJ170" i="87"/>
  <c r="AJ141" i="87"/>
  <c r="AM141" i="87" s="1"/>
  <c r="AJ198" i="87"/>
  <c r="AM198" i="87" s="1"/>
  <c r="AJ227" i="87"/>
  <c r="AJ168" i="87"/>
  <c r="AJ213" i="87"/>
  <c r="AM213" i="87" s="1"/>
  <c r="AJ183" i="87"/>
  <c r="AJ154" i="87"/>
  <c r="AM154" i="87" s="1"/>
  <c r="AJ211" i="87"/>
  <c r="AM211" i="87" s="1"/>
  <c r="AJ240" i="87"/>
  <c r="AJ181" i="87"/>
  <c r="AJ152" i="87"/>
  <c r="AM152" i="87" s="1"/>
  <c r="AJ209" i="87"/>
  <c r="AM209" i="87" s="1"/>
  <c r="AJ179" i="87"/>
  <c r="AJ150" i="87"/>
  <c r="AM150" i="87" s="1"/>
  <c r="AJ207" i="87"/>
  <c r="AM207" i="87" s="1"/>
  <c r="AJ236" i="87"/>
  <c r="AT195" i="87"/>
  <c r="AW195" i="87" s="1"/>
  <c r="AY195" i="87" s="1"/>
  <c r="AZ195" i="87" s="1"/>
  <c r="AT224" i="87"/>
  <c r="AT193" i="87"/>
  <c r="AT222" i="87"/>
  <c r="AT189" i="87"/>
  <c r="AW189" i="87" s="1"/>
  <c r="AT218" i="87"/>
  <c r="AT204" i="87"/>
  <c r="AW204" i="87" s="1"/>
  <c r="AT174" i="87"/>
  <c r="AT202" i="87"/>
  <c r="AT172" i="87"/>
  <c r="AT198" i="87"/>
  <c r="AW198" i="87" s="1"/>
  <c r="AY198" i="87" s="1"/>
  <c r="AZ198" i="87" s="1"/>
  <c r="AT139" i="87"/>
  <c r="AW139" i="87" s="1"/>
  <c r="AT213" i="87"/>
  <c r="AW213" i="87" s="1"/>
  <c r="AT242" i="87"/>
  <c r="AT209" i="87"/>
  <c r="AW209" i="87" s="1"/>
  <c r="AY209" i="87" s="1"/>
  <c r="AT238" i="87"/>
  <c r="AT207" i="87"/>
  <c r="AW207" i="87" s="1"/>
  <c r="AT177" i="87"/>
  <c r="AT148" i="87"/>
  <c r="AW148" i="87" s="1"/>
  <c r="BD195" i="87"/>
  <c r="BG195" i="87" s="1"/>
  <c r="BI195" i="87" s="1"/>
  <c r="BJ195" i="87" s="1"/>
  <c r="BD165" i="87"/>
  <c r="BD163" i="87"/>
  <c r="BD134" i="87"/>
  <c r="BG134" i="87" s="1"/>
  <c r="BD193" i="87"/>
  <c r="BG193" i="87" s="1"/>
  <c r="BD191" i="87"/>
  <c r="BG191" i="87" s="1"/>
  <c r="BI191" i="87" s="1"/>
  <c r="BJ191" i="87" s="1"/>
  <c r="BD220" i="87"/>
  <c r="BD161" i="87"/>
  <c r="BD189" i="87"/>
  <c r="BG189" i="87" s="1"/>
  <c r="BI189" i="87" s="1"/>
  <c r="BJ189" i="87" s="1"/>
  <c r="BD159" i="87"/>
  <c r="BD204" i="87"/>
  <c r="BG204" i="87" s="1"/>
  <c r="BD233" i="87"/>
  <c r="BD145" i="87"/>
  <c r="BG145" i="87" s="1"/>
  <c r="BD202" i="87"/>
  <c r="BG202" i="87" s="1"/>
  <c r="BD231" i="87"/>
  <c r="BD143" i="87"/>
  <c r="BG143" i="87" s="1"/>
  <c r="BD200" i="87"/>
  <c r="BG200" i="87" s="1"/>
  <c r="BD229" i="87"/>
  <c r="BD170" i="87"/>
  <c r="BD141" i="87"/>
  <c r="BG141" i="87" s="1"/>
  <c r="BD198" i="87"/>
  <c r="BG198" i="87" s="1"/>
  <c r="BI198" i="87" s="1"/>
  <c r="BJ198" i="87" s="1"/>
  <c r="BD227" i="87"/>
  <c r="BD168" i="87"/>
  <c r="BD213" i="87"/>
  <c r="BG213" i="87" s="1"/>
  <c r="BD183" i="87"/>
  <c r="BD154" i="87"/>
  <c r="BG154" i="87" s="1"/>
  <c r="BD211" i="87"/>
  <c r="BG211" i="87" s="1"/>
  <c r="BD240" i="87"/>
  <c r="BD181" i="87"/>
  <c r="BD152" i="87"/>
  <c r="BG152" i="87" s="1"/>
  <c r="BD209" i="87"/>
  <c r="BG209" i="87" s="1"/>
  <c r="BD179" i="87"/>
  <c r="BD150" i="87"/>
  <c r="BG150" i="87" s="1"/>
  <c r="BD207" i="87"/>
  <c r="BG207" i="87" s="1"/>
  <c r="BD236" i="87"/>
  <c r="BN195" i="87"/>
  <c r="BQ195" i="87" s="1"/>
  <c r="BN224" i="87"/>
  <c r="BN136" i="87"/>
  <c r="BQ136" i="87" s="1"/>
  <c r="GH71" i="87"/>
  <c r="KX71" i="87"/>
  <c r="GI72" i="87"/>
  <c r="GJ72" i="87" s="1"/>
  <c r="KX72" i="87"/>
  <c r="KY72" i="87" s="1"/>
  <c r="KZ72" i="87" s="1"/>
  <c r="AY200" i="87"/>
  <c r="AZ200" i="87" s="1"/>
  <c r="J188" i="87"/>
  <c r="J195" i="87"/>
  <c r="J203" i="87"/>
  <c r="J211" i="87"/>
  <c r="CV189" i="87"/>
  <c r="DP189" i="87"/>
  <c r="EJ189" i="87"/>
  <c r="FD189" i="87"/>
  <c r="FX189" i="87"/>
  <c r="GR189" i="87"/>
  <c r="HL189" i="87"/>
  <c r="IZ189" i="87"/>
  <c r="JT189" i="87"/>
  <c r="KN189" i="87"/>
  <c r="CV191" i="87"/>
  <c r="DP191" i="87"/>
  <c r="EJ191" i="87"/>
  <c r="FD191" i="87"/>
  <c r="FX191" i="87"/>
  <c r="GR191" i="87"/>
  <c r="HL191" i="87"/>
  <c r="IZ191" i="87"/>
  <c r="JT191" i="87"/>
  <c r="KN191" i="87"/>
  <c r="GR193" i="87"/>
  <c r="JT193" i="87"/>
  <c r="EJ194" i="87"/>
  <c r="HL194" i="87"/>
  <c r="IZ194" i="87"/>
  <c r="DP195" i="87"/>
  <c r="GR195" i="87"/>
  <c r="JT195" i="87"/>
  <c r="EJ197" i="87"/>
  <c r="HL197" i="87"/>
  <c r="IZ197" i="87"/>
  <c r="DP198" i="87"/>
  <c r="GR198" i="87"/>
  <c r="JT198" i="87"/>
  <c r="EJ199" i="87"/>
  <c r="AD200" i="87"/>
  <c r="CM200" i="87"/>
  <c r="CN200" i="87" s="1"/>
  <c r="P202" i="87"/>
  <c r="S202" i="87" s="1"/>
  <c r="EJ202" i="87"/>
  <c r="KX202" i="87"/>
  <c r="CL203" i="87"/>
  <c r="BR204" i="87"/>
  <c r="AX206" i="87"/>
  <c r="CL210" i="87"/>
  <c r="AD211" i="87"/>
  <c r="AX212" i="87"/>
  <c r="BR213" i="87"/>
  <c r="KX213" i="87"/>
  <c r="BN193" i="87"/>
  <c r="BQ193" i="87" s="1"/>
  <c r="BN222" i="87"/>
  <c r="BN189" i="87"/>
  <c r="BQ189" i="87" s="1"/>
  <c r="BS189" i="87" s="1"/>
  <c r="BT189" i="87" s="1"/>
  <c r="BN218" i="87"/>
  <c r="BN204" i="87"/>
  <c r="BQ204" i="87" s="1"/>
  <c r="BN174" i="87"/>
  <c r="BN198" i="87"/>
  <c r="BQ198" i="87" s="1"/>
  <c r="BS198" i="87" s="1"/>
  <c r="BT198" i="87" s="1"/>
  <c r="BN139" i="87"/>
  <c r="BQ139" i="87" s="1"/>
  <c r="BN213" i="87"/>
  <c r="BQ213" i="87" s="1"/>
  <c r="BN242" i="87"/>
  <c r="BN209" i="87"/>
  <c r="BQ209" i="87" s="1"/>
  <c r="BN238" i="87"/>
  <c r="BN207" i="87"/>
  <c r="BQ207" i="87" s="1"/>
  <c r="BN177" i="87"/>
  <c r="BN148" i="87"/>
  <c r="BQ148" i="87" s="1"/>
  <c r="BX195" i="87"/>
  <c r="CA195" i="87" s="1"/>
  <c r="BX165" i="87"/>
  <c r="BX193" i="87"/>
  <c r="BX163" i="87"/>
  <c r="BX134" i="87"/>
  <c r="BX191" i="87"/>
  <c r="BX220" i="87"/>
  <c r="BX161" i="87"/>
  <c r="BX189" i="87"/>
  <c r="CA189" i="87" s="1"/>
  <c r="CC189" i="87" s="1"/>
  <c r="CD189" i="87" s="1"/>
  <c r="BX159" i="87"/>
  <c r="BX204" i="87"/>
  <c r="CA204" i="87" s="1"/>
  <c r="BX233" i="87"/>
  <c r="BX145" i="87"/>
  <c r="CA145" i="87" s="1"/>
  <c r="BX202" i="87"/>
  <c r="BX231" i="87"/>
  <c r="BX143" i="87"/>
  <c r="BX200" i="87"/>
  <c r="CA200" i="87" s="1"/>
  <c r="BX229" i="87"/>
  <c r="BX170" i="87"/>
  <c r="BX141" i="87"/>
  <c r="CA141" i="87" s="1"/>
  <c r="BX198" i="87"/>
  <c r="CA198" i="87" s="1"/>
  <c r="CC198" i="87" s="1"/>
  <c r="CD198" i="87" s="1"/>
  <c r="BX227" i="87"/>
  <c r="BX168" i="87"/>
  <c r="BX213" i="87"/>
  <c r="BX183" i="87"/>
  <c r="BX154" i="87"/>
  <c r="CA154" i="87" s="1"/>
  <c r="BX211" i="87"/>
  <c r="BX240" i="87"/>
  <c r="BX181" i="87"/>
  <c r="BX152" i="87"/>
  <c r="BX209" i="87"/>
  <c r="CA209" i="87" s="1"/>
  <c r="BX179" i="87"/>
  <c r="BX150" i="87"/>
  <c r="CA150" i="87" s="1"/>
  <c r="BX207" i="87"/>
  <c r="CA207" i="87" s="1"/>
  <c r="BX236" i="87"/>
  <c r="CH195" i="87"/>
  <c r="CK195" i="87" s="1"/>
  <c r="CM195" i="87" s="1"/>
  <c r="CN195" i="87" s="1"/>
  <c r="CH224" i="87"/>
  <c r="CH136" i="87"/>
  <c r="CK136" i="87" s="1"/>
  <c r="CH193" i="87"/>
  <c r="CH222" i="87"/>
  <c r="CH189" i="87"/>
  <c r="CK189" i="87" s="1"/>
  <c r="CM189" i="87" s="1"/>
  <c r="CN189" i="87" s="1"/>
  <c r="CH218" i="87"/>
  <c r="CH204" i="87"/>
  <c r="CK204" i="87" s="1"/>
  <c r="CH174" i="87"/>
  <c r="CH202" i="87"/>
  <c r="CH172" i="87"/>
  <c r="CH198" i="87"/>
  <c r="CK198" i="87" s="1"/>
  <c r="CH139" i="87"/>
  <c r="CK139" i="87" s="1"/>
  <c r="CH213" i="87"/>
  <c r="CK213" i="87" s="1"/>
  <c r="CM213" i="87" s="1"/>
  <c r="CN213" i="87" s="1"/>
  <c r="CH242" i="87"/>
  <c r="CH209" i="87"/>
  <c r="CK209" i="87" s="1"/>
  <c r="CM209" i="87" s="1"/>
  <c r="CH238" i="87"/>
  <c r="CH207" i="87"/>
  <c r="CK207" i="87" s="1"/>
  <c r="CM207" i="87" s="1"/>
  <c r="CN207" i="87" s="1"/>
  <c r="CH177" i="87"/>
  <c r="CH148" i="87"/>
  <c r="CK148" i="87" s="1"/>
  <c r="CR195" i="87"/>
  <c r="CU195" i="87" s="1"/>
  <c r="CW195" i="87" s="1"/>
  <c r="CX195" i="87" s="1"/>
  <c r="CR165" i="87"/>
  <c r="CR193" i="87"/>
  <c r="CR163" i="87"/>
  <c r="CR134" i="87"/>
  <c r="CR191" i="87"/>
  <c r="CR220" i="87"/>
  <c r="CR161" i="87"/>
  <c r="CR189" i="87"/>
  <c r="CU189" i="87" s="1"/>
  <c r="CR159" i="87"/>
  <c r="CR204" i="87"/>
  <c r="CU204" i="87" s="1"/>
  <c r="CR233" i="87"/>
  <c r="CR145" i="87"/>
  <c r="CU145" i="87" s="1"/>
  <c r="CR202" i="87"/>
  <c r="CR231" i="87"/>
  <c r="CR143" i="87"/>
  <c r="CR200" i="87"/>
  <c r="CU200" i="87" s="1"/>
  <c r="CW200" i="87" s="1"/>
  <c r="CX200" i="87" s="1"/>
  <c r="CR229" i="87"/>
  <c r="CR170" i="87"/>
  <c r="CR141" i="87"/>
  <c r="CU141" i="87" s="1"/>
  <c r="CR198" i="87"/>
  <c r="CU198" i="87" s="1"/>
  <c r="CR227" i="87"/>
  <c r="CR168" i="87"/>
  <c r="CR213" i="87"/>
  <c r="CU213" i="87" s="1"/>
  <c r="CW213" i="87" s="1"/>
  <c r="CX213" i="87" s="1"/>
  <c r="CR183" i="87"/>
  <c r="CR154" i="87"/>
  <c r="CU154" i="87" s="1"/>
  <c r="CR211" i="87"/>
  <c r="CR240" i="87"/>
  <c r="CR181" i="87"/>
  <c r="CR152" i="87"/>
  <c r="CR209" i="87"/>
  <c r="CU209" i="87" s="1"/>
  <c r="CW209" i="87" s="1"/>
  <c r="CR179" i="87"/>
  <c r="CR150" i="87"/>
  <c r="CU150" i="87" s="1"/>
  <c r="CR207" i="87"/>
  <c r="CU207" i="87" s="1"/>
  <c r="CW207" i="87" s="1"/>
  <c r="CX207" i="87" s="1"/>
  <c r="CR236" i="87"/>
  <c r="DB195" i="87"/>
  <c r="DE195" i="87" s="1"/>
  <c r="DB224" i="87"/>
  <c r="DB136" i="87"/>
  <c r="DE136" i="87" s="1"/>
  <c r="DB193" i="87"/>
  <c r="DE193" i="87" s="1"/>
  <c r="DG193" i="87" s="1"/>
  <c r="DH193" i="87" s="1"/>
  <c r="DB222" i="87"/>
  <c r="DB189" i="87"/>
  <c r="DE189" i="87" s="1"/>
  <c r="DG189" i="87" s="1"/>
  <c r="DH189" i="87" s="1"/>
  <c r="DB218" i="87"/>
  <c r="DB204" i="87"/>
  <c r="DE204" i="87" s="1"/>
  <c r="DG204" i="87" s="1"/>
  <c r="DH204" i="87" s="1"/>
  <c r="DB174" i="87"/>
  <c r="DB202" i="87"/>
  <c r="DE202" i="87" s="1"/>
  <c r="DG202" i="87" s="1"/>
  <c r="DH202" i="87" s="1"/>
  <c r="DB172" i="87"/>
  <c r="DB198" i="87"/>
  <c r="DE198" i="87" s="1"/>
  <c r="DB139" i="87"/>
  <c r="DE139" i="87" s="1"/>
  <c r="DB213" i="87"/>
  <c r="DE213" i="87" s="1"/>
  <c r="DG213" i="87" s="1"/>
  <c r="DH213" i="87" s="1"/>
  <c r="DB242" i="87"/>
  <c r="DB209" i="87"/>
  <c r="DE209" i="87" s="1"/>
  <c r="DG209" i="87" s="1"/>
  <c r="DB238" i="87"/>
  <c r="DB207" i="87"/>
  <c r="DE207" i="87" s="1"/>
  <c r="DG207" i="87" s="1"/>
  <c r="DH207" i="87" s="1"/>
  <c r="DB177" i="87"/>
  <c r="DB148" i="87"/>
  <c r="DE148" i="87" s="1"/>
  <c r="DL195" i="87"/>
  <c r="DO195" i="87" s="1"/>
  <c r="DQ195" i="87" s="1"/>
  <c r="DR195" i="87" s="1"/>
  <c r="DL165" i="87"/>
  <c r="DL193" i="87"/>
  <c r="DO193" i="87" s="1"/>
  <c r="DQ193" i="87" s="1"/>
  <c r="DR193" i="87" s="1"/>
  <c r="DL163" i="87"/>
  <c r="DL134" i="87"/>
  <c r="DO134" i="87" s="1"/>
  <c r="DL191" i="87"/>
  <c r="DO191" i="87" s="1"/>
  <c r="DQ191" i="87" s="1"/>
  <c r="DR191" i="87" s="1"/>
  <c r="DL220" i="87"/>
  <c r="DL161" i="87"/>
  <c r="DL189" i="87"/>
  <c r="DO189" i="87" s="1"/>
  <c r="DQ189" i="87" s="1"/>
  <c r="DR189" i="87" s="1"/>
  <c r="DL159" i="87"/>
  <c r="DL204" i="87"/>
  <c r="DL233" i="87"/>
  <c r="DL145" i="87"/>
  <c r="DL231" i="87"/>
  <c r="DL143" i="87"/>
  <c r="DO143" i="87" s="1"/>
  <c r="DL200" i="87"/>
  <c r="DO200" i="87" s="1"/>
  <c r="DL229" i="87"/>
  <c r="DL170" i="87"/>
  <c r="DL141" i="87"/>
  <c r="DO141" i="87" s="1"/>
  <c r="DL198" i="87"/>
  <c r="DO198" i="87" s="1"/>
  <c r="DL227" i="87"/>
  <c r="DL168" i="87"/>
  <c r="DL213" i="87"/>
  <c r="DO213" i="87" s="1"/>
  <c r="DQ213" i="87" s="1"/>
  <c r="DR213" i="87" s="1"/>
  <c r="DL183" i="87"/>
  <c r="DL154" i="87"/>
  <c r="DO154" i="87" s="1"/>
  <c r="DL211" i="87"/>
  <c r="DO211" i="87" s="1"/>
  <c r="DL240" i="87"/>
  <c r="DL181" i="87"/>
  <c r="DL152" i="87"/>
  <c r="DO152" i="87" s="1"/>
  <c r="DL209" i="87"/>
  <c r="DO209" i="87" s="1"/>
  <c r="DL179" i="87"/>
  <c r="DL150" i="87"/>
  <c r="DO150" i="87" s="1"/>
  <c r="DL207" i="87"/>
  <c r="DO207" i="87" s="1"/>
  <c r="DQ207" i="87" s="1"/>
  <c r="DL236" i="87"/>
  <c r="DV195" i="87"/>
  <c r="DY195" i="87" s="1"/>
  <c r="DV224" i="87"/>
  <c r="DV136" i="87"/>
  <c r="DY136" i="87" s="1"/>
  <c r="DV189" i="87"/>
  <c r="DY189" i="87" s="1"/>
  <c r="EA189" i="87" s="1"/>
  <c r="EB189" i="87" s="1"/>
  <c r="DV218" i="87"/>
  <c r="DV204" i="87"/>
  <c r="DY204" i="87" s="1"/>
  <c r="DV174" i="87"/>
  <c r="DV145" i="87"/>
  <c r="DY145" i="87" s="1"/>
  <c r="DV202" i="87"/>
  <c r="DV172" i="87"/>
  <c r="DV143" i="87"/>
  <c r="DV213" i="87"/>
  <c r="DY213" i="87" s="1"/>
  <c r="DV242" i="87"/>
  <c r="DV209" i="87"/>
  <c r="DY209" i="87" s="1"/>
  <c r="DV238" i="87"/>
  <c r="DV207" i="87"/>
  <c r="DY207" i="87" s="1"/>
  <c r="DV177" i="87"/>
  <c r="DV148" i="87"/>
  <c r="DY148" i="87" s="1"/>
  <c r="EF195" i="87"/>
  <c r="EI195" i="87" s="1"/>
  <c r="EK195" i="87" s="1"/>
  <c r="EL195" i="87" s="1"/>
  <c r="EF165" i="87"/>
  <c r="EF193" i="87"/>
  <c r="EF163" i="87"/>
  <c r="EF134" i="87"/>
  <c r="EF191" i="87"/>
  <c r="EF220" i="87"/>
  <c r="EF161" i="87"/>
  <c r="EF189" i="87"/>
  <c r="EI189" i="87" s="1"/>
  <c r="EK189" i="87" s="1"/>
  <c r="EL189" i="87" s="1"/>
  <c r="EF159" i="87"/>
  <c r="EF204" i="87"/>
  <c r="EI204" i="87" s="1"/>
  <c r="EK204" i="87" s="1"/>
  <c r="EL204" i="87" s="1"/>
  <c r="EF233" i="87"/>
  <c r="EF202" i="87"/>
  <c r="EF231" i="87"/>
  <c r="EF200" i="87"/>
  <c r="EI200" i="87" s="1"/>
  <c r="EK200" i="87" s="1"/>
  <c r="EL200" i="87" s="1"/>
  <c r="EF229" i="87"/>
  <c r="EF170" i="87"/>
  <c r="EF198" i="87"/>
  <c r="EI198" i="87" s="1"/>
  <c r="EK198" i="87" s="1"/>
  <c r="EL198" i="87" s="1"/>
  <c r="EF227" i="87"/>
  <c r="EF168" i="87"/>
  <c r="EF139" i="87"/>
  <c r="EI139" i="87" s="1"/>
  <c r="EF213" i="87"/>
  <c r="EI213" i="87" s="1"/>
  <c r="EF183" i="87"/>
  <c r="EF154" i="87"/>
  <c r="EI154" i="87" s="1"/>
  <c r="EF211" i="87"/>
  <c r="EI211" i="87" s="1"/>
  <c r="EK211" i="87" s="1"/>
  <c r="EL211" i="87" s="1"/>
  <c r="EF240" i="87"/>
  <c r="EF181" i="87"/>
  <c r="EF152" i="87"/>
  <c r="EI152" i="87" s="1"/>
  <c r="EF209" i="87"/>
  <c r="EI209" i="87" s="1"/>
  <c r="EF179" i="87"/>
  <c r="EF150" i="87"/>
  <c r="EI150" i="87" s="1"/>
  <c r="EF207" i="87"/>
  <c r="EI207" i="87" s="1"/>
  <c r="EK207" i="87" s="1"/>
  <c r="EF236" i="87"/>
  <c r="EP195" i="87"/>
  <c r="ES195" i="87" s="1"/>
  <c r="EP224" i="87"/>
  <c r="EP136" i="87"/>
  <c r="ES136" i="87" s="1"/>
  <c r="EP193" i="87"/>
  <c r="EP222" i="87"/>
  <c r="EP189" i="87"/>
  <c r="ES189" i="87" s="1"/>
  <c r="EP218" i="87"/>
  <c r="EP204" i="87"/>
  <c r="ES204" i="87" s="1"/>
  <c r="EU204" i="87" s="1"/>
  <c r="EV204" i="87" s="1"/>
  <c r="EP174" i="87"/>
  <c r="EP145" i="87"/>
  <c r="ES145" i="87" s="1"/>
  <c r="EP202" i="87"/>
  <c r="EP172" i="87"/>
  <c r="EP143" i="87"/>
  <c r="EP200" i="87"/>
  <c r="ES200" i="87" s="1"/>
  <c r="EU200" i="87" s="1"/>
  <c r="EV200" i="87" s="1"/>
  <c r="EP141" i="87"/>
  <c r="ES141" i="87" s="1"/>
  <c r="EP213" i="87"/>
  <c r="ES213" i="87" s="1"/>
  <c r="EU213" i="87" s="1"/>
  <c r="EV213" i="87" s="1"/>
  <c r="EP242" i="87"/>
  <c r="EP154" i="87"/>
  <c r="ES154" i="87" s="1"/>
  <c r="EP211" i="87"/>
  <c r="EP152" i="87"/>
  <c r="EP209" i="87"/>
  <c r="ES209" i="87" s="1"/>
  <c r="EU209" i="87" s="1"/>
  <c r="EP238" i="87"/>
  <c r="EP150" i="87"/>
  <c r="ES150" i="87" s="1"/>
  <c r="EP207" i="87"/>
  <c r="ES207" i="87" s="1"/>
  <c r="EU207" i="87" s="1"/>
  <c r="EP177" i="87"/>
  <c r="EZ195" i="87"/>
  <c r="FC195" i="87" s="1"/>
  <c r="FE195" i="87" s="1"/>
  <c r="FF195" i="87" s="1"/>
  <c r="EZ165" i="87"/>
  <c r="EZ136" i="87"/>
  <c r="FC136" i="87" s="1"/>
  <c r="EZ193" i="87"/>
  <c r="EZ163" i="87"/>
  <c r="EZ134" i="87"/>
  <c r="EZ191" i="87"/>
  <c r="EZ220" i="87"/>
  <c r="EZ161" i="87"/>
  <c r="EZ189" i="87"/>
  <c r="FC189" i="87" s="1"/>
  <c r="EZ159" i="87"/>
  <c r="EZ204" i="87"/>
  <c r="FC204" i="87" s="1"/>
  <c r="FE204" i="87" s="1"/>
  <c r="FF204" i="87" s="1"/>
  <c r="EZ233" i="87"/>
  <c r="EZ202" i="87"/>
  <c r="EZ231" i="87"/>
  <c r="EZ200" i="87"/>
  <c r="FC200" i="87" s="1"/>
  <c r="FE200" i="87" s="1"/>
  <c r="FF200" i="87" s="1"/>
  <c r="EZ229" i="87"/>
  <c r="EZ170" i="87"/>
  <c r="EZ198" i="87"/>
  <c r="FC198" i="87" s="1"/>
  <c r="FE198" i="87" s="1"/>
  <c r="FF198" i="87" s="1"/>
  <c r="EZ227" i="87"/>
  <c r="EZ168" i="87"/>
  <c r="EZ139" i="87"/>
  <c r="FC139" i="87" s="1"/>
  <c r="EZ213" i="87"/>
  <c r="FC213" i="87" s="1"/>
  <c r="FE213" i="87" s="1"/>
  <c r="FF213" i="87" s="1"/>
  <c r="EZ183" i="87"/>
  <c r="EZ211" i="87"/>
  <c r="EZ240" i="87"/>
  <c r="EZ181" i="87"/>
  <c r="EZ209" i="87"/>
  <c r="FC209" i="87" s="1"/>
  <c r="FE209" i="87" s="1"/>
  <c r="EZ179" i="87"/>
  <c r="EZ207" i="87"/>
  <c r="FC207" i="87" s="1"/>
  <c r="EZ236" i="87"/>
  <c r="EZ148" i="87"/>
  <c r="FC148" i="87" s="1"/>
  <c r="FJ195" i="87"/>
  <c r="FM195" i="87" s="1"/>
  <c r="FJ224" i="87"/>
  <c r="FJ193" i="87"/>
  <c r="FJ222" i="87"/>
  <c r="FJ189" i="87"/>
  <c r="FM189" i="87" s="1"/>
  <c r="FJ218" i="87"/>
  <c r="FJ204" i="87"/>
  <c r="FM204" i="87" s="1"/>
  <c r="FO204" i="87" s="1"/>
  <c r="FP204" i="87" s="1"/>
  <c r="FJ174" i="87"/>
  <c r="FJ145" i="87"/>
  <c r="FM145" i="87" s="1"/>
  <c r="FJ202" i="87"/>
  <c r="FM202" i="87" s="1"/>
  <c r="FJ172" i="87"/>
  <c r="FJ143" i="87"/>
  <c r="FM143" i="87" s="1"/>
  <c r="FJ213" i="87"/>
  <c r="FM213" i="87" s="1"/>
  <c r="FJ242" i="87"/>
  <c r="FJ154" i="87"/>
  <c r="FM154" i="87" s="1"/>
  <c r="FJ211" i="87"/>
  <c r="FM211" i="87" s="1"/>
  <c r="FJ152" i="87"/>
  <c r="FM152" i="87" s="1"/>
  <c r="FJ209" i="87"/>
  <c r="FM209" i="87" s="1"/>
  <c r="FJ238" i="87"/>
  <c r="FJ150" i="87"/>
  <c r="FM150" i="87" s="1"/>
  <c r="FJ207" i="87"/>
  <c r="FM207" i="87" s="1"/>
  <c r="FJ177" i="87"/>
  <c r="FT195" i="87"/>
  <c r="FW195" i="87" s="1"/>
  <c r="FY195" i="87" s="1"/>
  <c r="FZ195" i="87" s="1"/>
  <c r="FT165" i="87"/>
  <c r="FT136" i="87"/>
  <c r="FW136" i="87" s="1"/>
  <c r="FT193" i="87"/>
  <c r="FT163" i="87"/>
  <c r="FT134" i="87"/>
  <c r="FT191" i="87"/>
  <c r="FT220" i="87"/>
  <c r="FT161" i="87"/>
  <c r="FT189" i="87"/>
  <c r="FW189" i="87" s="1"/>
  <c r="FT159" i="87"/>
  <c r="FT204" i="87"/>
  <c r="FW204" i="87" s="1"/>
  <c r="FT233" i="87"/>
  <c r="FT145" i="87"/>
  <c r="FW145" i="87" s="1"/>
  <c r="FT200" i="87"/>
  <c r="FW200" i="87" s="1"/>
  <c r="FY200" i="87" s="1"/>
  <c r="FZ200" i="87" s="1"/>
  <c r="FT229" i="87"/>
  <c r="FT170" i="87"/>
  <c r="FT141" i="87"/>
  <c r="FW141" i="87" s="1"/>
  <c r="FT198" i="87"/>
  <c r="FW198" i="87" s="1"/>
  <c r="FT227" i="87"/>
  <c r="FT168" i="87"/>
  <c r="FT139" i="87"/>
  <c r="FW139" i="87" s="1"/>
  <c r="FT213" i="87"/>
  <c r="FW213" i="87" s="1"/>
  <c r="FT183" i="87"/>
  <c r="FT211" i="87"/>
  <c r="FW211" i="87" s="1"/>
  <c r="FT240" i="87"/>
  <c r="FT181" i="87"/>
  <c r="FT209" i="87"/>
  <c r="FW209" i="87" s="1"/>
  <c r="FY209" i="87" s="1"/>
  <c r="FT179" i="87"/>
  <c r="FT207" i="87"/>
  <c r="FW207" i="87" s="1"/>
  <c r="FT236" i="87"/>
  <c r="FT148" i="87"/>
  <c r="FW148" i="87" s="1"/>
  <c r="GD195" i="87"/>
  <c r="GG195" i="87" s="1"/>
  <c r="GD224" i="87"/>
  <c r="GD193" i="87"/>
  <c r="GD222" i="87"/>
  <c r="GD189" i="87"/>
  <c r="GG189" i="87" s="1"/>
  <c r="GI189" i="87" s="1"/>
  <c r="GJ189" i="87" s="1"/>
  <c r="GD218" i="87"/>
  <c r="GD204" i="87"/>
  <c r="GG204" i="87" s="1"/>
  <c r="GI204" i="87" s="1"/>
  <c r="GJ204" i="87" s="1"/>
  <c r="GD174" i="87"/>
  <c r="GD202" i="87"/>
  <c r="GD172" i="87"/>
  <c r="GD143" i="87"/>
  <c r="GD213" i="87"/>
  <c r="GG213" i="87" s="1"/>
  <c r="GD242" i="87"/>
  <c r="GD154" i="87"/>
  <c r="GG154" i="87" s="1"/>
  <c r="GD211" i="87"/>
  <c r="GD152" i="87"/>
  <c r="GD209" i="87"/>
  <c r="GG209" i="87" s="1"/>
  <c r="GI209" i="87" s="1"/>
  <c r="GD238" i="87"/>
  <c r="GD150" i="87"/>
  <c r="GG150" i="87" s="1"/>
  <c r="GD207" i="87"/>
  <c r="GG207" i="87" s="1"/>
  <c r="GD177" i="87"/>
  <c r="GN195" i="87"/>
  <c r="GQ195" i="87" s="1"/>
  <c r="GS195" i="87" s="1"/>
  <c r="GT195" i="87" s="1"/>
  <c r="GN165" i="87"/>
  <c r="GN136" i="87"/>
  <c r="GQ136" i="87" s="1"/>
  <c r="GN193" i="87"/>
  <c r="GQ193" i="87" s="1"/>
  <c r="GS193" i="87" s="1"/>
  <c r="GN163" i="87"/>
  <c r="GN134" i="87"/>
  <c r="GQ134" i="87" s="1"/>
  <c r="GN191" i="87"/>
  <c r="GN220" i="87"/>
  <c r="GN161" i="87"/>
  <c r="GN132" i="87"/>
  <c r="GN189" i="87"/>
  <c r="GQ189" i="87" s="1"/>
  <c r="GS189" i="87" s="1"/>
  <c r="GT189" i="87" s="1"/>
  <c r="GN159" i="87"/>
  <c r="GN204" i="87"/>
  <c r="GQ204" i="87" s="1"/>
  <c r="GS204" i="87" s="1"/>
  <c r="GT204" i="87" s="1"/>
  <c r="GN233" i="87"/>
  <c r="GN145" i="87"/>
  <c r="GQ145" i="87" s="1"/>
  <c r="GN202" i="87"/>
  <c r="GN231" i="87"/>
  <c r="GN200" i="87"/>
  <c r="GQ200" i="87" s="1"/>
  <c r="GS200" i="87" s="1"/>
  <c r="GT200" i="87" s="1"/>
  <c r="GN229" i="87"/>
  <c r="GN170" i="87"/>
  <c r="GN141" i="87"/>
  <c r="GQ141" i="87" s="1"/>
  <c r="GN198" i="87"/>
  <c r="GQ198" i="87" s="1"/>
  <c r="GS198" i="87" s="1"/>
  <c r="GT198" i="87" s="1"/>
  <c r="GN227" i="87"/>
  <c r="GN168" i="87"/>
  <c r="GN139" i="87"/>
  <c r="GQ139" i="87" s="1"/>
  <c r="GN213" i="87"/>
  <c r="GQ213" i="87" s="1"/>
  <c r="GS213" i="87" s="1"/>
  <c r="GT213" i="87" s="1"/>
  <c r="GN183" i="87"/>
  <c r="GN154" i="87"/>
  <c r="GQ154" i="87" s="1"/>
  <c r="GN211" i="87"/>
  <c r="GQ211" i="87" s="1"/>
  <c r="GS211" i="87" s="1"/>
  <c r="GT211" i="87" s="1"/>
  <c r="GN240" i="87"/>
  <c r="GN181" i="87"/>
  <c r="GN152" i="87"/>
  <c r="GQ152" i="87" s="1"/>
  <c r="GN209" i="87"/>
  <c r="GQ209" i="87" s="1"/>
  <c r="GS209" i="87" s="1"/>
  <c r="GN179" i="87"/>
  <c r="GN150" i="87"/>
  <c r="GQ150" i="87" s="1"/>
  <c r="GN207" i="87"/>
  <c r="GQ207" i="87" s="1"/>
  <c r="GS207" i="87" s="1"/>
  <c r="GN236" i="87"/>
  <c r="GX195" i="87"/>
  <c r="HA195" i="87" s="1"/>
  <c r="GX224" i="87"/>
  <c r="GX193" i="87"/>
  <c r="GX222" i="87"/>
  <c r="GX189" i="87"/>
  <c r="HA189" i="87" s="1"/>
  <c r="HC189" i="87" s="1"/>
  <c r="HD189" i="87" s="1"/>
  <c r="GX218" i="87"/>
  <c r="GX204" i="87"/>
  <c r="HA204" i="87" s="1"/>
  <c r="GX174" i="87"/>
  <c r="GX172" i="87"/>
  <c r="GX143" i="87"/>
  <c r="HA143" i="87" s="1"/>
  <c r="GX213" i="87"/>
  <c r="HA213" i="87" s="1"/>
  <c r="GX242" i="87"/>
  <c r="GX154" i="87"/>
  <c r="HA154" i="87" s="1"/>
  <c r="GX211" i="87"/>
  <c r="HA211" i="87" s="1"/>
  <c r="GX152" i="87"/>
  <c r="HA152" i="87" s="1"/>
  <c r="GX209" i="87"/>
  <c r="HA209" i="87" s="1"/>
  <c r="GX238" i="87"/>
  <c r="GX150" i="87"/>
  <c r="HA150" i="87" s="1"/>
  <c r="GX207" i="87"/>
  <c r="HA207" i="87" s="1"/>
  <c r="GX177" i="87"/>
  <c r="HH195" i="87"/>
  <c r="HK195" i="87" s="1"/>
  <c r="HM195" i="87" s="1"/>
  <c r="HN195" i="87" s="1"/>
  <c r="HH165" i="87"/>
  <c r="HH193" i="87"/>
  <c r="HH163" i="87"/>
  <c r="HH134" i="87"/>
  <c r="HH191" i="87"/>
  <c r="HH220" i="87"/>
  <c r="HH161" i="87"/>
  <c r="HH132" i="87"/>
  <c r="HH189" i="87"/>
  <c r="HK189" i="87" s="1"/>
  <c r="HM189" i="87" s="1"/>
  <c r="HN189" i="87" s="1"/>
  <c r="HH159" i="87"/>
  <c r="HH204" i="87"/>
  <c r="HK204" i="87" s="1"/>
  <c r="HM204" i="87" s="1"/>
  <c r="HN204" i="87" s="1"/>
  <c r="HH233" i="87"/>
  <c r="HH145" i="87"/>
  <c r="HK145" i="87" s="1"/>
  <c r="HH202" i="87"/>
  <c r="HH231" i="87"/>
  <c r="HH200" i="87"/>
  <c r="HK200" i="87" s="1"/>
  <c r="HM200" i="87" s="1"/>
  <c r="HN200" i="87" s="1"/>
  <c r="HH229" i="87"/>
  <c r="HH170" i="87"/>
  <c r="HH141" i="87"/>
  <c r="HK141" i="87" s="1"/>
  <c r="HH198" i="87"/>
  <c r="HK198" i="87" s="1"/>
  <c r="HM198" i="87" s="1"/>
  <c r="HN198" i="87" s="1"/>
  <c r="HH227" i="87"/>
  <c r="HH168" i="87"/>
  <c r="HH139" i="87"/>
  <c r="HK139" i="87" s="1"/>
  <c r="HH213" i="87"/>
  <c r="HK213" i="87" s="1"/>
  <c r="HM213" i="87" s="1"/>
  <c r="HN213" i="87" s="1"/>
  <c r="HH183" i="87"/>
  <c r="HH211" i="87"/>
  <c r="HK211" i="87" s="1"/>
  <c r="HM211" i="87" s="1"/>
  <c r="HN211" i="87" s="1"/>
  <c r="HH240" i="87"/>
  <c r="HH181" i="87"/>
  <c r="HH209" i="87"/>
  <c r="HK209" i="87" s="1"/>
  <c r="HM209" i="87" s="1"/>
  <c r="HH179" i="87"/>
  <c r="HH207" i="87"/>
  <c r="HK207" i="87" s="1"/>
  <c r="HM207" i="87" s="1"/>
  <c r="HH236" i="87"/>
  <c r="HH148" i="87"/>
  <c r="HK148" i="87" s="1"/>
  <c r="HR195" i="87"/>
  <c r="HU195" i="87" s="1"/>
  <c r="HR224" i="87"/>
  <c r="HR136" i="87"/>
  <c r="HU136" i="87" s="1"/>
  <c r="HR193" i="87"/>
  <c r="HR222" i="87"/>
  <c r="HR189" i="87"/>
  <c r="HU189" i="87" s="1"/>
  <c r="HW189" i="87" s="1"/>
  <c r="HX189" i="87" s="1"/>
  <c r="HR218" i="87"/>
  <c r="HR204" i="87"/>
  <c r="HU204" i="87" s="1"/>
  <c r="HW204" i="87" s="1"/>
  <c r="HX204" i="87" s="1"/>
  <c r="HR174" i="87"/>
  <c r="HR202" i="87"/>
  <c r="HR172" i="87"/>
  <c r="HR143" i="87"/>
  <c r="HR213" i="87"/>
  <c r="HU213" i="87" s="1"/>
  <c r="HW213" i="87" s="1"/>
  <c r="HX213" i="87" s="1"/>
  <c r="HR242" i="87"/>
  <c r="HR154" i="87"/>
  <c r="HU154" i="87" s="1"/>
  <c r="HR211" i="87"/>
  <c r="HU211" i="87" s="1"/>
  <c r="HW211" i="87" s="1"/>
  <c r="HX211" i="87" s="1"/>
  <c r="HR152" i="87"/>
  <c r="HU152" i="87" s="1"/>
  <c r="HR209" i="87"/>
  <c r="HU209" i="87" s="1"/>
  <c r="HW209" i="87" s="1"/>
  <c r="HR238" i="87"/>
  <c r="HR150" i="87"/>
  <c r="HU150" i="87" s="1"/>
  <c r="HR207" i="87"/>
  <c r="HU207" i="87" s="1"/>
  <c r="HR177" i="87"/>
  <c r="IB195" i="87"/>
  <c r="IE195" i="87" s="1"/>
  <c r="IB165" i="87"/>
  <c r="IB193" i="87"/>
  <c r="IB163" i="87"/>
  <c r="IB134" i="87"/>
  <c r="IB191" i="87"/>
  <c r="IB220" i="87"/>
  <c r="IB161" i="87"/>
  <c r="IB132" i="87"/>
  <c r="IB189" i="87"/>
  <c r="IB159" i="87"/>
  <c r="IB204" i="87"/>
  <c r="IE204" i="87" s="1"/>
  <c r="IB233" i="87"/>
  <c r="IB145" i="87"/>
  <c r="IE145" i="87" s="1"/>
  <c r="IB202" i="87"/>
  <c r="IB231" i="87"/>
  <c r="IB200" i="87"/>
  <c r="IE200" i="87" s="1"/>
  <c r="IB229" i="87"/>
  <c r="IB170" i="87"/>
  <c r="IB141" i="87"/>
  <c r="IE141" i="87" s="1"/>
  <c r="IB198" i="87"/>
  <c r="IE198" i="87" s="1"/>
  <c r="IB227" i="87"/>
  <c r="IB168" i="87"/>
  <c r="IB139" i="87"/>
  <c r="IE139" i="87" s="1"/>
  <c r="IB213" i="87"/>
  <c r="IE213" i="87" s="1"/>
  <c r="IB183" i="87"/>
  <c r="IB211" i="87"/>
  <c r="IE211" i="87" s="1"/>
  <c r="IB240" i="87"/>
  <c r="IB181" i="87"/>
  <c r="IB209" i="87"/>
  <c r="IE209" i="87" s="1"/>
  <c r="IB179" i="87"/>
  <c r="IB207" i="87"/>
  <c r="IE207" i="87" s="1"/>
  <c r="IB236" i="87"/>
  <c r="IB148" i="87"/>
  <c r="IE148" i="87" s="1"/>
  <c r="IL195" i="87"/>
  <c r="IO195" i="87" s="1"/>
  <c r="IL224" i="87"/>
  <c r="IL136" i="87"/>
  <c r="IL193" i="87"/>
  <c r="IO193" i="87" s="1"/>
  <c r="IL222" i="87"/>
  <c r="IL189" i="87"/>
  <c r="IL218" i="87"/>
  <c r="IL204" i="87"/>
  <c r="IO204" i="87" s="1"/>
  <c r="IQ204" i="87" s="1"/>
  <c r="IR204" i="87" s="1"/>
  <c r="IL174" i="87"/>
  <c r="IL202" i="87"/>
  <c r="IL172" i="87"/>
  <c r="IL143" i="87"/>
  <c r="IL213" i="87"/>
  <c r="IO213" i="87" s="1"/>
  <c r="IL242" i="87"/>
  <c r="IL154" i="87"/>
  <c r="IO154" i="87" s="1"/>
  <c r="IL211" i="87"/>
  <c r="IO211" i="87" s="1"/>
  <c r="IL152" i="87"/>
  <c r="IO152" i="87" s="1"/>
  <c r="IL209" i="87"/>
  <c r="IO209" i="87" s="1"/>
  <c r="IL238" i="87"/>
  <c r="IL150" i="87"/>
  <c r="IO150" i="87" s="1"/>
  <c r="IL207" i="87"/>
  <c r="IO207" i="87" s="1"/>
  <c r="IL177" i="87"/>
  <c r="IV195" i="87"/>
  <c r="IY195" i="87" s="1"/>
  <c r="JA195" i="87" s="1"/>
  <c r="JB195" i="87" s="1"/>
  <c r="IV165" i="87"/>
  <c r="IV193" i="87"/>
  <c r="IV163" i="87"/>
  <c r="IV134" i="87"/>
  <c r="IV191" i="87"/>
  <c r="IV220" i="87"/>
  <c r="IV161" i="87"/>
  <c r="IV132" i="87"/>
  <c r="IV189" i="87"/>
  <c r="IY189" i="87" s="1"/>
  <c r="JA189" i="87" s="1"/>
  <c r="JB189" i="87" s="1"/>
  <c r="IV159" i="87"/>
  <c r="IV204" i="87"/>
  <c r="IY204" i="87" s="1"/>
  <c r="JA204" i="87" s="1"/>
  <c r="JB204" i="87" s="1"/>
  <c r="IV233" i="87"/>
  <c r="IV145" i="87"/>
  <c r="IY145" i="87" s="1"/>
  <c r="IV202" i="87"/>
  <c r="IV231" i="87"/>
  <c r="IV200" i="87"/>
  <c r="IY200" i="87" s="1"/>
  <c r="JA200" i="87" s="1"/>
  <c r="JB200" i="87" s="1"/>
  <c r="IV229" i="87"/>
  <c r="IV170" i="87"/>
  <c r="IV141" i="87"/>
  <c r="IY141" i="87" s="1"/>
  <c r="IV198" i="87"/>
  <c r="IY198" i="87" s="1"/>
  <c r="JA198" i="87" s="1"/>
  <c r="JB198" i="87" s="1"/>
  <c r="IV227" i="87"/>
  <c r="IV168" i="87"/>
  <c r="IV139" i="87"/>
  <c r="IY139" i="87" s="1"/>
  <c r="IV213" i="87"/>
  <c r="IY213" i="87" s="1"/>
  <c r="JA213" i="87" s="1"/>
  <c r="JB213" i="87" s="1"/>
  <c r="IV183" i="87"/>
  <c r="IV211" i="87"/>
  <c r="IY211" i="87" s="1"/>
  <c r="JA211" i="87" s="1"/>
  <c r="JB211" i="87" s="1"/>
  <c r="IV240" i="87"/>
  <c r="IV181" i="87"/>
  <c r="IV209" i="87"/>
  <c r="IY209" i="87" s="1"/>
  <c r="JA209" i="87" s="1"/>
  <c r="IV179" i="87"/>
  <c r="IV207" i="87"/>
  <c r="IY207" i="87" s="1"/>
  <c r="JA207" i="87" s="1"/>
  <c r="IV236" i="87"/>
  <c r="IV148" i="87"/>
  <c r="IY148" i="87" s="1"/>
  <c r="JF195" i="87"/>
  <c r="JI195" i="87" s="1"/>
  <c r="JF224" i="87"/>
  <c r="JF136" i="87"/>
  <c r="JI136" i="87" s="1"/>
  <c r="JF193" i="87"/>
  <c r="JF222" i="87"/>
  <c r="JF189" i="87"/>
  <c r="JI189" i="87" s="1"/>
  <c r="JF218" i="87"/>
  <c r="JF204" i="87"/>
  <c r="JI204" i="87" s="1"/>
  <c r="JK204" i="87" s="1"/>
  <c r="JL204" i="87" s="1"/>
  <c r="JF174" i="87"/>
  <c r="JF202" i="87"/>
  <c r="JF172" i="87"/>
  <c r="JF143" i="87"/>
  <c r="JF213" i="87"/>
  <c r="JI213" i="87" s="1"/>
  <c r="JK213" i="87" s="1"/>
  <c r="JL213" i="87" s="1"/>
  <c r="JF242" i="87"/>
  <c r="JF209" i="87"/>
  <c r="JI209" i="87" s="1"/>
  <c r="JK209" i="87" s="1"/>
  <c r="JF238" i="87"/>
  <c r="JF150" i="87"/>
  <c r="JI150" i="87" s="1"/>
  <c r="JF207" i="87"/>
  <c r="JI207" i="87" s="1"/>
  <c r="JK207" i="87" s="1"/>
  <c r="JF177" i="87"/>
  <c r="JF148" i="87"/>
  <c r="JI148" i="87" s="1"/>
  <c r="JP195" i="87"/>
  <c r="JS195" i="87" s="1"/>
  <c r="JU195" i="87" s="1"/>
  <c r="JV195" i="87" s="1"/>
  <c r="JP165" i="87"/>
  <c r="JP193" i="87"/>
  <c r="JP163" i="87"/>
  <c r="JP134" i="87"/>
  <c r="JP191" i="87"/>
  <c r="JP220" i="87"/>
  <c r="JP161" i="87"/>
  <c r="JP132" i="87"/>
  <c r="JP189" i="87"/>
  <c r="JS189" i="87" s="1"/>
  <c r="JU189" i="87" s="1"/>
  <c r="JV189" i="87" s="1"/>
  <c r="JP159" i="87"/>
  <c r="JP204" i="87"/>
  <c r="JS204" i="87" s="1"/>
  <c r="JU204" i="87" s="1"/>
  <c r="JV204" i="87" s="1"/>
  <c r="JP233" i="87"/>
  <c r="JP145" i="87"/>
  <c r="JS145" i="87" s="1"/>
  <c r="JP202" i="87"/>
  <c r="JP231" i="87"/>
  <c r="JP200" i="87"/>
  <c r="JS200" i="87" s="1"/>
  <c r="JU200" i="87" s="1"/>
  <c r="JV200" i="87" s="1"/>
  <c r="JP229" i="87"/>
  <c r="JP170" i="87"/>
  <c r="JP141" i="87"/>
  <c r="JS141" i="87" s="1"/>
  <c r="JP198" i="87"/>
  <c r="JS198" i="87" s="1"/>
  <c r="JU198" i="87" s="1"/>
  <c r="JV198" i="87" s="1"/>
  <c r="JP227" i="87"/>
  <c r="JP168" i="87"/>
  <c r="JP139" i="87"/>
  <c r="JS139" i="87" s="1"/>
  <c r="JP213" i="87"/>
  <c r="JS213" i="87" s="1"/>
  <c r="JP183" i="87"/>
  <c r="JP154" i="87"/>
  <c r="JS154" i="87" s="1"/>
  <c r="JP211" i="87"/>
  <c r="JP240" i="87"/>
  <c r="JP181" i="87"/>
  <c r="JP152" i="87"/>
  <c r="JP209" i="87"/>
  <c r="JS209" i="87" s="1"/>
  <c r="JU209" i="87" s="1"/>
  <c r="JP179" i="87"/>
  <c r="JP207" i="87"/>
  <c r="JS207" i="87" s="1"/>
  <c r="JU207" i="87" s="1"/>
  <c r="JP236" i="87"/>
  <c r="JZ195" i="87"/>
  <c r="KC195" i="87" s="1"/>
  <c r="JZ224" i="87"/>
  <c r="JZ136" i="87"/>
  <c r="KC136" i="87" s="1"/>
  <c r="JZ193" i="87"/>
  <c r="KC193" i="87" s="1"/>
  <c r="JZ222" i="87"/>
  <c r="JZ189" i="87"/>
  <c r="KC189" i="87" s="1"/>
  <c r="KE189" i="87" s="1"/>
  <c r="KF189" i="87" s="1"/>
  <c r="JZ218" i="87"/>
  <c r="JZ204" i="87"/>
  <c r="KC204" i="87" s="1"/>
  <c r="KE204" i="87" s="1"/>
  <c r="KF204" i="87" s="1"/>
  <c r="JZ174" i="87"/>
  <c r="JZ202" i="87"/>
  <c r="KC202" i="87" s="1"/>
  <c r="JZ172" i="87"/>
  <c r="JZ143" i="87"/>
  <c r="KC143" i="87" s="1"/>
  <c r="JZ213" i="87"/>
  <c r="KC213" i="87" s="1"/>
  <c r="JZ242" i="87"/>
  <c r="JZ211" i="87"/>
  <c r="KC211" i="87" s="1"/>
  <c r="JZ152" i="87"/>
  <c r="KC152" i="87" s="1"/>
  <c r="JZ209" i="87"/>
  <c r="KC209" i="87" s="1"/>
  <c r="JZ238" i="87"/>
  <c r="JZ207" i="87"/>
  <c r="KC207" i="87" s="1"/>
  <c r="JZ177" i="87"/>
  <c r="KJ195" i="87"/>
  <c r="KM195" i="87" s="1"/>
  <c r="KJ165" i="87"/>
  <c r="KJ193" i="87"/>
  <c r="KM193" i="87" s="1"/>
  <c r="KO193" i="87" s="1"/>
  <c r="KJ163" i="87"/>
  <c r="KJ134" i="87"/>
  <c r="KM134" i="87" s="1"/>
  <c r="KJ191" i="87"/>
  <c r="KJ220" i="87"/>
  <c r="KJ161" i="87"/>
  <c r="KJ132" i="87"/>
  <c r="KJ189" i="87"/>
  <c r="KM189" i="87" s="1"/>
  <c r="KJ159" i="87"/>
  <c r="KJ204" i="87"/>
  <c r="KM204" i="87" s="1"/>
  <c r="KO204" i="87" s="1"/>
  <c r="KP204" i="87" s="1"/>
  <c r="KJ233" i="87"/>
  <c r="KJ202" i="87"/>
  <c r="KM202" i="87" s="1"/>
  <c r="KJ231" i="87"/>
  <c r="KJ143" i="87"/>
  <c r="KM143" i="87" s="1"/>
  <c r="KJ200" i="87"/>
  <c r="KJ229" i="87"/>
  <c r="KJ170" i="87"/>
  <c r="KJ141" i="87"/>
  <c r="KM141" i="87" s="1"/>
  <c r="KJ198" i="87"/>
  <c r="KM198" i="87" s="1"/>
  <c r="KJ227" i="87"/>
  <c r="KJ168" i="87"/>
  <c r="KJ139" i="87"/>
  <c r="KM139" i="87" s="1"/>
  <c r="KJ213" i="87"/>
  <c r="KM213" i="87" s="1"/>
  <c r="KJ183" i="87"/>
  <c r="KJ154" i="87"/>
  <c r="KM154" i="87" s="1"/>
  <c r="KJ211" i="87"/>
  <c r="KM211" i="87" s="1"/>
  <c r="KO211" i="87" s="1"/>
  <c r="KJ240" i="87"/>
  <c r="KJ181" i="87"/>
  <c r="KJ209" i="87"/>
  <c r="KM209" i="87" s="1"/>
  <c r="KO209" i="87" s="1"/>
  <c r="KJ179" i="87"/>
  <c r="KJ150" i="87"/>
  <c r="KM150" i="87" s="1"/>
  <c r="KJ207" i="87"/>
  <c r="KM207" i="87" s="1"/>
  <c r="KO207" i="87" s="1"/>
  <c r="KJ236" i="87"/>
  <c r="KJ148" i="87"/>
  <c r="KM148" i="87" s="1"/>
  <c r="KT195" i="87"/>
  <c r="KW195" i="87" s="1"/>
  <c r="KT224" i="87"/>
  <c r="KT136" i="87"/>
  <c r="KT193" i="87"/>
  <c r="KT222" i="87"/>
  <c r="KT189" i="87"/>
  <c r="KW189" i="87" s="1"/>
  <c r="KY189" i="87" s="1"/>
  <c r="KZ189" i="87" s="1"/>
  <c r="KT218" i="87"/>
  <c r="KT204" i="87"/>
  <c r="KW204" i="87" s="1"/>
  <c r="KY204" i="87" s="1"/>
  <c r="KZ204" i="87" s="1"/>
  <c r="KT174" i="87"/>
  <c r="KT145" i="87"/>
  <c r="KW145" i="87" s="1"/>
  <c r="KT202" i="87"/>
  <c r="KT172" i="87"/>
  <c r="KT213" i="87"/>
  <c r="KW213" i="87" s="1"/>
  <c r="KT242" i="87"/>
  <c r="KT211" i="87"/>
  <c r="KW211" i="87" s="1"/>
  <c r="KY211" i="87" s="1"/>
  <c r="KT152" i="87"/>
  <c r="KW152" i="87" s="1"/>
  <c r="KT209" i="87"/>
  <c r="KW209" i="87" s="1"/>
  <c r="KT238" i="87"/>
  <c r="KT207" i="87"/>
  <c r="KW207" i="87" s="1"/>
  <c r="KT177" i="87"/>
  <c r="BS211" i="87"/>
  <c r="BT211" i="87" s="1"/>
  <c r="CM211" i="87"/>
  <c r="CN211" i="87" s="1"/>
  <c r="DG211" i="87"/>
  <c r="DH211" i="87" s="1"/>
  <c r="KY198" i="87"/>
  <c r="KZ198" i="87" s="1"/>
  <c r="DV200" i="87"/>
  <c r="DY200" i="87" s="1"/>
  <c r="BN202" i="87"/>
  <c r="BQ202" i="87" s="1"/>
  <c r="BS202" i="87" s="1"/>
  <c r="BT202" i="87" s="1"/>
  <c r="T213" i="87"/>
  <c r="T212" i="87"/>
  <c r="T211" i="87"/>
  <c r="T210" i="87"/>
  <c r="T209" i="87"/>
  <c r="T208" i="87"/>
  <c r="T207" i="87"/>
  <c r="T200" i="87"/>
  <c r="AN213" i="87"/>
  <c r="AN212" i="87"/>
  <c r="AN211" i="87"/>
  <c r="AN210" i="87"/>
  <c r="AN209" i="87"/>
  <c r="AN208" i="87"/>
  <c r="AN207" i="87"/>
  <c r="AN201" i="87"/>
  <c r="AN200" i="87"/>
  <c r="AN193" i="87"/>
  <c r="BH213" i="87"/>
  <c r="BH212" i="87"/>
  <c r="BH211" i="87"/>
  <c r="BH210" i="87"/>
  <c r="BH209" i="87"/>
  <c r="BH208" i="87"/>
  <c r="BH207" i="87"/>
  <c r="BH202" i="87"/>
  <c r="BH200" i="87"/>
  <c r="CB213" i="87"/>
  <c r="CB212" i="87"/>
  <c r="CB211" i="87"/>
  <c r="CB210" i="87"/>
  <c r="CB209" i="87"/>
  <c r="CB208" i="87"/>
  <c r="CB207" i="87"/>
  <c r="CB201" i="87"/>
  <c r="CB200" i="87"/>
  <c r="DZ202" i="87"/>
  <c r="DZ201" i="87"/>
  <c r="FN202" i="87"/>
  <c r="FN201" i="87"/>
  <c r="HB201" i="87"/>
  <c r="HB199" i="87"/>
  <c r="HV201" i="87"/>
  <c r="HV192" i="87"/>
  <c r="IF213" i="87"/>
  <c r="IF212" i="87"/>
  <c r="IF211" i="87"/>
  <c r="IF210" i="87"/>
  <c r="IF209" i="87"/>
  <c r="IF208" i="87"/>
  <c r="IF207" i="87"/>
  <c r="IF206" i="87"/>
  <c r="IF201" i="87"/>
  <c r="IF200" i="87"/>
  <c r="IP201" i="87"/>
  <c r="IP199" i="87"/>
  <c r="IQ199" i="87" s="1"/>
  <c r="IR199" i="87" s="1"/>
  <c r="IP192" i="87"/>
  <c r="IQ192" i="87" s="1"/>
  <c r="JJ201" i="87"/>
  <c r="JJ199" i="87"/>
  <c r="JJ192" i="87"/>
  <c r="JK192" i="87" s="1"/>
  <c r="P223" i="87"/>
  <c r="P194" i="87"/>
  <c r="S194" i="87" s="1"/>
  <c r="U194" i="87" s="1"/>
  <c r="P241" i="87"/>
  <c r="P212" i="87"/>
  <c r="S212" i="87" s="1"/>
  <c r="U212" i="87" s="1"/>
  <c r="P239" i="87"/>
  <c r="P210" i="87"/>
  <c r="S210" i="87" s="1"/>
  <c r="U210" i="87" s="1"/>
  <c r="P237" i="87"/>
  <c r="P208" i="87"/>
  <c r="S208" i="87" s="1"/>
  <c r="U208" i="87" s="1"/>
  <c r="P235" i="87"/>
  <c r="P206" i="87"/>
  <c r="Z153" i="87"/>
  <c r="AC153" i="87" s="1"/>
  <c r="Z212" i="87"/>
  <c r="AC212" i="87" s="1"/>
  <c r="AE212" i="87" s="1"/>
  <c r="Z239" i="87"/>
  <c r="Z210" i="87"/>
  <c r="Z149" i="87"/>
  <c r="AC149" i="87" s="1"/>
  <c r="Z208" i="87"/>
  <c r="AC208" i="87" s="1"/>
  <c r="AE208" i="87" s="1"/>
  <c r="Z235" i="87"/>
  <c r="Z206" i="87"/>
  <c r="AT135" i="87"/>
  <c r="AW135" i="87" s="1"/>
  <c r="AT194" i="87"/>
  <c r="AW194" i="87" s="1"/>
  <c r="AY194" i="87" s="1"/>
  <c r="BD223" i="87"/>
  <c r="BD194" i="87"/>
  <c r="BG194" i="87" s="1"/>
  <c r="BI194" i="87" s="1"/>
  <c r="DE19" i="87"/>
  <c r="DB194" i="87"/>
  <c r="DE194" i="87" s="1"/>
  <c r="DL232" i="87"/>
  <c r="DL203" i="87"/>
  <c r="DL230" i="87"/>
  <c r="DL201" i="87"/>
  <c r="DL228" i="87"/>
  <c r="DL199" i="87"/>
  <c r="DL226" i="87"/>
  <c r="DL197" i="87"/>
  <c r="DO197" i="87" s="1"/>
  <c r="DV182" i="87"/>
  <c r="DV212" i="87"/>
  <c r="DY212" i="87" s="1"/>
  <c r="EA212" i="87" s="1"/>
  <c r="DV239" i="87"/>
  <c r="DV210" i="87"/>
  <c r="DV237" i="87"/>
  <c r="DV208" i="87"/>
  <c r="DY208" i="87" s="1"/>
  <c r="EA208" i="87" s="1"/>
  <c r="DV176" i="87"/>
  <c r="DV206" i="87"/>
  <c r="EF223" i="87"/>
  <c r="EF194" i="87"/>
  <c r="EI194" i="87" s="1"/>
  <c r="EK194" i="87" s="1"/>
  <c r="EF241" i="87"/>
  <c r="EF212" i="87"/>
  <c r="EI212" i="87" s="1"/>
  <c r="EK212" i="87" s="1"/>
  <c r="EF237" i="87"/>
  <c r="EF208" i="87"/>
  <c r="EI208" i="87" s="1"/>
  <c r="EK208" i="87" s="1"/>
  <c r="EF235" i="87"/>
  <c r="EF206" i="87"/>
  <c r="EP223" i="87"/>
  <c r="EP194" i="87"/>
  <c r="ES194" i="87" s="1"/>
  <c r="FJ232" i="87"/>
  <c r="FJ203" i="87"/>
  <c r="FM203" i="87" s="1"/>
  <c r="FO203" i="87" s="1"/>
  <c r="FJ228" i="87"/>
  <c r="FJ199" i="87"/>
  <c r="FM199" i="87" s="1"/>
  <c r="FT77" i="87"/>
  <c r="FW77" i="87" s="1"/>
  <c r="FT194" i="87"/>
  <c r="FW194" i="87" s="1"/>
  <c r="FY194" i="87" s="1"/>
  <c r="GD180" i="87"/>
  <c r="GD210" i="87"/>
  <c r="GG210" i="87" s="1"/>
  <c r="GD237" i="87"/>
  <c r="GD208" i="87"/>
  <c r="GG208" i="87" s="1"/>
  <c r="GD147" i="87"/>
  <c r="GD206" i="87"/>
  <c r="GN223" i="87"/>
  <c r="GN194" i="87"/>
  <c r="GQ194" i="87" s="1"/>
  <c r="GS194" i="87" s="1"/>
  <c r="GN241" i="87"/>
  <c r="GN212" i="87"/>
  <c r="GQ212" i="87" s="1"/>
  <c r="GS212" i="87" s="1"/>
  <c r="GN239" i="87"/>
  <c r="GN210" i="87"/>
  <c r="GQ210" i="87" s="1"/>
  <c r="GS210" i="87" s="1"/>
  <c r="GX164" i="87"/>
  <c r="GX194" i="87"/>
  <c r="HA194" i="87" s="1"/>
  <c r="HH232" i="87"/>
  <c r="HH203" i="87"/>
  <c r="HK203" i="87" s="1"/>
  <c r="HM203" i="87" s="1"/>
  <c r="HU19" i="87"/>
  <c r="HR194" i="87"/>
  <c r="HU194" i="87" s="1"/>
  <c r="IV223" i="87"/>
  <c r="IV194" i="87"/>
  <c r="IY194" i="87" s="1"/>
  <c r="JA194" i="87" s="1"/>
  <c r="IV241" i="87"/>
  <c r="IV212" i="87"/>
  <c r="IY212" i="87" s="1"/>
  <c r="JA212" i="87" s="1"/>
  <c r="IV149" i="87"/>
  <c r="IY149" i="87" s="1"/>
  <c r="IV208" i="87"/>
  <c r="IY208" i="87" s="1"/>
  <c r="JA208" i="87" s="1"/>
  <c r="JP164" i="87"/>
  <c r="JP194" i="87"/>
  <c r="JS194" i="87" s="1"/>
  <c r="JP241" i="87"/>
  <c r="JP212" i="87"/>
  <c r="JS212" i="87" s="1"/>
  <c r="JU212" i="87" s="1"/>
  <c r="JP239" i="87"/>
  <c r="JP210" i="87"/>
  <c r="JP237" i="87"/>
  <c r="JP208" i="87"/>
  <c r="JS208" i="87" s="1"/>
  <c r="JU208" i="87" s="1"/>
  <c r="JP235" i="87"/>
  <c r="JP206" i="87"/>
  <c r="JZ232" i="87"/>
  <c r="JZ203" i="87"/>
  <c r="KC203" i="87" s="1"/>
  <c r="KE203" i="87" s="1"/>
  <c r="KJ138" i="87"/>
  <c r="KJ197" i="87"/>
  <c r="CM199" i="87"/>
  <c r="CN199" i="87" s="1"/>
  <c r="DQ206" i="87"/>
  <c r="DR206" i="87" s="1"/>
  <c r="KE210" i="87"/>
  <c r="KF210" i="87" s="1"/>
  <c r="P188" i="87"/>
  <c r="Z188" i="87"/>
  <c r="BD188" i="87"/>
  <c r="CH188" i="87"/>
  <c r="DV188" i="87"/>
  <c r="EF188" i="87"/>
  <c r="EP188" i="87"/>
  <c r="FJ188" i="87"/>
  <c r="FT188" i="87"/>
  <c r="GD188" i="87"/>
  <c r="HR188" i="87"/>
  <c r="JP188" i="87"/>
  <c r="JZ188" i="87"/>
  <c r="KJ188" i="87"/>
  <c r="P190" i="87"/>
  <c r="S190" i="87" s="1"/>
  <c r="U190" i="87" s="1"/>
  <c r="V190" i="87" s="1"/>
  <c r="AT190" i="87"/>
  <c r="BD190" i="87"/>
  <c r="BG190" i="87" s="1"/>
  <c r="BI190" i="87" s="1"/>
  <c r="BJ190" i="87" s="1"/>
  <c r="DB190" i="87"/>
  <c r="DE190" i="87" s="1"/>
  <c r="DG190" i="87" s="1"/>
  <c r="DH190" i="87" s="1"/>
  <c r="DV190" i="87"/>
  <c r="EF190" i="87"/>
  <c r="FT190" i="87"/>
  <c r="GN190" i="87"/>
  <c r="GX190" i="87"/>
  <c r="HA190" i="87" s="1"/>
  <c r="HR190" i="87"/>
  <c r="HU190" i="87" s="1"/>
  <c r="HW190" i="87" s="1"/>
  <c r="HX190" i="87" s="1"/>
  <c r="IV190" i="87"/>
  <c r="IY190" i="87" s="1"/>
  <c r="JA190" i="87" s="1"/>
  <c r="JB190" i="87" s="1"/>
  <c r="JP190" i="87"/>
  <c r="P192" i="87"/>
  <c r="Z192" i="87"/>
  <c r="AT192" i="87"/>
  <c r="AW192" i="87" s="1"/>
  <c r="AY192" i="87" s="1"/>
  <c r="AZ192" i="87" s="1"/>
  <c r="BD192" i="87"/>
  <c r="BG192" i="87" s="1"/>
  <c r="BI192" i="87" s="1"/>
  <c r="BJ192" i="87" s="1"/>
  <c r="DB192" i="87"/>
  <c r="DE192" i="87" s="1"/>
  <c r="DG192" i="87" s="1"/>
  <c r="DH192" i="87" s="1"/>
  <c r="EF192" i="87"/>
  <c r="EI192" i="87" s="1"/>
  <c r="GN192" i="87"/>
  <c r="GQ192" i="87" s="1"/>
  <c r="GS192" i="87" s="1"/>
  <c r="GT192" i="87" s="1"/>
  <c r="GX192" i="87"/>
  <c r="HA192" i="87" s="1"/>
  <c r="HB192" i="87"/>
  <c r="HR192" i="87"/>
  <c r="HU192" i="87" s="1"/>
  <c r="JP192" i="87"/>
  <c r="JS192" i="87" s="1"/>
  <c r="BH193" i="87"/>
  <c r="DZ193" i="87"/>
  <c r="ET193" i="87"/>
  <c r="FN193" i="87"/>
  <c r="GH193" i="87"/>
  <c r="HB193" i="87"/>
  <c r="HV193" i="87"/>
  <c r="IP193" i="87"/>
  <c r="JJ193" i="87"/>
  <c r="KD193" i="87"/>
  <c r="DF194" i="87"/>
  <c r="DZ194" i="87"/>
  <c r="ET194" i="87"/>
  <c r="FN194" i="87"/>
  <c r="GH194" i="87"/>
  <c r="HB194" i="87"/>
  <c r="HV194" i="87"/>
  <c r="IP194" i="87"/>
  <c r="JJ194" i="87"/>
  <c r="KD194" i="87"/>
  <c r="DF195" i="87"/>
  <c r="DZ195" i="87"/>
  <c r="ET195" i="87"/>
  <c r="FN195" i="87"/>
  <c r="GH195" i="87"/>
  <c r="HB195" i="87"/>
  <c r="HV195" i="87"/>
  <c r="IP195" i="87"/>
  <c r="JJ195" i="87"/>
  <c r="KD195" i="87"/>
  <c r="T196" i="87"/>
  <c r="AN196" i="87"/>
  <c r="BH196" i="87"/>
  <c r="CB196" i="87"/>
  <c r="DF196" i="87"/>
  <c r="DZ196" i="87"/>
  <c r="ET196" i="87"/>
  <c r="FN196" i="87"/>
  <c r="GH196" i="87"/>
  <c r="HB196" i="87"/>
  <c r="HV196" i="87"/>
  <c r="IF196" i="87"/>
  <c r="IP196" i="87"/>
  <c r="JJ196" i="87"/>
  <c r="KD196" i="87"/>
  <c r="DF197" i="87"/>
  <c r="DZ197" i="87"/>
  <c r="ET197" i="87"/>
  <c r="FN197" i="87"/>
  <c r="GH197" i="87"/>
  <c r="HB197" i="87"/>
  <c r="HV197" i="87"/>
  <c r="IP197" i="87"/>
  <c r="JJ197" i="87"/>
  <c r="KD197" i="87"/>
  <c r="DF198" i="87"/>
  <c r="DZ198" i="87"/>
  <c r="EA198" i="87" s="1"/>
  <c r="ET198" i="87"/>
  <c r="EU198" i="87" s="1"/>
  <c r="FN198" i="87"/>
  <c r="FO198" i="87" s="1"/>
  <c r="GH198" i="87"/>
  <c r="GI198" i="87" s="1"/>
  <c r="HB198" i="87"/>
  <c r="HC198" i="87" s="1"/>
  <c r="HV198" i="87"/>
  <c r="HW198" i="87" s="1"/>
  <c r="IP198" i="87"/>
  <c r="IQ198" i="87" s="1"/>
  <c r="JJ198" i="87"/>
  <c r="JK198" i="87" s="1"/>
  <c r="KD198" i="87"/>
  <c r="KE198" i="87" s="1"/>
  <c r="DF199" i="87"/>
  <c r="DZ199" i="87"/>
  <c r="ET199" i="87"/>
  <c r="FN199" i="87"/>
  <c r="GH199" i="87"/>
  <c r="IF199" i="87"/>
  <c r="JZ199" i="87"/>
  <c r="KC199" i="87" s="1"/>
  <c r="KE199" i="87" s="1"/>
  <c r="KF199" i="87" s="1"/>
  <c r="DZ200" i="87"/>
  <c r="FN200" i="87"/>
  <c r="HB200" i="87"/>
  <c r="IP200" i="87"/>
  <c r="KD200" i="87"/>
  <c r="T201" i="87"/>
  <c r="HH201" i="87"/>
  <c r="KD201" i="87"/>
  <c r="T202" i="87"/>
  <c r="AN202" i="87"/>
  <c r="ET202" i="87"/>
  <c r="HB202" i="87"/>
  <c r="IF202" i="87"/>
  <c r="T203" i="87"/>
  <c r="AN203" i="87"/>
  <c r="BH203" i="87"/>
  <c r="CB203" i="87"/>
  <c r="IF203" i="87"/>
  <c r="T204" i="87"/>
  <c r="AN204" i="87"/>
  <c r="BH204" i="87"/>
  <c r="CB204" i="87"/>
  <c r="IF204" i="87"/>
  <c r="T206" i="87"/>
  <c r="AN206" i="87"/>
  <c r="BH206" i="87"/>
  <c r="CB206" i="87"/>
  <c r="DF206" i="87"/>
  <c r="ET206" i="87"/>
  <c r="GH206" i="87"/>
  <c r="HV206" i="87"/>
  <c r="JJ206" i="87"/>
  <c r="DZ207" i="87"/>
  <c r="FN207" i="87"/>
  <c r="HB207" i="87"/>
  <c r="IP207" i="87"/>
  <c r="KD207" i="87"/>
  <c r="DF208" i="87"/>
  <c r="ET208" i="87"/>
  <c r="GH208" i="87"/>
  <c r="HV208" i="87"/>
  <c r="JJ208" i="87"/>
  <c r="DZ209" i="87"/>
  <c r="FN209" i="87"/>
  <c r="HB209" i="87"/>
  <c r="IP209" i="87"/>
  <c r="KD209" i="87"/>
  <c r="DF210" i="87"/>
  <c r="ET210" i="87"/>
  <c r="GH210" i="87"/>
  <c r="HV210" i="87"/>
  <c r="JJ210" i="87"/>
  <c r="DZ211" i="87"/>
  <c r="EA211" i="87" s="1"/>
  <c r="EB211" i="87" s="1"/>
  <c r="FN211" i="87"/>
  <c r="HB211" i="87"/>
  <c r="IP211" i="87"/>
  <c r="KD211" i="87"/>
  <c r="DF212" i="87"/>
  <c r="ET212" i="87"/>
  <c r="GH212" i="87"/>
  <c r="HV212" i="87"/>
  <c r="JJ212" i="87"/>
  <c r="DZ213" i="87"/>
  <c r="FN213" i="87"/>
  <c r="HB213" i="87"/>
  <c r="IP213" i="87"/>
  <c r="KD213" i="87"/>
  <c r="FM194" i="87"/>
  <c r="FO194" i="87" s="1"/>
  <c r="HK194" i="87"/>
  <c r="HM194" i="87" s="1"/>
  <c r="KC194" i="87"/>
  <c r="KM194" i="87"/>
  <c r="BG203" i="87"/>
  <c r="BI203" i="87" s="1"/>
  <c r="CU203" i="87"/>
  <c r="CW203" i="87" s="1"/>
  <c r="DY203" i="87"/>
  <c r="IO203" i="87"/>
  <c r="IQ203" i="87" s="1"/>
  <c r="KM203" i="87"/>
  <c r="AW208" i="87"/>
  <c r="CK208" i="87"/>
  <c r="CM208" i="87" s="1"/>
  <c r="HA208" i="87"/>
  <c r="IO208" i="87"/>
  <c r="IQ208" i="87" s="1"/>
  <c r="KC208" i="87"/>
  <c r="KE208" i="87" s="1"/>
  <c r="DO210" i="87"/>
  <c r="DQ210" i="87" s="1"/>
  <c r="FM210" i="87"/>
  <c r="FO210" i="87" s="1"/>
  <c r="KC212" i="87"/>
  <c r="KE212" i="87" s="1"/>
  <c r="KM212" i="87"/>
  <c r="KD72" i="87"/>
  <c r="KD71" i="87"/>
  <c r="JJ71" i="87"/>
  <c r="JJ72" i="87"/>
  <c r="JK72" i="87" s="1"/>
  <c r="JL72" i="87" s="1"/>
  <c r="IP71" i="87"/>
  <c r="IP72" i="87"/>
  <c r="HV71" i="87"/>
  <c r="HV72" i="87"/>
  <c r="HB71" i="87"/>
  <c r="HB72" i="87"/>
  <c r="FN71" i="87"/>
  <c r="FN72" i="87"/>
  <c r="FO72" i="87" s="1"/>
  <c r="FP72" i="87" s="1"/>
  <c r="ET71" i="87"/>
  <c r="ET72" i="87"/>
  <c r="DZ71" i="87"/>
  <c r="DZ72" i="87"/>
  <c r="DF71" i="87"/>
  <c r="DF72" i="87"/>
  <c r="CL71" i="87"/>
  <c r="CL72" i="87"/>
  <c r="BR71" i="87"/>
  <c r="BR72" i="87"/>
  <c r="BS72" i="87" s="1"/>
  <c r="BT72" i="87" s="1"/>
  <c r="AX72" i="87"/>
  <c r="AX71" i="87"/>
  <c r="AD71" i="87"/>
  <c r="AD72" i="87"/>
  <c r="KJ10" i="87"/>
  <c r="KK19" i="87" s="1"/>
  <c r="KL19" i="87" s="1"/>
  <c r="KJ51" i="87"/>
  <c r="KJ53" i="87"/>
  <c r="KM53" i="87" s="1"/>
  <c r="KJ82" i="87"/>
  <c r="KM82" i="87" s="1"/>
  <c r="KJ84" i="87"/>
  <c r="KJ115" i="87"/>
  <c r="KJ129" i="87"/>
  <c r="KJ144" i="87"/>
  <c r="KM144" i="87" s="1"/>
  <c r="KJ169" i="87"/>
  <c r="KC24" i="87"/>
  <c r="KC26" i="87"/>
  <c r="JZ53" i="87"/>
  <c r="KC53" i="87" s="1"/>
  <c r="JZ57" i="87"/>
  <c r="KC57" i="87" s="1"/>
  <c r="JZ71" i="87"/>
  <c r="JZ80" i="87"/>
  <c r="JZ86" i="87"/>
  <c r="KC86" i="87" s="1"/>
  <c r="JZ109" i="87"/>
  <c r="JZ138" i="87"/>
  <c r="JZ144" i="87"/>
  <c r="KC144" i="87" s="1"/>
  <c r="JZ167" i="87"/>
  <c r="JP42" i="87"/>
  <c r="JP66" i="87"/>
  <c r="JS66" i="87" s="1"/>
  <c r="JP91" i="87"/>
  <c r="JS91" i="87" s="1"/>
  <c r="JP93" i="87"/>
  <c r="JP95" i="87"/>
  <c r="JS95" i="87" s="1"/>
  <c r="JP120" i="87"/>
  <c r="JS120" i="87" s="1"/>
  <c r="JP149" i="87"/>
  <c r="JS149" i="87" s="1"/>
  <c r="JP153" i="87"/>
  <c r="JS153" i="87" s="1"/>
  <c r="JP176" i="87"/>
  <c r="JP182" i="87"/>
  <c r="JS133" i="87"/>
  <c r="JS135" i="87"/>
  <c r="JP44" i="87"/>
  <c r="JP71" i="87"/>
  <c r="JP73" i="87"/>
  <c r="JP77" i="87"/>
  <c r="JS77" i="87" s="1"/>
  <c r="JP102" i="87"/>
  <c r="JP106" i="87"/>
  <c r="JS106" i="87" s="1"/>
  <c r="JP129" i="87"/>
  <c r="JP131" i="87"/>
  <c r="IV10" i="87"/>
  <c r="IW28" i="87" s="1"/>
  <c r="IX28" i="87" s="1"/>
  <c r="IY33" i="87"/>
  <c r="IY35" i="87"/>
  <c r="IY37" i="87"/>
  <c r="IV42" i="87"/>
  <c r="IV64" i="87"/>
  <c r="IY64" i="87" s="1"/>
  <c r="IV66" i="87"/>
  <c r="IY66" i="87" s="1"/>
  <c r="IV89" i="87"/>
  <c r="IV95" i="87"/>
  <c r="IY95" i="87" s="1"/>
  <c r="IV118" i="87"/>
  <c r="IV129" i="87"/>
  <c r="IV153" i="87"/>
  <c r="IY153" i="87" s="1"/>
  <c r="IV176" i="87"/>
  <c r="IV180" i="87"/>
  <c r="IY15" i="87"/>
  <c r="IV44" i="87"/>
  <c r="IV48" i="87"/>
  <c r="IY48" i="87" s="1"/>
  <c r="IV71" i="87"/>
  <c r="IV73" i="87"/>
  <c r="IY73" i="87" s="1"/>
  <c r="IV75" i="87"/>
  <c r="IY75" i="87" s="1"/>
  <c r="IV100" i="87"/>
  <c r="IV102" i="87"/>
  <c r="IY102" i="87" s="1"/>
  <c r="IV104" i="87"/>
  <c r="IY104" i="87" s="1"/>
  <c r="IV106" i="87"/>
  <c r="IY106" i="87" s="1"/>
  <c r="IE136" i="87"/>
  <c r="HR42" i="87"/>
  <c r="HR44" i="87"/>
  <c r="HU44" i="87" s="1"/>
  <c r="HR46" i="87"/>
  <c r="HU46" i="87" s="1"/>
  <c r="HR75" i="87"/>
  <c r="HU75" i="87" s="1"/>
  <c r="HR104" i="87"/>
  <c r="HR129" i="87"/>
  <c r="HR160" i="87"/>
  <c r="HR162" i="87"/>
  <c r="HH51" i="87"/>
  <c r="HH53" i="87"/>
  <c r="HH55" i="87"/>
  <c r="HH57" i="87"/>
  <c r="HK57" i="87" s="1"/>
  <c r="HH80" i="87"/>
  <c r="HH82" i="87"/>
  <c r="HH100" i="87"/>
  <c r="HH109" i="87"/>
  <c r="HH115" i="87"/>
  <c r="HK115" i="87" s="1"/>
  <c r="HH138" i="87"/>
  <c r="HH142" i="87"/>
  <c r="HH158" i="87"/>
  <c r="HH173" i="87"/>
  <c r="GX10" i="87"/>
  <c r="GY37" i="87" s="1"/>
  <c r="GZ37" i="87" s="1"/>
  <c r="HA17" i="87"/>
  <c r="HA19" i="87"/>
  <c r="GX42" i="87"/>
  <c r="GX46" i="87"/>
  <c r="HA46" i="87" s="1"/>
  <c r="GX71" i="87"/>
  <c r="GX73" i="87"/>
  <c r="HA73" i="87" s="1"/>
  <c r="GX75" i="87"/>
  <c r="HA75" i="87" s="1"/>
  <c r="GX104" i="87"/>
  <c r="HA104" i="87" s="1"/>
  <c r="HC104" i="87" s="1"/>
  <c r="GX129" i="87"/>
  <c r="GX135" i="87"/>
  <c r="HA135" i="87" s="1"/>
  <c r="GX158" i="87"/>
  <c r="GX162" i="87"/>
  <c r="GQ33" i="87"/>
  <c r="GN62" i="87"/>
  <c r="GQ62" i="87" s="1"/>
  <c r="GN71" i="87"/>
  <c r="GN89" i="87"/>
  <c r="GN93" i="87"/>
  <c r="GQ93" i="87" s="1"/>
  <c r="GN120" i="87"/>
  <c r="GQ120" i="87" s="1"/>
  <c r="GN122" i="87"/>
  <c r="GQ122" i="87" s="1"/>
  <c r="GN176" i="87"/>
  <c r="GN178" i="87"/>
  <c r="GN180" i="87"/>
  <c r="GN217" i="87"/>
  <c r="GN42" i="87"/>
  <c r="GN44" i="87"/>
  <c r="GN46" i="87"/>
  <c r="GQ46" i="87" s="1"/>
  <c r="GN75" i="87"/>
  <c r="GN77" i="87"/>
  <c r="GQ77" i="87" s="1"/>
  <c r="GN100" i="87"/>
  <c r="GN106" i="87"/>
  <c r="GQ106" i="87" s="1"/>
  <c r="GN129" i="87"/>
  <c r="GN133" i="87"/>
  <c r="GN158" i="87"/>
  <c r="GN160" i="87"/>
  <c r="GD10" i="87"/>
  <c r="GG33" i="87"/>
  <c r="GD60" i="87"/>
  <c r="GD62" i="87"/>
  <c r="GG62" i="87" s="1"/>
  <c r="GD66" i="87"/>
  <c r="GG66" i="87" s="1"/>
  <c r="GD71" i="87"/>
  <c r="GD89" i="87"/>
  <c r="GD91" i="87"/>
  <c r="GG91" i="87" s="1"/>
  <c r="GD93" i="87"/>
  <c r="GG93" i="87" s="1"/>
  <c r="GD100" i="87"/>
  <c r="GD118" i="87"/>
  <c r="GD124" i="87"/>
  <c r="GG124" i="87" s="1"/>
  <c r="GD149" i="87"/>
  <c r="GG149" i="87" s="1"/>
  <c r="GD151" i="87"/>
  <c r="GG151" i="87" s="1"/>
  <c r="GD153" i="87"/>
  <c r="GG153" i="87" s="1"/>
  <c r="FT10" i="87"/>
  <c r="FU32" i="87" s="1"/>
  <c r="FV32" i="87" s="1"/>
  <c r="FT42" i="87"/>
  <c r="FT46" i="87"/>
  <c r="FW46" i="87" s="1"/>
  <c r="FT71" i="87"/>
  <c r="FT73" i="87"/>
  <c r="FT100" i="87"/>
  <c r="FT104" i="87"/>
  <c r="FW104" i="87" s="1"/>
  <c r="FT129" i="87"/>
  <c r="FT131" i="87"/>
  <c r="FT133" i="87"/>
  <c r="FM28" i="87"/>
  <c r="FJ82" i="87"/>
  <c r="FM82" i="87" s="1"/>
  <c r="FJ86" i="87"/>
  <c r="FM86" i="87" s="1"/>
  <c r="FJ109" i="87"/>
  <c r="FJ113" i="87"/>
  <c r="FJ115" i="87"/>
  <c r="FM115" i="87" s="1"/>
  <c r="FJ138" i="87"/>
  <c r="FJ142" i="87"/>
  <c r="FJ167" i="87"/>
  <c r="FJ169" i="87"/>
  <c r="FJ173" i="87"/>
  <c r="EP42" i="87"/>
  <c r="EP44" i="87"/>
  <c r="EP46" i="87"/>
  <c r="ES46" i="87" s="1"/>
  <c r="EP48" i="87"/>
  <c r="ES48" i="87" s="1"/>
  <c r="EP73" i="87"/>
  <c r="EP75" i="87"/>
  <c r="ES75" i="87" s="1"/>
  <c r="EP77" i="87"/>
  <c r="ES77" i="87" s="1"/>
  <c r="EP102" i="87"/>
  <c r="EP104" i="87"/>
  <c r="ES104" i="87" s="1"/>
  <c r="EP133" i="87"/>
  <c r="ES133" i="87" s="1"/>
  <c r="EP135" i="87"/>
  <c r="ES135" i="87" s="1"/>
  <c r="EP158" i="87"/>
  <c r="EP160" i="87"/>
  <c r="EI37" i="87"/>
  <c r="EF42" i="87"/>
  <c r="EF62" i="87"/>
  <c r="EI62" i="87" s="1"/>
  <c r="EF64" i="87"/>
  <c r="EI64" i="87" s="1"/>
  <c r="EF66" i="87"/>
  <c r="EI66" i="87" s="1"/>
  <c r="EF93" i="87"/>
  <c r="EI93" i="87" s="1"/>
  <c r="EF120" i="87"/>
  <c r="EI120" i="87" s="1"/>
  <c r="EF124" i="87"/>
  <c r="EI124" i="87" s="1"/>
  <c r="EF129" i="87"/>
  <c r="EF147" i="87"/>
  <c r="EF149" i="87"/>
  <c r="EI149" i="87" s="1"/>
  <c r="EF151" i="87"/>
  <c r="EI151" i="87" s="1"/>
  <c r="EF153" i="87"/>
  <c r="EI153" i="87" s="1"/>
  <c r="EF178" i="87"/>
  <c r="EF180" i="87"/>
  <c r="EF182" i="87"/>
  <c r="EF10" i="87"/>
  <c r="EG38" i="87" s="1"/>
  <c r="EH38" i="87" s="1"/>
  <c r="EI17" i="87"/>
  <c r="EF48" i="87"/>
  <c r="EF71" i="87"/>
  <c r="EF104" i="87"/>
  <c r="EF131" i="87"/>
  <c r="DV10" i="87"/>
  <c r="DW23" i="87" s="1"/>
  <c r="DX23" i="87" s="1"/>
  <c r="DY37" i="87"/>
  <c r="DV60" i="87"/>
  <c r="DV66" i="87"/>
  <c r="DY66" i="87" s="1"/>
  <c r="DV91" i="87"/>
  <c r="DY91" i="87" s="1"/>
  <c r="DV93" i="87"/>
  <c r="DV100" i="87"/>
  <c r="DV120" i="87"/>
  <c r="DY120" i="87" s="1"/>
  <c r="DV124" i="87"/>
  <c r="DY124" i="87" s="1"/>
  <c r="DY17" i="87"/>
  <c r="DY19" i="87"/>
  <c r="DV42" i="87"/>
  <c r="DV46" i="87"/>
  <c r="DY46" i="87" s="1"/>
  <c r="DV48" i="87"/>
  <c r="DY48" i="87" s="1"/>
  <c r="DV102" i="87"/>
  <c r="DV104" i="87"/>
  <c r="DY104" i="87" s="1"/>
  <c r="DV129" i="87"/>
  <c r="DV131" i="87"/>
  <c r="DV135" i="87"/>
  <c r="DY135" i="87" s="1"/>
  <c r="DV158" i="87"/>
  <c r="DV160" i="87"/>
  <c r="DL71" i="87"/>
  <c r="DL80" i="87"/>
  <c r="DO80" i="87" s="1"/>
  <c r="DL82" i="87"/>
  <c r="DL84" i="87"/>
  <c r="DL86" i="87"/>
  <c r="DL100" i="87"/>
  <c r="DL111" i="87"/>
  <c r="DL129" i="87"/>
  <c r="DO129" i="87" s="1"/>
  <c r="DL158" i="87"/>
  <c r="DE133" i="87"/>
  <c r="DB10" i="87"/>
  <c r="DE15" i="87"/>
  <c r="DB44" i="87"/>
  <c r="DE44" i="87" s="1"/>
  <c r="DB71" i="87"/>
  <c r="DB104" i="87"/>
  <c r="DB160" i="87"/>
  <c r="CH10" i="87"/>
  <c r="CI36" i="87" s="1"/>
  <c r="CJ36" i="87" s="1"/>
  <c r="CH42" i="87"/>
  <c r="BG133" i="87"/>
  <c r="BG130" i="87"/>
  <c r="BG132" i="87"/>
  <c r="BD42" i="87"/>
  <c r="BD44" i="87"/>
  <c r="BG44" i="87" s="1"/>
  <c r="BD71" i="87"/>
  <c r="BD77" i="87"/>
  <c r="BG77" i="87" s="1"/>
  <c r="BD102" i="87"/>
  <c r="BD131" i="87"/>
  <c r="BD158" i="87"/>
  <c r="BD160" i="87"/>
  <c r="BD164" i="87"/>
  <c r="AT10" i="87"/>
  <c r="AU18" i="87" s="1"/>
  <c r="AV18" i="87" s="1"/>
  <c r="AW18" i="87" s="1"/>
  <c r="AW17" i="87"/>
  <c r="AT42" i="87"/>
  <c r="AT44" i="87"/>
  <c r="AT75" i="87"/>
  <c r="AW75" i="87" s="1"/>
  <c r="AT100" i="87"/>
  <c r="AT102" i="87"/>
  <c r="AT129" i="87"/>
  <c r="AT133" i="87"/>
  <c r="AW133" i="87" s="1"/>
  <c r="AT160" i="87"/>
  <c r="AT162" i="87"/>
  <c r="AC33" i="87"/>
  <c r="AC37" i="87"/>
  <c r="Z60" i="87"/>
  <c r="Z64" i="87"/>
  <c r="Z89" i="87"/>
  <c r="Z93" i="87"/>
  <c r="Z118" i="87"/>
  <c r="Z120" i="87"/>
  <c r="AC120" i="87" s="1"/>
  <c r="Z122" i="87"/>
  <c r="Z124" i="87"/>
  <c r="AC124" i="87" s="1"/>
  <c r="Z147" i="87"/>
  <c r="Z151" i="87"/>
  <c r="Z176" i="87"/>
  <c r="Z180" i="87"/>
  <c r="Z10" i="87"/>
  <c r="AA29" i="87" s="1"/>
  <c r="AB29" i="87" s="1"/>
  <c r="AC19" i="87"/>
  <c r="Z42" i="87"/>
  <c r="Z44" i="87"/>
  <c r="AC44" i="87" s="1"/>
  <c r="Z48" i="87"/>
  <c r="AC48" i="87" s="1"/>
  <c r="Z71" i="87"/>
  <c r="Z73" i="87"/>
  <c r="AC73" i="87" s="1"/>
  <c r="Z75" i="87"/>
  <c r="Z77" i="87"/>
  <c r="AC77" i="87" s="1"/>
  <c r="Z100" i="87"/>
  <c r="Z102" i="87"/>
  <c r="AC102" i="87" s="1"/>
  <c r="Z131" i="87"/>
  <c r="Z135" i="87"/>
  <c r="AC135" i="87" s="1"/>
  <c r="Z158" i="87"/>
  <c r="Z162" i="87"/>
  <c r="S33" i="87"/>
  <c r="S35" i="87"/>
  <c r="S37" i="87"/>
  <c r="P60" i="87"/>
  <c r="P62" i="87"/>
  <c r="S62" i="87" s="1"/>
  <c r="P64" i="87"/>
  <c r="S64" i="87" s="1"/>
  <c r="P66" i="87"/>
  <c r="S66" i="87" s="1"/>
  <c r="P89" i="87"/>
  <c r="P91" i="87"/>
  <c r="S91" i="87" s="1"/>
  <c r="P93" i="87"/>
  <c r="S93" i="87" s="1"/>
  <c r="P95" i="87"/>
  <c r="S95" i="87" s="1"/>
  <c r="P147" i="87"/>
  <c r="P149" i="87"/>
  <c r="S149" i="87" s="1"/>
  <c r="P151" i="87"/>
  <c r="S151" i="87" s="1"/>
  <c r="P153" i="87"/>
  <c r="S153" i="87" s="1"/>
  <c r="P176" i="87"/>
  <c r="P178" i="87"/>
  <c r="P180" i="87"/>
  <c r="P182" i="87"/>
  <c r="P10" i="87"/>
  <c r="Q19" i="87" s="1"/>
  <c r="R19" i="87" s="1"/>
  <c r="S15" i="87"/>
  <c r="S19" i="87"/>
  <c r="P44" i="87"/>
  <c r="S44" i="87" s="1"/>
  <c r="P46" i="87"/>
  <c r="P48" i="87"/>
  <c r="S48" i="87" s="1"/>
  <c r="P100" i="87"/>
  <c r="P102" i="87"/>
  <c r="S102" i="87" s="1"/>
  <c r="P104" i="87"/>
  <c r="P129" i="87"/>
  <c r="P131" i="87"/>
  <c r="P133" i="87"/>
  <c r="P135" i="87"/>
  <c r="P158" i="87"/>
  <c r="P160" i="87"/>
  <c r="P162" i="87"/>
  <c r="P164" i="87"/>
  <c r="F188" i="87"/>
  <c r="F190" i="87"/>
  <c r="F192" i="87"/>
  <c r="F194" i="87"/>
  <c r="AE38" i="87"/>
  <c r="GI38" i="87"/>
  <c r="KE38" i="87"/>
  <c r="CC38" i="87"/>
  <c r="CW38" i="87"/>
  <c r="EK38" i="87"/>
  <c r="JU38" i="87"/>
  <c r="AD67" i="87"/>
  <c r="AD66" i="87"/>
  <c r="AD65" i="87"/>
  <c r="AD64" i="87"/>
  <c r="AD63" i="87"/>
  <c r="AD62" i="87"/>
  <c r="AD61" i="87"/>
  <c r="AD60" i="87"/>
  <c r="AD58" i="87"/>
  <c r="AD57" i="87"/>
  <c r="AE57" i="87" s="1"/>
  <c r="AD56" i="87"/>
  <c r="AX67" i="87"/>
  <c r="AX66" i="87"/>
  <c r="AX65" i="87"/>
  <c r="AX64" i="87"/>
  <c r="AX63" i="87"/>
  <c r="AX62" i="87"/>
  <c r="AX61" i="87"/>
  <c r="AX60" i="87"/>
  <c r="AX58" i="87"/>
  <c r="AX57" i="87"/>
  <c r="AX56" i="87"/>
  <c r="BR67" i="87"/>
  <c r="BR66" i="87"/>
  <c r="BR65" i="87"/>
  <c r="BR64" i="87"/>
  <c r="BR63" i="87"/>
  <c r="BR62" i="87"/>
  <c r="BR61" i="87"/>
  <c r="BR60" i="87"/>
  <c r="BR58" i="87"/>
  <c r="BR57" i="87"/>
  <c r="BR56" i="87"/>
  <c r="CL67" i="87"/>
  <c r="CL66" i="87"/>
  <c r="CL65" i="87"/>
  <c r="CL64" i="87"/>
  <c r="CM64" i="87" s="1"/>
  <c r="CL63" i="87"/>
  <c r="CL62" i="87"/>
  <c r="CL61" i="87"/>
  <c r="CL60" i="87"/>
  <c r="CL58" i="87"/>
  <c r="CL57" i="87"/>
  <c r="CL56" i="87"/>
  <c r="DF67" i="87"/>
  <c r="DF66" i="87"/>
  <c r="DF65" i="87"/>
  <c r="DG65" i="87" s="1"/>
  <c r="DF64" i="87"/>
  <c r="DF63" i="87"/>
  <c r="DF62" i="87"/>
  <c r="DF61" i="87"/>
  <c r="DF60" i="87"/>
  <c r="DF58" i="87"/>
  <c r="DF57" i="87"/>
  <c r="DF56" i="87"/>
  <c r="DZ67" i="87"/>
  <c r="DZ66" i="87"/>
  <c r="DZ65" i="87"/>
  <c r="DZ64" i="87"/>
  <c r="DZ63" i="87"/>
  <c r="DZ62" i="87"/>
  <c r="DZ61" i="87"/>
  <c r="DZ60" i="87"/>
  <c r="DZ58" i="87"/>
  <c r="DZ57" i="87"/>
  <c r="DZ56" i="87"/>
  <c r="ET67" i="87"/>
  <c r="ET66" i="87"/>
  <c r="ET65" i="87"/>
  <c r="ET64" i="87"/>
  <c r="ET63" i="87"/>
  <c r="ET62" i="87"/>
  <c r="ET61" i="87"/>
  <c r="ET60" i="87"/>
  <c r="ET58" i="87"/>
  <c r="ET57" i="87"/>
  <c r="ET56" i="87"/>
  <c r="FN67" i="87"/>
  <c r="FN66" i="87"/>
  <c r="FN65" i="87"/>
  <c r="FN64" i="87"/>
  <c r="FN63" i="87"/>
  <c r="FN62" i="87"/>
  <c r="FN61" i="87"/>
  <c r="FN60" i="87"/>
  <c r="FN58" i="87"/>
  <c r="FN57" i="87"/>
  <c r="FN56" i="87"/>
  <c r="GH67" i="87"/>
  <c r="GH66" i="87"/>
  <c r="GH65" i="87"/>
  <c r="GH64" i="87"/>
  <c r="GH63" i="87"/>
  <c r="GH62" i="87"/>
  <c r="GH61" i="87"/>
  <c r="GI61" i="87" s="1"/>
  <c r="GH60" i="87"/>
  <c r="GH58" i="87"/>
  <c r="GH57" i="87"/>
  <c r="GH56" i="87"/>
  <c r="HB67" i="87"/>
  <c r="HB66" i="87"/>
  <c r="HB65" i="87"/>
  <c r="HC65" i="87" s="1"/>
  <c r="HB64" i="87"/>
  <c r="HB63" i="87"/>
  <c r="HB62" i="87"/>
  <c r="HB61" i="87"/>
  <c r="HB60" i="87"/>
  <c r="HB58" i="87"/>
  <c r="HB57" i="87"/>
  <c r="HC57" i="87" s="1"/>
  <c r="HB56" i="87"/>
  <c r="HV67" i="87"/>
  <c r="HV66" i="87"/>
  <c r="HV65" i="87"/>
  <c r="HV64" i="87"/>
  <c r="HV63" i="87"/>
  <c r="HV62" i="87"/>
  <c r="HV61" i="87"/>
  <c r="HV60" i="87"/>
  <c r="HV58" i="87"/>
  <c r="HV57" i="87"/>
  <c r="HV56" i="87"/>
  <c r="IP67" i="87"/>
  <c r="IP66" i="87"/>
  <c r="IQ66" i="87" s="1"/>
  <c r="IP65" i="87"/>
  <c r="IP64" i="87"/>
  <c r="IP63" i="87"/>
  <c r="IP62" i="87"/>
  <c r="IP61" i="87"/>
  <c r="IP60" i="87"/>
  <c r="IP58" i="87"/>
  <c r="IP57" i="87"/>
  <c r="IP56" i="87"/>
  <c r="JJ67" i="87"/>
  <c r="JJ66" i="87"/>
  <c r="JJ65" i="87"/>
  <c r="JJ64" i="87"/>
  <c r="JK64" i="87" s="1"/>
  <c r="JJ63" i="87"/>
  <c r="JJ62" i="87"/>
  <c r="JK62" i="87" s="1"/>
  <c r="JJ61" i="87"/>
  <c r="JJ60" i="87"/>
  <c r="JJ58" i="87"/>
  <c r="JJ57" i="87"/>
  <c r="JJ56" i="87"/>
  <c r="KD67" i="87"/>
  <c r="KD66" i="87"/>
  <c r="KD65" i="87"/>
  <c r="KD64" i="87"/>
  <c r="KD63" i="87"/>
  <c r="KD62" i="87"/>
  <c r="KD61" i="87"/>
  <c r="KD60" i="87"/>
  <c r="KD58" i="87"/>
  <c r="KD57" i="87"/>
  <c r="KD56" i="87"/>
  <c r="KX67" i="87"/>
  <c r="KX66" i="87"/>
  <c r="KX65" i="87"/>
  <c r="KX64" i="87"/>
  <c r="KX63" i="87"/>
  <c r="KX62" i="87"/>
  <c r="KY62" i="87" s="1"/>
  <c r="KX61" i="87"/>
  <c r="KX60" i="87"/>
  <c r="KX58" i="87"/>
  <c r="KX57" i="87"/>
  <c r="KX56" i="87"/>
  <c r="KX55" i="87"/>
  <c r="T13" i="87"/>
  <c r="AN13" i="87"/>
  <c r="BH13" i="87"/>
  <c r="CB13" i="87"/>
  <c r="CV13" i="87"/>
  <c r="DP13" i="87"/>
  <c r="DQ13" i="87" s="1"/>
  <c r="EJ13" i="87"/>
  <c r="FD13" i="87"/>
  <c r="FX13" i="87"/>
  <c r="GR13" i="87"/>
  <c r="HL13" i="87"/>
  <c r="IF13" i="87"/>
  <c r="IZ13" i="87"/>
  <c r="JT13" i="87"/>
  <c r="KN13" i="87"/>
  <c r="T14" i="87"/>
  <c r="AN14" i="87"/>
  <c r="BH14" i="87"/>
  <c r="BI14" i="87" s="1"/>
  <c r="CB14" i="87"/>
  <c r="CV14" i="87"/>
  <c r="CW14" i="87" s="1"/>
  <c r="DP14" i="87"/>
  <c r="EJ14" i="87"/>
  <c r="EK14" i="87" s="1"/>
  <c r="FD14" i="87"/>
  <c r="FX14" i="87"/>
  <c r="FY14" i="87" s="1"/>
  <c r="GR14" i="87"/>
  <c r="HL14" i="87"/>
  <c r="IF14" i="87"/>
  <c r="IZ14" i="87"/>
  <c r="JA14" i="87" s="1"/>
  <c r="JT14" i="87"/>
  <c r="KN14" i="87"/>
  <c r="KO14" i="87" s="1"/>
  <c r="T15" i="87"/>
  <c r="AN15" i="87"/>
  <c r="BH15" i="87"/>
  <c r="CB15" i="87"/>
  <c r="CV15" i="87"/>
  <c r="DP15" i="87"/>
  <c r="DQ15" i="87" s="1"/>
  <c r="EJ15" i="87"/>
  <c r="FD15" i="87"/>
  <c r="FX15" i="87"/>
  <c r="GR15" i="87"/>
  <c r="HL15" i="87"/>
  <c r="IF15" i="87"/>
  <c r="IZ15" i="87"/>
  <c r="JT15" i="87"/>
  <c r="KN15" i="87"/>
  <c r="KO15" i="87" s="1"/>
  <c r="T16" i="87"/>
  <c r="AN16" i="87"/>
  <c r="BH16" i="87"/>
  <c r="CB16" i="87"/>
  <c r="CV16" i="87"/>
  <c r="DP16" i="87"/>
  <c r="EJ16" i="87"/>
  <c r="FD16" i="87"/>
  <c r="FX16" i="87"/>
  <c r="GR16" i="87"/>
  <c r="HL16" i="87"/>
  <c r="IF16" i="87"/>
  <c r="IZ16" i="87"/>
  <c r="JT16" i="87"/>
  <c r="KN16" i="87"/>
  <c r="T17" i="87"/>
  <c r="AN17" i="87"/>
  <c r="AO17" i="87" s="1"/>
  <c r="BH17" i="87"/>
  <c r="BI17" i="87" s="1"/>
  <c r="CB17" i="87"/>
  <c r="CC17" i="87" s="1"/>
  <c r="CV17" i="87"/>
  <c r="CW17" i="87" s="1"/>
  <c r="DP17" i="87"/>
  <c r="DQ17" i="87" s="1"/>
  <c r="EJ17" i="87"/>
  <c r="FD17" i="87"/>
  <c r="FX17" i="87"/>
  <c r="GR17" i="87"/>
  <c r="HL17" i="87"/>
  <c r="HM17" i="87" s="1"/>
  <c r="IF17" i="87"/>
  <c r="IZ17" i="87"/>
  <c r="JT17" i="87"/>
  <c r="KN17" i="87"/>
  <c r="T18" i="87"/>
  <c r="AN18" i="87"/>
  <c r="BH18" i="87"/>
  <c r="CB18" i="87"/>
  <c r="CV18" i="87"/>
  <c r="DP18" i="87"/>
  <c r="EJ18" i="87"/>
  <c r="FD18" i="87"/>
  <c r="FX18" i="87"/>
  <c r="GR18" i="87"/>
  <c r="HL18" i="87"/>
  <c r="IF18" i="87"/>
  <c r="IZ18" i="87"/>
  <c r="JT18" i="87"/>
  <c r="KN18" i="87"/>
  <c r="KO18" i="87" s="1"/>
  <c r="T19" i="87"/>
  <c r="AN19" i="87"/>
  <c r="BH19" i="87"/>
  <c r="CB19" i="87"/>
  <c r="CV19" i="87"/>
  <c r="DP19" i="87"/>
  <c r="DQ19" i="87" s="1"/>
  <c r="EJ19" i="87"/>
  <c r="FD19" i="87"/>
  <c r="FE19" i="87" s="1"/>
  <c r="FX19" i="87"/>
  <c r="FY19" i="87" s="1"/>
  <c r="GR19" i="87"/>
  <c r="HL19" i="87"/>
  <c r="IF19" i="87"/>
  <c r="IG19" i="87" s="1"/>
  <c r="IZ19" i="87"/>
  <c r="JA19" i="87" s="1"/>
  <c r="JT19" i="87"/>
  <c r="KN19" i="87"/>
  <c r="KO19" i="87" s="1"/>
  <c r="T20" i="87"/>
  <c r="AN20" i="87"/>
  <c r="BH20" i="87"/>
  <c r="CB20" i="87"/>
  <c r="CV20" i="87"/>
  <c r="DP20" i="87"/>
  <c r="EJ20" i="87"/>
  <c r="FD20" i="87"/>
  <c r="FX20" i="87"/>
  <c r="GR20" i="87"/>
  <c r="HL20" i="87"/>
  <c r="IF20" i="87"/>
  <c r="IZ20" i="87"/>
  <c r="JT20" i="87"/>
  <c r="KN20" i="87"/>
  <c r="T22" i="87"/>
  <c r="AN22" i="87"/>
  <c r="BH22" i="87"/>
  <c r="CB22" i="87"/>
  <c r="CV22" i="87"/>
  <c r="DP22" i="87"/>
  <c r="EJ22" i="87"/>
  <c r="FD22" i="87"/>
  <c r="FX22" i="87"/>
  <c r="GR22" i="87"/>
  <c r="HL22" i="87"/>
  <c r="IF22" i="87"/>
  <c r="IZ22" i="87"/>
  <c r="JT22" i="87"/>
  <c r="KN22" i="87"/>
  <c r="T23" i="87"/>
  <c r="AN23" i="87"/>
  <c r="BH23" i="87"/>
  <c r="CB23" i="87"/>
  <c r="CV23" i="87"/>
  <c r="CW23" i="87" s="1"/>
  <c r="DP23" i="87"/>
  <c r="EJ23" i="87"/>
  <c r="EK23" i="87" s="1"/>
  <c r="FD23" i="87"/>
  <c r="FX23" i="87"/>
  <c r="FY23" i="87" s="1"/>
  <c r="GR23" i="87"/>
  <c r="HL23" i="87"/>
  <c r="IF23" i="87"/>
  <c r="IZ23" i="87"/>
  <c r="JA23" i="87" s="1"/>
  <c r="JT23" i="87"/>
  <c r="KN23" i="87"/>
  <c r="KO23" i="87" s="1"/>
  <c r="T24" i="87"/>
  <c r="AN24" i="87"/>
  <c r="BH24" i="87"/>
  <c r="BI24" i="87" s="1"/>
  <c r="CB24" i="87"/>
  <c r="CC24" i="87" s="1"/>
  <c r="CV24" i="87"/>
  <c r="DP24" i="87"/>
  <c r="EJ24" i="87"/>
  <c r="FD24" i="87"/>
  <c r="FX24" i="87"/>
  <c r="GR24" i="87"/>
  <c r="HL24" i="87"/>
  <c r="IF24" i="87"/>
  <c r="IZ24" i="87"/>
  <c r="JA24" i="87" s="1"/>
  <c r="JT24" i="87"/>
  <c r="KN24" i="87"/>
  <c r="KO24" i="87" s="1"/>
  <c r="T25" i="87"/>
  <c r="AN25" i="87"/>
  <c r="AO25" i="87" s="1"/>
  <c r="BH25" i="87"/>
  <c r="CB25" i="87"/>
  <c r="CV25" i="87"/>
  <c r="DP25" i="87"/>
  <c r="EJ25" i="87"/>
  <c r="FD25" i="87"/>
  <c r="FX25" i="87"/>
  <c r="GR25" i="87"/>
  <c r="HL25" i="87"/>
  <c r="IF25" i="87"/>
  <c r="IZ25" i="87"/>
  <c r="JT25" i="87"/>
  <c r="JU25" i="87" s="1"/>
  <c r="KN25" i="87"/>
  <c r="T26" i="87"/>
  <c r="AN26" i="87"/>
  <c r="BH26" i="87"/>
  <c r="CB26" i="87"/>
  <c r="CV26" i="87"/>
  <c r="DP26" i="87"/>
  <c r="EJ26" i="87"/>
  <c r="FD26" i="87"/>
  <c r="FX26" i="87"/>
  <c r="GR26" i="87"/>
  <c r="HL26" i="87"/>
  <c r="IF26" i="87"/>
  <c r="IZ26" i="87"/>
  <c r="JT26" i="87"/>
  <c r="KN26" i="87"/>
  <c r="T27" i="87"/>
  <c r="U27" i="87" s="1"/>
  <c r="AN27" i="87"/>
  <c r="BH27" i="87"/>
  <c r="CB27" i="87"/>
  <c r="CV27" i="87"/>
  <c r="DP27" i="87"/>
  <c r="EJ27" i="87"/>
  <c r="FD27" i="87"/>
  <c r="FX27" i="87"/>
  <c r="GR27" i="87"/>
  <c r="HL27" i="87"/>
  <c r="IF27" i="87"/>
  <c r="IZ27" i="87"/>
  <c r="JT27" i="87"/>
  <c r="KN27" i="87"/>
  <c r="T28" i="87"/>
  <c r="AN28" i="87"/>
  <c r="BH28" i="87"/>
  <c r="CB28" i="87"/>
  <c r="CV28" i="87"/>
  <c r="DP28" i="87"/>
  <c r="EJ28" i="87"/>
  <c r="FD28" i="87"/>
  <c r="FE28" i="87" s="1"/>
  <c r="FX28" i="87"/>
  <c r="GR28" i="87"/>
  <c r="HL28" i="87"/>
  <c r="IF28" i="87"/>
  <c r="IZ28" i="87"/>
  <c r="JT28" i="87"/>
  <c r="JU28" i="87" s="1"/>
  <c r="KN28" i="87"/>
  <c r="T29" i="87"/>
  <c r="AN29" i="87"/>
  <c r="BH29" i="87"/>
  <c r="CB29" i="87"/>
  <c r="CV29" i="87"/>
  <c r="DP29" i="87"/>
  <c r="EJ29" i="87"/>
  <c r="FD29" i="87"/>
  <c r="FX29" i="87"/>
  <c r="GR29" i="87"/>
  <c r="HL29" i="87"/>
  <c r="IF29" i="87"/>
  <c r="IZ29" i="87"/>
  <c r="JT29" i="87"/>
  <c r="KN29" i="87"/>
  <c r="T31" i="87"/>
  <c r="AN31" i="87"/>
  <c r="BH31" i="87"/>
  <c r="CB31" i="87"/>
  <c r="CV31" i="87"/>
  <c r="DP31" i="87"/>
  <c r="EJ31" i="87"/>
  <c r="FD31" i="87"/>
  <c r="FX31" i="87"/>
  <c r="GR31" i="87"/>
  <c r="HL31" i="87"/>
  <c r="IF31" i="87"/>
  <c r="IZ31" i="87"/>
  <c r="JT31" i="87"/>
  <c r="KN31" i="87"/>
  <c r="T32" i="87"/>
  <c r="AN32" i="87"/>
  <c r="BH32" i="87"/>
  <c r="BI32" i="87" s="1"/>
  <c r="CB32" i="87"/>
  <c r="CV32" i="87"/>
  <c r="CW32" i="87" s="1"/>
  <c r="DP32" i="87"/>
  <c r="EJ32" i="87"/>
  <c r="EK32" i="87" s="1"/>
  <c r="FD32" i="87"/>
  <c r="FX32" i="87"/>
  <c r="FY32" i="87" s="1"/>
  <c r="GR32" i="87"/>
  <c r="HL32" i="87"/>
  <c r="HM32" i="87" s="1"/>
  <c r="IF32" i="87"/>
  <c r="IZ32" i="87"/>
  <c r="JA32" i="87" s="1"/>
  <c r="JT32" i="87"/>
  <c r="KN32" i="87"/>
  <c r="KO32" i="87" s="1"/>
  <c r="T33" i="87"/>
  <c r="AN33" i="87"/>
  <c r="AO33" i="87" s="1"/>
  <c r="BH33" i="87"/>
  <c r="CB33" i="87"/>
  <c r="CV33" i="87"/>
  <c r="DP33" i="87"/>
  <c r="DQ33" i="87" s="1"/>
  <c r="EJ33" i="87"/>
  <c r="FD33" i="87"/>
  <c r="FE33" i="87" s="1"/>
  <c r="FX33" i="87"/>
  <c r="GR33" i="87"/>
  <c r="HL33" i="87"/>
  <c r="IF33" i="87"/>
  <c r="IG33" i="87" s="1"/>
  <c r="IZ33" i="87"/>
  <c r="JT33" i="87"/>
  <c r="JU33" i="87" s="1"/>
  <c r="KN33" i="87"/>
  <c r="T34" i="87"/>
  <c r="AN34" i="87"/>
  <c r="BH34" i="87"/>
  <c r="CB34" i="87"/>
  <c r="CV34" i="87"/>
  <c r="DP34" i="87"/>
  <c r="EJ34" i="87"/>
  <c r="FD34" i="87"/>
  <c r="FE34" i="87" s="1"/>
  <c r="FX34" i="87"/>
  <c r="GR34" i="87"/>
  <c r="HL34" i="87"/>
  <c r="IF34" i="87"/>
  <c r="IZ34" i="87"/>
  <c r="JT34" i="87"/>
  <c r="KN34" i="87"/>
  <c r="T35" i="87"/>
  <c r="AN35" i="87"/>
  <c r="BH35" i="87"/>
  <c r="CB35" i="87"/>
  <c r="CV35" i="87"/>
  <c r="DP35" i="87"/>
  <c r="DQ35" i="87" s="1"/>
  <c r="EJ35" i="87"/>
  <c r="EK35" i="87" s="1"/>
  <c r="FD35" i="87"/>
  <c r="FX35" i="87"/>
  <c r="GR35" i="87"/>
  <c r="GS35" i="87" s="1"/>
  <c r="HL35" i="87"/>
  <c r="IF35" i="87"/>
  <c r="IZ35" i="87"/>
  <c r="JT35" i="87"/>
  <c r="KN35" i="87"/>
  <c r="T36" i="87"/>
  <c r="AN36" i="87"/>
  <c r="AO36" i="87" s="1"/>
  <c r="BH36" i="87"/>
  <c r="BI36" i="87" s="1"/>
  <c r="CB36" i="87"/>
  <c r="CV36" i="87"/>
  <c r="DP36" i="87"/>
  <c r="EJ36" i="87"/>
  <c r="EK36" i="87" s="1"/>
  <c r="FD36" i="87"/>
  <c r="FX36" i="87"/>
  <c r="FY36" i="87" s="1"/>
  <c r="GR36" i="87"/>
  <c r="HL36" i="87"/>
  <c r="IF36" i="87"/>
  <c r="IZ36" i="87"/>
  <c r="JA36" i="87" s="1"/>
  <c r="JT36" i="87"/>
  <c r="KN36" i="87"/>
  <c r="T37" i="87"/>
  <c r="AN37" i="87"/>
  <c r="BH37" i="87"/>
  <c r="CB37" i="87"/>
  <c r="CV37" i="87"/>
  <c r="CW37" i="87" s="1"/>
  <c r="DP37" i="87"/>
  <c r="EJ37" i="87"/>
  <c r="FD37" i="87"/>
  <c r="FX37" i="87"/>
  <c r="GR37" i="87"/>
  <c r="GS37" i="87" s="1"/>
  <c r="HL37" i="87"/>
  <c r="IF37" i="87"/>
  <c r="IG37" i="87" s="1"/>
  <c r="IZ37" i="87"/>
  <c r="JT37" i="87"/>
  <c r="KN37" i="87"/>
  <c r="FO56" i="87"/>
  <c r="KE56" i="87"/>
  <c r="EU57" i="87"/>
  <c r="DG58" i="87"/>
  <c r="BS62" i="87"/>
  <c r="EU62" i="87"/>
  <c r="HW65" i="87"/>
  <c r="IQ65" i="87"/>
  <c r="BI96" i="87"/>
  <c r="FE96" i="87"/>
  <c r="IQ104" i="87"/>
  <c r="T67" i="87"/>
  <c r="T66" i="87"/>
  <c r="T65" i="87"/>
  <c r="T64" i="87"/>
  <c r="T63" i="87"/>
  <c r="T62" i="87"/>
  <c r="T61" i="87"/>
  <c r="T60" i="87"/>
  <c r="T58" i="87"/>
  <c r="T57" i="87"/>
  <c r="U57" i="87" s="1"/>
  <c r="T56" i="87"/>
  <c r="AN67" i="87"/>
  <c r="AN66" i="87"/>
  <c r="AO66" i="87" s="1"/>
  <c r="AN65" i="87"/>
  <c r="AN64" i="87"/>
  <c r="AN63" i="87"/>
  <c r="AN62" i="87"/>
  <c r="AN61" i="87"/>
  <c r="AN60" i="87"/>
  <c r="AN58" i="87"/>
  <c r="AN57" i="87"/>
  <c r="AN56" i="87"/>
  <c r="BH67" i="87"/>
  <c r="BH66" i="87"/>
  <c r="BH65" i="87"/>
  <c r="BH64" i="87"/>
  <c r="BH63" i="87"/>
  <c r="BH62" i="87"/>
  <c r="BI62" i="87" s="1"/>
  <c r="BH61" i="87"/>
  <c r="BH60" i="87"/>
  <c r="BH58" i="87"/>
  <c r="BH57" i="87"/>
  <c r="BH56" i="87"/>
  <c r="CB67" i="87"/>
  <c r="CB66" i="87"/>
  <c r="CB65" i="87"/>
  <c r="CB64" i="87"/>
  <c r="CB63" i="87"/>
  <c r="CB62" i="87"/>
  <c r="CB61" i="87"/>
  <c r="CB60" i="87"/>
  <c r="CB58" i="87"/>
  <c r="CB57" i="87"/>
  <c r="CB56" i="87"/>
  <c r="CV67" i="87"/>
  <c r="CV66" i="87"/>
  <c r="CV65" i="87"/>
  <c r="CV64" i="87"/>
  <c r="CV63" i="87"/>
  <c r="CV62" i="87"/>
  <c r="CV61" i="87"/>
  <c r="CV60" i="87"/>
  <c r="CV58" i="87"/>
  <c r="CV57" i="87"/>
  <c r="CV56" i="87"/>
  <c r="DP67" i="87"/>
  <c r="DP66" i="87"/>
  <c r="DP65" i="87"/>
  <c r="DP64" i="87"/>
  <c r="DP63" i="87"/>
  <c r="DP62" i="87"/>
  <c r="DQ62" i="87" s="1"/>
  <c r="DP61" i="87"/>
  <c r="DQ61" i="87" s="1"/>
  <c r="DP60" i="87"/>
  <c r="DP58" i="87"/>
  <c r="DP57" i="87"/>
  <c r="DP56" i="87"/>
  <c r="EJ67" i="87"/>
  <c r="EJ66" i="87"/>
  <c r="EJ65" i="87"/>
  <c r="EJ64" i="87"/>
  <c r="EJ63" i="87"/>
  <c r="EJ62" i="87"/>
  <c r="EJ61" i="87"/>
  <c r="EJ60" i="87"/>
  <c r="EJ58" i="87"/>
  <c r="EJ57" i="87"/>
  <c r="EJ56" i="87"/>
  <c r="FD67" i="87"/>
  <c r="FD66" i="87"/>
  <c r="FD65" i="87"/>
  <c r="FD64" i="87"/>
  <c r="FD63" i="87"/>
  <c r="FD62" i="87"/>
  <c r="FD61" i="87"/>
  <c r="FD60" i="87"/>
  <c r="FD58" i="87"/>
  <c r="FD57" i="87"/>
  <c r="FD56" i="87"/>
  <c r="FX67" i="87"/>
  <c r="FX66" i="87"/>
  <c r="FX65" i="87"/>
  <c r="FX64" i="87"/>
  <c r="FX63" i="87"/>
  <c r="FX62" i="87"/>
  <c r="FY62" i="87" s="1"/>
  <c r="FX61" i="87"/>
  <c r="FY61" i="87" s="1"/>
  <c r="FX60" i="87"/>
  <c r="FX58" i="87"/>
  <c r="FX57" i="87"/>
  <c r="FX56" i="87"/>
  <c r="GR67" i="87"/>
  <c r="GS67" i="87" s="1"/>
  <c r="GR66" i="87"/>
  <c r="GR65" i="87"/>
  <c r="GR64" i="87"/>
  <c r="GR63" i="87"/>
  <c r="GR62" i="87"/>
  <c r="GR61" i="87"/>
  <c r="GR60" i="87"/>
  <c r="GR58" i="87"/>
  <c r="GR57" i="87"/>
  <c r="GS57" i="87" s="1"/>
  <c r="GR56" i="87"/>
  <c r="HL67" i="87"/>
  <c r="HL66" i="87"/>
  <c r="HL65" i="87"/>
  <c r="HL64" i="87"/>
  <c r="HL63" i="87"/>
  <c r="HL62" i="87"/>
  <c r="HM62" i="87" s="1"/>
  <c r="HL61" i="87"/>
  <c r="HL60" i="87"/>
  <c r="HL58" i="87"/>
  <c r="HL57" i="87"/>
  <c r="HL56" i="87"/>
  <c r="IF67" i="87"/>
  <c r="IF66" i="87"/>
  <c r="IG66" i="87" s="1"/>
  <c r="IF65" i="87"/>
  <c r="IF64" i="87"/>
  <c r="IF63" i="87"/>
  <c r="IF62" i="87"/>
  <c r="IF61" i="87"/>
  <c r="IF60" i="87"/>
  <c r="IF58" i="87"/>
  <c r="IF57" i="87"/>
  <c r="IG57" i="87" s="1"/>
  <c r="IF56" i="87"/>
  <c r="IZ67" i="87"/>
  <c r="IZ66" i="87"/>
  <c r="IZ65" i="87"/>
  <c r="JA65" i="87" s="1"/>
  <c r="IZ64" i="87"/>
  <c r="IZ63" i="87"/>
  <c r="IZ62" i="87"/>
  <c r="IZ61" i="87"/>
  <c r="IZ60" i="87"/>
  <c r="IZ58" i="87"/>
  <c r="IZ57" i="87"/>
  <c r="IZ56" i="87"/>
  <c r="JT67" i="87"/>
  <c r="JT66" i="87"/>
  <c r="JT65" i="87"/>
  <c r="JT64" i="87"/>
  <c r="JT63" i="87"/>
  <c r="JT62" i="87"/>
  <c r="JT61" i="87"/>
  <c r="JT60" i="87"/>
  <c r="JT58" i="87"/>
  <c r="JT57" i="87"/>
  <c r="JT56" i="87"/>
  <c r="KN67" i="87"/>
  <c r="KN66" i="87"/>
  <c r="KN65" i="87"/>
  <c r="KN64" i="87"/>
  <c r="KN63" i="87"/>
  <c r="KN62" i="87"/>
  <c r="KN61" i="87"/>
  <c r="KN60" i="87"/>
  <c r="KN58" i="87"/>
  <c r="KN57" i="87"/>
  <c r="KN56" i="87"/>
  <c r="KN55" i="87"/>
  <c r="BQ52" i="87"/>
  <c r="DO52" i="87"/>
  <c r="ES52" i="87"/>
  <c r="FC52" i="87"/>
  <c r="FW52" i="87"/>
  <c r="GQ52" i="87"/>
  <c r="HK52" i="87"/>
  <c r="HU52" i="87"/>
  <c r="IE52" i="87"/>
  <c r="IY52" i="87"/>
  <c r="JI52" i="87"/>
  <c r="KM52" i="87"/>
  <c r="KW52" i="87"/>
  <c r="AC53" i="87"/>
  <c r="BQ53" i="87"/>
  <c r="JI53" i="87"/>
  <c r="BG54" i="87"/>
  <c r="FC54" i="87"/>
  <c r="GQ54" i="87"/>
  <c r="IY54" i="87"/>
  <c r="AD13" i="87"/>
  <c r="AX13" i="87"/>
  <c r="BR13" i="87"/>
  <c r="CL13" i="87"/>
  <c r="DF13" i="87"/>
  <c r="DZ13" i="87"/>
  <c r="ET13" i="87"/>
  <c r="FN13" i="87"/>
  <c r="GH13" i="87"/>
  <c r="HB13" i="87"/>
  <c r="HV13" i="87"/>
  <c r="IP13" i="87"/>
  <c r="JJ13" i="87"/>
  <c r="KD13" i="87"/>
  <c r="KX13" i="87"/>
  <c r="AD14" i="87"/>
  <c r="AX14" i="87"/>
  <c r="BR14" i="87"/>
  <c r="CL14" i="87"/>
  <c r="DF14" i="87"/>
  <c r="DZ14" i="87"/>
  <c r="EA14" i="87" s="1"/>
  <c r="ET14" i="87"/>
  <c r="EU14" i="87" s="1"/>
  <c r="FN14" i="87"/>
  <c r="GH14" i="87"/>
  <c r="GI14" i="87" s="1"/>
  <c r="HB14" i="87"/>
  <c r="HV14" i="87"/>
  <c r="HW14" i="87" s="1"/>
  <c r="IP14" i="87"/>
  <c r="JJ14" i="87"/>
  <c r="KD14" i="87"/>
  <c r="KX14" i="87"/>
  <c r="KY14" i="87" s="1"/>
  <c r="AD15" i="87"/>
  <c r="AE15" i="87" s="1"/>
  <c r="AX15" i="87"/>
  <c r="BR15" i="87"/>
  <c r="BS15" i="87" s="1"/>
  <c r="CL15" i="87"/>
  <c r="DF15" i="87"/>
  <c r="DZ15" i="87"/>
  <c r="ET15" i="87"/>
  <c r="FN15" i="87"/>
  <c r="FO15" i="87" s="1"/>
  <c r="GH15" i="87"/>
  <c r="HB15" i="87"/>
  <c r="HV15" i="87"/>
  <c r="IP15" i="87"/>
  <c r="JJ15" i="87"/>
  <c r="JK15" i="87" s="1"/>
  <c r="KD15" i="87"/>
  <c r="KX15" i="87"/>
  <c r="KY15" i="87" s="1"/>
  <c r="AD16" i="87"/>
  <c r="AX16" i="87"/>
  <c r="BR16" i="87"/>
  <c r="CL16" i="87"/>
  <c r="DF16" i="87"/>
  <c r="DZ16" i="87"/>
  <c r="ET16" i="87"/>
  <c r="FN16" i="87"/>
  <c r="GH16" i="87"/>
  <c r="HB16" i="87"/>
  <c r="HV16" i="87"/>
  <c r="IP16" i="87"/>
  <c r="JJ16" i="87"/>
  <c r="KD16" i="87"/>
  <c r="KX16" i="87"/>
  <c r="AD17" i="87"/>
  <c r="AX17" i="87"/>
  <c r="BR17" i="87"/>
  <c r="BS17" i="87" s="1"/>
  <c r="CL17" i="87"/>
  <c r="DF17" i="87"/>
  <c r="DZ17" i="87"/>
  <c r="ET17" i="87"/>
  <c r="FN17" i="87"/>
  <c r="FO17" i="87" s="1"/>
  <c r="GH17" i="87"/>
  <c r="GI17" i="87" s="1"/>
  <c r="HB17" i="87"/>
  <c r="HV17" i="87"/>
  <c r="IP17" i="87"/>
  <c r="IQ17" i="87" s="1"/>
  <c r="JJ17" i="87"/>
  <c r="KD17" i="87"/>
  <c r="KX17" i="87"/>
  <c r="KY17" i="87" s="1"/>
  <c r="AD18" i="87"/>
  <c r="AX18" i="87"/>
  <c r="BR18" i="87"/>
  <c r="CL18" i="87"/>
  <c r="DF18" i="87"/>
  <c r="DG18" i="87" s="1"/>
  <c r="DZ18" i="87"/>
  <c r="ET18" i="87"/>
  <c r="FN18" i="87"/>
  <c r="GH18" i="87"/>
  <c r="HB18" i="87"/>
  <c r="HV18" i="87"/>
  <c r="IP18" i="87"/>
  <c r="JJ18" i="87"/>
  <c r="KD18" i="87"/>
  <c r="KE18" i="87" s="1"/>
  <c r="KX18" i="87"/>
  <c r="AD19" i="87"/>
  <c r="AX19" i="87"/>
  <c r="AY19" i="87" s="1"/>
  <c r="BR19" i="87"/>
  <c r="BS19" i="87" s="1"/>
  <c r="CL19" i="87"/>
  <c r="CM19" i="87" s="1"/>
  <c r="DF19" i="87"/>
  <c r="DZ19" i="87"/>
  <c r="ET19" i="87"/>
  <c r="EU19" i="87" s="1"/>
  <c r="FN19" i="87"/>
  <c r="GH19" i="87"/>
  <c r="HB19" i="87"/>
  <c r="HV19" i="87"/>
  <c r="IP19" i="87"/>
  <c r="JJ19" i="87"/>
  <c r="JK19" i="87" s="1"/>
  <c r="KD19" i="87"/>
  <c r="KX19" i="87"/>
  <c r="KY19" i="87" s="1"/>
  <c r="AD20" i="87"/>
  <c r="AX20" i="87"/>
  <c r="BR20" i="87"/>
  <c r="CL20" i="87"/>
  <c r="DF20" i="87"/>
  <c r="DZ20" i="87"/>
  <c r="ET20" i="87"/>
  <c r="FN20" i="87"/>
  <c r="FO20" i="87" s="1"/>
  <c r="GH20" i="87"/>
  <c r="HB20" i="87"/>
  <c r="HC20" i="87" s="1"/>
  <c r="HV20" i="87"/>
  <c r="IP20" i="87"/>
  <c r="JJ20" i="87"/>
  <c r="KD20" i="87"/>
  <c r="KE20" i="87" s="1"/>
  <c r="KX20" i="87"/>
  <c r="AD22" i="87"/>
  <c r="AX22" i="87"/>
  <c r="BR22" i="87"/>
  <c r="CL22" i="87"/>
  <c r="DF22" i="87"/>
  <c r="DZ22" i="87"/>
  <c r="ET22" i="87"/>
  <c r="FN22" i="87"/>
  <c r="GH22" i="87"/>
  <c r="HB22" i="87"/>
  <c r="HV22" i="87"/>
  <c r="IP22" i="87"/>
  <c r="JJ22" i="87"/>
  <c r="KD22" i="87"/>
  <c r="KX22" i="87"/>
  <c r="AD23" i="87"/>
  <c r="AE23" i="87" s="1"/>
  <c r="AX23" i="87"/>
  <c r="BR23" i="87"/>
  <c r="CL23" i="87"/>
  <c r="DF23" i="87"/>
  <c r="DZ23" i="87"/>
  <c r="ET23" i="87"/>
  <c r="FN23" i="87"/>
  <c r="GH23" i="87"/>
  <c r="GI23" i="87" s="1"/>
  <c r="HB23" i="87"/>
  <c r="HV23" i="87"/>
  <c r="IP23" i="87"/>
  <c r="JJ23" i="87"/>
  <c r="KD23" i="87"/>
  <c r="KX23" i="87"/>
  <c r="KY23" i="87" s="1"/>
  <c r="AD24" i="87"/>
  <c r="AE24" i="87" s="1"/>
  <c r="AX24" i="87"/>
  <c r="BR24" i="87"/>
  <c r="CL24" i="87"/>
  <c r="DF24" i="87"/>
  <c r="DG24" i="87" s="1"/>
  <c r="DZ24" i="87"/>
  <c r="ET24" i="87"/>
  <c r="FN24" i="87"/>
  <c r="FO24" i="87" s="1"/>
  <c r="GH24" i="87"/>
  <c r="HB24" i="87"/>
  <c r="HV24" i="87"/>
  <c r="IP24" i="87"/>
  <c r="JJ24" i="87"/>
  <c r="KD24" i="87"/>
  <c r="KX24" i="87"/>
  <c r="KY24" i="87" s="1"/>
  <c r="AD25" i="87"/>
  <c r="AE25" i="87" s="1"/>
  <c r="AX25" i="87"/>
  <c r="BR25" i="87"/>
  <c r="CL25" i="87"/>
  <c r="DF25" i="87"/>
  <c r="DG25" i="87" s="1"/>
  <c r="DZ25" i="87"/>
  <c r="ET25" i="87"/>
  <c r="FN25" i="87"/>
  <c r="GH25" i="87"/>
  <c r="HB25" i="87"/>
  <c r="HV25" i="87"/>
  <c r="IP25" i="87"/>
  <c r="JJ25" i="87"/>
  <c r="JK25" i="87" s="1"/>
  <c r="KD25" i="87"/>
  <c r="KX25" i="87"/>
  <c r="AD26" i="87"/>
  <c r="AX26" i="87"/>
  <c r="BR26" i="87"/>
  <c r="CL26" i="87"/>
  <c r="DF26" i="87"/>
  <c r="DZ26" i="87"/>
  <c r="ET26" i="87"/>
  <c r="FN26" i="87"/>
  <c r="GH26" i="87"/>
  <c r="HB26" i="87"/>
  <c r="HV26" i="87"/>
  <c r="IP26" i="87"/>
  <c r="JJ26" i="87"/>
  <c r="KD26" i="87"/>
  <c r="KX26" i="87"/>
  <c r="KY26" i="87" s="1"/>
  <c r="AD27" i="87"/>
  <c r="AX27" i="87"/>
  <c r="BR27" i="87"/>
  <c r="CL27" i="87"/>
  <c r="DF27" i="87"/>
  <c r="DZ27" i="87"/>
  <c r="ET27" i="87"/>
  <c r="FN27" i="87"/>
  <c r="FO27" i="87" s="1"/>
  <c r="GH27" i="87"/>
  <c r="HB27" i="87"/>
  <c r="HV27" i="87"/>
  <c r="IP27" i="87"/>
  <c r="JJ27" i="87"/>
  <c r="KD27" i="87"/>
  <c r="KX27" i="87"/>
  <c r="AD28" i="87"/>
  <c r="AX28" i="87"/>
  <c r="BR28" i="87"/>
  <c r="BS28" i="87" s="1"/>
  <c r="CL28" i="87"/>
  <c r="DF28" i="87"/>
  <c r="DZ28" i="87"/>
  <c r="ET28" i="87"/>
  <c r="FN28" i="87"/>
  <c r="GH28" i="87"/>
  <c r="GI28" i="87" s="1"/>
  <c r="HB28" i="87"/>
  <c r="HV28" i="87"/>
  <c r="IP28" i="87"/>
  <c r="JJ28" i="87"/>
  <c r="JK28" i="87" s="1"/>
  <c r="KD28" i="87"/>
  <c r="KX28" i="87"/>
  <c r="KY28" i="87" s="1"/>
  <c r="AD29" i="87"/>
  <c r="AX29" i="87"/>
  <c r="AY29" i="87" s="1"/>
  <c r="BR29" i="87"/>
  <c r="CL29" i="87"/>
  <c r="CM29" i="87" s="1"/>
  <c r="DF29" i="87"/>
  <c r="DZ29" i="87"/>
  <c r="ET29" i="87"/>
  <c r="FN29" i="87"/>
  <c r="FO29" i="87" s="1"/>
  <c r="GH29" i="87"/>
  <c r="HB29" i="87"/>
  <c r="HV29" i="87"/>
  <c r="IP29" i="87"/>
  <c r="IQ29" i="87" s="1"/>
  <c r="JJ29" i="87"/>
  <c r="JK29" i="87" s="1"/>
  <c r="KD29" i="87"/>
  <c r="KX29" i="87"/>
  <c r="AD31" i="87"/>
  <c r="AX31" i="87"/>
  <c r="BR31" i="87"/>
  <c r="CL31" i="87"/>
  <c r="DF31" i="87"/>
  <c r="DZ31" i="87"/>
  <c r="ET31" i="87"/>
  <c r="FN31" i="87"/>
  <c r="GH31" i="87"/>
  <c r="HB31" i="87"/>
  <c r="HV31" i="87"/>
  <c r="IP31" i="87"/>
  <c r="JJ31" i="87"/>
  <c r="KD31" i="87"/>
  <c r="KX31" i="87"/>
  <c r="AD32" i="87"/>
  <c r="AX32" i="87"/>
  <c r="BR32" i="87"/>
  <c r="CL32" i="87"/>
  <c r="DF32" i="87"/>
  <c r="DZ32" i="87"/>
  <c r="ET32" i="87"/>
  <c r="EU32" i="87" s="1"/>
  <c r="FN32" i="87"/>
  <c r="GH32" i="87"/>
  <c r="HB32" i="87"/>
  <c r="HV32" i="87"/>
  <c r="IP32" i="87"/>
  <c r="IQ32" i="87" s="1"/>
  <c r="JJ32" i="87"/>
  <c r="JK32" i="87" s="1"/>
  <c r="KD32" i="87"/>
  <c r="KE32" i="87" s="1"/>
  <c r="KX32" i="87"/>
  <c r="AD33" i="87"/>
  <c r="AX33" i="87"/>
  <c r="BR33" i="87"/>
  <c r="CL33" i="87"/>
  <c r="DF33" i="87"/>
  <c r="DZ33" i="87"/>
  <c r="ET33" i="87"/>
  <c r="FN33" i="87"/>
  <c r="FO33" i="87" s="1"/>
  <c r="GH33" i="87"/>
  <c r="HB33" i="87"/>
  <c r="HV33" i="87"/>
  <c r="IP33" i="87"/>
  <c r="IQ33" i="87" s="1"/>
  <c r="JJ33" i="87"/>
  <c r="KD33" i="87"/>
  <c r="KX33" i="87"/>
  <c r="KY33" i="87" s="1"/>
  <c r="AD34" i="87"/>
  <c r="AX34" i="87"/>
  <c r="BR34" i="87"/>
  <c r="BS34" i="87" s="1"/>
  <c r="CL34" i="87"/>
  <c r="DF34" i="87"/>
  <c r="DZ34" i="87"/>
  <c r="ET34" i="87"/>
  <c r="FN34" i="87"/>
  <c r="FO34" i="87" s="1"/>
  <c r="GH34" i="87"/>
  <c r="HB34" i="87"/>
  <c r="HV34" i="87"/>
  <c r="IP34" i="87"/>
  <c r="JJ34" i="87"/>
  <c r="KD34" i="87"/>
  <c r="KX34" i="87"/>
  <c r="AD35" i="87"/>
  <c r="AX35" i="87"/>
  <c r="BR35" i="87"/>
  <c r="CL35" i="87"/>
  <c r="CM35" i="87" s="1"/>
  <c r="DF35" i="87"/>
  <c r="DZ35" i="87"/>
  <c r="ET35" i="87"/>
  <c r="FN35" i="87"/>
  <c r="FO35" i="87" s="1"/>
  <c r="GH35" i="87"/>
  <c r="HB35" i="87"/>
  <c r="HV35" i="87"/>
  <c r="IP35" i="87"/>
  <c r="JJ35" i="87"/>
  <c r="KD35" i="87"/>
  <c r="KX35" i="87"/>
  <c r="KY35" i="87" s="1"/>
  <c r="AD36" i="87"/>
  <c r="AX36" i="87"/>
  <c r="BR36" i="87"/>
  <c r="CL36" i="87"/>
  <c r="DF36" i="87"/>
  <c r="DZ36" i="87"/>
  <c r="EA36" i="87" s="1"/>
  <c r="ET36" i="87"/>
  <c r="FN36" i="87"/>
  <c r="FO36" i="87" s="1"/>
  <c r="GH36" i="87"/>
  <c r="HB36" i="87"/>
  <c r="HV36" i="87"/>
  <c r="IP36" i="87"/>
  <c r="IQ36" i="87" s="1"/>
  <c r="JJ36" i="87"/>
  <c r="KD36" i="87"/>
  <c r="KE36" i="87" s="1"/>
  <c r="KX36" i="87"/>
  <c r="AD37" i="87"/>
  <c r="AX37" i="87"/>
  <c r="BR37" i="87"/>
  <c r="CL37" i="87"/>
  <c r="DF37" i="87"/>
  <c r="DZ37" i="87"/>
  <c r="ET37" i="87"/>
  <c r="FN37" i="87"/>
  <c r="GH37" i="87"/>
  <c r="GI37" i="87" s="1"/>
  <c r="HB37" i="87"/>
  <c r="HV37" i="87"/>
  <c r="IP37" i="87"/>
  <c r="JJ37" i="87"/>
  <c r="KD37" i="87"/>
  <c r="KX37" i="87"/>
  <c r="T42" i="87"/>
  <c r="AN42" i="87"/>
  <c r="BH42" i="87"/>
  <c r="CB42" i="87"/>
  <c r="CV42" i="87"/>
  <c r="DP42" i="87"/>
  <c r="EJ42" i="87"/>
  <c r="FD42" i="87"/>
  <c r="FX42" i="87"/>
  <c r="GR42" i="87"/>
  <c r="HL42" i="87"/>
  <c r="IF42" i="87"/>
  <c r="IZ42" i="87"/>
  <c r="JT42" i="87"/>
  <c r="KN42" i="87"/>
  <c r="T43" i="87"/>
  <c r="AD43" i="87"/>
  <c r="AN43" i="87"/>
  <c r="AX43" i="87"/>
  <c r="BH43" i="87"/>
  <c r="BR43" i="87"/>
  <c r="CB43" i="87"/>
  <c r="CL43" i="87"/>
  <c r="CM43" i="87" s="1"/>
  <c r="CV43" i="87"/>
  <c r="DF43" i="87"/>
  <c r="DG43" i="87" s="1"/>
  <c r="DP43" i="87"/>
  <c r="DZ43" i="87"/>
  <c r="EJ43" i="87"/>
  <c r="ET43" i="87"/>
  <c r="EU43" i="87" s="1"/>
  <c r="FD43" i="87"/>
  <c r="FE43" i="87" s="1"/>
  <c r="FN43" i="87"/>
  <c r="FX43" i="87"/>
  <c r="GH43" i="87"/>
  <c r="GR43" i="87"/>
  <c r="HB43" i="87"/>
  <c r="HL43" i="87"/>
  <c r="HM43" i="87" s="1"/>
  <c r="HV43" i="87"/>
  <c r="HW43" i="87" s="1"/>
  <c r="IF43" i="87"/>
  <c r="IP43" i="87"/>
  <c r="IZ43" i="87"/>
  <c r="JJ43" i="87"/>
  <c r="JT43" i="87"/>
  <c r="KD43" i="87"/>
  <c r="KE43" i="87" s="1"/>
  <c r="KN43" i="87"/>
  <c r="KO43" i="87" s="1"/>
  <c r="KX43" i="87"/>
  <c r="KY43" i="87" s="1"/>
  <c r="T44" i="87"/>
  <c r="AD44" i="87"/>
  <c r="AN44" i="87"/>
  <c r="AX44" i="87"/>
  <c r="BH44" i="87"/>
  <c r="BR44" i="87"/>
  <c r="BS44" i="87" s="1"/>
  <c r="CB44" i="87"/>
  <c r="CL44" i="87"/>
  <c r="CV44" i="87"/>
  <c r="DF44" i="87"/>
  <c r="DP44" i="87"/>
  <c r="DZ44" i="87"/>
  <c r="EJ44" i="87"/>
  <c r="ET44" i="87"/>
  <c r="FD44" i="87"/>
  <c r="FN44" i="87"/>
  <c r="FX44" i="87"/>
  <c r="GH44" i="87"/>
  <c r="GR44" i="87"/>
  <c r="HB44" i="87"/>
  <c r="HL44" i="87"/>
  <c r="HV44" i="87"/>
  <c r="IF44" i="87"/>
  <c r="IP44" i="87"/>
  <c r="IZ44" i="87"/>
  <c r="JJ44" i="87"/>
  <c r="JT44" i="87"/>
  <c r="KD44" i="87"/>
  <c r="KN44" i="87"/>
  <c r="KX44" i="87"/>
  <c r="T45" i="87"/>
  <c r="AD45" i="87"/>
  <c r="AN45" i="87"/>
  <c r="AX45" i="87"/>
  <c r="BH45" i="87"/>
  <c r="BR45" i="87"/>
  <c r="CB45" i="87"/>
  <c r="CL45" i="87"/>
  <c r="CV45" i="87"/>
  <c r="DF45" i="87"/>
  <c r="DP45" i="87"/>
  <c r="DZ45" i="87"/>
  <c r="EJ45" i="87"/>
  <c r="ET45" i="87"/>
  <c r="FD45" i="87"/>
  <c r="FN45" i="87"/>
  <c r="FX45" i="87"/>
  <c r="GH45" i="87"/>
  <c r="GR45" i="87"/>
  <c r="HB45" i="87"/>
  <c r="HL45" i="87"/>
  <c r="HV45" i="87"/>
  <c r="IF45" i="87"/>
  <c r="IP45" i="87"/>
  <c r="IZ45" i="87"/>
  <c r="JJ45" i="87"/>
  <c r="JT45" i="87"/>
  <c r="KD45" i="87"/>
  <c r="KN45" i="87"/>
  <c r="KX45" i="87"/>
  <c r="T46" i="87"/>
  <c r="AD46" i="87"/>
  <c r="AN46" i="87"/>
  <c r="AX46" i="87"/>
  <c r="AY46" i="87" s="1"/>
  <c r="BH46" i="87"/>
  <c r="BR46" i="87"/>
  <c r="CB46" i="87"/>
  <c r="CL46" i="87"/>
  <c r="CM46" i="87" s="1"/>
  <c r="CV46" i="87"/>
  <c r="DF46" i="87"/>
  <c r="DP46" i="87"/>
  <c r="DQ46" i="87" s="1"/>
  <c r="DZ46" i="87"/>
  <c r="EJ46" i="87"/>
  <c r="ET46" i="87"/>
  <c r="FD46" i="87"/>
  <c r="FN46" i="87"/>
  <c r="FO46" i="87" s="1"/>
  <c r="FX46" i="87"/>
  <c r="GH46" i="87"/>
  <c r="GR46" i="87"/>
  <c r="HB46" i="87"/>
  <c r="HL46" i="87"/>
  <c r="HV46" i="87"/>
  <c r="IF46" i="87"/>
  <c r="IG46" i="87" s="1"/>
  <c r="IP46" i="87"/>
  <c r="IZ46" i="87"/>
  <c r="JJ46" i="87"/>
  <c r="JT46" i="87"/>
  <c r="KD46" i="87"/>
  <c r="KN46" i="87"/>
  <c r="KO46" i="87" s="1"/>
  <c r="KX46" i="87"/>
  <c r="KY46" i="87" s="1"/>
  <c r="T47" i="87"/>
  <c r="AD47" i="87"/>
  <c r="AN47" i="87"/>
  <c r="AX47" i="87"/>
  <c r="BH47" i="87"/>
  <c r="BR47" i="87"/>
  <c r="CB47" i="87"/>
  <c r="CL47" i="87"/>
  <c r="CV47" i="87"/>
  <c r="DF47" i="87"/>
  <c r="DP47" i="87"/>
  <c r="DZ47" i="87"/>
  <c r="EJ47" i="87"/>
  <c r="ET47" i="87"/>
  <c r="FD47" i="87"/>
  <c r="FN47" i="87"/>
  <c r="FX47" i="87"/>
  <c r="GH47" i="87"/>
  <c r="GR47" i="87"/>
  <c r="GS47" i="87" s="1"/>
  <c r="HB47" i="87"/>
  <c r="HL47" i="87"/>
  <c r="HV47" i="87"/>
  <c r="IF47" i="87"/>
  <c r="IP47" i="87"/>
  <c r="IZ47" i="87"/>
  <c r="JJ47" i="87"/>
  <c r="JT47" i="87"/>
  <c r="KD47" i="87"/>
  <c r="KE47" i="87" s="1"/>
  <c r="KN47" i="87"/>
  <c r="KX47" i="87"/>
  <c r="T48" i="87"/>
  <c r="AD48" i="87"/>
  <c r="AN48" i="87"/>
  <c r="AX48" i="87"/>
  <c r="BH48" i="87"/>
  <c r="BR48" i="87"/>
  <c r="BS48" i="87" s="1"/>
  <c r="CB48" i="87"/>
  <c r="CC48" i="87" s="1"/>
  <c r="CL48" i="87"/>
  <c r="CV48" i="87"/>
  <c r="DF48" i="87"/>
  <c r="DP48" i="87"/>
  <c r="DZ48" i="87"/>
  <c r="EJ48" i="87"/>
  <c r="ET48" i="87"/>
  <c r="FD48" i="87"/>
  <c r="FN48" i="87"/>
  <c r="FX48" i="87"/>
  <c r="FY48" i="87" s="1"/>
  <c r="GH48" i="87"/>
  <c r="GR48" i="87"/>
  <c r="HB48" i="87"/>
  <c r="HL48" i="87"/>
  <c r="HV48" i="87"/>
  <c r="HW48" i="87" s="1"/>
  <c r="IF48" i="87"/>
  <c r="IP48" i="87"/>
  <c r="IQ48" i="87" s="1"/>
  <c r="IZ48" i="87"/>
  <c r="JJ48" i="87"/>
  <c r="JK48" i="87" s="1"/>
  <c r="JT48" i="87"/>
  <c r="KD48" i="87"/>
  <c r="KN48" i="87"/>
  <c r="KX48" i="87"/>
  <c r="T49" i="87"/>
  <c r="AD49" i="87"/>
  <c r="AN49" i="87"/>
  <c r="AX49" i="87"/>
  <c r="BH49" i="87"/>
  <c r="BR49" i="87"/>
  <c r="CB49" i="87"/>
  <c r="CL49" i="87"/>
  <c r="CV49" i="87"/>
  <c r="DF49" i="87"/>
  <c r="DP49" i="87"/>
  <c r="DZ49" i="87"/>
  <c r="EJ49" i="87"/>
  <c r="ET49" i="87"/>
  <c r="FD49" i="87"/>
  <c r="FN49" i="87"/>
  <c r="FX49" i="87"/>
  <c r="GH49" i="87"/>
  <c r="GR49" i="87"/>
  <c r="HB49" i="87"/>
  <c r="HL49" i="87"/>
  <c r="HV49" i="87"/>
  <c r="IF49" i="87"/>
  <c r="IP49" i="87"/>
  <c r="IQ49" i="87" s="1"/>
  <c r="IZ49" i="87"/>
  <c r="JJ49" i="87"/>
  <c r="JT49" i="87"/>
  <c r="KD49" i="87"/>
  <c r="KN49" i="87"/>
  <c r="KX49" i="87"/>
  <c r="T51" i="87"/>
  <c r="AD51" i="87"/>
  <c r="AN51" i="87"/>
  <c r="AX51" i="87"/>
  <c r="BH51" i="87"/>
  <c r="BR51" i="87"/>
  <c r="CB51" i="87"/>
  <c r="CL51" i="87"/>
  <c r="CV51" i="87"/>
  <c r="DF51" i="87"/>
  <c r="DP51" i="87"/>
  <c r="DZ51" i="87"/>
  <c r="EJ51" i="87"/>
  <c r="ET51" i="87"/>
  <c r="FD51" i="87"/>
  <c r="FN51" i="87"/>
  <c r="FX51" i="87"/>
  <c r="GH51" i="87"/>
  <c r="GR51" i="87"/>
  <c r="HB51" i="87"/>
  <c r="HL51" i="87"/>
  <c r="HV51" i="87"/>
  <c r="IF51" i="87"/>
  <c r="IP51" i="87"/>
  <c r="IZ51" i="87"/>
  <c r="JJ51" i="87"/>
  <c r="JT51" i="87"/>
  <c r="KD51" i="87"/>
  <c r="KN51" i="87"/>
  <c r="KX51" i="87"/>
  <c r="T52" i="87"/>
  <c r="AD52" i="87"/>
  <c r="AN52" i="87"/>
  <c r="AX52" i="87"/>
  <c r="BH52" i="87"/>
  <c r="BR52" i="87"/>
  <c r="CB52" i="87"/>
  <c r="CL52" i="87"/>
  <c r="CV52" i="87"/>
  <c r="DF52" i="87"/>
  <c r="DP52" i="87"/>
  <c r="DZ52" i="87"/>
  <c r="EJ52" i="87"/>
  <c r="ET52" i="87"/>
  <c r="FD52" i="87"/>
  <c r="FN52" i="87"/>
  <c r="FX52" i="87"/>
  <c r="GH52" i="87"/>
  <c r="GR52" i="87"/>
  <c r="HB52" i="87"/>
  <c r="HL52" i="87"/>
  <c r="HV52" i="87"/>
  <c r="IF52" i="87"/>
  <c r="IP52" i="87"/>
  <c r="IZ52" i="87"/>
  <c r="JJ52" i="87"/>
  <c r="JT52" i="87"/>
  <c r="KD52" i="87"/>
  <c r="KN52" i="87"/>
  <c r="KX52" i="87"/>
  <c r="T53" i="87"/>
  <c r="AD53" i="87"/>
  <c r="AN53" i="87"/>
  <c r="AX53" i="87"/>
  <c r="BH53" i="87"/>
  <c r="BR53" i="87"/>
  <c r="CB53" i="87"/>
  <c r="CL53" i="87"/>
  <c r="CV53" i="87"/>
  <c r="DF53" i="87"/>
  <c r="DP53" i="87"/>
  <c r="DZ53" i="87"/>
  <c r="EJ53" i="87"/>
  <c r="ET53" i="87"/>
  <c r="FD53" i="87"/>
  <c r="FN53" i="87"/>
  <c r="FX53" i="87"/>
  <c r="GH53" i="87"/>
  <c r="GR53" i="87"/>
  <c r="HB53" i="87"/>
  <c r="HL53" i="87"/>
  <c r="HV53" i="87"/>
  <c r="IF53" i="87"/>
  <c r="IP53" i="87"/>
  <c r="IZ53" i="87"/>
  <c r="JJ53" i="87"/>
  <c r="JT53" i="87"/>
  <c r="KD53" i="87"/>
  <c r="KN53" i="87"/>
  <c r="KX53" i="87"/>
  <c r="T54" i="87"/>
  <c r="AD54" i="87"/>
  <c r="AN54" i="87"/>
  <c r="AX54" i="87"/>
  <c r="BH54" i="87"/>
  <c r="BR54" i="87"/>
  <c r="CB54" i="87"/>
  <c r="CL54" i="87"/>
  <c r="CV54" i="87"/>
  <c r="DF54" i="87"/>
  <c r="DP54" i="87"/>
  <c r="DZ54" i="87"/>
  <c r="EJ54" i="87"/>
  <c r="ET54" i="87"/>
  <c r="FD54" i="87"/>
  <c r="FN54" i="87"/>
  <c r="FX54" i="87"/>
  <c r="GH54" i="87"/>
  <c r="GR54" i="87"/>
  <c r="HB54" i="87"/>
  <c r="HL54" i="87"/>
  <c r="HV54" i="87"/>
  <c r="IF54" i="87"/>
  <c r="IP54" i="87"/>
  <c r="IZ54" i="87"/>
  <c r="JJ54" i="87"/>
  <c r="JT54" i="87"/>
  <c r="KD54" i="87"/>
  <c r="KN54" i="87"/>
  <c r="KX54" i="87"/>
  <c r="T55" i="87"/>
  <c r="AD55" i="87"/>
  <c r="AN55" i="87"/>
  <c r="AX55" i="87"/>
  <c r="BH55" i="87"/>
  <c r="BR55" i="87"/>
  <c r="CB55" i="87"/>
  <c r="CL55" i="87"/>
  <c r="CV55" i="87"/>
  <c r="DF55" i="87"/>
  <c r="DP55" i="87"/>
  <c r="DZ55" i="87"/>
  <c r="EJ55" i="87"/>
  <c r="ET55" i="87"/>
  <c r="FD55" i="87"/>
  <c r="FN55" i="87"/>
  <c r="FX55" i="87"/>
  <c r="GH55" i="87"/>
  <c r="GR55" i="87"/>
  <c r="HB55" i="87"/>
  <c r="HL55" i="87"/>
  <c r="HV55" i="87"/>
  <c r="IF55" i="87"/>
  <c r="IP55" i="87"/>
  <c r="IZ55" i="87"/>
  <c r="JJ55" i="87"/>
  <c r="JT55" i="87"/>
  <c r="KD55" i="87"/>
  <c r="U56" i="87"/>
  <c r="KO56" i="87"/>
  <c r="FE57" i="87"/>
  <c r="KO57" i="87"/>
  <c r="BI61" i="87"/>
  <c r="EK61" i="87"/>
  <c r="HM61" i="87"/>
  <c r="JA61" i="87"/>
  <c r="KO61" i="87"/>
  <c r="BI65" i="87"/>
  <c r="FY65" i="87"/>
  <c r="BI66" i="87"/>
  <c r="CC66" i="87"/>
  <c r="KO67" i="87"/>
  <c r="T125" i="87"/>
  <c r="T124" i="87"/>
  <c r="U124" i="87" s="1"/>
  <c r="T123" i="87"/>
  <c r="T122" i="87"/>
  <c r="T121" i="87"/>
  <c r="T120" i="87"/>
  <c r="U120" i="87" s="1"/>
  <c r="T119" i="87"/>
  <c r="T118" i="87"/>
  <c r="T116" i="87"/>
  <c r="T115" i="87"/>
  <c r="T114" i="87"/>
  <c r="T113" i="87"/>
  <c r="T112" i="87"/>
  <c r="T111" i="87"/>
  <c r="T110" i="87"/>
  <c r="T109" i="87"/>
  <c r="T107" i="87"/>
  <c r="AN125" i="87"/>
  <c r="AN124" i="87"/>
  <c r="AN123" i="87"/>
  <c r="AN122" i="87"/>
  <c r="AN121" i="87"/>
  <c r="AN120" i="87"/>
  <c r="AN119" i="87"/>
  <c r="AN118" i="87"/>
  <c r="AN116" i="87"/>
  <c r="AN115" i="87"/>
  <c r="AN114" i="87"/>
  <c r="AN113" i="87"/>
  <c r="AN112" i="87"/>
  <c r="AN111" i="87"/>
  <c r="AN110" i="87"/>
  <c r="AN109" i="87"/>
  <c r="AN107" i="87"/>
  <c r="BH125" i="87"/>
  <c r="BH124" i="87"/>
  <c r="BH123" i="87"/>
  <c r="BH122" i="87"/>
  <c r="BI122" i="87" s="1"/>
  <c r="BH121" i="87"/>
  <c r="BH120" i="87"/>
  <c r="BH119" i="87"/>
  <c r="BH118" i="87"/>
  <c r="BH116" i="87"/>
  <c r="BH115" i="87"/>
  <c r="BH114" i="87"/>
  <c r="BH113" i="87"/>
  <c r="BH112" i="87"/>
  <c r="BH111" i="87"/>
  <c r="BH110" i="87"/>
  <c r="BH109" i="87"/>
  <c r="BH107" i="87"/>
  <c r="CB125" i="87"/>
  <c r="CB124" i="87"/>
  <c r="CB123" i="87"/>
  <c r="CB122" i="87"/>
  <c r="CB121" i="87"/>
  <c r="CC121" i="87" s="1"/>
  <c r="CB120" i="87"/>
  <c r="CB119" i="87"/>
  <c r="CB118" i="87"/>
  <c r="CB116" i="87"/>
  <c r="CB115" i="87"/>
  <c r="CB114" i="87"/>
  <c r="CB113" i="87"/>
  <c r="CB112" i="87"/>
  <c r="CB111" i="87"/>
  <c r="CB110" i="87"/>
  <c r="CB109" i="87"/>
  <c r="CB107" i="87"/>
  <c r="CC107" i="87" s="1"/>
  <c r="CV125" i="87"/>
  <c r="CV124" i="87"/>
  <c r="CV123" i="87"/>
  <c r="CV122" i="87"/>
  <c r="CV121" i="87"/>
  <c r="CV120" i="87"/>
  <c r="CV119" i="87"/>
  <c r="CV118" i="87"/>
  <c r="CV116" i="87"/>
  <c r="CV115" i="87"/>
  <c r="CV114" i="87"/>
  <c r="CV113" i="87"/>
  <c r="CV112" i="87"/>
  <c r="CV111" i="87"/>
  <c r="CV110" i="87"/>
  <c r="CV109" i="87"/>
  <c r="CV107" i="87"/>
  <c r="DP125" i="87"/>
  <c r="DP124" i="87"/>
  <c r="DP123" i="87"/>
  <c r="DP122" i="87"/>
  <c r="DP121" i="87"/>
  <c r="DP120" i="87"/>
  <c r="DP119" i="87"/>
  <c r="DQ119" i="87" s="1"/>
  <c r="DP118" i="87"/>
  <c r="DP116" i="87"/>
  <c r="DP115" i="87"/>
  <c r="DP114" i="87"/>
  <c r="DP113" i="87"/>
  <c r="DP112" i="87"/>
  <c r="DP111" i="87"/>
  <c r="DP110" i="87"/>
  <c r="DP109" i="87"/>
  <c r="DP107" i="87"/>
  <c r="EJ125" i="87"/>
  <c r="EJ124" i="87"/>
  <c r="EJ123" i="87"/>
  <c r="EJ122" i="87"/>
  <c r="EJ121" i="87"/>
  <c r="EJ120" i="87"/>
  <c r="EJ119" i="87"/>
  <c r="EJ118" i="87"/>
  <c r="EJ116" i="87"/>
  <c r="EJ115" i="87"/>
  <c r="EK115" i="87" s="1"/>
  <c r="EJ114" i="87"/>
  <c r="EJ113" i="87"/>
  <c r="EJ112" i="87"/>
  <c r="EJ111" i="87"/>
  <c r="EJ110" i="87"/>
  <c r="EJ109" i="87"/>
  <c r="EJ107" i="87"/>
  <c r="FD125" i="87"/>
  <c r="FD124" i="87"/>
  <c r="FD123" i="87"/>
  <c r="FD122" i="87"/>
  <c r="FD121" i="87"/>
  <c r="FD120" i="87"/>
  <c r="FD119" i="87"/>
  <c r="FD118" i="87"/>
  <c r="FD116" i="87"/>
  <c r="FD115" i="87"/>
  <c r="FD114" i="87"/>
  <c r="FD113" i="87"/>
  <c r="FD112" i="87"/>
  <c r="FD111" i="87"/>
  <c r="FD110" i="87"/>
  <c r="FD109" i="87"/>
  <c r="FD107" i="87"/>
  <c r="FE107" i="87" s="1"/>
  <c r="FX125" i="87"/>
  <c r="FX124" i="87"/>
  <c r="FX123" i="87"/>
  <c r="FY123" i="87" s="1"/>
  <c r="FX122" i="87"/>
  <c r="FX121" i="87"/>
  <c r="FX120" i="87"/>
  <c r="FX119" i="87"/>
  <c r="FY119" i="87" s="1"/>
  <c r="FX118" i="87"/>
  <c r="FX116" i="87"/>
  <c r="FX115" i="87"/>
  <c r="FX114" i="87"/>
  <c r="FX113" i="87"/>
  <c r="FX112" i="87"/>
  <c r="FX111" i="87"/>
  <c r="FX110" i="87"/>
  <c r="FY110" i="87" s="1"/>
  <c r="FX109" i="87"/>
  <c r="FX107" i="87"/>
  <c r="GR125" i="87"/>
  <c r="GR124" i="87"/>
  <c r="GR123" i="87"/>
  <c r="GS123" i="87" s="1"/>
  <c r="GR122" i="87"/>
  <c r="GR121" i="87"/>
  <c r="GR120" i="87"/>
  <c r="GR119" i="87"/>
  <c r="GR118" i="87"/>
  <c r="GR116" i="87"/>
  <c r="GR115" i="87"/>
  <c r="GR114" i="87"/>
  <c r="GR113" i="87"/>
  <c r="GR112" i="87"/>
  <c r="GR111" i="87"/>
  <c r="GR110" i="87"/>
  <c r="GR109" i="87"/>
  <c r="GR107" i="87"/>
  <c r="HL125" i="87"/>
  <c r="HL124" i="87"/>
  <c r="HL123" i="87"/>
  <c r="HL122" i="87"/>
  <c r="HL121" i="87"/>
  <c r="HL120" i="87"/>
  <c r="HL119" i="87"/>
  <c r="HL118" i="87"/>
  <c r="HL116" i="87"/>
  <c r="HL115" i="87"/>
  <c r="HL114" i="87"/>
  <c r="HL113" i="87"/>
  <c r="HL112" i="87"/>
  <c r="HL111" i="87"/>
  <c r="HL110" i="87"/>
  <c r="HL109" i="87"/>
  <c r="HL107" i="87"/>
  <c r="IF125" i="87"/>
  <c r="IF124" i="87"/>
  <c r="IF123" i="87"/>
  <c r="IG123" i="87" s="1"/>
  <c r="IF122" i="87"/>
  <c r="IF121" i="87"/>
  <c r="IF120" i="87"/>
  <c r="IF119" i="87"/>
  <c r="IF118" i="87"/>
  <c r="IF116" i="87"/>
  <c r="IF115" i="87"/>
  <c r="IF114" i="87"/>
  <c r="IF113" i="87"/>
  <c r="IF112" i="87"/>
  <c r="IF111" i="87"/>
  <c r="IF110" i="87"/>
  <c r="IG110" i="87" s="1"/>
  <c r="IF109" i="87"/>
  <c r="IF107" i="87"/>
  <c r="IZ125" i="87"/>
  <c r="IZ124" i="87"/>
  <c r="IZ123" i="87"/>
  <c r="IZ122" i="87"/>
  <c r="IZ121" i="87"/>
  <c r="IZ120" i="87"/>
  <c r="IZ119" i="87"/>
  <c r="IZ118" i="87"/>
  <c r="IZ116" i="87"/>
  <c r="IZ115" i="87"/>
  <c r="IZ114" i="87"/>
  <c r="IZ113" i="87"/>
  <c r="IZ112" i="87"/>
  <c r="IZ111" i="87"/>
  <c r="IZ110" i="87"/>
  <c r="IZ109" i="87"/>
  <c r="IZ107" i="87"/>
  <c r="JT125" i="87"/>
  <c r="JT124" i="87"/>
  <c r="JU124" i="87" s="1"/>
  <c r="JT123" i="87"/>
  <c r="JT122" i="87"/>
  <c r="JT121" i="87"/>
  <c r="JT120" i="87"/>
  <c r="JT119" i="87"/>
  <c r="JT118" i="87"/>
  <c r="JT116" i="87"/>
  <c r="JT115" i="87"/>
  <c r="JT114" i="87"/>
  <c r="JT113" i="87"/>
  <c r="JT112" i="87"/>
  <c r="JT111" i="87"/>
  <c r="JT110" i="87"/>
  <c r="JU110" i="87" s="1"/>
  <c r="JT109" i="87"/>
  <c r="JT107" i="87"/>
  <c r="KN125" i="87"/>
  <c r="KN124" i="87"/>
  <c r="KN123" i="87"/>
  <c r="KN122" i="87"/>
  <c r="KN121" i="87"/>
  <c r="KN120" i="87"/>
  <c r="KN119" i="87"/>
  <c r="KN118" i="87"/>
  <c r="KN116" i="87"/>
  <c r="KN115" i="87"/>
  <c r="KN114" i="87"/>
  <c r="KN113" i="87"/>
  <c r="KN112" i="87"/>
  <c r="KN111" i="87"/>
  <c r="KN110" i="87"/>
  <c r="KN109" i="87"/>
  <c r="KN107" i="87"/>
  <c r="T71" i="87"/>
  <c r="AN71" i="87"/>
  <c r="BH71" i="87"/>
  <c r="CB71" i="87"/>
  <c r="CV71" i="87"/>
  <c r="DP71" i="87"/>
  <c r="EJ71" i="87"/>
  <c r="FD71" i="87"/>
  <c r="FX71" i="87"/>
  <c r="GR71" i="87"/>
  <c r="HL71" i="87"/>
  <c r="IF71" i="87"/>
  <c r="IZ71" i="87"/>
  <c r="JT71" i="87"/>
  <c r="KN71" i="87"/>
  <c r="T72" i="87"/>
  <c r="AN72" i="87"/>
  <c r="BH72" i="87"/>
  <c r="BI72" i="87" s="1"/>
  <c r="CB72" i="87"/>
  <c r="CV72" i="87"/>
  <c r="DP72" i="87"/>
  <c r="DQ72" i="87" s="1"/>
  <c r="EJ72" i="87"/>
  <c r="EK72" i="87" s="1"/>
  <c r="FD72" i="87"/>
  <c r="FX72" i="87"/>
  <c r="GR72" i="87"/>
  <c r="HL72" i="87"/>
  <c r="IF72" i="87"/>
  <c r="IZ72" i="87"/>
  <c r="JA72" i="87" s="1"/>
  <c r="JT72" i="87"/>
  <c r="JU72" i="87" s="1"/>
  <c r="KN72" i="87"/>
  <c r="KO72" i="87" s="1"/>
  <c r="T73" i="87"/>
  <c r="AD73" i="87"/>
  <c r="AN73" i="87"/>
  <c r="AX73" i="87"/>
  <c r="BH73" i="87"/>
  <c r="BR73" i="87"/>
  <c r="CB73" i="87"/>
  <c r="CL73" i="87"/>
  <c r="CV73" i="87"/>
  <c r="DF73" i="87"/>
  <c r="DG73" i="87" s="1"/>
  <c r="DP73" i="87"/>
  <c r="DZ73" i="87"/>
  <c r="EJ73" i="87"/>
  <c r="ET73" i="87"/>
  <c r="FD73" i="87"/>
  <c r="FN73" i="87"/>
  <c r="FX73" i="87"/>
  <c r="GH73" i="87"/>
  <c r="GR73" i="87"/>
  <c r="HB73" i="87"/>
  <c r="HL73" i="87"/>
  <c r="HV73" i="87"/>
  <c r="IF73" i="87"/>
  <c r="IP73" i="87"/>
  <c r="IZ73" i="87"/>
  <c r="JJ73" i="87"/>
  <c r="JT73" i="87"/>
  <c r="KD73" i="87"/>
  <c r="KN73" i="87"/>
  <c r="KO73" i="87" s="1"/>
  <c r="KX73" i="87"/>
  <c r="KY73" i="87" s="1"/>
  <c r="T74" i="87"/>
  <c r="AD74" i="87"/>
  <c r="AN74" i="87"/>
  <c r="AX74" i="87"/>
  <c r="BH74" i="87"/>
  <c r="BR74" i="87"/>
  <c r="CB74" i="87"/>
  <c r="CL74" i="87"/>
  <c r="CV74" i="87"/>
  <c r="DF74" i="87"/>
  <c r="DP74" i="87"/>
  <c r="DZ74" i="87"/>
  <c r="EJ74" i="87"/>
  <c r="ET74" i="87"/>
  <c r="FD74" i="87"/>
  <c r="FN74" i="87"/>
  <c r="FX74" i="87"/>
  <c r="GH74" i="87"/>
  <c r="GR74" i="87"/>
  <c r="HB74" i="87"/>
  <c r="HL74" i="87"/>
  <c r="HV74" i="87"/>
  <c r="IF74" i="87"/>
  <c r="IP74" i="87"/>
  <c r="IZ74" i="87"/>
  <c r="JJ74" i="87"/>
  <c r="JT74" i="87"/>
  <c r="KD74" i="87"/>
  <c r="KN74" i="87"/>
  <c r="KX74" i="87"/>
  <c r="T75" i="87"/>
  <c r="AD75" i="87"/>
  <c r="AN75" i="87"/>
  <c r="AX75" i="87"/>
  <c r="BH75" i="87"/>
  <c r="BR75" i="87"/>
  <c r="CB75" i="87"/>
  <c r="CL75" i="87"/>
  <c r="CV75" i="87"/>
  <c r="DF75" i="87"/>
  <c r="DG75" i="87" s="1"/>
  <c r="DP75" i="87"/>
  <c r="DZ75" i="87"/>
  <c r="EA75" i="87" s="1"/>
  <c r="EJ75" i="87"/>
  <c r="EK75" i="87" s="1"/>
  <c r="ET75" i="87"/>
  <c r="FD75" i="87"/>
  <c r="FE75" i="87" s="1"/>
  <c r="FN75" i="87"/>
  <c r="FO75" i="87" s="1"/>
  <c r="FX75" i="87"/>
  <c r="GH75" i="87"/>
  <c r="GR75" i="87"/>
  <c r="HB75" i="87"/>
  <c r="HL75" i="87"/>
  <c r="HM75" i="87" s="1"/>
  <c r="HV75" i="87"/>
  <c r="IF75" i="87"/>
  <c r="IP75" i="87"/>
  <c r="IZ75" i="87"/>
  <c r="JJ75" i="87"/>
  <c r="JT75" i="87"/>
  <c r="KD75" i="87"/>
  <c r="KN75" i="87"/>
  <c r="KO75" i="87" s="1"/>
  <c r="KX75" i="87"/>
  <c r="T76" i="87"/>
  <c r="AD76" i="87"/>
  <c r="AN76" i="87"/>
  <c r="AX76" i="87"/>
  <c r="BH76" i="87"/>
  <c r="BR76" i="87"/>
  <c r="CB76" i="87"/>
  <c r="CL76" i="87"/>
  <c r="CV76" i="87"/>
  <c r="DF76" i="87"/>
  <c r="DP76" i="87"/>
  <c r="DZ76" i="87"/>
  <c r="EJ76" i="87"/>
  <c r="ET76" i="87"/>
  <c r="FD76" i="87"/>
  <c r="FN76" i="87"/>
  <c r="FX76" i="87"/>
  <c r="GH76" i="87"/>
  <c r="GR76" i="87"/>
  <c r="HB76" i="87"/>
  <c r="HL76" i="87"/>
  <c r="HV76" i="87"/>
  <c r="IF76" i="87"/>
  <c r="IP76" i="87"/>
  <c r="IZ76" i="87"/>
  <c r="JJ76" i="87"/>
  <c r="JT76" i="87"/>
  <c r="KD76" i="87"/>
  <c r="KE76" i="87" s="1"/>
  <c r="KN76" i="87"/>
  <c r="KO76" i="87" s="1"/>
  <c r="KX76" i="87"/>
  <c r="T77" i="87"/>
  <c r="AD77" i="87"/>
  <c r="AN77" i="87"/>
  <c r="AX77" i="87"/>
  <c r="BH77" i="87"/>
  <c r="BR77" i="87"/>
  <c r="CB77" i="87"/>
  <c r="CC77" i="87" s="1"/>
  <c r="CL77" i="87"/>
  <c r="CV77" i="87"/>
  <c r="CW77" i="87" s="1"/>
  <c r="DF77" i="87"/>
  <c r="DP77" i="87"/>
  <c r="DZ77" i="87"/>
  <c r="EJ77" i="87"/>
  <c r="EK77" i="87" s="1"/>
  <c r="ET77" i="87"/>
  <c r="FD77" i="87"/>
  <c r="FE77" i="87" s="1"/>
  <c r="FN77" i="87"/>
  <c r="FX77" i="87"/>
  <c r="GH77" i="87"/>
  <c r="GI77" i="87" s="1"/>
  <c r="GR77" i="87"/>
  <c r="HB77" i="87"/>
  <c r="HC77" i="87" s="1"/>
  <c r="HL77" i="87"/>
  <c r="HV77" i="87"/>
  <c r="IF77" i="87"/>
  <c r="IG77" i="87" s="1"/>
  <c r="IP77" i="87"/>
  <c r="IZ77" i="87"/>
  <c r="JJ77" i="87"/>
  <c r="JT77" i="87"/>
  <c r="KD77" i="87"/>
  <c r="KN77" i="87"/>
  <c r="KX77" i="87"/>
  <c r="T78" i="87"/>
  <c r="AD78" i="87"/>
  <c r="AN78" i="87"/>
  <c r="AX78" i="87"/>
  <c r="BH78" i="87"/>
  <c r="BR78" i="87"/>
  <c r="CB78" i="87"/>
  <c r="CL78" i="87"/>
  <c r="CV78" i="87"/>
  <c r="DF78" i="87"/>
  <c r="DP78" i="87"/>
  <c r="DZ78" i="87"/>
  <c r="EJ78" i="87"/>
  <c r="ET78" i="87"/>
  <c r="FD78" i="87"/>
  <c r="FN78" i="87"/>
  <c r="FX78" i="87"/>
  <c r="GH78" i="87"/>
  <c r="GR78" i="87"/>
  <c r="HB78" i="87"/>
  <c r="HL78" i="87"/>
  <c r="HV78" i="87"/>
  <c r="IF78" i="87"/>
  <c r="IP78" i="87"/>
  <c r="IZ78" i="87"/>
  <c r="JJ78" i="87"/>
  <c r="JT78" i="87"/>
  <c r="KD78" i="87"/>
  <c r="KN78" i="87"/>
  <c r="KX78" i="87"/>
  <c r="KY78" i="87" s="1"/>
  <c r="T80" i="87"/>
  <c r="AD80" i="87"/>
  <c r="AN80" i="87"/>
  <c r="AX80" i="87"/>
  <c r="BH80" i="87"/>
  <c r="BR80" i="87"/>
  <c r="CB80" i="87"/>
  <c r="CL80" i="87"/>
  <c r="CV80" i="87"/>
  <c r="DF80" i="87"/>
  <c r="DP80" i="87"/>
  <c r="DZ80" i="87"/>
  <c r="EJ80" i="87"/>
  <c r="ET80" i="87"/>
  <c r="FD80" i="87"/>
  <c r="FN80" i="87"/>
  <c r="FX80" i="87"/>
  <c r="GH80" i="87"/>
  <c r="GR80" i="87"/>
  <c r="HB80" i="87"/>
  <c r="HL80" i="87"/>
  <c r="HV80" i="87"/>
  <c r="IF80" i="87"/>
  <c r="IP80" i="87"/>
  <c r="IZ80" i="87"/>
  <c r="JJ80" i="87"/>
  <c r="JT80" i="87"/>
  <c r="KD80" i="87"/>
  <c r="KN80" i="87"/>
  <c r="KX80" i="87"/>
  <c r="T81" i="87"/>
  <c r="U81" i="87" s="1"/>
  <c r="AD81" i="87"/>
  <c r="AN81" i="87"/>
  <c r="AX81" i="87"/>
  <c r="BH81" i="87"/>
  <c r="BR81" i="87"/>
  <c r="CB81" i="87"/>
  <c r="CC81" i="87" s="1"/>
  <c r="CL81" i="87"/>
  <c r="CV81" i="87"/>
  <c r="CW81" i="87" s="1"/>
  <c r="DF81" i="87"/>
  <c r="DP81" i="87"/>
  <c r="DZ81" i="87"/>
  <c r="EJ81" i="87"/>
  <c r="EK81" i="87" s="1"/>
  <c r="ET81" i="87"/>
  <c r="FD81" i="87"/>
  <c r="FN81" i="87"/>
  <c r="FX81" i="87"/>
  <c r="FY81" i="87" s="1"/>
  <c r="GH81" i="87"/>
  <c r="GR81" i="87"/>
  <c r="HB81" i="87"/>
  <c r="HL81" i="87"/>
  <c r="HM81" i="87" s="1"/>
  <c r="HV81" i="87"/>
  <c r="HW81" i="87" s="1"/>
  <c r="IF81" i="87"/>
  <c r="IP81" i="87"/>
  <c r="IQ81" i="87" s="1"/>
  <c r="IZ81" i="87"/>
  <c r="JA81" i="87" s="1"/>
  <c r="JJ81" i="87"/>
  <c r="JT81" i="87"/>
  <c r="KD81" i="87"/>
  <c r="KN81" i="87"/>
  <c r="KO81" i="87" s="1"/>
  <c r="KX81" i="87"/>
  <c r="KY81" i="87" s="1"/>
  <c r="T82" i="87"/>
  <c r="AD82" i="87"/>
  <c r="AE82" i="87" s="1"/>
  <c r="AN82" i="87"/>
  <c r="AX82" i="87"/>
  <c r="BH82" i="87"/>
  <c r="BR82" i="87"/>
  <c r="CB82" i="87"/>
  <c r="CL82" i="87"/>
  <c r="CV82" i="87"/>
  <c r="DF82" i="87"/>
  <c r="DP82" i="87"/>
  <c r="DZ82" i="87"/>
  <c r="EJ82" i="87"/>
  <c r="ET82" i="87"/>
  <c r="EU82" i="87" s="1"/>
  <c r="FD82" i="87"/>
  <c r="FN82" i="87"/>
  <c r="FX82" i="87"/>
  <c r="GH82" i="87"/>
  <c r="GR82" i="87"/>
  <c r="HB82" i="87"/>
  <c r="HL82" i="87"/>
  <c r="HV82" i="87"/>
  <c r="HW82" i="87" s="1"/>
  <c r="IF82" i="87"/>
  <c r="IP82" i="87"/>
  <c r="IZ82" i="87"/>
  <c r="JJ82" i="87"/>
  <c r="JT82" i="87"/>
  <c r="KD82" i="87"/>
  <c r="KN82" i="87"/>
  <c r="KX82" i="87"/>
  <c r="T83" i="87"/>
  <c r="U83" i="87" s="1"/>
  <c r="AD83" i="87"/>
  <c r="AN83" i="87"/>
  <c r="AX83" i="87"/>
  <c r="BH83" i="87"/>
  <c r="BR83" i="87"/>
  <c r="CB83" i="87"/>
  <c r="CL83" i="87"/>
  <c r="CV83" i="87"/>
  <c r="DF83" i="87"/>
  <c r="DP83" i="87"/>
  <c r="DZ83" i="87"/>
  <c r="EJ83" i="87"/>
  <c r="EK83" i="87" s="1"/>
  <c r="ET83" i="87"/>
  <c r="FD83" i="87"/>
  <c r="FN83" i="87"/>
  <c r="FX83" i="87"/>
  <c r="GH83" i="87"/>
  <c r="GR83" i="87"/>
  <c r="HB83" i="87"/>
  <c r="HL83" i="87"/>
  <c r="HV83" i="87"/>
  <c r="IF83" i="87"/>
  <c r="IP83" i="87"/>
  <c r="IZ83" i="87"/>
  <c r="JJ83" i="87"/>
  <c r="JT83" i="87"/>
  <c r="KD83" i="87"/>
  <c r="KN83" i="87"/>
  <c r="KO83" i="87" s="1"/>
  <c r="KX83" i="87"/>
  <c r="T84" i="87"/>
  <c r="AD84" i="87"/>
  <c r="AN84" i="87"/>
  <c r="AX84" i="87"/>
  <c r="BH84" i="87"/>
  <c r="BR84" i="87"/>
  <c r="CB84" i="87"/>
  <c r="CL84" i="87"/>
  <c r="CV84" i="87"/>
  <c r="DF84" i="87"/>
  <c r="DP84" i="87"/>
  <c r="DZ84" i="87"/>
  <c r="EJ84" i="87"/>
  <c r="ET84" i="87"/>
  <c r="FD84" i="87"/>
  <c r="FN84" i="87"/>
  <c r="FX84" i="87"/>
  <c r="GH84" i="87"/>
  <c r="GR84" i="87"/>
  <c r="HB84" i="87"/>
  <c r="HL84" i="87"/>
  <c r="HV84" i="87"/>
  <c r="IF84" i="87"/>
  <c r="IP84" i="87"/>
  <c r="IZ84" i="87"/>
  <c r="JJ84" i="87"/>
  <c r="JT84" i="87"/>
  <c r="KD84" i="87"/>
  <c r="KE84" i="87" s="1"/>
  <c r="KN84" i="87"/>
  <c r="KX84" i="87"/>
  <c r="T85" i="87"/>
  <c r="AD85" i="87"/>
  <c r="AN85" i="87"/>
  <c r="AX85" i="87"/>
  <c r="BH85" i="87"/>
  <c r="BI85" i="87" s="1"/>
  <c r="BR85" i="87"/>
  <c r="CB85" i="87"/>
  <c r="CL85" i="87"/>
  <c r="CV85" i="87"/>
  <c r="DF85" i="87"/>
  <c r="DP85" i="87"/>
  <c r="DZ85" i="87"/>
  <c r="EJ85" i="87"/>
  <c r="ET85" i="87"/>
  <c r="FD85" i="87"/>
  <c r="FN85" i="87"/>
  <c r="FX85" i="87"/>
  <c r="GH85" i="87"/>
  <c r="GR85" i="87"/>
  <c r="HB85" i="87"/>
  <c r="HL85" i="87"/>
  <c r="HV85" i="87"/>
  <c r="IF85" i="87"/>
  <c r="IP85" i="87"/>
  <c r="IZ85" i="87"/>
  <c r="JJ85" i="87"/>
  <c r="JT85" i="87"/>
  <c r="KD85" i="87"/>
  <c r="KE85" i="87" s="1"/>
  <c r="KN85" i="87"/>
  <c r="KO85" i="87" s="1"/>
  <c r="KX85" i="87"/>
  <c r="T86" i="87"/>
  <c r="AD86" i="87"/>
  <c r="AN86" i="87"/>
  <c r="AO86" i="87" s="1"/>
  <c r="AX86" i="87"/>
  <c r="BH86" i="87"/>
  <c r="BR86" i="87"/>
  <c r="CB86" i="87"/>
  <c r="CC86" i="87" s="1"/>
  <c r="CL86" i="87"/>
  <c r="CV86" i="87"/>
  <c r="DF86" i="87"/>
  <c r="DP86" i="87"/>
  <c r="DZ86" i="87"/>
  <c r="EJ86" i="87"/>
  <c r="ET86" i="87"/>
  <c r="FD86" i="87"/>
  <c r="FN86" i="87"/>
  <c r="FX86" i="87"/>
  <c r="GH86" i="87"/>
  <c r="GR86" i="87"/>
  <c r="HB86" i="87"/>
  <c r="HL86" i="87"/>
  <c r="HV86" i="87"/>
  <c r="IF86" i="87"/>
  <c r="IG86" i="87" s="1"/>
  <c r="IP86" i="87"/>
  <c r="IZ86" i="87"/>
  <c r="JJ86" i="87"/>
  <c r="JK86" i="87" s="1"/>
  <c r="JT86" i="87"/>
  <c r="KD86" i="87"/>
  <c r="KN86" i="87"/>
  <c r="KX86" i="87"/>
  <c r="KY86" i="87" s="1"/>
  <c r="T87" i="87"/>
  <c r="AD87" i="87"/>
  <c r="AN87" i="87"/>
  <c r="AX87" i="87"/>
  <c r="BH87" i="87"/>
  <c r="BR87" i="87"/>
  <c r="CB87" i="87"/>
  <c r="CL87" i="87"/>
  <c r="CV87" i="87"/>
  <c r="DF87" i="87"/>
  <c r="DP87" i="87"/>
  <c r="DZ87" i="87"/>
  <c r="EJ87" i="87"/>
  <c r="ET87" i="87"/>
  <c r="FD87" i="87"/>
  <c r="FN87" i="87"/>
  <c r="FX87" i="87"/>
  <c r="GH87" i="87"/>
  <c r="GR87" i="87"/>
  <c r="HB87" i="87"/>
  <c r="HC87" i="87" s="1"/>
  <c r="HL87" i="87"/>
  <c r="HV87" i="87"/>
  <c r="IF87" i="87"/>
  <c r="IP87" i="87"/>
  <c r="IZ87" i="87"/>
  <c r="JJ87" i="87"/>
  <c r="JT87" i="87"/>
  <c r="KD87" i="87"/>
  <c r="KN87" i="87"/>
  <c r="KX87" i="87"/>
  <c r="T89" i="87"/>
  <c r="AD89" i="87"/>
  <c r="AN89" i="87"/>
  <c r="AX89" i="87"/>
  <c r="BH89" i="87"/>
  <c r="BR89" i="87"/>
  <c r="CB89" i="87"/>
  <c r="CL89" i="87"/>
  <c r="CV89" i="87"/>
  <c r="DF89" i="87"/>
  <c r="DP89" i="87"/>
  <c r="DZ89" i="87"/>
  <c r="EJ89" i="87"/>
  <c r="ET89" i="87"/>
  <c r="FD89" i="87"/>
  <c r="FN89" i="87"/>
  <c r="FX89" i="87"/>
  <c r="GH89" i="87"/>
  <c r="GR89" i="87"/>
  <c r="HB89" i="87"/>
  <c r="HL89" i="87"/>
  <c r="HV89" i="87"/>
  <c r="IF89" i="87"/>
  <c r="IP89" i="87"/>
  <c r="IZ89" i="87"/>
  <c r="JJ89" i="87"/>
  <c r="JT89" i="87"/>
  <c r="KD89" i="87"/>
  <c r="KN89" i="87"/>
  <c r="KX89" i="87"/>
  <c r="T90" i="87"/>
  <c r="U90" i="87" s="1"/>
  <c r="AD90" i="87"/>
  <c r="AN90" i="87"/>
  <c r="AX90" i="87"/>
  <c r="BH90" i="87"/>
  <c r="BR90" i="87"/>
  <c r="CB90" i="87"/>
  <c r="CL90" i="87"/>
  <c r="CV90" i="87"/>
  <c r="DF90" i="87"/>
  <c r="DG90" i="87" s="1"/>
  <c r="DP90" i="87"/>
  <c r="DZ90" i="87"/>
  <c r="EA90" i="87" s="1"/>
  <c r="EJ90" i="87"/>
  <c r="EK90" i="87" s="1"/>
  <c r="ET90" i="87"/>
  <c r="EU90" i="87" s="1"/>
  <c r="FD90" i="87"/>
  <c r="FN90" i="87"/>
  <c r="FX90" i="87"/>
  <c r="GH90" i="87"/>
  <c r="GI90" i="87" s="1"/>
  <c r="GR90" i="87"/>
  <c r="HB90" i="87"/>
  <c r="HC90" i="87" s="1"/>
  <c r="HL90" i="87"/>
  <c r="HV90" i="87"/>
  <c r="IF90" i="87"/>
  <c r="IP90" i="87"/>
  <c r="IQ90" i="87" s="1"/>
  <c r="IZ90" i="87"/>
  <c r="JA90" i="87" s="1"/>
  <c r="JJ90" i="87"/>
  <c r="JK90" i="87" s="1"/>
  <c r="JT90" i="87"/>
  <c r="KD90" i="87"/>
  <c r="KN90" i="87"/>
  <c r="KX90" i="87"/>
  <c r="KY90" i="87" s="1"/>
  <c r="T91" i="87"/>
  <c r="AD91" i="87"/>
  <c r="AN91" i="87"/>
  <c r="AX91" i="87"/>
  <c r="BH91" i="87"/>
  <c r="BR91" i="87"/>
  <c r="CB91" i="87"/>
  <c r="CL91" i="87"/>
  <c r="CV91" i="87"/>
  <c r="DF91" i="87"/>
  <c r="DG91" i="87" s="1"/>
  <c r="DP91" i="87"/>
  <c r="DZ91" i="87"/>
  <c r="EJ91" i="87"/>
  <c r="ET91" i="87"/>
  <c r="FD91" i="87"/>
  <c r="FN91" i="87"/>
  <c r="FX91" i="87"/>
  <c r="GH91" i="87"/>
  <c r="GR91" i="87"/>
  <c r="GS91" i="87" s="1"/>
  <c r="HB91" i="87"/>
  <c r="HL91" i="87"/>
  <c r="HM91" i="87" s="1"/>
  <c r="HV91" i="87"/>
  <c r="IF91" i="87"/>
  <c r="IP91" i="87"/>
  <c r="IZ91" i="87"/>
  <c r="JA91" i="87" s="1"/>
  <c r="JJ91" i="87"/>
  <c r="JT91" i="87"/>
  <c r="KD91" i="87"/>
  <c r="KN91" i="87"/>
  <c r="KX91" i="87"/>
  <c r="T92" i="87"/>
  <c r="AD92" i="87"/>
  <c r="AN92" i="87"/>
  <c r="AO92" i="87" s="1"/>
  <c r="AX92" i="87"/>
  <c r="BH92" i="87"/>
  <c r="BR92" i="87"/>
  <c r="CB92" i="87"/>
  <c r="CL92" i="87"/>
  <c r="CV92" i="87"/>
  <c r="DF92" i="87"/>
  <c r="DP92" i="87"/>
  <c r="DZ92" i="87"/>
  <c r="EJ92" i="87"/>
  <c r="ET92" i="87"/>
  <c r="EU92" i="87" s="1"/>
  <c r="FD92" i="87"/>
  <c r="FN92" i="87"/>
  <c r="FX92" i="87"/>
  <c r="GH92" i="87"/>
  <c r="GR92" i="87"/>
  <c r="HB92" i="87"/>
  <c r="HL92" i="87"/>
  <c r="HV92" i="87"/>
  <c r="IF92" i="87"/>
  <c r="IP92" i="87"/>
  <c r="IZ92" i="87"/>
  <c r="JJ92" i="87"/>
  <c r="JT92" i="87"/>
  <c r="KD92" i="87"/>
  <c r="KN92" i="87"/>
  <c r="KX92" i="87"/>
  <c r="T93" i="87"/>
  <c r="AD93" i="87"/>
  <c r="AN93" i="87"/>
  <c r="AX93" i="87"/>
  <c r="BH93" i="87"/>
  <c r="BR93" i="87"/>
  <c r="CB93" i="87"/>
  <c r="CL93" i="87"/>
  <c r="CM93" i="87" s="1"/>
  <c r="CV93" i="87"/>
  <c r="DF93" i="87"/>
  <c r="DP93" i="87"/>
  <c r="DZ93" i="87"/>
  <c r="EJ93" i="87"/>
  <c r="ET93" i="87"/>
  <c r="FD93" i="87"/>
  <c r="FN93" i="87"/>
  <c r="FO93" i="87" s="1"/>
  <c r="FX93" i="87"/>
  <c r="GH93" i="87"/>
  <c r="GR93" i="87"/>
  <c r="HB93" i="87"/>
  <c r="HL93" i="87"/>
  <c r="HV93" i="87"/>
  <c r="IF93" i="87"/>
  <c r="IP93" i="87"/>
  <c r="IZ93" i="87"/>
  <c r="JA93" i="87" s="1"/>
  <c r="JJ93" i="87"/>
  <c r="JT93" i="87"/>
  <c r="KD93" i="87"/>
  <c r="KE93" i="87" s="1"/>
  <c r="KN93" i="87"/>
  <c r="KX93" i="87"/>
  <c r="KY93" i="87" s="1"/>
  <c r="T94" i="87"/>
  <c r="U94" i="87" s="1"/>
  <c r="AD94" i="87"/>
  <c r="AN94" i="87"/>
  <c r="AX94" i="87"/>
  <c r="BH94" i="87"/>
  <c r="BR94" i="87"/>
  <c r="CB94" i="87"/>
  <c r="CL94" i="87"/>
  <c r="CV94" i="87"/>
  <c r="DF94" i="87"/>
  <c r="DP94" i="87"/>
  <c r="DQ94" i="87" s="1"/>
  <c r="DZ94" i="87"/>
  <c r="EJ94" i="87"/>
  <c r="EK94" i="87" s="1"/>
  <c r="ET94" i="87"/>
  <c r="FD94" i="87"/>
  <c r="FN94" i="87"/>
  <c r="FX94" i="87"/>
  <c r="FY94" i="87" s="1"/>
  <c r="GH94" i="87"/>
  <c r="GR94" i="87"/>
  <c r="HB94" i="87"/>
  <c r="HL94" i="87"/>
  <c r="HV94" i="87"/>
  <c r="HW94" i="87" s="1"/>
  <c r="IF94" i="87"/>
  <c r="IP94" i="87"/>
  <c r="IQ94" i="87" s="1"/>
  <c r="IZ94" i="87"/>
  <c r="JA94" i="87" s="1"/>
  <c r="JJ94" i="87"/>
  <c r="JT94" i="87"/>
  <c r="KD94" i="87"/>
  <c r="KN94" i="87"/>
  <c r="KO94" i="87" s="1"/>
  <c r="KX94" i="87"/>
  <c r="T95" i="87"/>
  <c r="AD95" i="87"/>
  <c r="AN95" i="87"/>
  <c r="AX95" i="87"/>
  <c r="BH95" i="87"/>
  <c r="BR95" i="87"/>
  <c r="CB95" i="87"/>
  <c r="CL95" i="87"/>
  <c r="CV95" i="87"/>
  <c r="DF95" i="87"/>
  <c r="DP95" i="87"/>
  <c r="DZ95" i="87"/>
  <c r="EJ95" i="87"/>
  <c r="EK95" i="87" s="1"/>
  <c r="ET95" i="87"/>
  <c r="FD95" i="87"/>
  <c r="FN95" i="87"/>
  <c r="FX95" i="87"/>
  <c r="GH95" i="87"/>
  <c r="GR95" i="87"/>
  <c r="HB95" i="87"/>
  <c r="HL95" i="87"/>
  <c r="HM95" i="87" s="1"/>
  <c r="HV95" i="87"/>
  <c r="HW95" i="87" s="1"/>
  <c r="IF95" i="87"/>
  <c r="IG95" i="87" s="1"/>
  <c r="IP95" i="87"/>
  <c r="IZ95" i="87"/>
  <c r="JJ95" i="87"/>
  <c r="JT95" i="87"/>
  <c r="KD95" i="87"/>
  <c r="KN95" i="87"/>
  <c r="KX95" i="87"/>
  <c r="T100" i="87"/>
  <c r="AD100" i="87"/>
  <c r="AN100" i="87"/>
  <c r="AX100" i="87"/>
  <c r="BH100" i="87"/>
  <c r="BR100" i="87"/>
  <c r="CB100" i="87"/>
  <c r="CL100" i="87"/>
  <c r="CV100" i="87"/>
  <c r="DF100" i="87"/>
  <c r="DP100" i="87"/>
  <c r="DZ100" i="87"/>
  <c r="EJ100" i="87"/>
  <c r="ET100" i="87"/>
  <c r="FD100" i="87"/>
  <c r="FN100" i="87"/>
  <c r="FX100" i="87"/>
  <c r="GH100" i="87"/>
  <c r="GR100" i="87"/>
  <c r="HB100" i="87"/>
  <c r="HL100" i="87"/>
  <c r="HV100" i="87"/>
  <c r="IF100" i="87"/>
  <c r="IP100" i="87"/>
  <c r="IZ100" i="87"/>
  <c r="JJ100" i="87"/>
  <c r="JT100" i="87"/>
  <c r="KD100" i="87"/>
  <c r="KN100" i="87"/>
  <c r="KX100" i="87"/>
  <c r="T101" i="87"/>
  <c r="AD101" i="87"/>
  <c r="AN101" i="87"/>
  <c r="AX101" i="87"/>
  <c r="BH101" i="87"/>
  <c r="BR101" i="87"/>
  <c r="CB101" i="87"/>
  <c r="CC101" i="87" s="1"/>
  <c r="CL101" i="87"/>
  <c r="CM101" i="87" s="1"/>
  <c r="CV101" i="87"/>
  <c r="CW101" i="87" s="1"/>
  <c r="DF101" i="87"/>
  <c r="DP101" i="87"/>
  <c r="DZ101" i="87"/>
  <c r="EJ101" i="87"/>
  <c r="ET101" i="87"/>
  <c r="FD101" i="87"/>
  <c r="FN101" i="87"/>
  <c r="FX101" i="87"/>
  <c r="GH101" i="87"/>
  <c r="GR101" i="87"/>
  <c r="HB101" i="87"/>
  <c r="HL101" i="87"/>
  <c r="HM101" i="87" s="1"/>
  <c r="HV101" i="87"/>
  <c r="HW101" i="87" s="1"/>
  <c r="IF101" i="87"/>
  <c r="IP101" i="87"/>
  <c r="IQ101" i="87" s="1"/>
  <c r="IZ101" i="87"/>
  <c r="JA101" i="87" s="1"/>
  <c r="JJ101" i="87"/>
  <c r="JT101" i="87"/>
  <c r="KD101" i="87"/>
  <c r="KE101" i="87" s="1"/>
  <c r="KN101" i="87"/>
  <c r="KO101" i="87" s="1"/>
  <c r="KX101" i="87"/>
  <c r="T102" i="87"/>
  <c r="AD102" i="87"/>
  <c r="AN102" i="87"/>
  <c r="AX102" i="87"/>
  <c r="BH102" i="87"/>
  <c r="BR102" i="87"/>
  <c r="CB102" i="87"/>
  <c r="CL102" i="87"/>
  <c r="CV102" i="87"/>
  <c r="DF102" i="87"/>
  <c r="DP102" i="87"/>
  <c r="DZ102" i="87"/>
  <c r="EJ102" i="87"/>
  <c r="ET102" i="87"/>
  <c r="FD102" i="87"/>
  <c r="FN102" i="87"/>
  <c r="FX102" i="87"/>
  <c r="GH102" i="87"/>
  <c r="GR102" i="87"/>
  <c r="HB102" i="87"/>
  <c r="HL102" i="87"/>
  <c r="HV102" i="87"/>
  <c r="HW102" i="87" s="1"/>
  <c r="IF102" i="87"/>
  <c r="IP102" i="87"/>
  <c r="IZ102" i="87"/>
  <c r="JJ102" i="87"/>
  <c r="JK102" i="87" s="1"/>
  <c r="JT102" i="87"/>
  <c r="KD102" i="87"/>
  <c r="KN102" i="87"/>
  <c r="KX102" i="87"/>
  <c r="T103" i="87"/>
  <c r="AD103" i="87"/>
  <c r="AN103" i="87"/>
  <c r="AX103" i="87"/>
  <c r="BH103" i="87"/>
  <c r="BR103" i="87"/>
  <c r="CB103" i="87"/>
  <c r="CL103" i="87"/>
  <c r="CV103" i="87"/>
  <c r="DF103" i="87"/>
  <c r="DP103" i="87"/>
  <c r="DZ103" i="87"/>
  <c r="EJ103" i="87"/>
  <c r="ET103" i="87"/>
  <c r="FD103" i="87"/>
  <c r="FN103" i="87"/>
  <c r="FX103" i="87"/>
  <c r="GH103" i="87"/>
  <c r="GR103" i="87"/>
  <c r="HB103" i="87"/>
  <c r="HL103" i="87"/>
  <c r="HV103" i="87"/>
  <c r="IF103" i="87"/>
  <c r="IP103" i="87"/>
  <c r="IZ103" i="87"/>
  <c r="JJ103" i="87"/>
  <c r="JT103" i="87"/>
  <c r="KD103" i="87"/>
  <c r="KN103" i="87"/>
  <c r="KX103" i="87"/>
  <c r="T104" i="87"/>
  <c r="AD104" i="87"/>
  <c r="AN104" i="87"/>
  <c r="AO104" i="87" s="1"/>
  <c r="AX104" i="87"/>
  <c r="BH104" i="87"/>
  <c r="BI104" i="87" s="1"/>
  <c r="BR104" i="87"/>
  <c r="BS104" i="87" s="1"/>
  <c r="CB104" i="87"/>
  <c r="CL104" i="87"/>
  <c r="CM104" i="87" s="1"/>
  <c r="CV104" i="87"/>
  <c r="CW104" i="87" s="1"/>
  <c r="DF104" i="87"/>
  <c r="DP104" i="87"/>
  <c r="DZ104" i="87"/>
  <c r="EJ104" i="87"/>
  <c r="ET104" i="87"/>
  <c r="FD104" i="87"/>
  <c r="FE104" i="87" s="1"/>
  <c r="FN104" i="87"/>
  <c r="FO104" i="87" s="1"/>
  <c r="FX104" i="87"/>
  <c r="GR104" i="87"/>
  <c r="HL104" i="87"/>
  <c r="HM104" i="87" s="1"/>
  <c r="IF104" i="87"/>
  <c r="IG104" i="87" s="1"/>
  <c r="IZ104" i="87"/>
  <c r="JT104" i="87"/>
  <c r="KN104" i="87"/>
  <c r="T105" i="87"/>
  <c r="AN105" i="87"/>
  <c r="BH105" i="87"/>
  <c r="BI105" i="87" s="1"/>
  <c r="CB105" i="87"/>
  <c r="CV105" i="87"/>
  <c r="DP105" i="87"/>
  <c r="DQ105" i="87" s="1"/>
  <c r="EJ105" i="87"/>
  <c r="FD105" i="87"/>
  <c r="FX105" i="87"/>
  <c r="AD125" i="87"/>
  <c r="AD124" i="87"/>
  <c r="AD123" i="87"/>
  <c r="AD122" i="87"/>
  <c r="AD121" i="87"/>
  <c r="AE121" i="87" s="1"/>
  <c r="AD120" i="87"/>
  <c r="AD119" i="87"/>
  <c r="AD118" i="87"/>
  <c r="AD116" i="87"/>
  <c r="AD115" i="87"/>
  <c r="AD114" i="87"/>
  <c r="AD113" i="87"/>
  <c r="AD112" i="87"/>
  <c r="AD111" i="87"/>
  <c r="AD110" i="87"/>
  <c r="AD109" i="87"/>
  <c r="AD107" i="87"/>
  <c r="AE107" i="87" s="1"/>
  <c r="AX125" i="87"/>
  <c r="AX124" i="87"/>
  <c r="AX123" i="87"/>
  <c r="AX122" i="87"/>
  <c r="AX121" i="87"/>
  <c r="AX120" i="87"/>
  <c r="AX119" i="87"/>
  <c r="AY119" i="87" s="1"/>
  <c r="AX118" i="87"/>
  <c r="AX116" i="87"/>
  <c r="AX115" i="87"/>
  <c r="AX114" i="87"/>
  <c r="AX113" i="87"/>
  <c r="AX112" i="87"/>
  <c r="AX111" i="87"/>
  <c r="AX110" i="87"/>
  <c r="AY110" i="87" s="1"/>
  <c r="AX109" i="87"/>
  <c r="AX107" i="87"/>
  <c r="BR125" i="87"/>
  <c r="BR124" i="87"/>
  <c r="BR123" i="87"/>
  <c r="BR122" i="87"/>
  <c r="BR121" i="87"/>
  <c r="BR120" i="87"/>
  <c r="BR119" i="87"/>
  <c r="BR118" i="87"/>
  <c r="BR116" i="87"/>
  <c r="BR115" i="87"/>
  <c r="BR114" i="87"/>
  <c r="BR113" i="87"/>
  <c r="BR112" i="87"/>
  <c r="BR111" i="87"/>
  <c r="BR110" i="87"/>
  <c r="BR109" i="87"/>
  <c r="BR107" i="87"/>
  <c r="BS107" i="87" s="1"/>
  <c r="CL125" i="87"/>
  <c r="CL124" i="87"/>
  <c r="CL123" i="87"/>
  <c r="CL122" i="87"/>
  <c r="CM122" i="87" s="1"/>
  <c r="CL121" i="87"/>
  <c r="CM121" i="87" s="1"/>
  <c r="CL120" i="87"/>
  <c r="CL119" i="87"/>
  <c r="CL118" i="87"/>
  <c r="CL116" i="87"/>
  <c r="CL115" i="87"/>
  <c r="CL114" i="87"/>
  <c r="CL113" i="87"/>
  <c r="CL112" i="87"/>
  <c r="CL111" i="87"/>
  <c r="CL110" i="87"/>
  <c r="CL109" i="87"/>
  <c r="CL107" i="87"/>
  <c r="DF125" i="87"/>
  <c r="DF124" i="87"/>
  <c r="DF123" i="87"/>
  <c r="DF122" i="87"/>
  <c r="DF121" i="87"/>
  <c r="DF120" i="87"/>
  <c r="DF119" i="87"/>
  <c r="DF118" i="87"/>
  <c r="DF116" i="87"/>
  <c r="DF115" i="87"/>
  <c r="DF114" i="87"/>
  <c r="DG114" i="87" s="1"/>
  <c r="DF113" i="87"/>
  <c r="DF112" i="87"/>
  <c r="DF111" i="87"/>
  <c r="DF110" i="87"/>
  <c r="DF109" i="87"/>
  <c r="DF107" i="87"/>
  <c r="DG107" i="87" s="1"/>
  <c r="DZ125" i="87"/>
  <c r="EA125" i="87" s="1"/>
  <c r="DZ124" i="87"/>
  <c r="DZ123" i="87"/>
  <c r="DZ122" i="87"/>
  <c r="DZ121" i="87"/>
  <c r="DZ120" i="87"/>
  <c r="DZ119" i="87"/>
  <c r="DZ118" i="87"/>
  <c r="DZ116" i="87"/>
  <c r="DZ115" i="87"/>
  <c r="DZ114" i="87"/>
  <c r="DZ113" i="87"/>
  <c r="DZ112" i="87"/>
  <c r="DZ111" i="87"/>
  <c r="DZ110" i="87"/>
  <c r="DZ109" i="87"/>
  <c r="DZ107" i="87"/>
  <c r="ET125" i="87"/>
  <c r="ET124" i="87"/>
  <c r="ET123" i="87"/>
  <c r="ET122" i="87"/>
  <c r="ET121" i="87"/>
  <c r="ET120" i="87"/>
  <c r="ET119" i="87"/>
  <c r="EU119" i="87" s="1"/>
  <c r="ET118" i="87"/>
  <c r="ET116" i="87"/>
  <c r="ET115" i="87"/>
  <c r="ET114" i="87"/>
  <c r="ET113" i="87"/>
  <c r="ET112" i="87"/>
  <c r="ET111" i="87"/>
  <c r="ET110" i="87"/>
  <c r="ET109" i="87"/>
  <c r="ET107" i="87"/>
  <c r="EU107" i="87" s="1"/>
  <c r="FN125" i="87"/>
  <c r="FN124" i="87"/>
  <c r="FN123" i="87"/>
  <c r="FN122" i="87"/>
  <c r="FO122" i="87" s="1"/>
  <c r="FN121" i="87"/>
  <c r="FN120" i="87"/>
  <c r="FN119" i="87"/>
  <c r="FN118" i="87"/>
  <c r="FN116" i="87"/>
  <c r="FN115" i="87"/>
  <c r="FN114" i="87"/>
  <c r="FO114" i="87" s="1"/>
  <c r="FN113" i="87"/>
  <c r="FN112" i="87"/>
  <c r="FN111" i="87"/>
  <c r="FN110" i="87"/>
  <c r="FN109" i="87"/>
  <c r="FN107" i="87"/>
  <c r="GH125" i="87"/>
  <c r="GH124" i="87"/>
  <c r="GH123" i="87"/>
  <c r="GH122" i="87"/>
  <c r="GI122" i="87" s="1"/>
  <c r="GH121" i="87"/>
  <c r="GH120" i="87"/>
  <c r="GH119" i="87"/>
  <c r="GI119" i="87" s="1"/>
  <c r="GH118" i="87"/>
  <c r="GH116" i="87"/>
  <c r="GH115" i="87"/>
  <c r="GH114" i="87"/>
  <c r="GH113" i="87"/>
  <c r="GH112" i="87"/>
  <c r="GH111" i="87"/>
  <c r="GH110" i="87"/>
  <c r="GH109" i="87"/>
  <c r="GH107" i="87"/>
  <c r="HB125" i="87"/>
  <c r="HB124" i="87"/>
  <c r="HB123" i="87"/>
  <c r="HC123" i="87" s="1"/>
  <c r="HB122" i="87"/>
  <c r="HB121" i="87"/>
  <c r="HB120" i="87"/>
  <c r="HB119" i="87"/>
  <c r="HB118" i="87"/>
  <c r="HB116" i="87"/>
  <c r="HB115" i="87"/>
  <c r="HB114" i="87"/>
  <c r="HC114" i="87" s="1"/>
  <c r="HB113" i="87"/>
  <c r="HB112" i="87"/>
  <c r="HB111" i="87"/>
  <c r="HB110" i="87"/>
  <c r="HB109" i="87"/>
  <c r="HB107" i="87"/>
  <c r="HV125" i="87"/>
  <c r="HV124" i="87"/>
  <c r="HV123" i="87"/>
  <c r="HV122" i="87"/>
  <c r="HV121" i="87"/>
  <c r="HV120" i="87"/>
  <c r="HV119" i="87"/>
  <c r="HV118" i="87"/>
  <c r="HV116" i="87"/>
  <c r="HV115" i="87"/>
  <c r="HV114" i="87"/>
  <c r="HV113" i="87"/>
  <c r="HV112" i="87"/>
  <c r="HV111" i="87"/>
  <c r="HV110" i="87"/>
  <c r="HV109" i="87"/>
  <c r="HV107" i="87"/>
  <c r="IP125" i="87"/>
  <c r="IP124" i="87"/>
  <c r="IP123" i="87"/>
  <c r="IP122" i="87"/>
  <c r="IP121" i="87"/>
  <c r="IP120" i="87"/>
  <c r="IP119" i="87"/>
  <c r="IP118" i="87"/>
  <c r="IP116" i="87"/>
  <c r="IP115" i="87"/>
  <c r="IP114" i="87"/>
  <c r="IP113" i="87"/>
  <c r="IP112" i="87"/>
  <c r="IP111" i="87"/>
  <c r="IP110" i="87"/>
  <c r="IP109" i="87"/>
  <c r="IP107" i="87"/>
  <c r="JJ125" i="87"/>
  <c r="JJ124" i="87"/>
  <c r="JJ123" i="87"/>
  <c r="JJ122" i="87"/>
  <c r="JK122" i="87" s="1"/>
  <c r="JJ121" i="87"/>
  <c r="JJ120" i="87"/>
  <c r="JJ119" i="87"/>
  <c r="JK119" i="87" s="1"/>
  <c r="JJ118" i="87"/>
  <c r="JJ116" i="87"/>
  <c r="JJ115" i="87"/>
  <c r="JJ114" i="87"/>
  <c r="JJ113" i="87"/>
  <c r="JJ112" i="87"/>
  <c r="JJ111" i="87"/>
  <c r="JJ110" i="87"/>
  <c r="JJ109" i="87"/>
  <c r="JJ107" i="87"/>
  <c r="JK107" i="87" s="1"/>
  <c r="KD125" i="87"/>
  <c r="KD124" i="87"/>
  <c r="KD123" i="87"/>
  <c r="KE123" i="87" s="1"/>
  <c r="KD122" i="87"/>
  <c r="KE122" i="87" s="1"/>
  <c r="KD121" i="87"/>
  <c r="KE121" i="87" s="1"/>
  <c r="KD120" i="87"/>
  <c r="KD119" i="87"/>
  <c r="KD118" i="87"/>
  <c r="KD116" i="87"/>
  <c r="KD115" i="87"/>
  <c r="KD114" i="87"/>
  <c r="KE114" i="87" s="1"/>
  <c r="KD113" i="87"/>
  <c r="KD112" i="87"/>
  <c r="KD111" i="87"/>
  <c r="KD110" i="87"/>
  <c r="KD109" i="87"/>
  <c r="KD107" i="87"/>
  <c r="KX125" i="87"/>
  <c r="KX124" i="87"/>
  <c r="KX123" i="87"/>
  <c r="KX122" i="87"/>
  <c r="KX121" i="87"/>
  <c r="KX120" i="87"/>
  <c r="KX119" i="87"/>
  <c r="KY119" i="87" s="1"/>
  <c r="KX118" i="87"/>
  <c r="KX116" i="87"/>
  <c r="KX115" i="87"/>
  <c r="KX114" i="87"/>
  <c r="KX113" i="87"/>
  <c r="KY113" i="87" s="1"/>
  <c r="KX112" i="87"/>
  <c r="KX111" i="87"/>
  <c r="KY111" i="87" s="1"/>
  <c r="KX110" i="87"/>
  <c r="KX109" i="87"/>
  <c r="KX107" i="87"/>
  <c r="KX106" i="87"/>
  <c r="KC105" i="87"/>
  <c r="KM105" i="87"/>
  <c r="AC106" i="87"/>
  <c r="DO106" i="87"/>
  <c r="HU106" i="87"/>
  <c r="IE106" i="87"/>
  <c r="JI106" i="87"/>
  <c r="GH105" i="87"/>
  <c r="GR105" i="87"/>
  <c r="HB105" i="87"/>
  <c r="HL105" i="87"/>
  <c r="HV105" i="87"/>
  <c r="IF105" i="87"/>
  <c r="IP105" i="87"/>
  <c r="IZ105" i="87"/>
  <c r="JJ105" i="87"/>
  <c r="JT105" i="87"/>
  <c r="KD105" i="87"/>
  <c r="KN105" i="87"/>
  <c r="KX105" i="87"/>
  <c r="T106" i="87"/>
  <c r="AD106" i="87"/>
  <c r="AN106" i="87"/>
  <c r="AX106" i="87"/>
  <c r="BH106" i="87"/>
  <c r="BR106" i="87"/>
  <c r="CB106" i="87"/>
  <c r="CL106" i="87"/>
  <c r="CV106" i="87"/>
  <c r="DF106" i="87"/>
  <c r="DP106" i="87"/>
  <c r="DZ106" i="87"/>
  <c r="EJ106" i="87"/>
  <c r="ET106" i="87"/>
  <c r="FD106" i="87"/>
  <c r="FN106" i="87"/>
  <c r="FX106" i="87"/>
  <c r="GH106" i="87"/>
  <c r="GR106" i="87"/>
  <c r="HB106" i="87"/>
  <c r="HL106" i="87"/>
  <c r="HV106" i="87"/>
  <c r="IF106" i="87"/>
  <c r="IP106" i="87"/>
  <c r="IZ106" i="87"/>
  <c r="JJ106" i="87"/>
  <c r="JT106" i="87"/>
  <c r="KD106" i="87"/>
  <c r="KN106" i="87"/>
  <c r="DQ107" i="87"/>
  <c r="JU107" i="87"/>
  <c r="EK110" i="87"/>
  <c r="HM110" i="87"/>
  <c r="JA110" i="87"/>
  <c r="KO110" i="87"/>
  <c r="FY112" i="87"/>
  <c r="BI114" i="87"/>
  <c r="KO114" i="87"/>
  <c r="FY116" i="87"/>
  <c r="FE119" i="87"/>
  <c r="JA119" i="87"/>
  <c r="U122" i="87"/>
  <c r="BI123" i="87"/>
  <c r="EK123" i="87"/>
  <c r="JA123" i="87"/>
  <c r="KO123" i="87"/>
  <c r="HM125" i="87"/>
  <c r="AX154" i="87"/>
  <c r="AX153" i="87"/>
  <c r="AX152" i="87"/>
  <c r="AX151" i="87"/>
  <c r="AX150" i="87"/>
  <c r="AX149" i="87"/>
  <c r="AX148" i="87"/>
  <c r="AX147" i="87"/>
  <c r="AX145" i="87"/>
  <c r="AX144" i="87"/>
  <c r="AX143" i="87"/>
  <c r="AX142" i="87"/>
  <c r="AX141" i="87"/>
  <c r="AX140" i="87"/>
  <c r="AX139" i="87"/>
  <c r="AX138" i="87"/>
  <c r="AX136" i="87"/>
  <c r="AX135" i="87"/>
  <c r="AX134" i="87"/>
  <c r="AX133" i="87"/>
  <c r="AX132" i="87"/>
  <c r="AX131" i="87"/>
  <c r="AX130" i="87"/>
  <c r="AY130" i="87" s="1"/>
  <c r="AX129" i="87"/>
  <c r="CL154" i="87"/>
  <c r="CL153" i="87"/>
  <c r="CL152" i="87"/>
  <c r="CL151" i="87"/>
  <c r="CM151" i="87" s="1"/>
  <c r="CL150" i="87"/>
  <c r="CL149" i="87"/>
  <c r="CL148" i="87"/>
  <c r="CL147" i="87"/>
  <c r="CL145" i="87"/>
  <c r="CL144" i="87"/>
  <c r="CL143" i="87"/>
  <c r="CL142" i="87"/>
  <c r="CL141" i="87"/>
  <c r="CL140" i="87"/>
  <c r="CL139" i="87"/>
  <c r="CL138" i="87"/>
  <c r="CL136" i="87"/>
  <c r="CL135" i="87"/>
  <c r="CL134" i="87"/>
  <c r="CL133" i="87"/>
  <c r="CM133" i="87" s="1"/>
  <c r="CL132" i="87"/>
  <c r="CL131" i="87"/>
  <c r="CL130" i="87"/>
  <c r="CL129" i="87"/>
  <c r="DZ154" i="87"/>
  <c r="DZ153" i="87"/>
  <c r="EA153" i="87" s="1"/>
  <c r="DZ152" i="87"/>
  <c r="DZ151" i="87"/>
  <c r="DZ150" i="87"/>
  <c r="EA150" i="87" s="1"/>
  <c r="DZ149" i="87"/>
  <c r="DZ148" i="87"/>
  <c r="DZ147" i="87"/>
  <c r="DZ145" i="87"/>
  <c r="DZ144" i="87"/>
  <c r="DZ143" i="87"/>
  <c r="DZ142" i="87"/>
  <c r="DZ141" i="87"/>
  <c r="DZ140" i="87"/>
  <c r="DZ139" i="87"/>
  <c r="EA139" i="87" s="1"/>
  <c r="DZ138" i="87"/>
  <c r="DZ136" i="87"/>
  <c r="DZ135" i="87"/>
  <c r="DZ134" i="87"/>
  <c r="DZ133" i="87"/>
  <c r="DZ132" i="87"/>
  <c r="DZ131" i="87"/>
  <c r="DZ130" i="87"/>
  <c r="DZ129" i="87"/>
  <c r="FN154" i="87"/>
  <c r="FN153" i="87"/>
  <c r="FN152" i="87"/>
  <c r="FN151" i="87"/>
  <c r="FO151" i="87" s="1"/>
  <c r="FN150" i="87"/>
  <c r="FN149" i="87"/>
  <c r="FN148" i="87"/>
  <c r="FO148" i="87" s="1"/>
  <c r="FN147" i="87"/>
  <c r="FN145" i="87"/>
  <c r="FN144" i="87"/>
  <c r="FO144" i="87" s="1"/>
  <c r="FN143" i="87"/>
  <c r="FN142" i="87"/>
  <c r="FN141" i="87"/>
  <c r="FN140" i="87"/>
  <c r="FN139" i="87"/>
  <c r="FN138" i="87"/>
  <c r="FN136" i="87"/>
  <c r="FN135" i="87"/>
  <c r="FN134" i="87"/>
  <c r="FN133" i="87"/>
  <c r="FO133" i="87" s="1"/>
  <c r="FN132" i="87"/>
  <c r="FN131" i="87"/>
  <c r="FN130" i="87"/>
  <c r="FO130" i="87" s="1"/>
  <c r="FN129" i="87"/>
  <c r="HB154" i="87"/>
  <c r="HB153" i="87"/>
  <c r="HB152" i="87"/>
  <c r="HB151" i="87"/>
  <c r="HB150" i="87"/>
  <c r="HB149" i="87"/>
  <c r="HB148" i="87"/>
  <c r="HC148" i="87" s="1"/>
  <c r="HB147" i="87"/>
  <c r="HB145" i="87"/>
  <c r="HB144" i="87"/>
  <c r="HB143" i="87"/>
  <c r="HB142" i="87"/>
  <c r="HB141" i="87"/>
  <c r="HB140" i="87"/>
  <c r="HB139" i="87"/>
  <c r="HB138" i="87"/>
  <c r="HB136" i="87"/>
  <c r="HB135" i="87"/>
  <c r="HB134" i="87"/>
  <c r="HB133" i="87"/>
  <c r="HC133" i="87" s="1"/>
  <c r="HB132" i="87"/>
  <c r="HB131" i="87"/>
  <c r="HB130" i="87"/>
  <c r="HC130" i="87" s="1"/>
  <c r="HB129" i="87"/>
  <c r="IP154" i="87"/>
  <c r="IP153" i="87"/>
  <c r="IP152" i="87"/>
  <c r="IP151" i="87"/>
  <c r="IP150" i="87"/>
  <c r="IP149" i="87"/>
  <c r="IP148" i="87"/>
  <c r="IP147" i="87"/>
  <c r="IP145" i="87"/>
  <c r="IP144" i="87"/>
  <c r="IP143" i="87"/>
  <c r="IP142" i="87"/>
  <c r="IP141" i="87"/>
  <c r="IP140" i="87"/>
  <c r="IP139" i="87"/>
  <c r="IQ139" i="87" s="1"/>
  <c r="IP138" i="87"/>
  <c r="IP136" i="87"/>
  <c r="IP135" i="87"/>
  <c r="IP134" i="87"/>
  <c r="IP133" i="87"/>
  <c r="IQ133" i="87" s="1"/>
  <c r="IP132" i="87"/>
  <c r="IP131" i="87"/>
  <c r="IP130" i="87"/>
  <c r="IP129" i="87"/>
  <c r="KD154" i="87"/>
  <c r="KD153" i="87"/>
  <c r="KD152" i="87"/>
  <c r="KD151" i="87"/>
  <c r="KD150" i="87"/>
  <c r="KD149" i="87"/>
  <c r="KD148" i="87"/>
  <c r="KE148" i="87" s="1"/>
  <c r="KD147" i="87"/>
  <c r="KD145" i="87"/>
  <c r="KD144" i="87"/>
  <c r="KD143" i="87"/>
  <c r="KD142" i="87"/>
  <c r="KD141" i="87"/>
  <c r="KE141" i="87" s="1"/>
  <c r="KD140" i="87"/>
  <c r="KD139" i="87"/>
  <c r="KD138" i="87"/>
  <c r="KD136" i="87"/>
  <c r="KD135" i="87"/>
  <c r="KD134" i="87"/>
  <c r="KE134" i="87" s="1"/>
  <c r="KD133" i="87"/>
  <c r="KD132" i="87"/>
  <c r="KD131" i="87"/>
  <c r="KD130" i="87"/>
  <c r="KE130" i="87" s="1"/>
  <c r="KD129" i="87"/>
  <c r="AD154" i="87"/>
  <c r="AD153" i="87"/>
  <c r="AD152" i="87"/>
  <c r="AD151" i="87"/>
  <c r="AD150" i="87"/>
  <c r="AD149" i="87"/>
  <c r="AD148" i="87"/>
  <c r="AD147" i="87"/>
  <c r="AD145" i="87"/>
  <c r="AD144" i="87"/>
  <c r="AD143" i="87"/>
  <c r="AD142" i="87"/>
  <c r="AD141" i="87"/>
  <c r="AD140" i="87"/>
  <c r="AD139" i="87"/>
  <c r="AD138" i="87"/>
  <c r="AD136" i="87"/>
  <c r="AD135" i="87"/>
  <c r="AD134" i="87"/>
  <c r="AD133" i="87"/>
  <c r="AD132" i="87"/>
  <c r="AD131" i="87"/>
  <c r="AD130" i="87"/>
  <c r="AD129" i="87"/>
  <c r="BR154" i="87"/>
  <c r="BR153" i="87"/>
  <c r="BR152" i="87"/>
  <c r="BR151" i="87"/>
  <c r="BR150" i="87"/>
  <c r="BR149" i="87"/>
  <c r="BR148" i="87"/>
  <c r="BR147" i="87"/>
  <c r="BR145" i="87"/>
  <c r="BR144" i="87"/>
  <c r="BR143" i="87"/>
  <c r="BS143" i="87" s="1"/>
  <c r="BR142" i="87"/>
  <c r="BR141" i="87"/>
  <c r="BR140" i="87"/>
  <c r="BR139" i="87"/>
  <c r="BR138" i="87"/>
  <c r="BR136" i="87"/>
  <c r="BR135" i="87"/>
  <c r="BR134" i="87"/>
  <c r="BR133" i="87"/>
  <c r="BR132" i="87"/>
  <c r="BR131" i="87"/>
  <c r="BR130" i="87"/>
  <c r="BR129" i="87"/>
  <c r="DF154" i="87"/>
  <c r="DF153" i="87"/>
  <c r="DF152" i="87"/>
  <c r="DF151" i="87"/>
  <c r="DF150" i="87"/>
  <c r="DF149" i="87"/>
  <c r="DF148" i="87"/>
  <c r="DF147" i="87"/>
  <c r="DF145" i="87"/>
  <c r="DF144" i="87"/>
  <c r="DF143" i="87"/>
  <c r="DF142" i="87"/>
  <c r="DF141" i="87"/>
  <c r="DF140" i="87"/>
  <c r="DF139" i="87"/>
  <c r="DF138" i="87"/>
  <c r="DF136" i="87"/>
  <c r="DF135" i="87"/>
  <c r="DF134" i="87"/>
  <c r="DG134" i="87" s="1"/>
  <c r="DF133" i="87"/>
  <c r="DF132" i="87"/>
  <c r="DF131" i="87"/>
  <c r="DF130" i="87"/>
  <c r="DG130" i="87" s="1"/>
  <c r="DF129" i="87"/>
  <c r="ET154" i="87"/>
  <c r="ET153" i="87"/>
  <c r="ET152" i="87"/>
  <c r="ET151" i="87"/>
  <c r="ET150" i="87"/>
  <c r="ET149" i="87"/>
  <c r="ET148" i="87"/>
  <c r="EU148" i="87" s="1"/>
  <c r="ET147" i="87"/>
  <c r="ET145" i="87"/>
  <c r="ET144" i="87"/>
  <c r="ET143" i="87"/>
  <c r="ET142" i="87"/>
  <c r="ET141" i="87"/>
  <c r="ET140" i="87"/>
  <c r="ET139" i="87"/>
  <c r="ET138" i="87"/>
  <c r="ET136" i="87"/>
  <c r="ET135" i="87"/>
  <c r="ET134" i="87"/>
  <c r="ET133" i="87"/>
  <c r="ET132" i="87"/>
  <c r="ET131" i="87"/>
  <c r="ET130" i="87"/>
  <c r="EU130" i="87" s="1"/>
  <c r="ET129" i="87"/>
  <c r="GH154" i="87"/>
  <c r="GH153" i="87"/>
  <c r="GH152" i="87"/>
  <c r="GH151" i="87"/>
  <c r="GH150" i="87"/>
  <c r="GH149" i="87"/>
  <c r="GH148" i="87"/>
  <c r="GI148" i="87" s="1"/>
  <c r="GH147" i="87"/>
  <c r="GH145" i="87"/>
  <c r="GH144" i="87"/>
  <c r="GH143" i="87"/>
  <c r="GH142" i="87"/>
  <c r="GH141" i="87"/>
  <c r="GH140" i="87"/>
  <c r="GH139" i="87"/>
  <c r="GH138" i="87"/>
  <c r="GH136" i="87"/>
  <c r="GI136" i="87" s="1"/>
  <c r="GH135" i="87"/>
  <c r="GH134" i="87"/>
  <c r="GH133" i="87"/>
  <c r="GH132" i="87"/>
  <c r="GH131" i="87"/>
  <c r="GH130" i="87"/>
  <c r="GH129" i="87"/>
  <c r="HV154" i="87"/>
  <c r="HV153" i="87"/>
  <c r="HW153" i="87" s="1"/>
  <c r="HV152" i="87"/>
  <c r="HV151" i="87"/>
  <c r="HV150" i="87"/>
  <c r="HV149" i="87"/>
  <c r="HV148" i="87"/>
  <c r="HV147" i="87"/>
  <c r="HV145" i="87"/>
  <c r="HV144" i="87"/>
  <c r="HV143" i="87"/>
  <c r="HV142" i="87"/>
  <c r="HV141" i="87"/>
  <c r="HV140" i="87"/>
  <c r="HV139" i="87"/>
  <c r="HV138" i="87"/>
  <c r="HV136" i="87"/>
  <c r="HV135" i="87"/>
  <c r="HV134" i="87"/>
  <c r="HV133" i="87"/>
  <c r="HV132" i="87"/>
  <c r="HV131" i="87"/>
  <c r="HV130" i="87"/>
  <c r="HW130" i="87" s="1"/>
  <c r="HV129" i="87"/>
  <c r="JJ154" i="87"/>
  <c r="JJ153" i="87"/>
  <c r="JJ152" i="87"/>
  <c r="JJ151" i="87"/>
  <c r="JJ150" i="87"/>
  <c r="JJ149" i="87"/>
  <c r="JJ148" i="87"/>
  <c r="JJ147" i="87"/>
  <c r="JJ145" i="87"/>
  <c r="JJ144" i="87"/>
  <c r="JJ143" i="87"/>
  <c r="JJ142" i="87"/>
  <c r="JJ141" i="87"/>
  <c r="JJ140" i="87"/>
  <c r="JK140" i="87" s="1"/>
  <c r="JJ139" i="87"/>
  <c r="JJ138" i="87"/>
  <c r="JJ136" i="87"/>
  <c r="JJ135" i="87"/>
  <c r="JK135" i="87" s="1"/>
  <c r="JJ134" i="87"/>
  <c r="JJ133" i="87"/>
  <c r="JJ132" i="87"/>
  <c r="JJ131" i="87"/>
  <c r="JJ130" i="87"/>
  <c r="JK130" i="87" s="1"/>
  <c r="JJ129" i="87"/>
  <c r="KX154" i="87"/>
  <c r="KX153" i="87"/>
  <c r="KX152" i="87"/>
  <c r="KX151" i="87"/>
  <c r="KY151" i="87" s="1"/>
  <c r="KX150" i="87"/>
  <c r="KX149" i="87"/>
  <c r="KX148" i="87"/>
  <c r="KY148" i="87" s="1"/>
  <c r="KX147" i="87"/>
  <c r="KX145" i="87"/>
  <c r="KX144" i="87"/>
  <c r="KX143" i="87"/>
  <c r="KX142" i="87"/>
  <c r="KY142" i="87" s="1"/>
  <c r="KX141" i="87"/>
  <c r="KX140" i="87"/>
  <c r="KX139" i="87"/>
  <c r="KX138" i="87"/>
  <c r="KX136" i="87"/>
  <c r="KX135" i="87"/>
  <c r="KX134" i="87"/>
  <c r="KX133" i="87"/>
  <c r="KY133" i="87" s="1"/>
  <c r="KX132" i="87"/>
  <c r="KX131" i="87"/>
  <c r="KX130" i="87"/>
  <c r="KY130" i="87" s="1"/>
  <c r="KX129" i="87"/>
  <c r="T129" i="87"/>
  <c r="AN129" i="87"/>
  <c r="BH129" i="87"/>
  <c r="CB129" i="87"/>
  <c r="CV129" i="87"/>
  <c r="DP129" i="87"/>
  <c r="EJ129" i="87"/>
  <c r="FD129" i="87"/>
  <c r="FX129" i="87"/>
  <c r="GR129" i="87"/>
  <c r="HL129" i="87"/>
  <c r="IF129" i="87"/>
  <c r="IZ129" i="87"/>
  <c r="JT129" i="87"/>
  <c r="KN129" i="87"/>
  <c r="T130" i="87"/>
  <c r="AN130" i="87"/>
  <c r="BH130" i="87"/>
  <c r="CB130" i="87"/>
  <c r="CV130" i="87"/>
  <c r="DP130" i="87"/>
  <c r="EJ130" i="87"/>
  <c r="FD130" i="87"/>
  <c r="FX130" i="87"/>
  <c r="FY130" i="87" s="1"/>
  <c r="GR130" i="87"/>
  <c r="HL130" i="87"/>
  <c r="IF130" i="87"/>
  <c r="IG130" i="87" s="1"/>
  <c r="IZ130" i="87"/>
  <c r="JA130" i="87" s="1"/>
  <c r="JT130" i="87"/>
  <c r="KN130" i="87"/>
  <c r="T131" i="87"/>
  <c r="AN131" i="87"/>
  <c r="BH131" i="87"/>
  <c r="CB131" i="87"/>
  <c r="CV131" i="87"/>
  <c r="DP131" i="87"/>
  <c r="EJ131" i="87"/>
  <c r="FD131" i="87"/>
  <c r="FX131" i="87"/>
  <c r="GR131" i="87"/>
  <c r="HL131" i="87"/>
  <c r="IF131" i="87"/>
  <c r="IZ131" i="87"/>
  <c r="JT131" i="87"/>
  <c r="KN131" i="87"/>
  <c r="T132" i="87"/>
  <c r="AN132" i="87"/>
  <c r="BH132" i="87"/>
  <c r="CB132" i="87"/>
  <c r="CV132" i="87"/>
  <c r="DP132" i="87"/>
  <c r="EJ132" i="87"/>
  <c r="FD132" i="87"/>
  <c r="FX132" i="87"/>
  <c r="GR132" i="87"/>
  <c r="HL132" i="87"/>
  <c r="IF132" i="87"/>
  <c r="IZ132" i="87"/>
  <c r="JT132" i="87"/>
  <c r="KN132" i="87"/>
  <c r="T133" i="87"/>
  <c r="AN133" i="87"/>
  <c r="BH133" i="87"/>
  <c r="CB133" i="87"/>
  <c r="CV133" i="87"/>
  <c r="DP133" i="87"/>
  <c r="DQ133" i="87" s="1"/>
  <c r="EJ133" i="87"/>
  <c r="FD133" i="87"/>
  <c r="FX133" i="87"/>
  <c r="GR133" i="87"/>
  <c r="HL133" i="87"/>
  <c r="IF133" i="87"/>
  <c r="IZ133" i="87"/>
  <c r="JT133" i="87"/>
  <c r="KN133" i="87"/>
  <c r="T134" i="87"/>
  <c r="AN134" i="87"/>
  <c r="BH134" i="87"/>
  <c r="CB134" i="87"/>
  <c r="CV134" i="87"/>
  <c r="DP134" i="87"/>
  <c r="EJ134" i="87"/>
  <c r="FD134" i="87"/>
  <c r="FX134" i="87"/>
  <c r="GR134" i="87"/>
  <c r="HL134" i="87"/>
  <c r="IF134" i="87"/>
  <c r="IZ134" i="87"/>
  <c r="JT134" i="87"/>
  <c r="KN134" i="87"/>
  <c r="T135" i="87"/>
  <c r="AN135" i="87"/>
  <c r="BH135" i="87"/>
  <c r="CB135" i="87"/>
  <c r="CV135" i="87"/>
  <c r="DP135" i="87"/>
  <c r="EJ135" i="87"/>
  <c r="FD135" i="87"/>
  <c r="FX135" i="87"/>
  <c r="GR135" i="87"/>
  <c r="HL135" i="87"/>
  <c r="IF135" i="87"/>
  <c r="IZ135" i="87"/>
  <c r="JT135" i="87"/>
  <c r="KN135" i="87"/>
  <c r="T136" i="87"/>
  <c r="AN136" i="87"/>
  <c r="BH136" i="87"/>
  <c r="CB136" i="87"/>
  <c r="CV136" i="87"/>
  <c r="DP136" i="87"/>
  <c r="EJ136" i="87"/>
  <c r="FD136" i="87"/>
  <c r="FX136" i="87"/>
  <c r="GR136" i="87"/>
  <c r="HL136" i="87"/>
  <c r="IF136" i="87"/>
  <c r="IZ136" i="87"/>
  <c r="JT136" i="87"/>
  <c r="KN136" i="87"/>
  <c r="T138" i="87"/>
  <c r="AN138" i="87"/>
  <c r="BH138" i="87"/>
  <c r="CB138" i="87"/>
  <c r="CV138" i="87"/>
  <c r="DP138" i="87"/>
  <c r="DQ138" i="87" s="1"/>
  <c r="EJ138" i="87"/>
  <c r="FD138" i="87"/>
  <c r="FX138" i="87"/>
  <c r="GR138" i="87"/>
  <c r="HL138" i="87"/>
  <c r="IF138" i="87"/>
  <c r="IZ138" i="87"/>
  <c r="JT138" i="87"/>
  <c r="KN138" i="87"/>
  <c r="T139" i="87"/>
  <c r="AN139" i="87"/>
  <c r="AO139" i="87" s="1"/>
  <c r="BH139" i="87"/>
  <c r="BI139" i="87" s="1"/>
  <c r="CB139" i="87"/>
  <c r="CV139" i="87"/>
  <c r="DP139" i="87"/>
  <c r="DQ139" i="87" s="1"/>
  <c r="EJ139" i="87"/>
  <c r="FD139" i="87"/>
  <c r="FX139" i="87"/>
  <c r="GR139" i="87"/>
  <c r="HL139" i="87"/>
  <c r="IF139" i="87"/>
  <c r="IZ139" i="87"/>
  <c r="JT139" i="87"/>
  <c r="KN139" i="87"/>
  <c r="T140" i="87"/>
  <c r="AN140" i="87"/>
  <c r="BH140" i="87"/>
  <c r="CB140" i="87"/>
  <c r="CV140" i="87"/>
  <c r="DP140" i="87"/>
  <c r="EJ140" i="87"/>
  <c r="FD140" i="87"/>
  <c r="FX140" i="87"/>
  <c r="GR140" i="87"/>
  <c r="HL140" i="87"/>
  <c r="IF140" i="87"/>
  <c r="IZ140" i="87"/>
  <c r="JT140" i="87"/>
  <c r="KN140" i="87"/>
  <c r="T141" i="87"/>
  <c r="AN141" i="87"/>
  <c r="BH141" i="87"/>
  <c r="CB141" i="87"/>
  <c r="CV141" i="87"/>
  <c r="DP141" i="87"/>
  <c r="EJ141" i="87"/>
  <c r="FD141" i="87"/>
  <c r="FX141" i="87"/>
  <c r="GR141" i="87"/>
  <c r="HL141" i="87"/>
  <c r="IF141" i="87"/>
  <c r="IZ141" i="87"/>
  <c r="JT141" i="87"/>
  <c r="KN141" i="87"/>
  <c r="T142" i="87"/>
  <c r="AN142" i="87"/>
  <c r="BH142" i="87"/>
  <c r="CB142" i="87"/>
  <c r="CV142" i="87"/>
  <c r="DP142" i="87"/>
  <c r="EJ142" i="87"/>
  <c r="FD142" i="87"/>
  <c r="FX142" i="87"/>
  <c r="GR142" i="87"/>
  <c r="HL142" i="87"/>
  <c r="IF142" i="87"/>
  <c r="IZ142" i="87"/>
  <c r="JT142" i="87"/>
  <c r="KN142" i="87"/>
  <c r="T143" i="87"/>
  <c r="AN143" i="87"/>
  <c r="BH143" i="87"/>
  <c r="CB143" i="87"/>
  <c r="CV143" i="87"/>
  <c r="DP143" i="87"/>
  <c r="EJ143" i="87"/>
  <c r="FD143" i="87"/>
  <c r="FX143" i="87"/>
  <c r="GR143" i="87"/>
  <c r="HL143" i="87"/>
  <c r="IF143" i="87"/>
  <c r="IZ143" i="87"/>
  <c r="JT143" i="87"/>
  <c r="KN143" i="87"/>
  <c r="T144" i="87"/>
  <c r="AN144" i="87"/>
  <c r="BH144" i="87"/>
  <c r="CB144" i="87"/>
  <c r="CV144" i="87"/>
  <c r="DP144" i="87"/>
  <c r="EJ144" i="87"/>
  <c r="FD144" i="87"/>
  <c r="FX144" i="87"/>
  <c r="GR144" i="87"/>
  <c r="HL144" i="87"/>
  <c r="IF144" i="87"/>
  <c r="IZ144" i="87"/>
  <c r="JT144" i="87"/>
  <c r="KN144" i="87"/>
  <c r="T145" i="87"/>
  <c r="AN145" i="87"/>
  <c r="BH145" i="87"/>
  <c r="CB145" i="87"/>
  <c r="CV145" i="87"/>
  <c r="DP145" i="87"/>
  <c r="EJ145" i="87"/>
  <c r="FD145" i="87"/>
  <c r="FX145" i="87"/>
  <c r="GR145" i="87"/>
  <c r="HL145" i="87"/>
  <c r="IF145" i="87"/>
  <c r="IZ145" i="87"/>
  <c r="JT145" i="87"/>
  <c r="KN145" i="87"/>
  <c r="T147" i="87"/>
  <c r="AN147" i="87"/>
  <c r="BH147" i="87"/>
  <c r="CB147" i="87"/>
  <c r="CV147" i="87"/>
  <c r="DP147" i="87"/>
  <c r="EJ147" i="87"/>
  <c r="FD147" i="87"/>
  <c r="FX147" i="87"/>
  <c r="GR147" i="87"/>
  <c r="HL147" i="87"/>
  <c r="IF147" i="87"/>
  <c r="IZ147" i="87"/>
  <c r="JT147" i="87"/>
  <c r="KN147" i="87"/>
  <c r="T148" i="87"/>
  <c r="AN148" i="87"/>
  <c r="AO148" i="87" s="1"/>
  <c r="BH148" i="87"/>
  <c r="CB148" i="87"/>
  <c r="CC148" i="87" s="1"/>
  <c r="CV148" i="87"/>
  <c r="DP148" i="87"/>
  <c r="EJ148" i="87"/>
  <c r="FD148" i="87"/>
  <c r="FX148" i="87"/>
  <c r="GR148" i="87"/>
  <c r="GS148" i="87" s="1"/>
  <c r="HL148" i="87"/>
  <c r="IF148" i="87"/>
  <c r="IZ148" i="87"/>
  <c r="JT148" i="87"/>
  <c r="JU148" i="87" s="1"/>
  <c r="KN148" i="87"/>
  <c r="T149" i="87"/>
  <c r="AN149" i="87"/>
  <c r="BH149" i="87"/>
  <c r="CB149" i="87"/>
  <c r="CV149" i="87"/>
  <c r="DP149" i="87"/>
  <c r="EJ149" i="87"/>
  <c r="FD149" i="87"/>
  <c r="FX149" i="87"/>
  <c r="GR149" i="87"/>
  <c r="HL149" i="87"/>
  <c r="IF149" i="87"/>
  <c r="IZ149" i="87"/>
  <c r="JT149" i="87"/>
  <c r="KN149" i="87"/>
  <c r="T150" i="87"/>
  <c r="AN150" i="87"/>
  <c r="BH150" i="87"/>
  <c r="CB150" i="87"/>
  <c r="CV150" i="87"/>
  <c r="DP150" i="87"/>
  <c r="EJ150" i="87"/>
  <c r="FD150" i="87"/>
  <c r="FX150" i="87"/>
  <c r="GR150" i="87"/>
  <c r="HL150" i="87"/>
  <c r="IF150" i="87"/>
  <c r="IZ150" i="87"/>
  <c r="JT150" i="87"/>
  <c r="KN150" i="87"/>
  <c r="T151" i="87"/>
  <c r="AN151" i="87"/>
  <c r="BH151" i="87"/>
  <c r="CB151" i="87"/>
  <c r="CV151" i="87"/>
  <c r="DP151" i="87"/>
  <c r="DQ151" i="87" s="1"/>
  <c r="EJ151" i="87"/>
  <c r="FD151" i="87"/>
  <c r="FX151" i="87"/>
  <c r="GR151" i="87"/>
  <c r="GS151" i="87" s="1"/>
  <c r="HL151" i="87"/>
  <c r="IF151" i="87"/>
  <c r="IZ151" i="87"/>
  <c r="JA151" i="87" s="1"/>
  <c r="JT151" i="87"/>
  <c r="KN151" i="87"/>
  <c r="T152" i="87"/>
  <c r="AN152" i="87"/>
  <c r="BH152" i="87"/>
  <c r="CB152" i="87"/>
  <c r="CV152" i="87"/>
  <c r="DP152" i="87"/>
  <c r="EJ152" i="87"/>
  <c r="FD152" i="87"/>
  <c r="FX152" i="87"/>
  <c r="GR152" i="87"/>
  <c r="HL152" i="87"/>
  <c r="HM152" i="87" s="1"/>
  <c r="IF152" i="87"/>
  <c r="IG152" i="87" s="1"/>
  <c r="IZ152" i="87"/>
  <c r="JA152" i="87" s="1"/>
  <c r="JT152" i="87"/>
  <c r="KN152" i="87"/>
  <c r="KO152" i="87" s="1"/>
  <c r="T153" i="87"/>
  <c r="AN153" i="87"/>
  <c r="BH153" i="87"/>
  <c r="CB153" i="87"/>
  <c r="CV153" i="87"/>
  <c r="DP153" i="87"/>
  <c r="EJ153" i="87"/>
  <c r="FD153" i="87"/>
  <c r="FX153" i="87"/>
  <c r="GR153" i="87"/>
  <c r="HL153" i="87"/>
  <c r="IF153" i="87"/>
  <c r="IZ153" i="87"/>
  <c r="JT153" i="87"/>
  <c r="KN153" i="87"/>
  <c r="T154" i="87"/>
  <c r="AN154" i="87"/>
  <c r="BH154" i="87"/>
  <c r="CB154" i="87"/>
  <c r="CV154" i="87"/>
  <c r="DP154" i="87"/>
  <c r="EJ154" i="87"/>
  <c r="FD154" i="87"/>
  <c r="FX154" i="87"/>
  <c r="GR154" i="87"/>
  <c r="HL154" i="87"/>
  <c r="IF154" i="87"/>
  <c r="IG154" i="87" s="1"/>
  <c r="IZ154" i="87"/>
  <c r="JT154" i="87"/>
  <c r="KN154" i="87"/>
  <c r="LK185" i="87"/>
  <c r="I213" i="87"/>
  <c r="KO133" i="87" l="1"/>
  <c r="JK120" i="87"/>
  <c r="BS90" i="87"/>
  <c r="CM75" i="87"/>
  <c r="CN75" i="87" s="1"/>
  <c r="HM72" i="87"/>
  <c r="EA23" i="87"/>
  <c r="KY123" i="87"/>
  <c r="KY44" i="87"/>
  <c r="JK23" i="87"/>
  <c r="FE37" i="87"/>
  <c r="KO36" i="87"/>
  <c r="HM36" i="87"/>
  <c r="KO27" i="87"/>
  <c r="HM23" i="87"/>
  <c r="BI18" i="87"/>
  <c r="HM14" i="87"/>
  <c r="HN14" i="87" s="1"/>
  <c r="FO192" i="87"/>
  <c r="FP192" i="87" s="1"/>
  <c r="HW120" i="87"/>
  <c r="KE90" i="87"/>
  <c r="AY81" i="87"/>
  <c r="AZ81" i="87" s="1"/>
  <c r="JK73" i="87"/>
  <c r="BS73" i="87"/>
  <c r="HM46" i="87"/>
  <c r="JK37" i="87"/>
  <c r="KO33" i="87"/>
  <c r="BS209" i="87"/>
  <c r="AY213" i="87"/>
  <c r="AZ213" i="87" s="1"/>
  <c r="AY189" i="87"/>
  <c r="AZ189" i="87" s="1"/>
  <c r="BS195" i="87"/>
  <c r="BT195" i="87" s="1"/>
  <c r="AY204" i="87"/>
  <c r="AZ204" i="87" s="1"/>
  <c r="AE213" i="87"/>
  <c r="AF213" i="87" s="1"/>
  <c r="JU62" i="87"/>
  <c r="JV62" i="87" s="1"/>
  <c r="HM192" i="87"/>
  <c r="HN192" i="87" s="1"/>
  <c r="HW57" i="87"/>
  <c r="IG62" i="87"/>
  <c r="KY101" i="87"/>
  <c r="KZ101" i="87" s="1"/>
  <c r="KY77" i="87"/>
  <c r="KY75" i="87"/>
  <c r="KY110" i="87"/>
  <c r="KY65" i="87"/>
  <c r="JK61" i="87"/>
  <c r="JL61" i="87" s="1"/>
  <c r="JK24" i="87"/>
  <c r="IG133" i="87"/>
  <c r="HW32" i="87"/>
  <c r="HX32" i="87" s="1"/>
  <c r="GS18" i="87"/>
  <c r="EK122" i="87"/>
  <c r="DQ91" i="87"/>
  <c r="DR91" i="87" s="1"/>
  <c r="KY209" i="87"/>
  <c r="KZ209" i="87" s="1"/>
  <c r="KY213" i="87"/>
  <c r="KZ213" i="87" s="1"/>
  <c r="KY195" i="87"/>
  <c r="KZ195" i="87" s="1"/>
  <c r="KY207" i="87"/>
  <c r="KO213" i="87"/>
  <c r="KP213" i="87" s="1"/>
  <c r="KO198" i="87"/>
  <c r="KP198" i="87" s="1"/>
  <c r="KO202" i="87"/>
  <c r="KO195" i="87"/>
  <c r="KP195" i="87" s="1"/>
  <c r="KO194" i="87"/>
  <c r="KP194" i="87" s="1"/>
  <c r="KE194" i="87"/>
  <c r="KE202" i="87"/>
  <c r="JK189" i="87"/>
  <c r="JL189" i="87" s="1"/>
  <c r="HC208" i="87"/>
  <c r="HD208" i="87" s="1"/>
  <c r="FY204" i="87"/>
  <c r="FZ204" i="87" s="1"/>
  <c r="FY207" i="87"/>
  <c r="FY189" i="87"/>
  <c r="FZ189" i="87" s="1"/>
  <c r="FE207" i="87"/>
  <c r="FF207" i="87" s="1"/>
  <c r="FE189" i="87"/>
  <c r="FF189" i="87" s="1"/>
  <c r="EU189" i="87"/>
  <c r="EV189" i="87" s="1"/>
  <c r="EK209" i="87"/>
  <c r="EL209" i="87" s="1"/>
  <c r="EK192" i="87"/>
  <c r="EL192" i="87" s="1"/>
  <c r="EK213" i="87"/>
  <c r="EL213" i="87" s="1"/>
  <c r="DQ200" i="87"/>
  <c r="DR200" i="87" s="1"/>
  <c r="CW204" i="87"/>
  <c r="CX204" i="87" s="1"/>
  <c r="CW198" i="87"/>
  <c r="CX198" i="87" s="1"/>
  <c r="CW189" i="87"/>
  <c r="CX189" i="87" s="1"/>
  <c r="CM198" i="87"/>
  <c r="CN198" i="87" s="1"/>
  <c r="CM204" i="87"/>
  <c r="CN204" i="87" s="1"/>
  <c r="BS207" i="87"/>
  <c r="BT207" i="87" s="1"/>
  <c r="BS213" i="87"/>
  <c r="BT213" i="87" s="1"/>
  <c r="BS193" i="87"/>
  <c r="BT193" i="87" s="1"/>
  <c r="AY208" i="87"/>
  <c r="AY207" i="87"/>
  <c r="AZ207" i="87" s="1"/>
  <c r="IQ75" i="87"/>
  <c r="IQ61" i="87"/>
  <c r="FO64" i="87"/>
  <c r="FO180" i="87" s="1"/>
  <c r="JU104" i="87"/>
  <c r="JV104" i="87" s="1"/>
  <c r="JU23" i="87"/>
  <c r="JV23" i="87" s="1"/>
  <c r="KY64" i="87"/>
  <c r="KY210" i="87"/>
  <c r="KZ210" i="87" s="1"/>
  <c r="JU57" i="87"/>
  <c r="KY55" i="87"/>
  <c r="KY139" i="87"/>
  <c r="KZ139" i="87" s="1"/>
  <c r="KY106" i="87"/>
  <c r="KZ106" i="87" s="1"/>
  <c r="KY122" i="87"/>
  <c r="KZ122" i="87" s="1"/>
  <c r="KY95" i="87"/>
  <c r="KZ95" i="87" s="1"/>
  <c r="KY94" i="87"/>
  <c r="KY91" i="87"/>
  <c r="KZ91" i="87" s="1"/>
  <c r="KY84" i="87"/>
  <c r="KZ84" i="87" s="1"/>
  <c r="KY82" i="87"/>
  <c r="KZ82" i="87" s="1"/>
  <c r="JU37" i="87"/>
  <c r="JU19" i="87"/>
  <c r="JV19" i="87" s="1"/>
  <c r="JU17" i="87"/>
  <c r="JV17" i="87" s="1"/>
  <c r="JK81" i="87"/>
  <c r="JL81" i="87" s="1"/>
  <c r="JK115" i="87"/>
  <c r="JK101" i="87"/>
  <c r="JL101" i="87" s="1"/>
  <c r="JK95" i="87"/>
  <c r="JL95" i="87" s="1"/>
  <c r="JK91" i="87"/>
  <c r="JK77" i="87"/>
  <c r="JK14" i="87"/>
  <c r="JL14" i="87" s="1"/>
  <c r="IG28" i="87"/>
  <c r="IH28" i="87" s="1"/>
  <c r="IG48" i="87"/>
  <c r="FY43" i="87"/>
  <c r="EA72" i="87"/>
  <c r="EB72" i="87" s="1"/>
  <c r="CC192" i="87"/>
  <c r="CD192" i="87" s="1"/>
  <c r="AO37" i="87"/>
  <c r="AO24" i="87"/>
  <c r="KO119" i="87"/>
  <c r="KP119" i="87" s="1"/>
  <c r="JA122" i="87"/>
  <c r="JB122" i="87" s="1"/>
  <c r="HM123" i="87"/>
  <c r="HN123" i="87" s="1"/>
  <c r="CW119" i="87"/>
  <c r="CX119" i="87" s="1"/>
  <c r="CW110" i="87"/>
  <c r="CC111" i="87"/>
  <c r="CD111" i="87" s="1"/>
  <c r="U110" i="87"/>
  <c r="U123" i="87"/>
  <c r="KY61" i="87"/>
  <c r="KZ61" i="87" s="1"/>
  <c r="KO65" i="87"/>
  <c r="KO181" i="87" s="1"/>
  <c r="HW62" i="87"/>
  <c r="GS64" i="87"/>
  <c r="GI64" i="87"/>
  <c r="FO61" i="87"/>
  <c r="FP61" i="87" s="1"/>
  <c r="FE66" i="87"/>
  <c r="EK65" i="87"/>
  <c r="BS57" i="87"/>
  <c r="AO62" i="87"/>
  <c r="KO212" i="87"/>
  <c r="KP212" i="87" s="1"/>
  <c r="KO203" i="87"/>
  <c r="KP203" i="87" s="1"/>
  <c r="KO189" i="87"/>
  <c r="KP189" i="87" s="1"/>
  <c r="KO208" i="87"/>
  <c r="KO192" i="87"/>
  <c r="KP192" i="87" s="1"/>
  <c r="JU192" i="87"/>
  <c r="JV192" i="87" s="1"/>
  <c r="JU194" i="87"/>
  <c r="JV194" i="87" s="1"/>
  <c r="JA210" i="87"/>
  <c r="JB210" i="87" s="1"/>
  <c r="IG198" i="87"/>
  <c r="IH198" i="87" s="1"/>
  <c r="IG195" i="87"/>
  <c r="IH195" i="87" s="1"/>
  <c r="IG192" i="87"/>
  <c r="IH192" i="87" s="1"/>
  <c r="FY211" i="87"/>
  <c r="FZ211" i="87" s="1"/>
  <c r="FY213" i="87"/>
  <c r="FZ213" i="87" s="1"/>
  <c r="FY198" i="87"/>
  <c r="FZ198" i="87" s="1"/>
  <c r="EU192" i="87"/>
  <c r="EV192" i="87" s="1"/>
  <c r="EK210" i="87"/>
  <c r="EL210" i="87" s="1"/>
  <c r="EA203" i="87"/>
  <c r="EA204" i="87"/>
  <c r="EB204" i="87" s="1"/>
  <c r="CW212" i="87"/>
  <c r="CX212" i="87" s="1"/>
  <c r="CM210" i="87"/>
  <c r="CN210" i="87" s="1"/>
  <c r="CC195" i="87"/>
  <c r="CD195" i="87" s="1"/>
  <c r="BI210" i="87"/>
  <c r="BJ210" i="87" s="1"/>
  <c r="AY203" i="87"/>
  <c r="AZ203" i="87" s="1"/>
  <c r="AO195" i="87"/>
  <c r="AP195" i="87" s="1"/>
  <c r="AO192" i="87"/>
  <c r="AP192" i="87" s="1"/>
  <c r="IQ119" i="87"/>
  <c r="IR119" i="87" s="1"/>
  <c r="GI101" i="87"/>
  <c r="GJ101" i="87" s="1"/>
  <c r="GI95" i="87"/>
  <c r="GJ95" i="87" s="1"/>
  <c r="EK101" i="87"/>
  <c r="JU48" i="87"/>
  <c r="JV48" i="87" s="1"/>
  <c r="HM48" i="87"/>
  <c r="FE48" i="87"/>
  <c r="FF48" i="87" s="1"/>
  <c r="KO47" i="87"/>
  <c r="JA46" i="87"/>
  <c r="JB46" i="87" s="1"/>
  <c r="EK46" i="87"/>
  <c r="EL46" i="87" s="1"/>
  <c r="CC46" i="87"/>
  <c r="CD46" i="87" s="1"/>
  <c r="KO44" i="87"/>
  <c r="KP44" i="87" s="1"/>
  <c r="JA43" i="87"/>
  <c r="EK43" i="87"/>
  <c r="EL43" i="87" s="1"/>
  <c r="KY37" i="87"/>
  <c r="KZ37" i="87" s="1"/>
  <c r="JK33" i="87"/>
  <c r="JL33" i="87" s="1"/>
  <c r="AE28" i="87"/>
  <c r="AF28" i="87" s="1"/>
  <c r="HC27" i="87"/>
  <c r="HW24" i="87"/>
  <c r="KE23" i="87"/>
  <c r="KF23" i="87" s="1"/>
  <c r="IQ23" i="87"/>
  <c r="GI19" i="87"/>
  <c r="GJ19" i="87" s="1"/>
  <c r="IQ18" i="87"/>
  <c r="IR18" i="87" s="1"/>
  <c r="HW15" i="87"/>
  <c r="KE14" i="87"/>
  <c r="KF14" i="87" s="1"/>
  <c r="IQ14" i="87"/>
  <c r="IR14" i="87" s="1"/>
  <c r="JU14" i="87"/>
  <c r="IQ72" i="87"/>
  <c r="IR72" i="87" s="1"/>
  <c r="KY192" i="87"/>
  <c r="KZ192" i="87" s="1"/>
  <c r="CM192" i="87"/>
  <c r="CN192" i="87" s="1"/>
  <c r="GI130" i="87"/>
  <c r="KE139" i="87"/>
  <c r="KE115" i="87"/>
  <c r="JK110" i="87"/>
  <c r="JL110" i="87" s="1"/>
  <c r="EU110" i="87"/>
  <c r="EV110" i="87" s="1"/>
  <c r="AE119" i="87"/>
  <c r="AF119" i="87" s="1"/>
  <c r="HM94" i="87"/>
  <c r="HN94" i="87" s="1"/>
  <c r="BI93" i="87"/>
  <c r="BJ93" i="87" s="1"/>
  <c r="IG91" i="87"/>
  <c r="IH91" i="87" s="1"/>
  <c r="KO90" i="87"/>
  <c r="KP90" i="87" s="1"/>
  <c r="HM90" i="87"/>
  <c r="FE86" i="87"/>
  <c r="AO75" i="87"/>
  <c r="AP75" i="87" s="1"/>
  <c r="IQ47" i="87"/>
  <c r="KE46" i="87"/>
  <c r="KF46" i="87" s="1"/>
  <c r="IQ46" i="87"/>
  <c r="IQ162" i="87" s="1"/>
  <c r="DG46" i="87"/>
  <c r="DH46" i="87" s="1"/>
  <c r="JK44" i="87"/>
  <c r="JK43" i="87"/>
  <c r="JK159" i="87" s="1"/>
  <c r="GI43" i="87"/>
  <c r="GJ43" i="87" s="1"/>
  <c r="KY36" i="87"/>
  <c r="KZ36" i="87" s="1"/>
  <c r="KY32" i="87"/>
  <c r="KZ32" i="87" s="1"/>
  <c r="GI32" i="87"/>
  <c r="GJ32" i="87" s="1"/>
  <c r="BS27" i="87"/>
  <c r="BT27" i="87" s="1"/>
  <c r="EU23" i="87"/>
  <c r="EV23" i="87" s="1"/>
  <c r="BS23" i="87"/>
  <c r="CM17" i="87"/>
  <c r="HM65" i="87"/>
  <c r="HN65" i="87" s="1"/>
  <c r="HM33" i="87"/>
  <c r="HN33" i="87" s="1"/>
  <c r="DQ32" i="87"/>
  <c r="CW19" i="87"/>
  <c r="FY17" i="87"/>
  <c r="FZ17" i="87" s="1"/>
  <c r="KE72" i="87"/>
  <c r="KF72" i="87" s="1"/>
  <c r="JK210" i="87"/>
  <c r="JL210" i="87" s="1"/>
  <c r="FY192" i="87"/>
  <c r="FZ192" i="87" s="1"/>
  <c r="CW192" i="87"/>
  <c r="CX192" i="87" s="1"/>
  <c r="BS192" i="87"/>
  <c r="BT192" i="87" s="1"/>
  <c r="DG33" i="87"/>
  <c r="DH33" i="87" s="1"/>
  <c r="BI35" i="87"/>
  <c r="BJ35" i="87" s="1"/>
  <c r="JU213" i="87"/>
  <c r="JV213" i="87" s="1"/>
  <c r="HW192" i="87"/>
  <c r="HX192" i="87" s="1"/>
  <c r="HW207" i="87"/>
  <c r="HC190" i="87"/>
  <c r="HD190" i="87" s="1"/>
  <c r="HC204" i="87"/>
  <c r="HD204" i="87" s="1"/>
  <c r="GI207" i="87"/>
  <c r="GJ207" i="87" s="1"/>
  <c r="GI213" i="87"/>
  <c r="GJ213" i="87" s="1"/>
  <c r="FO189" i="87"/>
  <c r="FP189" i="87" s="1"/>
  <c r="DQ197" i="87"/>
  <c r="DR197" i="87" s="1"/>
  <c r="DQ209" i="87"/>
  <c r="DR209" i="87" s="1"/>
  <c r="DQ211" i="87"/>
  <c r="DR211" i="87" s="1"/>
  <c r="DQ198" i="87"/>
  <c r="DR198" i="87" s="1"/>
  <c r="AO198" i="87"/>
  <c r="AP198" i="87" s="1"/>
  <c r="U66" i="87"/>
  <c r="V66" i="87" s="1"/>
  <c r="KE193" i="87"/>
  <c r="KF193" i="87" s="1"/>
  <c r="IQ207" i="87"/>
  <c r="IR207" i="87" s="1"/>
  <c r="HC207" i="87"/>
  <c r="HD207" i="87" s="1"/>
  <c r="HC154" i="87"/>
  <c r="HD154" i="87" s="1"/>
  <c r="FO207" i="87"/>
  <c r="FP207" i="87" s="1"/>
  <c r="CC209" i="87"/>
  <c r="CD209" i="87" s="1"/>
  <c r="BI209" i="87"/>
  <c r="AO209" i="87"/>
  <c r="AP209" i="87" s="1"/>
  <c r="AO204" i="87"/>
  <c r="AP204" i="87" s="1"/>
  <c r="U209" i="87"/>
  <c r="V209" i="87" s="1"/>
  <c r="U204" i="87"/>
  <c r="V204" i="87" s="1"/>
  <c r="AO110" i="87"/>
  <c r="AP110" i="87" s="1"/>
  <c r="AY67" i="87"/>
  <c r="AZ67" i="87" s="1"/>
  <c r="AY58" i="87"/>
  <c r="AZ58" i="87" s="1"/>
  <c r="BI120" i="87"/>
  <c r="BI57" i="87"/>
  <c r="BJ57" i="87" s="1"/>
  <c r="CM67" i="87"/>
  <c r="CN67" i="87" s="1"/>
  <c r="CM61" i="87"/>
  <c r="CN61" i="87" s="1"/>
  <c r="CW124" i="87"/>
  <c r="CX124" i="87" s="1"/>
  <c r="CW115" i="87"/>
  <c r="CX115" i="87" s="1"/>
  <c r="DQ120" i="87"/>
  <c r="DR120" i="87" s="1"/>
  <c r="FY66" i="87"/>
  <c r="GS116" i="87"/>
  <c r="GT116" i="87" s="1"/>
  <c r="HC61" i="87"/>
  <c r="HD61" i="87" s="1"/>
  <c r="HC56" i="87"/>
  <c r="IG121" i="87"/>
  <c r="IH121" i="87" s="1"/>
  <c r="JA120" i="87"/>
  <c r="JA57" i="87"/>
  <c r="JB57" i="87" s="1"/>
  <c r="KO124" i="87"/>
  <c r="KP124" i="87" s="1"/>
  <c r="KO120" i="87"/>
  <c r="KP120" i="87" s="1"/>
  <c r="DQ125" i="87"/>
  <c r="EA154" i="87"/>
  <c r="EB154" i="87" s="1"/>
  <c r="KY200" i="87"/>
  <c r="KZ200" i="87" s="1"/>
  <c r="GS125" i="87"/>
  <c r="GT125" i="87" s="1"/>
  <c r="GI200" i="87"/>
  <c r="GJ200" i="87" s="1"/>
  <c r="DG200" i="87"/>
  <c r="DH200" i="87" s="1"/>
  <c r="BS200" i="87"/>
  <c r="BT200" i="87" s="1"/>
  <c r="AO121" i="87"/>
  <c r="U107" i="87"/>
  <c r="U63" i="87"/>
  <c r="V63" i="87" s="1"/>
  <c r="U112" i="87"/>
  <c r="AO123" i="87"/>
  <c r="AO65" i="87"/>
  <c r="AY62" i="87"/>
  <c r="AZ62" i="87" s="1"/>
  <c r="BI115" i="87"/>
  <c r="BJ115" i="87" s="1"/>
  <c r="BI58" i="87"/>
  <c r="BJ58" i="87" s="1"/>
  <c r="BI121" i="87"/>
  <c r="BJ121" i="87" s="1"/>
  <c r="BI112" i="87"/>
  <c r="CC110" i="87"/>
  <c r="CD110" i="87" s="1"/>
  <c r="CM62" i="87"/>
  <c r="CW121" i="87"/>
  <c r="CW57" i="87"/>
  <c r="CX57" i="87" s="1"/>
  <c r="CW63" i="87"/>
  <c r="CX63" i="87" s="1"/>
  <c r="DG63" i="87"/>
  <c r="DH63" i="87" s="1"/>
  <c r="DQ122" i="87"/>
  <c r="DR122" i="87" s="1"/>
  <c r="DQ118" i="87"/>
  <c r="EK58" i="87"/>
  <c r="EL58" i="87" s="1"/>
  <c r="EK107" i="87"/>
  <c r="EL107" i="87" s="1"/>
  <c r="FE116" i="87"/>
  <c r="FE110" i="87"/>
  <c r="FO62" i="87"/>
  <c r="FP62" i="87" s="1"/>
  <c r="FY58" i="87"/>
  <c r="FZ58" i="87" s="1"/>
  <c r="HC66" i="87"/>
  <c r="HD66" i="87" s="1"/>
  <c r="HM121" i="87"/>
  <c r="HN121" i="87" s="1"/>
  <c r="HM63" i="87"/>
  <c r="HM58" i="87"/>
  <c r="HM120" i="87"/>
  <c r="HN120" i="87" s="1"/>
  <c r="HW58" i="87"/>
  <c r="HX58" i="87" s="1"/>
  <c r="IG65" i="87"/>
  <c r="IQ62" i="87"/>
  <c r="IR62" i="87" s="1"/>
  <c r="JA116" i="87"/>
  <c r="JB116" i="87" s="1"/>
  <c r="JA63" i="87"/>
  <c r="JB63" i="87" s="1"/>
  <c r="JA107" i="87"/>
  <c r="JB107" i="87" s="1"/>
  <c r="JU119" i="87"/>
  <c r="JV119" i="87" s="1"/>
  <c r="KE65" i="87"/>
  <c r="KF65" i="87" s="1"/>
  <c r="KO121" i="87"/>
  <c r="KP121" i="87" s="1"/>
  <c r="KO58" i="87"/>
  <c r="KP58" i="87" s="1"/>
  <c r="KO111" i="87"/>
  <c r="KP111" i="87" s="1"/>
  <c r="CC115" i="87"/>
  <c r="CD115" i="87" s="1"/>
  <c r="KY208" i="87"/>
  <c r="KZ208" i="87" s="1"/>
  <c r="KY199" i="87"/>
  <c r="KZ199" i="87" s="1"/>
  <c r="KY203" i="87"/>
  <c r="KZ203" i="87" s="1"/>
  <c r="JU115" i="87"/>
  <c r="JV115" i="87" s="1"/>
  <c r="JU203" i="87"/>
  <c r="JV203" i="87" s="1"/>
  <c r="JK208" i="87"/>
  <c r="JL208" i="87" s="1"/>
  <c r="JK190" i="87"/>
  <c r="JL190" i="87" s="1"/>
  <c r="JA203" i="87"/>
  <c r="JB203" i="87" s="1"/>
  <c r="IQ194" i="87"/>
  <c r="IR194" i="87" s="1"/>
  <c r="IG120" i="87"/>
  <c r="IH120" i="87" s="1"/>
  <c r="IG208" i="87"/>
  <c r="IH208" i="87" s="1"/>
  <c r="IG212" i="87"/>
  <c r="IH212" i="87" s="1"/>
  <c r="IG115" i="87"/>
  <c r="IH115" i="87" s="1"/>
  <c r="HW208" i="87"/>
  <c r="HX208" i="87" s="1"/>
  <c r="HW203" i="87"/>
  <c r="HX203" i="87" s="1"/>
  <c r="HM124" i="87"/>
  <c r="HN124" i="87" s="1"/>
  <c r="HM212" i="87"/>
  <c r="HN212" i="87" s="1"/>
  <c r="HC203" i="87"/>
  <c r="HD203" i="87" s="1"/>
  <c r="GS208" i="87"/>
  <c r="GT208" i="87" s="1"/>
  <c r="GS203" i="87"/>
  <c r="GI203" i="87"/>
  <c r="GJ203" i="87" s="1"/>
  <c r="FE120" i="87"/>
  <c r="FF120" i="87" s="1"/>
  <c r="FE208" i="87"/>
  <c r="FE203" i="87"/>
  <c r="FF203" i="87" s="1"/>
  <c r="EU203" i="87"/>
  <c r="EV203" i="87" s="1"/>
  <c r="EK203" i="87"/>
  <c r="EA194" i="87"/>
  <c r="EB194" i="87" s="1"/>
  <c r="DQ208" i="87"/>
  <c r="DR208" i="87" s="1"/>
  <c r="CC208" i="87"/>
  <c r="CD208" i="87" s="1"/>
  <c r="CC212" i="87"/>
  <c r="CC199" i="87"/>
  <c r="CD199" i="87" s="1"/>
  <c r="CC203" i="87"/>
  <c r="CD203" i="87" s="1"/>
  <c r="BS208" i="87"/>
  <c r="BT208" i="87" s="1"/>
  <c r="BS212" i="87"/>
  <c r="BT212" i="87" s="1"/>
  <c r="BI208" i="87"/>
  <c r="BJ208" i="87" s="1"/>
  <c r="BI212" i="87"/>
  <c r="BJ212" i="87" s="1"/>
  <c r="AY212" i="87"/>
  <c r="AZ212" i="87" s="1"/>
  <c r="AO124" i="87"/>
  <c r="AP124" i="87" s="1"/>
  <c r="AO212" i="87"/>
  <c r="AP212" i="87" s="1"/>
  <c r="AE199" i="87"/>
  <c r="AF199" i="87" s="1"/>
  <c r="AE203" i="87"/>
  <c r="AF203" i="87" s="1"/>
  <c r="AE190" i="87"/>
  <c r="AF190" i="87" s="1"/>
  <c r="AE194" i="87"/>
  <c r="AF194" i="87" s="1"/>
  <c r="U199" i="87"/>
  <c r="V199" i="87" s="1"/>
  <c r="U203" i="87"/>
  <c r="V203" i="87" s="1"/>
  <c r="JA67" i="87"/>
  <c r="JB67" i="87" s="1"/>
  <c r="GI58" i="87"/>
  <c r="FE125" i="87"/>
  <c r="FF125" i="87" s="1"/>
  <c r="EK112" i="87"/>
  <c r="EL112" i="87" s="1"/>
  <c r="CW125" i="87"/>
  <c r="BI67" i="87"/>
  <c r="BJ67" i="87" s="1"/>
  <c r="AO116" i="87"/>
  <c r="AP116" i="87" s="1"/>
  <c r="U67" i="87"/>
  <c r="V67" i="87" s="1"/>
  <c r="U125" i="87"/>
  <c r="V125" i="87" s="1"/>
  <c r="HM67" i="87"/>
  <c r="BS58" i="87"/>
  <c r="BT58" i="87" s="1"/>
  <c r="KO107" i="87"/>
  <c r="KP107" i="87" s="1"/>
  <c r="JU112" i="87"/>
  <c r="JV112" i="87" s="1"/>
  <c r="IQ67" i="87"/>
  <c r="IG116" i="87"/>
  <c r="IH116" i="87" s="1"/>
  <c r="GS107" i="87"/>
  <c r="GT107" i="87" s="1"/>
  <c r="GI67" i="87"/>
  <c r="GJ67" i="87" s="1"/>
  <c r="FY67" i="87"/>
  <c r="FZ67" i="87" s="1"/>
  <c r="DQ63" i="87"/>
  <c r="DR63" i="87" s="1"/>
  <c r="DQ121" i="87"/>
  <c r="DR121" i="87" s="1"/>
  <c r="CC116" i="87"/>
  <c r="CD116" i="87" s="1"/>
  <c r="U121" i="87"/>
  <c r="V121" i="87" s="1"/>
  <c r="FO67" i="87"/>
  <c r="FP67" i="87" s="1"/>
  <c r="KY67" i="87"/>
  <c r="KZ67" i="87" s="1"/>
  <c r="KE58" i="87"/>
  <c r="KF58" i="87" s="1"/>
  <c r="JK67" i="87"/>
  <c r="HM112" i="87"/>
  <c r="HN112" i="87" s="1"/>
  <c r="GI63" i="87"/>
  <c r="GJ63" i="87" s="1"/>
  <c r="FO58" i="87"/>
  <c r="FP58" i="87" s="1"/>
  <c r="EK67" i="87"/>
  <c r="EL67" i="87" s="1"/>
  <c r="DQ112" i="87"/>
  <c r="DR112" i="87" s="1"/>
  <c r="DG67" i="87"/>
  <c r="DH67" i="87" s="1"/>
  <c r="AY63" i="87"/>
  <c r="AO112" i="87"/>
  <c r="AP112" i="87" s="1"/>
  <c r="DQ110" i="87"/>
  <c r="DR110" i="87" s="1"/>
  <c r="HM119" i="87"/>
  <c r="HN119" i="87" s="1"/>
  <c r="CC119" i="87"/>
  <c r="CD119" i="87" s="1"/>
  <c r="U65" i="87"/>
  <c r="V65" i="87" s="1"/>
  <c r="BI56" i="87"/>
  <c r="BJ56" i="87" s="1"/>
  <c r="BI110" i="87"/>
  <c r="EA61" i="87"/>
  <c r="EB61" i="87" s="1"/>
  <c r="CM65" i="87"/>
  <c r="CN65" i="87" s="1"/>
  <c r="CW61" i="87"/>
  <c r="CX61" i="87" s="1"/>
  <c r="JA124" i="87"/>
  <c r="KY66" i="87"/>
  <c r="KZ66" i="87" s="1"/>
  <c r="JK66" i="87"/>
  <c r="JL66" i="87" s="1"/>
  <c r="CC62" i="87"/>
  <c r="DG62" i="87"/>
  <c r="DH62" i="87" s="1"/>
  <c r="CW120" i="87"/>
  <c r="CX120" i="87" s="1"/>
  <c r="CC190" i="87"/>
  <c r="CD190" i="87" s="1"/>
  <c r="BS66" i="87"/>
  <c r="BT66" i="87" s="1"/>
  <c r="AO115" i="87"/>
  <c r="AP115" i="87" s="1"/>
  <c r="GI62" i="87"/>
  <c r="GJ62" i="87" s="1"/>
  <c r="GS62" i="87"/>
  <c r="HM115" i="87"/>
  <c r="HN115" i="87" s="1"/>
  <c r="JA64" i="87"/>
  <c r="JB64" i="87" s="1"/>
  <c r="JU120" i="87"/>
  <c r="JV120" i="87" s="1"/>
  <c r="JU66" i="87"/>
  <c r="JV66" i="87" s="1"/>
  <c r="HW194" i="87"/>
  <c r="HX194" i="87" s="1"/>
  <c r="HC194" i="87"/>
  <c r="HD194" i="87" s="1"/>
  <c r="GI208" i="87"/>
  <c r="GI210" i="87"/>
  <c r="GJ210" i="87" s="1"/>
  <c r="EU194" i="87"/>
  <c r="EV194" i="87" s="1"/>
  <c r="DG194" i="87"/>
  <c r="DH194" i="87" s="1"/>
  <c r="KE207" i="87"/>
  <c r="IQ209" i="87"/>
  <c r="IR209" i="87" s="1"/>
  <c r="IQ193" i="87"/>
  <c r="IR193" i="87" s="1"/>
  <c r="IG207" i="87"/>
  <c r="IH207" i="87" s="1"/>
  <c r="IG209" i="87"/>
  <c r="IH209" i="87" s="1"/>
  <c r="HC209" i="87"/>
  <c r="HD209" i="87" s="1"/>
  <c r="FO209" i="87"/>
  <c r="FP209" i="87" s="1"/>
  <c r="EA207" i="87"/>
  <c r="EB207" i="87" s="1"/>
  <c r="EA209" i="87"/>
  <c r="EB209" i="87" s="1"/>
  <c r="AE67" i="87"/>
  <c r="AF67" i="87" s="1"/>
  <c r="AE63" i="87"/>
  <c r="AF63" i="87" s="1"/>
  <c r="AE58" i="87"/>
  <c r="AF58" i="87" s="1"/>
  <c r="AO119" i="87"/>
  <c r="AP119" i="87" s="1"/>
  <c r="AO58" i="87"/>
  <c r="AP58" i="87" s="1"/>
  <c r="BI124" i="87"/>
  <c r="BJ124" i="87" s="1"/>
  <c r="BI111" i="87"/>
  <c r="BJ111" i="87" s="1"/>
  <c r="CM63" i="87"/>
  <c r="GS121" i="87"/>
  <c r="GT121" i="87" s="1"/>
  <c r="GS65" i="87"/>
  <c r="GT65" i="87" s="1"/>
  <c r="HC67" i="87"/>
  <c r="HD67" i="87" s="1"/>
  <c r="HC58" i="87"/>
  <c r="HD58" i="87" s="1"/>
  <c r="IG107" i="87"/>
  <c r="IH107" i="87" s="1"/>
  <c r="JA115" i="87"/>
  <c r="JB115" i="87" s="1"/>
  <c r="KE62" i="87"/>
  <c r="KF62" i="87" s="1"/>
  <c r="KE154" i="87"/>
  <c r="KF154" i="87" s="1"/>
  <c r="AY154" i="87"/>
  <c r="U116" i="87"/>
  <c r="V116" i="87" s="1"/>
  <c r="U58" i="87"/>
  <c r="V58" i="87" s="1"/>
  <c r="AO61" i="87"/>
  <c r="AP61" i="87" s="1"/>
  <c r="BI107" i="87"/>
  <c r="BI63" i="87"/>
  <c r="BJ63" i="87" s="1"/>
  <c r="BI116" i="87"/>
  <c r="BJ116" i="87" s="1"/>
  <c r="CW116" i="87"/>
  <c r="CX116" i="87" s="1"/>
  <c r="CW58" i="87"/>
  <c r="CW107" i="87"/>
  <c r="CX107" i="87" s="1"/>
  <c r="CW66" i="87"/>
  <c r="CX66" i="87" s="1"/>
  <c r="DQ109" i="87"/>
  <c r="DR109" i="87" s="1"/>
  <c r="DQ123" i="87"/>
  <c r="DR123" i="87" s="1"/>
  <c r="EK63" i="87"/>
  <c r="EL63" i="87" s="1"/>
  <c r="FO65" i="87"/>
  <c r="FP65" i="87" s="1"/>
  <c r="FY121" i="87"/>
  <c r="FY63" i="87"/>
  <c r="FY107" i="87"/>
  <c r="FZ107" i="87" s="1"/>
  <c r="GS119" i="87"/>
  <c r="GT119" i="87" s="1"/>
  <c r="HC62" i="87"/>
  <c r="HM107" i="87"/>
  <c r="HM116" i="87"/>
  <c r="HN116" i="87" s="1"/>
  <c r="IG119" i="87"/>
  <c r="IH119" i="87" s="1"/>
  <c r="JA111" i="87"/>
  <c r="JB111" i="87" s="1"/>
  <c r="JA58" i="87"/>
  <c r="JB58" i="87" s="1"/>
  <c r="KE61" i="87"/>
  <c r="KF61" i="87" s="1"/>
  <c r="KO116" i="87"/>
  <c r="KP116" i="87" s="1"/>
  <c r="KO63" i="87"/>
  <c r="KP63" i="87" s="1"/>
  <c r="FY120" i="87"/>
  <c r="FZ120" i="87" s="1"/>
  <c r="AO111" i="87"/>
  <c r="AP111" i="87" s="1"/>
  <c r="FY124" i="87"/>
  <c r="FE115" i="87"/>
  <c r="KY212" i="87"/>
  <c r="KZ212" i="87" s="1"/>
  <c r="KY190" i="87"/>
  <c r="KZ190" i="87" s="1"/>
  <c r="KY194" i="87"/>
  <c r="KZ194" i="87" s="1"/>
  <c r="JK212" i="87"/>
  <c r="JL212" i="87" s="1"/>
  <c r="JK203" i="87"/>
  <c r="JK194" i="87"/>
  <c r="JL194" i="87" s="1"/>
  <c r="IQ153" i="87"/>
  <c r="IG124" i="87"/>
  <c r="IH124" i="87" s="1"/>
  <c r="IG203" i="87"/>
  <c r="IH203" i="87" s="1"/>
  <c r="HW212" i="87"/>
  <c r="HX212" i="87" s="1"/>
  <c r="HW199" i="87"/>
  <c r="HX199" i="87" s="1"/>
  <c r="HM208" i="87"/>
  <c r="HN208" i="87" s="1"/>
  <c r="GS115" i="87"/>
  <c r="GT115" i="87" s="1"/>
  <c r="GI212" i="87"/>
  <c r="GJ212" i="87" s="1"/>
  <c r="GI194" i="87"/>
  <c r="GJ194" i="87" s="1"/>
  <c r="FY208" i="87"/>
  <c r="FZ208" i="87" s="1"/>
  <c r="FY212" i="87"/>
  <c r="FZ212" i="87" s="1"/>
  <c r="FY203" i="87"/>
  <c r="FZ203" i="87" s="1"/>
  <c r="FO208" i="87"/>
  <c r="FP208" i="87" s="1"/>
  <c r="FO212" i="87"/>
  <c r="FP212" i="87" s="1"/>
  <c r="FE124" i="87"/>
  <c r="FF124" i="87" s="1"/>
  <c r="FE212" i="87"/>
  <c r="FF212" i="87" s="1"/>
  <c r="FE194" i="87"/>
  <c r="FF194" i="87" s="1"/>
  <c r="EU208" i="87"/>
  <c r="EV208" i="87" s="1"/>
  <c r="EU212" i="87"/>
  <c r="EV212" i="87" s="1"/>
  <c r="DG208" i="87"/>
  <c r="DH208" i="87" s="1"/>
  <c r="DG212" i="87"/>
  <c r="DH212" i="87" s="1"/>
  <c r="DG203" i="87"/>
  <c r="DH203" i="87" s="1"/>
  <c r="CW194" i="87"/>
  <c r="CM203" i="87"/>
  <c r="CN203" i="87" s="1"/>
  <c r="CM194" i="87"/>
  <c r="CN194" i="87" s="1"/>
  <c r="CC120" i="87"/>
  <c r="CD120" i="87" s="1"/>
  <c r="CC124" i="87"/>
  <c r="BS199" i="87"/>
  <c r="BT199" i="87" s="1"/>
  <c r="BS203" i="87"/>
  <c r="BT203" i="87" s="1"/>
  <c r="BS190" i="87"/>
  <c r="BT190" i="87" s="1"/>
  <c r="BS194" i="87"/>
  <c r="BT194" i="87" s="1"/>
  <c r="AO120" i="87"/>
  <c r="AP120" i="87" s="1"/>
  <c r="AO208" i="87"/>
  <c r="AP208" i="87" s="1"/>
  <c r="AO203" i="87"/>
  <c r="AP203" i="87" s="1"/>
  <c r="JA112" i="87"/>
  <c r="JB112" i="87" s="1"/>
  <c r="BS67" i="87"/>
  <c r="BT67" i="87" s="1"/>
  <c r="EA58" i="87"/>
  <c r="HW67" i="87"/>
  <c r="EA67" i="87"/>
  <c r="CW67" i="87"/>
  <c r="CX67" i="87" s="1"/>
  <c r="CC112" i="87"/>
  <c r="CD112" i="87" s="1"/>
  <c r="BS63" i="87"/>
  <c r="FE121" i="87"/>
  <c r="FF121" i="87" s="1"/>
  <c r="GS112" i="87"/>
  <c r="GT112" i="87" s="1"/>
  <c r="KE63" i="87"/>
  <c r="KF63" i="87" s="1"/>
  <c r="KE67" i="87"/>
  <c r="KF67" i="87" s="1"/>
  <c r="JU121" i="87"/>
  <c r="JU116" i="87"/>
  <c r="JV116" i="87" s="1"/>
  <c r="IG125" i="87"/>
  <c r="IH125" i="87" s="1"/>
  <c r="HC63" i="87"/>
  <c r="FY125" i="87"/>
  <c r="EA63" i="87"/>
  <c r="CW112" i="87"/>
  <c r="CX112" i="87" s="1"/>
  <c r="CM58" i="87"/>
  <c r="CN58" i="87" s="1"/>
  <c r="AO125" i="87"/>
  <c r="BI125" i="87"/>
  <c r="BJ125" i="87" s="1"/>
  <c r="HW63" i="87"/>
  <c r="KO125" i="87"/>
  <c r="KP125" i="87" s="1"/>
  <c r="JU125" i="87"/>
  <c r="JV125" i="87" s="1"/>
  <c r="JK200" i="87"/>
  <c r="JL200" i="87" s="1"/>
  <c r="JA121" i="87"/>
  <c r="JB121" i="87" s="1"/>
  <c r="JA125" i="87"/>
  <c r="IG112" i="87"/>
  <c r="IH112" i="87" s="1"/>
  <c r="FE112" i="87"/>
  <c r="FF112" i="87" s="1"/>
  <c r="EK121" i="87"/>
  <c r="EL121" i="87" s="1"/>
  <c r="EK125" i="87"/>
  <c r="EL125" i="87" s="1"/>
  <c r="EK116" i="87"/>
  <c r="EL116" i="87" s="1"/>
  <c r="CC125" i="87"/>
  <c r="CD125" i="87" s="1"/>
  <c r="AO107" i="87"/>
  <c r="AP107" i="87" s="1"/>
  <c r="DQ67" i="87"/>
  <c r="DR67" i="87" s="1"/>
  <c r="FO63" i="87"/>
  <c r="FP63" i="87" s="1"/>
  <c r="KO112" i="87"/>
  <c r="KP112" i="87" s="1"/>
  <c r="BI119" i="87"/>
  <c r="AY61" i="87"/>
  <c r="AZ61" i="87" s="1"/>
  <c r="EK119" i="87"/>
  <c r="U119" i="87"/>
  <c r="V119" i="87" s="1"/>
  <c r="DQ114" i="87"/>
  <c r="DR114" i="87" s="1"/>
  <c r="GS110" i="87"/>
  <c r="GT110" i="87" s="1"/>
  <c r="EA65" i="87"/>
  <c r="EB65" i="87" s="1"/>
  <c r="U61" i="87"/>
  <c r="U114" i="87"/>
  <c r="V114" i="87" s="1"/>
  <c r="BS56" i="87"/>
  <c r="AE62" i="87"/>
  <c r="HW66" i="87"/>
  <c r="HX66" i="87" s="1"/>
  <c r="JK57" i="87"/>
  <c r="JL57" i="87" s="1"/>
  <c r="GS66" i="87"/>
  <c r="GT66" i="87" s="1"/>
  <c r="KY57" i="87"/>
  <c r="CC57" i="87"/>
  <c r="CD57" i="87" s="1"/>
  <c r="GI57" i="87"/>
  <c r="GJ57" i="87" s="1"/>
  <c r="FE62" i="87"/>
  <c r="DQ194" i="87"/>
  <c r="DR194" i="87" s="1"/>
  <c r="DG66" i="87"/>
  <c r="DH66" i="87" s="1"/>
  <c r="DG57" i="87"/>
  <c r="DH57" i="87" s="1"/>
  <c r="CW62" i="87"/>
  <c r="CX62" i="87" s="1"/>
  <c r="CW208" i="87"/>
  <c r="CM212" i="87"/>
  <c r="CN212" i="87" s="1"/>
  <c r="AO57" i="87"/>
  <c r="AP57" i="87" s="1"/>
  <c r="EU58" i="87"/>
  <c r="EV58" i="87" s="1"/>
  <c r="EU63" i="87"/>
  <c r="EU67" i="87"/>
  <c r="EV67" i="87" s="1"/>
  <c r="EU66" i="87"/>
  <c r="BS140" i="87"/>
  <c r="BT140" i="87" s="1"/>
  <c r="GI110" i="87"/>
  <c r="GJ110" i="87" s="1"/>
  <c r="CC102" i="87"/>
  <c r="CD102" i="87" s="1"/>
  <c r="U111" i="87"/>
  <c r="V111" i="87" s="1"/>
  <c r="DQ43" i="87"/>
  <c r="DR43" i="87" s="1"/>
  <c r="DG28" i="87"/>
  <c r="BY26" i="87"/>
  <c r="BZ26" i="87" s="1"/>
  <c r="CA26" i="87" s="1"/>
  <c r="CC26" i="87" s="1"/>
  <c r="CD26" i="87" s="1"/>
  <c r="EU20" i="87"/>
  <c r="EV20" i="87" s="1"/>
  <c r="BY20" i="87"/>
  <c r="BZ20" i="87" s="1"/>
  <c r="BY19" i="87"/>
  <c r="BZ19" i="87" s="1"/>
  <c r="BS18" i="87"/>
  <c r="BT18" i="87" s="1"/>
  <c r="KA32" i="87"/>
  <c r="KB32" i="87" s="1"/>
  <c r="BI27" i="87"/>
  <c r="BJ27" i="87" s="1"/>
  <c r="KA26" i="87"/>
  <c r="KB26" i="87" s="1"/>
  <c r="KA20" i="87"/>
  <c r="KB20" i="87" s="1"/>
  <c r="CA10" i="87"/>
  <c r="CC10" i="87" s="1"/>
  <c r="CD10" i="87" s="1"/>
  <c r="FO57" i="87"/>
  <c r="EU72" i="87"/>
  <c r="EV72" i="87" s="1"/>
  <c r="KE116" i="87"/>
  <c r="KF116" i="87" s="1"/>
  <c r="FO110" i="87"/>
  <c r="FP110" i="87" s="1"/>
  <c r="KE103" i="87"/>
  <c r="FO91" i="87"/>
  <c r="FP91" i="87" s="1"/>
  <c r="HC86" i="87"/>
  <c r="HD86" i="87" s="1"/>
  <c r="HC82" i="87"/>
  <c r="HD82" i="87" s="1"/>
  <c r="FO73" i="87"/>
  <c r="FY152" i="87"/>
  <c r="FY181" i="87" s="1"/>
  <c r="BS119" i="87"/>
  <c r="BT119" i="87" s="1"/>
  <c r="FE95" i="87"/>
  <c r="FF95" i="87" s="1"/>
  <c r="CC95" i="87"/>
  <c r="CD95" i="87" s="1"/>
  <c r="CC91" i="87"/>
  <c r="CD91" i="87" s="1"/>
  <c r="JU86" i="87"/>
  <c r="JV86" i="87" s="1"/>
  <c r="DQ73" i="87"/>
  <c r="DR73" i="87" s="1"/>
  <c r="CC73" i="87"/>
  <c r="CD73" i="87" s="1"/>
  <c r="CC44" i="87"/>
  <c r="CD44" i="87" s="1"/>
  <c r="CW43" i="87"/>
  <c r="CX43" i="87" s="1"/>
  <c r="BS37" i="87"/>
  <c r="BT37" i="87" s="1"/>
  <c r="HW33" i="87"/>
  <c r="HX33" i="87" s="1"/>
  <c r="CC19" i="87"/>
  <c r="CD19" i="87" s="1"/>
  <c r="JK111" i="87"/>
  <c r="JL111" i="87" s="1"/>
  <c r="IQ123" i="87"/>
  <c r="IR123" i="87" s="1"/>
  <c r="GI120" i="87"/>
  <c r="GJ120" i="87" s="1"/>
  <c r="EA112" i="87"/>
  <c r="EB112" i="87" s="1"/>
  <c r="BS94" i="87"/>
  <c r="BT94" i="87" s="1"/>
  <c r="JK92" i="87"/>
  <c r="JL92" i="87" s="1"/>
  <c r="DG92" i="87"/>
  <c r="DH92" i="87" s="1"/>
  <c r="EU87" i="87"/>
  <c r="EV87" i="87" s="1"/>
  <c r="CM82" i="87"/>
  <c r="CN82" i="87" s="1"/>
  <c r="GI81" i="87"/>
  <c r="GJ81" i="87" s="1"/>
  <c r="KE73" i="87"/>
  <c r="KF73" i="87" s="1"/>
  <c r="FE130" i="87"/>
  <c r="FF130" i="87" s="1"/>
  <c r="DG152" i="87"/>
  <c r="DH152" i="87" s="1"/>
  <c r="BS130" i="87"/>
  <c r="BT130" i="87" s="1"/>
  <c r="EU124" i="87"/>
  <c r="EV124" i="87" s="1"/>
  <c r="AY104" i="87"/>
  <c r="AZ104" i="87" s="1"/>
  <c r="EU95" i="87"/>
  <c r="EV95" i="87" s="1"/>
  <c r="BS95" i="87"/>
  <c r="BT95" i="87" s="1"/>
  <c r="EU91" i="87"/>
  <c r="EV91" i="87" s="1"/>
  <c r="AE91" i="87"/>
  <c r="AF91" i="87" s="1"/>
  <c r="FO90" i="87"/>
  <c r="FP90" i="87" s="1"/>
  <c r="EU86" i="87"/>
  <c r="EV86" i="87" s="1"/>
  <c r="FO81" i="87"/>
  <c r="FP81" i="87" s="1"/>
  <c r="GI48" i="87"/>
  <c r="GJ48" i="87" s="1"/>
  <c r="KA14" i="87"/>
  <c r="KB14" i="87" s="1"/>
  <c r="CC28" i="87"/>
  <c r="CD28" i="87" s="1"/>
  <c r="U24" i="87"/>
  <c r="V24" i="87" s="1"/>
  <c r="DQ44" i="87"/>
  <c r="DR44" i="87" s="1"/>
  <c r="HW37" i="87"/>
  <c r="HX37" i="87" s="1"/>
  <c r="EU37" i="87"/>
  <c r="EV37" i="87" s="1"/>
  <c r="EU28" i="87"/>
  <c r="EV28" i="87" s="1"/>
  <c r="BS115" i="87"/>
  <c r="BT115" i="87" s="1"/>
  <c r="U105" i="87"/>
  <c r="V105" i="87" s="1"/>
  <c r="BS43" i="87"/>
  <c r="BT43" i="87" s="1"/>
  <c r="CM94" i="87"/>
  <c r="CN94" i="87" s="1"/>
  <c r="BS91" i="87"/>
  <c r="BT91" i="87" s="1"/>
  <c r="CM90" i="87"/>
  <c r="CN90" i="87" s="1"/>
  <c r="GI86" i="87"/>
  <c r="GJ86" i="87" s="1"/>
  <c r="DG82" i="87"/>
  <c r="DH82" i="87" s="1"/>
  <c r="HW77" i="87"/>
  <c r="HX77" i="87" s="1"/>
  <c r="CW148" i="87"/>
  <c r="JA62" i="87"/>
  <c r="JB62" i="87" s="1"/>
  <c r="KU23" i="87"/>
  <c r="KV23" i="87" s="1"/>
  <c r="GS19" i="87"/>
  <c r="GT19" i="87" s="1"/>
  <c r="HM77" i="87"/>
  <c r="HN77" i="87" s="1"/>
  <c r="GI144" i="87"/>
  <c r="GJ144" i="87" s="1"/>
  <c r="DG135" i="87"/>
  <c r="DH135" i="87" s="1"/>
  <c r="U139" i="87"/>
  <c r="V139" i="87" s="1"/>
  <c r="DQ141" i="87"/>
  <c r="DR141" i="87" s="1"/>
  <c r="KY152" i="87"/>
  <c r="KZ152" i="87" s="1"/>
  <c r="JK139" i="87"/>
  <c r="JL139" i="87" s="1"/>
  <c r="GI139" i="87"/>
  <c r="GJ139" i="87" s="1"/>
  <c r="BS139" i="87"/>
  <c r="BT139" i="87" s="1"/>
  <c r="U77" i="87"/>
  <c r="V77" i="87" s="1"/>
  <c r="BI73" i="87"/>
  <c r="BJ73" i="87" s="1"/>
  <c r="U73" i="87"/>
  <c r="V73" i="87" s="1"/>
  <c r="DQ48" i="87"/>
  <c r="DR48" i="87" s="1"/>
  <c r="EU33" i="87"/>
  <c r="EV33" i="87" s="1"/>
  <c r="HW28" i="87"/>
  <c r="HX28" i="87" s="1"/>
  <c r="AO28" i="87"/>
  <c r="AP28" i="87" s="1"/>
  <c r="BI23" i="87"/>
  <c r="BJ23" i="87" s="1"/>
  <c r="DG56" i="87"/>
  <c r="DH56" i="87" s="1"/>
  <c r="CM66" i="87"/>
  <c r="CN66" i="87" s="1"/>
  <c r="FO101" i="87"/>
  <c r="FP101" i="87" s="1"/>
  <c r="KE91" i="87"/>
  <c r="KF91" i="87" s="1"/>
  <c r="AE90" i="87"/>
  <c r="AF90" i="87" s="1"/>
  <c r="BS81" i="87"/>
  <c r="BT81" i="87" s="1"/>
  <c r="DG48" i="87"/>
  <c r="DH48" i="87" s="1"/>
  <c r="DG36" i="87"/>
  <c r="DH36" i="87" s="1"/>
  <c r="DG32" i="87"/>
  <c r="DH32" i="87" s="1"/>
  <c r="CC37" i="87"/>
  <c r="CD37" i="87" s="1"/>
  <c r="CC15" i="87"/>
  <c r="CD15" i="87" s="1"/>
  <c r="FE153" i="87"/>
  <c r="GS86" i="87"/>
  <c r="GT86" i="87" s="1"/>
  <c r="DG37" i="87"/>
  <c r="DH37" i="87" s="1"/>
  <c r="BS14" i="87"/>
  <c r="BT14" i="87" s="1"/>
  <c r="EK33" i="87"/>
  <c r="EL33" i="87" s="1"/>
  <c r="DG124" i="87"/>
  <c r="DH124" i="87" s="1"/>
  <c r="KY48" i="87"/>
  <c r="KZ48" i="87" s="1"/>
  <c r="AY28" i="87"/>
  <c r="AZ28" i="87" s="1"/>
  <c r="BS24" i="87"/>
  <c r="BT24" i="87" s="1"/>
  <c r="KO62" i="87"/>
  <c r="KP62" i="87" s="1"/>
  <c r="GS95" i="87"/>
  <c r="GT95" i="87" s="1"/>
  <c r="FE91" i="87"/>
  <c r="FF91" i="87" s="1"/>
  <c r="GS28" i="87"/>
  <c r="GT28" i="87" s="1"/>
  <c r="HW115" i="87"/>
  <c r="HX115" i="87" s="1"/>
  <c r="BS120" i="87"/>
  <c r="BT120" i="87" s="1"/>
  <c r="HW86" i="87"/>
  <c r="HX86" i="87" s="1"/>
  <c r="DG86" i="87"/>
  <c r="DH86" i="87" s="1"/>
  <c r="BS77" i="87"/>
  <c r="BT77" i="87" s="1"/>
  <c r="CC33" i="87"/>
  <c r="CD33" i="87" s="1"/>
  <c r="HW124" i="87"/>
  <c r="BS111" i="87"/>
  <c r="BT111" i="87" s="1"/>
  <c r="HW91" i="87"/>
  <c r="HX91" i="87" s="1"/>
  <c r="BS86" i="87"/>
  <c r="BT86" i="87" s="1"/>
  <c r="JK82" i="87"/>
  <c r="JL82" i="87" s="1"/>
  <c r="BS82" i="87"/>
  <c r="BT82" i="87" s="1"/>
  <c r="DG77" i="87"/>
  <c r="DH77" i="87" s="1"/>
  <c r="HW73" i="87"/>
  <c r="HX73" i="87" s="1"/>
  <c r="JU149" i="87"/>
  <c r="JV149" i="87" s="1"/>
  <c r="EK91" i="87"/>
  <c r="EL91" i="87" s="1"/>
  <c r="AU36" i="87"/>
  <c r="AV36" i="87" s="1"/>
  <c r="AW36" i="87" s="1"/>
  <c r="AY36" i="87" s="1"/>
  <c r="AZ36" i="87" s="1"/>
  <c r="AU29" i="87"/>
  <c r="AV29" i="87" s="1"/>
  <c r="KY102" i="87"/>
  <c r="KZ102" i="87" s="1"/>
  <c r="AY77" i="87"/>
  <c r="AZ77" i="87" s="1"/>
  <c r="GS48" i="87"/>
  <c r="GT48" i="87" s="1"/>
  <c r="BS33" i="87"/>
  <c r="BT33" i="87" s="1"/>
  <c r="AE66" i="87"/>
  <c r="AF66" i="87" s="1"/>
  <c r="EU149" i="87"/>
  <c r="EV149" i="87" s="1"/>
  <c r="HC149" i="87"/>
  <c r="HD149" i="87" s="1"/>
  <c r="CC82" i="87"/>
  <c r="CD82" i="87" s="1"/>
  <c r="AY33" i="87"/>
  <c r="AZ33" i="87" s="1"/>
  <c r="EU24" i="87"/>
  <c r="EV24" i="87" s="1"/>
  <c r="HM19" i="87"/>
  <c r="HN19" i="87" s="1"/>
  <c r="AU34" i="87"/>
  <c r="AV34" i="87" s="1"/>
  <c r="AU13" i="87"/>
  <c r="AV13" i="87" s="1"/>
  <c r="AW13" i="87" s="1"/>
  <c r="AY13" i="87" s="1"/>
  <c r="AU20" i="87"/>
  <c r="AV20" i="87" s="1"/>
  <c r="FO28" i="87"/>
  <c r="FP28" i="87" s="1"/>
  <c r="AO82" i="87"/>
  <c r="AP82" i="87" s="1"/>
  <c r="GS120" i="87"/>
  <c r="GT120" i="87" s="1"/>
  <c r="U148" i="87"/>
  <c r="V148" i="87" s="1"/>
  <c r="BI141" i="87"/>
  <c r="BJ141" i="87" s="1"/>
  <c r="CW139" i="87"/>
  <c r="CX139" i="87" s="1"/>
  <c r="BE15" i="87"/>
  <c r="BF15" i="87" s="1"/>
  <c r="U18" i="87"/>
  <c r="V18" i="87" s="1"/>
  <c r="EU61" i="87"/>
  <c r="EV61" i="87" s="1"/>
  <c r="U153" i="87"/>
  <c r="V153" i="87" s="1"/>
  <c r="CC139" i="87"/>
  <c r="CD139" i="87" s="1"/>
  <c r="AE148" i="87"/>
  <c r="AF148" i="87" s="1"/>
  <c r="FO139" i="87"/>
  <c r="FP139" i="87" s="1"/>
  <c r="EA119" i="87"/>
  <c r="EB119" i="87" s="1"/>
  <c r="EU101" i="87"/>
  <c r="FO94" i="87"/>
  <c r="FP94" i="87" s="1"/>
  <c r="FY72" i="87"/>
  <c r="FZ72" i="87" s="1"/>
  <c r="U95" i="87"/>
  <c r="V95" i="87" s="1"/>
  <c r="BS36" i="87"/>
  <c r="BT36" i="87" s="1"/>
  <c r="BS32" i="87"/>
  <c r="BT32" i="87" s="1"/>
  <c r="CC72" i="87"/>
  <c r="CD72" i="87" s="1"/>
  <c r="DQ130" i="87"/>
  <c r="DR130" i="87" s="1"/>
  <c r="BS76" i="87"/>
  <c r="BT76" i="87" s="1"/>
  <c r="BS47" i="87"/>
  <c r="BT47" i="87" s="1"/>
  <c r="IM35" i="87"/>
  <c r="IN35" i="87" s="1"/>
  <c r="IO35" i="87" s="1"/>
  <c r="IQ35" i="87" s="1"/>
  <c r="IR35" i="87" s="1"/>
  <c r="CC34" i="87"/>
  <c r="CD34" i="87" s="1"/>
  <c r="IM33" i="87"/>
  <c r="IN33" i="87" s="1"/>
  <c r="U32" i="87"/>
  <c r="V32" i="87" s="1"/>
  <c r="CC23" i="87"/>
  <c r="CD23" i="87" s="1"/>
  <c r="BI94" i="87"/>
  <c r="BJ94" i="87" s="1"/>
  <c r="U85" i="87"/>
  <c r="V85" i="87" s="1"/>
  <c r="U47" i="87"/>
  <c r="V47" i="87" s="1"/>
  <c r="EA110" i="87"/>
  <c r="EB110" i="87" s="1"/>
  <c r="BS101" i="87"/>
  <c r="BT101" i="87" s="1"/>
  <c r="KY125" i="87"/>
  <c r="KZ125" i="87" s="1"/>
  <c r="KE124" i="87"/>
  <c r="KF124" i="87" s="1"/>
  <c r="HW116" i="87"/>
  <c r="HX116" i="87" s="1"/>
  <c r="EU112" i="87"/>
  <c r="EV112" i="87" s="1"/>
  <c r="EA120" i="87"/>
  <c r="EB120" i="87" s="1"/>
  <c r="DG123" i="87"/>
  <c r="DH123" i="87" s="1"/>
  <c r="BS121" i="87"/>
  <c r="BT121" i="87" s="1"/>
  <c r="AY120" i="87"/>
  <c r="AZ120" i="87" s="1"/>
  <c r="BI101" i="87"/>
  <c r="BJ101" i="87" s="1"/>
  <c r="IG90" i="87"/>
  <c r="IH90" i="87" s="1"/>
  <c r="FE87" i="87"/>
  <c r="FF87" i="87" s="1"/>
  <c r="KO86" i="87"/>
  <c r="KP86" i="87" s="1"/>
  <c r="HM86" i="87"/>
  <c r="HN86" i="87" s="1"/>
  <c r="BI86" i="87"/>
  <c r="BJ86" i="87" s="1"/>
  <c r="DQ85" i="87"/>
  <c r="DR85" i="87" s="1"/>
  <c r="JU81" i="87"/>
  <c r="JV81" i="87" s="1"/>
  <c r="GS81" i="87"/>
  <c r="GT81" i="87" s="1"/>
  <c r="DQ81" i="87"/>
  <c r="DR81" i="87" s="1"/>
  <c r="AO78" i="87"/>
  <c r="AP78" i="87" s="1"/>
  <c r="JA77" i="87"/>
  <c r="JB77" i="87" s="1"/>
  <c r="DQ74" i="87"/>
  <c r="DR74" i="87" s="1"/>
  <c r="IG72" i="87"/>
  <c r="IH72" i="87" s="1"/>
  <c r="FY115" i="87"/>
  <c r="FZ115" i="87" s="1"/>
  <c r="DM33" i="87"/>
  <c r="DN33" i="87" s="1"/>
  <c r="GO32" i="87"/>
  <c r="GP32" i="87" s="1"/>
  <c r="EA66" i="87"/>
  <c r="EB66" i="87" s="1"/>
  <c r="EU104" i="87"/>
  <c r="EV104" i="87" s="1"/>
  <c r="HC73" i="87"/>
  <c r="HD73" i="87" s="1"/>
  <c r="IQ19" i="87"/>
  <c r="IR19" i="87" s="1"/>
  <c r="IG25" i="87"/>
  <c r="IH25" i="87" s="1"/>
  <c r="IM15" i="87"/>
  <c r="IN15" i="87" s="1"/>
  <c r="FY144" i="87"/>
  <c r="FZ144" i="87" s="1"/>
  <c r="U144" i="87"/>
  <c r="V144" i="87" s="1"/>
  <c r="JA140" i="87"/>
  <c r="JB140" i="87" s="1"/>
  <c r="FY135" i="87"/>
  <c r="FZ135" i="87" s="1"/>
  <c r="HC135" i="87"/>
  <c r="HD135" i="87" s="1"/>
  <c r="EK124" i="87"/>
  <c r="EL124" i="87" s="1"/>
  <c r="BI43" i="87"/>
  <c r="BJ43" i="87" s="1"/>
  <c r="EA29" i="87"/>
  <c r="EB29" i="87" s="1"/>
  <c r="IM28" i="87"/>
  <c r="IN28" i="87" s="1"/>
  <c r="IM17" i="87"/>
  <c r="IN17" i="87" s="1"/>
  <c r="CW154" i="87"/>
  <c r="KO148" i="87"/>
  <c r="EK148" i="87"/>
  <c r="EL148" i="87" s="1"/>
  <c r="KO143" i="87"/>
  <c r="KO172" i="87" s="1"/>
  <c r="KO139" i="87"/>
  <c r="KP139" i="87" s="1"/>
  <c r="FY136" i="87"/>
  <c r="FZ136" i="87" s="1"/>
  <c r="HM130" i="87"/>
  <c r="KE143" i="87"/>
  <c r="KF143" i="87" s="1"/>
  <c r="KE152" i="87"/>
  <c r="KF152" i="87" s="1"/>
  <c r="EA130" i="87"/>
  <c r="EB130" i="87" s="1"/>
  <c r="DG119" i="87"/>
  <c r="CC90" i="87"/>
  <c r="CD90" i="87" s="1"/>
  <c r="BI47" i="87"/>
  <c r="BJ47" i="87" s="1"/>
  <c r="JK136" i="87"/>
  <c r="JL136" i="87" s="1"/>
  <c r="HW136" i="87"/>
  <c r="HX136" i="87" s="1"/>
  <c r="HW154" i="87"/>
  <c r="HX154" i="87" s="1"/>
  <c r="GI150" i="87"/>
  <c r="GJ150" i="87" s="1"/>
  <c r="EU145" i="87"/>
  <c r="EV145" i="87" s="1"/>
  <c r="EU154" i="87"/>
  <c r="EV154" i="87" s="1"/>
  <c r="KE131" i="87"/>
  <c r="KF131" i="87" s="1"/>
  <c r="KE153" i="87"/>
  <c r="KF153" i="87" s="1"/>
  <c r="IQ131" i="87"/>
  <c r="IR131" i="87" s="1"/>
  <c r="IQ149" i="87"/>
  <c r="IR149" i="87" s="1"/>
  <c r="FO135" i="87"/>
  <c r="FP135" i="87" s="1"/>
  <c r="FO149" i="87"/>
  <c r="FP149" i="87" s="1"/>
  <c r="KU36" i="87"/>
  <c r="KV36" i="87" s="1"/>
  <c r="KO29" i="87"/>
  <c r="KP29" i="87" s="1"/>
  <c r="HS27" i="87"/>
  <c r="HT27" i="87" s="1"/>
  <c r="HU27" i="87" s="1"/>
  <c r="HW27" i="87" s="1"/>
  <c r="HX27" i="87" s="1"/>
  <c r="DQ143" i="87"/>
  <c r="DR143" i="87" s="1"/>
  <c r="AO153" i="87"/>
  <c r="AP153" i="87" s="1"/>
  <c r="EK150" i="87"/>
  <c r="EL150" i="87" s="1"/>
  <c r="EK145" i="87"/>
  <c r="EL145" i="87" s="1"/>
  <c r="U143" i="87"/>
  <c r="EK141" i="87"/>
  <c r="EL141" i="87" s="1"/>
  <c r="DQ131" i="87"/>
  <c r="DR131" i="87" s="1"/>
  <c r="HW133" i="87"/>
  <c r="HX133" i="87" s="1"/>
  <c r="IQ154" i="87"/>
  <c r="IR154" i="87" s="1"/>
  <c r="FO145" i="87"/>
  <c r="FP145" i="87" s="1"/>
  <c r="JK121" i="87"/>
  <c r="JL121" i="87" s="1"/>
  <c r="JK125" i="87"/>
  <c r="JL125" i="87" s="1"/>
  <c r="IQ120" i="87"/>
  <c r="IR120" i="87" s="1"/>
  <c r="HW123" i="87"/>
  <c r="HX123" i="87" s="1"/>
  <c r="DG121" i="87"/>
  <c r="DH121" i="87" s="1"/>
  <c r="CM120" i="87"/>
  <c r="CN120" i="87" s="1"/>
  <c r="BS114" i="87"/>
  <c r="BT114" i="87" s="1"/>
  <c r="AO95" i="87"/>
  <c r="AP95" i="87" s="1"/>
  <c r="JA92" i="87"/>
  <c r="JB92" i="87" s="1"/>
  <c r="EK92" i="87"/>
  <c r="EL92" i="87" s="1"/>
  <c r="JA87" i="87"/>
  <c r="JB87" i="87" s="1"/>
  <c r="U87" i="87"/>
  <c r="V87" i="87" s="1"/>
  <c r="BI83" i="87"/>
  <c r="BJ83" i="87" s="1"/>
  <c r="U76" i="87"/>
  <c r="V76" i="87" s="1"/>
  <c r="IG75" i="87"/>
  <c r="IH75" i="87" s="1"/>
  <c r="DQ75" i="87"/>
  <c r="DR75" i="87" s="1"/>
  <c r="CC75" i="87"/>
  <c r="CD75" i="87" s="1"/>
  <c r="KU20" i="87"/>
  <c r="KV20" i="87" s="1"/>
  <c r="CW153" i="87"/>
  <c r="CX153" i="87" s="1"/>
  <c r="GS150" i="87"/>
  <c r="GT150" i="87" s="1"/>
  <c r="GS145" i="87"/>
  <c r="GT145" i="87" s="1"/>
  <c r="JU141" i="87"/>
  <c r="JV141" i="87" s="1"/>
  <c r="AO141" i="87"/>
  <c r="AP141" i="87" s="1"/>
  <c r="U140" i="87"/>
  <c r="V140" i="87" s="1"/>
  <c r="GS136" i="87"/>
  <c r="GT136" i="87" s="1"/>
  <c r="DQ132" i="87"/>
  <c r="DR132" i="87" s="1"/>
  <c r="JA131" i="87"/>
  <c r="JB131" i="87" s="1"/>
  <c r="HW139" i="87"/>
  <c r="HX139" i="87" s="1"/>
  <c r="DG143" i="87"/>
  <c r="DH143" i="87" s="1"/>
  <c r="DG148" i="87"/>
  <c r="DH148" i="87" s="1"/>
  <c r="BS134" i="87"/>
  <c r="BI90" i="87"/>
  <c r="BJ90" i="87" s="1"/>
  <c r="BI81" i="87"/>
  <c r="BJ81" i="87" s="1"/>
  <c r="FO37" i="87"/>
  <c r="FP37" i="87" s="1"/>
  <c r="AE29" i="87"/>
  <c r="AF29" i="87" s="1"/>
  <c r="IQ130" i="87"/>
  <c r="IR130" i="87" s="1"/>
  <c r="EA152" i="87"/>
  <c r="EB152" i="87" s="1"/>
  <c r="BY14" i="87"/>
  <c r="BZ14" i="87" s="1"/>
  <c r="FK38" i="87"/>
  <c r="FL38" i="87" s="1"/>
  <c r="FK25" i="87"/>
  <c r="FL25" i="87" s="1"/>
  <c r="FK23" i="87"/>
  <c r="FL23" i="87" s="1"/>
  <c r="U23" i="87"/>
  <c r="V23" i="87" s="1"/>
  <c r="FK18" i="87"/>
  <c r="FL18" i="87" s="1"/>
  <c r="FM18" i="87" s="1"/>
  <c r="IQ135" i="87"/>
  <c r="IR135" i="87" s="1"/>
  <c r="HC153" i="87"/>
  <c r="HD153" i="87" s="1"/>
  <c r="CM149" i="87"/>
  <c r="CN149" i="87" s="1"/>
  <c r="AY149" i="87"/>
  <c r="AZ149" i="87" s="1"/>
  <c r="AE110" i="87"/>
  <c r="AF110" i="87" s="1"/>
  <c r="AE123" i="87"/>
  <c r="AF123" i="87" s="1"/>
  <c r="JA75" i="87"/>
  <c r="JB75" i="87" s="1"/>
  <c r="KE37" i="87"/>
  <c r="KF37" i="87" s="1"/>
  <c r="KY34" i="87"/>
  <c r="KZ34" i="87" s="1"/>
  <c r="BY31" i="87"/>
  <c r="BZ31" i="87" s="1"/>
  <c r="CA31" i="87" s="1"/>
  <c r="CC31" i="87" s="1"/>
  <c r="CD31" i="87" s="1"/>
  <c r="BS29" i="87"/>
  <c r="BT29" i="87" s="1"/>
  <c r="FO19" i="87"/>
  <c r="FP19" i="87" s="1"/>
  <c r="KA29" i="87"/>
  <c r="KB29" i="87" s="1"/>
  <c r="IG20" i="87"/>
  <c r="IH20" i="87" s="1"/>
  <c r="HM133" i="87"/>
  <c r="HM162" i="87" s="1"/>
  <c r="EU139" i="87"/>
  <c r="EV139" i="87" s="1"/>
  <c r="BS152" i="87"/>
  <c r="BT152" i="87" s="1"/>
  <c r="FY101" i="87"/>
  <c r="EQ25" i="87"/>
  <c r="ER25" i="87" s="1"/>
  <c r="EQ22" i="87"/>
  <c r="ER22" i="87" s="1"/>
  <c r="ES22" i="87" s="1"/>
  <c r="EU22" i="87" s="1"/>
  <c r="EV22" i="87" s="1"/>
  <c r="BG10" i="87"/>
  <c r="BI10" i="87" s="1"/>
  <c r="BJ10" i="87" s="1"/>
  <c r="DG61" i="87"/>
  <c r="DH61" i="87" s="1"/>
  <c r="BS85" i="87"/>
  <c r="BT85" i="87" s="1"/>
  <c r="HW110" i="87"/>
  <c r="HX110" i="87" s="1"/>
  <c r="BS123" i="87"/>
  <c r="BT123" i="87" s="1"/>
  <c r="FY90" i="87"/>
  <c r="FZ90" i="87" s="1"/>
  <c r="BI76" i="87"/>
  <c r="BJ76" i="87" s="1"/>
  <c r="HI35" i="87"/>
  <c r="HJ35" i="87" s="1"/>
  <c r="HK35" i="87" s="1"/>
  <c r="HM35" i="87" s="1"/>
  <c r="HN35" i="87" s="1"/>
  <c r="BE24" i="87"/>
  <c r="BF24" i="87" s="1"/>
  <c r="BE23" i="87"/>
  <c r="BF23" i="87" s="1"/>
  <c r="U36" i="87"/>
  <c r="V36" i="87" s="1"/>
  <c r="EQ16" i="87"/>
  <c r="ER16" i="87" s="1"/>
  <c r="ES16" i="87" s="1"/>
  <c r="EU16" i="87" s="1"/>
  <c r="EV16" i="87" s="1"/>
  <c r="BS61" i="87"/>
  <c r="BT61" i="87" s="1"/>
  <c r="BI148" i="87"/>
  <c r="BJ148" i="87" s="1"/>
  <c r="KE107" i="87"/>
  <c r="KF107" i="87" s="1"/>
  <c r="EU81" i="87"/>
  <c r="EV81" i="87" s="1"/>
  <c r="HC37" i="87"/>
  <c r="HD37" i="87" s="1"/>
  <c r="GO35" i="87"/>
  <c r="GP35" i="87" s="1"/>
  <c r="DM29" i="87"/>
  <c r="DN29" i="87" s="1"/>
  <c r="DO29" i="87" s="1"/>
  <c r="DQ29" i="87" s="1"/>
  <c r="DR29" i="87" s="1"/>
  <c r="GO28" i="87"/>
  <c r="GP28" i="87" s="1"/>
  <c r="GO27" i="87"/>
  <c r="GP27" i="87" s="1"/>
  <c r="GQ27" i="87" s="1"/>
  <c r="GS27" i="87" s="1"/>
  <c r="GT27" i="87" s="1"/>
  <c r="DM25" i="87"/>
  <c r="DN25" i="87" s="1"/>
  <c r="DM24" i="87"/>
  <c r="DN24" i="87" s="1"/>
  <c r="DO24" i="87" s="1"/>
  <c r="DQ24" i="87" s="1"/>
  <c r="DR24" i="87" s="1"/>
  <c r="BI37" i="87"/>
  <c r="BJ37" i="87" s="1"/>
  <c r="BS65" i="87"/>
  <c r="BT65" i="87" s="1"/>
  <c r="KE135" i="87"/>
  <c r="KF135" i="87" s="1"/>
  <c r="BS110" i="87"/>
  <c r="BT110" i="87" s="1"/>
  <c r="CW46" i="87"/>
  <c r="CX46" i="87" s="1"/>
  <c r="JU43" i="87"/>
  <c r="JV43" i="87" s="1"/>
  <c r="FO25" i="87"/>
  <c r="FP25" i="87" s="1"/>
  <c r="GO15" i="87"/>
  <c r="GP15" i="87" s="1"/>
  <c r="GQ15" i="87" s="1"/>
  <c r="GS15" i="87" s="1"/>
  <c r="GT15" i="87" s="1"/>
  <c r="KE149" i="87"/>
  <c r="KF149" i="87" s="1"/>
  <c r="HC131" i="87"/>
  <c r="HD131" i="87" s="1"/>
  <c r="FO153" i="87"/>
  <c r="FP153" i="87" s="1"/>
  <c r="CW90" i="87"/>
  <c r="JU153" i="87"/>
  <c r="JV153" i="87" s="1"/>
  <c r="DQ149" i="87"/>
  <c r="AO149" i="87"/>
  <c r="AP149" i="87" s="1"/>
  <c r="GS144" i="87"/>
  <c r="GT144" i="87" s="1"/>
  <c r="JU135" i="87"/>
  <c r="JV135" i="87" s="1"/>
  <c r="KE150" i="87"/>
  <c r="KF150" i="87" s="1"/>
  <c r="IQ141" i="87"/>
  <c r="IR141" i="87" s="1"/>
  <c r="HC145" i="87"/>
  <c r="HD145" i="87" s="1"/>
  <c r="CM116" i="87"/>
  <c r="CN116" i="87" s="1"/>
  <c r="EA94" i="87"/>
  <c r="EB94" i="87" s="1"/>
  <c r="CM78" i="87"/>
  <c r="CN78" i="87" s="1"/>
  <c r="CW72" i="87"/>
  <c r="CX72" i="87" s="1"/>
  <c r="AK20" i="87"/>
  <c r="AL20" i="87" s="1"/>
  <c r="IM37" i="87"/>
  <c r="IN37" i="87" s="1"/>
  <c r="IM19" i="87"/>
  <c r="IN19" i="87" s="1"/>
  <c r="GS14" i="87"/>
  <c r="GT14" i="87" s="1"/>
  <c r="KO153" i="87"/>
  <c r="KP153" i="87" s="1"/>
  <c r="IG136" i="87"/>
  <c r="IH136" i="87" s="1"/>
  <c r="CM119" i="87"/>
  <c r="CN119" i="87" s="1"/>
  <c r="HW92" i="87"/>
  <c r="HX92" i="87" s="1"/>
  <c r="AE87" i="87"/>
  <c r="AF87" i="87" s="1"/>
  <c r="DG81" i="87"/>
  <c r="DH81" i="87" s="1"/>
  <c r="HW78" i="87"/>
  <c r="HX78" i="87" s="1"/>
  <c r="BE34" i="87"/>
  <c r="BF34" i="87" s="1"/>
  <c r="KE33" i="87"/>
  <c r="KF33" i="87" s="1"/>
  <c r="BE32" i="87"/>
  <c r="BF32" i="87" s="1"/>
  <c r="HI29" i="87"/>
  <c r="HJ29" i="87" s="1"/>
  <c r="CM25" i="87"/>
  <c r="CN25" i="87" s="1"/>
  <c r="HI19" i="87"/>
  <c r="HJ19" i="87" s="1"/>
  <c r="BE14" i="87"/>
  <c r="BF14" i="87" s="1"/>
  <c r="EQ38" i="87"/>
  <c r="ER38" i="87" s="1"/>
  <c r="EQ32" i="87"/>
  <c r="ER32" i="87" s="1"/>
  <c r="FY25" i="87"/>
  <c r="FZ25" i="87" s="1"/>
  <c r="EQ24" i="87"/>
  <c r="ER24" i="87" s="1"/>
  <c r="JG22" i="87"/>
  <c r="JH22" i="87" s="1"/>
  <c r="JI22" i="87" s="1"/>
  <c r="JK22" i="87" s="1"/>
  <c r="JL22" i="87" s="1"/>
  <c r="JG16" i="87"/>
  <c r="JH16" i="87" s="1"/>
  <c r="JI16" i="87" s="1"/>
  <c r="JK16" i="87" s="1"/>
  <c r="JL16" i="87" s="1"/>
  <c r="EQ15" i="87"/>
  <c r="ER15" i="87" s="1"/>
  <c r="ES15" i="87" s="1"/>
  <c r="EU15" i="87" s="1"/>
  <c r="EV15" i="87" s="1"/>
  <c r="IQ58" i="87"/>
  <c r="IR58" i="87" s="1"/>
  <c r="FO154" i="87"/>
  <c r="FP154" i="87" s="1"/>
  <c r="EA136" i="87"/>
  <c r="EB136" i="87" s="1"/>
  <c r="CM141" i="87"/>
  <c r="CN141" i="87" s="1"/>
  <c r="KO78" i="87"/>
  <c r="KP78" i="87" s="1"/>
  <c r="CW78" i="87"/>
  <c r="CX78" i="87" s="1"/>
  <c r="AY49" i="87"/>
  <c r="AZ49" i="87" s="1"/>
  <c r="HC43" i="87"/>
  <c r="HD43" i="87" s="1"/>
  <c r="BE33" i="87"/>
  <c r="BF33" i="87" s="1"/>
  <c r="HI32" i="87"/>
  <c r="HJ32" i="87" s="1"/>
  <c r="KE15" i="87"/>
  <c r="KF15" i="87" s="1"/>
  <c r="HI15" i="87"/>
  <c r="HJ15" i="87" s="1"/>
  <c r="HK15" i="87" s="1"/>
  <c r="HM15" i="87" s="1"/>
  <c r="HN15" i="87" s="1"/>
  <c r="AO34" i="87"/>
  <c r="AP34" i="87" s="1"/>
  <c r="EQ31" i="87"/>
  <c r="ER31" i="87" s="1"/>
  <c r="ES31" i="87" s="1"/>
  <c r="EU31" i="87" s="1"/>
  <c r="EV31" i="87" s="1"/>
  <c r="JG24" i="87"/>
  <c r="JH24" i="87" s="1"/>
  <c r="EQ14" i="87"/>
  <c r="ER14" i="87" s="1"/>
  <c r="GS154" i="87"/>
  <c r="GT154" i="87" s="1"/>
  <c r="AO150" i="87"/>
  <c r="AP150" i="87" s="1"/>
  <c r="JA149" i="87"/>
  <c r="JB149" i="87" s="1"/>
  <c r="FY149" i="87"/>
  <c r="FZ149" i="87" s="1"/>
  <c r="CW149" i="87"/>
  <c r="CX149" i="87" s="1"/>
  <c r="AO145" i="87"/>
  <c r="AP145" i="87" s="1"/>
  <c r="CW135" i="87"/>
  <c r="CX135" i="87" s="1"/>
  <c r="HW148" i="87"/>
  <c r="HX148" i="87" s="1"/>
  <c r="DG139" i="87"/>
  <c r="DH139" i="87" s="1"/>
  <c r="KY120" i="87"/>
  <c r="KZ120" i="87" s="1"/>
  <c r="IQ112" i="87"/>
  <c r="IR112" i="87" s="1"/>
  <c r="HC110" i="87"/>
  <c r="HD110" i="87" s="1"/>
  <c r="FO125" i="87"/>
  <c r="FP125" i="87" s="1"/>
  <c r="KE102" i="87"/>
  <c r="KF102" i="87" s="1"/>
  <c r="DG101" i="87"/>
  <c r="DH101" i="87" s="1"/>
  <c r="GI93" i="87"/>
  <c r="GJ93" i="87" s="1"/>
  <c r="KE92" i="87"/>
  <c r="KF92" i="87" s="1"/>
  <c r="FO92" i="87"/>
  <c r="FP92" i="87" s="1"/>
  <c r="AY90" i="87"/>
  <c r="AZ90" i="87" s="1"/>
  <c r="IQ87" i="87"/>
  <c r="IR87" i="87" s="1"/>
  <c r="HC85" i="87"/>
  <c r="HD85" i="87" s="1"/>
  <c r="EA81" i="87"/>
  <c r="EB81" i="87" s="1"/>
  <c r="CM81" i="87"/>
  <c r="CN81" i="87" s="1"/>
  <c r="IQ78" i="87"/>
  <c r="IR78" i="87" s="1"/>
  <c r="EA78" i="87"/>
  <c r="EB78" i="87" s="1"/>
  <c r="AE77" i="87"/>
  <c r="AF77" i="87" s="1"/>
  <c r="HW75" i="87"/>
  <c r="HX75" i="87" s="1"/>
  <c r="EQ37" i="87"/>
  <c r="ER37" i="87" s="1"/>
  <c r="CW33" i="87"/>
  <c r="CX33" i="87" s="1"/>
  <c r="GS20" i="87"/>
  <c r="GT20" i="87" s="1"/>
  <c r="DQ20" i="87"/>
  <c r="DR20" i="87" s="1"/>
  <c r="KO17" i="87"/>
  <c r="KP17" i="87" s="1"/>
  <c r="FU37" i="87"/>
  <c r="FV37" i="87" s="1"/>
  <c r="FU35" i="87"/>
  <c r="FV35" i="87" s="1"/>
  <c r="FW35" i="87" s="1"/>
  <c r="FY35" i="87" s="1"/>
  <c r="FZ35" i="87" s="1"/>
  <c r="KW10" i="87"/>
  <c r="KY10" i="87" s="1"/>
  <c r="KZ10" i="87" s="1"/>
  <c r="LB10" i="87" s="1"/>
  <c r="KU17" i="87"/>
  <c r="KV17" i="87" s="1"/>
  <c r="KU18" i="87"/>
  <c r="KV18" i="87" s="1"/>
  <c r="KW18" i="87" s="1"/>
  <c r="KY18" i="87" s="1"/>
  <c r="KZ18" i="87" s="1"/>
  <c r="KU27" i="87"/>
  <c r="KV27" i="87" s="1"/>
  <c r="KW27" i="87" s="1"/>
  <c r="KY27" i="87" s="1"/>
  <c r="KU33" i="87"/>
  <c r="KV33" i="87" s="1"/>
  <c r="KU34" i="87"/>
  <c r="KV34" i="87" s="1"/>
  <c r="KU15" i="87"/>
  <c r="KV15" i="87" s="1"/>
  <c r="KU16" i="87"/>
  <c r="KV16" i="87" s="1"/>
  <c r="KW16" i="87" s="1"/>
  <c r="KY16" i="87" s="1"/>
  <c r="KZ16" i="87" s="1"/>
  <c r="KU24" i="87"/>
  <c r="KV24" i="87" s="1"/>
  <c r="KU25" i="87"/>
  <c r="KV25" i="87" s="1"/>
  <c r="KU26" i="87"/>
  <c r="KV26" i="87" s="1"/>
  <c r="KU32" i="87"/>
  <c r="KV32" i="87" s="1"/>
  <c r="BI151" i="87"/>
  <c r="BJ151" i="87" s="1"/>
  <c r="JA144" i="87"/>
  <c r="JB144" i="87" s="1"/>
  <c r="JU136" i="87"/>
  <c r="JV136" i="87" s="1"/>
  <c r="DQ136" i="87"/>
  <c r="DR136" i="87" s="1"/>
  <c r="CM145" i="87"/>
  <c r="CN145" i="87" s="1"/>
  <c r="CM150" i="87"/>
  <c r="AY145" i="87"/>
  <c r="AZ145" i="87" s="1"/>
  <c r="KE110" i="87"/>
  <c r="KF110" i="87" s="1"/>
  <c r="IQ116" i="87"/>
  <c r="IR116" i="87" s="1"/>
  <c r="FO121" i="87"/>
  <c r="FP121" i="87" s="1"/>
  <c r="EU111" i="87"/>
  <c r="EV111" i="87" s="1"/>
  <c r="EU115" i="87"/>
  <c r="EV115" i="87" s="1"/>
  <c r="EU120" i="87"/>
  <c r="DG95" i="87"/>
  <c r="DH95" i="87" s="1"/>
  <c r="KE94" i="87"/>
  <c r="KF94" i="87" s="1"/>
  <c r="HC92" i="87"/>
  <c r="HD92" i="87" s="1"/>
  <c r="EA92" i="87"/>
  <c r="EB92" i="87" s="1"/>
  <c r="CM87" i="87"/>
  <c r="AY87" i="87"/>
  <c r="AZ87" i="87" s="1"/>
  <c r="KE83" i="87"/>
  <c r="KF83" i="87" s="1"/>
  <c r="IQ83" i="87"/>
  <c r="IR83" i="87" s="1"/>
  <c r="FO83" i="87"/>
  <c r="FP83" i="87" s="1"/>
  <c r="EU77" i="87"/>
  <c r="EV77" i="87" s="1"/>
  <c r="BS75" i="87"/>
  <c r="BT75" i="87" s="1"/>
  <c r="GS124" i="87"/>
  <c r="GT124" i="87" s="1"/>
  <c r="DQ47" i="87"/>
  <c r="DR47" i="87" s="1"/>
  <c r="GS43" i="87"/>
  <c r="GT43" i="87" s="1"/>
  <c r="CM36" i="87"/>
  <c r="CN36" i="87" s="1"/>
  <c r="GI35" i="87"/>
  <c r="GJ35" i="87" s="1"/>
  <c r="HS36" i="87"/>
  <c r="HT36" i="87" s="1"/>
  <c r="HS33" i="87"/>
  <c r="HT33" i="87" s="1"/>
  <c r="KU29" i="87"/>
  <c r="KV29" i="87" s="1"/>
  <c r="FY29" i="87"/>
  <c r="FZ29" i="87" s="1"/>
  <c r="HS26" i="87"/>
  <c r="HT26" i="87" s="1"/>
  <c r="HU26" i="87" s="1"/>
  <c r="HW26" i="87" s="1"/>
  <c r="HX26" i="87" s="1"/>
  <c r="HM25" i="87"/>
  <c r="HN25" i="87" s="1"/>
  <c r="HS15" i="87"/>
  <c r="HT15" i="87" s="1"/>
  <c r="JI10" i="87"/>
  <c r="JK10" i="87" s="1"/>
  <c r="JL10" i="87" s="1"/>
  <c r="JN10" i="87" s="1"/>
  <c r="JG13" i="87"/>
  <c r="JH13" i="87" s="1"/>
  <c r="JI13" i="87" s="1"/>
  <c r="JK13" i="87" s="1"/>
  <c r="JL13" i="87" s="1"/>
  <c r="JG27" i="87"/>
  <c r="JH27" i="87" s="1"/>
  <c r="JI27" i="87" s="1"/>
  <c r="JK27" i="87" s="1"/>
  <c r="JL27" i="87" s="1"/>
  <c r="JG34" i="87"/>
  <c r="JH34" i="87" s="1"/>
  <c r="ES10" i="87"/>
  <c r="EU10" i="87" s="1"/>
  <c r="EV10" i="87" s="1"/>
  <c r="EX10" i="87" s="1"/>
  <c r="EQ13" i="87"/>
  <c r="ER13" i="87" s="1"/>
  <c r="EQ19" i="87"/>
  <c r="ER19" i="87" s="1"/>
  <c r="EQ20" i="87"/>
  <c r="ER20" i="87" s="1"/>
  <c r="EQ28" i="87"/>
  <c r="ER28" i="87" s="1"/>
  <c r="EQ29" i="87"/>
  <c r="ER29" i="87" s="1"/>
  <c r="EQ35" i="87"/>
  <c r="ER35" i="87" s="1"/>
  <c r="ES35" i="87" s="1"/>
  <c r="EU35" i="87" s="1"/>
  <c r="EV35" i="87" s="1"/>
  <c r="EQ17" i="87"/>
  <c r="ER17" i="87" s="1"/>
  <c r="EQ18" i="87"/>
  <c r="ER18" i="87" s="1"/>
  <c r="ES18" i="87" s="1"/>
  <c r="EU18" i="87" s="1"/>
  <c r="EV18" i="87" s="1"/>
  <c r="EQ26" i="87"/>
  <c r="ER26" i="87" s="1"/>
  <c r="ES26" i="87" s="1"/>
  <c r="EU26" i="87" s="1"/>
  <c r="EV26" i="87" s="1"/>
  <c r="EQ27" i="87"/>
  <c r="ER27" i="87" s="1"/>
  <c r="ES27" i="87" s="1"/>
  <c r="EU27" i="87" s="1"/>
  <c r="EV27" i="87" s="1"/>
  <c r="EQ33" i="87"/>
  <c r="ER33" i="87" s="1"/>
  <c r="EQ34" i="87"/>
  <c r="ER34" i="87" s="1"/>
  <c r="EQ36" i="87"/>
  <c r="ER36" i="87" s="1"/>
  <c r="ES36" i="87" s="1"/>
  <c r="EU36" i="87" s="1"/>
  <c r="EV36" i="87" s="1"/>
  <c r="BE38" i="87"/>
  <c r="BF38" i="87" s="1"/>
  <c r="BE27" i="87"/>
  <c r="BF27" i="87" s="1"/>
  <c r="BE16" i="87"/>
  <c r="BF16" i="87" s="1"/>
  <c r="BE18" i="87"/>
  <c r="BF18" i="87" s="1"/>
  <c r="BE20" i="87"/>
  <c r="BF20" i="87" s="1"/>
  <c r="BE29" i="87"/>
  <c r="BF29" i="87" s="1"/>
  <c r="BE36" i="87"/>
  <c r="BF36" i="87" s="1"/>
  <c r="CC149" i="87"/>
  <c r="KY144" i="87"/>
  <c r="KZ144" i="87" s="1"/>
  <c r="EU140" i="87"/>
  <c r="EV140" i="87" s="1"/>
  <c r="DG131" i="87"/>
  <c r="DH131" i="87" s="1"/>
  <c r="BS131" i="87"/>
  <c r="BT131" i="87" s="1"/>
  <c r="HW112" i="87"/>
  <c r="HX112" i="87" s="1"/>
  <c r="HW125" i="87"/>
  <c r="HC111" i="87"/>
  <c r="HD111" i="87" s="1"/>
  <c r="DQ104" i="87"/>
  <c r="BI103" i="87"/>
  <c r="BJ103" i="87" s="1"/>
  <c r="DQ102" i="87"/>
  <c r="EK93" i="87"/>
  <c r="EL93" i="87" s="1"/>
  <c r="JU92" i="87"/>
  <c r="JV92" i="87" s="1"/>
  <c r="GS92" i="87"/>
  <c r="FE92" i="87"/>
  <c r="FF92" i="87" s="1"/>
  <c r="FY91" i="87"/>
  <c r="FZ91" i="87" s="1"/>
  <c r="JU87" i="87"/>
  <c r="JV87" i="87" s="1"/>
  <c r="FY86" i="87"/>
  <c r="FZ86" i="87" s="1"/>
  <c r="EK86" i="87"/>
  <c r="EL86" i="87" s="1"/>
  <c r="U86" i="87"/>
  <c r="V86" i="87" s="1"/>
  <c r="HW49" i="87"/>
  <c r="HX49" i="87" s="1"/>
  <c r="GI49" i="87"/>
  <c r="GJ49" i="87" s="1"/>
  <c r="AE49" i="87"/>
  <c r="AF49" i="87" s="1"/>
  <c r="AY48" i="87"/>
  <c r="DG47" i="87"/>
  <c r="DH47" i="87" s="1"/>
  <c r="JK20" i="87"/>
  <c r="JL20" i="87" s="1"/>
  <c r="KU37" i="87"/>
  <c r="KV37" i="87" s="1"/>
  <c r="KU35" i="87"/>
  <c r="KV35" i="87" s="1"/>
  <c r="HS32" i="87"/>
  <c r="HT32" i="87" s="1"/>
  <c r="DQ27" i="87"/>
  <c r="DR27" i="87" s="1"/>
  <c r="KU22" i="87"/>
  <c r="KV22" i="87" s="1"/>
  <c r="KW22" i="87" s="1"/>
  <c r="KY22" i="87" s="1"/>
  <c r="KZ22" i="87" s="1"/>
  <c r="KU19" i="87"/>
  <c r="KV19" i="87" s="1"/>
  <c r="KU14" i="87"/>
  <c r="KV14" i="87" s="1"/>
  <c r="KY58" i="87"/>
  <c r="KZ58" i="87" s="1"/>
  <c r="FO66" i="87"/>
  <c r="FP66" i="87" s="1"/>
  <c r="AE61" i="87"/>
  <c r="HU10" i="87"/>
  <c r="HW10" i="87" s="1"/>
  <c r="HX10" i="87" s="1"/>
  <c r="HZ10" i="87" s="1"/>
  <c r="HS14" i="87"/>
  <c r="HT14" i="87" s="1"/>
  <c r="HS22" i="87"/>
  <c r="HT22" i="87" s="1"/>
  <c r="HU22" i="87" s="1"/>
  <c r="HW22" i="87" s="1"/>
  <c r="HX22" i="87" s="1"/>
  <c r="HS25" i="87"/>
  <c r="HT25" i="87" s="1"/>
  <c r="HS31" i="87"/>
  <c r="HT31" i="87" s="1"/>
  <c r="HU31" i="87" s="1"/>
  <c r="HW31" i="87" s="1"/>
  <c r="HX31" i="87" s="1"/>
  <c r="HS37" i="87"/>
  <c r="HT37" i="87" s="1"/>
  <c r="HS13" i="87"/>
  <c r="HT13" i="87" s="1"/>
  <c r="HU13" i="87" s="1"/>
  <c r="HW13" i="87" s="1"/>
  <c r="HX13" i="87" s="1"/>
  <c r="HS19" i="87"/>
  <c r="HT19" i="87" s="1"/>
  <c r="HS20" i="87"/>
  <c r="HT20" i="87" s="1"/>
  <c r="HS23" i="87"/>
  <c r="HT23" i="87" s="1"/>
  <c r="HS28" i="87"/>
  <c r="HT28" i="87" s="1"/>
  <c r="HS29" i="87"/>
  <c r="HT29" i="87" s="1"/>
  <c r="HS35" i="87"/>
  <c r="HT35" i="87" s="1"/>
  <c r="HU35" i="87" s="1"/>
  <c r="HW35" i="87" s="1"/>
  <c r="HX35" i="87" s="1"/>
  <c r="HS38" i="87"/>
  <c r="HT38" i="87" s="1"/>
  <c r="CC153" i="87"/>
  <c r="CD153" i="87" s="1"/>
  <c r="FE149" i="87"/>
  <c r="FF149" i="87" s="1"/>
  <c r="IG144" i="87"/>
  <c r="CC131" i="87"/>
  <c r="CD131" i="87" s="1"/>
  <c r="JK144" i="87"/>
  <c r="HW140" i="87"/>
  <c r="HX140" i="87" s="1"/>
  <c r="EU135" i="87"/>
  <c r="EV135" i="87" s="1"/>
  <c r="BI149" i="87"/>
  <c r="BJ149" i="87" s="1"/>
  <c r="FE145" i="87"/>
  <c r="FF145" i="87" s="1"/>
  <c r="EK144" i="87"/>
  <c r="EL144" i="87" s="1"/>
  <c r="KO135" i="87"/>
  <c r="KP135" i="87" s="1"/>
  <c r="KY141" i="87"/>
  <c r="KZ141" i="87" s="1"/>
  <c r="KY150" i="87"/>
  <c r="KZ150" i="87" s="1"/>
  <c r="KY154" i="87"/>
  <c r="KZ154" i="87" s="1"/>
  <c r="BS145" i="87"/>
  <c r="BT145" i="87" s="1"/>
  <c r="HC139" i="87"/>
  <c r="HD139" i="87" s="1"/>
  <c r="CM130" i="87"/>
  <c r="CN130" i="87" s="1"/>
  <c r="KE125" i="87"/>
  <c r="KF125" i="87" s="1"/>
  <c r="HC112" i="87"/>
  <c r="HD112" i="87" s="1"/>
  <c r="HC121" i="87"/>
  <c r="HD121" i="87" s="1"/>
  <c r="GI115" i="87"/>
  <c r="GJ115" i="87" s="1"/>
  <c r="EA116" i="87"/>
  <c r="EB116" i="87" s="1"/>
  <c r="CM110" i="87"/>
  <c r="CN110" i="87" s="1"/>
  <c r="CM123" i="87"/>
  <c r="CN123" i="87" s="1"/>
  <c r="GS104" i="87"/>
  <c r="GT104" i="87" s="1"/>
  <c r="AE102" i="87"/>
  <c r="AF102" i="87" s="1"/>
  <c r="KE95" i="87"/>
  <c r="KF95" i="87" s="1"/>
  <c r="IQ95" i="87"/>
  <c r="IR95" i="87" s="1"/>
  <c r="EA95" i="87"/>
  <c r="EB95" i="87" s="1"/>
  <c r="AE94" i="87"/>
  <c r="AF94" i="87" s="1"/>
  <c r="KY92" i="87"/>
  <c r="KZ92" i="87" s="1"/>
  <c r="GI92" i="87"/>
  <c r="GJ92" i="87" s="1"/>
  <c r="BS92" i="87"/>
  <c r="BT92" i="87" s="1"/>
  <c r="JK87" i="87"/>
  <c r="JL87" i="87" s="1"/>
  <c r="IQ86" i="87"/>
  <c r="IR86" i="87" s="1"/>
  <c r="FO86" i="87"/>
  <c r="FP86" i="87" s="1"/>
  <c r="EA32" i="87"/>
  <c r="EB32" i="87" s="1"/>
  <c r="CM28" i="87"/>
  <c r="CN28" i="87" s="1"/>
  <c r="DG14" i="87"/>
  <c r="KO66" i="87"/>
  <c r="KP66" i="87" s="1"/>
  <c r="GS58" i="87"/>
  <c r="GT58" i="87" s="1"/>
  <c r="FE61" i="87"/>
  <c r="FF61" i="87" s="1"/>
  <c r="KU38" i="87"/>
  <c r="KV38" i="87" s="1"/>
  <c r="KO34" i="87"/>
  <c r="KP34" i="87" s="1"/>
  <c r="HS34" i="87"/>
  <c r="HT34" i="87" s="1"/>
  <c r="KU31" i="87"/>
  <c r="KV31" i="87" s="1"/>
  <c r="KW31" i="87" s="1"/>
  <c r="KY31" i="87" s="1"/>
  <c r="KU28" i="87"/>
  <c r="KV28" i="87" s="1"/>
  <c r="HS24" i="87"/>
  <c r="HT24" i="87" s="1"/>
  <c r="HS18" i="87"/>
  <c r="HT18" i="87" s="1"/>
  <c r="HU18" i="87" s="1"/>
  <c r="HW18" i="87" s="1"/>
  <c r="HX18" i="87" s="1"/>
  <c r="HS16" i="87"/>
  <c r="HT16" i="87" s="1"/>
  <c r="HU16" i="87" s="1"/>
  <c r="HW16" i="87" s="1"/>
  <c r="HX16" i="87" s="1"/>
  <c r="AW10" i="87"/>
  <c r="AY10" i="87" s="1"/>
  <c r="AZ10" i="87" s="1"/>
  <c r="BB10" i="87" s="1"/>
  <c r="AU16" i="87"/>
  <c r="AV16" i="87" s="1"/>
  <c r="AW16" i="87" s="1"/>
  <c r="AY16" i="87" s="1"/>
  <c r="AZ16" i="87" s="1"/>
  <c r="AU25" i="87"/>
  <c r="AV25" i="87" s="1"/>
  <c r="AU23" i="87"/>
  <c r="AV23" i="87" s="1"/>
  <c r="GE33" i="87"/>
  <c r="GF33" i="87" s="1"/>
  <c r="GE26" i="87"/>
  <c r="GF26" i="87" s="1"/>
  <c r="GG26" i="87" s="1"/>
  <c r="GI26" i="87" s="1"/>
  <c r="GJ26" i="87" s="1"/>
  <c r="DG72" i="87"/>
  <c r="DH72" i="87" s="1"/>
  <c r="HC72" i="87"/>
  <c r="F214" i="87"/>
  <c r="IG83" i="87"/>
  <c r="IH83" i="87" s="1"/>
  <c r="FE83" i="87"/>
  <c r="FF83" i="87" s="1"/>
  <c r="JA82" i="87"/>
  <c r="JB82" i="87" s="1"/>
  <c r="IG81" i="87"/>
  <c r="IH81" i="87" s="1"/>
  <c r="AO81" i="87"/>
  <c r="AP81" i="87" s="1"/>
  <c r="FE78" i="87"/>
  <c r="FF78" i="87" s="1"/>
  <c r="CW75" i="87"/>
  <c r="CX75" i="87" s="1"/>
  <c r="KO49" i="87"/>
  <c r="KP49" i="87" s="1"/>
  <c r="KE35" i="87"/>
  <c r="KF35" i="87" s="1"/>
  <c r="IQ34" i="87"/>
  <c r="AE32" i="87"/>
  <c r="AF32" i="87" s="1"/>
  <c r="KY25" i="87"/>
  <c r="KZ25" i="87" s="1"/>
  <c r="HW25" i="87"/>
  <c r="HX25" i="87" s="1"/>
  <c r="IQ20" i="87"/>
  <c r="IR20" i="87" s="1"/>
  <c r="EU17" i="87"/>
  <c r="EV17" i="87" s="1"/>
  <c r="DQ60" i="87"/>
  <c r="DR60" i="87" s="1"/>
  <c r="KO37" i="87"/>
  <c r="FE29" i="87"/>
  <c r="FF29" i="87" s="1"/>
  <c r="CW29" i="87"/>
  <c r="CX29" i="87" s="1"/>
  <c r="EK25" i="87"/>
  <c r="EL25" i="87" s="1"/>
  <c r="DQ22" i="87"/>
  <c r="DR22" i="87" s="1"/>
  <c r="BI16" i="87"/>
  <c r="BJ16" i="87" s="1"/>
  <c r="DG199" i="87"/>
  <c r="DH199" i="87" s="1"/>
  <c r="AE200" i="87"/>
  <c r="AF200" i="87" s="1"/>
  <c r="HW83" i="87"/>
  <c r="HX83" i="87" s="1"/>
  <c r="EU83" i="87"/>
  <c r="EV83" i="87" s="1"/>
  <c r="DG83" i="87"/>
  <c r="DH83" i="87" s="1"/>
  <c r="BS83" i="87"/>
  <c r="BT83" i="87" s="1"/>
  <c r="EU78" i="87"/>
  <c r="EV78" i="87" s="1"/>
  <c r="IQ73" i="87"/>
  <c r="IR73" i="87" s="1"/>
  <c r="EA49" i="87"/>
  <c r="EB49" i="87" s="1"/>
  <c r="EU46" i="87"/>
  <c r="EV46" i="87" s="1"/>
  <c r="KE45" i="87"/>
  <c r="KF45" i="87" s="1"/>
  <c r="IQ43" i="87"/>
  <c r="IR43" i="87" s="1"/>
  <c r="JK35" i="87"/>
  <c r="JL35" i="87" s="1"/>
  <c r="HW34" i="87"/>
  <c r="HX34" i="87" s="1"/>
  <c r="HW29" i="87"/>
  <c r="HX29" i="87" s="1"/>
  <c r="HC25" i="87"/>
  <c r="HD25" i="87" s="1"/>
  <c r="BS25" i="87"/>
  <c r="BT25" i="87" s="1"/>
  <c r="AY20" i="87"/>
  <c r="AZ20" i="87" s="1"/>
  <c r="JU61" i="87"/>
  <c r="JV61" i="87" s="1"/>
  <c r="IG58" i="87"/>
  <c r="IH58" i="87" s="1"/>
  <c r="DQ56" i="87"/>
  <c r="DR56" i="87" s="1"/>
  <c r="CC67" i="87"/>
  <c r="CD67" i="87" s="1"/>
  <c r="GS34" i="87"/>
  <c r="GT34" i="87" s="1"/>
  <c r="IG32" i="87"/>
  <c r="IH32" i="87" s="1"/>
  <c r="JU29" i="87"/>
  <c r="JV29" i="87" s="1"/>
  <c r="HM29" i="87"/>
  <c r="U29" i="87"/>
  <c r="DQ25" i="87"/>
  <c r="DR25" i="87" s="1"/>
  <c r="JU20" i="87"/>
  <c r="JV20" i="87" s="1"/>
  <c r="JK58" i="87"/>
  <c r="CM72" i="87"/>
  <c r="CN72" i="87" s="1"/>
  <c r="KE200" i="87"/>
  <c r="KF200" i="87" s="1"/>
  <c r="JA154" i="87"/>
  <c r="JB154" i="87" s="1"/>
  <c r="JA150" i="87"/>
  <c r="JB150" i="87" s="1"/>
  <c r="FY150" i="87"/>
  <c r="FZ150" i="87" s="1"/>
  <c r="DQ147" i="87"/>
  <c r="DR147" i="87" s="1"/>
  <c r="U145" i="87"/>
  <c r="V145" i="87" s="1"/>
  <c r="IG135" i="87"/>
  <c r="IH135" i="87" s="1"/>
  <c r="FE135" i="87"/>
  <c r="FF135" i="87" s="1"/>
  <c r="KY131" i="87"/>
  <c r="KZ131" i="87" s="1"/>
  <c r="KY149" i="87"/>
  <c r="KZ149" i="87" s="1"/>
  <c r="EU144" i="87"/>
  <c r="BS135" i="87"/>
  <c r="BT135" i="87" s="1"/>
  <c r="BS149" i="87"/>
  <c r="BS153" i="87"/>
  <c r="BT153" i="87" s="1"/>
  <c r="AE140" i="87"/>
  <c r="AF140" i="87" s="1"/>
  <c r="IQ110" i="87"/>
  <c r="IR110" i="87" s="1"/>
  <c r="FO119" i="87"/>
  <c r="FP119" i="87" s="1"/>
  <c r="DG120" i="87"/>
  <c r="DH120" i="87" s="1"/>
  <c r="AE111" i="87"/>
  <c r="AF111" i="87" s="1"/>
  <c r="AE115" i="87"/>
  <c r="AF115" i="87" s="1"/>
  <c r="AE120" i="87"/>
  <c r="AF120" i="87" s="1"/>
  <c r="DG102" i="87"/>
  <c r="DH102" i="87" s="1"/>
  <c r="BS102" i="87"/>
  <c r="BT102" i="87" s="1"/>
  <c r="HC95" i="87"/>
  <c r="HD95" i="87" s="1"/>
  <c r="AE92" i="87"/>
  <c r="AF92" i="87" s="1"/>
  <c r="IQ91" i="87"/>
  <c r="IR91" i="87" s="1"/>
  <c r="HC91" i="87"/>
  <c r="HD91" i="87" s="1"/>
  <c r="CM91" i="87"/>
  <c r="CN91" i="87" s="1"/>
  <c r="KY87" i="87"/>
  <c r="KZ87" i="87" s="1"/>
  <c r="DG87" i="87"/>
  <c r="DH87" i="87" s="1"/>
  <c r="KY83" i="87"/>
  <c r="KZ83" i="87" s="1"/>
  <c r="GI83" i="87"/>
  <c r="GJ83" i="87" s="1"/>
  <c r="KY49" i="87"/>
  <c r="KZ49" i="87" s="1"/>
  <c r="BS49" i="87"/>
  <c r="BT49" i="87" s="1"/>
  <c r="FO48" i="87"/>
  <c r="FP48" i="87" s="1"/>
  <c r="HC44" i="87"/>
  <c r="IC33" i="87"/>
  <c r="ID33" i="87" s="1"/>
  <c r="IQ24" i="87"/>
  <c r="IR24" i="87" s="1"/>
  <c r="DG20" i="87"/>
  <c r="DH20" i="87" s="1"/>
  <c r="KE16" i="87"/>
  <c r="KF16" i="87" s="1"/>
  <c r="CM14" i="87"/>
  <c r="CN14" i="87" s="1"/>
  <c r="JU58" i="87"/>
  <c r="JV58" i="87" s="1"/>
  <c r="JU63" i="87"/>
  <c r="JV63" i="87" s="1"/>
  <c r="JU67" i="87"/>
  <c r="JV67" i="87" s="1"/>
  <c r="AO32" i="87"/>
  <c r="AP32" i="87" s="1"/>
  <c r="CC29" i="87"/>
  <c r="CD29" i="87" s="1"/>
  <c r="GY15" i="87"/>
  <c r="GZ15" i="87" s="1"/>
  <c r="GY14" i="87"/>
  <c r="GZ14" i="87" s="1"/>
  <c r="GS152" i="87"/>
  <c r="GT152" i="87" s="1"/>
  <c r="HM149" i="87"/>
  <c r="HN149" i="87" s="1"/>
  <c r="FE141" i="87"/>
  <c r="FF141" i="87" s="1"/>
  <c r="KO140" i="87"/>
  <c r="KP140" i="87" s="1"/>
  <c r="FE136" i="87"/>
  <c r="FF136" i="87" s="1"/>
  <c r="KO131" i="87"/>
  <c r="KP131" i="87" s="1"/>
  <c r="JU130" i="87"/>
  <c r="JV130" i="87" s="1"/>
  <c r="KY145" i="87"/>
  <c r="KZ145" i="87" s="1"/>
  <c r="JK150" i="87"/>
  <c r="JL150" i="87" s="1"/>
  <c r="HW145" i="87"/>
  <c r="HX145" i="87" s="1"/>
  <c r="DG154" i="87"/>
  <c r="DH154" i="87" s="1"/>
  <c r="BS150" i="87"/>
  <c r="BT150" i="87" s="1"/>
  <c r="AE150" i="87"/>
  <c r="AF150" i="87" s="1"/>
  <c r="IQ134" i="87"/>
  <c r="IR134" i="87" s="1"/>
  <c r="IQ152" i="87"/>
  <c r="HC152" i="87"/>
  <c r="HD152" i="87" s="1"/>
  <c r="EA134" i="87"/>
  <c r="EB134" i="87" s="1"/>
  <c r="JK112" i="87"/>
  <c r="JL112" i="87" s="1"/>
  <c r="FO120" i="87"/>
  <c r="FP120" i="87" s="1"/>
  <c r="FO124" i="87"/>
  <c r="FP124" i="87" s="1"/>
  <c r="CM124" i="87"/>
  <c r="CN124" i="87" s="1"/>
  <c r="FY92" i="87"/>
  <c r="FZ92" i="87" s="1"/>
  <c r="CW92" i="87"/>
  <c r="CX92" i="87" s="1"/>
  <c r="KO87" i="87"/>
  <c r="KP87" i="87" s="1"/>
  <c r="EK87" i="87"/>
  <c r="EL87" i="87" s="1"/>
  <c r="BI87" i="87"/>
  <c r="BJ87" i="87" s="1"/>
  <c r="HM83" i="87"/>
  <c r="HN83" i="87" s="1"/>
  <c r="FY83" i="87"/>
  <c r="FZ83" i="87" s="1"/>
  <c r="CW83" i="87"/>
  <c r="CX83" i="87" s="1"/>
  <c r="AE33" i="87"/>
  <c r="AF33" i="87" s="1"/>
  <c r="CM20" i="87"/>
  <c r="CN20" i="87" s="1"/>
  <c r="GS29" i="87"/>
  <c r="GT29" i="87" s="1"/>
  <c r="GY19" i="87"/>
  <c r="GZ19" i="87" s="1"/>
  <c r="KY63" i="87"/>
  <c r="KZ63" i="87" s="1"/>
  <c r="KE64" i="87"/>
  <c r="KF64" i="87" s="1"/>
  <c r="IQ200" i="87"/>
  <c r="IR200" i="87" s="1"/>
  <c r="HM154" i="87"/>
  <c r="HM183" i="87" s="1"/>
  <c r="U134" i="87"/>
  <c r="V134" i="87" s="1"/>
  <c r="IQ140" i="87"/>
  <c r="IR140" i="87" s="1"/>
  <c r="IQ144" i="87"/>
  <c r="IR144" i="87" s="1"/>
  <c r="FO140" i="87"/>
  <c r="FP140" i="87" s="1"/>
  <c r="CM135" i="87"/>
  <c r="CN135" i="87" s="1"/>
  <c r="CM144" i="87"/>
  <c r="CN144" i="87" s="1"/>
  <c r="AY153" i="87"/>
  <c r="AZ153" i="87" s="1"/>
  <c r="KY124" i="87"/>
  <c r="KZ124" i="87" s="1"/>
  <c r="IQ121" i="87"/>
  <c r="IR121" i="87" s="1"/>
  <c r="FO112" i="87"/>
  <c r="FP112" i="87" s="1"/>
  <c r="FO116" i="87"/>
  <c r="FP116" i="87" s="1"/>
  <c r="CM112" i="87"/>
  <c r="CN112" i="87" s="1"/>
  <c r="CM125" i="87"/>
  <c r="CN125" i="87" s="1"/>
  <c r="BS124" i="87"/>
  <c r="BT124" i="87" s="1"/>
  <c r="IQ92" i="87"/>
  <c r="IR92" i="87" s="1"/>
  <c r="CM92" i="87"/>
  <c r="CN92" i="87" s="1"/>
  <c r="KE87" i="87"/>
  <c r="KF87" i="87" s="1"/>
  <c r="AE86" i="87"/>
  <c r="AF86" i="87" s="1"/>
  <c r="EA83" i="87"/>
  <c r="EB83" i="87" s="1"/>
  <c r="AY83" i="87"/>
  <c r="AZ83" i="87" s="1"/>
  <c r="HC78" i="87"/>
  <c r="HD78" i="87" s="1"/>
  <c r="FO78" i="87"/>
  <c r="FP78" i="87" s="1"/>
  <c r="AY78" i="87"/>
  <c r="AZ78" i="87" s="1"/>
  <c r="IQ76" i="87"/>
  <c r="IR76" i="87" s="1"/>
  <c r="EA76" i="87"/>
  <c r="EB76" i="87" s="1"/>
  <c r="KE74" i="87"/>
  <c r="KF74" i="87" s="1"/>
  <c r="KE49" i="87"/>
  <c r="KF49" i="87" s="1"/>
  <c r="CM49" i="87"/>
  <c r="CN49" i="87" s="1"/>
  <c r="EA47" i="87"/>
  <c r="EB47" i="87" s="1"/>
  <c r="BS46" i="87"/>
  <c r="BT46" i="87" s="1"/>
  <c r="FO43" i="87"/>
  <c r="FP43" i="87" s="1"/>
  <c r="CM37" i="87"/>
  <c r="GI34" i="87"/>
  <c r="GJ34" i="87" s="1"/>
  <c r="HC24" i="87"/>
  <c r="HD24" i="87" s="1"/>
  <c r="CC63" i="87"/>
  <c r="CD63" i="87" s="1"/>
  <c r="CW34" i="87"/>
  <c r="CX34" i="87" s="1"/>
  <c r="IG17" i="87"/>
  <c r="HC199" i="87"/>
  <c r="HD199" i="87" s="1"/>
  <c r="FY153" i="87"/>
  <c r="FZ153" i="87" s="1"/>
  <c r="JU150" i="87"/>
  <c r="JV150" i="87" s="1"/>
  <c r="U149" i="87"/>
  <c r="V149" i="87" s="1"/>
  <c r="FE148" i="87"/>
  <c r="FF148" i="87" s="1"/>
  <c r="CW144" i="87"/>
  <c r="CX144" i="87" s="1"/>
  <c r="IG139" i="87"/>
  <c r="IH139" i="87" s="1"/>
  <c r="BS148" i="87"/>
  <c r="BT148" i="87" s="1"/>
  <c r="AE152" i="87"/>
  <c r="KY107" i="87"/>
  <c r="KZ107" i="87" s="1"/>
  <c r="GS94" i="87"/>
  <c r="GT94" i="87" s="1"/>
  <c r="U91" i="87"/>
  <c r="V91" i="87" s="1"/>
  <c r="BI75" i="87"/>
  <c r="BJ75" i="87" s="1"/>
  <c r="KK28" i="87"/>
  <c r="KL28" i="87" s="1"/>
  <c r="AK24" i="87"/>
  <c r="AL24" i="87" s="1"/>
  <c r="BS20" i="87"/>
  <c r="BT20" i="87" s="1"/>
  <c r="BY18" i="87"/>
  <c r="BZ18" i="87" s="1"/>
  <c r="CA18" i="87" s="1"/>
  <c r="CC18" i="87" s="1"/>
  <c r="CD18" i="87" s="1"/>
  <c r="BY13" i="87"/>
  <c r="BZ13" i="87" s="1"/>
  <c r="CA13" i="87" s="1"/>
  <c r="CC13" i="87" s="1"/>
  <c r="CD13" i="87" s="1"/>
  <c r="KA37" i="87"/>
  <c r="KB37" i="87" s="1"/>
  <c r="AU37" i="87"/>
  <c r="AV37" i="87" s="1"/>
  <c r="IM36" i="87"/>
  <c r="IN36" i="87" s="1"/>
  <c r="GS36" i="87"/>
  <c r="KA35" i="87"/>
  <c r="KB35" i="87" s="1"/>
  <c r="KA33" i="87"/>
  <c r="KB33" i="87" s="1"/>
  <c r="FK32" i="87"/>
  <c r="FL32" i="87" s="1"/>
  <c r="AU32" i="87"/>
  <c r="AV32" i="87" s="1"/>
  <c r="KA28" i="87"/>
  <c r="KB28" i="87" s="1"/>
  <c r="AU28" i="87"/>
  <c r="AV28" i="87" s="1"/>
  <c r="KA24" i="87"/>
  <c r="KB24" i="87" s="1"/>
  <c r="IM24" i="87"/>
  <c r="IN24" i="87" s="1"/>
  <c r="KA22" i="87"/>
  <c r="KB22" i="87" s="1"/>
  <c r="KC22" i="87" s="1"/>
  <c r="KE22" i="87" s="1"/>
  <c r="KF22" i="87" s="1"/>
  <c r="IM22" i="87"/>
  <c r="IN22" i="87" s="1"/>
  <c r="IO22" i="87" s="1"/>
  <c r="IQ22" i="87" s="1"/>
  <c r="IR22" i="87" s="1"/>
  <c r="FE20" i="87"/>
  <c r="FF20" i="87" s="1"/>
  <c r="KA19" i="87"/>
  <c r="KB19" i="87" s="1"/>
  <c r="KA17" i="87"/>
  <c r="KB17" i="87" s="1"/>
  <c r="KA15" i="87"/>
  <c r="KB15" i="87" s="1"/>
  <c r="AE65" i="87"/>
  <c r="AF65" i="87" s="1"/>
  <c r="BI143" i="87"/>
  <c r="BJ143" i="87" s="1"/>
  <c r="U136" i="87"/>
  <c r="V136" i="87" s="1"/>
  <c r="BI134" i="87"/>
  <c r="BJ134" i="87" s="1"/>
  <c r="JU133" i="87"/>
  <c r="JV133" i="87" s="1"/>
  <c r="BI130" i="87"/>
  <c r="BJ130" i="87" s="1"/>
  <c r="AY133" i="87"/>
  <c r="AZ133" i="87" s="1"/>
  <c r="AY112" i="87"/>
  <c r="AZ112" i="87" s="1"/>
  <c r="AE124" i="87"/>
  <c r="AF124" i="87" s="1"/>
  <c r="HC101" i="87"/>
  <c r="HD101" i="87" s="1"/>
  <c r="AE83" i="87"/>
  <c r="AF83" i="87" s="1"/>
  <c r="AY75" i="87"/>
  <c r="AZ75" i="87" s="1"/>
  <c r="DQ51" i="87"/>
  <c r="DR51" i="87" s="1"/>
  <c r="JA49" i="87"/>
  <c r="JB49" i="87" s="1"/>
  <c r="FE46" i="87"/>
  <c r="FF46" i="87" s="1"/>
  <c r="BI45" i="87"/>
  <c r="BJ45" i="87" s="1"/>
  <c r="AE37" i="87"/>
  <c r="AF37" i="87" s="1"/>
  <c r="BY33" i="87"/>
  <c r="BZ33" i="87" s="1"/>
  <c r="AK33" i="87"/>
  <c r="AL33" i="87" s="1"/>
  <c r="HC29" i="87"/>
  <c r="HD29" i="87" s="1"/>
  <c r="BY29" i="87"/>
  <c r="BZ29" i="87" s="1"/>
  <c r="AK29" i="87"/>
  <c r="AL29" i="87" s="1"/>
  <c r="KE28" i="87"/>
  <c r="KF28" i="87" s="1"/>
  <c r="BY28" i="87"/>
  <c r="BZ28" i="87" s="1"/>
  <c r="CM23" i="87"/>
  <c r="CN23" i="87" s="1"/>
  <c r="BY15" i="87"/>
  <c r="BZ15" i="87" s="1"/>
  <c r="KA38" i="87"/>
  <c r="KB38" i="87" s="1"/>
  <c r="AU38" i="87"/>
  <c r="AV38" i="87" s="1"/>
  <c r="KA36" i="87"/>
  <c r="KB36" i="87" s="1"/>
  <c r="FK35" i="87"/>
  <c r="FL35" i="87" s="1"/>
  <c r="AU35" i="87"/>
  <c r="AV35" i="87" s="1"/>
  <c r="AW35" i="87" s="1"/>
  <c r="AY35" i="87" s="1"/>
  <c r="AZ35" i="87" s="1"/>
  <c r="KA31" i="87"/>
  <c r="KB31" i="87" s="1"/>
  <c r="KC31" i="87" s="1"/>
  <c r="KE31" i="87" s="1"/>
  <c r="KF31" i="87" s="1"/>
  <c r="IM31" i="87"/>
  <c r="IN31" i="87" s="1"/>
  <c r="IO31" i="87" s="1"/>
  <c r="IQ31" i="87" s="1"/>
  <c r="IR31" i="87" s="1"/>
  <c r="KA27" i="87"/>
  <c r="KB27" i="87" s="1"/>
  <c r="IM27" i="87"/>
  <c r="IN27" i="87" s="1"/>
  <c r="IO27" i="87" s="1"/>
  <c r="IQ27" i="87" s="1"/>
  <c r="IR27" i="87" s="1"/>
  <c r="FK26" i="87"/>
  <c r="FL26" i="87" s="1"/>
  <c r="FM26" i="87" s="1"/>
  <c r="FO26" i="87" s="1"/>
  <c r="FP26" i="87" s="1"/>
  <c r="AU26" i="87"/>
  <c r="AV26" i="87" s="1"/>
  <c r="AW26" i="87" s="1"/>
  <c r="AY26" i="87" s="1"/>
  <c r="AZ26" i="87" s="1"/>
  <c r="IM25" i="87"/>
  <c r="IN25" i="87" s="1"/>
  <c r="AU24" i="87"/>
  <c r="AV24" i="87" s="1"/>
  <c r="AW24" i="87" s="1"/>
  <c r="AY24" i="87" s="1"/>
  <c r="AZ24" i="87" s="1"/>
  <c r="IM23" i="87"/>
  <c r="IN23" i="87" s="1"/>
  <c r="CC20" i="87"/>
  <c r="CD20" i="87" s="1"/>
  <c r="AU19" i="87"/>
  <c r="AV19" i="87" s="1"/>
  <c r="IM18" i="87"/>
  <c r="IN18" i="87" s="1"/>
  <c r="FK17" i="87"/>
  <c r="FL17" i="87" s="1"/>
  <c r="AU17" i="87"/>
  <c r="AV17" i="87" s="1"/>
  <c r="FK14" i="87"/>
  <c r="FL14" i="87" s="1"/>
  <c r="AU14" i="87"/>
  <c r="AV14" i="87" s="1"/>
  <c r="AO152" i="87"/>
  <c r="AP152" i="87" s="1"/>
  <c r="IG141" i="87"/>
  <c r="IH141" i="87" s="1"/>
  <c r="GS139" i="87"/>
  <c r="GT139" i="87" s="1"/>
  <c r="JA133" i="87"/>
  <c r="JB133" i="87" s="1"/>
  <c r="KE113" i="87"/>
  <c r="KF113" i="87" s="1"/>
  <c r="AE112" i="87"/>
  <c r="AF112" i="87" s="1"/>
  <c r="JA102" i="87"/>
  <c r="JB102" i="87" s="1"/>
  <c r="JU91" i="87"/>
  <c r="JV91" i="87" s="1"/>
  <c r="JA78" i="87"/>
  <c r="JB78" i="87" s="1"/>
  <c r="BI78" i="87"/>
  <c r="BJ78" i="87" s="1"/>
  <c r="GS72" i="87"/>
  <c r="GT72" i="87" s="1"/>
  <c r="AE44" i="87"/>
  <c r="AF44" i="87" s="1"/>
  <c r="BY36" i="87"/>
  <c r="BZ36" i="87" s="1"/>
  <c r="CA36" i="87" s="1"/>
  <c r="CC36" i="87" s="1"/>
  <c r="CD36" i="87" s="1"/>
  <c r="BY35" i="87"/>
  <c r="BZ35" i="87" s="1"/>
  <c r="CA35" i="87" s="1"/>
  <c r="CC35" i="87" s="1"/>
  <c r="CD35" i="87" s="1"/>
  <c r="BY34" i="87"/>
  <c r="BZ34" i="87" s="1"/>
  <c r="BY32" i="87"/>
  <c r="BZ32" i="87" s="1"/>
  <c r="BY27" i="87"/>
  <c r="BZ27" i="87" s="1"/>
  <c r="CA27" i="87" s="1"/>
  <c r="CC27" i="87" s="1"/>
  <c r="CD27" i="87" s="1"/>
  <c r="BY22" i="87"/>
  <c r="BZ22" i="87" s="1"/>
  <c r="CA22" i="87" s="1"/>
  <c r="CC22" i="87" s="1"/>
  <c r="CD22" i="87" s="1"/>
  <c r="BY16" i="87"/>
  <c r="BZ16" i="87" s="1"/>
  <c r="CA16" i="87" s="1"/>
  <c r="CC16" i="87" s="1"/>
  <c r="CD16" i="87" s="1"/>
  <c r="FK36" i="87"/>
  <c r="FL36" i="87" s="1"/>
  <c r="KA34" i="87"/>
  <c r="KB34" i="87" s="1"/>
  <c r="IM34" i="87"/>
  <c r="IN34" i="87" s="1"/>
  <c r="FK33" i="87"/>
  <c r="FL33" i="87" s="1"/>
  <c r="AU33" i="87"/>
  <c r="AV33" i="87" s="1"/>
  <c r="IM32" i="87"/>
  <c r="IN32" i="87" s="1"/>
  <c r="AU31" i="87"/>
  <c r="AV31" i="87" s="1"/>
  <c r="AW31" i="87" s="1"/>
  <c r="AY31" i="87" s="1"/>
  <c r="AZ31" i="87" s="1"/>
  <c r="IM29" i="87"/>
  <c r="IN29" i="87" s="1"/>
  <c r="AU27" i="87"/>
  <c r="AV27" i="87" s="1"/>
  <c r="AW27" i="87" s="1"/>
  <c r="AY27" i="87" s="1"/>
  <c r="AZ27" i="87" s="1"/>
  <c r="IM26" i="87"/>
  <c r="IN26" i="87" s="1"/>
  <c r="IO26" i="87" s="1"/>
  <c r="IQ26" i="87" s="1"/>
  <c r="IR26" i="87" s="1"/>
  <c r="KA25" i="87"/>
  <c r="KB25" i="87" s="1"/>
  <c r="KA23" i="87"/>
  <c r="KB23" i="87" s="1"/>
  <c r="FK22" i="87"/>
  <c r="FL22" i="87" s="1"/>
  <c r="FM22" i="87" s="1"/>
  <c r="FO22" i="87" s="1"/>
  <c r="FP22" i="87" s="1"/>
  <c r="AU22" i="87"/>
  <c r="AV22" i="87" s="1"/>
  <c r="AW22" i="87" s="1"/>
  <c r="AY22" i="87" s="1"/>
  <c r="AZ22" i="87" s="1"/>
  <c r="IM20" i="87"/>
  <c r="IN20" i="87" s="1"/>
  <c r="KA18" i="87"/>
  <c r="KB18" i="87" s="1"/>
  <c r="KA16" i="87"/>
  <c r="KB16" i="87" s="1"/>
  <c r="IM16" i="87"/>
  <c r="IN16" i="87" s="1"/>
  <c r="IO16" i="87" s="1"/>
  <c r="IQ16" i="87" s="1"/>
  <c r="IR16" i="87" s="1"/>
  <c r="FK15" i="87"/>
  <c r="FL15" i="87" s="1"/>
  <c r="AU15" i="87"/>
  <c r="AV15" i="87" s="1"/>
  <c r="AW15" i="87" s="1"/>
  <c r="AY15" i="87" s="1"/>
  <c r="AZ15" i="87" s="1"/>
  <c r="IM14" i="87"/>
  <c r="IN14" i="87" s="1"/>
  <c r="KA13" i="87"/>
  <c r="KB13" i="87" s="1"/>
  <c r="KC13" i="87" s="1"/>
  <c r="KE13" i="87" s="1"/>
  <c r="KF13" i="87" s="1"/>
  <c r="KM10" i="87"/>
  <c r="KO10" i="87" s="1"/>
  <c r="KP10" i="87" s="1"/>
  <c r="KE201" i="87"/>
  <c r="KF201" i="87" s="1"/>
  <c r="DE10" i="87"/>
  <c r="DG10" i="87" s="1"/>
  <c r="DH10" i="87" s="1"/>
  <c r="DJ10" i="87" s="1"/>
  <c r="DC13" i="87"/>
  <c r="DD13" i="87" s="1"/>
  <c r="DE13" i="87" s="1"/>
  <c r="DG13" i="87" s="1"/>
  <c r="DC29" i="87"/>
  <c r="DD29" i="87" s="1"/>
  <c r="FY154" i="87"/>
  <c r="IG153" i="87"/>
  <c r="IG149" i="87"/>
  <c r="IH149" i="87" s="1"/>
  <c r="CC144" i="87"/>
  <c r="CD144" i="87" s="1"/>
  <c r="CC140" i="87"/>
  <c r="CD140" i="87" s="1"/>
  <c r="JA136" i="87"/>
  <c r="JB136" i="87" s="1"/>
  <c r="CC135" i="87"/>
  <c r="CD135" i="87" s="1"/>
  <c r="KY135" i="87"/>
  <c r="JK149" i="87"/>
  <c r="JL149" i="87" s="1"/>
  <c r="JK153" i="87"/>
  <c r="JL153" i="87" s="1"/>
  <c r="HW131" i="87"/>
  <c r="HX131" i="87" s="1"/>
  <c r="DG140" i="87"/>
  <c r="DH140" i="87" s="1"/>
  <c r="DG149" i="87"/>
  <c r="DH149" i="87" s="1"/>
  <c r="DG153" i="87"/>
  <c r="IQ145" i="87"/>
  <c r="IR145" i="87" s="1"/>
  <c r="FO141" i="87"/>
  <c r="FP141" i="87" s="1"/>
  <c r="CM154" i="87"/>
  <c r="CN154" i="87" s="1"/>
  <c r="AY150" i="87"/>
  <c r="AZ150" i="87" s="1"/>
  <c r="JK116" i="87"/>
  <c r="JL116" i="87" s="1"/>
  <c r="IQ124" i="87"/>
  <c r="IR124" i="87" s="1"/>
  <c r="EA34" i="87"/>
  <c r="EU199" i="87"/>
  <c r="EV199" i="87" s="1"/>
  <c r="GO14" i="87"/>
  <c r="GP14" i="87" s="1"/>
  <c r="GO18" i="87"/>
  <c r="GP18" i="87" s="1"/>
  <c r="GO23" i="87"/>
  <c r="GP23" i="87" s="1"/>
  <c r="GO24" i="87"/>
  <c r="GP24" i="87" s="1"/>
  <c r="GQ24" i="87" s="1"/>
  <c r="GS24" i="87" s="1"/>
  <c r="GT24" i="87" s="1"/>
  <c r="GO33" i="87"/>
  <c r="GP33" i="87" s="1"/>
  <c r="GO37" i="87"/>
  <c r="GP37" i="87" s="1"/>
  <c r="DM15" i="87"/>
  <c r="DN15" i="87" s="1"/>
  <c r="DM16" i="87"/>
  <c r="DN16" i="87" s="1"/>
  <c r="DM28" i="87"/>
  <c r="DN28" i="87" s="1"/>
  <c r="DO28" i="87" s="1"/>
  <c r="DQ28" i="87" s="1"/>
  <c r="DR28" i="87" s="1"/>
  <c r="DM36" i="87"/>
  <c r="DN36" i="87" s="1"/>
  <c r="DM19" i="87"/>
  <c r="DN19" i="87" s="1"/>
  <c r="DM34" i="87"/>
  <c r="DN34" i="87" s="1"/>
  <c r="HI33" i="87"/>
  <c r="HJ33" i="87" s="1"/>
  <c r="HI34" i="87"/>
  <c r="HJ34" i="87" s="1"/>
  <c r="HI37" i="87"/>
  <c r="HJ37" i="87" s="1"/>
  <c r="HI16" i="87"/>
  <c r="HJ16" i="87" s="1"/>
  <c r="HK16" i="87" s="1"/>
  <c r="HM16" i="87" s="1"/>
  <c r="HN16" i="87" s="1"/>
  <c r="HI36" i="87"/>
  <c r="HJ36" i="87" s="1"/>
  <c r="CI27" i="87"/>
  <c r="CJ27" i="87" s="1"/>
  <c r="CK27" i="87" s="1"/>
  <c r="CM27" i="87" s="1"/>
  <c r="CN27" i="87" s="1"/>
  <c r="CI22" i="87"/>
  <c r="CJ22" i="87" s="1"/>
  <c r="CK22" i="87" s="1"/>
  <c r="CM22" i="87" s="1"/>
  <c r="CN22" i="87" s="1"/>
  <c r="CI24" i="87"/>
  <c r="CJ24" i="87" s="1"/>
  <c r="BI153" i="87"/>
  <c r="BJ153" i="87" s="1"/>
  <c r="IG150" i="87"/>
  <c r="IH150" i="87" s="1"/>
  <c r="GI145" i="87"/>
  <c r="GJ145" i="87" s="1"/>
  <c r="DG141" i="87"/>
  <c r="DH141" i="87" s="1"/>
  <c r="AE141" i="87"/>
  <c r="AF141" i="87" s="1"/>
  <c r="KE119" i="87"/>
  <c r="KF119" i="87" s="1"/>
  <c r="IQ125" i="87"/>
  <c r="IR125" i="87" s="1"/>
  <c r="HW111" i="87"/>
  <c r="HX111" i="87" s="1"/>
  <c r="HC119" i="87"/>
  <c r="HD119" i="87" s="1"/>
  <c r="CM102" i="87"/>
  <c r="CN102" i="87" s="1"/>
  <c r="AY92" i="87"/>
  <c r="FO87" i="87"/>
  <c r="FP87" i="87" s="1"/>
  <c r="EA87" i="87"/>
  <c r="EB87" i="87" s="1"/>
  <c r="CM83" i="87"/>
  <c r="CN83" i="87" s="1"/>
  <c r="KE78" i="87"/>
  <c r="KF78" i="87" s="1"/>
  <c r="JK75" i="87"/>
  <c r="JL75" i="87" s="1"/>
  <c r="AE73" i="87"/>
  <c r="AF73" i="87" s="1"/>
  <c r="JK49" i="87"/>
  <c r="JL49" i="87" s="1"/>
  <c r="CM48" i="87"/>
  <c r="CN48" i="87" s="1"/>
  <c r="KE29" i="87"/>
  <c r="KF29" i="87" s="1"/>
  <c r="AE20" i="87"/>
  <c r="AF20" i="87" s="1"/>
  <c r="DQ36" i="87"/>
  <c r="DR36" i="87" s="1"/>
  <c r="EK34" i="87"/>
  <c r="EL34" i="87" s="1"/>
  <c r="CI32" i="87"/>
  <c r="CJ32" i="87" s="1"/>
  <c r="CI25" i="87"/>
  <c r="CJ25" i="87" s="1"/>
  <c r="DQ16" i="87"/>
  <c r="DR16" i="87" s="1"/>
  <c r="DC15" i="87"/>
  <c r="DD15" i="87" s="1"/>
  <c r="KO199" i="87"/>
  <c r="KP199" i="87" s="1"/>
  <c r="DW13" i="87"/>
  <c r="DX13" i="87" s="1"/>
  <c r="DY13" i="87" s="1"/>
  <c r="EA13" i="87" s="1"/>
  <c r="DW18" i="87"/>
  <c r="DX18" i="87" s="1"/>
  <c r="GS153" i="87"/>
  <c r="GT153" i="87" s="1"/>
  <c r="AO144" i="87"/>
  <c r="AP144" i="87" s="1"/>
  <c r="EK136" i="87"/>
  <c r="EL136" i="87" s="1"/>
  <c r="JK133" i="87"/>
  <c r="JL133" i="87" s="1"/>
  <c r="JK151" i="87"/>
  <c r="JL151" i="87" s="1"/>
  <c r="KY112" i="87"/>
  <c r="KZ112" i="87" s="1"/>
  <c r="KY116" i="87"/>
  <c r="KZ116" i="87" s="1"/>
  <c r="KY121" i="87"/>
  <c r="KZ121" i="87" s="1"/>
  <c r="KE120" i="87"/>
  <c r="KF120" i="87" s="1"/>
  <c r="GI25" i="87"/>
  <c r="GJ25" i="87" s="1"/>
  <c r="BI29" i="87"/>
  <c r="GE28" i="87"/>
  <c r="GF28" i="87" s="1"/>
  <c r="GE19" i="87"/>
  <c r="GF19" i="87" s="1"/>
  <c r="GE14" i="87"/>
  <c r="GF14" i="87" s="1"/>
  <c r="GE18" i="87"/>
  <c r="GF18" i="87" s="1"/>
  <c r="GG18" i="87" s="1"/>
  <c r="GI18" i="87" s="1"/>
  <c r="GJ18" i="87" s="1"/>
  <c r="GE22" i="87"/>
  <c r="GF22" i="87" s="1"/>
  <c r="GG22" i="87" s="1"/>
  <c r="GI22" i="87" s="1"/>
  <c r="GJ22" i="87" s="1"/>
  <c r="GI112" i="87"/>
  <c r="GJ112" i="87" s="1"/>
  <c r="GI121" i="87"/>
  <c r="GJ121" i="87" s="1"/>
  <c r="FO111" i="87"/>
  <c r="FP111" i="87" s="1"/>
  <c r="DG116" i="87"/>
  <c r="AE116" i="87"/>
  <c r="AF116" i="87" s="1"/>
  <c r="GS93" i="87"/>
  <c r="GT93" i="87" s="1"/>
  <c r="AO91" i="87"/>
  <c r="CW87" i="87"/>
  <c r="CX87" i="87" s="1"/>
  <c r="JU75" i="87"/>
  <c r="JV75" i="87" s="1"/>
  <c r="JU46" i="87"/>
  <c r="JV46" i="87" s="1"/>
  <c r="AO46" i="87"/>
  <c r="AP46" i="87" s="1"/>
  <c r="FO32" i="87"/>
  <c r="FP32" i="87" s="1"/>
  <c r="JK31" i="87"/>
  <c r="JL31" i="87" s="1"/>
  <c r="KE26" i="87"/>
  <c r="KF26" i="87" s="1"/>
  <c r="EA25" i="87"/>
  <c r="EB25" i="87" s="1"/>
  <c r="KK23" i="87"/>
  <c r="KL23" i="87" s="1"/>
  <c r="HC17" i="87"/>
  <c r="KK14" i="87"/>
  <c r="KL14" i="87" s="1"/>
  <c r="AY14" i="87"/>
  <c r="AZ14" i="87" s="1"/>
  <c r="JA66" i="87"/>
  <c r="JB66" i="87" s="1"/>
  <c r="IG67" i="87"/>
  <c r="CC58" i="87"/>
  <c r="JA25" i="87"/>
  <c r="JB25" i="87" s="1"/>
  <c r="HC200" i="87"/>
  <c r="HD200" i="87" s="1"/>
  <c r="AY66" i="87"/>
  <c r="AZ66" i="87" s="1"/>
  <c r="JK199" i="87"/>
  <c r="JL199" i="87" s="1"/>
  <c r="JA199" i="87"/>
  <c r="JB199" i="87" s="1"/>
  <c r="CM190" i="87"/>
  <c r="CN190" i="87" s="1"/>
  <c r="BN68" i="87"/>
  <c r="IL39" i="87"/>
  <c r="IO39" i="87" s="1"/>
  <c r="IQ39" i="87" s="1"/>
  <c r="IR39" i="87" s="1"/>
  <c r="HW121" i="87"/>
  <c r="HX121" i="87" s="1"/>
  <c r="EU121" i="87"/>
  <c r="EV121" i="87" s="1"/>
  <c r="BS116" i="87"/>
  <c r="BT116" i="87" s="1"/>
  <c r="AY115" i="87"/>
  <c r="AZ115" i="87" s="1"/>
  <c r="JA95" i="87"/>
  <c r="JB95" i="87" s="1"/>
  <c r="FY95" i="87"/>
  <c r="FZ95" i="87" s="1"/>
  <c r="IG92" i="87"/>
  <c r="IH92" i="87" s="1"/>
  <c r="DQ92" i="87"/>
  <c r="DR92" i="87" s="1"/>
  <c r="KO91" i="87"/>
  <c r="KP91" i="87" s="1"/>
  <c r="BI91" i="87"/>
  <c r="BJ91" i="87" s="1"/>
  <c r="DQ90" i="87"/>
  <c r="DR90" i="87" s="1"/>
  <c r="IG87" i="87"/>
  <c r="IH87" i="87" s="1"/>
  <c r="GS87" i="87"/>
  <c r="GT87" i="87" s="1"/>
  <c r="JU83" i="87"/>
  <c r="JV83" i="87" s="1"/>
  <c r="DQ83" i="87"/>
  <c r="DR83" i="87" s="1"/>
  <c r="CC83" i="87"/>
  <c r="CD83" i="87" s="1"/>
  <c r="AO83" i="87"/>
  <c r="AP83" i="87" s="1"/>
  <c r="BI82" i="87"/>
  <c r="BJ82" i="87" s="1"/>
  <c r="U82" i="87"/>
  <c r="V82" i="87" s="1"/>
  <c r="FE81" i="87"/>
  <c r="FF81" i="87" s="1"/>
  <c r="JU78" i="87"/>
  <c r="JV78" i="87" s="1"/>
  <c r="GS78" i="87"/>
  <c r="GT78" i="87" s="1"/>
  <c r="GS76" i="87"/>
  <c r="GT76" i="87" s="1"/>
  <c r="DQ76" i="87"/>
  <c r="DR76" i="87" s="1"/>
  <c r="FY75" i="87"/>
  <c r="FZ75" i="87" s="1"/>
  <c r="FE72" i="87"/>
  <c r="FF72" i="87" s="1"/>
  <c r="U115" i="87"/>
  <c r="CW48" i="87"/>
  <c r="CX48" i="87" s="1"/>
  <c r="U48" i="87"/>
  <c r="V48" i="87" s="1"/>
  <c r="BI46" i="87"/>
  <c r="BJ46" i="87" s="1"/>
  <c r="DQ45" i="87"/>
  <c r="DR45" i="87" s="1"/>
  <c r="KE34" i="87"/>
  <c r="KF34" i="87" s="1"/>
  <c r="KY29" i="87"/>
  <c r="KZ29" i="87" s="1"/>
  <c r="HW17" i="87"/>
  <c r="HX17" i="87" s="1"/>
  <c r="KY13" i="87"/>
  <c r="AO67" i="87"/>
  <c r="AP67" i="87" s="1"/>
  <c r="HM34" i="87"/>
  <c r="HN34" i="87" s="1"/>
  <c r="U34" i="87"/>
  <c r="V34" i="87" s="1"/>
  <c r="BI33" i="87"/>
  <c r="U28" i="87"/>
  <c r="V28" i="87" s="1"/>
  <c r="CC25" i="87"/>
  <c r="CD25" i="87" s="1"/>
  <c r="DQ23" i="87"/>
  <c r="DR23" i="87" s="1"/>
  <c r="EK19" i="87"/>
  <c r="EL19" i="87" s="1"/>
  <c r="JA17" i="87"/>
  <c r="JB17" i="87" s="1"/>
  <c r="CS38" i="87"/>
  <c r="CT38" i="87" s="1"/>
  <c r="CS13" i="87"/>
  <c r="CT13" i="87" s="1"/>
  <c r="CU13" i="87" s="1"/>
  <c r="CW13" i="87" s="1"/>
  <c r="CS18" i="87"/>
  <c r="CT18" i="87" s="1"/>
  <c r="CU18" i="87" s="1"/>
  <c r="CW18" i="87" s="1"/>
  <c r="CX18" i="87" s="1"/>
  <c r="CS22" i="87"/>
  <c r="CT22" i="87" s="1"/>
  <c r="CU22" i="87" s="1"/>
  <c r="CW22" i="87" s="1"/>
  <c r="CX22" i="87" s="1"/>
  <c r="CS26" i="87"/>
  <c r="CT26" i="87" s="1"/>
  <c r="CU26" i="87" s="1"/>
  <c r="CW26" i="87" s="1"/>
  <c r="CX26" i="87" s="1"/>
  <c r="CS29" i="87"/>
  <c r="CT29" i="87" s="1"/>
  <c r="CS31" i="87"/>
  <c r="CT31" i="87" s="1"/>
  <c r="CU31" i="87" s="1"/>
  <c r="CW31" i="87" s="1"/>
  <c r="CX31" i="87" s="1"/>
  <c r="CS33" i="87"/>
  <c r="CT33" i="87" s="1"/>
  <c r="CS36" i="87"/>
  <c r="CT36" i="87" s="1"/>
  <c r="CU36" i="87" s="1"/>
  <c r="CW36" i="87" s="1"/>
  <c r="CX36" i="87" s="1"/>
  <c r="CS15" i="87"/>
  <c r="CT15" i="87" s="1"/>
  <c r="CU15" i="87" s="1"/>
  <c r="CW15" i="87" s="1"/>
  <c r="CX15" i="87" s="1"/>
  <c r="CS20" i="87"/>
  <c r="CT20" i="87" s="1"/>
  <c r="CS23" i="87"/>
  <c r="CT23" i="87" s="1"/>
  <c r="CS24" i="87"/>
  <c r="CT24" i="87" s="1"/>
  <c r="CU24" i="87" s="1"/>
  <c r="CW24" i="87" s="1"/>
  <c r="CX24" i="87" s="1"/>
  <c r="CS25" i="87"/>
  <c r="CT25" i="87" s="1"/>
  <c r="CS28" i="87"/>
  <c r="CT28" i="87" s="1"/>
  <c r="CS32" i="87"/>
  <c r="CT32" i="87" s="1"/>
  <c r="CS34" i="87"/>
  <c r="CT34" i="87" s="1"/>
  <c r="CS35" i="87"/>
  <c r="CT35" i="87" s="1"/>
  <c r="CU35" i="87" s="1"/>
  <c r="CW35" i="87" s="1"/>
  <c r="CX35" i="87" s="1"/>
  <c r="CS37" i="87"/>
  <c r="CT37" i="87" s="1"/>
  <c r="U154" i="87"/>
  <c r="V154" i="87" s="1"/>
  <c r="AO133" i="87"/>
  <c r="AP133" i="87" s="1"/>
  <c r="CM152" i="87"/>
  <c r="DB68" i="87"/>
  <c r="HW107" i="87"/>
  <c r="HX107" i="87" s="1"/>
  <c r="HC115" i="87"/>
  <c r="HD115" i="87" s="1"/>
  <c r="HC120" i="87"/>
  <c r="HD120" i="87" s="1"/>
  <c r="HC124" i="87"/>
  <c r="HD124" i="87" s="1"/>
  <c r="EU125" i="87"/>
  <c r="DG110" i="87"/>
  <c r="DH110" i="87" s="1"/>
  <c r="AY37" i="87"/>
  <c r="AZ37" i="87" s="1"/>
  <c r="DG34" i="87"/>
  <c r="DH34" i="87" s="1"/>
  <c r="CS27" i="87"/>
  <c r="CT27" i="87" s="1"/>
  <c r="CU27" i="87" s="1"/>
  <c r="CW27" i="87" s="1"/>
  <c r="CX27" i="87" s="1"/>
  <c r="KE25" i="87"/>
  <c r="KF25" i="87" s="1"/>
  <c r="CS14" i="87"/>
  <c r="CT14" i="87" s="1"/>
  <c r="IG63" i="87"/>
  <c r="IH63" i="87" s="1"/>
  <c r="FY57" i="87"/>
  <c r="FZ57" i="87" s="1"/>
  <c r="BI64" i="87"/>
  <c r="EK29" i="87"/>
  <c r="BI25" i="87"/>
  <c r="BJ25" i="87" s="1"/>
  <c r="AC10" i="87"/>
  <c r="AE10" i="87" s="1"/>
  <c r="AF10" i="87" s="1"/>
  <c r="AH10" i="87" s="1"/>
  <c r="AA19" i="87"/>
  <c r="AB19" i="87" s="1"/>
  <c r="HA10" i="87"/>
  <c r="HC10" i="87" s="1"/>
  <c r="HD10" i="87" s="1"/>
  <c r="HF10" i="87" s="1"/>
  <c r="GY13" i="87"/>
  <c r="GZ13" i="87" s="1"/>
  <c r="HA13" i="87" s="1"/>
  <c r="HC13" i="87" s="1"/>
  <c r="HD13" i="87" s="1"/>
  <c r="GY16" i="87"/>
  <c r="GZ16" i="87" s="1"/>
  <c r="GY17" i="87"/>
  <c r="GZ17" i="87" s="1"/>
  <c r="GY20" i="87"/>
  <c r="GZ20" i="87" s="1"/>
  <c r="GY23" i="87"/>
  <c r="GZ23" i="87" s="1"/>
  <c r="GY25" i="87"/>
  <c r="GZ25" i="87" s="1"/>
  <c r="GY27" i="87"/>
  <c r="GZ27" i="87" s="1"/>
  <c r="GY28" i="87"/>
  <c r="GZ28" i="87" s="1"/>
  <c r="GY29" i="87"/>
  <c r="GZ29" i="87" s="1"/>
  <c r="GY32" i="87"/>
  <c r="GZ32" i="87" s="1"/>
  <c r="GY34" i="87"/>
  <c r="GZ34" i="87" s="1"/>
  <c r="GY35" i="87"/>
  <c r="GZ35" i="87" s="1"/>
  <c r="HA35" i="87" s="1"/>
  <c r="HC35" i="87" s="1"/>
  <c r="HD35" i="87" s="1"/>
  <c r="GY38" i="87"/>
  <c r="GZ38" i="87" s="1"/>
  <c r="FM44" i="87"/>
  <c r="FO44" i="87" s="1"/>
  <c r="FP44" i="87" s="1"/>
  <c r="FJ39" i="87"/>
  <c r="FM39" i="87" s="1"/>
  <c r="FO39" i="87" s="1"/>
  <c r="FP39" i="87" s="1"/>
  <c r="FE154" i="87"/>
  <c r="FF154" i="87" s="1"/>
  <c r="CC154" i="87"/>
  <c r="CD154" i="87" s="1"/>
  <c r="FE150" i="87"/>
  <c r="FF150" i="87" s="1"/>
  <c r="DQ148" i="87"/>
  <c r="DR148" i="87" s="1"/>
  <c r="IG145" i="87"/>
  <c r="IH145" i="87" s="1"/>
  <c r="BI140" i="87"/>
  <c r="BJ140" i="87" s="1"/>
  <c r="JU139" i="87"/>
  <c r="JV139" i="87" s="1"/>
  <c r="HM135" i="87"/>
  <c r="HN135" i="87" s="1"/>
  <c r="JK141" i="87"/>
  <c r="JL141" i="87" s="1"/>
  <c r="JK145" i="87"/>
  <c r="JL145" i="87" s="1"/>
  <c r="JK154" i="87"/>
  <c r="JL154" i="87" s="1"/>
  <c r="GI141" i="87"/>
  <c r="GJ141" i="87" s="1"/>
  <c r="EU136" i="87"/>
  <c r="EV136" i="87" s="1"/>
  <c r="EU141" i="87"/>
  <c r="EV141" i="87" s="1"/>
  <c r="EU150" i="87"/>
  <c r="EV150" i="87" s="1"/>
  <c r="BS136" i="87"/>
  <c r="BT136" i="87" s="1"/>
  <c r="BS141" i="87"/>
  <c r="BT141" i="87" s="1"/>
  <c r="BS154" i="87"/>
  <c r="BT154" i="87" s="1"/>
  <c r="AE136" i="87"/>
  <c r="AF136" i="87" s="1"/>
  <c r="AE145" i="87"/>
  <c r="AF145" i="87" s="1"/>
  <c r="AE154" i="87"/>
  <c r="AF154" i="87" s="1"/>
  <c r="FO131" i="87"/>
  <c r="FP131" i="87" s="1"/>
  <c r="EA144" i="87"/>
  <c r="EB144" i="87" s="1"/>
  <c r="AY135" i="87"/>
  <c r="AZ135" i="87" s="1"/>
  <c r="KE112" i="87"/>
  <c r="KF112" i="87" s="1"/>
  <c r="HC125" i="87"/>
  <c r="HD125" i="87" s="1"/>
  <c r="EA121" i="87"/>
  <c r="EB121" i="87" s="1"/>
  <c r="AY121" i="87"/>
  <c r="AZ121" i="87" s="1"/>
  <c r="GI87" i="87"/>
  <c r="GJ87" i="87" s="1"/>
  <c r="AY86" i="87"/>
  <c r="AZ86" i="87" s="1"/>
  <c r="KE82" i="87"/>
  <c r="KF82" i="87" s="1"/>
  <c r="FO77" i="87"/>
  <c r="FP77" i="87" s="1"/>
  <c r="CM73" i="87"/>
  <c r="CM24" i="87"/>
  <c r="CN24" i="87" s="1"/>
  <c r="KE19" i="87"/>
  <c r="KF19" i="87" s="1"/>
  <c r="CS16" i="87"/>
  <c r="CT16" i="87" s="1"/>
  <c r="GY22" i="87"/>
  <c r="GZ22" i="87" s="1"/>
  <c r="HA22" i="87" s="1"/>
  <c r="HC22" i="87" s="1"/>
  <c r="HD22" i="87" s="1"/>
  <c r="IQ63" i="87"/>
  <c r="IR63" i="87" s="1"/>
  <c r="FA37" i="87"/>
  <c r="FB37" i="87" s="1"/>
  <c r="FA35" i="87"/>
  <c r="FB35" i="87" s="1"/>
  <c r="FC35" i="87" s="1"/>
  <c r="FE35" i="87" s="1"/>
  <c r="FF35" i="87" s="1"/>
  <c r="IC38" i="87"/>
  <c r="ID38" i="87" s="1"/>
  <c r="IC13" i="87"/>
  <c r="ID13" i="87" s="1"/>
  <c r="IE13" i="87" s="1"/>
  <c r="IG13" i="87" s="1"/>
  <c r="IH13" i="87" s="1"/>
  <c r="IC22" i="87"/>
  <c r="ID22" i="87" s="1"/>
  <c r="IE22" i="87" s="1"/>
  <c r="IG22" i="87" s="1"/>
  <c r="IH22" i="87" s="1"/>
  <c r="IC24" i="87"/>
  <c r="ID24" i="87" s="1"/>
  <c r="IE24" i="87" s="1"/>
  <c r="IG24" i="87" s="1"/>
  <c r="IH24" i="87" s="1"/>
  <c r="IC26" i="87"/>
  <c r="ID26" i="87" s="1"/>
  <c r="IE26" i="87" s="1"/>
  <c r="IG26" i="87" s="1"/>
  <c r="IH26" i="87" s="1"/>
  <c r="IC27" i="87"/>
  <c r="ID27" i="87" s="1"/>
  <c r="IE27" i="87" s="1"/>
  <c r="IG27" i="87" s="1"/>
  <c r="IH27" i="87" s="1"/>
  <c r="IC34" i="87"/>
  <c r="ID34" i="87" s="1"/>
  <c r="IC19" i="87"/>
  <c r="ID19" i="87" s="1"/>
  <c r="IC29" i="87"/>
  <c r="ID29" i="87" s="1"/>
  <c r="U152" i="87"/>
  <c r="V152" i="87" s="1"/>
  <c r="HM150" i="87"/>
  <c r="HN150" i="87" s="1"/>
  <c r="KO136" i="87"/>
  <c r="KP136" i="87" s="1"/>
  <c r="KE132" i="87"/>
  <c r="GI107" i="87"/>
  <c r="GJ107" i="87" s="1"/>
  <c r="GI116" i="87"/>
  <c r="GJ116" i="87" s="1"/>
  <c r="GI125" i="87"/>
  <c r="GJ125" i="87" s="1"/>
  <c r="DG125" i="87"/>
  <c r="DH125" i="87" s="1"/>
  <c r="HW36" i="87"/>
  <c r="HX36" i="87" s="1"/>
  <c r="HC34" i="87"/>
  <c r="HD34" i="87" s="1"/>
  <c r="IQ25" i="87"/>
  <c r="IR25" i="87" s="1"/>
  <c r="EA20" i="87"/>
  <c r="EB20" i="87" s="1"/>
  <c r="CS19" i="87"/>
  <c r="CT19" i="87" s="1"/>
  <c r="CM15" i="87"/>
  <c r="CN15" i="87" s="1"/>
  <c r="IC14" i="87"/>
  <c r="ID14" i="87" s="1"/>
  <c r="GS63" i="87"/>
  <c r="GT63" i="87" s="1"/>
  <c r="EK57" i="87"/>
  <c r="EL57" i="87" s="1"/>
  <c r="CC61" i="87"/>
  <c r="CD61" i="87" s="1"/>
  <c r="U64" i="87"/>
  <c r="V64" i="87" s="1"/>
  <c r="GY36" i="87"/>
  <c r="GZ36" i="87" s="1"/>
  <c r="JU34" i="87"/>
  <c r="DQ34" i="87"/>
  <c r="DR34" i="87" s="1"/>
  <c r="GY33" i="87"/>
  <c r="GZ33" i="87" s="1"/>
  <c r="GS32" i="87"/>
  <c r="GT32" i="87" s="1"/>
  <c r="GY31" i="87"/>
  <c r="GZ31" i="87" s="1"/>
  <c r="HA31" i="87" s="1"/>
  <c r="HC31" i="87" s="1"/>
  <c r="HD31" i="87" s="1"/>
  <c r="GY26" i="87"/>
  <c r="GZ26" i="87" s="1"/>
  <c r="HA26" i="87" s="1"/>
  <c r="HC26" i="87" s="1"/>
  <c r="HD26" i="87" s="1"/>
  <c r="GY24" i="87"/>
  <c r="GZ24" i="87" s="1"/>
  <c r="GY18" i="87"/>
  <c r="GZ18" i="87" s="1"/>
  <c r="HA18" i="87" s="1"/>
  <c r="HC18" i="87" s="1"/>
  <c r="HD18" i="87" s="1"/>
  <c r="CU10" i="87"/>
  <c r="CW10" i="87" s="1"/>
  <c r="CX10" i="87" s="1"/>
  <c r="CM115" i="87"/>
  <c r="CN115" i="87" s="1"/>
  <c r="AE125" i="87"/>
  <c r="AF125" i="87" s="1"/>
  <c r="JA104" i="87"/>
  <c r="JB104" i="87" s="1"/>
  <c r="DQ103" i="87"/>
  <c r="DR103" i="87" s="1"/>
  <c r="U102" i="87"/>
  <c r="V102" i="87" s="1"/>
  <c r="JU101" i="87"/>
  <c r="JV101" i="87" s="1"/>
  <c r="DQ101" i="87"/>
  <c r="DR101" i="87" s="1"/>
  <c r="KO92" i="87"/>
  <c r="KP92" i="87" s="1"/>
  <c r="BI92" i="87"/>
  <c r="BJ92" i="87" s="1"/>
  <c r="DQ80" i="87"/>
  <c r="DR80" i="87" s="1"/>
  <c r="JU77" i="87"/>
  <c r="JV77" i="87" s="1"/>
  <c r="DQ77" i="87"/>
  <c r="DR77" i="87" s="1"/>
  <c r="BI74" i="87"/>
  <c r="BJ74" i="87" s="1"/>
  <c r="EU49" i="87"/>
  <c r="EV49" i="87" s="1"/>
  <c r="KE48" i="87"/>
  <c r="KF48" i="87" s="1"/>
  <c r="HC48" i="87"/>
  <c r="HD48" i="87" s="1"/>
  <c r="HC46" i="87"/>
  <c r="HD46" i="87" s="1"/>
  <c r="CM44" i="87"/>
  <c r="CN44" i="87" s="1"/>
  <c r="IQ37" i="87"/>
  <c r="AE36" i="87"/>
  <c r="AF36" i="87" s="1"/>
  <c r="JK34" i="87"/>
  <c r="EU34" i="87"/>
  <c r="GI29" i="87"/>
  <c r="GJ29" i="87" s="1"/>
  <c r="HC28" i="87"/>
  <c r="HD28" i="87" s="1"/>
  <c r="AY25" i="87"/>
  <c r="AZ25" i="87" s="1"/>
  <c r="KY20" i="87"/>
  <c r="KZ20" i="87" s="1"/>
  <c r="HW20" i="87"/>
  <c r="HX20" i="87" s="1"/>
  <c r="AY17" i="87"/>
  <c r="DC33" i="87"/>
  <c r="DD33" i="87" s="1"/>
  <c r="DC31" i="87"/>
  <c r="DD31" i="87" s="1"/>
  <c r="DE31" i="87" s="1"/>
  <c r="DG31" i="87" s="1"/>
  <c r="DH31" i="87" s="1"/>
  <c r="CI28" i="87"/>
  <c r="CJ28" i="87" s="1"/>
  <c r="DC26" i="87"/>
  <c r="DD26" i="87" s="1"/>
  <c r="DE26" i="87" s="1"/>
  <c r="DG26" i="87" s="1"/>
  <c r="DH26" i="87" s="1"/>
  <c r="FE23" i="87"/>
  <c r="FF23" i="87" s="1"/>
  <c r="DW20" i="87"/>
  <c r="DX20" i="87" s="1"/>
  <c r="DW16" i="87"/>
  <c r="DX16" i="87" s="1"/>
  <c r="DY16" i="87" s="1"/>
  <c r="EA16" i="87" s="1"/>
  <c r="EB16" i="87" s="1"/>
  <c r="CM57" i="87"/>
  <c r="CN57" i="87" s="1"/>
  <c r="DB155" i="87"/>
  <c r="DL39" i="87"/>
  <c r="DM42" i="87" s="1"/>
  <c r="DN42" i="87" s="1"/>
  <c r="CR97" i="87"/>
  <c r="CS122" i="87" s="1"/>
  <c r="CT122" i="87" s="1"/>
  <c r="CU122" i="87" s="1"/>
  <c r="CW122" i="87" s="1"/>
  <c r="CX122" i="87" s="1"/>
  <c r="BS112" i="87"/>
  <c r="BT112" i="87" s="1"/>
  <c r="BS125" i="87"/>
  <c r="BT125" i="87" s="1"/>
  <c r="KO95" i="87"/>
  <c r="KP95" i="87" s="1"/>
  <c r="BI95" i="87"/>
  <c r="BJ95" i="87" s="1"/>
  <c r="AO94" i="87"/>
  <c r="U93" i="87"/>
  <c r="V93" i="87" s="1"/>
  <c r="CC92" i="87"/>
  <c r="CD92" i="87" s="1"/>
  <c r="GS90" i="87"/>
  <c r="GT90" i="87" s="1"/>
  <c r="FE90" i="87"/>
  <c r="FF90" i="87" s="1"/>
  <c r="AO90" i="87"/>
  <c r="AP90" i="87" s="1"/>
  <c r="CC87" i="87"/>
  <c r="CD87" i="87" s="1"/>
  <c r="JA86" i="87"/>
  <c r="JB86" i="87" s="1"/>
  <c r="GS83" i="87"/>
  <c r="GT83" i="87" s="1"/>
  <c r="JA73" i="87"/>
  <c r="JB73" i="87" s="1"/>
  <c r="FO49" i="87"/>
  <c r="FP49" i="87" s="1"/>
  <c r="AE48" i="87"/>
  <c r="AF48" i="87" s="1"/>
  <c r="GI46" i="87"/>
  <c r="GJ46" i="87" s="1"/>
  <c r="HW44" i="87"/>
  <c r="HX44" i="87" s="1"/>
  <c r="AY43" i="87"/>
  <c r="AZ43" i="87" s="1"/>
  <c r="EU29" i="87"/>
  <c r="FO14" i="87"/>
  <c r="DQ64" i="87"/>
  <c r="DR64" i="87" s="1"/>
  <c r="DW36" i="87"/>
  <c r="DX36" i="87" s="1"/>
  <c r="FY34" i="87"/>
  <c r="DW34" i="87"/>
  <c r="DX34" i="87" s="1"/>
  <c r="BI28" i="87"/>
  <c r="BJ28" i="87" s="1"/>
  <c r="GE27" i="87"/>
  <c r="GF27" i="87" s="1"/>
  <c r="GG27" i="87" s="1"/>
  <c r="GI27" i="87" s="1"/>
  <c r="GJ27" i="87" s="1"/>
  <c r="DQ18" i="87"/>
  <c r="IG14" i="87"/>
  <c r="IH14" i="87" s="1"/>
  <c r="JK63" i="87"/>
  <c r="JL63" i="87" s="1"/>
  <c r="HW61" i="87"/>
  <c r="HX61" i="87" s="1"/>
  <c r="Q38" i="87"/>
  <c r="R38" i="87" s="1"/>
  <c r="S10" i="87"/>
  <c r="U10" i="87" s="1"/>
  <c r="V10" i="87" s="1"/>
  <c r="Q14" i="87"/>
  <c r="R14" i="87" s="1"/>
  <c r="S14" i="87" s="1"/>
  <c r="U14" i="87" s="1"/>
  <c r="V14" i="87" s="1"/>
  <c r="Q16" i="87"/>
  <c r="R16" i="87" s="1"/>
  <c r="S16" i="87" s="1"/>
  <c r="U16" i="87" s="1"/>
  <c r="V16" i="87" s="1"/>
  <c r="Q18" i="87"/>
  <c r="R18" i="87" s="1"/>
  <c r="Q23" i="87"/>
  <c r="R23" i="87" s="1"/>
  <c r="Q24" i="87"/>
  <c r="R24" i="87" s="1"/>
  <c r="Q27" i="87"/>
  <c r="R27" i="87" s="1"/>
  <c r="Q35" i="87"/>
  <c r="R35" i="87" s="1"/>
  <c r="Q15" i="87"/>
  <c r="R15" i="87" s="1"/>
  <c r="Q17" i="87"/>
  <c r="R17" i="87" s="1"/>
  <c r="S17" i="87" s="1"/>
  <c r="U17" i="87" s="1"/>
  <c r="V17" i="87" s="1"/>
  <c r="Q20" i="87"/>
  <c r="R20" i="87" s="1"/>
  <c r="Q28" i="87"/>
  <c r="R28" i="87" s="1"/>
  <c r="Q33" i="87"/>
  <c r="R33" i="87" s="1"/>
  <c r="JI104" i="87"/>
  <c r="JK104" i="87" s="1"/>
  <c r="JL104" i="87" s="1"/>
  <c r="JF97" i="87"/>
  <c r="KW115" i="87"/>
  <c r="KY115" i="87" s="1"/>
  <c r="KT97" i="87"/>
  <c r="FE144" i="87"/>
  <c r="KY140" i="87"/>
  <c r="KZ140" i="87" s="1"/>
  <c r="KY153" i="87"/>
  <c r="KZ153" i="87" s="1"/>
  <c r="JK131" i="87"/>
  <c r="HW135" i="87"/>
  <c r="HX135" i="87" s="1"/>
  <c r="HW144" i="87"/>
  <c r="HW149" i="87"/>
  <c r="HX149" i="87" s="1"/>
  <c r="GI135" i="87"/>
  <c r="GJ135" i="87" s="1"/>
  <c r="EU153" i="87"/>
  <c r="EV153" i="87" s="1"/>
  <c r="DG144" i="87"/>
  <c r="DH144" i="87" s="1"/>
  <c r="BS144" i="87"/>
  <c r="AE144" i="87"/>
  <c r="IQ148" i="87"/>
  <c r="HC107" i="87"/>
  <c r="HD107" i="87" s="1"/>
  <c r="DG111" i="87"/>
  <c r="DH111" i="87" s="1"/>
  <c r="DG115" i="87"/>
  <c r="DH115" i="87" s="1"/>
  <c r="AE95" i="87"/>
  <c r="KE81" i="87"/>
  <c r="KF81" i="87" s="1"/>
  <c r="EU75" i="87"/>
  <c r="JK46" i="87"/>
  <c r="JL46" i="87" s="1"/>
  <c r="Q32" i="87"/>
  <c r="R32" i="87" s="1"/>
  <c r="JQ27" i="87"/>
  <c r="JR27" i="87" s="1"/>
  <c r="JS27" i="87" s="1"/>
  <c r="JU27" i="87" s="1"/>
  <c r="JV27" i="87" s="1"/>
  <c r="Q13" i="87"/>
  <c r="R13" i="87" s="1"/>
  <c r="S13" i="87" s="1"/>
  <c r="U13" i="87" s="1"/>
  <c r="GE36" i="87"/>
  <c r="GF36" i="87" s="1"/>
  <c r="GG36" i="87" s="1"/>
  <c r="GI36" i="87" s="1"/>
  <c r="GJ36" i="87" s="1"/>
  <c r="KO25" i="87"/>
  <c r="KP25" i="87" s="1"/>
  <c r="KC66" i="87"/>
  <c r="KE66" i="87" s="1"/>
  <c r="JZ39" i="87"/>
  <c r="GD185" i="87"/>
  <c r="GE201" i="87" s="1"/>
  <c r="GF201" i="87" s="1"/>
  <c r="GG201" i="87" s="1"/>
  <c r="GI201" i="87" s="1"/>
  <c r="CH185" i="87"/>
  <c r="CI203" i="87" s="1"/>
  <c r="CJ203" i="87" s="1"/>
  <c r="FJ214" i="87"/>
  <c r="FC10" i="87"/>
  <c r="FE10" i="87" s="1"/>
  <c r="FF10" i="87" s="1"/>
  <c r="FA31" i="87"/>
  <c r="FB31" i="87" s="1"/>
  <c r="FC31" i="87" s="1"/>
  <c r="FE31" i="87" s="1"/>
  <c r="FF31" i="87" s="1"/>
  <c r="FA13" i="87"/>
  <c r="FB13" i="87" s="1"/>
  <c r="FC13" i="87" s="1"/>
  <c r="FE13" i="87" s="1"/>
  <c r="FF13" i="87" s="1"/>
  <c r="FA22" i="87"/>
  <c r="FB22" i="87" s="1"/>
  <c r="FC22" i="87" s="1"/>
  <c r="FE22" i="87" s="1"/>
  <c r="FF22" i="87" s="1"/>
  <c r="FA26" i="87"/>
  <c r="FB26" i="87" s="1"/>
  <c r="FC26" i="87" s="1"/>
  <c r="FE26" i="87" s="1"/>
  <c r="FF26" i="87" s="1"/>
  <c r="FA32" i="87"/>
  <c r="FB32" i="87" s="1"/>
  <c r="BX185" i="87"/>
  <c r="BY211" i="87" s="1"/>
  <c r="BZ211" i="87" s="1"/>
  <c r="CA211" i="87" s="1"/>
  <c r="CC211" i="87" s="1"/>
  <c r="CD211" i="87" s="1"/>
  <c r="CA194" i="87"/>
  <c r="CC194" i="87" s="1"/>
  <c r="CD194" i="87" s="1"/>
  <c r="HM144" i="87"/>
  <c r="HN144" i="87" s="1"/>
  <c r="EA135" i="87"/>
  <c r="EB135" i="87" s="1"/>
  <c r="EA149" i="87"/>
  <c r="EB149" i="87" s="1"/>
  <c r="JK124" i="87"/>
  <c r="IQ111" i="87"/>
  <c r="IR111" i="87" s="1"/>
  <c r="IQ115" i="87"/>
  <c r="IR115" i="87" s="1"/>
  <c r="IG94" i="87"/>
  <c r="IH94" i="87" s="1"/>
  <c r="KO82" i="87"/>
  <c r="KP82" i="87" s="1"/>
  <c r="IG78" i="87"/>
  <c r="IH78" i="87" s="1"/>
  <c r="DQ78" i="87"/>
  <c r="DR78" i="87" s="1"/>
  <c r="BI48" i="87"/>
  <c r="BJ48" i="87" s="1"/>
  <c r="U44" i="87"/>
  <c r="V44" i="87" s="1"/>
  <c r="JQ37" i="87"/>
  <c r="JR37" i="87" s="1"/>
  <c r="Q37" i="87"/>
  <c r="R37" i="87" s="1"/>
  <c r="JQ35" i="87"/>
  <c r="JR35" i="87" s="1"/>
  <c r="JS35" i="87" s="1"/>
  <c r="JU35" i="87" s="1"/>
  <c r="JV35" i="87" s="1"/>
  <c r="Q29" i="87"/>
  <c r="R29" i="87" s="1"/>
  <c r="FA27" i="87"/>
  <c r="FB27" i="87" s="1"/>
  <c r="FC27" i="87" s="1"/>
  <c r="FE27" i="87" s="1"/>
  <c r="FF27" i="87" s="1"/>
  <c r="Q25" i="87"/>
  <c r="R25" i="87" s="1"/>
  <c r="FA23" i="87"/>
  <c r="FB23" i="87" s="1"/>
  <c r="Q22" i="87"/>
  <c r="R22" i="87" s="1"/>
  <c r="S22" i="87" s="1"/>
  <c r="U22" i="87" s="1"/>
  <c r="V22" i="87" s="1"/>
  <c r="FA18" i="87"/>
  <c r="FB18" i="87" s="1"/>
  <c r="FC18" i="87" s="1"/>
  <c r="FE18" i="87" s="1"/>
  <c r="FF18" i="87" s="1"/>
  <c r="FA17" i="87"/>
  <c r="FB17" i="87" s="1"/>
  <c r="JA29" i="87"/>
  <c r="CK10" i="87"/>
  <c r="CM10" i="87" s="1"/>
  <c r="CN10" i="87" s="1"/>
  <c r="CP10" i="87" s="1"/>
  <c r="CI13" i="87"/>
  <c r="CJ13" i="87" s="1"/>
  <c r="CK13" i="87" s="1"/>
  <c r="CM13" i="87" s="1"/>
  <c r="CN13" i="87" s="1"/>
  <c r="CI15" i="87"/>
  <c r="CJ15" i="87" s="1"/>
  <c r="CI17" i="87"/>
  <c r="CJ17" i="87" s="1"/>
  <c r="CI19" i="87"/>
  <c r="CJ19" i="87" s="1"/>
  <c r="CI23" i="87"/>
  <c r="CJ23" i="87" s="1"/>
  <c r="CI29" i="87"/>
  <c r="CJ29" i="87" s="1"/>
  <c r="CI18" i="87"/>
  <c r="CJ18" i="87" s="1"/>
  <c r="CK18" i="87" s="1"/>
  <c r="CM18" i="87" s="1"/>
  <c r="CN18" i="87" s="1"/>
  <c r="CI20" i="87"/>
  <c r="CJ20" i="87" s="1"/>
  <c r="CI26" i="87"/>
  <c r="CJ26" i="87" s="1"/>
  <c r="CK26" i="87" s="1"/>
  <c r="CM26" i="87" s="1"/>
  <c r="CN26" i="87" s="1"/>
  <c r="CI31" i="87"/>
  <c r="CJ31" i="87" s="1"/>
  <c r="CK31" i="87" s="1"/>
  <c r="CM31" i="87" s="1"/>
  <c r="CN31" i="87" s="1"/>
  <c r="CI33" i="87"/>
  <c r="CJ33" i="87" s="1"/>
  <c r="CI35" i="87"/>
  <c r="CJ35" i="87" s="1"/>
  <c r="CI37" i="87"/>
  <c r="CJ37" i="87" s="1"/>
  <c r="CI38" i="87"/>
  <c r="CJ38" i="87" s="1"/>
  <c r="CI14" i="87"/>
  <c r="CJ14" i="87" s="1"/>
  <c r="CI16" i="87"/>
  <c r="CJ16" i="87" s="1"/>
  <c r="CK16" i="87" s="1"/>
  <c r="CM16" i="87" s="1"/>
  <c r="CN16" i="87" s="1"/>
  <c r="GG10" i="87"/>
  <c r="GI10" i="87" s="1"/>
  <c r="GJ10" i="87" s="1"/>
  <c r="GL10" i="87" s="1"/>
  <c r="GE13" i="87"/>
  <c r="GF13" i="87" s="1"/>
  <c r="GG13" i="87" s="1"/>
  <c r="GI13" i="87" s="1"/>
  <c r="GJ13" i="87" s="1"/>
  <c r="GE17" i="87"/>
  <c r="GF17" i="87" s="1"/>
  <c r="GE25" i="87"/>
  <c r="GF25" i="87" s="1"/>
  <c r="GE29" i="87"/>
  <c r="GF29" i="87" s="1"/>
  <c r="GE32" i="87"/>
  <c r="GF32" i="87" s="1"/>
  <c r="GE37" i="87"/>
  <c r="GF37" i="87" s="1"/>
  <c r="GE38" i="87"/>
  <c r="GF38" i="87" s="1"/>
  <c r="GE15" i="87"/>
  <c r="GF15" i="87" s="1"/>
  <c r="GG15" i="87" s="1"/>
  <c r="GI15" i="87" s="1"/>
  <c r="GJ15" i="87" s="1"/>
  <c r="GE20" i="87"/>
  <c r="GF20" i="87" s="1"/>
  <c r="GE23" i="87"/>
  <c r="GF23" i="87" s="1"/>
  <c r="GE24" i="87"/>
  <c r="GF24" i="87" s="1"/>
  <c r="GG24" i="87" s="1"/>
  <c r="GI24" i="87" s="1"/>
  <c r="GJ24" i="87" s="1"/>
  <c r="GE31" i="87"/>
  <c r="GF31" i="87" s="1"/>
  <c r="GG31" i="87" s="1"/>
  <c r="GI31" i="87" s="1"/>
  <c r="GJ31" i="87" s="1"/>
  <c r="GE35" i="87"/>
  <c r="GF35" i="87" s="1"/>
  <c r="GE16" i="87"/>
  <c r="GF16" i="87" s="1"/>
  <c r="JZ214" i="87"/>
  <c r="GD214" i="87"/>
  <c r="CA213" i="87"/>
  <c r="CC213" i="87" s="1"/>
  <c r="AJ185" i="87"/>
  <c r="AK196" i="87" s="1"/>
  <c r="AL196" i="87" s="1"/>
  <c r="KO190" i="87"/>
  <c r="KP190" i="87" s="1"/>
  <c r="DQ190" i="87"/>
  <c r="DR190" i="87" s="1"/>
  <c r="KT39" i="87"/>
  <c r="HI38" i="87"/>
  <c r="HJ38" i="87" s="1"/>
  <c r="HI23" i="87"/>
  <c r="HJ23" i="87" s="1"/>
  <c r="HI24" i="87"/>
  <c r="HJ24" i="87" s="1"/>
  <c r="HK24" i="87" s="1"/>
  <c r="HM24" i="87" s="1"/>
  <c r="HN24" i="87" s="1"/>
  <c r="HI28" i="87"/>
  <c r="HJ28" i="87" s="1"/>
  <c r="HI31" i="87"/>
  <c r="HJ31" i="87" s="1"/>
  <c r="HK31" i="87" s="1"/>
  <c r="HM31" i="87" s="1"/>
  <c r="HN31" i="87" s="1"/>
  <c r="HK10" i="87"/>
  <c r="HM10" i="87" s="1"/>
  <c r="HN10" i="87" s="1"/>
  <c r="HI13" i="87"/>
  <c r="HJ13" i="87" s="1"/>
  <c r="HI14" i="87"/>
  <c r="HJ14" i="87" s="1"/>
  <c r="HI18" i="87"/>
  <c r="HJ18" i="87" s="1"/>
  <c r="HK18" i="87" s="1"/>
  <c r="HM18" i="87" s="1"/>
  <c r="HN18" i="87" s="1"/>
  <c r="HI20" i="87"/>
  <c r="HJ20" i="87" s="1"/>
  <c r="HI22" i="87"/>
  <c r="HJ22" i="87" s="1"/>
  <c r="HK22" i="87" s="1"/>
  <c r="HM22" i="87" s="1"/>
  <c r="HN22" i="87" s="1"/>
  <c r="HI25" i="87"/>
  <c r="HJ25" i="87" s="1"/>
  <c r="HI26" i="87"/>
  <c r="HJ26" i="87" s="1"/>
  <c r="HK26" i="87" s="1"/>
  <c r="HM26" i="87" s="1"/>
  <c r="HN26" i="87" s="1"/>
  <c r="HI27" i="87"/>
  <c r="HJ27" i="87" s="1"/>
  <c r="HK27" i="87" s="1"/>
  <c r="HM27" i="87" s="1"/>
  <c r="HN27" i="87" s="1"/>
  <c r="DL214" i="87"/>
  <c r="JQ14" i="87"/>
  <c r="JR14" i="87" s="1"/>
  <c r="JQ23" i="87"/>
  <c r="JR23" i="87" s="1"/>
  <c r="EK153" i="87"/>
  <c r="EL153" i="87" s="1"/>
  <c r="KO144" i="87"/>
  <c r="KP144" i="87" s="1"/>
  <c r="GS149" i="87"/>
  <c r="GT149" i="87" s="1"/>
  <c r="KO145" i="87"/>
  <c r="JU144" i="87"/>
  <c r="JV144" i="87" s="1"/>
  <c r="AO140" i="87"/>
  <c r="AP140" i="87" s="1"/>
  <c r="EU133" i="87"/>
  <c r="EV133" i="87" s="1"/>
  <c r="FO136" i="87"/>
  <c r="FP136" i="87" s="1"/>
  <c r="AY107" i="87"/>
  <c r="AZ107" i="87" s="1"/>
  <c r="AY91" i="87"/>
  <c r="AZ91" i="87" s="1"/>
  <c r="IQ82" i="87"/>
  <c r="IR82" i="87" s="1"/>
  <c r="FO82" i="87"/>
  <c r="FP82" i="87" s="1"/>
  <c r="JK78" i="87"/>
  <c r="JL78" i="87" s="1"/>
  <c r="IQ77" i="87"/>
  <c r="IR77" i="87" s="1"/>
  <c r="Q36" i="87"/>
  <c r="R36" i="87" s="1"/>
  <c r="Q34" i="87"/>
  <c r="R34" i="87" s="1"/>
  <c r="Q31" i="87"/>
  <c r="R31" i="87" s="1"/>
  <c r="S31" i="87" s="1"/>
  <c r="U31" i="87" s="1"/>
  <c r="V31" i="87" s="1"/>
  <c r="IQ28" i="87"/>
  <c r="IR28" i="87" s="1"/>
  <c r="Q26" i="87"/>
  <c r="R26" i="87" s="1"/>
  <c r="S26" i="87" s="1"/>
  <c r="U26" i="87" s="1"/>
  <c r="V26" i="87" s="1"/>
  <c r="JF39" i="87"/>
  <c r="GE34" i="87"/>
  <c r="GF34" i="87" s="1"/>
  <c r="CI34" i="87"/>
  <c r="CJ34" i="87" s="1"/>
  <c r="AT39" i="87"/>
  <c r="AU44" i="87" s="1"/>
  <c r="AV44" i="87" s="1"/>
  <c r="AW44" i="87" s="1"/>
  <c r="AY44" i="87" s="1"/>
  <c r="AZ44" i="87" s="1"/>
  <c r="FU23" i="87"/>
  <c r="FV23" i="87" s="1"/>
  <c r="FU14" i="87"/>
  <c r="FV14" i="87" s="1"/>
  <c r="FU18" i="87"/>
  <c r="FV18" i="87" s="1"/>
  <c r="FW18" i="87" s="1"/>
  <c r="FY18" i="87" s="1"/>
  <c r="FZ18" i="87" s="1"/>
  <c r="FU27" i="87"/>
  <c r="FV27" i="87" s="1"/>
  <c r="FW27" i="87" s="1"/>
  <c r="FY27" i="87" s="1"/>
  <c r="BI15" i="87"/>
  <c r="BJ15" i="87" s="1"/>
  <c r="GD155" i="87"/>
  <c r="HR214" i="87"/>
  <c r="Z214" i="87"/>
  <c r="HH214" i="87"/>
  <c r="BN97" i="87"/>
  <c r="GX214" i="87"/>
  <c r="JF68" i="87"/>
  <c r="JG78" i="87" s="1"/>
  <c r="JH78" i="87" s="1"/>
  <c r="EU25" i="87"/>
  <c r="EV25" i="87" s="1"/>
  <c r="HW23" i="87"/>
  <c r="HX23" i="87" s="1"/>
  <c r="EA18" i="87"/>
  <c r="FE58" i="87"/>
  <c r="FF58" i="87" s="1"/>
  <c r="BI34" i="87"/>
  <c r="FY33" i="87"/>
  <c r="DC32" i="87"/>
  <c r="DD32" i="87" s="1"/>
  <c r="IG29" i="87"/>
  <c r="IH29" i="87" s="1"/>
  <c r="AA28" i="87"/>
  <c r="AB28" i="87" s="1"/>
  <c r="DC27" i="87"/>
  <c r="DD27" i="87" s="1"/>
  <c r="FE25" i="87"/>
  <c r="FF25" i="87" s="1"/>
  <c r="DC25" i="87"/>
  <c r="DD25" i="87" s="1"/>
  <c r="FE17" i="87"/>
  <c r="FF17" i="87" s="1"/>
  <c r="JF185" i="87"/>
  <c r="JG197" i="87" s="1"/>
  <c r="JH197" i="87" s="1"/>
  <c r="JI197" i="87" s="1"/>
  <c r="JK197" i="87" s="1"/>
  <c r="JL197" i="87" s="1"/>
  <c r="FT214" i="87"/>
  <c r="DB126" i="87"/>
  <c r="AY34" i="87"/>
  <c r="AZ34" i="87" s="1"/>
  <c r="EA33" i="87"/>
  <c r="EB33" i="87" s="1"/>
  <c r="DG29" i="87"/>
  <c r="DH29" i="87" s="1"/>
  <c r="EA19" i="87"/>
  <c r="EB19" i="87" s="1"/>
  <c r="HC14" i="87"/>
  <c r="HD14" i="87" s="1"/>
  <c r="AA37" i="87"/>
  <c r="AB37" i="87" s="1"/>
  <c r="KO28" i="87"/>
  <c r="KP28" i="87" s="1"/>
  <c r="DC28" i="87"/>
  <c r="DD28" i="87" s="1"/>
  <c r="AA20" i="87"/>
  <c r="AB20" i="87" s="1"/>
  <c r="DC14" i="87"/>
  <c r="DD14" i="87" s="1"/>
  <c r="AY72" i="87"/>
  <c r="AZ72" i="87" s="1"/>
  <c r="Z185" i="87"/>
  <c r="AA208" i="87" s="1"/>
  <c r="AB208" i="87" s="1"/>
  <c r="DB214" i="87"/>
  <c r="P214" i="87"/>
  <c r="KJ214" i="87"/>
  <c r="EP214" i="87"/>
  <c r="KO130" i="87"/>
  <c r="KP130" i="87" s="1"/>
  <c r="KO149" i="87"/>
  <c r="KP149" i="87" s="1"/>
  <c r="KK32" i="87"/>
  <c r="KL32" i="87" s="1"/>
  <c r="KO134" i="87"/>
  <c r="KP134" i="87" s="1"/>
  <c r="KO104" i="87"/>
  <c r="KO77" i="87"/>
  <c r="KP77" i="87" s="1"/>
  <c r="KO48" i="87"/>
  <c r="KP48" i="87" s="1"/>
  <c r="KJ155" i="87"/>
  <c r="KO141" i="87"/>
  <c r="KP141" i="87" s="1"/>
  <c r="KO102" i="87"/>
  <c r="KP102" i="87" s="1"/>
  <c r="KE145" i="87"/>
  <c r="KF145" i="87" s="1"/>
  <c r="KE17" i="87"/>
  <c r="KF17" i="87" s="1"/>
  <c r="KE142" i="87"/>
  <c r="KF142" i="87" s="1"/>
  <c r="KE77" i="87"/>
  <c r="KF77" i="87" s="1"/>
  <c r="KE75" i="87"/>
  <c r="KF75" i="87" s="1"/>
  <c r="KE44" i="87"/>
  <c r="KE27" i="87"/>
  <c r="KF27" i="87" s="1"/>
  <c r="JU154" i="87"/>
  <c r="JV154" i="87" s="1"/>
  <c r="JU145" i="87"/>
  <c r="JV145" i="87" s="1"/>
  <c r="JQ18" i="87"/>
  <c r="JR18" i="87" s="1"/>
  <c r="JS18" i="87" s="1"/>
  <c r="JU18" i="87" s="1"/>
  <c r="JV18" i="87" s="1"/>
  <c r="JQ15" i="87"/>
  <c r="JR15" i="87" s="1"/>
  <c r="JS15" i="87" s="1"/>
  <c r="JU15" i="87" s="1"/>
  <c r="JV15" i="87" s="1"/>
  <c r="JU32" i="87"/>
  <c r="JV32" i="87" s="1"/>
  <c r="JU95" i="87"/>
  <c r="JV95" i="87" s="1"/>
  <c r="JU90" i="87"/>
  <c r="JV90" i="87" s="1"/>
  <c r="JQ32" i="87"/>
  <c r="JR32" i="87" s="1"/>
  <c r="JQ28" i="87"/>
  <c r="JR28" i="87" s="1"/>
  <c r="JQ24" i="87"/>
  <c r="JR24" i="87" s="1"/>
  <c r="JS24" i="87" s="1"/>
  <c r="JU24" i="87" s="1"/>
  <c r="JV24" i="87" s="1"/>
  <c r="JQ19" i="87"/>
  <c r="JR19" i="87" s="1"/>
  <c r="JP155" i="87"/>
  <c r="JK83" i="87"/>
  <c r="JL83" i="87" s="1"/>
  <c r="JG38" i="87"/>
  <c r="JH38" i="87" s="1"/>
  <c r="JG32" i="87"/>
  <c r="JH32" i="87" s="1"/>
  <c r="JG25" i="87"/>
  <c r="JH25" i="87" s="1"/>
  <c r="JG23" i="87"/>
  <c r="JH23" i="87" s="1"/>
  <c r="JK148" i="87"/>
  <c r="JG35" i="87"/>
  <c r="JH35" i="87" s="1"/>
  <c r="JG33" i="87"/>
  <c r="JH33" i="87" s="1"/>
  <c r="JG29" i="87"/>
  <c r="JH29" i="87" s="1"/>
  <c r="JG26" i="87"/>
  <c r="JH26" i="87" s="1"/>
  <c r="JI26" i="87" s="1"/>
  <c r="JK26" i="87" s="1"/>
  <c r="JL26" i="87" s="1"/>
  <c r="JG20" i="87"/>
  <c r="JH20" i="87" s="1"/>
  <c r="JG17" i="87"/>
  <c r="JH17" i="87" s="1"/>
  <c r="JG15" i="87"/>
  <c r="JH15" i="87" s="1"/>
  <c r="JG37" i="87"/>
  <c r="JH37" i="87" s="1"/>
  <c r="JG28" i="87"/>
  <c r="JH28" i="87" s="1"/>
  <c r="JG19" i="87"/>
  <c r="JH19" i="87" s="1"/>
  <c r="JG14" i="87"/>
  <c r="JH14" i="87" s="1"/>
  <c r="JK93" i="87"/>
  <c r="JL93" i="87" s="1"/>
  <c r="JK17" i="87"/>
  <c r="JL17" i="87" s="1"/>
  <c r="JG36" i="87"/>
  <c r="JH36" i="87" s="1"/>
  <c r="JI36" i="87" s="1"/>
  <c r="JK36" i="87" s="1"/>
  <c r="JG18" i="87"/>
  <c r="JH18" i="87" s="1"/>
  <c r="JI18" i="87" s="1"/>
  <c r="JK18" i="87" s="1"/>
  <c r="JL18" i="87" s="1"/>
  <c r="IW19" i="87"/>
  <c r="IX19" i="87" s="1"/>
  <c r="JA83" i="87"/>
  <c r="JB83" i="87" s="1"/>
  <c r="IW32" i="87"/>
  <c r="IX32" i="87" s="1"/>
  <c r="IW14" i="87"/>
  <c r="IX14" i="87" s="1"/>
  <c r="JA34" i="87"/>
  <c r="IW23" i="87"/>
  <c r="IX23" i="87" s="1"/>
  <c r="JA153" i="87"/>
  <c r="JB153" i="87" s="1"/>
  <c r="JA135" i="87"/>
  <c r="JB135" i="87" s="1"/>
  <c r="JA37" i="87"/>
  <c r="JA28" i="87"/>
  <c r="IL68" i="87"/>
  <c r="IM96" i="87" s="1"/>
  <c r="IN96" i="87" s="1"/>
  <c r="IQ44" i="87"/>
  <c r="IQ15" i="87"/>
  <c r="IR15" i="87" s="1"/>
  <c r="IQ102" i="87"/>
  <c r="IR102" i="87" s="1"/>
  <c r="IQ57" i="87"/>
  <c r="IG36" i="87"/>
  <c r="IH36" i="87" s="1"/>
  <c r="IG148" i="87"/>
  <c r="IH148" i="87" s="1"/>
  <c r="IG43" i="87"/>
  <c r="IH43" i="87" s="1"/>
  <c r="IC35" i="87"/>
  <c r="ID35" i="87" s="1"/>
  <c r="IE35" i="87" s="1"/>
  <c r="IG35" i="87" s="1"/>
  <c r="IC28" i="87"/>
  <c r="ID28" i="87" s="1"/>
  <c r="IC25" i="87"/>
  <c r="ID25" i="87" s="1"/>
  <c r="IC23" i="87"/>
  <c r="ID23" i="87" s="1"/>
  <c r="IC20" i="87"/>
  <c r="ID20" i="87" s="1"/>
  <c r="IC15" i="87"/>
  <c r="ID15" i="87" s="1"/>
  <c r="IE15" i="87" s="1"/>
  <c r="IG15" i="87" s="1"/>
  <c r="IH15" i="87" s="1"/>
  <c r="IG61" i="87"/>
  <c r="IH61" i="87" s="1"/>
  <c r="IG34" i="87"/>
  <c r="IE10" i="87"/>
  <c r="IG10" i="87" s="1"/>
  <c r="IH10" i="87" s="1"/>
  <c r="IC36" i="87"/>
  <c r="ID36" i="87" s="1"/>
  <c r="IC32" i="87"/>
  <c r="ID32" i="87" s="1"/>
  <c r="IC31" i="87"/>
  <c r="ID31" i="87" s="1"/>
  <c r="IE31" i="87" s="1"/>
  <c r="IG31" i="87" s="1"/>
  <c r="IH31" i="87" s="1"/>
  <c r="IC18" i="87"/>
  <c r="ID18" i="87" s="1"/>
  <c r="IE18" i="87" s="1"/>
  <c r="IG18" i="87" s="1"/>
  <c r="IH18" i="87" s="1"/>
  <c r="IC17" i="87"/>
  <c r="ID17" i="87" s="1"/>
  <c r="IC16" i="87"/>
  <c r="ID16" i="87" s="1"/>
  <c r="IE16" i="87" s="1"/>
  <c r="IG16" i="87" s="1"/>
  <c r="IH16" i="87" s="1"/>
  <c r="IG23" i="87"/>
  <c r="IH23" i="87" s="1"/>
  <c r="HW119" i="87"/>
  <c r="HX119" i="87" s="1"/>
  <c r="HW90" i="87"/>
  <c r="HX90" i="87" s="1"/>
  <c r="HW87" i="87"/>
  <c r="HW152" i="87"/>
  <c r="HW141" i="87"/>
  <c r="HX141" i="87" s="1"/>
  <c r="HW150" i="87"/>
  <c r="HX150" i="87" s="1"/>
  <c r="HR68" i="87"/>
  <c r="HW72" i="87"/>
  <c r="HX72" i="87" s="1"/>
  <c r="HM49" i="87"/>
  <c r="HN49" i="87" s="1"/>
  <c r="HH155" i="87"/>
  <c r="HM92" i="87"/>
  <c r="HM87" i="87"/>
  <c r="HN87" i="87" s="1"/>
  <c r="HM78" i="87"/>
  <c r="HN78" i="87" s="1"/>
  <c r="HM153" i="87"/>
  <c r="HN153" i="87" s="1"/>
  <c r="HM57" i="87"/>
  <c r="HN57" i="87" s="1"/>
  <c r="HM66" i="87"/>
  <c r="HN66" i="87" s="1"/>
  <c r="HM37" i="87"/>
  <c r="HN37" i="87" s="1"/>
  <c r="HM28" i="87"/>
  <c r="HC144" i="87"/>
  <c r="HC49" i="87"/>
  <c r="HD49" i="87" s="1"/>
  <c r="HC23" i="87"/>
  <c r="HD23" i="87" s="1"/>
  <c r="HC15" i="87"/>
  <c r="HD15" i="87" s="1"/>
  <c r="HC141" i="87"/>
  <c r="HD141" i="87" s="1"/>
  <c r="HC116" i="87"/>
  <c r="HD116" i="87" s="1"/>
  <c r="HC94" i="87"/>
  <c r="HC83" i="87"/>
  <c r="HD83" i="87" s="1"/>
  <c r="HC81" i="87"/>
  <c r="HD81" i="87" s="1"/>
  <c r="HC36" i="87"/>
  <c r="HD36" i="87" s="1"/>
  <c r="HC32" i="87"/>
  <c r="HC202" i="87"/>
  <c r="HD202" i="87" s="1"/>
  <c r="HC140" i="87"/>
  <c r="HD140" i="87" s="1"/>
  <c r="GX68" i="87"/>
  <c r="GY73" i="87" s="1"/>
  <c r="GZ73" i="87" s="1"/>
  <c r="HC33" i="87"/>
  <c r="HC19" i="87"/>
  <c r="HD19" i="87" s="1"/>
  <c r="GS134" i="87"/>
  <c r="GT134" i="87" s="1"/>
  <c r="GS101" i="87"/>
  <c r="GT101" i="87" s="1"/>
  <c r="GS77" i="87"/>
  <c r="GT77" i="87" s="1"/>
  <c r="GS25" i="87"/>
  <c r="GT25" i="87" s="1"/>
  <c r="GS23" i="87"/>
  <c r="GT23" i="87" s="1"/>
  <c r="GS130" i="87"/>
  <c r="GT130" i="87" s="1"/>
  <c r="GS61" i="87"/>
  <c r="GN214" i="87"/>
  <c r="GS141" i="87"/>
  <c r="GT141" i="87" s="1"/>
  <c r="GS17" i="87"/>
  <c r="GT17" i="87" s="1"/>
  <c r="GI78" i="87"/>
  <c r="GJ78" i="87" s="1"/>
  <c r="GI133" i="87"/>
  <c r="GJ133" i="87" s="1"/>
  <c r="GI154" i="87"/>
  <c r="GJ154" i="87" s="1"/>
  <c r="GI75" i="87"/>
  <c r="GJ75" i="87" s="1"/>
  <c r="GI20" i="87"/>
  <c r="GJ20" i="87" s="1"/>
  <c r="FY77" i="87"/>
  <c r="FZ77" i="87" s="1"/>
  <c r="FY49" i="87"/>
  <c r="FZ49" i="87" s="1"/>
  <c r="FY37" i="87"/>
  <c r="FY28" i="87"/>
  <c r="FY104" i="87"/>
  <c r="FZ104" i="87" s="1"/>
  <c r="FY87" i="87"/>
  <c r="FY78" i="87"/>
  <c r="FZ78" i="87" s="1"/>
  <c r="FO95" i="87"/>
  <c r="FO23" i="87"/>
  <c r="FP23" i="87" s="1"/>
  <c r="FK37" i="87"/>
  <c r="FL37" i="87" s="1"/>
  <c r="FK34" i="87"/>
  <c r="FL34" i="87" s="1"/>
  <c r="FK29" i="87"/>
  <c r="FL29" i="87" s="1"/>
  <c r="FK28" i="87"/>
  <c r="FL28" i="87" s="1"/>
  <c r="FK27" i="87"/>
  <c r="FL27" i="87" s="1"/>
  <c r="FK20" i="87"/>
  <c r="FL20" i="87" s="1"/>
  <c r="FK19" i="87"/>
  <c r="FL19" i="87" s="1"/>
  <c r="FK16" i="87"/>
  <c r="FL16" i="87" s="1"/>
  <c r="FM16" i="87" s="1"/>
  <c r="FO16" i="87" s="1"/>
  <c r="FP16" i="87" s="1"/>
  <c r="FO152" i="87"/>
  <c r="FO123" i="87"/>
  <c r="FP123" i="87" s="1"/>
  <c r="FO102" i="87"/>
  <c r="FP102" i="87" s="1"/>
  <c r="FO85" i="87"/>
  <c r="FP85" i="87" s="1"/>
  <c r="FO18" i="87"/>
  <c r="FP18" i="87" s="1"/>
  <c r="FK31" i="87"/>
  <c r="FL31" i="87" s="1"/>
  <c r="FM31" i="87" s="1"/>
  <c r="FO31" i="87" s="1"/>
  <c r="FP31" i="87" s="1"/>
  <c r="FK24" i="87"/>
  <c r="FL24" i="87" s="1"/>
  <c r="FK13" i="87"/>
  <c r="FL13" i="87" s="1"/>
  <c r="FM13" i="87" s="1"/>
  <c r="FO13" i="87" s="1"/>
  <c r="FP13" i="87" s="1"/>
  <c r="FO200" i="87"/>
  <c r="FP200" i="87" s="1"/>
  <c r="EZ97" i="87"/>
  <c r="FE139" i="87"/>
  <c r="FF139" i="87" s="1"/>
  <c r="FE101" i="87"/>
  <c r="FF101" i="87" s="1"/>
  <c r="FE32" i="87"/>
  <c r="FE14" i="87"/>
  <c r="EZ68" i="87"/>
  <c r="FA89" i="87" s="1"/>
  <c r="FB89" i="87" s="1"/>
  <c r="FC89" i="87" s="1"/>
  <c r="FE89" i="87" s="1"/>
  <c r="FF89" i="87" s="1"/>
  <c r="FE63" i="87"/>
  <c r="FF63" i="87" s="1"/>
  <c r="FE67" i="87"/>
  <c r="FF67" i="87" s="1"/>
  <c r="EU116" i="87"/>
  <c r="EV116" i="87" s="1"/>
  <c r="EP155" i="87"/>
  <c r="EU48" i="87"/>
  <c r="EV48" i="87" s="1"/>
  <c r="EK28" i="87"/>
  <c r="EL28" i="87" s="1"/>
  <c r="EK139" i="87"/>
  <c r="EL139" i="87" s="1"/>
  <c r="EK64" i="87"/>
  <c r="EL64" i="87" s="1"/>
  <c r="EK149" i="87"/>
  <c r="EL149" i="87" s="1"/>
  <c r="EK135" i="87"/>
  <c r="EL135" i="87" s="1"/>
  <c r="EK78" i="87"/>
  <c r="EL78" i="87" s="1"/>
  <c r="EA123" i="87"/>
  <c r="EB123" i="87" s="1"/>
  <c r="EA101" i="87"/>
  <c r="EB101" i="87" s="1"/>
  <c r="EA43" i="87"/>
  <c r="EB43" i="87" s="1"/>
  <c r="EA115" i="87"/>
  <c r="EB115" i="87" s="1"/>
  <c r="EA28" i="87"/>
  <c r="EB28" i="87" s="1"/>
  <c r="DW29" i="87"/>
  <c r="DX29" i="87" s="1"/>
  <c r="DW25" i="87"/>
  <c r="DX25" i="87" s="1"/>
  <c r="EA141" i="87"/>
  <c r="EB141" i="87" s="1"/>
  <c r="EA107" i="87"/>
  <c r="EA46" i="87"/>
  <c r="EB46" i="87" s="1"/>
  <c r="EA37" i="87"/>
  <c r="EB37" i="87" s="1"/>
  <c r="DW32" i="87"/>
  <c r="DX32" i="87" s="1"/>
  <c r="DW27" i="87"/>
  <c r="DX27" i="87" s="1"/>
  <c r="DY27" i="87" s="1"/>
  <c r="EA27" i="87" s="1"/>
  <c r="EB27" i="87" s="1"/>
  <c r="DW14" i="87"/>
  <c r="DX14" i="87" s="1"/>
  <c r="EA57" i="87"/>
  <c r="EB57" i="87" s="1"/>
  <c r="EA193" i="87"/>
  <c r="EB193" i="87" s="1"/>
  <c r="DQ134" i="87"/>
  <c r="DR134" i="87" s="1"/>
  <c r="DQ93" i="87"/>
  <c r="DR93" i="87" s="1"/>
  <c r="DQ89" i="87"/>
  <c r="DQ65" i="87"/>
  <c r="DR65" i="87" s="1"/>
  <c r="DQ31" i="87"/>
  <c r="DR31" i="87" s="1"/>
  <c r="DQ152" i="87"/>
  <c r="DQ154" i="87"/>
  <c r="DQ150" i="87"/>
  <c r="DR150" i="87" s="1"/>
  <c r="DQ14" i="87"/>
  <c r="DR14" i="87" s="1"/>
  <c r="DG49" i="87"/>
  <c r="DH49" i="87" s="1"/>
  <c r="DG136" i="87"/>
  <c r="DH136" i="87" s="1"/>
  <c r="DG145" i="87"/>
  <c r="DH145" i="87" s="1"/>
  <c r="DG150" i="87"/>
  <c r="DG112" i="87"/>
  <c r="DH112" i="87" s="1"/>
  <c r="DG27" i="87"/>
  <c r="DG17" i="87"/>
  <c r="DH17" i="87" s="1"/>
  <c r="DC37" i="87"/>
  <c r="DD37" i="87" s="1"/>
  <c r="DC35" i="87"/>
  <c r="DD35" i="87" s="1"/>
  <c r="DE35" i="87" s="1"/>
  <c r="DG35" i="87" s="1"/>
  <c r="DH35" i="87" s="1"/>
  <c r="DC34" i="87"/>
  <c r="DD34" i="87" s="1"/>
  <c r="DC22" i="87"/>
  <c r="DD22" i="87" s="1"/>
  <c r="DE22" i="87" s="1"/>
  <c r="DG22" i="87" s="1"/>
  <c r="DH22" i="87" s="1"/>
  <c r="DC20" i="87"/>
  <c r="DD20" i="87" s="1"/>
  <c r="DC19" i="87"/>
  <c r="DD19" i="87" s="1"/>
  <c r="DC17" i="87"/>
  <c r="DD17" i="87" s="1"/>
  <c r="DC16" i="87"/>
  <c r="DD16" i="87" s="1"/>
  <c r="DE16" i="87" s="1"/>
  <c r="DG16" i="87" s="1"/>
  <c r="DG133" i="87"/>
  <c r="DH133" i="87" s="1"/>
  <c r="DG94" i="87"/>
  <c r="DH94" i="87" s="1"/>
  <c r="DG85" i="87"/>
  <c r="DH85" i="87" s="1"/>
  <c r="DG78" i="87"/>
  <c r="DH78" i="87" s="1"/>
  <c r="DG76" i="87"/>
  <c r="DG23" i="87"/>
  <c r="DH23" i="87" s="1"/>
  <c r="DB39" i="87"/>
  <c r="DC36" i="87"/>
  <c r="DD36" i="87" s="1"/>
  <c r="DC24" i="87"/>
  <c r="DD24" i="87" s="1"/>
  <c r="DC23" i="87"/>
  <c r="DD23" i="87" s="1"/>
  <c r="DC18" i="87"/>
  <c r="DD18" i="87" s="1"/>
  <c r="CW25" i="87"/>
  <c r="CX25" i="87" s="1"/>
  <c r="CW133" i="87"/>
  <c r="CX133" i="87" s="1"/>
  <c r="CW95" i="87"/>
  <c r="CX95" i="87" s="1"/>
  <c r="CW91" i="87"/>
  <c r="CX91" i="87" s="1"/>
  <c r="CW86" i="87"/>
  <c r="CX86" i="87" s="1"/>
  <c r="CW141" i="87"/>
  <c r="CX141" i="87" s="1"/>
  <c r="CM148" i="87"/>
  <c r="CN148" i="87" s="1"/>
  <c r="CM95" i="87"/>
  <c r="CN95" i="87" s="1"/>
  <c r="CM86" i="87"/>
  <c r="CN86" i="87" s="1"/>
  <c r="CM77" i="87"/>
  <c r="CN77" i="87" s="1"/>
  <c r="CM34" i="87"/>
  <c r="CN34" i="87" s="1"/>
  <c r="CM33" i="87"/>
  <c r="CM32" i="87"/>
  <c r="CN32" i="87" s="1"/>
  <c r="CH39" i="87"/>
  <c r="CI53" i="87" s="1"/>
  <c r="CJ53" i="87" s="1"/>
  <c r="CH68" i="87"/>
  <c r="CI81" i="87" s="1"/>
  <c r="CJ81" i="87" s="1"/>
  <c r="CM111" i="87"/>
  <c r="CN111" i="87" s="1"/>
  <c r="CH126" i="87"/>
  <c r="CM131" i="87"/>
  <c r="CN131" i="87" s="1"/>
  <c r="CM140" i="87"/>
  <c r="CN140" i="87" s="1"/>
  <c r="CM153" i="87"/>
  <c r="CN153" i="87" s="1"/>
  <c r="BX97" i="87"/>
  <c r="BY125" i="87" s="1"/>
  <c r="BZ125" i="87" s="1"/>
  <c r="CC43" i="87"/>
  <c r="CD43" i="87" s="1"/>
  <c r="CC150" i="87"/>
  <c r="CD150" i="87" s="1"/>
  <c r="CC145" i="87"/>
  <c r="CD145" i="87" s="1"/>
  <c r="CC141" i="87"/>
  <c r="CD141" i="87" s="1"/>
  <c r="CC136" i="87"/>
  <c r="CD136" i="87" s="1"/>
  <c r="CC104" i="87"/>
  <c r="CD104" i="87" s="1"/>
  <c r="BY37" i="87"/>
  <c r="BZ37" i="87" s="1"/>
  <c r="BY25" i="87"/>
  <c r="BZ25" i="87" s="1"/>
  <c r="BY24" i="87"/>
  <c r="BZ24" i="87" s="1"/>
  <c r="BY23" i="87"/>
  <c r="BZ23" i="87" s="1"/>
  <c r="BY17" i="87"/>
  <c r="BZ17" i="87" s="1"/>
  <c r="CC32" i="87"/>
  <c r="CC14" i="87"/>
  <c r="CD14" i="87" s="1"/>
  <c r="BN39" i="87"/>
  <c r="BO56" i="87" s="1"/>
  <c r="BP56" i="87" s="1"/>
  <c r="BS133" i="87"/>
  <c r="BT133" i="87" s="1"/>
  <c r="BS87" i="87"/>
  <c r="BS78" i="87"/>
  <c r="BI152" i="87"/>
  <c r="BJ152" i="87" s="1"/>
  <c r="BI19" i="87"/>
  <c r="BJ19" i="87" s="1"/>
  <c r="BI144" i="87"/>
  <c r="BI135" i="87"/>
  <c r="BJ135" i="87" s="1"/>
  <c r="BI49" i="87"/>
  <c r="BJ49" i="87" s="1"/>
  <c r="BE35" i="87"/>
  <c r="BF35" i="87" s="1"/>
  <c r="BE31" i="87"/>
  <c r="BF31" i="87" s="1"/>
  <c r="BG31" i="87" s="1"/>
  <c r="BI31" i="87" s="1"/>
  <c r="BJ31" i="87" s="1"/>
  <c r="BE26" i="87"/>
  <c r="BF26" i="87" s="1"/>
  <c r="BG26" i="87" s="1"/>
  <c r="BI26" i="87" s="1"/>
  <c r="BJ26" i="87" s="1"/>
  <c r="BE22" i="87"/>
  <c r="BF22" i="87" s="1"/>
  <c r="BG22" i="87" s="1"/>
  <c r="BI22" i="87" s="1"/>
  <c r="BJ22" i="87" s="1"/>
  <c r="BE17" i="87"/>
  <c r="BF17" i="87" s="1"/>
  <c r="BE13" i="87"/>
  <c r="BF13" i="87" s="1"/>
  <c r="BD126" i="87"/>
  <c r="BE140" i="87" s="1"/>
  <c r="BF140" i="87" s="1"/>
  <c r="BI154" i="87"/>
  <c r="BJ154" i="87" s="1"/>
  <c r="BI150" i="87"/>
  <c r="BJ150" i="87" s="1"/>
  <c r="BI145" i="87"/>
  <c r="BJ145" i="87" s="1"/>
  <c r="BI136" i="87"/>
  <c r="BJ136" i="87" s="1"/>
  <c r="BI132" i="87"/>
  <c r="BJ132" i="87" s="1"/>
  <c r="BE37" i="87"/>
  <c r="BF37" i="87" s="1"/>
  <c r="BE28" i="87"/>
  <c r="BF28" i="87" s="1"/>
  <c r="BE19" i="87"/>
  <c r="BF19" i="87" s="1"/>
  <c r="AY148" i="87"/>
  <c r="AZ148" i="87" s="1"/>
  <c r="AY124" i="87"/>
  <c r="AY144" i="87"/>
  <c r="AZ144" i="87" s="1"/>
  <c r="AY101" i="87"/>
  <c r="AZ101" i="87" s="1"/>
  <c r="AY95" i="87"/>
  <c r="AZ95" i="87" s="1"/>
  <c r="AY32" i="87"/>
  <c r="AY23" i="87"/>
  <c r="AZ23" i="87" s="1"/>
  <c r="AY18" i="87"/>
  <c r="AZ18" i="87" s="1"/>
  <c r="AY57" i="87"/>
  <c r="AZ57" i="87" s="1"/>
  <c r="AJ214" i="87"/>
  <c r="AO87" i="87"/>
  <c r="AP87" i="87" s="1"/>
  <c r="AO23" i="87"/>
  <c r="AP23" i="87" s="1"/>
  <c r="AO63" i="87"/>
  <c r="AP63" i="87" s="1"/>
  <c r="AO20" i="87"/>
  <c r="AP20" i="87" s="1"/>
  <c r="AJ97" i="87"/>
  <c r="AO154" i="87"/>
  <c r="AP154" i="87" s="1"/>
  <c r="AO136" i="87"/>
  <c r="AP136" i="87" s="1"/>
  <c r="AO29" i="87"/>
  <c r="AA38" i="87"/>
  <c r="AB38" i="87" s="1"/>
  <c r="AA36" i="87"/>
  <c r="AB36" i="87" s="1"/>
  <c r="AA35" i="87"/>
  <c r="AB35" i="87" s="1"/>
  <c r="AC35" i="87" s="1"/>
  <c r="AE35" i="87" s="1"/>
  <c r="AF35" i="87" s="1"/>
  <c r="AA27" i="87"/>
  <c r="AB27" i="87" s="1"/>
  <c r="AC27" i="87" s="1"/>
  <c r="AE27" i="87" s="1"/>
  <c r="AF27" i="87" s="1"/>
  <c r="AA26" i="87"/>
  <c r="AB26" i="87" s="1"/>
  <c r="AC26" i="87" s="1"/>
  <c r="AE26" i="87" s="1"/>
  <c r="AF26" i="87" s="1"/>
  <c r="AA18" i="87"/>
  <c r="AB18" i="87" s="1"/>
  <c r="AC18" i="87" s="1"/>
  <c r="AE18" i="87" s="1"/>
  <c r="AF18" i="87" s="1"/>
  <c r="AA17" i="87"/>
  <c r="AB17" i="87" s="1"/>
  <c r="AC17" i="87" s="1"/>
  <c r="AE17" i="87" s="1"/>
  <c r="AF17" i="87" s="1"/>
  <c r="AE139" i="87"/>
  <c r="AF139" i="87" s="1"/>
  <c r="Z68" i="87"/>
  <c r="AE81" i="87"/>
  <c r="AF81" i="87" s="1"/>
  <c r="AE78" i="87"/>
  <c r="AA34" i="87"/>
  <c r="AB34" i="87" s="1"/>
  <c r="AA33" i="87"/>
  <c r="AB33" i="87" s="1"/>
  <c r="AA25" i="87"/>
  <c r="AB25" i="87" s="1"/>
  <c r="AA24" i="87"/>
  <c r="AB24" i="87" s="1"/>
  <c r="AA16" i="87"/>
  <c r="AB16" i="87" s="1"/>
  <c r="AC16" i="87" s="1"/>
  <c r="AE16" i="87" s="1"/>
  <c r="AF16" i="87" s="1"/>
  <c r="AA15" i="87"/>
  <c r="AB15" i="87" s="1"/>
  <c r="AE135" i="87"/>
  <c r="AF135" i="87" s="1"/>
  <c r="AE34" i="87"/>
  <c r="AA32" i="87"/>
  <c r="AB32" i="87" s="1"/>
  <c r="AA31" i="87"/>
  <c r="AB31" i="87" s="1"/>
  <c r="AC31" i="87" s="1"/>
  <c r="AE31" i="87" s="1"/>
  <c r="AF31" i="87" s="1"/>
  <c r="AA23" i="87"/>
  <c r="AB23" i="87" s="1"/>
  <c r="AA22" i="87"/>
  <c r="AB22" i="87" s="1"/>
  <c r="AC22" i="87" s="1"/>
  <c r="AE22" i="87" s="1"/>
  <c r="AF22" i="87" s="1"/>
  <c r="AA14" i="87"/>
  <c r="AB14" i="87" s="1"/>
  <c r="AC14" i="87" s="1"/>
  <c r="AE14" i="87" s="1"/>
  <c r="AF14" i="87" s="1"/>
  <c r="AA13" i="87"/>
  <c r="AB13" i="87" s="1"/>
  <c r="U150" i="87"/>
  <c r="V150" i="87" s="1"/>
  <c r="U141" i="87"/>
  <c r="V141" i="87" s="1"/>
  <c r="U92" i="87"/>
  <c r="V92" i="87" s="1"/>
  <c r="U78" i="87"/>
  <c r="V78" i="87" s="1"/>
  <c r="U49" i="87"/>
  <c r="V49" i="87" s="1"/>
  <c r="U62" i="87"/>
  <c r="V62" i="87" s="1"/>
  <c r="U25" i="87"/>
  <c r="V25" i="87" s="1"/>
  <c r="U35" i="87"/>
  <c r="V35" i="87" s="1"/>
  <c r="U151" i="87"/>
  <c r="V151" i="87" s="1"/>
  <c r="EA62" i="87"/>
  <c r="EB62" i="87" s="1"/>
  <c r="HW200" i="87"/>
  <c r="HX200" i="87" s="1"/>
  <c r="KE209" i="87"/>
  <c r="KF209" i="87" s="1"/>
  <c r="BS204" i="87"/>
  <c r="BT204" i="87" s="1"/>
  <c r="AT214" i="87"/>
  <c r="P68" i="87"/>
  <c r="DV214" i="87"/>
  <c r="AJ68" i="87"/>
  <c r="AK76" i="87" s="1"/>
  <c r="AL76" i="87" s="1"/>
  <c r="AM76" i="87" s="1"/>
  <c r="AO76" i="87" s="1"/>
  <c r="KE191" i="87"/>
  <c r="KF191" i="87" s="1"/>
  <c r="KE211" i="87"/>
  <c r="KF211" i="87" s="1"/>
  <c r="JZ185" i="87"/>
  <c r="KA212" i="87" s="1"/>
  <c r="KB212" i="87" s="1"/>
  <c r="KE133" i="87"/>
  <c r="KF133" i="87" s="1"/>
  <c r="KE140" i="87"/>
  <c r="KF140" i="87" s="1"/>
  <c r="KE144" i="87"/>
  <c r="KF144" i="87" s="1"/>
  <c r="KE151" i="87"/>
  <c r="KF151" i="87" s="1"/>
  <c r="KE111" i="87"/>
  <c r="KF111" i="87" s="1"/>
  <c r="IE101" i="87"/>
  <c r="IG101" i="87" s="1"/>
  <c r="IB97" i="87"/>
  <c r="IB68" i="87"/>
  <c r="FT185" i="87"/>
  <c r="FW185" i="87" s="1"/>
  <c r="FY185" i="87" s="1"/>
  <c r="FZ185" i="87" s="1"/>
  <c r="GB185" i="87" s="1"/>
  <c r="EK151" i="87"/>
  <c r="EL151" i="87" s="1"/>
  <c r="EK49" i="87"/>
  <c r="EL49" i="87" s="1"/>
  <c r="DV39" i="87"/>
  <c r="DW56" i="87" s="1"/>
  <c r="DX56" i="87" s="1"/>
  <c r="DY56" i="87" s="1"/>
  <c r="EA56" i="87" s="1"/>
  <c r="EB56" i="87" s="1"/>
  <c r="EA133" i="87"/>
  <c r="EB133" i="87" s="1"/>
  <c r="DV68" i="87"/>
  <c r="DW76" i="87" s="1"/>
  <c r="DX76" i="87" s="1"/>
  <c r="EA124" i="87"/>
  <c r="EA86" i="87"/>
  <c r="EA77" i="87"/>
  <c r="EB77" i="87" s="1"/>
  <c r="DW37" i="87"/>
  <c r="DX37" i="87" s="1"/>
  <c r="DW35" i="87"/>
  <c r="DX35" i="87" s="1"/>
  <c r="DY35" i="87" s="1"/>
  <c r="EA35" i="87" s="1"/>
  <c r="EB35" i="87" s="1"/>
  <c r="DW33" i="87"/>
  <c r="DX33" i="87" s="1"/>
  <c r="DW31" i="87"/>
  <c r="DX31" i="87" s="1"/>
  <c r="DY31" i="87" s="1"/>
  <c r="EA31" i="87" s="1"/>
  <c r="EB31" i="87" s="1"/>
  <c r="DW28" i="87"/>
  <c r="DX28" i="87" s="1"/>
  <c r="DW26" i="87"/>
  <c r="DX26" i="87" s="1"/>
  <c r="DY26" i="87" s="1"/>
  <c r="EA26" i="87" s="1"/>
  <c r="EB26" i="87" s="1"/>
  <c r="DW24" i="87"/>
  <c r="DX24" i="87" s="1"/>
  <c r="DY24" i="87" s="1"/>
  <c r="EA24" i="87" s="1"/>
  <c r="EB24" i="87" s="1"/>
  <c r="DW22" i="87"/>
  <c r="DX22" i="87" s="1"/>
  <c r="DY22" i="87" s="1"/>
  <c r="EA22" i="87" s="1"/>
  <c r="EB22" i="87" s="1"/>
  <c r="DW19" i="87"/>
  <c r="DX19" i="87" s="1"/>
  <c r="DW17" i="87"/>
  <c r="DX17" i="87" s="1"/>
  <c r="DW15" i="87"/>
  <c r="DX15" i="87" s="1"/>
  <c r="DY15" i="87" s="1"/>
  <c r="EA15" i="87" s="1"/>
  <c r="EB15" i="87" s="1"/>
  <c r="CW28" i="87"/>
  <c r="BO37" i="87"/>
  <c r="BP37" i="87" s="1"/>
  <c r="BO36" i="87"/>
  <c r="BP36" i="87" s="1"/>
  <c r="BO35" i="87"/>
  <c r="BP35" i="87" s="1"/>
  <c r="BQ35" i="87" s="1"/>
  <c r="BS35" i="87" s="1"/>
  <c r="BT35" i="87" s="1"/>
  <c r="BO34" i="87"/>
  <c r="BP34" i="87" s="1"/>
  <c r="BO33" i="87"/>
  <c r="BP33" i="87" s="1"/>
  <c r="BO32" i="87"/>
  <c r="BP32" i="87" s="1"/>
  <c r="BO31" i="87"/>
  <c r="BP31" i="87" s="1"/>
  <c r="BQ31" i="87" s="1"/>
  <c r="BS31" i="87" s="1"/>
  <c r="BT31" i="87" s="1"/>
  <c r="BO29" i="87"/>
  <c r="BP29" i="87" s="1"/>
  <c r="BO28" i="87"/>
  <c r="BP28" i="87" s="1"/>
  <c r="BO27" i="87"/>
  <c r="BP27" i="87" s="1"/>
  <c r="BO26" i="87"/>
  <c r="BP26" i="87" s="1"/>
  <c r="BQ26" i="87" s="1"/>
  <c r="BS26" i="87" s="1"/>
  <c r="BT26" i="87" s="1"/>
  <c r="BO25" i="87"/>
  <c r="BP25" i="87" s="1"/>
  <c r="BO24" i="87"/>
  <c r="BP24" i="87" s="1"/>
  <c r="BO23" i="87"/>
  <c r="BP23" i="87" s="1"/>
  <c r="BO22" i="87"/>
  <c r="BP22" i="87" s="1"/>
  <c r="BQ22" i="87" s="1"/>
  <c r="BS22" i="87" s="1"/>
  <c r="BT22" i="87" s="1"/>
  <c r="BO20" i="87"/>
  <c r="BP20" i="87" s="1"/>
  <c r="BO19" i="87"/>
  <c r="BP19" i="87" s="1"/>
  <c r="BO18" i="87"/>
  <c r="BP18" i="87" s="1"/>
  <c r="BO17" i="87"/>
  <c r="BP17" i="87" s="1"/>
  <c r="BO16" i="87"/>
  <c r="BP16" i="87" s="1"/>
  <c r="BQ16" i="87" s="1"/>
  <c r="BS16" i="87" s="1"/>
  <c r="BT16" i="87" s="1"/>
  <c r="BO15" i="87"/>
  <c r="BP15" i="87" s="1"/>
  <c r="BO14" i="87"/>
  <c r="BP14" i="87" s="1"/>
  <c r="BN185" i="87"/>
  <c r="AY139" i="87"/>
  <c r="AZ139" i="87" s="1"/>
  <c r="AY141" i="87"/>
  <c r="AZ141" i="87" s="1"/>
  <c r="AT68" i="87"/>
  <c r="AU92" i="87" s="1"/>
  <c r="AV92" i="87" s="1"/>
  <c r="AY116" i="87"/>
  <c r="AZ116" i="87" s="1"/>
  <c r="AY125" i="87"/>
  <c r="AZ125" i="87" s="1"/>
  <c r="GD68" i="87"/>
  <c r="KT155" i="87"/>
  <c r="IL214" i="87"/>
  <c r="BN155" i="87"/>
  <c r="BD214" i="87"/>
  <c r="JP214" i="87"/>
  <c r="IV214" i="87"/>
  <c r="EF214" i="87"/>
  <c r="CR214" i="87"/>
  <c r="CH155" i="87"/>
  <c r="CH214" i="87"/>
  <c r="JZ155" i="87"/>
  <c r="DY10" i="87"/>
  <c r="EA10" i="87" s="1"/>
  <c r="EB10" i="87" s="1"/>
  <c r="ED10" i="87" s="1"/>
  <c r="DW38" i="87"/>
  <c r="DX38" i="87" s="1"/>
  <c r="HR39" i="87"/>
  <c r="IW38" i="87"/>
  <c r="IX38" i="87" s="1"/>
  <c r="IW13" i="87"/>
  <c r="IX13" i="87" s="1"/>
  <c r="IY13" i="87" s="1"/>
  <c r="JA13" i="87" s="1"/>
  <c r="JB13" i="87" s="1"/>
  <c r="IW16" i="87"/>
  <c r="IX16" i="87" s="1"/>
  <c r="IY16" i="87" s="1"/>
  <c r="JA16" i="87" s="1"/>
  <c r="JB16" i="87" s="1"/>
  <c r="IW17" i="87"/>
  <c r="IX17" i="87" s="1"/>
  <c r="IW20" i="87"/>
  <c r="IX20" i="87" s="1"/>
  <c r="IW22" i="87"/>
  <c r="IX22" i="87" s="1"/>
  <c r="IY22" i="87" s="1"/>
  <c r="JA22" i="87" s="1"/>
  <c r="JB22" i="87" s="1"/>
  <c r="IW25" i="87"/>
  <c r="IX25" i="87" s="1"/>
  <c r="IW26" i="87"/>
  <c r="IX26" i="87" s="1"/>
  <c r="IY26" i="87" s="1"/>
  <c r="JA26" i="87" s="1"/>
  <c r="JB26" i="87" s="1"/>
  <c r="IW29" i="87"/>
  <c r="IX29" i="87" s="1"/>
  <c r="IW31" i="87"/>
  <c r="IX31" i="87" s="1"/>
  <c r="IY31" i="87" s="1"/>
  <c r="JA31" i="87" s="1"/>
  <c r="JB31" i="87" s="1"/>
  <c r="IW34" i="87"/>
  <c r="IX34" i="87" s="1"/>
  <c r="IW36" i="87"/>
  <c r="IX36" i="87" s="1"/>
  <c r="KK38" i="87"/>
  <c r="KL38" i="87" s="1"/>
  <c r="KK13" i="87"/>
  <c r="KL13" i="87" s="1"/>
  <c r="KM13" i="87" s="1"/>
  <c r="KO13" i="87" s="1"/>
  <c r="KK16" i="87"/>
  <c r="KL16" i="87" s="1"/>
  <c r="KM16" i="87" s="1"/>
  <c r="KO16" i="87" s="1"/>
  <c r="KP16" i="87" s="1"/>
  <c r="KK17" i="87"/>
  <c r="KL17" i="87" s="1"/>
  <c r="KK20" i="87"/>
  <c r="KL20" i="87" s="1"/>
  <c r="KK22" i="87"/>
  <c r="KL22" i="87" s="1"/>
  <c r="KM22" i="87" s="1"/>
  <c r="KO22" i="87" s="1"/>
  <c r="KP22" i="87" s="1"/>
  <c r="KK25" i="87"/>
  <c r="KL25" i="87" s="1"/>
  <c r="KK26" i="87"/>
  <c r="KL26" i="87" s="1"/>
  <c r="KM26" i="87" s="1"/>
  <c r="KO26" i="87" s="1"/>
  <c r="KP26" i="87" s="1"/>
  <c r="KK29" i="87"/>
  <c r="KL29" i="87" s="1"/>
  <c r="KK31" i="87"/>
  <c r="KL31" i="87" s="1"/>
  <c r="KM31" i="87" s="1"/>
  <c r="KO31" i="87" s="1"/>
  <c r="KP31" i="87" s="1"/>
  <c r="KK34" i="87"/>
  <c r="KL34" i="87" s="1"/>
  <c r="KK36" i="87"/>
  <c r="KL36" i="87" s="1"/>
  <c r="KM200" i="87"/>
  <c r="KO200" i="87" s="1"/>
  <c r="KP200" i="87" s="1"/>
  <c r="KJ185" i="87"/>
  <c r="KK212" i="87" s="1"/>
  <c r="KL212" i="87" s="1"/>
  <c r="IO10" i="87"/>
  <c r="IQ10" i="87" s="1"/>
  <c r="IR10" i="87" s="1"/>
  <c r="IT10" i="87" s="1"/>
  <c r="IM38" i="87"/>
  <c r="IN38" i="87" s="1"/>
  <c r="AK38" i="87"/>
  <c r="AL38" i="87" s="1"/>
  <c r="AM10" i="87"/>
  <c r="AO10" i="87" s="1"/>
  <c r="AP10" i="87" s="1"/>
  <c r="AK13" i="87"/>
  <c r="AL13" i="87" s="1"/>
  <c r="AM13" i="87" s="1"/>
  <c r="AO13" i="87" s="1"/>
  <c r="AP13" i="87" s="1"/>
  <c r="AK14" i="87"/>
  <c r="AL14" i="87" s="1"/>
  <c r="AM14" i="87" s="1"/>
  <c r="AO14" i="87" s="1"/>
  <c r="AP14" i="87" s="1"/>
  <c r="AK17" i="87"/>
  <c r="AL17" i="87" s="1"/>
  <c r="AK18" i="87"/>
  <c r="AL18" i="87" s="1"/>
  <c r="AM18" i="87" s="1"/>
  <c r="AO18" i="87" s="1"/>
  <c r="AP18" i="87" s="1"/>
  <c r="AK22" i="87"/>
  <c r="AL22" i="87" s="1"/>
  <c r="AM22" i="87" s="1"/>
  <c r="AO22" i="87" s="1"/>
  <c r="AP22" i="87" s="1"/>
  <c r="AK23" i="87"/>
  <c r="AL23" i="87" s="1"/>
  <c r="AK26" i="87"/>
  <c r="AL26" i="87" s="1"/>
  <c r="AM26" i="87" s="1"/>
  <c r="AO26" i="87" s="1"/>
  <c r="AP26" i="87" s="1"/>
  <c r="AK27" i="87"/>
  <c r="AL27" i="87" s="1"/>
  <c r="AM27" i="87" s="1"/>
  <c r="AO27" i="87" s="1"/>
  <c r="AP27" i="87" s="1"/>
  <c r="AK31" i="87"/>
  <c r="AL31" i="87" s="1"/>
  <c r="AM31" i="87" s="1"/>
  <c r="AO31" i="87" s="1"/>
  <c r="AP31" i="87" s="1"/>
  <c r="AK32" i="87"/>
  <c r="AL32" i="87" s="1"/>
  <c r="AK35" i="87"/>
  <c r="AL35" i="87" s="1"/>
  <c r="AM35" i="87" s="1"/>
  <c r="AO35" i="87" s="1"/>
  <c r="AP35" i="87" s="1"/>
  <c r="AK37" i="87"/>
  <c r="AL37" i="87" s="1"/>
  <c r="FU38" i="87"/>
  <c r="FV38" i="87" s="1"/>
  <c r="FU16" i="87"/>
  <c r="FV16" i="87" s="1"/>
  <c r="FW16" i="87" s="1"/>
  <c r="FY16" i="87" s="1"/>
  <c r="FZ16" i="87" s="1"/>
  <c r="FU20" i="87"/>
  <c r="FV20" i="87" s="1"/>
  <c r="FU25" i="87"/>
  <c r="FV25" i="87" s="1"/>
  <c r="FU29" i="87"/>
  <c r="FV29" i="87" s="1"/>
  <c r="FU34" i="87"/>
  <c r="FV34" i="87" s="1"/>
  <c r="FU36" i="87"/>
  <c r="FV36" i="87" s="1"/>
  <c r="JQ38" i="87"/>
  <c r="JR38" i="87" s="1"/>
  <c r="JS10" i="87"/>
  <c r="JU10" i="87" s="1"/>
  <c r="JV10" i="87" s="1"/>
  <c r="JQ13" i="87"/>
  <c r="JR13" i="87" s="1"/>
  <c r="JS13" i="87" s="1"/>
  <c r="JU13" i="87" s="1"/>
  <c r="JV13" i="87" s="1"/>
  <c r="JQ16" i="87"/>
  <c r="JR16" i="87" s="1"/>
  <c r="JS16" i="87" s="1"/>
  <c r="JU16" i="87" s="1"/>
  <c r="JV16" i="87" s="1"/>
  <c r="JQ17" i="87"/>
  <c r="JR17" i="87" s="1"/>
  <c r="JQ20" i="87"/>
  <c r="JR20" i="87" s="1"/>
  <c r="JQ22" i="87"/>
  <c r="JR22" i="87" s="1"/>
  <c r="JS22" i="87" s="1"/>
  <c r="JU22" i="87" s="1"/>
  <c r="JV22" i="87" s="1"/>
  <c r="JQ25" i="87"/>
  <c r="JR25" i="87" s="1"/>
  <c r="JQ26" i="87"/>
  <c r="JR26" i="87" s="1"/>
  <c r="JS26" i="87" s="1"/>
  <c r="JU26" i="87" s="1"/>
  <c r="JV26" i="87" s="1"/>
  <c r="JQ29" i="87"/>
  <c r="JR29" i="87" s="1"/>
  <c r="JQ31" i="87"/>
  <c r="JR31" i="87" s="1"/>
  <c r="JS31" i="87" s="1"/>
  <c r="JU31" i="87" s="1"/>
  <c r="JV31" i="87" s="1"/>
  <c r="JQ34" i="87"/>
  <c r="JR34" i="87" s="1"/>
  <c r="JQ36" i="87"/>
  <c r="JR36" i="87" s="1"/>
  <c r="JS36" i="87" s="1"/>
  <c r="JU36" i="87" s="1"/>
  <c r="GO38" i="87"/>
  <c r="GP38" i="87" s="1"/>
  <c r="GQ10" i="87"/>
  <c r="GS10" i="87" s="1"/>
  <c r="GT10" i="87" s="1"/>
  <c r="GO13" i="87"/>
  <c r="GP13" i="87" s="1"/>
  <c r="GQ13" i="87" s="1"/>
  <c r="GS13" i="87" s="1"/>
  <c r="GO16" i="87"/>
  <c r="GP16" i="87" s="1"/>
  <c r="GO17" i="87"/>
  <c r="GP17" i="87" s="1"/>
  <c r="GO20" i="87"/>
  <c r="GP20" i="87" s="1"/>
  <c r="GO22" i="87"/>
  <c r="GP22" i="87" s="1"/>
  <c r="GQ22" i="87" s="1"/>
  <c r="GS22" i="87" s="1"/>
  <c r="GT22" i="87" s="1"/>
  <c r="GO25" i="87"/>
  <c r="GP25" i="87" s="1"/>
  <c r="GO26" i="87"/>
  <c r="GP26" i="87" s="1"/>
  <c r="GQ26" i="87" s="1"/>
  <c r="GS26" i="87" s="1"/>
  <c r="GT26" i="87" s="1"/>
  <c r="GO29" i="87"/>
  <c r="GP29" i="87" s="1"/>
  <c r="GO31" i="87"/>
  <c r="GP31" i="87" s="1"/>
  <c r="GQ31" i="87" s="1"/>
  <c r="GS31" i="87" s="1"/>
  <c r="GT31" i="87" s="1"/>
  <c r="GO34" i="87"/>
  <c r="GP34" i="87" s="1"/>
  <c r="GO36" i="87"/>
  <c r="GP36" i="87" s="1"/>
  <c r="FA38" i="87"/>
  <c r="FB38" i="87" s="1"/>
  <c r="FA15" i="87"/>
  <c r="FB15" i="87" s="1"/>
  <c r="FC15" i="87" s="1"/>
  <c r="FE15" i="87" s="1"/>
  <c r="FF15" i="87" s="1"/>
  <c r="FA16" i="87"/>
  <c r="FB16" i="87" s="1"/>
  <c r="FC16" i="87" s="1"/>
  <c r="FE16" i="87" s="1"/>
  <c r="FF16" i="87" s="1"/>
  <c r="FA19" i="87"/>
  <c r="FB19" i="87" s="1"/>
  <c r="FA20" i="87"/>
  <c r="FB20" i="87" s="1"/>
  <c r="FA24" i="87"/>
  <c r="FB24" i="87" s="1"/>
  <c r="FC24" i="87" s="1"/>
  <c r="FE24" i="87" s="1"/>
  <c r="FF24" i="87" s="1"/>
  <c r="FA25" i="87"/>
  <c r="FB25" i="87" s="1"/>
  <c r="FA28" i="87"/>
  <c r="FB28" i="87" s="1"/>
  <c r="FA29" i="87"/>
  <c r="FB29" i="87" s="1"/>
  <c r="FA33" i="87"/>
  <c r="FB33" i="87" s="1"/>
  <c r="FA34" i="87"/>
  <c r="FB34" i="87" s="1"/>
  <c r="FA36" i="87"/>
  <c r="FB36" i="87" s="1"/>
  <c r="FC36" i="87" s="1"/>
  <c r="FE36" i="87" s="1"/>
  <c r="FF36" i="87" s="1"/>
  <c r="DM38" i="87"/>
  <c r="DN38" i="87" s="1"/>
  <c r="DO10" i="87"/>
  <c r="DQ10" i="87" s="1"/>
  <c r="DR10" i="87" s="1"/>
  <c r="DM13" i="87"/>
  <c r="DN13" i="87" s="1"/>
  <c r="DM14" i="87"/>
  <c r="DN14" i="87" s="1"/>
  <c r="DM17" i="87"/>
  <c r="DN17" i="87" s="1"/>
  <c r="DM18" i="87"/>
  <c r="DN18" i="87" s="1"/>
  <c r="DM22" i="87"/>
  <c r="DN22" i="87" s="1"/>
  <c r="DM23" i="87"/>
  <c r="DN23" i="87" s="1"/>
  <c r="DM26" i="87"/>
  <c r="DN26" i="87" s="1"/>
  <c r="DO26" i="87" s="1"/>
  <c r="DQ26" i="87" s="1"/>
  <c r="DR26" i="87" s="1"/>
  <c r="DM27" i="87"/>
  <c r="DN27" i="87" s="1"/>
  <c r="DM31" i="87"/>
  <c r="DN31" i="87" s="1"/>
  <c r="DM32" i="87"/>
  <c r="DN32" i="87" s="1"/>
  <c r="DM35" i="87"/>
  <c r="DN35" i="87" s="1"/>
  <c r="DM37" i="87"/>
  <c r="DN37" i="87" s="1"/>
  <c r="DO37" i="87" s="1"/>
  <c r="DQ37" i="87" s="1"/>
  <c r="DR37" i="87" s="1"/>
  <c r="BQ10" i="87"/>
  <c r="BS10" i="87" s="1"/>
  <c r="BT10" i="87" s="1"/>
  <c r="BV10" i="87" s="1"/>
  <c r="BO38" i="87"/>
  <c r="BP38" i="87" s="1"/>
  <c r="KO154" i="87"/>
  <c r="EK154" i="87"/>
  <c r="EL154" i="87" s="1"/>
  <c r="EK152" i="87"/>
  <c r="EL152" i="87" s="1"/>
  <c r="KO150" i="87"/>
  <c r="CW150" i="87"/>
  <c r="CX150" i="87" s="1"/>
  <c r="JA148" i="87"/>
  <c r="HM148" i="87"/>
  <c r="HN148" i="87" s="1"/>
  <c r="FY148" i="87"/>
  <c r="FZ148" i="87" s="1"/>
  <c r="JA145" i="87"/>
  <c r="JB145" i="87" s="1"/>
  <c r="HM145" i="87"/>
  <c r="HN145" i="87" s="1"/>
  <c r="FY145" i="87"/>
  <c r="FZ145" i="87" s="1"/>
  <c r="CW145" i="87"/>
  <c r="CX145" i="87" s="1"/>
  <c r="JA141" i="87"/>
  <c r="JB141" i="87" s="1"/>
  <c r="HM141" i="87"/>
  <c r="HN141" i="87" s="1"/>
  <c r="FY141" i="87"/>
  <c r="FZ141" i="87" s="1"/>
  <c r="JA139" i="87"/>
  <c r="JB139" i="87" s="1"/>
  <c r="HM139" i="87"/>
  <c r="HN139" i="87" s="1"/>
  <c r="FY139" i="87"/>
  <c r="FZ139" i="87" s="1"/>
  <c r="HM136" i="87"/>
  <c r="HN136" i="87" s="1"/>
  <c r="CW136" i="87"/>
  <c r="CX136" i="87" s="1"/>
  <c r="GS135" i="87"/>
  <c r="GT135" i="87" s="1"/>
  <c r="DQ135" i="87"/>
  <c r="DR135" i="87" s="1"/>
  <c r="CC133" i="87"/>
  <c r="CD133" i="87" s="1"/>
  <c r="CW130" i="87"/>
  <c r="CX130" i="87" s="1"/>
  <c r="DQ129" i="87"/>
  <c r="DR129" i="87" s="1"/>
  <c r="GI151" i="87"/>
  <c r="AE149" i="87"/>
  <c r="AE153" i="87"/>
  <c r="AF153" i="87" s="1"/>
  <c r="KE136" i="87"/>
  <c r="IQ150" i="87"/>
  <c r="IR150" i="87" s="1"/>
  <c r="HC136" i="87"/>
  <c r="HC143" i="87"/>
  <c r="HD143" i="87" s="1"/>
  <c r="HC150" i="87"/>
  <c r="HD150" i="87" s="1"/>
  <c r="FO143" i="87"/>
  <c r="FP143" i="87" s="1"/>
  <c r="FO150" i="87"/>
  <c r="EA145" i="87"/>
  <c r="EA148" i="87"/>
  <c r="EB148" i="87" s="1"/>
  <c r="CM136" i="87"/>
  <c r="CN136" i="87" s="1"/>
  <c r="CM139" i="87"/>
  <c r="CN139" i="87" s="1"/>
  <c r="AY136" i="87"/>
  <c r="KT68" i="87"/>
  <c r="GI124" i="87"/>
  <c r="GJ124" i="87" s="1"/>
  <c r="FO107" i="87"/>
  <c r="CM107" i="87"/>
  <c r="CN107" i="87" s="1"/>
  <c r="EA104" i="87"/>
  <c r="EB104" i="87" s="1"/>
  <c r="HC102" i="87"/>
  <c r="HD102" i="87" s="1"/>
  <c r="GI91" i="87"/>
  <c r="GJ91" i="87" s="1"/>
  <c r="EA91" i="87"/>
  <c r="EB91" i="87" s="1"/>
  <c r="KE86" i="87"/>
  <c r="KF86" i="87" s="1"/>
  <c r="HC75" i="87"/>
  <c r="HD75" i="87" s="1"/>
  <c r="EA48" i="87"/>
  <c r="EB48" i="87" s="1"/>
  <c r="HW46" i="87"/>
  <c r="HX46" i="87" s="1"/>
  <c r="KK37" i="87"/>
  <c r="KL37" i="87" s="1"/>
  <c r="IW37" i="87"/>
  <c r="IX37" i="87" s="1"/>
  <c r="AK36" i="87"/>
  <c r="AL36" i="87" s="1"/>
  <c r="KK35" i="87"/>
  <c r="KL35" i="87" s="1"/>
  <c r="KM35" i="87" s="1"/>
  <c r="KO35" i="87" s="1"/>
  <c r="KP35" i="87" s="1"/>
  <c r="IW35" i="87"/>
  <c r="IX35" i="87" s="1"/>
  <c r="AK34" i="87"/>
  <c r="AL34" i="87" s="1"/>
  <c r="KK33" i="87"/>
  <c r="KL33" i="87" s="1"/>
  <c r="IW33" i="87"/>
  <c r="IX33" i="87" s="1"/>
  <c r="AK28" i="87"/>
  <c r="AL28" i="87" s="1"/>
  <c r="KK27" i="87"/>
  <c r="KL27" i="87" s="1"/>
  <c r="IW27" i="87"/>
  <c r="IX27" i="87" s="1"/>
  <c r="IY27" i="87" s="1"/>
  <c r="JA27" i="87" s="1"/>
  <c r="JB27" i="87" s="1"/>
  <c r="AK25" i="87"/>
  <c r="AL25" i="87" s="1"/>
  <c r="KK24" i="87"/>
  <c r="KL24" i="87" s="1"/>
  <c r="IW24" i="87"/>
  <c r="IX24" i="87" s="1"/>
  <c r="AK19" i="87"/>
  <c r="AL19" i="87" s="1"/>
  <c r="AM19" i="87" s="1"/>
  <c r="AO19" i="87" s="1"/>
  <c r="AP19" i="87" s="1"/>
  <c r="KK18" i="87"/>
  <c r="KL18" i="87" s="1"/>
  <c r="IW18" i="87"/>
  <c r="IX18" i="87" s="1"/>
  <c r="IY18" i="87" s="1"/>
  <c r="JA18" i="87" s="1"/>
  <c r="JB18" i="87" s="1"/>
  <c r="EA17" i="87"/>
  <c r="EB17" i="87" s="1"/>
  <c r="AK16" i="87"/>
  <c r="AL16" i="87" s="1"/>
  <c r="AM16" i="87" s="1"/>
  <c r="AO16" i="87" s="1"/>
  <c r="AP16" i="87" s="1"/>
  <c r="KK15" i="87"/>
  <c r="KL15" i="87" s="1"/>
  <c r="IW15" i="87"/>
  <c r="IX15" i="87" s="1"/>
  <c r="IY10" i="87"/>
  <c r="JA10" i="87" s="1"/>
  <c r="JB10" i="87" s="1"/>
  <c r="AT155" i="87"/>
  <c r="EZ185" i="87"/>
  <c r="FA201" i="87" s="1"/>
  <c r="FB201" i="87" s="1"/>
  <c r="FC201" i="87" s="1"/>
  <c r="FE201" i="87" s="1"/>
  <c r="JU49" i="87"/>
  <c r="GS49" i="87"/>
  <c r="FE49" i="87"/>
  <c r="FF49" i="87" s="1"/>
  <c r="DQ49" i="87"/>
  <c r="DR49" i="87" s="1"/>
  <c r="CC49" i="87"/>
  <c r="CD49" i="87" s="1"/>
  <c r="JA48" i="87"/>
  <c r="JB48" i="87" s="1"/>
  <c r="GS46" i="87"/>
  <c r="GT46" i="87" s="1"/>
  <c r="FY46" i="87"/>
  <c r="FZ46" i="87" s="1"/>
  <c r="BI44" i="87"/>
  <c r="BJ44" i="87" s="1"/>
  <c r="DQ42" i="87"/>
  <c r="DR42" i="87" s="1"/>
  <c r="GI33" i="87"/>
  <c r="GJ33" i="87" s="1"/>
  <c r="KE24" i="87"/>
  <c r="KF24" i="87" s="1"/>
  <c r="HW19" i="87"/>
  <c r="HX19" i="87" s="1"/>
  <c r="DG19" i="87"/>
  <c r="DH19" i="87" s="1"/>
  <c r="AE19" i="87"/>
  <c r="AF19" i="87" s="1"/>
  <c r="JA35" i="87"/>
  <c r="KO20" i="87"/>
  <c r="JA20" i="87"/>
  <c r="JB20" i="87" s="1"/>
  <c r="HM20" i="87"/>
  <c r="HN20" i="87" s="1"/>
  <c r="FY20" i="87"/>
  <c r="FZ20" i="87" s="1"/>
  <c r="EK20" i="87"/>
  <c r="EL20" i="87" s="1"/>
  <c r="CW20" i="87"/>
  <c r="CX20" i="87" s="1"/>
  <c r="BI20" i="87"/>
  <c r="BJ20" i="87" s="1"/>
  <c r="U20" i="87"/>
  <c r="V20" i="87" s="1"/>
  <c r="DL155" i="87"/>
  <c r="JP39" i="87"/>
  <c r="JQ48" i="87" s="1"/>
  <c r="JR48" i="87" s="1"/>
  <c r="JF214" i="87"/>
  <c r="IL155" i="87"/>
  <c r="JA192" i="87"/>
  <c r="JB192" i="87" s="1"/>
  <c r="EZ214" i="87"/>
  <c r="BX155" i="87"/>
  <c r="IB126" i="87"/>
  <c r="FT155" i="87"/>
  <c r="CR155" i="87"/>
  <c r="BX214" i="87"/>
  <c r="CU49" i="87"/>
  <c r="CW49" i="87" s="1"/>
  <c r="CR39" i="87"/>
  <c r="CH97" i="87"/>
  <c r="CR68" i="87"/>
  <c r="BX39" i="87"/>
  <c r="IO107" i="87"/>
  <c r="IQ107" i="87" s="1"/>
  <c r="IR107" i="87" s="1"/>
  <c r="IL97" i="87"/>
  <c r="CA78" i="87"/>
  <c r="CC78" i="87" s="1"/>
  <c r="BX68" i="87"/>
  <c r="IE49" i="87"/>
  <c r="IG49" i="87" s="1"/>
  <c r="IB39" i="87"/>
  <c r="AM49" i="87"/>
  <c r="AO49" i="87" s="1"/>
  <c r="AJ39" i="87"/>
  <c r="EZ126" i="87"/>
  <c r="FA149" i="87" s="1"/>
  <c r="FB149" i="87" s="1"/>
  <c r="EZ39" i="87"/>
  <c r="Z155" i="87"/>
  <c r="GX155" i="87"/>
  <c r="GX39" i="87"/>
  <c r="HR155" i="87"/>
  <c r="EP39" i="87"/>
  <c r="EQ42" i="87" s="1"/>
  <c r="ER42" i="87" s="1"/>
  <c r="ES42" i="87" s="1"/>
  <c r="EU42" i="87" s="1"/>
  <c r="EV42" i="87" s="1"/>
  <c r="KF198" i="87"/>
  <c r="IR198" i="87"/>
  <c r="HD198" i="87"/>
  <c r="FP198" i="87"/>
  <c r="EB198" i="87"/>
  <c r="JL192" i="87"/>
  <c r="Z39" i="87"/>
  <c r="AA42" i="87" s="1"/>
  <c r="AB42" i="87" s="1"/>
  <c r="AC42" i="87" s="1"/>
  <c r="AE42" i="87" s="1"/>
  <c r="AF42" i="87" s="1"/>
  <c r="EK37" i="87"/>
  <c r="EL37" i="87" s="1"/>
  <c r="U37" i="87"/>
  <c r="V37" i="87" s="1"/>
  <c r="JA33" i="87"/>
  <c r="GS33" i="87"/>
  <c r="GT33" i="87" s="1"/>
  <c r="U33" i="87"/>
  <c r="V33" i="87" s="1"/>
  <c r="U19" i="87"/>
  <c r="V19" i="87" s="1"/>
  <c r="EK17" i="87"/>
  <c r="EL17" i="87" s="1"/>
  <c r="JA15" i="87"/>
  <c r="JB15" i="87" s="1"/>
  <c r="U15" i="87"/>
  <c r="V15" i="87" s="1"/>
  <c r="DV155" i="87"/>
  <c r="EF155" i="87"/>
  <c r="FJ155" i="87"/>
  <c r="GN155" i="87"/>
  <c r="IV155" i="87"/>
  <c r="IV126" i="87"/>
  <c r="KJ126" i="87"/>
  <c r="I190" i="87"/>
  <c r="JL198" i="87"/>
  <c r="HX198" i="87"/>
  <c r="GJ198" i="87"/>
  <c r="EV198" i="87"/>
  <c r="IR192" i="87"/>
  <c r="FF192" i="87"/>
  <c r="DR192" i="87"/>
  <c r="HH39" i="87"/>
  <c r="KW136" i="87"/>
  <c r="KY136" i="87" s="1"/>
  <c r="KT126" i="87"/>
  <c r="IO189" i="87"/>
  <c r="IQ189" i="87" s="1"/>
  <c r="IL185" i="87"/>
  <c r="IE189" i="87"/>
  <c r="IG189" i="87" s="1"/>
  <c r="IB185" i="87"/>
  <c r="KT214" i="87"/>
  <c r="KE213" i="87"/>
  <c r="KE195" i="87"/>
  <c r="IQ211" i="87"/>
  <c r="IR211" i="87" s="1"/>
  <c r="IG204" i="87"/>
  <c r="HC211" i="87"/>
  <c r="HD211" i="87" s="1"/>
  <c r="FO211" i="87"/>
  <c r="FP211" i="87" s="1"/>
  <c r="FO202" i="87"/>
  <c r="FP202" i="87" s="1"/>
  <c r="EU195" i="87"/>
  <c r="EA213" i="87"/>
  <c r="DG198" i="87"/>
  <c r="CR126" i="87"/>
  <c r="CC207" i="87"/>
  <c r="BI211" i="87"/>
  <c r="BJ211" i="87" s="1"/>
  <c r="BI200" i="87"/>
  <c r="BI204" i="87"/>
  <c r="BI193" i="87"/>
  <c r="BJ193" i="87" s="1"/>
  <c r="AO211" i="87"/>
  <c r="AP211" i="87" s="1"/>
  <c r="AO200" i="87"/>
  <c r="AE211" i="87"/>
  <c r="AF211" i="87" s="1"/>
  <c r="U211" i="87"/>
  <c r="V211" i="87" s="1"/>
  <c r="U213" i="87"/>
  <c r="BN126" i="87"/>
  <c r="KT185" i="87"/>
  <c r="BX126" i="87"/>
  <c r="IO136" i="87"/>
  <c r="IQ136" i="87" s="1"/>
  <c r="IL126" i="87"/>
  <c r="HC192" i="87"/>
  <c r="HD192" i="87" s="1"/>
  <c r="FO199" i="87"/>
  <c r="FP199" i="87" s="1"/>
  <c r="EA200" i="87"/>
  <c r="JF155" i="87"/>
  <c r="JK195" i="87"/>
  <c r="IQ213" i="87"/>
  <c r="IQ195" i="87"/>
  <c r="IG211" i="87"/>
  <c r="IH211" i="87" s="1"/>
  <c r="IG213" i="87"/>
  <c r="IG200" i="87"/>
  <c r="IB155" i="87"/>
  <c r="IB214" i="87"/>
  <c r="HW195" i="87"/>
  <c r="HC213" i="87"/>
  <c r="HC195" i="87"/>
  <c r="GI195" i="87"/>
  <c r="FO213" i="87"/>
  <c r="FO195" i="87"/>
  <c r="EZ155" i="87"/>
  <c r="EA195" i="87"/>
  <c r="DG195" i="87"/>
  <c r="CC200" i="87"/>
  <c r="CC204" i="87"/>
  <c r="BN214" i="87"/>
  <c r="U202" i="87"/>
  <c r="V202" i="87" s="1"/>
  <c r="BI207" i="87"/>
  <c r="BI213" i="87"/>
  <c r="BI202" i="87"/>
  <c r="BJ202" i="87" s="1"/>
  <c r="AO207" i="87"/>
  <c r="AO213" i="87"/>
  <c r="AJ155" i="87"/>
  <c r="U207" i="87"/>
  <c r="U200" i="87"/>
  <c r="CR185" i="87"/>
  <c r="JF126" i="87"/>
  <c r="AJ126" i="87"/>
  <c r="GT210" i="87"/>
  <c r="FP210" i="87"/>
  <c r="DR210" i="87"/>
  <c r="V210" i="87"/>
  <c r="KP209" i="87"/>
  <c r="JV209" i="87"/>
  <c r="JL209" i="87"/>
  <c r="JB209" i="87"/>
  <c r="HX209" i="87"/>
  <c r="HN209" i="87"/>
  <c r="GT209" i="87"/>
  <c r="GJ209" i="87"/>
  <c r="FZ209" i="87"/>
  <c r="FF209" i="87"/>
  <c r="EV209" i="87"/>
  <c r="DH209" i="87"/>
  <c r="CX209" i="87"/>
  <c r="CN209" i="87"/>
  <c r="BT209" i="87"/>
  <c r="BJ209" i="87"/>
  <c r="AZ209" i="87"/>
  <c r="AF209" i="87"/>
  <c r="KP208" i="87"/>
  <c r="KF208" i="87"/>
  <c r="JV208" i="87"/>
  <c r="JB208" i="87"/>
  <c r="IR208" i="87"/>
  <c r="GJ208" i="87"/>
  <c r="KF212" i="87"/>
  <c r="JV212" i="87"/>
  <c r="JB212" i="87"/>
  <c r="IR212" i="87"/>
  <c r="HD212" i="87"/>
  <c r="GT212" i="87"/>
  <c r="EL212" i="87"/>
  <c r="EB212" i="87"/>
  <c r="CD212" i="87"/>
  <c r="AF212" i="87"/>
  <c r="V212" i="87"/>
  <c r="KZ211" i="87"/>
  <c r="KP211" i="87"/>
  <c r="FF208" i="87"/>
  <c r="EL208" i="87"/>
  <c r="EB208" i="87"/>
  <c r="CX208" i="87"/>
  <c r="CN208" i="87"/>
  <c r="AZ208" i="87"/>
  <c r="AF208" i="87"/>
  <c r="V208" i="87"/>
  <c r="KZ207" i="87"/>
  <c r="KP207" i="87"/>
  <c r="KF207" i="87"/>
  <c r="JV207" i="87"/>
  <c r="JL207" i="87"/>
  <c r="JB207" i="87"/>
  <c r="HX207" i="87"/>
  <c r="HN207" i="87"/>
  <c r="GT207" i="87"/>
  <c r="FZ207" i="87"/>
  <c r="EV207" i="87"/>
  <c r="EL207" i="87"/>
  <c r="DR207" i="87"/>
  <c r="AF204" i="87"/>
  <c r="KF203" i="87"/>
  <c r="JL203" i="87"/>
  <c r="IR203" i="87"/>
  <c r="HN203" i="87"/>
  <c r="GT203" i="87"/>
  <c r="FP203" i="87"/>
  <c r="EL203" i="87"/>
  <c r="EB203" i="87"/>
  <c r="CX203" i="87"/>
  <c r="BJ203" i="87"/>
  <c r="KP202" i="87"/>
  <c r="KF202" i="87"/>
  <c r="AF195" i="87"/>
  <c r="V195" i="87"/>
  <c r="KF194" i="87"/>
  <c r="JB194" i="87"/>
  <c r="IH194" i="87"/>
  <c r="HN194" i="87"/>
  <c r="GT194" i="87"/>
  <c r="FZ194" i="87"/>
  <c r="FP194" i="87"/>
  <c r="EL194" i="87"/>
  <c r="CX194" i="87"/>
  <c r="BJ194" i="87"/>
  <c r="AZ194" i="87"/>
  <c r="V194" i="87"/>
  <c r="KP193" i="87"/>
  <c r="GT193" i="87"/>
  <c r="GS122" i="87"/>
  <c r="GT122" i="87" s="1"/>
  <c r="EK120" i="87"/>
  <c r="EL120" i="87" s="1"/>
  <c r="KE57" i="87"/>
  <c r="KF57" i="87" s="1"/>
  <c r="GI66" i="87"/>
  <c r="GJ66" i="87" s="1"/>
  <c r="EK66" i="87"/>
  <c r="EL66" i="87" s="1"/>
  <c r="EK62" i="87"/>
  <c r="EL62" i="87" s="1"/>
  <c r="KJ68" i="87"/>
  <c r="KM115" i="87"/>
  <c r="KO115" i="87" s="1"/>
  <c r="KP115" i="87" s="1"/>
  <c r="KJ97" i="87"/>
  <c r="KJ39" i="87"/>
  <c r="JZ97" i="87"/>
  <c r="KA109" i="87" s="1"/>
  <c r="KB109" i="87" s="1"/>
  <c r="KC109" i="87" s="1"/>
  <c r="KE109" i="87" s="1"/>
  <c r="KF109" i="87" s="1"/>
  <c r="JZ126" i="87"/>
  <c r="JZ68" i="87"/>
  <c r="KC68" i="87" s="1"/>
  <c r="KE68" i="87" s="1"/>
  <c r="JP185" i="87"/>
  <c r="JP126" i="87"/>
  <c r="JP97" i="87"/>
  <c r="JP68" i="87"/>
  <c r="IV97" i="87"/>
  <c r="IY44" i="87"/>
  <c r="JA44" i="87" s="1"/>
  <c r="IV39" i="87"/>
  <c r="IV68" i="87"/>
  <c r="IV185" i="87"/>
  <c r="IO13" i="87"/>
  <c r="IQ13" i="87" s="1"/>
  <c r="IR13" i="87" s="1"/>
  <c r="HR185" i="87"/>
  <c r="HU104" i="87"/>
  <c r="HW104" i="87" s="1"/>
  <c r="HR97" i="87"/>
  <c r="HR126" i="87"/>
  <c r="HH126" i="87"/>
  <c r="HH68" i="87"/>
  <c r="HH97" i="87"/>
  <c r="HH185" i="87"/>
  <c r="GX126" i="87"/>
  <c r="GX185" i="87"/>
  <c r="GX97" i="87"/>
  <c r="GN126" i="87"/>
  <c r="GN97" i="87"/>
  <c r="GQ75" i="87"/>
  <c r="GS75" i="87" s="1"/>
  <c r="GT75" i="87" s="1"/>
  <c r="GN68" i="87"/>
  <c r="GN39" i="87"/>
  <c r="GQ133" i="87"/>
  <c r="GS133" i="87" s="1"/>
  <c r="GN185" i="87"/>
  <c r="GI149" i="87"/>
  <c r="GJ149" i="87" s="1"/>
  <c r="GI153" i="87"/>
  <c r="GJ153" i="87" s="1"/>
  <c r="GD39" i="87"/>
  <c r="GE65" i="87" s="1"/>
  <c r="GF65" i="87" s="1"/>
  <c r="GG65" i="87" s="1"/>
  <c r="GI65" i="87" s="1"/>
  <c r="GJ65" i="87" s="1"/>
  <c r="GD97" i="87"/>
  <c r="GD126" i="87"/>
  <c r="FU33" i="87"/>
  <c r="FV33" i="87" s="1"/>
  <c r="FU31" i="87"/>
  <c r="FV31" i="87" s="1"/>
  <c r="FW31" i="87" s="1"/>
  <c r="FY31" i="87" s="1"/>
  <c r="FZ31" i="87" s="1"/>
  <c r="FU28" i="87"/>
  <c r="FV28" i="87" s="1"/>
  <c r="FU26" i="87"/>
  <c r="FV26" i="87" s="1"/>
  <c r="FW26" i="87" s="1"/>
  <c r="FY26" i="87" s="1"/>
  <c r="FZ26" i="87" s="1"/>
  <c r="FU24" i="87"/>
  <c r="FV24" i="87" s="1"/>
  <c r="FW24" i="87" s="1"/>
  <c r="FY24" i="87" s="1"/>
  <c r="FZ24" i="87" s="1"/>
  <c r="FU22" i="87"/>
  <c r="FV22" i="87" s="1"/>
  <c r="FW22" i="87" s="1"/>
  <c r="FY22" i="87" s="1"/>
  <c r="FZ22" i="87" s="1"/>
  <c r="FU19" i="87"/>
  <c r="FV19" i="87" s="1"/>
  <c r="FU17" i="87"/>
  <c r="FV17" i="87" s="1"/>
  <c r="FU15" i="87"/>
  <c r="FV15" i="87" s="1"/>
  <c r="FW15" i="87" s="1"/>
  <c r="FY15" i="87" s="1"/>
  <c r="FZ15" i="87" s="1"/>
  <c r="FU13" i="87"/>
  <c r="FV13" i="87" s="1"/>
  <c r="FW13" i="87" s="1"/>
  <c r="FY13" i="87" s="1"/>
  <c r="FW10" i="87"/>
  <c r="FY10" i="87" s="1"/>
  <c r="FZ10" i="87" s="1"/>
  <c r="FW133" i="87"/>
  <c r="FY133" i="87" s="1"/>
  <c r="FT126" i="87"/>
  <c r="FU131" i="87" s="1"/>
  <c r="FV131" i="87" s="1"/>
  <c r="FW131" i="87" s="1"/>
  <c r="FY131" i="87" s="1"/>
  <c r="FT97" i="87"/>
  <c r="FT68" i="87"/>
  <c r="FT39" i="87"/>
  <c r="FJ126" i="87"/>
  <c r="FJ185" i="87"/>
  <c r="FJ97" i="87"/>
  <c r="FJ68" i="87"/>
  <c r="FO115" i="87"/>
  <c r="FE133" i="87"/>
  <c r="FF133" i="87" s="1"/>
  <c r="EP97" i="87"/>
  <c r="EP185" i="87"/>
  <c r="EP68" i="87"/>
  <c r="EQ73" i="87" s="1"/>
  <c r="ER73" i="87" s="1"/>
  <c r="ES73" i="87" s="1"/>
  <c r="EU73" i="87" s="1"/>
  <c r="EV73" i="87" s="1"/>
  <c r="EP126" i="87"/>
  <c r="EK130" i="87"/>
  <c r="EI10" i="87"/>
  <c r="EK10" i="87" s="1"/>
  <c r="EL10" i="87" s="1"/>
  <c r="EF185" i="87"/>
  <c r="EI104" i="87"/>
  <c r="EK104" i="87" s="1"/>
  <c r="EF97" i="87"/>
  <c r="EI48" i="87"/>
  <c r="EK48" i="87" s="1"/>
  <c r="EF39" i="87"/>
  <c r="EG48" i="87" s="1"/>
  <c r="EH48" i="87" s="1"/>
  <c r="EF126" i="87"/>
  <c r="EF68" i="87"/>
  <c r="EK133" i="87"/>
  <c r="EL133" i="87" s="1"/>
  <c r="EG37" i="87"/>
  <c r="EH37" i="87" s="1"/>
  <c r="EG36" i="87"/>
  <c r="EH36" i="87" s="1"/>
  <c r="EG35" i="87"/>
  <c r="EH35" i="87" s="1"/>
  <c r="EG34" i="87"/>
  <c r="EH34" i="87" s="1"/>
  <c r="EG33" i="87"/>
  <c r="EH33" i="87" s="1"/>
  <c r="EG32" i="87"/>
  <c r="EH32" i="87" s="1"/>
  <c r="EG31" i="87"/>
  <c r="EH31" i="87" s="1"/>
  <c r="EI31" i="87" s="1"/>
  <c r="EK31" i="87" s="1"/>
  <c r="EG29" i="87"/>
  <c r="EH29" i="87" s="1"/>
  <c r="EG28" i="87"/>
  <c r="EH28" i="87" s="1"/>
  <c r="EG27" i="87"/>
  <c r="EH27" i="87" s="1"/>
  <c r="EI27" i="87" s="1"/>
  <c r="EK27" i="87" s="1"/>
  <c r="EG26" i="87"/>
  <c r="EH26" i="87" s="1"/>
  <c r="EI26" i="87" s="1"/>
  <c r="EK26" i="87" s="1"/>
  <c r="EL26" i="87" s="1"/>
  <c r="EG25" i="87"/>
  <c r="EH25" i="87" s="1"/>
  <c r="EG24" i="87"/>
  <c r="EH24" i="87" s="1"/>
  <c r="EI24" i="87" s="1"/>
  <c r="EK24" i="87" s="1"/>
  <c r="EL24" i="87" s="1"/>
  <c r="EG23" i="87"/>
  <c r="EH23" i="87" s="1"/>
  <c r="EG22" i="87"/>
  <c r="EH22" i="87" s="1"/>
  <c r="EI22" i="87" s="1"/>
  <c r="EK22" i="87" s="1"/>
  <c r="EG20" i="87"/>
  <c r="EH20" i="87" s="1"/>
  <c r="EG19" i="87"/>
  <c r="EH19" i="87" s="1"/>
  <c r="EG18" i="87"/>
  <c r="EH18" i="87" s="1"/>
  <c r="EI18" i="87" s="1"/>
  <c r="EK18" i="87" s="1"/>
  <c r="EG17" i="87"/>
  <c r="EH17" i="87" s="1"/>
  <c r="EG16" i="87"/>
  <c r="EH16" i="87" s="1"/>
  <c r="EI16" i="87" s="1"/>
  <c r="EK16" i="87" s="1"/>
  <c r="EL16" i="87" s="1"/>
  <c r="EG15" i="87"/>
  <c r="EH15" i="87" s="1"/>
  <c r="EI15" i="87" s="1"/>
  <c r="EK15" i="87" s="1"/>
  <c r="EL15" i="87" s="1"/>
  <c r="EG14" i="87"/>
  <c r="EH14" i="87" s="1"/>
  <c r="EG13" i="87"/>
  <c r="EH13" i="87" s="1"/>
  <c r="DV126" i="87"/>
  <c r="DV97" i="87"/>
  <c r="DV185" i="87"/>
  <c r="DL126" i="87"/>
  <c r="DM129" i="87" s="1"/>
  <c r="DN129" i="87" s="1"/>
  <c r="DO100" i="87"/>
  <c r="DQ100" i="87" s="1"/>
  <c r="DR100" i="87" s="1"/>
  <c r="DL97" i="87"/>
  <c r="DO71" i="87"/>
  <c r="DQ71" i="87" s="1"/>
  <c r="DL68" i="87"/>
  <c r="DL185" i="87"/>
  <c r="DG44" i="87"/>
  <c r="DH44" i="87" s="1"/>
  <c r="DE104" i="87"/>
  <c r="DG104" i="87" s="1"/>
  <c r="DB97" i="87"/>
  <c r="DG15" i="87"/>
  <c r="DH15" i="87" s="1"/>
  <c r="DC38" i="87"/>
  <c r="DD38" i="87" s="1"/>
  <c r="DB185" i="87"/>
  <c r="CC130" i="87"/>
  <c r="CD130" i="87" s="1"/>
  <c r="BQ13" i="87"/>
  <c r="BS13" i="87" s="1"/>
  <c r="BD185" i="87"/>
  <c r="BG131" i="87"/>
  <c r="BI131" i="87" s="1"/>
  <c r="BJ131" i="87" s="1"/>
  <c r="BG102" i="87"/>
  <c r="BI102" i="87" s="1"/>
  <c r="BD97" i="87"/>
  <c r="BD68" i="87"/>
  <c r="BE77" i="87" s="1"/>
  <c r="BF77" i="87" s="1"/>
  <c r="BD39" i="87"/>
  <c r="BD155" i="87"/>
  <c r="BI133" i="87"/>
  <c r="BJ133" i="87" s="1"/>
  <c r="BI77" i="87"/>
  <c r="BJ77" i="87" s="1"/>
  <c r="AT126" i="87"/>
  <c r="AT97" i="87"/>
  <c r="AT185" i="87"/>
  <c r="AO15" i="87"/>
  <c r="AP15" i="87" s="1"/>
  <c r="AC93" i="87"/>
  <c r="AE93" i="87" s="1"/>
  <c r="AC131" i="87"/>
  <c r="AE131" i="87" s="1"/>
  <c r="Z126" i="87"/>
  <c r="Z97" i="87"/>
  <c r="P185" i="87"/>
  <c r="P126" i="87"/>
  <c r="Q133" i="87" s="1"/>
  <c r="R133" i="87" s="1"/>
  <c r="S133" i="87" s="1"/>
  <c r="U133" i="87" s="1"/>
  <c r="P155" i="87"/>
  <c r="S135" i="87"/>
  <c r="U135" i="87" s="1"/>
  <c r="S131" i="87"/>
  <c r="U131" i="87" s="1"/>
  <c r="P97" i="87"/>
  <c r="P39" i="87"/>
  <c r="F185" i="87"/>
  <c r="G194" i="87" s="1"/>
  <c r="H194" i="87" s="1"/>
  <c r="I194" i="87" s="1"/>
  <c r="IH154" i="87"/>
  <c r="IH152" i="87"/>
  <c r="JB151" i="87"/>
  <c r="JV148" i="87"/>
  <c r="GT148" i="87"/>
  <c r="CD148" i="87"/>
  <c r="AP148" i="87"/>
  <c r="DR139" i="87"/>
  <c r="AP139" i="87"/>
  <c r="KP133" i="87"/>
  <c r="KZ133" i="87"/>
  <c r="KZ142" i="87"/>
  <c r="KZ151" i="87"/>
  <c r="JL130" i="87"/>
  <c r="HX153" i="87"/>
  <c r="KF130" i="87"/>
  <c r="KF134" i="87"/>
  <c r="KF139" i="87"/>
  <c r="KF141" i="87"/>
  <c r="KF148" i="87"/>
  <c r="IR133" i="87"/>
  <c r="HD133" i="87"/>
  <c r="FP133" i="87"/>
  <c r="FP144" i="87"/>
  <c r="FP151" i="87"/>
  <c r="EB153" i="87"/>
  <c r="CN133" i="87"/>
  <c r="CN151" i="87"/>
  <c r="KP152" i="87"/>
  <c r="JB152" i="87"/>
  <c r="HN152" i="87"/>
  <c r="GT151" i="87"/>
  <c r="DR151" i="87"/>
  <c r="CX148" i="87"/>
  <c r="BJ139" i="87"/>
  <c r="DR138" i="87"/>
  <c r="IH133" i="87"/>
  <c r="DR133" i="87"/>
  <c r="KZ130" i="87"/>
  <c r="KZ148" i="87"/>
  <c r="JL135" i="87"/>
  <c r="JL140" i="87"/>
  <c r="HX130" i="87"/>
  <c r="GJ130" i="87"/>
  <c r="GJ136" i="87"/>
  <c r="GJ148" i="87"/>
  <c r="EV130" i="87"/>
  <c r="EV148" i="87"/>
  <c r="DH130" i="87"/>
  <c r="DH134" i="87"/>
  <c r="BT143" i="87"/>
  <c r="IR139" i="87"/>
  <c r="HD130" i="87"/>
  <c r="HD148" i="87"/>
  <c r="FP130" i="87"/>
  <c r="FP148" i="87"/>
  <c r="EB139" i="87"/>
  <c r="EB150" i="87"/>
  <c r="AZ130" i="87"/>
  <c r="JB130" i="87"/>
  <c r="FZ130" i="87"/>
  <c r="JB125" i="87"/>
  <c r="HN125" i="87"/>
  <c r="FZ125" i="87"/>
  <c r="CX125" i="87"/>
  <c r="JV124" i="87"/>
  <c r="CD124" i="87"/>
  <c r="KP123" i="87"/>
  <c r="JB123" i="87"/>
  <c r="FZ123" i="87"/>
  <c r="EL123" i="87"/>
  <c r="BJ123" i="87"/>
  <c r="V123" i="87"/>
  <c r="FZ121" i="87"/>
  <c r="CX121" i="87"/>
  <c r="JB119" i="87"/>
  <c r="FZ119" i="87"/>
  <c r="EL119" i="87"/>
  <c r="BJ119" i="87"/>
  <c r="DR118" i="87"/>
  <c r="FZ116" i="87"/>
  <c r="FF115" i="87"/>
  <c r="KP114" i="87"/>
  <c r="BJ114" i="87"/>
  <c r="FZ112" i="87"/>
  <c r="BJ112" i="87"/>
  <c r="V112" i="87"/>
  <c r="KP110" i="87"/>
  <c r="JB110" i="87"/>
  <c r="HN110" i="87"/>
  <c r="FZ110" i="87"/>
  <c r="EL110" i="87"/>
  <c r="CX110" i="87"/>
  <c r="BJ110" i="87"/>
  <c r="V110" i="87"/>
  <c r="HN107" i="87"/>
  <c r="BJ107" i="87"/>
  <c r="AF107" i="87"/>
  <c r="KZ111" i="87"/>
  <c r="KZ113" i="87"/>
  <c r="KF115" i="87"/>
  <c r="KF122" i="87"/>
  <c r="JL115" i="87"/>
  <c r="JL120" i="87"/>
  <c r="JL122" i="87"/>
  <c r="HX120" i="87"/>
  <c r="GJ122" i="87"/>
  <c r="FP122" i="87"/>
  <c r="CN122" i="87"/>
  <c r="V107" i="87"/>
  <c r="DR105" i="87"/>
  <c r="HN104" i="87"/>
  <c r="FF104" i="87"/>
  <c r="CX104" i="87"/>
  <c r="BJ104" i="87"/>
  <c r="AP104" i="87"/>
  <c r="KP101" i="87"/>
  <c r="JB101" i="87"/>
  <c r="HN101" i="87"/>
  <c r="EL101" i="87"/>
  <c r="CX101" i="87"/>
  <c r="CD101" i="87"/>
  <c r="IH95" i="87"/>
  <c r="HN95" i="87"/>
  <c r="EL95" i="87"/>
  <c r="KP94" i="87"/>
  <c r="JB94" i="87"/>
  <c r="FZ94" i="87"/>
  <c r="EL94" i="87"/>
  <c r="DR94" i="87"/>
  <c r="V94" i="87"/>
  <c r="JB93" i="87"/>
  <c r="AP92" i="87"/>
  <c r="JB91" i="87"/>
  <c r="HN91" i="87"/>
  <c r="GT91" i="87"/>
  <c r="IH130" i="87"/>
  <c r="AZ154" i="87"/>
  <c r="IR153" i="87"/>
  <c r="DR125" i="87"/>
  <c r="AP125" i="87"/>
  <c r="JB124" i="87"/>
  <c r="FZ124" i="87"/>
  <c r="V124" i="87"/>
  <c r="IH123" i="87"/>
  <c r="GT123" i="87"/>
  <c r="AP123" i="87"/>
  <c r="EL122" i="87"/>
  <c r="BJ122" i="87"/>
  <c r="V122" i="87"/>
  <c r="JV121" i="87"/>
  <c r="CD121" i="87"/>
  <c r="AP121" i="87"/>
  <c r="JB120" i="87"/>
  <c r="BJ120" i="87"/>
  <c r="V120" i="87"/>
  <c r="FF119" i="87"/>
  <c r="DR119" i="87"/>
  <c r="FF116" i="87"/>
  <c r="EL115" i="87"/>
  <c r="JV110" i="87"/>
  <c r="IH110" i="87"/>
  <c r="FF110" i="87"/>
  <c r="JV107" i="87"/>
  <c r="FF107" i="87"/>
  <c r="DR107" i="87"/>
  <c r="CD107" i="87"/>
  <c r="KZ110" i="87"/>
  <c r="KZ119" i="87"/>
  <c r="KZ123" i="87"/>
  <c r="KF114" i="87"/>
  <c r="KF121" i="87"/>
  <c r="KF123" i="87"/>
  <c r="JL107" i="87"/>
  <c r="JL119" i="87"/>
  <c r="HD114" i="87"/>
  <c r="HD123" i="87"/>
  <c r="GJ119" i="87"/>
  <c r="FP114" i="87"/>
  <c r="EV107" i="87"/>
  <c r="EV119" i="87"/>
  <c r="EB125" i="87"/>
  <c r="DH107" i="87"/>
  <c r="DH114" i="87"/>
  <c r="CN121" i="87"/>
  <c r="BT107" i="87"/>
  <c r="AZ110" i="87"/>
  <c r="AZ119" i="87"/>
  <c r="AF121" i="87"/>
  <c r="BJ105" i="87"/>
  <c r="IH104" i="87"/>
  <c r="FP104" i="87"/>
  <c r="CN104" i="87"/>
  <c r="BT104" i="87"/>
  <c r="KF103" i="87"/>
  <c r="JL102" i="87"/>
  <c r="HX102" i="87"/>
  <c r="KF101" i="87"/>
  <c r="IR101" i="87"/>
  <c r="HX101" i="87"/>
  <c r="CN101" i="87"/>
  <c r="HX95" i="87"/>
  <c r="KZ94" i="87"/>
  <c r="IR94" i="87"/>
  <c r="HX94" i="87"/>
  <c r="KZ93" i="87"/>
  <c r="KF93" i="87"/>
  <c r="FP93" i="87"/>
  <c r="CN93" i="87"/>
  <c r="EV92" i="87"/>
  <c r="JL91" i="87"/>
  <c r="DH91" i="87"/>
  <c r="JL90" i="87"/>
  <c r="GJ90" i="87"/>
  <c r="DH90" i="87"/>
  <c r="KO106" i="87"/>
  <c r="KE106" i="87"/>
  <c r="JU106" i="87"/>
  <c r="JK106" i="87"/>
  <c r="JK164" i="87" s="1"/>
  <c r="JA106" i="87"/>
  <c r="IQ106" i="87"/>
  <c r="IG106" i="87"/>
  <c r="HW106" i="87"/>
  <c r="HM106" i="87"/>
  <c r="HC106" i="87"/>
  <c r="GS106" i="87"/>
  <c r="GI106" i="87"/>
  <c r="FY106" i="87"/>
  <c r="FO106" i="87"/>
  <c r="FE106" i="87"/>
  <c r="EU106" i="87"/>
  <c r="EK106" i="87"/>
  <c r="EA106" i="87"/>
  <c r="DQ106" i="87"/>
  <c r="DG106" i="87"/>
  <c r="CW106" i="87"/>
  <c r="CM106" i="87"/>
  <c r="CC106" i="87"/>
  <c r="BS106" i="87"/>
  <c r="BI106" i="87"/>
  <c r="AY106" i="87"/>
  <c r="AE106" i="87"/>
  <c r="U106" i="87"/>
  <c r="KO105" i="87"/>
  <c r="KE105" i="87"/>
  <c r="KE163" i="87" s="1"/>
  <c r="IQ105" i="87"/>
  <c r="GS105" i="87"/>
  <c r="JB90" i="87"/>
  <c r="HN90" i="87"/>
  <c r="EL90" i="87"/>
  <c r="V90" i="87"/>
  <c r="IH86" i="87"/>
  <c r="FF86" i="87"/>
  <c r="CD86" i="87"/>
  <c r="AP86" i="87"/>
  <c r="KP85" i="87"/>
  <c r="BJ85" i="87"/>
  <c r="KP83" i="87"/>
  <c r="EL83" i="87"/>
  <c r="V83" i="87"/>
  <c r="KP81" i="87"/>
  <c r="JB81" i="87"/>
  <c r="HN81" i="87"/>
  <c r="FZ81" i="87"/>
  <c r="EL81" i="87"/>
  <c r="CX81" i="87"/>
  <c r="CD81" i="87"/>
  <c r="V81" i="87"/>
  <c r="IH77" i="87"/>
  <c r="FF77" i="87"/>
  <c r="EL77" i="87"/>
  <c r="CX77" i="87"/>
  <c r="CD77" i="87"/>
  <c r="KP76" i="87"/>
  <c r="KP75" i="87"/>
  <c r="HN75" i="87"/>
  <c r="FF75" i="87"/>
  <c r="EL75" i="87"/>
  <c r="KP73" i="87"/>
  <c r="JV72" i="87"/>
  <c r="DR72" i="87"/>
  <c r="KZ90" i="87"/>
  <c r="KF90" i="87"/>
  <c r="IR90" i="87"/>
  <c r="HD90" i="87"/>
  <c r="EV90" i="87"/>
  <c r="EB90" i="87"/>
  <c r="BT90" i="87"/>
  <c r="HD87" i="87"/>
  <c r="KZ86" i="87"/>
  <c r="JL86" i="87"/>
  <c r="KF85" i="87"/>
  <c r="KF84" i="87"/>
  <c r="HX82" i="87"/>
  <c r="EV82" i="87"/>
  <c r="AF82" i="87"/>
  <c r="KZ81" i="87"/>
  <c r="IR81" i="87"/>
  <c r="HX81" i="87"/>
  <c r="KZ78" i="87"/>
  <c r="KZ77" i="87"/>
  <c r="JL77" i="87"/>
  <c r="HD77" i="87"/>
  <c r="GJ77" i="87"/>
  <c r="KF76" i="87"/>
  <c r="KZ75" i="87"/>
  <c r="IR75" i="87"/>
  <c r="FP75" i="87"/>
  <c r="EB75" i="87"/>
  <c r="DH75" i="87"/>
  <c r="KZ73" i="87"/>
  <c r="JL73" i="87"/>
  <c r="FP73" i="87"/>
  <c r="DH73" i="87"/>
  <c r="BT73" i="87"/>
  <c r="KP72" i="87"/>
  <c r="JB72" i="87"/>
  <c r="HN72" i="87"/>
  <c r="EL72" i="87"/>
  <c r="BJ72" i="87"/>
  <c r="IH48" i="87"/>
  <c r="HN48" i="87"/>
  <c r="FZ48" i="87"/>
  <c r="CD48" i="87"/>
  <c r="KP47" i="87"/>
  <c r="GT47" i="87"/>
  <c r="KP46" i="87"/>
  <c r="IH46" i="87"/>
  <c r="HN46" i="87"/>
  <c r="DR46" i="87"/>
  <c r="KP43" i="87"/>
  <c r="JB43" i="87"/>
  <c r="HN43" i="87"/>
  <c r="FZ43" i="87"/>
  <c r="FF43" i="87"/>
  <c r="JL37" i="87"/>
  <c r="GJ37" i="87"/>
  <c r="KF36" i="87"/>
  <c r="IR36" i="87"/>
  <c r="FP36" i="87"/>
  <c r="EB36" i="87"/>
  <c r="KZ35" i="87"/>
  <c r="FP35" i="87"/>
  <c r="CM180" i="87"/>
  <c r="CN35" i="87"/>
  <c r="FP34" i="87"/>
  <c r="BT34" i="87"/>
  <c r="KZ33" i="87"/>
  <c r="IR33" i="87"/>
  <c r="FP33" i="87"/>
  <c r="KF32" i="87"/>
  <c r="JL32" i="87"/>
  <c r="IR32" i="87"/>
  <c r="GI177" i="87"/>
  <c r="EV32" i="87"/>
  <c r="JL29" i="87"/>
  <c r="IR29" i="87"/>
  <c r="FP29" i="87"/>
  <c r="CN29" i="87"/>
  <c r="AZ29" i="87"/>
  <c r="KZ28" i="87"/>
  <c r="JL28" i="87"/>
  <c r="GJ28" i="87"/>
  <c r="DH28" i="87"/>
  <c r="BT28" i="87"/>
  <c r="HD27" i="87"/>
  <c r="FP27" i="87"/>
  <c r="KZ26" i="87"/>
  <c r="JL25" i="87"/>
  <c r="DH25" i="87"/>
  <c r="KP96" i="87"/>
  <c r="JV96" i="87"/>
  <c r="JB96" i="87"/>
  <c r="IH96" i="87"/>
  <c r="HN96" i="87"/>
  <c r="GT96" i="87"/>
  <c r="FZ96" i="87"/>
  <c r="EV96" i="87"/>
  <c r="DH96" i="87"/>
  <c r="BT96" i="87"/>
  <c r="AF96" i="87"/>
  <c r="IR49" i="87"/>
  <c r="JL48" i="87"/>
  <c r="IR48" i="87"/>
  <c r="HX48" i="87"/>
  <c r="BT48" i="87"/>
  <c r="KF47" i="87"/>
  <c r="IR47" i="87"/>
  <c r="KZ46" i="87"/>
  <c r="IR46" i="87"/>
  <c r="FP46" i="87"/>
  <c r="CN46" i="87"/>
  <c r="AZ46" i="87"/>
  <c r="KZ44" i="87"/>
  <c r="JL44" i="87"/>
  <c r="BT44" i="87"/>
  <c r="KZ43" i="87"/>
  <c r="KF43" i="87"/>
  <c r="HX43" i="87"/>
  <c r="EV43" i="87"/>
  <c r="DH43" i="87"/>
  <c r="CN43" i="87"/>
  <c r="AF25" i="87"/>
  <c r="KZ24" i="87"/>
  <c r="JL24" i="87"/>
  <c r="HX24" i="87"/>
  <c r="FP24" i="87"/>
  <c r="DH24" i="87"/>
  <c r="AF24" i="87"/>
  <c r="KZ23" i="87"/>
  <c r="JL23" i="87"/>
  <c r="IR23" i="87"/>
  <c r="GJ23" i="87"/>
  <c r="EB23" i="87"/>
  <c r="BT23" i="87"/>
  <c r="AF23" i="87"/>
  <c r="KF20" i="87"/>
  <c r="HD20" i="87"/>
  <c r="FP20" i="87"/>
  <c r="KZ19" i="87"/>
  <c r="JL19" i="87"/>
  <c r="EV19" i="87"/>
  <c r="CN19" i="87"/>
  <c r="BT19" i="87"/>
  <c r="AZ19" i="87"/>
  <c r="KF18" i="87"/>
  <c r="DH18" i="87"/>
  <c r="KY162" i="87"/>
  <c r="KZ17" i="87"/>
  <c r="IR17" i="87"/>
  <c r="GJ17" i="87"/>
  <c r="FO162" i="87"/>
  <c r="FP17" i="87"/>
  <c r="CN17" i="87"/>
  <c r="BT17" i="87"/>
  <c r="KZ15" i="87"/>
  <c r="JL15" i="87"/>
  <c r="HX15" i="87"/>
  <c r="FP15" i="87"/>
  <c r="BT15" i="87"/>
  <c r="AF15" i="87"/>
  <c r="KZ14" i="87"/>
  <c r="HX14" i="87"/>
  <c r="GJ14" i="87"/>
  <c r="EV14" i="87"/>
  <c r="EB14" i="87"/>
  <c r="JV37" i="87"/>
  <c r="IH37" i="87"/>
  <c r="GT37" i="87"/>
  <c r="FF37" i="87"/>
  <c r="CX37" i="87"/>
  <c r="AP37" i="87"/>
  <c r="KP36" i="87"/>
  <c r="JA181" i="87"/>
  <c r="JB36" i="87"/>
  <c r="HN36" i="87"/>
  <c r="FZ36" i="87"/>
  <c r="EL36" i="87"/>
  <c r="BJ36" i="87"/>
  <c r="AP36" i="87"/>
  <c r="GT35" i="87"/>
  <c r="EL35" i="87"/>
  <c r="DR35" i="87"/>
  <c r="FF34" i="87"/>
  <c r="KP33" i="87"/>
  <c r="JV33" i="87"/>
  <c r="IH33" i="87"/>
  <c r="FF33" i="87"/>
  <c r="DR33" i="87"/>
  <c r="AP33" i="87"/>
  <c r="KP32" i="87"/>
  <c r="JB32" i="87"/>
  <c r="HN32" i="87"/>
  <c r="FZ32" i="87"/>
  <c r="EL32" i="87"/>
  <c r="DR32" i="87"/>
  <c r="CX32" i="87"/>
  <c r="BJ32" i="87"/>
  <c r="JV28" i="87"/>
  <c r="FF28" i="87"/>
  <c r="KP27" i="87"/>
  <c r="V27" i="87"/>
  <c r="JV25" i="87"/>
  <c r="AP25" i="87"/>
  <c r="KP24" i="87"/>
  <c r="JB24" i="87"/>
  <c r="CD24" i="87"/>
  <c r="BJ24" i="87"/>
  <c r="AP24" i="87"/>
  <c r="KP23" i="87"/>
  <c r="JB23" i="87"/>
  <c r="HN23" i="87"/>
  <c r="FZ23" i="87"/>
  <c r="EL23" i="87"/>
  <c r="CX23" i="87"/>
  <c r="KP19" i="87"/>
  <c r="JB19" i="87"/>
  <c r="IH19" i="87"/>
  <c r="FZ19" i="87"/>
  <c r="FF19" i="87"/>
  <c r="DR19" i="87"/>
  <c r="CX19" i="87"/>
  <c r="KP18" i="87"/>
  <c r="GT18" i="87"/>
  <c r="BJ18" i="87"/>
  <c r="HN17" i="87"/>
  <c r="DR17" i="87"/>
  <c r="CX17" i="87"/>
  <c r="CD17" i="87"/>
  <c r="BJ17" i="87"/>
  <c r="AP17" i="87"/>
  <c r="KP15" i="87"/>
  <c r="DR15" i="87"/>
  <c r="KP14" i="87"/>
  <c r="JV14" i="87"/>
  <c r="JA159" i="87"/>
  <c r="JB14" i="87"/>
  <c r="FZ14" i="87"/>
  <c r="EL14" i="87"/>
  <c r="CX14" i="87"/>
  <c r="BJ14" i="87"/>
  <c r="DR13" i="87"/>
  <c r="GT67" i="87"/>
  <c r="FZ66" i="87"/>
  <c r="BJ66" i="87"/>
  <c r="IH65" i="87"/>
  <c r="AP65" i="87"/>
  <c r="HN62" i="87"/>
  <c r="FZ62" i="87"/>
  <c r="BJ62" i="87"/>
  <c r="DR61" i="87"/>
  <c r="KP57" i="87"/>
  <c r="V57" i="87"/>
  <c r="EB105" i="87"/>
  <c r="DH105" i="87"/>
  <c r="BT105" i="87"/>
  <c r="KZ104" i="87"/>
  <c r="KF104" i="87"/>
  <c r="IR104" i="87"/>
  <c r="HD104" i="87"/>
  <c r="GJ104" i="87"/>
  <c r="FF96" i="87"/>
  <c r="DR96" i="87"/>
  <c r="CD96" i="87"/>
  <c r="AP96" i="87"/>
  <c r="JL67" i="87"/>
  <c r="HX67" i="87"/>
  <c r="IR66" i="87"/>
  <c r="KZ65" i="87"/>
  <c r="HX65" i="87"/>
  <c r="DH65" i="87"/>
  <c r="CN64" i="87"/>
  <c r="HX63" i="87"/>
  <c r="EV63" i="87"/>
  <c r="BT63" i="87"/>
  <c r="HD62" i="87"/>
  <c r="CN62" i="87"/>
  <c r="GJ61" i="87"/>
  <c r="GJ58" i="87"/>
  <c r="DH58" i="87"/>
  <c r="HD57" i="87"/>
  <c r="FP57" i="87"/>
  <c r="BT56" i="87"/>
  <c r="JV38" i="87"/>
  <c r="IH38" i="87"/>
  <c r="GT38" i="87"/>
  <c r="FF38" i="87"/>
  <c r="DR38" i="87"/>
  <c r="CD38" i="87"/>
  <c r="AP38" i="87"/>
  <c r="KH10" i="87"/>
  <c r="FR10" i="87"/>
  <c r="KF38" i="87"/>
  <c r="IR38" i="87"/>
  <c r="HD38" i="87"/>
  <c r="FP38" i="87"/>
  <c r="EB38" i="87"/>
  <c r="CN38" i="87"/>
  <c r="AZ38" i="87"/>
  <c r="KE55" i="87"/>
  <c r="KY54" i="87"/>
  <c r="KO54" i="87"/>
  <c r="KE54" i="87"/>
  <c r="JU54" i="87"/>
  <c r="JK54" i="87"/>
  <c r="JA54" i="87"/>
  <c r="IQ54" i="87"/>
  <c r="IG54" i="87"/>
  <c r="HW54" i="87"/>
  <c r="HM54" i="87"/>
  <c r="HC54" i="87"/>
  <c r="GS54" i="87"/>
  <c r="GI54" i="87"/>
  <c r="FY54" i="87"/>
  <c r="FO54" i="87"/>
  <c r="FE54" i="87"/>
  <c r="EU54" i="87"/>
  <c r="EK54" i="87"/>
  <c r="EA54" i="87"/>
  <c r="DQ54" i="87"/>
  <c r="DG54" i="87"/>
  <c r="CW54" i="87"/>
  <c r="CM54" i="87"/>
  <c r="CC54" i="87"/>
  <c r="BS54" i="87"/>
  <c r="BI54" i="87"/>
  <c r="AY54" i="87"/>
  <c r="AO54" i="87"/>
  <c r="AE54" i="87"/>
  <c r="U54" i="87"/>
  <c r="KY53" i="87"/>
  <c r="KO53" i="87"/>
  <c r="KE53" i="87"/>
  <c r="JK53" i="87"/>
  <c r="JA53" i="87"/>
  <c r="IQ53" i="87"/>
  <c r="HW53" i="87"/>
  <c r="HC53" i="87"/>
  <c r="FO53" i="87"/>
  <c r="EU53" i="87"/>
  <c r="DG53" i="87"/>
  <c r="CM53" i="87"/>
  <c r="CC53" i="87"/>
  <c r="BS53" i="87"/>
  <c r="BI53" i="87"/>
  <c r="AO53" i="87"/>
  <c r="AE53" i="87"/>
  <c r="U53" i="87"/>
  <c r="KY52" i="87"/>
  <c r="KO52" i="87"/>
  <c r="KE52" i="87"/>
  <c r="JU52" i="87"/>
  <c r="JK52" i="87"/>
  <c r="JA52" i="87"/>
  <c r="IQ52" i="87"/>
  <c r="IG52" i="87"/>
  <c r="HW52" i="87"/>
  <c r="HM52" i="87"/>
  <c r="HC52" i="87"/>
  <c r="GS52" i="87"/>
  <c r="GI52" i="87"/>
  <c r="FY52" i="87"/>
  <c r="FO52" i="87"/>
  <c r="FE52" i="87"/>
  <c r="EU52" i="87"/>
  <c r="EK52" i="87"/>
  <c r="EA52" i="87"/>
  <c r="DQ52" i="87"/>
  <c r="DG52" i="87"/>
  <c r="CW52" i="87"/>
  <c r="CM52" i="87"/>
  <c r="CC52" i="87"/>
  <c r="BS52" i="87"/>
  <c r="BI52" i="87"/>
  <c r="AY52" i="87"/>
  <c r="AO52" i="87"/>
  <c r="AE52" i="87"/>
  <c r="U52" i="87"/>
  <c r="KZ96" i="87"/>
  <c r="KF96" i="87"/>
  <c r="JL96" i="87"/>
  <c r="IR96" i="87"/>
  <c r="HX96" i="87"/>
  <c r="HD96" i="87"/>
  <c r="GJ96" i="87"/>
  <c r="FP96" i="87"/>
  <c r="EB96" i="87"/>
  <c r="CN96" i="87"/>
  <c r="AZ96" i="87"/>
  <c r="KP67" i="87"/>
  <c r="HN67" i="87"/>
  <c r="IH66" i="87"/>
  <c r="FF66" i="87"/>
  <c r="CD66" i="87"/>
  <c r="AP66" i="87"/>
  <c r="JB65" i="87"/>
  <c r="FZ65" i="87"/>
  <c r="EL65" i="87"/>
  <c r="BJ65" i="87"/>
  <c r="GT64" i="87"/>
  <c r="HN63" i="87"/>
  <c r="FZ63" i="87"/>
  <c r="IH62" i="87"/>
  <c r="GT62" i="87"/>
  <c r="FF62" i="87"/>
  <c r="DR62" i="87"/>
  <c r="CD62" i="87"/>
  <c r="AP62" i="87"/>
  <c r="KP61" i="87"/>
  <c r="JB61" i="87"/>
  <c r="HN61" i="87"/>
  <c r="FZ61" i="87"/>
  <c r="EL61" i="87"/>
  <c r="BJ61" i="87"/>
  <c r="V61" i="87"/>
  <c r="HN58" i="87"/>
  <c r="CX58" i="87"/>
  <c r="JV57" i="87"/>
  <c r="IH57" i="87"/>
  <c r="GT57" i="87"/>
  <c r="FF57" i="87"/>
  <c r="KP56" i="87"/>
  <c r="V56" i="87"/>
  <c r="EL96" i="87"/>
  <c r="CX96" i="87"/>
  <c r="BJ96" i="87"/>
  <c r="V96" i="87"/>
  <c r="IR67" i="87"/>
  <c r="EB67" i="87"/>
  <c r="EV66" i="87"/>
  <c r="IR65" i="87"/>
  <c r="HD65" i="87"/>
  <c r="KZ64" i="87"/>
  <c r="JL64" i="87"/>
  <c r="GJ64" i="87"/>
  <c r="HD63" i="87"/>
  <c r="EB63" i="87"/>
  <c r="CN63" i="87"/>
  <c r="AZ63" i="87"/>
  <c r="KZ62" i="87"/>
  <c r="JL62" i="87"/>
  <c r="HX62" i="87"/>
  <c r="EV62" i="87"/>
  <c r="BT62" i="87"/>
  <c r="AF62" i="87"/>
  <c r="IR61" i="87"/>
  <c r="EB58" i="87"/>
  <c r="KZ57" i="87"/>
  <c r="HX57" i="87"/>
  <c r="EV57" i="87"/>
  <c r="BT57" i="87"/>
  <c r="AF57" i="87"/>
  <c r="KF56" i="87"/>
  <c r="HD56" i="87"/>
  <c r="FP56" i="87"/>
  <c r="KP38" i="87"/>
  <c r="JB38" i="87"/>
  <c r="HN38" i="87"/>
  <c r="FZ38" i="87"/>
  <c r="EL38" i="87"/>
  <c r="CX38" i="87"/>
  <c r="BJ38" i="87"/>
  <c r="V38" i="87"/>
  <c r="KZ38" i="87"/>
  <c r="JL38" i="87"/>
  <c r="HX38" i="87"/>
  <c r="GJ38" i="87"/>
  <c r="EV38" i="87"/>
  <c r="DH38" i="87"/>
  <c r="BT38" i="87"/>
  <c r="AF38" i="87"/>
  <c r="LH185" i="87"/>
  <c r="KP65" i="87" l="1"/>
  <c r="CM162" i="87"/>
  <c r="HM159" i="87"/>
  <c r="KY159" i="87"/>
  <c r="KY218" i="87" s="1"/>
  <c r="JK177" i="87"/>
  <c r="JK236" i="87" s="1"/>
  <c r="IQ177" i="87"/>
  <c r="KY180" i="87"/>
  <c r="KO177" i="87"/>
  <c r="KO236" i="87" s="1"/>
  <c r="CW183" i="87"/>
  <c r="FP64" i="87"/>
  <c r="KY171" i="87"/>
  <c r="KZ55" i="87"/>
  <c r="KZ171" i="87" s="1"/>
  <c r="KZ230" i="87" s="1"/>
  <c r="IG182" i="87"/>
  <c r="AK75" i="87"/>
  <c r="AL75" i="87" s="1"/>
  <c r="KZ27" i="87"/>
  <c r="KZ31" i="87"/>
  <c r="KY177" i="87"/>
  <c r="KY236" i="87" s="1"/>
  <c r="JL43" i="87"/>
  <c r="JK173" i="87"/>
  <c r="IG162" i="87"/>
  <c r="IG221" i="87" s="1"/>
  <c r="HM181" i="87"/>
  <c r="KE159" i="87"/>
  <c r="KE218" i="87" s="1"/>
  <c r="GI159" i="87"/>
  <c r="KO183" i="87"/>
  <c r="KO242" i="87" s="1"/>
  <c r="FZ152" i="87"/>
  <c r="JA180" i="87"/>
  <c r="JA239" i="87" s="1"/>
  <c r="IG183" i="87"/>
  <c r="IG242" i="87" s="1"/>
  <c r="DQ178" i="87"/>
  <c r="DQ237" i="87" s="1"/>
  <c r="U172" i="87"/>
  <c r="BS173" i="87"/>
  <c r="BS232" i="87" s="1"/>
  <c r="FE173" i="87"/>
  <c r="FE232" i="87" s="1"/>
  <c r="HW182" i="87"/>
  <c r="HW241" i="87" s="1"/>
  <c r="EA183" i="87"/>
  <c r="EA242" i="87" s="1"/>
  <c r="FZ27" i="87"/>
  <c r="IG173" i="87"/>
  <c r="IG232" i="87" s="1"/>
  <c r="KY164" i="87"/>
  <c r="KY223" i="87" s="1"/>
  <c r="CW177" i="87"/>
  <c r="CW236" i="87" s="1"/>
  <c r="IQ181" i="87"/>
  <c r="IQ240" i="87" s="1"/>
  <c r="EU159" i="87"/>
  <c r="FE182" i="87"/>
  <c r="FE241" i="87" s="1"/>
  <c r="KV11" i="87"/>
  <c r="DQ160" i="87"/>
  <c r="EV101" i="87"/>
  <c r="EV159" i="87" s="1"/>
  <c r="EV218" i="87" s="1"/>
  <c r="HX124" i="87"/>
  <c r="HX182" i="87" s="1"/>
  <c r="HX241" i="87" s="1"/>
  <c r="FF153" i="87"/>
  <c r="FF182" i="87" s="1"/>
  <c r="FF241" i="87" s="1"/>
  <c r="BS169" i="87"/>
  <c r="BS228" i="87" s="1"/>
  <c r="JK169" i="87"/>
  <c r="JK228" i="87" s="1"/>
  <c r="KY181" i="87"/>
  <c r="KY240" i="87" s="1"/>
  <c r="CC160" i="87"/>
  <c r="CC219" i="87" s="1"/>
  <c r="BS178" i="87"/>
  <c r="BS237" i="87" s="1"/>
  <c r="EU178" i="87"/>
  <c r="EU237" i="87" s="1"/>
  <c r="CC178" i="87"/>
  <c r="CC237" i="87" s="1"/>
  <c r="CC182" i="87"/>
  <c r="CC241" i="87" s="1"/>
  <c r="KP154" i="87"/>
  <c r="KP183" i="87" s="1"/>
  <c r="KP242" i="87" s="1"/>
  <c r="IM67" i="87"/>
  <c r="IN67" i="87" s="1"/>
  <c r="AK200" i="87"/>
  <c r="AL200" i="87" s="1"/>
  <c r="EU177" i="87"/>
  <c r="EU236" i="87" s="1"/>
  <c r="V143" i="87"/>
  <c r="V172" i="87" s="1"/>
  <c r="V231" i="87" s="1"/>
  <c r="GE192" i="87"/>
  <c r="GF192" i="87" s="1"/>
  <c r="FY159" i="87"/>
  <c r="FY218" i="87" s="1"/>
  <c r="KP148" i="87"/>
  <c r="KP177" i="87" s="1"/>
  <c r="KP236" i="87" s="1"/>
  <c r="BY123" i="87"/>
  <c r="BZ123" i="87" s="1"/>
  <c r="CA123" i="87" s="1"/>
  <c r="CC123" i="87" s="1"/>
  <c r="CD123" i="87" s="1"/>
  <c r="AO173" i="87"/>
  <c r="AO232" i="87" s="1"/>
  <c r="EK174" i="87"/>
  <c r="EK233" i="87" s="1"/>
  <c r="U177" i="87"/>
  <c r="U236" i="87" s="1"/>
  <c r="CW159" i="87"/>
  <c r="CW218" i="87" s="1"/>
  <c r="FZ101" i="87"/>
  <c r="FZ159" i="87" s="1"/>
  <c r="FZ218" i="87" s="1"/>
  <c r="KP143" i="87"/>
  <c r="KP172" i="87" s="1"/>
  <c r="KP231" i="87" s="1"/>
  <c r="BI180" i="87"/>
  <c r="BI239" i="87" s="1"/>
  <c r="BS163" i="87"/>
  <c r="BS222" i="87" s="1"/>
  <c r="AO182" i="87"/>
  <c r="AO241" i="87" s="1"/>
  <c r="U182" i="87"/>
  <c r="U241" i="87" s="1"/>
  <c r="HN133" i="87"/>
  <c r="HN162" i="87" s="1"/>
  <c r="HN221" i="87" s="1"/>
  <c r="CW182" i="87"/>
  <c r="CW241" i="87" s="1"/>
  <c r="DO39" i="87"/>
  <c r="DQ39" i="87" s="1"/>
  <c r="DR39" i="87" s="1"/>
  <c r="DT39" i="87" s="1"/>
  <c r="JK182" i="87"/>
  <c r="JK241" i="87" s="1"/>
  <c r="HA68" i="87"/>
  <c r="HC68" i="87" s="1"/>
  <c r="HD68" i="87" s="1"/>
  <c r="IH17" i="87"/>
  <c r="IH162" i="87" s="1"/>
  <c r="IH221" i="87" s="1"/>
  <c r="DQ172" i="87"/>
  <c r="DQ231" i="87" s="1"/>
  <c r="CX154" i="87"/>
  <c r="CX183" i="87" s="1"/>
  <c r="CX242" i="87" s="1"/>
  <c r="FU199" i="87"/>
  <c r="FV199" i="87" s="1"/>
  <c r="FW199" i="87" s="1"/>
  <c r="FY199" i="87" s="1"/>
  <c r="FZ199" i="87" s="1"/>
  <c r="GY92" i="87"/>
  <c r="GZ92" i="87" s="1"/>
  <c r="FY164" i="87"/>
  <c r="FY223" i="87" s="1"/>
  <c r="AA194" i="87"/>
  <c r="AB194" i="87" s="1"/>
  <c r="FK48" i="87"/>
  <c r="FL48" i="87" s="1"/>
  <c r="BS159" i="87"/>
  <c r="BS218" i="87" s="1"/>
  <c r="AA201" i="87"/>
  <c r="AB201" i="87" s="1"/>
  <c r="AC201" i="87" s="1"/>
  <c r="AE201" i="87" s="1"/>
  <c r="AF201" i="87" s="1"/>
  <c r="FK60" i="87"/>
  <c r="FL60" i="87" s="1"/>
  <c r="FM60" i="87" s="1"/>
  <c r="FO60" i="87" s="1"/>
  <c r="FP60" i="87" s="1"/>
  <c r="KE180" i="87"/>
  <c r="KE239" i="87" s="1"/>
  <c r="FE162" i="87"/>
  <c r="FE221" i="87" s="1"/>
  <c r="KY178" i="87"/>
  <c r="KY237" i="87" s="1"/>
  <c r="DG181" i="87"/>
  <c r="DG240" i="87" s="1"/>
  <c r="CX90" i="87"/>
  <c r="CX177" i="87" s="1"/>
  <c r="CX236" i="87" s="1"/>
  <c r="DG177" i="87"/>
  <c r="DG236" i="87" s="1"/>
  <c r="JA183" i="87"/>
  <c r="JA242" i="87" s="1"/>
  <c r="JK183" i="87"/>
  <c r="JK242" i="87" s="1"/>
  <c r="EK177" i="87"/>
  <c r="EK236" i="87" s="1"/>
  <c r="DH119" i="87"/>
  <c r="DH177" i="87" s="1"/>
  <c r="DH236" i="87" s="1"/>
  <c r="HN130" i="87"/>
  <c r="HN159" i="87" s="1"/>
  <c r="HN218" i="87" s="1"/>
  <c r="BT134" i="87"/>
  <c r="BT163" i="87" s="1"/>
  <c r="BT222" i="87" s="1"/>
  <c r="FK42" i="87"/>
  <c r="FL42" i="87" s="1"/>
  <c r="FM42" i="87" s="1"/>
  <c r="FO42" i="87" s="1"/>
  <c r="FP42" i="87" s="1"/>
  <c r="FK55" i="87"/>
  <c r="FL55" i="87" s="1"/>
  <c r="FM55" i="87" s="1"/>
  <c r="FO55" i="87" s="1"/>
  <c r="FP55" i="87" s="1"/>
  <c r="FY178" i="87"/>
  <c r="FY237" i="87" s="1"/>
  <c r="AO181" i="87"/>
  <c r="AO240" i="87" s="1"/>
  <c r="EU183" i="87"/>
  <c r="EU242" i="87" s="1"/>
  <c r="U181" i="87"/>
  <c r="U240" i="87" s="1"/>
  <c r="GE203" i="87"/>
  <c r="GF203" i="87" s="1"/>
  <c r="FK43" i="87"/>
  <c r="FL43" i="87" s="1"/>
  <c r="FK64" i="87"/>
  <c r="FL64" i="87" s="1"/>
  <c r="BS172" i="87"/>
  <c r="BS231" i="87" s="1"/>
  <c r="JU159" i="87"/>
  <c r="JU218" i="87" s="1"/>
  <c r="HM178" i="87"/>
  <c r="HM237" i="87" s="1"/>
  <c r="BY114" i="87"/>
  <c r="BZ114" i="87" s="1"/>
  <c r="CA114" i="87" s="1"/>
  <c r="CC114" i="87" s="1"/>
  <c r="CD114" i="87" s="1"/>
  <c r="FK66" i="87"/>
  <c r="FL66" i="87" s="1"/>
  <c r="EU182" i="87"/>
  <c r="EU241" i="87" s="1"/>
  <c r="DM46" i="87"/>
  <c r="DN46" i="87" s="1"/>
  <c r="DM63" i="87"/>
  <c r="DN63" i="87" s="1"/>
  <c r="KE172" i="87"/>
  <c r="KE231" i="87" s="1"/>
  <c r="U163" i="87"/>
  <c r="U222" i="87" s="1"/>
  <c r="AA205" i="87"/>
  <c r="AB205" i="87" s="1"/>
  <c r="DM53" i="87"/>
  <c r="DN53" i="87" s="1"/>
  <c r="DO53" i="87" s="1"/>
  <c r="DQ53" i="87" s="1"/>
  <c r="DR53" i="87" s="1"/>
  <c r="DM65" i="87"/>
  <c r="DN65" i="87" s="1"/>
  <c r="KO160" i="87"/>
  <c r="KO219" i="87" s="1"/>
  <c r="EK183" i="87"/>
  <c r="EK242" i="87" s="1"/>
  <c r="AA211" i="87"/>
  <c r="AB211" i="87" s="1"/>
  <c r="DM47" i="87"/>
  <c r="DN47" i="87" s="1"/>
  <c r="HW183" i="87"/>
  <c r="HW242" i="87" s="1"/>
  <c r="BI177" i="87"/>
  <c r="BI236" i="87" s="1"/>
  <c r="GS173" i="87"/>
  <c r="GS232" i="87" s="1"/>
  <c r="BS177" i="87"/>
  <c r="BS236" i="87" s="1"/>
  <c r="JK178" i="87"/>
  <c r="JK237" i="87" s="1"/>
  <c r="KE181" i="87"/>
  <c r="KE240" i="87" s="1"/>
  <c r="IR152" i="87"/>
  <c r="IR181" i="87" s="1"/>
  <c r="IR240" i="87" s="1"/>
  <c r="FU191" i="87"/>
  <c r="FV191" i="87" s="1"/>
  <c r="FW191" i="87" s="1"/>
  <c r="FY191" i="87" s="1"/>
  <c r="FZ191" i="87" s="1"/>
  <c r="DM57" i="87"/>
  <c r="DN57" i="87" s="1"/>
  <c r="DO57" i="87" s="1"/>
  <c r="DQ57" i="87" s="1"/>
  <c r="DR57" i="87" s="1"/>
  <c r="DM66" i="87"/>
  <c r="DN66" i="87" s="1"/>
  <c r="DO66" i="87" s="1"/>
  <c r="DQ66" i="87" s="1"/>
  <c r="DR66" i="87" s="1"/>
  <c r="DM52" i="87"/>
  <c r="DN52" i="87" s="1"/>
  <c r="DM45" i="87"/>
  <c r="DN45" i="87" s="1"/>
  <c r="BY213" i="87"/>
  <c r="BZ213" i="87" s="1"/>
  <c r="HX125" i="87"/>
  <c r="HX183" i="87" s="1"/>
  <c r="HX242" i="87" s="1"/>
  <c r="DR102" i="87"/>
  <c r="DR160" i="87" s="1"/>
  <c r="DR219" i="87" s="1"/>
  <c r="IR148" i="87"/>
  <c r="IR177" i="87" s="1"/>
  <c r="IR236" i="87" s="1"/>
  <c r="FF144" i="87"/>
  <c r="FF173" i="87" s="1"/>
  <c r="FF232" i="87" s="1"/>
  <c r="HN154" i="87"/>
  <c r="HN183" i="87" s="1"/>
  <c r="HN242" i="87" s="1"/>
  <c r="DM58" i="87"/>
  <c r="DN58" i="87" s="1"/>
  <c r="DO58" i="87" s="1"/>
  <c r="DQ58" i="87" s="1"/>
  <c r="DM67" i="87"/>
  <c r="DN67" i="87" s="1"/>
  <c r="DM51" i="87"/>
  <c r="DN51" i="87" s="1"/>
  <c r="DM44" i="87"/>
  <c r="DN44" i="87" s="1"/>
  <c r="DM56" i="87"/>
  <c r="DN56" i="87" s="1"/>
  <c r="FY179" i="87"/>
  <c r="FY238" i="87" s="1"/>
  <c r="CM182" i="87"/>
  <c r="CM241" i="87" s="1"/>
  <c r="GS174" i="87"/>
  <c r="GS233" i="87" s="1"/>
  <c r="U174" i="87"/>
  <c r="U233" i="87" s="1"/>
  <c r="EA168" i="87"/>
  <c r="EA227" i="87" s="1"/>
  <c r="IQ183" i="87"/>
  <c r="IQ242" i="87" s="1"/>
  <c r="DG183" i="87"/>
  <c r="DG242" i="87" s="1"/>
  <c r="EK179" i="87"/>
  <c r="EK238" i="87" s="1"/>
  <c r="IQ178" i="87"/>
  <c r="IQ237" i="87" s="1"/>
  <c r="FO165" i="87"/>
  <c r="FO224" i="87" s="1"/>
  <c r="DM62" i="87"/>
  <c r="DN62" i="87" s="1"/>
  <c r="DM55" i="87"/>
  <c r="DN55" i="87" s="1"/>
  <c r="DO55" i="87" s="1"/>
  <c r="DQ55" i="87" s="1"/>
  <c r="DR55" i="87" s="1"/>
  <c r="DM49" i="87"/>
  <c r="DN49" i="87" s="1"/>
  <c r="DM43" i="87"/>
  <c r="DN43" i="87" s="1"/>
  <c r="DM64" i="87"/>
  <c r="DN64" i="87" s="1"/>
  <c r="FK56" i="87"/>
  <c r="FL56" i="87" s="1"/>
  <c r="KE182" i="87"/>
  <c r="KE241" i="87" s="1"/>
  <c r="FO174" i="87"/>
  <c r="FO233" i="87" s="1"/>
  <c r="EU173" i="87"/>
  <c r="EU232" i="87" s="1"/>
  <c r="HW169" i="87"/>
  <c r="HW228" i="87" s="1"/>
  <c r="BJ64" i="87"/>
  <c r="BJ180" i="87" s="1"/>
  <c r="BJ239" i="87" s="1"/>
  <c r="DQ177" i="87"/>
  <c r="DQ236" i="87" s="1"/>
  <c r="FZ33" i="87"/>
  <c r="FZ178" i="87" s="1"/>
  <c r="FZ237" i="87" s="1"/>
  <c r="AO179" i="87"/>
  <c r="AO238" i="87" s="1"/>
  <c r="BS181" i="87"/>
  <c r="BS240" i="87" s="1"/>
  <c r="HM164" i="87"/>
  <c r="HM223" i="87" s="1"/>
  <c r="JG96" i="87"/>
  <c r="JH96" i="87" s="1"/>
  <c r="DR149" i="87"/>
  <c r="DR178" i="87" s="1"/>
  <c r="DR237" i="87" s="1"/>
  <c r="JL148" i="87"/>
  <c r="JL177" i="87" s="1"/>
  <c r="JL236" i="87" s="1"/>
  <c r="BE151" i="87"/>
  <c r="BF151" i="87" s="1"/>
  <c r="FU211" i="87"/>
  <c r="FV211" i="87" s="1"/>
  <c r="FU212" i="87"/>
  <c r="FV212" i="87" s="1"/>
  <c r="FK44" i="87"/>
  <c r="FL44" i="87" s="1"/>
  <c r="FK51" i="87"/>
  <c r="FL51" i="87" s="1"/>
  <c r="FM51" i="87" s="1"/>
  <c r="FO51" i="87" s="1"/>
  <c r="FP51" i="87" s="1"/>
  <c r="FK45" i="87"/>
  <c r="FL45" i="87" s="1"/>
  <c r="FM45" i="87" s="1"/>
  <c r="FO45" i="87" s="1"/>
  <c r="FP45" i="87" s="1"/>
  <c r="JG94" i="87"/>
  <c r="JH94" i="87" s="1"/>
  <c r="JI94" i="87" s="1"/>
  <c r="JK94" i="87" s="1"/>
  <c r="JL94" i="87" s="1"/>
  <c r="DM61" i="87"/>
  <c r="DN61" i="87" s="1"/>
  <c r="FK65" i="87"/>
  <c r="FL65" i="87" s="1"/>
  <c r="HW181" i="87"/>
  <c r="HW240" i="87" s="1"/>
  <c r="FK58" i="87"/>
  <c r="FL58" i="87" s="1"/>
  <c r="KE178" i="87"/>
  <c r="KE237" i="87" s="1"/>
  <c r="CM174" i="87"/>
  <c r="CM233" i="87" s="1"/>
  <c r="V29" i="87"/>
  <c r="V174" i="87" s="1"/>
  <c r="V233" i="87" s="1"/>
  <c r="IG178" i="87"/>
  <c r="IG237" i="87" s="1"/>
  <c r="HW160" i="87"/>
  <c r="HW219" i="87" s="1"/>
  <c r="GI173" i="87"/>
  <c r="GI232" i="87" s="1"/>
  <c r="CN37" i="87"/>
  <c r="CN182" i="87" s="1"/>
  <c r="CN241" i="87" s="1"/>
  <c r="BS164" i="87"/>
  <c r="BS223" i="87" s="1"/>
  <c r="BE131" i="87"/>
  <c r="BF131" i="87" s="1"/>
  <c r="JG200" i="87"/>
  <c r="JH200" i="87" s="1"/>
  <c r="FU213" i="87"/>
  <c r="FV213" i="87" s="1"/>
  <c r="FK46" i="87"/>
  <c r="FL46" i="87" s="1"/>
  <c r="FK52" i="87"/>
  <c r="FL52" i="87" s="1"/>
  <c r="FK49" i="87"/>
  <c r="FL49" i="87" s="1"/>
  <c r="GY80" i="87"/>
  <c r="GZ80" i="87" s="1"/>
  <c r="HA80" i="87" s="1"/>
  <c r="HC80" i="87" s="1"/>
  <c r="HD80" i="87" s="1"/>
  <c r="FK67" i="87"/>
  <c r="FL67" i="87" s="1"/>
  <c r="FK61" i="87"/>
  <c r="FL61" i="87" s="1"/>
  <c r="JG205" i="87"/>
  <c r="JH205" i="87" s="1"/>
  <c r="HC182" i="87"/>
  <c r="HC241" i="87" s="1"/>
  <c r="IQ168" i="87"/>
  <c r="IQ227" i="87" s="1"/>
  <c r="HW178" i="87"/>
  <c r="HW237" i="87" s="1"/>
  <c r="CC164" i="87"/>
  <c r="CC223" i="87" s="1"/>
  <c r="FE164" i="87"/>
  <c r="FE223" i="87" s="1"/>
  <c r="KK196" i="87"/>
  <c r="KL196" i="87" s="1"/>
  <c r="JG194" i="87"/>
  <c r="JH194" i="87" s="1"/>
  <c r="FK47" i="87"/>
  <c r="FL47" i="87" s="1"/>
  <c r="FM47" i="87" s="1"/>
  <c r="FO47" i="87" s="1"/>
  <c r="FP47" i="87" s="1"/>
  <c r="FK53" i="87"/>
  <c r="FL53" i="87" s="1"/>
  <c r="FK54" i="87"/>
  <c r="FL54" i="87" s="1"/>
  <c r="JG80" i="87"/>
  <c r="JH80" i="87" s="1"/>
  <c r="JI80" i="87" s="1"/>
  <c r="JK80" i="87" s="1"/>
  <c r="JL80" i="87" s="1"/>
  <c r="DM60" i="87"/>
  <c r="DN60" i="87" s="1"/>
  <c r="FK57" i="87"/>
  <c r="FL57" i="87" s="1"/>
  <c r="FK63" i="87"/>
  <c r="FL63" i="87" s="1"/>
  <c r="FK62" i="87"/>
  <c r="FL62" i="87" s="1"/>
  <c r="GI165" i="87"/>
  <c r="GI224" i="87" s="1"/>
  <c r="HC177" i="87"/>
  <c r="HC236" i="87" s="1"/>
  <c r="JK179" i="87"/>
  <c r="JK238" i="87" s="1"/>
  <c r="GS179" i="87"/>
  <c r="GS238" i="87" s="1"/>
  <c r="FO183" i="87"/>
  <c r="FO242" i="87" s="1"/>
  <c r="CC173" i="87"/>
  <c r="CC232" i="87" s="1"/>
  <c r="KA198" i="87"/>
  <c r="KB198" i="87" s="1"/>
  <c r="JU173" i="87"/>
  <c r="JU232" i="87" s="1"/>
  <c r="JK165" i="87"/>
  <c r="JK224" i="87" s="1"/>
  <c r="FP107" i="87"/>
  <c r="FP165" i="87" s="1"/>
  <c r="GT92" i="87"/>
  <c r="GT179" i="87" s="1"/>
  <c r="GT238" i="87" s="1"/>
  <c r="JL124" i="87"/>
  <c r="JL182" i="87" s="1"/>
  <c r="JL241" i="87" s="1"/>
  <c r="IH144" i="87"/>
  <c r="IH173" i="87" s="1"/>
  <c r="IH232" i="87" s="1"/>
  <c r="KZ135" i="87"/>
  <c r="KZ164" i="87" s="1"/>
  <c r="KZ223" i="87" s="1"/>
  <c r="KY183" i="87"/>
  <c r="KY242" i="87" s="1"/>
  <c r="FO168" i="87"/>
  <c r="FO227" i="87" s="1"/>
  <c r="EU169" i="87"/>
  <c r="EU228" i="87" s="1"/>
  <c r="KE183" i="87"/>
  <c r="KE242" i="87" s="1"/>
  <c r="DQ161" i="87"/>
  <c r="DQ220" i="87" s="1"/>
  <c r="IH35" i="87"/>
  <c r="IQ159" i="87"/>
  <c r="IQ218" i="87" s="1"/>
  <c r="HC172" i="87"/>
  <c r="HC231" i="87" s="1"/>
  <c r="FO177" i="87"/>
  <c r="FO236" i="87" s="1"/>
  <c r="GI164" i="87"/>
  <c r="GI223" i="87" s="1"/>
  <c r="IM90" i="87"/>
  <c r="IN90" i="87" s="1"/>
  <c r="JG82" i="87"/>
  <c r="JH82" i="87" s="1"/>
  <c r="AK86" i="87"/>
  <c r="AL86" i="87" s="1"/>
  <c r="DG163" i="87"/>
  <c r="DG222" i="87" s="1"/>
  <c r="JG91" i="87"/>
  <c r="JH91" i="87" s="1"/>
  <c r="GI179" i="87"/>
  <c r="GI238" i="87" s="1"/>
  <c r="KO178" i="87"/>
  <c r="KO237" i="87" s="1"/>
  <c r="GS183" i="87"/>
  <c r="GS242" i="87" s="1"/>
  <c r="KA190" i="87"/>
  <c r="KB190" i="87" s="1"/>
  <c r="JG74" i="87"/>
  <c r="JH74" i="87" s="1"/>
  <c r="JI74" i="87" s="1"/>
  <c r="JK74" i="87" s="1"/>
  <c r="JL74" i="87" s="1"/>
  <c r="JG84" i="87"/>
  <c r="JH84" i="87" s="1"/>
  <c r="JI84" i="87" s="1"/>
  <c r="JK84" i="87" s="1"/>
  <c r="JL84" i="87" s="1"/>
  <c r="AK93" i="87"/>
  <c r="AL93" i="87" s="1"/>
  <c r="AM93" i="87" s="1"/>
  <c r="AO93" i="87" s="1"/>
  <c r="AP93" i="87" s="1"/>
  <c r="EA165" i="87"/>
  <c r="EA224" i="87" s="1"/>
  <c r="FY182" i="87"/>
  <c r="FY241" i="87" s="1"/>
  <c r="IG181" i="87"/>
  <c r="IG240" i="87" s="1"/>
  <c r="JG87" i="87"/>
  <c r="JH87" i="87" s="1"/>
  <c r="CM168" i="87"/>
  <c r="CM227" i="87" s="1"/>
  <c r="KE168" i="87"/>
  <c r="KE227" i="87" s="1"/>
  <c r="AE169" i="87"/>
  <c r="AE228" i="87" s="1"/>
  <c r="EK165" i="87"/>
  <c r="EK224" i="87" s="1"/>
  <c r="KO173" i="87"/>
  <c r="KO232" i="87" s="1"/>
  <c r="AO177" i="87"/>
  <c r="AO236" i="87" s="1"/>
  <c r="HM177" i="87"/>
  <c r="HM236" i="87" s="1"/>
  <c r="EK178" i="87"/>
  <c r="EK237" i="87" s="1"/>
  <c r="DQ179" i="87"/>
  <c r="DQ238" i="87" s="1"/>
  <c r="FZ37" i="87"/>
  <c r="FZ182" i="87" s="1"/>
  <c r="FZ241" i="87" s="1"/>
  <c r="BS162" i="87"/>
  <c r="BS221" i="87" s="1"/>
  <c r="FO178" i="87"/>
  <c r="FO237" i="87" s="1"/>
  <c r="CN87" i="87"/>
  <c r="CN174" i="87" s="1"/>
  <c r="CN233" i="87" s="1"/>
  <c r="AE164" i="87"/>
  <c r="AE223" i="87" s="1"/>
  <c r="HW164" i="87"/>
  <c r="HW223" i="87" s="1"/>
  <c r="GY96" i="87"/>
  <c r="GZ96" i="87" s="1"/>
  <c r="EV120" i="87"/>
  <c r="EV178" i="87" s="1"/>
  <c r="EV237" i="87" s="1"/>
  <c r="BE139" i="87"/>
  <c r="BF139" i="87" s="1"/>
  <c r="FO173" i="87"/>
  <c r="FO232" i="87" s="1"/>
  <c r="KA206" i="87"/>
  <c r="KB206" i="87" s="1"/>
  <c r="KC206" i="87" s="1"/>
  <c r="KE206" i="87" s="1"/>
  <c r="KF206" i="87" s="1"/>
  <c r="KA200" i="87"/>
  <c r="KB200" i="87" s="1"/>
  <c r="FU190" i="87"/>
  <c r="FV190" i="87" s="1"/>
  <c r="FW190" i="87" s="1"/>
  <c r="FY190" i="87" s="1"/>
  <c r="FZ190" i="87" s="1"/>
  <c r="KA211" i="87"/>
  <c r="KB211" i="87" s="1"/>
  <c r="FA202" i="87"/>
  <c r="FB202" i="87" s="1"/>
  <c r="FC202" i="87" s="1"/>
  <c r="FE202" i="87" s="1"/>
  <c r="FF202" i="87" s="1"/>
  <c r="JA178" i="87"/>
  <c r="JA237" i="87" s="1"/>
  <c r="IM63" i="87"/>
  <c r="IN63" i="87" s="1"/>
  <c r="GY75" i="87"/>
  <c r="GZ75" i="87" s="1"/>
  <c r="AK82" i="87"/>
  <c r="AL82" i="87" s="1"/>
  <c r="AK91" i="87"/>
  <c r="AL91" i="87" s="1"/>
  <c r="AK73" i="87"/>
  <c r="AL73" i="87" s="1"/>
  <c r="AM73" i="87" s="1"/>
  <c r="AO73" i="87" s="1"/>
  <c r="AP73" i="87" s="1"/>
  <c r="CS102" i="87"/>
  <c r="CT102" i="87" s="1"/>
  <c r="CU102" i="87" s="1"/>
  <c r="CW102" i="87" s="1"/>
  <c r="CX102" i="87" s="1"/>
  <c r="AK206" i="87"/>
  <c r="AL206" i="87" s="1"/>
  <c r="AM206" i="87" s="1"/>
  <c r="AO206" i="87" s="1"/>
  <c r="AP206" i="87" s="1"/>
  <c r="BI182" i="87"/>
  <c r="BI241" i="87" s="1"/>
  <c r="JU182" i="87"/>
  <c r="JU241" i="87" s="1"/>
  <c r="IQ174" i="87"/>
  <c r="IQ233" i="87" s="1"/>
  <c r="HW179" i="87"/>
  <c r="HW238" i="87" s="1"/>
  <c r="IG164" i="87"/>
  <c r="IG223" i="87" s="1"/>
  <c r="EB107" i="87"/>
  <c r="EB165" i="87" s="1"/>
  <c r="JL144" i="87"/>
  <c r="JL173" i="87" s="1"/>
  <c r="JL232" i="87" s="1"/>
  <c r="BE141" i="87"/>
  <c r="BF141" i="87" s="1"/>
  <c r="KA208" i="87"/>
  <c r="KB208" i="87" s="1"/>
  <c r="KA201" i="87"/>
  <c r="KB201" i="87" s="1"/>
  <c r="KA203" i="87"/>
  <c r="KB203" i="87" s="1"/>
  <c r="KA205" i="87"/>
  <c r="KB205" i="87" s="1"/>
  <c r="IM49" i="87"/>
  <c r="IN49" i="87" s="1"/>
  <c r="AK71" i="87"/>
  <c r="AL71" i="87" s="1"/>
  <c r="AM71" i="87" s="1"/>
  <c r="AO71" i="87" s="1"/>
  <c r="AP71" i="87" s="1"/>
  <c r="GY76" i="87"/>
  <c r="GZ76" i="87" s="1"/>
  <c r="HA76" i="87" s="1"/>
  <c r="HC76" i="87" s="1"/>
  <c r="HD76" i="87" s="1"/>
  <c r="GY81" i="87"/>
  <c r="GZ81" i="87" s="1"/>
  <c r="GY90" i="87"/>
  <c r="GZ90" i="87" s="1"/>
  <c r="AK94" i="87"/>
  <c r="AL94" i="87" s="1"/>
  <c r="AK77" i="87"/>
  <c r="AL77" i="87" s="1"/>
  <c r="AM77" i="87" s="1"/>
  <c r="AO77" i="87" s="1"/>
  <c r="AP77" i="87" s="1"/>
  <c r="AK84" i="87"/>
  <c r="AL84" i="87" s="1"/>
  <c r="AM84" i="87" s="1"/>
  <c r="AO84" i="87" s="1"/>
  <c r="AP84" i="87" s="1"/>
  <c r="CM177" i="87"/>
  <c r="CM236" i="87" s="1"/>
  <c r="CM181" i="87"/>
  <c r="CM240" i="87" s="1"/>
  <c r="DQ180" i="87"/>
  <c r="DQ239" i="87" s="1"/>
  <c r="U183" i="87"/>
  <c r="U242" i="87" s="1"/>
  <c r="EK181" i="87"/>
  <c r="EK240" i="87" s="1"/>
  <c r="KE179" i="87"/>
  <c r="KE238" i="87" s="1"/>
  <c r="EA181" i="87"/>
  <c r="EA240" i="87" s="1"/>
  <c r="EV144" i="87"/>
  <c r="EV173" i="87" s="1"/>
  <c r="EV232" i="87" s="1"/>
  <c r="KK197" i="87"/>
  <c r="KL197" i="87" s="1"/>
  <c r="KM197" i="87" s="1"/>
  <c r="KO197" i="87" s="1"/>
  <c r="KP197" i="87" s="1"/>
  <c r="KK210" i="87"/>
  <c r="KL210" i="87" s="1"/>
  <c r="KM210" i="87" s="1"/>
  <c r="KO210" i="87" s="1"/>
  <c r="KP210" i="87" s="1"/>
  <c r="KA196" i="87"/>
  <c r="KB196" i="87" s="1"/>
  <c r="KA197" i="87"/>
  <c r="KB197" i="87" s="1"/>
  <c r="KC197" i="87" s="1"/>
  <c r="KE197" i="87" s="1"/>
  <c r="KF197" i="87" s="1"/>
  <c r="FU207" i="87"/>
  <c r="FV207" i="87" s="1"/>
  <c r="FU200" i="87"/>
  <c r="FV200" i="87" s="1"/>
  <c r="GY74" i="87"/>
  <c r="GZ74" i="87" s="1"/>
  <c r="HA74" i="87" s="1"/>
  <c r="HC74" i="87" s="1"/>
  <c r="HD74" i="87" s="1"/>
  <c r="GY77" i="87"/>
  <c r="GZ77" i="87" s="1"/>
  <c r="GY82" i="87"/>
  <c r="GZ82" i="87" s="1"/>
  <c r="GY91" i="87"/>
  <c r="GZ91" i="87" s="1"/>
  <c r="AK92" i="87"/>
  <c r="AL92" i="87" s="1"/>
  <c r="AK74" i="87"/>
  <c r="AL74" i="87" s="1"/>
  <c r="AM74" i="87" s="1"/>
  <c r="AO74" i="87" s="1"/>
  <c r="AP74" i="87" s="1"/>
  <c r="AK83" i="87"/>
  <c r="AL83" i="87" s="1"/>
  <c r="AE165" i="87"/>
  <c r="AE224" i="87" s="1"/>
  <c r="IQ179" i="87"/>
  <c r="IQ238" i="87" s="1"/>
  <c r="DG159" i="87"/>
  <c r="DG218" i="87" s="1"/>
  <c r="CM179" i="87"/>
  <c r="CM238" i="87" s="1"/>
  <c r="HD72" i="87"/>
  <c r="HD159" i="87" s="1"/>
  <c r="HD218" i="87" s="1"/>
  <c r="HC159" i="87"/>
  <c r="HC218" i="87" s="1"/>
  <c r="AY164" i="87"/>
  <c r="AY223" i="87" s="1"/>
  <c r="AZ48" i="87"/>
  <c r="DQ162" i="87"/>
  <c r="DQ221" i="87" s="1"/>
  <c r="DR104" i="87"/>
  <c r="DR162" i="87" s="1"/>
  <c r="DR221" i="87" s="1"/>
  <c r="FE174" i="87"/>
  <c r="FE233" i="87" s="1"/>
  <c r="CD149" i="87"/>
  <c r="CD178" i="87" s="1"/>
  <c r="CD237" i="87" s="1"/>
  <c r="BO203" i="87"/>
  <c r="BP203" i="87" s="1"/>
  <c r="BO202" i="87"/>
  <c r="BP202" i="87" s="1"/>
  <c r="BJ144" i="87"/>
  <c r="BJ173" i="87" s="1"/>
  <c r="BJ232" i="87" s="1"/>
  <c r="BI173" i="87"/>
  <c r="BI232" i="87" s="1"/>
  <c r="CN33" i="87"/>
  <c r="CM178" i="87"/>
  <c r="CM237" i="87" s="1"/>
  <c r="DC67" i="87"/>
  <c r="DD67" i="87" s="1"/>
  <c r="DC42" i="87"/>
  <c r="DD42" i="87" s="1"/>
  <c r="DE42" i="87" s="1"/>
  <c r="DG42" i="87" s="1"/>
  <c r="DH42" i="87" s="1"/>
  <c r="DC60" i="87"/>
  <c r="DD60" i="87" s="1"/>
  <c r="DE60" i="87" s="1"/>
  <c r="DG60" i="87" s="1"/>
  <c r="DH60" i="87" s="1"/>
  <c r="FO182" i="87"/>
  <c r="FO241" i="87" s="1"/>
  <c r="FP95" i="87"/>
  <c r="FP182" i="87" s="1"/>
  <c r="FP241" i="87" s="1"/>
  <c r="FY174" i="87"/>
  <c r="FY233" i="87" s="1"/>
  <c r="FZ87" i="87"/>
  <c r="FZ174" i="87" s="1"/>
  <c r="FZ233" i="87" s="1"/>
  <c r="KE161" i="87"/>
  <c r="KE220" i="87" s="1"/>
  <c r="KF132" i="87"/>
  <c r="KF161" i="87" s="1"/>
  <c r="KF220" i="87" s="1"/>
  <c r="IM65" i="87"/>
  <c r="IN65" i="87" s="1"/>
  <c r="IM60" i="87"/>
  <c r="IN60" i="87" s="1"/>
  <c r="IO60" i="87" s="1"/>
  <c r="IQ60" i="87" s="1"/>
  <c r="IR60" i="87" s="1"/>
  <c r="IM47" i="87"/>
  <c r="IN47" i="87" s="1"/>
  <c r="IM55" i="87"/>
  <c r="IN55" i="87" s="1"/>
  <c r="IO55" i="87" s="1"/>
  <c r="IQ55" i="87" s="1"/>
  <c r="IR55" i="87" s="1"/>
  <c r="IM42" i="87"/>
  <c r="IN42" i="87" s="1"/>
  <c r="IO42" i="87" s="1"/>
  <c r="IQ42" i="87" s="1"/>
  <c r="IM61" i="87"/>
  <c r="IN61" i="87" s="1"/>
  <c r="IM66" i="87"/>
  <c r="IN66" i="87" s="1"/>
  <c r="IM62" i="87"/>
  <c r="IN62" i="87" s="1"/>
  <c r="IM57" i="87"/>
  <c r="IN57" i="87" s="1"/>
  <c r="IM54" i="87"/>
  <c r="IN54" i="87" s="1"/>
  <c r="IM48" i="87"/>
  <c r="IN48" i="87" s="1"/>
  <c r="IM45" i="87"/>
  <c r="IN45" i="87" s="1"/>
  <c r="IO45" i="87" s="1"/>
  <c r="IQ45" i="87" s="1"/>
  <c r="IR45" i="87" s="1"/>
  <c r="IM64" i="87"/>
  <c r="IN64" i="87" s="1"/>
  <c r="IO64" i="87" s="1"/>
  <c r="IQ64" i="87" s="1"/>
  <c r="IR64" i="87" s="1"/>
  <c r="IM53" i="87"/>
  <c r="IN53" i="87" s="1"/>
  <c r="IM52" i="87"/>
  <c r="IN52" i="87" s="1"/>
  <c r="IM44" i="87"/>
  <c r="IN44" i="87" s="1"/>
  <c r="DH153" i="87"/>
  <c r="DH182" i="87" s="1"/>
  <c r="DH241" i="87" s="1"/>
  <c r="DG182" i="87"/>
  <c r="DG241" i="87" s="1"/>
  <c r="JL58" i="87"/>
  <c r="JL174" i="87" s="1"/>
  <c r="JL233" i="87" s="1"/>
  <c r="JK174" i="87"/>
  <c r="JK233" i="87" s="1"/>
  <c r="HM174" i="87"/>
  <c r="HM233" i="87" s="1"/>
  <c r="HN29" i="87"/>
  <c r="HN174" i="87" s="1"/>
  <c r="HN233" i="87" s="1"/>
  <c r="KO182" i="87"/>
  <c r="KO241" i="87" s="1"/>
  <c r="KP37" i="87"/>
  <c r="KP182" i="87" s="1"/>
  <c r="KP241" i="87" s="1"/>
  <c r="KP104" i="87"/>
  <c r="KP162" i="87" s="1"/>
  <c r="KP221" i="87" s="1"/>
  <c r="KO162" i="87"/>
  <c r="KO221" i="87" s="1"/>
  <c r="AE177" i="87"/>
  <c r="AE236" i="87" s="1"/>
  <c r="AF61" i="87"/>
  <c r="AF177" i="87" s="1"/>
  <c r="AF236" i="87" s="1"/>
  <c r="IR34" i="87"/>
  <c r="IR179" i="87" s="1"/>
  <c r="IR238" i="87" s="1"/>
  <c r="FE178" i="87"/>
  <c r="FE237" i="87" s="1"/>
  <c r="CM159" i="87"/>
  <c r="CM218" i="87" s="1"/>
  <c r="BS160" i="87"/>
  <c r="BS219" i="87" s="1"/>
  <c r="CN150" i="87"/>
  <c r="CN179" i="87" s="1"/>
  <c r="CN238" i="87" s="1"/>
  <c r="IM43" i="87"/>
  <c r="IN43" i="87" s="1"/>
  <c r="IM51" i="87"/>
  <c r="IN51" i="87" s="1"/>
  <c r="IO51" i="87" s="1"/>
  <c r="IQ51" i="87" s="1"/>
  <c r="IR51" i="87" s="1"/>
  <c r="HA39" i="87"/>
  <c r="HC39" i="87" s="1"/>
  <c r="HD39" i="87" s="1"/>
  <c r="HF39" i="87" s="1"/>
  <c r="GY58" i="87"/>
  <c r="GZ58" i="87" s="1"/>
  <c r="IM58" i="87"/>
  <c r="IN58" i="87" s="1"/>
  <c r="ES13" i="87"/>
  <c r="EU13" i="87" s="1"/>
  <c r="EV13" i="87" s="1"/>
  <c r="ER11" i="87"/>
  <c r="JB148" i="87"/>
  <c r="JB177" i="87" s="1"/>
  <c r="JB236" i="87" s="1"/>
  <c r="JA177" i="87"/>
  <c r="JA236" i="87" s="1"/>
  <c r="GE72" i="87"/>
  <c r="GF72" i="87" s="1"/>
  <c r="GE86" i="87"/>
  <c r="GF86" i="87" s="1"/>
  <c r="GE80" i="87"/>
  <c r="GF80" i="87" s="1"/>
  <c r="GG80" i="87" s="1"/>
  <c r="GI80" i="87" s="1"/>
  <c r="GJ80" i="87" s="1"/>
  <c r="GS159" i="87"/>
  <c r="GS218" i="87" s="1"/>
  <c r="KO159" i="87"/>
  <c r="KO218" i="87" s="1"/>
  <c r="DH14" i="87"/>
  <c r="DH159" i="87" s="1"/>
  <c r="DH218" i="87" s="1"/>
  <c r="HW159" i="87"/>
  <c r="HW218" i="87" s="1"/>
  <c r="BS179" i="87"/>
  <c r="BS238" i="87" s="1"/>
  <c r="EU164" i="87"/>
  <c r="EU223" i="87" s="1"/>
  <c r="IH153" i="87"/>
  <c r="IH182" i="87" s="1"/>
  <c r="IH241" i="87" s="1"/>
  <c r="DC58" i="87"/>
  <c r="DD58" i="87" s="1"/>
  <c r="HT11" i="87"/>
  <c r="IM46" i="87"/>
  <c r="IN46" i="87" s="1"/>
  <c r="IM56" i="87"/>
  <c r="IN56" i="87" s="1"/>
  <c r="IO56" i="87" s="1"/>
  <c r="IQ56" i="87" s="1"/>
  <c r="IR56" i="87" s="1"/>
  <c r="GG185" i="87"/>
  <c r="GI185" i="87" s="1"/>
  <c r="GJ185" i="87" s="1"/>
  <c r="GL185" i="87" s="1"/>
  <c r="GE200" i="87"/>
  <c r="GF200" i="87" s="1"/>
  <c r="GE206" i="87"/>
  <c r="GF206" i="87" s="1"/>
  <c r="GG206" i="87" s="1"/>
  <c r="GI206" i="87" s="1"/>
  <c r="GJ206" i="87" s="1"/>
  <c r="GE197" i="87"/>
  <c r="GF197" i="87" s="1"/>
  <c r="GG197" i="87" s="1"/>
  <c r="GI197" i="87" s="1"/>
  <c r="GJ197" i="87" s="1"/>
  <c r="GE190" i="87"/>
  <c r="GF190" i="87" s="1"/>
  <c r="GG190" i="87" s="1"/>
  <c r="GI190" i="87" s="1"/>
  <c r="GJ190" i="87" s="1"/>
  <c r="GE212" i="87"/>
  <c r="GF212" i="87" s="1"/>
  <c r="GE211" i="87"/>
  <c r="GF211" i="87" s="1"/>
  <c r="GG211" i="87" s="1"/>
  <c r="GI211" i="87" s="1"/>
  <c r="GJ211" i="87" s="1"/>
  <c r="GE207" i="87"/>
  <c r="GF207" i="87" s="1"/>
  <c r="GE199" i="87"/>
  <c r="GF199" i="87" s="1"/>
  <c r="GG199" i="87" s="1"/>
  <c r="GI199" i="87" s="1"/>
  <c r="GJ199" i="87" s="1"/>
  <c r="GE193" i="87"/>
  <c r="GF193" i="87" s="1"/>
  <c r="GG193" i="87" s="1"/>
  <c r="GI193" i="87" s="1"/>
  <c r="GJ193" i="87" s="1"/>
  <c r="GE188" i="87"/>
  <c r="GF188" i="87" s="1"/>
  <c r="GG188" i="87" s="1"/>
  <c r="GI188" i="87" s="1"/>
  <c r="GJ188" i="87" s="1"/>
  <c r="AF144" i="87"/>
  <c r="AF173" i="87" s="1"/>
  <c r="AF232" i="87" s="1"/>
  <c r="AE173" i="87"/>
  <c r="AE232" i="87" s="1"/>
  <c r="JL131" i="87"/>
  <c r="JL160" i="87" s="1"/>
  <c r="JL219" i="87" s="1"/>
  <c r="JK160" i="87"/>
  <c r="JK219" i="87" s="1"/>
  <c r="KU119" i="87"/>
  <c r="KV119" i="87" s="1"/>
  <c r="KU110" i="87"/>
  <c r="KV110" i="87" s="1"/>
  <c r="FO159" i="87"/>
  <c r="FO218" i="87" s="1"/>
  <c r="FP14" i="87"/>
  <c r="FP11" i="87" s="1"/>
  <c r="AY165" i="87"/>
  <c r="AY224" i="87" s="1"/>
  <c r="IQ170" i="87"/>
  <c r="IQ229" i="87" s="1"/>
  <c r="FU195" i="87"/>
  <c r="FV195" i="87" s="1"/>
  <c r="FU205" i="87"/>
  <c r="FV205" i="87" s="1"/>
  <c r="KK208" i="87"/>
  <c r="KL208" i="87" s="1"/>
  <c r="KK199" i="87"/>
  <c r="KL199" i="87" s="1"/>
  <c r="FU208" i="87"/>
  <c r="FV208" i="87" s="1"/>
  <c r="FU201" i="87"/>
  <c r="FV201" i="87" s="1"/>
  <c r="FW201" i="87" s="1"/>
  <c r="FY201" i="87" s="1"/>
  <c r="FZ201" i="87" s="1"/>
  <c r="CW174" i="87"/>
  <c r="CW233" i="87" s="1"/>
  <c r="CC177" i="87"/>
  <c r="CC236" i="87" s="1"/>
  <c r="JA179" i="87"/>
  <c r="JA238" i="87" s="1"/>
  <c r="JG83" i="87"/>
  <c r="JH83" i="87" s="1"/>
  <c r="JG76" i="87"/>
  <c r="JH76" i="87" s="1"/>
  <c r="JI76" i="87" s="1"/>
  <c r="JK76" i="87" s="1"/>
  <c r="JL76" i="87" s="1"/>
  <c r="JG71" i="87"/>
  <c r="JH71" i="87" s="1"/>
  <c r="JI71" i="87" s="1"/>
  <c r="JK71" i="87" s="1"/>
  <c r="JL71" i="87" s="1"/>
  <c r="U173" i="87"/>
  <c r="U232" i="87" s="1"/>
  <c r="HC162" i="87"/>
  <c r="HC221" i="87" s="1"/>
  <c r="BI174" i="87"/>
  <c r="BI233" i="87" s="1"/>
  <c r="GS181" i="87"/>
  <c r="GS240" i="87" s="1"/>
  <c r="HC160" i="87"/>
  <c r="HC219" i="87" s="1"/>
  <c r="FU197" i="87"/>
  <c r="FV197" i="87" s="1"/>
  <c r="FW197" i="87" s="1"/>
  <c r="FY197" i="87" s="1"/>
  <c r="FZ197" i="87" s="1"/>
  <c r="FU210" i="87"/>
  <c r="FV210" i="87" s="1"/>
  <c r="FW210" i="87" s="1"/>
  <c r="FY210" i="87" s="1"/>
  <c r="FZ210" i="87" s="1"/>
  <c r="FU204" i="87"/>
  <c r="FV204" i="87" s="1"/>
  <c r="KK211" i="87"/>
  <c r="KL211" i="87" s="1"/>
  <c r="CI90" i="87"/>
  <c r="CJ90" i="87" s="1"/>
  <c r="JG93" i="87"/>
  <c r="JH93" i="87" s="1"/>
  <c r="AK199" i="87"/>
  <c r="AL199" i="87" s="1"/>
  <c r="AK205" i="87"/>
  <c r="AL205" i="87" s="1"/>
  <c r="AK210" i="87"/>
  <c r="AL210" i="87" s="1"/>
  <c r="AM210" i="87" s="1"/>
  <c r="AO210" i="87" s="1"/>
  <c r="AP210" i="87" s="1"/>
  <c r="AK211" i="87"/>
  <c r="AL211" i="87" s="1"/>
  <c r="AK191" i="87"/>
  <c r="AL191" i="87" s="1"/>
  <c r="AM191" i="87" s="1"/>
  <c r="AO191" i="87" s="1"/>
  <c r="AP191" i="87" s="1"/>
  <c r="AK202" i="87"/>
  <c r="AL202" i="87" s="1"/>
  <c r="AM202" i="87" s="1"/>
  <c r="AO202" i="87" s="1"/>
  <c r="AP202" i="87" s="1"/>
  <c r="AK208" i="87"/>
  <c r="AL208" i="87" s="1"/>
  <c r="AK204" i="87"/>
  <c r="AL204" i="87" s="1"/>
  <c r="AK203" i="87"/>
  <c r="AL203" i="87" s="1"/>
  <c r="AK212" i="87"/>
  <c r="AL212" i="87" s="1"/>
  <c r="AK207" i="87"/>
  <c r="AL207" i="87" s="1"/>
  <c r="AK188" i="87"/>
  <c r="AL188" i="87" s="1"/>
  <c r="AM188" i="87" s="1"/>
  <c r="AO188" i="87" s="1"/>
  <c r="AP188" i="87" s="1"/>
  <c r="AK190" i="87"/>
  <c r="AL190" i="87" s="1"/>
  <c r="AM190" i="87" s="1"/>
  <c r="AO190" i="87" s="1"/>
  <c r="AP190" i="87" s="1"/>
  <c r="AK201" i="87"/>
  <c r="AL201" i="87" s="1"/>
  <c r="AM201" i="87" s="1"/>
  <c r="AO201" i="87" s="1"/>
  <c r="AP201" i="87" s="1"/>
  <c r="AK194" i="87"/>
  <c r="AL194" i="87" s="1"/>
  <c r="AM194" i="87" s="1"/>
  <c r="AO194" i="87" s="1"/>
  <c r="AP194" i="87" s="1"/>
  <c r="AK213" i="87"/>
  <c r="AL213" i="87" s="1"/>
  <c r="AK198" i="87"/>
  <c r="AL198" i="87" s="1"/>
  <c r="AK195" i="87"/>
  <c r="AL195" i="87" s="1"/>
  <c r="AK189" i="87"/>
  <c r="AL189" i="87" s="1"/>
  <c r="AM189" i="87" s="1"/>
  <c r="AO189" i="87" s="1"/>
  <c r="AP189" i="87" s="1"/>
  <c r="CS101" i="87"/>
  <c r="CT101" i="87" s="1"/>
  <c r="CS116" i="87"/>
  <c r="CT116" i="87" s="1"/>
  <c r="CS106" i="87"/>
  <c r="CT106" i="87" s="1"/>
  <c r="CS115" i="87"/>
  <c r="CT115" i="87" s="1"/>
  <c r="CS124" i="87"/>
  <c r="CT124" i="87" s="1"/>
  <c r="CS107" i="87"/>
  <c r="CT107" i="87" s="1"/>
  <c r="CS103" i="87"/>
  <c r="CT103" i="87" s="1"/>
  <c r="CU103" i="87" s="1"/>
  <c r="CW103" i="87" s="1"/>
  <c r="CX103" i="87" s="1"/>
  <c r="CS110" i="87"/>
  <c r="CT110" i="87" s="1"/>
  <c r="CU97" i="87"/>
  <c r="CW97" i="87" s="1"/>
  <c r="CX97" i="87" s="1"/>
  <c r="CZ97" i="87" s="1"/>
  <c r="CS109" i="87"/>
  <c r="CT109" i="87" s="1"/>
  <c r="CU109" i="87" s="1"/>
  <c r="CW109" i="87" s="1"/>
  <c r="CX109" i="87" s="1"/>
  <c r="CS118" i="87"/>
  <c r="CT118" i="87" s="1"/>
  <c r="CU118" i="87" s="1"/>
  <c r="CW118" i="87" s="1"/>
  <c r="CX118" i="87" s="1"/>
  <c r="CS123" i="87"/>
  <c r="CT123" i="87" s="1"/>
  <c r="CU123" i="87" s="1"/>
  <c r="CW123" i="87" s="1"/>
  <c r="CX123" i="87" s="1"/>
  <c r="CS121" i="87"/>
  <c r="CT121" i="87" s="1"/>
  <c r="CS104" i="87"/>
  <c r="CT104" i="87" s="1"/>
  <c r="CS114" i="87"/>
  <c r="CT114" i="87" s="1"/>
  <c r="CU114" i="87" s="1"/>
  <c r="CW114" i="87" s="1"/>
  <c r="CX114" i="87" s="1"/>
  <c r="CS125" i="87"/>
  <c r="CT125" i="87" s="1"/>
  <c r="CS111" i="87"/>
  <c r="CT111" i="87" s="1"/>
  <c r="CU111" i="87" s="1"/>
  <c r="CW111" i="87" s="1"/>
  <c r="CX111" i="87" s="1"/>
  <c r="CS120" i="87"/>
  <c r="CT120" i="87" s="1"/>
  <c r="BI183" i="87"/>
  <c r="BI242" i="87" s="1"/>
  <c r="KF66" i="87"/>
  <c r="KF182" i="87" s="1"/>
  <c r="KF241" i="87" s="1"/>
  <c r="IH67" i="87"/>
  <c r="IH183" i="87" s="1"/>
  <c r="BI159" i="87"/>
  <c r="BI218" i="87" s="1"/>
  <c r="JA162" i="87"/>
  <c r="JA221" i="87" s="1"/>
  <c r="BJ29" i="87"/>
  <c r="BJ174" i="87" s="1"/>
  <c r="IG174" i="87"/>
  <c r="IG233" i="87" s="1"/>
  <c r="GT36" i="87"/>
  <c r="GT181" i="87" s="1"/>
  <c r="GT240" i="87" s="1"/>
  <c r="AY159" i="87"/>
  <c r="AY218" i="87" s="1"/>
  <c r="AE174" i="87"/>
  <c r="AE233" i="87" s="1"/>
  <c r="KE174" i="87"/>
  <c r="KE233" i="87" s="1"/>
  <c r="KE177" i="87"/>
  <c r="KE236" i="87" s="1"/>
  <c r="V115" i="87"/>
  <c r="V173" i="87" s="1"/>
  <c r="V232" i="87" s="1"/>
  <c r="CN152" i="87"/>
  <c r="CN181" i="87" s="1"/>
  <c r="CN240" i="87" s="1"/>
  <c r="AM185" i="87"/>
  <c r="AO185" i="87" s="1"/>
  <c r="AP185" i="87" s="1"/>
  <c r="AR185" i="87" s="1"/>
  <c r="CS113" i="87"/>
  <c r="CT113" i="87" s="1"/>
  <c r="CU113" i="87" s="1"/>
  <c r="CW113" i="87" s="1"/>
  <c r="CX113" i="87" s="1"/>
  <c r="KU81" i="87"/>
  <c r="KV81" i="87" s="1"/>
  <c r="KU96" i="87"/>
  <c r="KV96" i="87" s="1"/>
  <c r="KU72" i="87"/>
  <c r="KV72" i="87" s="1"/>
  <c r="KU85" i="87"/>
  <c r="KV85" i="87" s="1"/>
  <c r="KW85" i="87" s="1"/>
  <c r="KY85" i="87" s="1"/>
  <c r="KZ85" i="87" s="1"/>
  <c r="GI180" i="87"/>
  <c r="GI239" i="87" s="1"/>
  <c r="GJ151" i="87"/>
  <c r="GJ180" i="87" s="1"/>
  <c r="GJ239" i="87" s="1"/>
  <c r="AK197" i="87"/>
  <c r="AL197" i="87" s="1"/>
  <c r="AM197" i="87" s="1"/>
  <c r="AO197" i="87" s="1"/>
  <c r="AP197" i="87" s="1"/>
  <c r="DC139" i="87"/>
  <c r="DD139" i="87" s="1"/>
  <c r="DC134" i="87"/>
  <c r="DD134" i="87" s="1"/>
  <c r="DC152" i="87"/>
  <c r="DD152" i="87" s="1"/>
  <c r="DC130" i="87"/>
  <c r="DD130" i="87" s="1"/>
  <c r="BO105" i="87"/>
  <c r="BP105" i="87" s="1"/>
  <c r="BO110" i="87"/>
  <c r="BP110" i="87" s="1"/>
  <c r="AU63" i="87"/>
  <c r="AV63" i="87" s="1"/>
  <c r="AU53" i="87"/>
  <c r="AV53" i="87" s="1"/>
  <c r="AW53" i="87" s="1"/>
  <c r="AY53" i="87" s="1"/>
  <c r="AZ53" i="87" s="1"/>
  <c r="AU66" i="87"/>
  <c r="AV66" i="87" s="1"/>
  <c r="AU56" i="87"/>
  <c r="AV56" i="87" s="1"/>
  <c r="AW56" i="87" s="1"/>
  <c r="AY56" i="87" s="1"/>
  <c r="AZ56" i="87" s="1"/>
  <c r="AU43" i="87"/>
  <c r="AV43" i="87" s="1"/>
  <c r="KU54" i="87"/>
  <c r="KV54" i="87" s="1"/>
  <c r="KU42" i="87"/>
  <c r="KV42" i="87" s="1"/>
  <c r="KU45" i="87"/>
  <c r="KV45" i="87" s="1"/>
  <c r="KW45" i="87" s="1"/>
  <c r="KY45" i="87" s="1"/>
  <c r="KZ45" i="87" s="1"/>
  <c r="KU49" i="87"/>
  <c r="KV49" i="87" s="1"/>
  <c r="KU53" i="87"/>
  <c r="KV53" i="87" s="1"/>
  <c r="KU51" i="87"/>
  <c r="KV51" i="87" s="1"/>
  <c r="KW51" i="87" s="1"/>
  <c r="KY51" i="87" s="1"/>
  <c r="KZ51" i="87" s="1"/>
  <c r="KU52" i="87"/>
  <c r="KV52" i="87" s="1"/>
  <c r="KU48" i="87"/>
  <c r="KV48" i="87" s="1"/>
  <c r="KU44" i="87"/>
  <c r="KV44" i="87" s="1"/>
  <c r="KU47" i="87"/>
  <c r="KV47" i="87" s="1"/>
  <c r="KW47" i="87" s="1"/>
  <c r="KY47" i="87" s="1"/>
  <c r="KZ47" i="87" s="1"/>
  <c r="JG102" i="87"/>
  <c r="JH102" i="87" s="1"/>
  <c r="JG113" i="87"/>
  <c r="JH113" i="87" s="1"/>
  <c r="JI113" i="87" s="1"/>
  <c r="JK113" i="87" s="1"/>
  <c r="JL113" i="87" s="1"/>
  <c r="CM170" i="87"/>
  <c r="CM229" i="87" s="1"/>
  <c r="FO170" i="87"/>
  <c r="FO229" i="87" s="1"/>
  <c r="BI172" i="87"/>
  <c r="BI231" i="87" s="1"/>
  <c r="EL29" i="87"/>
  <c r="EL174" i="87" s="1"/>
  <c r="EL233" i="87" s="1"/>
  <c r="HD17" i="87"/>
  <c r="HD162" i="87" s="1"/>
  <c r="HD221" i="87" s="1"/>
  <c r="HD44" i="87"/>
  <c r="HD160" i="87" s="1"/>
  <c r="HD219" i="87" s="1"/>
  <c r="JL34" i="87"/>
  <c r="JL179" i="87" s="1"/>
  <c r="JL238" i="87" s="1"/>
  <c r="BS182" i="87"/>
  <c r="BS241" i="87" s="1"/>
  <c r="BT149" i="87"/>
  <c r="BT178" i="87" s="1"/>
  <c r="BT237" i="87" s="1"/>
  <c r="GS180" i="87"/>
  <c r="GS239" i="87" s="1"/>
  <c r="DC148" i="87"/>
  <c r="DD148" i="87" s="1"/>
  <c r="KU43" i="87"/>
  <c r="KV43" i="87" s="1"/>
  <c r="CS105" i="87"/>
  <c r="CT105" i="87" s="1"/>
  <c r="CU105" i="87" s="1"/>
  <c r="CW105" i="87" s="1"/>
  <c r="CX105" i="87" s="1"/>
  <c r="AK192" i="87"/>
  <c r="AL192" i="87" s="1"/>
  <c r="DC51" i="87"/>
  <c r="DD51" i="87" s="1"/>
  <c r="DE51" i="87" s="1"/>
  <c r="DG51" i="87" s="1"/>
  <c r="DH51" i="87" s="1"/>
  <c r="DC49" i="87"/>
  <c r="DD49" i="87" s="1"/>
  <c r="DC45" i="87"/>
  <c r="DD45" i="87" s="1"/>
  <c r="DE45" i="87" s="1"/>
  <c r="DG45" i="87" s="1"/>
  <c r="DH45" i="87" s="1"/>
  <c r="DC64" i="87"/>
  <c r="DD64" i="87" s="1"/>
  <c r="DE64" i="87" s="1"/>
  <c r="DG64" i="87" s="1"/>
  <c r="DH64" i="87" s="1"/>
  <c r="DC63" i="87"/>
  <c r="DD63" i="87" s="1"/>
  <c r="DC54" i="87"/>
  <c r="DD54" i="87" s="1"/>
  <c r="DC43" i="87"/>
  <c r="DD43" i="87" s="1"/>
  <c r="DC44" i="87"/>
  <c r="DD44" i="87" s="1"/>
  <c r="DC46" i="87"/>
  <c r="DD46" i="87" s="1"/>
  <c r="FA95" i="87"/>
  <c r="FB95" i="87" s="1"/>
  <c r="FA85" i="87"/>
  <c r="FB85" i="87" s="1"/>
  <c r="FC85" i="87" s="1"/>
  <c r="FE85" i="87" s="1"/>
  <c r="FF85" i="87" s="1"/>
  <c r="FA72" i="87"/>
  <c r="FB72" i="87" s="1"/>
  <c r="JU162" i="87"/>
  <c r="JU221" i="87" s="1"/>
  <c r="DQ167" i="87"/>
  <c r="DQ226" i="87" s="1"/>
  <c r="KY160" i="87"/>
  <c r="KY219" i="87" s="1"/>
  <c r="KY174" i="87"/>
  <c r="KY233" i="87" s="1"/>
  <c r="AK193" i="87"/>
  <c r="AL193" i="87" s="1"/>
  <c r="AM193" i="87" s="1"/>
  <c r="AO193" i="87" s="1"/>
  <c r="AP193" i="87" s="1"/>
  <c r="KU46" i="87"/>
  <c r="KV46" i="87" s="1"/>
  <c r="AU47" i="87"/>
  <c r="AV47" i="87" s="1"/>
  <c r="AW47" i="87" s="1"/>
  <c r="AY47" i="87" s="1"/>
  <c r="AZ47" i="87" s="1"/>
  <c r="CS119" i="87"/>
  <c r="CT119" i="87" s="1"/>
  <c r="KA193" i="87"/>
  <c r="KB193" i="87" s="1"/>
  <c r="KA207" i="87"/>
  <c r="KB207" i="87" s="1"/>
  <c r="KA199" i="87"/>
  <c r="KB199" i="87" s="1"/>
  <c r="KA213" i="87"/>
  <c r="KB213" i="87" s="1"/>
  <c r="KA209" i="87"/>
  <c r="KB209" i="87" s="1"/>
  <c r="KA189" i="87"/>
  <c r="KB189" i="87" s="1"/>
  <c r="KA210" i="87"/>
  <c r="KB210" i="87" s="1"/>
  <c r="KA195" i="87"/>
  <c r="KB195" i="87" s="1"/>
  <c r="KA202" i="87"/>
  <c r="KB202" i="87" s="1"/>
  <c r="KA194" i="87"/>
  <c r="KB194" i="87" s="1"/>
  <c r="KC185" i="87"/>
  <c r="KE185" i="87" s="1"/>
  <c r="KF185" i="87" s="1"/>
  <c r="KH185" i="87" s="1"/>
  <c r="KA192" i="87"/>
  <c r="KB192" i="87" s="1"/>
  <c r="KA204" i="87"/>
  <c r="KB204" i="87" s="1"/>
  <c r="KA191" i="87"/>
  <c r="KB191" i="87" s="1"/>
  <c r="KA188" i="87"/>
  <c r="KB188" i="87" s="1"/>
  <c r="KC188" i="87" s="1"/>
  <c r="KE188" i="87" s="1"/>
  <c r="KF188" i="87" s="1"/>
  <c r="CS100" i="87"/>
  <c r="CT100" i="87" s="1"/>
  <c r="CU100" i="87" s="1"/>
  <c r="CW100" i="87" s="1"/>
  <c r="CX100" i="87" s="1"/>
  <c r="CS112" i="87"/>
  <c r="CT112" i="87" s="1"/>
  <c r="AK209" i="87"/>
  <c r="AL209" i="87" s="1"/>
  <c r="JU165" i="87"/>
  <c r="JU224" i="87" s="1"/>
  <c r="JA173" i="87"/>
  <c r="JA232" i="87" s="1"/>
  <c r="EA163" i="87"/>
  <c r="EA222" i="87" s="1"/>
  <c r="GS163" i="87"/>
  <c r="GS222" i="87" s="1"/>
  <c r="EQ48" i="87"/>
  <c r="ER48" i="87" s="1"/>
  <c r="AK90" i="87"/>
  <c r="AL90" i="87" s="1"/>
  <c r="AK81" i="87"/>
  <c r="AL81" i="87" s="1"/>
  <c r="AK72" i="87"/>
  <c r="AL72" i="87" s="1"/>
  <c r="AM72" i="87" s="1"/>
  <c r="AO72" i="87" s="1"/>
  <c r="AP72" i="87" s="1"/>
  <c r="AK87" i="87"/>
  <c r="AL87" i="87" s="1"/>
  <c r="AK78" i="87"/>
  <c r="AL78" i="87" s="1"/>
  <c r="AM68" i="87"/>
  <c r="AO68" i="87" s="1"/>
  <c r="AP68" i="87" s="1"/>
  <c r="AR68" i="87" s="1"/>
  <c r="U178" i="87"/>
  <c r="U237" i="87" s="1"/>
  <c r="BY210" i="87"/>
  <c r="BZ210" i="87" s="1"/>
  <c r="CA210" i="87" s="1"/>
  <c r="CC210" i="87" s="1"/>
  <c r="CD210" i="87" s="1"/>
  <c r="FO181" i="87"/>
  <c r="FO240" i="87" s="1"/>
  <c r="GS177" i="87"/>
  <c r="GS236" i="87" s="1"/>
  <c r="IG179" i="87"/>
  <c r="IG238" i="87" s="1"/>
  <c r="AV11" i="87"/>
  <c r="BI162" i="87"/>
  <c r="BI221" i="87" s="1"/>
  <c r="IQ163" i="87"/>
  <c r="IQ222" i="87" s="1"/>
  <c r="HC179" i="87"/>
  <c r="HC238" i="87" s="1"/>
  <c r="AK96" i="87"/>
  <c r="AL96" i="87" s="1"/>
  <c r="AK89" i="87"/>
  <c r="AL89" i="87" s="1"/>
  <c r="AM89" i="87" s="1"/>
  <c r="AO89" i="87" s="1"/>
  <c r="AP89" i="87" s="1"/>
  <c r="AK80" i="87"/>
  <c r="AL80" i="87" s="1"/>
  <c r="AM80" i="87" s="1"/>
  <c r="AO80" i="87" s="1"/>
  <c r="AP80" i="87" s="1"/>
  <c r="AK95" i="87"/>
  <c r="AL95" i="87" s="1"/>
  <c r="AK85" i="87"/>
  <c r="AL85" i="87" s="1"/>
  <c r="AM85" i="87" s="1"/>
  <c r="AO85" i="87" s="1"/>
  <c r="AP85" i="87" s="1"/>
  <c r="CI83" i="87"/>
  <c r="CJ83" i="87" s="1"/>
  <c r="DQ163" i="87"/>
  <c r="DQ222" i="87" s="1"/>
  <c r="EU174" i="87"/>
  <c r="EU233" i="87" s="1"/>
  <c r="EU179" i="87"/>
  <c r="EU238" i="87" s="1"/>
  <c r="IQ182" i="87"/>
  <c r="IQ241" i="87" s="1"/>
  <c r="JU179" i="87"/>
  <c r="JU238" i="87" s="1"/>
  <c r="BI178" i="87"/>
  <c r="BI237" i="87" s="1"/>
  <c r="KB11" i="87"/>
  <c r="AE181" i="87"/>
  <c r="AE240" i="87" s="1"/>
  <c r="AF152" i="87"/>
  <c r="AF181" i="87" s="1"/>
  <c r="AF240" i="87" s="1"/>
  <c r="BI163" i="87"/>
  <c r="BI222" i="87" s="1"/>
  <c r="EK173" i="87"/>
  <c r="EK232" i="87" s="1"/>
  <c r="EA159" i="87"/>
  <c r="EA218" i="87" s="1"/>
  <c r="JB37" i="87"/>
  <c r="JB182" i="87" s="1"/>
  <c r="JB241" i="87" s="1"/>
  <c r="JA182" i="87"/>
  <c r="JA241" i="87" s="1"/>
  <c r="CW162" i="87"/>
  <c r="CW221" i="87" s="1"/>
  <c r="HM182" i="87"/>
  <c r="HM241" i="87" s="1"/>
  <c r="EB86" i="87"/>
  <c r="EB173" i="87" s="1"/>
  <c r="EB232" i="87" s="1"/>
  <c r="EA173" i="87"/>
  <c r="EA232" i="87" s="1"/>
  <c r="DY39" i="87"/>
  <c r="EA39" i="87" s="1"/>
  <c r="EB39" i="87" s="1"/>
  <c r="ED39" i="87" s="1"/>
  <c r="DW48" i="87"/>
  <c r="DX48" i="87" s="1"/>
  <c r="DW64" i="87"/>
  <c r="DX64" i="87" s="1"/>
  <c r="DY64" i="87" s="1"/>
  <c r="EA64" i="87" s="1"/>
  <c r="EB64" i="87" s="1"/>
  <c r="DW44" i="87"/>
  <c r="DX44" i="87" s="1"/>
  <c r="DY44" i="87" s="1"/>
  <c r="EA44" i="87" s="1"/>
  <c r="EB44" i="87" s="1"/>
  <c r="DW60" i="87"/>
  <c r="DX60" i="87" s="1"/>
  <c r="DY60" i="87" s="1"/>
  <c r="EA60" i="87" s="1"/>
  <c r="EB60" i="87" s="1"/>
  <c r="DW55" i="87"/>
  <c r="DX55" i="87" s="1"/>
  <c r="DY55" i="87" s="1"/>
  <c r="EA55" i="87" s="1"/>
  <c r="EB55" i="87" s="1"/>
  <c r="AF34" i="87"/>
  <c r="AF179" i="87" s="1"/>
  <c r="AF238" i="87" s="1"/>
  <c r="AE179" i="87"/>
  <c r="AE238" i="87" s="1"/>
  <c r="AP29" i="87"/>
  <c r="AP11" i="87" s="1"/>
  <c r="AO174" i="87"/>
  <c r="AO233" i="87" s="1"/>
  <c r="BO65" i="87"/>
  <c r="BP65" i="87" s="1"/>
  <c r="BO52" i="87"/>
  <c r="BP52" i="87" s="1"/>
  <c r="BO49" i="87"/>
  <c r="BP49" i="87" s="1"/>
  <c r="BO62" i="87"/>
  <c r="BP62" i="87" s="1"/>
  <c r="BI179" i="87"/>
  <c r="BI238" i="87" s="1"/>
  <c r="BJ34" i="87"/>
  <c r="BJ179" i="87" s="1"/>
  <c r="BJ238" i="87" s="1"/>
  <c r="DC74" i="87"/>
  <c r="DD74" i="87" s="1"/>
  <c r="DE74" i="87" s="1"/>
  <c r="DG74" i="87" s="1"/>
  <c r="DH74" i="87" s="1"/>
  <c r="DC85" i="87"/>
  <c r="DD85" i="87" s="1"/>
  <c r="DC86" i="87"/>
  <c r="DD86" i="87" s="1"/>
  <c r="BO78" i="87"/>
  <c r="BP78" i="87" s="1"/>
  <c r="BO90" i="87"/>
  <c r="BP90" i="87" s="1"/>
  <c r="BO73" i="87"/>
  <c r="BP73" i="87" s="1"/>
  <c r="CC174" i="87"/>
  <c r="CC233" i="87" s="1"/>
  <c r="CD58" i="87"/>
  <c r="CD174" i="87" s="1"/>
  <c r="AY179" i="87"/>
  <c r="AY238" i="87" s="1"/>
  <c r="FY183" i="87"/>
  <c r="FY242" i="87" s="1"/>
  <c r="FZ154" i="87"/>
  <c r="FZ183" i="87" s="1"/>
  <c r="FZ242" i="87" s="1"/>
  <c r="HC168" i="87"/>
  <c r="HC227" i="87" s="1"/>
  <c r="IH34" i="87"/>
  <c r="HC174" i="87"/>
  <c r="HC233" i="87" s="1"/>
  <c r="DW42" i="87"/>
  <c r="DX42" i="87" s="1"/>
  <c r="DY42" i="87" s="1"/>
  <c r="EA42" i="87" s="1"/>
  <c r="EB42" i="87" s="1"/>
  <c r="AA209" i="87"/>
  <c r="AB209" i="87" s="1"/>
  <c r="BO46" i="87"/>
  <c r="BP46" i="87" s="1"/>
  <c r="AU85" i="87"/>
  <c r="AV85" i="87" s="1"/>
  <c r="AW85" i="87" s="1"/>
  <c r="AY85" i="87" s="1"/>
  <c r="AZ85" i="87" s="1"/>
  <c r="AU94" i="87"/>
  <c r="AV94" i="87" s="1"/>
  <c r="AW94" i="87" s="1"/>
  <c r="AY94" i="87" s="1"/>
  <c r="AZ94" i="87" s="1"/>
  <c r="AU96" i="87"/>
  <c r="AV96" i="87" s="1"/>
  <c r="AU71" i="87"/>
  <c r="AV71" i="87" s="1"/>
  <c r="AW71" i="87" s="1"/>
  <c r="AY71" i="87" s="1"/>
  <c r="AZ71" i="87" s="1"/>
  <c r="DR154" i="87"/>
  <c r="DR183" i="87" s="1"/>
  <c r="DR242" i="87" s="1"/>
  <c r="DQ183" i="87"/>
  <c r="DQ242" i="87" s="1"/>
  <c r="FZ28" i="87"/>
  <c r="FZ173" i="87" s="1"/>
  <c r="FZ232" i="87" s="1"/>
  <c r="FY173" i="87"/>
  <c r="FY232" i="87" s="1"/>
  <c r="HC178" i="87"/>
  <c r="HC237" i="87" s="1"/>
  <c r="HD33" i="87"/>
  <c r="HD178" i="87" s="1"/>
  <c r="HD237" i="87" s="1"/>
  <c r="HS95" i="87"/>
  <c r="HT95" i="87" s="1"/>
  <c r="HS74" i="87"/>
  <c r="HT74" i="87" s="1"/>
  <c r="HU74" i="87" s="1"/>
  <c r="HW74" i="87" s="1"/>
  <c r="HX74" i="87" s="1"/>
  <c r="HX87" i="87"/>
  <c r="HX174" i="87" s="1"/>
  <c r="HX233" i="87" s="1"/>
  <c r="HW174" i="87"/>
  <c r="HW233" i="87" s="1"/>
  <c r="EL130" i="87"/>
  <c r="EL159" i="87" s="1"/>
  <c r="EL218" i="87" s="1"/>
  <c r="EK159" i="87"/>
  <c r="EK218" i="87" s="1"/>
  <c r="IM92" i="87"/>
  <c r="IN92" i="87" s="1"/>
  <c r="CW173" i="87"/>
  <c r="CW232" i="87" s="1"/>
  <c r="CX28" i="87"/>
  <c r="CX173" i="87" s="1"/>
  <c r="CX232" i="87" s="1"/>
  <c r="JG46" i="87"/>
  <c r="JH46" i="87" s="1"/>
  <c r="JG67" i="87"/>
  <c r="JH67" i="87" s="1"/>
  <c r="KP145" i="87"/>
  <c r="KP174" i="87" s="1"/>
  <c r="KP233" i="87" s="1"/>
  <c r="KO174" i="87"/>
  <c r="KO233" i="87" s="1"/>
  <c r="KZ115" i="87"/>
  <c r="KZ173" i="87" s="1"/>
  <c r="KZ232" i="87" s="1"/>
  <c r="KY173" i="87"/>
  <c r="KY232" i="87" s="1"/>
  <c r="AY162" i="87"/>
  <c r="AY221" i="87" s="1"/>
  <c r="AP91" i="87"/>
  <c r="AP178" i="87" s="1"/>
  <c r="AP237" i="87" s="1"/>
  <c r="AO178" i="87"/>
  <c r="AO237" i="87" s="1"/>
  <c r="DH116" i="87"/>
  <c r="DH174" i="87" s="1"/>
  <c r="DH233" i="87" s="1"/>
  <c r="DG174" i="87"/>
  <c r="DG233" i="87" s="1"/>
  <c r="EA179" i="87"/>
  <c r="EA238" i="87" s="1"/>
  <c r="EB34" i="87"/>
  <c r="EB179" i="87" s="1"/>
  <c r="EB238" i="87" s="1"/>
  <c r="AE183" i="87"/>
  <c r="AE242" i="87" s="1"/>
  <c r="GT61" i="87"/>
  <c r="GT177" i="87" s="1"/>
  <c r="GT236" i="87" s="1"/>
  <c r="JU178" i="87"/>
  <c r="JU237" i="87" s="1"/>
  <c r="KZ160" i="87"/>
  <c r="KZ219" i="87" s="1"/>
  <c r="AA213" i="87"/>
  <c r="AB213" i="87" s="1"/>
  <c r="BO87" i="87"/>
  <c r="BP87" i="87" s="1"/>
  <c r="BO45" i="87"/>
  <c r="BP45" i="87" s="1"/>
  <c r="BQ45" i="87" s="1"/>
  <c r="BS45" i="87" s="1"/>
  <c r="BT45" i="87" s="1"/>
  <c r="HD136" i="87"/>
  <c r="HD165" i="87" s="1"/>
  <c r="HC165" i="87"/>
  <c r="HC224" i="87" s="1"/>
  <c r="AY170" i="87"/>
  <c r="AY229" i="87" s="1"/>
  <c r="GG68" i="87"/>
  <c r="GI68" i="87" s="1"/>
  <c r="GJ68" i="87" s="1"/>
  <c r="JI68" i="87"/>
  <c r="JK68" i="87" s="1"/>
  <c r="JL68" i="87" s="1"/>
  <c r="GE89" i="87"/>
  <c r="GF89" i="87" s="1"/>
  <c r="GG89" i="87" s="1"/>
  <c r="GI89" i="87" s="1"/>
  <c r="GJ89" i="87" s="1"/>
  <c r="JG72" i="87"/>
  <c r="JH72" i="87" s="1"/>
  <c r="FU196" i="87"/>
  <c r="FV196" i="87" s="1"/>
  <c r="GE204" i="87"/>
  <c r="GF204" i="87" s="1"/>
  <c r="GE208" i="87"/>
  <c r="GF208" i="87" s="1"/>
  <c r="FU209" i="87"/>
  <c r="FV209" i="87" s="1"/>
  <c r="GE210" i="87"/>
  <c r="GF210" i="87" s="1"/>
  <c r="GE213" i="87"/>
  <c r="GF213" i="87" s="1"/>
  <c r="FU194" i="87"/>
  <c r="FV194" i="87" s="1"/>
  <c r="FU188" i="87"/>
  <c r="FV188" i="87" s="1"/>
  <c r="FW188" i="87" s="1"/>
  <c r="FY188" i="87" s="1"/>
  <c r="FZ188" i="87" s="1"/>
  <c r="FU192" i="87"/>
  <c r="FV192" i="87" s="1"/>
  <c r="GE195" i="87"/>
  <c r="GF195" i="87" s="1"/>
  <c r="GE198" i="87"/>
  <c r="GF198" i="87" s="1"/>
  <c r="GE205" i="87"/>
  <c r="GF205" i="87" s="1"/>
  <c r="FU206" i="87"/>
  <c r="FV206" i="87" s="1"/>
  <c r="FW206" i="87" s="1"/>
  <c r="FY206" i="87" s="1"/>
  <c r="FZ206" i="87" s="1"/>
  <c r="GE202" i="87"/>
  <c r="GF202" i="87" s="1"/>
  <c r="GG202" i="87" s="1"/>
  <c r="GI202" i="87" s="1"/>
  <c r="GJ202" i="87" s="1"/>
  <c r="FU202" i="87"/>
  <c r="FV202" i="87" s="1"/>
  <c r="FW202" i="87" s="1"/>
  <c r="FY202" i="87" s="1"/>
  <c r="FZ202" i="87" s="1"/>
  <c r="KU74" i="87"/>
  <c r="KV74" i="87" s="1"/>
  <c r="KW74" i="87" s="1"/>
  <c r="KY74" i="87" s="1"/>
  <c r="KZ74" i="87" s="1"/>
  <c r="KU87" i="87"/>
  <c r="KV87" i="87" s="1"/>
  <c r="KU93" i="87"/>
  <c r="KV93" i="87" s="1"/>
  <c r="KU75" i="87"/>
  <c r="KV75" i="87" s="1"/>
  <c r="JG75" i="87"/>
  <c r="JH75" i="87" s="1"/>
  <c r="JG77" i="87"/>
  <c r="JH77" i="87" s="1"/>
  <c r="JG81" i="87"/>
  <c r="JH81" i="87" s="1"/>
  <c r="JG85" i="87"/>
  <c r="JH85" i="87" s="1"/>
  <c r="JI85" i="87" s="1"/>
  <c r="JK85" i="87" s="1"/>
  <c r="JL85" i="87" s="1"/>
  <c r="JG89" i="87"/>
  <c r="JH89" i="87" s="1"/>
  <c r="JI89" i="87" s="1"/>
  <c r="JK89" i="87" s="1"/>
  <c r="JL89" i="87" s="1"/>
  <c r="JB162" i="87"/>
  <c r="JB221" i="87" s="1"/>
  <c r="HC164" i="87"/>
  <c r="HC223" i="87" s="1"/>
  <c r="CI73" i="87"/>
  <c r="CJ73" i="87" s="1"/>
  <c r="GE189" i="87"/>
  <c r="GF189" i="87" s="1"/>
  <c r="GE191" i="87"/>
  <c r="GF191" i="87" s="1"/>
  <c r="GG191" i="87" s="1"/>
  <c r="GI191" i="87" s="1"/>
  <c r="GJ191" i="87" s="1"/>
  <c r="FU198" i="87"/>
  <c r="FV198" i="87" s="1"/>
  <c r="GE209" i="87"/>
  <c r="GF209" i="87" s="1"/>
  <c r="FU193" i="87"/>
  <c r="FV193" i="87" s="1"/>
  <c r="FW193" i="87" s="1"/>
  <c r="FY193" i="87" s="1"/>
  <c r="FZ193" i="87" s="1"/>
  <c r="GE194" i="87"/>
  <c r="GF194" i="87" s="1"/>
  <c r="FU189" i="87"/>
  <c r="FV189" i="87" s="1"/>
  <c r="GE196" i="87"/>
  <c r="GF196" i="87" s="1"/>
  <c r="FU203" i="87"/>
  <c r="FV203" i="87" s="1"/>
  <c r="KU82" i="87"/>
  <c r="KV82" i="87" s="1"/>
  <c r="KU89" i="87"/>
  <c r="KV89" i="87" s="1"/>
  <c r="KW89" i="87" s="1"/>
  <c r="KY89" i="87" s="1"/>
  <c r="KZ89" i="87" s="1"/>
  <c r="KU95" i="87"/>
  <c r="KV95" i="87" s="1"/>
  <c r="KU80" i="87"/>
  <c r="KV80" i="87" s="1"/>
  <c r="KW80" i="87" s="1"/>
  <c r="KY80" i="87" s="1"/>
  <c r="KZ80" i="87" s="1"/>
  <c r="JG86" i="87"/>
  <c r="JH86" i="87" s="1"/>
  <c r="JG90" i="87"/>
  <c r="JH90" i="87" s="1"/>
  <c r="JG92" i="87"/>
  <c r="JH92" i="87" s="1"/>
  <c r="IN11" i="87"/>
  <c r="JG95" i="87"/>
  <c r="JH95" i="87" s="1"/>
  <c r="JG73" i="87"/>
  <c r="JH73" i="87" s="1"/>
  <c r="KE170" i="87"/>
  <c r="KE229" i="87" s="1"/>
  <c r="CM183" i="87"/>
  <c r="CM242" i="87" s="1"/>
  <c r="DR58" i="87"/>
  <c r="AO162" i="87"/>
  <c r="AO221" i="87" s="1"/>
  <c r="DQ165" i="87"/>
  <c r="DQ224" i="87" s="1"/>
  <c r="BJ33" i="87"/>
  <c r="JV34" i="87"/>
  <c r="JV179" i="87" s="1"/>
  <c r="JV238" i="87" s="1"/>
  <c r="U180" i="87"/>
  <c r="U239" i="87" s="1"/>
  <c r="AY173" i="87"/>
  <c r="AY232" i="87" s="1"/>
  <c r="CM173" i="87"/>
  <c r="CM232" i="87" s="1"/>
  <c r="KY179" i="87"/>
  <c r="KY238" i="87" s="1"/>
  <c r="KY182" i="87"/>
  <c r="KY241" i="87" s="1"/>
  <c r="JU164" i="87"/>
  <c r="JU223" i="87" s="1"/>
  <c r="AZ92" i="87"/>
  <c r="AZ179" i="87" s="1"/>
  <c r="AZ238" i="87" s="1"/>
  <c r="DC73" i="87"/>
  <c r="DD73" i="87" s="1"/>
  <c r="DC93" i="87"/>
  <c r="DD93" i="87" s="1"/>
  <c r="DE93" i="87" s="1"/>
  <c r="DG93" i="87" s="1"/>
  <c r="DH93" i="87" s="1"/>
  <c r="BO77" i="87"/>
  <c r="BP77" i="87" s="1"/>
  <c r="DG179" i="87"/>
  <c r="DG238" i="87" s="1"/>
  <c r="DE126" i="87"/>
  <c r="DG126" i="87" s="1"/>
  <c r="DH126" i="87" s="1"/>
  <c r="DJ126" i="87" s="1"/>
  <c r="DC151" i="87"/>
  <c r="DD151" i="87" s="1"/>
  <c r="DE151" i="87" s="1"/>
  <c r="DG151" i="87" s="1"/>
  <c r="DH151" i="87" s="1"/>
  <c r="DC147" i="87"/>
  <c r="DD147" i="87" s="1"/>
  <c r="DE147" i="87" s="1"/>
  <c r="DG147" i="87" s="1"/>
  <c r="DH147" i="87" s="1"/>
  <c r="DC142" i="87"/>
  <c r="DD142" i="87" s="1"/>
  <c r="DE142" i="87" s="1"/>
  <c r="DG142" i="87" s="1"/>
  <c r="DH142" i="87" s="1"/>
  <c r="DC138" i="87"/>
  <c r="DD138" i="87" s="1"/>
  <c r="DE138" i="87" s="1"/>
  <c r="DG138" i="87" s="1"/>
  <c r="DH138" i="87" s="1"/>
  <c r="DC133" i="87"/>
  <c r="DD133" i="87" s="1"/>
  <c r="DC129" i="87"/>
  <c r="DD129" i="87" s="1"/>
  <c r="DE129" i="87" s="1"/>
  <c r="DG129" i="87" s="1"/>
  <c r="DH129" i="87" s="1"/>
  <c r="DC154" i="87"/>
  <c r="DD154" i="87" s="1"/>
  <c r="DC150" i="87"/>
  <c r="DD150" i="87" s="1"/>
  <c r="DC145" i="87"/>
  <c r="DD145" i="87" s="1"/>
  <c r="DC141" i="87"/>
  <c r="DD141" i="87" s="1"/>
  <c r="DC136" i="87"/>
  <c r="DD136" i="87" s="1"/>
  <c r="DC132" i="87"/>
  <c r="DD132" i="87" s="1"/>
  <c r="DE132" i="87" s="1"/>
  <c r="DG132" i="87" s="1"/>
  <c r="DH132" i="87" s="1"/>
  <c r="DC153" i="87"/>
  <c r="DD153" i="87" s="1"/>
  <c r="DC149" i="87"/>
  <c r="DD149" i="87" s="1"/>
  <c r="DC144" i="87"/>
  <c r="DD144" i="87" s="1"/>
  <c r="DC140" i="87"/>
  <c r="DD140" i="87" s="1"/>
  <c r="DC135" i="87"/>
  <c r="DD135" i="87" s="1"/>
  <c r="DC131" i="87"/>
  <c r="DD131" i="87" s="1"/>
  <c r="BO118" i="87"/>
  <c r="BP118" i="87" s="1"/>
  <c r="BQ118" i="87" s="1"/>
  <c r="BS118" i="87" s="1"/>
  <c r="BT118" i="87" s="1"/>
  <c r="BO102" i="87"/>
  <c r="BP102" i="87" s="1"/>
  <c r="BO115" i="87"/>
  <c r="BP115" i="87" s="1"/>
  <c r="BO103" i="87"/>
  <c r="BP103" i="87" s="1"/>
  <c r="BQ103" i="87" s="1"/>
  <c r="BS103" i="87" s="1"/>
  <c r="BT103" i="87" s="1"/>
  <c r="BO112" i="87"/>
  <c r="BP112" i="87" s="1"/>
  <c r="BO121" i="87"/>
  <c r="BP121" i="87" s="1"/>
  <c r="BO100" i="87"/>
  <c r="BP100" i="87" s="1"/>
  <c r="BQ100" i="87" s="1"/>
  <c r="BS100" i="87" s="1"/>
  <c r="BT100" i="87" s="1"/>
  <c r="BO124" i="87"/>
  <c r="BP124" i="87" s="1"/>
  <c r="BO101" i="87"/>
  <c r="BP101" i="87" s="1"/>
  <c r="BO114" i="87"/>
  <c r="BP114" i="87" s="1"/>
  <c r="BO123" i="87"/>
  <c r="BP123" i="87" s="1"/>
  <c r="BO113" i="87"/>
  <c r="BP113" i="87" s="1"/>
  <c r="BQ113" i="87" s="1"/>
  <c r="BS113" i="87" s="1"/>
  <c r="BT113" i="87" s="1"/>
  <c r="BO122" i="87"/>
  <c r="BP122" i="87" s="1"/>
  <c r="BQ122" i="87" s="1"/>
  <c r="BS122" i="87" s="1"/>
  <c r="BT122" i="87" s="1"/>
  <c r="BO107" i="87"/>
  <c r="BP107" i="87" s="1"/>
  <c r="BO116" i="87"/>
  <c r="BP116" i="87" s="1"/>
  <c r="BO125" i="87"/>
  <c r="BP125" i="87" s="1"/>
  <c r="AW39" i="87"/>
  <c r="AY39" i="87" s="1"/>
  <c r="AZ39" i="87" s="1"/>
  <c r="BB39" i="87" s="1"/>
  <c r="AU60" i="87"/>
  <c r="AV60" i="87" s="1"/>
  <c r="AW60" i="87" s="1"/>
  <c r="AY60" i="87" s="1"/>
  <c r="AZ60" i="87" s="1"/>
  <c r="AU58" i="87"/>
  <c r="AV58" i="87" s="1"/>
  <c r="AU61" i="87"/>
  <c r="AV61" i="87" s="1"/>
  <c r="AU62" i="87"/>
  <c r="AV62" i="87" s="1"/>
  <c r="AU51" i="87"/>
  <c r="AV51" i="87" s="1"/>
  <c r="AW51" i="87" s="1"/>
  <c r="AY51" i="87" s="1"/>
  <c r="AZ51" i="87" s="1"/>
  <c r="AU48" i="87"/>
  <c r="AV48" i="87" s="1"/>
  <c r="AU46" i="87"/>
  <c r="AV46" i="87" s="1"/>
  <c r="AU57" i="87"/>
  <c r="AV57" i="87" s="1"/>
  <c r="AU65" i="87"/>
  <c r="AV65" i="87" s="1"/>
  <c r="AW65" i="87" s="1"/>
  <c r="AY65" i="87" s="1"/>
  <c r="AZ65" i="87" s="1"/>
  <c r="AU55" i="87"/>
  <c r="AV55" i="87" s="1"/>
  <c r="AW55" i="87" s="1"/>
  <c r="AY55" i="87" s="1"/>
  <c r="AZ55" i="87" s="1"/>
  <c r="AU54" i="87"/>
  <c r="AV54" i="87" s="1"/>
  <c r="AU49" i="87"/>
  <c r="AV49" i="87" s="1"/>
  <c r="AU45" i="87"/>
  <c r="AV45" i="87" s="1"/>
  <c r="AW45" i="87" s="1"/>
  <c r="AY45" i="87" s="1"/>
  <c r="AZ45" i="87" s="1"/>
  <c r="AU67" i="87"/>
  <c r="AV67" i="87" s="1"/>
  <c r="AU64" i="87"/>
  <c r="AV64" i="87" s="1"/>
  <c r="AW64" i="87" s="1"/>
  <c r="AY64" i="87" s="1"/>
  <c r="AZ64" i="87" s="1"/>
  <c r="AU52" i="87"/>
  <c r="AV52" i="87" s="1"/>
  <c r="AU42" i="87"/>
  <c r="AV42" i="87" s="1"/>
  <c r="AW42" i="87" s="1"/>
  <c r="AY42" i="87" s="1"/>
  <c r="AZ42" i="87" s="1"/>
  <c r="GI183" i="87"/>
  <c r="GI242" i="87" s="1"/>
  <c r="CC183" i="87"/>
  <c r="CC242" i="87" s="1"/>
  <c r="DR18" i="87"/>
  <c r="DR163" i="87" s="1"/>
  <c r="DR222" i="87" s="1"/>
  <c r="FZ34" i="87"/>
  <c r="FZ179" i="87" s="1"/>
  <c r="FZ238" i="87" s="1"/>
  <c r="KZ13" i="87"/>
  <c r="AZ17" i="87"/>
  <c r="AZ162" i="87" s="1"/>
  <c r="AZ221" i="87" s="1"/>
  <c r="JK162" i="87"/>
  <c r="JK221" i="87" s="1"/>
  <c r="EV29" i="87"/>
  <c r="EV174" i="87" s="1"/>
  <c r="EV233" i="87" s="1"/>
  <c r="EV34" i="87"/>
  <c r="EV179" i="87" s="1"/>
  <c r="EV238" i="87" s="1"/>
  <c r="IR37" i="87"/>
  <c r="CM164" i="87"/>
  <c r="CM223" i="87" s="1"/>
  <c r="FO164" i="87"/>
  <c r="FO223" i="87" s="1"/>
  <c r="KE164" i="87"/>
  <c r="KE223" i="87" s="1"/>
  <c r="AP94" i="87"/>
  <c r="AP181" i="87" s="1"/>
  <c r="AP240" i="87" s="1"/>
  <c r="BT144" i="87"/>
  <c r="BT173" i="87" s="1"/>
  <c r="BT232" i="87" s="1"/>
  <c r="DC77" i="87"/>
  <c r="DD77" i="87" s="1"/>
  <c r="DC95" i="87"/>
  <c r="DD95" i="87" s="1"/>
  <c r="EA182" i="87"/>
  <c r="EA241" i="87" s="1"/>
  <c r="EB124" i="87"/>
  <c r="EB182" i="87" s="1"/>
  <c r="EB241" i="87" s="1"/>
  <c r="FA81" i="87"/>
  <c r="FB81" i="87" s="1"/>
  <c r="FA87" i="87"/>
  <c r="FB87" i="87" s="1"/>
  <c r="FA71" i="87"/>
  <c r="FB71" i="87" s="1"/>
  <c r="FC71" i="87" s="1"/>
  <c r="FE71" i="87" s="1"/>
  <c r="FF71" i="87" s="1"/>
  <c r="FA94" i="87"/>
  <c r="FB94" i="87" s="1"/>
  <c r="FC94" i="87" s="1"/>
  <c r="FE94" i="87" s="1"/>
  <c r="FF94" i="87" s="1"/>
  <c r="FA90" i="87"/>
  <c r="FB90" i="87" s="1"/>
  <c r="FA84" i="87"/>
  <c r="FB84" i="87" s="1"/>
  <c r="FC84" i="87" s="1"/>
  <c r="FE84" i="87" s="1"/>
  <c r="FF84" i="87" s="1"/>
  <c r="FA78" i="87"/>
  <c r="FB78" i="87" s="1"/>
  <c r="FA86" i="87"/>
  <c r="FB86" i="87" s="1"/>
  <c r="FA83" i="87"/>
  <c r="FB83" i="87" s="1"/>
  <c r="FA73" i="87"/>
  <c r="FB73" i="87" s="1"/>
  <c r="FC73" i="87" s="1"/>
  <c r="FE73" i="87" s="1"/>
  <c r="FF73" i="87" s="1"/>
  <c r="CJ11" i="87"/>
  <c r="KA60" i="87"/>
  <c r="KB60" i="87" s="1"/>
  <c r="KC60" i="87" s="1"/>
  <c r="KE60" i="87" s="1"/>
  <c r="KF60" i="87" s="1"/>
  <c r="KA44" i="87"/>
  <c r="KB44" i="87" s="1"/>
  <c r="KA61" i="87"/>
  <c r="KB61" i="87" s="1"/>
  <c r="KA51" i="87"/>
  <c r="KB51" i="87" s="1"/>
  <c r="KC51" i="87" s="1"/>
  <c r="KE51" i="87" s="1"/>
  <c r="KF51" i="87" s="1"/>
  <c r="KA48" i="87"/>
  <c r="KB48" i="87" s="1"/>
  <c r="DE68" i="87"/>
  <c r="DG68" i="87" s="1"/>
  <c r="DH68" i="87" s="1"/>
  <c r="DJ68" i="87" s="1"/>
  <c r="DC96" i="87"/>
  <c r="DD96" i="87" s="1"/>
  <c r="DC92" i="87"/>
  <c r="DD92" i="87" s="1"/>
  <c r="DC94" i="87"/>
  <c r="DD94" i="87" s="1"/>
  <c r="DC76" i="87"/>
  <c r="DD76" i="87" s="1"/>
  <c r="DC91" i="87"/>
  <c r="DD91" i="87" s="1"/>
  <c r="DC82" i="87"/>
  <c r="DD82" i="87" s="1"/>
  <c r="DC72" i="87"/>
  <c r="DD72" i="87" s="1"/>
  <c r="DC83" i="87"/>
  <c r="DD83" i="87" s="1"/>
  <c r="DC87" i="87"/>
  <c r="DD87" i="87" s="1"/>
  <c r="DC90" i="87"/>
  <c r="DD90" i="87" s="1"/>
  <c r="DC75" i="87"/>
  <c r="DD75" i="87" s="1"/>
  <c r="DC89" i="87"/>
  <c r="DD89" i="87" s="1"/>
  <c r="DE89" i="87" s="1"/>
  <c r="DG89" i="87" s="1"/>
  <c r="DH89" i="87" s="1"/>
  <c r="DC80" i="87"/>
  <c r="DD80" i="87" s="1"/>
  <c r="DE80" i="87" s="1"/>
  <c r="DG80" i="87" s="1"/>
  <c r="DH80" i="87" s="1"/>
  <c r="DC71" i="87"/>
  <c r="DD71" i="87" s="1"/>
  <c r="DE71" i="87" s="1"/>
  <c r="DG71" i="87" s="1"/>
  <c r="DH71" i="87" s="1"/>
  <c r="BO93" i="87"/>
  <c r="BP93" i="87" s="1"/>
  <c r="BQ93" i="87" s="1"/>
  <c r="BS93" i="87" s="1"/>
  <c r="BT93" i="87" s="1"/>
  <c r="BO89" i="87"/>
  <c r="BP89" i="87" s="1"/>
  <c r="BQ89" i="87" s="1"/>
  <c r="BS89" i="87" s="1"/>
  <c r="BT89" i="87" s="1"/>
  <c r="BO82" i="87"/>
  <c r="BP82" i="87" s="1"/>
  <c r="BO76" i="87"/>
  <c r="BP76" i="87" s="1"/>
  <c r="BO71" i="87"/>
  <c r="BP71" i="87" s="1"/>
  <c r="BQ71" i="87" s="1"/>
  <c r="BS71" i="87" s="1"/>
  <c r="BT71" i="87" s="1"/>
  <c r="BO94" i="87"/>
  <c r="BP94" i="87" s="1"/>
  <c r="BO96" i="87"/>
  <c r="BP96" i="87" s="1"/>
  <c r="BO83" i="87"/>
  <c r="BP83" i="87" s="1"/>
  <c r="BO85" i="87"/>
  <c r="BP85" i="87" s="1"/>
  <c r="BO81" i="87"/>
  <c r="BP81" i="87" s="1"/>
  <c r="BQ68" i="87"/>
  <c r="BS68" i="87" s="1"/>
  <c r="BT68" i="87" s="1"/>
  <c r="BV68" i="87" s="1"/>
  <c r="BO86" i="87"/>
  <c r="BP86" i="87" s="1"/>
  <c r="BO91" i="87"/>
  <c r="BP91" i="87" s="1"/>
  <c r="BO75" i="87"/>
  <c r="BP75" i="87" s="1"/>
  <c r="BO95" i="87"/>
  <c r="BP95" i="87" s="1"/>
  <c r="BO92" i="87"/>
  <c r="BP92" i="87" s="1"/>
  <c r="BO84" i="87"/>
  <c r="BP84" i="87" s="1"/>
  <c r="BQ84" i="87" s="1"/>
  <c r="BS84" i="87" s="1"/>
  <c r="BT84" i="87" s="1"/>
  <c r="BO80" i="87"/>
  <c r="BP80" i="87" s="1"/>
  <c r="BQ80" i="87" s="1"/>
  <c r="BS80" i="87" s="1"/>
  <c r="BT80" i="87" s="1"/>
  <c r="BO74" i="87"/>
  <c r="BP74" i="87" s="1"/>
  <c r="BQ74" i="87" s="1"/>
  <c r="BS74" i="87" s="1"/>
  <c r="BT74" i="87" s="1"/>
  <c r="DG169" i="87"/>
  <c r="DG228" i="87" s="1"/>
  <c r="DR161" i="87"/>
  <c r="DR220" i="87" s="1"/>
  <c r="GS182" i="87"/>
  <c r="GS241" i="87" s="1"/>
  <c r="GI174" i="87"/>
  <c r="GI233" i="87" s="1"/>
  <c r="DG178" i="87"/>
  <c r="DG237" i="87" s="1"/>
  <c r="CW164" i="87"/>
  <c r="CW223" i="87" s="1"/>
  <c r="DC84" i="87"/>
  <c r="DD84" i="87" s="1"/>
  <c r="DE84" i="87" s="1"/>
  <c r="DG84" i="87" s="1"/>
  <c r="DH84" i="87" s="1"/>
  <c r="DC81" i="87"/>
  <c r="DD81" i="87" s="1"/>
  <c r="BO72" i="87"/>
  <c r="BP72" i="87" s="1"/>
  <c r="JQ49" i="87"/>
  <c r="JR49" i="87" s="1"/>
  <c r="JQ67" i="87"/>
  <c r="JR67" i="87" s="1"/>
  <c r="JS39" i="87"/>
  <c r="JU39" i="87" s="1"/>
  <c r="JV39" i="87" s="1"/>
  <c r="JX39" i="87" s="1"/>
  <c r="JQ65" i="87"/>
  <c r="JR65" i="87" s="1"/>
  <c r="JS65" i="87" s="1"/>
  <c r="JU65" i="87" s="1"/>
  <c r="JV65" i="87" s="1"/>
  <c r="BO119" i="87"/>
  <c r="BP119" i="87" s="1"/>
  <c r="BO106" i="87"/>
  <c r="BP106" i="87" s="1"/>
  <c r="DC143" i="87"/>
  <c r="DD143" i="87" s="1"/>
  <c r="KK193" i="87"/>
  <c r="KL193" i="87" s="1"/>
  <c r="KK206" i="87"/>
  <c r="KL206" i="87" s="1"/>
  <c r="KM206" i="87" s="1"/>
  <c r="KO206" i="87" s="1"/>
  <c r="KP206" i="87" s="1"/>
  <c r="KK203" i="87"/>
  <c r="KL203" i="87" s="1"/>
  <c r="KK190" i="87"/>
  <c r="KL190" i="87" s="1"/>
  <c r="KK188" i="87"/>
  <c r="KL188" i="87" s="1"/>
  <c r="KM188" i="87" s="1"/>
  <c r="KO188" i="87" s="1"/>
  <c r="KP188" i="87" s="1"/>
  <c r="KM185" i="87"/>
  <c r="KO185" i="87" s="1"/>
  <c r="KP185" i="87" s="1"/>
  <c r="KR185" i="87" s="1"/>
  <c r="KK192" i="87"/>
  <c r="KL192" i="87" s="1"/>
  <c r="KK213" i="87"/>
  <c r="KL213" i="87" s="1"/>
  <c r="KK202" i="87"/>
  <c r="KL202" i="87" s="1"/>
  <c r="KK201" i="87"/>
  <c r="KL201" i="87" s="1"/>
  <c r="KM201" i="87" s="1"/>
  <c r="KO201" i="87" s="1"/>
  <c r="KP201" i="87" s="1"/>
  <c r="KK198" i="87"/>
  <c r="KL198" i="87" s="1"/>
  <c r="KK195" i="87"/>
  <c r="KL195" i="87" s="1"/>
  <c r="KK204" i="87"/>
  <c r="KL204" i="87" s="1"/>
  <c r="KK207" i="87"/>
  <c r="KL207" i="87" s="1"/>
  <c r="KK191" i="87"/>
  <c r="KL191" i="87" s="1"/>
  <c r="KM191" i="87" s="1"/>
  <c r="KO191" i="87" s="1"/>
  <c r="KP191" i="87" s="1"/>
  <c r="KK189" i="87"/>
  <c r="KL189" i="87" s="1"/>
  <c r="KK194" i="87"/>
  <c r="KL194" i="87" s="1"/>
  <c r="KK200" i="87"/>
  <c r="KL200" i="87" s="1"/>
  <c r="KK209" i="87"/>
  <c r="KL209" i="87" s="1"/>
  <c r="KK205" i="87"/>
  <c r="KL205" i="87" s="1"/>
  <c r="BE150" i="87"/>
  <c r="BF150" i="87" s="1"/>
  <c r="BE144" i="87"/>
  <c r="BF144" i="87" s="1"/>
  <c r="BE130" i="87"/>
  <c r="BF130" i="87" s="1"/>
  <c r="BE136" i="87"/>
  <c r="BF136" i="87" s="1"/>
  <c r="BE148" i="87"/>
  <c r="BF148" i="87" s="1"/>
  <c r="BE142" i="87"/>
  <c r="BF142" i="87" s="1"/>
  <c r="BG142" i="87" s="1"/>
  <c r="BI142" i="87" s="1"/>
  <c r="BJ142" i="87" s="1"/>
  <c r="BE132" i="87"/>
  <c r="BF132" i="87" s="1"/>
  <c r="BE134" i="87"/>
  <c r="BF134" i="87" s="1"/>
  <c r="BO104" i="87"/>
  <c r="BP104" i="87" s="1"/>
  <c r="CK39" i="87"/>
  <c r="CM39" i="87" s="1"/>
  <c r="CN39" i="87" s="1"/>
  <c r="CP39" i="87" s="1"/>
  <c r="CI56" i="87"/>
  <c r="CJ56" i="87" s="1"/>
  <c r="CK56" i="87" s="1"/>
  <c r="CM56" i="87" s="1"/>
  <c r="CN56" i="87" s="1"/>
  <c r="DC78" i="87"/>
  <c r="DD78" i="87" s="1"/>
  <c r="FA193" i="87"/>
  <c r="FB193" i="87" s="1"/>
  <c r="FC193" i="87" s="1"/>
  <c r="FE193" i="87" s="1"/>
  <c r="FF193" i="87" s="1"/>
  <c r="GS165" i="87"/>
  <c r="GS224" i="87" s="1"/>
  <c r="KO179" i="87"/>
  <c r="KO238" i="87" s="1"/>
  <c r="BO211" i="87"/>
  <c r="BP211" i="87" s="1"/>
  <c r="BO188" i="87"/>
  <c r="BP188" i="87" s="1"/>
  <c r="BQ188" i="87" s="1"/>
  <c r="BS188" i="87" s="1"/>
  <c r="BT188" i="87" s="1"/>
  <c r="AY182" i="87"/>
  <c r="AY241" i="87" s="1"/>
  <c r="DQ176" i="87"/>
  <c r="DQ235" i="87" s="1"/>
  <c r="FE177" i="87"/>
  <c r="FE236" i="87" s="1"/>
  <c r="CM160" i="87"/>
  <c r="CM219" i="87" s="1"/>
  <c r="DW83" i="87"/>
  <c r="DX83" i="87" s="1"/>
  <c r="DW82" i="87"/>
  <c r="DX82" i="87" s="1"/>
  <c r="DY82" i="87" s="1"/>
  <c r="EA82" i="87" s="1"/>
  <c r="EB82" i="87" s="1"/>
  <c r="DW91" i="87"/>
  <c r="DX91" i="87" s="1"/>
  <c r="DW73" i="87"/>
  <c r="DX73" i="87" s="1"/>
  <c r="DY73" i="87" s="1"/>
  <c r="EA73" i="87" s="1"/>
  <c r="EB73" i="87" s="1"/>
  <c r="DW80" i="87"/>
  <c r="DX80" i="87" s="1"/>
  <c r="DY80" i="87" s="1"/>
  <c r="EA80" i="87" s="1"/>
  <c r="EB80" i="87" s="1"/>
  <c r="HA16" i="87"/>
  <c r="HC16" i="87" s="1"/>
  <c r="HD16" i="87" s="1"/>
  <c r="GZ11" i="87"/>
  <c r="HC183" i="87"/>
  <c r="HC242" i="87" s="1"/>
  <c r="JU174" i="87"/>
  <c r="JU233" i="87" s="1"/>
  <c r="JB33" i="87"/>
  <c r="JB178" i="87" s="1"/>
  <c r="JB237" i="87" s="1"/>
  <c r="AY178" i="87"/>
  <c r="AY237" i="87" s="1"/>
  <c r="AP76" i="87"/>
  <c r="EA174" i="87"/>
  <c r="EA233" i="87" s="1"/>
  <c r="EB145" i="87"/>
  <c r="EB174" i="87" s="1"/>
  <c r="EB233" i="87" s="1"/>
  <c r="KF136" i="87"/>
  <c r="KF165" i="87" s="1"/>
  <c r="KE165" i="87"/>
  <c r="KE224" i="87" s="1"/>
  <c r="DG172" i="87"/>
  <c r="DG231" i="87" s="1"/>
  <c r="HS75" i="87"/>
  <c r="HT75" i="87" s="1"/>
  <c r="HS92" i="87"/>
  <c r="HT92" i="87" s="1"/>
  <c r="HS94" i="87"/>
  <c r="HT94" i="87" s="1"/>
  <c r="HS86" i="87"/>
  <c r="HT86" i="87" s="1"/>
  <c r="HS81" i="87"/>
  <c r="HT81" i="87" s="1"/>
  <c r="HS73" i="87"/>
  <c r="HT73" i="87" s="1"/>
  <c r="HS96" i="87"/>
  <c r="HT96" i="87" s="1"/>
  <c r="HS80" i="87"/>
  <c r="HT80" i="87" s="1"/>
  <c r="HU80" i="87" s="1"/>
  <c r="HW80" i="87" s="1"/>
  <c r="HX80" i="87" s="1"/>
  <c r="HS87" i="87"/>
  <c r="HT87" i="87" s="1"/>
  <c r="HS93" i="87"/>
  <c r="HT93" i="87" s="1"/>
  <c r="HU93" i="87" s="1"/>
  <c r="HW93" i="87" s="1"/>
  <c r="HX93" i="87" s="1"/>
  <c r="HS85" i="87"/>
  <c r="HT85" i="87" s="1"/>
  <c r="HU85" i="87" s="1"/>
  <c r="HW85" i="87" s="1"/>
  <c r="HX85" i="87" s="1"/>
  <c r="HS77" i="87"/>
  <c r="HT77" i="87" s="1"/>
  <c r="HS72" i="87"/>
  <c r="HT72" i="87" s="1"/>
  <c r="HU68" i="87"/>
  <c r="HW68" i="87" s="1"/>
  <c r="HX68" i="87" s="1"/>
  <c r="HS83" i="87"/>
  <c r="HT83" i="87" s="1"/>
  <c r="HS89" i="87"/>
  <c r="HT89" i="87" s="1"/>
  <c r="HU89" i="87" s="1"/>
  <c r="HW89" i="87" s="1"/>
  <c r="HX89" i="87" s="1"/>
  <c r="HS91" i="87"/>
  <c r="HT91" i="87" s="1"/>
  <c r="HS84" i="87"/>
  <c r="HT84" i="87" s="1"/>
  <c r="HU84" i="87" s="1"/>
  <c r="HW84" i="87" s="1"/>
  <c r="HX84" i="87" s="1"/>
  <c r="HS76" i="87"/>
  <c r="HT76" i="87" s="1"/>
  <c r="HU76" i="87" s="1"/>
  <c r="HW76" i="87" s="1"/>
  <c r="HX76" i="87" s="1"/>
  <c r="IM80" i="87"/>
  <c r="IN80" i="87" s="1"/>
  <c r="IO80" i="87" s="1"/>
  <c r="IQ80" i="87" s="1"/>
  <c r="IR80" i="87" s="1"/>
  <c r="IM87" i="87"/>
  <c r="IN87" i="87" s="1"/>
  <c r="IM82" i="87"/>
  <c r="IN82" i="87" s="1"/>
  <c r="IM83" i="87"/>
  <c r="IN83" i="87" s="1"/>
  <c r="IM89" i="87"/>
  <c r="IN89" i="87" s="1"/>
  <c r="IO89" i="87" s="1"/>
  <c r="IQ89" i="87" s="1"/>
  <c r="IR89" i="87" s="1"/>
  <c r="IM73" i="87"/>
  <c r="IN73" i="87" s="1"/>
  <c r="CU16" i="87"/>
  <c r="CW16" i="87" s="1"/>
  <c r="CX16" i="87" s="1"/>
  <c r="CT11" i="87"/>
  <c r="GO129" i="87"/>
  <c r="GP129" i="87" s="1"/>
  <c r="GQ129" i="87" s="1"/>
  <c r="GS129" i="87" s="1"/>
  <c r="GT129" i="87" s="1"/>
  <c r="GO133" i="87"/>
  <c r="GP133" i="87" s="1"/>
  <c r="V165" i="87"/>
  <c r="V224" i="87" s="1"/>
  <c r="JB34" i="87"/>
  <c r="JB179" i="87" s="1"/>
  <c r="JB238" i="87" s="1"/>
  <c r="EB18" i="87"/>
  <c r="EB163" i="87" s="1"/>
  <c r="EB222" i="87" s="1"/>
  <c r="DG165" i="87"/>
  <c r="DG224" i="87" s="1"/>
  <c r="EU165" i="87"/>
  <c r="EU224" i="87" s="1"/>
  <c r="HW165" i="87"/>
  <c r="HW224" i="87" s="1"/>
  <c r="EV125" i="87"/>
  <c r="EV183" i="87" s="1"/>
  <c r="EV242" i="87" s="1"/>
  <c r="FP152" i="87"/>
  <c r="FP181" i="87" s="1"/>
  <c r="FP240" i="87" s="1"/>
  <c r="HS82" i="87"/>
  <c r="HT82" i="87" s="1"/>
  <c r="KU112" i="87"/>
  <c r="KV112" i="87" s="1"/>
  <c r="KU121" i="87"/>
  <c r="KV121" i="87" s="1"/>
  <c r="KU115" i="87"/>
  <c r="KV115" i="87" s="1"/>
  <c r="KU120" i="87"/>
  <c r="KV120" i="87" s="1"/>
  <c r="KU105" i="87"/>
  <c r="KV105" i="87" s="1"/>
  <c r="KW105" i="87" s="1"/>
  <c r="KY105" i="87" s="1"/>
  <c r="KU114" i="87"/>
  <c r="KV114" i="87" s="1"/>
  <c r="KW114" i="87" s="1"/>
  <c r="KY114" i="87" s="1"/>
  <c r="KZ114" i="87" s="1"/>
  <c r="KU123" i="87"/>
  <c r="KV123" i="87" s="1"/>
  <c r="KU106" i="87"/>
  <c r="KV106" i="87" s="1"/>
  <c r="KU107" i="87"/>
  <c r="KV107" i="87" s="1"/>
  <c r="KU116" i="87"/>
  <c r="KV116" i="87" s="1"/>
  <c r="KU125" i="87"/>
  <c r="KV125" i="87" s="1"/>
  <c r="IG159" i="87"/>
  <c r="IG218" i="87" s="1"/>
  <c r="IH101" i="87"/>
  <c r="IH159" i="87" s="1"/>
  <c r="AY183" i="87"/>
  <c r="AY242" i="87" s="1"/>
  <c r="CN73" i="87"/>
  <c r="CN160" i="87" s="1"/>
  <c r="CN219" i="87" s="1"/>
  <c r="BS183" i="87"/>
  <c r="BS242" i="87" s="1"/>
  <c r="KP160" i="87"/>
  <c r="KP219" i="87" s="1"/>
  <c r="KE162" i="87"/>
  <c r="KE221" i="87" s="1"/>
  <c r="DH27" i="87"/>
  <c r="DH172" i="87" s="1"/>
  <c r="DH231" i="87" s="1"/>
  <c r="AF78" i="87"/>
  <c r="AF165" i="87" s="1"/>
  <c r="AF224" i="87" s="1"/>
  <c r="IO68" i="87"/>
  <c r="IQ68" i="87" s="1"/>
  <c r="IR68" i="87" s="1"/>
  <c r="HS90" i="87"/>
  <c r="HT90" i="87" s="1"/>
  <c r="IM75" i="87"/>
  <c r="IN75" i="87" s="1"/>
  <c r="KO165" i="87"/>
  <c r="KO224" i="87" s="1"/>
  <c r="DW81" i="87"/>
  <c r="DX81" i="87" s="1"/>
  <c r="BE154" i="87"/>
  <c r="BF154" i="87" s="1"/>
  <c r="BE145" i="87"/>
  <c r="BF145" i="87" s="1"/>
  <c r="BE149" i="87"/>
  <c r="BF149" i="87" s="1"/>
  <c r="BG126" i="87"/>
  <c r="BI126" i="87" s="1"/>
  <c r="BJ126" i="87" s="1"/>
  <c r="BL126" i="87" s="1"/>
  <c r="BE138" i="87"/>
  <c r="BF138" i="87" s="1"/>
  <c r="BG138" i="87" s="1"/>
  <c r="BI138" i="87" s="1"/>
  <c r="BJ138" i="87" s="1"/>
  <c r="BE129" i="87"/>
  <c r="BF129" i="87" s="1"/>
  <c r="BG129" i="87" s="1"/>
  <c r="BI129" i="87" s="1"/>
  <c r="BJ129" i="87" s="1"/>
  <c r="BE152" i="87"/>
  <c r="BF152" i="87" s="1"/>
  <c r="BE143" i="87"/>
  <c r="BF143" i="87" s="1"/>
  <c r="BE147" i="87"/>
  <c r="BF147" i="87" s="1"/>
  <c r="BG147" i="87" s="1"/>
  <c r="BI147" i="87" s="1"/>
  <c r="BJ147" i="87" s="1"/>
  <c r="BE153" i="87"/>
  <c r="BF153" i="87" s="1"/>
  <c r="BE135" i="87"/>
  <c r="BF135" i="87" s="1"/>
  <c r="BE133" i="87"/>
  <c r="BF133" i="87" s="1"/>
  <c r="BT78" i="87"/>
  <c r="BT165" i="87" s="1"/>
  <c r="BT224" i="87" s="1"/>
  <c r="BS165" i="87"/>
  <c r="BS224" i="87" s="1"/>
  <c r="CI46" i="87"/>
  <c r="CJ46" i="87" s="1"/>
  <c r="CI55" i="87"/>
  <c r="CJ55" i="87" s="1"/>
  <c r="CK55" i="87" s="1"/>
  <c r="CM55" i="87" s="1"/>
  <c r="CN55" i="87" s="1"/>
  <c r="CI64" i="87"/>
  <c r="CJ64" i="87" s="1"/>
  <c r="CI60" i="87"/>
  <c r="CJ60" i="87" s="1"/>
  <c r="CK60" i="87" s="1"/>
  <c r="CM60" i="87" s="1"/>
  <c r="CN60" i="87" s="1"/>
  <c r="CI51" i="87"/>
  <c r="CJ51" i="87" s="1"/>
  <c r="CK51" i="87" s="1"/>
  <c r="CM51" i="87" s="1"/>
  <c r="CN51" i="87" s="1"/>
  <c r="CI47" i="87"/>
  <c r="CJ47" i="87" s="1"/>
  <c r="CK47" i="87" s="1"/>
  <c r="CM47" i="87" s="1"/>
  <c r="CN47" i="87" s="1"/>
  <c r="CI43" i="87"/>
  <c r="CJ43" i="87" s="1"/>
  <c r="CI48" i="87"/>
  <c r="CJ48" i="87" s="1"/>
  <c r="CI42" i="87"/>
  <c r="CJ42" i="87" s="1"/>
  <c r="CK42" i="87" s="1"/>
  <c r="CM42" i="87" s="1"/>
  <c r="CI52" i="87"/>
  <c r="CJ52" i="87" s="1"/>
  <c r="CI65" i="87"/>
  <c r="CJ65" i="87" s="1"/>
  <c r="CI61" i="87"/>
  <c r="CJ61" i="87" s="1"/>
  <c r="CI49" i="87"/>
  <c r="CJ49" i="87" s="1"/>
  <c r="KF44" i="87"/>
  <c r="KF160" i="87" s="1"/>
  <c r="KF219" i="87" s="1"/>
  <c r="KE160" i="87"/>
  <c r="KE219" i="87" s="1"/>
  <c r="KC39" i="87"/>
  <c r="KE39" i="87" s="1"/>
  <c r="KF39" i="87" s="1"/>
  <c r="KH39" i="87" s="1"/>
  <c r="KA65" i="87"/>
  <c r="KB65" i="87" s="1"/>
  <c r="KA56" i="87"/>
  <c r="KB56" i="87" s="1"/>
  <c r="KA46" i="87"/>
  <c r="KB46" i="87" s="1"/>
  <c r="KA45" i="87"/>
  <c r="KB45" i="87" s="1"/>
  <c r="KA66" i="87"/>
  <c r="KB66" i="87" s="1"/>
  <c r="KA57" i="87"/>
  <c r="KB57" i="87" s="1"/>
  <c r="KA47" i="87"/>
  <c r="KB47" i="87" s="1"/>
  <c r="KA43" i="87"/>
  <c r="KB43" i="87" s="1"/>
  <c r="KA67" i="87"/>
  <c r="KB67" i="87" s="1"/>
  <c r="KA63" i="87"/>
  <c r="KB63" i="87" s="1"/>
  <c r="KA58" i="87"/>
  <c r="KB58" i="87" s="1"/>
  <c r="KA52" i="87"/>
  <c r="KB52" i="87" s="1"/>
  <c r="KA49" i="87"/>
  <c r="KB49" i="87" s="1"/>
  <c r="KA64" i="87"/>
  <c r="KB64" i="87" s="1"/>
  <c r="KA55" i="87"/>
  <c r="KB55" i="87" s="1"/>
  <c r="KA42" i="87"/>
  <c r="KB42" i="87" s="1"/>
  <c r="KA54" i="87"/>
  <c r="KB54" i="87" s="1"/>
  <c r="KA62" i="87"/>
  <c r="KB62" i="87" s="1"/>
  <c r="KA53" i="87"/>
  <c r="KB53" i="87" s="1"/>
  <c r="EV75" i="87"/>
  <c r="EV162" i="87" s="1"/>
  <c r="EV221" i="87" s="1"/>
  <c r="EU162" i="87"/>
  <c r="EU221" i="87" s="1"/>
  <c r="U165" i="87"/>
  <c r="U224" i="87" s="1"/>
  <c r="KL11" i="87"/>
  <c r="FE179" i="87"/>
  <c r="FE238" i="87" s="1"/>
  <c r="IQ164" i="87"/>
  <c r="IQ223" i="87" s="1"/>
  <c r="GY42" i="87"/>
  <c r="GZ42" i="87" s="1"/>
  <c r="HA42" i="87" s="1"/>
  <c r="HC42" i="87" s="1"/>
  <c r="AY177" i="87"/>
  <c r="AY236" i="87" s="1"/>
  <c r="CC159" i="87"/>
  <c r="CC218" i="87" s="1"/>
  <c r="BZ11" i="87"/>
  <c r="DQ159" i="87"/>
  <c r="DQ218" i="87" s="1"/>
  <c r="HC173" i="87"/>
  <c r="HC232" i="87" s="1"/>
  <c r="JA174" i="87"/>
  <c r="JA233" i="87" s="1"/>
  <c r="GE67" i="87"/>
  <c r="GF67" i="87" s="1"/>
  <c r="HW162" i="87"/>
  <c r="HW221" i="87" s="1"/>
  <c r="AU83" i="87"/>
  <c r="AV83" i="87" s="1"/>
  <c r="HM173" i="87"/>
  <c r="HM232" i="87" s="1"/>
  <c r="IQ173" i="87"/>
  <c r="IQ232" i="87" s="1"/>
  <c r="IQ160" i="87"/>
  <c r="IQ219" i="87" s="1"/>
  <c r="DM48" i="87"/>
  <c r="DN48" i="87" s="1"/>
  <c r="DM54" i="87"/>
  <c r="DN54" i="87" s="1"/>
  <c r="AA81" i="87"/>
  <c r="AB81" i="87" s="1"/>
  <c r="AA72" i="87"/>
  <c r="AB72" i="87" s="1"/>
  <c r="AC72" i="87" s="1"/>
  <c r="AE72" i="87" s="1"/>
  <c r="AF72" i="87" s="1"/>
  <c r="AA91" i="87"/>
  <c r="AB91" i="87" s="1"/>
  <c r="AA86" i="87"/>
  <c r="AB86" i="87" s="1"/>
  <c r="AA78" i="87"/>
  <c r="AB78" i="87" s="1"/>
  <c r="AA76" i="87"/>
  <c r="AB76" i="87" s="1"/>
  <c r="AC76" i="87" s="1"/>
  <c r="AE76" i="87" s="1"/>
  <c r="AF76" i="87" s="1"/>
  <c r="AA94" i="87"/>
  <c r="AB94" i="87" s="1"/>
  <c r="AA83" i="87"/>
  <c r="AB83" i="87" s="1"/>
  <c r="AA77" i="87"/>
  <c r="AB77" i="87" s="1"/>
  <c r="AA74" i="87"/>
  <c r="AB74" i="87" s="1"/>
  <c r="AC74" i="87" s="1"/>
  <c r="AE74" i="87" s="1"/>
  <c r="AF74" i="87" s="1"/>
  <c r="AA96" i="87"/>
  <c r="AB96" i="87" s="1"/>
  <c r="AA90" i="87"/>
  <c r="AB90" i="87" s="1"/>
  <c r="AA89" i="87"/>
  <c r="AB89" i="87" s="1"/>
  <c r="AC89" i="87" s="1"/>
  <c r="AE89" i="87" s="1"/>
  <c r="AF89" i="87" s="1"/>
  <c r="HM179" i="87"/>
  <c r="HM238" i="87" s="1"/>
  <c r="HN92" i="87"/>
  <c r="HN179" i="87" s="1"/>
  <c r="HN238" i="87" s="1"/>
  <c r="GG16" i="87"/>
  <c r="GI16" i="87" s="1"/>
  <c r="GJ16" i="87" s="1"/>
  <c r="GJ11" i="87" s="1"/>
  <c r="GF11" i="87"/>
  <c r="BY194" i="87"/>
  <c r="BZ194" i="87" s="1"/>
  <c r="BY204" i="87"/>
  <c r="BZ204" i="87" s="1"/>
  <c r="BY207" i="87"/>
  <c r="BZ207" i="87" s="1"/>
  <c r="BY212" i="87"/>
  <c r="BZ212" i="87" s="1"/>
  <c r="BY199" i="87"/>
  <c r="BZ199" i="87" s="1"/>
  <c r="BY209" i="87"/>
  <c r="BZ209" i="87" s="1"/>
  <c r="BY208" i="87"/>
  <c r="BZ208" i="87" s="1"/>
  <c r="BY205" i="87"/>
  <c r="BZ205" i="87" s="1"/>
  <c r="BY192" i="87"/>
  <c r="BZ192" i="87" s="1"/>
  <c r="BY188" i="87"/>
  <c r="BZ188" i="87" s="1"/>
  <c r="BY201" i="87"/>
  <c r="BZ201" i="87" s="1"/>
  <c r="CA201" i="87" s="1"/>
  <c r="CC201" i="87" s="1"/>
  <c r="CD201" i="87" s="1"/>
  <c r="BY197" i="87"/>
  <c r="BZ197" i="87" s="1"/>
  <c r="CA197" i="87" s="1"/>
  <c r="CC197" i="87" s="1"/>
  <c r="CD197" i="87" s="1"/>
  <c r="BY198" i="87"/>
  <c r="BZ198" i="87" s="1"/>
  <c r="BY203" i="87"/>
  <c r="BZ203" i="87" s="1"/>
  <c r="BY190" i="87"/>
  <c r="BZ190" i="87" s="1"/>
  <c r="BY200" i="87"/>
  <c r="BZ200" i="87" s="1"/>
  <c r="BY195" i="87"/>
  <c r="BZ195" i="87" s="1"/>
  <c r="BY191" i="87"/>
  <c r="BZ191" i="87" s="1"/>
  <c r="CA191" i="87" s="1"/>
  <c r="CC191" i="87" s="1"/>
  <c r="CD191" i="87" s="1"/>
  <c r="BY189" i="87"/>
  <c r="BZ189" i="87" s="1"/>
  <c r="CA185" i="87"/>
  <c r="CC185" i="87" s="1"/>
  <c r="CD185" i="87" s="1"/>
  <c r="CF185" i="87" s="1"/>
  <c r="BY193" i="87"/>
  <c r="BZ193" i="87" s="1"/>
  <c r="CA193" i="87" s="1"/>
  <c r="CC193" i="87" s="1"/>
  <c r="CD193" i="87" s="1"/>
  <c r="CI201" i="87"/>
  <c r="CJ201" i="87" s="1"/>
  <c r="CK201" i="87" s="1"/>
  <c r="CM201" i="87" s="1"/>
  <c r="CN201" i="87" s="1"/>
  <c r="CI210" i="87"/>
  <c r="CJ210" i="87" s="1"/>
  <c r="CI192" i="87"/>
  <c r="CJ192" i="87" s="1"/>
  <c r="CI191" i="87"/>
  <c r="CJ191" i="87" s="1"/>
  <c r="CK191" i="87" s="1"/>
  <c r="CM191" i="87" s="1"/>
  <c r="CN191" i="87" s="1"/>
  <c r="CI190" i="87"/>
  <c r="CJ190" i="87" s="1"/>
  <c r="CI189" i="87"/>
  <c r="CJ189" i="87" s="1"/>
  <c r="CI188" i="87"/>
  <c r="CJ188" i="87" s="1"/>
  <c r="CK188" i="87" s="1"/>
  <c r="CM188" i="87" s="1"/>
  <c r="CN188" i="87" s="1"/>
  <c r="CI200" i="87"/>
  <c r="CJ200" i="87" s="1"/>
  <c r="CI212" i="87"/>
  <c r="CJ212" i="87" s="1"/>
  <c r="CI199" i="87"/>
  <c r="CJ199" i="87" s="1"/>
  <c r="CI198" i="87"/>
  <c r="CJ198" i="87" s="1"/>
  <c r="CI197" i="87"/>
  <c r="CJ197" i="87" s="1"/>
  <c r="CK197" i="87" s="1"/>
  <c r="CM197" i="87" s="1"/>
  <c r="CN197" i="87" s="1"/>
  <c r="CI195" i="87"/>
  <c r="CJ195" i="87" s="1"/>
  <c r="CI196" i="87"/>
  <c r="CJ196" i="87" s="1"/>
  <c r="CK185" i="87"/>
  <c r="CM185" i="87" s="1"/>
  <c r="CN185" i="87" s="1"/>
  <c r="CP185" i="87" s="1"/>
  <c r="CI193" i="87"/>
  <c r="CJ193" i="87" s="1"/>
  <c r="CK193" i="87" s="1"/>
  <c r="CM193" i="87" s="1"/>
  <c r="CN193" i="87" s="1"/>
  <c r="CI211" i="87"/>
  <c r="CJ211" i="87" s="1"/>
  <c r="CI208" i="87"/>
  <c r="CJ208" i="87" s="1"/>
  <c r="CI205" i="87"/>
  <c r="CJ205" i="87" s="1"/>
  <c r="CI194" i="87"/>
  <c r="CJ194" i="87" s="1"/>
  <c r="CI213" i="87"/>
  <c r="CJ213" i="87" s="1"/>
  <c r="CI209" i="87"/>
  <c r="CJ209" i="87" s="1"/>
  <c r="AE182" i="87"/>
  <c r="AE241" i="87" s="1"/>
  <c r="AF95" i="87"/>
  <c r="AF182" i="87" s="1"/>
  <c r="AF241" i="87" s="1"/>
  <c r="HW173" i="87"/>
  <c r="HW232" i="87" s="1"/>
  <c r="HX144" i="87"/>
  <c r="HX173" i="87" s="1"/>
  <c r="HX232" i="87" s="1"/>
  <c r="FY165" i="87"/>
  <c r="FY224" i="87" s="1"/>
  <c r="JB28" i="87"/>
  <c r="JB173" i="87" s="1"/>
  <c r="JB232" i="87" s="1"/>
  <c r="U179" i="87"/>
  <c r="U238" i="87" s="1"/>
  <c r="JB35" i="87"/>
  <c r="JB180" i="87" s="1"/>
  <c r="JB239" i="87" s="1"/>
  <c r="DG173" i="87"/>
  <c r="DG232" i="87" s="1"/>
  <c r="JV49" i="87"/>
  <c r="JV165" i="87" s="1"/>
  <c r="JV224" i="87" s="1"/>
  <c r="R11" i="87"/>
  <c r="AA71" i="87"/>
  <c r="AB71" i="87" s="1"/>
  <c r="AC71" i="87" s="1"/>
  <c r="AE71" i="87" s="1"/>
  <c r="AF71" i="87" s="1"/>
  <c r="JQ129" i="87"/>
  <c r="JR129" i="87" s="1"/>
  <c r="JS129" i="87" s="1"/>
  <c r="JU129" i="87" s="1"/>
  <c r="JV129" i="87" s="1"/>
  <c r="JQ131" i="87"/>
  <c r="JR131" i="87" s="1"/>
  <c r="JS131" i="87" s="1"/>
  <c r="JU131" i="87" s="1"/>
  <c r="JV131" i="87" s="1"/>
  <c r="CI207" i="87"/>
  <c r="CJ207" i="87" s="1"/>
  <c r="HI44" i="87"/>
  <c r="HJ44" i="87" s="1"/>
  <c r="HK44" i="87" s="1"/>
  <c r="HM44" i="87" s="1"/>
  <c r="HN44" i="87" s="1"/>
  <c r="HI47" i="87"/>
  <c r="HJ47" i="87" s="1"/>
  <c r="HK47" i="87" s="1"/>
  <c r="HM47" i="87" s="1"/>
  <c r="HN47" i="87" s="1"/>
  <c r="HI55" i="87"/>
  <c r="HJ55" i="87" s="1"/>
  <c r="HK55" i="87" s="1"/>
  <c r="HM55" i="87" s="1"/>
  <c r="HN55" i="87" s="1"/>
  <c r="HI52" i="87"/>
  <c r="HJ52" i="87" s="1"/>
  <c r="HI58" i="87"/>
  <c r="HJ58" i="87" s="1"/>
  <c r="HI66" i="87"/>
  <c r="HJ66" i="87" s="1"/>
  <c r="KK144" i="87"/>
  <c r="KL144" i="87" s="1"/>
  <c r="KK131" i="87"/>
  <c r="KL131" i="87" s="1"/>
  <c r="BY196" i="87"/>
  <c r="BZ196" i="87" s="1"/>
  <c r="GE90" i="87"/>
  <c r="GF90" i="87" s="1"/>
  <c r="GE78" i="87"/>
  <c r="GF78" i="87" s="1"/>
  <c r="GE94" i="87"/>
  <c r="GF94" i="87" s="1"/>
  <c r="GG94" i="87" s="1"/>
  <c r="GI94" i="87" s="1"/>
  <c r="GJ94" i="87" s="1"/>
  <c r="GE85" i="87"/>
  <c r="GF85" i="87" s="1"/>
  <c r="GG85" i="87" s="1"/>
  <c r="GI85" i="87" s="1"/>
  <c r="GJ85" i="87" s="1"/>
  <c r="GE76" i="87"/>
  <c r="GF76" i="87" s="1"/>
  <c r="GG76" i="87" s="1"/>
  <c r="GI76" i="87" s="1"/>
  <c r="GJ76" i="87" s="1"/>
  <c r="GE71" i="87"/>
  <c r="GF71" i="87" s="1"/>
  <c r="GG71" i="87" s="1"/>
  <c r="GI71" i="87" s="1"/>
  <c r="GJ71" i="87" s="1"/>
  <c r="GE81" i="87"/>
  <c r="GF81" i="87" s="1"/>
  <c r="GE95" i="87"/>
  <c r="GF95" i="87" s="1"/>
  <c r="GE77" i="87"/>
  <c r="GF77" i="87" s="1"/>
  <c r="GE92" i="87"/>
  <c r="GF92" i="87" s="1"/>
  <c r="GE83" i="87"/>
  <c r="GF83" i="87" s="1"/>
  <c r="GE75" i="87"/>
  <c r="GF75" i="87" s="1"/>
  <c r="GE73" i="87"/>
  <c r="GF73" i="87" s="1"/>
  <c r="GG73" i="87" s="1"/>
  <c r="GI73" i="87" s="1"/>
  <c r="GJ73" i="87" s="1"/>
  <c r="GE87" i="87"/>
  <c r="GF87" i="87" s="1"/>
  <c r="GE91" i="87"/>
  <c r="GF91" i="87" s="1"/>
  <c r="GE82" i="87"/>
  <c r="GF82" i="87" s="1"/>
  <c r="GG82" i="87" s="1"/>
  <c r="GI82" i="87" s="1"/>
  <c r="GJ82" i="87" s="1"/>
  <c r="GE96" i="87"/>
  <c r="GF96" i="87" s="1"/>
  <c r="IC95" i="87"/>
  <c r="ID95" i="87" s="1"/>
  <c r="IC73" i="87"/>
  <c r="ID73" i="87" s="1"/>
  <c r="IE73" i="87" s="1"/>
  <c r="IG73" i="87" s="1"/>
  <c r="IH73" i="87" s="1"/>
  <c r="IC94" i="87"/>
  <c r="ID94" i="87" s="1"/>
  <c r="IC85" i="87"/>
  <c r="ID85" i="87" s="1"/>
  <c r="IE85" i="87" s="1"/>
  <c r="IG85" i="87" s="1"/>
  <c r="IH85" i="87" s="1"/>
  <c r="BY206" i="87"/>
  <c r="BZ206" i="87" s="1"/>
  <c r="CA206" i="87" s="1"/>
  <c r="CC206" i="87" s="1"/>
  <c r="CD206" i="87" s="1"/>
  <c r="HD94" i="87"/>
  <c r="HD181" i="87" s="1"/>
  <c r="HD240" i="87" s="1"/>
  <c r="HC181" i="87"/>
  <c r="HC240" i="87" s="1"/>
  <c r="AA200" i="87"/>
  <c r="AB200" i="87" s="1"/>
  <c r="AA203" i="87"/>
  <c r="AB203" i="87" s="1"/>
  <c r="AA195" i="87"/>
  <c r="AB195" i="87" s="1"/>
  <c r="AA207" i="87"/>
  <c r="AB207" i="87" s="1"/>
  <c r="AA206" i="87"/>
  <c r="AB206" i="87" s="1"/>
  <c r="AC206" i="87" s="1"/>
  <c r="AE206" i="87" s="1"/>
  <c r="AF206" i="87" s="1"/>
  <c r="AC185" i="87"/>
  <c r="AE185" i="87" s="1"/>
  <c r="AF185" i="87" s="1"/>
  <c r="AH185" i="87" s="1"/>
  <c r="AA193" i="87"/>
  <c r="AB193" i="87" s="1"/>
  <c r="AC193" i="87" s="1"/>
  <c r="AE193" i="87" s="1"/>
  <c r="AF193" i="87" s="1"/>
  <c r="AA210" i="87"/>
  <c r="AB210" i="87" s="1"/>
  <c r="AC210" i="87" s="1"/>
  <c r="AE210" i="87" s="1"/>
  <c r="AF210" i="87" s="1"/>
  <c r="AA192" i="87"/>
  <c r="AB192" i="87" s="1"/>
  <c r="AC192" i="87" s="1"/>
  <c r="AE192" i="87" s="1"/>
  <c r="AF192" i="87" s="1"/>
  <c r="AA191" i="87"/>
  <c r="AB191" i="87" s="1"/>
  <c r="AC191" i="87" s="1"/>
  <c r="AE191" i="87" s="1"/>
  <c r="AF191" i="87" s="1"/>
  <c r="AA190" i="87"/>
  <c r="AB190" i="87" s="1"/>
  <c r="AA189" i="87"/>
  <c r="AB189" i="87" s="1"/>
  <c r="AC189" i="87" s="1"/>
  <c r="AE189" i="87" s="1"/>
  <c r="AF189" i="87" s="1"/>
  <c r="AA188" i="87"/>
  <c r="AB188" i="87" s="1"/>
  <c r="AC188" i="87" s="1"/>
  <c r="AE188" i="87" s="1"/>
  <c r="AF188" i="87" s="1"/>
  <c r="AA202" i="87"/>
  <c r="AB202" i="87" s="1"/>
  <c r="AC202" i="87" s="1"/>
  <c r="AE202" i="87" s="1"/>
  <c r="AF202" i="87" s="1"/>
  <c r="AA212" i="87"/>
  <c r="AB212" i="87" s="1"/>
  <c r="AA199" i="87"/>
  <c r="AB199" i="87" s="1"/>
  <c r="AA198" i="87"/>
  <c r="AB198" i="87" s="1"/>
  <c r="AA197" i="87"/>
  <c r="AB197" i="87" s="1"/>
  <c r="AC197" i="87" s="1"/>
  <c r="AE197" i="87" s="1"/>
  <c r="AF197" i="87" s="1"/>
  <c r="AA204" i="87"/>
  <c r="AB204" i="87" s="1"/>
  <c r="AA196" i="87"/>
  <c r="AB196" i="87" s="1"/>
  <c r="JG193" i="87"/>
  <c r="JH193" i="87" s="1"/>
  <c r="JI193" i="87" s="1"/>
  <c r="JK193" i="87" s="1"/>
  <c r="JL193" i="87" s="1"/>
  <c r="JG207" i="87"/>
  <c r="JH207" i="87" s="1"/>
  <c r="JG206" i="87"/>
  <c r="JH206" i="87" s="1"/>
  <c r="JI206" i="87" s="1"/>
  <c r="JK206" i="87" s="1"/>
  <c r="JL206" i="87" s="1"/>
  <c r="JG198" i="87"/>
  <c r="JH198" i="87" s="1"/>
  <c r="JG209" i="87"/>
  <c r="JH209" i="87" s="1"/>
  <c r="JG199" i="87"/>
  <c r="JH199" i="87" s="1"/>
  <c r="JG190" i="87"/>
  <c r="JH190" i="87" s="1"/>
  <c r="JG208" i="87"/>
  <c r="JH208" i="87" s="1"/>
  <c r="JG202" i="87"/>
  <c r="JH202" i="87" s="1"/>
  <c r="JI202" i="87" s="1"/>
  <c r="JK202" i="87" s="1"/>
  <c r="JL202" i="87" s="1"/>
  <c r="JG211" i="87"/>
  <c r="JH211" i="87" s="1"/>
  <c r="JI211" i="87" s="1"/>
  <c r="JK211" i="87" s="1"/>
  <c r="JL211" i="87" s="1"/>
  <c r="JG213" i="87"/>
  <c r="JH213" i="87" s="1"/>
  <c r="JG204" i="87"/>
  <c r="JH204" i="87" s="1"/>
  <c r="JG196" i="87"/>
  <c r="JH196" i="87" s="1"/>
  <c r="JI185" i="87"/>
  <c r="JK185" i="87" s="1"/>
  <c r="JL185" i="87" s="1"/>
  <c r="JN185" i="87" s="1"/>
  <c r="JG192" i="87"/>
  <c r="JH192" i="87" s="1"/>
  <c r="JG203" i="87"/>
  <c r="JH203" i="87" s="1"/>
  <c r="JG210" i="87"/>
  <c r="JH210" i="87" s="1"/>
  <c r="JG195" i="87"/>
  <c r="JH195" i="87" s="1"/>
  <c r="JG188" i="87"/>
  <c r="JH188" i="87" s="1"/>
  <c r="JI188" i="87" s="1"/>
  <c r="JK188" i="87" s="1"/>
  <c r="JL188" i="87" s="1"/>
  <c r="JG189" i="87"/>
  <c r="JH189" i="87" s="1"/>
  <c r="JG201" i="87"/>
  <c r="JH201" i="87" s="1"/>
  <c r="JI201" i="87" s="1"/>
  <c r="JK201" i="87" s="1"/>
  <c r="JL201" i="87" s="1"/>
  <c r="JI39" i="87"/>
  <c r="JK39" i="87" s="1"/>
  <c r="JL39" i="87" s="1"/>
  <c r="JN39" i="87" s="1"/>
  <c r="JG60" i="87"/>
  <c r="JH60" i="87" s="1"/>
  <c r="JI60" i="87" s="1"/>
  <c r="JK60" i="87" s="1"/>
  <c r="JL60" i="87" s="1"/>
  <c r="JG64" i="87"/>
  <c r="JH64" i="87" s="1"/>
  <c r="JG56" i="87"/>
  <c r="JH56" i="87" s="1"/>
  <c r="JI56" i="87" s="1"/>
  <c r="JK56" i="87" s="1"/>
  <c r="JL56" i="87" s="1"/>
  <c r="JG62" i="87"/>
  <c r="JH62" i="87" s="1"/>
  <c r="JG57" i="87"/>
  <c r="JH57" i="87" s="1"/>
  <c r="JG63" i="87"/>
  <c r="JH63" i="87" s="1"/>
  <c r="JG43" i="87"/>
  <c r="JH43" i="87" s="1"/>
  <c r="JG44" i="87"/>
  <c r="JH44" i="87" s="1"/>
  <c r="JG49" i="87"/>
  <c r="JH49" i="87" s="1"/>
  <c r="JG61" i="87"/>
  <c r="JH61" i="87" s="1"/>
  <c r="JG47" i="87"/>
  <c r="JH47" i="87" s="1"/>
  <c r="JI47" i="87" s="1"/>
  <c r="JK47" i="87" s="1"/>
  <c r="JL47" i="87" s="1"/>
  <c r="JG52" i="87"/>
  <c r="JH52" i="87" s="1"/>
  <c r="JG48" i="87"/>
  <c r="JH48" i="87" s="1"/>
  <c r="JG53" i="87"/>
  <c r="JH53" i="87" s="1"/>
  <c r="JG58" i="87"/>
  <c r="JH58" i="87" s="1"/>
  <c r="JG42" i="87"/>
  <c r="JH42" i="87" s="1"/>
  <c r="JI42" i="87" s="1"/>
  <c r="JK42" i="87" s="1"/>
  <c r="JL42" i="87" s="1"/>
  <c r="JG51" i="87"/>
  <c r="JH51" i="87" s="1"/>
  <c r="JI51" i="87" s="1"/>
  <c r="JK51" i="87" s="1"/>
  <c r="JL51" i="87" s="1"/>
  <c r="JG45" i="87"/>
  <c r="JH45" i="87" s="1"/>
  <c r="JI45" i="87" s="1"/>
  <c r="JK45" i="87" s="1"/>
  <c r="JL45" i="87" s="1"/>
  <c r="HJ11" i="87"/>
  <c r="HK13" i="87"/>
  <c r="HM13" i="87" s="1"/>
  <c r="HN13" i="87" s="1"/>
  <c r="JI97" i="87"/>
  <c r="JK97" i="87" s="1"/>
  <c r="JL97" i="87" s="1"/>
  <c r="JN97" i="87" s="1"/>
  <c r="JG125" i="87"/>
  <c r="JH125" i="87" s="1"/>
  <c r="JG116" i="87"/>
  <c r="JH116" i="87" s="1"/>
  <c r="JG107" i="87"/>
  <c r="JH107" i="87" s="1"/>
  <c r="JG112" i="87"/>
  <c r="JH112" i="87" s="1"/>
  <c r="JG114" i="87"/>
  <c r="JH114" i="87" s="1"/>
  <c r="JI114" i="87" s="1"/>
  <c r="JK114" i="87" s="1"/>
  <c r="JL114" i="87" s="1"/>
  <c r="JG101" i="87"/>
  <c r="JH101" i="87" s="1"/>
  <c r="JG115" i="87"/>
  <c r="JH115" i="87" s="1"/>
  <c r="JG124" i="87"/>
  <c r="JH124" i="87" s="1"/>
  <c r="JG110" i="87"/>
  <c r="JH110" i="87" s="1"/>
  <c r="JG121" i="87"/>
  <c r="JH121" i="87" s="1"/>
  <c r="JG123" i="87"/>
  <c r="JH123" i="87" s="1"/>
  <c r="JI123" i="87" s="1"/>
  <c r="JK123" i="87" s="1"/>
  <c r="JL123" i="87" s="1"/>
  <c r="JG104" i="87"/>
  <c r="JH104" i="87" s="1"/>
  <c r="JG100" i="87"/>
  <c r="JH100" i="87" s="1"/>
  <c r="JI100" i="87" s="1"/>
  <c r="JK100" i="87" s="1"/>
  <c r="JL100" i="87" s="1"/>
  <c r="JG109" i="87"/>
  <c r="JH109" i="87" s="1"/>
  <c r="JI109" i="87" s="1"/>
  <c r="JK109" i="87" s="1"/>
  <c r="JL109" i="87" s="1"/>
  <c r="JG118" i="87"/>
  <c r="JH118" i="87" s="1"/>
  <c r="JI118" i="87" s="1"/>
  <c r="JK118" i="87" s="1"/>
  <c r="JL118" i="87" s="1"/>
  <c r="JG119" i="87"/>
  <c r="JH119" i="87" s="1"/>
  <c r="JG103" i="87"/>
  <c r="JH103" i="87" s="1"/>
  <c r="JI103" i="87" s="1"/>
  <c r="JK103" i="87" s="1"/>
  <c r="JL103" i="87" s="1"/>
  <c r="JG111" i="87"/>
  <c r="JH111" i="87" s="1"/>
  <c r="JG120" i="87"/>
  <c r="JH120" i="87" s="1"/>
  <c r="KY169" i="87"/>
  <c r="KY228" i="87" s="1"/>
  <c r="IR57" i="87"/>
  <c r="IR173" i="87" s="1"/>
  <c r="IR232" i="87" s="1"/>
  <c r="JB29" i="87"/>
  <c r="JB174" i="87" s="1"/>
  <c r="JB233" i="87" s="1"/>
  <c r="JL165" i="87"/>
  <c r="HI43" i="87"/>
  <c r="HJ43" i="87" s="1"/>
  <c r="CI206" i="87"/>
  <c r="CJ206" i="87" s="1"/>
  <c r="CK206" i="87" s="1"/>
  <c r="CM206" i="87" s="1"/>
  <c r="CN206" i="87" s="1"/>
  <c r="BY202" i="87"/>
  <c r="BZ202" i="87" s="1"/>
  <c r="CA202" i="87" s="1"/>
  <c r="CC202" i="87" s="1"/>
  <c r="CD202" i="87" s="1"/>
  <c r="AA75" i="87"/>
  <c r="AB75" i="87" s="1"/>
  <c r="AC75" i="87" s="1"/>
  <c r="AE75" i="87" s="1"/>
  <c r="AF75" i="87" s="1"/>
  <c r="JG105" i="87"/>
  <c r="JH105" i="87" s="1"/>
  <c r="JI105" i="87" s="1"/>
  <c r="JK105" i="87" s="1"/>
  <c r="GE74" i="87"/>
  <c r="GF74" i="87" s="1"/>
  <c r="GG74" i="87" s="1"/>
  <c r="GI74" i="87" s="1"/>
  <c r="GJ74" i="87" s="1"/>
  <c r="JG55" i="87"/>
  <c r="JH55" i="87" s="1"/>
  <c r="JI55" i="87" s="1"/>
  <c r="JK55" i="87" s="1"/>
  <c r="JL55" i="87" s="1"/>
  <c r="DQ181" i="87"/>
  <c r="DQ240" i="87" s="1"/>
  <c r="DR152" i="87"/>
  <c r="DR181" i="87" s="1"/>
  <c r="DR240" i="87" s="1"/>
  <c r="JG66" i="87"/>
  <c r="JH66" i="87" s="1"/>
  <c r="JG106" i="87"/>
  <c r="JH106" i="87" s="1"/>
  <c r="JG191" i="87"/>
  <c r="JH191" i="87" s="1"/>
  <c r="JI191" i="87" s="1"/>
  <c r="JK191" i="87" s="1"/>
  <c r="JL191" i="87" s="1"/>
  <c r="AC13" i="87"/>
  <c r="AE13" i="87" s="1"/>
  <c r="AF13" i="87" s="1"/>
  <c r="AB11" i="87"/>
  <c r="IR44" i="87"/>
  <c r="IR160" i="87" s="1"/>
  <c r="IR219" i="87" s="1"/>
  <c r="HX152" i="87"/>
  <c r="HX181" i="87" s="1"/>
  <c r="HX240" i="87" s="1"/>
  <c r="EQ49" i="87"/>
  <c r="ER49" i="87" s="1"/>
  <c r="KK132" i="87"/>
  <c r="KL132" i="87" s="1"/>
  <c r="KM132" i="87" s="1"/>
  <c r="KO132" i="87" s="1"/>
  <c r="KP132" i="87" s="1"/>
  <c r="CI204" i="87"/>
  <c r="CJ204" i="87" s="1"/>
  <c r="CI202" i="87"/>
  <c r="CJ202" i="87" s="1"/>
  <c r="CK202" i="87" s="1"/>
  <c r="CM202" i="87" s="1"/>
  <c r="CN202" i="87" s="1"/>
  <c r="JG54" i="87"/>
  <c r="JH54" i="87" s="1"/>
  <c r="AA73" i="87"/>
  <c r="AB73" i="87" s="1"/>
  <c r="GE84" i="87"/>
  <c r="GF84" i="87" s="1"/>
  <c r="GG84" i="87" s="1"/>
  <c r="GI84" i="87" s="1"/>
  <c r="GJ84" i="87" s="1"/>
  <c r="AA93" i="87"/>
  <c r="AB93" i="87" s="1"/>
  <c r="JG122" i="87"/>
  <c r="JH122" i="87" s="1"/>
  <c r="FO179" i="87"/>
  <c r="FO238" i="87" s="1"/>
  <c r="FP150" i="87"/>
  <c r="FP179" i="87" s="1"/>
  <c r="FP238" i="87" s="1"/>
  <c r="AE178" i="87"/>
  <c r="AE237" i="87" s="1"/>
  <c r="AF149" i="87"/>
  <c r="AF178" i="87" s="1"/>
  <c r="AF237" i="87" s="1"/>
  <c r="DN11" i="87"/>
  <c r="GQ16" i="87"/>
  <c r="GS16" i="87" s="1"/>
  <c r="GT16" i="87" s="1"/>
  <c r="GP11" i="87"/>
  <c r="HS46" i="87"/>
  <c r="HT46" i="87" s="1"/>
  <c r="HS43" i="87"/>
  <c r="HT43" i="87" s="1"/>
  <c r="HS51" i="87"/>
  <c r="HT51" i="87" s="1"/>
  <c r="HU51" i="87" s="1"/>
  <c r="HW51" i="87" s="1"/>
  <c r="HX51" i="87" s="1"/>
  <c r="HS53" i="87"/>
  <c r="HT53" i="87" s="1"/>
  <c r="HS52" i="87"/>
  <c r="HT52" i="87" s="1"/>
  <c r="BF11" i="87"/>
  <c r="BG13" i="87"/>
  <c r="BI13" i="87" s="1"/>
  <c r="BJ13" i="87" s="1"/>
  <c r="BS174" i="87"/>
  <c r="BS233" i="87" s="1"/>
  <c r="BT87" i="87"/>
  <c r="BT174" i="87" s="1"/>
  <c r="BT233" i="87" s="1"/>
  <c r="BQ39" i="87"/>
  <c r="BS39" i="87" s="1"/>
  <c r="BT39" i="87" s="1"/>
  <c r="BV39" i="87" s="1"/>
  <c r="BO63" i="87"/>
  <c r="BP63" i="87" s="1"/>
  <c r="BO60" i="87"/>
  <c r="BP60" i="87" s="1"/>
  <c r="BQ60" i="87" s="1"/>
  <c r="BS60" i="87" s="1"/>
  <c r="BT60" i="87" s="1"/>
  <c r="BO48" i="87"/>
  <c r="BP48" i="87" s="1"/>
  <c r="BO55" i="87"/>
  <c r="BP55" i="87" s="1"/>
  <c r="BQ55" i="87" s="1"/>
  <c r="BS55" i="87" s="1"/>
  <c r="BT55" i="87" s="1"/>
  <c r="BO54" i="87"/>
  <c r="BP54" i="87" s="1"/>
  <c r="BO57" i="87"/>
  <c r="BP57" i="87" s="1"/>
  <c r="BO66" i="87"/>
  <c r="BP66" i="87" s="1"/>
  <c r="BO61" i="87"/>
  <c r="BP61" i="87" s="1"/>
  <c r="BO51" i="87"/>
  <c r="BP51" i="87" s="1"/>
  <c r="BQ51" i="87" s="1"/>
  <c r="BS51" i="87" s="1"/>
  <c r="BT51" i="87" s="1"/>
  <c r="BO44" i="87"/>
  <c r="BP44" i="87" s="1"/>
  <c r="BO47" i="87"/>
  <c r="BP47" i="87" s="1"/>
  <c r="BO43" i="87"/>
  <c r="BP43" i="87" s="1"/>
  <c r="BO58" i="87"/>
  <c r="BP58" i="87" s="1"/>
  <c r="BO67" i="87"/>
  <c r="BP67" i="87" s="1"/>
  <c r="BO64" i="87"/>
  <c r="BP64" i="87" s="1"/>
  <c r="BQ64" i="87" s="1"/>
  <c r="BS64" i="87" s="1"/>
  <c r="BT64" i="87" s="1"/>
  <c r="BO53" i="87"/>
  <c r="BP53" i="87" s="1"/>
  <c r="BO42" i="87"/>
  <c r="BP42" i="87" s="1"/>
  <c r="BQ42" i="87" s="1"/>
  <c r="BS42" i="87" s="1"/>
  <c r="BT42" i="87" s="1"/>
  <c r="JG65" i="87"/>
  <c r="JH65" i="87" s="1"/>
  <c r="JI65" i="87" s="1"/>
  <c r="JK65" i="87" s="1"/>
  <c r="JL65" i="87" s="1"/>
  <c r="JG212" i="87"/>
  <c r="JH212" i="87" s="1"/>
  <c r="KO164" i="87"/>
  <c r="KO223" i="87" s="1"/>
  <c r="DD11" i="87"/>
  <c r="JH11" i="87"/>
  <c r="BQ97" i="87"/>
  <c r="BS97" i="87" s="1"/>
  <c r="BT97" i="87" s="1"/>
  <c r="BV97" i="87" s="1"/>
  <c r="BO120" i="87"/>
  <c r="BP120" i="87" s="1"/>
  <c r="BO111" i="87"/>
  <c r="BP111" i="87" s="1"/>
  <c r="DW87" i="87"/>
  <c r="DX87" i="87" s="1"/>
  <c r="BI165" i="87"/>
  <c r="BI224" i="87" s="1"/>
  <c r="JU177" i="87"/>
  <c r="JU236" i="87" s="1"/>
  <c r="KW97" i="87"/>
  <c r="KY97" i="87" s="1"/>
  <c r="KZ97" i="87" s="1"/>
  <c r="LB97" i="87" s="1"/>
  <c r="KU111" i="87"/>
  <c r="KV111" i="87" s="1"/>
  <c r="KU101" i="87"/>
  <c r="KV101" i="87" s="1"/>
  <c r="KU118" i="87"/>
  <c r="KV118" i="87" s="1"/>
  <c r="KW118" i="87" s="1"/>
  <c r="KY118" i="87" s="1"/>
  <c r="KZ118" i="87" s="1"/>
  <c r="KU109" i="87"/>
  <c r="KV109" i="87" s="1"/>
  <c r="KW109" i="87" s="1"/>
  <c r="KY109" i="87" s="1"/>
  <c r="KZ109" i="87" s="1"/>
  <c r="KU102" i="87"/>
  <c r="KV102" i="87" s="1"/>
  <c r="KU113" i="87"/>
  <c r="KV113" i="87" s="1"/>
  <c r="KU104" i="87"/>
  <c r="KV104" i="87" s="1"/>
  <c r="KU124" i="87"/>
  <c r="KV124" i="87" s="1"/>
  <c r="KU103" i="87"/>
  <c r="KV103" i="87" s="1"/>
  <c r="KW103" i="87" s="1"/>
  <c r="KY103" i="87" s="1"/>
  <c r="KZ103" i="87" s="1"/>
  <c r="KU122" i="87"/>
  <c r="KV122" i="87" s="1"/>
  <c r="KU100" i="87"/>
  <c r="KV100" i="87" s="1"/>
  <c r="GS164" i="87"/>
  <c r="GS223" i="87" s="1"/>
  <c r="AU95" i="87"/>
  <c r="AV95" i="87" s="1"/>
  <c r="FE159" i="87"/>
  <c r="FE218" i="87" s="1"/>
  <c r="BO109" i="87"/>
  <c r="BP109" i="87" s="1"/>
  <c r="BQ109" i="87" s="1"/>
  <c r="BS109" i="87" s="1"/>
  <c r="BT109" i="87" s="1"/>
  <c r="KW39" i="87"/>
  <c r="KY39" i="87" s="1"/>
  <c r="KZ39" i="87" s="1"/>
  <c r="LB39" i="87" s="1"/>
  <c r="KU55" i="87"/>
  <c r="KV55" i="87" s="1"/>
  <c r="KU57" i="87"/>
  <c r="KV57" i="87" s="1"/>
  <c r="KU60" i="87"/>
  <c r="KV60" i="87" s="1"/>
  <c r="KW60" i="87" s="1"/>
  <c r="KY60" i="87" s="1"/>
  <c r="KZ60" i="87" s="1"/>
  <c r="KU63" i="87"/>
  <c r="KV63" i="87" s="1"/>
  <c r="KU66" i="87"/>
  <c r="KV66" i="87" s="1"/>
  <c r="KU61" i="87"/>
  <c r="KV61" i="87" s="1"/>
  <c r="KU67" i="87"/>
  <c r="KV67" i="87" s="1"/>
  <c r="KU56" i="87"/>
  <c r="KV56" i="87" s="1"/>
  <c r="KW56" i="87" s="1"/>
  <c r="KY56" i="87" s="1"/>
  <c r="KZ56" i="87" s="1"/>
  <c r="KU65" i="87"/>
  <c r="KV65" i="87" s="1"/>
  <c r="KU58" i="87"/>
  <c r="KV58" i="87" s="1"/>
  <c r="KU64" i="87"/>
  <c r="KV64" i="87" s="1"/>
  <c r="KU62" i="87"/>
  <c r="KV62" i="87" s="1"/>
  <c r="KO163" i="87"/>
  <c r="KO222" i="87" s="1"/>
  <c r="KP150" i="87"/>
  <c r="KP179" i="87" s="1"/>
  <c r="KP238" i="87" s="1"/>
  <c r="KP20" i="87"/>
  <c r="KP165" i="87" s="1"/>
  <c r="KP224" i="87" s="1"/>
  <c r="JV36" i="87"/>
  <c r="JU183" i="87"/>
  <c r="JU242" i="87" s="1"/>
  <c r="JL36" i="87"/>
  <c r="JK180" i="87"/>
  <c r="JK239" i="87" s="1"/>
  <c r="JA165" i="87"/>
  <c r="JA224" i="87" s="1"/>
  <c r="IX11" i="87"/>
  <c r="JB183" i="87"/>
  <c r="JB242" i="87" s="1"/>
  <c r="JA164" i="87"/>
  <c r="JA223" i="87" s="1"/>
  <c r="IM72" i="87"/>
  <c r="IN72" i="87" s="1"/>
  <c r="IM76" i="87"/>
  <c r="IN76" i="87" s="1"/>
  <c r="IM94" i="87"/>
  <c r="IN94" i="87" s="1"/>
  <c r="IM86" i="87"/>
  <c r="IN86" i="87" s="1"/>
  <c r="IM91" i="87"/>
  <c r="IN91" i="87" s="1"/>
  <c r="IM78" i="87"/>
  <c r="IN78" i="87" s="1"/>
  <c r="IM74" i="87"/>
  <c r="IN74" i="87" s="1"/>
  <c r="IO74" i="87" s="1"/>
  <c r="IQ74" i="87" s="1"/>
  <c r="IR74" i="87" s="1"/>
  <c r="IM84" i="87"/>
  <c r="IN84" i="87" s="1"/>
  <c r="IO84" i="87" s="1"/>
  <c r="IQ84" i="87" s="1"/>
  <c r="IR84" i="87" s="1"/>
  <c r="IM77" i="87"/>
  <c r="IN77" i="87" s="1"/>
  <c r="IM85" i="87"/>
  <c r="IN85" i="87" s="1"/>
  <c r="IO85" i="87" s="1"/>
  <c r="IQ85" i="87" s="1"/>
  <c r="IR85" i="87" s="1"/>
  <c r="IM93" i="87"/>
  <c r="IN93" i="87" s="1"/>
  <c r="IO93" i="87" s="1"/>
  <c r="IQ93" i="87" s="1"/>
  <c r="IR93" i="87" s="1"/>
  <c r="IM95" i="87"/>
  <c r="IN95" i="87" s="1"/>
  <c r="IM71" i="87"/>
  <c r="IN71" i="87" s="1"/>
  <c r="IO71" i="87" s="1"/>
  <c r="IQ71" i="87" s="1"/>
  <c r="IR71" i="87" s="1"/>
  <c r="IM81" i="87"/>
  <c r="IN81" i="87" s="1"/>
  <c r="IC87" i="87"/>
  <c r="ID87" i="87" s="1"/>
  <c r="IG177" i="87"/>
  <c r="IG236" i="87" s="1"/>
  <c r="IC72" i="87"/>
  <c r="ID72" i="87" s="1"/>
  <c r="IC86" i="87"/>
  <c r="ID86" i="87" s="1"/>
  <c r="IC84" i="87"/>
  <c r="ID84" i="87" s="1"/>
  <c r="IE84" i="87" s="1"/>
  <c r="IG84" i="87" s="1"/>
  <c r="IH84" i="87" s="1"/>
  <c r="IC93" i="87"/>
  <c r="ID93" i="87" s="1"/>
  <c r="IE93" i="87" s="1"/>
  <c r="IG93" i="87" s="1"/>
  <c r="IH93" i="87" s="1"/>
  <c r="ID11" i="87"/>
  <c r="IC89" i="87"/>
  <c r="ID89" i="87" s="1"/>
  <c r="IE89" i="87" s="1"/>
  <c r="IG89" i="87" s="1"/>
  <c r="IH89" i="87" s="1"/>
  <c r="HX160" i="87"/>
  <c r="HX219" i="87" s="1"/>
  <c r="HW177" i="87"/>
  <c r="HW236" i="87" s="1"/>
  <c r="HS71" i="87"/>
  <c r="HT71" i="87" s="1"/>
  <c r="HU71" i="87" s="1"/>
  <c r="HW71" i="87" s="1"/>
  <c r="HX71" i="87" s="1"/>
  <c r="HS78" i="87"/>
  <c r="HT78" i="87" s="1"/>
  <c r="HX104" i="87"/>
  <c r="HX162" i="87" s="1"/>
  <c r="HX221" i="87" s="1"/>
  <c r="HN28" i="87"/>
  <c r="HI67" i="87"/>
  <c r="HJ67" i="87" s="1"/>
  <c r="HI51" i="87"/>
  <c r="HJ51" i="87" s="1"/>
  <c r="HK51" i="87" s="1"/>
  <c r="HM51" i="87" s="1"/>
  <c r="HN51" i="87" s="1"/>
  <c r="HI62" i="87"/>
  <c r="HJ62" i="87" s="1"/>
  <c r="HK39" i="87"/>
  <c r="HM39" i="87" s="1"/>
  <c r="HN39" i="87" s="1"/>
  <c r="HP39" i="87" s="1"/>
  <c r="HM165" i="87"/>
  <c r="HM224" i="87" s="1"/>
  <c r="HI63" i="87"/>
  <c r="HJ63" i="87" s="1"/>
  <c r="HI46" i="87"/>
  <c r="HJ46" i="87" s="1"/>
  <c r="HI57" i="87"/>
  <c r="HJ57" i="87" s="1"/>
  <c r="HD32" i="87"/>
  <c r="HD144" i="87"/>
  <c r="HD173" i="87" s="1"/>
  <c r="HD232" i="87" s="1"/>
  <c r="GY71" i="87"/>
  <c r="GZ71" i="87" s="1"/>
  <c r="HA71" i="87" s="1"/>
  <c r="HC71" i="87" s="1"/>
  <c r="HD71" i="87" s="1"/>
  <c r="GY72" i="87"/>
  <c r="GZ72" i="87" s="1"/>
  <c r="GY78" i="87"/>
  <c r="GZ78" i="87" s="1"/>
  <c r="GY85" i="87"/>
  <c r="GZ85" i="87" s="1"/>
  <c r="GY94" i="87"/>
  <c r="GZ94" i="87" s="1"/>
  <c r="GY89" i="87"/>
  <c r="GZ89" i="87" s="1"/>
  <c r="HA89" i="87" s="1"/>
  <c r="HC89" i="87" s="1"/>
  <c r="HD89" i="87" s="1"/>
  <c r="GY93" i="87"/>
  <c r="GZ93" i="87" s="1"/>
  <c r="HA93" i="87" s="1"/>
  <c r="HC93" i="87" s="1"/>
  <c r="HD93" i="87" s="1"/>
  <c r="GY95" i="87"/>
  <c r="GZ95" i="87" s="1"/>
  <c r="GY84" i="87"/>
  <c r="GZ84" i="87" s="1"/>
  <c r="HA84" i="87" s="1"/>
  <c r="HC84" i="87" s="1"/>
  <c r="HD84" i="87" s="1"/>
  <c r="GY87" i="87"/>
  <c r="GZ87" i="87" s="1"/>
  <c r="HC170" i="87"/>
  <c r="HC229" i="87" s="1"/>
  <c r="GY83" i="87"/>
  <c r="GZ83" i="87" s="1"/>
  <c r="GY86" i="87"/>
  <c r="GZ86" i="87" s="1"/>
  <c r="GT49" i="87"/>
  <c r="GT165" i="87" s="1"/>
  <c r="GT224" i="87" s="1"/>
  <c r="GS178" i="87"/>
  <c r="GS237" i="87" s="1"/>
  <c r="GE48" i="87"/>
  <c r="GF48" i="87" s="1"/>
  <c r="GE93" i="87"/>
  <c r="GF93" i="87" s="1"/>
  <c r="GI162" i="87"/>
  <c r="GI221" i="87" s="1"/>
  <c r="GI182" i="87"/>
  <c r="GI241" i="87" s="1"/>
  <c r="FY177" i="87"/>
  <c r="FY236" i="87" s="1"/>
  <c r="FO160" i="87"/>
  <c r="FO219" i="87" s="1"/>
  <c r="FO172" i="87"/>
  <c r="FO231" i="87" s="1"/>
  <c r="FL11" i="87"/>
  <c r="FA194" i="87"/>
  <c r="FB194" i="87" s="1"/>
  <c r="FC97" i="87"/>
  <c r="FE97" i="87" s="1"/>
  <c r="FF97" i="87" s="1"/>
  <c r="FH97" i="87" s="1"/>
  <c r="FA125" i="87"/>
  <c r="FB125" i="87" s="1"/>
  <c r="FA121" i="87"/>
  <c r="FB121" i="87" s="1"/>
  <c r="FA112" i="87"/>
  <c r="FB112" i="87" s="1"/>
  <c r="FA107" i="87"/>
  <c r="FB107" i="87" s="1"/>
  <c r="FA119" i="87"/>
  <c r="FB119" i="87" s="1"/>
  <c r="FA110" i="87"/>
  <c r="FB110" i="87" s="1"/>
  <c r="FA118" i="87"/>
  <c r="FB118" i="87" s="1"/>
  <c r="FC118" i="87" s="1"/>
  <c r="FE118" i="87" s="1"/>
  <c r="FF118" i="87" s="1"/>
  <c r="FA100" i="87"/>
  <c r="FB100" i="87" s="1"/>
  <c r="FA104" i="87"/>
  <c r="FB104" i="87" s="1"/>
  <c r="FA124" i="87"/>
  <c r="FB124" i="87" s="1"/>
  <c r="FA120" i="87"/>
  <c r="FB120" i="87" s="1"/>
  <c r="FA115" i="87"/>
  <c r="FB115" i="87" s="1"/>
  <c r="FA111" i="87"/>
  <c r="FB111" i="87" s="1"/>
  <c r="FC111" i="87" s="1"/>
  <c r="FE111" i="87" s="1"/>
  <c r="FF111" i="87" s="1"/>
  <c r="FA103" i="87"/>
  <c r="FB103" i="87" s="1"/>
  <c r="FC103" i="87" s="1"/>
  <c r="FE103" i="87" s="1"/>
  <c r="FF103" i="87" s="1"/>
  <c r="FA105" i="87"/>
  <c r="FB105" i="87" s="1"/>
  <c r="FC105" i="87" s="1"/>
  <c r="FE105" i="87" s="1"/>
  <c r="FF105" i="87" s="1"/>
  <c r="FA114" i="87"/>
  <c r="FB114" i="87" s="1"/>
  <c r="FC114" i="87" s="1"/>
  <c r="FE114" i="87" s="1"/>
  <c r="FF114" i="87" s="1"/>
  <c r="FA122" i="87"/>
  <c r="FB122" i="87" s="1"/>
  <c r="FC122" i="87" s="1"/>
  <c r="FE122" i="87" s="1"/>
  <c r="FF122" i="87" s="1"/>
  <c r="FA113" i="87"/>
  <c r="FB113" i="87" s="1"/>
  <c r="FC113" i="87" s="1"/>
  <c r="FE113" i="87" s="1"/>
  <c r="FF113" i="87" s="1"/>
  <c r="FA109" i="87"/>
  <c r="FB109" i="87" s="1"/>
  <c r="FC109" i="87" s="1"/>
  <c r="FE109" i="87" s="1"/>
  <c r="FF109" i="87" s="1"/>
  <c r="FA106" i="87"/>
  <c r="FB106" i="87" s="1"/>
  <c r="FA102" i="87"/>
  <c r="FB102" i="87" s="1"/>
  <c r="FC102" i="87" s="1"/>
  <c r="FE102" i="87" s="1"/>
  <c r="FF102" i="87" s="1"/>
  <c r="FF14" i="87"/>
  <c r="FF32" i="87"/>
  <c r="FF177" i="87" s="1"/>
  <c r="FF236" i="87" s="1"/>
  <c r="FA200" i="87"/>
  <c r="FB200" i="87" s="1"/>
  <c r="FA131" i="87"/>
  <c r="FB131" i="87" s="1"/>
  <c r="FC131" i="87" s="1"/>
  <c r="FE131" i="87" s="1"/>
  <c r="FF131" i="87" s="1"/>
  <c r="FA116" i="87"/>
  <c r="FB116" i="87" s="1"/>
  <c r="FC185" i="87"/>
  <c r="FE185" i="87" s="1"/>
  <c r="FF185" i="87" s="1"/>
  <c r="FH185" i="87" s="1"/>
  <c r="FE183" i="87"/>
  <c r="FE242" i="87" s="1"/>
  <c r="FF162" i="87"/>
  <c r="FF221" i="87" s="1"/>
  <c r="FE165" i="87"/>
  <c r="FE224" i="87" s="1"/>
  <c r="FC126" i="87"/>
  <c r="FE126" i="87" s="1"/>
  <c r="FF126" i="87" s="1"/>
  <c r="FH126" i="87" s="1"/>
  <c r="FC68" i="87"/>
  <c r="FE68" i="87" s="1"/>
  <c r="FF68" i="87" s="1"/>
  <c r="FH68" i="87" s="1"/>
  <c r="FA75" i="87"/>
  <c r="FB75" i="87" s="1"/>
  <c r="FA77" i="87"/>
  <c r="FB77" i="87" s="1"/>
  <c r="FA92" i="87"/>
  <c r="FB92" i="87" s="1"/>
  <c r="FA82" i="87"/>
  <c r="FB82" i="87" s="1"/>
  <c r="FC82" i="87" s="1"/>
  <c r="FE82" i="87" s="1"/>
  <c r="FF82" i="87" s="1"/>
  <c r="FA91" i="87"/>
  <c r="FB91" i="87" s="1"/>
  <c r="FA76" i="87"/>
  <c r="FB76" i="87" s="1"/>
  <c r="FC76" i="87" s="1"/>
  <c r="FE76" i="87" s="1"/>
  <c r="FF76" i="87" s="1"/>
  <c r="FA80" i="87"/>
  <c r="FB80" i="87" s="1"/>
  <c r="FC80" i="87" s="1"/>
  <c r="FE80" i="87" s="1"/>
  <c r="FF80" i="87" s="1"/>
  <c r="FA96" i="87"/>
  <c r="FB96" i="87" s="1"/>
  <c r="FA74" i="87"/>
  <c r="FB74" i="87" s="1"/>
  <c r="FC74" i="87" s="1"/>
  <c r="FE74" i="87" s="1"/>
  <c r="FF74" i="87" s="1"/>
  <c r="FA93" i="87"/>
  <c r="FB93" i="87" s="1"/>
  <c r="FC93" i="87" s="1"/>
  <c r="FE93" i="87" s="1"/>
  <c r="FF93" i="87" s="1"/>
  <c r="FA101" i="87"/>
  <c r="FB101" i="87" s="1"/>
  <c r="FA123" i="87"/>
  <c r="FB123" i="87" s="1"/>
  <c r="FC123" i="87" s="1"/>
  <c r="FE123" i="87" s="1"/>
  <c r="FF123" i="87" s="1"/>
  <c r="EQ43" i="87"/>
  <c r="ER43" i="87" s="1"/>
  <c r="EQ52" i="87"/>
  <c r="ER52" i="87" s="1"/>
  <c r="EQ60" i="87"/>
  <c r="ER60" i="87" s="1"/>
  <c r="ES60" i="87" s="1"/>
  <c r="EU60" i="87" s="1"/>
  <c r="EV60" i="87" s="1"/>
  <c r="EQ65" i="87"/>
  <c r="ER65" i="87" s="1"/>
  <c r="ES65" i="87" s="1"/>
  <c r="EU65" i="87" s="1"/>
  <c r="EV65" i="87" s="1"/>
  <c r="ES39" i="87"/>
  <c r="EU39" i="87" s="1"/>
  <c r="EV39" i="87" s="1"/>
  <c r="EX39" i="87" s="1"/>
  <c r="EQ45" i="87"/>
  <c r="ER45" i="87" s="1"/>
  <c r="ES45" i="87" s="1"/>
  <c r="EU45" i="87" s="1"/>
  <c r="EV45" i="87" s="1"/>
  <c r="EQ55" i="87"/>
  <c r="ER55" i="87" s="1"/>
  <c r="ES55" i="87" s="1"/>
  <c r="EU55" i="87" s="1"/>
  <c r="EV55" i="87" s="1"/>
  <c r="EQ44" i="87"/>
  <c r="ER44" i="87" s="1"/>
  <c r="ES44" i="87" s="1"/>
  <c r="EU44" i="87" s="1"/>
  <c r="EV44" i="87" s="1"/>
  <c r="EQ58" i="87"/>
  <c r="ER58" i="87" s="1"/>
  <c r="EQ61" i="87"/>
  <c r="ER61" i="87" s="1"/>
  <c r="EQ63" i="87"/>
  <c r="ER63" i="87" s="1"/>
  <c r="EQ66" i="87"/>
  <c r="ER66" i="87" s="1"/>
  <c r="EQ56" i="87"/>
  <c r="ER56" i="87" s="1"/>
  <c r="ES56" i="87" s="1"/>
  <c r="EU56" i="87" s="1"/>
  <c r="EV56" i="87" s="1"/>
  <c r="EQ47" i="87"/>
  <c r="ER47" i="87" s="1"/>
  <c r="ES47" i="87" s="1"/>
  <c r="EU47" i="87" s="1"/>
  <c r="EV47" i="87" s="1"/>
  <c r="EQ67" i="87"/>
  <c r="ER67" i="87" s="1"/>
  <c r="EQ46" i="87"/>
  <c r="ER46" i="87" s="1"/>
  <c r="EQ57" i="87"/>
  <c r="ER57" i="87" s="1"/>
  <c r="EL27" i="87"/>
  <c r="EK180" i="87"/>
  <c r="EK239" i="87" s="1"/>
  <c r="EA170" i="87"/>
  <c r="EA229" i="87" s="1"/>
  <c r="DW43" i="87"/>
  <c r="DX43" i="87" s="1"/>
  <c r="DW52" i="87"/>
  <c r="DX52" i="87" s="1"/>
  <c r="DW45" i="87"/>
  <c r="DX45" i="87" s="1"/>
  <c r="DY45" i="87" s="1"/>
  <c r="EA45" i="87" s="1"/>
  <c r="EB45" i="87" s="1"/>
  <c r="DW61" i="87"/>
  <c r="DX61" i="87" s="1"/>
  <c r="DW46" i="87"/>
  <c r="DX46" i="87" s="1"/>
  <c r="EA178" i="87"/>
  <c r="EA237" i="87" s="1"/>
  <c r="EB159" i="87"/>
  <c r="EB218" i="87" s="1"/>
  <c r="DX11" i="87"/>
  <c r="DW47" i="87"/>
  <c r="DX47" i="87" s="1"/>
  <c r="DW54" i="87"/>
  <c r="DX54" i="87" s="1"/>
  <c r="DW65" i="87"/>
  <c r="DX65" i="87" s="1"/>
  <c r="DR89" i="87"/>
  <c r="DR176" i="87" s="1"/>
  <c r="DR235" i="87" s="1"/>
  <c r="DQ164" i="87"/>
  <c r="DQ223" i="87" s="1"/>
  <c r="DH16" i="87"/>
  <c r="DH150" i="87"/>
  <c r="DH179" i="87" s="1"/>
  <c r="DH238" i="87" s="1"/>
  <c r="DE39" i="87"/>
  <c r="DG39" i="87" s="1"/>
  <c r="DH39" i="87" s="1"/>
  <c r="DJ39" i="87" s="1"/>
  <c r="DC47" i="87"/>
  <c r="DD47" i="87" s="1"/>
  <c r="DC52" i="87"/>
  <c r="DD52" i="87" s="1"/>
  <c r="DC56" i="87"/>
  <c r="DD56" i="87" s="1"/>
  <c r="DC61" i="87"/>
  <c r="DD61" i="87" s="1"/>
  <c r="DC65" i="87"/>
  <c r="DD65" i="87" s="1"/>
  <c r="DC55" i="87"/>
  <c r="DD55" i="87" s="1"/>
  <c r="DE55" i="87" s="1"/>
  <c r="DG55" i="87" s="1"/>
  <c r="DH55" i="87" s="1"/>
  <c r="DH76" i="87"/>
  <c r="DH163" i="87" s="1"/>
  <c r="DH222" i="87" s="1"/>
  <c r="DC53" i="87"/>
  <c r="DD53" i="87" s="1"/>
  <c r="DC57" i="87"/>
  <c r="DD57" i="87" s="1"/>
  <c r="DC62" i="87"/>
  <c r="DD62" i="87" s="1"/>
  <c r="DC66" i="87"/>
  <c r="DD66" i="87" s="1"/>
  <c r="DC48" i="87"/>
  <c r="DD48" i="87" s="1"/>
  <c r="CX49" i="87"/>
  <c r="CX165" i="87" s="1"/>
  <c r="CX224" i="87" s="1"/>
  <c r="CW165" i="87"/>
  <c r="CW224" i="87" s="1"/>
  <c r="CW178" i="87"/>
  <c r="CW237" i="87" s="1"/>
  <c r="CW179" i="87"/>
  <c r="CW238" i="87" s="1"/>
  <c r="CK68" i="87"/>
  <c r="CM68" i="87" s="1"/>
  <c r="CN68" i="87" s="1"/>
  <c r="CP68" i="87" s="1"/>
  <c r="CI93" i="87"/>
  <c r="CJ93" i="87" s="1"/>
  <c r="CI80" i="87"/>
  <c r="CJ80" i="87" s="1"/>
  <c r="CK80" i="87" s="1"/>
  <c r="CM80" i="87" s="1"/>
  <c r="CN80" i="87" s="1"/>
  <c r="CI92" i="87"/>
  <c r="CJ92" i="87" s="1"/>
  <c r="CI77" i="87"/>
  <c r="CJ77" i="87" s="1"/>
  <c r="CI78" i="87"/>
  <c r="CJ78" i="87" s="1"/>
  <c r="CI75" i="87"/>
  <c r="CJ75" i="87" s="1"/>
  <c r="CI72" i="87"/>
  <c r="CJ72" i="87" s="1"/>
  <c r="CI86" i="87"/>
  <c r="CJ86" i="87" s="1"/>
  <c r="CI87" i="87"/>
  <c r="CJ87" i="87" s="1"/>
  <c r="CI91" i="87"/>
  <c r="CJ91" i="87" s="1"/>
  <c r="CI82" i="87"/>
  <c r="CJ82" i="87" s="1"/>
  <c r="CI153" i="87"/>
  <c r="CJ153" i="87" s="1"/>
  <c r="CI129" i="87"/>
  <c r="CJ129" i="87" s="1"/>
  <c r="CI133" i="87"/>
  <c r="CJ133" i="87" s="1"/>
  <c r="CI138" i="87"/>
  <c r="CJ138" i="87" s="1"/>
  <c r="CK138" i="87" s="1"/>
  <c r="CM138" i="87" s="1"/>
  <c r="CN138" i="87" s="1"/>
  <c r="CI142" i="87"/>
  <c r="CJ142" i="87" s="1"/>
  <c r="CK142" i="87" s="1"/>
  <c r="CM142" i="87" s="1"/>
  <c r="CN142" i="87" s="1"/>
  <c r="CI147" i="87"/>
  <c r="CJ147" i="87" s="1"/>
  <c r="CK147" i="87" s="1"/>
  <c r="CM147" i="87" s="1"/>
  <c r="CN147" i="87" s="1"/>
  <c r="CI151" i="87"/>
  <c r="CJ151" i="87" s="1"/>
  <c r="CK126" i="87"/>
  <c r="CM126" i="87" s="1"/>
  <c r="CN126" i="87" s="1"/>
  <c r="CP126" i="87" s="1"/>
  <c r="CI135" i="87"/>
  <c r="CJ135" i="87" s="1"/>
  <c r="CI144" i="87"/>
  <c r="CJ144" i="87" s="1"/>
  <c r="CI132" i="87"/>
  <c r="CJ132" i="87" s="1"/>
  <c r="CK132" i="87" s="1"/>
  <c r="CM132" i="87" s="1"/>
  <c r="CN132" i="87" s="1"/>
  <c r="CI141" i="87"/>
  <c r="CJ141" i="87" s="1"/>
  <c r="CI150" i="87"/>
  <c r="CJ150" i="87" s="1"/>
  <c r="CI130" i="87"/>
  <c r="CJ130" i="87" s="1"/>
  <c r="CI134" i="87"/>
  <c r="CJ134" i="87" s="1"/>
  <c r="CK134" i="87" s="1"/>
  <c r="CM134" i="87" s="1"/>
  <c r="CN134" i="87" s="1"/>
  <c r="CI139" i="87"/>
  <c r="CJ139" i="87" s="1"/>
  <c r="CI143" i="87"/>
  <c r="CJ143" i="87" s="1"/>
  <c r="CK143" i="87" s="1"/>
  <c r="CM143" i="87" s="1"/>
  <c r="CN143" i="87" s="1"/>
  <c r="CI152" i="87"/>
  <c r="CJ152" i="87" s="1"/>
  <c r="CI154" i="87"/>
  <c r="CJ154" i="87" s="1"/>
  <c r="CI140" i="87"/>
  <c r="CJ140" i="87" s="1"/>
  <c r="CI149" i="87"/>
  <c r="CJ149" i="87" s="1"/>
  <c r="CI136" i="87"/>
  <c r="CJ136" i="87" s="1"/>
  <c r="CI145" i="87"/>
  <c r="CJ145" i="87" s="1"/>
  <c r="CI54" i="87"/>
  <c r="CJ54" i="87" s="1"/>
  <c r="CI66" i="87"/>
  <c r="CJ66" i="87" s="1"/>
  <c r="CI62" i="87"/>
  <c r="CJ62" i="87" s="1"/>
  <c r="CI44" i="87"/>
  <c r="CJ44" i="87" s="1"/>
  <c r="CI58" i="87"/>
  <c r="CJ58" i="87" s="1"/>
  <c r="CI45" i="87"/>
  <c r="CJ45" i="87" s="1"/>
  <c r="CK45" i="87" s="1"/>
  <c r="CM45" i="87" s="1"/>
  <c r="CN45" i="87" s="1"/>
  <c r="CI67" i="87"/>
  <c r="CJ67" i="87" s="1"/>
  <c r="CI63" i="87"/>
  <c r="CJ63" i="87" s="1"/>
  <c r="CI148" i="87"/>
  <c r="CJ148" i="87" s="1"/>
  <c r="CN159" i="87"/>
  <c r="CN218" i="87" s="1"/>
  <c r="CI89" i="87"/>
  <c r="CJ89" i="87" s="1"/>
  <c r="CK89" i="87" s="1"/>
  <c r="CM89" i="87" s="1"/>
  <c r="CN89" i="87" s="1"/>
  <c r="CM165" i="87"/>
  <c r="CM224" i="87" s="1"/>
  <c r="CI71" i="87"/>
  <c r="CJ71" i="87" s="1"/>
  <c r="CK71" i="87" s="1"/>
  <c r="CM71" i="87" s="1"/>
  <c r="CN71" i="87" s="1"/>
  <c r="CI76" i="87"/>
  <c r="CJ76" i="87" s="1"/>
  <c r="CK76" i="87" s="1"/>
  <c r="CM76" i="87" s="1"/>
  <c r="CN76" i="87" s="1"/>
  <c r="CI84" i="87"/>
  <c r="CJ84" i="87" s="1"/>
  <c r="CK84" i="87" s="1"/>
  <c r="CM84" i="87" s="1"/>
  <c r="CN84" i="87" s="1"/>
  <c r="CI85" i="87"/>
  <c r="CJ85" i="87" s="1"/>
  <c r="CK85" i="87" s="1"/>
  <c r="CM85" i="87" s="1"/>
  <c r="CN85" i="87" s="1"/>
  <c r="CI94" i="87"/>
  <c r="CJ94" i="87" s="1"/>
  <c r="CI95" i="87"/>
  <c r="CJ95" i="87" s="1"/>
  <c r="CI96" i="87"/>
  <c r="CJ96" i="87" s="1"/>
  <c r="CI74" i="87"/>
  <c r="CJ74" i="87" s="1"/>
  <c r="CK74" i="87" s="1"/>
  <c r="CM74" i="87" s="1"/>
  <c r="CN74" i="87" s="1"/>
  <c r="CI57" i="87"/>
  <c r="CJ57" i="87" s="1"/>
  <c r="CI131" i="87"/>
  <c r="CJ131" i="87" s="1"/>
  <c r="BY113" i="87"/>
  <c r="BZ113" i="87" s="1"/>
  <c r="CA113" i="87" s="1"/>
  <c r="CC113" i="87" s="1"/>
  <c r="CD113" i="87" s="1"/>
  <c r="CC162" i="87"/>
  <c r="CC221" i="87" s="1"/>
  <c r="CD32" i="87"/>
  <c r="CD11" i="87" s="1"/>
  <c r="CC179" i="87"/>
  <c r="CC238" i="87" s="1"/>
  <c r="BY107" i="87"/>
  <c r="BZ107" i="87" s="1"/>
  <c r="BY116" i="87"/>
  <c r="BZ116" i="87" s="1"/>
  <c r="BY118" i="87"/>
  <c r="BZ118" i="87" s="1"/>
  <c r="CA118" i="87" s="1"/>
  <c r="CC118" i="87" s="1"/>
  <c r="CD118" i="87" s="1"/>
  <c r="BY109" i="87"/>
  <c r="BZ109" i="87" s="1"/>
  <c r="CA109" i="87" s="1"/>
  <c r="CC109" i="87" s="1"/>
  <c r="CD109" i="87" s="1"/>
  <c r="BY106" i="87"/>
  <c r="BZ106" i="87" s="1"/>
  <c r="BY101" i="87"/>
  <c r="BZ101" i="87" s="1"/>
  <c r="BY105" i="87"/>
  <c r="BZ105" i="87" s="1"/>
  <c r="CA105" i="87" s="1"/>
  <c r="CC105" i="87" s="1"/>
  <c r="CD105" i="87" s="1"/>
  <c r="BY100" i="87"/>
  <c r="BZ100" i="87" s="1"/>
  <c r="CA100" i="87" s="1"/>
  <c r="CC100" i="87" s="1"/>
  <c r="CD100" i="87" s="1"/>
  <c r="BY122" i="87"/>
  <c r="BZ122" i="87" s="1"/>
  <c r="CA122" i="87" s="1"/>
  <c r="CC122" i="87" s="1"/>
  <c r="CD122" i="87" s="1"/>
  <c r="BY120" i="87"/>
  <c r="BZ120" i="87" s="1"/>
  <c r="BY124" i="87"/>
  <c r="BZ124" i="87" s="1"/>
  <c r="BY115" i="87"/>
  <c r="BZ115" i="87" s="1"/>
  <c r="BY103" i="87"/>
  <c r="BZ103" i="87" s="1"/>
  <c r="CA103" i="87" s="1"/>
  <c r="CC103" i="87" s="1"/>
  <c r="CD103" i="87" s="1"/>
  <c r="BY111" i="87"/>
  <c r="BZ111" i="87" s="1"/>
  <c r="BY102" i="87"/>
  <c r="BZ102" i="87" s="1"/>
  <c r="BY110" i="87"/>
  <c r="BZ110" i="87" s="1"/>
  <c r="BY119" i="87"/>
  <c r="BZ119" i="87" s="1"/>
  <c r="CA97" i="87"/>
  <c r="CC97" i="87" s="1"/>
  <c r="CD97" i="87" s="1"/>
  <c r="CF97" i="87" s="1"/>
  <c r="CD160" i="87"/>
  <c r="CD219" i="87" s="1"/>
  <c r="BY112" i="87"/>
  <c r="BZ112" i="87" s="1"/>
  <c r="BY121" i="87"/>
  <c r="BZ121" i="87" s="1"/>
  <c r="BY104" i="87"/>
  <c r="BZ104" i="87" s="1"/>
  <c r="BP11" i="87"/>
  <c r="BO204" i="87"/>
  <c r="BP204" i="87" s="1"/>
  <c r="BO200" i="87"/>
  <c r="BP200" i="87" s="1"/>
  <c r="BO192" i="87"/>
  <c r="BP192" i="87" s="1"/>
  <c r="BI161" i="87"/>
  <c r="BI220" i="87" s="1"/>
  <c r="BI181" i="87"/>
  <c r="BI240" i="87" s="1"/>
  <c r="AY174" i="87"/>
  <c r="AY233" i="87" s="1"/>
  <c r="AZ124" i="87"/>
  <c r="AZ182" i="87" s="1"/>
  <c r="AZ241" i="87" s="1"/>
  <c r="AZ136" i="87"/>
  <c r="AZ165" i="87" s="1"/>
  <c r="AZ224" i="87" s="1"/>
  <c r="AZ32" i="87"/>
  <c r="AZ177" i="87" s="1"/>
  <c r="AZ236" i="87" s="1"/>
  <c r="AU72" i="87"/>
  <c r="AV72" i="87" s="1"/>
  <c r="AU77" i="87"/>
  <c r="AV77" i="87" s="1"/>
  <c r="AU80" i="87"/>
  <c r="AV80" i="87" s="1"/>
  <c r="AW80" i="87" s="1"/>
  <c r="AY80" i="87" s="1"/>
  <c r="AZ80" i="87" s="1"/>
  <c r="AU81" i="87"/>
  <c r="AV81" i="87" s="1"/>
  <c r="AU82" i="87"/>
  <c r="AV82" i="87" s="1"/>
  <c r="AW82" i="87" s="1"/>
  <c r="AY82" i="87" s="1"/>
  <c r="AZ82" i="87" s="1"/>
  <c r="AU86" i="87"/>
  <c r="AV86" i="87" s="1"/>
  <c r="AU89" i="87"/>
  <c r="AV89" i="87" s="1"/>
  <c r="AW89" i="87" s="1"/>
  <c r="AY89" i="87" s="1"/>
  <c r="AZ89" i="87" s="1"/>
  <c r="AU90" i="87"/>
  <c r="AV90" i="87" s="1"/>
  <c r="AY168" i="87"/>
  <c r="AY227" i="87" s="1"/>
  <c r="AU74" i="87"/>
  <c r="AV74" i="87" s="1"/>
  <c r="AW74" i="87" s="1"/>
  <c r="AY74" i="87" s="1"/>
  <c r="AZ74" i="87" s="1"/>
  <c r="AU87" i="87"/>
  <c r="AV87" i="87" s="1"/>
  <c r="AO183" i="87"/>
  <c r="AO242" i="87" s="1"/>
  <c r="AM97" i="87"/>
  <c r="AO97" i="87" s="1"/>
  <c r="AP97" i="87" s="1"/>
  <c r="AR97" i="87" s="1"/>
  <c r="AK124" i="87"/>
  <c r="AL124" i="87" s="1"/>
  <c r="AK120" i="87"/>
  <c r="AL120" i="87" s="1"/>
  <c r="AK115" i="87"/>
  <c r="AL115" i="87" s="1"/>
  <c r="AK111" i="87"/>
  <c r="AL111" i="87" s="1"/>
  <c r="AK106" i="87"/>
  <c r="AL106" i="87" s="1"/>
  <c r="AM106" i="87" s="1"/>
  <c r="AO106" i="87" s="1"/>
  <c r="AP106" i="87" s="1"/>
  <c r="AK102" i="87"/>
  <c r="AL102" i="87" s="1"/>
  <c r="AM102" i="87" s="1"/>
  <c r="AO102" i="87" s="1"/>
  <c r="AP102" i="87" s="1"/>
  <c r="AK109" i="87"/>
  <c r="AL109" i="87" s="1"/>
  <c r="AM109" i="87" s="1"/>
  <c r="AO109" i="87" s="1"/>
  <c r="AP109" i="87" s="1"/>
  <c r="AK100" i="87"/>
  <c r="AL100" i="87" s="1"/>
  <c r="AK125" i="87"/>
  <c r="AL125" i="87" s="1"/>
  <c r="AK107" i="87"/>
  <c r="AL107" i="87" s="1"/>
  <c r="AK105" i="87"/>
  <c r="AL105" i="87" s="1"/>
  <c r="AM105" i="87" s="1"/>
  <c r="AO105" i="87" s="1"/>
  <c r="AP105" i="87" s="1"/>
  <c r="AK123" i="87"/>
  <c r="AL123" i="87" s="1"/>
  <c r="AK114" i="87"/>
  <c r="AL114" i="87" s="1"/>
  <c r="AM114" i="87" s="1"/>
  <c r="AO114" i="87" s="1"/>
  <c r="AP114" i="87" s="1"/>
  <c r="AK110" i="87"/>
  <c r="AL110" i="87" s="1"/>
  <c r="AK103" i="87"/>
  <c r="AL103" i="87" s="1"/>
  <c r="AM103" i="87" s="1"/>
  <c r="AO103" i="87" s="1"/>
  <c r="AP103" i="87" s="1"/>
  <c r="AK118" i="87"/>
  <c r="AL118" i="87" s="1"/>
  <c r="AM118" i="87" s="1"/>
  <c r="AO118" i="87" s="1"/>
  <c r="AP118" i="87" s="1"/>
  <c r="AK113" i="87"/>
  <c r="AL113" i="87" s="1"/>
  <c r="AM113" i="87" s="1"/>
  <c r="AO113" i="87" s="1"/>
  <c r="AP113" i="87" s="1"/>
  <c r="AK104" i="87"/>
  <c r="AL104" i="87" s="1"/>
  <c r="AK121" i="87"/>
  <c r="AL121" i="87" s="1"/>
  <c r="AK116" i="87"/>
  <c r="AL116" i="87" s="1"/>
  <c r="AK112" i="87"/>
  <c r="AL112" i="87" s="1"/>
  <c r="AK101" i="87"/>
  <c r="AL101" i="87" s="1"/>
  <c r="AM101" i="87" s="1"/>
  <c r="AO101" i="87" s="1"/>
  <c r="AP101" i="87" s="1"/>
  <c r="AK119" i="87"/>
  <c r="AL119" i="87" s="1"/>
  <c r="AK122" i="87"/>
  <c r="AL122" i="87" s="1"/>
  <c r="AM122" i="87" s="1"/>
  <c r="AO122" i="87" s="1"/>
  <c r="AP122" i="87" s="1"/>
  <c r="AC68" i="87"/>
  <c r="AE68" i="87" s="1"/>
  <c r="AF68" i="87" s="1"/>
  <c r="AH68" i="87" s="1"/>
  <c r="AA82" i="87"/>
  <c r="AB82" i="87" s="1"/>
  <c r="AA95" i="87"/>
  <c r="AB95" i="87" s="1"/>
  <c r="AA85" i="87"/>
  <c r="AB85" i="87" s="1"/>
  <c r="AC85" i="87" s="1"/>
  <c r="AE85" i="87" s="1"/>
  <c r="AF85" i="87" s="1"/>
  <c r="AA84" i="87"/>
  <c r="AB84" i="87" s="1"/>
  <c r="AC84" i="87" s="1"/>
  <c r="AE84" i="87" s="1"/>
  <c r="AF84" i="87" s="1"/>
  <c r="AA87" i="87"/>
  <c r="AB87" i="87" s="1"/>
  <c r="AA92" i="87"/>
  <c r="AB92" i="87" s="1"/>
  <c r="AA80" i="87"/>
  <c r="AB80" i="87" s="1"/>
  <c r="AC80" i="87" s="1"/>
  <c r="AE80" i="87" s="1"/>
  <c r="AF80" i="87" s="1"/>
  <c r="Q135" i="87"/>
  <c r="R135" i="87" s="1"/>
  <c r="V183" i="87"/>
  <c r="FZ133" i="87"/>
  <c r="FZ162" i="87" s="1"/>
  <c r="FZ221" i="87" s="1"/>
  <c r="FY162" i="87"/>
  <c r="FY221" i="87" s="1"/>
  <c r="FA130" i="87"/>
  <c r="FB130" i="87" s="1"/>
  <c r="FA144" i="87"/>
  <c r="FB144" i="87" s="1"/>
  <c r="JQ63" i="87"/>
  <c r="JR63" i="87" s="1"/>
  <c r="JQ46" i="87"/>
  <c r="JR46" i="87" s="1"/>
  <c r="JQ61" i="87"/>
  <c r="JR61" i="87" s="1"/>
  <c r="GY62" i="87"/>
  <c r="GZ62" i="87" s="1"/>
  <c r="GY48" i="87"/>
  <c r="GZ48" i="87" s="1"/>
  <c r="DW75" i="87"/>
  <c r="DX75" i="87" s="1"/>
  <c r="DW84" i="87"/>
  <c r="DX84" i="87" s="1"/>
  <c r="DY84" i="87" s="1"/>
  <c r="EA84" i="87" s="1"/>
  <c r="EB84" i="87" s="1"/>
  <c r="DW89" i="87"/>
  <c r="DX89" i="87" s="1"/>
  <c r="DY89" i="87" s="1"/>
  <c r="EA89" i="87" s="1"/>
  <c r="EB89" i="87" s="1"/>
  <c r="DW95" i="87"/>
  <c r="DX95" i="87" s="1"/>
  <c r="GY44" i="87"/>
  <c r="GZ44" i="87" s="1"/>
  <c r="FA136" i="87"/>
  <c r="FB136" i="87" s="1"/>
  <c r="FA153" i="87"/>
  <c r="FB153" i="87" s="1"/>
  <c r="EQ64" i="87"/>
  <c r="ER64" i="87" s="1"/>
  <c r="ES64" i="87" s="1"/>
  <c r="EU64" i="87" s="1"/>
  <c r="EV64" i="87" s="1"/>
  <c r="EQ51" i="87"/>
  <c r="ER51" i="87" s="1"/>
  <c r="ES51" i="87" s="1"/>
  <c r="EU51" i="87" s="1"/>
  <c r="EV51" i="87" s="1"/>
  <c r="EQ62" i="87"/>
  <c r="ER62" i="87" s="1"/>
  <c r="EQ53" i="87"/>
  <c r="ER53" i="87" s="1"/>
  <c r="JQ58" i="87"/>
  <c r="JR58" i="87" s="1"/>
  <c r="JQ44" i="87"/>
  <c r="JR44" i="87" s="1"/>
  <c r="JS44" i="87" s="1"/>
  <c r="JU44" i="87" s="1"/>
  <c r="JV44" i="87" s="1"/>
  <c r="JQ56" i="87"/>
  <c r="JR56" i="87" s="1"/>
  <c r="JS56" i="87" s="1"/>
  <c r="JU56" i="87" s="1"/>
  <c r="GY54" i="87"/>
  <c r="GZ54" i="87" s="1"/>
  <c r="DW74" i="87"/>
  <c r="DX74" i="87" s="1"/>
  <c r="DY74" i="87" s="1"/>
  <c r="EA74" i="87" s="1"/>
  <c r="EB74" i="87" s="1"/>
  <c r="DW93" i="87"/>
  <c r="DX93" i="87" s="1"/>
  <c r="DY93" i="87" s="1"/>
  <c r="EA93" i="87" s="1"/>
  <c r="EB93" i="87" s="1"/>
  <c r="DW96" i="87"/>
  <c r="DX96" i="87" s="1"/>
  <c r="BO198" i="87"/>
  <c r="BP198" i="87" s="1"/>
  <c r="DW71" i="87"/>
  <c r="DX71" i="87" s="1"/>
  <c r="AU75" i="87"/>
  <c r="AV75" i="87" s="1"/>
  <c r="AU91" i="87"/>
  <c r="AV91" i="87" s="1"/>
  <c r="AU84" i="87"/>
  <c r="AV84" i="87" s="1"/>
  <c r="AW84" i="87" s="1"/>
  <c r="AY84" i="87" s="1"/>
  <c r="AZ84" i="87" s="1"/>
  <c r="BT159" i="87"/>
  <c r="BT218" i="87" s="1"/>
  <c r="GJ159" i="87"/>
  <c r="GJ218" i="87" s="1"/>
  <c r="HX159" i="87"/>
  <c r="HX218" i="87" s="1"/>
  <c r="JL159" i="87"/>
  <c r="JL218" i="87" s="1"/>
  <c r="KZ159" i="87"/>
  <c r="KZ218" i="87" s="1"/>
  <c r="Q131" i="87"/>
  <c r="R131" i="87" s="1"/>
  <c r="FA145" i="87"/>
  <c r="FB145" i="87" s="1"/>
  <c r="JQ54" i="87"/>
  <c r="JR54" i="87" s="1"/>
  <c r="JQ42" i="87"/>
  <c r="JR42" i="87" s="1"/>
  <c r="JS42" i="87" s="1"/>
  <c r="JU42" i="87" s="1"/>
  <c r="JV42" i="87" s="1"/>
  <c r="JQ52" i="87"/>
  <c r="JR52" i="87" s="1"/>
  <c r="GY67" i="87"/>
  <c r="GZ67" i="87" s="1"/>
  <c r="DW77" i="87"/>
  <c r="DX77" i="87" s="1"/>
  <c r="DW92" i="87"/>
  <c r="DX92" i="87" s="1"/>
  <c r="AU73" i="87"/>
  <c r="AV73" i="87" s="1"/>
  <c r="AW73" i="87" s="1"/>
  <c r="AY73" i="87" s="1"/>
  <c r="AZ73" i="87" s="1"/>
  <c r="AU76" i="87"/>
  <c r="AV76" i="87" s="1"/>
  <c r="AW76" i="87" s="1"/>
  <c r="AY76" i="87" s="1"/>
  <c r="AZ76" i="87" s="1"/>
  <c r="DW85" i="87"/>
  <c r="DX85" i="87" s="1"/>
  <c r="DY85" i="87" s="1"/>
  <c r="EA85" i="87" s="1"/>
  <c r="EB85" i="87" s="1"/>
  <c r="DW72" i="87"/>
  <c r="DX72" i="87" s="1"/>
  <c r="S68" i="87"/>
  <c r="U68" i="87" s="1"/>
  <c r="V68" i="87" s="1"/>
  <c r="X68" i="87" s="1"/>
  <c r="Q71" i="87"/>
  <c r="R71" i="87" s="1"/>
  <c r="Q75" i="87"/>
  <c r="R75" i="87" s="1"/>
  <c r="S75" i="87" s="1"/>
  <c r="U75" i="87" s="1"/>
  <c r="V75" i="87" s="1"/>
  <c r="Q83" i="87"/>
  <c r="R83" i="87" s="1"/>
  <c r="Q84" i="87"/>
  <c r="R84" i="87" s="1"/>
  <c r="S84" i="87" s="1"/>
  <c r="U84" i="87" s="1"/>
  <c r="V84" i="87" s="1"/>
  <c r="Q72" i="87"/>
  <c r="R72" i="87" s="1"/>
  <c r="S72" i="87" s="1"/>
  <c r="U72" i="87" s="1"/>
  <c r="V72" i="87" s="1"/>
  <c r="Q82" i="87"/>
  <c r="R82" i="87" s="1"/>
  <c r="Q94" i="87"/>
  <c r="R94" i="87" s="1"/>
  <c r="Q95" i="87"/>
  <c r="R95" i="87" s="1"/>
  <c r="Q96" i="87"/>
  <c r="R96" i="87" s="1"/>
  <c r="Q74" i="87"/>
  <c r="R74" i="87" s="1"/>
  <c r="S74" i="87" s="1"/>
  <c r="U74" i="87" s="1"/>
  <c r="V74" i="87" s="1"/>
  <c r="Q76" i="87"/>
  <c r="R76" i="87" s="1"/>
  <c r="Q77" i="87"/>
  <c r="R77" i="87" s="1"/>
  <c r="Q78" i="87"/>
  <c r="R78" i="87" s="1"/>
  <c r="Q80" i="87"/>
  <c r="R80" i="87" s="1"/>
  <c r="S80" i="87" s="1"/>
  <c r="U80" i="87" s="1"/>
  <c r="V80" i="87" s="1"/>
  <c r="Q81" i="87"/>
  <c r="R81" i="87" s="1"/>
  <c r="Q90" i="87"/>
  <c r="R90" i="87" s="1"/>
  <c r="Q73" i="87"/>
  <c r="R73" i="87" s="1"/>
  <c r="Q85" i="87"/>
  <c r="R85" i="87" s="1"/>
  <c r="Q86" i="87"/>
  <c r="R86" i="87" s="1"/>
  <c r="Q87" i="87"/>
  <c r="R87" i="87" s="1"/>
  <c r="Q89" i="87"/>
  <c r="R89" i="87" s="1"/>
  <c r="S89" i="87" s="1"/>
  <c r="U89" i="87" s="1"/>
  <c r="V89" i="87" s="1"/>
  <c r="Q91" i="87"/>
  <c r="R91" i="87" s="1"/>
  <c r="Q92" i="87"/>
  <c r="R92" i="87" s="1"/>
  <c r="Q93" i="87"/>
  <c r="R93" i="87" s="1"/>
  <c r="IC96" i="87"/>
  <c r="ID96" i="87" s="1"/>
  <c r="IC75" i="87"/>
  <c r="ID75" i="87" s="1"/>
  <c r="IC77" i="87"/>
  <c r="ID77" i="87" s="1"/>
  <c r="IC80" i="87"/>
  <c r="ID80" i="87" s="1"/>
  <c r="IE80" i="87" s="1"/>
  <c r="IG80" i="87" s="1"/>
  <c r="IH80" i="87" s="1"/>
  <c r="IC81" i="87"/>
  <c r="ID81" i="87" s="1"/>
  <c r="IC82" i="87"/>
  <c r="ID82" i="87" s="1"/>
  <c r="IE82" i="87" s="1"/>
  <c r="IG82" i="87" s="1"/>
  <c r="IH82" i="87" s="1"/>
  <c r="IC83" i="87"/>
  <c r="ID83" i="87" s="1"/>
  <c r="IC91" i="87"/>
  <c r="ID91" i="87" s="1"/>
  <c r="IE68" i="87"/>
  <c r="IG68" i="87" s="1"/>
  <c r="IH68" i="87" s="1"/>
  <c r="IJ68" i="87" s="1"/>
  <c r="IC71" i="87"/>
  <c r="ID71" i="87" s="1"/>
  <c r="IC74" i="87"/>
  <c r="ID74" i="87" s="1"/>
  <c r="IE74" i="87" s="1"/>
  <c r="IG74" i="87" s="1"/>
  <c r="IH74" i="87" s="1"/>
  <c r="IC76" i="87"/>
  <c r="ID76" i="87" s="1"/>
  <c r="IE76" i="87" s="1"/>
  <c r="IG76" i="87" s="1"/>
  <c r="IH76" i="87" s="1"/>
  <c r="IC78" i="87"/>
  <c r="ID78" i="87" s="1"/>
  <c r="IC90" i="87"/>
  <c r="ID90" i="87" s="1"/>
  <c r="IC92" i="87"/>
  <c r="ID92" i="87" s="1"/>
  <c r="IE97" i="87"/>
  <c r="IG97" i="87" s="1"/>
  <c r="IH97" i="87" s="1"/>
  <c r="IJ97" i="87" s="1"/>
  <c r="IC124" i="87"/>
  <c r="ID124" i="87" s="1"/>
  <c r="IC122" i="87"/>
  <c r="ID122" i="87" s="1"/>
  <c r="IE122" i="87" s="1"/>
  <c r="IG122" i="87" s="1"/>
  <c r="IH122" i="87" s="1"/>
  <c r="IC120" i="87"/>
  <c r="ID120" i="87" s="1"/>
  <c r="IC118" i="87"/>
  <c r="ID118" i="87" s="1"/>
  <c r="IE118" i="87" s="1"/>
  <c r="IG118" i="87" s="1"/>
  <c r="IH118" i="87" s="1"/>
  <c r="IC115" i="87"/>
  <c r="ID115" i="87" s="1"/>
  <c r="IC113" i="87"/>
  <c r="ID113" i="87" s="1"/>
  <c r="IE113" i="87" s="1"/>
  <c r="IG113" i="87" s="1"/>
  <c r="IH113" i="87" s="1"/>
  <c r="IC111" i="87"/>
  <c r="ID111" i="87" s="1"/>
  <c r="IE111" i="87" s="1"/>
  <c r="IG111" i="87" s="1"/>
  <c r="IH111" i="87" s="1"/>
  <c r="IC109" i="87"/>
  <c r="ID109" i="87" s="1"/>
  <c r="IE109" i="87" s="1"/>
  <c r="IG109" i="87" s="1"/>
  <c r="IH109" i="87" s="1"/>
  <c r="IC105" i="87"/>
  <c r="ID105" i="87" s="1"/>
  <c r="IE105" i="87" s="1"/>
  <c r="IG105" i="87" s="1"/>
  <c r="IH105" i="87" s="1"/>
  <c r="IC106" i="87"/>
  <c r="ID106" i="87" s="1"/>
  <c r="IC101" i="87"/>
  <c r="ID101" i="87" s="1"/>
  <c r="IC102" i="87"/>
  <c r="ID102" i="87" s="1"/>
  <c r="IE102" i="87" s="1"/>
  <c r="IG102" i="87" s="1"/>
  <c r="IH102" i="87" s="1"/>
  <c r="IC125" i="87"/>
  <c r="ID125" i="87" s="1"/>
  <c r="IC123" i="87"/>
  <c r="ID123" i="87" s="1"/>
  <c r="IC121" i="87"/>
  <c r="ID121" i="87" s="1"/>
  <c r="IC119" i="87"/>
  <c r="ID119" i="87" s="1"/>
  <c r="IC116" i="87"/>
  <c r="ID116" i="87" s="1"/>
  <c r="IC114" i="87"/>
  <c r="ID114" i="87" s="1"/>
  <c r="IE114" i="87" s="1"/>
  <c r="IG114" i="87" s="1"/>
  <c r="IH114" i="87" s="1"/>
  <c r="IC112" i="87"/>
  <c r="ID112" i="87" s="1"/>
  <c r="IC110" i="87"/>
  <c r="ID110" i="87" s="1"/>
  <c r="IC107" i="87"/>
  <c r="ID107" i="87" s="1"/>
  <c r="IC100" i="87"/>
  <c r="ID100" i="87" s="1"/>
  <c r="IC103" i="87"/>
  <c r="ID103" i="87" s="1"/>
  <c r="IE103" i="87" s="1"/>
  <c r="IG103" i="87" s="1"/>
  <c r="IH103" i="87" s="1"/>
  <c r="IC104" i="87"/>
  <c r="ID104" i="87" s="1"/>
  <c r="EQ54" i="87"/>
  <c r="ER54" i="87" s="1"/>
  <c r="DY68" i="87"/>
  <c r="EA68" i="87" s="1"/>
  <c r="EB68" i="87" s="1"/>
  <c r="ED68" i="87" s="1"/>
  <c r="DW78" i="87"/>
  <c r="DX78" i="87" s="1"/>
  <c r="DW90" i="87"/>
  <c r="DX90" i="87" s="1"/>
  <c r="DW94" i="87"/>
  <c r="DX94" i="87" s="1"/>
  <c r="DW86" i="87"/>
  <c r="DX86" i="87" s="1"/>
  <c r="DW51" i="87"/>
  <c r="DX51" i="87" s="1"/>
  <c r="DY51" i="87" s="1"/>
  <c r="EA51" i="87" s="1"/>
  <c r="EB51" i="87" s="1"/>
  <c r="DW53" i="87"/>
  <c r="DX53" i="87" s="1"/>
  <c r="DY53" i="87" s="1"/>
  <c r="EA53" i="87" s="1"/>
  <c r="EB53" i="87" s="1"/>
  <c r="DW57" i="87"/>
  <c r="DX57" i="87" s="1"/>
  <c r="DW58" i="87"/>
  <c r="DX58" i="87" s="1"/>
  <c r="DW66" i="87"/>
  <c r="DX66" i="87" s="1"/>
  <c r="DW67" i="87"/>
  <c r="DX67" i="87" s="1"/>
  <c r="DW49" i="87"/>
  <c r="DX49" i="87" s="1"/>
  <c r="DW63" i="87"/>
  <c r="DX63" i="87" s="1"/>
  <c r="DW62" i="87"/>
  <c r="DX62" i="87" s="1"/>
  <c r="BO191" i="87"/>
  <c r="BP191" i="87" s="1"/>
  <c r="BQ191" i="87" s="1"/>
  <c r="BS191" i="87" s="1"/>
  <c r="BT191" i="87" s="1"/>
  <c r="BO199" i="87"/>
  <c r="BP199" i="87" s="1"/>
  <c r="BO212" i="87"/>
  <c r="BP212" i="87" s="1"/>
  <c r="BO189" i="87"/>
  <c r="BP189" i="87" s="1"/>
  <c r="BO197" i="87"/>
  <c r="BP197" i="87" s="1"/>
  <c r="BQ197" i="87" s="1"/>
  <c r="BS197" i="87" s="1"/>
  <c r="BT197" i="87" s="1"/>
  <c r="BO205" i="87"/>
  <c r="BP205" i="87" s="1"/>
  <c r="BO206" i="87"/>
  <c r="BP206" i="87" s="1"/>
  <c r="BQ206" i="87" s="1"/>
  <c r="BS206" i="87" s="1"/>
  <c r="BT206" i="87" s="1"/>
  <c r="BO209" i="87"/>
  <c r="BP209" i="87" s="1"/>
  <c r="BO210" i="87"/>
  <c r="BP210" i="87" s="1"/>
  <c r="BQ210" i="87" s="1"/>
  <c r="BS210" i="87" s="1"/>
  <c r="BT210" i="87" s="1"/>
  <c r="BO213" i="87"/>
  <c r="BP213" i="87" s="1"/>
  <c r="BT160" i="87"/>
  <c r="BT219" i="87" s="1"/>
  <c r="BO194" i="87"/>
  <c r="BP194" i="87" s="1"/>
  <c r="BO193" i="87"/>
  <c r="BP193" i="87" s="1"/>
  <c r="BO201" i="87"/>
  <c r="BP201" i="87" s="1"/>
  <c r="BQ201" i="87" s="1"/>
  <c r="BS201" i="87" s="1"/>
  <c r="BT201" i="87" s="1"/>
  <c r="BQ185" i="87"/>
  <c r="BS185" i="87" s="1"/>
  <c r="BT185" i="87" s="1"/>
  <c r="BV185" i="87" s="1"/>
  <c r="BO207" i="87"/>
  <c r="BP207" i="87" s="1"/>
  <c r="BO208" i="87"/>
  <c r="BP208" i="87" s="1"/>
  <c r="BO195" i="87"/>
  <c r="BP195" i="87" s="1"/>
  <c r="BO196" i="87"/>
  <c r="BP196" i="87" s="1"/>
  <c r="BO190" i="87"/>
  <c r="BP190" i="87" s="1"/>
  <c r="AW68" i="87"/>
  <c r="AY68" i="87" s="1"/>
  <c r="AZ68" i="87" s="1"/>
  <c r="BB68" i="87" s="1"/>
  <c r="AU93" i="87"/>
  <c r="AV93" i="87" s="1"/>
  <c r="AW93" i="87" s="1"/>
  <c r="AY93" i="87" s="1"/>
  <c r="AU78" i="87"/>
  <c r="AV78" i="87" s="1"/>
  <c r="AZ159" i="87"/>
  <c r="AZ218" i="87" s="1"/>
  <c r="BI164" i="87"/>
  <c r="BI223" i="87" s="1"/>
  <c r="FV11" i="87"/>
  <c r="EK182" i="87"/>
  <c r="EK241" i="87" s="1"/>
  <c r="FZ165" i="87"/>
  <c r="FZ224" i="87" s="1"/>
  <c r="JB165" i="87"/>
  <c r="JB224" i="87" s="1"/>
  <c r="DG164" i="87"/>
  <c r="DG223" i="87" s="1"/>
  <c r="EA164" i="87"/>
  <c r="EA223" i="87" s="1"/>
  <c r="AL11" i="87"/>
  <c r="AO165" i="87"/>
  <c r="AO224" i="87" s="1"/>
  <c r="AP49" i="87"/>
  <c r="AP165" i="87" s="1"/>
  <c r="AP224" i="87" s="1"/>
  <c r="IH49" i="87"/>
  <c r="IH165" i="87" s="1"/>
  <c r="IH224" i="87" s="1"/>
  <c r="IG165" i="87"/>
  <c r="IG224" i="87" s="1"/>
  <c r="KU71" i="87"/>
  <c r="KV71" i="87" s="1"/>
  <c r="KU76" i="87"/>
  <c r="KV76" i="87" s="1"/>
  <c r="KW76" i="87" s="1"/>
  <c r="KY76" i="87" s="1"/>
  <c r="KZ76" i="87" s="1"/>
  <c r="KU78" i="87"/>
  <c r="KV78" i="87" s="1"/>
  <c r="KU91" i="87"/>
  <c r="KV91" i="87" s="1"/>
  <c r="KU84" i="87"/>
  <c r="KV84" i="87" s="1"/>
  <c r="KU86" i="87"/>
  <c r="KV86" i="87" s="1"/>
  <c r="KU94" i="87"/>
  <c r="KV94" i="87" s="1"/>
  <c r="HU39" i="87"/>
  <c r="HW39" i="87" s="1"/>
  <c r="HX39" i="87" s="1"/>
  <c r="HZ39" i="87" s="1"/>
  <c r="HS44" i="87"/>
  <c r="HT44" i="87" s="1"/>
  <c r="HS45" i="87"/>
  <c r="HT45" i="87" s="1"/>
  <c r="HU45" i="87" s="1"/>
  <c r="HW45" i="87" s="1"/>
  <c r="HX45" i="87" s="1"/>
  <c r="HS49" i="87"/>
  <c r="HT49" i="87" s="1"/>
  <c r="HS56" i="87"/>
  <c r="HT56" i="87" s="1"/>
  <c r="HU56" i="87" s="1"/>
  <c r="HW56" i="87" s="1"/>
  <c r="HX56" i="87" s="1"/>
  <c r="HS60" i="87"/>
  <c r="HT60" i="87" s="1"/>
  <c r="HU60" i="87" s="1"/>
  <c r="HW60" i="87" s="1"/>
  <c r="HX60" i="87" s="1"/>
  <c r="HS61" i="87"/>
  <c r="HT61" i="87" s="1"/>
  <c r="HS64" i="87"/>
  <c r="HT64" i="87" s="1"/>
  <c r="HU64" i="87" s="1"/>
  <c r="HW64" i="87" s="1"/>
  <c r="HS65" i="87"/>
  <c r="HT65" i="87" s="1"/>
  <c r="HS54" i="87"/>
  <c r="HT54" i="87" s="1"/>
  <c r="HS57" i="87"/>
  <c r="HT57" i="87" s="1"/>
  <c r="HS58" i="87"/>
  <c r="HT58" i="87" s="1"/>
  <c r="HS62" i="87"/>
  <c r="HT62" i="87" s="1"/>
  <c r="HS63" i="87"/>
  <c r="HT63" i="87" s="1"/>
  <c r="HS66" i="87"/>
  <c r="HT66" i="87" s="1"/>
  <c r="HS67" i="87"/>
  <c r="HT67" i="87" s="1"/>
  <c r="FA188" i="87"/>
  <c r="FB188" i="87" s="1"/>
  <c r="FA190" i="87"/>
  <c r="FB190" i="87" s="1"/>
  <c r="FC190" i="87" s="1"/>
  <c r="FE190" i="87" s="1"/>
  <c r="FF190" i="87" s="1"/>
  <c r="FA192" i="87"/>
  <c r="FB192" i="87" s="1"/>
  <c r="FA196" i="87"/>
  <c r="FB196" i="87" s="1"/>
  <c r="FA203" i="87"/>
  <c r="FB203" i="87" s="1"/>
  <c r="FA195" i="87"/>
  <c r="FB195" i="87" s="1"/>
  <c r="FA198" i="87"/>
  <c r="FB198" i="87" s="1"/>
  <c r="FA207" i="87"/>
  <c r="FB207" i="87" s="1"/>
  <c r="FA204" i="87"/>
  <c r="FB204" i="87" s="1"/>
  <c r="FA209" i="87"/>
  <c r="FB209" i="87" s="1"/>
  <c r="FA210" i="87"/>
  <c r="FB210" i="87" s="1"/>
  <c r="FC210" i="87" s="1"/>
  <c r="FE210" i="87" s="1"/>
  <c r="FF210" i="87" s="1"/>
  <c r="FA211" i="87"/>
  <c r="FB211" i="87" s="1"/>
  <c r="FC211" i="87" s="1"/>
  <c r="FE211" i="87" s="1"/>
  <c r="FF211" i="87" s="1"/>
  <c r="FA189" i="87"/>
  <c r="FB189" i="87" s="1"/>
  <c r="FA191" i="87"/>
  <c r="FB191" i="87" s="1"/>
  <c r="FC191" i="87" s="1"/>
  <c r="FE191" i="87" s="1"/>
  <c r="FF191" i="87" s="1"/>
  <c r="FA197" i="87"/>
  <c r="FB197" i="87" s="1"/>
  <c r="FC197" i="87" s="1"/>
  <c r="FE197" i="87" s="1"/>
  <c r="FF197" i="87" s="1"/>
  <c r="FA199" i="87"/>
  <c r="FB199" i="87" s="1"/>
  <c r="FC199" i="87" s="1"/>
  <c r="FE199" i="87" s="1"/>
  <c r="FF199" i="87" s="1"/>
  <c r="FA205" i="87"/>
  <c r="FB205" i="87" s="1"/>
  <c r="FA208" i="87"/>
  <c r="FB208" i="87" s="1"/>
  <c r="FA206" i="87"/>
  <c r="FB206" i="87" s="1"/>
  <c r="FC206" i="87" s="1"/>
  <c r="FE206" i="87" s="1"/>
  <c r="FF206" i="87" s="1"/>
  <c r="FA213" i="87"/>
  <c r="FB213" i="87" s="1"/>
  <c r="FA212" i="87"/>
  <c r="FB212" i="87" s="1"/>
  <c r="EB162" i="87"/>
  <c r="EB221" i="87" s="1"/>
  <c r="BT183" i="87"/>
  <c r="BT242" i="87" s="1"/>
  <c r="DH183" i="87"/>
  <c r="DH242" i="87" s="1"/>
  <c r="GJ183" i="87"/>
  <c r="GJ242" i="87" s="1"/>
  <c r="JL183" i="87"/>
  <c r="JL242" i="87" s="1"/>
  <c r="KZ183" i="87"/>
  <c r="KZ242" i="87" s="1"/>
  <c r="FF183" i="87"/>
  <c r="FF242" i="87" s="1"/>
  <c r="JV183" i="87"/>
  <c r="JV242" i="87" s="1"/>
  <c r="BJ159" i="87"/>
  <c r="BJ218" i="87" s="1"/>
  <c r="CX159" i="87"/>
  <c r="CX218" i="87" s="1"/>
  <c r="GT159" i="87"/>
  <c r="GT218" i="87" s="1"/>
  <c r="JB159" i="87"/>
  <c r="JB218" i="87" s="1"/>
  <c r="JV159" i="87"/>
  <c r="JV218" i="87" s="1"/>
  <c r="BJ161" i="87"/>
  <c r="BJ220" i="87" s="1"/>
  <c r="AP162" i="87"/>
  <c r="AP221" i="87" s="1"/>
  <c r="JV162" i="87"/>
  <c r="JV221" i="87" s="1"/>
  <c r="V163" i="87"/>
  <c r="V222" i="87" s="1"/>
  <c r="BJ163" i="87"/>
  <c r="BJ222" i="87" s="1"/>
  <c r="FF165" i="87"/>
  <c r="FF224" i="87" s="1"/>
  <c r="EA162" i="87"/>
  <c r="EA221" i="87" s="1"/>
  <c r="HX165" i="87"/>
  <c r="KE173" i="87"/>
  <c r="KE232" i="87" s="1"/>
  <c r="EA177" i="87"/>
  <c r="EA236" i="87" s="1"/>
  <c r="GI178" i="87"/>
  <c r="GI237" i="87" s="1"/>
  <c r="KW68" i="87"/>
  <c r="KY68" i="87" s="1"/>
  <c r="KZ68" i="87" s="1"/>
  <c r="FP115" i="87"/>
  <c r="FP173" i="87" s="1"/>
  <c r="FP232" i="87" s="1"/>
  <c r="V133" i="87"/>
  <c r="DG160" i="87"/>
  <c r="DG219" i="87" s="1"/>
  <c r="FB11" i="87"/>
  <c r="GE44" i="87"/>
  <c r="GF44" i="87" s="1"/>
  <c r="GG44" i="87" s="1"/>
  <c r="GI44" i="87" s="1"/>
  <c r="GJ44" i="87" s="1"/>
  <c r="GE53" i="87"/>
  <c r="GF53" i="87" s="1"/>
  <c r="GG53" i="87" s="1"/>
  <c r="GI53" i="87" s="1"/>
  <c r="GJ53" i="87" s="1"/>
  <c r="GE58" i="87"/>
  <c r="GF58" i="87" s="1"/>
  <c r="GY43" i="87"/>
  <c r="GZ43" i="87" s="1"/>
  <c r="HI65" i="87"/>
  <c r="HJ65" i="87" s="1"/>
  <c r="HI61" i="87"/>
  <c r="HJ61" i="87" s="1"/>
  <c r="HI56" i="87"/>
  <c r="HJ56" i="87" s="1"/>
  <c r="HK56" i="87" s="1"/>
  <c r="HM56" i="87" s="1"/>
  <c r="HI54" i="87"/>
  <c r="HJ54" i="87" s="1"/>
  <c r="HI49" i="87"/>
  <c r="HJ49" i="87" s="1"/>
  <c r="HI45" i="87"/>
  <c r="HJ45" i="87" s="1"/>
  <c r="HK45" i="87" s="1"/>
  <c r="HM45" i="87" s="1"/>
  <c r="HN45" i="87" s="1"/>
  <c r="HI42" i="87"/>
  <c r="HJ42" i="87" s="1"/>
  <c r="HI64" i="87"/>
  <c r="HJ64" i="87" s="1"/>
  <c r="HK64" i="87" s="1"/>
  <c r="HM64" i="87" s="1"/>
  <c r="HN64" i="87" s="1"/>
  <c r="HI60" i="87"/>
  <c r="HJ60" i="87" s="1"/>
  <c r="HK60" i="87" s="1"/>
  <c r="HM60" i="87" s="1"/>
  <c r="HN60" i="87" s="1"/>
  <c r="HI53" i="87"/>
  <c r="HJ53" i="87" s="1"/>
  <c r="HK53" i="87" s="1"/>
  <c r="HM53" i="87" s="1"/>
  <c r="HN53" i="87" s="1"/>
  <c r="HI48" i="87"/>
  <c r="HJ48" i="87" s="1"/>
  <c r="JR11" i="87"/>
  <c r="KK130" i="87"/>
  <c r="KL130" i="87" s="1"/>
  <c r="KK129" i="87"/>
  <c r="KL129" i="87" s="1"/>
  <c r="KM129" i="87" s="1"/>
  <c r="KO129" i="87" s="1"/>
  <c r="KP129" i="87" s="1"/>
  <c r="KK134" i="87"/>
  <c r="KL134" i="87" s="1"/>
  <c r="FA134" i="87"/>
  <c r="FB134" i="87" s="1"/>
  <c r="FC134" i="87" s="1"/>
  <c r="FE134" i="87" s="1"/>
  <c r="FF134" i="87" s="1"/>
  <c r="FA132" i="87"/>
  <c r="FB132" i="87" s="1"/>
  <c r="FC132" i="87" s="1"/>
  <c r="FE132" i="87" s="1"/>
  <c r="FF132" i="87" s="1"/>
  <c r="FA141" i="87"/>
  <c r="FB141" i="87" s="1"/>
  <c r="FA150" i="87"/>
  <c r="FB150" i="87" s="1"/>
  <c r="FA140" i="87"/>
  <c r="FB140" i="87" s="1"/>
  <c r="FC140" i="87" s="1"/>
  <c r="FE140" i="87" s="1"/>
  <c r="FF140" i="87" s="1"/>
  <c r="HS47" i="87"/>
  <c r="HT47" i="87" s="1"/>
  <c r="HU47" i="87" s="1"/>
  <c r="HW47" i="87" s="1"/>
  <c r="HX47" i="87" s="1"/>
  <c r="HS48" i="87"/>
  <c r="HT48" i="87" s="1"/>
  <c r="HS55" i="87"/>
  <c r="HT55" i="87" s="1"/>
  <c r="HU55" i="87" s="1"/>
  <c r="HW55" i="87" s="1"/>
  <c r="HX55" i="87" s="1"/>
  <c r="KU77" i="87"/>
  <c r="KV77" i="87" s="1"/>
  <c r="KU90" i="87"/>
  <c r="KV90" i="87" s="1"/>
  <c r="KU92" i="87"/>
  <c r="KV92" i="87" s="1"/>
  <c r="JQ64" i="87"/>
  <c r="JR64" i="87" s="1"/>
  <c r="JS64" i="87" s="1"/>
  <c r="JU64" i="87" s="1"/>
  <c r="JV64" i="87" s="1"/>
  <c r="JQ60" i="87"/>
  <c r="JR60" i="87" s="1"/>
  <c r="JS60" i="87" s="1"/>
  <c r="JU60" i="87" s="1"/>
  <c r="JV60" i="87" s="1"/>
  <c r="JQ55" i="87"/>
  <c r="JR55" i="87" s="1"/>
  <c r="JS55" i="87" s="1"/>
  <c r="JU55" i="87" s="1"/>
  <c r="JV55" i="87" s="1"/>
  <c r="JQ51" i="87"/>
  <c r="JR51" i="87" s="1"/>
  <c r="JS51" i="87" s="1"/>
  <c r="JU51" i="87" s="1"/>
  <c r="JV51" i="87" s="1"/>
  <c r="JQ47" i="87"/>
  <c r="JR47" i="87" s="1"/>
  <c r="JS47" i="87" s="1"/>
  <c r="JU47" i="87" s="1"/>
  <c r="JV47" i="87" s="1"/>
  <c r="JQ45" i="87"/>
  <c r="JR45" i="87" s="1"/>
  <c r="JS45" i="87" s="1"/>
  <c r="JU45" i="87" s="1"/>
  <c r="JV45" i="87" s="1"/>
  <c r="JQ43" i="87"/>
  <c r="JR43" i="87" s="1"/>
  <c r="JQ66" i="87"/>
  <c r="JR66" i="87" s="1"/>
  <c r="JQ62" i="87"/>
  <c r="JR62" i="87" s="1"/>
  <c r="JQ57" i="87"/>
  <c r="JR57" i="87" s="1"/>
  <c r="JQ53" i="87"/>
  <c r="JR53" i="87" s="1"/>
  <c r="JS53" i="87" s="1"/>
  <c r="JU53" i="87" s="1"/>
  <c r="JV53" i="87" s="1"/>
  <c r="GY66" i="87"/>
  <c r="GZ66" i="87" s="1"/>
  <c r="GY57" i="87"/>
  <c r="GZ57" i="87" s="1"/>
  <c r="GY49" i="87"/>
  <c r="GZ49" i="87" s="1"/>
  <c r="GY63" i="87"/>
  <c r="GZ63" i="87" s="1"/>
  <c r="GY52" i="87"/>
  <c r="GZ52" i="87" s="1"/>
  <c r="GY46" i="87"/>
  <c r="GZ46" i="87" s="1"/>
  <c r="KU73" i="87"/>
  <c r="KV73" i="87" s="1"/>
  <c r="KU83" i="87"/>
  <c r="KV83" i="87" s="1"/>
  <c r="HS42" i="87"/>
  <c r="HT42" i="87" s="1"/>
  <c r="IC154" i="87"/>
  <c r="ID154" i="87" s="1"/>
  <c r="IC136" i="87"/>
  <c r="ID136" i="87" s="1"/>
  <c r="IC130" i="87"/>
  <c r="ID130" i="87" s="1"/>
  <c r="IC133" i="87"/>
  <c r="ID133" i="87" s="1"/>
  <c r="IC135" i="87"/>
  <c r="ID135" i="87" s="1"/>
  <c r="IC139" i="87"/>
  <c r="ID139" i="87" s="1"/>
  <c r="IC141" i="87"/>
  <c r="ID141" i="87" s="1"/>
  <c r="IC148" i="87"/>
  <c r="ID148" i="87" s="1"/>
  <c r="IC152" i="87"/>
  <c r="ID152" i="87" s="1"/>
  <c r="IE126" i="87"/>
  <c r="IG126" i="87" s="1"/>
  <c r="IH126" i="87" s="1"/>
  <c r="IJ126" i="87" s="1"/>
  <c r="IC143" i="87"/>
  <c r="ID143" i="87" s="1"/>
  <c r="IE143" i="87" s="1"/>
  <c r="IG143" i="87" s="1"/>
  <c r="IH143" i="87" s="1"/>
  <c r="IC145" i="87"/>
  <c r="ID145" i="87" s="1"/>
  <c r="IC150" i="87"/>
  <c r="ID150" i="87" s="1"/>
  <c r="IC132" i="87"/>
  <c r="ID132" i="87" s="1"/>
  <c r="IE132" i="87" s="1"/>
  <c r="IG132" i="87" s="1"/>
  <c r="IH132" i="87" s="1"/>
  <c r="IC129" i="87"/>
  <c r="ID129" i="87" s="1"/>
  <c r="IC131" i="87"/>
  <c r="ID131" i="87" s="1"/>
  <c r="IE131" i="87" s="1"/>
  <c r="IG131" i="87" s="1"/>
  <c r="IH131" i="87" s="1"/>
  <c r="IC134" i="87"/>
  <c r="ID134" i="87" s="1"/>
  <c r="IE134" i="87" s="1"/>
  <c r="IG134" i="87" s="1"/>
  <c r="IH134" i="87" s="1"/>
  <c r="IC140" i="87"/>
  <c r="ID140" i="87" s="1"/>
  <c r="IE140" i="87" s="1"/>
  <c r="IG140" i="87" s="1"/>
  <c r="IH140" i="87" s="1"/>
  <c r="IC142" i="87"/>
  <c r="ID142" i="87" s="1"/>
  <c r="IE142" i="87" s="1"/>
  <c r="IG142" i="87" s="1"/>
  <c r="IH142" i="87" s="1"/>
  <c r="IC149" i="87"/>
  <c r="ID149" i="87" s="1"/>
  <c r="IC153" i="87"/>
  <c r="ID153" i="87" s="1"/>
  <c r="IC138" i="87"/>
  <c r="ID138" i="87" s="1"/>
  <c r="IE138" i="87" s="1"/>
  <c r="IG138" i="87" s="1"/>
  <c r="IH138" i="87" s="1"/>
  <c r="IC144" i="87"/>
  <c r="ID144" i="87" s="1"/>
  <c r="IC147" i="87"/>
  <c r="ID147" i="87" s="1"/>
  <c r="IE147" i="87" s="1"/>
  <c r="IG147" i="87" s="1"/>
  <c r="IH147" i="87" s="1"/>
  <c r="IC151" i="87"/>
  <c r="ID151" i="87" s="1"/>
  <c r="IE151" i="87" s="1"/>
  <c r="IG151" i="87" s="1"/>
  <c r="IH151" i="87" s="1"/>
  <c r="GE43" i="87"/>
  <c r="GF43" i="87" s="1"/>
  <c r="GE47" i="87"/>
  <c r="GF47" i="87" s="1"/>
  <c r="GG47" i="87" s="1"/>
  <c r="GI47" i="87" s="1"/>
  <c r="GJ47" i="87" s="1"/>
  <c r="GE52" i="87"/>
  <c r="GF52" i="87" s="1"/>
  <c r="GE63" i="87"/>
  <c r="GF63" i="87" s="1"/>
  <c r="GY65" i="87"/>
  <c r="GZ65" i="87" s="1"/>
  <c r="GY61" i="87"/>
  <c r="GZ61" i="87" s="1"/>
  <c r="GY56" i="87"/>
  <c r="GZ56" i="87" s="1"/>
  <c r="GY53" i="87"/>
  <c r="GZ53" i="87" s="1"/>
  <c r="GY45" i="87"/>
  <c r="GZ45" i="87" s="1"/>
  <c r="HA45" i="87" s="1"/>
  <c r="HC45" i="87" s="1"/>
  <c r="HD45" i="87" s="1"/>
  <c r="GY64" i="87"/>
  <c r="GZ64" i="87" s="1"/>
  <c r="HA64" i="87" s="1"/>
  <c r="HC64" i="87" s="1"/>
  <c r="HD64" i="87" s="1"/>
  <c r="GY60" i="87"/>
  <c r="GZ60" i="87" s="1"/>
  <c r="HA60" i="87" s="1"/>
  <c r="HC60" i="87" s="1"/>
  <c r="HD60" i="87" s="1"/>
  <c r="GY55" i="87"/>
  <c r="GZ55" i="87" s="1"/>
  <c r="HA55" i="87" s="1"/>
  <c r="HC55" i="87" s="1"/>
  <c r="HD55" i="87" s="1"/>
  <c r="GY51" i="87"/>
  <c r="GZ51" i="87" s="1"/>
  <c r="HA51" i="87" s="1"/>
  <c r="HC51" i="87" s="1"/>
  <c r="HD51" i="87" s="1"/>
  <c r="GY47" i="87"/>
  <c r="GZ47" i="87" s="1"/>
  <c r="HA47" i="87" s="1"/>
  <c r="HC47" i="87" s="1"/>
  <c r="HD47" i="87" s="1"/>
  <c r="CD78" i="87"/>
  <c r="CD165" i="87" s="1"/>
  <c r="CD224" i="87" s="1"/>
  <c r="CC165" i="87"/>
  <c r="CC224" i="87" s="1"/>
  <c r="FA154" i="87"/>
  <c r="FB154" i="87" s="1"/>
  <c r="FA129" i="87"/>
  <c r="FB129" i="87" s="1"/>
  <c r="FA135" i="87"/>
  <c r="FB135" i="87" s="1"/>
  <c r="FA142" i="87"/>
  <c r="FB142" i="87" s="1"/>
  <c r="FC142" i="87" s="1"/>
  <c r="FE142" i="87" s="1"/>
  <c r="FF142" i="87" s="1"/>
  <c r="FA152" i="87"/>
  <c r="FB152" i="87" s="1"/>
  <c r="FC152" i="87" s="1"/>
  <c r="FE152" i="87" s="1"/>
  <c r="FF152" i="87" s="1"/>
  <c r="FA143" i="87"/>
  <c r="FB143" i="87" s="1"/>
  <c r="FC143" i="87" s="1"/>
  <c r="FE143" i="87" s="1"/>
  <c r="FF143" i="87" s="1"/>
  <c r="FA151" i="87"/>
  <c r="FB151" i="87" s="1"/>
  <c r="FC151" i="87" s="1"/>
  <c r="FE151" i="87" s="1"/>
  <c r="FF151" i="87" s="1"/>
  <c r="FA133" i="87"/>
  <c r="FB133" i="87" s="1"/>
  <c r="FA138" i="87"/>
  <c r="FB138" i="87" s="1"/>
  <c r="FC138" i="87" s="1"/>
  <c r="FE138" i="87" s="1"/>
  <c r="FF138" i="87" s="1"/>
  <c r="FA148" i="87"/>
  <c r="FB148" i="87" s="1"/>
  <c r="FA139" i="87"/>
  <c r="FB139" i="87" s="1"/>
  <c r="FA147" i="87"/>
  <c r="FB147" i="87" s="1"/>
  <c r="FC147" i="87" s="1"/>
  <c r="FE147" i="87" s="1"/>
  <c r="FF147" i="87" s="1"/>
  <c r="CU68" i="87"/>
  <c r="CW68" i="87" s="1"/>
  <c r="CX68" i="87" s="1"/>
  <c r="CZ68" i="87" s="1"/>
  <c r="CS71" i="87"/>
  <c r="CT71" i="87" s="1"/>
  <c r="CS72" i="87"/>
  <c r="CT72" i="87" s="1"/>
  <c r="CS74" i="87"/>
  <c r="CT74" i="87" s="1"/>
  <c r="CU74" i="87" s="1"/>
  <c r="CW74" i="87" s="1"/>
  <c r="CX74" i="87" s="1"/>
  <c r="CS75" i="87"/>
  <c r="CT75" i="87" s="1"/>
  <c r="CS76" i="87"/>
  <c r="CT76" i="87" s="1"/>
  <c r="CU76" i="87" s="1"/>
  <c r="CW76" i="87" s="1"/>
  <c r="CX76" i="87" s="1"/>
  <c r="CS77" i="87"/>
  <c r="CT77" i="87" s="1"/>
  <c r="CS78" i="87"/>
  <c r="CT78" i="87" s="1"/>
  <c r="CS80" i="87"/>
  <c r="CT80" i="87" s="1"/>
  <c r="CU80" i="87" s="1"/>
  <c r="CW80" i="87" s="1"/>
  <c r="CX80" i="87" s="1"/>
  <c r="CS81" i="87"/>
  <c r="CT81" i="87" s="1"/>
  <c r="CS82" i="87"/>
  <c r="CT82" i="87" s="1"/>
  <c r="CU82" i="87" s="1"/>
  <c r="CW82" i="87" s="1"/>
  <c r="CX82" i="87" s="1"/>
  <c r="CS83" i="87"/>
  <c r="CT83" i="87" s="1"/>
  <c r="CS91" i="87"/>
  <c r="CT91" i="87" s="1"/>
  <c r="CS92" i="87"/>
  <c r="CT92" i="87" s="1"/>
  <c r="CS93" i="87"/>
  <c r="CT93" i="87" s="1"/>
  <c r="CU93" i="87" s="1"/>
  <c r="CW93" i="87" s="1"/>
  <c r="CX93" i="87" s="1"/>
  <c r="CS73" i="87"/>
  <c r="CT73" i="87" s="1"/>
  <c r="CU73" i="87" s="1"/>
  <c r="CW73" i="87" s="1"/>
  <c r="CX73" i="87" s="1"/>
  <c r="CS84" i="87"/>
  <c r="CT84" i="87" s="1"/>
  <c r="CU84" i="87" s="1"/>
  <c r="CW84" i="87" s="1"/>
  <c r="CX84" i="87" s="1"/>
  <c r="CS85" i="87"/>
  <c r="CT85" i="87" s="1"/>
  <c r="CU85" i="87" s="1"/>
  <c r="CW85" i="87" s="1"/>
  <c r="CX85" i="87" s="1"/>
  <c r="CS86" i="87"/>
  <c r="CT86" i="87" s="1"/>
  <c r="CS87" i="87"/>
  <c r="CT87" i="87" s="1"/>
  <c r="CS89" i="87"/>
  <c r="CT89" i="87" s="1"/>
  <c r="CU89" i="87" s="1"/>
  <c r="CW89" i="87" s="1"/>
  <c r="CX89" i="87" s="1"/>
  <c r="CS90" i="87"/>
  <c r="CT90" i="87" s="1"/>
  <c r="CS94" i="87"/>
  <c r="CT94" i="87" s="1"/>
  <c r="CU94" i="87" s="1"/>
  <c r="CW94" i="87" s="1"/>
  <c r="CX94" i="87" s="1"/>
  <c r="CS95" i="87"/>
  <c r="CT95" i="87" s="1"/>
  <c r="CS96" i="87"/>
  <c r="CT96" i="87" s="1"/>
  <c r="FC39" i="87"/>
  <c r="FE39" i="87" s="1"/>
  <c r="FA42" i="87"/>
  <c r="FB42" i="87" s="1"/>
  <c r="FA43" i="87"/>
  <c r="FB43" i="87" s="1"/>
  <c r="FA44" i="87"/>
  <c r="FB44" i="87" s="1"/>
  <c r="FC44" i="87" s="1"/>
  <c r="FE44" i="87" s="1"/>
  <c r="FA47" i="87"/>
  <c r="FB47" i="87" s="1"/>
  <c r="FC47" i="87" s="1"/>
  <c r="FE47" i="87" s="1"/>
  <c r="FF47" i="87" s="1"/>
  <c r="FA51" i="87"/>
  <c r="FB51" i="87" s="1"/>
  <c r="FC51" i="87" s="1"/>
  <c r="FE51" i="87" s="1"/>
  <c r="FA52" i="87"/>
  <c r="FB52" i="87" s="1"/>
  <c r="FA55" i="87"/>
  <c r="FB55" i="87" s="1"/>
  <c r="FC55" i="87" s="1"/>
  <c r="FE55" i="87" s="1"/>
  <c r="FF55" i="87" s="1"/>
  <c r="FA58" i="87"/>
  <c r="FB58" i="87" s="1"/>
  <c r="FA60" i="87"/>
  <c r="FB60" i="87" s="1"/>
  <c r="FC60" i="87" s="1"/>
  <c r="FE60" i="87" s="1"/>
  <c r="FA63" i="87"/>
  <c r="FB63" i="87" s="1"/>
  <c r="FA64" i="87"/>
  <c r="FB64" i="87" s="1"/>
  <c r="FC64" i="87" s="1"/>
  <c r="FE64" i="87" s="1"/>
  <c r="FA67" i="87"/>
  <c r="FB67" i="87" s="1"/>
  <c r="FA45" i="87"/>
  <c r="FB45" i="87" s="1"/>
  <c r="FC45" i="87" s="1"/>
  <c r="FE45" i="87" s="1"/>
  <c r="FA46" i="87"/>
  <c r="FB46" i="87" s="1"/>
  <c r="FA48" i="87"/>
  <c r="FB48" i="87" s="1"/>
  <c r="FA49" i="87"/>
  <c r="FB49" i="87" s="1"/>
  <c r="FA53" i="87"/>
  <c r="FB53" i="87" s="1"/>
  <c r="FC53" i="87" s="1"/>
  <c r="FE53" i="87" s="1"/>
  <c r="FF53" i="87" s="1"/>
  <c r="FA54" i="87"/>
  <c r="FB54" i="87" s="1"/>
  <c r="FA56" i="87"/>
  <c r="FB56" i="87" s="1"/>
  <c r="FC56" i="87" s="1"/>
  <c r="FE56" i="87" s="1"/>
  <c r="FA57" i="87"/>
  <c r="FB57" i="87" s="1"/>
  <c r="FA61" i="87"/>
  <c r="FB61" i="87" s="1"/>
  <c r="FA62" i="87"/>
  <c r="FB62" i="87" s="1"/>
  <c r="FA65" i="87"/>
  <c r="FB65" i="87" s="1"/>
  <c r="FC65" i="87" s="1"/>
  <c r="FE65" i="87" s="1"/>
  <c r="FA66" i="87"/>
  <c r="FB66" i="87" s="1"/>
  <c r="AM39" i="87"/>
  <c r="AO39" i="87" s="1"/>
  <c r="AP39" i="87" s="1"/>
  <c r="AR39" i="87" s="1"/>
  <c r="AK42" i="87"/>
  <c r="AL42" i="87" s="1"/>
  <c r="AK44" i="87"/>
  <c r="AL44" i="87" s="1"/>
  <c r="AM44" i="87" s="1"/>
  <c r="AO44" i="87" s="1"/>
  <c r="AP44" i="87" s="1"/>
  <c r="AK47" i="87"/>
  <c r="AL47" i="87" s="1"/>
  <c r="AM47" i="87" s="1"/>
  <c r="AO47" i="87" s="1"/>
  <c r="AP47" i="87" s="1"/>
  <c r="AK51" i="87"/>
  <c r="AL51" i="87" s="1"/>
  <c r="AM51" i="87" s="1"/>
  <c r="AO51" i="87" s="1"/>
  <c r="AP51" i="87" s="1"/>
  <c r="AK54" i="87"/>
  <c r="AL54" i="87" s="1"/>
  <c r="AK55" i="87"/>
  <c r="AL55" i="87" s="1"/>
  <c r="AM55" i="87" s="1"/>
  <c r="AO55" i="87" s="1"/>
  <c r="AP55" i="87" s="1"/>
  <c r="AK58" i="87"/>
  <c r="AL58" i="87" s="1"/>
  <c r="AK60" i="87"/>
  <c r="AL60" i="87" s="1"/>
  <c r="AM60" i="87" s="1"/>
  <c r="AO60" i="87" s="1"/>
  <c r="AP60" i="87" s="1"/>
  <c r="AK63" i="87"/>
  <c r="AL63" i="87" s="1"/>
  <c r="AK64" i="87"/>
  <c r="AL64" i="87" s="1"/>
  <c r="AM64" i="87" s="1"/>
  <c r="AO64" i="87" s="1"/>
  <c r="AP64" i="87" s="1"/>
  <c r="AK67" i="87"/>
  <c r="AL67" i="87" s="1"/>
  <c r="AK43" i="87"/>
  <c r="AL43" i="87" s="1"/>
  <c r="AM43" i="87" s="1"/>
  <c r="AO43" i="87" s="1"/>
  <c r="AP43" i="87" s="1"/>
  <c r="AK45" i="87"/>
  <c r="AL45" i="87" s="1"/>
  <c r="AM45" i="87" s="1"/>
  <c r="AO45" i="87" s="1"/>
  <c r="AP45" i="87" s="1"/>
  <c r="AK46" i="87"/>
  <c r="AL46" i="87" s="1"/>
  <c r="AK48" i="87"/>
  <c r="AL48" i="87" s="1"/>
  <c r="AM48" i="87" s="1"/>
  <c r="AO48" i="87" s="1"/>
  <c r="AP48" i="87" s="1"/>
  <c r="AK49" i="87"/>
  <c r="AL49" i="87" s="1"/>
  <c r="AK52" i="87"/>
  <c r="AL52" i="87" s="1"/>
  <c r="AK53" i="87"/>
  <c r="AL53" i="87" s="1"/>
  <c r="AK56" i="87"/>
  <c r="AL56" i="87" s="1"/>
  <c r="AM56" i="87" s="1"/>
  <c r="AO56" i="87" s="1"/>
  <c r="AP56" i="87" s="1"/>
  <c r="AK57" i="87"/>
  <c r="AL57" i="87" s="1"/>
  <c r="AK61" i="87"/>
  <c r="AL61" i="87" s="1"/>
  <c r="AK62" i="87"/>
  <c r="AL62" i="87" s="1"/>
  <c r="AK65" i="87"/>
  <c r="AL65" i="87" s="1"/>
  <c r="AK66" i="87"/>
  <c r="AL66" i="87" s="1"/>
  <c r="IE39" i="87"/>
  <c r="IG39" i="87" s="1"/>
  <c r="IC42" i="87"/>
  <c r="ID42" i="87" s="1"/>
  <c r="IC44" i="87"/>
  <c r="ID44" i="87" s="1"/>
  <c r="IE44" i="87" s="1"/>
  <c r="IG44" i="87" s="1"/>
  <c r="IH44" i="87" s="1"/>
  <c r="IC46" i="87"/>
  <c r="ID46" i="87" s="1"/>
  <c r="IC48" i="87"/>
  <c r="ID48" i="87" s="1"/>
  <c r="IC56" i="87"/>
  <c r="ID56" i="87" s="1"/>
  <c r="IE56" i="87" s="1"/>
  <c r="IG56" i="87" s="1"/>
  <c r="IC57" i="87"/>
  <c r="ID57" i="87" s="1"/>
  <c r="IC61" i="87"/>
  <c r="ID61" i="87" s="1"/>
  <c r="IC62" i="87"/>
  <c r="ID62" i="87" s="1"/>
  <c r="IC65" i="87"/>
  <c r="ID65" i="87" s="1"/>
  <c r="IC66" i="87"/>
  <c r="ID66" i="87" s="1"/>
  <c r="IC43" i="87"/>
  <c r="ID43" i="87" s="1"/>
  <c r="IC45" i="87"/>
  <c r="ID45" i="87" s="1"/>
  <c r="IE45" i="87" s="1"/>
  <c r="IG45" i="87" s="1"/>
  <c r="IC47" i="87"/>
  <c r="ID47" i="87" s="1"/>
  <c r="IE47" i="87" s="1"/>
  <c r="IG47" i="87" s="1"/>
  <c r="IH47" i="87" s="1"/>
  <c r="IC49" i="87"/>
  <c r="ID49" i="87" s="1"/>
  <c r="IC51" i="87"/>
  <c r="ID51" i="87" s="1"/>
  <c r="IE51" i="87" s="1"/>
  <c r="IG51" i="87" s="1"/>
  <c r="IH51" i="87" s="1"/>
  <c r="IC52" i="87"/>
  <c r="ID52" i="87" s="1"/>
  <c r="IC53" i="87"/>
  <c r="ID53" i="87" s="1"/>
  <c r="IE53" i="87" s="1"/>
  <c r="IG53" i="87" s="1"/>
  <c r="IH53" i="87" s="1"/>
  <c r="IC54" i="87"/>
  <c r="ID54" i="87" s="1"/>
  <c r="IC55" i="87"/>
  <c r="ID55" i="87" s="1"/>
  <c r="IE55" i="87" s="1"/>
  <c r="IG55" i="87" s="1"/>
  <c r="IH55" i="87" s="1"/>
  <c r="IC58" i="87"/>
  <c r="ID58" i="87" s="1"/>
  <c r="IC60" i="87"/>
  <c r="ID60" i="87" s="1"/>
  <c r="IE60" i="87" s="1"/>
  <c r="IG60" i="87" s="1"/>
  <c r="IH60" i="87" s="1"/>
  <c r="IC63" i="87"/>
  <c r="ID63" i="87" s="1"/>
  <c r="IC64" i="87"/>
  <c r="ID64" i="87" s="1"/>
  <c r="IE64" i="87" s="1"/>
  <c r="IG64" i="87" s="1"/>
  <c r="IH64" i="87" s="1"/>
  <c r="IC67" i="87"/>
  <c r="ID67" i="87" s="1"/>
  <c r="CA68" i="87"/>
  <c r="CC68" i="87" s="1"/>
  <c r="CD68" i="87" s="1"/>
  <c r="CF68" i="87" s="1"/>
  <c r="BY73" i="87"/>
  <c r="BZ73" i="87" s="1"/>
  <c r="BY74" i="87"/>
  <c r="BZ74" i="87" s="1"/>
  <c r="CA74" i="87" s="1"/>
  <c r="CC74" i="87" s="1"/>
  <c r="CD74" i="87" s="1"/>
  <c r="BY77" i="87"/>
  <c r="BZ77" i="87" s="1"/>
  <c r="BY78" i="87"/>
  <c r="BZ78" i="87" s="1"/>
  <c r="BY80" i="87"/>
  <c r="BZ80" i="87" s="1"/>
  <c r="CA80" i="87" s="1"/>
  <c r="CC80" i="87" s="1"/>
  <c r="CD80" i="87" s="1"/>
  <c r="BY81" i="87"/>
  <c r="BZ81" i="87" s="1"/>
  <c r="BY82" i="87"/>
  <c r="BZ82" i="87" s="1"/>
  <c r="BY83" i="87"/>
  <c r="BZ83" i="87" s="1"/>
  <c r="BY91" i="87"/>
  <c r="BZ91" i="87" s="1"/>
  <c r="BY92" i="87"/>
  <c r="BZ92" i="87" s="1"/>
  <c r="BY93" i="87"/>
  <c r="BZ93" i="87" s="1"/>
  <c r="CA93" i="87" s="1"/>
  <c r="CC93" i="87" s="1"/>
  <c r="CD93" i="87" s="1"/>
  <c r="BY71" i="87"/>
  <c r="BZ71" i="87" s="1"/>
  <c r="BY72" i="87"/>
  <c r="BZ72" i="87" s="1"/>
  <c r="BY75" i="87"/>
  <c r="BZ75" i="87" s="1"/>
  <c r="BY76" i="87"/>
  <c r="BZ76" i="87" s="1"/>
  <c r="CA76" i="87" s="1"/>
  <c r="CC76" i="87" s="1"/>
  <c r="CD76" i="87" s="1"/>
  <c r="BY84" i="87"/>
  <c r="BZ84" i="87" s="1"/>
  <c r="CA84" i="87" s="1"/>
  <c r="CC84" i="87" s="1"/>
  <c r="CD84" i="87" s="1"/>
  <c r="BY85" i="87"/>
  <c r="BZ85" i="87" s="1"/>
  <c r="CA85" i="87" s="1"/>
  <c r="CC85" i="87" s="1"/>
  <c r="CD85" i="87" s="1"/>
  <c r="BY86" i="87"/>
  <c r="BZ86" i="87" s="1"/>
  <c r="BY87" i="87"/>
  <c r="BZ87" i="87" s="1"/>
  <c r="BY89" i="87"/>
  <c r="BZ89" i="87" s="1"/>
  <c r="CA89" i="87" s="1"/>
  <c r="CC89" i="87" s="1"/>
  <c r="CD89" i="87" s="1"/>
  <c r="BY90" i="87"/>
  <c r="BZ90" i="87" s="1"/>
  <c r="BY94" i="87"/>
  <c r="BZ94" i="87" s="1"/>
  <c r="CA94" i="87" s="1"/>
  <c r="CC94" i="87" s="1"/>
  <c r="CD94" i="87" s="1"/>
  <c r="BY95" i="87"/>
  <c r="BZ95" i="87" s="1"/>
  <c r="BY96" i="87"/>
  <c r="BZ96" i="87" s="1"/>
  <c r="IO97" i="87"/>
  <c r="IQ97" i="87" s="1"/>
  <c r="IR97" i="87" s="1"/>
  <c r="IT97" i="87" s="1"/>
  <c r="IM124" i="87"/>
  <c r="IN124" i="87" s="1"/>
  <c r="IM122" i="87"/>
  <c r="IN122" i="87" s="1"/>
  <c r="IO122" i="87" s="1"/>
  <c r="IQ122" i="87" s="1"/>
  <c r="IR122" i="87" s="1"/>
  <c r="IM120" i="87"/>
  <c r="IN120" i="87" s="1"/>
  <c r="IM118" i="87"/>
  <c r="IN118" i="87" s="1"/>
  <c r="IO118" i="87" s="1"/>
  <c r="IQ118" i="87" s="1"/>
  <c r="IR118" i="87" s="1"/>
  <c r="IM115" i="87"/>
  <c r="IN115" i="87" s="1"/>
  <c r="IM113" i="87"/>
  <c r="IN113" i="87" s="1"/>
  <c r="IO113" i="87" s="1"/>
  <c r="IQ113" i="87" s="1"/>
  <c r="IR113" i="87" s="1"/>
  <c r="IM111" i="87"/>
  <c r="IN111" i="87" s="1"/>
  <c r="IM109" i="87"/>
  <c r="IN109" i="87" s="1"/>
  <c r="IO109" i="87" s="1"/>
  <c r="IQ109" i="87" s="1"/>
  <c r="IR109" i="87" s="1"/>
  <c r="IM100" i="87"/>
  <c r="IN100" i="87" s="1"/>
  <c r="IM101" i="87"/>
  <c r="IN101" i="87" s="1"/>
  <c r="IM102" i="87"/>
  <c r="IN102" i="87" s="1"/>
  <c r="IM103" i="87"/>
  <c r="IN103" i="87" s="1"/>
  <c r="IO103" i="87" s="1"/>
  <c r="IQ103" i="87" s="1"/>
  <c r="IR103" i="87" s="1"/>
  <c r="IM104" i="87"/>
  <c r="IN104" i="87" s="1"/>
  <c r="IM125" i="87"/>
  <c r="IN125" i="87" s="1"/>
  <c r="IM123" i="87"/>
  <c r="IN123" i="87" s="1"/>
  <c r="IM121" i="87"/>
  <c r="IN121" i="87" s="1"/>
  <c r="IM119" i="87"/>
  <c r="IN119" i="87" s="1"/>
  <c r="IM116" i="87"/>
  <c r="IN116" i="87" s="1"/>
  <c r="IM114" i="87"/>
  <c r="IN114" i="87" s="1"/>
  <c r="IO114" i="87" s="1"/>
  <c r="IQ114" i="87" s="1"/>
  <c r="IR114" i="87" s="1"/>
  <c r="IM112" i="87"/>
  <c r="IN112" i="87" s="1"/>
  <c r="IM110" i="87"/>
  <c r="IN110" i="87" s="1"/>
  <c r="IM107" i="87"/>
  <c r="IN107" i="87" s="1"/>
  <c r="IM105" i="87"/>
  <c r="IN105" i="87" s="1"/>
  <c r="IM106" i="87"/>
  <c r="IN106" i="87" s="1"/>
  <c r="CA39" i="87"/>
  <c r="CC39" i="87" s="1"/>
  <c r="CD39" i="87" s="1"/>
  <c r="CF39" i="87" s="1"/>
  <c r="BY43" i="87"/>
  <c r="BZ43" i="87" s="1"/>
  <c r="BY45" i="87"/>
  <c r="BZ45" i="87" s="1"/>
  <c r="CA45" i="87" s="1"/>
  <c r="CC45" i="87" s="1"/>
  <c r="CD45" i="87" s="1"/>
  <c r="BY46" i="87"/>
  <c r="BZ46" i="87" s="1"/>
  <c r="BY47" i="87"/>
  <c r="BZ47" i="87" s="1"/>
  <c r="CA47" i="87" s="1"/>
  <c r="CC47" i="87" s="1"/>
  <c r="BY49" i="87"/>
  <c r="BZ49" i="87" s="1"/>
  <c r="BY52" i="87"/>
  <c r="BZ52" i="87" s="1"/>
  <c r="BY56" i="87"/>
  <c r="BZ56" i="87" s="1"/>
  <c r="CA56" i="87" s="1"/>
  <c r="CC56" i="87" s="1"/>
  <c r="CD56" i="87" s="1"/>
  <c r="BY57" i="87"/>
  <c r="BZ57" i="87" s="1"/>
  <c r="BY61" i="87"/>
  <c r="BZ61" i="87" s="1"/>
  <c r="BY62" i="87"/>
  <c r="BZ62" i="87" s="1"/>
  <c r="BY65" i="87"/>
  <c r="BZ65" i="87" s="1"/>
  <c r="CA65" i="87" s="1"/>
  <c r="CC65" i="87" s="1"/>
  <c r="CD65" i="87" s="1"/>
  <c r="BY66" i="87"/>
  <c r="BZ66" i="87" s="1"/>
  <c r="BY42" i="87"/>
  <c r="BZ42" i="87" s="1"/>
  <c r="BY44" i="87"/>
  <c r="BZ44" i="87" s="1"/>
  <c r="BY48" i="87"/>
  <c r="BZ48" i="87" s="1"/>
  <c r="BY51" i="87"/>
  <c r="BZ51" i="87" s="1"/>
  <c r="CA51" i="87" s="1"/>
  <c r="CC51" i="87" s="1"/>
  <c r="CD51" i="87" s="1"/>
  <c r="BY53" i="87"/>
  <c r="BZ53" i="87" s="1"/>
  <c r="BY54" i="87"/>
  <c r="BZ54" i="87" s="1"/>
  <c r="BY55" i="87"/>
  <c r="BZ55" i="87" s="1"/>
  <c r="CA55" i="87" s="1"/>
  <c r="CC55" i="87" s="1"/>
  <c r="BY58" i="87"/>
  <c r="BZ58" i="87" s="1"/>
  <c r="BY60" i="87"/>
  <c r="BZ60" i="87" s="1"/>
  <c r="CA60" i="87" s="1"/>
  <c r="CC60" i="87" s="1"/>
  <c r="CD60" i="87" s="1"/>
  <c r="BY63" i="87"/>
  <c r="BZ63" i="87" s="1"/>
  <c r="BY64" i="87"/>
  <c r="BZ64" i="87" s="1"/>
  <c r="CA64" i="87" s="1"/>
  <c r="CC64" i="87" s="1"/>
  <c r="CD64" i="87" s="1"/>
  <c r="BY67" i="87"/>
  <c r="BZ67" i="87" s="1"/>
  <c r="CK97" i="87"/>
  <c r="CM97" i="87" s="1"/>
  <c r="CI125" i="87"/>
  <c r="CJ125" i="87" s="1"/>
  <c r="CI123" i="87"/>
  <c r="CJ123" i="87" s="1"/>
  <c r="CI121" i="87"/>
  <c r="CJ121" i="87" s="1"/>
  <c r="CI119" i="87"/>
  <c r="CJ119" i="87" s="1"/>
  <c r="CI116" i="87"/>
  <c r="CJ116" i="87" s="1"/>
  <c r="CI114" i="87"/>
  <c r="CJ114" i="87" s="1"/>
  <c r="CK114" i="87" s="1"/>
  <c r="CM114" i="87" s="1"/>
  <c r="CI112" i="87"/>
  <c r="CJ112" i="87" s="1"/>
  <c r="CI110" i="87"/>
  <c r="CJ110" i="87" s="1"/>
  <c r="CI107" i="87"/>
  <c r="CJ107" i="87" s="1"/>
  <c r="CI100" i="87"/>
  <c r="CJ100" i="87" s="1"/>
  <c r="CI101" i="87"/>
  <c r="CJ101" i="87" s="1"/>
  <c r="CI102" i="87"/>
  <c r="CJ102" i="87" s="1"/>
  <c r="CI103" i="87"/>
  <c r="CJ103" i="87" s="1"/>
  <c r="CK103" i="87" s="1"/>
  <c r="CM103" i="87" s="1"/>
  <c r="CI104" i="87"/>
  <c r="CJ104" i="87" s="1"/>
  <c r="CI105" i="87"/>
  <c r="CJ105" i="87" s="1"/>
  <c r="CK105" i="87" s="1"/>
  <c r="CM105" i="87" s="1"/>
  <c r="CI124" i="87"/>
  <c r="CJ124" i="87" s="1"/>
  <c r="CI122" i="87"/>
  <c r="CJ122" i="87" s="1"/>
  <c r="CI120" i="87"/>
  <c r="CJ120" i="87" s="1"/>
  <c r="CI118" i="87"/>
  <c r="CJ118" i="87" s="1"/>
  <c r="CK118" i="87" s="1"/>
  <c r="CM118" i="87" s="1"/>
  <c r="CI115" i="87"/>
  <c r="CJ115" i="87" s="1"/>
  <c r="CI113" i="87"/>
  <c r="CJ113" i="87" s="1"/>
  <c r="CK113" i="87" s="1"/>
  <c r="CM113" i="87" s="1"/>
  <c r="CN113" i="87" s="1"/>
  <c r="CI111" i="87"/>
  <c r="CJ111" i="87" s="1"/>
  <c r="CI109" i="87"/>
  <c r="CJ109" i="87" s="1"/>
  <c r="CK109" i="87" s="1"/>
  <c r="CM109" i="87" s="1"/>
  <c r="CI106" i="87"/>
  <c r="CJ106" i="87" s="1"/>
  <c r="CU39" i="87"/>
  <c r="CW39" i="87" s="1"/>
  <c r="CX39" i="87" s="1"/>
  <c r="CZ39" i="87" s="1"/>
  <c r="CS42" i="87"/>
  <c r="CT42" i="87" s="1"/>
  <c r="CS45" i="87"/>
  <c r="CT45" i="87" s="1"/>
  <c r="CU45" i="87" s="1"/>
  <c r="CW45" i="87" s="1"/>
  <c r="CX45" i="87" s="1"/>
  <c r="CS46" i="87"/>
  <c r="CT46" i="87" s="1"/>
  <c r="CS49" i="87"/>
  <c r="CT49" i="87" s="1"/>
  <c r="CS52" i="87"/>
  <c r="CT52" i="87" s="1"/>
  <c r="CS53" i="87"/>
  <c r="CT53" i="87" s="1"/>
  <c r="CU53" i="87" s="1"/>
  <c r="CW53" i="87" s="1"/>
  <c r="CX53" i="87" s="1"/>
  <c r="CS55" i="87"/>
  <c r="CT55" i="87" s="1"/>
  <c r="CU55" i="87" s="1"/>
  <c r="CW55" i="87" s="1"/>
  <c r="CX55" i="87" s="1"/>
  <c r="CS56" i="87"/>
  <c r="CT56" i="87" s="1"/>
  <c r="CU56" i="87" s="1"/>
  <c r="CW56" i="87" s="1"/>
  <c r="CX56" i="87" s="1"/>
  <c r="CS57" i="87"/>
  <c r="CT57" i="87" s="1"/>
  <c r="CS61" i="87"/>
  <c r="CT61" i="87" s="1"/>
  <c r="CS62" i="87"/>
  <c r="CT62" i="87" s="1"/>
  <c r="CS65" i="87"/>
  <c r="CT65" i="87" s="1"/>
  <c r="CU65" i="87" s="1"/>
  <c r="CW65" i="87" s="1"/>
  <c r="CX65" i="87" s="1"/>
  <c r="CS66" i="87"/>
  <c r="CT66" i="87" s="1"/>
  <c r="CS43" i="87"/>
  <c r="CT43" i="87" s="1"/>
  <c r="CS44" i="87"/>
  <c r="CT44" i="87" s="1"/>
  <c r="CU44" i="87" s="1"/>
  <c r="CW44" i="87" s="1"/>
  <c r="CX44" i="87" s="1"/>
  <c r="CS47" i="87"/>
  <c r="CT47" i="87" s="1"/>
  <c r="CU47" i="87" s="1"/>
  <c r="CW47" i="87" s="1"/>
  <c r="CX47" i="87" s="1"/>
  <c r="CS48" i="87"/>
  <c r="CT48" i="87" s="1"/>
  <c r="CS51" i="87"/>
  <c r="CT51" i="87" s="1"/>
  <c r="CU51" i="87" s="1"/>
  <c r="CW51" i="87" s="1"/>
  <c r="CX51" i="87" s="1"/>
  <c r="CS54" i="87"/>
  <c r="CT54" i="87" s="1"/>
  <c r="CS58" i="87"/>
  <c r="CT58" i="87" s="1"/>
  <c r="CS60" i="87"/>
  <c r="CT60" i="87" s="1"/>
  <c r="CU60" i="87" s="1"/>
  <c r="CW60" i="87" s="1"/>
  <c r="CX60" i="87" s="1"/>
  <c r="CS63" i="87"/>
  <c r="CT63" i="87" s="1"/>
  <c r="CS64" i="87"/>
  <c r="CT64" i="87" s="1"/>
  <c r="CU64" i="87" s="1"/>
  <c r="CW64" i="87" s="1"/>
  <c r="CX64" i="87" s="1"/>
  <c r="CS67" i="87"/>
  <c r="CT67" i="87" s="1"/>
  <c r="GE55" i="87"/>
  <c r="GF55" i="87" s="1"/>
  <c r="GG55" i="87" s="1"/>
  <c r="GI55" i="87" s="1"/>
  <c r="GJ55" i="87" s="1"/>
  <c r="GE56" i="87"/>
  <c r="GF56" i="87" s="1"/>
  <c r="GG56" i="87" s="1"/>
  <c r="GI56" i="87" s="1"/>
  <c r="GJ56" i="87" s="1"/>
  <c r="GE61" i="87"/>
  <c r="GF61" i="87" s="1"/>
  <c r="BJ102" i="87"/>
  <c r="BJ160" i="87" s="1"/>
  <c r="BJ219" i="87" s="1"/>
  <c r="BI160" i="87"/>
  <c r="BI219" i="87" s="1"/>
  <c r="FZ131" i="87"/>
  <c r="IQ165" i="87"/>
  <c r="IQ224" i="87" s="1"/>
  <c r="IR136" i="87"/>
  <c r="IR165" i="87" s="1"/>
  <c r="JB44" i="87"/>
  <c r="JB160" i="87" s="1"/>
  <c r="JB219" i="87" s="1"/>
  <c r="JA160" i="87"/>
  <c r="JA219" i="87" s="1"/>
  <c r="KZ136" i="87"/>
  <c r="KZ165" i="87" s="1"/>
  <c r="KZ224" i="87" s="1"/>
  <c r="KY165" i="87"/>
  <c r="KY224" i="87" s="1"/>
  <c r="AK154" i="87"/>
  <c r="AL154" i="87" s="1"/>
  <c r="AK130" i="87"/>
  <c r="AL130" i="87" s="1"/>
  <c r="AM130" i="87" s="1"/>
  <c r="AO130" i="87" s="1"/>
  <c r="AP130" i="87" s="1"/>
  <c r="AK132" i="87"/>
  <c r="AL132" i="87" s="1"/>
  <c r="AM132" i="87" s="1"/>
  <c r="AO132" i="87" s="1"/>
  <c r="AK134" i="87"/>
  <c r="AL134" i="87" s="1"/>
  <c r="AM134" i="87" s="1"/>
  <c r="AO134" i="87" s="1"/>
  <c r="AP134" i="87" s="1"/>
  <c r="AK136" i="87"/>
  <c r="AL136" i="87" s="1"/>
  <c r="AK139" i="87"/>
  <c r="AL139" i="87" s="1"/>
  <c r="AK141" i="87"/>
  <c r="AL141" i="87" s="1"/>
  <c r="AK143" i="87"/>
  <c r="AL143" i="87" s="1"/>
  <c r="AM143" i="87" s="1"/>
  <c r="AO143" i="87" s="1"/>
  <c r="AK145" i="87"/>
  <c r="AL145" i="87" s="1"/>
  <c r="AK148" i="87"/>
  <c r="AL148" i="87" s="1"/>
  <c r="AK150" i="87"/>
  <c r="AL150" i="87" s="1"/>
  <c r="AK152" i="87"/>
  <c r="AL152" i="87" s="1"/>
  <c r="AM126" i="87"/>
  <c r="AO126" i="87" s="1"/>
  <c r="AK131" i="87"/>
  <c r="AL131" i="87" s="1"/>
  <c r="AM131" i="87" s="1"/>
  <c r="AO131" i="87" s="1"/>
  <c r="AK129" i="87"/>
  <c r="AL129" i="87" s="1"/>
  <c r="AK133" i="87"/>
  <c r="AL133" i="87" s="1"/>
  <c r="AK135" i="87"/>
  <c r="AL135" i="87" s="1"/>
  <c r="AM135" i="87" s="1"/>
  <c r="AO135" i="87" s="1"/>
  <c r="AP135" i="87" s="1"/>
  <c r="AK138" i="87"/>
  <c r="AL138" i="87" s="1"/>
  <c r="AM138" i="87" s="1"/>
  <c r="AO138" i="87" s="1"/>
  <c r="AK140" i="87"/>
  <c r="AL140" i="87" s="1"/>
  <c r="AK142" i="87"/>
  <c r="AL142" i="87" s="1"/>
  <c r="AM142" i="87" s="1"/>
  <c r="AO142" i="87" s="1"/>
  <c r="AP142" i="87" s="1"/>
  <c r="AK144" i="87"/>
  <c r="AL144" i="87" s="1"/>
  <c r="AK147" i="87"/>
  <c r="AL147" i="87" s="1"/>
  <c r="AM147" i="87" s="1"/>
  <c r="AO147" i="87" s="1"/>
  <c r="AK149" i="87"/>
  <c r="AL149" i="87" s="1"/>
  <c r="AK151" i="87"/>
  <c r="AL151" i="87" s="1"/>
  <c r="AM151" i="87" s="1"/>
  <c r="AO151" i="87" s="1"/>
  <c r="AK153" i="87"/>
  <c r="AL153" i="87" s="1"/>
  <c r="CU185" i="87"/>
  <c r="CW185" i="87" s="1"/>
  <c r="CX185" i="87" s="1"/>
  <c r="CS201" i="87"/>
  <c r="CT201" i="87" s="1"/>
  <c r="CU201" i="87" s="1"/>
  <c r="CW201" i="87" s="1"/>
  <c r="CX201" i="87" s="1"/>
  <c r="CS188" i="87"/>
  <c r="CT188" i="87" s="1"/>
  <c r="CS190" i="87"/>
  <c r="CT190" i="87" s="1"/>
  <c r="CU190" i="87" s="1"/>
  <c r="CW190" i="87" s="1"/>
  <c r="CX190" i="87" s="1"/>
  <c r="CS192" i="87"/>
  <c r="CT192" i="87" s="1"/>
  <c r="CS195" i="87"/>
  <c r="CT195" i="87" s="1"/>
  <c r="CS198" i="87"/>
  <c r="CT198" i="87" s="1"/>
  <c r="CS205" i="87"/>
  <c r="CT205" i="87" s="1"/>
  <c r="CS206" i="87"/>
  <c r="CT206" i="87" s="1"/>
  <c r="CU206" i="87" s="1"/>
  <c r="CW206" i="87" s="1"/>
  <c r="CX206" i="87" s="1"/>
  <c r="CS202" i="87"/>
  <c r="CT202" i="87" s="1"/>
  <c r="CU202" i="87" s="1"/>
  <c r="CW202" i="87" s="1"/>
  <c r="CX202" i="87" s="1"/>
  <c r="CS200" i="87"/>
  <c r="CT200" i="87" s="1"/>
  <c r="CS194" i="87"/>
  <c r="CT194" i="87" s="1"/>
  <c r="CS189" i="87"/>
  <c r="CT189" i="87" s="1"/>
  <c r="CS191" i="87"/>
  <c r="CT191" i="87" s="1"/>
  <c r="CU191" i="87" s="1"/>
  <c r="CW191" i="87" s="1"/>
  <c r="CX191" i="87" s="1"/>
  <c r="CS193" i="87"/>
  <c r="CT193" i="87" s="1"/>
  <c r="CU193" i="87" s="1"/>
  <c r="CW193" i="87" s="1"/>
  <c r="CX193" i="87" s="1"/>
  <c r="CS196" i="87"/>
  <c r="CT196" i="87" s="1"/>
  <c r="CS203" i="87"/>
  <c r="CT203" i="87" s="1"/>
  <c r="CS197" i="87"/>
  <c r="CT197" i="87" s="1"/>
  <c r="CU197" i="87" s="1"/>
  <c r="CW197" i="87" s="1"/>
  <c r="CX197" i="87" s="1"/>
  <c r="CS199" i="87"/>
  <c r="CT199" i="87" s="1"/>
  <c r="CU199" i="87" s="1"/>
  <c r="CW199" i="87" s="1"/>
  <c r="CX199" i="87" s="1"/>
  <c r="CS208" i="87"/>
  <c r="CT208" i="87" s="1"/>
  <c r="CS204" i="87"/>
  <c r="CT204" i="87" s="1"/>
  <c r="CS207" i="87"/>
  <c r="CT207" i="87" s="1"/>
  <c r="CS209" i="87"/>
  <c r="CT209" i="87" s="1"/>
  <c r="CS210" i="87"/>
  <c r="CT210" i="87" s="1"/>
  <c r="CU210" i="87" s="1"/>
  <c r="CW210" i="87" s="1"/>
  <c r="CX210" i="87" s="1"/>
  <c r="CS211" i="87"/>
  <c r="CT211" i="87" s="1"/>
  <c r="CU211" i="87" s="1"/>
  <c r="CW211" i="87" s="1"/>
  <c r="CX211" i="87" s="1"/>
  <c r="CS212" i="87"/>
  <c r="CT212" i="87" s="1"/>
  <c r="CS213" i="87"/>
  <c r="CT213" i="87" s="1"/>
  <c r="V207" i="87"/>
  <c r="AP213" i="87"/>
  <c r="BJ207" i="87"/>
  <c r="CD200" i="87"/>
  <c r="EB195" i="87"/>
  <c r="FP213" i="87"/>
  <c r="HD195" i="87"/>
  <c r="HX195" i="87"/>
  <c r="IH213" i="87"/>
  <c r="IR195" i="87"/>
  <c r="JL195" i="87"/>
  <c r="EB200" i="87"/>
  <c r="KW185" i="87"/>
  <c r="KY185" i="87" s="1"/>
  <c r="KZ185" i="87" s="1"/>
  <c r="KU200" i="87"/>
  <c r="KV200" i="87" s="1"/>
  <c r="KU189" i="87"/>
  <c r="KV189" i="87" s="1"/>
  <c r="KU191" i="87"/>
  <c r="KV191" i="87" s="1"/>
  <c r="KW191" i="87" s="1"/>
  <c r="KY191" i="87" s="1"/>
  <c r="KZ191" i="87" s="1"/>
  <c r="KU192" i="87"/>
  <c r="KV192" i="87" s="1"/>
  <c r="KU196" i="87"/>
  <c r="KV196" i="87" s="1"/>
  <c r="KU202" i="87"/>
  <c r="KV202" i="87" s="1"/>
  <c r="KW202" i="87" s="1"/>
  <c r="KY202" i="87" s="1"/>
  <c r="KZ202" i="87" s="1"/>
  <c r="KU203" i="87"/>
  <c r="KV203" i="87" s="1"/>
  <c r="KU197" i="87"/>
  <c r="KV197" i="87" s="1"/>
  <c r="KW197" i="87" s="1"/>
  <c r="KY197" i="87" s="1"/>
  <c r="KZ197" i="87" s="1"/>
  <c r="KU207" i="87"/>
  <c r="KV207" i="87" s="1"/>
  <c r="KU204" i="87"/>
  <c r="KV204" i="87" s="1"/>
  <c r="KU208" i="87"/>
  <c r="KV208" i="87" s="1"/>
  <c r="KU201" i="87"/>
  <c r="KV201" i="87" s="1"/>
  <c r="KU199" i="87"/>
  <c r="KV199" i="87" s="1"/>
  <c r="KU193" i="87"/>
  <c r="KV193" i="87" s="1"/>
  <c r="KW193" i="87" s="1"/>
  <c r="KY193" i="87" s="1"/>
  <c r="KZ193" i="87" s="1"/>
  <c r="KU194" i="87"/>
  <c r="KV194" i="87" s="1"/>
  <c r="KU188" i="87"/>
  <c r="KV188" i="87" s="1"/>
  <c r="KU190" i="87"/>
  <c r="KV190" i="87" s="1"/>
  <c r="KU195" i="87"/>
  <c r="KV195" i="87" s="1"/>
  <c r="KU198" i="87"/>
  <c r="KV198" i="87" s="1"/>
  <c r="KU205" i="87"/>
  <c r="KV205" i="87" s="1"/>
  <c r="KU206" i="87"/>
  <c r="KV206" i="87" s="1"/>
  <c r="KW206" i="87" s="1"/>
  <c r="KY206" i="87" s="1"/>
  <c r="KZ206" i="87" s="1"/>
  <c r="KU209" i="87"/>
  <c r="KV209" i="87" s="1"/>
  <c r="KU210" i="87"/>
  <c r="KV210" i="87" s="1"/>
  <c r="KU213" i="87"/>
  <c r="KV213" i="87" s="1"/>
  <c r="KU211" i="87"/>
  <c r="KV211" i="87" s="1"/>
  <c r="KU212" i="87"/>
  <c r="KV212" i="87" s="1"/>
  <c r="V213" i="87"/>
  <c r="AP200" i="87"/>
  <c r="BJ200" i="87"/>
  <c r="CD213" i="87"/>
  <c r="CS154" i="87"/>
  <c r="CT154" i="87" s="1"/>
  <c r="CS130" i="87"/>
  <c r="CT130" i="87" s="1"/>
  <c r="CS134" i="87"/>
  <c r="CT134" i="87" s="1"/>
  <c r="CU134" i="87" s="1"/>
  <c r="CW134" i="87" s="1"/>
  <c r="CX134" i="87" s="1"/>
  <c r="CS133" i="87"/>
  <c r="CT133" i="87" s="1"/>
  <c r="CS140" i="87"/>
  <c r="CT140" i="87" s="1"/>
  <c r="CU140" i="87" s="1"/>
  <c r="CW140" i="87" s="1"/>
  <c r="CX140" i="87" s="1"/>
  <c r="CS144" i="87"/>
  <c r="CT144" i="87" s="1"/>
  <c r="CS149" i="87"/>
  <c r="CT149" i="87" s="1"/>
  <c r="CS153" i="87"/>
  <c r="CT153" i="87" s="1"/>
  <c r="CS135" i="87"/>
  <c r="CT135" i="87" s="1"/>
  <c r="CS141" i="87"/>
  <c r="CT141" i="87" s="1"/>
  <c r="CS145" i="87"/>
  <c r="CT145" i="87" s="1"/>
  <c r="CS150" i="87"/>
  <c r="CT150" i="87" s="1"/>
  <c r="CS129" i="87"/>
  <c r="CT129" i="87" s="1"/>
  <c r="CS131" i="87"/>
  <c r="CT131" i="87" s="1"/>
  <c r="CU131" i="87" s="1"/>
  <c r="CW131" i="87" s="1"/>
  <c r="CX131" i="87" s="1"/>
  <c r="CS136" i="87"/>
  <c r="CT136" i="87" s="1"/>
  <c r="CS132" i="87"/>
  <c r="CT132" i="87" s="1"/>
  <c r="CU132" i="87" s="1"/>
  <c r="CW132" i="87" s="1"/>
  <c r="CX132" i="87" s="1"/>
  <c r="CS138" i="87"/>
  <c r="CT138" i="87" s="1"/>
  <c r="CU138" i="87" s="1"/>
  <c r="CW138" i="87" s="1"/>
  <c r="CS142" i="87"/>
  <c r="CT142" i="87" s="1"/>
  <c r="CU142" i="87" s="1"/>
  <c r="CW142" i="87" s="1"/>
  <c r="CX142" i="87" s="1"/>
  <c r="CS147" i="87"/>
  <c r="CT147" i="87" s="1"/>
  <c r="CU147" i="87" s="1"/>
  <c r="CW147" i="87" s="1"/>
  <c r="CX147" i="87" s="1"/>
  <c r="CS151" i="87"/>
  <c r="CT151" i="87" s="1"/>
  <c r="CU151" i="87" s="1"/>
  <c r="CW151" i="87" s="1"/>
  <c r="CX151" i="87" s="1"/>
  <c r="CU126" i="87"/>
  <c r="CW126" i="87" s="1"/>
  <c r="CS139" i="87"/>
  <c r="CT139" i="87" s="1"/>
  <c r="CS143" i="87"/>
  <c r="CT143" i="87" s="1"/>
  <c r="CU143" i="87" s="1"/>
  <c r="CW143" i="87" s="1"/>
  <c r="CS148" i="87"/>
  <c r="CT148" i="87" s="1"/>
  <c r="CS152" i="87"/>
  <c r="CT152" i="87" s="1"/>
  <c r="CU152" i="87" s="1"/>
  <c r="CW152" i="87" s="1"/>
  <c r="CX152" i="87" s="1"/>
  <c r="EB213" i="87"/>
  <c r="KF213" i="87"/>
  <c r="IE185" i="87"/>
  <c r="IG185" i="87" s="1"/>
  <c r="IH185" i="87" s="1"/>
  <c r="IC200" i="87"/>
  <c r="ID200" i="87" s="1"/>
  <c r="IC193" i="87"/>
  <c r="ID193" i="87" s="1"/>
  <c r="IE193" i="87" s="1"/>
  <c r="IG193" i="87" s="1"/>
  <c r="IH193" i="87" s="1"/>
  <c r="IC194" i="87"/>
  <c r="ID194" i="87" s="1"/>
  <c r="IC188" i="87"/>
  <c r="ID188" i="87" s="1"/>
  <c r="IC190" i="87"/>
  <c r="ID190" i="87" s="1"/>
  <c r="IE190" i="87" s="1"/>
  <c r="IG190" i="87" s="1"/>
  <c r="IH190" i="87" s="1"/>
  <c r="IC192" i="87"/>
  <c r="ID192" i="87" s="1"/>
  <c r="IC202" i="87"/>
  <c r="ID202" i="87" s="1"/>
  <c r="IE202" i="87" s="1"/>
  <c r="IG202" i="87" s="1"/>
  <c r="IH202" i="87" s="1"/>
  <c r="IC203" i="87"/>
  <c r="ID203" i="87" s="1"/>
  <c r="IC195" i="87"/>
  <c r="ID195" i="87" s="1"/>
  <c r="IC198" i="87"/>
  <c r="ID198" i="87" s="1"/>
  <c r="IC205" i="87"/>
  <c r="ID205" i="87" s="1"/>
  <c r="IC207" i="87"/>
  <c r="ID207" i="87" s="1"/>
  <c r="IC206" i="87"/>
  <c r="ID206" i="87" s="1"/>
  <c r="IE206" i="87" s="1"/>
  <c r="IG206" i="87" s="1"/>
  <c r="IH206" i="87" s="1"/>
  <c r="IC208" i="87"/>
  <c r="ID208" i="87" s="1"/>
  <c r="IC201" i="87"/>
  <c r="ID201" i="87" s="1"/>
  <c r="IE201" i="87" s="1"/>
  <c r="IG201" i="87" s="1"/>
  <c r="IH201" i="87" s="1"/>
  <c r="IC199" i="87"/>
  <c r="ID199" i="87" s="1"/>
  <c r="IE199" i="87" s="1"/>
  <c r="IG199" i="87" s="1"/>
  <c r="IH199" i="87" s="1"/>
  <c r="IC189" i="87"/>
  <c r="ID189" i="87" s="1"/>
  <c r="IC191" i="87"/>
  <c r="ID191" i="87" s="1"/>
  <c r="IE191" i="87" s="1"/>
  <c r="IG191" i="87" s="1"/>
  <c r="IH191" i="87" s="1"/>
  <c r="IC196" i="87"/>
  <c r="ID196" i="87" s="1"/>
  <c r="IC197" i="87"/>
  <c r="ID197" i="87" s="1"/>
  <c r="IE197" i="87" s="1"/>
  <c r="IG197" i="87" s="1"/>
  <c r="IH197" i="87" s="1"/>
  <c r="IC204" i="87"/>
  <c r="ID204" i="87" s="1"/>
  <c r="IC209" i="87"/>
  <c r="ID209" i="87" s="1"/>
  <c r="IC211" i="87"/>
  <c r="ID211" i="87" s="1"/>
  <c r="IC210" i="87"/>
  <c r="ID210" i="87" s="1"/>
  <c r="IE210" i="87" s="1"/>
  <c r="IG210" i="87" s="1"/>
  <c r="IH210" i="87" s="1"/>
  <c r="IC212" i="87"/>
  <c r="ID212" i="87" s="1"/>
  <c r="IC213" i="87"/>
  <c r="ID213" i="87" s="1"/>
  <c r="IO185" i="87"/>
  <c r="IQ185" i="87" s="1"/>
  <c r="IR185" i="87" s="1"/>
  <c r="IM200" i="87"/>
  <c r="IN200" i="87" s="1"/>
  <c r="IM193" i="87"/>
  <c r="IN193" i="87" s="1"/>
  <c r="IM194" i="87"/>
  <c r="IN194" i="87" s="1"/>
  <c r="IM189" i="87"/>
  <c r="IN189" i="87" s="1"/>
  <c r="IM191" i="87"/>
  <c r="IN191" i="87" s="1"/>
  <c r="IO191" i="87" s="1"/>
  <c r="IQ191" i="87" s="1"/>
  <c r="IR191" i="87" s="1"/>
  <c r="IM196" i="87"/>
  <c r="IN196" i="87" s="1"/>
  <c r="IM202" i="87"/>
  <c r="IN202" i="87" s="1"/>
  <c r="IO202" i="87" s="1"/>
  <c r="IQ202" i="87" s="1"/>
  <c r="IR202" i="87" s="1"/>
  <c r="IM203" i="87"/>
  <c r="IN203" i="87" s="1"/>
  <c r="IM197" i="87"/>
  <c r="IN197" i="87" s="1"/>
  <c r="IO197" i="87" s="1"/>
  <c r="IQ197" i="87" s="1"/>
  <c r="IR197" i="87" s="1"/>
  <c r="IM207" i="87"/>
  <c r="IN207" i="87" s="1"/>
  <c r="IM204" i="87"/>
  <c r="IN204" i="87" s="1"/>
  <c r="IM208" i="87"/>
  <c r="IN208" i="87" s="1"/>
  <c r="IM201" i="87"/>
  <c r="IN201" i="87" s="1"/>
  <c r="IO201" i="87" s="1"/>
  <c r="IQ201" i="87" s="1"/>
  <c r="IR201" i="87" s="1"/>
  <c r="IM199" i="87"/>
  <c r="IN199" i="87" s="1"/>
  <c r="IM188" i="87"/>
  <c r="IN188" i="87" s="1"/>
  <c r="IM190" i="87"/>
  <c r="IN190" i="87" s="1"/>
  <c r="IM192" i="87"/>
  <c r="IN192" i="87" s="1"/>
  <c r="IM195" i="87"/>
  <c r="IN195" i="87" s="1"/>
  <c r="IM198" i="87"/>
  <c r="IN198" i="87" s="1"/>
  <c r="IM205" i="87"/>
  <c r="IN205" i="87" s="1"/>
  <c r="IM206" i="87"/>
  <c r="IN206" i="87" s="1"/>
  <c r="IO206" i="87" s="1"/>
  <c r="IQ206" i="87" s="1"/>
  <c r="IR206" i="87" s="1"/>
  <c r="IM209" i="87"/>
  <c r="IN209" i="87" s="1"/>
  <c r="IM210" i="87"/>
  <c r="IN210" i="87" s="1"/>
  <c r="IO210" i="87" s="1"/>
  <c r="IQ210" i="87" s="1"/>
  <c r="IR210" i="87" s="1"/>
  <c r="IM213" i="87"/>
  <c r="IN213" i="87" s="1"/>
  <c r="IM211" i="87"/>
  <c r="IN211" i="87" s="1"/>
  <c r="IM212" i="87"/>
  <c r="IN212" i="87" s="1"/>
  <c r="KU154" i="87"/>
  <c r="KV154" i="87" s="1"/>
  <c r="KU129" i="87"/>
  <c r="KV129" i="87" s="1"/>
  <c r="KU130" i="87"/>
  <c r="KV130" i="87" s="1"/>
  <c r="KU132" i="87"/>
  <c r="KV132" i="87" s="1"/>
  <c r="KW132" i="87" s="1"/>
  <c r="KY132" i="87" s="1"/>
  <c r="KZ132" i="87" s="1"/>
  <c r="KU133" i="87"/>
  <c r="KV133" i="87" s="1"/>
  <c r="KU134" i="87"/>
  <c r="KV134" i="87" s="1"/>
  <c r="KW134" i="87" s="1"/>
  <c r="KY134" i="87" s="1"/>
  <c r="KZ134" i="87" s="1"/>
  <c r="KU135" i="87"/>
  <c r="KV135" i="87" s="1"/>
  <c r="KU138" i="87"/>
  <c r="KV138" i="87" s="1"/>
  <c r="KW138" i="87" s="1"/>
  <c r="KY138" i="87" s="1"/>
  <c r="KZ138" i="87" s="1"/>
  <c r="KU139" i="87"/>
  <c r="KV139" i="87" s="1"/>
  <c r="KU141" i="87"/>
  <c r="KV141" i="87" s="1"/>
  <c r="KU147" i="87"/>
  <c r="KV147" i="87" s="1"/>
  <c r="KW147" i="87" s="1"/>
  <c r="KY147" i="87" s="1"/>
  <c r="KZ147" i="87" s="1"/>
  <c r="KU148" i="87"/>
  <c r="KV148" i="87" s="1"/>
  <c r="KU149" i="87"/>
  <c r="KV149" i="87" s="1"/>
  <c r="KU150" i="87"/>
  <c r="KV150" i="87" s="1"/>
  <c r="KU151" i="87"/>
  <c r="KV151" i="87" s="1"/>
  <c r="KW126" i="87"/>
  <c r="KY126" i="87" s="1"/>
  <c r="KU153" i="87"/>
  <c r="KV153" i="87" s="1"/>
  <c r="KU152" i="87"/>
  <c r="KV152" i="87" s="1"/>
  <c r="KU131" i="87"/>
  <c r="KV131" i="87" s="1"/>
  <c r="KU136" i="87"/>
  <c r="KV136" i="87" s="1"/>
  <c r="KU140" i="87"/>
  <c r="KV140" i="87" s="1"/>
  <c r="KU142" i="87"/>
  <c r="KV142" i="87" s="1"/>
  <c r="KU143" i="87"/>
  <c r="KV143" i="87" s="1"/>
  <c r="KW143" i="87" s="1"/>
  <c r="KY143" i="87" s="1"/>
  <c r="KZ143" i="87" s="1"/>
  <c r="KU144" i="87"/>
  <c r="KV144" i="87" s="1"/>
  <c r="KU145" i="87"/>
  <c r="KV145" i="87" s="1"/>
  <c r="KK154" i="87"/>
  <c r="KL154" i="87" s="1"/>
  <c r="KK136" i="87"/>
  <c r="KL136" i="87" s="1"/>
  <c r="KK139" i="87"/>
  <c r="KL139" i="87" s="1"/>
  <c r="KK143" i="87"/>
  <c r="KL143" i="87" s="1"/>
  <c r="KK145" i="87"/>
  <c r="KL145" i="87" s="1"/>
  <c r="KK151" i="87"/>
  <c r="KL151" i="87" s="1"/>
  <c r="KM151" i="87" s="1"/>
  <c r="KO151" i="87" s="1"/>
  <c r="KP151" i="87" s="1"/>
  <c r="KK140" i="87"/>
  <c r="KL140" i="87" s="1"/>
  <c r="KK147" i="87"/>
  <c r="KL147" i="87" s="1"/>
  <c r="KM147" i="87" s="1"/>
  <c r="KO147" i="87" s="1"/>
  <c r="KP147" i="87" s="1"/>
  <c r="KK150" i="87"/>
  <c r="KL150" i="87" s="1"/>
  <c r="KM126" i="87"/>
  <c r="KO126" i="87" s="1"/>
  <c r="KP126" i="87" s="1"/>
  <c r="KR126" i="87" s="1"/>
  <c r="KK133" i="87"/>
  <c r="KL133" i="87" s="1"/>
  <c r="KK135" i="87"/>
  <c r="KL135" i="87" s="1"/>
  <c r="KK138" i="87"/>
  <c r="KL138" i="87" s="1"/>
  <c r="KM138" i="87" s="1"/>
  <c r="KO138" i="87" s="1"/>
  <c r="KP138" i="87" s="1"/>
  <c r="KK141" i="87"/>
  <c r="KL141" i="87" s="1"/>
  <c r="KK149" i="87"/>
  <c r="KL149" i="87" s="1"/>
  <c r="KK152" i="87"/>
  <c r="KL152" i="87" s="1"/>
  <c r="KK142" i="87"/>
  <c r="KL142" i="87" s="1"/>
  <c r="KM142" i="87" s="1"/>
  <c r="KO142" i="87" s="1"/>
  <c r="KP142" i="87" s="1"/>
  <c r="KK148" i="87"/>
  <c r="KL148" i="87" s="1"/>
  <c r="KK153" i="87"/>
  <c r="KL153" i="87" s="1"/>
  <c r="IW154" i="87"/>
  <c r="IX154" i="87" s="1"/>
  <c r="IW131" i="87"/>
  <c r="IX131" i="87" s="1"/>
  <c r="IW133" i="87"/>
  <c r="IX133" i="87" s="1"/>
  <c r="IW136" i="87"/>
  <c r="IX136" i="87" s="1"/>
  <c r="IW138" i="87"/>
  <c r="IX138" i="87" s="1"/>
  <c r="IY138" i="87" s="1"/>
  <c r="JA138" i="87" s="1"/>
  <c r="JB138" i="87" s="1"/>
  <c r="IW141" i="87"/>
  <c r="IX141" i="87" s="1"/>
  <c r="IW147" i="87"/>
  <c r="IX147" i="87" s="1"/>
  <c r="IY147" i="87" s="1"/>
  <c r="JA147" i="87" s="1"/>
  <c r="JB147" i="87" s="1"/>
  <c r="IW151" i="87"/>
  <c r="IX151" i="87" s="1"/>
  <c r="IY126" i="87"/>
  <c r="JA126" i="87" s="1"/>
  <c r="JB126" i="87" s="1"/>
  <c r="JD126" i="87" s="1"/>
  <c r="IW142" i="87"/>
  <c r="IX142" i="87" s="1"/>
  <c r="IY142" i="87" s="1"/>
  <c r="JA142" i="87" s="1"/>
  <c r="JB142" i="87" s="1"/>
  <c r="IW145" i="87"/>
  <c r="IX145" i="87" s="1"/>
  <c r="IW150" i="87"/>
  <c r="IX150" i="87" s="1"/>
  <c r="IW153" i="87"/>
  <c r="IX153" i="87" s="1"/>
  <c r="IW129" i="87"/>
  <c r="IX129" i="87" s="1"/>
  <c r="IW132" i="87"/>
  <c r="IX132" i="87" s="1"/>
  <c r="IY132" i="87" s="1"/>
  <c r="JA132" i="87" s="1"/>
  <c r="JB132" i="87" s="1"/>
  <c r="IW135" i="87"/>
  <c r="IX135" i="87" s="1"/>
  <c r="IW130" i="87"/>
  <c r="IX130" i="87" s="1"/>
  <c r="IW134" i="87"/>
  <c r="IX134" i="87" s="1"/>
  <c r="IY134" i="87" s="1"/>
  <c r="JA134" i="87" s="1"/>
  <c r="JB134" i="87" s="1"/>
  <c r="IW139" i="87"/>
  <c r="IX139" i="87" s="1"/>
  <c r="IW144" i="87"/>
  <c r="IX144" i="87" s="1"/>
  <c r="IW148" i="87"/>
  <c r="IX148" i="87" s="1"/>
  <c r="IW152" i="87"/>
  <c r="IX152" i="87" s="1"/>
  <c r="IW140" i="87"/>
  <c r="IX140" i="87" s="1"/>
  <c r="IW143" i="87"/>
  <c r="IX143" i="87" s="1"/>
  <c r="IY143" i="87" s="1"/>
  <c r="JA143" i="87" s="1"/>
  <c r="JB143" i="87" s="1"/>
  <c r="IW149" i="87"/>
  <c r="IX149" i="87" s="1"/>
  <c r="AC39" i="87"/>
  <c r="AE39" i="87" s="1"/>
  <c r="AF39" i="87" s="1"/>
  <c r="AH39" i="87" s="1"/>
  <c r="AA47" i="87"/>
  <c r="AB47" i="87" s="1"/>
  <c r="AC47" i="87" s="1"/>
  <c r="AE47" i="87" s="1"/>
  <c r="AF47" i="87" s="1"/>
  <c r="AA53" i="87"/>
  <c r="AB53" i="87" s="1"/>
  <c r="AA55" i="87"/>
  <c r="AB55" i="87" s="1"/>
  <c r="AC55" i="87" s="1"/>
  <c r="AE55" i="87" s="1"/>
  <c r="AF55" i="87" s="1"/>
  <c r="AA58" i="87"/>
  <c r="AB58" i="87" s="1"/>
  <c r="AA60" i="87"/>
  <c r="AB60" i="87" s="1"/>
  <c r="AC60" i="87" s="1"/>
  <c r="AE60" i="87" s="1"/>
  <c r="AF60" i="87" s="1"/>
  <c r="AA63" i="87"/>
  <c r="AB63" i="87" s="1"/>
  <c r="AA64" i="87"/>
  <c r="AB64" i="87" s="1"/>
  <c r="AC64" i="87" s="1"/>
  <c r="AE64" i="87" s="1"/>
  <c r="AF64" i="87" s="1"/>
  <c r="AA67" i="87"/>
  <c r="AB67" i="87" s="1"/>
  <c r="AA43" i="87"/>
  <c r="AB43" i="87" s="1"/>
  <c r="AC43" i="87" s="1"/>
  <c r="AE43" i="87" s="1"/>
  <c r="AA45" i="87"/>
  <c r="AB45" i="87" s="1"/>
  <c r="AC45" i="87" s="1"/>
  <c r="AE45" i="87" s="1"/>
  <c r="AF45" i="87" s="1"/>
  <c r="AA46" i="87"/>
  <c r="AB46" i="87" s="1"/>
  <c r="AC46" i="87" s="1"/>
  <c r="AE46" i="87" s="1"/>
  <c r="AF46" i="87" s="1"/>
  <c r="AA48" i="87"/>
  <c r="AB48" i="87" s="1"/>
  <c r="AA49" i="87"/>
  <c r="AB49" i="87" s="1"/>
  <c r="AA51" i="87"/>
  <c r="AB51" i="87" s="1"/>
  <c r="AC51" i="87" s="1"/>
  <c r="AE51" i="87" s="1"/>
  <c r="AF51" i="87" s="1"/>
  <c r="AA52" i="87"/>
  <c r="AB52" i="87" s="1"/>
  <c r="AA54" i="87"/>
  <c r="AB54" i="87" s="1"/>
  <c r="AA56" i="87"/>
  <c r="AB56" i="87" s="1"/>
  <c r="AC56" i="87" s="1"/>
  <c r="AE56" i="87" s="1"/>
  <c r="AF56" i="87" s="1"/>
  <c r="AA57" i="87"/>
  <c r="AB57" i="87" s="1"/>
  <c r="AA61" i="87"/>
  <c r="AB61" i="87" s="1"/>
  <c r="AA62" i="87"/>
  <c r="AB62" i="87" s="1"/>
  <c r="AA65" i="87"/>
  <c r="AB65" i="87" s="1"/>
  <c r="AA66" i="87"/>
  <c r="AB66" i="87" s="1"/>
  <c r="G190" i="87"/>
  <c r="H190" i="87" s="1"/>
  <c r="AA44" i="87"/>
  <c r="AB44" i="87" s="1"/>
  <c r="LH212" i="87"/>
  <c r="LH210" i="87"/>
  <c r="LH208" i="87"/>
  <c r="LH206" i="87"/>
  <c r="LH203" i="87"/>
  <c r="LH201" i="87"/>
  <c r="LH199" i="87"/>
  <c r="LH197" i="87"/>
  <c r="LH194" i="87"/>
  <c r="LH192" i="87"/>
  <c r="LH190" i="87"/>
  <c r="LH188" i="87"/>
  <c r="LH211" i="87"/>
  <c r="LH207" i="87"/>
  <c r="LH202" i="87"/>
  <c r="LH198" i="87"/>
  <c r="LH193" i="87"/>
  <c r="LH189" i="87"/>
  <c r="LH209" i="87"/>
  <c r="LH200" i="87"/>
  <c r="LH191" i="87"/>
  <c r="LH205" i="87"/>
  <c r="LH204" i="87"/>
  <c r="LH213" i="87"/>
  <c r="LH196" i="87"/>
  <c r="LH195" i="87"/>
  <c r="I185" i="87"/>
  <c r="K185" i="87" s="1"/>
  <c r="L185" i="87" s="1"/>
  <c r="N185" i="87" s="1"/>
  <c r="G200" i="87"/>
  <c r="H200" i="87" s="1"/>
  <c r="G208" i="87"/>
  <c r="H208" i="87" s="1"/>
  <c r="G191" i="87"/>
  <c r="H191" i="87" s="1"/>
  <c r="G197" i="87"/>
  <c r="H197" i="87" s="1"/>
  <c r="G201" i="87"/>
  <c r="H201" i="87" s="1"/>
  <c r="G205" i="87"/>
  <c r="H205" i="87" s="1"/>
  <c r="G209" i="87"/>
  <c r="H209" i="87" s="1"/>
  <c r="G213" i="87"/>
  <c r="H213" i="87" s="1"/>
  <c r="G193" i="87"/>
  <c r="H193" i="87" s="1"/>
  <c r="G202" i="87"/>
  <c r="H202" i="87" s="1"/>
  <c r="G210" i="87"/>
  <c r="H210" i="87" s="1"/>
  <c r="G196" i="87"/>
  <c r="H196" i="87" s="1"/>
  <c r="G204" i="87"/>
  <c r="H204" i="87" s="1"/>
  <c r="G212" i="87"/>
  <c r="H212" i="87" s="1"/>
  <c r="G195" i="87"/>
  <c r="H195" i="87" s="1"/>
  <c r="G199" i="87"/>
  <c r="H199" i="87" s="1"/>
  <c r="G203" i="87"/>
  <c r="H203" i="87" s="1"/>
  <c r="G207" i="87"/>
  <c r="H207" i="87" s="1"/>
  <c r="G211" i="87"/>
  <c r="H211" i="87" s="1"/>
  <c r="G189" i="87"/>
  <c r="H189" i="87" s="1"/>
  <c r="I189" i="87" s="1"/>
  <c r="G198" i="87"/>
  <c r="H198" i="87" s="1"/>
  <c r="G206" i="87"/>
  <c r="H206" i="87" s="1"/>
  <c r="JI126" i="87"/>
  <c r="JK126" i="87" s="1"/>
  <c r="JG153" i="87"/>
  <c r="JH153" i="87" s="1"/>
  <c r="JG154" i="87"/>
  <c r="JH154" i="87" s="1"/>
  <c r="JG129" i="87"/>
  <c r="JH129" i="87" s="1"/>
  <c r="JG130" i="87"/>
  <c r="JH130" i="87" s="1"/>
  <c r="JG131" i="87"/>
  <c r="JH131" i="87" s="1"/>
  <c r="JG132" i="87"/>
  <c r="JH132" i="87" s="1"/>
  <c r="JI132" i="87" s="1"/>
  <c r="JK132" i="87" s="1"/>
  <c r="JG133" i="87"/>
  <c r="JH133" i="87" s="1"/>
  <c r="JG134" i="87"/>
  <c r="JH134" i="87" s="1"/>
  <c r="JI134" i="87" s="1"/>
  <c r="JK134" i="87" s="1"/>
  <c r="JL134" i="87" s="1"/>
  <c r="JG135" i="87"/>
  <c r="JH135" i="87" s="1"/>
  <c r="JG136" i="87"/>
  <c r="JH136" i="87" s="1"/>
  <c r="JG138" i="87"/>
  <c r="JH138" i="87" s="1"/>
  <c r="JI138" i="87" s="1"/>
  <c r="JK138" i="87" s="1"/>
  <c r="JG139" i="87"/>
  <c r="JH139" i="87" s="1"/>
  <c r="JG140" i="87"/>
  <c r="JH140" i="87" s="1"/>
  <c r="JG141" i="87"/>
  <c r="JH141" i="87" s="1"/>
  <c r="JG142" i="87"/>
  <c r="JH142" i="87" s="1"/>
  <c r="JI142" i="87" s="1"/>
  <c r="JK142" i="87" s="1"/>
  <c r="JL142" i="87" s="1"/>
  <c r="JG143" i="87"/>
  <c r="JH143" i="87" s="1"/>
  <c r="JI143" i="87" s="1"/>
  <c r="JK143" i="87" s="1"/>
  <c r="JG144" i="87"/>
  <c r="JH144" i="87" s="1"/>
  <c r="JG145" i="87"/>
  <c r="JH145" i="87" s="1"/>
  <c r="JG147" i="87"/>
  <c r="JH147" i="87" s="1"/>
  <c r="JI147" i="87" s="1"/>
  <c r="JK147" i="87" s="1"/>
  <c r="JG148" i="87"/>
  <c r="JH148" i="87" s="1"/>
  <c r="JG149" i="87"/>
  <c r="JH149" i="87" s="1"/>
  <c r="JG150" i="87"/>
  <c r="JH150" i="87" s="1"/>
  <c r="JG151" i="87"/>
  <c r="JH151" i="87" s="1"/>
  <c r="JG152" i="87"/>
  <c r="JH152" i="87" s="1"/>
  <c r="JI152" i="87" s="1"/>
  <c r="JK152" i="87" s="1"/>
  <c r="JL152" i="87" s="1"/>
  <c r="V200" i="87"/>
  <c r="AP207" i="87"/>
  <c r="BJ213" i="87"/>
  <c r="CD204" i="87"/>
  <c r="DH195" i="87"/>
  <c r="FP195" i="87"/>
  <c r="GJ195" i="87"/>
  <c r="HD213" i="87"/>
  <c r="IH200" i="87"/>
  <c r="IR213" i="87"/>
  <c r="IM152" i="87"/>
  <c r="IN152" i="87" s="1"/>
  <c r="IM130" i="87"/>
  <c r="IN130" i="87" s="1"/>
  <c r="IM132" i="87"/>
  <c r="IN132" i="87" s="1"/>
  <c r="IO132" i="87" s="1"/>
  <c r="IQ132" i="87" s="1"/>
  <c r="IR132" i="87" s="1"/>
  <c r="IM133" i="87"/>
  <c r="IN133" i="87" s="1"/>
  <c r="IM134" i="87"/>
  <c r="IN134" i="87" s="1"/>
  <c r="IM135" i="87"/>
  <c r="IN135" i="87" s="1"/>
  <c r="IM138" i="87"/>
  <c r="IN138" i="87" s="1"/>
  <c r="IO138" i="87" s="1"/>
  <c r="IQ138" i="87" s="1"/>
  <c r="IM139" i="87"/>
  <c r="IN139" i="87" s="1"/>
  <c r="IM141" i="87"/>
  <c r="IN141" i="87" s="1"/>
  <c r="IM147" i="87"/>
  <c r="IN147" i="87" s="1"/>
  <c r="IO147" i="87" s="1"/>
  <c r="IQ147" i="87" s="1"/>
  <c r="IM148" i="87"/>
  <c r="IN148" i="87" s="1"/>
  <c r="IM150" i="87"/>
  <c r="IN150" i="87" s="1"/>
  <c r="IM151" i="87"/>
  <c r="IN151" i="87" s="1"/>
  <c r="IO151" i="87" s="1"/>
  <c r="IQ151" i="87" s="1"/>
  <c r="IO126" i="87"/>
  <c r="IQ126" i="87" s="1"/>
  <c r="IM153" i="87"/>
  <c r="IN153" i="87" s="1"/>
  <c r="IM129" i="87"/>
  <c r="IN129" i="87" s="1"/>
  <c r="IM131" i="87"/>
  <c r="IN131" i="87" s="1"/>
  <c r="IM136" i="87"/>
  <c r="IN136" i="87" s="1"/>
  <c r="IM140" i="87"/>
  <c r="IN140" i="87" s="1"/>
  <c r="IM142" i="87"/>
  <c r="IN142" i="87" s="1"/>
  <c r="IO142" i="87" s="1"/>
  <c r="IQ142" i="87" s="1"/>
  <c r="IR142" i="87" s="1"/>
  <c r="IM143" i="87"/>
  <c r="IN143" i="87" s="1"/>
  <c r="IO143" i="87" s="1"/>
  <c r="IQ143" i="87" s="1"/>
  <c r="IR143" i="87" s="1"/>
  <c r="IM144" i="87"/>
  <c r="IN144" i="87" s="1"/>
  <c r="IM145" i="87"/>
  <c r="IN145" i="87" s="1"/>
  <c r="IM149" i="87"/>
  <c r="IN149" i="87" s="1"/>
  <c r="IM154" i="87"/>
  <c r="IN154" i="87" s="1"/>
  <c r="BY154" i="87"/>
  <c r="BZ154" i="87" s="1"/>
  <c r="BY130" i="87"/>
  <c r="BZ130" i="87" s="1"/>
  <c r="BY136" i="87"/>
  <c r="BZ136" i="87" s="1"/>
  <c r="BY129" i="87"/>
  <c r="BZ129" i="87" s="1"/>
  <c r="BY131" i="87"/>
  <c r="BZ131" i="87" s="1"/>
  <c r="BY138" i="87"/>
  <c r="BZ138" i="87" s="1"/>
  <c r="CA138" i="87" s="1"/>
  <c r="CC138" i="87" s="1"/>
  <c r="BY140" i="87"/>
  <c r="BZ140" i="87" s="1"/>
  <c r="BY142" i="87"/>
  <c r="BZ142" i="87" s="1"/>
  <c r="CA142" i="87" s="1"/>
  <c r="CC142" i="87" s="1"/>
  <c r="CD142" i="87" s="1"/>
  <c r="BY144" i="87"/>
  <c r="BZ144" i="87" s="1"/>
  <c r="BY147" i="87"/>
  <c r="BZ147" i="87" s="1"/>
  <c r="CA147" i="87" s="1"/>
  <c r="CC147" i="87" s="1"/>
  <c r="BY149" i="87"/>
  <c r="BZ149" i="87" s="1"/>
  <c r="BY151" i="87"/>
  <c r="BZ151" i="87" s="1"/>
  <c r="CA151" i="87" s="1"/>
  <c r="CC151" i="87" s="1"/>
  <c r="BY153" i="87"/>
  <c r="BZ153" i="87" s="1"/>
  <c r="BY133" i="87"/>
  <c r="BZ133" i="87" s="1"/>
  <c r="CA126" i="87"/>
  <c r="CC126" i="87" s="1"/>
  <c r="BY132" i="87"/>
  <c r="BZ132" i="87" s="1"/>
  <c r="CA132" i="87" s="1"/>
  <c r="CC132" i="87" s="1"/>
  <c r="CD132" i="87" s="1"/>
  <c r="BY135" i="87"/>
  <c r="BZ135" i="87" s="1"/>
  <c r="BY134" i="87"/>
  <c r="BZ134" i="87" s="1"/>
  <c r="CA134" i="87" s="1"/>
  <c r="CC134" i="87" s="1"/>
  <c r="CD134" i="87" s="1"/>
  <c r="BY139" i="87"/>
  <c r="BZ139" i="87" s="1"/>
  <c r="BY141" i="87"/>
  <c r="BZ141" i="87" s="1"/>
  <c r="BY143" i="87"/>
  <c r="BZ143" i="87" s="1"/>
  <c r="CA143" i="87" s="1"/>
  <c r="CC143" i="87" s="1"/>
  <c r="CD143" i="87" s="1"/>
  <c r="BY145" i="87"/>
  <c r="BZ145" i="87" s="1"/>
  <c r="BY148" i="87"/>
  <c r="BZ148" i="87" s="1"/>
  <c r="BY150" i="87"/>
  <c r="BZ150" i="87" s="1"/>
  <c r="BY152" i="87"/>
  <c r="BZ152" i="87" s="1"/>
  <c r="CA152" i="87" s="1"/>
  <c r="CC152" i="87" s="1"/>
  <c r="BQ126" i="87"/>
  <c r="BS126" i="87" s="1"/>
  <c r="BO154" i="87"/>
  <c r="BP154" i="87" s="1"/>
  <c r="BO129" i="87"/>
  <c r="BP129" i="87" s="1"/>
  <c r="BO130" i="87"/>
  <c r="BP130" i="87" s="1"/>
  <c r="BO131" i="87"/>
  <c r="BP131" i="87" s="1"/>
  <c r="BO132" i="87"/>
  <c r="BP132" i="87" s="1"/>
  <c r="BQ132" i="87" s="1"/>
  <c r="BS132" i="87" s="1"/>
  <c r="BO133" i="87"/>
  <c r="BP133" i="87" s="1"/>
  <c r="BO134" i="87"/>
  <c r="BP134" i="87" s="1"/>
  <c r="BO135" i="87"/>
  <c r="BP135" i="87" s="1"/>
  <c r="BO136" i="87"/>
  <c r="BP136" i="87" s="1"/>
  <c r="BO138" i="87"/>
  <c r="BP138" i="87" s="1"/>
  <c r="BQ138" i="87" s="1"/>
  <c r="BS138" i="87" s="1"/>
  <c r="BO139" i="87"/>
  <c r="BP139" i="87" s="1"/>
  <c r="BO140" i="87"/>
  <c r="BP140" i="87" s="1"/>
  <c r="BO141" i="87"/>
  <c r="BP141" i="87" s="1"/>
  <c r="BO142" i="87"/>
  <c r="BP142" i="87" s="1"/>
  <c r="BQ142" i="87" s="1"/>
  <c r="BS142" i="87" s="1"/>
  <c r="BT142" i="87" s="1"/>
  <c r="BO143" i="87"/>
  <c r="BP143" i="87" s="1"/>
  <c r="BO144" i="87"/>
  <c r="BP144" i="87" s="1"/>
  <c r="BO145" i="87"/>
  <c r="BP145" i="87" s="1"/>
  <c r="BO147" i="87"/>
  <c r="BP147" i="87" s="1"/>
  <c r="BQ147" i="87" s="1"/>
  <c r="BS147" i="87" s="1"/>
  <c r="BO148" i="87"/>
  <c r="BP148" i="87" s="1"/>
  <c r="BO149" i="87"/>
  <c r="BP149" i="87" s="1"/>
  <c r="BO150" i="87"/>
  <c r="BP150" i="87" s="1"/>
  <c r="BO151" i="87"/>
  <c r="BP151" i="87" s="1"/>
  <c r="BQ151" i="87" s="1"/>
  <c r="BS151" i="87" s="1"/>
  <c r="BT151" i="87" s="1"/>
  <c r="BO152" i="87"/>
  <c r="BP152" i="87" s="1"/>
  <c r="BO153" i="87"/>
  <c r="BP153" i="87" s="1"/>
  <c r="BJ204" i="87"/>
  <c r="CD207" i="87"/>
  <c r="DH198" i="87"/>
  <c r="EV195" i="87"/>
  <c r="IH204" i="87"/>
  <c r="KF195" i="87"/>
  <c r="IH189" i="87"/>
  <c r="IR189" i="87"/>
  <c r="G188" i="87"/>
  <c r="H188" i="87" s="1"/>
  <c r="G192" i="87"/>
  <c r="H192" i="87" s="1"/>
  <c r="I192" i="87" s="1"/>
  <c r="DE185" i="87"/>
  <c r="DG185" i="87" s="1"/>
  <c r="DH185" i="87" s="1"/>
  <c r="DJ185" i="87" s="1"/>
  <c r="DC202" i="87"/>
  <c r="DD202" i="87" s="1"/>
  <c r="DC201" i="87"/>
  <c r="DD201" i="87" s="1"/>
  <c r="DE201" i="87" s="1"/>
  <c r="DG201" i="87" s="1"/>
  <c r="DC200" i="87"/>
  <c r="DD200" i="87" s="1"/>
  <c r="DC193" i="87"/>
  <c r="DD193" i="87" s="1"/>
  <c r="DC188" i="87"/>
  <c r="DD188" i="87" s="1"/>
  <c r="DC189" i="87"/>
  <c r="DD189" i="87" s="1"/>
  <c r="DC190" i="87"/>
  <c r="DD190" i="87" s="1"/>
  <c r="DC191" i="87"/>
  <c r="DD191" i="87" s="1"/>
  <c r="DE191" i="87" s="1"/>
  <c r="DG191" i="87" s="1"/>
  <c r="DH191" i="87" s="1"/>
  <c r="DC192" i="87"/>
  <c r="DD192" i="87" s="1"/>
  <c r="DC204" i="87"/>
  <c r="DD204" i="87" s="1"/>
  <c r="DC206" i="87"/>
  <c r="DD206" i="87" s="1"/>
  <c r="DE206" i="87" s="1"/>
  <c r="DG206" i="87" s="1"/>
  <c r="DC207" i="87"/>
  <c r="DD207" i="87" s="1"/>
  <c r="DC209" i="87"/>
  <c r="DD209" i="87" s="1"/>
  <c r="DC210" i="87"/>
  <c r="DD210" i="87" s="1"/>
  <c r="DE210" i="87" s="1"/>
  <c r="DG210" i="87" s="1"/>
  <c r="DC213" i="87"/>
  <c r="DD213" i="87" s="1"/>
  <c r="DC194" i="87"/>
  <c r="DD194" i="87" s="1"/>
  <c r="DC196" i="87"/>
  <c r="DD196" i="87" s="1"/>
  <c r="DC203" i="87"/>
  <c r="DD203" i="87" s="1"/>
  <c r="DC195" i="87"/>
  <c r="DD195" i="87" s="1"/>
  <c r="DC197" i="87"/>
  <c r="DD197" i="87" s="1"/>
  <c r="DE197" i="87" s="1"/>
  <c r="DG197" i="87" s="1"/>
  <c r="DC198" i="87"/>
  <c r="DD198" i="87" s="1"/>
  <c r="DC199" i="87"/>
  <c r="DD199" i="87" s="1"/>
  <c r="DC205" i="87"/>
  <c r="DD205" i="87" s="1"/>
  <c r="DC208" i="87"/>
  <c r="DD208" i="87" s="1"/>
  <c r="DC211" i="87"/>
  <c r="DD211" i="87" s="1"/>
  <c r="DC212" i="87"/>
  <c r="DD212" i="87" s="1"/>
  <c r="DY185" i="87"/>
  <c r="EA185" i="87" s="1"/>
  <c r="EB185" i="87" s="1"/>
  <c r="ED185" i="87" s="1"/>
  <c r="DW202" i="87"/>
  <c r="DX202" i="87" s="1"/>
  <c r="DY202" i="87" s="1"/>
  <c r="EA202" i="87" s="1"/>
  <c r="EB202" i="87" s="1"/>
  <c r="DW201" i="87"/>
  <c r="DX201" i="87" s="1"/>
  <c r="DY201" i="87" s="1"/>
  <c r="EA201" i="87" s="1"/>
  <c r="DW200" i="87"/>
  <c r="DX200" i="87" s="1"/>
  <c r="DW193" i="87"/>
  <c r="DX193" i="87" s="1"/>
  <c r="DW188" i="87"/>
  <c r="DX188" i="87" s="1"/>
  <c r="DY188" i="87" s="1"/>
  <c r="EA188" i="87" s="1"/>
  <c r="DW189" i="87"/>
  <c r="DX189" i="87" s="1"/>
  <c r="DW190" i="87"/>
  <c r="DX190" i="87" s="1"/>
  <c r="DY190" i="87" s="1"/>
  <c r="EA190" i="87" s="1"/>
  <c r="DW191" i="87"/>
  <c r="DX191" i="87" s="1"/>
  <c r="DY191" i="87" s="1"/>
  <c r="EA191" i="87" s="1"/>
  <c r="DW192" i="87"/>
  <c r="DX192" i="87" s="1"/>
  <c r="DW204" i="87"/>
  <c r="DX204" i="87" s="1"/>
  <c r="DW206" i="87"/>
  <c r="DX206" i="87" s="1"/>
  <c r="DY206" i="87" s="1"/>
  <c r="EA206" i="87" s="1"/>
  <c r="DW209" i="87"/>
  <c r="DX209" i="87" s="1"/>
  <c r="DW210" i="87"/>
  <c r="DX210" i="87" s="1"/>
  <c r="DY210" i="87" s="1"/>
  <c r="EA210" i="87" s="1"/>
  <c r="DW213" i="87"/>
  <c r="DX213" i="87" s="1"/>
  <c r="DW194" i="87"/>
  <c r="DX194" i="87" s="1"/>
  <c r="DW196" i="87"/>
  <c r="DX196" i="87" s="1"/>
  <c r="DW203" i="87"/>
  <c r="DX203" i="87" s="1"/>
  <c r="DW195" i="87"/>
  <c r="DX195" i="87" s="1"/>
  <c r="DW197" i="87"/>
  <c r="DX197" i="87" s="1"/>
  <c r="DY197" i="87" s="1"/>
  <c r="EA197" i="87" s="1"/>
  <c r="DW198" i="87"/>
  <c r="DX198" i="87" s="1"/>
  <c r="DW199" i="87"/>
  <c r="DX199" i="87" s="1"/>
  <c r="DY199" i="87" s="1"/>
  <c r="EA199" i="87" s="1"/>
  <c r="DW205" i="87"/>
  <c r="DX205" i="87" s="1"/>
  <c r="DW207" i="87"/>
  <c r="DX207" i="87" s="1"/>
  <c r="DW208" i="87"/>
  <c r="DX208" i="87" s="1"/>
  <c r="DW211" i="87"/>
  <c r="DX211" i="87" s="1"/>
  <c r="DW212" i="87"/>
  <c r="DX212" i="87" s="1"/>
  <c r="EI185" i="87"/>
  <c r="EK185" i="87" s="1"/>
  <c r="EL185" i="87" s="1"/>
  <c r="EN185" i="87" s="1"/>
  <c r="EG202" i="87"/>
  <c r="EH202" i="87" s="1"/>
  <c r="EI202" i="87" s="1"/>
  <c r="EK202" i="87" s="1"/>
  <c r="EL202" i="87" s="1"/>
  <c r="EG201" i="87"/>
  <c r="EH201" i="87" s="1"/>
  <c r="EI201" i="87" s="1"/>
  <c r="EK201" i="87" s="1"/>
  <c r="EG200" i="87"/>
  <c r="EH200" i="87" s="1"/>
  <c r="EG193" i="87"/>
  <c r="EH193" i="87" s="1"/>
  <c r="EI193" i="87" s="1"/>
  <c r="EK193" i="87" s="1"/>
  <c r="EG196" i="87"/>
  <c r="EH196" i="87" s="1"/>
  <c r="EG195" i="87"/>
  <c r="EH195" i="87" s="1"/>
  <c r="EG197" i="87"/>
  <c r="EH197" i="87" s="1"/>
  <c r="EI197" i="87" s="1"/>
  <c r="EK197" i="87" s="1"/>
  <c r="EG198" i="87"/>
  <c r="EH198" i="87" s="1"/>
  <c r="EG199" i="87"/>
  <c r="EH199" i="87" s="1"/>
  <c r="EI199" i="87" s="1"/>
  <c r="EK199" i="87" s="1"/>
  <c r="EG205" i="87"/>
  <c r="EH205" i="87" s="1"/>
  <c r="EG209" i="87"/>
  <c r="EH209" i="87" s="1"/>
  <c r="EG210" i="87"/>
  <c r="EH210" i="87" s="1"/>
  <c r="EG211" i="87"/>
  <c r="EH211" i="87" s="1"/>
  <c r="EG194" i="87"/>
  <c r="EH194" i="87" s="1"/>
  <c r="EG188" i="87"/>
  <c r="EH188" i="87" s="1"/>
  <c r="EI188" i="87" s="1"/>
  <c r="EK188" i="87" s="1"/>
  <c r="EG189" i="87"/>
  <c r="EH189" i="87" s="1"/>
  <c r="EG190" i="87"/>
  <c r="EH190" i="87" s="1"/>
  <c r="EI190" i="87" s="1"/>
  <c r="EK190" i="87" s="1"/>
  <c r="EL190" i="87" s="1"/>
  <c r="EG191" i="87"/>
  <c r="EH191" i="87" s="1"/>
  <c r="EI191" i="87" s="1"/>
  <c r="EK191" i="87" s="1"/>
  <c r="EG192" i="87"/>
  <c r="EH192" i="87" s="1"/>
  <c r="EG203" i="87"/>
  <c r="EH203" i="87" s="1"/>
  <c r="EG207" i="87"/>
  <c r="EH207" i="87" s="1"/>
  <c r="EG208" i="87"/>
  <c r="EH208" i="87" s="1"/>
  <c r="EG204" i="87"/>
  <c r="EH204" i="87" s="1"/>
  <c r="EG206" i="87"/>
  <c r="EH206" i="87" s="1"/>
  <c r="EI206" i="87" s="1"/>
  <c r="EK206" i="87" s="1"/>
  <c r="EG212" i="87"/>
  <c r="EH212" i="87" s="1"/>
  <c r="EG213" i="87"/>
  <c r="EH213" i="87" s="1"/>
  <c r="ES185" i="87"/>
  <c r="EU185" i="87" s="1"/>
  <c r="EV185" i="87" s="1"/>
  <c r="EX185" i="87" s="1"/>
  <c r="EQ202" i="87"/>
  <c r="ER202" i="87" s="1"/>
  <c r="ES202" i="87" s="1"/>
  <c r="EU202" i="87" s="1"/>
  <c r="EQ201" i="87"/>
  <c r="ER201" i="87" s="1"/>
  <c r="ES201" i="87" s="1"/>
  <c r="EU201" i="87" s="1"/>
  <c r="EQ200" i="87"/>
  <c r="ER200" i="87" s="1"/>
  <c r="EQ193" i="87"/>
  <c r="ER193" i="87" s="1"/>
  <c r="ES193" i="87" s="1"/>
  <c r="EU193" i="87" s="1"/>
  <c r="EQ188" i="87"/>
  <c r="ER188" i="87" s="1"/>
  <c r="ES188" i="87" s="1"/>
  <c r="EU188" i="87" s="1"/>
  <c r="EQ189" i="87"/>
  <c r="ER189" i="87" s="1"/>
  <c r="EQ190" i="87"/>
  <c r="ER190" i="87" s="1"/>
  <c r="ES190" i="87" s="1"/>
  <c r="EU190" i="87" s="1"/>
  <c r="EQ191" i="87"/>
  <c r="ER191" i="87" s="1"/>
  <c r="ES191" i="87" s="1"/>
  <c r="EU191" i="87" s="1"/>
  <c r="EQ192" i="87"/>
  <c r="ER192" i="87" s="1"/>
  <c r="EQ204" i="87"/>
  <c r="ER204" i="87" s="1"/>
  <c r="EQ206" i="87"/>
  <c r="ER206" i="87" s="1"/>
  <c r="ES206" i="87" s="1"/>
  <c r="EU206" i="87" s="1"/>
  <c r="EQ209" i="87"/>
  <c r="ER209" i="87" s="1"/>
  <c r="EQ210" i="87"/>
  <c r="ER210" i="87" s="1"/>
  <c r="ES210" i="87" s="1"/>
  <c r="EU210" i="87" s="1"/>
  <c r="EQ213" i="87"/>
  <c r="ER213" i="87" s="1"/>
  <c r="EQ194" i="87"/>
  <c r="ER194" i="87" s="1"/>
  <c r="EQ196" i="87"/>
  <c r="ER196" i="87" s="1"/>
  <c r="EQ203" i="87"/>
  <c r="ER203" i="87" s="1"/>
  <c r="EQ195" i="87"/>
  <c r="ER195" i="87" s="1"/>
  <c r="EQ197" i="87"/>
  <c r="ER197" i="87" s="1"/>
  <c r="ES197" i="87" s="1"/>
  <c r="EU197" i="87" s="1"/>
  <c r="EQ198" i="87"/>
  <c r="ER198" i="87" s="1"/>
  <c r="EQ199" i="87"/>
  <c r="ER199" i="87" s="1"/>
  <c r="EQ205" i="87"/>
  <c r="ER205" i="87" s="1"/>
  <c r="EQ207" i="87"/>
  <c r="ER207" i="87" s="1"/>
  <c r="EQ208" i="87"/>
  <c r="ER208" i="87" s="1"/>
  <c r="EQ211" i="87"/>
  <c r="ER211" i="87" s="1"/>
  <c r="ES211" i="87" s="1"/>
  <c r="EU211" i="87" s="1"/>
  <c r="EQ212" i="87"/>
  <c r="ER212" i="87" s="1"/>
  <c r="GQ185" i="87"/>
  <c r="GS185" i="87" s="1"/>
  <c r="GT185" i="87" s="1"/>
  <c r="GV185" i="87" s="1"/>
  <c r="GO202" i="87"/>
  <c r="GP202" i="87" s="1"/>
  <c r="GQ202" i="87" s="1"/>
  <c r="GS202" i="87" s="1"/>
  <c r="GT202" i="87" s="1"/>
  <c r="GO201" i="87"/>
  <c r="GP201" i="87" s="1"/>
  <c r="GQ201" i="87" s="1"/>
  <c r="GS201" i="87" s="1"/>
  <c r="GO200" i="87"/>
  <c r="GP200" i="87" s="1"/>
  <c r="GO199" i="87"/>
  <c r="GP199" i="87" s="1"/>
  <c r="GQ199" i="87" s="1"/>
  <c r="GS199" i="87" s="1"/>
  <c r="GO196" i="87"/>
  <c r="GP196" i="87" s="1"/>
  <c r="GO195" i="87"/>
  <c r="GP195" i="87" s="1"/>
  <c r="GO197" i="87"/>
  <c r="GP197" i="87" s="1"/>
  <c r="GQ197" i="87" s="1"/>
  <c r="GS197" i="87" s="1"/>
  <c r="GO198" i="87"/>
  <c r="GP198" i="87" s="1"/>
  <c r="GO205" i="87"/>
  <c r="GP205" i="87" s="1"/>
  <c r="GO208" i="87"/>
  <c r="GP208" i="87" s="1"/>
  <c r="GO209" i="87"/>
  <c r="GP209" i="87" s="1"/>
  <c r="GO210" i="87"/>
  <c r="GP210" i="87" s="1"/>
  <c r="GO211" i="87"/>
  <c r="GP211" i="87" s="1"/>
  <c r="GO193" i="87"/>
  <c r="GP193" i="87" s="1"/>
  <c r="GO194" i="87"/>
  <c r="GP194" i="87" s="1"/>
  <c r="GO188" i="87"/>
  <c r="GP188" i="87" s="1"/>
  <c r="GQ188" i="87" s="1"/>
  <c r="GS188" i="87" s="1"/>
  <c r="GO189" i="87"/>
  <c r="GP189" i="87" s="1"/>
  <c r="GO190" i="87"/>
  <c r="GP190" i="87" s="1"/>
  <c r="GQ190" i="87" s="1"/>
  <c r="GS190" i="87" s="1"/>
  <c r="GO191" i="87"/>
  <c r="GP191" i="87" s="1"/>
  <c r="GQ191" i="87" s="1"/>
  <c r="GS191" i="87" s="1"/>
  <c r="GO192" i="87"/>
  <c r="GP192" i="87" s="1"/>
  <c r="GO203" i="87"/>
  <c r="GP203" i="87" s="1"/>
  <c r="GO207" i="87"/>
  <c r="GP207" i="87" s="1"/>
  <c r="GO204" i="87"/>
  <c r="GP204" i="87" s="1"/>
  <c r="GO206" i="87"/>
  <c r="GP206" i="87" s="1"/>
  <c r="GQ206" i="87" s="1"/>
  <c r="GS206" i="87" s="1"/>
  <c r="GO212" i="87"/>
  <c r="GP212" i="87" s="1"/>
  <c r="GO213" i="87"/>
  <c r="GP213" i="87" s="1"/>
  <c r="HU185" i="87"/>
  <c r="HW185" i="87" s="1"/>
  <c r="HX185" i="87" s="1"/>
  <c r="HZ185" i="87" s="1"/>
  <c r="HS202" i="87"/>
  <c r="HT202" i="87" s="1"/>
  <c r="HU202" i="87" s="1"/>
  <c r="HW202" i="87" s="1"/>
  <c r="HX202" i="87" s="1"/>
  <c r="HS201" i="87"/>
  <c r="HT201" i="87" s="1"/>
  <c r="HU201" i="87" s="1"/>
  <c r="HW201" i="87" s="1"/>
  <c r="HS200" i="87"/>
  <c r="HT200" i="87" s="1"/>
  <c r="HS199" i="87"/>
  <c r="HT199" i="87" s="1"/>
  <c r="HS192" i="87"/>
  <c r="HT192" i="87" s="1"/>
  <c r="HS188" i="87"/>
  <c r="HT188" i="87" s="1"/>
  <c r="HU188" i="87" s="1"/>
  <c r="HW188" i="87" s="1"/>
  <c r="HS189" i="87"/>
  <c r="HT189" i="87" s="1"/>
  <c r="HS190" i="87"/>
  <c r="HT190" i="87" s="1"/>
  <c r="HS191" i="87"/>
  <c r="HT191" i="87" s="1"/>
  <c r="HU191" i="87" s="1"/>
  <c r="HW191" i="87" s="1"/>
  <c r="HS204" i="87"/>
  <c r="HT204" i="87" s="1"/>
  <c r="HS206" i="87"/>
  <c r="HT206" i="87" s="1"/>
  <c r="HU206" i="87" s="1"/>
  <c r="HW206" i="87" s="1"/>
  <c r="HS208" i="87"/>
  <c r="HT208" i="87" s="1"/>
  <c r="HS209" i="87"/>
  <c r="HT209" i="87" s="1"/>
  <c r="HS213" i="87"/>
  <c r="HT213" i="87" s="1"/>
  <c r="HS193" i="87"/>
  <c r="HT193" i="87" s="1"/>
  <c r="HU193" i="87" s="1"/>
  <c r="HW193" i="87" s="1"/>
  <c r="HS194" i="87"/>
  <c r="HT194" i="87" s="1"/>
  <c r="HS196" i="87"/>
  <c r="HT196" i="87" s="1"/>
  <c r="HS203" i="87"/>
  <c r="HT203" i="87" s="1"/>
  <c r="HS195" i="87"/>
  <c r="HT195" i="87" s="1"/>
  <c r="HS197" i="87"/>
  <c r="HT197" i="87" s="1"/>
  <c r="HU197" i="87" s="1"/>
  <c r="HW197" i="87" s="1"/>
  <c r="HS198" i="87"/>
  <c r="HT198" i="87" s="1"/>
  <c r="HS205" i="87"/>
  <c r="HT205" i="87" s="1"/>
  <c r="HS207" i="87"/>
  <c r="HT207" i="87" s="1"/>
  <c r="HS210" i="87"/>
  <c r="HT210" i="87" s="1"/>
  <c r="HU210" i="87" s="1"/>
  <c r="HW210" i="87" s="1"/>
  <c r="HX210" i="87" s="1"/>
  <c r="HS211" i="87"/>
  <c r="HT211" i="87" s="1"/>
  <c r="HS212" i="87"/>
  <c r="HT212" i="87" s="1"/>
  <c r="JS185" i="87"/>
  <c r="JU185" i="87" s="1"/>
  <c r="JV185" i="87" s="1"/>
  <c r="JX185" i="87" s="1"/>
  <c r="JQ201" i="87"/>
  <c r="JR201" i="87" s="1"/>
  <c r="JS201" i="87" s="1"/>
  <c r="JU201" i="87" s="1"/>
  <c r="JQ200" i="87"/>
  <c r="JR200" i="87" s="1"/>
  <c r="JQ199" i="87"/>
  <c r="JR199" i="87" s="1"/>
  <c r="JS199" i="87" s="1"/>
  <c r="JU199" i="87" s="1"/>
  <c r="JQ192" i="87"/>
  <c r="JR192" i="87" s="1"/>
  <c r="JQ196" i="87"/>
  <c r="JR196" i="87" s="1"/>
  <c r="JQ195" i="87"/>
  <c r="JR195" i="87" s="1"/>
  <c r="JQ197" i="87"/>
  <c r="JR197" i="87" s="1"/>
  <c r="JS197" i="87" s="1"/>
  <c r="JU197" i="87" s="1"/>
  <c r="JQ198" i="87"/>
  <c r="JR198" i="87" s="1"/>
  <c r="JQ205" i="87"/>
  <c r="JR205" i="87" s="1"/>
  <c r="JQ208" i="87"/>
  <c r="JR208" i="87" s="1"/>
  <c r="JQ209" i="87"/>
  <c r="JR209" i="87" s="1"/>
  <c r="JQ210" i="87"/>
  <c r="JR210" i="87" s="1"/>
  <c r="JS210" i="87" s="1"/>
  <c r="JU210" i="87" s="1"/>
  <c r="JQ193" i="87"/>
  <c r="JR193" i="87" s="1"/>
  <c r="JS193" i="87" s="1"/>
  <c r="JU193" i="87" s="1"/>
  <c r="JQ194" i="87"/>
  <c r="JR194" i="87" s="1"/>
  <c r="JQ188" i="87"/>
  <c r="JR188" i="87" s="1"/>
  <c r="JS188" i="87" s="1"/>
  <c r="JU188" i="87" s="1"/>
  <c r="JQ189" i="87"/>
  <c r="JR189" i="87" s="1"/>
  <c r="JQ190" i="87"/>
  <c r="JR190" i="87" s="1"/>
  <c r="JS190" i="87" s="1"/>
  <c r="JU190" i="87" s="1"/>
  <c r="JQ191" i="87"/>
  <c r="JR191" i="87" s="1"/>
  <c r="JS191" i="87" s="1"/>
  <c r="JU191" i="87" s="1"/>
  <c r="JQ202" i="87"/>
  <c r="JR202" i="87" s="1"/>
  <c r="JS202" i="87" s="1"/>
  <c r="JU202" i="87" s="1"/>
  <c r="JV202" i="87" s="1"/>
  <c r="JQ203" i="87"/>
  <c r="JR203" i="87" s="1"/>
  <c r="JQ207" i="87"/>
  <c r="JR207" i="87" s="1"/>
  <c r="JQ204" i="87"/>
  <c r="JR204" i="87" s="1"/>
  <c r="JQ206" i="87"/>
  <c r="JR206" i="87" s="1"/>
  <c r="JS206" i="87" s="1"/>
  <c r="JU206" i="87" s="1"/>
  <c r="JQ211" i="87"/>
  <c r="JR211" i="87" s="1"/>
  <c r="JS211" i="87" s="1"/>
  <c r="JU211" i="87" s="1"/>
  <c r="JV211" i="87" s="1"/>
  <c r="JQ212" i="87"/>
  <c r="JR212" i="87" s="1"/>
  <c r="JQ213" i="87"/>
  <c r="JR213" i="87" s="1"/>
  <c r="FF201" i="87"/>
  <c r="GJ201" i="87"/>
  <c r="S185" i="87"/>
  <c r="U185" i="87" s="1"/>
  <c r="V185" i="87" s="1"/>
  <c r="X185" i="87" s="1"/>
  <c r="Q202" i="87"/>
  <c r="R202" i="87" s="1"/>
  <c r="Q201" i="87"/>
  <c r="R201" i="87" s="1"/>
  <c r="S201" i="87" s="1"/>
  <c r="U201" i="87" s="1"/>
  <c r="Q200" i="87"/>
  <c r="R200" i="87" s="1"/>
  <c r="Q193" i="87"/>
  <c r="R193" i="87" s="1"/>
  <c r="Q196" i="87"/>
  <c r="R196" i="87" s="1"/>
  <c r="Q197" i="87"/>
  <c r="R197" i="87" s="1"/>
  <c r="S197" i="87" s="1"/>
  <c r="U197" i="87" s="1"/>
  <c r="Q198" i="87"/>
  <c r="R198" i="87" s="1"/>
  <c r="Q199" i="87"/>
  <c r="R199" i="87" s="1"/>
  <c r="Q205" i="87"/>
  <c r="R205" i="87" s="1"/>
  <c r="Q209" i="87"/>
  <c r="R209" i="87" s="1"/>
  <c r="Q210" i="87"/>
  <c r="R210" i="87" s="1"/>
  <c r="Q211" i="87"/>
  <c r="R211" i="87" s="1"/>
  <c r="Q194" i="87"/>
  <c r="R194" i="87" s="1"/>
  <c r="Q195" i="87"/>
  <c r="R195" i="87" s="1"/>
  <c r="Q188" i="87"/>
  <c r="R188" i="87" s="1"/>
  <c r="S188" i="87" s="1"/>
  <c r="U188" i="87" s="1"/>
  <c r="Q189" i="87"/>
  <c r="R189" i="87" s="1"/>
  <c r="S189" i="87" s="1"/>
  <c r="U189" i="87" s="1"/>
  <c r="V189" i="87" s="1"/>
  <c r="Q190" i="87"/>
  <c r="R190" i="87" s="1"/>
  <c r="Q191" i="87"/>
  <c r="R191" i="87" s="1"/>
  <c r="S191" i="87" s="1"/>
  <c r="U191" i="87" s="1"/>
  <c r="Q192" i="87"/>
  <c r="R192" i="87" s="1"/>
  <c r="S192" i="87" s="1"/>
  <c r="U192" i="87" s="1"/>
  <c r="V192" i="87" s="1"/>
  <c r="Q203" i="87"/>
  <c r="R203" i="87" s="1"/>
  <c r="Q204" i="87"/>
  <c r="R204" i="87" s="1"/>
  <c r="Q208" i="87"/>
  <c r="R208" i="87" s="1"/>
  <c r="Q206" i="87"/>
  <c r="R206" i="87" s="1"/>
  <c r="S206" i="87" s="1"/>
  <c r="U206" i="87" s="1"/>
  <c r="Q207" i="87"/>
  <c r="R207" i="87" s="1"/>
  <c r="Q212" i="87"/>
  <c r="R212" i="87" s="1"/>
  <c r="Q213" i="87"/>
  <c r="R213" i="87" s="1"/>
  <c r="AW185" i="87"/>
  <c r="AY185" i="87" s="1"/>
  <c r="AZ185" i="87" s="1"/>
  <c r="BB185" i="87" s="1"/>
  <c r="AU202" i="87"/>
  <c r="AV202" i="87" s="1"/>
  <c r="AW202" i="87" s="1"/>
  <c r="AY202" i="87" s="1"/>
  <c r="AU201" i="87"/>
  <c r="AV201" i="87" s="1"/>
  <c r="AW201" i="87" s="1"/>
  <c r="AY201" i="87" s="1"/>
  <c r="AU200" i="87"/>
  <c r="AV200" i="87" s="1"/>
  <c r="AU193" i="87"/>
  <c r="AV193" i="87" s="1"/>
  <c r="AW193" i="87" s="1"/>
  <c r="AY193" i="87" s="1"/>
  <c r="AU188" i="87"/>
  <c r="AV188" i="87" s="1"/>
  <c r="AW188" i="87" s="1"/>
  <c r="AY188" i="87" s="1"/>
  <c r="AU189" i="87"/>
  <c r="AV189" i="87" s="1"/>
  <c r="AU190" i="87"/>
  <c r="AV190" i="87" s="1"/>
  <c r="AW190" i="87" s="1"/>
  <c r="AY190" i="87" s="1"/>
  <c r="AU191" i="87"/>
  <c r="AV191" i="87" s="1"/>
  <c r="AW191" i="87" s="1"/>
  <c r="AY191" i="87" s="1"/>
  <c r="AU192" i="87"/>
  <c r="AV192" i="87" s="1"/>
  <c r="AU204" i="87"/>
  <c r="AV204" i="87" s="1"/>
  <c r="AU206" i="87"/>
  <c r="AV206" i="87" s="1"/>
  <c r="AW206" i="87" s="1"/>
  <c r="AY206" i="87" s="1"/>
  <c r="AU207" i="87"/>
  <c r="AV207" i="87" s="1"/>
  <c r="AU209" i="87"/>
  <c r="AV209" i="87" s="1"/>
  <c r="AU210" i="87"/>
  <c r="AV210" i="87" s="1"/>
  <c r="AW210" i="87" s="1"/>
  <c r="AY210" i="87" s="1"/>
  <c r="AZ210" i="87" s="1"/>
  <c r="AU213" i="87"/>
  <c r="AV213" i="87" s="1"/>
  <c r="AU194" i="87"/>
  <c r="AV194" i="87" s="1"/>
  <c r="AU196" i="87"/>
  <c r="AV196" i="87" s="1"/>
  <c r="AU203" i="87"/>
  <c r="AV203" i="87" s="1"/>
  <c r="AU195" i="87"/>
  <c r="AV195" i="87" s="1"/>
  <c r="AU197" i="87"/>
  <c r="AV197" i="87" s="1"/>
  <c r="AW197" i="87" s="1"/>
  <c r="AY197" i="87" s="1"/>
  <c r="AU198" i="87"/>
  <c r="AV198" i="87" s="1"/>
  <c r="AU199" i="87"/>
  <c r="AV199" i="87" s="1"/>
  <c r="AW199" i="87" s="1"/>
  <c r="AY199" i="87" s="1"/>
  <c r="AU205" i="87"/>
  <c r="AV205" i="87" s="1"/>
  <c r="AU208" i="87"/>
  <c r="AV208" i="87" s="1"/>
  <c r="AU211" i="87"/>
  <c r="AV211" i="87" s="1"/>
  <c r="AW211" i="87" s="1"/>
  <c r="AY211" i="87" s="1"/>
  <c r="AZ211" i="87" s="1"/>
  <c r="AU212" i="87"/>
  <c r="AV212" i="87" s="1"/>
  <c r="BG185" i="87"/>
  <c r="BI185" i="87" s="1"/>
  <c r="BJ185" i="87" s="1"/>
  <c r="BL185" i="87" s="1"/>
  <c r="BE202" i="87"/>
  <c r="BF202" i="87" s="1"/>
  <c r="BE201" i="87"/>
  <c r="BF201" i="87" s="1"/>
  <c r="BG201" i="87" s="1"/>
  <c r="BI201" i="87" s="1"/>
  <c r="BJ201" i="87" s="1"/>
  <c r="BE200" i="87"/>
  <c r="BF200" i="87" s="1"/>
  <c r="BE193" i="87"/>
  <c r="BF193" i="87" s="1"/>
  <c r="BE196" i="87"/>
  <c r="BF196" i="87" s="1"/>
  <c r="BE195" i="87"/>
  <c r="BF195" i="87" s="1"/>
  <c r="BE197" i="87"/>
  <c r="BF197" i="87" s="1"/>
  <c r="BG197" i="87" s="1"/>
  <c r="BI197" i="87" s="1"/>
  <c r="BE198" i="87"/>
  <c r="BF198" i="87" s="1"/>
  <c r="BE199" i="87"/>
  <c r="BF199" i="87" s="1"/>
  <c r="BE205" i="87"/>
  <c r="BF205" i="87" s="1"/>
  <c r="BE209" i="87"/>
  <c r="BF209" i="87" s="1"/>
  <c r="BE210" i="87"/>
  <c r="BF210" i="87" s="1"/>
  <c r="BE211" i="87"/>
  <c r="BF211" i="87" s="1"/>
  <c r="BE194" i="87"/>
  <c r="BF194" i="87" s="1"/>
  <c r="BE188" i="87"/>
  <c r="BF188" i="87" s="1"/>
  <c r="BG188" i="87" s="1"/>
  <c r="BI188" i="87" s="1"/>
  <c r="BE189" i="87"/>
  <c r="BF189" i="87" s="1"/>
  <c r="BE190" i="87"/>
  <c r="BF190" i="87" s="1"/>
  <c r="BE191" i="87"/>
  <c r="BF191" i="87" s="1"/>
  <c r="BE192" i="87"/>
  <c r="BF192" i="87" s="1"/>
  <c r="BE203" i="87"/>
  <c r="BF203" i="87" s="1"/>
  <c r="BE208" i="87"/>
  <c r="BF208" i="87" s="1"/>
  <c r="BE204" i="87"/>
  <c r="BF204" i="87" s="1"/>
  <c r="BE206" i="87"/>
  <c r="BF206" i="87" s="1"/>
  <c r="BG206" i="87" s="1"/>
  <c r="BI206" i="87" s="1"/>
  <c r="BE207" i="87"/>
  <c r="BF207" i="87" s="1"/>
  <c r="BE212" i="87"/>
  <c r="BF212" i="87" s="1"/>
  <c r="BE213" i="87"/>
  <c r="BF213" i="87" s="1"/>
  <c r="DO185" i="87"/>
  <c r="DQ185" i="87" s="1"/>
  <c r="DR185" i="87" s="1"/>
  <c r="DT185" i="87" s="1"/>
  <c r="DM202" i="87"/>
  <c r="DN202" i="87" s="1"/>
  <c r="DM201" i="87"/>
  <c r="DN201" i="87" s="1"/>
  <c r="DO201" i="87" s="1"/>
  <c r="DQ201" i="87" s="1"/>
  <c r="DR201" i="87" s="1"/>
  <c r="DM200" i="87"/>
  <c r="DN200" i="87" s="1"/>
  <c r="DM193" i="87"/>
  <c r="DN193" i="87" s="1"/>
  <c r="DM196" i="87"/>
  <c r="DN196" i="87" s="1"/>
  <c r="DM195" i="87"/>
  <c r="DN195" i="87" s="1"/>
  <c r="DM197" i="87"/>
  <c r="DN197" i="87" s="1"/>
  <c r="DM198" i="87"/>
  <c r="DN198" i="87" s="1"/>
  <c r="DM199" i="87"/>
  <c r="DN199" i="87" s="1"/>
  <c r="DO199" i="87" s="1"/>
  <c r="DQ199" i="87" s="1"/>
  <c r="DM205" i="87"/>
  <c r="DN205" i="87" s="1"/>
  <c r="DM209" i="87"/>
  <c r="DN209" i="87" s="1"/>
  <c r="DM210" i="87"/>
  <c r="DN210" i="87" s="1"/>
  <c r="DM211" i="87"/>
  <c r="DN211" i="87" s="1"/>
  <c r="DM194" i="87"/>
  <c r="DN194" i="87" s="1"/>
  <c r="DM188" i="87"/>
  <c r="DN188" i="87" s="1"/>
  <c r="DM189" i="87"/>
  <c r="DN189" i="87" s="1"/>
  <c r="DM190" i="87"/>
  <c r="DN190" i="87" s="1"/>
  <c r="DM191" i="87"/>
  <c r="DN191" i="87" s="1"/>
  <c r="DM192" i="87"/>
  <c r="DN192" i="87" s="1"/>
  <c r="DM203" i="87"/>
  <c r="DN203" i="87" s="1"/>
  <c r="DO203" i="87" s="1"/>
  <c r="DQ203" i="87" s="1"/>
  <c r="DM207" i="87"/>
  <c r="DN207" i="87" s="1"/>
  <c r="DM208" i="87"/>
  <c r="DN208" i="87" s="1"/>
  <c r="DM204" i="87"/>
  <c r="DN204" i="87" s="1"/>
  <c r="DO204" i="87" s="1"/>
  <c r="DQ204" i="87" s="1"/>
  <c r="DR204" i="87" s="1"/>
  <c r="DM206" i="87"/>
  <c r="DN206" i="87" s="1"/>
  <c r="DM212" i="87"/>
  <c r="DN212" i="87" s="1"/>
  <c r="DO212" i="87" s="1"/>
  <c r="DQ212" i="87" s="1"/>
  <c r="DM213" i="87"/>
  <c r="DN213" i="87" s="1"/>
  <c r="FM185" i="87"/>
  <c r="FO185" i="87" s="1"/>
  <c r="FP185" i="87" s="1"/>
  <c r="FR185" i="87" s="1"/>
  <c r="FK202" i="87"/>
  <c r="FL202" i="87" s="1"/>
  <c r="FK201" i="87"/>
  <c r="FL201" i="87" s="1"/>
  <c r="FM201" i="87" s="1"/>
  <c r="FO201" i="87" s="1"/>
  <c r="FK200" i="87"/>
  <c r="FL200" i="87" s="1"/>
  <c r="FK188" i="87"/>
  <c r="FL188" i="87" s="1"/>
  <c r="FM188" i="87" s="1"/>
  <c r="FO188" i="87" s="1"/>
  <c r="FK189" i="87"/>
  <c r="FL189" i="87" s="1"/>
  <c r="FK190" i="87"/>
  <c r="FL190" i="87" s="1"/>
  <c r="FK191" i="87"/>
  <c r="FL191" i="87" s="1"/>
  <c r="FM191" i="87" s="1"/>
  <c r="FO191" i="87" s="1"/>
  <c r="FK192" i="87"/>
  <c r="FL192" i="87" s="1"/>
  <c r="FK204" i="87"/>
  <c r="FL204" i="87" s="1"/>
  <c r="FK206" i="87"/>
  <c r="FL206" i="87" s="1"/>
  <c r="FM206" i="87" s="1"/>
  <c r="FO206" i="87" s="1"/>
  <c r="FK209" i="87"/>
  <c r="FL209" i="87" s="1"/>
  <c r="FK210" i="87"/>
  <c r="FL210" i="87" s="1"/>
  <c r="FK213" i="87"/>
  <c r="FL213" i="87" s="1"/>
  <c r="FK193" i="87"/>
  <c r="FL193" i="87" s="1"/>
  <c r="FM193" i="87" s="1"/>
  <c r="FO193" i="87" s="1"/>
  <c r="FP193" i="87" s="1"/>
  <c r="FK194" i="87"/>
  <c r="FL194" i="87" s="1"/>
  <c r="FK196" i="87"/>
  <c r="FL196" i="87" s="1"/>
  <c r="FK203" i="87"/>
  <c r="FL203" i="87" s="1"/>
  <c r="FK195" i="87"/>
  <c r="FL195" i="87" s="1"/>
  <c r="FK197" i="87"/>
  <c r="FL197" i="87" s="1"/>
  <c r="FM197" i="87" s="1"/>
  <c r="FO197" i="87" s="1"/>
  <c r="FK198" i="87"/>
  <c r="FL198" i="87" s="1"/>
  <c r="FK199" i="87"/>
  <c r="FL199" i="87" s="1"/>
  <c r="FK205" i="87"/>
  <c r="FL205" i="87" s="1"/>
  <c r="FK207" i="87"/>
  <c r="FL207" i="87" s="1"/>
  <c r="FK208" i="87"/>
  <c r="FL208" i="87" s="1"/>
  <c r="FK211" i="87"/>
  <c r="FL211" i="87" s="1"/>
  <c r="FK212" i="87"/>
  <c r="FL212" i="87" s="1"/>
  <c r="HA185" i="87"/>
  <c r="HC185" i="87" s="1"/>
  <c r="HD185" i="87" s="1"/>
  <c r="HF185" i="87" s="1"/>
  <c r="GY202" i="87"/>
  <c r="GZ202" i="87" s="1"/>
  <c r="GY201" i="87"/>
  <c r="GZ201" i="87" s="1"/>
  <c r="HA201" i="87" s="1"/>
  <c r="HC201" i="87" s="1"/>
  <c r="GY200" i="87"/>
  <c r="GZ200" i="87" s="1"/>
  <c r="GY199" i="87"/>
  <c r="GZ199" i="87" s="1"/>
  <c r="GY192" i="87"/>
  <c r="GZ192" i="87" s="1"/>
  <c r="GY188" i="87"/>
  <c r="GZ188" i="87" s="1"/>
  <c r="HA188" i="87" s="1"/>
  <c r="HC188" i="87" s="1"/>
  <c r="GY189" i="87"/>
  <c r="GZ189" i="87" s="1"/>
  <c r="GY190" i="87"/>
  <c r="GZ190" i="87" s="1"/>
  <c r="GY191" i="87"/>
  <c r="GZ191" i="87" s="1"/>
  <c r="HA191" i="87" s="1"/>
  <c r="HC191" i="87" s="1"/>
  <c r="GY204" i="87"/>
  <c r="GZ204" i="87" s="1"/>
  <c r="GY206" i="87"/>
  <c r="GZ206" i="87" s="1"/>
  <c r="HA206" i="87" s="1"/>
  <c r="HC206" i="87" s="1"/>
  <c r="GY208" i="87"/>
  <c r="GZ208" i="87" s="1"/>
  <c r="GY209" i="87"/>
  <c r="GZ209" i="87" s="1"/>
  <c r="GY210" i="87"/>
  <c r="GZ210" i="87" s="1"/>
  <c r="HA210" i="87" s="1"/>
  <c r="HC210" i="87" s="1"/>
  <c r="GY213" i="87"/>
  <c r="GZ213" i="87" s="1"/>
  <c r="GY193" i="87"/>
  <c r="GZ193" i="87" s="1"/>
  <c r="HA193" i="87" s="1"/>
  <c r="HC193" i="87" s="1"/>
  <c r="HD193" i="87" s="1"/>
  <c r="GY194" i="87"/>
  <c r="GZ194" i="87" s="1"/>
  <c r="GY196" i="87"/>
  <c r="GZ196" i="87" s="1"/>
  <c r="GY203" i="87"/>
  <c r="GZ203" i="87" s="1"/>
  <c r="GY195" i="87"/>
  <c r="GZ195" i="87" s="1"/>
  <c r="GY197" i="87"/>
  <c r="GZ197" i="87" s="1"/>
  <c r="HA197" i="87" s="1"/>
  <c r="HC197" i="87" s="1"/>
  <c r="GY198" i="87"/>
  <c r="GZ198" i="87" s="1"/>
  <c r="GY205" i="87"/>
  <c r="GZ205" i="87" s="1"/>
  <c r="GY207" i="87"/>
  <c r="GZ207" i="87" s="1"/>
  <c r="GY211" i="87"/>
  <c r="GZ211" i="87" s="1"/>
  <c r="GY212" i="87"/>
  <c r="GZ212" i="87" s="1"/>
  <c r="HK185" i="87"/>
  <c r="HM185" i="87" s="1"/>
  <c r="HN185" i="87" s="1"/>
  <c r="HP185" i="87" s="1"/>
  <c r="HI202" i="87"/>
  <c r="HJ202" i="87" s="1"/>
  <c r="HK202" i="87" s="1"/>
  <c r="HM202" i="87" s="1"/>
  <c r="HN202" i="87" s="1"/>
  <c r="HI201" i="87"/>
  <c r="HJ201" i="87" s="1"/>
  <c r="HK201" i="87" s="1"/>
  <c r="HM201" i="87" s="1"/>
  <c r="HI200" i="87"/>
  <c r="HJ200" i="87" s="1"/>
  <c r="HI199" i="87"/>
  <c r="HJ199" i="87" s="1"/>
  <c r="HK199" i="87" s="1"/>
  <c r="HM199" i="87" s="1"/>
  <c r="HI192" i="87"/>
  <c r="HJ192" i="87" s="1"/>
  <c r="HI196" i="87"/>
  <c r="HJ196" i="87" s="1"/>
  <c r="HI195" i="87"/>
  <c r="HJ195" i="87" s="1"/>
  <c r="HI197" i="87"/>
  <c r="HJ197" i="87" s="1"/>
  <c r="HK197" i="87" s="1"/>
  <c r="HM197" i="87" s="1"/>
  <c r="HI198" i="87"/>
  <c r="HJ198" i="87" s="1"/>
  <c r="HI205" i="87"/>
  <c r="HJ205" i="87" s="1"/>
  <c r="HI208" i="87"/>
  <c r="HJ208" i="87" s="1"/>
  <c r="HI209" i="87"/>
  <c r="HJ209" i="87" s="1"/>
  <c r="HI210" i="87"/>
  <c r="HJ210" i="87" s="1"/>
  <c r="HK210" i="87" s="1"/>
  <c r="HM210" i="87" s="1"/>
  <c r="HI211" i="87"/>
  <c r="HJ211" i="87" s="1"/>
  <c r="HI193" i="87"/>
  <c r="HJ193" i="87" s="1"/>
  <c r="HK193" i="87" s="1"/>
  <c r="HM193" i="87" s="1"/>
  <c r="HN193" i="87" s="1"/>
  <c r="HI194" i="87"/>
  <c r="HJ194" i="87" s="1"/>
  <c r="HI188" i="87"/>
  <c r="HJ188" i="87" s="1"/>
  <c r="HK188" i="87" s="1"/>
  <c r="HM188" i="87" s="1"/>
  <c r="HI189" i="87"/>
  <c r="HJ189" i="87" s="1"/>
  <c r="HI190" i="87"/>
  <c r="HJ190" i="87" s="1"/>
  <c r="HK190" i="87" s="1"/>
  <c r="HM190" i="87" s="1"/>
  <c r="HI191" i="87"/>
  <c r="HJ191" i="87" s="1"/>
  <c r="HK191" i="87" s="1"/>
  <c r="HM191" i="87" s="1"/>
  <c r="HI203" i="87"/>
  <c r="HJ203" i="87" s="1"/>
  <c r="HI207" i="87"/>
  <c r="HJ207" i="87" s="1"/>
  <c r="HI204" i="87"/>
  <c r="HJ204" i="87" s="1"/>
  <c r="HI206" i="87"/>
  <c r="HJ206" i="87" s="1"/>
  <c r="HK206" i="87" s="1"/>
  <c r="HM206" i="87" s="1"/>
  <c r="HI212" i="87"/>
  <c r="HJ212" i="87" s="1"/>
  <c r="HI213" i="87"/>
  <c r="HJ213" i="87" s="1"/>
  <c r="IY185" i="87"/>
  <c r="JA185" i="87" s="1"/>
  <c r="JB185" i="87" s="1"/>
  <c r="IW201" i="87"/>
  <c r="IX201" i="87" s="1"/>
  <c r="IY201" i="87" s="1"/>
  <c r="JA201" i="87" s="1"/>
  <c r="IW200" i="87"/>
  <c r="IX200" i="87" s="1"/>
  <c r="IW199" i="87"/>
  <c r="IX199" i="87" s="1"/>
  <c r="IW192" i="87"/>
  <c r="IX192" i="87" s="1"/>
  <c r="IW196" i="87"/>
  <c r="IX196" i="87" s="1"/>
  <c r="IW195" i="87"/>
  <c r="IX195" i="87" s="1"/>
  <c r="IW197" i="87"/>
  <c r="IX197" i="87" s="1"/>
  <c r="IY197" i="87" s="1"/>
  <c r="JA197" i="87" s="1"/>
  <c r="IW198" i="87"/>
  <c r="IX198" i="87" s="1"/>
  <c r="IW205" i="87"/>
  <c r="IX205" i="87" s="1"/>
  <c r="IW208" i="87"/>
  <c r="IX208" i="87" s="1"/>
  <c r="IW209" i="87"/>
  <c r="IX209" i="87" s="1"/>
  <c r="IW210" i="87"/>
  <c r="IX210" i="87" s="1"/>
  <c r="IW211" i="87"/>
  <c r="IX211" i="87" s="1"/>
  <c r="IW193" i="87"/>
  <c r="IX193" i="87" s="1"/>
  <c r="IY193" i="87" s="1"/>
  <c r="JA193" i="87" s="1"/>
  <c r="IW194" i="87"/>
  <c r="IX194" i="87" s="1"/>
  <c r="IW188" i="87"/>
  <c r="IX188" i="87" s="1"/>
  <c r="IW189" i="87"/>
  <c r="IX189" i="87" s="1"/>
  <c r="IW190" i="87"/>
  <c r="IX190" i="87" s="1"/>
  <c r="IW191" i="87"/>
  <c r="IX191" i="87" s="1"/>
  <c r="IY191" i="87" s="1"/>
  <c r="JA191" i="87" s="1"/>
  <c r="IW202" i="87"/>
  <c r="IX202" i="87" s="1"/>
  <c r="IY202" i="87" s="1"/>
  <c r="JA202" i="87" s="1"/>
  <c r="IW203" i="87"/>
  <c r="IX203" i="87" s="1"/>
  <c r="IW207" i="87"/>
  <c r="IX207" i="87" s="1"/>
  <c r="IW204" i="87"/>
  <c r="IX204" i="87" s="1"/>
  <c r="IW206" i="87"/>
  <c r="IX206" i="87" s="1"/>
  <c r="IY206" i="87" s="1"/>
  <c r="JA206" i="87" s="1"/>
  <c r="IW212" i="87"/>
  <c r="IX212" i="87" s="1"/>
  <c r="IW213" i="87"/>
  <c r="IX213" i="87" s="1"/>
  <c r="AP183" i="87"/>
  <c r="AF131" i="87"/>
  <c r="AF160" i="87" s="1"/>
  <c r="AF219" i="87" s="1"/>
  <c r="AE160" i="87"/>
  <c r="AE219" i="87" s="1"/>
  <c r="KP159" i="87"/>
  <c r="KP218" i="87" s="1"/>
  <c r="DR165" i="87"/>
  <c r="DR224" i="87" s="1"/>
  <c r="DH160" i="87"/>
  <c r="DH219" i="87" s="1"/>
  <c r="CX162" i="87"/>
  <c r="CX221" i="87" s="1"/>
  <c r="HN165" i="87"/>
  <c r="HN224" i="87" s="1"/>
  <c r="AF183" i="87"/>
  <c r="AF242" i="87" s="1"/>
  <c r="GT183" i="87"/>
  <c r="GT242" i="87" s="1"/>
  <c r="EL183" i="87"/>
  <c r="EL242" i="87" s="1"/>
  <c r="CD162" i="87"/>
  <c r="CD221" i="87" s="1"/>
  <c r="CD183" i="87"/>
  <c r="CD159" i="87"/>
  <c r="CD218" i="87" s="1"/>
  <c r="BT162" i="87"/>
  <c r="BT221" i="87" s="1"/>
  <c r="BJ162" i="87"/>
  <c r="BJ221" i="87" s="1"/>
  <c r="KM39" i="87"/>
  <c r="KO39" i="87" s="1"/>
  <c r="KK43" i="87"/>
  <c r="KL43" i="87" s="1"/>
  <c r="KK48" i="87"/>
  <c r="KL48" i="87" s="1"/>
  <c r="KK52" i="87"/>
  <c r="KL52" i="87" s="1"/>
  <c r="KK53" i="87"/>
  <c r="KL53" i="87" s="1"/>
  <c r="KK56" i="87"/>
  <c r="KL56" i="87" s="1"/>
  <c r="KK57" i="87"/>
  <c r="KL57" i="87" s="1"/>
  <c r="KK61" i="87"/>
  <c r="KL61" i="87" s="1"/>
  <c r="KK62" i="87"/>
  <c r="KL62" i="87" s="1"/>
  <c r="KK65" i="87"/>
  <c r="KL65" i="87" s="1"/>
  <c r="KK66" i="87"/>
  <c r="KL66" i="87" s="1"/>
  <c r="KK42" i="87"/>
  <c r="KL42" i="87" s="1"/>
  <c r="KK44" i="87"/>
  <c r="KL44" i="87" s="1"/>
  <c r="KK45" i="87"/>
  <c r="KL45" i="87" s="1"/>
  <c r="KM45" i="87" s="1"/>
  <c r="KO45" i="87" s="1"/>
  <c r="KP45" i="87" s="1"/>
  <c r="KK46" i="87"/>
  <c r="KL46" i="87" s="1"/>
  <c r="KK47" i="87"/>
  <c r="KL47" i="87" s="1"/>
  <c r="KK49" i="87"/>
  <c r="KL49" i="87" s="1"/>
  <c r="KK51" i="87"/>
  <c r="KL51" i="87" s="1"/>
  <c r="KM51" i="87" s="1"/>
  <c r="KO51" i="87" s="1"/>
  <c r="KK54" i="87"/>
  <c r="KL54" i="87" s="1"/>
  <c r="KK55" i="87"/>
  <c r="KL55" i="87" s="1"/>
  <c r="KM55" i="87" s="1"/>
  <c r="KO55" i="87" s="1"/>
  <c r="KK58" i="87"/>
  <c r="KL58" i="87" s="1"/>
  <c r="KK60" i="87"/>
  <c r="KL60" i="87" s="1"/>
  <c r="KM60" i="87" s="1"/>
  <c r="KO60" i="87" s="1"/>
  <c r="KK63" i="87"/>
  <c r="KL63" i="87" s="1"/>
  <c r="KK64" i="87"/>
  <c r="KL64" i="87" s="1"/>
  <c r="KM64" i="87" s="1"/>
  <c r="KO64" i="87" s="1"/>
  <c r="KK67" i="87"/>
  <c r="KL67" i="87" s="1"/>
  <c r="KM97" i="87"/>
  <c r="KO97" i="87" s="1"/>
  <c r="KP97" i="87" s="1"/>
  <c r="KR97" i="87" s="1"/>
  <c r="KK124" i="87"/>
  <c r="KL124" i="87" s="1"/>
  <c r="KK122" i="87"/>
  <c r="KL122" i="87" s="1"/>
  <c r="KM122" i="87" s="1"/>
  <c r="KO122" i="87" s="1"/>
  <c r="KP122" i="87" s="1"/>
  <c r="KK120" i="87"/>
  <c r="KL120" i="87" s="1"/>
  <c r="KK118" i="87"/>
  <c r="KL118" i="87" s="1"/>
  <c r="KM118" i="87" s="1"/>
  <c r="KO118" i="87" s="1"/>
  <c r="KP118" i="87" s="1"/>
  <c r="KK115" i="87"/>
  <c r="KL115" i="87" s="1"/>
  <c r="KK113" i="87"/>
  <c r="KL113" i="87" s="1"/>
  <c r="KM113" i="87" s="1"/>
  <c r="KO113" i="87" s="1"/>
  <c r="KP113" i="87" s="1"/>
  <c r="KK111" i="87"/>
  <c r="KL111" i="87" s="1"/>
  <c r="KK109" i="87"/>
  <c r="KL109" i="87" s="1"/>
  <c r="KM109" i="87" s="1"/>
  <c r="KO109" i="87" s="1"/>
  <c r="KP109" i="87" s="1"/>
  <c r="KK106" i="87"/>
  <c r="KL106" i="87" s="1"/>
  <c r="KK101" i="87"/>
  <c r="KL101" i="87" s="1"/>
  <c r="KK103" i="87"/>
  <c r="KL103" i="87" s="1"/>
  <c r="KM103" i="87" s="1"/>
  <c r="KO103" i="87" s="1"/>
  <c r="KP103" i="87" s="1"/>
  <c r="KK125" i="87"/>
  <c r="KL125" i="87" s="1"/>
  <c r="KK123" i="87"/>
  <c r="KL123" i="87" s="1"/>
  <c r="KK121" i="87"/>
  <c r="KL121" i="87" s="1"/>
  <c r="KK119" i="87"/>
  <c r="KL119" i="87" s="1"/>
  <c r="KK116" i="87"/>
  <c r="KL116" i="87" s="1"/>
  <c r="KK114" i="87"/>
  <c r="KL114" i="87" s="1"/>
  <c r="KK112" i="87"/>
  <c r="KL112" i="87" s="1"/>
  <c r="KK110" i="87"/>
  <c r="KL110" i="87" s="1"/>
  <c r="KK107" i="87"/>
  <c r="KL107" i="87" s="1"/>
  <c r="KK105" i="87"/>
  <c r="KL105" i="87" s="1"/>
  <c r="KK100" i="87"/>
  <c r="KL100" i="87" s="1"/>
  <c r="KK102" i="87"/>
  <c r="KL102" i="87" s="1"/>
  <c r="KK104" i="87"/>
  <c r="KL104" i="87" s="1"/>
  <c r="KK96" i="87"/>
  <c r="KL96" i="87" s="1"/>
  <c r="KK72" i="87"/>
  <c r="KL72" i="87" s="1"/>
  <c r="KK73" i="87"/>
  <c r="KL73" i="87" s="1"/>
  <c r="KK74" i="87"/>
  <c r="KL74" i="87" s="1"/>
  <c r="KM74" i="87" s="1"/>
  <c r="KO74" i="87" s="1"/>
  <c r="KP74" i="87" s="1"/>
  <c r="KK75" i="87"/>
  <c r="KL75" i="87" s="1"/>
  <c r="KK80" i="87"/>
  <c r="KL80" i="87" s="1"/>
  <c r="KM80" i="87" s="1"/>
  <c r="KO80" i="87" s="1"/>
  <c r="KP80" i="87" s="1"/>
  <c r="KK84" i="87"/>
  <c r="KL84" i="87" s="1"/>
  <c r="KM84" i="87" s="1"/>
  <c r="KO84" i="87" s="1"/>
  <c r="KP84" i="87" s="1"/>
  <c r="KK85" i="87"/>
  <c r="KL85" i="87" s="1"/>
  <c r="KK86" i="87"/>
  <c r="KL86" i="87" s="1"/>
  <c r="KK87" i="87"/>
  <c r="KL87" i="87" s="1"/>
  <c r="KK90" i="87"/>
  <c r="KL90" i="87" s="1"/>
  <c r="KK91" i="87"/>
  <c r="KL91" i="87" s="1"/>
  <c r="KK92" i="87"/>
  <c r="KL92" i="87" s="1"/>
  <c r="KM68" i="87"/>
  <c r="KO68" i="87" s="1"/>
  <c r="KP68" i="87" s="1"/>
  <c r="KR68" i="87" s="1"/>
  <c r="KK71" i="87"/>
  <c r="KL71" i="87" s="1"/>
  <c r="KK76" i="87"/>
  <c r="KL76" i="87" s="1"/>
  <c r="KK77" i="87"/>
  <c r="KL77" i="87" s="1"/>
  <c r="KK78" i="87"/>
  <c r="KL78" i="87" s="1"/>
  <c r="KK81" i="87"/>
  <c r="KL81" i="87" s="1"/>
  <c r="KK82" i="87"/>
  <c r="KL82" i="87" s="1"/>
  <c r="KK83" i="87"/>
  <c r="KL83" i="87" s="1"/>
  <c r="KK89" i="87"/>
  <c r="KL89" i="87" s="1"/>
  <c r="KM89" i="87" s="1"/>
  <c r="KO89" i="87" s="1"/>
  <c r="KP89" i="87" s="1"/>
  <c r="KK93" i="87"/>
  <c r="KL93" i="87" s="1"/>
  <c r="KM93" i="87" s="1"/>
  <c r="KO93" i="87" s="1"/>
  <c r="KP93" i="87" s="1"/>
  <c r="KK94" i="87"/>
  <c r="KL94" i="87" s="1"/>
  <c r="KK95" i="87"/>
  <c r="KL95" i="87" s="1"/>
  <c r="KP13" i="87"/>
  <c r="KA71" i="87"/>
  <c r="KB71" i="87" s="1"/>
  <c r="KC71" i="87" s="1"/>
  <c r="KE71" i="87" s="1"/>
  <c r="KF71" i="87" s="1"/>
  <c r="KA73" i="87"/>
  <c r="KB73" i="87" s="1"/>
  <c r="KA75" i="87"/>
  <c r="KB75" i="87" s="1"/>
  <c r="KA76" i="87"/>
  <c r="KB76" i="87" s="1"/>
  <c r="KA78" i="87"/>
  <c r="KB78" i="87" s="1"/>
  <c r="KA81" i="87"/>
  <c r="KB81" i="87" s="1"/>
  <c r="KA83" i="87"/>
  <c r="KB83" i="87" s="1"/>
  <c r="KA84" i="87"/>
  <c r="KB84" i="87" s="1"/>
  <c r="KA86" i="87"/>
  <c r="KB86" i="87" s="1"/>
  <c r="KA91" i="87"/>
  <c r="KB91" i="87" s="1"/>
  <c r="KA94" i="87"/>
  <c r="KB94" i="87" s="1"/>
  <c r="KA74" i="87"/>
  <c r="KB74" i="87" s="1"/>
  <c r="KA77" i="87"/>
  <c r="KB77" i="87" s="1"/>
  <c r="KA82" i="87"/>
  <c r="KB82" i="87" s="1"/>
  <c r="KA85" i="87"/>
  <c r="KB85" i="87" s="1"/>
  <c r="KA87" i="87"/>
  <c r="KB87" i="87" s="1"/>
  <c r="KA89" i="87"/>
  <c r="KB89" i="87" s="1"/>
  <c r="KC89" i="87" s="1"/>
  <c r="KE89" i="87" s="1"/>
  <c r="KA90" i="87"/>
  <c r="KB90" i="87" s="1"/>
  <c r="KA92" i="87"/>
  <c r="KB92" i="87" s="1"/>
  <c r="KA93" i="87"/>
  <c r="KB93" i="87" s="1"/>
  <c r="KA95" i="87"/>
  <c r="KB95" i="87" s="1"/>
  <c r="KA152" i="87"/>
  <c r="KB152" i="87" s="1"/>
  <c r="KA130" i="87"/>
  <c r="KB130" i="87" s="1"/>
  <c r="KA132" i="87"/>
  <c r="KB132" i="87" s="1"/>
  <c r="KA134" i="87"/>
  <c r="KB134" i="87" s="1"/>
  <c r="KA136" i="87"/>
  <c r="KB136" i="87" s="1"/>
  <c r="KA139" i="87"/>
  <c r="KB139" i="87" s="1"/>
  <c r="KA141" i="87"/>
  <c r="KB141" i="87" s="1"/>
  <c r="KA143" i="87"/>
  <c r="KB143" i="87" s="1"/>
  <c r="KA145" i="87"/>
  <c r="KB145" i="87" s="1"/>
  <c r="KA148" i="87"/>
  <c r="KB148" i="87" s="1"/>
  <c r="KA150" i="87"/>
  <c r="KB150" i="87" s="1"/>
  <c r="KC126" i="87"/>
  <c r="KE126" i="87" s="1"/>
  <c r="KF126" i="87" s="1"/>
  <c r="KH126" i="87" s="1"/>
  <c r="KA153" i="87"/>
  <c r="KB153" i="87" s="1"/>
  <c r="KA129" i="87"/>
  <c r="KB129" i="87" s="1"/>
  <c r="KA131" i="87"/>
  <c r="KB131" i="87" s="1"/>
  <c r="KA133" i="87"/>
  <c r="KB133" i="87" s="1"/>
  <c r="KA135" i="87"/>
  <c r="KB135" i="87" s="1"/>
  <c r="KA138" i="87"/>
  <c r="KB138" i="87" s="1"/>
  <c r="KC138" i="87" s="1"/>
  <c r="KE138" i="87" s="1"/>
  <c r="KF138" i="87" s="1"/>
  <c r="KA140" i="87"/>
  <c r="KB140" i="87" s="1"/>
  <c r="KA142" i="87"/>
  <c r="KB142" i="87" s="1"/>
  <c r="KA144" i="87"/>
  <c r="KB144" i="87" s="1"/>
  <c r="KA147" i="87"/>
  <c r="KB147" i="87" s="1"/>
  <c r="KC147" i="87" s="1"/>
  <c r="KE147" i="87" s="1"/>
  <c r="KF147" i="87" s="1"/>
  <c r="KA149" i="87"/>
  <c r="KB149" i="87" s="1"/>
  <c r="KA151" i="87"/>
  <c r="KB151" i="87" s="1"/>
  <c r="KA154" i="87"/>
  <c r="KB154" i="87" s="1"/>
  <c r="KC97" i="87"/>
  <c r="KE97" i="87" s="1"/>
  <c r="KF97" i="87" s="1"/>
  <c r="KH97" i="87" s="1"/>
  <c r="KA124" i="87"/>
  <c r="KB124" i="87" s="1"/>
  <c r="KA122" i="87"/>
  <c r="KB122" i="87" s="1"/>
  <c r="KA120" i="87"/>
  <c r="KB120" i="87" s="1"/>
  <c r="KA118" i="87"/>
  <c r="KB118" i="87" s="1"/>
  <c r="KC118" i="87" s="1"/>
  <c r="KE118" i="87" s="1"/>
  <c r="KF118" i="87" s="1"/>
  <c r="KA115" i="87"/>
  <c r="KB115" i="87" s="1"/>
  <c r="KA113" i="87"/>
  <c r="KB113" i="87" s="1"/>
  <c r="KA111" i="87"/>
  <c r="KB111" i="87" s="1"/>
  <c r="KA105" i="87"/>
  <c r="KB105" i="87" s="1"/>
  <c r="KA106" i="87"/>
  <c r="KB106" i="87" s="1"/>
  <c r="KA100" i="87"/>
  <c r="KB100" i="87" s="1"/>
  <c r="KA101" i="87"/>
  <c r="KB101" i="87" s="1"/>
  <c r="KA102" i="87"/>
  <c r="KB102" i="87" s="1"/>
  <c r="KA103" i="87"/>
  <c r="KB103" i="87" s="1"/>
  <c r="KA104" i="87"/>
  <c r="KB104" i="87" s="1"/>
  <c r="KA125" i="87"/>
  <c r="KB125" i="87" s="1"/>
  <c r="KA123" i="87"/>
  <c r="KB123" i="87" s="1"/>
  <c r="KA121" i="87"/>
  <c r="KB121" i="87" s="1"/>
  <c r="KA119" i="87"/>
  <c r="KB119" i="87" s="1"/>
  <c r="KA116" i="87"/>
  <c r="KB116" i="87" s="1"/>
  <c r="KA114" i="87"/>
  <c r="KB114" i="87" s="1"/>
  <c r="KA112" i="87"/>
  <c r="KB112" i="87" s="1"/>
  <c r="KA110" i="87"/>
  <c r="KB110" i="87" s="1"/>
  <c r="KA107" i="87"/>
  <c r="KB107" i="87" s="1"/>
  <c r="KF159" i="87"/>
  <c r="KF218" i="87" s="1"/>
  <c r="KA96" i="87"/>
  <c r="KB96" i="87" s="1"/>
  <c r="KA72" i="87"/>
  <c r="KB72" i="87" s="1"/>
  <c r="KA80" i="87"/>
  <c r="KB80" i="87" s="1"/>
  <c r="KC80" i="87" s="1"/>
  <c r="KE80" i="87" s="1"/>
  <c r="JQ96" i="87"/>
  <c r="JR96" i="87" s="1"/>
  <c r="JQ72" i="87"/>
  <c r="JR72" i="87" s="1"/>
  <c r="JQ73" i="87"/>
  <c r="JR73" i="87" s="1"/>
  <c r="JS73" i="87" s="1"/>
  <c r="JU73" i="87" s="1"/>
  <c r="JQ74" i="87"/>
  <c r="JR74" i="87" s="1"/>
  <c r="JS74" i="87" s="1"/>
  <c r="JU74" i="87" s="1"/>
  <c r="JQ75" i="87"/>
  <c r="JR75" i="87" s="1"/>
  <c r="JQ80" i="87"/>
  <c r="JR80" i="87" s="1"/>
  <c r="JS80" i="87" s="1"/>
  <c r="JU80" i="87" s="1"/>
  <c r="JQ84" i="87"/>
  <c r="JR84" i="87" s="1"/>
  <c r="JS84" i="87" s="1"/>
  <c r="JU84" i="87" s="1"/>
  <c r="JV84" i="87" s="1"/>
  <c r="JQ85" i="87"/>
  <c r="JR85" i="87" s="1"/>
  <c r="JS85" i="87" s="1"/>
  <c r="JU85" i="87" s="1"/>
  <c r="JV85" i="87" s="1"/>
  <c r="JQ86" i="87"/>
  <c r="JR86" i="87" s="1"/>
  <c r="JQ87" i="87"/>
  <c r="JR87" i="87" s="1"/>
  <c r="JQ90" i="87"/>
  <c r="JR90" i="87" s="1"/>
  <c r="JQ91" i="87"/>
  <c r="JR91" i="87" s="1"/>
  <c r="JQ92" i="87"/>
  <c r="JR92" i="87" s="1"/>
  <c r="JS68" i="87"/>
  <c r="JU68" i="87" s="1"/>
  <c r="JQ71" i="87"/>
  <c r="JR71" i="87" s="1"/>
  <c r="JQ76" i="87"/>
  <c r="JR76" i="87" s="1"/>
  <c r="JS76" i="87" s="1"/>
  <c r="JU76" i="87" s="1"/>
  <c r="JQ77" i="87"/>
  <c r="JR77" i="87" s="1"/>
  <c r="JQ78" i="87"/>
  <c r="JR78" i="87" s="1"/>
  <c r="JQ81" i="87"/>
  <c r="JR81" i="87" s="1"/>
  <c r="JQ82" i="87"/>
  <c r="JR82" i="87" s="1"/>
  <c r="JS82" i="87" s="1"/>
  <c r="JU82" i="87" s="1"/>
  <c r="JV82" i="87" s="1"/>
  <c r="JQ83" i="87"/>
  <c r="JR83" i="87" s="1"/>
  <c r="JQ89" i="87"/>
  <c r="JR89" i="87" s="1"/>
  <c r="JS89" i="87" s="1"/>
  <c r="JU89" i="87" s="1"/>
  <c r="JQ93" i="87"/>
  <c r="JR93" i="87" s="1"/>
  <c r="JS93" i="87" s="1"/>
  <c r="JU93" i="87" s="1"/>
  <c r="JQ94" i="87"/>
  <c r="JR94" i="87" s="1"/>
  <c r="JS94" i="87" s="1"/>
  <c r="JU94" i="87" s="1"/>
  <c r="JV94" i="87" s="1"/>
  <c r="JQ95" i="87"/>
  <c r="JR95" i="87" s="1"/>
  <c r="JS97" i="87"/>
  <c r="JU97" i="87" s="1"/>
  <c r="JV97" i="87" s="1"/>
  <c r="JX97" i="87" s="1"/>
  <c r="JQ124" i="87"/>
  <c r="JR124" i="87" s="1"/>
  <c r="JQ122" i="87"/>
  <c r="JR122" i="87" s="1"/>
  <c r="JS122" i="87" s="1"/>
  <c r="JU122" i="87" s="1"/>
  <c r="JV122" i="87" s="1"/>
  <c r="JQ120" i="87"/>
  <c r="JR120" i="87" s="1"/>
  <c r="JQ118" i="87"/>
  <c r="JR118" i="87" s="1"/>
  <c r="JS118" i="87" s="1"/>
  <c r="JU118" i="87" s="1"/>
  <c r="JV118" i="87" s="1"/>
  <c r="JQ115" i="87"/>
  <c r="JR115" i="87" s="1"/>
  <c r="JQ113" i="87"/>
  <c r="JR113" i="87" s="1"/>
  <c r="JS113" i="87" s="1"/>
  <c r="JU113" i="87" s="1"/>
  <c r="JV113" i="87" s="1"/>
  <c r="JQ111" i="87"/>
  <c r="JR111" i="87" s="1"/>
  <c r="JS111" i="87" s="1"/>
  <c r="JU111" i="87" s="1"/>
  <c r="JV111" i="87" s="1"/>
  <c r="JQ109" i="87"/>
  <c r="JR109" i="87" s="1"/>
  <c r="JS109" i="87" s="1"/>
  <c r="JU109" i="87" s="1"/>
  <c r="JV109" i="87" s="1"/>
  <c r="JQ105" i="87"/>
  <c r="JR105" i="87" s="1"/>
  <c r="JS105" i="87" s="1"/>
  <c r="JU105" i="87" s="1"/>
  <c r="JV105" i="87" s="1"/>
  <c r="JQ101" i="87"/>
  <c r="JR101" i="87" s="1"/>
  <c r="JQ103" i="87"/>
  <c r="JR103" i="87" s="1"/>
  <c r="JS103" i="87" s="1"/>
  <c r="JU103" i="87" s="1"/>
  <c r="JV103" i="87" s="1"/>
  <c r="JQ125" i="87"/>
  <c r="JR125" i="87" s="1"/>
  <c r="JQ123" i="87"/>
  <c r="JR123" i="87" s="1"/>
  <c r="JS123" i="87" s="1"/>
  <c r="JU123" i="87" s="1"/>
  <c r="JV123" i="87" s="1"/>
  <c r="JQ121" i="87"/>
  <c r="JR121" i="87" s="1"/>
  <c r="JQ119" i="87"/>
  <c r="JR119" i="87" s="1"/>
  <c r="JQ116" i="87"/>
  <c r="JR116" i="87" s="1"/>
  <c r="JQ114" i="87"/>
  <c r="JR114" i="87" s="1"/>
  <c r="JS114" i="87" s="1"/>
  <c r="JU114" i="87" s="1"/>
  <c r="JV114" i="87" s="1"/>
  <c r="JQ112" i="87"/>
  <c r="JR112" i="87" s="1"/>
  <c r="JQ110" i="87"/>
  <c r="JR110" i="87" s="1"/>
  <c r="JQ107" i="87"/>
  <c r="JR107" i="87" s="1"/>
  <c r="JQ106" i="87"/>
  <c r="JR106" i="87" s="1"/>
  <c r="JQ100" i="87"/>
  <c r="JR100" i="87" s="1"/>
  <c r="JQ102" i="87"/>
  <c r="JR102" i="87" s="1"/>
  <c r="JS102" i="87" s="1"/>
  <c r="JU102" i="87" s="1"/>
  <c r="JV102" i="87" s="1"/>
  <c r="JQ104" i="87"/>
  <c r="JR104" i="87" s="1"/>
  <c r="JQ154" i="87"/>
  <c r="JR154" i="87" s="1"/>
  <c r="JQ149" i="87"/>
  <c r="JR149" i="87" s="1"/>
  <c r="JQ142" i="87"/>
  <c r="JR142" i="87" s="1"/>
  <c r="JS142" i="87" s="1"/>
  <c r="JU142" i="87" s="1"/>
  <c r="JV142" i="87" s="1"/>
  <c r="JQ141" i="87"/>
  <c r="JR141" i="87" s="1"/>
  <c r="JQ140" i="87"/>
  <c r="JR140" i="87" s="1"/>
  <c r="JS140" i="87" s="1"/>
  <c r="JU140" i="87" s="1"/>
  <c r="JV140" i="87" s="1"/>
  <c r="JQ139" i="87"/>
  <c r="JR139" i="87" s="1"/>
  <c r="JQ152" i="87"/>
  <c r="JR152" i="87" s="1"/>
  <c r="JS152" i="87" s="1"/>
  <c r="JU152" i="87" s="1"/>
  <c r="JV152" i="87" s="1"/>
  <c r="JQ151" i="87"/>
  <c r="JR151" i="87" s="1"/>
  <c r="JS151" i="87" s="1"/>
  <c r="JU151" i="87" s="1"/>
  <c r="JV151" i="87" s="1"/>
  <c r="JQ150" i="87"/>
  <c r="JR150" i="87" s="1"/>
  <c r="JQ148" i="87"/>
  <c r="JR148" i="87" s="1"/>
  <c r="JQ147" i="87"/>
  <c r="JR147" i="87" s="1"/>
  <c r="JS147" i="87" s="1"/>
  <c r="JU147" i="87" s="1"/>
  <c r="JV147" i="87" s="1"/>
  <c r="JQ145" i="87"/>
  <c r="JR145" i="87" s="1"/>
  <c r="JQ144" i="87"/>
  <c r="JR144" i="87" s="1"/>
  <c r="JQ143" i="87"/>
  <c r="JR143" i="87" s="1"/>
  <c r="JS143" i="87" s="1"/>
  <c r="JU143" i="87" s="1"/>
  <c r="JV143" i="87" s="1"/>
  <c r="JQ138" i="87"/>
  <c r="JR138" i="87" s="1"/>
  <c r="JS138" i="87" s="1"/>
  <c r="JU138" i="87" s="1"/>
  <c r="JV138" i="87" s="1"/>
  <c r="JQ136" i="87"/>
  <c r="JR136" i="87" s="1"/>
  <c r="JQ130" i="87"/>
  <c r="JR130" i="87" s="1"/>
  <c r="JS126" i="87"/>
  <c r="JU126" i="87" s="1"/>
  <c r="JV126" i="87" s="1"/>
  <c r="JQ132" i="87"/>
  <c r="JR132" i="87" s="1"/>
  <c r="JS132" i="87" s="1"/>
  <c r="JU132" i="87" s="1"/>
  <c r="JV132" i="87" s="1"/>
  <c r="JQ134" i="87"/>
  <c r="JR134" i="87" s="1"/>
  <c r="JS134" i="87" s="1"/>
  <c r="JU134" i="87" s="1"/>
  <c r="JV134" i="87" s="1"/>
  <c r="JQ133" i="87"/>
  <c r="JR133" i="87" s="1"/>
  <c r="JQ135" i="87"/>
  <c r="JR135" i="87" s="1"/>
  <c r="JQ153" i="87"/>
  <c r="JR153" i="87" s="1"/>
  <c r="IY97" i="87"/>
  <c r="JA97" i="87" s="1"/>
  <c r="JB97" i="87" s="1"/>
  <c r="JD97" i="87" s="1"/>
  <c r="IW124" i="87"/>
  <c r="IX124" i="87" s="1"/>
  <c r="IW122" i="87"/>
  <c r="IX122" i="87" s="1"/>
  <c r="IW120" i="87"/>
  <c r="IX120" i="87" s="1"/>
  <c r="IW118" i="87"/>
  <c r="IX118" i="87" s="1"/>
  <c r="IY118" i="87" s="1"/>
  <c r="JA118" i="87" s="1"/>
  <c r="JB118" i="87" s="1"/>
  <c r="IW115" i="87"/>
  <c r="IX115" i="87" s="1"/>
  <c r="IW113" i="87"/>
  <c r="IX113" i="87" s="1"/>
  <c r="IY113" i="87" s="1"/>
  <c r="JA113" i="87" s="1"/>
  <c r="JB113" i="87" s="1"/>
  <c r="IW111" i="87"/>
  <c r="IX111" i="87" s="1"/>
  <c r="IW109" i="87"/>
  <c r="IX109" i="87" s="1"/>
  <c r="IY109" i="87" s="1"/>
  <c r="JA109" i="87" s="1"/>
  <c r="JB109" i="87" s="1"/>
  <c r="IW105" i="87"/>
  <c r="IX105" i="87" s="1"/>
  <c r="IY105" i="87" s="1"/>
  <c r="JA105" i="87" s="1"/>
  <c r="JB105" i="87" s="1"/>
  <c r="IW106" i="87"/>
  <c r="IX106" i="87" s="1"/>
  <c r="IW100" i="87"/>
  <c r="IX100" i="87" s="1"/>
  <c r="IW101" i="87"/>
  <c r="IX101" i="87" s="1"/>
  <c r="IW102" i="87"/>
  <c r="IX102" i="87" s="1"/>
  <c r="IW103" i="87"/>
  <c r="IX103" i="87" s="1"/>
  <c r="IY103" i="87" s="1"/>
  <c r="JA103" i="87" s="1"/>
  <c r="JB103" i="87" s="1"/>
  <c r="IW104" i="87"/>
  <c r="IX104" i="87" s="1"/>
  <c r="IW125" i="87"/>
  <c r="IX125" i="87" s="1"/>
  <c r="IW123" i="87"/>
  <c r="IX123" i="87" s="1"/>
  <c r="IW121" i="87"/>
  <c r="IX121" i="87" s="1"/>
  <c r="IW119" i="87"/>
  <c r="IX119" i="87" s="1"/>
  <c r="IW116" i="87"/>
  <c r="IX116" i="87" s="1"/>
  <c r="IW114" i="87"/>
  <c r="IX114" i="87" s="1"/>
  <c r="IY114" i="87" s="1"/>
  <c r="JA114" i="87" s="1"/>
  <c r="JB114" i="87" s="1"/>
  <c r="IW112" i="87"/>
  <c r="IX112" i="87" s="1"/>
  <c r="IW110" i="87"/>
  <c r="IX110" i="87" s="1"/>
  <c r="IW107" i="87"/>
  <c r="IX107" i="87" s="1"/>
  <c r="IW96" i="87"/>
  <c r="IX96" i="87" s="1"/>
  <c r="IY68" i="87"/>
  <c r="JA68" i="87" s="1"/>
  <c r="JB68" i="87" s="1"/>
  <c r="JD68" i="87" s="1"/>
  <c r="IW71" i="87"/>
  <c r="IX71" i="87" s="1"/>
  <c r="IW73" i="87"/>
  <c r="IX73" i="87" s="1"/>
  <c r="IW75" i="87"/>
  <c r="IX75" i="87" s="1"/>
  <c r="IW76" i="87"/>
  <c r="IX76" i="87" s="1"/>
  <c r="IY76" i="87" s="1"/>
  <c r="JA76" i="87" s="1"/>
  <c r="JB76" i="87" s="1"/>
  <c r="IW78" i="87"/>
  <c r="IX78" i="87" s="1"/>
  <c r="IW80" i="87"/>
  <c r="IX80" i="87" s="1"/>
  <c r="IY80" i="87" s="1"/>
  <c r="JA80" i="87" s="1"/>
  <c r="JB80" i="87" s="1"/>
  <c r="IW81" i="87"/>
  <c r="IX81" i="87" s="1"/>
  <c r="IW83" i="87"/>
  <c r="IX83" i="87" s="1"/>
  <c r="IW84" i="87"/>
  <c r="IX84" i="87" s="1"/>
  <c r="IY84" i="87" s="1"/>
  <c r="JA84" i="87" s="1"/>
  <c r="JB84" i="87" s="1"/>
  <c r="IW86" i="87"/>
  <c r="IX86" i="87" s="1"/>
  <c r="IW91" i="87"/>
  <c r="IX91" i="87" s="1"/>
  <c r="IW94" i="87"/>
  <c r="IX94" i="87" s="1"/>
  <c r="IW72" i="87"/>
  <c r="IX72" i="87" s="1"/>
  <c r="IW74" i="87"/>
  <c r="IX74" i="87" s="1"/>
  <c r="IY74" i="87" s="1"/>
  <c r="JA74" i="87" s="1"/>
  <c r="JB74" i="87" s="1"/>
  <c r="IW77" i="87"/>
  <c r="IX77" i="87" s="1"/>
  <c r="IW82" i="87"/>
  <c r="IX82" i="87" s="1"/>
  <c r="IW85" i="87"/>
  <c r="IX85" i="87" s="1"/>
  <c r="IY85" i="87" s="1"/>
  <c r="JA85" i="87" s="1"/>
  <c r="JB85" i="87" s="1"/>
  <c r="IW87" i="87"/>
  <c r="IX87" i="87" s="1"/>
  <c r="IW89" i="87"/>
  <c r="IX89" i="87" s="1"/>
  <c r="IY89" i="87" s="1"/>
  <c r="JA89" i="87" s="1"/>
  <c r="JB89" i="87" s="1"/>
  <c r="IW90" i="87"/>
  <c r="IX90" i="87" s="1"/>
  <c r="IW92" i="87"/>
  <c r="IX92" i="87" s="1"/>
  <c r="IW93" i="87"/>
  <c r="IX93" i="87" s="1"/>
  <c r="IW95" i="87"/>
  <c r="IX95" i="87" s="1"/>
  <c r="IY39" i="87"/>
  <c r="JA39" i="87" s="1"/>
  <c r="IW43" i="87"/>
  <c r="IX43" i="87" s="1"/>
  <c r="IW45" i="87"/>
  <c r="IX45" i="87" s="1"/>
  <c r="IY45" i="87" s="1"/>
  <c r="JA45" i="87" s="1"/>
  <c r="IW48" i="87"/>
  <c r="IX48" i="87" s="1"/>
  <c r="IW49" i="87"/>
  <c r="IX49" i="87" s="1"/>
  <c r="IW53" i="87"/>
  <c r="IX53" i="87" s="1"/>
  <c r="IW54" i="87"/>
  <c r="IX54" i="87" s="1"/>
  <c r="IW56" i="87"/>
  <c r="IX56" i="87" s="1"/>
  <c r="IY56" i="87" s="1"/>
  <c r="JA56" i="87" s="1"/>
  <c r="IW57" i="87"/>
  <c r="IX57" i="87" s="1"/>
  <c r="IW58" i="87"/>
  <c r="IX58" i="87" s="1"/>
  <c r="IW60" i="87"/>
  <c r="IX60" i="87" s="1"/>
  <c r="IY60" i="87" s="1"/>
  <c r="JA60" i="87" s="1"/>
  <c r="IW61" i="87"/>
  <c r="IX61" i="87" s="1"/>
  <c r="IW62" i="87"/>
  <c r="IX62" i="87" s="1"/>
  <c r="IW63" i="87"/>
  <c r="IX63" i="87" s="1"/>
  <c r="IW64" i="87"/>
  <c r="IX64" i="87" s="1"/>
  <c r="IW65" i="87"/>
  <c r="IX65" i="87" s="1"/>
  <c r="IW66" i="87"/>
  <c r="IX66" i="87" s="1"/>
  <c r="IW67" i="87"/>
  <c r="IX67" i="87" s="1"/>
  <c r="IW42" i="87"/>
  <c r="IX42" i="87" s="1"/>
  <c r="IW44" i="87"/>
  <c r="IX44" i="87" s="1"/>
  <c r="IW46" i="87"/>
  <c r="IX46" i="87" s="1"/>
  <c r="IW47" i="87"/>
  <c r="IX47" i="87" s="1"/>
  <c r="IY47" i="87" s="1"/>
  <c r="JA47" i="87" s="1"/>
  <c r="IW51" i="87"/>
  <c r="IX51" i="87" s="1"/>
  <c r="IY51" i="87" s="1"/>
  <c r="JA51" i="87" s="1"/>
  <c r="IW52" i="87"/>
  <c r="IX52" i="87" s="1"/>
  <c r="IW55" i="87"/>
  <c r="IX55" i="87" s="1"/>
  <c r="IY55" i="87" s="1"/>
  <c r="JA55" i="87" s="1"/>
  <c r="JB55" i="87" s="1"/>
  <c r="IR159" i="87"/>
  <c r="HU126" i="87"/>
  <c r="HW126" i="87" s="1"/>
  <c r="HX126" i="87" s="1"/>
  <c r="HZ126" i="87" s="1"/>
  <c r="HS129" i="87"/>
  <c r="HT129" i="87" s="1"/>
  <c r="HS130" i="87"/>
  <c r="HT130" i="87" s="1"/>
  <c r="HS131" i="87"/>
  <c r="HT131" i="87" s="1"/>
  <c r="HS132" i="87"/>
  <c r="HT132" i="87" s="1"/>
  <c r="HU132" i="87" s="1"/>
  <c r="HW132" i="87" s="1"/>
  <c r="HX132" i="87" s="1"/>
  <c r="HS133" i="87"/>
  <c r="HT133" i="87" s="1"/>
  <c r="HS134" i="87"/>
  <c r="HT134" i="87" s="1"/>
  <c r="HU134" i="87" s="1"/>
  <c r="HW134" i="87" s="1"/>
  <c r="HX134" i="87" s="1"/>
  <c r="HS135" i="87"/>
  <c r="HT135" i="87" s="1"/>
  <c r="HS136" i="87"/>
  <c r="HT136" i="87" s="1"/>
  <c r="HS138" i="87"/>
  <c r="HT138" i="87" s="1"/>
  <c r="HU138" i="87" s="1"/>
  <c r="HW138" i="87" s="1"/>
  <c r="HX138" i="87" s="1"/>
  <c r="HS139" i="87"/>
  <c r="HT139" i="87" s="1"/>
  <c r="HS140" i="87"/>
  <c r="HT140" i="87" s="1"/>
  <c r="HS141" i="87"/>
  <c r="HT141" i="87" s="1"/>
  <c r="HS142" i="87"/>
  <c r="HT142" i="87" s="1"/>
  <c r="HU142" i="87" s="1"/>
  <c r="HW142" i="87" s="1"/>
  <c r="HX142" i="87" s="1"/>
  <c r="HS143" i="87"/>
  <c r="HT143" i="87" s="1"/>
  <c r="HU143" i="87" s="1"/>
  <c r="HW143" i="87" s="1"/>
  <c r="HX143" i="87" s="1"/>
  <c r="HS144" i="87"/>
  <c r="HT144" i="87" s="1"/>
  <c r="HS145" i="87"/>
  <c r="HT145" i="87" s="1"/>
  <c r="HS147" i="87"/>
  <c r="HT147" i="87" s="1"/>
  <c r="HU147" i="87" s="1"/>
  <c r="HW147" i="87" s="1"/>
  <c r="HX147" i="87" s="1"/>
  <c r="HS148" i="87"/>
  <c r="HT148" i="87" s="1"/>
  <c r="HS149" i="87"/>
  <c r="HT149" i="87" s="1"/>
  <c r="HS150" i="87"/>
  <c r="HT150" i="87" s="1"/>
  <c r="HS151" i="87"/>
  <c r="HT151" i="87" s="1"/>
  <c r="HU151" i="87" s="1"/>
  <c r="HW151" i="87" s="1"/>
  <c r="HX151" i="87" s="1"/>
  <c r="HS152" i="87"/>
  <c r="HT152" i="87" s="1"/>
  <c r="HS154" i="87"/>
  <c r="HT154" i="87" s="1"/>
  <c r="HS153" i="87"/>
  <c r="HT153" i="87" s="1"/>
  <c r="HU97" i="87"/>
  <c r="HW97" i="87" s="1"/>
  <c r="HS124" i="87"/>
  <c r="HT124" i="87" s="1"/>
  <c r="HS122" i="87"/>
  <c r="HT122" i="87" s="1"/>
  <c r="HU122" i="87" s="1"/>
  <c r="HW122" i="87" s="1"/>
  <c r="HX122" i="87" s="1"/>
  <c r="HS120" i="87"/>
  <c r="HT120" i="87" s="1"/>
  <c r="HS118" i="87"/>
  <c r="HT118" i="87" s="1"/>
  <c r="HU118" i="87" s="1"/>
  <c r="HW118" i="87" s="1"/>
  <c r="HS115" i="87"/>
  <c r="HT115" i="87" s="1"/>
  <c r="HS113" i="87"/>
  <c r="HT113" i="87" s="1"/>
  <c r="HU113" i="87" s="1"/>
  <c r="HW113" i="87" s="1"/>
  <c r="HX113" i="87" s="1"/>
  <c r="HS111" i="87"/>
  <c r="HT111" i="87" s="1"/>
  <c r="HS109" i="87"/>
  <c r="HT109" i="87" s="1"/>
  <c r="HU109" i="87" s="1"/>
  <c r="HW109" i="87" s="1"/>
  <c r="HS106" i="87"/>
  <c r="HT106" i="87" s="1"/>
  <c r="HS100" i="87"/>
  <c r="HT100" i="87" s="1"/>
  <c r="HS102" i="87"/>
  <c r="HT102" i="87" s="1"/>
  <c r="HS104" i="87"/>
  <c r="HT104" i="87" s="1"/>
  <c r="HS125" i="87"/>
  <c r="HT125" i="87" s="1"/>
  <c r="HS123" i="87"/>
  <c r="HT123" i="87" s="1"/>
  <c r="HS121" i="87"/>
  <c r="HT121" i="87" s="1"/>
  <c r="HS119" i="87"/>
  <c r="HT119" i="87" s="1"/>
  <c r="HS116" i="87"/>
  <c r="HT116" i="87" s="1"/>
  <c r="HS114" i="87"/>
  <c r="HT114" i="87" s="1"/>
  <c r="HU114" i="87" s="1"/>
  <c r="HW114" i="87" s="1"/>
  <c r="HX114" i="87" s="1"/>
  <c r="HS112" i="87"/>
  <c r="HT112" i="87" s="1"/>
  <c r="HS110" i="87"/>
  <c r="HT110" i="87" s="1"/>
  <c r="HS107" i="87"/>
  <c r="HT107" i="87" s="1"/>
  <c r="HS105" i="87"/>
  <c r="HT105" i="87" s="1"/>
  <c r="HU105" i="87" s="1"/>
  <c r="HW105" i="87" s="1"/>
  <c r="HX105" i="87" s="1"/>
  <c r="HS101" i="87"/>
  <c r="HT101" i="87" s="1"/>
  <c r="HS103" i="87"/>
  <c r="HT103" i="87" s="1"/>
  <c r="HU103" i="87" s="1"/>
  <c r="HW103" i="87" s="1"/>
  <c r="HX103" i="87" s="1"/>
  <c r="HI96" i="87"/>
  <c r="HJ96" i="87" s="1"/>
  <c r="HI72" i="87"/>
  <c r="HJ72" i="87" s="1"/>
  <c r="HI74" i="87"/>
  <c r="HJ74" i="87" s="1"/>
  <c r="HK74" i="87" s="1"/>
  <c r="HM74" i="87" s="1"/>
  <c r="HI75" i="87"/>
  <c r="HJ75" i="87" s="1"/>
  <c r="HI76" i="87"/>
  <c r="HJ76" i="87" s="1"/>
  <c r="HK76" i="87" s="1"/>
  <c r="HM76" i="87" s="1"/>
  <c r="HN76" i="87" s="1"/>
  <c r="HI80" i="87"/>
  <c r="HJ80" i="87" s="1"/>
  <c r="HK80" i="87" s="1"/>
  <c r="HM80" i="87" s="1"/>
  <c r="HN80" i="87" s="1"/>
  <c r="HI81" i="87"/>
  <c r="HJ81" i="87" s="1"/>
  <c r="HI85" i="87"/>
  <c r="HJ85" i="87" s="1"/>
  <c r="HK85" i="87" s="1"/>
  <c r="HM85" i="87" s="1"/>
  <c r="HN85" i="87" s="1"/>
  <c r="HI89" i="87"/>
  <c r="HJ89" i="87" s="1"/>
  <c r="HK89" i="87" s="1"/>
  <c r="HM89" i="87" s="1"/>
  <c r="HI90" i="87"/>
  <c r="HJ90" i="87" s="1"/>
  <c r="HI94" i="87"/>
  <c r="HJ94" i="87" s="1"/>
  <c r="HK68" i="87"/>
  <c r="HM68" i="87" s="1"/>
  <c r="HI71" i="87"/>
  <c r="HJ71" i="87" s="1"/>
  <c r="HI73" i="87"/>
  <c r="HJ73" i="87" s="1"/>
  <c r="HK73" i="87" s="1"/>
  <c r="HM73" i="87" s="1"/>
  <c r="HI77" i="87"/>
  <c r="HJ77" i="87" s="1"/>
  <c r="HI78" i="87"/>
  <c r="HJ78" i="87" s="1"/>
  <c r="HI82" i="87"/>
  <c r="HJ82" i="87" s="1"/>
  <c r="HK82" i="87" s="1"/>
  <c r="HM82" i="87" s="1"/>
  <c r="HN82" i="87" s="1"/>
  <c r="HI83" i="87"/>
  <c r="HJ83" i="87" s="1"/>
  <c r="HI84" i="87"/>
  <c r="HJ84" i="87" s="1"/>
  <c r="HK84" i="87" s="1"/>
  <c r="HM84" i="87" s="1"/>
  <c r="HN84" i="87" s="1"/>
  <c r="HI86" i="87"/>
  <c r="HJ86" i="87" s="1"/>
  <c r="HI87" i="87"/>
  <c r="HJ87" i="87" s="1"/>
  <c r="HI91" i="87"/>
  <c r="HJ91" i="87" s="1"/>
  <c r="HI92" i="87"/>
  <c r="HJ92" i="87" s="1"/>
  <c r="HI93" i="87"/>
  <c r="HJ93" i="87" s="1"/>
  <c r="HK93" i="87" s="1"/>
  <c r="HM93" i="87" s="1"/>
  <c r="HI95" i="87"/>
  <c r="HJ95" i="87" s="1"/>
  <c r="HI154" i="87"/>
  <c r="HJ154" i="87" s="1"/>
  <c r="HI132" i="87"/>
  <c r="HJ132" i="87" s="1"/>
  <c r="HK132" i="87" s="1"/>
  <c r="HM132" i="87" s="1"/>
  <c r="HN132" i="87" s="1"/>
  <c r="HI135" i="87"/>
  <c r="HJ135" i="87" s="1"/>
  <c r="HI129" i="87"/>
  <c r="HJ129" i="87" s="1"/>
  <c r="HI140" i="87"/>
  <c r="HJ140" i="87" s="1"/>
  <c r="HK140" i="87" s="1"/>
  <c r="HM140" i="87" s="1"/>
  <c r="HN140" i="87" s="1"/>
  <c r="HI147" i="87"/>
  <c r="HJ147" i="87" s="1"/>
  <c r="HK147" i="87" s="1"/>
  <c r="HM147" i="87" s="1"/>
  <c r="HN147" i="87" s="1"/>
  <c r="HI151" i="87"/>
  <c r="HJ151" i="87" s="1"/>
  <c r="HK151" i="87" s="1"/>
  <c r="HM151" i="87" s="1"/>
  <c r="HN151" i="87" s="1"/>
  <c r="HI138" i="87"/>
  <c r="HJ138" i="87" s="1"/>
  <c r="HK138" i="87" s="1"/>
  <c r="HM138" i="87" s="1"/>
  <c r="HN138" i="87" s="1"/>
  <c r="HI141" i="87"/>
  <c r="HJ141" i="87" s="1"/>
  <c r="HI143" i="87"/>
  <c r="HJ143" i="87" s="1"/>
  <c r="HK143" i="87" s="1"/>
  <c r="HM143" i="87" s="1"/>
  <c r="HN143" i="87" s="1"/>
  <c r="HI149" i="87"/>
  <c r="HJ149" i="87" s="1"/>
  <c r="HI153" i="87"/>
  <c r="HJ153" i="87" s="1"/>
  <c r="HI131" i="87"/>
  <c r="HJ131" i="87" s="1"/>
  <c r="HK131" i="87" s="1"/>
  <c r="HM131" i="87" s="1"/>
  <c r="HN131" i="87" s="1"/>
  <c r="HI133" i="87"/>
  <c r="HJ133" i="87" s="1"/>
  <c r="HI136" i="87"/>
  <c r="HJ136" i="87" s="1"/>
  <c r="HI130" i="87"/>
  <c r="HJ130" i="87" s="1"/>
  <c r="HI134" i="87"/>
  <c r="HJ134" i="87" s="1"/>
  <c r="HK134" i="87" s="1"/>
  <c r="HM134" i="87" s="1"/>
  <c r="HN134" i="87" s="1"/>
  <c r="HI144" i="87"/>
  <c r="HJ144" i="87" s="1"/>
  <c r="HI148" i="87"/>
  <c r="HJ148" i="87" s="1"/>
  <c r="HI152" i="87"/>
  <c r="HJ152" i="87" s="1"/>
  <c r="HK126" i="87"/>
  <c r="HM126" i="87" s="1"/>
  <c r="HN126" i="87" s="1"/>
  <c r="HP126" i="87" s="1"/>
  <c r="HI139" i="87"/>
  <c r="HJ139" i="87" s="1"/>
  <c r="HI142" i="87"/>
  <c r="HJ142" i="87" s="1"/>
  <c r="HK142" i="87" s="1"/>
  <c r="HM142" i="87" s="1"/>
  <c r="HN142" i="87" s="1"/>
  <c r="HI145" i="87"/>
  <c r="HJ145" i="87" s="1"/>
  <c r="HI150" i="87"/>
  <c r="HJ150" i="87" s="1"/>
  <c r="HK97" i="87"/>
  <c r="HM97" i="87" s="1"/>
  <c r="HN97" i="87" s="1"/>
  <c r="HP97" i="87" s="1"/>
  <c r="HI125" i="87"/>
  <c r="HJ125" i="87" s="1"/>
  <c r="HI123" i="87"/>
  <c r="HJ123" i="87" s="1"/>
  <c r="HI121" i="87"/>
  <c r="HJ121" i="87" s="1"/>
  <c r="HI119" i="87"/>
  <c r="HJ119" i="87" s="1"/>
  <c r="HI116" i="87"/>
  <c r="HJ116" i="87" s="1"/>
  <c r="HI114" i="87"/>
  <c r="HJ114" i="87" s="1"/>
  <c r="HK114" i="87" s="1"/>
  <c r="HM114" i="87" s="1"/>
  <c r="HN114" i="87" s="1"/>
  <c r="HI112" i="87"/>
  <c r="HJ112" i="87" s="1"/>
  <c r="HI110" i="87"/>
  <c r="HJ110" i="87" s="1"/>
  <c r="HI107" i="87"/>
  <c r="HJ107" i="87" s="1"/>
  <c r="HI105" i="87"/>
  <c r="HJ105" i="87" s="1"/>
  <c r="HK105" i="87" s="1"/>
  <c r="HM105" i="87" s="1"/>
  <c r="HN105" i="87" s="1"/>
  <c r="HI106" i="87"/>
  <c r="HJ106" i="87" s="1"/>
  <c r="HI100" i="87"/>
  <c r="HJ100" i="87" s="1"/>
  <c r="HI101" i="87"/>
  <c r="HJ101" i="87" s="1"/>
  <c r="HI102" i="87"/>
  <c r="HJ102" i="87" s="1"/>
  <c r="HK102" i="87" s="1"/>
  <c r="HM102" i="87" s="1"/>
  <c r="HN102" i="87" s="1"/>
  <c r="HI103" i="87"/>
  <c r="HJ103" i="87" s="1"/>
  <c r="HK103" i="87" s="1"/>
  <c r="HM103" i="87" s="1"/>
  <c r="HN103" i="87" s="1"/>
  <c r="HI104" i="87"/>
  <c r="HJ104" i="87" s="1"/>
  <c r="HI124" i="87"/>
  <c r="HJ124" i="87" s="1"/>
  <c r="HI122" i="87"/>
  <c r="HJ122" i="87" s="1"/>
  <c r="HK122" i="87" s="1"/>
  <c r="HM122" i="87" s="1"/>
  <c r="HN122" i="87" s="1"/>
  <c r="HI120" i="87"/>
  <c r="HJ120" i="87" s="1"/>
  <c r="HI118" i="87"/>
  <c r="HJ118" i="87" s="1"/>
  <c r="HK118" i="87" s="1"/>
  <c r="HM118" i="87" s="1"/>
  <c r="HN118" i="87" s="1"/>
  <c r="HI115" i="87"/>
  <c r="HJ115" i="87" s="1"/>
  <c r="HI113" i="87"/>
  <c r="HJ113" i="87" s="1"/>
  <c r="HK113" i="87" s="1"/>
  <c r="HM113" i="87" s="1"/>
  <c r="HN113" i="87" s="1"/>
  <c r="HI111" i="87"/>
  <c r="HJ111" i="87" s="1"/>
  <c r="HK111" i="87" s="1"/>
  <c r="HM111" i="87" s="1"/>
  <c r="HN111" i="87" s="1"/>
  <c r="HI109" i="87"/>
  <c r="HJ109" i="87" s="1"/>
  <c r="HK109" i="87" s="1"/>
  <c r="HM109" i="87" s="1"/>
  <c r="HN109" i="87" s="1"/>
  <c r="HA97" i="87"/>
  <c r="HC97" i="87" s="1"/>
  <c r="GY124" i="87"/>
  <c r="GZ124" i="87" s="1"/>
  <c r="GY122" i="87"/>
  <c r="GZ122" i="87" s="1"/>
  <c r="HA122" i="87" s="1"/>
  <c r="HC122" i="87" s="1"/>
  <c r="GY120" i="87"/>
  <c r="GZ120" i="87" s="1"/>
  <c r="GY118" i="87"/>
  <c r="GZ118" i="87" s="1"/>
  <c r="HA118" i="87" s="1"/>
  <c r="HC118" i="87" s="1"/>
  <c r="GY115" i="87"/>
  <c r="GZ115" i="87" s="1"/>
  <c r="GY113" i="87"/>
  <c r="GZ113" i="87" s="1"/>
  <c r="HA113" i="87" s="1"/>
  <c r="HC113" i="87" s="1"/>
  <c r="HD113" i="87" s="1"/>
  <c r="GY111" i="87"/>
  <c r="GZ111" i="87" s="1"/>
  <c r="GY109" i="87"/>
  <c r="GZ109" i="87" s="1"/>
  <c r="HA109" i="87" s="1"/>
  <c r="HC109" i="87" s="1"/>
  <c r="GY106" i="87"/>
  <c r="GZ106" i="87" s="1"/>
  <c r="GY101" i="87"/>
  <c r="GZ101" i="87" s="1"/>
  <c r="GY103" i="87"/>
  <c r="GZ103" i="87" s="1"/>
  <c r="HA103" i="87" s="1"/>
  <c r="HC103" i="87" s="1"/>
  <c r="GY125" i="87"/>
  <c r="GZ125" i="87" s="1"/>
  <c r="GY123" i="87"/>
  <c r="GZ123" i="87" s="1"/>
  <c r="GY121" i="87"/>
  <c r="GZ121" i="87" s="1"/>
  <c r="GY119" i="87"/>
  <c r="GZ119" i="87" s="1"/>
  <c r="GY116" i="87"/>
  <c r="GZ116" i="87" s="1"/>
  <c r="GY114" i="87"/>
  <c r="GZ114" i="87" s="1"/>
  <c r="GY112" i="87"/>
  <c r="GZ112" i="87" s="1"/>
  <c r="GY110" i="87"/>
  <c r="GZ110" i="87" s="1"/>
  <c r="GY107" i="87"/>
  <c r="GZ107" i="87" s="1"/>
  <c r="GY105" i="87"/>
  <c r="GZ105" i="87" s="1"/>
  <c r="HA105" i="87" s="1"/>
  <c r="HC105" i="87" s="1"/>
  <c r="GY100" i="87"/>
  <c r="GZ100" i="87" s="1"/>
  <c r="GY102" i="87"/>
  <c r="GZ102" i="87" s="1"/>
  <c r="GY104" i="87"/>
  <c r="GZ104" i="87" s="1"/>
  <c r="GY153" i="87"/>
  <c r="GZ153" i="87" s="1"/>
  <c r="GY129" i="87"/>
  <c r="GZ129" i="87" s="1"/>
  <c r="GY131" i="87"/>
  <c r="GZ131" i="87" s="1"/>
  <c r="GY133" i="87"/>
  <c r="GZ133" i="87" s="1"/>
  <c r="GY135" i="87"/>
  <c r="GZ135" i="87" s="1"/>
  <c r="GY138" i="87"/>
  <c r="GZ138" i="87" s="1"/>
  <c r="HA138" i="87" s="1"/>
  <c r="HC138" i="87" s="1"/>
  <c r="HD138" i="87" s="1"/>
  <c r="GY140" i="87"/>
  <c r="GZ140" i="87" s="1"/>
  <c r="GY142" i="87"/>
  <c r="GZ142" i="87" s="1"/>
  <c r="HA142" i="87" s="1"/>
  <c r="HC142" i="87" s="1"/>
  <c r="HD142" i="87" s="1"/>
  <c r="GY144" i="87"/>
  <c r="GZ144" i="87" s="1"/>
  <c r="GY147" i="87"/>
  <c r="GZ147" i="87" s="1"/>
  <c r="HA147" i="87" s="1"/>
  <c r="HC147" i="87" s="1"/>
  <c r="HD147" i="87" s="1"/>
  <c r="GY149" i="87"/>
  <c r="GZ149" i="87" s="1"/>
  <c r="GY151" i="87"/>
  <c r="GZ151" i="87" s="1"/>
  <c r="HA151" i="87" s="1"/>
  <c r="HC151" i="87" s="1"/>
  <c r="HD151" i="87" s="1"/>
  <c r="GY154" i="87"/>
  <c r="GZ154" i="87" s="1"/>
  <c r="GY130" i="87"/>
  <c r="GZ130" i="87" s="1"/>
  <c r="GY132" i="87"/>
  <c r="GZ132" i="87" s="1"/>
  <c r="HA132" i="87" s="1"/>
  <c r="HC132" i="87" s="1"/>
  <c r="HD132" i="87" s="1"/>
  <c r="GY134" i="87"/>
  <c r="GZ134" i="87" s="1"/>
  <c r="HA134" i="87" s="1"/>
  <c r="HC134" i="87" s="1"/>
  <c r="HD134" i="87" s="1"/>
  <c r="GY136" i="87"/>
  <c r="GZ136" i="87" s="1"/>
  <c r="GY139" i="87"/>
  <c r="GZ139" i="87" s="1"/>
  <c r="GY141" i="87"/>
  <c r="GZ141" i="87" s="1"/>
  <c r="GY143" i="87"/>
  <c r="GZ143" i="87" s="1"/>
  <c r="GY145" i="87"/>
  <c r="GZ145" i="87" s="1"/>
  <c r="GY148" i="87"/>
  <c r="GZ148" i="87" s="1"/>
  <c r="GY150" i="87"/>
  <c r="GZ150" i="87" s="1"/>
  <c r="GY152" i="87"/>
  <c r="GZ152" i="87" s="1"/>
  <c r="HA126" i="87"/>
  <c r="HC126" i="87" s="1"/>
  <c r="HD126" i="87" s="1"/>
  <c r="HF126" i="87" s="1"/>
  <c r="GT133" i="87"/>
  <c r="GT162" i="87" s="1"/>
  <c r="GT221" i="87" s="1"/>
  <c r="GS162" i="87"/>
  <c r="GS221" i="87" s="1"/>
  <c r="GT13" i="87"/>
  <c r="GQ39" i="87"/>
  <c r="GS39" i="87" s="1"/>
  <c r="GO42" i="87"/>
  <c r="GP42" i="87" s="1"/>
  <c r="GO43" i="87"/>
  <c r="GP43" i="87" s="1"/>
  <c r="GO46" i="87"/>
  <c r="GP46" i="87" s="1"/>
  <c r="GO47" i="87"/>
  <c r="GP47" i="87" s="1"/>
  <c r="GO51" i="87"/>
  <c r="GP51" i="87" s="1"/>
  <c r="GQ51" i="87" s="1"/>
  <c r="GS51" i="87" s="1"/>
  <c r="GO52" i="87"/>
  <c r="GP52" i="87" s="1"/>
  <c r="GO53" i="87"/>
  <c r="GP53" i="87" s="1"/>
  <c r="GQ53" i="87" s="1"/>
  <c r="GS53" i="87" s="1"/>
  <c r="GT53" i="87" s="1"/>
  <c r="GO54" i="87"/>
  <c r="GP54" i="87" s="1"/>
  <c r="GO56" i="87"/>
  <c r="GP56" i="87" s="1"/>
  <c r="GQ56" i="87" s="1"/>
  <c r="GS56" i="87" s="1"/>
  <c r="GT56" i="87" s="1"/>
  <c r="GO57" i="87"/>
  <c r="GP57" i="87" s="1"/>
  <c r="GO58" i="87"/>
  <c r="GP58" i="87" s="1"/>
  <c r="GO60" i="87"/>
  <c r="GP60" i="87" s="1"/>
  <c r="GQ60" i="87" s="1"/>
  <c r="GS60" i="87" s="1"/>
  <c r="GO61" i="87"/>
  <c r="GP61" i="87" s="1"/>
  <c r="GO62" i="87"/>
  <c r="GP62" i="87" s="1"/>
  <c r="GO63" i="87"/>
  <c r="GP63" i="87" s="1"/>
  <c r="GO64" i="87"/>
  <c r="GP64" i="87" s="1"/>
  <c r="GO65" i="87"/>
  <c r="GP65" i="87" s="1"/>
  <c r="GO66" i="87"/>
  <c r="GP66" i="87" s="1"/>
  <c r="GO67" i="87"/>
  <c r="GP67" i="87" s="1"/>
  <c r="GO44" i="87"/>
  <c r="GP44" i="87" s="1"/>
  <c r="GQ44" i="87" s="1"/>
  <c r="GS44" i="87" s="1"/>
  <c r="GO45" i="87"/>
  <c r="GP45" i="87" s="1"/>
  <c r="GQ45" i="87" s="1"/>
  <c r="GS45" i="87" s="1"/>
  <c r="GO48" i="87"/>
  <c r="GP48" i="87" s="1"/>
  <c r="GO49" i="87"/>
  <c r="GP49" i="87" s="1"/>
  <c r="GO55" i="87"/>
  <c r="GP55" i="87" s="1"/>
  <c r="GQ55" i="87" s="1"/>
  <c r="GS55" i="87" s="1"/>
  <c r="GT55" i="87" s="1"/>
  <c r="GO96" i="87"/>
  <c r="GP96" i="87" s="1"/>
  <c r="GO75" i="87"/>
  <c r="GP75" i="87" s="1"/>
  <c r="GO78" i="87"/>
  <c r="GP78" i="87" s="1"/>
  <c r="GO80" i="87"/>
  <c r="GP80" i="87" s="1"/>
  <c r="GQ80" i="87" s="1"/>
  <c r="GS80" i="87" s="1"/>
  <c r="GT80" i="87" s="1"/>
  <c r="GO83" i="87"/>
  <c r="GP83" i="87" s="1"/>
  <c r="GO87" i="87"/>
  <c r="GP87" i="87" s="1"/>
  <c r="GO89" i="87"/>
  <c r="GP89" i="87" s="1"/>
  <c r="GQ89" i="87" s="1"/>
  <c r="GS89" i="87" s="1"/>
  <c r="GT89" i="87" s="1"/>
  <c r="GO92" i="87"/>
  <c r="GP92" i="87" s="1"/>
  <c r="GQ68" i="87"/>
  <c r="GS68" i="87" s="1"/>
  <c r="GT68" i="87" s="1"/>
  <c r="GV68" i="87" s="1"/>
  <c r="GO71" i="87"/>
  <c r="GP71" i="87" s="1"/>
  <c r="GO72" i="87"/>
  <c r="GP72" i="87" s="1"/>
  <c r="GO73" i="87"/>
  <c r="GP73" i="87" s="1"/>
  <c r="GQ73" i="87" s="1"/>
  <c r="GS73" i="87" s="1"/>
  <c r="GT73" i="87" s="1"/>
  <c r="GO74" i="87"/>
  <c r="GP74" i="87" s="1"/>
  <c r="GQ74" i="87" s="1"/>
  <c r="GS74" i="87" s="1"/>
  <c r="GT74" i="87" s="1"/>
  <c r="GO76" i="87"/>
  <c r="GP76" i="87" s="1"/>
  <c r="GO77" i="87"/>
  <c r="GP77" i="87" s="1"/>
  <c r="GO81" i="87"/>
  <c r="GP81" i="87" s="1"/>
  <c r="GO82" i="87"/>
  <c r="GP82" i="87" s="1"/>
  <c r="GQ82" i="87" s="1"/>
  <c r="GS82" i="87" s="1"/>
  <c r="GT82" i="87" s="1"/>
  <c r="GO84" i="87"/>
  <c r="GP84" i="87" s="1"/>
  <c r="GQ84" i="87" s="1"/>
  <c r="GS84" i="87" s="1"/>
  <c r="GT84" i="87" s="1"/>
  <c r="GO85" i="87"/>
  <c r="GP85" i="87" s="1"/>
  <c r="GQ85" i="87" s="1"/>
  <c r="GS85" i="87" s="1"/>
  <c r="GT85" i="87" s="1"/>
  <c r="GO86" i="87"/>
  <c r="GP86" i="87" s="1"/>
  <c r="GO90" i="87"/>
  <c r="GP90" i="87" s="1"/>
  <c r="GO91" i="87"/>
  <c r="GP91" i="87" s="1"/>
  <c r="GO93" i="87"/>
  <c r="GP93" i="87" s="1"/>
  <c r="GO94" i="87"/>
  <c r="GP94" i="87" s="1"/>
  <c r="GO95" i="87"/>
  <c r="GP95" i="87" s="1"/>
  <c r="GQ97" i="87"/>
  <c r="GS97" i="87" s="1"/>
  <c r="GT97" i="87" s="1"/>
  <c r="GV97" i="87" s="1"/>
  <c r="GO125" i="87"/>
  <c r="GP125" i="87" s="1"/>
  <c r="GO123" i="87"/>
  <c r="GP123" i="87" s="1"/>
  <c r="GO121" i="87"/>
  <c r="GP121" i="87" s="1"/>
  <c r="GO119" i="87"/>
  <c r="GP119" i="87" s="1"/>
  <c r="GO116" i="87"/>
  <c r="GP116" i="87" s="1"/>
  <c r="GO114" i="87"/>
  <c r="GP114" i="87" s="1"/>
  <c r="GQ114" i="87" s="1"/>
  <c r="GS114" i="87" s="1"/>
  <c r="GT114" i="87" s="1"/>
  <c r="GO112" i="87"/>
  <c r="GP112" i="87" s="1"/>
  <c r="GO110" i="87"/>
  <c r="GP110" i="87" s="1"/>
  <c r="GO107" i="87"/>
  <c r="GP107" i="87" s="1"/>
  <c r="GO105" i="87"/>
  <c r="GP105" i="87" s="1"/>
  <c r="GO106" i="87"/>
  <c r="GP106" i="87" s="1"/>
  <c r="GO100" i="87"/>
  <c r="GP100" i="87" s="1"/>
  <c r="GO101" i="87"/>
  <c r="GP101" i="87" s="1"/>
  <c r="GO102" i="87"/>
  <c r="GP102" i="87" s="1"/>
  <c r="GQ102" i="87" s="1"/>
  <c r="GS102" i="87" s="1"/>
  <c r="GT102" i="87" s="1"/>
  <c r="GO103" i="87"/>
  <c r="GP103" i="87" s="1"/>
  <c r="GQ103" i="87" s="1"/>
  <c r="GS103" i="87" s="1"/>
  <c r="GT103" i="87" s="1"/>
  <c r="GO104" i="87"/>
  <c r="GP104" i="87" s="1"/>
  <c r="GO124" i="87"/>
  <c r="GP124" i="87" s="1"/>
  <c r="GO122" i="87"/>
  <c r="GP122" i="87" s="1"/>
  <c r="GO120" i="87"/>
  <c r="GP120" i="87" s="1"/>
  <c r="GO118" i="87"/>
  <c r="GP118" i="87" s="1"/>
  <c r="GQ118" i="87" s="1"/>
  <c r="GS118" i="87" s="1"/>
  <c r="GT118" i="87" s="1"/>
  <c r="GO115" i="87"/>
  <c r="GP115" i="87" s="1"/>
  <c r="GO113" i="87"/>
  <c r="GP113" i="87" s="1"/>
  <c r="GQ113" i="87" s="1"/>
  <c r="GS113" i="87" s="1"/>
  <c r="GT113" i="87" s="1"/>
  <c r="GO111" i="87"/>
  <c r="GP111" i="87" s="1"/>
  <c r="GQ111" i="87" s="1"/>
  <c r="GS111" i="87" s="1"/>
  <c r="GT111" i="87" s="1"/>
  <c r="GO109" i="87"/>
  <c r="GP109" i="87" s="1"/>
  <c r="GQ109" i="87" s="1"/>
  <c r="GS109" i="87" s="1"/>
  <c r="GT109" i="87" s="1"/>
  <c r="GO154" i="87"/>
  <c r="GP154" i="87" s="1"/>
  <c r="GO153" i="87"/>
  <c r="GP153" i="87" s="1"/>
  <c r="GO152" i="87"/>
  <c r="GP152" i="87" s="1"/>
  <c r="GO151" i="87"/>
  <c r="GP151" i="87" s="1"/>
  <c r="GO150" i="87"/>
  <c r="GP150" i="87" s="1"/>
  <c r="GO149" i="87"/>
  <c r="GP149" i="87" s="1"/>
  <c r="GO148" i="87"/>
  <c r="GP148" i="87" s="1"/>
  <c r="GO147" i="87"/>
  <c r="GP147" i="87" s="1"/>
  <c r="GQ147" i="87" s="1"/>
  <c r="GS147" i="87" s="1"/>
  <c r="GT147" i="87" s="1"/>
  <c r="GO145" i="87"/>
  <c r="GP145" i="87" s="1"/>
  <c r="GO144" i="87"/>
  <c r="GP144" i="87" s="1"/>
  <c r="GO143" i="87"/>
  <c r="GP143" i="87" s="1"/>
  <c r="GQ143" i="87" s="1"/>
  <c r="GS143" i="87" s="1"/>
  <c r="GT143" i="87" s="1"/>
  <c r="GO141" i="87"/>
  <c r="GP141" i="87" s="1"/>
  <c r="GO140" i="87"/>
  <c r="GP140" i="87" s="1"/>
  <c r="GQ140" i="87" s="1"/>
  <c r="GS140" i="87" s="1"/>
  <c r="GT140" i="87" s="1"/>
  <c r="GO139" i="87"/>
  <c r="GP139" i="87" s="1"/>
  <c r="GO142" i="87"/>
  <c r="GP142" i="87" s="1"/>
  <c r="GQ142" i="87" s="1"/>
  <c r="GS142" i="87" s="1"/>
  <c r="GT142" i="87" s="1"/>
  <c r="GO138" i="87"/>
  <c r="GP138" i="87" s="1"/>
  <c r="GQ138" i="87" s="1"/>
  <c r="GS138" i="87" s="1"/>
  <c r="GT138" i="87" s="1"/>
  <c r="GO134" i="87"/>
  <c r="GP134" i="87" s="1"/>
  <c r="GO132" i="87"/>
  <c r="GP132" i="87" s="1"/>
  <c r="GQ132" i="87" s="1"/>
  <c r="GS132" i="87" s="1"/>
  <c r="GT132" i="87" s="1"/>
  <c r="GQ126" i="87"/>
  <c r="GS126" i="87" s="1"/>
  <c r="GT126" i="87" s="1"/>
  <c r="GO136" i="87"/>
  <c r="GP136" i="87" s="1"/>
  <c r="GO131" i="87"/>
  <c r="GP131" i="87" s="1"/>
  <c r="GQ131" i="87" s="1"/>
  <c r="GS131" i="87" s="1"/>
  <c r="GT131" i="87" s="1"/>
  <c r="GO135" i="87"/>
  <c r="GP135" i="87" s="1"/>
  <c r="GO130" i="87"/>
  <c r="GP130" i="87" s="1"/>
  <c r="GG97" i="87"/>
  <c r="GI97" i="87" s="1"/>
  <c r="GJ97" i="87" s="1"/>
  <c r="GL97" i="87" s="1"/>
  <c r="GE124" i="87"/>
  <c r="GF124" i="87" s="1"/>
  <c r="GE122" i="87"/>
  <c r="GF122" i="87" s="1"/>
  <c r="GE120" i="87"/>
  <c r="GF120" i="87" s="1"/>
  <c r="GE115" i="87"/>
  <c r="GF115" i="87" s="1"/>
  <c r="GE113" i="87"/>
  <c r="GF113" i="87" s="1"/>
  <c r="GG113" i="87" s="1"/>
  <c r="GI113" i="87" s="1"/>
  <c r="GJ113" i="87" s="1"/>
  <c r="GE111" i="87"/>
  <c r="GF111" i="87" s="1"/>
  <c r="GG111" i="87" s="1"/>
  <c r="GI111" i="87" s="1"/>
  <c r="GJ111" i="87" s="1"/>
  <c r="GE109" i="87"/>
  <c r="GF109" i="87" s="1"/>
  <c r="GG109" i="87" s="1"/>
  <c r="GI109" i="87" s="1"/>
  <c r="GJ109" i="87" s="1"/>
  <c r="GE106" i="87"/>
  <c r="GF106" i="87" s="1"/>
  <c r="GE100" i="87"/>
  <c r="GF100" i="87" s="1"/>
  <c r="GE102" i="87"/>
  <c r="GF102" i="87" s="1"/>
  <c r="GG102" i="87" s="1"/>
  <c r="GI102" i="87" s="1"/>
  <c r="GJ102" i="87" s="1"/>
  <c r="GE104" i="87"/>
  <c r="GF104" i="87" s="1"/>
  <c r="GE125" i="87"/>
  <c r="GF125" i="87" s="1"/>
  <c r="GE123" i="87"/>
  <c r="GF123" i="87" s="1"/>
  <c r="GG123" i="87" s="1"/>
  <c r="GI123" i="87" s="1"/>
  <c r="GJ123" i="87" s="1"/>
  <c r="GE121" i="87"/>
  <c r="GF121" i="87" s="1"/>
  <c r="GE119" i="87"/>
  <c r="GF119" i="87" s="1"/>
  <c r="GE116" i="87"/>
  <c r="GF116" i="87" s="1"/>
  <c r="GE114" i="87"/>
  <c r="GF114" i="87" s="1"/>
  <c r="GG114" i="87" s="1"/>
  <c r="GI114" i="87" s="1"/>
  <c r="GJ114" i="87" s="1"/>
  <c r="GE112" i="87"/>
  <c r="GF112" i="87" s="1"/>
  <c r="GE110" i="87"/>
  <c r="GF110" i="87" s="1"/>
  <c r="GE107" i="87"/>
  <c r="GF107" i="87" s="1"/>
  <c r="GE105" i="87"/>
  <c r="GF105" i="87" s="1"/>
  <c r="GG105" i="87" s="1"/>
  <c r="GI105" i="87" s="1"/>
  <c r="GJ105" i="87" s="1"/>
  <c r="GE101" i="87"/>
  <c r="GF101" i="87" s="1"/>
  <c r="GE103" i="87"/>
  <c r="GF103" i="87" s="1"/>
  <c r="GG103" i="87" s="1"/>
  <c r="GI103" i="87" s="1"/>
  <c r="GJ103" i="87" s="1"/>
  <c r="GE154" i="87"/>
  <c r="GF154" i="87" s="1"/>
  <c r="GG126" i="87"/>
  <c r="GI126" i="87" s="1"/>
  <c r="GJ126" i="87" s="1"/>
  <c r="GL126" i="87" s="1"/>
  <c r="GE129" i="87"/>
  <c r="GF129" i="87" s="1"/>
  <c r="GE130" i="87"/>
  <c r="GF130" i="87" s="1"/>
  <c r="GE131" i="87"/>
  <c r="GF131" i="87" s="1"/>
  <c r="GG131" i="87" s="1"/>
  <c r="GI131" i="87" s="1"/>
  <c r="GJ131" i="87" s="1"/>
  <c r="GE132" i="87"/>
  <c r="GF132" i="87" s="1"/>
  <c r="GG132" i="87" s="1"/>
  <c r="GI132" i="87" s="1"/>
  <c r="GJ132" i="87" s="1"/>
  <c r="GE133" i="87"/>
  <c r="GF133" i="87" s="1"/>
  <c r="GE134" i="87"/>
  <c r="GF134" i="87" s="1"/>
  <c r="GG134" i="87" s="1"/>
  <c r="GI134" i="87" s="1"/>
  <c r="GJ134" i="87" s="1"/>
  <c r="GE135" i="87"/>
  <c r="GF135" i="87" s="1"/>
  <c r="GE136" i="87"/>
  <c r="GF136" i="87" s="1"/>
  <c r="GE138" i="87"/>
  <c r="GF138" i="87" s="1"/>
  <c r="GG138" i="87" s="1"/>
  <c r="GI138" i="87" s="1"/>
  <c r="GJ138" i="87" s="1"/>
  <c r="GE139" i="87"/>
  <c r="GF139" i="87" s="1"/>
  <c r="GE140" i="87"/>
  <c r="GF140" i="87" s="1"/>
  <c r="GG140" i="87" s="1"/>
  <c r="GI140" i="87" s="1"/>
  <c r="GJ140" i="87" s="1"/>
  <c r="GE141" i="87"/>
  <c r="GF141" i="87" s="1"/>
  <c r="GE142" i="87"/>
  <c r="GF142" i="87" s="1"/>
  <c r="GG142" i="87" s="1"/>
  <c r="GI142" i="87" s="1"/>
  <c r="GJ142" i="87" s="1"/>
  <c r="GE143" i="87"/>
  <c r="GF143" i="87" s="1"/>
  <c r="GG143" i="87" s="1"/>
  <c r="GI143" i="87" s="1"/>
  <c r="GJ143" i="87" s="1"/>
  <c r="GE144" i="87"/>
  <c r="GF144" i="87" s="1"/>
  <c r="GE145" i="87"/>
  <c r="GF145" i="87" s="1"/>
  <c r="GE147" i="87"/>
  <c r="GF147" i="87" s="1"/>
  <c r="GG147" i="87" s="1"/>
  <c r="GI147" i="87" s="1"/>
  <c r="GJ147" i="87" s="1"/>
  <c r="GE148" i="87"/>
  <c r="GF148" i="87" s="1"/>
  <c r="GE149" i="87"/>
  <c r="GF149" i="87" s="1"/>
  <c r="GE150" i="87"/>
  <c r="GF150" i="87" s="1"/>
  <c r="GE151" i="87"/>
  <c r="GF151" i="87" s="1"/>
  <c r="GE152" i="87"/>
  <c r="GF152" i="87" s="1"/>
  <c r="GG152" i="87" s="1"/>
  <c r="GI152" i="87" s="1"/>
  <c r="GJ152" i="87" s="1"/>
  <c r="GG39" i="87"/>
  <c r="GI39" i="87" s="1"/>
  <c r="GE42" i="87"/>
  <c r="GF42" i="87" s="1"/>
  <c r="GG42" i="87" s="1"/>
  <c r="GI42" i="87" s="1"/>
  <c r="GJ42" i="87" s="1"/>
  <c r="GE45" i="87"/>
  <c r="GF45" i="87" s="1"/>
  <c r="GG45" i="87" s="1"/>
  <c r="GI45" i="87" s="1"/>
  <c r="GJ45" i="87" s="1"/>
  <c r="GE46" i="87"/>
  <c r="GF46" i="87" s="1"/>
  <c r="GE49" i="87"/>
  <c r="GF49" i="87" s="1"/>
  <c r="GE51" i="87"/>
  <c r="GF51" i="87" s="1"/>
  <c r="GG51" i="87" s="1"/>
  <c r="GI51" i="87" s="1"/>
  <c r="GJ51" i="87" s="1"/>
  <c r="GE54" i="87"/>
  <c r="GF54" i="87" s="1"/>
  <c r="GE57" i="87"/>
  <c r="GF57" i="87" s="1"/>
  <c r="GE62" i="87"/>
  <c r="GF62" i="87" s="1"/>
  <c r="GE60" i="87"/>
  <c r="GF60" i="87" s="1"/>
  <c r="GG60" i="87" s="1"/>
  <c r="GI60" i="87" s="1"/>
  <c r="GE64" i="87"/>
  <c r="GF64" i="87" s="1"/>
  <c r="GE118" i="87"/>
  <c r="GF118" i="87" s="1"/>
  <c r="GG118" i="87" s="1"/>
  <c r="GI118" i="87" s="1"/>
  <c r="GJ118" i="87" s="1"/>
  <c r="GJ165" i="87"/>
  <c r="GE66" i="87"/>
  <c r="GF66" i="87" s="1"/>
  <c r="GE153" i="87"/>
  <c r="GF153" i="87" s="1"/>
  <c r="FZ13" i="87"/>
  <c r="FW39" i="87"/>
  <c r="FY39" i="87" s="1"/>
  <c r="FU44" i="87"/>
  <c r="FV44" i="87" s="1"/>
  <c r="FW44" i="87" s="1"/>
  <c r="FY44" i="87" s="1"/>
  <c r="FZ44" i="87" s="1"/>
  <c r="FU45" i="87"/>
  <c r="FV45" i="87" s="1"/>
  <c r="FW45" i="87" s="1"/>
  <c r="FY45" i="87" s="1"/>
  <c r="FU48" i="87"/>
  <c r="FV48" i="87" s="1"/>
  <c r="FU49" i="87"/>
  <c r="FV49" i="87" s="1"/>
  <c r="FU52" i="87"/>
  <c r="FV52" i="87" s="1"/>
  <c r="FU53" i="87"/>
  <c r="FV53" i="87" s="1"/>
  <c r="FW53" i="87" s="1"/>
  <c r="FY53" i="87" s="1"/>
  <c r="FZ53" i="87" s="1"/>
  <c r="FU54" i="87"/>
  <c r="FV54" i="87" s="1"/>
  <c r="FU42" i="87"/>
  <c r="FV42" i="87" s="1"/>
  <c r="FU43" i="87"/>
  <c r="FV43" i="87" s="1"/>
  <c r="FU46" i="87"/>
  <c r="FV46" i="87" s="1"/>
  <c r="FU47" i="87"/>
  <c r="FV47" i="87" s="1"/>
  <c r="FW47" i="87" s="1"/>
  <c r="FY47" i="87" s="1"/>
  <c r="FU51" i="87"/>
  <c r="FV51" i="87" s="1"/>
  <c r="FW51" i="87" s="1"/>
  <c r="FY51" i="87" s="1"/>
  <c r="FU55" i="87"/>
  <c r="FV55" i="87" s="1"/>
  <c r="FW55" i="87" s="1"/>
  <c r="FY55" i="87" s="1"/>
  <c r="FZ55" i="87" s="1"/>
  <c r="FU56" i="87"/>
  <c r="FV56" i="87" s="1"/>
  <c r="FW56" i="87" s="1"/>
  <c r="FY56" i="87" s="1"/>
  <c r="FZ56" i="87" s="1"/>
  <c r="FU57" i="87"/>
  <c r="FV57" i="87" s="1"/>
  <c r="FU58" i="87"/>
  <c r="FV58" i="87" s="1"/>
  <c r="FU60" i="87"/>
  <c r="FV60" i="87" s="1"/>
  <c r="FW60" i="87" s="1"/>
  <c r="FY60" i="87" s="1"/>
  <c r="FU61" i="87"/>
  <c r="FV61" i="87" s="1"/>
  <c r="FU62" i="87"/>
  <c r="FV62" i="87" s="1"/>
  <c r="FU63" i="87"/>
  <c r="FV63" i="87" s="1"/>
  <c r="FU64" i="87"/>
  <c r="FV64" i="87" s="1"/>
  <c r="FW64" i="87" s="1"/>
  <c r="FY64" i="87" s="1"/>
  <c r="FU65" i="87"/>
  <c r="FV65" i="87" s="1"/>
  <c r="FU66" i="87"/>
  <c r="FV66" i="87" s="1"/>
  <c r="FU67" i="87"/>
  <c r="FV67" i="87" s="1"/>
  <c r="FU96" i="87"/>
  <c r="FV96" i="87" s="1"/>
  <c r="FU71" i="87"/>
  <c r="FV71" i="87" s="1"/>
  <c r="FU73" i="87"/>
  <c r="FV73" i="87" s="1"/>
  <c r="FW73" i="87" s="1"/>
  <c r="FY73" i="87" s="1"/>
  <c r="FZ73" i="87" s="1"/>
  <c r="FU74" i="87"/>
  <c r="FV74" i="87" s="1"/>
  <c r="FW74" i="87" s="1"/>
  <c r="FY74" i="87" s="1"/>
  <c r="FZ74" i="87" s="1"/>
  <c r="FU76" i="87"/>
  <c r="FV76" i="87" s="1"/>
  <c r="FW76" i="87" s="1"/>
  <c r="FY76" i="87" s="1"/>
  <c r="FZ76" i="87" s="1"/>
  <c r="FU77" i="87"/>
  <c r="FV77" i="87" s="1"/>
  <c r="FU83" i="87"/>
  <c r="FV83" i="87" s="1"/>
  <c r="FU84" i="87"/>
  <c r="FV84" i="87" s="1"/>
  <c r="FW84" i="87" s="1"/>
  <c r="FY84" i="87" s="1"/>
  <c r="FZ84" i="87" s="1"/>
  <c r="FU85" i="87"/>
  <c r="FV85" i="87" s="1"/>
  <c r="FW85" i="87" s="1"/>
  <c r="FY85" i="87" s="1"/>
  <c r="FZ85" i="87" s="1"/>
  <c r="FU86" i="87"/>
  <c r="FV86" i="87" s="1"/>
  <c r="FU92" i="87"/>
  <c r="FV92" i="87" s="1"/>
  <c r="FU93" i="87"/>
  <c r="FV93" i="87" s="1"/>
  <c r="FW93" i="87" s="1"/>
  <c r="FY93" i="87" s="1"/>
  <c r="FZ93" i="87" s="1"/>
  <c r="FU94" i="87"/>
  <c r="FV94" i="87" s="1"/>
  <c r="FU95" i="87"/>
  <c r="FV95" i="87" s="1"/>
  <c r="FW68" i="87"/>
  <c r="FY68" i="87" s="1"/>
  <c r="FZ68" i="87" s="1"/>
  <c r="GB68" i="87" s="1"/>
  <c r="FU72" i="87"/>
  <c r="FV72" i="87" s="1"/>
  <c r="FU75" i="87"/>
  <c r="FV75" i="87" s="1"/>
  <c r="FU78" i="87"/>
  <c r="FV78" i="87" s="1"/>
  <c r="FU80" i="87"/>
  <c r="FV80" i="87" s="1"/>
  <c r="FW80" i="87" s="1"/>
  <c r="FY80" i="87" s="1"/>
  <c r="FZ80" i="87" s="1"/>
  <c r="FU81" i="87"/>
  <c r="FV81" i="87" s="1"/>
  <c r="FU82" i="87"/>
  <c r="FV82" i="87" s="1"/>
  <c r="FW82" i="87" s="1"/>
  <c r="FY82" i="87" s="1"/>
  <c r="FZ82" i="87" s="1"/>
  <c r="FU87" i="87"/>
  <c r="FV87" i="87" s="1"/>
  <c r="FU89" i="87"/>
  <c r="FV89" i="87" s="1"/>
  <c r="FW89" i="87" s="1"/>
  <c r="FY89" i="87" s="1"/>
  <c r="FZ89" i="87" s="1"/>
  <c r="FU90" i="87"/>
  <c r="FV90" i="87" s="1"/>
  <c r="FU91" i="87"/>
  <c r="FV91" i="87" s="1"/>
  <c r="FU154" i="87"/>
  <c r="FV154" i="87" s="1"/>
  <c r="FU144" i="87"/>
  <c r="FV144" i="87" s="1"/>
  <c r="FU140" i="87"/>
  <c r="FV140" i="87" s="1"/>
  <c r="FW140" i="87" s="1"/>
  <c r="FY140" i="87" s="1"/>
  <c r="FZ140" i="87" s="1"/>
  <c r="FW126" i="87"/>
  <c r="FY126" i="87" s="1"/>
  <c r="FZ126" i="87" s="1"/>
  <c r="GB126" i="87" s="1"/>
  <c r="FU153" i="87"/>
  <c r="FV153" i="87" s="1"/>
  <c r="FU152" i="87"/>
  <c r="FV152" i="87" s="1"/>
  <c r="FU151" i="87"/>
  <c r="FV151" i="87" s="1"/>
  <c r="FW151" i="87" s="1"/>
  <c r="FY151" i="87" s="1"/>
  <c r="FZ151" i="87" s="1"/>
  <c r="FU150" i="87"/>
  <c r="FV150" i="87" s="1"/>
  <c r="FU149" i="87"/>
  <c r="FV149" i="87" s="1"/>
  <c r="FU148" i="87"/>
  <c r="FV148" i="87" s="1"/>
  <c r="FU147" i="87"/>
  <c r="FV147" i="87" s="1"/>
  <c r="FW147" i="87" s="1"/>
  <c r="FY147" i="87" s="1"/>
  <c r="FZ147" i="87" s="1"/>
  <c r="FU145" i="87"/>
  <c r="FV145" i="87" s="1"/>
  <c r="FU143" i="87"/>
  <c r="FV143" i="87" s="1"/>
  <c r="FW143" i="87" s="1"/>
  <c r="FY143" i="87" s="1"/>
  <c r="FZ143" i="87" s="1"/>
  <c r="FU142" i="87"/>
  <c r="FV142" i="87" s="1"/>
  <c r="FW142" i="87" s="1"/>
  <c r="FY142" i="87" s="1"/>
  <c r="FZ142" i="87" s="1"/>
  <c r="FU141" i="87"/>
  <c r="FV141" i="87" s="1"/>
  <c r="FU139" i="87"/>
  <c r="FV139" i="87" s="1"/>
  <c r="FU138" i="87"/>
  <c r="FV138" i="87" s="1"/>
  <c r="FW138" i="87" s="1"/>
  <c r="FY138" i="87" s="1"/>
  <c r="FZ138" i="87" s="1"/>
  <c r="FU136" i="87"/>
  <c r="FV136" i="87" s="1"/>
  <c r="FU132" i="87"/>
  <c r="FV132" i="87" s="1"/>
  <c r="FW132" i="87" s="1"/>
  <c r="FY132" i="87" s="1"/>
  <c r="FZ132" i="87" s="1"/>
  <c r="FU130" i="87"/>
  <c r="FV130" i="87" s="1"/>
  <c r="FU134" i="87"/>
  <c r="FV134" i="87" s="1"/>
  <c r="FW134" i="87" s="1"/>
  <c r="FY134" i="87" s="1"/>
  <c r="FZ134" i="87" s="1"/>
  <c r="FU135" i="87"/>
  <c r="FV135" i="87" s="1"/>
  <c r="FW97" i="87"/>
  <c r="FY97" i="87" s="1"/>
  <c r="FZ97" i="87" s="1"/>
  <c r="GB97" i="87" s="1"/>
  <c r="FU125" i="87"/>
  <c r="FV125" i="87" s="1"/>
  <c r="FU123" i="87"/>
  <c r="FV123" i="87" s="1"/>
  <c r="FU121" i="87"/>
  <c r="FV121" i="87" s="1"/>
  <c r="FU119" i="87"/>
  <c r="FV119" i="87" s="1"/>
  <c r="FU116" i="87"/>
  <c r="FV116" i="87" s="1"/>
  <c r="FU114" i="87"/>
  <c r="FV114" i="87" s="1"/>
  <c r="FW114" i="87" s="1"/>
  <c r="FY114" i="87" s="1"/>
  <c r="FZ114" i="87" s="1"/>
  <c r="FU112" i="87"/>
  <c r="FV112" i="87" s="1"/>
  <c r="FU110" i="87"/>
  <c r="FV110" i="87" s="1"/>
  <c r="FU107" i="87"/>
  <c r="FV107" i="87" s="1"/>
  <c r="FU106" i="87"/>
  <c r="FV106" i="87" s="1"/>
  <c r="FU124" i="87"/>
  <c r="FV124" i="87" s="1"/>
  <c r="FU122" i="87"/>
  <c r="FV122" i="87" s="1"/>
  <c r="FW122" i="87" s="1"/>
  <c r="FY122" i="87" s="1"/>
  <c r="FZ122" i="87" s="1"/>
  <c r="FU120" i="87"/>
  <c r="FV120" i="87" s="1"/>
  <c r="FU118" i="87"/>
  <c r="FV118" i="87" s="1"/>
  <c r="FW118" i="87" s="1"/>
  <c r="FY118" i="87" s="1"/>
  <c r="FZ118" i="87" s="1"/>
  <c r="FU115" i="87"/>
  <c r="FV115" i="87" s="1"/>
  <c r="FU113" i="87"/>
  <c r="FV113" i="87" s="1"/>
  <c r="FW113" i="87" s="1"/>
  <c r="FY113" i="87" s="1"/>
  <c r="FZ113" i="87" s="1"/>
  <c r="FU111" i="87"/>
  <c r="FV111" i="87" s="1"/>
  <c r="FW111" i="87" s="1"/>
  <c r="FY111" i="87" s="1"/>
  <c r="FZ111" i="87" s="1"/>
  <c r="FU109" i="87"/>
  <c r="FV109" i="87" s="1"/>
  <c r="FW109" i="87" s="1"/>
  <c r="FY109" i="87" s="1"/>
  <c r="FZ109" i="87" s="1"/>
  <c r="FU100" i="87"/>
  <c r="FV100" i="87" s="1"/>
  <c r="FU101" i="87"/>
  <c r="FV101" i="87" s="1"/>
  <c r="FU102" i="87"/>
  <c r="FV102" i="87" s="1"/>
  <c r="FW102" i="87" s="1"/>
  <c r="FY102" i="87" s="1"/>
  <c r="FZ102" i="87" s="1"/>
  <c r="FU103" i="87"/>
  <c r="FV103" i="87" s="1"/>
  <c r="FW103" i="87" s="1"/>
  <c r="FY103" i="87" s="1"/>
  <c r="FZ103" i="87" s="1"/>
  <c r="FU104" i="87"/>
  <c r="FV104" i="87" s="1"/>
  <c r="FU105" i="87"/>
  <c r="FV105" i="87" s="1"/>
  <c r="FW105" i="87" s="1"/>
  <c r="FY105" i="87" s="1"/>
  <c r="FZ105" i="87" s="1"/>
  <c r="FU129" i="87"/>
  <c r="FV129" i="87" s="1"/>
  <c r="FU133" i="87"/>
  <c r="FV133" i="87" s="1"/>
  <c r="FM97" i="87"/>
  <c r="FO97" i="87" s="1"/>
  <c r="FP97" i="87" s="1"/>
  <c r="FR97" i="87" s="1"/>
  <c r="FK125" i="87"/>
  <c r="FL125" i="87" s="1"/>
  <c r="FK123" i="87"/>
  <c r="FL123" i="87" s="1"/>
  <c r="FK121" i="87"/>
  <c r="FL121" i="87" s="1"/>
  <c r="FK119" i="87"/>
  <c r="FL119" i="87" s="1"/>
  <c r="FK116" i="87"/>
  <c r="FL116" i="87" s="1"/>
  <c r="FK114" i="87"/>
  <c r="FL114" i="87" s="1"/>
  <c r="FK112" i="87"/>
  <c r="FL112" i="87" s="1"/>
  <c r="FK110" i="87"/>
  <c r="FL110" i="87" s="1"/>
  <c r="FK107" i="87"/>
  <c r="FL107" i="87" s="1"/>
  <c r="FK101" i="87"/>
  <c r="FL101" i="87" s="1"/>
  <c r="FK103" i="87"/>
  <c r="FL103" i="87" s="1"/>
  <c r="FM103" i="87" s="1"/>
  <c r="FO103" i="87" s="1"/>
  <c r="FP103" i="87" s="1"/>
  <c r="FK105" i="87"/>
  <c r="FL105" i="87" s="1"/>
  <c r="FM105" i="87" s="1"/>
  <c r="FO105" i="87" s="1"/>
  <c r="FP105" i="87" s="1"/>
  <c r="FK124" i="87"/>
  <c r="FL124" i="87" s="1"/>
  <c r="FK122" i="87"/>
  <c r="FL122" i="87" s="1"/>
  <c r="FK120" i="87"/>
  <c r="FL120" i="87" s="1"/>
  <c r="FK118" i="87"/>
  <c r="FL118" i="87" s="1"/>
  <c r="FM118" i="87" s="1"/>
  <c r="FO118" i="87" s="1"/>
  <c r="FP118" i="87" s="1"/>
  <c r="FK115" i="87"/>
  <c r="FL115" i="87" s="1"/>
  <c r="FK113" i="87"/>
  <c r="FL113" i="87" s="1"/>
  <c r="FM113" i="87" s="1"/>
  <c r="FO113" i="87" s="1"/>
  <c r="FP113" i="87" s="1"/>
  <c r="FK111" i="87"/>
  <c r="FL111" i="87" s="1"/>
  <c r="FK109" i="87"/>
  <c r="FL109" i="87" s="1"/>
  <c r="FM109" i="87" s="1"/>
  <c r="FO109" i="87" s="1"/>
  <c r="FP109" i="87" s="1"/>
  <c r="FK106" i="87"/>
  <c r="FL106" i="87" s="1"/>
  <c r="FK100" i="87"/>
  <c r="FL100" i="87" s="1"/>
  <c r="FK102" i="87"/>
  <c r="FL102" i="87" s="1"/>
  <c r="FK104" i="87"/>
  <c r="FL104" i="87" s="1"/>
  <c r="FM68" i="87"/>
  <c r="FO68" i="87" s="1"/>
  <c r="FK71" i="87"/>
  <c r="FL71" i="87" s="1"/>
  <c r="FK72" i="87"/>
  <c r="FL72" i="87" s="1"/>
  <c r="FK73" i="87"/>
  <c r="FL73" i="87" s="1"/>
  <c r="FK77" i="87"/>
  <c r="FL77" i="87" s="1"/>
  <c r="FK78" i="87"/>
  <c r="FL78" i="87" s="1"/>
  <c r="FK81" i="87"/>
  <c r="FL81" i="87" s="1"/>
  <c r="FK84" i="87"/>
  <c r="FL84" i="87" s="1"/>
  <c r="FM84" i="87" s="1"/>
  <c r="FO84" i="87" s="1"/>
  <c r="FP84" i="87" s="1"/>
  <c r="FK86" i="87"/>
  <c r="FL86" i="87" s="1"/>
  <c r="FK87" i="87"/>
  <c r="FL87" i="87" s="1"/>
  <c r="FK90" i="87"/>
  <c r="FL90" i="87" s="1"/>
  <c r="FK93" i="87"/>
  <c r="FL93" i="87" s="1"/>
  <c r="FK95" i="87"/>
  <c r="FL95" i="87" s="1"/>
  <c r="FK96" i="87"/>
  <c r="FL96" i="87" s="1"/>
  <c r="FK74" i="87"/>
  <c r="FL74" i="87" s="1"/>
  <c r="FM74" i="87" s="1"/>
  <c r="FO74" i="87" s="1"/>
  <c r="FP74" i="87" s="1"/>
  <c r="FK75" i="87"/>
  <c r="FL75" i="87" s="1"/>
  <c r="FK76" i="87"/>
  <c r="FL76" i="87" s="1"/>
  <c r="FM76" i="87" s="1"/>
  <c r="FO76" i="87" s="1"/>
  <c r="FP76" i="87" s="1"/>
  <c r="FK80" i="87"/>
  <c r="FL80" i="87" s="1"/>
  <c r="FM80" i="87" s="1"/>
  <c r="FO80" i="87" s="1"/>
  <c r="FP80" i="87" s="1"/>
  <c r="FK82" i="87"/>
  <c r="FL82" i="87" s="1"/>
  <c r="FK83" i="87"/>
  <c r="FL83" i="87" s="1"/>
  <c r="FK85" i="87"/>
  <c r="FL85" i="87" s="1"/>
  <c r="FK89" i="87"/>
  <c r="FL89" i="87" s="1"/>
  <c r="FM89" i="87" s="1"/>
  <c r="FO89" i="87" s="1"/>
  <c r="FK91" i="87"/>
  <c r="FL91" i="87" s="1"/>
  <c r="FK92" i="87"/>
  <c r="FL92" i="87" s="1"/>
  <c r="FK94" i="87"/>
  <c r="FL94" i="87" s="1"/>
  <c r="FK153" i="87"/>
  <c r="FL153" i="87" s="1"/>
  <c r="FK130" i="87"/>
  <c r="FL130" i="87" s="1"/>
  <c r="FK132" i="87"/>
  <c r="FL132" i="87" s="1"/>
  <c r="FM132" i="87" s="1"/>
  <c r="FO132" i="87" s="1"/>
  <c r="FP132" i="87" s="1"/>
  <c r="FK134" i="87"/>
  <c r="FL134" i="87" s="1"/>
  <c r="FM134" i="87" s="1"/>
  <c r="FO134" i="87" s="1"/>
  <c r="FP134" i="87" s="1"/>
  <c r="FK136" i="87"/>
  <c r="FL136" i="87" s="1"/>
  <c r="FK139" i="87"/>
  <c r="FL139" i="87" s="1"/>
  <c r="FK141" i="87"/>
  <c r="FL141" i="87" s="1"/>
  <c r="FK143" i="87"/>
  <c r="FL143" i="87" s="1"/>
  <c r="FK145" i="87"/>
  <c r="FL145" i="87" s="1"/>
  <c r="FK148" i="87"/>
  <c r="FL148" i="87" s="1"/>
  <c r="FK150" i="87"/>
  <c r="FL150" i="87" s="1"/>
  <c r="FK152" i="87"/>
  <c r="FL152" i="87" s="1"/>
  <c r="FK154" i="87"/>
  <c r="FL154" i="87" s="1"/>
  <c r="FK129" i="87"/>
  <c r="FL129" i="87" s="1"/>
  <c r="FK131" i="87"/>
  <c r="FL131" i="87" s="1"/>
  <c r="FK133" i="87"/>
  <c r="FL133" i="87" s="1"/>
  <c r="FK135" i="87"/>
  <c r="FL135" i="87" s="1"/>
  <c r="FK138" i="87"/>
  <c r="FL138" i="87" s="1"/>
  <c r="FM138" i="87" s="1"/>
  <c r="FO138" i="87" s="1"/>
  <c r="FP138" i="87" s="1"/>
  <c r="FK140" i="87"/>
  <c r="FL140" i="87" s="1"/>
  <c r="FK142" i="87"/>
  <c r="FL142" i="87" s="1"/>
  <c r="FM142" i="87" s="1"/>
  <c r="FO142" i="87" s="1"/>
  <c r="FP142" i="87" s="1"/>
  <c r="FK144" i="87"/>
  <c r="FL144" i="87" s="1"/>
  <c r="FK147" i="87"/>
  <c r="FL147" i="87" s="1"/>
  <c r="FM147" i="87" s="1"/>
  <c r="FO147" i="87" s="1"/>
  <c r="FP147" i="87" s="1"/>
  <c r="FK149" i="87"/>
  <c r="FL149" i="87" s="1"/>
  <c r="FK151" i="87"/>
  <c r="FL151" i="87" s="1"/>
  <c r="FM126" i="87"/>
  <c r="FO126" i="87" s="1"/>
  <c r="FP126" i="87" s="1"/>
  <c r="FR126" i="87" s="1"/>
  <c r="FP160" i="87"/>
  <c r="FP219" i="87" s="1"/>
  <c r="FP162" i="87"/>
  <c r="FP221" i="87" s="1"/>
  <c r="EQ154" i="87"/>
  <c r="ER154" i="87" s="1"/>
  <c r="EQ153" i="87"/>
  <c r="ER153" i="87" s="1"/>
  <c r="ES126" i="87"/>
  <c r="EU126" i="87" s="1"/>
  <c r="EV126" i="87" s="1"/>
  <c r="EX126" i="87" s="1"/>
  <c r="EQ129" i="87"/>
  <c r="ER129" i="87" s="1"/>
  <c r="EQ130" i="87"/>
  <c r="ER130" i="87" s="1"/>
  <c r="EQ131" i="87"/>
  <c r="ER131" i="87" s="1"/>
  <c r="ES131" i="87" s="1"/>
  <c r="EU131" i="87" s="1"/>
  <c r="EV131" i="87" s="1"/>
  <c r="EQ132" i="87"/>
  <c r="ER132" i="87" s="1"/>
  <c r="ES132" i="87" s="1"/>
  <c r="EU132" i="87" s="1"/>
  <c r="EV132" i="87" s="1"/>
  <c r="EQ133" i="87"/>
  <c r="ER133" i="87" s="1"/>
  <c r="EQ134" i="87"/>
  <c r="ER134" i="87" s="1"/>
  <c r="ES134" i="87" s="1"/>
  <c r="EU134" i="87" s="1"/>
  <c r="EV134" i="87" s="1"/>
  <c r="EQ135" i="87"/>
  <c r="ER135" i="87" s="1"/>
  <c r="EQ136" i="87"/>
  <c r="ER136" i="87" s="1"/>
  <c r="EQ138" i="87"/>
  <c r="ER138" i="87" s="1"/>
  <c r="ES138" i="87" s="1"/>
  <c r="EU138" i="87" s="1"/>
  <c r="EV138" i="87" s="1"/>
  <c r="EQ139" i="87"/>
  <c r="ER139" i="87" s="1"/>
  <c r="EQ140" i="87"/>
  <c r="ER140" i="87" s="1"/>
  <c r="EQ141" i="87"/>
  <c r="ER141" i="87" s="1"/>
  <c r="EQ142" i="87"/>
  <c r="ER142" i="87" s="1"/>
  <c r="ES142" i="87" s="1"/>
  <c r="EU142" i="87" s="1"/>
  <c r="EV142" i="87" s="1"/>
  <c r="EQ143" i="87"/>
  <c r="ER143" i="87" s="1"/>
  <c r="ES143" i="87" s="1"/>
  <c r="EU143" i="87" s="1"/>
  <c r="EV143" i="87" s="1"/>
  <c r="EQ144" i="87"/>
  <c r="ER144" i="87" s="1"/>
  <c r="EQ145" i="87"/>
  <c r="ER145" i="87" s="1"/>
  <c r="EQ147" i="87"/>
  <c r="ER147" i="87" s="1"/>
  <c r="ES147" i="87" s="1"/>
  <c r="EU147" i="87" s="1"/>
  <c r="EV147" i="87" s="1"/>
  <c r="EQ148" i="87"/>
  <c r="ER148" i="87" s="1"/>
  <c r="EQ149" i="87"/>
  <c r="ER149" i="87" s="1"/>
  <c r="EQ150" i="87"/>
  <c r="ER150" i="87" s="1"/>
  <c r="EQ151" i="87"/>
  <c r="ER151" i="87" s="1"/>
  <c r="ES151" i="87" s="1"/>
  <c r="EU151" i="87" s="1"/>
  <c r="EV151" i="87" s="1"/>
  <c r="EQ152" i="87"/>
  <c r="ER152" i="87" s="1"/>
  <c r="ES152" i="87" s="1"/>
  <c r="EU152" i="87" s="1"/>
  <c r="EV152" i="87" s="1"/>
  <c r="ES68" i="87"/>
  <c r="EU68" i="87" s="1"/>
  <c r="EQ71" i="87"/>
  <c r="ER71" i="87" s="1"/>
  <c r="EQ74" i="87"/>
  <c r="ER74" i="87" s="1"/>
  <c r="ES74" i="87" s="1"/>
  <c r="EU74" i="87" s="1"/>
  <c r="EV74" i="87" s="1"/>
  <c r="EQ76" i="87"/>
  <c r="ER76" i="87" s="1"/>
  <c r="ES76" i="87" s="1"/>
  <c r="EU76" i="87" s="1"/>
  <c r="EQ83" i="87"/>
  <c r="ER83" i="87" s="1"/>
  <c r="EQ84" i="87"/>
  <c r="ER84" i="87" s="1"/>
  <c r="ES84" i="87" s="1"/>
  <c r="EU84" i="87" s="1"/>
  <c r="EV84" i="87" s="1"/>
  <c r="EQ85" i="87"/>
  <c r="ER85" i="87" s="1"/>
  <c r="ES85" i="87" s="1"/>
  <c r="EU85" i="87" s="1"/>
  <c r="EQ86" i="87"/>
  <c r="ER86" i="87" s="1"/>
  <c r="EQ92" i="87"/>
  <c r="ER92" i="87" s="1"/>
  <c r="EQ93" i="87"/>
  <c r="ER93" i="87" s="1"/>
  <c r="ES93" i="87" s="1"/>
  <c r="EU93" i="87" s="1"/>
  <c r="EQ94" i="87"/>
  <c r="ER94" i="87" s="1"/>
  <c r="ES94" i="87" s="1"/>
  <c r="EU94" i="87" s="1"/>
  <c r="EQ95" i="87"/>
  <c r="ER95" i="87" s="1"/>
  <c r="EQ72" i="87"/>
  <c r="ER72" i="87" s="1"/>
  <c r="EQ75" i="87"/>
  <c r="ER75" i="87" s="1"/>
  <c r="EQ78" i="87"/>
  <c r="ER78" i="87" s="1"/>
  <c r="EQ80" i="87"/>
  <c r="ER80" i="87" s="1"/>
  <c r="ES80" i="87" s="1"/>
  <c r="EU80" i="87" s="1"/>
  <c r="EQ81" i="87"/>
  <c r="ER81" i="87" s="1"/>
  <c r="EQ82" i="87"/>
  <c r="ER82" i="87" s="1"/>
  <c r="EQ87" i="87"/>
  <c r="ER87" i="87" s="1"/>
  <c r="EQ89" i="87"/>
  <c r="ER89" i="87" s="1"/>
  <c r="ES89" i="87" s="1"/>
  <c r="EU89" i="87" s="1"/>
  <c r="EQ90" i="87"/>
  <c r="ER90" i="87" s="1"/>
  <c r="EQ91" i="87"/>
  <c r="ER91" i="87" s="1"/>
  <c r="EQ96" i="87"/>
  <c r="ER96" i="87" s="1"/>
  <c r="ES97" i="87"/>
  <c r="EU97" i="87" s="1"/>
  <c r="EV97" i="87" s="1"/>
  <c r="EX97" i="87" s="1"/>
  <c r="EQ124" i="87"/>
  <c r="ER124" i="87" s="1"/>
  <c r="EQ122" i="87"/>
  <c r="ER122" i="87" s="1"/>
  <c r="ES122" i="87" s="1"/>
  <c r="EU122" i="87" s="1"/>
  <c r="EV122" i="87" s="1"/>
  <c r="EQ120" i="87"/>
  <c r="ER120" i="87" s="1"/>
  <c r="EQ118" i="87"/>
  <c r="ER118" i="87" s="1"/>
  <c r="ES118" i="87" s="1"/>
  <c r="EU118" i="87" s="1"/>
  <c r="EV118" i="87" s="1"/>
  <c r="EQ115" i="87"/>
  <c r="ER115" i="87" s="1"/>
  <c r="EQ113" i="87"/>
  <c r="ER113" i="87" s="1"/>
  <c r="ES113" i="87" s="1"/>
  <c r="EU113" i="87" s="1"/>
  <c r="EV113" i="87" s="1"/>
  <c r="EQ111" i="87"/>
  <c r="ER111" i="87" s="1"/>
  <c r="EQ109" i="87"/>
  <c r="ER109" i="87" s="1"/>
  <c r="ES109" i="87" s="1"/>
  <c r="EU109" i="87" s="1"/>
  <c r="EV109" i="87" s="1"/>
  <c r="EQ125" i="87"/>
  <c r="ER125" i="87" s="1"/>
  <c r="EQ123" i="87"/>
  <c r="ER123" i="87" s="1"/>
  <c r="ES123" i="87" s="1"/>
  <c r="EU123" i="87" s="1"/>
  <c r="EV123" i="87" s="1"/>
  <c r="EQ121" i="87"/>
  <c r="ER121" i="87" s="1"/>
  <c r="EQ119" i="87"/>
  <c r="ER119" i="87" s="1"/>
  <c r="EQ116" i="87"/>
  <c r="ER116" i="87" s="1"/>
  <c r="EQ114" i="87"/>
  <c r="ER114" i="87" s="1"/>
  <c r="ES114" i="87" s="1"/>
  <c r="EU114" i="87" s="1"/>
  <c r="EV114" i="87" s="1"/>
  <c r="EQ112" i="87"/>
  <c r="ER112" i="87" s="1"/>
  <c r="EQ110" i="87"/>
  <c r="ER110" i="87" s="1"/>
  <c r="EQ107" i="87"/>
  <c r="ER107" i="87" s="1"/>
  <c r="EQ106" i="87"/>
  <c r="ER106" i="87" s="1"/>
  <c r="EQ100" i="87"/>
  <c r="ER100" i="87" s="1"/>
  <c r="EQ101" i="87"/>
  <c r="ER101" i="87" s="1"/>
  <c r="EQ102" i="87"/>
  <c r="ER102" i="87" s="1"/>
  <c r="ES102" i="87" s="1"/>
  <c r="EU102" i="87" s="1"/>
  <c r="EV102" i="87" s="1"/>
  <c r="EQ103" i="87"/>
  <c r="ER103" i="87" s="1"/>
  <c r="ES103" i="87" s="1"/>
  <c r="EU103" i="87" s="1"/>
  <c r="EV103" i="87" s="1"/>
  <c r="EQ104" i="87"/>
  <c r="ER104" i="87" s="1"/>
  <c r="EQ105" i="87"/>
  <c r="ER105" i="87" s="1"/>
  <c r="ES105" i="87" s="1"/>
  <c r="EU105" i="87" s="1"/>
  <c r="EV105" i="87" s="1"/>
  <c r="EV165" i="87"/>
  <c r="EQ77" i="87"/>
  <c r="ER77" i="87" s="1"/>
  <c r="EL31" i="87"/>
  <c r="EL22" i="87"/>
  <c r="EL18" i="87"/>
  <c r="EL48" i="87"/>
  <c r="EK164" i="87"/>
  <c r="EK223" i="87" s="1"/>
  <c r="EK162" i="87"/>
  <c r="EK221" i="87" s="1"/>
  <c r="EL104" i="87"/>
  <c r="EL162" i="87" s="1"/>
  <c r="EL221" i="87" s="1"/>
  <c r="EI68" i="87"/>
  <c r="EK68" i="87" s="1"/>
  <c r="EL68" i="87" s="1"/>
  <c r="EG71" i="87"/>
  <c r="EH71" i="87" s="1"/>
  <c r="EG72" i="87"/>
  <c r="EH72" i="87" s="1"/>
  <c r="EG73" i="87"/>
  <c r="EH73" i="87" s="1"/>
  <c r="EI73" i="87" s="1"/>
  <c r="EK73" i="87" s="1"/>
  <c r="EL73" i="87" s="1"/>
  <c r="EG77" i="87"/>
  <c r="EH77" i="87" s="1"/>
  <c r="EG78" i="87"/>
  <c r="EH78" i="87" s="1"/>
  <c r="EG81" i="87"/>
  <c r="EH81" i="87" s="1"/>
  <c r="EG84" i="87"/>
  <c r="EH84" i="87" s="1"/>
  <c r="EI84" i="87" s="1"/>
  <c r="EK84" i="87" s="1"/>
  <c r="EL84" i="87" s="1"/>
  <c r="EG86" i="87"/>
  <c r="EH86" i="87" s="1"/>
  <c r="EG87" i="87"/>
  <c r="EH87" i="87" s="1"/>
  <c r="EG90" i="87"/>
  <c r="EH90" i="87" s="1"/>
  <c r="EG93" i="87"/>
  <c r="EH93" i="87" s="1"/>
  <c r="EG95" i="87"/>
  <c r="EH95" i="87" s="1"/>
  <c r="EG96" i="87"/>
  <c r="EH96" i="87" s="1"/>
  <c r="EG74" i="87"/>
  <c r="EH74" i="87" s="1"/>
  <c r="EI74" i="87" s="1"/>
  <c r="EK74" i="87" s="1"/>
  <c r="EL74" i="87" s="1"/>
  <c r="EG75" i="87"/>
  <c r="EH75" i="87" s="1"/>
  <c r="EG76" i="87"/>
  <c r="EH76" i="87" s="1"/>
  <c r="EI76" i="87" s="1"/>
  <c r="EK76" i="87" s="1"/>
  <c r="EL76" i="87" s="1"/>
  <c r="EG80" i="87"/>
  <c r="EH80" i="87" s="1"/>
  <c r="EI80" i="87" s="1"/>
  <c r="EK80" i="87" s="1"/>
  <c r="EL80" i="87" s="1"/>
  <c r="EG82" i="87"/>
  <c r="EH82" i="87" s="1"/>
  <c r="EI82" i="87" s="1"/>
  <c r="EK82" i="87" s="1"/>
  <c r="EL82" i="87" s="1"/>
  <c r="EG83" i="87"/>
  <c r="EH83" i="87" s="1"/>
  <c r="EG85" i="87"/>
  <c r="EH85" i="87" s="1"/>
  <c r="EI85" i="87" s="1"/>
  <c r="EK85" i="87" s="1"/>
  <c r="EL85" i="87" s="1"/>
  <c r="EG89" i="87"/>
  <c r="EH89" i="87" s="1"/>
  <c r="EI89" i="87" s="1"/>
  <c r="EK89" i="87" s="1"/>
  <c r="EL89" i="87" s="1"/>
  <c r="EG91" i="87"/>
  <c r="EH91" i="87" s="1"/>
  <c r="EG92" i="87"/>
  <c r="EH92" i="87" s="1"/>
  <c r="EG94" i="87"/>
  <c r="EH94" i="87" s="1"/>
  <c r="EG154" i="87"/>
  <c r="EH154" i="87" s="1"/>
  <c r="EG152" i="87"/>
  <c r="EH152" i="87" s="1"/>
  <c r="EG150" i="87"/>
  <c r="EH150" i="87" s="1"/>
  <c r="EG148" i="87"/>
  <c r="EH148" i="87" s="1"/>
  <c r="EG145" i="87"/>
  <c r="EH145" i="87" s="1"/>
  <c r="EG144" i="87"/>
  <c r="EH144" i="87" s="1"/>
  <c r="EG141" i="87"/>
  <c r="EH141" i="87" s="1"/>
  <c r="EG140" i="87"/>
  <c r="EH140" i="87" s="1"/>
  <c r="EI140" i="87" s="1"/>
  <c r="EK140" i="87" s="1"/>
  <c r="EL140" i="87" s="1"/>
  <c r="EI126" i="87"/>
  <c r="EK126" i="87" s="1"/>
  <c r="EL126" i="87" s="1"/>
  <c r="EN126" i="87" s="1"/>
  <c r="EG153" i="87"/>
  <c r="EH153" i="87" s="1"/>
  <c r="EG151" i="87"/>
  <c r="EH151" i="87" s="1"/>
  <c r="EG149" i="87"/>
  <c r="EH149" i="87" s="1"/>
  <c r="EG147" i="87"/>
  <c r="EH147" i="87" s="1"/>
  <c r="EI147" i="87" s="1"/>
  <c r="EK147" i="87" s="1"/>
  <c r="EL147" i="87" s="1"/>
  <c r="EG143" i="87"/>
  <c r="EH143" i="87" s="1"/>
  <c r="EI143" i="87" s="1"/>
  <c r="EK143" i="87" s="1"/>
  <c r="EL143" i="87" s="1"/>
  <c r="EG142" i="87"/>
  <c r="EH142" i="87" s="1"/>
  <c r="EI142" i="87" s="1"/>
  <c r="EK142" i="87" s="1"/>
  <c r="EL142" i="87" s="1"/>
  <c r="EG139" i="87"/>
  <c r="EH139" i="87" s="1"/>
  <c r="EG138" i="87"/>
  <c r="EH138" i="87" s="1"/>
  <c r="EI138" i="87" s="1"/>
  <c r="EK138" i="87" s="1"/>
  <c r="EL138" i="87" s="1"/>
  <c r="EG134" i="87"/>
  <c r="EH134" i="87" s="1"/>
  <c r="EI134" i="87" s="1"/>
  <c r="EK134" i="87" s="1"/>
  <c r="EL134" i="87" s="1"/>
  <c r="EG132" i="87"/>
  <c r="EH132" i="87" s="1"/>
  <c r="EI132" i="87" s="1"/>
  <c r="EK132" i="87" s="1"/>
  <c r="EL132" i="87" s="1"/>
  <c r="EG133" i="87"/>
  <c r="EH133" i="87" s="1"/>
  <c r="EG136" i="87"/>
  <c r="EH136" i="87" s="1"/>
  <c r="EG129" i="87"/>
  <c r="EH129" i="87" s="1"/>
  <c r="EG135" i="87"/>
  <c r="EH135" i="87" s="1"/>
  <c r="EG130" i="87"/>
  <c r="EH130" i="87" s="1"/>
  <c r="EH11" i="87"/>
  <c r="EI13" i="87"/>
  <c r="EK13" i="87" s="1"/>
  <c r="EI39" i="87"/>
  <c r="EK39" i="87" s="1"/>
  <c r="EG42" i="87"/>
  <c r="EH42" i="87" s="1"/>
  <c r="EG43" i="87"/>
  <c r="EH43" i="87" s="1"/>
  <c r="EG44" i="87"/>
  <c r="EH44" i="87" s="1"/>
  <c r="EI44" i="87" s="1"/>
  <c r="EK44" i="87" s="1"/>
  <c r="EL44" i="87" s="1"/>
  <c r="EG45" i="87"/>
  <c r="EH45" i="87" s="1"/>
  <c r="EI45" i="87" s="1"/>
  <c r="EK45" i="87" s="1"/>
  <c r="EL45" i="87" s="1"/>
  <c r="EG46" i="87"/>
  <c r="EH46" i="87" s="1"/>
  <c r="EG47" i="87"/>
  <c r="EH47" i="87" s="1"/>
  <c r="EI47" i="87" s="1"/>
  <c r="EK47" i="87" s="1"/>
  <c r="EL47" i="87" s="1"/>
  <c r="EG49" i="87"/>
  <c r="EH49" i="87" s="1"/>
  <c r="EG51" i="87"/>
  <c r="EH51" i="87" s="1"/>
  <c r="EI51" i="87" s="1"/>
  <c r="EK51" i="87" s="1"/>
  <c r="EL51" i="87" s="1"/>
  <c r="EG53" i="87"/>
  <c r="EH53" i="87" s="1"/>
  <c r="EI53" i="87" s="1"/>
  <c r="EK53" i="87" s="1"/>
  <c r="EL53" i="87" s="1"/>
  <c r="EG55" i="87"/>
  <c r="EH55" i="87" s="1"/>
  <c r="EI55" i="87" s="1"/>
  <c r="EK55" i="87" s="1"/>
  <c r="EL55" i="87" s="1"/>
  <c r="EG56" i="87"/>
  <c r="EH56" i="87" s="1"/>
  <c r="EI56" i="87" s="1"/>
  <c r="EK56" i="87" s="1"/>
  <c r="EL56" i="87" s="1"/>
  <c r="EG58" i="87"/>
  <c r="EH58" i="87" s="1"/>
  <c r="EG61" i="87"/>
  <c r="EH61" i="87" s="1"/>
  <c r="EG63" i="87"/>
  <c r="EH63" i="87" s="1"/>
  <c r="EG65" i="87"/>
  <c r="EH65" i="87" s="1"/>
  <c r="EG67" i="87"/>
  <c r="EH67" i="87" s="1"/>
  <c r="EG52" i="87"/>
  <c r="EH52" i="87" s="1"/>
  <c r="EG54" i="87"/>
  <c r="EH54" i="87" s="1"/>
  <c r="EG57" i="87"/>
  <c r="EH57" i="87" s="1"/>
  <c r="EG60" i="87"/>
  <c r="EH60" i="87" s="1"/>
  <c r="EI60" i="87" s="1"/>
  <c r="EK60" i="87" s="1"/>
  <c r="EL60" i="87" s="1"/>
  <c r="EG62" i="87"/>
  <c r="EH62" i="87" s="1"/>
  <c r="EG64" i="87"/>
  <c r="EH64" i="87" s="1"/>
  <c r="EG66" i="87"/>
  <c r="EH66" i="87" s="1"/>
  <c r="EI97" i="87"/>
  <c r="EK97" i="87" s="1"/>
  <c r="EL97" i="87" s="1"/>
  <c r="EN97" i="87" s="1"/>
  <c r="EG125" i="87"/>
  <c r="EH125" i="87" s="1"/>
  <c r="EG123" i="87"/>
  <c r="EH123" i="87" s="1"/>
  <c r="EG121" i="87"/>
  <c r="EH121" i="87" s="1"/>
  <c r="EG119" i="87"/>
  <c r="EH119" i="87" s="1"/>
  <c r="EG116" i="87"/>
  <c r="EH116" i="87" s="1"/>
  <c r="EG114" i="87"/>
  <c r="EH114" i="87" s="1"/>
  <c r="EI114" i="87" s="1"/>
  <c r="EK114" i="87" s="1"/>
  <c r="EL114" i="87" s="1"/>
  <c r="EG112" i="87"/>
  <c r="EH112" i="87" s="1"/>
  <c r="EG110" i="87"/>
  <c r="EH110" i="87" s="1"/>
  <c r="EG107" i="87"/>
  <c r="EH107" i="87" s="1"/>
  <c r="EG101" i="87"/>
  <c r="EH101" i="87" s="1"/>
  <c r="EG103" i="87"/>
  <c r="EH103" i="87" s="1"/>
  <c r="EI103" i="87" s="1"/>
  <c r="EK103" i="87" s="1"/>
  <c r="EL103" i="87" s="1"/>
  <c r="EG105" i="87"/>
  <c r="EH105" i="87" s="1"/>
  <c r="EI105" i="87" s="1"/>
  <c r="EK105" i="87" s="1"/>
  <c r="EL105" i="87" s="1"/>
  <c r="EG124" i="87"/>
  <c r="EH124" i="87" s="1"/>
  <c r="EG122" i="87"/>
  <c r="EH122" i="87" s="1"/>
  <c r="EG120" i="87"/>
  <c r="EH120" i="87" s="1"/>
  <c r="EG118" i="87"/>
  <c r="EH118" i="87" s="1"/>
  <c r="EI118" i="87" s="1"/>
  <c r="EK118" i="87" s="1"/>
  <c r="EL118" i="87" s="1"/>
  <c r="EG115" i="87"/>
  <c r="EH115" i="87" s="1"/>
  <c r="EG113" i="87"/>
  <c r="EH113" i="87" s="1"/>
  <c r="EI113" i="87" s="1"/>
  <c r="EK113" i="87" s="1"/>
  <c r="EL113" i="87" s="1"/>
  <c r="EG111" i="87"/>
  <c r="EH111" i="87" s="1"/>
  <c r="EI111" i="87" s="1"/>
  <c r="EK111" i="87" s="1"/>
  <c r="EL111" i="87" s="1"/>
  <c r="EG109" i="87"/>
  <c r="EH109" i="87" s="1"/>
  <c r="EI109" i="87" s="1"/>
  <c r="EK109" i="87" s="1"/>
  <c r="EL109" i="87" s="1"/>
  <c r="EG106" i="87"/>
  <c r="EH106" i="87" s="1"/>
  <c r="EG100" i="87"/>
  <c r="EH100" i="87" s="1"/>
  <c r="EG102" i="87"/>
  <c r="EH102" i="87" s="1"/>
  <c r="EI102" i="87" s="1"/>
  <c r="EK102" i="87" s="1"/>
  <c r="EL102" i="87" s="1"/>
  <c r="EG104" i="87"/>
  <c r="EH104" i="87" s="1"/>
  <c r="EL165" i="87"/>
  <c r="EL224" i="87" s="1"/>
  <c r="EG131" i="87"/>
  <c r="EH131" i="87" s="1"/>
  <c r="EI131" i="87" s="1"/>
  <c r="EK131" i="87" s="1"/>
  <c r="EL131" i="87" s="1"/>
  <c r="EB13" i="87"/>
  <c r="DW153" i="87"/>
  <c r="DX153" i="87" s="1"/>
  <c r="DW129" i="87"/>
  <c r="DX129" i="87" s="1"/>
  <c r="DW131" i="87"/>
  <c r="DX131" i="87" s="1"/>
  <c r="DY131" i="87" s="1"/>
  <c r="EA131" i="87" s="1"/>
  <c r="EB131" i="87" s="1"/>
  <c r="DW133" i="87"/>
  <c r="DX133" i="87" s="1"/>
  <c r="DW135" i="87"/>
  <c r="DX135" i="87" s="1"/>
  <c r="DW138" i="87"/>
  <c r="DX138" i="87" s="1"/>
  <c r="DY138" i="87" s="1"/>
  <c r="EA138" i="87" s="1"/>
  <c r="EB138" i="87" s="1"/>
  <c r="DW140" i="87"/>
  <c r="DX140" i="87" s="1"/>
  <c r="DY140" i="87" s="1"/>
  <c r="EA140" i="87" s="1"/>
  <c r="EB140" i="87" s="1"/>
  <c r="DW142" i="87"/>
  <c r="DX142" i="87" s="1"/>
  <c r="DY142" i="87" s="1"/>
  <c r="EA142" i="87" s="1"/>
  <c r="EB142" i="87" s="1"/>
  <c r="DW144" i="87"/>
  <c r="DX144" i="87" s="1"/>
  <c r="DW147" i="87"/>
  <c r="DX147" i="87" s="1"/>
  <c r="DY147" i="87" s="1"/>
  <c r="EA147" i="87" s="1"/>
  <c r="EB147" i="87" s="1"/>
  <c r="DW149" i="87"/>
  <c r="DX149" i="87" s="1"/>
  <c r="DW151" i="87"/>
  <c r="DX151" i="87" s="1"/>
  <c r="DY151" i="87" s="1"/>
  <c r="EA151" i="87" s="1"/>
  <c r="EB151" i="87" s="1"/>
  <c r="DW154" i="87"/>
  <c r="DX154" i="87" s="1"/>
  <c r="DW130" i="87"/>
  <c r="DX130" i="87" s="1"/>
  <c r="DW132" i="87"/>
  <c r="DX132" i="87" s="1"/>
  <c r="DY132" i="87" s="1"/>
  <c r="EA132" i="87" s="1"/>
  <c r="EB132" i="87" s="1"/>
  <c r="DW134" i="87"/>
  <c r="DX134" i="87" s="1"/>
  <c r="DW136" i="87"/>
  <c r="DX136" i="87" s="1"/>
  <c r="DW139" i="87"/>
  <c r="DX139" i="87" s="1"/>
  <c r="DW141" i="87"/>
  <c r="DX141" i="87" s="1"/>
  <c r="DW143" i="87"/>
  <c r="DX143" i="87" s="1"/>
  <c r="DY143" i="87" s="1"/>
  <c r="EA143" i="87" s="1"/>
  <c r="EB143" i="87" s="1"/>
  <c r="DW145" i="87"/>
  <c r="DX145" i="87" s="1"/>
  <c r="DW148" i="87"/>
  <c r="DX148" i="87" s="1"/>
  <c r="DW150" i="87"/>
  <c r="DX150" i="87" s="1"/>
  <c r="DW152" i="87"/>
  <c r="DX152" i="87" s="1"/>
  <c r="DY126" i="87"/>
  <c r="EA126" i="87" s="1"/>
  <c r="EB126" i="87" s="1"/>
  <c r="ED126" i="87" s="1"/>
  <c r="DY97" i="87"/>
  <c r="EA97" i="87" s="1"/>
  <c r="DW124" i="87"/>
  <c r="DX124" i="87" s="1"/>
  <c r="DW122" i="87"/>
  <c r="DX122" i="87" s="1"/>
  <c r="DY122" i="87" s="1"/>
  <c r="EA122" i="87" s="1"/>
  <c r="EB122" i="87" s="1"/>
  <c r="DW120" i="87"/>
  <c r="DX120" i="87" s="1"/>
  <c r="DW118" i="87"/>
  <c r="DX118" i="87" s="1"/>
  <c r="DY118" i="87" s="1"/>
  <c r="EA118" i="87" s="1"/>
  <c r="DW115" i="87"/>
  <c r="DX115" i="87" s="1"/>
  <c r="DW113" i="87"/>
  <c r="DX113" i="87" s="1"/>
  <c r="DY113" i="87" s="1"/>
  <c r="EA113" i="87" s="1"/>
  <c r="EB113" i="87" s="1"/>
  <c r="DW111" i="87"/>
  <c r="DX111" i="87" s="1"/>
  <c r="DY111" i="87" s="1"/>
  <c r="EA111" i="87" s="1"/>
  <c r="EB111" i="87" s="1"/>
  <c r="DW109" i="87"/>
  <c r="DX109" i="87" s="1"/>
  <c r="DY109" i="87" s="1"/>
  <c r="EA109" i="87" s="1"/>
  <c r="DW125" i="87"/>
  <c r="DX125" i="87" s="1"/>
  <c r="DW123" i="87"/>
  <c r="DX123" i="87" s="1"/>
  <c r="DW121" i="87"/>
  <c r="DX121" i="87" s="1"/>
  <c r="DW119" i="87"/>
  <c r="DX119" i="87" s="1"/>
  <c r="DW116" i="87"/>
  <c r="DX116" i="87" s="1"/>
  <c r="DW114" i="87"/>
  <c r="DX114" i="87" s="1"/>
  <c r="DY114" i="87" s="1"/>
  <c r="EA114" i="87" s="1"/>
  <c r="EB114" i="87" s="1"/>
  <c r="EB172" i="87" s="1"/>
  <c r="EB231" i="87" s="1"/>
  <c r="DW112" i="87"/>
  <c r="DX112" i="87" s="1"/>
  <c r="DW110" i="87"/>
  <c r="DX110" i="87" s="1"/>
  <c r="DW107" i="87"/>
  <c r="DX107" i="87" s="1"/>
  <c r="DW106" i="87"/>
  <c r="DX106" i="87" s="1"/>
  <c r="DW100" i="87"/>
  <c r="DX100" i="87" s="1"/>
  <c r="DW101" i="87"/>
  <c r="DX101" i="87" s="1"/>
  <c r="DW102" i="87"/>
  <c r="DX102" i="87" s="1"/>
  <c r="DY102" i="87" s="1"/>
  <c r="EA102" i="87" s="1"/>
  <c r="DW103" i="87"/>
  <c r="DX103" i="87" s="1"/>
  <c r="DY103" i="87" s="1"/>
  <c r="EA103" i="87" s="1"/>
  <c r="DW104" i="87"/>
  <c r="DX104" i="87" s="1"/>
  <c r="DW105" i="87"/>
  <c r="DX105" i="87" s="1"/>
  <c r="DR159" i="87"/>
  <c r="DR218" i="87" s="1"/>
  <c r="DR167" i="87"/>
  <c r="DR226" i="87" s="1"/>
  <c r="DR71" i="87"/>
  <c r="DQ158" i="87"/>
  <c r="DQ217" i="87" s="1"/>
  <c r="DO68" i="87"/>
  <c r="DQ68" i="87" s="1"/>
  <c r="DM72" i="87"/>
  <c r="DN72" i="87" s="1"/>
  <c r="DM75" i="87"/>
  <c r="DN75" i="87" s="1"/>
  <c r="DM78" i="87"/>
  <c r="DN78" i="87" s="1"/>
  <c r="DM80" i="87"/>
  <c r="DN80" i="87" s="1"/>
  <c r="DM81" i="87"/>
  <c r="DN81" i="87" s="1"/>
  <c r="DM82" i="87"/>
  <c r="DN82" i="87" s="1"/>
  <c r="DO82" i="87" s="1"/>
  <c r="DQ82" i="87" s="1"/>
  <c r="DR82" i="87" s="1"/>
  <c r="DM87" i="87"/>
  <c r="DN87" i="87" s="1"/>
  <c r="DO87" i="87" s="1"/>
  <c r="DQ87" i="87" s="1"/>
  <c r="DR87" i="87" s="1"/>
  <c r="DM89" i="87"/>
  <c r="DN89" i="87" s="1"/>
  <c r="DM90" i="87"/>
  <c r="DN90" i="87" s="1"/>
  <c r="DM91" i="87"/>
  <c r="DN91" i="87" s="1"/>
  <c r="DM96" i="87"/>
  <c r="DN96" i="87" s="1"/>
  <c r="DM71" i="87"/>
  <c r="DN71" i="87" s="1"/>
  <c r="DM73" i="87"/>
  <c r="DN73" i="87" s="1"/>
  <c r="DM74" i="87"/>
  <c r="DN74" i="87" s="1"/>
  <c r="DM76" i="87"/>
  <c r="DN76" i="87" s="1"/>
  <c r="DM77" i="87"/>
  <c r="DN77" i="87" s="1"/>
  <c r="DM83" i="87"/>
  <c r="DN83" i="87" s="1"/>
  <c r="DM84" i="87"/>
  <c r="DN84" i="87" s="1"/>
  <c r="DO84" i="87" s="1"/>
  <c r="DQ84" i="87" s="1"/>
  <c r="DR84" i="87" s="1"/>
  <c r="DM85" i="87"/>
  <c r="DN85" i="87" s="1"/>
  <c r="DM86" i="87"/>
  <c r="DN86" i="87" s="1"/>
  <c r="DO86" i="87" s="1"/>
  <c r="DQ86" i="87" s="1"/>
  <c r="DM92" i="87"/>
  <c r="DN92" i="87" s="1"/>
  <c r="DM93" i="87"/>
  <c r="DN93" i="87" s="1"/>
  <c r="DM94" i="87"/>
  <c r="DN94" i="87" s="1"/>
  <c r="DM95" i="87"/>
  <c r="DN95" i="87" s="1"/>
  <c r="DO95" i="87" s="1"/>
  <c r="DQ95" i="87" s="1"/>
  <c r="DO97" i="87"/>
  <c r="DQ97" i="87" s="1"/>
  <c r="DR97" i="87" s="1"/>
  <c r="DT97" i="87" s="1"/>
  <c r="DM125" i="87"/>
  <c r="DN125" i="87" s="1"/>
  <c r="DM123" i="87"/>
  <c r="DN123" i="87" s="1"/>
  <c r="DM121" i="87"/>
  <c r="DN121" i="87" s="1"/>
  <c r="DM119" i="87"/>
  <c r="DN119" i="87" s="1"/>
  <c r="DM116" i="87"/>
  <c r="DN116" i="87" s="1"/>
  <c r="DO116" i="87" s="1"/>
  <c r="DQ116" i="87" s="1"/>
  <c r="DR116" i="87" s="1"/>
  <c r="DM114" i="87"/>
  <c r="DN114" i="87" s="1"/>
  <c r="DM112" i="87"/>
  <c r="DN112" i="87" s="1"/>
  <c r="DM110" i="87"/>
  <c r="DN110" i="87" s="1"/>
  <c r="DM107" i="87"/>
  <c r="DN107" i="87" s="1"/>
  <c r="DM101" i="87"/>
  <c r="DN101" i="87" s="1"/>
  <c r="DM103" i="87"/>
  <c r="DN103" i="87" s="1"/>
  <c r="DM105" i="87"/>
  <c r="DN105" i="87" s="1"/>
  <c r="DM124" i="87"/>
  <c r="DN124" i="87" s="1"/>
  <c r="DO124" i="87" s="1"/>
  <c r="DQ124" i="87" s="1"/>
  <c r="DR124" i="87" s="1"/>
  <c r="DM122" i="87"/>
  <c r="DN122" i="87" s="1"/>
  <c r="DM120" i="87"/>
  <c r="DN120" i="87" s="1"/>
  <c r="DM118" i="87"/>
  <c r="DN118" i="87" s="1"/>
  <c r="DM115" i="87"/>
  <c r="DN115" i="87" s="1"/>
  <c r="DO115" i="87" s="1"/>
  <c r="DQ115" i="87" s="1"/>
  <c r="DR115" i="87" s="1"/>
  <c r="DM113" i="87"/>
  <c r="DN113" i="87" s="1"/>
  <c r="DO113" i="87" s="1"/>
  <c r="DQ113" i="87" s="1"/>
  <c r="DR113" i="87" s="1"/>
  <c r="DM111" i="87"/>
  <c r="DN111" i="87" s="1"/>
  <c r="DO111" i="87" s="1"/>
  <c r="DQ111" i="87" s="1"/>
  <c r="DR111" i="87" s="1"/>
  <c r="DM109" i="87"/>
  <c r="DN109" i="87" s="1"/>
  <c r="DM106" i="87"/>
  <c r="DN106" i="87" s="1"/>
  <c r="DM100" i="87"/>
  <c r="DN100" i="87" s="1"/>
  <c r="DM102" i="87"/>
  <c r="DN102" i="87" s="1"/>
  <c r="DM104" i="87"/>
  <c r="DN104" i="87" s="1"/>
  <c r="DM154" i="87"/>
  <c r="DN154" i="87" s="1"/>
  <c r="DM131" i="87"/>
  <c r="DN131" i="87" s="1"/>
  <c r="DM133" i="87"/>
  <c r="DN133" i="87" s="1"/>
  <c r="DM138" i="87"/>
  <c r="DN138" i="87" s="1"/>
  <c r="DM140" i="87"/>
  <c r="DN140" i="87" s="1"/>
  <c r="DO140" i="87" s="1"/>
  <c r="DQ140" i="87" s="1"/>
  <c r="DR140" i="87" s="1"/>
  <c r="DM142" i="87"/>
  <c r="DN142" i="87" s="1"/>
  <c r="DO142" i="87" s="1"/>
  <c r="DQ142" i="87" s="1"/>
  <c r="DR142" i="87" s="1"/>
  <c r="DM144" i="87"/>
  <c r="DN144" i="87" s="1"/>
  <c r="DO144" i="87" s="1"/>
  <c r="DQ144" i="87" s="1"/>
  <c r="DR144" i="87" s="1"/>
  <c r="DM147" i="87"/>
  <c r="DN147" i="87" s="1"/>
  <c r="DM149" i="87"/>
  <c r="DN149" i="87" s="1"/>
  <c r="DM151" i="87"/>
  <c r="DN151" i="87" s="1"/>
  <c r="DM153" i="87"/>
  <c r="DN153" i="87" s="1"/>
  <c r="DO153" i="87" s="1"/>
  <c r="DQ153" i="87" s="1"/>
  <c r="DR153" i="87" s="1"/>
  <c r="DM135" i="87"/>
  <c r="DN135" i="87" s="1"/>
  <c r="DO126" i="87"/>
  <c r="DQ126" i="87" s="1"/>
  <c r="DR126" i="87" s="1"/>
  <c r="DM130" i="87"/>
  <c r="DN130" i="87" s="1"/>
  <c r="DM132" i="87"/>
  <c r="DN132" i="87" s="1"/>
  <c r="DM134" i="87"/>
  <c r="DN134" i="87" s="1"/>
  <c r="DM136" i="87"/>
  <c r="DN136" i="87" s="1"/>
  <c r="DM139" i="87"/>
  <c r="DN139" i="87" s="1"/>
  <c r="DM141" i="87"/>
  <c r="DN141" i="87" s="1"/>
  <c r="DM143" i="87"/>
  <c r="DN143" i="87" s="1"/>
  <c r="DM145" i="87"/>
  <c r="DN145" i="87" s="1"/>
  <c r="DO145" i="87" s="1"/>
  <c r="DQ145" i="87" s="1"/>
  <c r="DR145" i="87" s="1"/>
  <c r="DM148" i="87"/>
  <c r="DN148" i="87" s="1"/>
  <c r="DM150" i="87"/>
  <c r="DN150" i="87" s="1"/>
  <c r="DM152" i="87"/>
  <c r="DN152" i="87" s="1"/>
  <c r="DR158" i="87"/>
  <c r="DR217" i="87" s="1"/>
  <c r="DH104" i="87"/>
  <c r="DH162" i="87" s="1"/>
  <c r="DH221" i="87" s="1"/>
  <c r="DG162" i="87"/>
  <c r="DG221" i="87" s="1"/>
  <c r="DH13" i="87"/>
  <c r="DE97" i="87"/>
  <c r="DG97" i="87" s="1"/>
  <c r="DC124" i="87"/>
  <c r="DD124" i="87" s="1"/>
  <c r="DC122" i="87"/>
  <c r="DD122" i="87" s="1"/>
  <c r="DE122" i="87" s="1"/>
  <c r="DG122" i="87" s="1"/>
  <c r="DH122" i="87" s="1"/>
  <c r="DC120" i="87"/>
  <c r="DD120" i="87" s="1"/>
  <c r="DC118" i="87"/>
  <c r="DD118" i="87" s="1"/>
  <c r="DE118" i="87" s="1"/>
  <c r="DG118" i="87" s="1"/>
  <c r="DH118" i="87" s="1"/>
  <c r="DC115" i="87"/>
  <c r="DD115" i="87" s="1"/>
  <c r="DC113" i="87"/>
  <c r="DD113" i="87" s="1"/>
  <c r="DE113" i="87" s="1"/>
  <c r="DG113" i="87" s="1"/>
  <c r="DH113" i="87" s="1"/>
  <c r="DC111" i="87"/>
  <c r="DD111" i="87" s="1"/>
  <c r="DC109" i="87"/>
  <c r="DD109" i="87" s="1"/>
  <c r="DE109" i="87" s="1"/>
  <c r="DG109" i="87" s="1"/>
  <c r="DH109" i="87" s="1"/>
  <c r="DC125" i="87"/>
  <c r="DD125" i="87" s="1"/>
  <c r="DC123" i="87"/>
  <c r="DD123" i="87" s="1"/>
  <c r="DC121" i="87"/>
  <c r="DD121" i="87" s="1"/>
  <c r="DC119" i="87"/>
  <c r="DD119" i="87" s="1"/>
  <c r="DC116" i="87"/>
  <c r="DD116" i="87" s="1"/>
  <c r="DC114" i="87"/>
  <c r="DD114" i="87" s="1"/>
  <c r="DC112" i="87"/>
  <c r="DD112" i="87" s="1"/>
  <c r="DC110" i="87"/>
  <c r="DD110" i="87" s="1"/>
  <c r="DC107" i="87"/>
  <c r="DD107" i="87" s="1"/>
  <c r="DC106" i="87"/>
  <c r="DD106" i="87" s="1"/>
  <c r="DC100" i="87"/>
  <c r="DD100" i="87" s="1"/>
  <c r="DC101" i="87"/>
  <c r="DD101" i="87" s="1"/>
  <c r="DC102" i="87"/>
  <c r="DD102" i="87" s="1"/>
  <c r="DC103" i="87"/>
  <c r="DD103" i="87" s="1"/>
  <c r="DE103" i="87" s="1"/>
  <c r="DG103" i="87" s="1"/>
  <c r="DH103" i="87" s="1"/>
  <c r="DC104" i="87"/>
  <c r="DD104" i="87" s="1"/>
  <c r="DC105" i="87"/>
  <c r="DD105" i="87" s="1"/>
  <c r="DH165" i="87"/>
  <c r="CX13" i="87"/>
  <c r="CN162" i="87"/>
  <c r="CN221" i="87" s="1"/>
  <c r="CN165" i="87"/>
  <c r="CN224" i="87" s="1"/>
  <c r="BT13" i="87"/>
  <c r="BT11" i="87" s="1"/>
  <c r="BG39" i="87"/>
  <c r="BI39" i="87" s="1"/>
  <c r="BE43" i="87"/>
  <c r="BF43" i="87" s="1"/>
  <c r="BE45" i="87"/>
  <c r="BF45" i="87" s="1"/>
  <c r="BE47" i="87"/>
  <c r="BF47" i="87" s="1"/>
  <c r="BE49" i="87"/>
  <c r="BF49" i="87" s="1"/>
  <c r="BE52" i="87"/>
  <c r="BF52" i="87" s="1"/>
  <c r="BE53" i="87"/>
  <c r="BF53" i="87" s="1"/>
  <c r="BE56" i="87"/>
  <c r="BF56" i="87" s="1"/>
  <c r="BE58" i="87"/>
  <c r="BF58" i="87" s="1"/>
  <c r="BE61" i="87"/>
  <c r="BF61" i="87" s="1"/>
  <c r="BE63" i="87"/>
  <c r="BF63" i="87" s="1"/>
  <c r="BE65" i="87"/>
  <c r="BF65" i="87" s="1"/>
  <c r="BE67" i="87"/>
  <c r="BF67" i="87" s="1"/>
  <c r="BE42" i="87"/>
  <c r="BF42" i="87" s="1"/>
  <c r="BE44" i="87"/>
  <c r="BF44" i="87" s="1"/>
  <c r="BE46" i="87"/>
  <c r="BF46" i="87" s="1"/>
  <c r="BE48" i="87"/>
  <c r="BF48" i="87" s="1"/>
  <c r="BE51" i="87"/>
  <c r="BF51" i="87" s="1"/>
  <c r="BG51" i="87" s="1"/>
  <c r="BI51" i="87" s="1"/>
  <c r="BE54" i="87"/>
  <c r="BF54" i="87" s="1"/>
  <c r="BE55" i="87"/>
  <c r="BF55" i="87" s="1"/>
  <c r="BG55" i="87" s="1"/>
  <c r="BI55" i="87" s="1"/>
  <c r="BE57" i="87"/>
  <c r="BF57" i="87" s="1"/>
  <c r="BE60" i="87"/>
  <c r="BF60" i="87" s="1"/>
  <c r="BG60" i="87" s="1"/>
  <c r="BI60" i="87" s="1"/>
  <c r="BE62" i="87"/>
  <c r="BF62" i="87" s="1"/>
  <c r="BE64" i="87"/>
  <c r="BF64" i="87" s="1"/>
  <c r="BE66" i="87"/>
  <c r="BF66" i="87" s="1"/>
  <c r="BG68" i="87"/>
  <c r="BI68" i="87" s="1"/>
  <c r="BJ68" i="87" s="1"/>
  <c r="BE71" i="87"/>
  <c r="BF71" i="87" s="1"/>
  <c r="BE72" i="87"/>
  <c r="BF72" i="87" s="1"/>
  <c r="BE73" i="87"/>
  <c r="BF73" i="87" s="1"/>
  <c r="BE74" i="87"/>
  <c r="BF74" i="87" s="1"/>
  <c r="BE75" i="87"/>
  <c r="BF75" i="87" s="1"/>
  <c r="BE76" i="87"/>
  <c r="BF76" i="87" s="1"/>
  <c r="BE78" i="87"/>
  <c r="BF78" i="87" s="1"/>
  <c r="BE80" i="87"/>
  <c r="BF80" i="87" s="1"/>
  <c r="BG80" i="87" s="1"/>
  <c r="BI80" i="87" s="1"/>
  <c r="BJ80" i="87" s="1"/>
  <c r="BE81" i="87"/>
  <c r="BF81" i="87" s="1"/>
  <c r="BE82" i="87"/>
  <c r="BF82" i="87" s="1"/>
  <c r="BE83" i="87"/>
  <c r="BF83" i="87" s="1"/>
  <c r="BE84" i="87"/>
  <c r="BF84" i="87" s="1"/>
  <c r="BG84" i="87" s="1"/>
  <c r="BI84" i="87" s="1"/>
  <c r="BJ84" i="87" s="1"/>
  <c r="BE85" i="87"/>
  <c r="BF85" i="87" s="1"/>
  <c r="BE86" i="87"/>
  <c r="BF86" i="87" s="1"/>
  <c r="BE87" i="87"/>
  <c r="BF87" i="87" s="1"/>
  <c r="BE89" i="87"/>
  <c r="BF89" i="87" s="1"/>
  <c r="BG89" i="87" s="1"/>
  <c r="BI89" i="87" s="1"/>
  <c r="BJ89" i="87" s="1"/>
  <c r="BE90" i="87"/>
  <c r="BF90" i="87" s="1"/>
  <c r="BE91" i="87"/>
  <c r="BF91" i="87" s="1"/>
  <c r="BE92" i="87"/>
  <c r="BF92" i="87" s="1"/>
  <c r="BE93" i="87"/>
  <c r="BF93" i="87" s="1"/>
  <c r="BE94" i="87"/>
  <c r="BF94" i="87" s="1"/>
  <c r="BE95" i="87"/>
  <c r="BF95" i="87" s="1"/>
  <c r="BE96" i="87"/>
  <c r="BF96" i="87" s="1"/>
  <c r="BG97" i="87"/>
  <c r="BI97" i="87" s="1"/>
  <c r="BJ97" i="87" s="1"/>
  <c r="BL97" i="87" s="1"/>
  <c r="BE124" i="87"/>
  <c r="BF124" i="87" s="1"/>
  <c r="BE122" i="87"/>
  <c r="BF122" i="87" s="1"/>
  <c r="BE120" i="87"/>
  <c r="BF120" i="87" s="1"/>
  <c r="BE118" i="87"/>
  <c r="BF118" i="87" s="1"/>
  <c r="BG118" i="87" s="1"/>
  <c r="BI118" i="87" s="1"/>
  <c r="BJ118" i="87" s="1"/>
  <c r="BE115" i="87"/>
  <c r="BF115" i="87" s="1"/>
  <c r="BE113" i="87"/>
  <c r="BF113" i="87" s="1"/>
  <c r="BG113" i="87" s="1"/>
  <c r="BI113" i="87" s="1"/>
  <c r="BJ113" i="87" s="1"/>
  <c r="BE111" i="87"/>
  <c r="BF111" i="87" s="1"/>
  <c r="BE109" i="87"/>
  <c r="BF109" i="87" s="1"/>
  <c r="BG109" i="87" s="1"/>
  <c r="BI109" i="87" s="1"/>
  <c r="BJ109" i="87" s="1"/>
  <c r="BE106" i="87"/>
  <c r="BF106" i="87" s="1"/>
  <c r="BE101" i="87"/>
  <c r="BF101" i="87" s="1"/>
  <c r="BE103" i="87"/>
  <c r="BF103" i="87" s="1"/>
  <c r="BE105" i="87"/>
  <c r="BF105" i="87" s="1"/>
  <c r="BE125" i="87"/>
  <c r="BF125" i="87" s="1"/>
  <c r="BE123" i="87"/>
  <c r="BF123" i="87" s="1"/>
  <c r="BE121" i="87"/>
  <c r="BF121" i="87" s="1"/>
  <c r="BE119" i="87"/>
  <c r="BF119" i="87" s="1"/>
  <c r="BE116" i="87"/>
  <c r="BF116" i="87" s="1"/>
  <c r="BE114" i="87"/>
  <c r="BF114" i="87" s="1"/>
  <c r="BE112" i="87"/>
  <c r="BF112" i="87" s="1"/>
  <c r="BE110" i="87"/>
  <c r="BF110" i="87" s="1"/>
  <c r="BE107" i="87"/>
  <c r="BF107" i="87" s="1"/>
  <c r="BE100" i="87"/>
  <c r="BF100" i="87" s="1"/>
  <c r="BE102" i="87"/>
  <c r="BF102" i="87" s="1"/>
  <c r="BE104" i="87"/>
  <c r="BF104" i="87" s="1"/>
  <c r="BJ183" i="87"/>
  <c r="BJ165" i="87"/>
  <c r="BJ224" i="87" s="1"/>
  <c r="AZ13" i="87"/>
  <c r="AW97" i="87"/>
  <c r="AY97" i="87" s="1"/>
  <c r="AU125" i="87"/>
  <c r="AV125" i="87" s="1"/>
  <c r="AU123" i="87"/>
  <c r="AV123" i="87" s="1"/>
  <c r="AW123" i="87" s="1"/>
  <c r="AY123" i="87" s="1"/>
  <c r="AZ123" i="87" s="1"/>
  <c r="AU121" i="87"/>
  <c r="AV121" i="87" s="1"/>
  <c r="AU119" i="87"/>
  <c r="AV119" i="87" s="1"/>
  <c r="AU116" i="87"/>
  <c r="AV116" i="87" s="1"/>
  <c r="AU114" i="87"/>
  <c r="AV114" i="87" s="1"/>
  <c r="AW114" i="87" s="1"/>
  <c r="AY114" i="87" s="1"/>
  <c r="AU112" i="87"/>
  <c r="AV112" i="87" s="1"/>
  <c r="AU110" i="87"/>
  <c r="AV110" i="87" s="1"/>
  <c r="AU107" i="87"/>
  <c r="AV107" i="87" s="1"/>
  <c r="AU106" i="87"/>
  <c r="AV106" i="87" s="1"/>
  <c r="AU100" i="87"/>
  <c r="AV100" i="87" s="1"/>
  <c r="AU101" i="87"/>
  <c r="AV101" i="87" s="1"/>
  <c r="AU102" i="87"/>
  <c r="AV102" i="87" s="1"/>
  <c r="AW102" i="87" s="1"/>
  <c r="AY102" i="87" s="1"/>
  <c r="AU103" i="87"/>
  <c r="AV103" i="87" s="1"/>
  <c r="AW103" i="87" s="1"/>
  <c r="AY103" i="87" s="1"/>
  <c r="AU104" i="87"/>
  <c r="AV104" i="87" s="1"/>
  <c r="AU105" i="87"/>
  <c r="AV105" i="87" s="1"/>
  <c r="AW105" i="87" s="1"/>
  <c r="AY105" i="87" s="1"/>
  <c r="AU124" i="87"/>
  <c r="AV124" i="87" s="1"/>
  <c r="AU122" i="87"/>
  <c r="AV122" i="87" s="1"/>
  <c r="AW122" i="87" s="1"/>
  <c r="AY122" i="87" s="1"/>
  <c r="AZ122" i="87" s="1"/>
  <c r="AU120" i="87"/>
  <c r="AV120" i="87" s="1"/>
  <c r="AU118" i="87"/>
  <c r="AV118" i="87" s="1"/>
  <c r="AW118" i="87" s="1"/>
  <c r="AY118" i="87" s="1"/>
  <c r="AU115" i="87"/>
  <c r="AV115" i="87" s="1"/>
  <c r="AU113" i="87"/>
  <c r="AV113" i="87" s="1"/>
  <c r="AW113" i="87" s="1"/>
  <c r="AY113" i="87" s="1"/>
  <c r="AZ113" i="87" s="1"/>
  <c r="AU111" i="87"/>
  <c r="AV111" i="87" s="1"/>
  <c r="AW111" i="87" s="1"/>
  <c r="AY111" i="87" s="1"/>
  <c r="AZ111" i="87" s="1"/>
  <c r="AU109" i="87"/>
  <c r="AV109" i="87" s="1"/>
  <c r="AW109" i="87" s="1"/>
  <c r="AY109" i="87" s="1"/>
  <c r="AU153" i="87"/>
  <c r="AV153" i="87" s="1"/>
  <c r="AU154" i="87"/>
  <c r="AV154" i="87" s="1"/>
  <c r="AU129" i="87"/>
  <c r="AV129" i="87" s="1"/>
  <c r="AU130" i="87"/>
  <c r="AV130" i="87" s="1"/>
  <c r="AU131" i="87"/>
  <c r="AV131" i="87" s="1"/>
  <c r="AW131" i="87" s="1"/>
  <c r="AY131" i="87" s="1"/>
  <c r="AZ131" i="87" s="1"/>
  <c r="AU132" i="87"/>
  <c r="AV132" i="87" s="1"/>
  <c r="AW132" i="87" s="1"/>
  <c r="AY132" i="87" s="1"/>
  <c r="AZ132" i="87" s="1"/>
  <c r="AU133" i="87"/>
  <c r="AV133" i="87" s="1"/>
  <c r="AU134" i="87"/>
  <c r="AV134" i="87" s="1"/>
  <c r="AW134" i="87" s="1"/>
  <c r="AY134" i="87" s="1"/>
  <c r="AZ134" i="87" s="1"/>
  <c r="AU135" i="87"/>
  <c r="AV135" i="87" s="1"/>
  <c r="AU136" i="87"/>
  <c r="AV136" i="87" s="1"/>
  <c r="AU138" i="87"/>
  <c r="AV138" i="87" s="1"/>
  <c r="AW138" i="87" s="1"/>
  <c r="AY138" i="87" s="1"/>
  <c r="AZ138" i="87" s="1"/>
  <c r="AU139" i="87"/>
  <c r="AV139" i="87" s="1"/>
  <c r="AU140" i="87"/>
  <c r="AV140" i="87" s="1"/>
  <c r="AW140" i="87" s="1"/>
  <c r="AY140" i="87" s="1"/>
  <c r="AZ140" i="87" s="1"/>
  <c r="AU141" i="87"/>
  <c r="AV141" i="87" s="1"/>
  <c r="AU142" i="87"/>
  <c r="AV142" i="87" s="1"/>
  <c r="AW142" i="87" s="1"/>
  <c r="AY142" i="87" s="1"/>
  <c r="AZ142" i="87" s="1"/>
  <c r="AU143" i="87"/>
  <c r="AV143" i="87" s="1"/>
  <c r="AW143" i="87" s="1"/>
  <c r="AY143" i="87" s="1"/>
  <c r="AZ143" i="87" s="1"/>
  <c r="AU144" i="87"/>
  <c r="AV144" i="87" s="1"/>
  <c r="AU145" i="87"/>
  <c r="AV145" i="87" s="1"/>
  <c r="AU147" i="87"/>
  <c r="AV147" i="87" s="1"/>
  <c r="AW147" i="87" s="1"/>
  <c r="AY147" i="87" s="1"/>
  <c r="AZ147" i="87" s="1"/>
  <c r="AU148" i="87"/>
  <c r="AV148" i="87" s="1"/>
  <c r="AU149" i="87"/>
  <c r="AV149" i="87" s="1"/>
  <c r="AU150" i="87"/>
  <c r="AV150" i="87" s="1"/>
  <c r="AU151" i="87"/>
  <c r="AV151" i="87" s="1"/>
  <c r="AW151" i="87" s="1"/>
  <c r="AY151" i="87" s="1"/>
  <c r="AZ151" i="87" s="1"/>
  <c r="AU152" i="87"/>
  <c r="AV152" i="87" s="1"/>
  <c r="AW152" i="87" s="1"/>
  <c r="AY152" i="87" s="1"/>
  <c r="AZ152" i="87" s="1"/>
  <c r="AW126" i="87"/>
  <c r="AY126" i="87" s="1"/>
  <c r="AZ126" i="87" s="1"/>
  <c r="BB126" i="87" s="1"/>
  <c r="AF93" i="87"/>
  <c r="AC126" i="87"/>
  <c r="AE126" i="87" s="1"/>
  <c r="AF126" i="87" s="1"/>
  <c r="AH126" i="87" s="1"/>
  <c r="AA129" i="87"/>
  <c r="AB129" i="87" s="1"/>
  <c r="AA131" i="87"/>
  <c r="AB131" i="87" s="1"/>
  <c r="AA133" i="87"/>
  <c r="AB133" i="87" s="1"/>
  <c r="AC133" i="87" s="1"/>
  <c r="AE133" i="87" s="1"/>
  <c r="AF133" i="87" s="1"/>
  <c r="AA135" i="87"/>
  <c r="AB135" i="87" s="1"/>
  <c r="AA138" i="87"/>
  <c r="AB138" i="87" s="1"/>
  <c r="AC138" i="87" s="1"/>
  <c r="AE138" i="87" s="1"/>
  <c r="AF138" i="87" s="1"/>
  <c r="AA140" i="87"/>
  <c r="AB140" i="87" s="1"/>
  <c r="AA142" i="87"/>
  <c r="AB142" i="87" s="1"/>
  <c r="AC142" i="87" s="1"/>
  <c r="AE142" i="87" s="1"/>
  <c r="AF142" i="87" s="1"/>
  <c r="AA144" i="87"/>
  <c r="AB144" i="87" s="1"/>
  <c r="AA147" i="87"/>
  <c r="AB147" i="87" s="1"/>
  <c r="AC147" i="87" s="1"/>
  <c r="AE147" i="87" s="1"/>
  <c r="AF147" i="87" s="1"/>
  <c r="AA149" i="87"/>
  <c r="AB149" i="87" s="1"/>
  <c r="AA151" i="87"/>
  <c r="AB151" i="87" s="1"/>
  <c r="AC151" i="87" s="1"/>
  <c r="AE151" i="87" s="1"/>
  <c r="AF151" i="87" s="1"/>
  <c r="AA153" i="87"/>
  <c r="AB153" i="87" s="1"/>
  <c r="AA154" i="87"/>
  <c r="AB154" i="87" s="1"/>
  <c r="AA130" i="87"/>
  <c r="AB130" i="87" s="1"/>
  <c r="AC130" i="87" s="1"/>
  <c r="AE130" i="87" s="1"/>
  <c r="AF130" i="87" s="1"/>
  <c r="AA132" i="87"/>
  <c r="AB132" i="87" s="1"/>
  <c r="AC132" i="87" s="1"/>
  <c r="AE132" i="87" s="1"/>
  <c r="AF132" i="87" s="1"/>
  <c r="AA134" i="87"/>
  <c r="AB134" i="87" s="1"/>
  <c r="AC134" i="87" s="1"/>
  <c r="AE134" i="87" s="1"/>
  <c r="AF134" i="87" s="1"/>
  <c r="AA136" i="87"/>
  <c r="AB136" i="87" s="1"/>
  <c r="AA139" i="87"/>
  <c r="AB139" i="87" s="1"/>
  <c r="AA141" i="87"/>
  <c r="AB141" i="87" s="1"/>
  <c r="AA143" i="87"/>
  <c r="AB143" i="87" s="1"/>
  <c r="AC143" i="87" s="1"/>
  <c r="AE143" i="87" s="1"/>
  <c r="AF143" i="87" s="1"/>
  <c r="AA145" i="87"/>
  <c r="AB145" i="87" s="1"/>
  <c r="AA148" i="87"/>
  <c r="AB148" i="87" s="1"/>
  <c r="AA150" i="87"/>
  <c r="AB150" i="87" s="1"/>
  <c r="AA152" i="87"/>
  <c r="AB152" i="87" s="1"/>
  <c r="AC97" i="87"/>
  <c r="AE97" i="87" s="1"/>
  <c r="AA125" i="87"/>
  <c r="AB125" i="87" s="1"/>
  <c r="AA123" i="87"/>
  <c r="AB123" i="87" s="1"/>
  <c r="AA121" i="87"/>
  <c r="AB121" i="87" s="1"/>
  <c r="AA119" i="87"/>
  <c r="AB119" i="87" s="1"/>
  <c r="AA116" i="87"/>
  <c r="AB116" i="87" s="1"/>
  <c r="AA114" i="87"/>
  <c r="AB114" i="87" s="1"/>
  <c r="AC114" i="87" s="1"/>
  <c r="AE114" i="87" s="1"/>
  <c r="AF114" i="87" s="1"/>
  <c r="AA112" i="87"/>
  <c r="AB112" i="87" s="1"/>
  <c r="AA110" i="87"/>
  <c r="AB110" i="87" s="1"/>
  <c r="AA106" i="87"/>
  <c r="AB106" i="87" s="1"/>
  <c r="AA100" i="87"/>
  <c r="AB100" i="87" s="1"/>
  <c r="AA102" i="87"/>
  <c r="AB102" i="87" s="1"/>
  <c r="AA104" i="87"/>
  <c r="AB104" i="87" s="1"/>
  <c r="AC104" i="87" s="1"/>
  <c r="AE104" i="87" s="1"/>
  <c r="AF104" i="87" s="1"/>
  <c r="AA124" i="87"/>
  <c r="AB124" i="87" s="1"/>
  <c r="AA122" i="87"/>
  <c r="AB122" i="87" s="1"/>
  <c r="AC122" i="87" s="1"/>
  <c r="AE122" i="87" s="1"/>
  <c r="AF122" i="87" s="1"/>
  <c r="AA120" i="87"/>
  <c r="AB120" i="87" s="1"/>
  <c r="AA118" i="87"/>
  <c r="AB118" i="87" s="1"/>
  <c r="AC118" i="87" s="1"/>
  <c r="AE118" i="87" s="1"/>
  <c r="AF118" i="87" s="1"/>
  <c r="AA115" i="87"/>
  <c r="AB115" i="87" s="1"/>
  <c r="AA113" i="87"/>
  <c r="AB113" i="87" s="1"/>
  <c r="AC113" i="87" s="1"/>
  <c r="AE113" i="87" s="1"/>
  <c r="AF113" i="87" s="1"/>
  <c r="AA111" i="87"/>
  <c r="AB111" i="87" s="1"/>
  <c r="AA109" i="87"/>
  <c r="AB109" i="87" s="1"/>
  <c r="AC109" i="87" s="1"/>
  <c r="AE109" i="87" s="1"/>
  <c r="AA101" i="87"/>
  <c r="AB101" i="87" s="1"/>
  <c r="AC101" i="87" s="1"/>
  <c r="AE101" i="87" s="1"/>
  <c r="AF101" i="87" s="1"/>
  <c r="AA103" i="87"/>
  <c r="AB103" i="87" s="1"/>
  <c r="AC103" i="87" s="1"/>
  <c r="AE103" i="87" s="1"/>
  <c r="AA105" i="87"/>
  <c r="AB105" i="87" s="1"/>
  <c r="AC105" i="87" s="1"/>
  <c r="AE105" i="87" s="1"/>
  <c r="AA107" i="87"/>
  <c r="AB107" i="87" s="1"/>
  <c r="Q129" i="87"/>
  <c r="R129" i="87" s="1"/>
  <c r="S129" i="87" s="1"/>
  <c r="U129" i="87" s="1"/>
  <c r="V129" i="87" s="1"/>
  <c r="V13" i="87"/>
  <c r="V131" i="87"/>
  <c r="V160" i="87" s="1"/>
  <c r="V219" i="87" s="1"/>
  <c r="U160" i="87"/>
  <c r="U219" i="87" s="1"/>
  <c r="V135" i="87"/>
  <c r="U164" i="87"/>
  <c r="U223" i="87" s="1"/>
  <c r="S39" i="87"/>
  <c r="U39" i="87" s="1"/>
  <c r="Q42" i="87"/>
  <c r="R42" i="87" s="1"/>
  <c r="Q43" i="87"/>
  <c r="R43" i="87" s="1"/>
  <c r="S43" i="87" s="1"/>
  <c r="U43" i="87" s="1"/>
  <c r="V43" i="87" s="1"/>
  <c r="Q44" i="87"/>
  <c r="R44" i="87" s="1"/>
  <c r="Q45" i="87"/>
  <c r="R45" i="87" s="1"/>
  <c r="S45" i="87" s="1"/>
  <c r="U45" i="87" s="1"/>
  <c r="Q46" i="87"/>
  <c r="R46" i="87" s="1"/>
  <c r="S46" i="87" s="1"/>
  <c r="U46" i="87" s="1"/>
  <c r="V46" i="87" s="1"/>
  <c r="Q47" i="87"/>
  <c r="R47" i="87" s="1"/>
  <c r="Q48" i="87"/>
  <c r="R48" i="87" s="1"/>
  <c r="Q49" i="87"/>
  <c r="R49" i="87" s="1"/>
  <c r="Q51" i="87"/>
  <c r="R51" i="87" s="1"/>
  <c r="S51" i="87" s="1"/>
  <c r="U51" i="87" s="1"/>
  <c r="Q52" i="87"/>
  <c r="R52" i="87" s="1"/>
  <c r="Q53" i="87"/>
  <c r="R53" i="87" s="1"/>
  <c r="Q54" i="87"/>
  <c r="R54" i="87" s="1"/>
  <c r="Q55" i="87"/>
  <c r="R55" i="87" s="1"/>
  <c r="S55" i="87" s="1"/>
  <c r="U55" i="87" s="1"/>
  <c r="V55" i="87" s="1"/>
  <c r="Q56" i="87"/>
  <c r="R56" i="87" s="1"/>
  <c r="Q57" i="87"/>
  <c r="R57" i="87" s="1"/>
  <c r="Q58" i="87"/>
  <c r="R58" i="87" s="1"/>
  <c r="Q60" i="87"/>
  <c r="R60" i="87" s="1"/>
  <c r="S60" i="87" s="1"/>
  <c r="U60" i="87" s="1"/>
  <c r="Q61" i="87"/>
  <c r="R61" i="87" s="1"/>
  <c r="Q62" i="87"/>
  <c r="R62" i="87" s="1"/>
  <c r="Q63" i="87"/>
  <c r="R63" i="87" s="1"/>
  <c r="Q64" i="87"/>
  <c r="R64" i="87" s="1"/>
  <c r="Q65" i="87"/>
  <c r="R65" i="87" s="1"/>
  <c r="Q66" i="87"/>
  <c r="R66" i="87" s="1"/>
  <c r="Q67" i="87"/>
  <c r="R67" i="87" s="1"/>
  <c r="Q154" i="87"/>
  <c r="R154" i="87" s="1"/>
  <c r="Q152" i="87"/>
  <c r="R152" i="87" s="1"/>
  <c r="Q150" i="87"/>
  <c r="R150" i="87" s="1"/>
  <c r="Q148" i="87"/>
  <c r="R148" i="87" s="1"/>
  <c r="Q145" i="87"/>
  <c r="R145" i="87" s="1"/>
  <c r="Q143" i="87"/>
  <c r="R143" i="87" s="1"/>
  <c r="Q141" i="87"/>
  <c r="R141" i="87" s="1"/>
  <c r="Q139" i="87"/>
  <c r="R139" i="87" s="1"/>
  <c r="S126" i="87"/>
  <c r="U126" i="87" s="1"/>
  <c r="V126" i="87" s="1"/>
  <c r="X126" i="87" s="1"/>
  <c r="Q153" i="87"/>
  <c r="R153" i="87" s="1"/>
  <c r="Q151" i="87"/>
  <c r="R151" i="87" s="1"/>
  <c r="Q149" i="87"/>
  <c r="R149" i="87" s="1"/>
  <c r="Q147" i="87"/>
  <c r="R147" i="87" s="1"/>
  <c r="S147" i="87" s="1"/>
  <c r="U147" i="87" s="1"/>
  <c r="V147" i="87" s="1"/>
  <c r="Q144" i="87"/>
  <c r="R144" i="87" s="1"/>
  <c r="Q142" i="87"/>
  <c r="R142" i="87" s="1"/>
  <c r="S142" i="87" s="1"/>
  <c r="U142" i="87" s="1"/>
  <c r="V142" i="87" s="1"/>
  <c r="Q140" i="87"/>
  <c r="R140" i="87" s="1"/>
  <c r="Q138" i="87"/>
  <c r="R138" i="87" s="1"/>
  <c r="S138" i="87" s="1"/>
  <c r="U138" i="87" s="1"/>
  <c r="V138" i="87" s="1"/>
  <c r="Q136" i="87"/>
  <c r="R136" i="87" s="1"/>
  <c r="Q130" i="87"/>
  <c r="R130" i="87" s="1"/>
  <c r="S130" i="87" s="1"/>
  <c r="U130" i="87" s="1"/>
  <c r="V130" i="87" s="1"/>
  <c r="Q132" i="87"/>
  <c r="R132" i="87" s="1"/>
  <c r="S132" i="87" s="1"/>
  <c r="U132" i="87" s="1"/>
  <c r="V132" i="87" s="1"/>
  <c r="Q134" i="87"/>
  <c r="R134" i="87" s="1"/>
  <c r="S97" i="87"/>
  <c r="U97" i="87" s="1"/>
  <c r="V97" i="87" s="1"/>
  <c r="X97" i="87" s="1"/>
  <c r="Q124" i="87"/>
  <c r="R124" i="87" s="1"/>
  <c r="Q122" i="87"/>
  <c r="R122" i="87" s="1"/>
  <c r="Q120" i="87"/>
  <c r="R120" i="87" s="1"/>
  <c r="Q118" i="87"/>
  <c r="R118" i="87" s="1"/>
  <c r="S118" i="87" s="1"/>
  <c r="U118" i="87" s="1"/>
  <c r="V118" i="87" s="1"/>
  <c r="Q115" i="87"/>
  <c r="R115" i="87" s="1"/>
  <c r="Q113" i="87"/>
  <c r="R113" i="87" s="1"/>
  <c r="S113" i="87" s="1"/>
  <c r="U113" i="87" s="1"/>
  <c r="V113" i="87" s="1"/>
  <c r="Q111" i="87"/>
  <c r="R111" i="87" s="1"/>
  <c r="Q109" i="87"/>
  <c r="R109" i="87" s="1"/>
  <c r="S109" i="87" s="1"/>
  <c r="U109" i="87" s="1"/>
  <c r="V109" i="87" s="1"/>
  <c r="Q125" i="87"/>
  <c r="R125" i="87" s="1"/>
  <c r="Q123" i="87"/>
  <c r="R123" i="87" s="1"/>
  <c r="Q121" i="87"/>
  <c r="R121" i="87" s="1"/>
  <c r="Q119" i="87"/>
  <c r="R119" i="87" s="1"/>
  <c r="Q116" i="87"/>
  <c r="R116" i="87" s="1"/>
  <c r="Q114" i="87"/>
  <c r="R114" i="87" s="1"/>
  <c r="Q112" i="87"/>
  <c r="R112" i="87" s="1"/>
  <c r="Q110" i="87"/>
  <c r="R110" i="87" s="1"/>
  <c r="Q106" i="87"/>
  <c r="R106" i="87" s="1"/>
  <c r="Q100" i="87"/>
  <c r="R100" i="87" s="1"/>
  <c r="Q101" i="87"/>
  <c r="R101" i="87" s="1"/>
  <c r="S101" i="87" s="1"/>
  <c r="U101" i="87" s="1"/>
  <c r="V101" i="87" s="1"/>
  <c r="Q102" i="87"/>
  <c r="R102" i="87" s="1"/>
  <c r="Q103" i="87"/>
  <c r="R103" i="87" s="1"/>
  <c r="S103" i="87" s="1"/>
  <c r="U103" i="87" s="1"/>
  <c r="V103" i="87" s="1"/>
  <c r="Q104" i="87"/>
  <c r="R104" i="87" s="1"/>
  <c r="S104" i="87" s="1"/>
  <c r="U104" i="87" s="1"/>
  <c r="V104" i="87" s="1"/>
  <c r="Q105" i="87"/>
  <c r="R105" i="87" s="1"/>
  <c r="Q107" i="87"/>
  <c r="R107" i="87" s="1"/>
  <c r="CW242" i="87"/>
  <c r="X10" i="87"/>
  <c r="CZ10" i="87"/>
  <c r="GB10" i="87"/>
  <c r="JD10" i="87"/>
  <c r="V52" i="87"/>
  <c r="V168" i="87" s="1"/>
  <c r="V227" i="87" s="1"/>
  <c r="AP52" i="87"/>
  <c r="AP168" i="87" s="1"/>
  <c r="AP227" i="87" s="1"/>
  <c r="BJ52" i="87"/>
  <c r="BJ168" i="87" s="1"/>
  <c r="BJ227" i="87" s="1"/>
  <c r="CD52" i="87"/>
  <c r="CD168" i="87" s="1"/>
  <c r="CD227" i="87" s="1"/>
  <c r="CX52" i="87"/>
  <c r="CX168" i="87" s="1"/>
  <c r="CX227" i="87" s="1"/>
  <c r="DR52" i="87"/>
  <c r="DR168" i="87" s="1"/>
  <c r="DR227" i="87" s="1"/>
  <c r="EL52" i="87"/>
  <c r="EL168" i="87" s="1"/>
  <c r="EL227" i="87" s="1"/>
  <c r="FF52" i="87"/>
  <c r="FF168" i="87" s="1"/>
  <c r="FF227" i="87" s="1"/>
  <c r="FZ52" i="87"/>
  <c r="FZ168" i="87" s="1"/>
  <c r="FZ227" i="87" s="1"/>
  <c r="GT52" i="87"/>
  <c r="GT168" i="87" s="1"/>
  <c r="GT227" i="87" s="1"/>
  <c r="HN52" i="87"/>
  <c r="HN168" i="87" s="1"/>
  <c r="HN227" i="87" s="1"/>
  <c r="IH52" i="87"/>
  <c r="IH168" i="87" s="1"/>
  <c r="IH227" i="87" s="1"/>
  <c r="JB52" i="87"/>
  <c r="JB168" i="87" s="1"/>
  <c r="JB227" i="87" s="1"/>
  <c r="JV52" i="87"/>
  <c r="JV168" i="87" s="1"/>
  <c r="JV227" i="87" s="1"/>
  <c r="KP52" i="87"/>
  <c r="KP168" i="87" s="1"/>
  <c r="KP227" i="87" s="1"/>
  <c r="V53" i="87"/>
  <c r="V169" i="87" s="1"/>
  <c r="V228" i="87" s="1"/>
  <c r="AP53" i="87"/>
  <c r="AP169" i="87" s="1"/>
  <c r="AP228" i="87" s="1"/>
  <c r="BJ53" i="87"/>
  <c r="BJ169" i="87" s="1"/>
  <c r="BJ228" i="87" s="1"/>
  <c r="CD53" i="87"/>
  <c r="CD169" i="87" s="1"/>
  <c r="CD228" i="87" s="1"/>
  <c r="JB53" i="87"/>
  <c r="JB169" i="87" s="1"/>
  <c r="JB228" i="87" s="1"/>
  <c r="KP53" i="87"/>
  <c r="KP169" i="87" s="1"/>
  <c r="KP228" i="87" s="1"/>
  <c r="V54" i="87"/>
  <c r="V170" i="87" s="1"/>
  <c r="AP54" i="87"/>
  <c r="AP170" i="87" s="1"/>
  <c r="BJ54" i="87"/>
  <c r="BJ170" i="87" s="1"/>
  <c r="CD54" i="87"/>
  <c r="CD170" i="87" s="1"/>
  <c r="CX54" i="87"/>
  <c r="CX170" i="87" s="1"/>
  <c r="CX229" i="87" s="1"/>
  <c r="DR54" i="87"/>
  <c r="DR170" i="87" s="1"/>
  <c r="DR229" i="87" s="1"/>
  <c r="EL54" i="87"/>
  <c r="EL170" i="87" s="1"/>
  <c r="EL229" i="87" s="1"/>
  <c r="FF54" i="87"/>
  <c r="FF170" i="87" s="1"/>
  <c r="FF229" i="87" s="1"/>
  <c r="FZ54" i="87"/>
  <c r="FZ170" i="87" s="1"/>
  <c r="FZ229" i="87" s="1"/>
  <c r="GT54" i="87"/>
  <c r="GT170" i="87" s="1"/>
  <c r="GT229" i="87" s="1"/>
  <c r="HN54" i="87"/>
  <c r="HN170" i="87" s="1"/>
  <c r="HN229" i="87" s="1"/>
  <c r="IH54" i="87"/>
  <c r="IH170" i="87" s="1"/>
  <c r="JB54" i="87"/>
  <c r="JB170" i="87" s="1"/>
  <c r="JB229" i="87" s="1"/>
  <c r="JV54" i="87"/>
  <c r="JV170" i="87" s="1"/>
  <c r="JV229" i="87" s="1"/>
  <c r="KP54" i="87"/>
  <c r="KP170" i="87" s="1"/>
  <c r="KP229" i="87" s="1"/>
  <c r="CD55" i="87"/>
  <c r="AR10" i="87"/>
  <c r="DT10" i="87"/>
  <c r="GV10" i="87"/>
  <c r="JX10" i="87"/>
  <c r="HM218" i="87"/>
  <c r="JA218" i="87"/>
  <c r="DQ219" i="87"/>
  <c r="U231" i="87"/>
  <c r="KO231" i="87"/>
  <c r="FY240" i="87"/>
  <c r="HM240" i="87"/>
  <c r="JA240" i="87"/>
  <c r="KO240" i="87"/>
  <c r="IG241" i="87"/>
  <c r="KY221" i="87"/>
  <c r="KE222" i="87"/>
  <c r="JK223" i="87"/>
  <c r="KY230" i="87"/>
  <c r="JK232" i="87"/>
  <c r="IQ236" i="87"/>
  <c r="KY239" i="87"/>
  <c r="GT105" i="87"/>
  <c r="GT163" i="87" s="1"/>
  <c r="GT222" i="87" s="1"/>
  <c r="KP105" i="87"/>
  <c r="KP163" i="87" s="1"/>
  <c r="KP222" i="87" s="1"/>
  <c r="V106" i="87"/>
  <c r="BJ106" i="87"/>
  <c r="BJ164" i="87" s="1"/>
  <c r="BJ223" i="87" s="1"/>
  <c r="CD106" i="87"/>
  <c r="CX106" i="87"/>
  <c r="DR106" i="87"/>
  <c r="EL106" i="87"/>
  <c r="FF106" i="87"/>
  <c r="FZ106" i="87"/>
  <c r="FZ164" i="87" s="1"/>
  <c r="FZ223" i="87" s="1"/>
  <c r="GT106" i="87"/>
  <c r="GT164" i="87" s="1"/>
  <c r="GT223" i="87" s="1"/>
  <c r="HN106" i="87"/>
  <c r="HN164" i="87" s="1"/>
  <c r="HN223" i="87" s="1"/>
  <c r="IH106" i="87"/>
  <c r="IH164" i="87" s="1"/>
  <c r="IH223" i="87" s="1"/>
  <c r="JB106" i="87"/>
  <c r="JB164" i="87" s="1"/>
  <c r="JB223" i="87" s="1"/>
  <c r="JV106" i="87"/>
  <c r="JV164" i="87" s="1"/>
  <c r="JV223" i="87" s="1"/>
  <c r="KP106" i="87"/>
  <c r="KP164" i="87" s="1"/>
  <c r="KP223" i="87" s="1"/>
  <c r="HX11" i="87"/>
  <c r="CN183" i="87"/>
  <c r="CN242" i="87" s="1"/>
  <c r="FP183" i="87"/>
  <c r="IR183" i="87"/>
  <c r="U168" i="87"/>
  <c r="BI168" i="87"/>
  <c r="CW168" i="87"/>
  <c r="EK168" i="87"/>
  <c r="FY168" i="87"/>
  <c r="HM168" i="87"/>
  <c r="JA168" i="87"/>
  <c r="KO168" i="87"/>
  <c r="AO169" i="87"/>
  <c r="CC169" i="87"/>
  <c r="U170" i="87"/>
  <c r="BI170" i="87"/>
  <c r="CW170" i="87"/>
  <c r="EK170" i="87"/>
  <c r="FY170" i="87"/>
  <c r="HM170" i="87"/>
  <c r="JA170" i="87"/>
  <c r="KO170" i="87"/>
  <c r="CC171" i="87"/>
  <c r="BJ172" i="87"/>
  <c r="BJ231" i="87" s="1"/>
  <c r="AP173" i="87"/>
  <c r="AP232" i="87" s="1"/>
  <c r="CD173" i="87"/>
  <c r="CD232" i="87" s="1"/>
  <c r="GT173" i="87"/>
  <c r="GT232" i="87" s="1"/>
  <c r="JV173" i="87"/>
  <c r="JV232" i="87" s="1"/>
  <c r="CX174" i="87"/>
  <c r="CX233" i="87" s="1"/>
  <c r="V177" i="87"/>
  <c r="BJ177" i="87"/>
  <c r="EL177" i="87"/>
  <c r="EL236" i="87" s="1"/>
  <c r="FZ177" i="87"/>
  <c r="FZ236" i="87" s="1"/>
  <c r="HN177" i="87"/>
  <c r="HN236" i="87" s="1"/>
  <c r="FF178" i="87"/>
  <c r="FF237" i="87" s="1"/>
  <c r="GT178" i="87"/>
  <c r="GT237" i="87" s="1"/>
  <c r="IH178" i="87"/>
  <c r="IH237" i="87" s="1"/>
  <c r="JV178" i="87"/>
  <c r="JV237" i="87" s="1"/>
  <c r="V179" i="87"/>
  <c r="V238" i="87" s="1"/>
  <c r="CX179" i="87"/>
  <c r="CX238" i="87" s="1"/>
  <c r="EL179" i="87"/>
  <c r="EL238" i="87" s="1"/>
  <c r="DR180" i="87"/>
  <c r="DR239" i="87" s="1"/>
  <c r="GT180" i="87"/>
  <c r="GT239" i="87" s="1"/>
  <c r="V181" i="87"/>
  <c r="V240" i="87" s="1"/>
  <c r="BJ181" i="87"/>
  <c r="BJ240" i="87" s="1"/>
  <c r="EL181" i="87"/>
  <c r="EL240" i="87" s="1"/>
  <c r="FZ181" i="87"/>
  <c r="FZ240" i="87" s="1"/>
  <c r="HN181" i="87"/>
  <c r="HN240" i="87" s="1"/>
  <c r="JB181" i="87"/>
  <c r="JB240" i="87" s="1"/>
  <c r="KP181" i="87"/>
  <c r="KP240" i="87" s="1"/>
  <c r="AP182" i="87"/>
  <c r="AP241" i="87" s="1"/>
  <c r="CD182" i="87"/>
  <c r="CD241" i="87" s="1"/>
  <c r="GT182" i="87"/>
  <c r="GT241" i="87" s="1"/>
  <c r="JV182" i="87"/>
  <c r="JV241" i="87" s="1"/>
  <c r="IR162" i="87"/>
  <c r="IR221" i="87" s="1"/>
  <c r="KF162" i="87"/>
  <c r="KF221" i="87" s="1"/>
  <c r="BT172" i="87"/>
  <c r="BT231" i="87" s="1"/>
  <c r="KZ172" i="87"/>
  <c r="KZ231" i="87" s="1"/>
  <c r="AZ173" i="87"/>
  <c r="AZ232" i="87" s="1"/>
  <c r="CN173" i="87"/>
  <c r="CN232" i="87" s="1"/>
  <c r="KF173" i="87"/>
  <c r="KF232" i="87" s="1"/>
  <c r="AF174" i="87"/>
  <c r="AF233" i="87" s="1"/>
  <c r="GJ174" i="87"/>
  <c r="GJ233" i="87" s="1"/>
  <c r="KZ174" i="87"/>
  <c r="KZ233" i="87" s="1"/>
  <c r="BT177" i="87"/>
  <c r="BT236" i="87" s="1"/>
  <c r="EV177" i="87"/>
  <c r="EV236" i="87" s="1"/>
  <c r="GJ177" i="87"/>
  <c r="GJ236" i="87" s="1"/>
  <c r="HX177" i="87"/>
  <c r="HX236" i="87" s="1"/>
  <c r="KZ177" i="87"/>
  <c r="KZ236" i="87" s="1"/>
  <c r="AZ178" i="87"/>
  <c r="AZ237" i="87" s="1"/>
  <c r="EB178" i="87"/>
  <c r="EB237" i="87" s="1"/>
  <c r="FP178" i="87"/>
  <c r="FP237" i="87" s="1"/>
  <c r="IR178" i="87"/>
  <c r="IR237" i="87" s="1"/>
  <c r="KF178" i="87"/>
  <c r="KF237" i="87" s="1"/>
  <c r="BT179" i="87"/>
  <c r="BT238" i="87" s="1"/>
  <c r="GJ179" i="87"/>
  <c r="GJ238" i="87" s="1"/>
  <c r="HX179" i="87"/>
  <c r="HX238" i="87" s="1"/>
  <c r="KZ179" i="87"/>
  <c r="KZ238" i="87" s="1"/>
  <c r="CN180" i="87"/>
  <c r="CN239" i="87" s="1"/>
  <c r="FP180" i="87"/>
  <c r="FP239" i="87" s="1"/>
  <c r="KF180" i="87"/>
  <c r="KF239" i="87" s="1"/>
  <c r="BT181" i="87"/>
  <c r="BT240" i="87" s="1"/>
  <c r="DH181" i="87"/>
  <c r="DH240" i="87" s="1"/>
  <c r="KZ181" i="87"/>
  <c r="KZ240" i="87" s="1"/>
  <c r="HD182" i="87"/>
  <c r="HD241" i="87" s="1"/>
  <c r="HM242" i="87"/>
  <c r="BL10" i="87"/>
  <c r="EN10" i="87"/>
  <c r="HP10" i="87"/>
  <c r="KR10" i="87"/>
  <c r="AF52" i="87"/>
  <c r="AZ52" i="87"/>
  <c r="AZ168" i="87" s="1"/>
  <c r="AZ227" i="87" s="1"/>
  <c r="BT52" i="87"/>
  <c r="CN52" i="87"/>
  <c r="CN168" i="87" s="1"/>
  <c r="CN227" i="87" s="1"/>
  <c r="DH52" i="87"/>
  <c r="EB52" i="87"/>
  <c r="EB168" i="87" s="1"/>
  <c r="EB227" i="87" s="1"/>
  <c r="EV52" i="87"/>
  <c r="FP52" i="87"/>
  <c r="GJ52" i="87"/>
  <c r="HD52" i="87"/>
  <c r="HD168" i="87" s="1"/>
  <c r="HD227" i="87" s="1"/>
  <c r="HX52" i="87"/>
  <c r="IR52" i="87"/>
  <c r="IR168" i="87" s="1"/>
  <c r="IR227" i="87" s="1"/>
  <c r="JL52" i="87"/>
  <c r="KF52" i="87"/>
  <c r="KF168" i="87" s="1"/>
  <c r="KF227" i="87" s="1"/>
  <c r="KZ52" i="87"/>
  <c r="KZ168" i="87" s="1"/>
  <c r="KZ227" i="87" s="1"/>
  <c r="AF53" i="87"/>
  <c r="AF169" i="87" s="1"/>
  <c r="AF228" i="87" s="1"/>
  <c r="BT53" i="87"/>
  <c r="BT169" i="87" s="1"/>
  <c r="BT228" i="87" s="1"/>
  <c r="CN53" i="87"/>
  <c r="CN169" i="87" s="1"/>
  <c r="CN228" i="87" s="1"/>
  <c r="DH53" i="87"/>
  <c r="DH169" i="87" s="1"/>
  <c r="DH228" i="87" s="1"/>
  <c r="EV53" i="87"/>
  <c r="EV169" i="87" s="1"/>
  <c r="EV228" i="87" s="1"/>
  <c r="FP53" i="87"/>
  <c r="FP169" i="87" s="1"/>
  <c r="FP228" i="87" s="1"/>
  <c r="HD53" i="87"/>
  <c r="HD169" i="87" s="1"/>
  <c r="HD228" i="87" s="1"/>
  <c r="HX53" i="87"/>
  <c r="HX169" i="87" s="1"/>
  <c r="HX228" i="87" s="1"/>
  <c r="IR53" i="87"/>
  <c r="IR169" i="87" s="1"/>
  <c r="IR228" i="87" s="1"/>
  <c r="JL53" i="87"/>
  <c r="JL169" i="87" s="1"/>
  <c r="JL228" i="87" s="1"/>
  <c r="KF53" i="87"/>
  <c r="KF169" i="87" s="1"/>
  <c r="KF228" i="87" s="1"/>
  <c r="KZ53" i="87"/>
  <c r="KZ169" i="87" s="1"/>
  <c r="KZ228" i="87" s="1"/>
  <c r="AF54" i="87"/>
  <c r="AF170" i="87" s="1"/>
  <c r="AF229" i="87" s="1"/>
  <c r="AZ54" i="87"/>
  <c r="AZ170" i="87" s="1"/>
  <c r="AZ229" i="87" s="1"/>
  <c r="BT54" i="87"/>
  <c r="BT170" i="87" s="1"/>
  <c r="BT229" i="87" s="1"/>
  <c r="CN54" i="87"/>
  <c r="CN170" i="87" s="1"/>
  <c r="CN229" i="87" s="1"/>
  <c r="DH54" i="87"/>
  <c r="DH170" i="87" s="1"/>
  <c r="DH229" i="87" s="1"/>
  <c r="EB54" i="87"/>
  <c r="EB170" i="87" s="1"/>
  <c r="EV54" i="87"/>
  <c r="EV170" i="87" s="1"/>
  <c r="EV229" i="87" s="1"/>
  <c r="FP54" i="87"/>
  <c r="FP170" i="87" s="1"/>
  <c r="FP229" i="87" s="1"/>
  <c r="GJ54" i="87"/>
  <c r="GJ170" i="87" s="1"/>
  <c r="GJ229" i="87" s="1"/>
  <c r="HD54" i="87"/>
  <c r="HD170" i="87" s="1"/>
  <c r="HD229" i="87" s="1"/>
  <c r="HX54" i="87"/>
  <c r="HX170" i="87" s="1"/>
  <c r="HX229" i="87" s="1"/>
  <c r="IR54" i="87"/>
  <c r="IR170" i="87" s="1"/>
  <c r="IR229" i="87" s="1"/>
  <c r="JL54" i="87"/>
  <c r="JL170" i="87" s="1"/>
  <c r="JL229" i="87" s="1"/>
  <c r="KF54" i="87"/>
  <c r="KF170" i="87" s="1"/>
  <c r="KF229" i="87" s="1"/>
  <c r="KZ54" i="87"/>
  <c r="KZ170" i="87" s="1"/>
  <c r="KZ229" i="87" s="1"/>
  <c r="KF55" i="87"/>
  <c r="KF171" i="87" s="1"/>
  <c r="KF230" i="87" s="1"/>
  <c r="CF10" i="87"/>
  <c r="FH10" i="87"/>
  <c r="IJ10" i="87"/>
  <c r="FR39" i="87"/>
  <c r="IT39" i="87"/>
  <c r="HM221" i="87"/>
  <c r="EU218" i="87"/>
  <c r="GI218" i="87"/>
  <c r="JK218" i="87"/>
  <c r="CM221" i="87"/>
  <c r="FO221" i="87"/>
  <c r="IQ221" i="87"/>
  <c r="GI236" i="87"/>
  <c r="CM239" i="87"/>
  <c r="FO239" i="87"/>
  <c r="IR105" i="87"/>
  <c r="IR163" i="87" s="1"/>
  <c r="IR222" i="87" s="1"/>
  <c r="JL105" i="87"/>
  <c r="KF105" i="87"/>
  <c r="KF163" i="87" s="1"/>
  <c r="KF222" i="87" s="1"/>
  <c r="KZ105" i="87"/>
  <c r="AF106" i="87"/>
  <c r="AF164" i="87" s="1"/>
  <c r="AF223" i="87" s="1"/>
  <c r="AZ106" i="87"/>
  <c r="BT106" i="87"/>
  <c r="CN106" i="87"/>
  <c r="DH106" i="87"/>
  <c r="DH164" i="87" s="1"/>
  <c r="DH223" i="87" s="1"/>
  <c r="EB106" i="87"/>
  <c r="EV106" i="87"/>
  <c r="FP106" i="87"/>
  <c r="GJ106" i="87"/>
  <c r="GJ164" i="87" s="1"/>
  <c r="GJ223" i="87" s="1"/>
  <c r="HD106" i="87"/>
  <c r="HD164" i="87" s="1"/>
  <c r="HD223" i="87" s="1"/>
  <c r="HX106" i="87"/>
  <c r="HX164" i="87" s="1"/>
  <c r="HX223" i="87" s="1"/>
  <c r="IR106" i="87"/>
  <c r="IR164" i="87" s="1"/>
  <c r="IR223" i="87" s="1"/>
  <c r="JL106" i="87"/>
  <c r="JL164" i="87" s="1"/>
  <c r="JL223" i="87" s="1"/>
  <c r="KF106" i="87"/>
  <c r="KF164" i="87" s="1"/>
  <c r="KF223" i="87" s="1"/>
  <c r="KF68" i="87"/>
  <c r="AZ183" i="87"/>
  <c r="AZ242" i="87" s="1"/>
  <c r="EB183" i="87"/>
  <c r="HD183" i="87"/>
  <c r="KF183" i="87"/>
  <c r="KF11" i="87"/>
  <c r="AO168" i="87"/>
  <c r="CC168" i="87"/>
  <c r="DQ168" i="87"/>
  <c r="FE168" i="87"/>
  <c r="GS168" i="87"/>
  <c r="IG168" i="87"/>
  <c r="JU168" i="87"/>
  <c r="U169" i="87"/>
  <c r="BI169" i="87"/>
  <c r="JA169" i="87"/>
  <c r="KO169" i="87"/>
  <c r="AO170" i="87"/>
  <c r="CC170" i="87"/>
  <c r="DQ170" i="87"/>
  <c r="FE170" i="87"/>
  <c r="GS170" i="87"/>
  <c r="IG170" i="87"/>
  <c r="JU170" i="87"/>
  <c r="DR172" i="87"/>
  <c r="DR231" i="87" s="1"/>
  <c r="EL173" i="87"/>
  <c r="EL232" i="87" s="1"/>
  <c r="KP173" i="87"/>
  <c r="KP232" i="87" s="1"/>
  <c r="FF174" i="87"/>
  <c r="FF233" i="87" s="1"/>
  <c r="GT174" i="87"/>
  <c r="GT233" i="87" s="1"/>
  <c r="IH174" i="87"/>
  <c r="JV174" i="87"/>
  <c r="JV233" i="87" s="1"/>
  <c r="AP177" i="87"/>
  <c r="DR177" i="87"/>
  <c r="DR236" i="87" s="1"/>
  <c r="IH177" i="87"/>
  <c r="IH236" i="87" s="1"/>
  <c r="JV177" i="87"/>
  <c r="JV236" i="87" s="1"/>
  <c r="V178" i="87"/>
  <c r="V237" i="87" s="1"/>
  <c r="CX178" i="87"/>
  <c r="CX237" i="87" s="1"/>
  <c r="EL178" i="87"/>
  <c r="EL237" i="87" s="1"/>
  <c r="HN178" i="87"/>
  <c r="HN237" i="87" s="1"/>
  <c r="KP178" i="87"/>
  <c r="KP237" i="87" s="1"/>
  <c r="AP179" i="87"/>
  <c r="AP238" i="87" s="1"/>
  <c r="CD179" i="87"/>
  <c r="CD238" i="87" s="1"/>
  <c r="DR179" i="87"/>
  <c r="DR238" i="87" s="1"/>
  <c r="FF179" i="87"/>
  <c r="FF238" i="87" s="1"/>
  <c r="V180" i="87"/>
  <c r="V239" i="87" s="1"/>
  <c r="EL180" i="87"/>
  <c r="EL239" i="87" s="1"/>
  <c r="IH181" i="87"/>
  <c r="IH240" i="87" s="1"/>
  <c r="V182" i="87"/>
  <c r="V241" i="87" s="1"/>
  <c r="BJ182" i="87"/>
  <c r="BJ241" i="87" s="1"/>
  <c r="CX182" i="87"/>
  <c r="CX241" i="87" s="1"/>
  <c r="EL182" i="87"/>
  <c r="EL241" i="87" s="1"/>
  <c r="HN182" i="87"/>
  <c r="HN241" i="87" s="1"/>
  <c r="GJ162" i="87"/>
  <c r="GJ221" i="87" s="1"/>
  <c r="JL162" i="87"/>
  <c r="JL221" i="87" s="1"/>
  <c r="KZ162" i="87"/>
  <c r="KZ221" i="87" s="1"/>
  <c r="FP163" i="87"/>
  <c r="FP222" i="87" s="1"/>
  <c r="AE168" i="87"/>
  <c r="BS168" i="87"/>
  <c r="DG168" i="87"/>
  <c r="EU168" i="87"/>
  <c r="GI168" i="87"/>
  <c r="HW168" i="87"/>
  <c r="JK168" i="87"/>
  <c r="KY168" i="87"/>
  <c r="CM169" i="87"/>
  <c r="FO169" i="87"/>
  <c r="HC169" i="87"/>
  <c r="IQ169" i="87"/>
  <c r="KE169" i="87"/>
  <c r="AE170" i="87"/>
  <c r="BS170" i="87"/>
  <c r="DG170" i="87"/>
  <c r="EU170" i="87"/>
  <c r="GI170" i="87"/>
  <c r="HW170" i="87"/>
  <c r="JK170" i="87"/>
  <c r="KY170" i="87"/>
  <c r="KE171" i="87"/>
  <c r="FP172" i="87"/>
  <c r="FP231" i="87" s="1"/>
  <c r="HD172" i="87"/>
  <c r="HD231" i="87" s="1"/>
  <c r="KF172" i="87"/>
  <c r="KF231" i="87" s="1"/>
  <c r="DH173" i="87"/>
  <c r="DH232" i="87" s="1"/>
  <c r="GJ173" i="87"/>
  <c r="GJ232" i="87" s="1"/>
  <c r="AZ174" i="87"/>
  <c r="AZ233" i="87" s="1"/>
  <c r="FP174" i="87"/>
  <c r="FP233" i="87" s="1"/>
  <c r="HD174" i="87"/>
  <c r="HD233" i="87" s="1"/>
  <c r="IR174" i="87"/>
  <c r="IR233" i="87" s="1"/>
  <c r="KF174" i="87"/>
  <c r="KF233" i="87" s="1"/>
  <c r="CN177" i="87"/>
  <c r="CN236" i="87" s="1"/>
  <c r="EB177" i="87"/>
  <c r="EB236" i="87" s="1"/>
  <c r="FP177" i="87"/>
  <c r="FP236" i="87" s="1"/>
  <c r="KF177" i="87"/>
  <c r="KF236" i="87" s="1"/>
  <c r="DH178" i="87"/>
  <c r="DH237" i="87" s="1"/>
  <c r="GJ178" i="87"/>
  <c r="GJ237" i="87" s="1"/>
  <c r="HX178" i="87"/>
  <c r="HX237" i="87" s="1"/>
  <c r="JL178" i="87"/>
  <c r="JL237" i="87" s="1"/>
  <c r="KZ178" i="87"/>
  <c r="KZ237" i="87" s="1"/>
  <c r="HD179" i="87"/>
  <c r="HD238" i="87" s="1"/>
  <c r="KF179" i="87"/>
  <c r="KF238" i="87" s="1"/>
  <c r="JL180" i="87"/>
  <c r="JL239" i="87" s="1"/>
  <c r="KZ180" i="87"/>
  <c r="KZ239" i="87" s="1"/>
  <c r="EB181" i="87"/>
  <c r="EB240" i="87" s="1"/>
  <c r="KF181" i="87"/>
  <c r="KF240" i="87" s="1"/>
  <c r="BT182" i="87"/>
  <c r="BT241" i="87" s="1"/>
  <c r="EV182" i="87"/>
  <c r="EV241" i="87" s="1"/>
  <c r="GJ182" i="87"/>
  <c r="GJ241" i="87" s="1"/>
  <c r="KZ182" i="87"/>
  <c r="KZ241" i="87" s="1"/>
  <c r="BT180" i="87" l="1"/>
  <c r="BT239" i="87" s="1"/>
  <c r="KZ176" i="87"/>
  <c r="KZ235" i="87" s="1"/>
  <c r="KZ11" i="87"/>
  <c r="KP161" i="87"/>
  <c r="KP220" i="87" s="1"/>
  <c r="KO161" i="87"/>
  <c r="KO220" i="87" s="1"/>
  <c r="GT172" i="87"/>
  <c r="GT231" i="87" s="1"/>
  <c r="GS172" i="87"/>
  <c r="GS231" i="87" s="1"/>
  <c r="FO163" i="87"/>
  <c r="FO222" i="87" s="1"/>
  <c r="CX180" i="87"/>
  <c r="CX239" i="87" s="1"/>
  <c r="GJ181" i="87"/>
  <c r="GJ240" i="87" s="1"/>
  <c r="CD171" i="87"/>
  <c r="CD230" i="87" s="1"/>
  <c r="KZ161" i="87"/>
  <c r="KZ220" i="87" s="1"/>
  <c r="AZ181" i="87"/>
  <c r="AZ240" i="87" s="1"/>
  <c r="KY161" i="87"/>
  <c r="KY220" i="87" s="1"/>
  <c r="CW180" i="87"/>
  <c r="CW239" i="87" s="1"/>
  <c r="KY172" i="87"/>
  <c r="KY231" i="87" s="1"/>
  <c r="KY163" i="87"/>
  <c r="KY222" i="87" s="1"/>
  <c r="KY176" i="87"/>
  <c r="KY235" i="87" s="1"/>
  <c r="JK163" i="87"/>
  <c r="JK222" i="87" s="1"/>
  <c r="IR172" i="87"/>
  <c r="IR231" i="87" s="1"/>
  <c r="IQ172" i="87"/>
  <c r="IQ231" i="87" s="1"/>
  <c r="IG180" i="87"/>
  <c r="IG239" i="87" s="1"/>
  <c r="IH180" i="87"/>
  <c r="IH239" i="87" s="1"/>
  <c r="GI181" i="87"/>
  <c r="GI240" i="87" s="1"/>
  <c r="FZ160" i="87"/>
  <c r="FZ219" i="87" s="1"/>
  <c r="FY160" i="87"/>
  <c r="FY219" i="87" s="1"/>
  <c r="EA172" i="87"/>
  <c r="EA231" i="87" s="1"/>
  <c r="DR174" i="87"/>
  <c r="DR233" i="87" s="1"/>
  <c r="DQ174" i="87"/>
  <c r="DQ233" i="87" s="1"/>
  <c r="CX163" i="87"/>
  <c r="CX222" i="87" s="1"/>
  <c r="CW163" i="87"/>
  <c r="CW222" i="87" s="1"/>
  <c r="BS180" i="87"/>
  <c r="BS239" i="87" s="1"/>
  <c r="AY181" i="87"/>
  <c r="AY240" i="87" s="1"/>
  <c r="FZ172" i="87"/>
  <c r="FZ231" i="87" s="1"/>
  <c r="CX181" i="87"/>
  <c r="CX240" i="87" s="1"/>
  <c r="KZ167" i="87"/>
  <c r="KZ226" i="87" s="1"/>
  <c r="V159" i="87"/>
  <c r="V218" i="87" s="1"/>
  <c r="AF162" i="87"/>
  <c r="AF221" i="87" s="1"/>
  <c r="AE159" i="87"/>
  <c r="AE218" i="87" s="1"/>
  <c r="AP159" i="87"/>
  <c r="AP218" i="87" s="1"/>
  <c r="AO159" i="87"/>
  <c r="AO218" i="87" s="1"/>
  <c r="AO164" i="87"/>
  <c r="AO223" i="87" s="1"/>
  <c r="AE162" i="87"/>
  <c r="AE221" i="87" s="1"/>
  <c r="AF43" i="87"/>
  <c r="AF159" i="87" s="1"/>
  <c r="AF218" i="87" s="1"/>
  <c r="V162" i="87"/>
  <c r="V221" i="87" s="1"/>
  <c r="U162" i="87"/>
  <c r="U221" i="87" s="1"/>
  <c r="U159" i="87"/>
  <c r="U218" i="87" s="1"/>
  <c r="DH161" i="87"/>
  <c r="DH220" i="87" s="1"/>
  <c r="DG161" i="87"/>
  <c r="DG220" i="87" s="1"/>
  <c r="FY172" i="87"/>
  <c r="FY231" i="87" s="1"/>
  <c r="CW181" i="87"/>
  <c r="CW240" i="87" s="1"/>
  <c r="CD161" i="87"/>
  <c r="CD220" i="87" s="1"/>
  <c r="CC161" i="87"/>
  <c r="CC220" i="87" s="1"/>
  <c r="AP163" i="87"/>
  <c r="AP222" i="87" s="1"/>
  <c r="AO163" i="87"/>
  <c r="AO222" i="87" s="1"/>
  <c r="EL160" i="87"/>
  <c r="EL219" i="87" s="1"/>
  <c r="GI163" i="87"/>
  <c r="GI222" i="87" s="1"/>
  <c r="EK160" i="87"/>
  <c r="EK219" i="87" s="1"/>
  <c r="KY167" i="87"/>
  <c r="KY226" i="87" s="1"/>
  <c r="KV127" i="87"/>
  <c r="KW129" i="87"/>
  <c r="KY129" i="87" s="1"/>
  <c r="KZ129" i="87" s="1"/>
  <c r="KV69" i="87"/>
  <c r="KW71" i="87"/>
  <c r="KY71" i="87" s="1"/>
  <c r="KZ71" i="87" s="1"/>
  <c r="KZ69" i="87" s="1"/>
  <c r="KV40" i="87"/>
  <c r="KW42" i="87"/>
  <c r="KY42" i="87" s="1"/>
  <c r="KV186" i="87"/>
  <c r="KW188" i="87"/>
  <c r="KY188" i="87" s="1"/>
  <c r="KZ188" i="87" s="1"/>
  <c r="KZ186" i="87" s="1"/>
  <c r="KV98" i="87"/>
  <c r="KW100" i="87"/>
  <c r="KY100" i="87" s="1"/>
  <c r="KZ100" i="87" s="1"/>
  <c r="KZ98" i="87" s="1"/>
  <c r="IH11" i="87"/>
  <c r="FP242" i="87"/>
  <c r="IH233" i="87"/>
  <c r="BJ229" i="87"/>
  <c r="AP236" i="87"/>
  <c r="IR11" i="87"/>
  <c r="HD242" i="87"/>
  <c r="GT11" i="87"/>
  <c r="CN11" i="87"/>
  <c r="V11" i="87"/>
  <c r="FP159" i="87"/>
  <c r="FP218" i="87" s="1"/>
  <c r="FL40" i="87"/>
  <c r="V229" i="87"/>
  <c r="CN178" i="87"/>
  <c r="CN237" i="87" s="1"/>
  <c r="AZ11" i="87"/>
  <c r="JL224" i="87"/>
  <c r="JV11" i="87"/>
  <c r="EV11" i="87"/>
  <c r="FZ11" i="87"/>
  <c r="IR182" i="87"/>
  <c r="IR241" i="87" s="1"/>
  <c r="IN40" i="87"/>
  <c r="DH224" i="87"/>
  <c r="AP229" i="87"/>
  <c r="HN11" i="87"/>
  <c r="BJ11" i="87"/>
  <c r="AP174" i="87"/>
  <c r="AP233" i="87" s="1"/>
  <c r="FP224" i="87"/>
  <c r="BJ178" i="87"/>
  <c r="BJ237" i="87" s="1"/>
  <c r="JB11" i="87"/>
  <c r="HN173" i="87"/>
  <c r="HN232" i="87" s="1"/>
  <c r="FY171" i="87"/>
  <c r="FY230" i="87" s="1"/>
  <c r="CX98" i="87"/>
  <c r="AF11" i="87"/>
  <c r="BT69" i="87"/>
  <c r="JH69" i="87"/>
  <c r="AL69" i="87"/>
  <c r="DD127" i="87"/>
  <c r="CT98" i="87"/>
  <c r="AP69" i="87"/>
  <c r="EB11" i="87"/>
  <c r="HD11" i="87"/>
  <c r="IH179" i="87"/>
  <c r="IH238" i="87" s="1"/>
  <c r="BP69" i="87"/>
  <c r="BT98" i="87"/>
  <c r="EB224" i="87"/>
  <c r="AL186" i="87"/>
  <c r="BI171" i="87"/>
  <c r="BI230" i="87" s="1"/>
  <c r="GF69" i="87"/>
  <c r="BF127" i="87"/>
  <c r="KL186" i="87"/>
  <c r="DD69" i="87"/>
  <c r="AV40" i="87"/>
  <c r="DH127" i="87"/>
  <c r="HD177" i="87"/>
  <c r="HD236" i="87" s="1"/>
  <c r="CD98" i="87"/>
  <c r="BJ55" i="87"/>
  <c r="BJ171" i="87" s="1"/>
  <c r="BJ230" i="87" s="1"/>
  <c r="CD177" i="87"/>
  <c r="CD236" i="87" s="1"/>
  <c r="CW171" i="87"/>
  <c r="DR11" i="87"/>
  <c r="HX172" i="87"/>
  <c r="HX231" i="87" s="1"/>
  <c r="CN171" i="87"/>
  <c r="CN230" i="87" s="1"/>
  <c r="CX164" i="87"/>
  <c r="CX223" i="87" s="1"/>
  <c r="HN163" i="87"/>
  <c r="HN222" i="87" s="1"/>
  <c r="FF169" i="87"/>
  <c r="FF228" i="87" s="1"/>
  <c r="IR224" i="87"/>
  <c r="IH160" i="87"/>
  <c r="IH219" i="87" s="1"/>
  <c r="JL181" i="87"/>
  <c r="JL240" i="87" s="1"/>
  <c r="DN40" i="87"/>
  <c r="KB40" i="87"/>
  <c r="BJ127" i="87"/>
  <c r="BP40" i="87"/>
  <c r="CJ186" i="87"/>
  <c r="CM171" i="87"/>
  <c r="EB229" i="87"/>
  <c r="DQ171" i="87"/>
  <c r="DQ230" i="87" s="1"/>
  <c r="JL11" i="87"/>
  <c r="IH169" i="87"/>
  <c r="IH228" i="87" s="1"/>
  <c r="EL172" i="87"/>
  <c r="EL231" i="87" s="1"/>
  <c r="JV181" i="87"/>
  <c r="JV240" i="87" s="1"/>
  <c r="CN69" i="87"/>
  <c r="DX40" i="87"/>
  <c r="IN69" i="87"/>
  <c r="AP171" i="87"/>
  <c r="AP230" i="87" s="1"/>
  <c r="CD229" i="87"/>
  <c r="CJ69" i="87"/>
  <c r="HC163" i="87"/>
  <c r="HC222" i="87" s="1"/>
  <c r="KC42" i="87"/>
  <c r="KE42" i="87" s="1"/>
  <c r="KF42" i="87" s="1"/>
  <c r="AF171" i="87"/>
  <c r="AF230" i="87" s="1"/>
  <c r="FP161" i="87"/>
  <c r="KL127" i="87"/>
  <c r="KP127" i="87"/>
  <c r="JH98" i="87"/>
  <c r="EL171" i="87"/>
  <c r="IH163" i="87"/>
  <c r="IH222" i="87" s="1"/>
  <c r="CJ40" i="87"/>
  <c r="V242" i="87"/>
  <c r="BP98" i="87"/>
  <c r="BP186" i="87"/>
  <c r="GZ69" i="87"/>
  <c r="JH186" i="87"/>
  <c r="CA188" i="87"/>
  <c r="CC188" i="87" s="1"/>
  <c r="CD188" i="87" s="1"/>
  <c r="CD186" i="87" s="1"/>
  <c r="BZ186" i="87"/>
  <c r="DR171" i="87"/>
  <c r="DR230" i="87" s="1"/>
  <c r="AO171" i="87"/>
  <c r="AO230" i="87" s="1"/>
  <c r="JH40" i="87"/>
  <c r="AF69" i="87"/>
  <c r="HD171" i="87"/>
  <c r="BT186" i="87"/>
  <c r="DD40" i="87"/>
  <c r="FF69" i="87"/>
  <c r="FF11" i="87"/>
  <c r="KP11" i="87"/>
  <c r="KF242" i="87"/>
  <c r="JU172" i="87"/>
  <c r="JU231" i="87" s="1"/>
  <c r="JV56" i="87"/>
  <c r="JV172" i="87" s="1"/>
  <c r="JV231" i="87" s="1"/>
  <c r="JU181" i="87"/>
  <c r="JU240" i="87" s="1"/>
  <c r="JK181" i="87"/>
  <c r="JK240" i="87" s="1"/>
  <c r="IR171" i="87"/>
  <c r="IR230" i="87" s="1"/>
  <c r="IR242" i="87"/>
  <c r="IG172" i="87"/>
  <c r="IG231" i="87" s="1"/>
  <c r="IH56" i="87"/>
  <c r="IH172" i="87" s="1"/>
  <c r="IH231" i="87" s="1"/>
  <c r="IG176" i="87"/>
  <c r="IG235" i="87" s="1"/>
  <c r="IG163" i="87"/>
  <c r="IG222" i="87" s="1"/>
  <c r="ID69" i="87"/>
  <c r="IE71" i="87"/>
  <c r="IG71" i="87" s="1"/>
  <c r="IH71" i="87" s="1"/>
  <c r="IH69" i="87" s="1"/>
  <c r="HW180" i="87"/>
  <c r="HW239" i="87" s="1"/>
  <c r="HX64" i="87"/>
  <c r="HX180" i="87" s="1"/>
  <c r="HX239" i="87" s="1"/>
  <c r="HT69" i="87"/>
  <c r="HW172" i="87"/>
  <c r="HW231" i="87" s="1"/>
  <c r="HM172" i="87"/>
  <c r="HM231" i="87" s="1"/>
  <c r="HN56" i="87"/>
  <c r="HN172" i="87" s="1"/>
  <c r="HN231" i="87" s="1"/>
  <c r="HM163" i="87"/>
  <c r="HM222" i="87" s="1"/>
  <c r="HD105" i="87"/>
  <c r="HD163" i="87" s="1"/>
  <c r="HD222" i="87" s="1"/>
  <c r="GT169" i="87"/>
  <c r="GI172" i="87"/>
  <c r="GI231" i="87" s="1"/>
  <c r="FZ47" i="87"/>
  <c r="FZ163" i="87" s="1"/>
  <c r="FZ222" i="87" s="1"/>
  <c r="FY163" i="87"/>
  <c r="FY222" i="87" s="1"/>
  <c r="FO171" i="87"/>
  <c r="FB69" i="87"/>
  <c r="FB98" i="87"/>
  <c r="FC100" i="87"/>
  <c r="FE100" i="87" s="1"/>
  <c r="FF100" i="87" s="1"/>
  <c r="FF98" i="87" s="1"/>
  <c r="FF159" i="87"/>
  <c r="FF218" i="87" s="1"/>
  <c r="FE171" i="87"/>
  <c r="FE230" i="87" s="1"/>
  <c r="ER40" i="87"/>
  <c r="EV160" i="87"/>
  <c r="EK172" i="87"/>
  <c r="EK231" i="87" s="1"/>
  <c r="EB242" i="87"/>
  <c r="DX69" i="87"/>
  <c r="DY71" i="87"/>
  <c r="EA71" i="87" s="1"/>
  <c r="EB71" i="87" s="1"/>
  <c r="EB69" i="87" s="1"/>
  <c r="EA169" i="87"/>
  <c r="EA228" i="87" s="1"/>
  <c r="DR98" i="87"/>
  <c r="CX169" i="87"/>
  <c r="CX228" i="87" s="1"/>
  <c r="CK129" i="87"/>
  <c r="CM129" i="87" s="1"/>
  <c r="CN129" i="87" s="1"/>
  <c r="CN127" i="87" s="1"/>
  <c r="CJ127" i="87"/>
  <c r="BZ98" i="87"/>
  <c r="CD233" i="87"/>
  <c r="CD47" i="87"/>
  <c r="CD163" i="87" s="1"/>
  <c r="CD222" i="87" s="1"/>
  <c r="CC163" i="87"/>
  <c r="CC222" i="87" s="1"/>
  <c r="BJ233" i="87"/>
  <c r="AY169" i="87"/>
  <c r="AY228" i="87" s="1"/>
  <c r="AV69" i="87"/>
  <c r="AZ93" i="87"/>
  <c r="AZ180" i="87" s="1"/>
  <c r="AZ239" i="87" s="1"/>
  <c r="AY180" i="87"/>
  <c r="AY239" i="87" s="1"/>
  <c r="AL98" i="87"/>
  <c r="AM100" i="87"/>
  <c r="AO100" i="87" s="1"/>
  <c r="AP100" i="87" s="1"/>
  <c r="AP98" i="87" s="1"/>
  <c r="AP242" i="87"/>
  <c r="AE171" i="87"/>
  <c r="AE230" i="87" s="1"/>
  <c r="AB69" i="87"/>
  <c r="R69" i="87"/>
  <c r="S71" i="87"/>
  <c r="U71" i="87" s="1"/>
  <c r="V71" i="87" s="1"/>
  <c r="V69" i="87" s="1"/>
  <c r="IH218" i="87"/>
  <c r="FF163" i="87"/>
  <c r="FF222" i="87" s="1"/>
  <c r="EB180" i="87"/>
  <c r="IE100" i="87"/>
  <c r="IG100" i="87" s="1"/>
  <c r="IH100" i="87" s="1"/>
  <c r="IH98" i="87" s="1"/>
  <c r="ID98" i="87"/>
  <c r="IG171" i="87"/>
  <c r="IG230" i="87" s="1"/>
  <c r="IH171" i="87"/>
  <c r="IH230" i="87" s="1"/>
  <c r="CW169" i="87"/>
  <c r="CW228" i="87" s="1"/>
  <c r="CW161" i="87"/>
  <c r="CW220" i="87" s="1"/>
  <c r="CX161" i="87"/>
  <c r="CX220" i="87" s="1"/>
  <c r="V164" i="87"/>
  <c r="V223" i="87" s="1"/>
  <c r="JV171" i="87"/>
  <c r="JV169" i="87"/>
  <c r="CN186" i="87"/>
  <c r="CX176" i="87"/>
  <c r="CX235" i="87" s="1"/>
  <c r="CD172" i="87"/>
  <c r="CD231" i="87" s="1"/>
  <c r="HC171" i="87"/>
  <c r="HC230" i="87" s="1"/>
  <c r="IH176" i="87"/>
  <c r="IH235" i="87" s="1"/>
  <c r="IH167" i="87"/>
  <c r="IH226" i="87" s="1"/>
  <c r="GJ169" i="87"/>
  <c r="GJ228" i="87" s="1"/>
  <c r="HX224" i="87"/>
  <c r="DH180" i="87"/>
  <c r="DH69" i="87"/>
  <c r="DH176" i="87"/>
  <c r="HN169" i="87"/>
  <c r="FZ171" i="87"/>
  <c r="FZ230" i="87" s="1"/>
  <c r="AF180" i="87"/>
  <c r="AF239" i="87" s="1"/>
  <c r="GJ171" i="87"/>
  <c r="GJ230" i="87" s="1"/>
  <c r="CX160" i="87"/>
  <c r="CX219" i="87" s="1"/>
  <c r="CX171" i="87"/>
  <c r="CX230" i="87" s="1"/>
  <c r="IR161" i="87"/>
  <c r="IR220" i="87" s="1"/>
  <c r="IQ171" i="87"/>
  <c r="IQ230" i="87" s="1"/>
  <c r="JA171" i="87"/>
  <c r="JA230" i="87" s="1"/>
  <c r="FY169" i="87"/>
  <c r="FY228" i="87" s="1"/>
  <c r="FP171" i="87"/>
  <c r="EB171" i="87"/>
  <c r="V236" i="87"/>
  <c r="FE169" i="87"/>
  <c r="FE228" i="87" s="1"/>
  <c r="CD164" i="87"/>
  <c r="CD223" i="87" s="1"/>
  <c r="FF171" i="87"/>
  <c r="FF230" i="87" s="1"/>
  <c r="V171" i="87"/>
  <c r="BJ242" i="87"/>
  <c r="GJ224" i="87"/>
  <c r="IH242" i="87"/>
  <c r="IQ161" i="87"/>
  <c r="IQ220" i="87" s="1"/>
  <c r="IR218" i="87"/>
  <c r="JB171" i="87"/>
  <c r="CC172" i="87"/>
  <c r="CC231" i="87" s="1"/>
  <c r="AP186" i="87"/>
  <c r="JL186" i="87"/>
  <c r="HT40" i="87"/>
  <c r="HU42" i="87"/>
  <c r="HW42" i="87" s="1"/>
  <c r="HX42" i="87" s="1"/>
  <c r="HJ40" i="87"/>
  <c r="HK42" i="87"/>
  <c r="HM42" i="87" s="1"/>
  <c r="HN42" i="87" s="1"/>
  <c r="FC188" i="87"/>
  <c r="FE188" i="87" s="1"/>
  <c r="FF188" i="87" s="1"/>
  <c r="FF186" i="87" s="1"/>
  <c r="FB186" i="87"/>
  <c r="GJ167" i="87"/>
  <c r="GJ226" i="87" s="1"/>
  <c r="GJ160" i="87"/>
  <c r="GJ219" i="87" s="1"/>
  <c r="EA171" i="87"/>
  <c r="EA230" i="87" s="1"/>
  <c r="AY171" i="87"/>
  <c r="AY230" i="87" s="1"/>
  <c r="BT164" i="87"/>
  <c r="BT223" i="87" s="1"/>
  <c r="HM171" i="87"/>
  <c r="HM230" i="87" s="1"/>
  <c r="HM169" i="87"/>
  <c r="HM228" i="87" s="1"/>
  <c r="EK169" i="87"/>
  <c r="EK228" i="87" s="1"/>
  <c r="JL171" i="87"/>
  <c r="JL230" i="87" s="1"/>
  <c r="HX171" i="87"/>
  <c r="EV171" i="87"/>
  <c r="DH171" i="87"/>
  <c r="BT171" i="87"/>
  <c r="BT230" i="87" s="1"/>
  <c r="BJ236" i="87"/>
  <c r="JU171" i="87"/>
  <c r="JU230" i="87" s="1"/>
  <c r="GS171" i="87"/>
  <c r="GS230" i="87" s="1"/>
  <c r="JU169" i="87"/>
  <c r="JU228" i="87" s="1"/>
  <c r="IG169" i="87"/>
  <c r="IG228" i="87" s="1"/>
  <c r="HN171" i="87"/>
  <c r="IH229" i="87"/>
  <c r="FZ169" i="87"/>
  <c r="FZ228" i="87" s="1"/>
  <c r="EL167" i="87"/>
  <c r="EL161" i="87"/>
  <c r="EV224" i="87"/>
  <c r="GI167" i="87"/>
  <c r="GI226" i="87" s="1"/>
  <c r="IG167" i="87"/>
  <c r="IG226" i="87" s="1"/>
  <c r="KF224" i="87"/>
  <c r="CD242" i="87"/>
  <c r="CW176" i="87"/>
  <c r="CW235" i="87" s="1"/>
  <c r="CW160" i="87"/>
  <c r="CW219" i="87" s="1"/>
  <c r="HD224" i="87"/>
  <c r="FE163" i="87"/>
  <c r="FE222" i="87" s="1"/>
  <c r="IG160" i="87"/>
  <c r="IG219" i="87" s="1"/>
  <c r="JR40" i="87"/>
  <c r="IE129" i="87"/>
  <c r="IG129" i="87" s="1"/>
  <c r="IH129" i="87" s="1"/>
  <c r="IH127" i="87" s="1"/>
  <c r="ID127" i="87"/>
  <c r="AF172" i="87"/>
  <c r="AF231" i="87" s="1"/>
  <c r="FP167" i="87"/>
  <c r="GZ40" i="87"/>
  <c r="CN109" i="87"/>
  <c r="CN167" i="87" s="1"/>
  <c r="CN226" i="87" s="1"/>
  <c r="CM167" i="87"/>
  <c r="CM226" i="87" s="1"/>
  <c r="CN118" i="87"/>
  <c r="CN176" i="87" s="1"/>
  <c r="CN235" i="87" s="1"/>
  <c r="CM176" i="87"/>
  <c r="CM235" i="87" s="1"/>
  <c r="CM163" i="87"/>
  <c r="CM222" i="87" s="1"/>
  <c r="CN105" i="87"/>
  <c r="CN163" i="87" s="1"/>
  <c r="CN222" i="87" s="1"/>
  <c r="CN103" i="87"/>
  <c r="CN161" i="87" s="1"/>
  <c r="CN220" i="87" s="1"/>
  <c r="CM161" i="87"/>
  <c r="CM220" i="87" s="1"/>
  <c r="IO100" i="87"/>
  <c r="IQ100" i="87" s="1"/>
  <c r="IR100" i="87" s="1"/>
  <c r="IR98" i="87" s="1"/>
  <c r="IN98" i="87"/>
  <c r="BZ69" i="87"/>
  <c r="CA71" i="87"/>
  <c r="CC71" i="87" s="1"/>
  <c r="CD71" i="87" s="1"/>
  <c r="CD69" i="87" s="1"/>
  <c r="ID40" i="87"/>
  <c r="IE42" i="87"/>
  <c r="IG42" i="87" s="1"/>
  <c r="FF65" i="87"/>
  <c r="FF181" i="87" s="1"/>
  <c r="FF240" i="87" s="1"/>
  <c r="FE181" i="87"/>
  <c r="FE240" i="87" s="1"/>
  <c r="FF56" i="87"/>
  <c r="FF172" i="87" s="1"/>
  <c r="FF231" i="87" s="1"/>
  <c r="FE172" i="87"/>
  <c r="FE231" i="87" s="1"/>
  <c r="FF45" i="87"/>
  <c r="FF161" i="87" s="1"/>
  <c r="FF220" i="87" s="1"/>
  <c r="FE161" i="87"/>
  <c r="FE220" i="87" s="1"/>
  <c r="FE180" i="87"/>
  <c r="FE239" i="87" s="1"/>
  <c r="FF64" i="87"/>
  <c r="FF180" i="87" s="1"/>
  <c r="FF239" i="87" s="1"/>
  <c r="FE176" i="87"/>
  <c r="FE235" i="87" s="1"/>
  <c r="FF60" i="87"/>
  <c r="FF176" i="87" s="1"/>
  <c r="FF235" i="87" s="1"/>
  <c r="FF51" i="87"/>
  <c r="FF167" i="87" s="1"/>
  <c r="FF226" i="87" s="1"/>
  <c r="FE167" i="87"/>
  <c r="FE226" i="87" s="1"/>
  <c r="FE160" i="87"/>
  <c r="FE219" i="87" s="1"/>
  <c r="FF44" i="87"/>
  <c r="FF160" i="87" s="1"/>
  <c r="FF219" i="87" s="1"/>
  <c r="FB40" i="87"/>
  <c r="FC42" i="87"/>
  <c r="FE42" i="87" s="1"/>
  <c r="CU42" i="87"/>
  <c r="CW42" i="87" s="1"/>
  <c r="CX42" i="87" s="1"/>
  <c r="CX40" i="87" s="1"/>
  <c r="CT40" i="87"/>
  <c r="CK100" i="87"/>
  <c r="CM100" i="87" s="1"/>
  <c r="CN100" i="87" s="1"/>
  <c r="CJ98" i="87"/>
  <c r="CN114" i="87"/>
  <c r="CN172" i="87" s="1"/>
  <c r="CN231" i="87" s="1"/>
  <c r="CM172" i="87"/>
  <c r="CM231" i="87" s="1"/>
  <c r="CN97" i="87"/>
  <c r="CP97" i="87" s="1"/>
  <c r="CM155" i="87"/>
  <c r="BZ40" i="87"/>
  <c r="CA42" i="87"/>
  <c r="CC42" i="87" s="1"/>
  <c r="CD42" i="87" s="1"/>
  <c r="CD40" i="87" s="1"/>
  <c r="IH45" i="87"/>
  <c r="IH161" i="87" s="1"/>
  <c r="IH220" i="87" s="1"/>
  <c r="IG161" i="87"/>
  <c r="IG220" i="87" s="1"/>
  <c r="IH39" i="87"/>
  <c r="IJ39" i="87" s="1"/>
  <c r="IG155" i="87"/>
  <c r="AM42" i="87"/>
  <c r="AO42" i="87" s="1"/>
  <c r="AP42" i="87" s="1"/>
  <c r="AP40" i="87" s="1"/>
  <c r="AL40" i="87"/>
  <c r="FF39" i="87"/>
  <c r="FH39" i="87" s="1"/>
  <c r="FE155" i="87"/>
  <c r="CU71" i="87"/>
  <c r="CW71" i="87" s="1"/>
  <c r="CX71" i="87" s="1"/>
  <c r="CX69" i="87" s="1"/>
  <c r="CT69" i="87"/>
  <c r="FC129" i="87"/>
  <c r="FE129" i="87" s="1"/>
  <c r="FF129" i="87" s="1"/>
  <c r="FF127" i="87" s="1"/>
  <c r="FB127" i="87"/>
  <c r="AF176" i="87"/>
  <c r="AF235" i="87" s="1"/>
  <c r="AB40" i="87"/>
  <c r="FP40" i="87"/>
  <c r="GF40" i="87"/>
  <c r="GP127" i="87"/>
  <c r="HX161" i="87"/>
  <c r="HW163" i="87"/>
  <c r="HW222" i="87" s="1"/>
  <c r="BT147" i="87"/>
  <c r="BT176" i="87" s="1"/>
  <c r="BT235" i="87" s="1"/>
  <c r="BS176" i="87"/>
  <c r="BS235" i="87" s="1"/>
  <c r="BT138" i="87"/>
  <c r="BT167" i="87" s="1"/>
  <c r="BT226" i="87" s="1"/>
  <c r="BS167" i="87"/>
  <c r="BS226" i="87" s="1"/>
  <c r="BP127" i="87"/>
  <c r="BQ129" i="87"/>
  <c r="BS129" i="87" s="1"/>
  <c r="BT126" i="87"/>
  <c r="BS155" i="87"/>
  <c r="CD151" i="87"/>
  <c r="CD180" i="87" s="1"/>
  <c r="CD239" i="87" s="1"/>
  <c r="CC180" i="87"/>
  <c r="CC239" i="87" s="1"/>
  <c r="CC176" i="87"/>
  <c r="CC235" i="87" s="1"/>
  <c r="CD147" i="87"/>
  <c r="CD176" i="87" s="1"/>
  <c r="CD235" i="87" s="1"/>
  <c r="CC167" i="87"/>
  <c r="CC226" i="87" s="1"/>
  <c r="CD138" i="87"/>
  <c r="CD167" i="87" s="1"/>
  <c r="CD226" i="87" s="1"/>
  <c r="BZ127" i="87"/>
  <c r="CA129" i="87"/>
  <c r="CC129" i="87" s="1"/>
  <c r="IR151" i="87"/>
  <c r="IR180" i="87" s="1"/>
  <c r="IR239" i="87" s="1"/>
  <c r="IQ180" i="87"/>
  <c r="IQ239" i="87" s="1"/>
  <c r="IR138" i="87"/>
  <c r="IR167" i="87" s="1"/>
  <c r="IR226" i="87" s="1"/>
  <c r="IQ167" i="87"/>
  <c r="IQ226" i="87" s="1"/>
  <c r="JL147" i="87"/>
  <c r="JL176" i="87" s="1"/>
  <c r="JL235" i="87" s="1"/>
  <c r="JK176" i="87"/>
  <c r="JK235" i="87" s="1"/>
  <c r="JK167" i="87"/>
  <c r="JK226" i="87" s="1"/>
  <c r="JL138" i="87"/>
  <c r="JL167" i="87" s="1"/>
  <c r="JL226" i="87" s="1"/>
  <c r="JI129" i="87"/>
  <c r="JK129" i="87" s="1"/>
  <c r="JH127" i="87"/>
  <c r="IO188" i="87"/>
  <c r="IQ188" i="87" s="1"/>
  <c r="IR188" i="87" s="1"/>
  <c r="IR186" i="87" s="1"/>
  <c r="IN186" i="87"/>
  <c r="IE188" i="87"/>
  <c r="IG188" i="87" s="1"/>
  <c r="IH188" i="87" s="1"/>
  <c r="IH186" i="87" s="1"/>
  <c r="ID186" i="87"/>
  <c r="IJ185" i="87"/>
  <c r="LB185" i="87"/>
  <c r="AM129" i="87"/>
  <c r="AO129" i="87" s="1"/>
  <c r="AL127" i="87"/>
  <c r="AP126" i="87"/>
  <c r="AR126" i="87" s="1"/>
  <c r="AO155" i="87"/>
  <c r="AP132" i="87"/>
  <c r="AP161" i="87" s="1"/>
  <c r="AP220" i="87" s="1"/>
  <c r="AO161" i="87"/>
  <c r="AO220" i="87" s="1"/>
  <c r="FP168" i="87"/>
  <c r="FP227" i="87" s="1"/>
  <c r="U171" i="87"/>
  <c r="U230" i="87" s="1"/>
  <c r="AZ171" i="87"/>
  <c r="AZ169" i="87"/>
  <c r="FF164" i="87"/>
  <c r="FF223" i="87" s="1"/>
  <c r="AP164" i="87"/>
  <c r="AP223" i="87" s="1"/>
  <c r="CX11" i="87"/>
  <c r="R127" i="87"/>
  <c r="GT171" i="87"/>
  <c r="BS171" i="87"/>
  <c r="BS230" i="87" s="1"/>
  <c r="BT132" i="87"/>
  <c r="BT161" i="87" s="1"/>
  <c r="BT220" i="87" s="1"/>
  <c r="BS161" i="87"/>
  <c r="BS220" i="87" s="1"/>
  <c r="CD152" i="87"/>
  <c r="CD181" i="87" s="1"/>
  <c r="CD240" i="87" s="1"/>
  <c r="CC181" i="87"/>
  <c r="CC240" i="87" s="1"/>
  <c r="CD126" i="87"/>
  <c r="CC155" i="87"/>
  <c r="IO129" i="87"/>
  <c r="IQ129" i="87" s="1"/>
  <c r="IR129" i="87" s="1"/>
  <c r="IN127" i="87"/>
  <c r="IQ155" i="87"/>
  <c r="IR126" i="87"/>
  <c r="IR147" i="87"/>
  <c r="IR176" i="87" s="1"/>
  <c r="IR235" i="87" s="1"/>
  <c r="IQ176" i="87"/>
  <c r="IQ235" i="87" s="1"/>
  <c r="JL143" i="87"/>
  <c r="JL172" i="87" s="1"/>
  <c r="JL231" i="87" s="1"/>
  <c r="JK172" i="87"/>
  <c r="JK231" i="87" s="1"/>
  <c r="JL132" i="87"/>
  <c r="JL161" i="87" s="1"/>
  <c r="JL220" i="87" s="1"/>
  <c r="JK161" i="87"/>
  <c r="JK220" i="87" s="1"/>
  <c r="JK155" i="87"/>
  <c r="JL126" i="87"/>
  <c r="IY129" i="87"/>
  <c r="JA129" i="87" s="1"/>
  <c r="JB129" i="87" s="1"/>
  <c r="JB127" i="87" s="1"/>
  <c r="IX127" i="87"/>
  <c r="KZ126" i="87"/>
  <c r="KY155" i="87"/>
  <c r="IT185" i="87"/>
  <c r="CX143" i="87"/>
  <c r="CX172" i="87" s="1"/>
  <c r="CX231" i="87" s="1"/>
  <c r="CW172" i="87"/>
  <c r="CW231" i="87" s="1"/>
  <c r="CX126" i="87"/>
  <c r="CZ126" i="87" s="1"/>
  <c r="CW155" i="87"/>
  <c r="CX138" i="87"/>
  <c r="CX167" i="87" s="1"/>
  <c r="CX226" i="87" s="1"/>
  <c r="CW167" i="87"/>
  <c r="CW226" i="87" s="1"/>
  <c r="CU129" i="87"/>
  <c r="CW129" i="87" s="1"/>
  <c r="CT127" i="87"/>
  <c r="CU188" i="87"/>
  <c r="CW188" i="87" s="1"/>
  <c r="CX188" i="87" s="1"/>
  <c r="CX186" i="87" s="1"/>
  <c r="CT186" i="87"/>
  <c r="CZ185" i="87"/>
  <c r="AP151" i="87"/>
  <c r="AP180" i="87" s="1"/>
  <c r="AP239" i="87" s="1"/>
  <c r="AO180" i="87"/>
  <c r="AO239" i="87" s="1"/>
  <c r="AP147" i="87"/>
  <c r="AP176" i="87" s="1"/>
  <c r="AP235" i="87" s="1"/>
  <c r="AO176" i="87"/>
  <c r="AO235" i="87" s="1"/>
  <c r="AP138" i="87"/>
  <c r="AP167" i="87" s="1"/>
  <c r="AP226" i="87" s="1"/>
  <c r="AO167" i="87"/>
  <c r="AO226" i="87" s="1"/>
  <c r="AO160" i="87"/>
  <c r="AO219" i="87" s="1"/>
  <c r="AP131" i="87"/>
  <c r="AP160" i="87" s="1"/>
  <c r="AP219" i="87" s="1"/>
  <c r="AP143" i="87"/>
  <c r="AP172" i="87" s="1"/>
  <c r="AP231" i="87" s="1"/>
  <c r="AO172" i="87"/>
  <c r="AO231" i="87" s="1"/>
  <c r="GJ172" i="87"/>
  <c r="GJ231" i="87" s="1"/>
  <c r="JK171" i="87"/>
  <c r="JK230" i="87" s="1"/>
  <c r="JB206" i="87"/>
  <c r="JB202" i="87"/>
  <c r="IY188" i="87"/>
  <c r="JA188" i="87" s="1"/>
  <c r="IX186" i="87"/>
  <c r="JB193" i="87"/>
  <c r="JD185" i="87"/>
  <c r="HN190" i="87"/>
  <c r="HN188" i="87"/>
  <c r="HN210" i="87"/>
  <c r="HD210" i="87"/>
  <c r="HD188" i="87"/>
  <c r="HD201" i="87"/>
  <c r="FP197" i="87"/>
  <c r="FP191" i="87"/>
  <c r="DR203" i="87"/>
  <c r="BJ206" i="87"/>
  <c r="BJ188" i="87"/>
  <c r="BJ197" i="87"/>
  <c r="AZ199" i="87"/>
  <c r="AZ197" i="87"/>
  <c r="AZ191" i="87"/>
  <c r="AZ193" i="87"/>
  <c r="AZ201" i="87"/>
  <c r="V206" i="87"/>
  <c r="V188" i="87"/>
  <c r="JV191" i="87"/>
  <c r="JV210" i="87"/>
  <c r="HX193" i="87"/>
  <c r="HX206" i="87"/>
  <c r="HX191" i="87"/>
  <c r="GT206" i="87"/>
  <c r="GT190" i="87"/>
  <c r="GT188" i="87"/>
  <c r="GT199" i="87"/>
  <c r="GT201" i="87"/>
  <c r="EV211" i="87"/>
  <c r="EV197" i="87"/>
  <c r="EV210" i="87"/>
  <c r="EV206" i="87"/>
  <c r="EV190" i="87"/>
  <c r="EV188" i="87"/>
  <c r="EV202" i="87"/>
  <c r="EL206" i="87"/>
  <c r="EL191" i="87"/>
  <c r="EL193" i="87"/>
  <c r="EL201" i="87"/>
  <c r="EB199" i="87"/>
  <c r="EB197" i="87"/>
  <c r="EB210" i="87"/>
  <c r="EB206" i="87"/>
  <c r="EB190" i="87"/>
  <c r="EB188" i="87"/>
  <c r="DH197" i="87"/>
  <c r="DH210" i="87"/>
  <c r="DH201" i="87"/>
  <c r="KP186" i="87"/>
  <c r="JB191" i="87"/>
  <c r="JB197" i="87"/>
  <c r="JB201" i="87"/>
  <c r="HN206" i="87"/>
  <c r="HN191" i="87"/>
  <c r="HN197" i="87"/>
  <c r="HN199" i="87"/>
  <c r="HN201" i="87"/>
  <c r="HD197" i="87"/>
  <c r="HD206" i="87"/>
  <c r="HD191" i="87"/>
  <c r="FP206" i="87"/>
  <c r="FP188" i="87"/>
  <c r="FP201" i="87"/>
  <c r="DR212" i="87"/>
  <c r="DR199" i="87"/>
  <c r="AZ206" i="87"/>
  <c r="AZ190" i="87"/>
  <c r="AZ188" i="87"/>
  <c r="AZ202" i="87"/>
  <c r="V191" i="87"/>
  <c r="V197" i="87"/>
  <c r="V201" i="87"/>
  <c r="JV206" i="87"/>
  <c r="JV190" i="87"/>
  <c r="JV188" i="87"/>
  <c r="JV193" i="87"/>
  <c r="JV197" i="87"/>
  <c r="JV199" i="87"/>
  <c r="JV201" i="87"/>
  <c r="HX197" i="87"/>
  <c r="HX188" i="87"/>
  <c r="HX201" i="87"/>
  <c r="GT191" i="87"/>
  <c r="GT197" i="87"/>
  <c r="EV191" i="87"/>
  <c r="EV193" i="87"/>
  <c r="EV201" i="87"/>
  <c r="EL188" i="87"/>
  <c r="EL199" i="87"/>
  <c r="EL197" i="87"/>
  <c r="EB191" i="87"/>
  <c r="EB201" i="87"/>
  <c r="DH206" i="87"/>
  <c r="DE188" i="87"/>
  <c r="DG188" i="87" s="1"/>
  <c r="DD186" i="87"/>
  <c r="BF186" i="87"/>
  <c r="GS169" i="87"/>
  <c r="GS228" i="87" s="1"/>
  <c r="GJ161" i="87"/>
  <c r="GJ220" i="87" s="1"/>
  <c r="EB169" i="87"/>
  <c r="EL176" i="87"/>
  <c r="EL169" i="87"/>
  <c r="DR169" i="87"/>
  <c r="DQ169" i="87"/>
  <c r="DQ228" i="87" s="1"/>
  <c r="DR164" i="87"/>
  <c r="DR223" i="87" s="1"/>
  <c r="HN167" i="87"/>
  <c r="EK171" i="87"/>
  <c r="EK230" i="87" s="1"/>
  <c r="KO180" i="87"/>
  <c r="KO239" i="87" s="1"/>
  <c r="KP64" i="87"/>
  <c r="KP180" i="87" s="1"/>
  <c r="KP239" i="87" s="1"/>
  <c r="KO176" i="87"/>
  <c r="KO235" i="87" s="1"/>
  <c r="KP60" i="87"/>
  <c r="KP176" i="87" s="1"/>
  <c r="KP235" i="87" s="1"/>
  <c r="KL69" i="87"/>
  <c r="KM71" i="87"/>
  <c r="KO71" i="87" s="1"/>
  <c r="KP71" i="87" s="1"/>
  <c r="KP69" i="87" s="1"/>
  <c r="KP39" i="87"/>
  <c r="KR39" i="87" s="1"/>
  <c r="KO155" i="87"/>
  <c r="KM100" i="87"/>
  <c r="KO100" i="87" s="1"/>
  <c r="KP100" i="87" s="1"/>
  <c r="KP98" i="87" s="1"/>
  <c r="KL98" i="87"/>
  <c r="KO171" i="87"/>
  <c r="KO230" i="87" s="1"/>
  <c r="KP55" i="87"/>
  <c r="KP171" i="87" s="1"/>
  <c r="KP230" i="87" s="1"/>
  <c r="KP51" i="87"/>
  <c r="KP167" i="87" s="1"/>
  <c r="KP226" i="87" s="1"/>
  <c r="KO167" i="87"/>
  <c r="KO226" i="87" s="1"/>
  <c r="KM42" i="87"/>
  <c r="KO42" i="87" s="1"/>
  <c r="KL40" i="87"/>
  <c r="KF89" i="87"/>
  <c r="KF176" i="87" s="1"/>
  <c r="KF235" i="87" s="1"/>
  <c r="KE176" i="87"/>
  <c r="KE235" i="87" s="1"/>
  <c r="KE155" i="87"/>
  <c r="KF80" i="87"/>
  <c r="KF167" i="87" s="1"/>
  <c r="KF226" i="87" s="1"/>
  <c r="KE167" i="87"/>
  <c r="KE226" i="87" s="1"/>
  <c r="KF186" i="87"/>
  <c r="KB186" i="87"/>
  <c r="KC129" i="87"/>
  <c r="KE129" i="87" s="1"/>
  <c r="KF129" i="87" s="1"/>
  <c r="KF127" i="87" s="1"/>
  <c r="KB127" i="87"/>
  <c r="KC100" i="87"/>
  <c r="KE100" i="87" s="1"/>
  <c r="KF100" i="87" s="1"/>
  <c r="KF98" i="87" s="1"/>
  <c r="KB98" i="87"/>
  <c r="KB69" i="87"/>
  <c r="JV93" i="87"/>
  <c r="JV180" i="87" s="1"/>
  <c r="JU180" i="87"/>
  <c r="JU239" i="87" s="1"/>
  <c r="JV89" i="87"/>
  <c r="JV176" i="87" s="1"/>
  <c r="JU176" i="87"/>
  <c r="JU235" i="87" s="1"/>
  <c r="JU167" i="87"/>
  <c r="JU226" i="87" s="1"/>
  <c r="JV80" i="87"/>
  <c r="JV167" i="87" s="1"/>
  <c r="JR127" i="87"/>
  <c r="JR186" i="87"/>
  <c r="JR69" i="87"/>
  <c r="JS71" i="87"/>
  <c r="JU71" i="87" s="1"/>
  <c r="JV73" i="87"/>
  <c r="JV160" i="87" s="1"/>
  <c r="JU160" i="87"/>
  <c r="JU219" i="87" s="1"/>
  <c r="JV127" i="87"/>
  <c r="JX126" i="87"/>
  <c r="JR98" i="87"/>
  <c r="JS100" i="87"/>
  <c r="JU100" i="87" s="1"/>
  <c r="JV100" i="87" s="1"/>
  <c r="JV98" i="87" s="1"/>
  <c r="JV76" i="87"/>
  <c r="JV163" i="87" s="1"/>
  <c r="JU163" i="87"/>
  <c r="JU222" i="87" s="1"/>
  <c r="JV68" i="87"/>
  <c r="JU155" i="87"/>
  <c r="JU161" i="87"/>
  <c r="JU220" i="87" s="1"/>
  <c r="JV74" i="87"/>
  <c r="JV161" i="87" s="1"/>
  <c r="JL40" i="87"/>
  <c r="JA176" i="87"/>
  <c r="JA235" i="87" s="1"/>
  <c r="JB60" i="87"/>
  <c r="JB176" i="87" s="1"/>
  <c r="JA172" i="87"/>
  <c r="JA231" i="87" s="1"/>
  <c r="JB56" i="87"/>
  <c r="JB172" i="87" s="1"/>
  <c r="JB51" i="87"/>
  <c r="JB167" i="87" s="1"/>
  <c r="JA167" i="87"/>
  <c r="JA226" i="87" s="1"/>
  <c r="JB47" i="87"/>
  <c r="JB163" i="87" s="1"/>
  <c r="JA163" i="87"/>
  <c r="JA222" i="87" s="1"/>
  <c r="IX69" i="87"/>
  <c r="IY71" i="87"/>
  <c r="JA71" i="87" s="1"/>
  <c r="JB71" i="87" s="1"/>
  <c r="JB69" i="87" s="1"/>
  <c r="IX40" i="87"/>
  <c r="IY42" i="87"/>
  <c r="JA42" i="87" s="1"/>
  <c r="JB45" i="87"/>
  <c r="JB161" i="87" s="1"/>
  <c r="JA161" i="87"/>
  <c r="JA220" i="87" s="1"/>
  <c r="JB39" i="87"/>
  <c r="JD39" i="87" s="1"/>
  <c r="JA155" i="87"/>
  <c r="IX98" i="87"/>
  <c r="IY100" i="87"/>
  <c r="JA100" i="87" s="1"/>
  <c r="JB100" i="87" s="1"/>
  <c r="JB98" i="87" s="1"/>
  <c r="IR42" i="87"/>
  <c r="HX118" i="87"/>
  <c r="HX176" i="87" s="1"/>
  <c r="HW176" i="87"/>
  <c r="HW235" i="87" s="1"/>
  <c r="HW167" i="87"/>
  <c r="HW226" i="87" s="1"/>
  <c r="HX109" i="87"/>
  <c r="HX167" i="87" s="1"/>
  <c r="HW171" i="87"/>
  <c r="HW230" i="87" s="1"/>
  <c r="HT98" i="87"/>
  <c r="HU100" i="87"/>
  <c r="HW100" i="87" s="1"/>
  <c r="HX97" i="87"/>
  <c r="HZ97" i="87" s="1"/>
  <c r="HW155" i="87"/>
  <c r="HT127" i="87"/>
  <c r="HU129" i="87"/>
  <c r="HW129" i="87" s="1"/>
  <c r="HX129" i="87" s="1"/>
  <c r="HX127" i="87" s="1"/>
  <c r="HT186" i="87"/>
  <c r="HW161" i="87"/>
  <c r="HW220" i="87" s="1"/>
  <c r="HN93" i="87"/>
  <c r="HN180" i="87" s="1"/>
  <c r="HM180" i="87"/>
  <c r="HM239" i="87" s="1"/>
  <c r="HM176" i="87"/>
  <c r="HM235" i="87" s="1"/>
  <c r="HN89" i="87"/>
  <c r="HN176" i="87" s="1"/>
  <c r="HK100" i="87"/>
  <c r="HM100" i="87" s="1"/>
  <c r="HN100" i="87" s="1"/>
  <c r="HN98" i="87" s="1"/>
  <c r="HJ98" i="87"/>
  <c r="HK129" i="87"/>
  <c r="HM129" i="87" s="1"/>
  <c r="HN129" i="87" s="1"/>
  <c r="HN127" i="87" s="1"/>
  <c r="HJ127" i="87"/>
  <c r="HJ69" i="87"/>
  <c r="HK71" i="87"/>
  <c r="HM71" i="87" s="1"/>
  <c r="HN74" i="87"/>
  <c r="HN161" i="87" s="1"/>
  <c r="HM161" i="87"/>
  <c r="HM220" i="87" s="1"/>
  <c r="HJ186" i="87"/>
  <c r="HN73" i="87"/>
  <c r="HN160" i="87" s="1"/>
  <c r="HM160" i="87"/>
  <c r="HM219" i="87" s="1"/>
  <c r="HN68" i="87"/>
  <c r="HM155" i="87"/>
  <c r="HM167" i="87"/>
  <c r="HM226" i="87" s="1"/>
  <c r="HD118" i="87"/>
  <c r="HD176" i="87" s="1"/>
  <c r="HC176" i="87"/>
  <c r="HC235" i="87" s="1"/>
  <c r="HD122" i="87"/>
  <c r="HD180" i="87" s="1"/>
  <c r="HC180" i="87"/>
  <c r="HC239" i="87" s="1"/>
  <c r="HD109" i="87"/>
  <c r="HD167" i="87" s="1"/>
  <c r="HC167" i="87"/>
  <c r="HC226" i="87" s="1"/>
  <c r="GZ186" i="87"/>
  <c r="GZ98" i="87"/>
  <c r="HA100" i="87"/>
  <c r="HC100" i="87" s="1"/>
  <c r="HD100" i="87" s="1"/>
  <c r="HD97" i="87"/>
  <c r="HF97" i="87" s="1"/>
  <c r="HC155" i="87"/>
  <c r="HD42" i="87"/>
  <c r="GZ127" i="87"/>
  <c r="HA129" i="87"/>
  <c r="HC129" i="87" s="1"/>
  <c r="HD129" i="87" s="1"/>
  <c r="HD127" i="87" s="1"/>
  <c r="HD103" i="87"/>
  <c r="HD161" i="87" s="1"/>
  <c r="HC161" i="87"/>
  <c r="HC220" i="87" s="1"/>
  <c r="GS176" i="87"/>
  <c r="GS235" i="87" s="1"/>
  <c r="GT60" i="87"/>
  <c r="GT176" i="87" s="1"/>
  <c r="GT51" i="87"/>
  <c r="GT167" i="87" s="1"/>
  <c r="GS167" i="87"/>
  <c r="GS226" i="87" s="1"/>
  <c r="GP98" i="87"/>
  <c r="GQ100" i="87"/>
  <c r="GS100" i="87" s="1"/>
  <c r="GT100" i="87" s="1"/>
  <c r="GT98" i="87" s="1"/>
  <c r="GP69" i="87"/>
  <c r="GQ71" i="87"/>
  <c r="GS71" i="87" s="1"/>
  <c r="GT71" i="87" s="1"/>
  <c r="GT69" i="87" s="1"/>
  <c r="GT44" i="87"/>
  <c r="GT160" i="87" s="1"/>
  <c r="GS160" i="87"/>
  <c r="GS219" i="87" s="1"/>
  <c r="GT39" i="87"/>
  <c r="GV39" i="87" s="1"/>
  <c r="GS155" i="87"/>
  <c r="GP186" i="87"/>
  <c r="GV126" i="87"/>
  <c r="GT127" i="87"/>
  <c r="GT45" i="87"/>
  <c r="GT161" i="87" s="1"/>
  <c r="GS161" i="87"/>
  <c r="GS220" i="87" s="1"/>
  <c r="GP40" i="87"/>
  <c r="GQ42" i="87"/>
  <c r="GS42" i="87" s="1"/>
  <c r="GI155" i="87"/>
  <c r="GJ39" i="87"/>
  <c r="GL39" i="87" s="1"/>
  <c r="GF127" i="87"/>
  <c r="GG129" i="87"/>
  <c r="GI129" i="87" s="1"/>
  <c r="GJ129" i="87" s="1"/>
  <c r="GJ127" i="87" s="1"/>
  <c r="GI176" i="87"/>
  <c r="GI235" i="87" s="1"/>
  <c r="GJ60" i="87"/>
  <c r="GJ176" i="87" s="1"/>
  <c r="GJ235" i="87" s="1"/>
  <c r="GF186" i="87"/>
  <c r="GJ186" i="87"/>
  <c r="GG100" i="87"/>
  <c r="GI100" i="87" s="1"/>
  <c r="GF98" i="87"/>
  <c r="GI169" i="87"/>
  <c r="GI228" i="87" s="1"/>
  <c r="GI171" i="87"/>
  <c r="GI230" i="87" s="1"/>
  <c r="GI161" i="87"/>
  <c r="GI220" i="87" s="1"/>
  <c r="GI160" i="87"/>
  <c r="GI219" i="87" s="1"/>
  <c r="FZ64" i="87"/>
  <c r="FZ180" i="87" s="1"/>
  <c r="FZ239" i="87" s="1"/>
  <c r="FY180" i="87"/>
  <c r="FY239" i="87" s="1"/>
  <c r="FZ60" i="87"/>
  <c r="FZ176" i="87" s="1"/>
  <c r="FZ235" i="87" s="1"/>
  <c r="FY176" i="87"/>
  <c r="FY235" i="87" s="1"/>
  <c r="FZ51" i="87"/>
  <c r="FZ167" i="87" s="1"/>
  <c r="FZ226" i="87" s="1"/>
  <c r="FY167" i="87"/>
  <c r="FY226" i="87" s="1"/>
  <c r="FV127" i="87"/>
  <c r="FW129" i="87"/>
  <c r="FY129" i="87" s="1"/>
  <c r="FZ129" i="87" s="1"/>
  <c r="FZ127" i="87" s="1"/>
  <c r="FV98" i="87"/>
  <c r="FW100" i="87"/>
  <c r="FY100" i="87" s="1"/>
  <c r="FZ100" i="87" s="1"/>
  <c r="FZ98" i="87" s="1"/>
  <c r="FV186" i="87"/>
  <c r="FZ186" i="87"/>
  <c r="FV69" i="87"/>
  <c r="FW71" i="87"/>
  <c r="FY71" i="87" s="1"/>
  <c r="FZ71" i="87" s="1"/>
  <c r="FZ69" i="87" s="1"/>
  <c r="FV40" i="87"/>
  <c r="FW42" i="87"/>
  <c r="FY42" i="87" s="1"/>
  <c r="FY161" i="87"/>
  <c r="FY220" i="87" s="1"/>
  <c r="FZ45" i="87"/>
  <c r="FZ161" i="87" s="1"/>
  <c r="FZ220" i="87" s="1"/>
  <c r="FZ39" i="87"/>
  <c r="GB39" i="87" s="1"/>
  <c r="FY155" i="87"/>
  <c r="FP89" i="87"/>
  <c r="FP176" i="87" s="1"/>
  <c r="FO176" i="87"/>
  <c r="FO235" i="87" s="1"/>
  <c r="FM129" i="87"/>
  <c r="FO129" i="87" s="1"/>
  <c r="FP129" i="87" s="1"/>
  <c r="FP127" i="87" s="1"/>
  <c r="FL127" i="87"/>
  <c r="FL69" i="87"/>
  <c r="FM71" i="87"/>
  <c r="FO71" i="87" s="1"/>
  <c r="FM100" i="87"/>
  <c r="FO100" i="87" s="1"/>
  <c r="FP100" i="87" s="1"/>
  <c r="FP98" i="87" s="1"/>
  <c r="FL98" i="87"/>
  <c r="FO161" i="87"/>
  <c r="FO220" i="87" s="1"/>
  <c r="FL186" i="87"/>
  <c r="FO155" i="87"/>
  <c r="FP68" i="87"/>
  <c r="FO167" i="87"/>
  <c r="FO226" i="87" s="1"/>
  <c r="EV89" i="87"/>
  <c r="EV176" i="87" s="1"/>
  <c r="EU176" i="87"/>
  <c r="EU235" i="87" s="1"/>
  <c r="EV93" i="87"/>
  <c r="EV180" i="87" s="1"/>
  <c r="EU180" i="87"/>
  <c r="EU239" i="87" s="1"/>
  <c r="EV94" i="87"/>
  <c r="EV181" i="87" s="1"/>
  <c r="EU181" i="87"/>
  <c r="EU240" i="87" s="1"/>
  <c r="EV80" i="87"/>
  <c r="EV167" i="87" s="1"/>
  <c r="EU167" i="87"/>
  <c r="EU226" i="87" s="1"/>
  <c r="EV85" i="87"/>
  <c r="EV172" i="87" s="1"/>
  <c r="EU172" i="87"/>
  <c r="EU231" i="87" s="1"/>
  <c r="EV161" i="87"/>
  <c r="EU171" i="87"/>
  <c r="EU230" i="87" s="1"/>
  <c r="ER98" i="87"/>
  <c r="ES100" i="87"/>
  <c r="EU100" i="87" s="1"/>
  <c r="EV100" i="87" s="1"/>
  <c r="EV98" i="87" s="1"/>
  <c r="EV68" i="87"/>
  <c r="EU155" i="87"/>
  <c r="ER186" i="87"/>
  <c r="ER127" i="87"/>
  <c r="ES129" i="87"/>
  <c r="EU129" i="87" s="1"/>
  <c r="EV129" i="87" s="1"/>
  <c r="EV127" i="87" s="1"/>
  <c r="EV76" i="87"/>
  <c r="EV163" i="87" s="1"/>
  <c r="EU163" i="87"/>
  <c r="EU222" i="87" s="1"/>
  <c r="ER69" i="87"/>
  <c r="ES71" i="87"/>
  <c r="EU71" i="87" s="1"/>
  <c r="EV40" i="87"/>
  <c r="EU160" i="87"/>
  <c r="EU219" i="87" s="1"/>
  <c r="EV164" i="87"/>
  <c r="EV223" i="87" s="1"/>
  <c r="EU161" i="87"/>
  <c r="EU220" i="87" s="1"/>
  <c r="EK176" i="87"/>
  <c r="EK235" i="87" s="1"/>
  <c r="EL164" i="87"/>
  <c r="EL223" i="87" s="1"/>
  <c r="EK167" i="87"/>
  <c r="EK226" i="87" s="1"/>
  <c r="EH98" i="87"/>
  <c r="EI100" i="87"/>
  <c r="EK100" i="87" s="1"/>
  <c r="EL100" i="87" s="1"/>
  <c r="EL98" i="87" s="1"/>
  <c r="EL39" i="87"/>
  <c r="EN39" i="87" s="1"/>
  <c r="EK155" i="87"/>
  <c r="EH186" i="87"/>
  <c r="EH69" i="87"/>
  <c r="EI71" i="87"/>
  <c r="EK71" i="87" s="1"/>
  <c r="EL71" i="87" s="1"/>
  <c r="EL69" i="87" s="1"/>
  <c r="EH40" i="87"/>
  <c r="EI42" i="87"/>
  <c r="EK42" i="87" s="1"/>
  <c r="EL42" i="87" s="1"/>
  <c r="EL13" i="87"/>
  <c r="EH127" i="87"/>
  <c r="EI129" i="87"/>
  <c r="EK129" i="87" s="1"/>
  <c r="EL129" i="87" s="1"/>
  <c r="EL127" i="87" s="1"/>
  <c r="EN68" i="87"/>
  <c r="EK161" i="87"/>
  <c r="EK220" i="87" s="1"/>
  <c r="EK163" i="87"/>
  <c r="EK222" i="87" s="1"/>
  <c r="EL163" i="87"/>
  <c r="EB118" i="87"/>
  <c r="EB176" i="87" s="1"/>
  <c r="EA176" i="87"/>
  <c r="EA235" i="87" s="1"/>
  <c r="EA180" i="87"/>
  <c r="EA239" i="87" s="1"/>
  <c r="EB109" i="87"/>
  <c r="EB167" i="87" s="1"/>
  <c r="EA167" i="87"/>
  <c r="EA226" i="87" s="1"/>
  <c r="EB103" i="87"/>
  <c r="EB161" i="87" s="1"/>
  <c r="EA161" i="87"/>
  <c r="EA220" i="87" s="1"/>
  <c r="EB97" i="87"/>
  <c r="ED97" i="87" s="1"/>
  <c r="EA155" i="87"/>
  <c r="EB102" i="87"/>
  <c r="EB160" i="87" s="1"/>
  <c r="EA160" i="87"/>
  <c r="EA219" i="87" s="1"/>
  <c r="DX98" i="87"/>
  <c r="DY100" i="87"/>
  <c r="EA100" i="87" s="1"/>
  <c r="DX186" i="87"/>
  <c r="DX127" i="87"/>
  <c r="DY129" i="87"/>
  <c r="EA129" i="87" s="1"/>
  <c r="EB129" i="87" s="1"/>
  <c r="EB127" i="87" s="1"/>
  <c r="EB40" i="87"/>
  <c r="DR95" i="87"/>
  <c r="DR182" i="87" s="1"/>
  <c r="DQ182" i="87"/>
  <c r="DQ241" i="87" s="1"/>
  <c r="DN127" i="87"/>
  <c r="DN98" i="87"/>
  <c r="DR127" i="87"/>
  <c r="DT126" i="87"/>
  <c r="DR86" i="87"/>
  <c r="DR173" i="87" s="1"/>
  <c r="DQ173" i="87"/>
  <c r="DQ232" i="87" s="1"/>
  <c r="DR68" i="87"/>
  <c r="DQ155" i="87"/>
  <c r="DN186" i="87"/>
  <c r="DN69" i="87"/>
  <c r="DH167" i="87"/>
  <c r="DG180" i="87"/>
  <c r="DG239" i="87" s="1"/>
  <c r="DG176" i="87"/>
  <c r="DG235" i="87" s="1"/>
  <c r="DG171" i="87"/>
  <c r="DG230" i="87" s="1"/>
  <c r="DG167" i="87"/>
  <c r="DG226" i="87" s="1"/>
  <c r="DH97" i="87"/>
  <c r="DJ97" i="87" s="1"/>
  <c r="DG155" i="87"/>
  <c r="DD98" i="87"/>
  <c r="DE100" i="87"/>
  <c r="DG100" i="87" s="1"/>
  <c r="DH100" i="87" s="1"/>
  <c r="DH158" i="87" s="1"/>
  <c r="DH40" i="87"/>
  <c r="DH11" i="87"/>
  <c r="CN42" i="87"/>
  <c r="BT40" i="87"/>
  <c r="BI176" i="87"/>
  <c r="BI235" i="87" s="1"/>
  <c r="BJ60" i="87"/>
  <c r="BJ176" i="87" s="1"/>
  <c r="BI167" i="87"/>
  <c r="BI226" i="87" s="1"/>
  <c r="BJ51" i="87"/>
  <c r="BJ167" i="87" s="1"/>
  <c r="BF98" i="87"/>
  <c r="BG100" i="87"/>
  <c r="BI100" i="87" s="1"/>
  <c r="BJ100" i="87" s="1"/>
  <c r="BJ98" i="87" s="1"/>
  <c r="BL68" i="87"/>
  <c r="BF40" i="87"/>
  <c r="BG42" i="87"/>
  <c r="BI42" i="87" s="1"/>
  <c r="BF69" i="87"/>
  <c r="BG71" i="87"/>
  <c r="BI71" i="87" s="1"/>
  <c r="BJ71" i="87" s="1"/>
  <c r="BJ69" i="87" s="1"/>
  <c r="BJ39" i="87"/>
  <c r="BL39" i="87" s="1"/>
  <c r="BI155" i="87"/>
  <c r="AZ118" i="87"/>
  <c r="AZ176" i="87" s="1"/>
  <c r="AY176" i="87"/>
  <c r="AY235" i="87" s="1"/>
  <c r="AZ109" i="87"/>
  <c r="AZ167" i="87" s="1"/>
  <c r="AY167" i="87"/>
  <c r="AY226" i="87" s="1"/>
  <c r="AZ114" i="87"/>
  <c r="AZ172" i="87" s="1"/>
  <c r="AY172" i="87"/>
  <c r="AY231" i="87" s="1"/>
  <c r="AV186" i="87"/>
  <c r="AY163" i="87"/>
  <c r="AY222" i="87" s="1"/>
  <c r="AZ105" i="87"/>
  <c r="AZ163" i="87" s="1"/>
  <c r="AZ103" i="87"/>
  <c r="AZ161" i="87" s="1"/>
  <c r="AY161" i="87"/>
  <c r="AY220" i="87" s="1"/>
  <c r="AZ97" i="87"/>
  <c r="BB97" i="87" s="1"/>
  <c r="AY155" i="87"/>
  <c r="AV127" i="87"/>
  <c r="AW129" i="87"/>
  <c r="AY129" i="87" s="1"/>
  <c r="AZ129" i="87" s="1"/>
  <c r="AZ127" i="87" s="1"/>
  <c r="AY160" i="87"/>
  <c r="AY219" i="87" s="1"/>
  <c r="AZ102" i="87"/>
  <c r="AZ160" i="87" s="1"/>
  <c r="AV98" i="87"/>
  <c r="AW100" i="87"/>
  <c r="AY100" i="87" s="1"/>
  <c r="AZ40" i="87"/>
  <c r="AE180" i="87"/>
  <c r="AE239" i="87" s="1"/>
  <c r="AE176" i="87"/>
  <c r="AE235" i="87" s="1"/>
  <c r="AF109" i="87"/>
  <c r="AF167" i="87" s="1"/>
  <c r="AF226" i="87" s="1"/>
  <c r="AE167" i="87"/>
  <c r="AE226" i="87" s="1"/>
  <c r="AE172" i="87"/>
  <c r="AE231" i="87" s="1"/>
  <c r="AF103" i="87"/>
  <c r="AF161" i="87" s="1"/>
  <c r="AF220" i="87" s="1"/>
  <c r="AE161" i="87"/>
  <c r="AE220" i="87" s="1"/>
  <c r="AB98" i="87"/>
  <c r="AC100" i="87"/>
  <c r="AE100" i="87" s="1"/>
  <c r="AF97" i="87"/>
  <c r="AH97" i="87" s="1"/>
  <c r="AE155" i="87"/>
  <c r="AE163" i="87"/>
  <c r="AE222" i="87" s="1"/>
  <c r="AF105" i="87"/>
  <c r="AF163" i="87" s="1"/>
  <c r="AF222" i="87" s="1"/>
  <c r="AB186" i="87"/>
  <c r="AF186" i="87"/>
  <c r="AB127" i="87"/>
  <c r="AC129" i="87"/>
  <c r="AE129" i="87" s="1"/>
  <c r="AF129" i="87" s="1"/>
  <c r="AF127" i="87" s="1"/>
  <c r="U176" i="87"/>
  <c r="U235" i="87" s="1"/>
  <c r="V60" i="87"/>
  <c r="V176" i="87" s="1"/>
  <c r="V51" i="87"/>
  <c r="V167" i="87" s="1"/>
  <c r="U167" i="87"/>
  <c r="U226" i="87" s="1"/>
  <c r="R40" i="87"/>
  <c r="S42" i="87"/>
  <c r="U42" i="87" s="1"/>
  <c r="V127" i="87"/>
  <c r="R98" i="87"/>
  <c r="S100" i="87"/>
  <c r="U100" i="87" s="1"/>
  <c r="V100" i="87" s="1"/>
  <c r="V98" i="87" s="1"/>
  <c r="R186" i="87"/>
  <c r="V45" i="87"/>
  <c r="V161" i="87" s="1"/>
  <c r="U161" i="87"/>
  <c r="U220" i="87" s="1"/>
  <c r="V39" i="87"/>
  <c r="X39" i="87" s="1"/>
  <c r="U155" i="87"/>
  <c r="LB68" i="87"/>
  <c r="KH68" i="87"/>
  <c r="JL69" i="87"/>
  <c r="JN68" i="87"/>
  <c r="IR69" i="87"/>
  <c r="IT68" i="87"/>
  <c r="HX69" i="87"/>
  <c r="HZ68" i="87"/>
  <c r="HD69" i="87"/>
  <c r="HF68" i="87"/>
  <c r="GJ69" i="87"/>
  <c r="GL68" i="87"/>
  <c r="CC230" i="87"/>
  <c r="KO229" i="87"/>
  <c r="JA229" i="87"/>
  <c r="HM229" i="87"/>
  <c r="FY229" i="87"/>
  <c r="EK229" i="87"/>
  <c r="CW229" i="87"/>
  <c r="BI229" i="87"/>
  <c r="U229" i="87"/>
  <c r="CC228" i="87"/>
  <c r="AO228" i="87"/>
  <c r="KO227" i="87"/>
  <c r="JA227" i="87"/>
  <c r="HM227" i="87"/>
  <c r="FY227" i="87"/>
  <c r="EK227" i="87"/>
  <c r="CW227" i="87"/>
  <c r="BI227" i="87"/>
  <c r="U227" i="87"/>
  <c r="JL98" i="87"/>
  <c r="JL168" i="87"/>
  <c r="JL227" i="87" s="1"/>
  <c r="GJ168" i="87"/>
  <c r="GJ227" i="87" s="1"/>
  <c r="DH168" i="87"/>
  <c r="DH227" i="87" s="1"/>
  <c r="AF168" i="87"/>
  <c r="AF227" i="87" s="1"/>
  <c r="FP164" i="87"/>
  <c r="FP223" i="87" s="1"/>
  <c r="CN164" i="87"/>
  <c r="CN223" i="87" s="1"/>
  <c r="KZ163" i="87"/>
  <c r="KZ222" i="87" s="1"/>
  <c r="HX163" i="87"/>
  <c r="KE230" i="87"/>
  <c r="FO230" i="87"/>
  <c r="CM230" i="87"/>
  <c r="KY229" i="87"/>
  <c r="JK229" i="87"/>
  <c r="HW229" i="87"/>
  <c r="GI229" i="87"/>
  <c r="EU229" i="87"/>
  <c r="DG229" i="87"/>
  <c r="BS229" i="87"/>
  <c r="AE229" i="87"/>
  <c r="KE228" i="87"/>
  <c r="IQ228" i="87"/>
  <c r="HC228" i="87"/>
  <c r="FO228" i="87"/>
  <c r="CM228" i="87"/>
  <c r="KY227" i="87"/>
  <c r="JK227" i="87"/>
  <c r="HW227" i="87"/>
  <c r="GI227" i="87"/>
  <c r="EU227" i="87"/>
  <c r="DG227" i="87"/>
  <c r="BS227" i="87"/>
  <c r="AE227" i="87"/>
  <c r="CW230" i="87"/>
  <c r="JU229" i="87"/>
  <c r="IG229" i="87"/>
  <c r="GS229" i="87"/>
  <c r="FE229" i="87"/>
  <c r="DQ229" i="87"/>
  <c r="CC229" i="87"/>
  <c r="AO229" i="87"/>
  <c r="KO228" i="87"/>
  <c r="JA228" i="87"/>
  <c r="BI228" i="87"/>
  <c r="U228" i="87"/>
  <c r="JU227" i="87"/>
  <c r="IG227" i="87"/>
  <c r="GS227" i="87"/>
  <c r="FE227" i="87"/>
  <c r="DQ227" i="87"/>
  <c r="CC227" i="87"/>
  <c r="AO227" i="87"/>
  <c r="HX168" i="87"/>
  <c r="HX227" i="87" s="1"/>
  <c r="EV168" i="87"/>
  <c r="EV227" i="87" s="1"/>
  <c r="BT168" i="87"/>
  <c r="BT227" i="87" s="1"/>
  <c r="EB164" i="87"/>
  <c r="EB223" i="87" s="1"/>
  <c r="AZ164" i="87"/>
  <c r="AZ223" i="87" s="1"/>
  <c r="JL163" i="87"/>
  <c r="JL222" i="87" s="1"/>
  <c r="GJ163" i="87"/>
  <c r="GJ222" i="87" s="1"/>
  <c r="DR40" i="87"/>
  <c r="HX230" i="87" l="1"/>
  <c r="DH230" i="87"/>
  <c r="FP226" i="87"/>
  <c r="EL230" i="87"/>
  <c r="FP220" i="87"/>
  <c r="EL226" i="87"/>
  <c r="HD230" i="87"/>
  <c r="AF40" i="87"/>
  <c r="HN219" i="87"/>
  <c r="GT228" i="87"/>
  <c r="KZ42" i="87"/>
  <c r="KY158" i="87"/>
  <c r="KY217" i="87" s="1"/>
  <c r="V226" i="87"/>
  <c r="GT226" i="87"/>
  <c r="HD220" i="87"/>
  <c r="DR241" i="87"/>
  <c r="GT235" i="87"/>
  <c r="JV40" i="87"/>
  <c r="FP235" i="87"/>
  <c r="V230" i="87"/>
  <c r="DH239" i="87"/>
  <c r="HX222" i="87"/>
  <c r="EB239" i="87"/>
  <c r="EL235" i="87"/>
  <c r="JV239" i="87"/>
  <c r="EV220" i="87"/>
  <c r="JV230" i="87"/>
  <c r="HX40" i="87"/>
  <c r="EV239" i="87"/>
  <c r="V186" i="87"/>
  <c r="AZ220" i="87"/>
  <c r="GT219" i="87"/>
  <c r="HN230" i="87"/>
  <c r="BJ226" i="87"/>
  <c r="EV231" i="87"/>
  <c r="HN228" i="87"/>
  <c r="KE158" i="87"/>
  <c r="KE217" i="87" s="1"/>
  <c r="AZ235" i="87"/>
  <c r="DH235" i="87"/>
  <c r="EV219" i="87"/>
  <c r="HD98" i="87"/>
  <c r="EV226" i="87"/>
  <c r="JB230" i="87"/>
  <c r="EB186" i="87"/>
  <c r="FP230" i="87"/>
  <c r="HN40" i="87"/>
  <c r="HN220" i="87"/>
  <c r="GT230" i="87"/>
  <c r="EL220" i="87"/>
  <c r="DG158" i="87"/>
  <c r="DG217" i="87" s="1"/>
  <c r="JV226" i="87"/>
  <c r="JB235" i="87"/>
  <c r="GJ40" i="87"/>
  <c r="EL228" i="87"/>
  <c r="HD186" i="87"/>
  <c r="AZ228" i="87"/>
  <c r="HX186" i="87"/>
  <c r="JV228" i="87"/>
  <c r="JV222" i="87"/>
  <c r="JB231" i="87"/>
  <c r="IQ158" i="87"/>
  <c r="IQ217" i="87" s="1"/>
  <c r="HX226" i="87"/>
  <c r="HX220" i="87"/>
  <c r="HN226" i="87"/>
  <c r="HD226" i="87"/>
  <c r="GT220" i="87"/>
  <c r="EV230" i="87"/>
  <c r="EV240" i="87"/>
  <c r="EV235" i="87"/>
  <c r="EB219" i="87"/>
  <c r="EB228" i="87"/>
  <c r="EB235" i="87"/>
  <c r="EB230" i="87"/>
  <c r="DR232" i="87"/>
  <c r="DH226" i="87"/>
  <c r="BJ235" i="87"/>
  <c r="AZ230" i="87"/>
  <c r="AZ69" i="87"/>
  <c r="V220" i="87"/>
  <c r="EL222" i="87"/>
  <c r="EV222" i="87"/>
  <c r="JB222" i="87"/>
  <c r="AZ186" i="87"/>
  <c r="HX235" i="87"/>
  <c r="JB220" i="87"/>
  <c r="HN239" i="87"/>
  <c r="JV219" i="87"/>
  <c r="AZ219" i="87"/>
  <c r="AZ222" i="87"/>
  <c r="DR186" i="87"/>
  <c r="JV186" i="87"/>
  <c r="EL186" i="87"/>
  <c r="GT186" i="87"/>
  <c r="FP186" i="87"/>
  <c r="HN186" i="87"/>
  <c r="KF69" i="87"/>
  <c r="V235" i="87"/>
  <c r="AZ231" i="87"/>
  <c r="AZ226" i="87"/>
  <c r="CM158" i="87"/>
  <c r="CM217" i="87" s="1"/>
  <c r="DH98" i="87"/>
  <c r="EB220" i="87"/>
  <c r="EB226" i="87"/>
  <c r="EV186" i="87"/>
  <c r="HD239" i="87"/>
  <c r="HD235" i="87"/>
  <c r="HN235" i="87"/>
  <c r="JB226" i="87"/>
  <c r="JV220" i="87"/>
  <c r="JV235" i="87"/>
  <c r="DR228" i="87"/>
  <c r="CN98" i="87"/>
  <c r="FE214" i="87"/>
  <c r="FF214" i="87" s="1"/>
  <c r="FH214" i="87" s="1"/>
  <c r="FF155" i="87"/>
  <c r="IG214" i="87"/>
  <c r="IH214" i="87" s="1"/>
  <c r="IJ214" i="87" s="1"/>
  <c r="IH155" i="87"/>
  <c r="CN155" i="87"/>
  <c r="CP155" i="87" s="1"/>
  <c r="CM214" i="87"/>
  <c r="CN214" i="87" s="1"/>
  <c r="CP214" i="87" s="1"/>
  <c r="FF42" i="87"/>
  <c r="FE158" i="87"/>
  <c r="FE217" i="87" s="1"/>
  <c r="IG158" i="87"/>
  <c r="IG217" i="87" s="1"/>
  <c r="IH42" i="87"/>
  <c r="CW214" i="87"/>
  <c r="CX214" i="87" s="1"/>
  <c r="CZ214" i="87" s="1"/>
  <c r="CX155" i="87"/>
  <c r="KY214" i="87"/>
  <c r="KZ214" i="87" s="1"/>
  <c r="LB214" i="87" s="1"/>
  <c r="KZ155" i="87"/>
  <c r="JN126" i="87"/>
  <c r="IT126" i="87"/>
  <c r="IR127" i="87"/>
  <c r="CC214" i="87"/>
  <c r="CD214" i="87" s="1"/>
  <c r="CF214" i="87" s="1"/>
  <c r="CD155" i="87"/>
  <c r="AP129" i="87"/>
  <c r="AO158" i="87"/>
  <c r="AO217" i="87" s="1"/>
  <c r="JL129" i="87"/>
  <c r="JL158" i="87" s="1"/>
  <c r="JL217" i="87" s="1"/>
  <c r="JK158" i="87"/>
  <c r="JK217" i="87" s="1"/>
  <c r="BV126" i="87"/>
  <c r="CX129" i="87"/>
  <c r="CW158" i="87"/>
  <c r="CW217" i="87" s="1"/>
  <c r="KZ127" i="87"/>
  <c r="LB126" i="87"/>
  <c r="JK214" i="87"/>
  <c r="JL214" i="87" s="1"/>
  <c r="JN214" i="87" s="1"/>
  <c r="JL155" i="87"/>
  <c r="JN155" i="87" s="1"/>
  <c r="IR155" i="87"/>
  <c r="IT155" i="87" s="1"/>
  <c r="IQ214" i="87"/>
  <c r="IR214" i="87" s="1"/>
  <c r="IT214" i="87" s="1"/>
  <c r="CF126" i="87"/>
  <c r="AO214" i="87"/>
  <c r="AP214" i="87" s="1"/>
  <c r="AR214" i="87" s="1"/>
  <c r="AP155" i="87"/>
  <c r="CD129" i="87"/>
  <c r="CD158" i="87" s="1"/>
  <c r="CD217" i="87" s="1"/>
  <c r="CC158" i="87"/>
  <c r="CC217" i="87" s="1"/>
  <c r="BS214" i="87"/>
  <c r="BT214" i="87" s="1"/>
  <c r="BV214" i="87" s="1"/>
  <c r="BT155" i="87"/>
  <c r="BV155" i="87" s="1"/>
  <c r="BT129" i="87"/>
  <c r="BT158" i="87" s="1"/>
  <c r="BT217" i="87" s="1"/>
  <c r="BS158" i="87"/>
  <c r="BS217" i="87" s="1"/>
  <c r="DH188" i="87"/>
  <c r="DH186" i="87" s="1"/>
  <c r="JB188" i="87"/>
  <c r="JB186" i="87" s="1"/>
  <c r="BJ186" i="87"/>
  <c r="KP42" i="87"/>
  <c r="KO158" i="87"/>
  <c r="KO217" i="87" s="1"/>
  <c r="KP155" i="87"/>
  <c r="KO214" i="87"/>
  <c r="KP214" i="87" s="1"/>
  <c r="KR214" i="87" s="1"/>
  <c r="KF155" i="87"/>
  <c r="KH155" i="87" s="1"/>
  <c r="KE214" i="87"/>
  <c r="KF214" i="87" s="1"/>
  <c r="KH214" i="87" s="1"/>
  <c r="KF158" i="87"/>
  <c r="KF40" i="87"/>
  <c r="JX68" i="87"/>
  <c r="JV155" i="87"/>
  <c r="JU214" i="87"/>
  <c r="JV214" i="87" s="1"/>
  <c r="JX214" i="87" s="1"/>
  <c r="JV71" i="87"/>
  <c r="JV158" i="87" s="1"/>
  <c r="JV217" i="87" s="1"/>
  <c r="JU158" i="87"/>
  <c r="JU217" i="87" s="1"/>
  <c r="JA214" i="87"/>
  <c r="JB214" i="87" s="1"/>
  <c r="JD214" i="87" s="1"/>
  <c r="JB155" i="87"/>
  <c r="JB42" i="87"/>
  <c r="JA158" i="87"/>
  <c r="JA217" i="87" s="1"/>
  <c r="IR40" i="87"/>
  <c r="IR158" i="87"/>
  <c r="HX155" i="87"/>
  <c r="HZ155" i="87" s="1"/>
  <c r="HW214" i="87"/>
  <c r="HX214" i="87" s="1"/>
  <c r="HZ214" i="87" s="1"/>
  <c r="HX100" i="87"/>
  <c r="HW158" i="87"/>
  <c r="HW217" i="87" s="1"/>
  <c r="HP68" i="87"/>
  <c r="HM214" i="87"/>
  <c r="HN214" i="87" s="1"/>
  <c r="HP214" i="87" s="1"/>
  <c r="HN155" i="87"/>
  <c r="HN71" i="87"/>
  <c r="HN158" i="87" s="1"/>
  <c r="HN217" i="87" s="1"/>
  <c r="HM158" i="87"/>
  <c r="HM217" i="87" s="1"/>
  <c r="HD158" i="87"/>
  <c r="HD217" i="87" s="1"/>
  <c r="HD40" i="87"/>
  <c r="HC214" i="87"/>
  <c r="HD214" i="87" s="1"/>
  <c r="HD155" i="87"/>
  <c r="HC158" i="87"/>
  <c r="HC217" i="87" s="1"/>
  <c r="GT42" i="87"/>
  <c r="GS158" i="87"/>
  <c r="GS217" i="87" s="1"/>
  <c r="GS214" i="87"/>
  <c r="GT214" i="87" s="1"/>
  <c r="GV214" i="87" s="1"/>
  <c r="GT155" i="87"/>
  <c r="GJ100" i="87"/>
  <c r="GI158" i="87"/>
  <c r="GI217" i="87" s="1"/>
  <c r="GJ155" i="87"/>
  <c r="GL155" i="87" s="1"/>
  <c r="GI214" i="87"/>
  <c r="GJ214" i="87" s="1"/>
  <c r="GL214" i="87" s="1"/>
  <c r="FY214" i="87"/>
  <c r="FZ214" i="87" s="1"/>
  <c r="GB214" i="87" s="1"/>
  <c r="FZ155" i="87"/>
  <c r="FZ42" i="87"/>
  <c r="FY158" i="87"/>
  <c r="FY217" i="87" s="1"/>
  <c r="FR68" i="87"/>
  <c r="FO214" i="87"/>
  <c r="FP214" i="87" s="1"/>
  <c r="FR214" i="87" s="1"/>
  <c r="FP155" i="87"/>
  <c r="FP71" i="87"/>
  <c r="FP158" i="87" s="1"/>
  <c r="FP217" i="87" s="1"/>
  <c r="FO158" i="87"/>
  <c r="FO217" i="87" s="1"/>
  <c r="EX68" i="87"/>
  <c r="EV71" i="87"/>
  <c r="EV158" i="87" s="1"/>
  <c r="EV217" i="87" s="1"/>
  <c r="EU158" i="87"/>
  <c r="EU217" i="87" s="1"/>
  <c r="EV155" i="87"/>
  <c r="EX155" i="87" s="1"/>
  <c r="EU214" i="87"/>
  <c r="EV214" i="87" s="1"/>
  <c r="EX214" i="87" s="1"/>
  <c r="EL158" i="87"/>
  <c r="EL217" i="87" s="1"/>
  <c r="EL11" i="87"/>
  <c r="EK214" i="87"/>
  <c r="EL214" i="87" s="1"/>
  <c r="EN214" i="87" s="1"/>
  <c r="EL155" i="87"/>
  <c r="EL40" i="87"/>
  <c r="EK158" i="87"/>
  <c r="EK217" i="87" s="1"/>
  <c r="EB100" i="87"/>
  <c r="EA158" i="87"/>
  <c r="EA217" i="87" s="1"/>
  <c r="EA214" i="87"/>
  <c r="EB214" i="87" s="1"/>
  <c r="ED214" i="87" s="1"/>
  <c r="EB155" i="87"/>
  <c r="ED155" i="87" s="1"/>
  <c r="DT68" i="87"/>
  <c r="DR69" i="87"/>
  <c r="DQ214" i="87"/>
  <c r="DR214" i="87" s="1"/>
  <c r="DR155" i="87"/>
  <c r="DH155" i="87"/>
  <c r="DG214" i="87"/>
  <c r="DH214" i="87" s="1"/>
  <c r="DJ214" i="87" s="1"/>
  <c r="CN158" i="87"/>
  <c r="CN217" i="87" s="1"/>
  <c r="CN40" i="87"/>
  <c r="BI214" i="87"/>
  <c r="BJ214" i="87" s="1"/>
  <c r="BL214" i="87" s="1"/>
  <c r="BJ155" i="87"/>
  <c r="BJ42" i="87"/>
  <c r="BJ158" i="87" s="1"/>
  <c r="BJ217" i="87" s="1"/>
  <c r="BI158" i="87"/>
  <c r="BI217" i="87" s="1"/>
  <c r="AZ100" i="87"/>
  <c r="AY158" i="87"/>
  <c r="AY217" i="87" s="1"/>
  <c r="AY214" i="87"/>
  <c r="AZ214" i="87" s="1"/>
  <c r="BB214" i="87" s="1"/>
  <c r="AZ155" i="87"/>
  <c r="BB155" i="87" s="1"/>
  <c r="AE214" i="87"/>
  <c r="AF214" i="87" s="1"/>
  <c r="AH214" i="87" s="1"/>
  <c r="AF155" i="87"/>
  <c r="AF100" i="87"/>
  <c r="AE158" i="87"/>
  <c r="AE217" i="87" s="1"/>
  <c r="U214" i="87"/>
  <c r="V214" i="87" s="1"/>
  <c r="X214" i="87" s="1"/>
  <c r="V155" i="87"/>
  <c r="V42" i="87"/>
  <c r="U158" i="87"/>
  <c r="U217" i="87" s="1"/>
  <c r="KZ158" i="87" l="1"/>
  <c r="KZ217" i="87" s="1"/>
  <c r="KZ215" i="87" s="1"/>
  <c r="KZ40" i="87"/>
  <c r="JL156" i="87"/>
  <c r="BJ40" i="87"/>
  <c r="DR215" i="87"/>
  <c r="HD215" i="87"/>
  <c r="EL215" i="87"/>
  <c r="DH217" i="87"/>
  <c r="DH215" i="87" s="1"/>
  <c r="BT156" i="87"/>
  <c r="JV215" i="87"/>
  <c r="FP215" i="87"/>
  <c r="HN215" i="87"/>
  <c r="BT215" i="87"/>
  <c r="JL215" i="87"/>
  <c r="CD215" i="87"/>
  <c r="CN215" i="87"/>
  <c r="EV215" i="87"/>
  <c r="HF214" i="87"/>
  <c r="IH158" i="87"/>
  <c r="IH217" i="87" s="1"/>
  <c r="IH215" i="87" s="1"/>
  <c r="IH40" i="87"/>
  <c r="IJ155" i="87"/>
  <c r="FH155" i="87"/>
  <c r="FF158" i="87"/>
  <c r="FF217" i="87" s="1"/>
  <c r="FF215" i="87" s="1"/>
  <c r="FF40" i="87"/>
  <c r="CX158" i="87"/>
  <c r="CX217" i="87" s="1"/>
  <c r="CX215" i="87" s="1"/>
  <c r="CX127" i="87"/>
  <c r="AP127" i="87"/>
  <c r="AP158" i="87"/>
  <c r="AP217" i="87" s="1"/>
  <c r="AP215" i="87" s="1"/>
  <c r="JL127" i="87"/>
  <c r="AR155" i="87"/>
  <c r="CD156" i="87"/>
  <c r="CF155" i="87"/>
  <c r="LB155" i="87"/>
  <c r="CZ155" i="87"/>
  <c r="CD127" i="87"/>
  <c r="BT127" i="87"/>
  <c r="DT214" i="87"/>
  <c r="EV156" i="87"/>
  <c r="KR155" i="87"/>
  <c r="KP158" i="87"/>
  <c r="KP217" i="87" s="1"/>
  <c r="KP215" i="87" s="1"/>
  <c r="KP40" i="87"/>
  <c r="KF217" i="87"/>
  <c r="KF215" i="87" s="1"/>
  <c r="KF156" i="87"/>
  <c r="JV156" i="87"/>
  <c r="JX155" i="87"/>
  <c r="JV69" i="87"/>
  <c r="JB158" i="87"/>
  <c r="JB217" i="87" s="1"/>
  <c r="JB215" i="87" s="1"/>
  <c r="JB40" i="87"/>
  <c r="JD155" i="87"/>
  <c r="IR217" i="87"/>
  <c r="IR215" i="87" s="1"/>
  <c r="IR156" i="87"/>
  <c r="HX158" i="87"/>
  <c r="HX98" i="87"/>
  <c r="HN69" i="87"/>
  <c r="HN156" i="87"/>
  <c r="HP155" i="87"/>
  <c r="HD156" i="87"/>
  <c r="HF155" i="87"/>
  <c r="GT158" i="87"/>
  <c r="GT217" i="87" s="1"/>
  <c r="GT215" i="87" s="1"/>
  <c r="GT40" i="87"/>
  <c r="GV155" i="87"/>
  <c r="GJ158" i="87"/>
  <c r="GJ217" i="87" s="1"/>
  <c r="GJ215" i="87" s="1"/>
  <c r="GJ98" i="87"/>
  <c r="FZ158" i="87"/>
  <c r="FZ217" i="87" s="1"/>
  <c r="FZ215" i="87" s="1"/>
  <c r="FZ40" i="87"/>
  <c r="GB155" i="87"/>
  <c r="FP156" i="87"/>
  <c r="FR155" i="87"/>
  <c r="FP69" i="87"/>
  <c r="EV69" i="87"/>
  <c r="EL156" i="87"/>
  <c r="EN155" i="87"/>
  <c r="EB158" i="87"/>
  <c r="EB98" i="87"/>
  <c r="DT155" i="87"/>
  <c r="DR156" i="87"/>
  <c r="DH156" i="87"/>
  <c r="DJ155" i="87"/>
  <c r="CN156" i="87"/>
  <c r="BJ215" i="87"/>
  <c r="BJ156" i="87"/>
  <c r="BL155" i="87"/>
  <c r="AZ98" i="87"/>
  <c r="AZ158" i="87"/>
  <c r="AF98" i="87"/>
  <c r="AF158" i="87"/>
  <c r="AF217" i="87" s="1"/>
  <c r="AF215" i="87" s="1"/>
  <c r="AH155" i="87"/>
  <c r="V40" i="87"/>
  <c r="V158" i="87"/>
  <c r="V217" i="87" s="1"/>
  <c r="V215" i="87" s="1"/>
  <c r="X155" i="87"/>
  <c r="KZ156" i="87" l="1"/>
  <c r="FZ156" i="87"/>
  <c r="JB156" i="87"/>
  <c r="CX156" i="87"/>
  <c r="AP156" i="87"/>
  <c r="IH156" i="87"/>
  <c r="FF156" i="87"/>
  <c r="AF156" i="87"/>
  <c r="GJ156" i="87"/>
  <c r="KP156" i="87"/>
  <c r="HX217" i="87"/>
  <c r="HX215" i="87" s="1"/>
  <c r="HX156" i="87"/>
  <c r="GT156" i="87"/>
  <c r="EB217" i="87"/>
  <c r="EB215" i="87" s="1"/>
  <c r="EB156" i="87"/>
  <c r="AZ217" i="87"/>
  <c r="AZ215" i="87" s="1"/>
  <c r="AZ156" i="87"/>
  <c r="V156" i="87"/>
  <c r="K146" i="77"/>
  <c r="K112" i="77"/>
  <c r="L33" i="137"/>
  <c r="L32" i="137"/>
  <c r="L27" i="137"/>
  <c r="L24" i="137"/>
  <c r="L22" i="137"/>
  <c r="L20" i="137"/>
  <c r="L14" i="137"/>
  <c r="L12" i="137"/>
  <c r="L11" i="137"/>
  <c r="L9" i="137"/>
  <c r="F33" i="137"/>
  <c r="F32" i="137"/>
  <c r="F31" i="137"/>
  <c r="F27" i="137"/>
  <c r="F24" i="137"/>
  <c r="F23" i="137"/>
  <c r="F22" i="137"/>
  <c r="F20" i="137"/>
  <c r="F18" i="137"/>
  <c r="F14" i="137"/>
  <c r="F12" i="137"/>
  <c r="F11" i="137"/>
  <c r="F9" i="137"/>
  <c r="K33" i="136"/>
  <c r="K32" i="136"/>
  <c r="K31" i="136"/>
  <c r="K27" i="136"/>
  <c r="K24" i="136"/>
  <c r="K23" i="136"/>
  <c r="K22" i="136"/>
  <c r="K20" i="136"/>
  <c r="K18" i="136"/>
  <c r="K14" i="136"/>
  <c r="K12" i="136"/>
  <c r="K11" i="136"/>
  <c r="K9" i="136"/>
  <c r="F33" i="136"/>
  <c r="F32" i="136"/>
  <c r="F31" i="136"/>
  <c r="F27" i="136"/>
  <c r="F24" i="136"/>
  <c r="F23" i="136"/>
  <c r="F22" i="136"/>
  <c r="F20" i="136"/>
  <c r="F18" i="136"/>
  <c r="F14" i="136"/>
  <c r="F12" i="136"/>
  <c r="F11" i="136"/>
  <c r="F9" i="136"/>
  <c r="J33" i="76"/>
  <c r="P33" i="76" s="1"/>
  <c r="Q33" i="76" s="1"/>
  <c r="J32" i="76"/>
  <c r="P32" i="76" s="1"/>
  <c r="Q32" i="76" s="1"/>
  <c r="J31" i="76"/>
  <c r="P31" i="76" s="1"/>
  <c r="Q31" i="76" s="1"/>
  <c r="J27" i="76"/>
  <c r="P27" i="76" s="1"/>
  <c r="Q27" i="76" s="1"/>
  <c r="J23" i="76"/>
  <c r="J20" i="76"/>
  <c r="P20" i="76" s="1"/>
  <c r="Q20" i="76" s="1"/>
  <c r="J11" i="76"/>
  <c r="P11" i="76" l="1"/>
  <c r="Q11" i="76" s="1"/>
  <c r="J14" i="76"/>
  <c r="P14" i="76" s="1"/>
  <c r="Q14" i="76" s="1"/>
  <c r="J22" i="76"/>
  <c r="P22" i="76" s="1"/>
  <c r="Q22" i="76" s="1"/>
  <c r="J24" i="76"/>
  <c r="P24" i="76" s="1"/>
  <c r="Q24" i="76" s="1"/>
  <c r="L18" i="137"/>
  <c r="R18" i="137" s="1"/>
  <c r="S18" i="137" s="1"/>
  <c r="T18" i="137" s="1"/>
  <c r="H1123" i="191" s="1"/>
  <c r="P23" i="76"/>
  <c r="Q23" i="76" s="1"/>
  <c r="Q14" i="136"/>
  <c r="R14" i="136" s="1"/>
  <c r="S14" i="136" s="1"/>
  <c r="G1119" i="191" s="1"/>
  <c r="R11" i="137"/>
  <c r="S11" i="137" s="1"/>
  <c r="T11" i="137" s="1"/>
  <c r="H1116" i="191" s="1"/>
  <c r="R33" i="137"/>
  <c r="S33" i="137" s="1"/>
  <c r="T33" i="137" s="1"/>
  <c r="H1138" i="191" s="1"/>
  <c r="J9" i="76"/>
  <c r="P9" i="76" s="1"/>
  <c r="Q9" i="76" s="1"/>
  <c r="J12" i="76"/>
  <c r="P12" i="76" s="1"/>
  <c r="Q12" i="76" s="1"/>
  <c r="J18" i="76"/>
  <c r="P18" i="76" s="1"/>
  <c r="Q18" i="76" s="1"/>
  <c r="Q12" i="136"/>
  <c r="R12" i="136" s="1"/>
  <c r="S12" i="136" s="1"/>
  <c r="G1117" i="191" s="1"/>
  <c r="Q23" i="136"/>
  <c r="R23" i="136" s="1"/>
  <c r="S23" i="136" s="1"/>
  <c r="G1128" i="191" s="1"/>
  <c r="R20" i="137"/>
  <c r="S20" i="137" s="1"/>
  <c r="T20" i="137" s="1"/>
  <c r="H1125" i="191" s="1"/>
  <c r="L23" i="137"/>
  <c r="R23" i="137" s="1"/>
  <c r="S23" i="137" s="1"/>
  <c r="T23" i="137" s="1"/>
  <c r="H1128" i="191" s="1"/>
  <c r="L31" i="137"/>
  <c r="R31" i="137" s="1"/>
  <c r="S31" i="137" s="1"/>
  <c r="T31" i="137" s="1"/>
  <c r="H1136" i="191" s="1"/>
  <c r="Q20" i="136"/>
  <c r="R20" i="136" s="1"/>
  <c r="S20" i="136" s="1"/>
  <c r="G1125" i="191" s="1"/>
  <c r="Q32" i="136"/>
  <c r="R32" i="136" s="1"/>
  <c r="S32" i="136" s="1"/>
  <c r="G1137" i="191" s="1"/>
  <c r="R32" i="137"/>
  <c r="S32" i="137" s="1"/>
  <c r="T32" i="137" s="1"/>
  <c r="H1137" i="191" s="1"/>
  <c r="R27" i="137"/>
  <c r="S27" i="137" s="1"/>
  <c r="T27" i="137" s="1"/>
  <c r="H1132" i="191" s="1"/>
  <c r="R22" i="137"/>
  <c r="S22" i="137" s="1"/>
  <c r="T22" i="137" s="1"/>
  <c r="H1127" i="191" s="1"/>
  <c r="R24" i="137"/>
  <c r="S24" i="137" s="1"/>
  <c r="T24" i="137" s="1"/>
  <c r="H1129" i="191" s="1"/>
  <c r="R14" i="137"/>
  <c r="S14" i="137" s="1"/>
  <c r="T14" i="137" s="1"/>
  <c r="H1119" i="191" s="1"/>
  <c r="R12" i="137"/>
  <c r="S12" i="137" s="1"/>
  <c r="T12" i="137" s="1"/>
  <c r="H1117" i="191" s="1"/>
  <c r="R9" i="137"/>
  <c r="S9" i="137" s="1"/>
  <c r="T9" i="137" s="1"/>
  <c r="H1114" i="191" s="1"/>
  <c r="Q31" i="136"/>
  <c r="R31" i="136" s="1"/>
  <c r="S31" i="136" s="1"/>
  <c r="G1136" i="191" s="1"/>
  <c r="Q33" i="136"/>
  <c r="R33" i="136" s="1"/>
  <c r="S33" i="136" s="1"/>
  <c r="G1138" i="191" s="1"/>
  <c r="Q27" i="136"/>
  <c r="R27" i="136" s="1"/>
  <c r="S27" i="136" s="1"/>
  <c r="G1132" i="191" s="1"/>
  <c r="Q22" i="136"/>
  <c r="R22" i="136" s="1"/>
  <c r="S22" i="136" s="1"/>
  <c r="G1127" i="191" s="1"/>
  <c r="Q24" i="136"/>
  <c r="R24" i="136" s="1"/>
  <c r="S24" i="136" s="1"/>
  <c r="G1129" i="191" s="1"/>
  <c r="Q18" i="136"/>
  <c r="R18" i="136" s="1"/>
  <c r="S18" i="136" s="1"/>
  <c r="G1123" i="191" s="1"/>
  <c r="Q11" i="136"/>
  <c r="R11" i="136" s="1"/>
  <c r="S11" i="136" s="1"/>
  <c r="G1116" i="191" s="1"/>
  <c r="Q9" i="136"/>
  <c r="R9" i="136" s="1"/>
  <c r="S9" i="136" s="1"/>
  <c r="G1114" i="191" s="1"/>
  <c r="I38" i="135" l="1"/>
  <c r="G134" i="191" s="1"/>
  <c r="I43" i="135"/>
  <c r="G139" i="191" s="1"/>
  <c r="I41" i="135"/>
  <c r="G137" i="191" s="1"/>
  <c r="P40" i="135"/>
  <c r="H136" i="191" s="1"/>
  <c r="P41" i="135"/>
  <c r="H137" i="191" s="1"/>
  <c r="P43" i="135"/>
  <c r="H139" i="191" s="1"/>
  <c r="P42" i="135"/>
  <c r="H138" i="191" s="1"/>
  <c r="P39" i="135"/>
  <c r="H135" i="191" s="1"/>
  <c r="P38" i="135"/>
  <c r="H134" i="191" s="1"/>
  <c r="B40" i="135"/>
  <c r="F136" i="191" s="1"/>
  <c r="B41" i="135"/>
  <c r="F137" i="191" s="1"/>
  <c r="B43" i="135"/>
  <c r="F139" i="191" s="1"/>
  <c r="B42" i="135"/>
  <c r="F138" i="191" s="1"/>
  <c r="B39" i="135"/>
  <c r="F135" i="191" s="1"/>
  <c r="B38" i="135"/>
  <c r="F134" i="191" s="1"/>
  <c r="I42" i="135" l="1"/>
  <c r="G138" i="191" s="1"/>
  <c r="I40" i="135"/>
  <c r="G136" i="191" s="1"/>
  <c r="I39" i="135"/>
  <c r="G135" i="191" s="1"/>
  <c r="L20" i="114" l="1"/>
  <c r="L19" i="114"/>
  <c r="L18" i="114"/>
  <c r="L17" i="114"/>
  <c r="L16" i="114"/>
  <c r="L15" i="114"/>
  <c r="L14" i="114"/>
  <c r="L13" i="114"/>
  <c r="L12" i="114"/>
  <c r="L11" i="114"/>
  <c r="L10" i="114"/>
  <c r="L9" i="114"/>
  <c r="L8" i="114"/>
  <c r="K20" i="96"/>
  <c r="K18" i="96"/>
  <c r="K17" i="96"/>
  <c r="K16" i="96"/>
  <c r="K14" i="96"/>
  <c r="K13" i="96"/>
  <c r="K12" i="96"/>
  <c r="K10" i="96"/>
  <c r="K9" i="96"/>
  <c r="K8" i="96"/>
  <c r="F11" i="114"/>
  <c r="F20" i="114"/>
  <c r="F19" i="114"/>
  <c r="F18" i="114"/>
  <c r="F17" i="114"/>
  <c r="F16" i="114"/>
  <c r="F15" i="114"/>
  <c r="F14" i="114"/>
  <c r="F13" i="114"/>
  <c r="F12" i="114"/>
  <c r="F10" i="114"/>
  <c r="F9" i="114"/>
  <c r="F8" i="114"/>
  <c r="Q9" i="96" l="1"/>
  <c r="R9" i="96" s="1"/>
  <c r="K11" i="96"/>
  <c r="Q11" i="96" s="1"/>
  <c r="R11" i="96" s="1"/>
  <c r="Q13" i="96"/>
  <c r="R13" i="96" s="1"/>
  <c r="K15" i="96"/>
  <c r="Q15" i="96" s="1"/>
  <c r="R15" i="96" s="1"/>
  <c r="Q17" i="96"/>
  <c r="R17" i="96" s="1"/>
  <c r="K19" i="96"/>
  <c r="Q19" i="96" s="1"/>
  <c r="R19" i="96" s="1"/>
  <c r="R8" i="114"/>
  <c r="S8" i="114" s="1"/>
  <c r="T8" i="114" s="1"/>
  <c r="H1086" i="191" s="1"/>
  <c r="R9" i="114"/>
  <c r="S9" i="114" s="1"/>
  <c r="T9" i="114" s="1"/>
  <c r="H1087" i="191" s="1"/>
  <c r="R10" i="114"/>
  <c r="S10" i="114" s="1"/>
  <c r="T10" i="114" s="1"/>
  <c r="H1088" i="191" s="1"/>
  <c r="R11" i="114"/>
  <c r="S11" i="114" s="1"/>
  <c r="T11" i="114" s="1"/>
  <c r="H1089" i="191" s="1"/>
  <c r="R12" i="114"/>
  <c r="S12" i="114" s="1"/>
  <c r="T12" i="114" s="1"/>
  <c r="H1090" i="191" s="1"/>
  <c r="R13" i="114"/>
  <c r="S13" i="114" s="1"/>
  <c r="T13" i="114" s="1"/>
  <c r="H1091" i="191" s="1"/>
  <c r="R14" i="114"/>
  <c r="S14" i="114" s="1"/>
  <c r="T14" i="114" s="1"/>
  <c r="H1092" i="191" s="1"/>
  <c r="R15" i="114"/>
  <c r="S15" i="114" s="1"/>
  <c r="T15" i="114" s="1"/>
  <c r="H1093" i="191" s="1"/>
  <c r="R16" i="114"/>
  <c r="S16" i="114" s="1"/>
  <c r="T16" i="114" s="1"/>
  <c r="H1094" i="191" s="1"/>
  <c r="R17" i="114"/>
  <c r="S17" i="114" s="1"/>
  <c r="T17" i="114" s="1"/>
  <c r="H1095" i="191" s="1"/>
  <c r="R18" i="114"/>
  <c r="S18" i="114" s="1"/>
  <c r="T18" i="114" s="1"/>
  <c r="H1096" i="191" s="1"/>
  <c r="R19" i="114"/>
  <c r="S19" i="114" s="1"/>
  <c r="T19" i="114" s="1"/>
  <c r="H1097" i="191" s="1"/>
  <c r="R20" i="114"/>
  <c r="S20" i="114" s="1"/>
  <c r="T20" i="114" s="1"/>
  <c r="H1098" i="191" s="1"/>
  <c r="Q8" i="96"/>
  <c r="R8" i="96" s="1"/>
  <c r="Q10" i="96"/>
  <c r="R10" i="96" s="1"/>
  <c r="Q12" i="96"/>
  <c r="R12" i="96" s="1"/>
  <c r="Q14" i="96"/>
  <c r="R14" i="96" s="1"/>
  <c r="Q16" i="96"/>
  <c r="R16" i="96" s="1"/>
  <c r="Q18" i="96"/>
  <c r="R18" i="96" s="1"/>
  <c r="Q20" i="96"/>
  <c r="R20" i="96" s="1"/>
  <c r="F8" i="96"/>
  <c r="F9" i="96"/>
  <c r="F10" i="96"/>
  <c r="F11" i="96"/>
  <c r="F12" i="96"/>
  <c r="F13" i="96"/>
  <c r="F14" i="96"/>
  <c r="F15" i="96"/>
  <c r="F16" i="96"/>
  <c r="F17" i="96"/>
  <c r="F18" i="96"/>
  <c r="F19" i="96"/>
  <c r="F20" i="96"/>
  <c r="U20" i="114" l="1"/>
  <c r="U18" i="114"/>
  <c r="U16" i="114"/>
  <c r="U14" i="114"/>
  <c r="U12" i="114"/>
  <c r="U10" i="114"/>
  <c r="U8" i="114"/>
  <c r="U19" i="114"/>
  <c r="U17" i="114"/>
  <c r="U15" i="114"/>
  <c r="U13" i="114"/>
  <c r="U11" i="114"/>
  <c r="U9" i="114"/>
  <c r="S15" i="96"/>
  <c r="G1093" i="191" s="1"/>
  <c r="S19" i="96"/>
  <c r="G1097" i="191" s="1"/>
  <c r="S11" i="96"/>
  <c r="G1089" i="191" s="1"/>
  <c r="S20" i="96"/>
  <c r="G1098" i="191" s="1"/>
  <c r="S16" i="96"/>
  <c r="G1094" i="191" s="1"/>
  <c r="S12" i="96"/>
  <c r="G1090" i="191" s="1"/>
  <c r="S8" i="96"/>
  <c r="G1086" i="191" s="1"/>
  <c r="S18" i="96"/>
  <c r="G1096" i="191" s="1"/>
  <c r="S14" i="96"/>
  <c r="G1092" i="191" s="1"/>
  <c r="S10" i="96"/>
  <c r="G1088" i="191" s="1"/>
  <c r="S17" i="96"/>
  <c r="G1095" i="191" s="1"/>
  <c r="S13" i="96"/>
  <c r="G1091" i="191" s="1"/>
  <c r="S9" i="96"/>
  <c r="G1087" i="191" s="1"/>
  <c r="T10" i="96" l="1"/>
  <c r="T9" i="96"/>
  <c r="T17" i="96"/>
  <c r="T14" i="96"/>
  <c r="T8" i="96"/>
  <c r="T16" i="96"/>
  <c r="T11" i="96"/>
  <c r="T15" i="96"/>
  <c r="T13" i="96"/>
  <c r="T18" i="96"/>
  <c r="T12" i="96"/>
  <c r="T20" i="96"/>
  <c r="T19" i="96"/>
  <c r="N289" i="77" l="1"/>
  <c r="N288" i="77"/>
  <c r="N287" i="77"/>
  <c r="N286" i="77"/>
  <c r="N285" i="77"/>
  <c r="N284" i="77"/>
  <c r="N283" i="77"/>
  <c r="N282" i="77"/>
  <c r="N280" i="77"/>
  <c r="N279" i="77"/>
  <c r="N278" i="77"/>
  <c r="N277" i="77"/>
  <c r="N276" i="77"/>
  <c r="N275" i="77"/>
  <c r="N274" i="77"/>
  <c r="N273" i="77"/>
  <c r="N271" i="77"/>
  <c r="N270" i="77"/>
  <c r="N269" i="77"/>
  <c r="N268" i="77"/>
  <c r="N267" i="77"/>
  <c r="N266" i="77"/>
  <c r="N265" i="77"/>
  <c r="N264" i="77"/>
  <c r="G835" i="191" l="1"/>
  <c r="H835" i="191"/>
  <c r="G837" i="191"/>
  <c r="H837" i="191"/>
  <c r="G839" i="191"/>
  <c r="H839" i="191"/>
  <c r="G841" i="191"/>
  <c r="H841" i="191"/>
  <c r="G843" i="191"/>
  <c r="H843" i="191"/>
  <c r="H834" i="191"/>
  <c r="G834" i="191"/>
  <c r="H836" i="191"/>
  <c r="G836" i="191"/>
  <c r="H838" i="191"/>
  <c r="G838" i="191"/>
  <c r="H840" i="191"/>
  <c r="G840" i="191"/>
  <c r="H842" i="191"/>
  <c r="G842" i="191"/>
  <c r="H844" i="191"/>
  <c r="G844" i="191"/>
  <c r="H846" i="191"/>
  <c r="G846" i="191"/>
  <c r="G845" i="191"/>
  <c r="H845" i="191"/>
  <c r="H899" i="191" l="1"/>
  <c r="G899" i="191"/>
  <c r="H903" i="191"/>
  <c r="G903" i="191"/>
  <c r="H907" i="191"/>
  <c r="G907" i="191"/>
  <c r="H1149" i="191"/>
  <c r="G1149" i="191"/>
  <c r="H1151" i="191"/>
  <c r="G1151" i="191"/>
  <c r="H1153" i="191"/>
  <c r="G1153" i="191"/>
  <c r="H1155" i="191"/>
  <c r="G1155" i="191"/>
  <c r="H1157" i="191"/>
  <c r="G1157" i="191"/>
  <c r="H1159" i="191"/>
  <c r="G1159" i="191"/>
  <c r="H1161" i="191"/>
  <c r="G1161" i="191"/>
  <c r="H897" i="191"/>
  <c r="H331" i="191" s="1"/>
  <c r="K1281" i="191" s="1"/>
  <c r="G897" i="191"/>
  <c r="H901" i="191"/>
  <c r="H335" i="191" s="1"/>
  <c r="K1285" i="191" s="1"/>
  <c r="G901" i="191"/>
  <c r="H905" i="191"/>
  <c r="H339" i="191" s="1"/>
  <c r="K1289" i="191" s="1"/>
  <c r="G905" i="191"/>
  <c r="H909" i="191"/>
  <c r="H343" i="191" s="1"/>
  <c r="K1293" i="191" s="1"/>
  <c r="G909" i="191"/>
  <c r="G898" i="191"/>
  <c r="H898" i="191"/>
  <c r="G900" i="191"/>
  <c r="H900" i="191"/>
  <c r="G902" i="191"/>
  <c r="H902" i="191"/>
  <c r="G904" i="191"/>
  <c r="H904" i="191"/>
  <c r="G906" i="191"/>
  <c r="H906" i="191"/>
  <c r="G908" i="191"/>
  <c r="H908" i="191"/>
  <c r="G1150" i="191"/>
  <c r="H1150" i="191"/>
  <c r="G1152" i="191"/>
  <c r="H1152" i="191"/>
  <c r="G1154" i="191"/>
  <c r="H1154" i="191"/>
  <c r="G1156" i="191"/>
  <c r="H1156" i="191"/>
  <c r="G1158" i="191"/>
  <c r="H1158" i="191"/>
  <c r="G1160" i="191"/>
  <c r="H1160" i="191"/>
  <c r="F152" i="191"/>
  <c r="F26" i="191" s="1"/>
  <c r="F1291" i="191" s="1"/>
  <c r="F147" i="191"/>
  <c r="F21" i="191" s="1"/>
  <c r="F1286" i="191" s="1"/>
  <c r="F183" i="87"/>
  <c r="F182" i="87"/>
  <c r="F181" i="87"/>
  <c r="F180" i="87"/>
  <c r="F179" i="87"/>
  <c r="F178" i="87"/>
  <c r="F177" i="87"/>
  <c r="F176" i="87"/>
  <c r="F174" i="87"/>
  <c r="F173" i="87"/>
  <c r="LD173" i="87" s="1"/>
  <c r="F172" i="87"/>
  <c r="F171" i="87"/>
  <c r="F170" i="87"/>
  <c r="F169" i="87"/>
  <c r="F168" i="87"/>
  <c r="F167" i="87"/>
  <c r="F165" i="87"/>
  <c r="F164" i="87"/>
  <c r="LD164" i="87" s="1"/>
  <c r="F163" i="87"/>
  <c r="F162" i="87"/>
  <c r="F161" i="87"/>
  <c r="F160" i="87"/>
  <c r="F159" i="87"/>
  <c r="F158" i="87"/>
  <c r="M155" i="87"/>
  <c r="M214" i="87" s="1"/>
  <c r="F154" i="87"/>
  <c r="LD154" i="87" s="1"/>
  <c r="F153" i="87"/>
  <c r="F152" i="87"/>
  <c r="F151" i="87"/>
  <c r="F150" i="87"/>
  <c r="F149" i="87"/>
  <c r="F148" i="87"/>
  <c r="F147" i="87"/>
  <c r="F145" i="87"/>
  <c r="F144" i="87"/>
  <c r="F143" i="87"/>
  <c r="LD143" i="87" s="1"/>
  <c r="F142" i="87"/>
  <c r="F141" i="87"/>
  <c r="F140" i="87"/>
  <c r="F139" i="87"/>
  <c r="F138" i="87"/>
  <c r="F136" i="87"/>
  <c r="I136" i="87" s="1"/>
  <c r="F135" i="87"/>
  <c r="F134" i="87"/>
  <c r="F133" i="87"/>
  <c r="F132" i="87"/>
  <c r="F131" i="87"/>
  <c r="F130" i="87"/>
  <c r="F129" i="87"/>
  <c r="LK126" i="87"/>
  <c r="LF126" i="87"/>
  <c r="J126" i="87"/>
  <c r="F125" i="87"/>
  <c r="I125" i="87" s="1"/>
  <c r="F124" i="87"/>
  <c r="F123" i="87"/>
  <c r="F122" i="87"/>
  <c r="F121" i="87"/>
  <c r="F120" i="87"/>
  <c r="F119" i="87"/>
  <c r="F118" i="87"/>
  <c r="F116" i="87"/>
  <c r="F115" i="87"/>
  <c r="LD115" i="87" s="1"/>
  <c r="F114" i="87"/>
  <c r="F113" i="87"/>
  <c r="F112" i="87"/>
  <c r="F111" i="87"/>
  <c r="F110" i="87"/>
  <c r="I110" i="87" s="1"/>
  <c r="F109" i="87"/>
  <c r="F107" i="87"/>
  <c r="F106" i="87"/>
  <c r="F105" i="87"/>
  <c r="F104" i="87"/>
  <c r="F103" i="87"/>
  <c r="F102" i="87"/>
  <c r="F101" i="87"/>
  <c r="F100" i="87"/>
  <c r="LK97" i="87"/>
  <c r="LF97" i="87"/>
  <c r="J97" i="87"/>
  <c r="J106" i="87" s="1"/>
  <c r="F96" i="87"/>
  <c r="F95" i="87"/>
  <c r="F94" i="87"/>
  <c r="F93" i="87"/>
  <c r="F92" i="87"/>
  <c r="F91" i="87"/>
  <c r="F90" i="87"/>
  <c r="F89" i="87"/>
  <c r="F87" i="87"/>
  <c r="F86" i="87"/>
  <c r="F85" i="87"/>
  <c r="F84" i="87"/>
  <c r="LD84" i="87" s="1"/>
  <c r="F83" i="87"/>
  <c r="F82" i="87"/>
  <c r="F81" i="87"/>
  <c r="F80" i="87"/>
  <c r="F78" i="87"/>
  <c r="F77" i="87"/>
  <c r="F76" i="87"/>
  <c r="F75" i="87"/>
  <c r="F74" i="87"/>
  <c r="F73" i="87"/>
  <c r="F72" i="87"/>
  <c r="F71" i="87"/>
  <c r="LK68" i="87"/>
  <c r="LF68" i="87"/>
  <c r="J68" i="87"/>
  <c r="J94" i="87" s="1"/>
  <c r="F67" i="87"/>
  <c r="F66" i="87"/>
  <c r="F65" i="87"/>
  <c r="F64" i="87"/>
  <c r="LD64" i="87" s="1"/>
  <c r="F63" i="87"/>
  <c r="F62" i="87"/>
  <c r="F61" i="87"/>
  <c r="F60" i="87"/>
  <c r="F58" i="87"/>
  <c r="F57" i="87"/>
  <c r="F56" i="87"/>
  <c r="F55" i="87"/>
  <c r="F54" i="87"/>
  <c r="F53" i="87"/>
  <c r="LD53" i="87" s="1"/>
  <c r="F52" i="87"/>
  <c r="F51" i="87"/>
  <c r="F49" i="87"/>
  <c r="F48" i="87"/>
  <c r="F47" i="87"/>
  <c r="F46" i="87"/>
  <c r="F45" i="87"/>
  <c r="F44" i="87"/>
  <c r="F43" i="87"/>
  <c r="F42" i="87"/>
  <c r="LK39" i="87"/>
  <c r="LF39" i="87"/>
  <c r="J39" i="87"/>
  <c r="LD38" i="87"/>
  <c r="I38" i="87"/>
  <c r="LD37" i="87"/>
  <c r="LD36" i="87"/>
  <c r="LD35" i="87"/>
  <c r="LD34" i="87"/>
  <c r="I34" i="87"/>
  <c r="LD33" i="87"/>
  <c r="I33" i="87"/>
  <c r="LD32" i="87"/>
  <c r="I32" i="87"/>
  <c r="LD31" i="87"/>
  <c r="LD29" i="87"/>
  <c r="I29" i="87"/>
  <c r="LD28" i="87"/>
  <c r="LD27" i="87"/>
  <c r="LD26" i="87"/>
  <c r="LD25" i="87"/>
  <c r="I25" i="87"/>
  <c r="LD24" i="87"/>
  <c r="LD23" i="87"/>
  <c r="I23" i="87"/>
  <c r="LD22" i="87"/>
  <c r="LD20" i="87"/>
  <c r="I20" i="87"/>
  <c r="LD19" i="87"/>
  <c r="LD18" i="87"/>
  <c r="LD17" i="87"/>
  <c r="LD16" i="87"/>
  <c r="LD15" i="87"/>
  <c r="LD14" i="87"/>
  <c r="LD13" i="87"/>
  <c r="LK10" i="87"/>
  <c r="LF10" i="87"/>
  <c r="J10" i="87"/>
  <c r="J38" i="87" s="1"/>
  <c r="F10" i="87"/>
  <c r="G38" i="87" s="1"/>
  <c r="H38" i="87" s="1"/>
  <c r="H147" i="191" l="1"/>
  <c r="H21" i="191" s="1"/>
  <c r="F142" i="191"/>
  <c r="F16" i="191" s="1"/>
  <c r="F1281" i="191" s="1"/>
  <c r="G151" i="191"/>
  <c r="G25" i="191" s="1"/>
  <c r="G147" i="191"/>
  <c r="G21" i="191" s="1"/>
  <c r="H152" i="191"/>
  <c r="H26" i="191" s="1"/>
  <c r="F149" i="191"/>
  <c r="F23" i="191" s="1"/>
  <c r="F1288" i="191" s="1"/>
  <c r="G153" i="191"/>
  <c r="G27" i="191" s="1"/>
  <c r="F150" i="191"/>
  <c r="F24" i="191" s="1"/>
  <c r="F1289" i="191" s="1"/>
  <c r="F151" i="191"/>
  <c r="F25" i="191" s="1"/>
  <c r="F1290" i="191" s="1"/>
  <c r="G149" i="191"/>
  <c r="G23" i="191" s="1"/>
  <c r="F154" i="191"/>
  <c r="F28" i="191" s="1"/>
  <c r="F1293" i="191" s="1"/>
  <c r="H149" i="191"/>
  <c r="H23" i="191" s="1"/>
  <c r="H342" i="191"/>
  <c r="K1292" i="191" s="1"/>
  <c r="H340" i="191"/>
  <c r="K1290" i="191" s="1"/>
  <c r="H338" i="191"/>
  <c r="K1288" i="191" s="1"/>
  <c r="H336" i="191"/>
  <c r="K1286" i="191" s="1"/>
  <c r="H334" i="191"/>
  <c r="K1284" i="191" s="1"/>
  <c r="H332" i="191"/>
  <c r="K1282" i="191" s="1"/>
  <c r="G343" i="191"/>
  <c r="J1293" i="191" s="1"/>
  <c r="G339" i="191"/>
  <c r="J1289" i="191" s="1"/>
  <c r="G335" i="191"/>
  <c r="J1285" i="191" s="1"/>
  <c r="G331" i="191"/>
  <c r="J1281" i="191" s="1"/>
  <c r="H341" i="191"/>
  <c r="K1291" i="191" s="1"/>
  <c r="H337" i="191"/>
  <c r="K1287" i="191" s="1"/>
  <c r="H333" i="191"/>
  <c r="K1283" i="191" s="1"/>
  <c r="XU1286" i="191"/>
  <c r="WE1286" i="191"/>
  <c r="UO1286" i="191"/>
  <c r="SY1286" i="191"/>
  <c r="RI1286" i="191"/>
  <c r="PS1286" i="191"/>
  <c r="OC1286" i="191"/>
  <c r="MM1286" i="191"/>
  <c r="KW1286" i="191"/>
  <c r="JG1286" i="191"/>
  <c r="HQ1286" i="191"/>
  <c r="GA1286" i="191"/>
  <c r="EK1286" i="191"/>
  <c r="CU1286" i="191"/>
  <c r="BE1286" i="191"/>
  <c r="O1286" i="191"/>
  <c r="WZ1286" i="191"/>
  <c r="VJ1286" i="191"/>
  <c r="TT1286" i="191"/>
  <c r="SD1286" i="191"/>
  <c r="QN1286" i="191"/>
  <c r="OX1286" i="191"/>
  <c r="NH1286" i="191"/>
  <c r="LR1286" i="191"/>
  <c r="KB1286" i="191"/>
  <c r="IL1286" i="191"/>
  <c r="GV1286" i="191"/>
  <c r="FF1286" i="191"/>
  <c r="DP1286" i="191"/>
  <c r="BZ1286" i="191"/>
  <c r="AJ1286" i="191"/>
  <c r="YP1286" i="191"/>
  <c r="XU1291" i="191"/>
  <c r="WE1291" i="191"/>
  <c r="UO1291" i="191"/>
  <c r="SY1291" i="191"/>
  <c r="RI1291" i="191"/>
  <c r="PS1291" i="191"/>
  <c r="OC1291" i="191"/>
  <c r="MM1291" i="191"/>
  <c r="KW1291" i="191"/>
  <c r="JG1291" i="191"/>
  <c r="HQ1291" i="191"/>
  <c r="GA1291" i="191"/>
  <c r="EK1291" i="191"/>
  <c r="CU1291" i="191"/>
  <c r="BE1291" i="191"/>
  <c r="O1291" i="191"/>
  <c r="WZ1291" i="191"/>
  <c r="VJ1291" i="191"/>
  <c r="TT1291" i="191"/>
  <c r="SD1291" i="191"/>
  <c r="QN1291" i="191"/>
  <c r="OX1291" i="191"/>
  <c r="NH1291" i="191"/>
  <c r="LR1291" i="191"/>
  <c r="KB1291" i="191"/>
  <c r="IL1291" i="191"/>
  <c r="GV1291" i="191"/>
  <c r="FF1291" i="191"/>
  <c r="DP1291" i="191"/>
  <c r="BZ1291" i="191"/>
  <c r="AJ1291" i="191"/>
  <c r="YP1291" i="191"/>
  <c r="YU1293" i="191"/>
  <c r="VO1293" i="191"/>
  <c r="SI1293" i="191"/>
  <c r="PC1293" i="191"/>
  <c r="LW1293" i="191"/>
  <c r="IQ1293" i="191"/>
  <c r="FK1293" i="191"/>
  <c r="CE1293" i="191"/>
  <c r="XZ1293" i="191"/>
  <c r="UT1293" i="191"/>
  <c r="RN1293" i="191"/>
  <c r="OH1293" i="191"/>
  <c r="LB1293" i="191"/>
  <c r="HV1293" i="191"/>
  <c r="EP1293" i="191"/>
  <c r="BJ1293" i="191"/>
  <c r="XE1293" i="191"/>
  <c r="TY1293" i="191"/>
  <c r="QS1293" i="191"/>
  <c r="NM1293" i="191"/>
  <c r="KG1293" i="191"/>
  <c r="HA1293" i="191"/>
  <c r="DU1293" i="191"/>
  <c r="AO1293" i="191"/>
  <c r="WJ1293" i="191"/>
  <c r="TD1293" i="191"/>
  <c r="PX1293" i="191"/>
  <c r="MR1293" i="191"/>
  <c r="JL1293" i="191"/>
  <c r="GF1293" i="191"/>
  <c r="CZ1293" i="191"/>
  <c r="T1293" i="191"/>
  <c r="YU1289" i="191"/>
  <c r="VO1289" i="191"/>
  <c r="SI1289" i="191"/>
  <c r="PC1289" i="191"/>
  <c r="LW1289" i="191"/>
  <c r="IQ1289" i="191"/>
  <c r="FK1289" i="191"/>
  <c r="CE1289" i="191"/>
  <c r="XZ1289" i="191"/>
  <c r="UT1289" i="191"/>
  <c r="RN1289" i="191"/>
  <c r="OH1289" i="191"/>
  <c r="LB1289" i="191"/>
  <c r="HV1289" i="191"/>
  <c r="EP1289" i="191"/>
  <c r="BJ1289" i="191"/>
  <c r="XE1289" i="191"/>
  <c r="TY1289" i="191"/>
  <c r="QS1289" i="191"/>
  <c r="NM1289" i="191"/>
  <c r="KG1289" i="191"/>
  <c r="HA1289" i="191"/>
  <c r="DU1289" i="191"/>
  <c r="AO1289" i="191"/>
  <c r="WJ1289" i="191"/>
  <c r="TD1289" i="191"/>
  <c r="PX1289" i="191"/>
  <c r="MR1289" i="191"/>
  <c r="JL1289" i="191"/>
  <c r="GF1289" i="191"/>
  <c r="CZ1289" i="191"/>
  <c r="T1289" i="191"/>
  <c r="YU1285" i="191"/>
  <c r="VO1285" i="191"/>
  <c r="SI1285" i="191"/>
  <c r="PC1285" i="191"/>
  <c r="LW1285" i="191"/>
  <c r="IQ1285" i="191"/>
  <c r="FK1285" i="191"/>
  <c r="CE1285" i="191"/>
  <c r="XZ1285" i="191"/>
  <c r="UT1285" i="191"/>
  <c r="RN1285" i="191"/>
  <c r="OH1285" i="191"/>
  <c r="LB1285" i="191"/>
  <c r="HV1285" i="191"/>
  <c r="EP1285" i="191"/>
  <c r="BJ1285" i="191"/>
  <c r="XE1285" i="191"/>
  <c r="TY1285" i="191"/>
  <c r="QS1285" i="191"/>
  <c r="NM1285" i="191"/>
  <c r="KG1285" i="191"/>
  <c r="HA1285" i="191"/>
  <c r="DU1285" i="191"/>
  <c r="AO1285" i="191"/>
  <c r="WJ1285" i="191"/>
  <c r="TD1285" i="191"/>
  <c r="PX1285" i="191"/>
  <c r="MR1285" i="191"/>
  <c r="JL1285" i="191"/>
  <c r="GF1285" i="191"/>
  <c r="CZ1285" i="191"/>
  <c r="T1285" i="191"/>
  <c r="XZ1281" i="191"/>
  <c r="UT1281" i="191"/>
  <c r="RN1281" i="191"/>
  <c r="OH1281" i="191"/>
  <c r="LB1281" i="191"/>
  <c r="HV1281" i="191"/>
  <c r="EP1281" i="191"/>
  <c r="BJ1281" i="191"/>
  <c r="XE1281" i="191"/>
  <c r="TY1281" i="191"/>
  <c r="QS1281" i="191"/>
  <c r="NM1281" i="191"/>
  <c r="KG1281" i="191"/>
  <c r="HA1281" i="191"/>
  <c r="DU1281" i="191"/>
  <c r="AO1281" i="191"/>
  <c r="WJ1281" i="191"/>
  <c r="TD1281" i="191"/>
  <c r="PX1281" i="191"/>
  <c r="MR1281" i="191"/>
  <c r="JL1281" i="191"/>
  <c r="GF1281" i="191"/>
  <c r="CZ1281" i="191"/>
  <c r="T1281" i="191"/>
  <c r="VO1281" i="191"/>
  <c r="SI1281" i="191"/>
  <c r="PC1281" i="191"/>
  <c r="LW1281" i="191"/>
  <c r="IQ1281" i="191"/>
  <c r="FK1281" i="191"/>
  <c r="CE1281" i="191"/>
  <c r="YU1281" i="191"/>
  <c r="H151" i="191"/>
  <c r="H25" i="191" s="1"/>
  <c r="G152" i="191"/>
  <c r="G26" i="191" s="1"/>
  <c r="F153" i="191"/>
  <c r="F27" i="191" s="1"/>
  <c r="F1292" i="191" s="1"/>
  <c r="F148" i="191"/>
  <c r="F22" i="191" s="1"/>
  <c r="F1287" i="191" s="1"/>
  <c r="H153" i="191"/>
  <c r="H27" i="191" s="1"/>
  <c r="G342" i="191"/>
  <c r="J1292" i="191" s="1"/>
  <c r="G340" i="191"/>
  <c r="J1290" i="191" s="1"/>
  <c r="G338" i="191"/>
  <c r="J1288" i="191" s="1"/>
  <c r="G336" i="191"/>
  <c r="J1286" i="191" s="1"/>
  <c r="G334" i="191"/>
  <c r="J1284" i="191" s="1"/>
  <c r="G332" i="191"/>
  <c r="J1282" i="191" s="1"/>
  <c r="G341" i="191"/>
  <c r="J1291" i="191" s="1"/>
  <c r="G337" i="191"/>
  <c r="J1287" i="191" s="1"/>
  <c r="G333" i="191"/>
  <c r="J1283" i="191" s="1"/>
  <c r="F146" i="191"/>
  <c r="F20" i="191" s="1"/>
  <c r="F1285" i="191" s="1"/>
  <c r="H146" i="191"/>
  <c r="H20" i="191" s="1"/>
  <c r="G146" i="191"/>
  <c r="G20" i="191" s="1"/>
  <c r="G148" i="191"/>
  <c r="G22" i="191" s="1"/>
  <c r="G154" i="191"/>
  <c r="G28" i="191" s="1"/>
  <c r="H150" i="191"/>
  <c r="H24" i="191" s="1"/>
  <c r="G150" i="191"/>
  <c r="G24" i="191" s="1"/>
  <c r="H148" i="191"/>
  <c r="H22" i="191" s="1"/>
  <c r="H154" i="191"/>
  <c r="H28" i="191" s="1"/>
  <c r="H144" i="191"/>
  <c r="H18" i="191" s="1"/>
  <c r="F143" i="191"/>
  <c r="F17" i="191" s="1"/>
  <c r="F1282" i="191" s="1"/>
  <c r="G145" i="191"/>
  <c r="G19" i="191" s="1"/>
  <c r="H142" i="191"/>
  <c r="H16" i="191" s="1"/>
  <c r="F144" i="191"/>
  <c r="F18" i="191" s="1"/>
  <c r="G143" i="191"/>
  <c r="G17" i="191" s="1"/>
  <c r="H145" i="191"/>
  <c r="H19" i="191" s="1"/>
  <c r="G142" i="191"/>
  <c r="G16" i="191" s="1"/>
  <c r="LD203" i="87"/>
  <c r="LD232" i="87"/>
  <c r="LD199" i="87"/>
  <c r="LD228" i="87"/>
  <c r="LD202" i="87"/>
  <c r="LD231" i="87"/>
  <c r="LD206" i="87"/>
  <c r="LD235" i="87"/>
  <c r="LD211" i="87"/>
  <c r="LD240" i="87"/>
  <c r="LD197" i="87"/>
  <c r="LD226" i="87"/>
  <c r="LD201" i="87"/>
  <c r="LD230" i="87"/>
  <c r="LD210" i="87"/>
  <c r="LD239" i="87"/>
  <c r="LD212" i="87"/>
  <c r="LD241" i="87"/>
  <c r="LD190" i="87"/>
  <c r="LD219" i="87"/>
  <c r="LD193" i="87"/>
  <c r="LD222" i="87"/>
  <c r="LD191" i="87"/>
  <c r="LD220" i="87"/>
  <c r="LD213" i="87"/>
  <c r="LG213" i="87" s="1"/>
  <c r="LD242" i="87"/>
  <c r="LD207" i="87"/>
  <c r="LG207" i="87" s="1"/>
  <c r="LD236" i="87"/>
  <c r="LD208" i="87"/>
  <c r="LG208" i="87" s="1"/>
  <c r="LD237" i="87"/>
  <c r="LD209" i="87"/>
  <c r="LG209" i="87" s="1"/>
  <c r="LD238" i="87"/>
  <c r="LD204" i="87"/>
  <c r="LD233" i="87"/>
  <c r="LD200" i="87"/>
  <c r="LG200" i="87" s="1"/>
  <c r="LD229" i="87"/>
  <c r="LD198" i="87"/>
  <c r="LG198" i="87" s="1"/>
  <c r="LD227" i="87"/>
  <c r="LD194" i="87"/>
  <c r="LD223" i="87"/>
  <c r="LD195" i="87"/>
  <c r="LG195" i="87" s="1"/>
  <c r="LD224" i="87"/>
  <c r="LD192" i="87"/>
  <c r="LD221" i="87"/>
  <c r="LD188" i="87"/>
  <c r="LD217" i="87"/>
  <c r="LD189" i="87"/>
  <c r="LD218" i="87"/>
  <c r="J133" i="87"/>
  <c r="K212" i="87"/>
  <c r="L212" i="87" s="1"/>
  <c r="K211" i="87"/>
  <c r="L211" i="87" s="1"/>
  <c r="K208" i="87"/>
  <c r="L208" i="87" s="1"/>
  <c r="K207" i="87"/>
  <c r="L207" i="87" s="1"/>
  <c r="K204" i="87"/>
  <c r="L204" i="87" s="1"/>
  <c r="K190" i="87"/>
  <c r="L190" i="87" s="1"/>
  <c r="K213" i="87"/>
  <c r="L213" i="87" s="1"/>
  <c r="K210" i="87"/>
  <c r="L210" i="87" s="1"/>
  <c r="K209" i="87"/>
  <c r="L209" i="87" s="1"/>
  <c r="K203" i="87"/>
  <c r="L203" i="87" s="1"/>
  <c r="K200" i="87"/>
  <c r="L200" i="87" s="1"/>
  <c r="K198" i="87"/>
  <c r="L198" i="87" s="1"/>
  <c r="K195" i="87"/>
  <c r="L195" i="87" s="1"/>
  <c r="K194" i="87"/>
  <c r="L194" i="87" s="1"/>
  <c r="K192" i="87"/>
  <c r="L192" i="87" s="1"/>
  <c r="K189" i="87"/>
  <c r="L189" i="87" s="1"/>
  <c r="LG23" i="87"/>
  <c r="LG33" i="87"/>
  <c r="LG20" i="87"/>
  <c r="LG25" i="87"/>
  <c r="LG32" i="87"/>
  <c r="LG34" i="87"/>
  <c r="LG38" i="87"/>
  <c r="LD46" i="87"/>
  <c r="LD82" i="87"/>
  <c r="LD89" i="87"/>
  <c r="LD105" i="87"/>
  <c r="LD111" i="87"/>
  <c r="LD120" i="87"/>
  <c r="LG120" i="87" s="1"/>
  <c r="LD123" i="87"/>
  <c r="LD130" i="87"/>
  <c r="LD135" i="87"/>
  <c r="LD139" i="87"/>
  <c r="LG139" i="87" s="1"/>
  <c r="LD141" i="87"/>
  <c r="LG141" i="87" s="1"/>
  <c r="LK155" i="87"/>
  <c r="LK214" i="87" s="1"/>
  <c r="LH39" i="87"/>
  <c r="LH64" i="87" s="1"/>
  <c r="J100" i="87"/>
  <c r="J109" i="87"/>
  <c r="J102" i="87"/>
  <c r="J104" i="87"/>
  <c r="J74" i="87"/>
  <c r="J78" i="87"/>
  <c r="J83" i="87"/>
  <c r="J85" i="87"/>
  <c r="J90" i="87"/>
  <c r="J92" i="87"/>
  <c r="J96" i="87"/>
  <c r="J71" i="87"/>
  <c r="J73" i="87"/>
  <c r="J76" i="87"/>
  <c r="J81" i="87"/>
  <c r="J87" i="87"/>
  <c r="LD93" i="87"/>
  <c r="LD95" i="87"/>
  <c r="LD148" i="87"/>
  <c r="LG148" i="87" s="1"/>
  <c r="LD182" i="87"/>
  <c r="LD57" i="87"/>
  <c r="LD91" i="87"/>
  <c r="LG91" i="87" s="1"/>
  <c r="LD103" i="87"/>
  <c r="LD44" i="87"/>
  <c r="LD48" i="87"/>
  <c r="LD72" i="87"/>
  <c r="LD129" i="87"/>
  <c r="LD131" i="87"/>
  <c r="LD133" i="87"/>
  <c r="LD77" i="87"/>
  <c r="LD51" i="87"/>
  <c r="LD80" i="87"/>
  <c r="LD116" i="87"/>
  <c r="LD66" i="87"/>
  <c r="LD121" i="87"/>
  <c r="LG121" i="87" s="1"/>
  <c r="LD147" i="87"/>
  <c r="LD149" i="87"/>
  <c r="LG149" i="87" s="1"/>
  <c r="LD151" i="87"/>
  <c r="LD153" i="87"/>
  <c r="LD75" i="87"/>
  <c r="LD101" i="87"/>
  <c r="LD119" i="87"/>
  <c r="LG119" i="87" s="1"/>
  <c r="LD86" i="87"/>
  <c r="LD112" i="87"/>
  <c r="LG112" i="87" s="1"/>
  <c r="LD62" i="87"/>
  <c r="LG62" i="87" s="1"/>
  <c r="LD114" i="87"/>
  <c r="LD55" i="87"/>
  <c r="LD10" i="87"/>
  <c r="LE35" i="87" s="1"/>
  <c r="LF35" i="87" s="1"/>
  <c r="LG35" i="87" s="1"/>
  <c r="LD177" i="87"/>
  <c r="LD179" i="87"/>
  <c r="LD181" i="87"/>
  <c r="LD183" i="87"/>
  <c r="LD60" i="87"/>
  <c r="LD118" i="87"/>
  <c r="LD122" i="87"/>
  <c r="LD124" i="87"/>
  <c r="LD176" i="87"/>
  <c r="LD178" i="87"/>
  <c r="LD180" i="87"/>
  <c r="LD113" i="87"/>
  <c r="LD142" i="87"/>
  <c r="LD144" i="87"/>
  <c r="LD168" i="87"/>
  <c r="LD170" i="87"/>
  <c r="LD172" i="87"/>
  <c r="LD174" i="87"/>
  <c r="LD138" i="87"/>
  <c r="LD140" i="87"/>
  <c r="LD145" i="87"/>
  <c r="LD167" i="87"/>
  <c r="LD169" i="87"/>
  <c r="LD171" i="87"/>
  <c r="LD42" i="87"/>
  <c r="LD107" i="87"/>
  <c r="LG107" i="87" s="1"/>
  <c r="LD132" i="87"/>
  <c r="LD159" i="87"/>
  <c r="LD161" i="87"/>
  <c r="LD163" i="87"/>
  <c r="LD165" i="87"/>
  <c r="LD158" i="87"/>
  <c r="LD160" i="87"/>
  <c r="LD162" i="87"/>
  <c r="I119" i="87"/>
  <c r="I149" i="87"/>
  <c r="I62" i="87"/>
  <c r="I91" i="87"/>
  <c r="I121" i="87"/>
  <c r="I10" i="87"/>
  <c r="K10" i="87" s="1"/>
  <c r="L10" i="87" s="1"/>
  <c r="G13" i="87"/>
  <c r="H13" i="87" s="1"/>
  <c r="I13" i="87" s="1"/>
  <c r="G15" i="87"/>
  <c r="H15" i="87" s="1"/>
  <c r="I15" i="87" s="1"/>
  <c r="G19" i="87"/>
  <c r="H19" i="87" s="1"/>
  <c r="I19" i="87" s="1"/>
  <c r="G22" i="87"/>
  <c r="H22" i="87" s="1"/>
  <c r="I22" i="87" s="1"/>
  <c r="G26" i="87"/>
  <c r="H26" i="87" s="1"/>
  <c r="I26" i="87" s="1"/>
  <c r="G31" i="87"/>
  <c r="H31" i="87" s="1"/>
  <c r="I31" i="87" s="1"/>
  <c r="G34" i="87"/>
  <c r="H34" i="87" s="1"/>
  <c r="I112" i="87"/>
  <c r="I139" i="87"/>
  <c r="G17" i="87"/>
  <c r="H17" i="87" s="1"/>
  <c r="I17" i="87" s="1"/>
  <c r="G24" i="87"/>
  <c r="H24" i="87" s="1"/>
  <c r="I24" i="87" s="1"/>
  <c r="G28" i="87"/>
  <c r="H28" i="87" s="1"/>
  <c r="I28" i="87" s="1"/>
  <c r="G32" i="87"/>
  <c r="H32" i="87" s="1"/>
  <c r="I116" i="87"/>
  <c r="I141" i="87"/>
  <c r="G14" i="87"/>
  <c r="H14" i="87" s="1"/>
  <c r="I14" i="87" s="1"/>
  <c r="G16" i="87"/>
  <c r="H16" i="87" s="1"/>
  <c r="I16" i="87" s="1"/>
  <c r="G18" i="87"/>
  <c r="H18" i="87" s="1"/>
  <c r="I18" i="87" s="1"/>
  <c r="G20" i="87"/>
  <c r="H20" i="87" s="1"/>
  <c r="G23" i="87"/>
  <c r="H23" i="87" s="1"/>
  <c r="G25" i="87"/>
  <c r="H25" i="87" s="1"/>
  <c r="G27" i="87"/>
  <c r="H27" i="87" s="1"/>
  <c r="I27" i="87" s="1"/>
  <c r="G29" i="87"/>
  <c r="H29" i="87" s="1"/>
  <c r="G33" i="87"/>
  <c r="H33" i="87" s="1"/>
  <c r="G35" i="87"/>
  <c r="H35" i="87" s="1"/>
  <c r="I35" i="87" s="1"/>
  <c r="G36" i="87"/>
  <c r="H36" i="87" s="1"/>
  <c r="I36" i="87" s="1"/>
  <c r="G37" i="87"/>
  <c r="H37" i="87" s="1"/>
  <c r="I37" i="87" s="1"/>
  <c r="I107" i="87"/>
  <c r="F126" i="87"/>
  <c r="G132" i="87" s="1"/>
  <c r="H132" i="87" s="1"/>
  <c r="I132" i="87" s="1"/>
  <c r="F155" i="87"/>
  <c r="K38" i="87"/>
  <c r="LH10" i="87"/>
  <c r="J66" i="87"/>
  <c r="J64" i="87"/>
  <c r="J62" i="87"/>
  <c r="J60" i="87"/>
  <c r="J57" i="87"/>
  <c r="J55" i="87"/>
  <c r="J53" i="87"/>
  <c r="J51" i="87"/>
  <c r="J48" i="87"/>
  <c r="J46" i="87"/>
  <c r="J44" i="87"/>
  <c r="J42" i="87"/>
  <c r="I49" i="87"/>
  <c r="I52" i="87"/>
  <c r="I54" i="87"/>
  <c r="I58" i="87"/>
  <c r="I61" i="87"/>
  <c r="I63" i="87"/>
  <c r="I67" i="87"/>
  <c r="LH68" i="87"/>
  <c r="I81" i="87"/>
  <c r="J43" i="87"/>
  <c r="LD43" i="87"/>
  <c r="J45" i="87"/>
  <c r="LD45" i="87"/>
  <c r="J47" i="87"/>
  <c r="LD47" i="87"/>
  <c r="J49" i="87"/>
  <c r="LD49" i="87"/>
  <c r="J52" i="87"/>
  <c r="LD52" i="87"/>
  <c r="J54" i="87"/>
  <c r="LD54" i="87"/>
  <c r="J56" i="87"/>
  <c r="LD56" i="87"/>
  <c r="J58" i="87"/>
  <c r="LD58" i="87"/>
  <c r="J61" i="87"/>
  <c r="LD61" i="87"/>
  <c r="J63" i="87"/>
  <c r="LD63" i="87"/>
  <c r="J65" i="87"/>
  <c r="LD65" i="87"/>
  <c r="J67" i="87"/>
  <c r="LD67" i="87"/>
  <c r="LD76" i="87"/>
  <c r="LD81" i="87"/>
  <c r="LD85" i="87"/>
  <c r="F68" i="87"/>
  <c r="G74" i="87" s="1"/>
  <c r="H74" i="87" s="1"/>
  <c r="I74" i="87" s="1"/>
  <c r="K74" i="87" s="1"/>
  <c r="LD73" i="87"/>
  <c r="I78" i="87"/>
  <c r="I83" i="87"/>
  <c r="I87" i="87"/>
  <c r="F39" i="87"/>
  <c r="LD71" i="87"/>
  <c r="LD74" i="87"/>
  <c r="LD78" i="87"/>
  <c r="LD83" i="87"/>
  <c r="LD87" i="87"/>
  <c r="I92" i="87"/>
  <c r="K92" i="87" s="1"/>
  <c r="LH97" i="87"/>
  <c r="J95" i="87"/>
  <c r="J93" i="87"/>
  <c r="J91" i="87"/>
  <c r="J89" i="87"/>
  <c r="J86" i="87"/>
  <c r="J84" i="87"/>
  <c r="J82" i="87"/>
  <c r="J80" i="87"/>
  <c r="J77" i="87"/>
  <c r="J75" i="87"/>
  <c r="F97" i="87"/>
  <c r="G118" i="87" s="1"/>
  <c r="H118" i="87" s="1"/>
  <c r="I118" i="87" s="1"/>
  <c r="LD109" i="87"/>
  <c r="J13" i="87"/>
  <c r="J14" i="87"/>
  <c r="J15" i="87"/>
  <c r="J16" i="87"/>
  <c r="J17" i="87"/>
  <c r="K17" i="87" s="1"/>
  <c r="J18" i="87"/>
  <c r="J19" i="87"/>
  <c r="J20" i="87"/>
  <c r="K20" i="87" s="1"/>
  <c r="J22" i="87"/>
  <c r="J23" i="87"/>
  <c r="K23" i="87" s="1"/>
  <c r="J24" i="87"/>
  <c r="J25" i="87"/>
  <c r="K25" i="87" s="1"/>
  <c r="J26" i="87"/>
  <c r="J27" i="87"/>
  <c r="J28" i="87"/>
  <c r="J29" i="87"/>
  <c r="K29" i="87" s="1"/>
  <c r="J31" i="87"/>
  <c r="J32" i="87"/>
  <c r="K32" i="87" s="1"/>
  <c r="J33" i="87"/>
  <c r="K33" i="87" s="1"/>
  <c r="J34" i="87"/>
  <c r="K34" i="87" s="1"/>
  <c r="J35" i="87"/>
  <c r="J36" i="87"/>
  <c r="J37" i="87"/>
  <c r="J72" i="87"/>
  <c r="LD100" i="87"/>
  <c r="LD102" i="87"/>
  <c r="LD104" i="87"/>
  <c r="LD106" i="87"/>
  <c r="I90" i="87"/>
  <c r="I96" i="87"/>
  <c r="K96" i="87" s="1"/>
  <c r="LD90" i="87"/>
  <c r="LD92" i="87"/>
  <c r="LD94" i="87"/>
  <c r="LD96" i="87"/>
  <c r="J124" i="87"/>
  <c r="J122" i="87"/>
  <c r="J120" i="87"/>
  <c r="J118" i="87"/>
  <c r="J115" i="87"/>
  <c r="J125" i="87"/>
  <c r="K125" i="87" s="1"/>
  <c r="J123" i="87"/>
  <c r="J121" i="87"/>
  <c r="J119" i="87"/>
  <c r="J116" i="87"/>
  <c r="J114" i="87"/>
  <c r="J101" i="87"/>
  <c r="J103" i="87"/>
  <c r="J105" i="87"/>
  <c r="J107" i="87"/>
  <c r="J110" i="87"/>
  <c r="K110" i="87" s="1"/>
  <c r="LD110" i="87"/>
  <c r="J112" i="87"/>
  <c r="J111" i="87"/>
  <c r="J113" i="87"/>
  <c r="I120" i="87"/>
  <c r="LD125" i="87"/>
  <c r="J129" i="87"/>
  <c r="J131" i="87"/>
  <c r="J154" i="87"/>
  <c r="J153" i="87"/>
  <c r="J151" i="87"/>
  <c r="J149" i="87"/>
  <c r="J152" i="87"/>
  <c r="J150" i="87"/>
  <c r="J148" i="87"/>
  <c r="J145" i="87"/>
  <c r="J147" i="87"/>
  <c r="J144" i="87"/>
  <c r="J142" i="87"/>
  <c r="J140" i="87"/>
  <c r="J138" i="87"/>
  <c r="J135" i="87"/>
  <c r="J143" i="87"/>
  <c r="J141" i="87"/>
  <c r="J139" i="87"/>
  <c r="J136" i="87"/>
  <c r="K136" i="87" s="1"/>
  <c r="J134" i="87"/>
  <c r="LH126" i="87"/>
  <c r="J130" i="87"/>
  <c r="J132" i="87"/>
  <c r="LD134" i="87"/>
  <c r="LD136" i="87"/>
  <c r="LG154" i="87"/>
  <c r="I145" i="87"/>
  <c r="I148" i="87"/>
  <c r="K148" i="87" s="1"/>
  <c r="I150" i="87"/>
  <c r="LD150" i="87"/>
  <c r="LD152" i="87"/>
  <c r="I154" i="87"/>
  <c r="K81" i="87" l="1"/>
  <c r="K83" i="87"/>
  <c r="K90" i="87"/>
  <c r="G110" i="87"/>
  <c r="H110" i="87" s="1"/>
  <c r="H1217" i="191"/>
  <c r="H1286" i="191"/>
  <c r="WZ1282" i="191"/>
  <c r="TT1282" i="191"/>
  <c r="QN1282" i="191"/>
  <c r="NH1282" i="191"/>
  <c r="KB1282" i="191"/>
  <c r="GV1282" i="191"/>
  <c r="DP1282" i="191"/>
  <c r="AJ1282" i="191"/>
  <c r="WE1282" i="191"/>
  <c r="SY1282" i="191"/>
  <c r="PS1282" i="191"/>
  <c r="MM1282" i="191"/>
  <c r="JG1282" i="191"/>
  <c r="GA1282" i="191"/>
  <c r="CU1282" i="191"/>
  <c r="O1282" i="191"/>
  <c r="YP1282" i="191"/>
  <c r="VJ1282" i="191"/>
  <c r="SD1282" i="191"/>
  <c r="OX1282" i="191"/>
  <c r="LR1282" i="191"/>
  <c r="IL1282" i="191"/>
  <c r="FF1282" i="191"/>
  <c r="BZ1282" i="191"/>
  <c r="XU1282" i="191"/>
  <c r="UO1282" i="191"/>
  <c r="RI1282" i="191"/>
  <c r="OC1282" i="191"/>
  <c r="KW1282" i="191"/>
  <c r="HQ1282" i="191"/>
  <c r="EK1282" i="191"/>
  <c r="BE1282" i="191"/>
  <c r="H1293" i="191"/>
  <c r="H1224" i="191"/>
  <c r="H1287" i="191"/>
  <c r="H1218" i="191"/>
  <c r="G1289" i="191"/>
  <c r="G1220" i="191"/>
  <c r="H1289" i="191"/>
  <c r="H1220" i="191"/>
  <c r="G1293" i="191"/>
  <c r="G1224" i="191"/>
  <c r="G1287" i="191"/>
  <c r="G1218" i="191"/>
  <c r="WI1287" i="191"/>
  <c r="TC1287" i="191"/>
  <c r="PW1287" i="191"/>
  <c r="MQ1287" i="191"/>
  <c r="JK1287" i="191"/>
  <c r="GE1287" i="191"/>
  <c r="CY1287" i="191"/>
  <c r="S1287" i="191"/>
  <c r="VN1287" i="191"/>
  <c r="SH1287" i="191"/>
  <c r="PB1287" i="191"/>
  <c r="LV1287" i="191"/>
  <c r="IP1287" i="191"/>
  <c r="FJ1287" i="191"/>
  <c r="CD1287" i="191"/>
  <c r="YT1287" i="191"/>
  <c r="XY1287" i="191"/>
  <c r="US1287" i="191"/>
  <c r="RM1287" i="191"/>
  <c r="OG1287" i="191"/>
  <c r="LA1287" i="191"/>
  <c r="HU1287" i="191"/>
  <c r="EO1287" i="191"/>
  <c r="BI1287" i="191"/>
  <c r="XD1287" i="191"/>
  <c r="TX1287" i="191"/>
  <c r="QR1287" i="191"/>
  <c r="NL1287" i="191"/>
  <c r="KF1287" i="191"/>
  <c r="GZ1287" i="191"/>
  <c r="DT1287" i="191"/>
  <c r="AN1287" i="191"/>
  <c r="XD1282" i="191"/>
  <c r="TX1282" i="191"/>
  <c r="QR1282" i="191"/>
  <c r="NL1282" i="191"/>
  <c r="KF1282" i="191"/>
  <c r="GZ1282" i="191"/>
  <c r="DT1282" i="191"/>
  <c r="AN1282" i="191"/>
  <c r="WI1282" i="191"/>
  <c r="TC1282" i="191"/>
  <c r="PW1282" i="191"/>
  <c r="MQ1282" i="191"/>
  <c r="JK1282" i="191"/>
  <c r="GE1282" i="191"/>
  <c r="CY1282" i="191"/>
  <c r="S1282" i="191"/>
  <c r="YT1282" i="191"/>
  <c r="VN1282" i="191"/>
  <c r="SH1282" i="191"/>
  <c r="PB1282" i="191"/>
  <c r="LV1282" i="191"/>
  <c r="IP1282" i="191"/>
  <c r="FJ1282" i="191"/>
  <c r="CD1282" i="191"/>
  <c r="XY1282" i="191"/>
  <c r="US1282" i="191"/>
  <c r="RM1282" i="191"/>
  <c r="OG1282" i="191"/>
  <c r="LA1282" i="191"/>
  <c r="HU1282" i="191"/>
  <c r="EO1282" i="191"/>
  <c r="BI1282" i="191"/>
  <c r="WI1286" i="191"/>
  <c r="TC1286" i="191"/>
  <c r="PW1286" i="191"/>
  <c r="MQ1286" i="191"/>
  <c r="JK1286" i="191"/>
  <c r="GE1286" i="191"/>
  <c r="CY1286" i="191"/>
  <c r="S1286" i="191"/>
  <c r="VN1286" i="191"/>
  <c r="SH1286" i="191"/>
  <c r="PB1286" i="191"/>
  <c r="LV1286" i="191"/>
  <c r="IP1286" i="191"/>
  <c r="FJ1286" i="191"/>
  <c r="CD1286" i="191"/>
  <c r="YT1286" i="191"/>
  <c r="XY1286" i="191"/>
  <c r="US1286" i="191"/>
  <c r="RM1286" i="191"/>
  <c r="OG1286" i="191"/>
  <c r="LA1286" i="191"/>
  <c r="HU1286" i="191"/>
  <c r="EO1286" i="191"/>
  <c r="BI1286" i="191"/>
  <c r="XD1286" i="191"/>
  <c r="TX1286" i="191"/>
  <c r="QR1286" i="191"/>
  <c r="NL1286" i="191"/>
  <c r="KF1286" i="191"/>
  <c r="GZ1286" i="191"/>
  <c r="DT1286" i="191"/>
  <c r="AN1286" i="191"/>
  <c r="WI1290" i="191"/>
  <c r="TC1290" i="191"/>
  <c r="PW1290" i="191"/>
  <c r="MQ1290" i="191"/>
  <c r="JK1290" i="191"/>
  <c r="GE1290" i="191"/>
  <c r="CY1290" i="191"/>
  <c r="S1290" i="191"/>
  <c r="VN1290" i="191"/>
  <c r="SH1290" i="191"/>
  <c r="PB1290" i="191"/>
  <c r="LV1290" i="191"/>
  <c r="IP1290" i="191"/>
  <c r="FJ1290" i="191"/>
  <c r="CD1290" i="191"/>
  <c r="YT1290" i="191"/>
  <c r="XY1290" i="191"/>
  <c r="US1290" i="191"/>
  <c r="RM1290" i="191"/>
  <c r="OG1290" i="191"/>
  <c r="LA1290" i="191"/>
  <c r="HU1290" i="191"/>
  <c r="EO1290" i="191"/>
  <c r="BI1290" i="191"/>
  <c r="XD1290" i="191"/>
  <c r="TX1290" i="191"/>
  <c r="QR1290" i="191"/>
  <c r="NL1290" i="191"/>
  <c r="KF1290" i="191"/>
  <c r="GZ1290" i="191"/>
  <c r="DT1290" i="191"/>
  <c r="AN1290" i="191"/>
  <c r="H1292" i="191"/>
  <c r="H1223" i="191"/>
  <c r="XU1292" i="191"/>
  <c r="WE1292" i="191"/>
  <c r="UO1292" i="191"/>
  <c r="SY1292" i="191"/>
  <c r="RI1292" i="191"/>
  <c r="PS1292" i="191"/>
  <c r="OC1292" i="191"/>
  <c r="MM1292" i="191"/>
  <c r="KW1292" i="191"/>
  <c r="JG1292" i="191"/>
  <c r="HQ1292" i="191"/>
  <c r="GA1292" i="191"/>
  <c r="EK1292" i="191"/>
  <c r="CU1292" i="191"/>
  <c r="BE1292" i="191"/>
  <c r="O1292" i="191"/>
  <c r="WZ1292" i="191"/>
  <c r="VJ1292" i="191"/>
  <c r="TT1292" i="191"/>
  <c r="SD1292" i="191"/>
  <c r="QN1292" i="191"/>
  <c r="OX1292" i="191"/>
  <c r="NH1292" i="191"/>
  <c r="LR1292" i="191"/>
  <c r="KB1292" i="191"/>
  <c r="IL1292" i="191"/>
  <c r="GV1292" i="191"/>
  <c r="FF1292" i="191"/>
  <c r="DP1292" i="191"/>
  <c r="BZ1292" i="191"/>
  <c r="AJ1292" i="191"/>
  <c r="YP1292" i="191"/>
  <c r="H1290" i="191"/>
  <c r="H1221" i="191"/>
  <c r="XW1286" i="191"/>
  <c r="WG1286" i="191"/>
  <c r="UQ1286" i="191"/>
  <c r="TA1286" i="191"/>
  <c r="RK1286" i="191"/>
  <c r="PU1286" i="191"/>
  <c r="OE1286" i="191"/>
  <c r="MO1286" i="191"/>
  <c r="KY1286" i="191"/>
  <c r="JI1286" i="191"/>
  <c r="HS1286" i="191"/>
  <c r="GC1286" i="191"/>
  <c r="EM1286" i="191"/>
  <c r="CW1286" i="191"/>
  <c r="BG1286" i="191"/>
  <c r="Q1286" i="191"/>
  <c r="XB1286" i="191"/>
  <c r="VL1286" i="191"/>
  <c r="TV1286" i="191"/>
  <c r="SF1286" i="191"/>
  <c r="QP1286" i="191"/>
  <c r="OZ1286" i="191"/>
  <c r="NJ1286" i="191"/>
  <c r="LT1286" i="191"/>
  <c r="KD1286" i="191"/>
  <c r="IN1286" i="191"/>
  <c r="GX1286" i="191"/>
  <c r="FH1286" i="191"/>
  <c r="DR1286" i="191"/>
  <c r="CB1286" i="191"/>
  <c r="AL1286" i="191"/>
  <c r="YR1286" i="191"/>
  <c r="XZ1287" i="191"/>
  <c r="UT1287" i="191"/>
  <c r="RN1287" i="191"/>
  <c r="OH1287" i="191"/>
  <c r="LB1287" i="191"/>
  <c r="HV1287" i="191"/>
  <c r="EP1287" i="191"/>
  <c r="BJ1287" i="191"/>
  <c r="YU1287" i="191"/>
  <c r="VO1287" i="191"/>
  <c r="SI1287" i="191"/>
  <c r="PC1287" i="191"/>
  <c r="LW1287" i="191"/>
  <c r="IQ1287" i="191"/>
  <c r="FK1287" i="191"/>
  <c r="CE1287" i="191"/>
  <c r="WJ1287" i="191"/>
  <c r="TD1287" i="191"/>
  <c r="PX1287" i="191"/>
  <c r="MR1287" i="191"/>
  <c r="JL1287" i="191"/>
  <c r="GF1287" i="191"/>
  <c r="CZ1287" i="191"/>
  <c r="T1287" i="191"/>
  <c r="XE1287" i="191"/>
  <c r="TY1287" i="191"/>
  <c r="QS1287" i="191"/>
  <c r="NM1287" i="191"/>
  <c r="KG1287" i="191"/>
  <c r="HA1287" i="191"/>
  <c r="DU1287" i="191"/>
  <c r="AO1287" i="191"/>
  <c r="YT1281" i="191"/>
  <c r="VN1281" i="191"/>
  <c r="SH1281" i="191"/>
  <c r="PB1281" i="191"/>
  <c r="LV1281" i="191"/>
  <c r="IP1281" i="191"/>
  <c r="FJ1281" i="191"/>
  <c r="CD1281" i="191"/>
  <c r="XY1281" i="191"/>
  <c r="US1281" i="191"/>
  <c r="RM1281" i="191"/>
  <c r="OG1281" i="191"/>
  <c r="LA1281" i="191"/>
  <c r="HU1281" i="191"/>
  <c r="EO1281" i="191"/>
  <c r="BI1281" i="191"/>
  <c r="XD1281" i="191"/>
  <c r="TX1281" i="191"/>
  <c r="QR1281" i="191"/>
  <c r="NL1281" i="191"/>
  <c r="KF1281" i="191"/>
  <c r="GZ1281" i="191"/>
  <c r="DT1281" i="191"/>
  <c r="AN1281" i="191"/>
  <c r="WI1281" i="191"/>
  <c r="TC1281" i="191"/>
  <c r="PW1281" i="191"/>
  <c r="MQ1281" i="191"/>
  <c r="JK1281" i="191"/>
  <c r="GE1281" i="191"/>
  <c r="CY1281" i="191"/>
  <c r="S1281" i="191"/>
  <c r="TC1289" i="191"/>
  <c r="MQ1289" i="191"/>
  <c r="GE1289" i="191"/>
  <c r="S1289" i="191"/>
  <c r="SH1289" i="191"/>
  <c r="LV1289" i="191"/>
  <c r="FJ1289" i="191"/>
  <c r="YT1289" i="191"/>
  <c r="US1289" i="191"/>
  <c r="OG1289" i="191"/>
  <c r="HU1289" i="191"/>
  <c r="BI1289" i="191"/>
  <c r="TX1289" i="191"/>
  <c r="NL1289" i="191"/>
  <c r="GZ1289" i="191"/>
  <c r="AN1289" i="191"/>
  <c r="WI1289" i="191"/>
  <c r="PW1289" i="191"/>
  <c r="JK1289" i="191"/>
  <c r="CY1289" i="191"/>
  <c r="VN1289" i="191"/>
  <c r="PB1289" i="191"/>
  <c r="IP1289" i="191"/>
  <c r="CD1289" i="191"/>
  <c r="XY1289" i="191"/>
  <c r="RM1289" i="191"/>
  <c r="LA1289" i="191"/>
  <c r="EO1289" i="191"/>
  <c r="XD1289" i="191"/>
  <c r="QR1289" i="191"/>
  <c r="KF1289" i="191"/>
  <c r="DT1289" i="191"/>
  <c r="XE1282" i="191"/>
  <c r="TY1282" i="191"/>
  <c r="QS1282" i="191"/>
  <c r="NM1282" i="191"/>
  <c r="KG1282" i="191"/>
  <c r="HA1282" i="191"/>
  <c r="DU1282" i="191"/>
  <c r="AO1282" i="191"/>
  <c r="XZ1282" i="191"/>
  <c r="UT1282" i="191"/>
  <c r="RN1282" i="191"/>
  <c r="OH1282" i="191"/>
  <c r="LB1282" i="191"/>
  <c r="HV1282" i="191"/>
  <c r="EP1282" i="191"/>
  <c r="BJ1282" i="191"/>
  <c r="VO1282" i="191"/>
  <c r="SI1282" i="191"/>
  <c r="PC1282" i="191"/>
  <c r="LW1282" i="191"/>
  <c r="IQ1282" i="191"/>
  <c r="FK1282" i="191"/>
  <c r="CE1282" i="191"/>
  <c r="YU1282" i="191"/>
  <c r="WJ1282" i="191"/>
  <c r="TD1282" i="191"/>
  <c r="PX1282" i="191"/>
  <c r="MR1282" i="191"/>
  <c r="JL1282" i="191"/>
  <c r="GF1282" i="191"/>
  <c r="CZ1282" i="191"/>
  <c r="T1282" i="191"/>
  <c r="XZ1286" i="191"/>
  <c r="UT1286" i="191"/>
  <c r="RN1286" i="191"/>
  <c r="OH1286" i="191"/>
  <c r="LB1286" i="191"/>
  <c r="HV1286" i="191"/>
  <c r="EP1286" i="191"/>
  <c r="BJ1286" i="191"/>
  <c r="YU1286" i="191"/>
  <c r="VO1286" i="191"/>
  <c r="SI1286" i="191"/>
  <c r="PC1286" i="191"/>
  <c r="LW1286" i="191"/>
  <c r="IQ1286" i="191"/>
  <c r="FK1286" i="191"/>
  <c r="CE1286" i="191"/>
  <c r="WJ1286" i="191"/>
  <c r="TD1286" i="191"/>
  <c r="PX1286" i="191"/>
  <c r="MR1286" i="191"/>
  <c r="JL1286" i="191"/>
  <c r="GF1286" i="191"/>
  <c r="CZ1286" i="191"/>
  <c r="T1286" i="191"/>
  <c r="XE1286" i="191"/>
  <c r="TY1286" i="191"/>
  <c r="QS1286" i="191"/>
  <c r="NM1286" i="191"/>
  <c r="KG1286" i="191"/>
  <c r="HA1286" i="191"/>
  <c r="DU1286" i="191"/>
  <c r="AO1286" i="191"/>
  <c r="YU1290" i="191"/>
  <c r="VO1290" i="191"/>
  <c r="SI1290" i="191"/>
  <c r="PC1290" i="191"/>
  <c r="LW1290" i="191"/>
  <c r="IQ1290" i="191"/>
  <c r="FK1290" i="191"/>
  <c r="CE1290" i="191"/>
  <c r="XZ1290" i="191"/>
  <c r="UT1290" i="191"/>
  <c r="RN1290" i="191"/>
  <c r="OH1290" i="191"/>
  <c r="LB1290" i="191"/>
  <c r="HV1290" i="191"/>
  <c r="EP1290" i="191"/>
  <c r="BJ1290" i="191"/>
  <c r="XE1290" i="191"/>
  <c r="TY1290" i="191"/>
  <c r="QS1290" i="191"/>
  <c r="NM1290" i="191"/>
  <c r="KG1290" i="191"/>
  <c r="HA1290" i="191"/>
  <c r="DU1290" i="191"/>
  <c r="AO1290" i="191"/>
  <c r="WJ1290" i="191"/>
  <c r="TD1290" i="191"/>
  <c r="PX1290" i="191"/>
  <c r="MR1290" i="191"/>
  <c r="JL1290" i="191"/>
  <c r="GF1290" i="191"/>
  <c r="CZ1290" i="191"/>
  <c r="T1290" i="191"/>
  <c r="H1288" i="191"/>
  <c r="H1219" i="191"/>
  <c r="G1288" i="191"/>
  <c r="G1219" i="191"/>
  <c r="XU1289" i="191"/>
  <c r="WE1289" i="191"/>
  <c r="UO1289" i="191"/>
  <c r="SY1289" i="191"/>
  <c r="RI1289" i="191"/>
  <c r="PS1289" i="191"/>
  <c r="OC1289" i="191"/>
  <c r="MM1289" i="191"/>
  <c r="KW1289" i="191"/>
  <c r="JG1289" i="191"/>
  <c r="HQ1289" i="191"/>
  <c r="GA1289" i="191"/>
  <c r="EK1289" i="191"/>
  <c r="CU1289" i="191"/>
  <c r="BE1289" i="191"/>
  <c r="O1289" i="191"/>
  <c r="WZ1289" i="191"/>
  <c r="VJ1289" i="191"/>
  <c r="TT1289" i="191"/>
  <c r="SD1289" i="191"/>
  <c r="QN1289" i="191"/>
  <c r="OX1289" i="191"/>
  <c r="NH1289" i="191"/>
  <c r="LR1289" i="191"/>
  <c r="KB1289" i="191"/>
  <c r="IL1289" i="191"/>
  <c r="GV1289" i="191"/>
  <c r="FF1289" i="191"/>
  <c r="DP1289" i="191"/>
  <c r="BZ1289" i="191"/>
  <c r="AJ1289" i="191"/>
  <c r="YP1289" i="191"/>
  <c r="XU1288" i="191"/>
  <c r="WE1288" i="191"/>
  <c r="UO1288" i="191"/>
  <c r="SY1288" i="191"/>
  <c r="RI1288" i="191"/>
  <c r="PS1288" i="191"/>
  <c r="OC1288" i="191"/>
  <c r="MM1288" i="191"/>
  <c r="KW1288" i="191"/>
  <c r="JG1288" i="191"/>
  <c r="HQ1288" i="191"/>
  <c r="GA1288" i="191"/>
  <c r="EK1288" i="191"/>
  <c r="CU1288" i="191"/>
  <c r="BE1288" i="191"/>
  <c r="O1288" i="191"/>
  <c r="WZ1288" i="191"/>
  <c r="VJ1288" i="191"/>
  <c r="TT1288" i="191"/>
  <c r="SD1288" i="191"/>
  <c r="QN1288" i="191"/>
  <c r="OX1288" i="191"/>
  <c r="NH1288" i="191"/>
  <c r="LR1288" i="191"/>
  <c r="KB1288" i="191"/>
  <c r="IL1288" i="191"/>
  <c r="GV1288" i="191"/>
  <c r="FF1288" i="191"/>
  <c r="DP1288" i="191"/>
  <c r="BZ1288" i="191"/>
  <c r="AJ1288" i="191"/>
  <c r="YP1288" i="191"/>
  <c r="G1286" i="191"/>
  <c r="G1217" i="191"/>
  <c r="G1282" i="191"/>
  <c r="G1213" i="191"/>
  <c r="YT1283" i="191"/>
  <c r="TC1283" i="191"/>
  <c r="MQ1283" i="191"/>
  <c r="VN1283" i="191"/>
  <c r="PB1283" i="191"/>
  <c r="IP1283" i="191"/>
  <c r="FJ1283" i="191"/>
  <c r="CD1283" i="191"/>
  <c r="XY1283" i="191"/>
  <c r="RM1283" i="191"/>
  <c r="LA1283" i="191"/>
  <c r="TX1283" i="191"/>
  <c r="NL1283" i="191"/>
  <c r="HU1283" i="191"/>
  <c r="EO1283" i="191"/>
  <c r="BI1283" i="191"/>
  <c r="WI1283" i="191"/>
  <c r="PW1283" i="191"/>
  <c r="JK1283" i="191"/>
  <c r="SH1283" i="191"/>
  <c r="LV1283" i="191"/>
  <c r="GZ1283" i="191"/>
  <c r="DT1283" i="191"/>
  <c r="AN1283" i="191"/>
  <c r="US1283" i="191"/>
  <c r="OG1283" i="191"/>
  <c r="XD1283" i="191"/>
  <c r="QR1283" i="191"/>
  <c r="KF1283" i="191"/>
  <c r="GE1283" i="191"/>
  <c r="CY1283" i="191"/>
  <c r="S1283" i="191"/>
  <c r="TC1291" i="191"/>
  <c r="MQ1291" i="191"/>
  <c r="GE1291" i="191"/>
  <c r="S1291" i="191"/>
  <c r="SH1291" i="191"/>
  <c r="LV1291" i="191"/>
  <c r="FJ1291" i="191"/>
  <c r="YT1291" i="191"/>
  <c r="US1291" i="191"/>
  <c r="OG1291" i="191"/>
  <c r="HU1291" i="191"/>
  <c r="BI1291" i="191"/>
  <c r="TX1291" i="191"/>
  <c r="NL1291" i="191"/>
  <c r="GZ1291" i="191"/>
  <c r="AN1291" i="191"/>
  <c r="WI1291" i="191"/>
  <c r="PW1291" i="191"/>
  <c r="JK1291" i="191"/>
  <c r="CY1291" i="191"/>
  <c r="VN1291" i="191"/>
  <c r="PB1291" i="191"/>
  <c r="IP1291" i="191"/>
  <c r="CD1291" i="191"/>
  <c r="XY1291" i="191"/>
  <c r="RM1291" i="191"/>
  <c r="LA1291" i="191"/>
  <c r="EO1291" i="191"/>
  <c r="XD1291" i="191"/>
  <c r="QR1291" i="191"/>
  <c r="KF1291" i="191"/>
  <c r="DT1291" i="191"/>
  <c r="YT1284" i="191"/>
  <c r="SH1284" i="191"/>
  <c r="LV1284" i="191"/>
  <c r="FJ1284" i="191"/>
  <c r="WI1284" i="191"/>
  <c r="PW1284" i="191"/>
  <c r="JK1284" i="191"/>
  <c r="XY1284" i="191"/>
  <c r="TX1284" i="191"/>
  <c r="GZ1284" i="191"/>
  <c r="RM1284" i="191"/>
  <c r="VN1284" i="191"/>
  <c r="PB1284" i="191"/>
  <c r="IP1284" i="191"/>
  <c r="CD1284" i="191"/>
  <c r="TC1284" i="191"/>
  <c r="MQ1284" i="191"/>
  <c r="GE1284" i="191"/>
  <c r="S1284" i="191"/>
  <c r="XD1284" i="191"/>
  <c r="QR1284" i="191"/>
  <c r="KF1284" i="191"/>
  <c r="DT1284" i="191"/>
  <c r="US1284" i="191"/>
  <c r="OG1284" i="191"/>
  <c r="HU1284" i="191"/>
  <c r="BI1284" i="191"/>
  <c r="CY1284" i="191"/>
  <c r="NL1284" i="191"/>
  <c r="AN1284" i="191"/>
  <c r="LA1284" i="191"/>
  <c r="EO1284" i="191"/>
  <c r="VN1288" i="191"/>
  <c r="SH1288" i="191"/>
  <c r="PB1288" i="191"/>
  <c r="LV1288" i="191"/>
  <c r="IP1288" i="191"/>
  <c r="FJ1288" i="191"/>
  <c r="CD1288" i="191"/>
  <c r="YT1288" i="191"/>
  <c r="WI1288" i="191"/>
  <c r="TC1288" i="191"/>
  <c r="PW1288" i="191"/>
  <c r="MQ1288" i="191"/>
  <c r="JK1288" i="191"/>
  <c r="GE1288" i="191"/>
  <c r="CY1288" i="191"/>
  <c r="S1288" i="191"/>
  <c r="XD1288" i="191"/>
  <c r="TX1288" i="191"/>
  <c r="QR1288" i="191"/>
  <c r="NL1288" i="191"/>
  <c r="KF1288" i="191"/>
  <c r="GZ1288" i="191"/>
  <c r="DT1288" i="191"/>
  <c r="AN1288" i="191"/>
  <c r="XY1288" i="191"/>
  <c r="US1288" i="191"/>
  <c r="RM1288" i="191"/>
  <c r="OG1288" i="191"/>
  <c r="LA1288" i="191"/>
  <c r="HU1288" i="191"/>
  <c r="EO1288" i="191"/>
  <c r="BI1288" i="191"/>
  <c r="VN1292" i="191"/>
  <c r="SH1292" i="191"/>
  <c r="PB1292" i="191"/>
  <c r="LV1292" i="191"/>
  <c r="IP1292" i="191"/>
  <c r="FJ1292" i="191"/>
  <c r="CD1292" i="191"/>
  <c r="YT1292" i="191"/>
  <c r="WI1292" i="191"/>
  <c r="TC1292" i="191"/>
  <c r="PW1292" i="191"/>
  <c r="MQ1292" i="191"/>
  <c r="JK1292" i="191"/>
  <c r="GE1292" i="191"/>
  <c r="CY1292" i="191"/>
  <c r="S1292" i="191"/>
  <c r="XD1292" i="191"/>
  <c r="TX1292" i="191"/>
  <c r="QR1292" i="191"/>
  <c r="NL1292" i="191"/>
  <c r="KF1292" i="191"/>
  <c r="GZ1292" i="191"/>
  <c r="DT1292" i="191"/>
  <c r="AN1292" i="191"/>
  <c r="XY1292" i="191"/>
  <c r="US1292" i="191"/>
  <c r="RM1292" i="191"/>
  <c r="OG1292" i="191"/>
  <c r="LA1292" i="191"/>
  <c r="HU1292" i="191"/>
  <c r="EO1292" i="191"/>
  <c r="BI1292" i="191"/>
  <c r="XU1287" i="191"/>
  <c r="WE1287" i="191"/>
  <c r="WZ1287" i="191"/>
  <c r="UO1287" i="191"/>
  <c r="SY1287" i="191"/>
  <c r="RI1287" i="191"/>
  <c r="PS1287" i="191"/>
  <c r="OC1287" i="191"/>
  <c r="MM1287" i="191"/>
  <c r="KW1287" i="191"/>
  <c r="JG1287" i="191"/>
  <c r="HQ1287" i="191"/>
  <c r="GA1287" i="191"/>
  <c r="EK1287" i="191"/>
  <c r="CU1287" i="191"/>
  <c r="BE1287" i="191"/>
  <c r="O1287" i="191"/>
  <c r="VJ1287" i="191"/>
  <c r="TT1287" i="191"/>
  <c r="SD1287" i="191"/>
  <c r="QN1287" i="191"/>
  <c r="OX1287" i="191"/>
  <c r="NH1287" i="191"/>
  <c r="LR1287" i="191"/>
  <c r="KB1287" i="191"/>
  <c r="IL1287" i="191"/>
  <c r="GV1287" i="191"/>
  <c r="FF1287" i="191"/>
  <c r="DP1287" i="191"/>
  <c r="BZ1287" i="191"/>
  <c r="AJ1287" i="191"/>
  <c r="YP1287" i="191"/>
  <c r="G1291" i="191"/>
  <c r="G1222" i="191"/>
  <c r="XE1283" i="191"/>
  <c r="TY1283" i="191"/>
  <c r="QS1283" i="191"/>
  <c r="NM1283" i="191"/>
  <c r="KG1283" i="191"/>
  <c r="HV1283" i="191"/>
  <c r="EP1283" i="191"/>
  <c r="BJ1283" i="191"/>
  <c r="XZ1283" i="191"/>
  <c r="UT1283" i="191"/>
  <c r="RN1283" i="191"/>
  <c r="OH1283" i="191"/>
  <c r="LB1283" i="191"/>
  <c r="IQ1283" i="191"/>
  <c r="FK1283" i="191"/>
  <c r="CE1283" i="191"/>
  <c r="VO1283" i="191"/>
  <c r="SI1283" i="191"/>
  <c r="PC1283" i="191"/>
  <c r="LW1283" i="191"/>
  <c r="YU1283" i="191"/>
  <c r="GF1283" i="191"/>
  <c r="CZ1283" i="191"/>
  <c r="T1283" i="191"/>
  <c r="WJ1283" i="191"/>
  <c r="TD1283" i="191"/>
  <c r="PX1283" i="191"/>
  <c r="MR1283" i="191"/>
  <c r="JL1283" i="191"/>
  <c r="HA1283" i="191"/>
  <c r="DU1283" i="191"/>
  <c r="AO1283" i="191"/>
  <c r="XZ1291" i="191"/>
  <c r="UT1291" i="191"/>
  <c r="RN1291" i="191"/>
  <c r="OH1291" i="191"/>
  <c r="LB1291" i="191"/>
  <c r="HV1291" i="191"/>
  <c r="EP1291" i="191"/>
  <c r="BJ1291" i="191"/>
  <c r="YU1291" i="191"/>
  <c r="VO1291" i="191"/>
  <c r="SI1291" i="191"/>
  <c r="PC1291" i="191"/>
  <c r="LW1291" i="191"/>
  <c r="IQ1291" i="191"/>
  <c r="FK1291" i="191"/>
  <c r="CE1291" i="191"/>
  <c r="WJ1291" i="191"/>
  <c r="TD1291" i="191"/>
  <c r="PX1291" i="191"/>
  <c r="MR1291" i="191"/>
  <c r="JL1291" i="191"/>
  <c r="GF1291" i="191"/>
  <c r="CZ1291" i="191"/>
  <c r="T1291" i="191"/>
  <c r="XE1291" i="191"/>
  <c r="TY1291" i="191"/>
  <c r="QS1291" i="191"/>
  <c r="NM1291" i="191"/>
  <c r="KG1291" i="191"/>
  <c r="HA1291" i="191"/>
  <c r="DU1291" i="191"/>
  <c r="AO1291" i="191"/>
  <c r="XY1285" i="191"/>
  <c r="US1285" i="191"/>
  <c r="RM1285" i="191"/>
  <c r="OG1285" i="191"/>
  <c r="LA1285" i="191"/>
  <c r="HU1285" i="191"/>
  <c r="EO1285" i="191"/>
  <c r="BI1285" i="191"/>
  <c r="XD1285" i="191"/>
  <c r="TX1285" i="191"/>
  <c r="QR1285" i="191"/>
  <c r="NL1285" i="191"/>
  <c r="KF1285" i="191"/>
  <c r="GZ1285" i="191"/>
  <c r="DT1285" i="191"/>
  <c r="AN1285" i="191"/>
  <c r="WI1285" i="191"/>
  <c r="TC1285" i="191"/>
  <c r="PW1285" i="191"/>
  <c r="MQ1285" i="191"/>
  <c r="JK1285" i="191"/>
  <c r="GE1285" i="191"/>
  <c r="CY1285" i="191"/>
  <c r="S1285" i="191"/>
  <c r="VN1285" i="191"/>
  <c r="SH1285" i="191"/>
  <c r="PB1285" i="191"/>
  <c r="LV1285" i="191"/>
  <c r="IP1285" i="191"/>
  <c r="FJ1285" i="191"/>
  <c r="CD1285" i="191"/>
  <c r="YT1285" i="191"/>
  <c r="TC1293" i="191"/>
  <c r="MQ1293" i="191"/>
  <c r="GE1293" i="191"/>
  <c r="S1293" i="191"/>
  <c r="SH1293" i="191"/>
  <c r="LV1293" i="191"/>
  <c r="FJ1293" i="191"/>
  <c r="YT1293" i="191"/>
  <c r="US1293" i="191"/>
  <c r="OG1293" i="191"/>
  <c r="HU1293" i="191"/>
  <c r="BI1293" i="191"/>
  <c r="TX1293" i="191"/>
  <c r="NL1293" i="191"/>
  <c r="GZ1293" i="191"/>
  <c r="AN1293" i="191"/>
  <c r="WI1293" i="191"/>
  <c r="PW1293" i="191"/>
  <c r="JK1293" i="191"/>
  <c r="CY1293" i="191"/>
  <c r="VN1293" i="191"/>
  <c r="PB1293" i="191"/>
  <c r="IP1293" i="191"/>
  <c r="CD1293" i="191"/>
  <c r="XY1293" i="191"/>
  <c r="RM1293" i="191"/>
  <c r="LA1293" i="191"/>
  <c r="EO1293" i="191"/>
  <c r="XD1293" i="191"/>
  <c r="QR1293" i="191"/>
  <c r="KF1293" i="191"/>
  <c r="DT1293" i="191"/>
  <c r="YU1284" i="191"/>
  <c r="VO1284" i="191"/>
  <c r="SI1284" i="191"/>
  <c r="PC1284" i="191"/>
  <c r="LW1284" i="191"/>
  <c r="IQ1284" i="191"/>
  <c r="FK1284" i="191"/>
  <c r="CE1284" i="191"/>
  <c r="XZ1284" i="191"/>
  <c r="UT1284" i="191"/>
  <c r="RN1284" i="191"/>
  <c r="OH1284" i="191"/>
  <c r="LB1284" i="191"/>
  <c r="HV1284" i="191"/>
  <c r="EP1284" i="191"/>
  <c r="BJ1284" i="191"/>
  <c r="XE1284" i="191"/>
  <c r="TY1284" i="191"/>
  <c r="QS1284" i="191"/>
  <c r="NM1284" i="191"/>
  <c r="KG1284" i="191"/>
  <c r="HA1284" i="191"/>
  <c r="DU1284" i="191"/>
  <c r="AO1284" i="191"/>
  <c r="WJ1284" i="191"/>
  <c r="TD1284" i="191"/>
  <c r="PX1284" i="191"/>
  <c r="MR1284" i="191"/>
  <c r="JL1284" i="191"/>
  <c r="GF1284" i="191"/>
  <c r="CZ1284" i="191"/>
  <c r="T1284" i="191"/>
  <c r="YU1288" i="191"/>
  <c r="VO1288" i="191"/>
  <c r="SI1288" i="191"/>
  <c r="PC1288" i="191"/>
  <c r="LW1288" i="191"/>
  <c r="IQ1288" i="191"/>
  <c r="FK1288" i="191"/>
  <c r="CE1288" i="191"/>
  <c r="XZ1288" i="191"/>
  <c r="UT1288" i="191"/>
  <c r="RN1288" i="191"/>
  <c r="OH1288" i="191"/>
  <c r="LB1288" i="191"/>
  <c r="HV1288" i="191"/>
  <c r="EP1288" i="191"/>
  <c r="BJ1288" i="191"/>
  <c r="XE1288" i="191"/>
  <c r="TY1288" i="191"/>
  <c r="QS1288" i="191"/>
  <c r="NM1288" i="191"/>
  <c r="KG1288" i="191"/>
  <c r="HA1288" i="191"/>
  <c r="DU1288" i="191"/>
  <c r="AO1288" i="191"/>
  <c r="WJ1288" i="191"/>
  <c r="TD1288" i="191"/>
  <c r="PX1288" i="191"/>
  <c r="MR1288" i="191"/>
  <c r="JL1288" i="191"/>
  <c r="GF1288" i="191"/>
  <c r="CZ1288" i="191"/>
  <c r="T1288" i="191"/>
  <c r="YU1292" i="191"/>
  <c r="VO1292" i="191"/>
  <c r="SI1292" i="191"/>
  <c r="PC1292" i="191"/>
  <c r="LW1292" i="191"/>
  <c r="IQ1292" i="191"/>
  <c r="FK1292" i="191"/>
  <c r="CE1292" i="191"/>
  <c r="XZ1292" i="191"/>
  <c r="UT1292" i="191"/>
  <c r="RN1292" i="191"/>
  <c r="OH1292" i="191"/>
  <c r="LB1292" i="191"/>
  <c r="HV1292" i="191"/>
  <c r="EP1292" i="191"/>
  <c r="BJ1292" i="191"/>
  <c r="XE1292" i="191"/>
  <c r="TY1292" i="191"/>
  <c r="QS1292" i="191"/>
  <c r="NM1292" i="191"/>
  <c r="KG1292" i="191"/>
  <c r="HA1292" i="191"/>
  <c r="DU1292" i="191"/>
  <c r="AO1292" i="191"/>
  <c r="WJ1292" i="191"/>
  <c r="TD1292" i="191"/>
  <c r="PX1292" i="191"/>
  <c r="MR1292" i="191"/>
  <c r="JL1292" i="191"/>
  <c r="GF1292" i="191"/>
  <c r="CZ1292" i="191"/>
  <c r="T1292" i="191"/>
  <c r="XU1293" i="191"/>
  <c r="WE1293" i="191"/>
  <c r="UO1293" i="191"/>
  <c r="SY1293" i="191"/>
  <c r="RI1293" i="191"/>
  <c r="PS1293" i="191"/>
  <c r="OC1293" i="191"/>
  <c r="MM1293" i="191"/>
  <c r="KW1293" i="191"/>
  <c r="JG1293" i="191"/>
  <c r="HQ1293" i="191"/>
  <c r="GA1293" i="191"/>
  <c r="EK1293" i="191"/>
  <c r="CU1293" i="191"/>
  <c r="BE1293" i="191"/>
  <c r="O1293" i="191"/>
  <c r="WZ1293" i="191"/>
  <c r="VJ1293" i="191"/>
  <c r="TT1293" i="191"/>
  <c r="SD1293" i="191"/>
  <c r="QN1293" i="191"/>
  <c r="OX1293" i="191"/>
  <c r="NH1293" i="191"/>
  <c r="LR1293" i="191"/>
  <c r="KB1293" i="191"/>
  <c r="IL1293" i="191"/>
  <c r="GV1293" i="191"/>
  <c r="FF1293" i="191"/>
  <c r="DP1293" i="191"/>
  <c r="BZ1293" i="191"/>
  <c r="AJ1293" i="191"/>
  <c r="YP1293" i="191"/>
  <c r="XU1290" i="191"/>
  <c r="WE1290" i="191"/>
  <c r="UO1290" i="191"/>
  <c r="SY1290" i="191"/>
  <c r="RI1290" i="191"/>
  <c r="PS1290" i="191"/>
  <c r="OC1290" i="191"/>
  <c r="MM1290" i="191"/>
  <c r="KW1290" i="191"/>
  <c r="JG1290" i="191"/>
  <c r="HQ1290" i="191"/>
  <c r="GA1290" i="191"/>
  <c r="EK1290" i="191"/>
  <c r="CU1290" i="191"/>
  <c r="BE1290" i="191"/>
  <c r="O1290" i="191"/>
  <c r="WZ1290" i="191"/>
  <c r="VJ1290" i="191"/>
  <c r="TT1290" i="191"/>
  <c r="SD1290" i="191"/>
  <c r="QN1290" i="191"/>
  <c r="OX1290" i="191"/>
  <c r="NH1290" i="191"/>
  <c r="LR1290" i="191"/>
  <c r="KB1290" i="191"/>
  <c r="IL1290" i="191"/>
  <c r="GV1290" i="191"/>
  <c r="FF1290" i="191"/>
  <c r="DP1290" i="191"/>
  <c r="BZ1290" i="191"/>
  <c r="AJ1290" i="191"/>
  <c r="YP1290" i="191"/>
  <c r="G1292" i="191"/>
  <c r="G1223" i="191"/>
  <c r="H1291" i="191"/>
  <c r="H1222" i="191"/>
  <c r="G1290" i="191"/>
  <c r="G1221" i="191"/>
  <c r="H1285" i="191"/>
  <c r="H1216" i="191"/>
  <c r="H1284" i="191"/>
  <c r="H1215" i="191"/>
  <c r="H1283" i="191"/>
  <c r="H1214" i="191"/>
  <c r="H1212" i="191"/>
  <c r="H1281" i="191"/>
  <c r="G1285" i="191"/>
  <c r="G1216" i="191"/>
  <c r="G1215" i="191"/>
  <c r="G1284" i="191"/>
  <c r="G1281" i="191"/>
  <c r="G1212" i="191"/>
  <c r="XU1285" i="191"/>
  <c r="WE1285" i="191"/>
  <c r="UO1285" i="191"/>
  <c r="SY1285" i="191"/>
  <c r="RI1285" i="191"/>
  <c r="PS1285" i="191"/>
  <c r="OC1285" i="191"/>
  <c r="MM1285" i="191"/>
  <c r="KW1285" i="191"/>
  <c r="JG1285" i="191"/>
  <c r="HQ1285" i="191"/>
  <c r="GA1285" i="191"/>
  <c r="EK1285" i="191"/>
  <c r="CU1285" i="191"/>
  <c r="BE1285" i="191"/>
  <c r="O1285" i="191"/>
  <c r="WZ1285" i="191"/>
  <c r="VJ1285" i="191"/>
  <c r="TT1285" i="191"/>
  <c r="SD1285" i="191"/>
  <c r="QN1285" i="191"/>
  <c r="OX1285" i="191"/>
  <c r="NH1285" i="191"/>
  <c r="LR1285" i="191"/>
  <c r="KB1285" i="191"/>
  <c r="IL1285" i="191"/>
  <c r="GV1285" i="191"/>
  <c r="FF1285" i="191"/>
  <c r="DP1285" i="191"/>
  <c r="BZ1285" i="191"/>
  <c r="AJ1285" i="191"/>
  <c r="YP1285" i="191"/>
  <c r="F1283" i="191"/>
  <c r="WZ1281" i="191"/>
  <c r="TT1281" i="191"/>
  <c r="QN1281" i="191"/>
  <c r="NH1281" i="191"/>
  <c r="KB1281" i="191"/>
  <c r="GV1281" i="191"/>
  <c r="DP1281" i="191"/>
  <c r="AJ1281" i="191"/>
  <c r="WE1281" i="191"/>
  <c r="SY1281" i="191"/>
  <c r="PS1281" i="191"/>
  <c r="MM1281" i="191"/>
  <c r="JG1281" i="191"/>
  <c r="GA1281" i="191"/>
  <c r="CU1281" i="191"/>
  <c r="O1281" i="191"/>
  <c r="YP1281" i="191"/>
  <c r="VJ1281" i="191"/>
  <c r="SD1281" i="191"/>
  <c r="OX1281" i="191"/>
  <c r="LR1281" i="191"/>
  <c r="IL1281" i="191"/>
  <c r="FF1281" i="191"/>
  <c r="BZ1281" i="191"/>
  <c r="XU1281" i="191"/>
  <c r="UO1281" i="191"/>
  <c r="RI1281" i="191"/>
  <c r="OC1281" i="191"/>
  <c r="KW1281" i="191"/>
  <c r="HQ1281" i="191"/>
  <c r="EK1281" i="191"/>
  <c r="BE1281" i="191"/>
  <c r="K14" i="87"/>
  <c r="L14" i="87" s="1"/>
  <c r="K19" i="87"/>
  <c r="L19" i="87" s="1"/>
  <c r="E568" i="191"/>
  <c r="E756" i="191"/>
  <c r="E694" i="191"/>
  <c r="E755" i="191"/>
  <c r="E746" i="191"/>
  <c r="E693" i="191"/>
  <c r="E510" i="191"/>
  <c r="E504" i="191"/>
  <c r="E492" i="191"/>
  <c r="E761" i="191"/>
  <c r="E680" i="191"/>
  <c r="E507" i="191"/>
  <c r="E685" i="191"/>
  <c r="E692" i="191"/>
  <c r="E631" i="191"/>
  <c r="E748" i="191"/>
  <c r="E506" i="191"/>
  <c r="E497" i="191"/>
  <c r="E505" i="191"/>
  <c r="E495" i="191"/>
  <c r="E806" i="191"/>
  <c r="E809" i="191"/>
  <c r="E811" i="191"/>
  <c r="E820" i="191"/>
  <c r="E819" i="191"/>
  <c r="E818" i="191"/>
  <c r="E824" i="191"/>
  <c r="LH66" i="87"/>
  <c r="K116" i="87"/>
  <c r="L116" i="87" s="1"/>
  <c r="F145" i="191"/>
  <c r="F19" i="191" s="1"/>
  <c r="LI195" i="87"/>
  <c r="LI198" i="87"/>
  <c r="LI200" i="87"/>
  <c r="LI209" i="87"/>
  <c r="LI208" i="87"/>
  <c r="LI207" i="87"/>
  <c r="LI213" i="87"/>
  <c r="H143" i="191"/>
  <c r="H17" i="191" s="1"/>
  <c r="G144" i="191"/>
  <c r="G18" i="191" s="1"/>
  <c r="G136" i="87"/>
  <c r="H136" i="87" s="1"/>
  <c r="G148" i="87"/>
  <c r="H148" i="87" s="1"/>
  <c r="G131" i="87"/>
  <c r="H131" i="87" s="1"/>
  <c r="I131" i="87" s="1"/>
  <c r="K131" i="87" s="1"/>
  <c r="L131" i="87" s="1"/>
  <c r="G143" i="87"/>
  <c r="H143" i="87" s="1"/>
  <c r="I143" i="87" s="1"/>
  <c r="K143" i="87" s="1"/>
  <c r="G151" i="87"/>
  <c r="H151" i="87" s="1"/>
  <c r="I151" i="87" s="1"/>
  <c r="K151" i="87" s="1"/>
  <c r="G130" i="87"/>
  <c r="H130" i="87" s="1"/>
  <c r="I130" i="87" s="1"/>
  <c r="K130" i="87" s="1"/>
  <c r="G145" i="87"/>
  <c r="H145" i="87" s="1"/>
  <c r="G138" i="87"/>
  <c r="H138" i="87" s="1"/>
  <c r="I138" i="87" s="1"/>
  <c r="K138" i="87" s="1"/>
  <c r="L138" i="87" s="1"/>
  <c r="G133" i="87"/>
  <c r="H133" i="87" s="1"/>
  <c r="I133" i="87" s="1"/>
  <c r="K133" i="87" s="1"/>
  <c r="L133" i="87" s="1"/>
  <c r="G129" i="87"/>
  <c r="H129" i="87" s="1"/>
  <c r="I129" i="87" s="1"/>
  <c r="K129" i="87" s="1"/>
  <c r="G147" i="87"/>
  <c r="H147" i="87" s="1"/>
  <c r="I147" i="87" s="1"/>
  <c r="K147" i="87" s="1"/>
  <c r="G152" i="87"/>
  <c r="H152" i="87" s="1"/>
  <c r="I152" i="87" s="1"/>
  <c r="K152" i="87" s="1"/>
  <c r="L152" i="87" s="1"/>
  <c r="G142" i="87"/>
  <c r="H142" i="87" s="1"/>
  <c r="I142" i="87" s="1"/>
  <c r="K142" i="87" s="1"/>
  <c r="L142" i="87" s="1"/>
  <c r="G139" i="87"/>
  <c r="H139" i="87" s="1"/>
  <c r="K35" i="87"/>
  <c r="L35" i="87" s="1"/>
  <c r="K26" i="87"/>
  <c r="L26" i="87" s="1"/>
  <c r="K13" i="87"/>
  <c r="L13" i="87" s="1"/>
  <c r="K141" i="87"/>
  <c r="L141" i="87" s="1"/>
  <c r="K37" i="87"/>
  <c r="L37" i="87" s="1"/>
  <c r="K24" i="87"/>
  <c r="L24" i="87" s="1"/>
  <c r="G73" i="87"/>
  <c r="H73" i="87" s="1"/>
  <c r="I73" i="87" s="1"/>
  <c r="K73" i="87" s="1"/>
  <c r="L73" i="87" s="1"/>
  <c r="K107" i="87"/>
  <c r="L107" i="87" s="1"/>
  <c r="K22" i="87"/>
  <c r="L22" i="87" s="1"/>
  <c r="K28" i="87"/>
  <c r="L28" i="87" s="1"/>
  <c r="G104" i="87"/>
  <c r="H104" i="87" s="1"/>
  <c r="I104" i="87" s="1"/>
  <c r="K104" i="87" s="1"/>
  <c r="L104" i="87" s="1"/>
  <c r="K112" i="87"/>
  <c r="L112" i="87" s="1"/>
  <c r="G120" i="87"/>
  <c r="H120" i="87" s="1"/>
  <c r="G109" i="87"/>
  <c r="H109" i="87" s="1"/>
  <c r="I109" i="87" s="1"/>
  <c r="K109" i="87" s="1"/>
  <c r="L109" i="87" s="1"/>
  <c r="G122" i="87"/>
  <c r="H122" i="87" s="1"/>
  <c r="I122" i="87" s="1"/>
  <c r="K122" i="87" s="1"/>
  <c r="L122" i="87" s="1"/>
  <c r="G106" i="87"/>
  <c r="H106" i="87" s="1"/>
  <c r="I106" i="87" s="1"/>
  <c r="K106" i="87" s="1"/>
  <c r="L106" i="87" s="1"/>
  <c r="G125" i="87"/>
  <c r="H125" i="87" s="1"/>
  <c r="G115" i="87"/>
  <c r="H115" i="87" s="1"/>
  <c r="I115" i="87" s="1"/>
  <c r="K115" i="87" s="1"/>
  <c r="L115" i="87" s="1"/>
  <c r="G113" i="87"/>
  <c r="H113" i="87" s="1"/>
  <c r="I113" i="87" s="1"/>
  <c r="K113" i="87" s="1"/>
  <c r="K36" i="87"/>
  <c r="L36" i="87" s="1"/>
  <c r="K27" i="87"/>
  <c r="L27" i="87" s="1"/>
  <c r="K18" i="87"/>
  <c r="L18" i="87" s="1"/>
  <c r="K118" i="87"/>
  <c r="L118" i="87" s="1"/>
  <c r="K91" i="87"/>
  <c r="L91" i="87" s="1"/>
  <c r="K154" i="87"/>
  <c r="L154" i="87" s="1"/>
  <c r="K31" i="87"/>
  <c r="L31" i="87" s="1"/>
  <c r="K121" i="87"/>
  <c r="L121" i="87" s="1"/>
  <c r="K15" i="87"/>
  <c r="L15" i="87" s="1"/>
  <c r="K139" i="87"/>
  <c r="L139" i="87" s="1"/>
  <c r="G124" i="87"/>
  <c r="H124" i="87" s="1"/>
  <c r="I124" i="87" s="1"/>
  <c r="K124" i="87" s="1"/>
  <c r="L124" i="87" s="1"/>
  <c r="G154" i="87"/>
  <c r="H154" i="87" s="1"/>
  <c r="G150" i="87"/>
  <c r="H150" i="87" s="1"/>
  <c r="G134" i="87"/>
  <c r="H134" i="87" s="1"/>
  <c r="I134" i="87" s="1"/>
  <c r="K134" i="87" s="1"/>
  <c r="L134" i="87" s="1"/>
  <c r="G144" i="87"/>
  <c r="H144" i="87" s="1"/>
  <c r="I144" i="87" s="1"/>
  <c r="K144" i="87" s="1"/>
  <c r="L144" i="87" s="1"/>
  <c r="G140" i="87"/>
  <c r="H140" i="87" s="1"/>
  <c r="I140" i="87" s="1"/>
  <c r="K140" i="87" s="1"/>
  <c r="L140" i="87" s="1"/>
  <c r="G135" i="87"/>
  <c r="H135" i="87" s="1"/>
  <c r="I135" i="87" s="1"/>
  <c r="K135" i="87" s="1"/>
  <c r="L135" i="87" s="1"/>
  <c r="G141" i="87"/>
  <c r="H141" i="87" s="1"/>
  <c r="G149" i="87"/>
  <c r="H149" i="87" s="1"/>
  <c r="G153" i="87"/>
  <c r="H153" i="87" s="1"/>
  <c r="I153" i="87" s="1"/>
  <c r="K153" i="87" s="1"/>
  <c r="L153" i="87" s="1"/>
  <c r="K119" i="87"/>
  <c r="L119" i="87" s="1"/>
  <c r="K16" i="87"/>
  <c r="L16" i="87" s="1"/>
  <c r="G96" i="87"/>
  <c r="H96" i="87" s="1"/>
  <c r="G90" i="87"/>
  <c r="H90" i="87" s="1"/>
  <c r="G94" i="87"/>
  <c r="H94" i="87" s="1"/>
  <c r="I94" i="87" s="1"/>
  <c r="K94" i="87" s="1"/>
  <c r="L94" i="87" s="1"/>
  <c r="K62" i="87"/>
  <c r="L62" i="87" s="1"/>
  <c r="LD214" i="87"/>
  <c r="K120" i="87"/>
  <c r="L120" i="87" s="1"/>
  <c r="G92" i="87"/>
  <c r="H92" i="87" s="1"/>
  <c r="K87" i="87"/>
  <c r="L87" i="87" s="1"/>
  <c r="K78" i="87"/>
  <c r="L78" i="87" s="1"/>
  <c r="LH48" i="87"/>
  <c r="LH47" i="87"/>
  <c r="LH57" i="87"/>
  <c r="G87" i="87"/>
  <c r="H87" i="87" s="1"/>
  <c r="G83" i="87"/>
  <c r="H83" i="87" s="1"/>
  <c r="G78" i="87"/>
  <c r="H78" i="87" s="1"/>
  <c r="K149" i="87"/>
  <c r="L149" i="87" s="1"/>
  <c r="I126" i="87"/>
  <c r="K126" i="87" s="1"/>
  <c r="L126" i="87" s="1"/>
  <c r="N126" i="87" s="1"/>
  <c r="I206" i="87"/>
  <c r="K206" i="87" s="1"/>
  <c r="L206" i="87" s="1"/>
  <c r="I201" i="87"/>
  <c r="K201" i="87" s="1"/>
  <c r="L201" i="87" s="1"/>
  <c r="I199" i="87"/>
  <c r="K199" i="87" s="1"/>
  <c r="L199" i="87" s="1"/>
  <c r="I197" i="87"/>
  <c r="K197" i="87" s="1"/>
  <c r="L197" i="87" s="1"/>
  <c r="I191" i="87"/>
  <c r="K191" i="87" s="1"/>
  <c r="L191" i="87" s="1"/>
  <c r="I202" i="87"/>
  <c r="K202" i="87" s="1"/>
  <c r="L202" i="87" s="1"/>
  <c r="I193" i="87"/>
  <c r="K193" i="87" s="1"/>
  <c r="L193" i="87" s="1"/>
  <c r="LD185" i="87"/>
  <c r="K150" i="87"/>
  <c r="L150" i="87" s="1"/>
  <c r="K145" i="87"/>
  <c r="L145" i="87" s="1"/>
  <c r="LH44" i="87"/>
  <c r="LH53" i="87"/>
  <c r="LH62" i="87"/>
  <c r="LI62" i="87" s="1"/>
  <c r="LH67" i="87"/>
  <c r="LH65" i="87"/>
  <c r="LH63" i="87"/>
  <c r="LH61" i="87"/>
  <c r="LH58" i="87"/>
  <c r="LH56" i="87"/>
  <c r="LH54" i="87"/>
  <c r="LH52" i="87"/>
  <c r="LH49" i="87"/>
  <c r="LH45" i="87"/>
  <c r="LH43" i="87"/>
  <c r="LH42" i="87"/>
  <c r="LH46" i="87"/>
  <c r="LH51" i="87"/>
  <c r="LH55" i="87"/>
  <c r="LH60" i="87"/>
  <c r="LE33" i="87"/>
  <c r="LF33" i="87" s="1"/>
  <c r="LE32" i="87"/>
  <c r="LF32" i="87" s="1"/>
  <c r="LE31" i="87"/>
  <c r="LF31" i="87" s="1"/>
  <c r="LG31" i="87" s="1"/>
  <c r="LE29" i="87"/>
  <c r="LF29" i="87" s="1"/>
  <c r="LG29" i="87" s="1"/>
  <c r="E501" i="191" s="1"/>
  <c r="LE28" i="87"/>
  <c r="LF28" i="87" s="1"/>
  <c r="LG28" i="87" s="1"/>
  <c r="LE27" i="87"/>
  <c r="LF27" i="87" s="1"/>
  <c r="LG27" i="87" s="1"/>
  <c r="LE26" i="87"/>
  <c r="LF26" i="87" s="1"/>
  <c r="LG26" i="87" s="1"/>
  <c r="LE25" i="87"/>
  <c r="LF25" i="87" s="1"/>
  <c r="LE24" i="87"/>
  <c r="LF24" i="87" s="1"/>
  <c r="LG24" i="87" s="1"/>
  <c r="LE23" i="87"/>
  <c r="LF23" i="87" s="1"/>
  <c r="LE22" i="87"/>
  <c r="LF22" i="87" s="1"/>
  <c r="LG22" i="87" s="1"/>
  <c r="LE20" i="87"/>
  <c r="LF20" i="87" s="1"/>
  <c r="LE19" i="87"/>
  <c r="LF19" i="87" s="1"/>
  <c r="LG19" i="87" s="1"/>
  <c r="E491" i="191" s="1"/>
  <c r="LE18" i="87"/>
  <c r="LF18" i="87" s="1"/>
  <c r="LG18" i="87" s="1"/>
  <c r="LE34" i="87"/>
  <c r="LF34" i="87" s="1"/>
  <c r="LE37" i="87"/>
  <c r="LF37" i="87" s="1"/>
  <c r="LG37" i="87" s="1"/>
  <c r="LE36" i="87"/>
  <c r="LF36" i="87" s="1"/>
  <c r="LG36" i="87" s="1"/>
  <c r="LE17" i="87"/>
  <c r="LF17" i="87" s="1"/>
  <c r="LG17" i="87" s="1"/>
  <c r="LE16" i="87"/>
  <c r="LF16" i="87" s="1"/>
  <c r="LG16" i="87" s="1"/>
  <c r="LE15" i="87"/>
  <c r="LF15" i="87" s="1"/>
  <c r="LG15" i="87" s="1"/>
  <c r="LE14" i="87"/>
  <c r="LF14" i="87" s="1"/>
  <c r="LG14" i="87" s="1"/>
  <c r="E486" i="191" s="1"/>
  <c r="LE13" i="87"/>
  <c r="LF13" i="87" s="1"/>
  <c r="LG13" i="87" s="1"/>
  <c r="LG10" i="87"/>
  <c r="LI10" i="87" s="1"/>
  <c r="O10" i="87" s="1"/>
  <c r="LE38" i="87"/>
  <c r="LF38" i="87" s="1"/>
  <c r="LD155" i="87"/>
  <c r="H11" i="87"/>
  <c r="L136" i="87"/>
  <c r="LG150" i="87"/>
  <c r="LG136" i="87"/>
  <c r="LG125" i="87"/>
  <c r="K132" i="87"/>
  <c r="L148" i="87"/>
  <c r="LH154" i="87"/>
  <c r="LI154" i="87" s="1"/>
  <c r="LH153" i="87"/>
  <c r="LH151" i="87"/>
  <c r="LH149" i="87"/>
  <c r="LI149" i="87" s="1"/>
  <c r="LH152" i="87"/>
  <c r="LH150" i="87"/>
  <c r="LH148" i="87"/>
  <c r="LI148" i="87" s="1"/>
  <c r="LH145" i="87"/>
  <c r="LH147" i="87"/>
  <c r="LH144" i="87"/>
  <c r="LH142" i="87"/>
  <c r="LH140" i="87"/>
  <c r="LH138" i="87"/>
  <c r="LH135" i="87"/>
  <c r="LH133" i="87"/>
  <c r="LH143" i="87"/>
  <c r="LH141" i="87"/>
  <c r="LI141" i="87" s="1"/>
  <c r="LH139" i="87"/>
  <c r="LI139" i="87" s="1"/>
  <c r="LH136" i="87"/>
  <c r="LH134" i="87"/>
  <c r="LH132" i="87"/>
  <c r="LH130" i="87"/>
  <c r="LH131" i="87"/>
  <c r="LH129" i="87"/>
  <c r="L110" i="87"/>
  <c r="LD126" i="87"/>
  <c r="LE152" i="87" s="1"/>
  <c r="LF152" i="87" s="1"/>
  <c r="LG152" i="87" s="1"/>
  <c r="LG110" i="87"/>
  <c r="LG96" i="87"/>
  <c r="LG92" i="87"/>
  <c r="L96" i="87"/>
  <c r="L90" i="87"/>
  <c r="L33" i="87"/>
  <c r="L17" i="87"/>
  <c r="L125" i="87"/>
  <c r="LG90" i="87"/>
  <c r="LD97" i="87"/>
  <c r="LE104" i="87" s="1"/>
  <c r="LF104" i="87" s="1"/>
  <c r="LG104" i="87" s="1"/>
  <c r="L34" i="87"/>
  <c r="L32" i="87"/>
  <c r="L29" i="87"/>
  <c r="L25" i="87"/>
  <c r="L23" i="87"/>
  <c r="L20" i="87"/>
  <c r="L74" i="87"/>
  <c r="G123" i="87"/>
  <c r="H123" i="87" s="1"/>
  <c r="I123" i="87" s="1"/>
  <c r="K123" i="87" s="1"/>
  <c r="G121" i="87"/>
  <c r="H121" i="87" s="1"/>
  <c r="G119" i="87"/>
  <c r="H119" i="87" s="1"/>
  <c r="G116" i="87"/>
  <c r="H116" i="87" s="1"/>
  <c r="G114" i="87"/>
  <c r="H114" i="87" s="1"/>
  <c r="I114" i="87" s="1"/>
  <c r="K114" i="87" s="1"/>
  <c r="G112" i="87"/>
  <c r="H112" i="87" s="1"/>
  <c r="G111" i="87"/>
  <c r="H111" i="87" s="1"/>
  <c r="I111" i="87" s="1"/>
  <c r="K111" i="87" s="1"/>
  <c r="G105" i="87"/>
  <c r="H105" i="87" s="1"/>
  <c r="I105" i="87" s="1"/>
  <c r="K105" i="87" s="1"/>
  <c r="G107" i="87"/>
  <c r="H107" i="87" s="1"/>
  <c r="G103" i="87"/>
  <c r="H103" i="87" s="1"/>
  <c r="I103" i="87" s="1"/>
  <c r="K103" i="87" s="1"/>
  <c r="G101" i="87"/>
  <c r="H101" i="87" s="1"/>
  <c r="I101" i="87" s="1"/>
  <c r="K101" i="87" s="1"/>
  <c r="L101" i="87" s="1"/>
  <c r="I97" i="87"/>
  <c r="K97" i="87" s="1"/>
  <c r="LH124" i="87"/>
  <c r="LH122" i="87"/>
  <c r="LH120" i="87"/>
  <c r="LI120" i="87" s="1"/>
  <c r="LH118" i="87"/>
  <c r="LH115" i="87"/>
  <c r="LH113" i="87"/>
  <c r="LH125" i="87"/>
  <c r="LH123" i="87"/>
  <c r="LH121" i="87"/>
  <c r="LI121" i="87" s="1"/>
  <c r="LH119" i="87"/>
  <c r="LI119" i="87" s="1"/>
  <c r="LH116" i="87"/>
  <c r="LH114" i="87"/>
  <c r="LH111" i="87"/>
  <c r="LH109" i="87"/>
  <c r="LH112" i="87"/>
  <c r="LI112" i="87" s="1"/>
  <c r="LH110" i="87"/>
  <c r="LH107" i="87"/>
  <c r="LI107" i="87" s="1"/>
  <c r="LH105" i="87"/>
  <c r="LH103" i="87"/>
  <c r="LH101" i="87"/>
  <c r="LH106" i="87"/>
  <c r="LH104" i="87"/>
  <c r="LH102" i="87"/>
  <c r="LH100" i="87"/>
  <c r="L92" i="87"/>
  <c r="LG83" i="87"/>
  <c r="LG78" i="87"/>
  <c r="G95" i="87"/>
  <c r="H95" i="87" s="1"/>
  <c r="I95" i="87" s="1"/>
  <c r="K95" i="87" s="1"/>
  <c r="G93" i="87"/>
  <c r="H93" i="87" s="1"/>
  <c r="I93" i="87" s="1"/>
  <c r="K93" i="87" s="1"/>
  <c r="G91" i="87"/>
  <c r="H91" i="87" s="1"/>
  <c r="G89" i="87"/>
  <c r="H89" i="87" s="1"/>
  <c r="I89" i="87" s="1"/>
  <c r="K89" i="87" s="1"/>
  <c r="G86" i="87"/>
  <c r="H86" i="87" s="1"/>
  <c r="I86" i="87" s="1"/>
  <c r="K86" i="87" s="1"/>
  <c r="G84" i="87"/>
  <c r="H84" i="87" s="1"/>
  <c r="I84" i="87" s="1"/>
  <c r="K84" i="87" s="1"/>
  <c r="G82" i="87"/>
  <c r="H82" i="87" s="1"/>
  <c r="I82" i="87" s="1"/>
  <c r="K82" i="87" s="1"/>
  <c r="G80" i="87"/>
  <c r="H80" i="87" s="1"/>
  <c r="I80" i="87" s="1"/>
  <c r="K80" i="87" s="1"/>
  <c r="G77" i="87"/>
  <c r="H77" i="87" s="1"/>
  <c r="I77" i="87" s="1"/>
  <c r="K77" i="87" s="1"/>
  <c r="L77" i="87" s="1"/>
  <c r="G75" i="87"/>
  <c r="H75" i="87" s="1"/>
  <c r="I75" i="87" s="1"/>
  <c r="K75" i="87" s="1"/>
  <c r="L75" i="87" s="1"/>
  <c r="G72" i="87"/>
  <c r="H72" i="87" s="1"/>
  <c r="I72" i="87" s="1"/>
  <c r="K72" i="87" s="1"/>
  <c r="L72" i="87" s="1"/>
  <c r="I68" i="87"/>
  <c r="K68" i="87" s="1"/>
  <c r="LG81" i="87"/>
  <c r="LG61" i="87"/>
  <c r="LG52" i="87"/>
  <c r="L81" i="87"/>
  <c r="LD39" i="87"/>
  <c r="LE67" i="87" s="1"/>
  <c r="LF67" i="87" s="1"/>
  <c r="K67" i="87"/>
  <c r="K63" i="87"/>
  <c r="K61" i="87"/>
  <c r="K58" i="87"/>
  <c r="K54" i="87"/>
  <c r="LD68" i="87"/>
  <c r="LE94" i="87" s="1"/>
  <c r="LF94" i="87" s="1"/>
  <c r="LG94" i="87" s="1"/>
  <c r="I39" i="87"/>
  <c r="K39" i="87" s="1"/>
  <c r="G66" i="87"/>
  <c r="H66" i="87" s="1"/>
  <c r="I66" i="87" s="1"/>
  <c r="K66" i="87" s="1"/>
  <c r="G64" i="87"/>
  <c r="H64" i="87" s="1"/>
  <c r="I64" i="87" s="1"/>
  <c r="K64" i="87" s="1"/>
  <c r="G62" i="87"/>
  <c r="H62" i="87" s="1"/>
  <c r="G60" i="87"/>
  <c r="H60" i="87" s="1"/>
  <c r="I60" i="87" s="1"/>
  <c r="K60" i="87" s="1"/>
  <c r="G57" i="87"/>
  <c r="H57" i="87" s="1"/>
  <c r="I57" i="87" s="1"/>
  <c r="K57" i="87" s="1"/>
  <c r="G55" i="87"/>
  <c r="H55" i="87" s="1"/>
  <c r="I55" i="87" s="1"/>
  <c r="K55" i="87" s="1"/>
  <c r="G53" i="87"/>
  <c r="H53" i="87" s="1"/>
  <c r="I53" i="87" s="1"/>
  <c r="K53" i="87" s="1"/>
  <c r="G51" i="87"/>
  <c r="H51" i="87" s="1"/>
  <c r="I51" i="87" s="1"/>
  <c r="K51" i="87" s="1"/>
  <c r="G48" i="87"/>
  <c r="H48" i="87" s="1"/>
  <c r="I48" i="87" s="1"/>
  <c r="K48" i="87" s="1"/>
  <c r="L48" i="87" s="1"/>
  <c r="G46" i="87"/>
  <c r="H46" i="87" s="1"/>
  <c r="I46" i="87" s="1"/>
  <c r="K46" i="87" s="1"/>
  <c r="G44" i="87"/>
  <c r="H44" i="87" s="1"/>
  <c r="I44" i="87" s="1"/>
  <c r="K44" i="87" s="1"/>
  <c r="G42" i="87"/>
  <c r="H42" i="87" s="1"/>
  <c r="G43" i="87"/>
  <c r="H43" i="87" s="1"/>
  <c r="I43" i="87" s="1"/>
  <c r="K43" i="87" s="1"/>
  <c r="G45" i="87"/>
  <c r="H45" i="87" s="1"/>
  <c r="I45" i="87" s="1"/>
  <c r="K45" i="87" s="1"/>
  <c r="G47" i="87"/>
  <c r="H47" i="87" s="1"/>
  <c r="I47" i="87" s="1"/>
  <c r="K47" i="87" s="1"/>
  <c r="G49" i="87"/>
  <c r="H49" i="87" s="1"/>
  <c r="G52" i="87"/>
  <c r="H52" i="87" s="1"/>
  <c r="G54" i="87"/>
  <c r="H54" i="87" s="1"/>
  <c r="G56" i="87"/>
  <c r="H56" i="87" s="1"/>
  <c r="I56" i="87" s="1"/>
  <c r="K56" i="87" s="1"/>
  <c r="G58" i="87"/>
  <c r="H58" i="87" s="1"/>
  <c r="L83" i="87"/>
  <c r="LG67" i="87"/>
  <c r="LG63" i="87"/>
  <c r="LG54" i="87"/>
  <c r="LG49" i="87"/>
  <c r="LH95" i="87"/>
  <c r="LH93" i="87"/>
  <c r="LH91" i="87"/>
  <c r="LI91" i="87" s="1"/>
  <c r="LH89" i="87"/>
  <c r="LH86" i="87"/>
  <c r="LH84" i="87"/>
  <c r="LH82" i="87"/>
  <c r="LH80" i="87"/>
  <c r="LH77" i="87"/>
  <c r="LH75" i="87"/>
  <c r="LH73" i="87"/>
  <c r="LH94" i="87"/>
  <c r="LH92" i="87"/>
  <c r="LH90" i="87"/>
  <c r="LH72" i="87"/>
  <c r="LH96" i="87"/>
  <c r="LH85" i="87"/>
  <c r="LH81" i="87"/>
  <c r="LH76" i="87"/>
  <c r="LH71" i="87"/>
  <c r="LH87" i="87"/>
  <c r="LH83" i="87"/>
  <c r="LH78" i="87"/>
  <c r="LH74" i="87"/>
  <c r="G102" i="87"/>
  <c r="H102" i="87" s="1"/>
  <c r="I102" i="87" s="1"/>
  <c r="K102" i="87" s="1"/>
  <c r="G100" i="87"/>
  <c r="H100" i="87" s="1"/>
  <c r="G71" i="87"/>
  <c r="H71" i="87" s="1"/>
  <c r="G85" i="87"/>
  <c r="H85" i="87" s="1"/>
  <c r="I85" i="87" s="1"/>
  <c r="K85" i="87" s="1"/>
  <c r="G81" i="87"/>
  <c r="H81" i="87" s="1"/>
  <c r="G76" i="87"/>
  <c r="H76" i="87" s="1"/>
  <c r="I76" i="87" s="1"/>
  <c r="K76" i="87" s="1"/>
  <c r="G67" i="87"/>
  <c r="H67" i="87" s="1"/>
  <c r="G65" i="87"/>
  <c r="H65" i="87" s="1"/>
  <c r="I65" i="87" s="1"/>
  <c r="K65" i="87" s="1"/>
  <c r="G63" i="87"/>
  <c r="H63" i="87" s="1"/>
  <c r="G61" i="87"/>
  <c r="H61" i="87" s="1"/>
  <c r="N10" i="87"/>
  <c r="LH38" i="87"/>
  <c r="LI38" i="87" s="1"/>
  <c r="LH37" i="87"/>
  <c r="LH36" i="87"/>
  <c r="LH35" i="87"/>
  <c r="LI35" i="87" s="1"/>
  <c r="LH34" i="87"/>
  <c r="LI34" i="87" s="1"/>
  <c r="LH33" i="87"/>
  <c r="LI33" i="87" s="1"/>
  <c r="LH32" i="87"/>
  <c r="LI32" i="87" s="1"/>
  <c r="LH31" i="87"/>
  <c r="LH29" i="87"/>
  <c r="LH28" i="87"/>
  <c r="LH27" i="87"/>
  <c r="LH26" i="87"/>
  <c r="LH25" i="87"/>
  <c r="LI25" i="87" s="1"/>
  <c r="LH24" i="87"/>
  <c r="LH23" i="87"/>
  <c r="LI23" i="87" s="1"/>
  <c r="LH22" i="87"/>
  <c r="LH20" i="87"/>
  <c r="LI20" i="87" s="1"/>
  <c r="LH19" i="87"/>
  <c r="LH18" i="87"/>
  <c r="LH17" i="87"/>
  <c r="LH16" i="87"/>
  <c r="LH15" i="87"/>
  <c r="LH14" i="87"/>
  <c r="LH13" i="87"/>
  <c r="L38" i="87"/>
  <c r="K52" i="87"/>
  <c r="K49" i="87"/>
  <c r="T1280" i="191" l="1"/>
  <c r="T1310" i="191" s="1"/>
  <c r="Z1311" i="191" s="1"/>
  <c r="Z1306" i="191" s="1"/>
  <c r="AF1306" i="191" s="1"/>
  <c r="BJ1280" i="191"/>
  <c r="BJ1310" i="191" s="1"/>
  <c r="BP1311" i="191" s="1"/>
  <c r="BP1306" i="191" s="1"/>
  <c r="BV1306" i="191" s="1"/>
  <c r="OH1280" i="191"/>
  <c r="OH1310" i="191" s="1"/>
  <c r="ON1311" i="191" s="1"/>
  <c r="ON1306" i="191" s="1"/>
  <c r="OT1306" i="191" s="1"/>
  <c r="AO1280" i="191"/>
  <c r="AO1310" i="191" s="1"/>
  <c r="AU1311" i="191" s="1"/>
  <c r="GF1280" i="191"/>
  <c r="GF1310" i="191" s="1"/>
  <c r="GL1311" i="191" s="1"/>
  <c r="GL1294" i="191" s="1"/>
  <c r="GR1294" i="191" s="1"/>
  <c r="HA1280" i="191"/>
  <c r="HA1310" i="191" s="1"/>
  <c r="HG1311" i="191" s="1"/>
  <c r="HG1306" i="191" s="1"/>
  <c r="HM1306" i="191" s="1"/>
  <c r="TY1280" i="191"/>
  <c r="TY1310" i="191" s="1"/>
  <c r="UE1311" i="191" s="1"/>
  <c r="UE1306" i="191" s="1"/>
  <c r="UK1306" i="191" s="1"/>
  <c r="UT1280" i="191"/>
  <c r="UT1310" i="191" s="1"/>
  <c r="UZ1311" i="191" s="1"/>
  <c r="MR1280" i="191"/>
  <c r="MR1310" i="191" s="1"/>
  <c r="MX1311" i="191" s="1"/>
  <c r="MX1290" i="191" s="1"/>
  <c r="ND1290" i="191" s="1"/>
  <c r="NM1280" i="191"/>
  <c r="NM1310" i="191" s="1"/>
  <c r="NS1311" i="191" s="1"/>
  <c r="NS1306" i="191" s="1"/>
  <c r="NY1306" i="191" s="1"/>
  <c r="HV1280" i="191"/>
  <c r="HV1310" i="191" s="1"/>
  <c r="IB1311" i="191" s="1"/>
  <c r="IB1306" i="191" s="1"/>
  <c r="IH1306" i="191" s="1"/>
  <c r="YU1280" i="191"/>
  <c r="YU1310" i="191" s="1"/>
  <c r="ZA1311" i="191" s="1"/>
  <c r="TD1280" i="191"/>
  <c r="TD1310" i="191" s="1"/>
  <c r="TJ1311" i="191" s="1"/>
  <c r="TJ1307" i="191" s="1"/>
  <c r="TP1307" i="191" s="1"/>
  <c r="LW1280" i="191"/>
  <c r="LW1310" i="191" s="1"/>
  <c r="MC1311" i="191" s="1"/>
  <c r="MC1306" i="191" s="1"/>
  <c r="MI1306" i="191" s="1"/>
  <c r="FK1280" i="191"/>
  <c r="FK1310" i="191" s="1"/>
  <c r="FQ1311" i="191" s="1"/>
  <c r="SI1280" i="191"/>
  <c r="SI1310" i="191" s="1"/>
  <c r="SO1311" i="191" s="1"/>
  <c r="DU1280" i="191"/>
  <c r="DU1310" i="191" s="1"/>
  <c r="EA1311" i="191" s="1"/>
  <c r="EA1306" i="191" s="1"/>
  <c r="EG1306" i="191" s="1"/>
  <c r="JL1280" i="191"/>
  <c r="JL1310" i="191" s="1"/>
  <c r="JR1311" i="191" s="1"/>
  <c r="JR1306" i="191" s="1"/>
  <c r="JX1306" i="191" s="1"/>
  <c r="PX1280" i="191"/>
  <c r="PX1310" i="191" s="1"/>
  <c r="QD1311" i="191" s="1"/>
  <c r="WJ1280" i="191"/>
  <c r="WJ1310" i="191" s="1"/>
  <c r="WP1311" i="191" s="1"/>
  <c r="WP1284" i="191" s="1"/>
  <c r="WV1284" i="191" s="1"/>
  <c r="CZ1280" i="191"/>
  <c r="CZ1310" i="191" s="1"/>
  <c r="DF1311" i="191" s="1"/>
  <c r="DF1306" i="191" s="1"/>
  <c r="DL1306" i="191" s="1"/>
  <c r="PC1280" i="191"/>
  <c r="PC1310" i="191" s="1"/>
  <c r="PI1311" i="191" s="1"/>
  <c r="PI1306" i="191" s="1"/>
  <c r="PO1306" i="191" s="1"/>
  <c r="VO1280" i="191"/>
  <c r="VO1310" i="191" s="1"/>
  <c r="VU1311" i="191" s="1"/>
  <c r="LB1280" i="191"/>
  <c r="LB1310" i="191" s="1"/>
  <c r="LH1311" i="191" s="1"/>
  <c r="RN1280" i="191"/>
  <c r="RN1310" i="191" s="1"/>
  <c r="RT1311" i="191" s="1"/>
  <c r="RT1306" i="191" s="1"/>
  <c r="RZ1306" i="191" s="1"/>
  <c r="XZ1280" i="191"/>
  <c r="XZ1310" i="191" s="1"/>
  <c r="YF1311" i="191" s="1"/>
  <c r="YF1306" i="191" s="1"/>
  <c r="YL1306" i="191" s="1"/>
  <c r="EP1280" i="191"/>
  <c r="EP1310" i="191" s="1"/>
  <c r="EV1311" i="191" s="1"/>
  <c r="KG1280" i="191"/>
  <c r="KG1310" i="191" s="1"/>
  <c r="KM1311" i="191" s="1"/>
  <c r="QS1280" i="191"/>
  <c r="QS1310" i="191" s="1"/>
  <c r="QY1311" i="191" s="1"/>
  <c r="QY1306" i="191" s="1"/>
  <c r="RE1306" i="191" s="1"/>
  <c r="XE1280" i="191"/>
  <c r="XE1310" i="191" s="1"/>
  <c r="XK1311" i="191" s="1"/>
  <c r="XK1306" i="191" s="1"/>
  <c r="XQ1306" i="191" s="1"/>
  <c r="CE1280" i="191"/>
  <c r="CE1310" i="191" s="1"/>
  <c r="CK1311" i="191" s="1"/>
  <c r="IQ1280" i="191"/>
  <c r="IQ1310" i="191" s="1"/>
  <c r="IW1311" i="191" s="1"/>
  <c r="LI29" i="87"/>
  <c r="F501" i="191" s="1"/>
  <c r="H1282" i="191"/>
  <c r="H1213" i="191"/>
  <c r="HG1301" i="191"/>
  <c r="HM1301" i="191" s="1"/>
  <c r="HG1302" i="191"/>
  <c r="HM1302" i="191" s="1"/>
  <c r="HG1299" i="191"/>
  <c r="HM1299" i="191" s="1"/>
  <c r="HG1281" i="191"/>
  <c r="HM1281" i="191" s="1"/>
  <c r="TJ1305" i="191"/>
  <c r="TP1305" i="191" s="1"/>
  <c r="GL1289" i="191"/>
  <c r="GR1289" i="191" s="1"/>
  <c r="VK1282" i="191"/>
  <c r="SE1282" i="191"/>
  <c r="OY1282" i="191"/>
  <c r="LS1282" i="191"/>
  <c r="IM1282" i="191"/>
  <c r="FG1282" i="191"/>
  <c r="CA1282" i="191"/>
  <c r="YQ1282" i="191"/>
  <c r="WF1282" i="191"/>
  <c r="SZ1282" i="191"/>
  <c r="PT1282" i="191"/>
  <c r="MN1282" i="191"/>
  <c r="JH1282" i="191"/>
  <c r="GB1282" i="191"/>
  <c r="CV1282" i="191"/>
  <c r="P1282" i="191"/>
  <c r="XA1282" i="191"/>
  <c r="TU1282" i="191"/>
  <c r="QO1282" i="191"/>
  <c r="NI1282" i="191"/>
  <c r="KC1282" i="191"/>
  <c r="GW1282" i="191"/>
  <c r="DQ1282" i="191"/>
  <c r="AK1282" i="191"/>
  <c r="XV1282" i="191"/>
  <c r="UP1282" i="191"/>
  <c r="RJ1282" i="191"/>
  <c r="OD1282" i="191"/>
  <c r="KX1282" i="191"/>
  <c r="HR1282" i="191"/>
  <c r="EL1282" i="191"/>
  <c r="BF1282" i="191"/>
  <c r="YQ1286" i="191"/>
  <c r="XA1286" i="191"/>
  <c r="VK1286" i="191"/>
  <c r="TU1286" i="191"/>
  <c r="SE1286" i="191"/>
  <c r="QO1286" i="191"/>
  <c r="OY1286" i="191"/>
  <c r="NI1286" i="191"/>
  <c r="LS1286" i="191"/>
  <c r="KC1286" i="191"/>
  <c r="IM1286" i="191"/>
  <c r="GW1286" i="191"/>
  <c r="FG1286" i="191"/>
  <c r="DQ1286" i="191"/>
  <c r="CA1286" i="191"/>
  <c r="AK1286" i="191"/>
  <c r="XV1286" i="191"/>
  <c r="WF1286" i="191"/>
  <c r="UP1286" i="191"/>
  <c r="SZ1286" i="191"/>
  <c r="RJ1286" i="191"/>
  <c r="PT1286" i="191"/>
  <c r="OD1286" i="191"/>
  <c r="MN1286" i="191"/>
  <c r="KX1286" i="191"/>
  <c r="JH1286" i="191"/>
  <c r="HR1286" i="191"/>
  <c r="GB1286" i="191"/>
  <c r="EL1286" i="191"/>
  <c r="CV1286" i="191"/>
  <c r="BF1286" i="191"/>
  <c r="P1286" i="191"/>
  <c r="YQ1288" i="191"/>
  <c r="XA1288" i="191"/>
  <c r="VK1288" i="191"/>
  <c r="TU1288" i="191"/>
  <c r="SE1288" i="191"/>
  <c r="QO1288" i="191"/>
  <c r="OY1288" i="191"/>
  <c r="NI1288" i="191"/>
  <c r="LS1288" i="191"/>
  <c r="KC1288" i="191"/>
  <c r="IM1288" i="191"/>
  <c r="GW1288" i="191"/>
  <c r="FG1288" i="191"/>
  <c r="DQ1288" i="191"/>
  <c r="CA1288" i="191"/>
  <c r="AK1288" i="191"/>
  <c r="XV1288" i="191"/>
  <c r="WF1288" i="191"/>
  <c r="UP1288" i="191"/>
  <c r="SZ1288" i="191"/>
  <c r="RJ1288" i="191"/>
  <c r="PT1288" i="191"/>
  <c r="OD1288" i="191"/>
  <c r="MN1288" i="191"/>
  <c r="KX1288" i="191"/>
  <c r="JH1288" i="191"/>
  <c r="HR1288" i="191"/>
  <c r="GB1288" i="191"/>
  <c r="EL1288" i="191"/>
  <c r="CV1288" i="191"/>
  <c r="BF1288" i="191"/>
  <c r="P1288" i="191"/>
  <c r="XW1288" i="191"/>
  <c r="WG1288" i="191"/>
  <c r="UQ1288" i="191"/>
  <c r="TA1288" i="191"/>
  <c r="RK1288" i="191"/>
  <c r="PU1288" i="191"/>
  <c r="OE1288" i="191"/>
  <c r="MO1288" i="191"/>
  <c r="KY1288" i="191"/>
  <c r="JI1288" i="191"/>
  <c r="HS1288" i="191"/>
  <c r="GC1288" i="191"/>
  <c r="EM1288" i="191"/>
  <c r="CW1288" i="191"/>
  <c r="BG1288" i="191"/>
  <c r="Q1288" i="191"/>
  <c r="XB1288" i="191"/>
  <c r="VL1288" i="191"/>
  <c r="TV1288" i="191"/>
  <c r="SF1288" i="191"/>
  <c r="QP1288" i="191"/>
  <c r="OZ1288" i="191"/>
  <c r="NJ1288" i="191"/>
  <c r="LT1288" i="191"/>
  <c r="KD1288" i="191"/>
  <c r="IN1288" i="191"/>
  <c r="GX1288" i="191"/>
  <c r="FH1288" i="191"/>
  <c r="DR1288" i="191"/>
  <c r="CB1288" i="191"/>
  <c r="AL1288" i="191"/>
  <c r="YR1288" i="191"/>
  <c r="XW1290" i="191"/>
  <c r="WG1290" i="191"/>
  <c r="UQ1290" i="191"/>
  <c r="TA1290" i="191"/>
  <c r="RK1290" i="191"/>
  <c r="PU1290" i="191"/>
  <c r="OE1290" i="191"/>
  <c r="MO1290" i="191"/>
  <c r="KY1290" i="191"/>
  <c r="JI1290" i="191"/>
  <c r="HS1290" i="191"/>
  <c r="GC1290" i="191"/>
  <c r="EM1290" i="191"/>
  <c r="CW1290" i="191"/>
  <c r="BG1290" i="191"/>
  <c r="Q1290" i="191"/>
  <c r="XB1290" i="191"/>
  <c r="VL1290" i="191"/>
  <c r="TV1290" i="191"/>
  <c r="SF1290" i="191"/>
  <c r="QP1290" i="191"/>
  <c r="OZ1290" i="191"/>
  <c r="NJ1290" i="191"/>
  <c r="LT1290" i="191"/>
  <c r="KD1290" i="191"/>
  <c r="IN1290" i="191"/>
  <c r="GX1290" i="191"/>
  <c r="FH1290" i="191"/>
  <c r="DR1290" i="191"/>
  <c r="CB1290" i="191"/>
  <c r="AL1290" i="191"/>
  <c r="YR1290" i="191"/>
  <c r="XW1292" i="191"/>
  <c r="WG1292" i="191"/>
  <c r="UQ1292" i="191"/>
  <c r="TA1292" i="191"/>
  <c r="RK1292" i="191"/>
  <c r="PU1292" i="191"/>
  <c r="OE1292" i="191"/>
  <c r="MO1292" i="191"/>
  <c r="KY1292" i="191"/>
  <c r="JI1292" i="191"/>
  <c r="HS1292" i="191"/>
  <c r="GC1292" i="191"/>
  <c r="EM1292" i="191"/>
  <c r="CW1292" i="191"/>
  <c r="BG1292" i="191"/>
  <c r="Q1292" i="191"/>
  <c r="XB1292" i="191"/>
  <c r="VL1292" i="191"/>
  <c r="TV1292" i="191"/>
  <c r="SF1292" i="191"/>
  <c r="QP1292" i="191"/>
  <c r="OZ1292" i="191"/>
  <c r="NJ1292" i="191"/>
  <c r="LT1292" i="191"/>
  <c r="KD1292" i="191"/>
  <c r="IN1292" i="191"/>
  <c r="GX1292" i="191"/>
  <c r="FH1292" i="191"/>
  <c r="DR1292" i="191"/>
  <c r="CB1292" i="191"/>
  <c r="AL1292" i="191"/>
  <c r="YR1292" i="191"/>
  <c r="YQ1287" i="191"/>
  <c r="XA1287" i="191"/>
  <c r="VK1287" i="191"/>
  <c r="TU1287" i="191"/>
  <c r="SE1287" i="191"/>
  <c r="QO1287" i="191"/>
  <c r="OY1287" i="191"/>
  <c r="NI1287" i="191"/>
  <c r="LS1287" i="191"/>
  <c r="KC1287" i="191"/>
  <c r="IM1287" i="191"/>
  <c r="GW1287" i="191"/>
  <c r="FG1287" i="191"/>
  <c r="DQ1287" i="191"/>
  <c r="CA1287" i="191"/>
  <c r="AK1287" i="191"/>
  <c r="XV1287" i="191"/>
  <c r="WF1287" i="191"/>
  <c r="UP1287" i="191"/>
  <c r="SZ1287" i="191"/>
  <c r="RJ1287" i="191"/>
  <c r="PT1287" i="191"/>
  <c r="OD1287" i="191"/>
  <c r="MN1287" i="191"/>
  <c r="KX1287" i="191"/>
  <c r="JH1287" i="191"/>
  <c r="HR1287" i="191"/>
  <c r="GB1287" i="191"/>
  <c r="EL1287" i="191"/>
  <c r="CV1287" i="191"/>
  <c r="BF1287" i="191"/>
  <c r="P1287" i="191"/>
  <c r="YQ1293" i="191"/>
  <c r="XA1293" i="191"/>
  <c r="VK1293" i="191"/>
  <c r="TU1293" i="191"/>
  <c r="SE1293" i="191"/>
  <c r="QO1293" i="191"/>
  <c r="OY1293" i="191"/>
  <c r="NI1293" i="191"/>
  <c r="LS1293" i="191"/>
  <c r="KC1293" i="191"/>
  <c r="IM1293" i="191"/>
  <c r="GW1293" i="191"/>
  <c r="FG1293" i="191"/>
  <c r="DQ1293" i="191"/>
  <c r="CA1293" i="191"/>
  <c r="AK1293" i="191"/>
  <c r="XV1293" i="191"/>
  <c r="WF1293" i="191"/>
  <c r="UP1293" i="191"/>
  <c r="SZ1293" i="191"/>
  <c r="RJ1293" i="191"/>
  <c r="PT1293" i="191"/>
  <c r="OD1293" i="191"/>
  <c r="MN1293" i="191"/>
  <c r="KX1293" i="191"/>
  <c r="JH1293" i="191"/>
  <c r="HR1293" i="191"/>
  <c r="GB1293" i="191"/>
  <c r="EL1293" i="191"/>
  <c r="CV1293" i="191"/>
  <c r="BF1293" i="191"/>
  <c r="P1293" i="191"/>
  <c r="XW1289" i="191"/>
  <c r="WG1289" i="191"/>
  <c r="UQ1289" i="191"/>
  <c r="TA1289" i="191"/>
  <c r="RK1289" i="191"/>
  <c r="PU1289" i="191"/>
  <c r="OE1289" i="191"/>
  <c r="MO1289" i="191"/>
  <c r="KY1289" i="191"/>
  <c r="JI1289" i="191"/>
  <c r="HS1289" i="191"/>
  <c r="GC1289" i="191"/>
  <c r="EM1289" i="191"/>
  <c r="CW1289" i="191"/>
  <c r="BG1289" i="191"/>
  <c r="Q1289" i="191"/>
  <c r="XB1289" i="191"/>
  <c r="VL1289" i="191"/>
  <c r="TV1289" i="191"/>
  <c r="SF1289" i="191"/>
  <c r="QP1289" i="191"/>
  <c r="OZ1289" i="191"/>
  <c r="NJ1289" i="191"/>
  <c r="LT1289" i="191"/>
  <c r="KD1289" i="191"/>
  <c r="IN1289" i="191"/>
  <c r="GX1289" i="191"/>
  <c r="FH1289" i="191"/>
  <c r="DR1289" i="191"/>
  <c r="CB1289" i="191"/>
  <c r="AL1289" i="191"/>
  <c r="YR1289" i="191"/>
  <c r="YQ1289" i="191"/>
  <c r="XA1289" i="191"/>
  <c r="VK1289" i="191"/>
  <c r="TU1289" i="191"/>
  <c r="SE1289" i="191"/>
  <c r="QO1289" i="191"/>
  <c r="OY1289" i="191"/>
  <c r="NI1289" i="191"/>
  <c r="LS1289" i="191"/>
  <c r="KC1289" i="191"/>
  <c r="IM1289" i="191"/>
  <c r="GW1289" i="191"/>
  <c r="FG1289" i="191"/>
  <c r="DQ1289" i="191"/>
  <c r="CA1289" i="191"/>
  <c r="AK1289" i="191"/>
  <c r="XV1289" i="191"/>
  <c r="WF1289" i="191"/>
  <c r="UP1289" i="191"/>
  <c r="SZ1289" i="191"/>
  <c r="RJ1289" i="191"/>
  <c r="PT1289" i="191"/>
  <c r="OD1289" i="191"/>
  <c r="MN1289" i="191"/>
  <c r="KX1289" i="191"/>
  <c r="JH1289" i="191"/>
  <c r="HR1289" i="191"/>
  <c r="GB1289" i="191"/>
  <c r="EL1289" i="191"/>
  <c r="CV1289" i="191"/>
  <c r="BF1289" i="191"/>
  <c r="P1289" i="191"/>
  <c r="XW1287" i="191"/>
  <c r="WG1287" i="191"/>
  <c r="UQ1287" i="191"/>
  <c r="TA1287" i="191"/>
  <c r="RK1287" i="191"/>
  <c r="PU1287" i="191"/>
  <c r="OE1287" i="191"/>
  <c r="MO1287" i="191"/>
  <c r="KY1287" i="191"/>
  <c r="JI1287" i="191"/>
  <c r="HS1287" i="191"/>
  <c r="GC1287" i="191"/>
  <c r="EM1287" i="191"/>
  <c r="CW1287" i="191"/>
  <c r="BG1287" i="191"/>
  <c r="Q1287" i="191"/>
  <c r="XB1287" i="191"/>
  <c r="VL1287" i="191"/>
  <c r="TV1287" i="191"/>
  <c r="SF1287" i="191"/>
  <c r="QP1287" i="191"/>
  <c r="OZ1287" i="191"/>
  <c r="NJ1287" i="191"/>
  <c r="LT1287" i="191"/>
  <c r="KD1287" i="191"/>
  <c r="IN1287" i="191"/>
  <c r="GX1287" i="191"/>
  <c r="FH1287" i="191"/>
  <c r="DR1287" i="191"/>
  <c r="CB1287" i="191"/>
  <c r="AL1287" i="191"/>
  <c r="YR1287" i="191"/>
  <c r="XW1293" i="191"/>
  <c r="WG1293" i="191"/>
  <c r="UQ1293" i="191"/>
  <c r="TA1293" i="191"/>
  <c r="RK1293" i="191"/>
  <c r="PU1293" i="191"/>
  <c r="OE1293" i="191"/>
  <c r="MO1293" i="191"/>
  <c r="KY1293" i="191"/>
  <c r="JI1293" i="191"/>
  <c r="HS1293" i="191"/>
  <c r="GC1293" i="191"/>
  <c r="EM1293" i="191"/>
  <c r="CW1293" i="191"/>
  <c r="BG1293" i="191"/>
  <c r="Q1293" i="191"/>
  <c r="XB1293" i="191"/>
  <c r="VL1293" i="191"/>
  <c r="TV1293" i="191"/>
  <c r="SF1293" i="191"/>
  <c r="QP1293" i="191"/>
  <c r="OZ1293" i="191"/>
  <c r="NJ1293" i="191"/>
  <c r="LT1293" i="191"/>
  <c r="KD1293" i="191"/>
  <c r="IN1293" i="191"/>
  <c r="GX1293" i="191"/>
  <c r="FH1293" i="191"/>
  <c r="DR1293" i="191"/>
  <c r="CB1293" i="191"/>
  <c r="AL1293" i="191"/>
  <c r="YR1293" i="191"/>
  <c r="TJ1288" i="191"/>
  <c r="TP1288" i="191" s="1"/>
  <c r="TJ1284" i="191"/>
  <c r="TP1284" i="191" s="1"/>
  <c r="NS1284" i="191"/>
  <c r="NY1284" i="191" s="1"/>
  <c r="Z1291" i="191"/>
  <c r="AF1291" i="191" s="1"/>
  <c r="NS1290" i="191"/>
  <c r="NY1290" i="191" s="1"/>
  <c r="NS1282" i="191"/>
  <c r="NY1282" i="191" s="1"/>
  <c r="CY1280" i="191"/>
  <c r="CY1310" i="191" s="1"/>
  <c r="DE1311" i="191" s="1"/>
  <c r="JK1280" i="191"/>
  <c r="JK1310" i="191" s="1"/>
  <c r="JQ1311" i="191" s="1"/>
  <c r="PW1280" i="191"/>
  <c r="PW1310" i="191" s="1"/>
  <c r="QC1311" i="191" s="1"/>
  <c r="WI1280" i="191"/>
  <c r="WI1310" i="191" s="1"/>
  <c r="WO1311" i="191" s="1"/>
  <c r="DT1280" i="191"/>
  <c r="DT1310" i="191" s="1"/>
  <c r="DZ1311" i="191" s="1"/>
  <c r="KF1280" i="191"/>
  <c r="KF1310" i="191" s="1"/>
  <c r="KL1311" i="191" s="1"/>
  <c r="QR1280" i="191"/>
  <c r="QR1310" i="191" s="1"/>
  <c r="QX1311" i="191" s="1"/>
  <c r="XD1280" i="191"/>
  <c r="XD1310" i="191" s="1"/>
  <c r="XJ1311" i="191" s="1"/>
  <c r="EO1280" i="191"/>
  <c r="EO1310" i="191" s="1"/>
  <c r="EU1311" i="191" s="1"/>
  <c r="LA1280" i="191"/>
  <c r="LA1310" i="191" s="1"/>
  <c r="LG1311" i="191" s="1"/>
  <c r="RM1280" i="191"/>
  <c r="RM1310" i="191" s="1"/>
  <c r="RS1311" i="191" s="1"/>
  <c r="XY1280" i="191"/>
  <c r="XY1310" i="191" s="1"/>
  <c r="YE1311" i="191" s="1"/>
  <c r="FJ1280" i="191"/>
  <c r="FJ1310" i="191" s="1"/>
  <c r="FP1311" i="191" s="1"/>
  <c r="LV1280" i="191"/>
  <c r="LV1310" i="191" s="1"/>
  <c r="MB1311" i="191" s="1"/>
  <c r="SH1280" i="191"/>
  <c r="SH1310" i="191" s="1"/>
  <c r="SN1311" i="191" s="1"/>
  <c r="YT1280" i="191"/>
  <c r="YT1310" i="191" s="1"/>
  <c r="YZ1311" i="191" s="1"/>
  <c r="BP1305" i="191"/>
  <c r="BV1305" i="191" s="1"/>
  <c r="BP1301" i="191"/>
  <c r="BV1301" i="191" s="1"/>
  <c r="BP1294" i="191"/>
  <c r="BV1294" i="191" s="1"/>
  <c r="BP1285" i="191"/>
  <c r="BV1285" i="191" s="1"/>
  <c r="NS1304" i="191"/>
  <c r="NY1304" i="191" s="1"/>
  <c r="NS1299" i="191"/>
  <c r="NY1299" i="191" s="1"/>
  <c r="NS1285" i="191"/>
  <c r="NY1285" i="191" s="1"/>
  <c r="MX1308" i="191"/>
  <c r="ND1308" i="191" s="1"/>
  <c r="MX1304" i="191"/>
  <c r="ND1304" i="191" s="1"/>
  <c r="MX1293" i="191"/>
  <c r="ND1293" i="191" s="1"/>
  <c r="Z1302" i="191"/>
  <c r="AF1302" i="191" s="1"/>
  <c r="Z1299" i="191"/>
  <c r="AF1299" i="191" s="1"/>
  <c r="MC1308" i="191"/>
  <c r="MI1308" i="191" s="1"/>
  <c r="MC1299" i="191"/>
  <c r="MI1299" i="191" s="1"/>
  <c r="MC1293" i="191"/>
  <c r="MI1293" i="191" s="1"/>
  <c r="YQ1290" i="191"/>
  <c r="XA1290" i="191"/>
  <c r="VK1290" i="191"/>
  <c r="TU1290" i="191"/>
  <c r="SE1290" i="191"/>
  <c r="QO1290" i="191"/>
  <c r="OY1290" i="191"/>
  <c r="NI1290" i="191"/>
  <c r="LS1290" i="191"/>
  <c r="KC1290" i="191"/>
  <c r="IM1290" i="191"/>
  <c r="GW1290" i="191"/>
  <c r="FG1290" i="191"/>
  <c r="DQ1290" i="191"/>
  <c r="CA1290" i="191"/>
  <c r="AK1290" i="191"/>
  <c r="XV1290" i="191"/>
  <c r="WF1290" i="191"/>
  <c r="UP1290" i="191"/>
  <c r="SZ1290" i="191"/>
  <c r="RJ1290" i="191"/>
  <c r="PT1290" i="191"/>
  <c r="OD1290" i="191"/>
  <c r="MN1290" i="191"/>
  <c r="KX1290" i="191"/>
  <c r="JH1290" i="191"/>
  <c r="HR1290" i="191"/>
  <c r="GB1290" i="191"/>
  <c r="EL1290" i="191"/>
  <c r="CV1290" i="191"/>
  <c r="BF1290" i="191"/>
  <c r="P1290" i="191"/>
  <c r="XW1291" i="191"/>
  <c r="WG1291" i="191"/>
  <c r="UQ1291" i="191"/>
  <c r="TA1291" i="191"/>
  <c r="RK1291" i="191"/>
  <c r="PU1291" i="191"/>
  <c r="OE1291" i="191"/>
  <c r="MO1291" i="191"/>
  <c r="KY1291" i="191"/>
  <c r="JI1291" i="191"/>
  <c r="HS1291" i="191"/>
  <c r="GC1291" i="191"/>
  <c r="EM1291" i="191"/>
  <c r="CW1291" i="191"/>
  <c r="BG1291" i="191"/>
  <c r="Q1291" i="191"/>
  <c r="XB1291" i="191"/>
  <c r="VL1291" i="191"/>
  <c r="TV1291" i="191"/>
  <c r="SF1291" i="191"/>
  <c r="QP1291" i="191"/>
  <c r="OZ1291" i="191"/>
  <c r="NJ1291" i="191"/>
  <c r="LT1291" i="191"/>
  <c r="KD1291" i="191"/>
  <c r="IN1291" i="191"/>
  <c r="GX1291" i="191"/>
  <c r="FH1291" i="191"/>
  <c r="DR1291" i="191"/>
  <c r="CB1291" i="191"/>
  <c r="AL1291" i="191"/>
  <c r="YR1291" i="191"/>
  <c r="YQ1292" i="191"/>
  <c r="XA1292" i="191"/>
  <c r="VK1292" i="191"/>
  <c r="TU1292" i="191"/>
  <c r="SE1292" i="191"/>
  <c r="QO1292" i="191"/>
  <c r="OY1292" i="191"/>
  <c r="NI1292" i="191"/>
  <c r="LS1292" i="191"/>
  <c r="KC1292" i="191"/>
  <c r="IM1292" i="191"/>
  <c r="GW1292" i="191"/>
  <c r="FG1292" i="191"/>
  <c r="DQ1292" i="191"/>
  <c r="CA1292" i="191"/>
  <c r="AK1292" i="191"/>
  <c r="XV1292" i="191"/>
  <c r="WF1292" i="191"/>
  <c r="UP1292" i="191"/>
  <c r="SZ1292" i="191"/>
  <c r="RJ1292" i="191"/>
  <c r="PT1292" i="191"/>
  <c r="OD1292" i="191"/>
  <c r="MN1292" i="191"/>
  <c r="KX1292" i="191"/>
  <c r="JH1292" i="191"/>
  <c r="HR1292" i="191"/>
  <c r="GB1292" i="191"/>
  <c r="EL1292" i="191"/>
  <c r="CV1292" i="191"/>
  <c r="BF1292" i="191"/>
  <c r="P1292" i="191"/>
  <c r="YQ1291" i="191"/>
  <c r="XA1291" i="191"/>
  <c r="VK1291" i="191"/>
  <c r="TU1291" i="191"/>
  <c r="SE1291" i="191"/>
  <c r="QO1291" i="191"/>
  <c r="OY1291" i="191"/>
  <c r="NI1291" i="191"/>
  <c r="LS1291" i="191"/>
  <c r="KC1291" i="191"/>
  <c r="IM1291" i="191"/>
  <c r="GW1291" i="191"/>
  <c r="FG1291" i="191"/>
  <c r="DQ1291" i="191"/>
  <c r="CA1291" i="191"/>
  <c r="AK1291" i="191"/>
  <c r="XV1291" i="191"/>
  <c r="WF1291" i="191"/>
  <c r="UP1291" i="191"/>
  <c r="SZ1291" i="191"/>
  <c r="RJ1291" i="191"/>
  <c r="PT1291" i="191"/>
  <c r="OD1291" i="191"/>
  <c r="MN1291" i="191"/>
  <c r="KX1291" i="191"/>
  <c r="JH1291" i="191"/>
  <c r="HR1291" i="191"/>
  <c r="GB1291" i="191"/>
  <c r="EL1291" i="191"/>
  <c r="CV1291" i="191"/>
  <c r="BF1291" i="191"/>
  <c r="P1291" i="191"/>
  <c r="NS1292" i="191"/>
  <c r="NY1292" i="191" s="1"/>
  <c r="NS1283" i="191"/>
  <c r="NY1283" i="191" s="1"/>
  <c r="MX1283" i="191"/>
  <c r="ND1283" i="191" s="1"/>
  <c r="BP1290" i="191"/>
  <c r="BV1290" i="191" s="1"/>
  <c r="TJ1290" i="191"/>
  <c r="TP1290" i="191" s="1"/>
  <c r="HG1286" i="191"/>
  <c r="HM1286" i="191" s="1"/>
  <c r="Z1286" i="191"/>
  <c r="AF1286" i="191" s="1"/>
  <c r="S1280" i="191"/>
  <c r="S1310" i="191" s="1"/>
  <c r="Y1311" i="191" s="1"/>
  <c r="GE1280" i="191"/>
  <c r="GE1310" i="191" s="1"/>
  <c r="GK1311" i="191" s="1"/>
  <c r="MQ1280" i="191"/>
  <c r="MQ1310" i="191" s="1"/>
  <c r="MW1311" i="191" s="1"/>
  <c r="TC1280" i="191"/>
  <c r="TC1310" i="191" s="1"/>
  <c r="TI1311" i="191" s="1"/>
  <c r="AN1280" i="191"/>
  <c r="AN1310" i="191" s="1"/>
  <c r="AT1311" i="191" s="1"/>
  <c r="GZ1280" i="191"/>
  <c r="GZ1310" i="191" s="1"/>
  <c r="HF1311" i="191" s="1"/>
  <c r="NL1280" i="191"/>
  <c r="NL1310" i="191" s="1"/>
  <c r="NR1311" i="191" s="1"/>
  <c r="TX1280" i="191"/>
  <c r="TX1310" i="191" s="1"/>
  <c r="UD1311" i="191" s="1"/>
  <c r="BI1280" i="191"/>
  <c r="BI1310" i="191" s="1"/>
  <c r="BO1311" i="191" s="1"/>
  <c r="HU1280" i="191"/>
  <c r="HU1310" i="191" s="1"/>
  <c r="IA1311" i="191" s="1"/>
  <c r="OG1280" i="191"/>
  <c r="OG1310" i="191" s="1"/>
  <c r="OM1311" i="191" s="1"/>
  <c r="US1280" i="191"/>
  <c r="US1310" i="191" s="1"/>
  <c r="UY1311" i="191" s="1"/>
  <c r="CD1280" i="191"/>
  <c r="CD1310" i="191" s="1"/>
  <c r="CJ1311" i="191" s="1"/>
  <c r="IP1280" i="191"/>
  <c r="IP1310" i="191" s="1"/>
  <c r="IV1311" i="191" s="1"/>
  <c r="PB1280" i="191"/>
  <c r="PB1310" i="191" s="1"/>
  <c r="PH1311" i="191" s="1"/>
  <c r="VN1280" i="191"/>
  <c r="VN1310" i="191" s="1"/>
  <c r="VT1311" i="191" s="1"/>
  <c r="BP1287" i="191"/>
  <c r="BV1287" i="191" s="1"/>
  <c r="XB1285" i="191"/>
  <c r="VL1285" i="191"/>
  <c r="TV1285" i="191"/>
  <c r="SF1285" i="191"/>
  <c r="QP1285" i="191"/>
  <c r="OZ1285" i="191"/>
  <c r="NJ1285" i="191"/>
  <c r="LT1285" i="191"/>
  <c r="KD1285" i="191"/>
  <c r="IN1285" i="191"/>
  <c r="GX1285" i="191"/>
  <c r="FH1285" i="191"/>
  <c r="DR1285" i="191"/>
  <c r="CB1285" i="191"/>
  <c r="AL1285" i="191"/>
  <c r="YR1285" i="191"/>
  <c r="XW1285" i="191"/>
  <c r="WG1285" i="191"/>
  <c r="UQ1285" i="191"/>
  <c r="TA1285" i="191"/>
  <c r="RK1285" i="191"/>
  <c r="PU1285" i="191"/>
  <c r="OE1285" i="191"/>
  <c r="MO1285" i="191"/>
  <c r="KY1285" i="191"/>
  <c r="JI1285" i="191"/>
  <c r="HS1285" i="191"/>
  <c r="GC1285" i="191"/>
  <c r="EM1285" i="191"/>
  <c r="CW1285" i="191"/>
  <c r="BG1285" i="191"/>
  <c r="Q1285" i="191"/>
  <c r="XW1284" i="191"/>
  <c r="WG1284" i="191"/>
  <c r="TA1284" i="191"/>
  <c r="PU1284" i="191"/>
  <c r="MO1284" i="191"/>
  <c r="JI1284" i="191"/>
  <c r="GC1284" i="191"/>
  <c r="CW1284" i="191"/>
  <c r="Q1284" i="191"/>
  <c r="VL1284" i="191"/>
  <c r="SF1284" i="191"/>
  <c r="OZ1284" i="191"/>
  <c r="LT1284" i="191"/>
  <c r="IN1284" i="191"/>
  <c r="FH1284" i="191"/>
  <c r="CB1284" i="191"/>
  <c r="YR1284" i="191"/>
  <c r="UQ1284" i="191"/>
  <c r="RK1284" i="191"/>
  <c r="OE1284" i="191"/>
  <c r="KY1284" i="191"/>
  <c r="HS1284" i="191"/>
  <c r="EM1284" i="191"/>
  <c r="BG1284" i="191"/>
  <c r="XB1284" i="191"/>
  <c r="TV1284" i="191"/>
  <c r="QP1284" i="191"/>
  <c r="NJ1284" i="191"/>
  <c r="KD1284" i="191"/>
  <c r="GX1284" i="191"/>
  <c r="DR1284" i="191"/>
  <c r="AL1284" i="191"/>
  <c r="YR1283" i="191"/>
  <c r="VL1283" i="191"/>
  <c r="SF1283" i="191"/>
  <c r="OZ1283" i="191"/>
  <c r="LT1283" i="191"/>
  <c r="XW1283" i="191"/>
  <c r="UQ1283" i="191"/>
  <c r="RK1283" i="191"/>
  <c r="OE1283" i="191"/>
  <c r="KY1283" i="191"/>
  <c r="IN1283" i="191"/>
  <c r="GX1283" i="191"/>
  <c r="FH1283" i="191"/>
  <c r="DR1283" i="191"/>
  <c r="CB1283" i="191"/>
  <c r="AL1283" i="191"/>
  <c r="XB1283" i="191"/>
  <c r="TV1283" i="191"/>
  <c r="QP1283" i="191"/>
  <c r="NJ1283" i="191"/>
  <c r="KD1283" i="191"/>
  <c r="WG1283" i="191"/>
  <c r="TA1283" i="191"/>
  <c r="PU1283" i="191"/>
  <c r="MO1283" i="191"/>
  <c r="JI1283" i="191"/>
  <c r="HS1283" i="191"/>
  <c r="GC1283" i="191"/>
  <c r="EM1283" i="191"/>
  <c r="CW1283" i="191"/>
  <c r="BG1283" i="191"/>
  <c r="Q1283" i="191"/>
  <c r="WG1281" i="191"/>
  <c r="TA1281" i="191"/>
  <c r="PU1281" i="191"/>
  <c r="MO1281" i="191"/>
  <c r="JI1281" i="191"/>
  <c r="GC1281" i="191"/>
  <c r="CW1281" i="191"/>
  <c r="Q1281" i="191"/>
  <c r="XB1281" i="191"/>
  <c r="TV1281" i="191"/>
  <c r="QP1281" i="191"/>
  <c r="NJ1281" i="191"/>
  <c r="KD1281" i="191"/>
  <c r="GX1281" i="191"/>
  <c r="DR1281" i="191"/>
  <c r="AL1281" i="191"/>
  <c r="XW1281" i="191"/>
  <c r="UQ1281" i="191"/>
  <c r="RK1281" i="191"/>
  <c r="OE1281" i="191"/>
  <c r="KY1281" i="191"/>
  <c r="HS1281" i="191"/>
  <c r="EM1281" i="191"/>
  <c r="BG1281" i="191"/>
  <c r="YR1281" i="191"/>
  <c r="VL1281" i="191"/>
  <c r="SF1281" i="191"/>
  <c r="OZ1281" i="191"/>
  <c r="LT1281" i="191"/>
  <c r="IN1281" i="191"/>
  <c r="FH1281" i="191"/>
  <c r="CB1281" i="191"/>
  <c r="XV1285" i="191"/>
  <c r="WF1285" i="191"/>
  <c r="UP1285" i="191"/>
  <c r="SZ1285" i="191"/>
  <c r="RJ1285" i="191"/>
  <c r="PT1285" i="191"/>
  <c r="OD1285" i="191"/>
  <c r="MN1285" i="191"/>
  <c r="KX1285" i="191"/>
  <c r="JH1285" i="191"/>
  <c r="HR1285" i="191"/>
  <c r="GB1285" i="191"/>
  <c r="EL1285" i="191"/>
  <c r="CV1285" i="191"/>
  <c r="BF1285" i="191"/>
  <c r="P1285" i="191"/>
  <c r="YQ1285" i="191"/>
  <c r="XA1285" i="191"/>
  <c r="VK1285" i="191"/>
  <c r="TU1285" i="191"/>
  <c r="SE1285" i="191"/>
  <c r="QO1285" i="191"/>
  <c r="OY1285" i="191"/>
  <c r="NI1285" i="191"/>
  <c r="LS1285" i="191"/>
  <c r="KC1285" i="191"/>
  <c r="IM1285" i="191"/>
  <c r="GW1285" i="191"/>
  <c r="FG1285" i="191"/>
  <c r="DQ1285" i="191"/>
  <c r="CA1285" i="191"/>
  <c r="AK1285" i="191"/>
  <c r="XV1284" i="191"/>
  <c r="WF1284" i="191"/>
  <c r="UP1284" i="191"/>
  <c r="SZ1284" i="191"/>
  <c r="RJ1284" i="191"/>
  <c r="PT1284" i="191"/>
  <c r="OD1284" i="191"/>
  <c r="MN1284" i="191"/>
  <c r="KX1284" i="191"/>
  <c r="JH1284" i="191"/>
  <c r="HR1284" i="191"/>
  <c r="GB1284" i="191"/>
  <c r="EL1284" i="191"/>
  <c r="CV1284" i="191"/>
  <c r="BF1284" i="191"/>
  <c r="P1284" i="191"/>
  <c r="YQ1284" i="191"/>
  <c r="XA1284" i="191"/>
  <c r="VK1284" i="191"/>
  <c r="TU1284" i="191"/>
  <c r="SE1284" i="191"/>
  <c r="QO1284" i="191"/>
  <c r="OY1284" i="191"/>
  <c r="NI1284" i="191"/>
  <c r="LS1284" i="191"/>
  <c r="KC1284" i="191"/>
  <c r="IM1284" i="191"/>
  <c r="GW1284" i="191"/>
  <c r="FG1284" i="191"/>
  <c r="DQ1284" i="191"/>
  <c r="CA1284" i="191"/>
  <c r="AK1284" i="191"/>
  <c r="G1283" i="191"/>
  <c r="G1214" i="191"/>
  <c r="WF1281" i="191"/>
  <c r="SZ1281" i="191"/>
  <c r="PT1281" i="191"/>
  <c r="MN1281" i="191"/>
  <c r="JH1281" i="191"/>
  <c r="GB1281" i="191"/>
  <c r="CV1281" i="191"/>
  <c r="P1281" i="191"/>
  <c r="VK1281" i="191"/>
  <c r="SE1281" i="191"/>
  <c r="OY1281" i="191"/>
  <c r="LS1281" i="191"/>
  <c r="IM1281" i="191"/>
  <c r="FG1281" i="191"/>
  <c r="CA1281" i="191"/>
  <c r="YQ1281" i="191"/>
  <c r="XV1281" i="191"/>
  <c r="UP1281" i="191"/>
  <c r="RJ1281" i="191"/>
  <c r="OD1281" i="191"/>
  <c r="KX1281" i="191"/>
  <c r="HR1281" i="191"/>
  <c r="EL1281" i="191"/>
  <c r="BF1281" i="191"/>
  <c r="XA1281" i="191"/>
  <c r="TU1281" i="191"/>
  <c r="QO1281" i="191"/>
  <c r="NI1281" i="191"/>
  <c r="KC1281" i="191"/>
  <c r="GW1281" i="191"/>
  <c r="DQ1281" i="191"/>
  <c r="AK1281" i="191"/>
  <c r="F1284" i="191"/>
  <c r="YP1283" i="191"/>
  <c r="WE1283" i="191"/>
  <c r="SY1283" i="191"/>
  <c r="PS1283" i="191"/>
  <c r="MM1283" i="191"/>
  <c r="JG1283" i="191"/>
  <c r="VJ1283" i="191"/>
  <c r="SD1283" i="191"/>
  <c r="OX1283" i="191"/>
  <c r="LR1283" i="191"/>
  <c r="IL1283" i="191"/>
  <c r="GV1283" i="191"/>
  <c r="FF1283" i="191"/>
  <c r="DP1283" i="191"/>
  <c r="BZ1283" i="191"/>
  <c r="AJ1283" i="191"/>
  <c r="XU1283" i="191"/>
  <c r="UO1283" i="191"/>
  <c r="RI1283" i="191"/>
  <c r="OC1283" i="191"/>
  <c r="KW1283" i="191"/>
  <c r="WZ1283" i="191"/>
  <c r="TT1283" i="191"/>
  <c r="QN1283" i="191"/>
  <c r="NH1283" i="191"/>
  <c r="KB1283" i="191"/>
  <c r="HQ1283" i="191"/>
  <c r="GA1283" i="191"/>
  <c r="EK1283" i="191"/>
  <c r="CU1283" i="191"/>
  <c r="BE1283" i="191"/>
  <c r="O1283" i="191"/>
  <c r="LI14" i="87"/>
  <c r="F486" i="191" s="1"/>
  <c r="LI19" i="87"/>
  <c r="DA19" i="87" s="1"/>
  <c r="LI17" i="87"/>
  <c r="F489" i="191" s="1"/>
  <c r="K162" i="87"/>
  <c r="K221" i="87" s="1"/>
  <c r="E489" i="191"/>
  <c r="F505" i="191"/>
  <c r="E555" i="191"/>
  <c r="E573" i="191"/>
  <c r="E567" i="191"/>
  <c r="E618" i="191"/>
  <c r="F692" i="191"/>
  <c r="E630" i="191"/>
  <c r="E632" i="191"/>
  <c r="E759" i="191"/>
  <c r="F746" i="191"/>
  <c r="F756" i="191"/>
  <c r="E743" i="191"/>
  <c r="E488" i="191"/>
  <c r="E508" i="191"/>
  <c r="E494" i="191"/>
  <c r="E496" i="191"/>
  <c r="E498" i="191"/>
  <c r="E500" i="191"/>
  <c r="E503" i="191"/>
  <c r="GM213" i="87"/>
  <c r="F824" i="191"/>
  <c r="GM207" i="87"/>
  <c r="F818" i="191"/>
  <c r="LJ208" i="87"/>
  <c r="F819" i="191"/>
  <c r="DK209" i="87"/>
  <c r="F820" i="191"/>
  <c r="IK200" i="87"/>
  <c r="F811" i="191"/>
  <c r="CG198" i="87"/>
  <c r="F809" i="191"/>
  <c r="KS195" i="87"/>
  <c r="F806" i="191"/>
  <c r="F507" i="191"/>
  <c r="F492" i="191"/>
  <c r="F495" i="191"/>
  <c r="F497" i="191"/>
  <c r="F504" i="191"/>
  <c r="F506" i="191"/>
  <c r="F510" i="191"/>
  <c r="F631" i="191"/>
  <c r="E560" i="191"/>
  <c r="E569" i="191"/>
  <c r="E634" i="191"/>
  <c r="E558" i="191"/>
  <c r="E621" i="191"/>
  <c r="E623" i="191"/>
  <c r="F680" i="191"/>
  <c r="F685" i="191"/>
  <c r="F694" i="191"/>
  <c r="F693" i="191"/>
  <c r="E677" i="191"/>
  <c r="E636" i="191"/>
  <c r="E683" i="191"/>
  <c r="F748" i="191"/>
  <c r="F755" i="191"/>
  <c r="F761" i="191"/>
  <c r="E698" i="191"/>
  <c r="E757" i="191"/>
  <c r="E485" i="191"/>
  <c r="E487" i="191"/>
  <c r="E509" i="191"/>
  <c r="E490" i="191"/>
  <c r="E499" i="191"/>
  <c r="F568" i="191"/>
  <c r="GW195" i="87"/>
  <c r="KI198" i="87"/>
  <c r="BM207" i="87"/>
  <c r="EY200" i="87"/>
  <c r="FS207" i="87"/>
  <c r="DK195" i="87"/>
  <c r="DU198" i="87"/>
  <c r="BM195" i="87"/>
  <c r="IU200" i="87"/>
  <c r="KS209" i="87"/>
  <c r="DA198" i="87"/>
  <c r="IK213" i="87"/>
  <c r="CQ209" i="87"/>
  <c r="IA209" i="87"/>
  <c r="BW195" i="87"/>
  <c r="Y195" i="87"/>
  <c r="HQ200" i="87"/>
  <c r="HG200" i="87"/>
  <c r="JY198" i="87"/>
  <c r="GC195" i="87"/>
  <c r="EO195" i="87"/>
  <c r="JE207" i="87"/>
  <c r="AS208" i="87"/>
  <c r="EO209" i="87"/>
  <c r="EY213" i="87"/>
  <c r="KI200" i="87"/>
  <c r="JO208" i="87"/>
  <c r="FI213" i="87"/>
  <c r="EY208" i="87"/>
  <c r="JE213" i="87"/>
  <c r="AI208" i="87"/>
  <c r="DU195" i="87"/>
  <c r="JY195" i="87"/>
  <c r="HG195" i="87"/>
  <c r="EO200" i="87"/>
  <c r="BC200" i="87"/>
  <c r="LC200" i="87"/>
  <c r="CG200" i="87"/>
  <c r="BW198" i="87"/>
  <c r="GW198" i="87"/>
  <c r="JO198" i="87"/>
  <c r="EE198" i="87"/>
  <c r="JO195" i="87"/>
  <c r="FI200" i="87"/>
  <c r="CQ207" i="87"/>
  <c r="GC207" i="87"/>
  <c r="DU208" i="87"/>
  <c r="JE208" i="87"/>
  <c r="HQ209" i="87"/>
  <c r="BM209" i="87"/>
  <c r="EY198" i="87"/>
  <c r="JO213" i="87"/>
  <c r="KS200" i="87"/>
  <c r="DA207" i="87"/>
  <c r="EE208" i="87"/>
  <c r="IU209" i="87"/>
  <c r="KS198" i="87"/>
  <c r="EE213" i="87"/>
  <c r="BW207" i="87"/>
  <c r="JO209" i="87"/>
  <c r="LC207" i="87"/>
  <c r="CQ213" i="87"/>
  <c r="EY209" i="87"/>
  <c r="BC195" i="87"/>
  <c r="CQ195" i="87"/>
  <c r="FI195" i="87"/>
  <c r="IK195" i="87"/>
  <c r="LC195" i="87"/>
  <c r="KI195" i="87"/>
  <c r="IU195" i="87"/>
  <c r="GM195" i="87"/>
  <c r="GC200" i="87"/>
  <c r="JY200" i="87"/>
  <c r="CQ200" i="87"/>
  <c r="IA200" i="87"/>
  <c r="FS200" i="87"/>
  <c r="AS200" i="87"/>
  <c r="Y200" i="87"/>
  <c r="BC198" i="87"/>
  <c r="CQ198" i="87"/>
  <c r="FI198" i="87"/>
  <c r="IK198" i="87"/>
  <c r="LC198" i="87"/>
  <c r="GM198" i="87"/>
  <c r="HG198" i="87"/>
  <c r="AI195" i="87"/>
  <c r="EY195" i="87"/>
  <c r="BW200" i="87"/>
  <c r="EE200" i="87"/>
  <c r="KS207" i="87"/>
  <c r="HQ207" i="87"/>
  <c r="EO207" i="87"/>
  <c r="FI208" i="87"/>
  <c r="CG208" i="87"/>
  <c r="KS208" i="87"/>
  <c r="HQ208" i="87"/>
  <c r="JE209" i="87"/>
  <c r="GC209" i="87"/>
  <c r="DA209" i="87"/>
  <c r="Y209" i="87"/>
  <c r="Y198" i="87"/>
  <c r="JE198" i="87"/>
  <c r="DA213" i="87"/>
  <c r="GW213" i="87"/>
  <c r="Y213" i="87"/>
  <c r="HG213" i="87"/>
  <c r="BM200" i="87"/>
  <c r="IU207" i="87"/>
  <c r="AS207" i="87"/>
  <c r="BC208" i="87"/>
  <c r="GM208" i="87"/>
  <c r="FS209" i="87"/>
  <c r="AS198" i="87"/>
  <c r="BC213" i="87"/>
  <c r="JY213" i="87"/>
  <c r="KI208" i="87"/>
  <c r="DK198" i="87"/>
  <c r="LJ213" i="87"/>
  <c r="DK208" i="87"/>
  <c r="AI213" i="87"/>
  <c r="LJ207" i="87"/>
  <c r="GC208" i="87"/>
  <c r="LJ209" i="87"/>
  <c r="DA200" i="87"/>
  <c r="AI198" i="87"/>
  <c r="LJ195" i="87"/>
  <c r="DA195" i="87"/>
  <c r="CG195" i="87"/>
  <c r="AS195" i="87"/>
  <c r="JE195" i="87"/>
  <c r="EE195" i="87"/>
  <c r="HQ195" i="87"/>
  <c r="FS195" i="87"/>
  <c r="IA195" i="87"/>
  <c r="LJ200" i="87"/>
  <c r="JE200" i="87"/>
  <c r="GM200" i="87"/>
  <c r="AI200" i="87"/>
  <c r="BC207" i="87"/>
  <c r="DK207" i="87"/>
  <c r="JY207" i="87"/>
  <c r="IK207" i="87"/>
  <c r="GW207" i="87"/>
  <c r="FI207" i="87"/>
  <c r="DU207" i="87"/>
  <c r="CG207" i="87"/>
  <c r="EO208" i="87"/>
  <c r="DA208" i="87"/>
  <c r="BM208" i="87"/>
  <c r="Y208" i="87"/>
  <c r="JY208" i="87"/>
  <c r="IK208" i="87"/>
  <c r="GW208" i="87"/>
  <c r="JY209" i="87"/>
  <c r="IK209" i="87"/>
  <c r="GW209" i="87"/>
  <c r="FI209" i="87"/>
  <c r="DU209" i="87"/>
  <c r="CG209" i="87"/>
  <c r="AS209" i="87"/>
  <c r="BM198" i="87"/>
  <c r="GC198" i="87"/>
  <c r="LJ198" i="87"/>
  <c r="FS198" i="87"/>
  <c r="BW213" i="87"/>
  <c r="DU213" i="87"/>
  <c r="GC213" i="87"/>
  <c r="IA213" i="87"/>
  <c r="KS213" i="87"/>
  <c r="AS213" i="87"/>
  <c r="KI213" i="87"/>
  <c r="DU200" i="87"/>
  <c r="JO200" i="87"/>
  <c r="GW200" i="87"/>
  <c r="DK200" i="87"/>
  <c r="AI207" i="87"/>
  <c r="KI207" i="87"/>
  <c r="HG207" i="87"/>
  <c r="EE207" i="87"/>
  <c r="FS208" i="87"/>
  <c r="CQ208" i="87"/>
  <c r="LC208" i="87"/>
  <c r="IA208" i="87"/>
  <c r="KI209" i="87"/>
  <c r="HG209" i="87"/>
  <c r="EE209" i="87"/>
  <c r="BC209" i="87"/>
  <c r="EO198" i="87"/>
  <c r="IU198" i="87"/>
  <c r="DK213" i="87"/>
  <c r="HQ213" i="87"/>
  <c r="CG213" i="87"/>
  <c r="IU213" i="87"/>
  <c r="JO207" i="87"/>
  <c r="Y207" i="87"/>
  <c r="BW208" i="87"/>
  <c r="HG208" i="87"/>
  <c r="GM209" i="87"/>
  <c r="AI209" i="87"/>
  <c r="HQ198" i="87"/>
  <c r="EO213" i="87"/>
  <c r="FS213" i="87"/>
  <c r="IA198" i="87"/>
  <c r="EY207" i="87"/>
  <c r="IU208" i="87"/>
  <c r="BW209" i="87"/>
  <c r="LC213" i="87"/>
  <c r="BM213" i="87"/>
  <c r="IA207" i="87"/>
  <c r="LC209" i="87"/>
  <c r="L46" i="87"/>
  <c r="L162" i="87" s="1"/>
  <c r="L221" i="87" s="1"/>
  <c r="K183" i="87"/>
  <c r="K242" i="87" s="1"/>
  <c r="K164" i="87"/>
  <c r="K223" i="87" s="1"/>
  <c r="L11" i="87"/>
  <c r="H127" i="87"/>
  <c r="K178" i="87"/>
  <c r="K237" i="87" s="1"/>
  <c r="LE188" i="87"/>
  <c r="LF188" i="87" s="1"/>
  <c r="LG188" i="87" s="1"/>
  <c r="LE190" i="87"/>
  <c r="LF190" i="87" s="1"/>
  <c r="LG190" i="87" s="1"/>
  <c r="LE192" i="87"/>
  <c r="LF192" i="87" s="1"/>
  <c r="LG192" i="87" s="1"/>
  <c r="LE194" i="87"/>
  <c r="LF194" i="87" s="1"/>
  <c r="LG194" i="87" s="1"/>
  <c r="LE197" i="87"/>
  <c r="LF197" i="87" s="1"/>
  <c r="LG197" i="87" s="1"/>
  <c r="LE199" i="87"/>
  <c r="LF199" i="87" s="1"/>
  <c r="LG199" i="87" s="1"/>
  <c r="LE201" i="87"/>
  <c r="LF201" i="87" s="1"/>
  <c r="LG201" i="87" s="1"/>
  <c r="LE203" i="87"/>
  <c r="LF203" i="87" s="1"/>
  <c r="LG203" i="87" s="1"/>
  <c r="LE206" i="87"/>
  <c r="LF206" i="87" s="1"/>
  <c r="LG206" i="87" s="1"/>
  <c r="LE208" i="87"/>
  <c r="LF208" i="87" s="1"/>
  <c r="LE210" i="87"/>
  <c r="LF210" i="87" s="1"/>
  <c r="LG210" i="87" s="1"/>
  <c r="LE212" i="87"/>
  <c r="LF212" i="87" s="1"/>
  <c r="LG212" i="87" s="1"/>
  <c r="LE196" i="87"/>
  <c r="LF196" i="87" s="1"/>
  <c r="LE205" i="87"/>
  <c r="LF205" i="87" s="1"/>
  <c r="LE189" i="87"/>
  <c r="LF189" i="87" s="1"/>
  <c r="LG189" i="87" s="1"/>
  <c r="LE191" i="87"/>
  <c r="LF191" i="87" s="1"/>
  <c r="LG191" i="87" s="1"/>
  <c r="LE193" i="87"/>
  <c r="LF193" i="87" s="1"/>
  <c r="LG193" i="87" s="1"/>
  <c r="LE195" i="87"/>
  <c r="LF195" i="87" s="1"/>
  <c r="LE198" i="87"/>
  <c r="LF198" i="87" s="1"/>
  <c r="LE200" i="87"/>
  <c r="LF200" i="87" s="1"/>
  <c r="LE202" i="87"/>
  <c r="LF202" i="87" s="1"/>
  <c r="LG202" i="87" s="1"/>
  <c r="LE204" i="87"/>
  <c r="LF204" i="87" s="1"/>
  <c r="LG204" i="87" s="1"/>
  <c r="LE207" i="87"/>
  <c r="LF207" i="87" s="1"/>
  <c r="LE209" i="87"/>
  <c r="LF209" i="87" s="1"/>
  <c r="LE211" i="87"/>
  <c r="LF211" i="87" s="1"/>
  <c r="LG211" i="87" s="1"/>
  <c r="LE213" i="87"/>
  <c r="LF213" i="87" s="1"/>
  <c r="LG185" i="87"/>
  <c r="LI185" i="87" s="1"/>
  <c r="AI185" i="87" s="1"/>
  <c r="LI54" i="87"/>
  <c r="LI63" i="87"/>
  <c r="LI37" i="87"/>
  <c r="LI16" i="87"/>
  <c r="LI36" i="87"/>
  <c r="LI22" i="87"/>
  <c r="LI24" i="87"/>
  <c r="LI26" i="87"/>
  <c r="LI28" i="87"/>
  <c r="LI31" i="87"/>
  <c r="H186" i="87"/>
  <c r="I188" i="87"/>
  <c r="K188" i="87" s="1"/>
  <c r="L188" i="87" s="1"/>
  <c r="L186" i="87" s="1"/>
  <c r="LJ62" i="87"/>
  <c r="JY62" i="87"/>
  <c r="IK62" i="87"/>
  <c r="GW62" i="87"/>
  <c r="FI62" i="87"/>
  <c r="DU62" i="87"/>
  <c r="CG62" i="87"/>
  <c r="AS62" i="87"/>
  <c r="LC62" i="87"/>
  <c r="JO62" i="87"/>
  <c r="IA62" i="87"/>
  <c r="GM62" i="87"/>
  <c r="EY62" i="87"/>
  <c r="DK62" i="87"/>
  <c r="BW62" i="87"/>
  <c r="AI62" i="87"/>
  <c r="KS62" i="87"/>
  <c r="JE62" i="87"/>
  <c r="HQ62" i="87"/>
  <c r="GC62" i="87"/>
  <c r="EO62" i="87"/>
  <c r="DA62" i="87"/>
  <c r="BM62" i="87"/>
  <c r="Y62" i="87"/>
  <c r="KI62" i="87"/>
  <c r="IU62" i="87"/>
  <c r="HG62" i="87"/>
  <c r="FS62" i="87"/>
  <c r="EE62" i="87"/>
  <c r="CQ62" i="87"/>
  <c r="BC62" i="87"/>
  <c r="LC20" i="87"/>
  <c r="JO20" i="87"/>
  <c r="IA20" i="87"/>
  <c r="GM20" i="87"/>
  <c r="EY20" i="87"/>
  <c r="DK20" i="87"/>
  <c r="BW20" i="87"/>
  <c r="AI20" i="87"/>
  <c r="KS20" i="87"/>
  <c r="JE20" i="87"/>
  <c r="HQ20" i="87"/>
  <c r="GC20" i="87"/>
  <c r="EO20" i="87"/>
  <c r="DA20" i="87"/>
  <c r="BM20" i="87"/>
  <c r="Y20" i="87"/>
  <c r="KI20" i="87"/>
  <c r="IU20" i="87"/>
  <c r="HG20" i="87"/>
  <c r="FS20" i="87"/>
  <c r="EE20" i="87"/>
  <c r="CQ20" i="87"/>
  <c r="BC20" i="87"/>
  <c r="JY20" i="87"/>
  <c r="IK20" i="87"/>
  <c r="GW20" i="87"/>
  <c r="FI20" i="87"/>
  <c r="DU20" i="87"/>
  <c r="CG20" i="87"/>
  <c r="AS20" i="87"/>
  <c r="LC23" i="87"/>
  <c r="JO23" i="87"/>
  <c r="IA23" i="87"/>
  <c r="GM23" i="87"/>
  <c r="EY23" i="87"/>
  <c r="DK23" i="87"/>
  <c r="BW23" i="87"/>
  <c r="AI23" i="87"/>
  <c r="KS23" i="87"/>
  <c r="JE23" i="87"/>
  <c r="HQ23" i="87"/>
  <c r="GC23" i="87"/>
  <c r="EO23" i="87"/>
  <c r="DA23" i="87"/>
  <c r="BM23" i="87"/>
  <c r="Y23" i="87"/>
  <c r="KI23" i="87"/>
  <c r="IU23" i="87"/>
  <c r="HG23" i="87"/>
  <c r="FS23" i="87"/>
  <c r="EE23" i="87"/>
  <c r="CQ23" i="87"/>
  <c r="BC23" i="87"/>
  <c r="JY23" i="87"/>
  <c r="IK23" i="87"/>
  <c r="GW23" i="87"/>
  <c r="FI23" i="87"/>
  <c r="DU23" i="87"/>
  <c r="CG23" i="87"/>
  <c r="AS23" i="87"/>
  <c r="LC25" i="87"/>
  <c r="JO25" i="87"/>
  <c r="IA25" i="87"/>
  <c r="GM25" i="87"/>
  <c r="EY25" i="87"/>
  <c r="DK25" i="87"/>
  <c r="BW25" i="87"/>
  <c r="AI25" i="87"/>
  <c r="KS25" i="87"/>
  <c r="JE25" i="87"/>
  <c r="HQ25" i="87"/>
  <c r="GC25" i="87"/>
  <c r="EO25" i="87"/>
  <c r="DA25" i="87"/>
  <c r="BM25" i="87"/>
  <c r="Y25" i="87"/>
  <c r="KI25" i="87"/>
  <c r="IU25" i="87"/>
  <c r="HG25" i="87"/>
  <c r="FS25" i="87"/>
  <c r="EE25" i="87"/>
  <c r="CQ25" i="87"/>
  <c r="BC25" i="87"/>
  <c r="JY25" i="87"/>
  <c r="IK25" i="87"/>
  <c r="GW25" i="87"/>
  <c r="FI25" i="87"/>
  <c r="DU25" i="87"/>
  <c r="CG25" i="87"/>
  <c r="AS25" i="87"/>
  <c r="BW29" i="87"/>
  <c r="LC32" i="87"/>
  <c r="JO32" i="87"/>
  <c r="IA32" i="87"/>
  <c r="GM32" i="87"/>
  <c r="EY32" i="87"/>
  <c r="DK32" i="87"/>
  <c r="BW32" i="87"/>
  <c r="AI32" i="87"/>
  <c r="KS32" i="87"/>
  <c r="JE32" i="87"/>
  <c r="HQ32" i="87"/>
  <c r="GC32" i="87"/>
  <c r="EO32" i="87"/>
  <c r="DA32" i="87"/>
  <c r="BM32" i="87"/>
  <c r="Y32" i="87"/>
  <c r="KI32" i="87"/>
  <c r="IU32" i="87"/>
  <c r="HG32" i="87"/>
  <c r="FS32" i="87"/>
  <c r="EE32" i="87"/>
  <c r="CQ32" i="87"/>
  <c r="BC32" i="87"/>
  <c r="JY32" i="87"/>
  <c r="IK32" i="87"/>
  <c r="GW32" i="87"/>
  <c r="FI32" i="87"/>
  <c r="DU32" i="87"/>
  <c r="CG32" i="87"/>
  <c r="AS32" i="87"/>
  <c r="LC34" i="87"/>
  <c r="JO34" i="87"/>
  <c r="IA34" i="87"/>
  <c r="GM34" i="87"/>
  <c r="EY34" i="87"/>
  <c r="DK34" i="87"/>
  <c r="BW34" i="87"/>
  <c r="AI34" i="87"/>
  <c r="KS34" i="87"/>
  <c r="JE34" i="87"/>
  <c r="HQ34" i="87"/>
  <c r="GC34" i="87"/>
  <c r="EO34" i="87"/>
  <c r="DA34" i="87"/>
  <c r="BM34" i="87"/>
  <c r="Y34" i="87"/>
  <c r="KI34" i="87"/>
  <c r="IU34" i="87"/>
  <c r="HG34" i="87"/>
  <c r="FS34" i="87"/>
  <c r="EE34" i="87"/>
  <c r="CQ34" i="87"/>
  <c r="BC34" i="87"/>
  <c r="JY34" i="87"/>
  <c r="IK34" i="87"/>
  <c r="GW34" i="87"/>
  <c r="FI34" i="87"/>
  <c r="DU34" i="87"/>
  <c r="CG34" i="87"/>
  <c r="AS34" i="87"/>
  <c r="IK38" i="87"/>
  <c r="FI38" i="87"/>
  <c r="CG38" i="87"/>
  <c r="IU38" i="87"/>
  <c r="FS38" i="87"/>
  <c r="CQ38" i="87"/>
  <c r="JE38" i="87"/>
  <c r="GC38" i="87"/>
  <c r="DA38" i="87"/>
  <c r="Y38" i="87"/>
  <c r="LC38" i="87"/>
  <c r="IA38" i="87"/>
  <c r="EY38" i="87"/>
  <c r="BW38" i="87"/>
  <c r="JY38" i="87"/>
  <c r="GW38" i="87"/>
  <c r="DU38" i="87"/>
  <c r="AS38" i="87"/>
  <c r="KI38" i="87"/>
  <c r="HG38" i="87"/>
  <c r="EE38" i="87"/>
  <c r="BC38" i="87"/>
  <c r="KS38" i="87"/>
  <c r="HQ38" i="87"/>
  <c r="EO38" i="87"/>
  <c r="BM38" i="87"/>
  <c r="JO38" i="87"/>
  <c r="GM38" i="87"/>
  <c r="DK38" i="87"/>
  <c r="AI38" i="87"/>
  <c r="LJ107" i="87"/>
  <c r="KS107" i="87"/>
  <c r="JE107" i="87"/>
  <c r="HQ107" i="87"/>
  <c r="GC107" i="87"/>
  <c r="EO107" i="87"/>
  <c r="DA107" i="87"/>
  <c r="BM107" i="87"/>
  <c r="AI107" i="87"/>
  <c r="Y107" i="87"/>
  <c r="JY107" i="87"/>
  <c r="IK107" i="87"/>
  <c r="GW107" i="87"/>
  <c r="FI107" i="87"/>
  <c r="DU107" i="87"/>
  <c r="CG107" i="87"/>
  <c r="AS107" i="87"/>
  <c r="LC107" i="87"/>
  <c r="KI107" i="87"/>
  <c r="JO107" i="87"/>
  <c r="IU107" i="87"/>
  <c r="IA107" i="87"/>
  <c r="HG107" i="87"/>
  <c r="GM107" i="87"/>
  <c r="FS107" i="87"/>
  <c r="EY107" i="87"/>
  <c r="EE107" i="87"/>
  <c r="DK107" i="87"/>
  <c r="CQ107" i="87"/>
  <c r="BW107" i="87"/>
  <c r="BC107" i="87"/>
  <c r="KS112" i="87"/>
  <c r="JE112" i="87"/>
  <c r="HQ112" i="87"/>
  <c r="GC112" i="87"/>
  <c r="EO112" i="87"/>
  <c r="DA112" i="87"/>
  <c r="BM112" i="87"/>
  <c r="Y112" i="87"/>
  <c r="JY112" i="87"/>
  <c r="IK112" i="87"/>
  <c r="GW112" i="87"/>
  <c r="FI112" i="87"/>
  <c r="DU112" i="87"/>
  <c r="CG112" i="87"/>
  <c r="AS112" i="87"/>
  <c r="LC112" i="87"/>
  <c r="KI112" i="87"/>
  <c r="JO112" i="87"/>
  <c r="IU112" i="87"/>
  <c r="IA112" i="87"/>
  <c r="HG112" i="87"/>
  <c r="GM112" i="87"/>
  <c r="FS112" i="87"/>
  <c r="EY112" i="87"/>
  <c r="EE112" i="87"/>
  <c r="DK112" i="87"/>
  <c r="CQ112" i="87"/>
  <c r="BW112" i="87"/>
  <c r="BC112" i="87"/>
  <c r="AI112" i="87"/>
  <c r="KS121" i="87"/>
  <c r="JE121" i="87"/>
  <c r="HQ121" i="87"/>
  <c r="GC121" i="87"/>
  <c r="EO121" i="87"/>
  <c r="DA121" i="87"/>
  <c r="BM121" i="87"/>
  <c r="Y121" i="87"/>
  <c r="JY121" i="87"/>
  <c r="IK121" i="87"/>
  <c r="GW121" i="87"/>
  <c r="FI121" i="87"/>
  <c r="DU121" i="87"/>
  <c r="CG121" i="87"/>
  <c r="AS121" i="87"/>
  <c r="LC121" i="87"/>
  <c r="KI121" i="87"/>
  <c r="JO121" i="87"/>
  <c r="IU121" i="87"/>
  <c r="IA121" i="87"/>
  <c r="HG121" i="87"/>
  <c r="GM121" i="87"/>
  <c r="FS121" i="87"/>
  <c r="EY121" i="87"/>
  <c r="EE121" i="87"/>
  <c r="DK121" i="87"/>
  <c r="CQ121" i="87"/>
  <c r="BW121" i="87"/>
  <c r="BC121" i="87"/>
  <c r="AI121" i="87"/>
  <c r="JY120" i="87"/>
  <c r="IK120" i="87"/>
  <c r="GW120" i="87"/>
  <c r="FI120" i="87"/>
  <c r="DU120" i="87"/>
  <c r="CG120" i="87"/>
  <c r="AS120" i="87"/>
  <c r="LC120" i="87"/>
  <c r="KI120" i="87"/>
  <c r="JO120" i="87"/>
  <c r="IU120" i="87"/>
  <c r="IA120" i="87"/>
  <c r="HG120" i="87"/>
  <c r="GM120" i="87"/>
  <c r="FS120" i="87"/>
  <c r="EY120" i="87"/>
  <c r="EE120" i="87"/>
  <c r="DK120" i="87"/>
  <c r="CQ120" i="87"/>
  <c r="BW120" i="87"/>
  <c r="BC120" i="87"/>
  <c r="AI120" i="87"/>
  <c r="KS120" i="87"/>
  <c r="JE120" i="87"/>
  <c r="HQ120" i="87"/>
  <c r="GC120" i="87"/>
  <c r="EO120" i="87"/>
  <c r="DA120" i="87"/>
  <c r="BM120" i="87"/>
  <c r="Y120" i="87"/>
  <c r="LJ139" i="87"/>
  <c r="JY139" i="87"/>
  <c r="IK139" i="87"/>
  <c r="GW139" i="87"/>
  <c r="FI139" i="87"/>
  <c r="DU139" i="87"/>
  <c r="CG139" i="87"/>
  <c r="AS139" i="87"/>
  <c r="JO139" i="87"/>
  <c r="KI139" i="87"/>
  <c r="KS139" i="87"/>
  <c r="JE139" i="87"/>
  <c r="HQ139" i="87"/>
  <c r="GC139" i="87"/>
  <c r="EO139" i="87"/>
  <c r="DA139" i="87"/>
  <c r="BM139" i="87"/>
  <c r="Y139" i="87"/>
  <c r="LC139" i="87"/>
  <c r="IA139" i="87"/>
  <c r="GM139" i="87"/>
  <c r="EY139" i="87"/>
  <c r="DK139" i="87"/>
  <c r="BW139" i="87"/>
  <c r="AI139" i="87"/>
  <c r="IU139" i="87"/>
  <c r="HG139" i="87"/>
  <c r="FS139" i="87"/>
  <c r="EE139" i="87"/>
  <c r="CQ139" i="87"/>
  <c r="BC139" i="87"/>
  <c r="LJ149" i="87"/>
  <c r="KS149" i="87"/>
  <c r="JE149" i="87"/>
  <c r="HQ149" i="87"/>
  <c r="GC149" i="87"/>
  <c r="EO149" i="87"/>
  <c r="DA149" i="87"/>
  <c r="BM149" i="87"/>
  <c r="Y149" i="87"/>
  <c r="LC149" i="87"/>
  <c r="IA149" i="87"/>
  <c r="GM149" i="87"/>
  <c r="EY149" i="87"/>
  <c r="DK149" i="87"/>
  <c r="BW149" i="87"/>
  <c r="AI149" i="87"/>
  <c r="IU149" i="87"/>
  <c r="HG149" i="87"/>
  <c r="FS149" i="87"/>
  <c r="EE149" i="87"/>
  <c r="CQ149" i="87"/>
  <c r="BC149" i="87"/>
  <c r="JY149" i="87"/>
  <c r="IK149" i="87"/>
  <c r="GW149" i="87"/>
  <c r="FI149" i="87"/>
  <c r="DU149" i="87"/>
  <c r="CG149" i="87"/>
  <c r="AS149" i="87"/>
  <c r="JO149" i="87"/>
  <c r="KI149" i="87"/>
  <c r="LJ10" i="87"/>
  <c r="LL10" i="87" s="1"/>
  <c r="BC10" i="87"/>
  <c r="CQ10" i="87"/>
  <c r="EE10" i="87"/>
  <c r="FS10" i="87"/>
  <c r="HG10" i="87"/>
  <c r="IU10" i="87"/>
  <c r="KI10" i="87"/>
  <c r="AI10" i="87"/>
  <c r="BW10" i="87"/>
  <c r="DK10" i="87"/>
  <c r="EY10" i="87"/>
  <c r="GM10" i="87"/>
  <c r="IA10" i="87"/>
  <c r="JO10" i="87"/>
  <c r="LC10" i="87"/>
  <c r="JY10" i="87"/>
  <c r="GW10" i="87"/>
  <c r="DU10" i="87"/>
  <c r="AS10" i="87"/>
  <c r="JE10" i="87"/>
  <c r="GC10" i="87"/>
  <c r="DA10" i="87"/>
  <c r="Y10" i="87"/>
  <c r="IK10" i="87"/>
  <c r="FI10" i="87"/>
  <c r="CG10" i="87"/>
  <c r="KS10" i="87"/>
  <c r="HQ10" i="87"/>
  <c r="EO10" i="87"/>
  <c r="BM10" i="87"/>
  <c r="KI33" i="87"/>
  <c r="IU33" i="87"/>
  <c r="HG33" i="87"/>
  <c r="FS33" i="87"/>
  <c r="EE33" i="87"/>
  <c r="CQ33" i="87"/>
  <c r="BC33" i="87"/>
  <c r="JY33" i="87"/>
  <c r="IK33" i="87"/>
  <c r="GW33" i="87"/>
  <c r="FI33" i="87"/>
  <c r="DU33" i="87"/>
  <c r="CG33" i="87"/>
  <c r="AS33" i="87"/>
  <c r="LC33" i="87"/>
  <c r="JO33" i="87"/>
  <c r="IA33" i="87"/>
  <c r="GM33" i="87"/>
  <c r="EY33" i="87"/>
  <c r="DK33" i="87"/>
  <c r="BW33" i="87"/>
  <c r="AI33" i="87"/>
  <c r="KS33" i="87"/>
  <c r="JE33" i="87"/>
  <c r="HQ33" i="87"/>
  <c r="GC33" i="87"/>
  <c r="EO33" i="87"/>
  <c r="DA33" i="87"/>
  <c r="BM33" i="87"/>
  <c r="Y33" i="87"/>
  <c r="KI35" i="87"/>
  <c r="IU35" i="87"/>
  <c r="HG35" i="87"/>
  <c r="FS35" i="87"/>
  <c r="EE35" i="87"/>
  <c r="CQ35" i="87"/>
  <c r="BC35" i="87"/>
  <c r="JY35" i="87"/>
  <c r="IK35" i="87"/>
  <c r="GW35" i="87"/>
  <c r="FI35" i="87"/>
  <c r="DU35" i="87"/>
  <c r="CG35" i="87"/>
  <c r="AS35" i="87"/>
  <c r="LC35" i="87"/>
  <c r="JO35" i="87"/>
  <c r="IA35" i="87"/>
  <c r="GM35" i="87"/>
  <c r="EY35" i="87"/>
  <c r="DK35" i="87"/>
  <c r="BW35" i="87"/>
  <c r="AI35" i="87"/>
  <c r="KS35" i="87"/>
  <c r="JE35" i="87"/>
  <c r="HQ35" i="87"/>
  <c r="GC35" i="87"/>
  <c r="EO35" i="87"/>
  <c r="DA35" i="87"/>
  <c r="BM35" i="87"/>
  <c r="Y35" i="87"/>
  <c r="KS91" i="87"/>
  <c r="JY91" i="87"/>
  <c r="JE91" i="87"/>
  <c r="IK91" i="87"/>
  <c r="HQ91" i="87"/>
  <c r="GW91" i="87"/>
  <c r="GC91" i="87"/>
  <c r="FI91" i="87"/>
  <c r="EO91" i="87"/>
  <c r="DU91" i="87"/>
  <c r="DA91" i="87"/>
  <c r="CG91" i="87"/>
  <c r="BM91" i="87"/>
  <c r="AS91" i="87"/>
  <c r="LC91" i="87"/>
  <c r="KI91" i="87"/>
  <c r="JO91" i="87"/>
  <c r="IU91" i="87"/>
  <c r="IA91" i="87"/>
  <c r="HG91" i="87"/>
  <c r="GM91" i="87"/>
  <c r="FS91" i="87"/>
  <c r="EY91" i="87"/>
  <c r="EE91" i="87"/>
  <c r="DK91" i="87"/>
  <c r="CQ91" i="87"/>
  <c r="BW91" i="87"/>
  <c r="BC91" i="87"/>
  <c r="Y91" i="87"/>
  <c r="AI91" i="87"/>
  <c r="KS119" i="87"/>
  <c r="JE119" i="87"/>
  <c r="HQ119" i="87"/>
  <c r="GC119" i="87"/>
  <c r="EO119" i="87"/>
  <c r="DA119" i="87"/>
  <c r="BM119" i="87"/>
  <c r="Y119" i="87"/>
  <c r="JY119" i="87"/>
  <c r="IK119" i="87"/>
  <c r="GW119" i="87"/>
  <c r="FI119" i="87"/>
  <c r="DU119" i="87"/>
  <c r="CG119" i="87"/>
  <c r="AS119" i="87"/>
  <c r="LC119" i="87"/>
  <c r="KI119" i="87"/>
  <c r="JO119" i="87"/>
  <c r="IU119" i="87"/>
  <c r="IA119" i="87"/>
  <c r="HG119" i="87"/>
  <c r="GM119" i="87"/>
  <c r="FS119" i="87"/>
  <c r="EY119" i="87"/>
  <c r="EE119" i="87"/>
  <c r="DK119" i="87"/>
  <c r="CQ119" i="87"/>
  <c r="BW119" i="87"/>
  <c r="BC119" i="87"/>
  <c r="AI119" i="87"/>
  <c r="LJ141" i="87"/>
  <c r="JY141" i="87"/>
  <c r="IK141" i="87"/>
  <c r="GW141" i="87"/>
  <c r="FI141" i="87"/>
  <c r="DU141" i="87"/>
  <c r="CG141" i="87"/>
  <c r="AS141" i="87"/>
  <c r="JO141" i="87"/>
  <c r="KI141" i="87"/>
  <c r="KS141" i="87"/>
  <c r="JE141" i="87"/>
  <c r="HQ141" i="87"/>
  <c r="GC141" i="87"/>
  <c r="EO141" i="87"/>
  <c r="DA141" i="87"/>
  <c r="BM141" i="87"/>
  <c r="Y141" i="87"/>
  <c r="LC141" i="87"/>
  <c r="IA141" i="87"/>
  <c r="GM141" i="87"/>
  <c r="EY141" i="87"/>
  <c r="DK141" i="87"/>
  <c r="BW141" i="87"/>
  <c r="AI141" i="87"/>
  <c r="IU141" i="87"/>
  <c r="HG141" i="87"/>
  <c r="FS141" i="87"/>
  <c r="EE141" i="87"/>
  <c r="CQ141" i="87"/>
  <c r="BC141" i="87"/>
  <c r="LJ148" i="87"/>
  <c r="JY148" i="87"/>
  <c r="IK148" i="87"/>
  <c r="GW148" i="87"/>
  <c r="FI148" i="87"/>
  <c r="DU148" i="87"/>
  <c r="CG148" i="87"/>
  <c r="AS148" i="87"/>
  <c r="JO148" i="87"/>
  <c r="KI148" i="87"/>
  <c r="KS148" i="87"/>
  <c r="JE148" i="87"/>
  <c r="HQ148" i="87"/>
  <c r="GC148" i="87"/>
  <c r="EO148" i="87"/>
  <c r="DA148" i="87"/>
  <c r="BM148" i="87"/>
  <c r="Y148" i="87"/>
  <c r="LC148" i="87"/>
  <c r="IA148" i="87"/>
  <c r="GM148" i="87"/>
  <c r="EY148" i="87"/>
  <c r="DK148" i="87"/>
  <c r="BW148" i="87"/>
  <c r="AI148" i="87"/>
  <c r="IU148" i="87"/>
  <c r="HG148" i="87"/>
  <c r="FS148" i="87"/>
  <c r="EE148" i="87"/>
  <c r="CQ148" i="87"/>
  <c r="BC148" i="87"/>
  <c r="JY154" i="87"/>
  <c r="IK154" i="87"/>
  <c r="GW154" i="87"/>
  <c r="FI154" i="87"/>
  <c r="DU154" i="87"/>
  <c r="CG154" i="87"/>
  <c r="AS154" i="87"/>
  <c r="JO154" i="87"/>
  <c r="KS154" i="87"/>
  <c r="JE154" i="87"/>
  <c r="HQ154" i="87"/>
  <c r="GC154" i="87"/>
  <c r="EO154" i="87"/>
  <c r="DA154" i="87"/>
  <c r="BM154" i="87"/>
  <c r="Y154" i="87"/>
  <c r="LC154" i="87"/>
  <c r="IA154" i="87"/>
  <c r="GM154" i="87"/>
  <c r="EY154" i="87"/>
  <c r="DK154" i="87"/>
  <c r="BW154" i="87"/>
  <c r="AI154" i="87"/>
  <c r="KI154" i="87"/>
  <c r="IU154" i="87"/>
  <c r="HG154" i="87"/>
  <c r="FS154" i="87"/>
  <c r="EE154" i="87"/>
  <c r="CQ154" i="87"/>
  <c r="BC154" i="87"/>
  <c r="LJ91" i="87"/>
  <c r="O200" i="87"/>
  <c r="O213" i="87"/>
  <c r="O209" i="87"/>
  <c r="LI49" i="87"/>
  <c r="LI67" i="87"/>
  <c r="LI152" i="87"/>
  <c r="LI61" i="87"/>
  <c r="LI52" i="87"/>
  <c r="O62" i="87"/>
  <c r="LI18" i="87"/>
  <c r="LI27" i="87"/>
  <c r="K159" i="87"/>
  <c r="K218" i="87" s="1"/>
  <c r="LI94" i="87"/>
  <c r="LF11" i="87"/>
  <c r="LI15" i="87"/>
  <c r="LE109" i="87"/>
  <c r="LF109" i="87" s="1"/>
  <c r="LG109" i="87" s="1"/>
  <c r="LE45" i="87"/>
  <c r="LF45" i="87" s="1"/>
  <c r="LG45" i="87" s="1"/>
  <c r="LE49" i="87"/>
  <c r="LF49" i="87" s="1"/>
  <c r="LE54" i="87"/>
  <c r="LF54" i="87" s="1"/>
  <c r="LE58" i="87"/>
  <c r="LF58" i="87" s="1"/>
  <c r="LG58" i="87" s="1"/>
  <c r="E564" i="191" s="1"/>
  <c r="LE63" i="87"/>
  <c r="LF63" i="87" s="1"/>
  <c r="O38" i="87"/>
  <c r="LE71" i="87"/>
  <c r="LF71" i="87" s="1"/>
  <c r="LG71" i="87" s="1"/>
  <c r="K163" i="87"/>
  <c r="K222" i="87" s="1"/>
  <c r="LE74" i="87"/>
  <c r="LF74" i="87" s="1"/>
  <c r="LG74" i="87" s="1"/>
  <c r="LJ119" i="87"/>
  <c r="O119" i="87"/>
  <c r="LJ154" i="87"/>
  <c r="O154" i="87"/>
  <c r="LJ35" i="87"/>
  <c r="O35" i="87"/>
  <c r="LJ112" i="87"/>
  <c r="O112" i="87"/>
  <c r="LJ121" i="87"/>
  <c r="O121" i="87"/>
  <c r="LJ120" i="87"/>
  <c r="O120" i="87"/>
  <c r="L49" i="87"/>
  <c r="L165" i="87" s="1"/>
  <c r="L224" i="87" s="1"/>
  <c r="L52" i="87"/>
  <c r="L168" i="87" s="1"/>
  <c r="L227" i="87" s="1"/>
  <c r="LI178" i="87"/>
  <c r="LI237" i="87" s="1"/>
  <c r="LJ33" i="87"/>
  <c r="L65" i="87"/>
  <c r="L76" i="87"/>
  <c r="L85" i="87"/>
  <c r="H69" i="87"/>
  <c r="I71" i="87"/>
  <c r="K71" i="87" s="1"/>
  <c r="L45" i="87"/>
  <c r="H40" i="87"/>
  <c r="I42" i="87"/>
  <c r="K42" i="87" s="1"/>
  <c r="L51" i="87"/>
  <c r="L55" i="87"/>
  <c r="L60" i="87"/>
  <c r="L64" i="87"/>
  <c r="L39" i="87"/>
  <c r="K155" i="87"/>
  <c r="K214" i="87" s="1"/>
  <c r="L214" i="87" s="1"/>
  <c r="L58" i="87"/>
  <c r="L174" i="87" s="1"/>
  <c r="L233" i="87" s="1"/>
  <c r="L67" i="87"/>
  <c r="L183" i="87" s="1"/>
  <c r="L242" i="87" s="1"/>
  <c r="L82" i="87"/>
  <c r="L86" i="87"/>
  <c r="L95" i="87"/>
  <c r="L97" i="87"/>
  <c r="L103" i="87"/>
  <c r="L105" i="87"/>
  <c r="L147" i="87"/>
  <c r="L143" i="87"/>
  <c r="L129" i="87"/>
  <c r="K161" i="87"/>
  <c r="K220" i="87" s="1"/>
  <c r="LI81" i="87"/>
  <c r="LE73" i="87"/>
  <c r="LF73" i="87" s="1"/>
  <c r="LG73" i="87" s="1"/>
  <c r="LE78" i="87"/>
  <c r="LF78" i="87" s="1"/>
  <c r="LE83" i="87"/>
  <c r="LF83" i="87" s="1"/>
  <c r="LE87" i="87"/>
  <c r="LF87" i="87" s="1"/>
  <c r="LG87" i="87" s="1"/>
  <c r="E627" i="191" s="1"/>
  <c r="LE100" i="87"/>
  <c r="LF100" i="87" s="1"/>
  <c r="LE90" i="87"/>
  <c r="LF90" i="87" s="1"/>
  <c r="O107" i="87"/>
  <c r="O91" i="87"/>
  <c r="L164" i="87"/>
  <c r="L223" i="87" s="1"/>
  <c r="L178" i="87"/>
  <c r="L237" i="87" s="1"/>
  <c r="LI92" i="87"/>
  <c r="LI96" i="87"/>
  <c r="LI110" i="87"/>
  <c r="LE134" i="87"/>
  <c r="LF134" i="87" s="1"/>
  <c r="LG134" i="87" s="1"/>
  <c r="O148" i="87"/>
  <c r="LI125" i="87"/>
  <c r="LI136" i="87"/>
  <c r="LI150" i="87"/>
  <c r="O141" i="87"/>
  <c r="LJ20" i="87"/>
  <c r="LJ23" i="87"/>
  <c r="LJ25" i="87"/>
  <c r="LJ32" i="87"/>
  <c r="LJ34" i="87"/>
  <c r="LJ38" i="87"/>
  <c r="L43" i="87"/>
  <c r="H98" i="87"/>
  <c r="I100" i="87"/>
  <c r="K100" i="87" s="1"/>
  <c r="L102" i="87"/>
  <c r="L56" i="87"/>
  <c r="L47" i="87"/>
  <c r="L44" i="87"/>
  <c r="L53" i="87"/>
  <c r="L57" i="87"/>
  <c r="L66" i="87"/>
  <c r="LG68" i="87"/>
  <c r="LI68" i="87" s="1"/>
  <c r="LE72" i="87"/>
  <c r="LF72" i="87" s="1"/>
  <c r="LG72" i="87" s="1"/>
  <c r="LE77" i="87"/>
  <c r="LF77" i="87" s="1"/>
  <c r="LG77" i="87" s="1"/>
  <c r="LE82" i="87"/>
  <c r="LF82" i="87" s="1"/>
  <c r="LG82" i="87" s="1"/>
  <c r="LE86" i="87"/>
  <c r="LF86" i="87" s="1"/>
  <c r="LG86" i="87" s="1"/>
  <c r="LE93" i="87"/>
  <c r="LF93" i="87" s="1"/>
  <c r="LG93" i="87" s="1"/>
  <c r="LE80" i="87"/>
  <c r="LF80" i="87" s="1"/>
  <c r="LG80" i="87" s="1"/>
  <c r="LE84" i="87"/>
  <c r="LF84" i="87" s="1"/>
  <c r="LG84" i="87" s="1"/>
  <c r="LE89" i="87"/>
  <c r="LF89" i="87" s="1"/>
  <c r="LG89" i="87" s="1"/>
  <c r="LE75" i="87"/>
  <c r="LF75" i="87" s="1"/>
  <c r="LG75" i="87" s="1"/>
  <c r="LI75" i="87" s="1"/>
  <c r="LE91" i="87"/>
  <c r="LF91" i="87" s="1"/>
  <c r="LE95" i="87"/>
  <c r="LF95" i="87" s="1"/>
  <c r="LG95" i="87" s="1"/>
  <c r="L54" i="87"/>
  <c r="L170" i="87" s="1"/>
  <c r="L229" i="87" s="1"/>
  <c r="L61" i="87"/>
  <c r="L177" i="87" s="1"/>
  <c r="L236" i="87" s="1"/>
  <c r="L63" i="87"/>
  <c r="L179" i="87" s="1"/>
  <c r="L238" i="87" s="1"/>
  <c r="LG39" i="87"/>
  <c r="LI39" i="87" s="1"/>
  <c r="LE48" i="87"/>
  <c r="LF48" i="87" s="1"/>
  <c r="LG48" i="87" s="1"/>
  <c r="LE44" i="87"/>
  <c r="LF44" i="87" s="1"/>
  <c r="LG44" i="87" s="1"/>
  <c r="LE53" i="87"/>
  <c r="LF53" i="87" s="1"/>
  <c r="LG53" i="87" s="1"/>
  <c r="LE57" i="87"/>
  <c r="LF57" i="87" s="1"/>
  <c r="LG57" i="87" s="1"/>
  <c r="LE62" i="87"/>
  <c r="LF62" i="87" s="1"/>
  <c r="LE46" i="87"/>
  <c r="LF46" i="87" s="1"/>
  <c r="LG46" i="87" s="1"/>
  <c r="LI46" i="87" s="1"/>
  <c r="LE51" i="87"/>
  <c r="LF51" i="87" s="1"/>
  <c r="LG51" i="87" s="1"/>
  <c r="LE55" i="87"/>
  <c r="LF55" i="87" s="1"/>
  <c r="LG55" i="87" s="1"/>
  <c r="LE60" i="87"/>
  <c r="LF60" i="87" s="1"/>
  <c r="LG60" i="87" s="1"/>
  <c r="LE66" i="87"/>
  <c r="LF66" i="87" s="1"/>
  <c r="LG66" i="87" s="1"/>
  <c r="LE64" i="87"/>
  <c r="LF64" i="87" s="1"/>
  <c r="LG64" i="87" s="1"/>
  <c r="LE42" i="87"/>
  <c r="LF42" i="87" s="1"/>
  <c r="L68" i="87"/>
  <c r="L80" i="87"/>
  <c r="L84" i="87"/>
  <c r="L89" i="87"/>
  <c r="L93" i="87"/>
  <c r="L111" i="87"/>
  <c r="L114" i="87"/>
  <c r="L123" i="87"/>
  <c r="LE107" i="87"/>
  <c r="LF107" i="87" s="1"/>
  <c r="LE105" i="87"/>
  <c r="LF105" i="87" s="1"/>
  <c r="LG105" i="87" s="1"/>
  <c r="LG97" i="87"/>
  <c r="LI97" i="87" s="1"/>
  <c r="LE103" i="87"/>
  <c r="LF103" i="87" s="1"/>
  <c r="LG103" i="87" s="1"/>
  <c r="LE101" i="87"/>
  <c r="LF101" i="87" s="1"/>
  <c r="LG101" i="87" s="1"/>
  <c r="LE114" i="87"/>
  <c r="LF114" i="87" s="1"/>
  <c r="LG114" i="87" s="1"/>
  <c r="LE116" i="87"/>
  <c r="LF116" i="87" s="1"/>
  <c r="LG116" i="87" s="1"/>
  <c r="E689" i="191" s="1"/>
  <c r="LE118" i="87"/>
  <c r="LF118" i="87" s="1"/>
  <c r="LG118" i="87" s="1"/>
  <c r="LE121" i="87"/>
  <c r="LF121" i="87" s="1"/>
  <c r="LE122" i="87"/>
  <c r="LF122" i="87" s="1"/>
  <c r="LG122" i="87" s="1"/>
  <c r="LE124" i="87"/>
  <c r="LF124" i="87" s="1"/>
  <c r="LG124" i="87" s="1"/>
  <c r="LE113" i="87"/>
  <c r="LF113" i="87" s="1"/>
  <c r="LG113" i="87" s="1"/>
  <c r="LE115" i="87"/>
  <c r="LF115" i="87" s="1"/>
  <c r="LG115" i="87" s="1"/>
  <c r="LE119" i="87"/>
  <c r="LF119" i="87" s="1"/>
  <c r="LE120" i="87"/>
  <c r="LF120" i="87" s="1"/>
  <c r="LE123" i="87"/>
  <c r="LF123" i="87" s="1"/>
  <c r="LG123" i="87" s="1"/>
  <c r="LE111" i="87"/>
  <c r="LF111" i="87" s="1"/>
  <c r="LG111" i="87" s="1"/>
  <c r="LE112" i="87"/>
  <c r="LF112" i="87" s="1"/>
  <c r="L113" i="87"/>
  <c r="LG126" i="87"/>
  <c r="LI126" i="87" s="1"/>
  <c r="LE130" i="87"/>
  <c r="LF130" i="87" s="1"/>
  <c r="LG130" i="87" s="1"/>
  <c r="LE132" i="87"/>
  <c r="LF132" i="87" s="1"/>
  <c r="LG132" i="87" s="1"/>
  <c r="LE131" i="87"/>
  <c r="LF131" i="87" s="1"/>
  <c r="LG131" i="87" s="1"/>
  <c r="LE154" i="87"/>
  <c r="LF154" i="87" s="1"/>
  <c r="LE151" i="87"/>
  <c r="LF151" i="87" s="1"/>
  <c r="LG151" i="87" s="1"/>
  <c r="LE153" i="87"/>
  <c r="LF153" i="87" s="1"/>
  <c r="LG153" i="87" s="1"/>
  <c r="LE129" i="87"/>
  <c r="LF129" i="87" s="1"/>
  <c r="LE133" i="87"/>
  <c r="LF133" i="87" s="1"/>
  <c r="LG133" i="87" s="1"/>
  <c r="LE135" i="87"/>
  <c r="LF135" i="87" s="1"/>
  <c r="LG135" i="87" s="1"/>
  <c r="LE139" i="87"/>
  <c r="LF139" i="87" s="1"/>
  <c r="LE140" i="87"/>
  <c r="LF140" i="87" s="1"/>
  <c r="LG140" i="87" s="1"/>
  <c r="LE142" i="87"/>
  <c r="LF142" i="87" s="1"/>
  <c r="LG142" i="87" s="1"/>
  <c r="LE138" i="87"/>
  <c r="LF138" i="87" s="1"/>
  <c r="LG138" i="87" s="1"/>
  <c r="LE141" i="87"/>
  <c r="LF141" i="87" s="1"/>
  <c r="LE143" i="87"/>
  <c r="LF143" i="87" s="1"/>
  <c r="LG143" i="87" s="1"/>
  <c r="LE147" i="87"/>
  <c r="LF147" i="87" s="1"/>
  <c r="LG147" i="87" s="1"/>
  <c r="LE144" i="87"/>
  <c r="LF144" i="87" s="1"/>
  <c r="LG144" i="87" s="1"/>
  <c r="LE145" i="87"/>
  <c r="LF145" i="87" s="1"/>
  <c r="LG145" i="87" s="1"/>
  <c r="E752" i="191" s="1"/>
  <c r="LE148" i="87"/>
  <c r="LF148" i="87" s="1"/>
  <c r="LE149" i="87"/>
  <c r="LF149" i="87" s="1"/>
  <c r="L130" i="87"/>
  <c r="L151" i="87"/>
  <c r="L132" i="87"/>
  <c r="LE43" i="87"/>
  <c r="LF43" i="87" s="1"/>
  <c r="LG43" i="87" s="1"/>
  <c r="LE47" i="87"/>
  <c r="LF47" i="87" s="1"/>
  <c r="LG47" i="87" s="1"/>
  <c r="LE52" i="87"/>
  <c r="LF52" i="87" s="1"/>
  <c r="LE56" i="87"/>
  <c r="LF56" i="87" s="1"/>
  <c r="LG56" i="87" s="1"/>
  <c r="LE61" i="87"/>
  <c r="LF61" i="87" s="1"/>
  <c r="LE65" i="87"/>
  <c r="LF65" i="87" s="1"/>
  <c r="LG65" i="87" s="1"/>
  <c r="LE76" i="87"/>
  <c r="LF76" i="87" s="1"/>
  <c r="LG76" i="87" s="1"/>
  <c r="LE81" i="87"/>
  <c r="LF81" i="87" s="1"/>
  <c r="LE85" i="87"/>
  <c r="LF85" i="87" s="1"/>
  <c r="LG85" i="87" s="1"/>
  <c r="LI78" i="87"/>
  <c r="LI83" i="87"/>
  <c r="O20" i="87"/>
  <c r="K165" i="87"/>
  <c r="K224" i="87" s="1"/>
  <c r="O23" i="87"/>
  <c r="K168" i="87"/>
  <c r="K227" i="87" s="1"/>
  <c r="O25" i="87"/>
  <c r="K170" i="87"/>
  <c r="K229" i="87" s="1"/>
  <c r="K172" i="87"/>
  <c r="K231" i="87" s="1"/>
  <c r="K174" i="87"/>
  <c r="K233" i="87" s="1"/>
  <c r="O32" i="87"/>
  <c r="K177" i="87"/>
  <c r="K236" i="87" s="1"/>
  <c r="O34" i="87"/>
  <c r="K179" i="87"/>
  <c r="K238" i="87" s="1"/>
  <c r="K181" i="87"/>
  <c r="K240" i="87" s="1"/>
  <c r="LI104" i="87"/>
  <c r="LI90" i="87"/>
  <c r="LI13" i="87"/>
  <c r="K160" i="87"/>
  <c r="K219" i="87" s="1"/>
  <c r="K167" i="87"/>
  <c r="K226" i="87" s="1"/>
  <c r="K169" i="87"/>
  <c r="K228" i="87" s="1"/>
  <c r="K171" i="87"/>
  <c r="K230" i="87" s="1"/>
  <c r="K173" i="87"/>
  <c r="K232" i="87" s="1"/>
  <c r="K176" i="87"/>
  <c r="K235" i="87" s="1"/>
  <c r="O33" i="87"/>
  <c r="K180" i="87"/>
  <c r="K239" i="87" s="1"/>
  <c r="K182" i="87"/>
  <c r="K241" i="87" s="1"/>
  <c r="LE102" i="87"/>
  <c r="LF102" i="87" s="1"/>
  <c r="LG102" i="87" s="1"/>
  <c r="LE106" i="87"/>
  <c r="LF106" i="87" s="1"/>
  <c r="LG106" i="87" s="1"/>
  <c r="LE92" i="87"/>
  <c r="LF92" i="87" s="1"/>
  <c r="LE96" i="87"/>
  <c r="LF96" i="87" s="1"/>
  <c r="LE110" i="87"/>
  <c r="LF110" i="87" s="1"/>
  <c r="O139" i="87"/>
  <c r="LE125" i="87"/>
  <c r="LF125" i="87" s="1"/>
  <c r="LE136" i="87"/>
  <c r="LF136" i="87" s="1"/>
  <c r="O149" i="87"/>
  <c r="LE150" i="87"/>
  <c r="LF150" i="87" s="1"/>
  <c r="MC1286" i="191" l="1"/>
  <c r="MI1286" i="191" s="1"/>
  <c r="BP1291" i="191"/>
  <c r="BV1291" i="191" s="1"/>
  <c r="MC1289" i="191"/>
  <c r="MI1289" i="191" s="1"/>
  <c r="MC1298" i="191"/>
  <c r="MI1298" i="191" s="1"/>
  <c r="MC1294" i="191"/>
  <c r="MI1294" i="191" s="1"/>
  <c r="MC1297" i="191"/>
  <c r="MI1297" i="191" s="1"/>
  <c r="NS1293" i="191"/>
  <c r="NY1293" i="191" s="1"/>
  <c r="NS1302" i="191"/>
  <c r="NY1302" i="191" s="1"/>
  <c r="NS1297" i="191"/>
  <c r="NY1297" i="191" s="1"/>
  <c r="NS1307" i="191"/>
  <c r="NY1307" i="191" s="1"/>
  <c r="BP1281" i="191"/>
  <c r="BV1281" i="191" s="1"/>
  <c r="BP1308" i="191"/>
  <c r="BV1308" i="191" s="1"/>
  <c r="BP1307" i="191"/>
  <c r="BV1307" i="191" s="1"/>
  <c r="BP1298" i="191"/>
  <c r="BV1298" i="191" s="1"/>
  <c r="BP1286" i="191"/>
  <c r="BV1286" i="191" s="1"/>
  <c r="NS1288" i="191"/>
  <c r="NY1288" i="191" s="1"/>
  <c r="HG1289" i="191"/>
  <c r="HM1289" i="191" s="1"/>
  <c r="HG1308" i="191"/>
  <c r="HM1308" i="191" s="1"/>
  <c r="HG1294" i="191"/>
  <c r="HM1294" i="191" s="1"/>
  <c r="HG1303" i="191"/>
  <c r="HM1303" i="191" s="1"/>
  <c r="DF1294" i="191"/>
  <c r="DL1294" i="191" s="1"/>
  <c r="MC1288" i="191"/>
  <c r="MI1288" i="191" s="1"/>
  <c r="MC1287" i="191"/>
  <c r="MI1287" i="191" s="1"/>
  <c r="HG1290" i="191"/>
  <c r="HM1290" i="191" s="1"/>
  <c r="MC1283" i="191"/>
  <c r="MI1283" i="191" s="1"/>
  <c r="BP1284" i="191"/>
  <c r="BV1284" i="191" s="1"/>
  <c r="MC1285" i="191"/>
  <c r="MI1285" i="191" s="1"/>
  <c r="MC1305" i="191"/>
  <c r="MI1305" i="191" s="1"/>
  <c r="MC1304" i="191"/>
  <c r="MI1304" i="191" s="1"/>
  <c r="MC1301" i="191"/>
  <c r="MI1301" i="191" s="1"/>
  <c r="NS1281" i="191"/>
  <c r="NY1281" i="191" s="1"/>
  <c r="NS1308" i="191"/>
  <c r="NY1308" i="191" s="1"/>
  <c r="NS1294" i="191"/>
  <c r="NY1294" i="191" s="1"/>
  <c r="NS1303" i="191"/>
  <c r="NY1303" i="191" s="1"/>
  <c r="BP1289" i="191"/>
  <c r="BV1289" i="191" s="1"/>
  <c r="BP1304" i="191"/>
  <c r="BV1304" i="191" s="1"/>
  <c r="BP1297" i="191"/>
  <c r="BV1297" i="191" s="1"/>
  <c r="HG1287" i="191"/>
  <c r="HM1287" i="191" s="1"/>
  <c r="NS1286" i="191"/>
  <c r="NY1286" i="191" s="1"/>
  <c r="NS1291" i="191"/>
  <c r="NY1291" i="191" s="1"/>
  <c r="HG1288" i="191"/>
  <c r="HM1288" i="191" s="1"/>
  <c r="BP1288" i="191"/>
  <c r="BV1288" i="191" s="1"/>
  <c r="HG1293" i="191"/>
  <c r="HM1293" i="191" s="1"/>
  <c r="HG1305" i="191"/>
  <c r="HM1305" i="191" s="1"/>
  <c r="HG1304" i="191"/>
  <c r="HM1304" i="191" s="1"/>
  <c r="EA1281" i="191"/>
  <c r="EG1281" i="191" s="1"/>
  <c r="HG1292" i="191"/>
  <c r="HM1292" i="191" s="1"/>
  <c r="MC1292" i="191"/>
  <c r="MI1292" i="191" s="1"/>
  <c r="MC1282" i="191"/>
  <c r="MI1282" i="191" s="1"/>
  <c r="MC1290" i="191"/>
  <c r="MI1290" i="191" s="1"/>
  <c r="HG1283" i="191"/>
  <c r="HM1283" i="191" s="1"/>
  <c r="HG1291" i="191"/>
  <c r="HM1291" i="191" s="1"/>
  <c r="MC1281" i="191"/>
  <c r="MI1281" i="191" s="1"/>
  <c r="MC1302" i="191"/>
  <c r="MI1302" i="191" s="1"/>
  <c r="MC1303" i="191"/>
  <c r="MI1303" i="191" s="1"/>
  <c r="MC1307" i="191"/>
  <c r="MI1307" i="191" s="1"/>
  <c r="NS1289" i="191"/>
  <c r="NY1289" i="191" s="1"/>
  <c r="NS1305" i="191"/>
  <c r="NY1305" i="191" s="1"/>
  <c r="NS1298" i="191"/>
  <c r="NY1298" i="191" s="1"/>
  <c r="NS1301" i="191"/>
  <c r="NY1301" i="191" s="1"/>
  <c r="BP1293" i="191"/>
  <c r="BV1293" i="191" s="1"/>
  <c r="BP1299" i="191"/>
  <c r="BV1299" i="191" s="1"/>
  <c r="BP1303" i="191"/>
  <c r="BV1303" i="191" s="1"/>
  <c r="BP1302" i="191"/>
  <c r="BV1302" i="191" s="1"/>
  <c r="HG1282" i="191"/>
  <c r="HM1282" i="191" s="1"/>
  <c r="BP1283" i="191"/>
  <c r="BV1283" i="191" s="1"/>
  <c r="MC1284" i="191"/>
  <c r="MI1284" i="191" s="1"/>
  <c r="BP1292" i="191"/>
  <c r="BV1292" i="191" s="1"/>
  <c r="HG1285" i="191"/>
  <c r="HM1285" i="191" s="1"/>
  <c r="HG1298" i="191"/>
  <c r="HM1298" i="191" s="1"/>
  <c r="HG1297" i="191"/>
  <c r="HM1297" i="191" s="1"/>
  <c r="HG1307" i="191"/>
  <c r="HM1307" i="191" s="1"/>
  <c r="RT1298" i="191"/>
  <c r="RZ1298" i="191" s="1"/>
  <c r="TJ1286" i="191"/>
  <c r="TP1286" i="191" s="1"/>
  <c r="GL1291" i="191"/>
  <c r="GR1291" i="191" s="1"/>
  <c r="MX1288" i="191"/>
  <c r="ND1288" i="191" s="1"/>
  <c r="Z1301" i="191"/>
  <c r="AF1301" i="191" s="1"/>
  <c r="MX1294" i="191"/>
  <c r="ND1294" i="191" s="1"/>
  <c r="MX1305" i="191"/>
  <c r="ND1305" i="191" s="1"/>
  <c r="MX1282" i="191"/>
  <c r="ND1282" i="191" s="1"/>
  <c r="MX1286" i="191"/>
  <c r="ND1286" i="191" s="1"/>
  <c r="GL1288" i="191"/>
  <c r="GR1288" i="191" s="1"/>
  <c r="UE1292" i="191"/>
  <c r="UK1292" i="191" s="1"/>
  <c r="GL1308" i="191"/>
  <c r="GR1308" i="191" s="1"/>
  <c r="Z1292" i="191"/>
  <c r="AF1292" i="191" s="1"/>
  <c r="Z1285" i="191"/>
  <c r="AF1285" i="191" s="1"/>
  <c r="MX1285" i="191"/>
  <c r="ND1285" i="191" s="1"/>
  <c r="MX1297" i="191"/>
  <c r="ND1297" i="191" s="1"/>
  <c r="ON1289" i="191"/>
  <c r="OT1289" i="191" s="1"/>
  <c r="BC29" i="87"/>
  <c r="Z1282" i="191"/>
  <c r="AF1282" i="191" s="1"/>
  <c r="Z1284" i="191"/>
  <c r="AF1284" i="191" s="1"/>
  <c r="Z1293" i="191"/>
  <c r="AF1293" i="191" s="1"/>
  <c r="Z1304" i="191"/>
  <c r="AF1304" i="191" s="1"/>
  <c r="Z1303" i="191"/>
  <c r="AF1303" i="191" s="1"/>
  <c r="Z1287" i="191"/>
  <c r="AF1287" i="191" s="1"/>
  <c r="ON1290" i="191"/>
  <c r="OT1290" i="191" s="1"/>
  <c r="Z1281" i="191"/>
  <c r="AF1281" i="191" s="1"/>
  <c r="Z1294" i="191"/>
  <c r="AF1294" i="191" s="1"/>
  <c r="Z1297" i="191"/>
  <c r="AF1297" i="191" s="1"/>
  <c r="Z1305" i="191"/>
  <c r="AF1305" i="191" s="1"/>
  <c r="ON1297" i="191"/>
  <c r="OT1297" i="191" s="1"/>
  <c r="Z1290" i="191"/>
  <c r="AF1290" i="191" s="1"/>
  <c r="IB1283" i="191"/>
  <c r="IH1283" i="191" s="1"/>
  <c r="IB1291" i="191"/>
  <c r="IH1291" i="191" s="1"/>
  <c r="PI1283" i="191"/>
  <c r="PO1283" i="191" s="1"/>
  <c r="Z1300" i="191"/>
  <c r="AF1300" i="191" s="1"/>
  <c r="YF1299" i="191"/>
  <c r="YL1299" i="191" s="1"/>
  <c r="UE1282" i="191"/>
  <c r="UK1282" i="191" s="1"/>
  <c r="UE1286" i="191"/>
  <c r="UK1286" i="191" s="1"/>
  <c r="Z1288" i="191"/>
  <c r="AF1288" i="191" s="1"/>
  <c r="Z1289" i="191"/>
  <c r="AF1289" i="191" s="1"/>
  <c r="Z1308" i="191"/>
  <c r="AF1308" i="191" s="1"/>
  <c r="Z1307" i="191"/>
  <c r="AF1307" i="191" s="1"/>
  <c r="Z1298" i="191"/>
  <c r="AF1298" i="191" s="1"/>
  <c r="ON1304" i="191"/>
  <c r="OT1304" i="191" s="1"/>
  <c r="Z1283" i="191"/>
  <c r="AF1283" i="191" s="1"/>
  <c r="IB1289" i="191"/>
  <c r="IH1289" i="191" s="1"/>
  <c r="QY1287" i="191"/>
  <c r="RE1287" i="191" s="1"/>
  <c r="TJ1289" i="191"/>
  <c r="TP1289" i="191" s="1"/>
  <c r="XK1307" i="191"/>
  <c r="XQ1307" i="191" s="1"/>
  <c r="GL1302" i="191"/>
  <c r="GR1302" i="191" s="1"/>
  <c r="YF1290" i="191"/>
  <c r="YL1290" i="191" s="1"/>
  <c r="PI1301" i="191"/>
  <c r="PO1301" i="191" s="1"/>
  <c r="GL1285" i="191"/>
  <c r="GR1285" i="191" s="1"/>
  <c r="GL1298" i="191"/>
  <c r="GR1298" i="191" s="1"/>
  <c r="TJ1285" i="191"/>
  <c r="TP1285" i="191" s="1"/>
  <c r="IB1299" i="191"/>
  <c r="IH1299" i="191" s="1"/>
  <c r="XK1287" i="191"/>
  <c r="XQ1287" i="191" s="1"/>
  <c r="YF1304" i="191"/>
  <c r="YL1304" i="191" s="1"/>
  <c r="PI1305" i="191"/>
  <c r="PO1305" i="191" s="1"/>
  <c r="JR1307" i="191"/>
  <c r="JX1307" i="191" s="1"/>
  <c r="XK1292" i="191"/>
  <c r="XQ1292" i="191" s="1"/>
  <c r="GL1307" i="191"/>
  <c r="GR1307" i="191" s="1"/>
  <c r="UE1305" i="191"/>
  <c r="UK1305" i="191" s="1"/>
  <c r="QY1284" i="191"/>
  <c r="RE1284" i="191" s="1"/>
  <c r="QY1307" i="191"/>
  <c r="RE1307" i="191" s="1"/>
  <c r="RT1283" i="191"/>
  <c r="RZ1283" i="191" s="1"/>
  <c r="CJ1300" i="191"/>
  <c r="CP1300" i="191" s="1"/>
  <c r="CJ1306" i="191"/>
  <c r="CP1306" i="191" s="1"/>
  <c r="BO1300" i="191"/>
  <c r="BU1300" i="191" s="1"/>
  <c r="BO1306" i="191"/>
  <c r="BU1306" i="191" s="1"/>
  <c r="AT1300" i="191"/>
  <c r="AZ1300" i="191" s="1"/>
  <c r="AT1306" i="191"/>
  <c r="AZ1306" i="191" s="1"/>
  <c r="Y1300" i="191"/>
  <c r="AE1300" i="191" s="1"/>
  <c r="Y1306" i="191"/>
  <c r="AE1306" i="191" s="1"/>
  <c r="MB1300" i="191"/>
  <c r="MH1300" i="191" s="1"/>
  <c r="MB1306" i="191"/>
  <c r="MH1306" i="191" s="1"/>
  <c r="LG1300" i="191"/>
  <c r="LM1300" i="191" s="1"/>
  <c r="LG1306" i="191"/>
  <c r="LM1306" i="191" s="1"/>
  <c r="KL1300" i="191"/>
  <c r="KR1300" i="191" s="1"/>
  <c r="KL1306" i="191"/>
  <c r="KR1306" i="191" s="1"/>
  <c r="JQ1300" i="191"/>
  <c r="JW1300" i="191" s="1"/>
  <c r="JQ1306" i="191"/>
  <c r="JW1306" i="191" s="1"/>
  <c r="CK1300" i="191"/>
  <c r="CQ1300" i="191" s="1"/>
  <c r="CK1306" i="191"/>
  <c r="CQ1306" i="191" s="1"/>
  <c r="EV1301" i="191"/>
  <c r="FB1301" i="191" s="1"/>
  <c r="EV1306" i="191"/>
  <c r="FB1306" i="191" s="1"/>
  <c r="VU1299" i="191"/>
  <c r="WA1299" i="191" s="1"/>
  <c r="VU1306" i="191"/>
  <c r="WA1306" i="191" s="1"/>
  <c r="QD1305" i="191"/>
  <c r="QJ1305" i="191" s="1"/>
  <c r="QD1306" i="191"/>
  <c r="QJ1306" i="191" s="1"/>
  <c r="FQ1297" i="191"/>
  <c r="FW1297" i="191" s="1"/>
  <c r="FQ1306" i="191"/>
  <c r="FW1306" i="191" s="1"/>
  <c r="ZA1299" i="191"/>
  <c r="ZG1299" i="191" s="1"/>
  <c r="ZA1306" i="191"/>
  <c r="ZG1306" i="191" s="1"/>
  <c r="UZ1305" i="191"/>
  <c r="VF1305" i="191" s="1"/>
  <c r="UZ1306" i="191"/>
  <c r="VF1306" i="191" s="1"/>
  <c r="AU1299" i="191"/>
  <c r="BA1299" i="191" s="1"/>
  <c r="AU1306" i="191"/>
  <c r="BA1306" i="191" s="1"/>
  <c r="IV1300" i="191"/>
  <c r="JB1300" i="191" s="1"/>
  <c r="IV1306" i="191"/>
  <c r="JB1306" i="191" s="1"/>
  <c r="IA1300" i="191"/>
  <c r="IG1300" i="191" s="1"/>
  <c r="IA1306" i="191"/>
  <c r="IG1306" i="191" s="1"/>
  <c r="HF1300" i="191"/>
  <c r="HL1300" i="191" s="1"/>
  <c r="HF1306" i="191"/>
  <c r="HL1306" i="191" s="1"/>
  <c r="GK1300" i="191"/>
  <c r="GQ1300" i="191" s="1"/>
  <c r="GK1306" i="191"/>
  <c r="GQ1306" i="191" s="1"/>
  <c r="SN1300" i="191"/>
  <c r="ST1300" i="191" s="1"/>
  <c r="SN1306" i="191"/>
  <c r="ST1306" i="191" s="1"/>
  <c r="RS1300" i="191"/>
  <c r="RY1300" i="191" s="1"/>
  <c r="RS1306" i="191"/>
  <c r="RY1306" i="191" s="1"/>
  <c r="QX1300" i="191"/>
  <c r="RD1300" i="191" s="1"/>
  <c r="QX1306" i="191"/>
  <c r="RD1306" i="191" s="1"/>
  <c r="QC1300" i="191"/>
  <c r="QI1300" i="191" s="1"/>
  <c r="QC1306" i="191"/>
  <c r="QI1306" i="191" s="1"/>
  <c r="IW1294" i="191"/>
  <c r="JC1294" i="191" s="1"/>
  <c r="IW1306" i="191"/>
  <c r="JC1306" i="191" s="1"/>
  <c r="KM1304" i="191"/>
  <c r="KS1304" i="191" s="1"/>
  <c r="KM1306" i="191"/>
  <c r="KS1306" i="191" s="1"/>
  <c r="LH1286" i="191"/>
  <c r="LN1286" i="191" s="1"/>
  <c r="LH1306" i="191"/>
  <c r="LN1306" i="191" s="1"/>
  <c r="WP1285" i="191"/>
  <c r="WV1285" i="191" s="1"/>
  <c r="WP1306" i="191"/>
  <c r="WV1306" i="191" s="1"/>
  <c r="SO1293" i="191"/>
  <c r="SU1293" i="191" s="1"/>
  <c r="SO1306" i="191"/>
  <c r="SU1306" i="191" s="1"/>
  <c r="TJ1304" i="191"/>
  <c r="TP1304" i="191" s="1"/>
  <c r="TJ1306" i="191"/>
  <c r="TP1306" i="191" s="1"/>
  <c r="MX1302" i="191"/>
  <c r="ND1302" i="191" s="1"/>
  <c r="MX1306" i="191"/>
  <c r="ND1306" i="191" s="1"/>
  <c r="GL1304" i="191"/>
  <c r="GR1304" i="191" s="1"/>
  <c r="GL1306" i="191"/>
  <c r="GR1306" i="191" s="1"/>
  <c r="PH1300" i="191"/>
  <c r="PN1300" i="191" s="1"/>
  <c r="PH1306" i="191"/>
  <c r="PN1306" i="191" s="1"/>
  <c r="OM1300" i="191"/>
  <c r="OS1300" i="191" s="1"/>
  <c r="OM1306" i="191"/>
  <c r="OS1306" i="191" s="1"/>
  <c r="NR1300" i="191"/>
  <c r="NX1300" i="191" s="1"/>
  <c r="NR1306" i="191"/>
  <c r="NX1306" i="191" s="1"/>
  <c r="MW1300" i="191"/>
  <c r="NC1300" i="191" s="1"/>
  <c r="MW1306" i="191"/>
  <c r="NC1306" i="191" s="1"/>
  <c r="YZ1300" i="191"/>
  <c r="ZF1300" i="191" s="1"/>
  <c r="YZ1306" i="191"/>
  <c r="ZF1306" i="191" s="1"/>
  <c r="YE1300" i="191"/>
  <c r="YK1300" i="191" s="1"/>
  <c r="YE1306" i="191"/>
  <c r="YK1306" i="191" s="1"/>
  <c r="XJ1300" i="191"/>
  <c r="XP1300" i="191" s="1"/>
  <c r="XJ1306" i="191"/>
  <c r="XP1306" i="191" s="1"/>
  <c r="WO1300" i="191"/>
  <c r="WU1300" i="191" s="1"/>
  <c r="WO1306" i="191"/>
  <c r="WU1306" i="191" s="1"/>
  <c r="VT1300" i="191"/>
  <c r="VZ1300" i="191" s="1"/>
  <c r="VT1306" i="191"/>
  <c r="VZ1306" i="191" s="1"/>
  <c r="UY1300" i="191"/>
  <c r="VE1300" i="191" s="1"/>
  <c r="UY1306" i="191"/>
  <c r="VE1306" i="191" s="1"/>
  <c r="UD1300" i="191"/>
  <c r="UJ1300" i="191" s="1"/>
  <c r="UD1306" i="191"/>
  <c r="UJ1306" i="191" s="1"/>
  <c r="TI1300" i="191"/>
  <c r="TO1300" i="191" s="1"/>
  <c r="TI1306" i="191"/>
  <c r="TO1306" i="191" s="1"/>
  <c r="FP1300" i="191"/>
  <c r="FV1300" i="191" s="1"/>
  <c r="FP1306" i="191"/>
  <c r="FV1306" i="191" s="1"/>
  <c r="EU1300" i="191"/>
  <c r="FA1300" i="191" s="1"/>
  <c r="EU1306" i="191"/>
  <c r="FA1306" i="191" s="1"/>
  <c r="DZ1300" i="191"/>
  <c r="EF1300" i="191" s="1"/>
  <c r="DZ1306" i="191"/>
  <c r="EF1306" i="191" s="1"/>
  <c r="DE1300" i="191"/>
  <c r="DK1300" i="191" s="1"/>
  <c r="DE1306" i="191"/>
  <c r="DK1306" i="191" s="1"/>
  <c r="KM1289" i="191"/>
  <c r="KS1289" i="191" s="1"/>
  <c r="IW1305" i="191"/>
  <c r="JC1305" i="191" s="1"/>
  <c r="KM1299" i="191"/>
  <c r="KS1299" i="191" s="1"/>
  <c r="LH1301" i="191"/>
  <c r="LN1301" i="191" s="1"/>
  <c r="IW1281" i="191"/>
  <c r="JC1281" i="191" s="1"/>
  <c r="KM1290" i="191"/>
  <c r="KS1290" i="191" s="1"/>
  <c r="IW1286" i="191"/>
  <c r="JC1286" i="191" s="1"/>
  <c r="TJ1287" i="191"/>
  <c r="TP1287" i="191" s="1"/>
  <c r="GL1282" i="191"/>
  <c r="GR1282" i="191" s="1"/>
  <c r="GL1290" i="191"/>
  <c r="GR1290" i="191" s="1"/>
  <c r="MX1292" i="191"/>
  <c r="ND1292" i="191" s="1"/>
  <c r="MX1289" i="191"/>
  <c r="ND1289" i="191" s="1"/>
  <c r="MX1301" i="191"/>
  <c r="ND1301" i="191" s="1"/>
  <c r="MX1307" i="191"/>
  <c r="ND1307" i="191" s="1"/>
  <c r="MX1298" i="191"/>
  <c r="ND1298" i="191" s="1"/>
  <c r="TJ1282" i="191"/>
  <c r="TP1282" i="191" s="1"/>
  <c r="GL1286" i="191"/>
  <c r="GR1286" i="191" s="1"/>
  <c r="GL1283" i="191"/>
  <c r="GR1283" i="191" s="1"/>
  <c r="MX1291" i="191"/>
  <c r="ND1291" i="191" s="1"/>
  <c r="MX1284" i="191"/>
  <c r="ND1284" i="191" s="1"/>
  <c r="TJ1292" i="191"/>
  <c r="TP1292" i="191" s="1"/>
  <c r="GL1281" i="191"/>
  <c r="GR1281" i="191" s="1"/>
  <c r="GL1303" i="191"/>
  <c r="GR1303" i="191" s="1"/>
  <c r="GL1299" i="191"/>
  <c r="GR1299" i="191" s="1"/>
  <c r="GL1301" i="191"/>
  <c r="GR1301" i="191" s="1"/>
  <c r="TJ1302" i="191"/>
  <c r="TP1302" i="191" s="1"/>
  <c r="IW1292" i="191"/>
  <c r="JC1292" i="191" s="1"/>
  <c r="IW1297" i="191"/>
  <c r="JC1297" i="191" s="1"/>
  <c r="KM1283" i="191"/>
  <c r="KS1283" i="191" s="1"/>
  <c r="KM1301" i="191"/>
  <c r="KS1301" i="191" s="1"/>
  <c r="LH1289" i="191"/>
  <c r="LN1289" i="191" s="1"/>
  <c r="WP1302" i="191"/>
  <c r="WV1302" i="191" s="1"/>
  <c r="GL1287" i="191"/>
  <c r="GR1287" i="191" s="1"/>
  <c r="TJ1283" i="191"/>
  <c r="TP1283" i="191" s="1"/>
  <c r="TJ1291" i="191"/>
  <c r="TP1291" i="191" s="1"/>
  <c r="MX1281" i="191"/>
  <c r="ND1281" i="191" s="1"/>
  <c r="MX1299" i="191"/>
  <c r="ND1299" i="191" s="1"/>
  <c r="MX1303" i="191"/>
  <c r="ND1303" i="191" s="1"/>
  <c r="GL1292" i="191"/>
  <c r="GR1292" i="191" s="1"/>
  <c r="GL1293" i="191"/>
  <c r="GR1293" i="191" s="1"/>
  <c r="GL1297" i="191"/>
  <c r="GR1297" i="191" s="1"/>
  <c r="GL1305" i="191"/>
  <c r="GR1305" i="191" s="1"/>
  <c r="TJ1308" i="191"/>
  <c r="TP1308" i="191" s="1"/>
  <c r="CK1285" i="191"/>
  <c r="CQ1285" i="191" s="1"/>
  <c r="UZ1289" i="191"/>
  <c r="VF1289" i="191" s="1"/>
  <c r="AU1305" i="191"/>
  <c r="BA1305" i="191" s="1"/>
  <c r="VU1293" i="191"/>
  <c r="WA1293" i="191" s="1"/>
  <c r="UZ1291" i="191"/>
  <c r="VF1291" i="191" s="1"/>
  <c r="EV1292" i="191"/>
  <c r="FB1292" i="191" s="1"/>
  <c r="FQ1308" i="191"/>
  <c r="FW1308" i="191" s="1"/>
  <c r="AU1288" i="191"/>
  <c r="BA1288" i="191" s="1"/>
  <c r="AU1283" i="191"/>
  <c r="BA1283" i="191" s="1"/>
  <c r="CK1292" i="191"/>
  <c r="CQ1292" i="191" s="1"/>
  <c r="CK1297" i="191"/>
  <c r="CQ1297" i="191" s="1"/>
  <c r="VU1284" i="191"/>
  <c r="WA1284" i="191" s="1"/>
  <c r="QD1302" i="191"/>
  <c r="QJ1302" i="191" s="1"/>
  <c r="FQ1284" i="191"/>
  <c r="FW1284" i="191" s="1"/>
  <c r="ZA1307" i="191"/>
  <c r="ZG1307" i="191" s="1"/>
  <c r="ZA1291" i="191"/>
  <c r="ZG1291" i="191" s="1"/>
  <c r="CK1291" i="191"/>
  <c r="CQ1291" i="191" s="1"/>
  <c r="CK1294" i="191"/>
  <c r="CQ1294" i="191" s="1"/>
  <c r="EV1305" i="191"/>
  <c r="FB1305" i="191" s="1"/>
  <c r="QD1299" i="191"/>
  <c r="QJ1299" i="191" s="1"/>
  <c r="AU1282" i="191"/>
  <c r="BA1282" i="191" s="1"/>
  <c r="ZA1290" i="191"/>
  <c r="ZG1290" i="191" s="1"/>
  <c r="ZA1302" i="191"/>
  <c r="ZG1302" i="191" s="1"/>
  <c r="AU1301" i="191"/>
  <c r="BA1301" i="191" s="1"/>
  <c r="UZ1308" i="191"/>
  <c r="VF1308" i="191" s="1"/>
  <c r="CK1298" i="191"/>
  <c r="CQ1298" i="191" s="1"/>
  <c r="EV1285" i="191"/>
  <c r="FB1285" i="191" s="1"/>
  <c r="VU1298" i="191"/>
  <c r="WA1298" i="191" s="1"/>
  <c r="QD1292" i="191"/>
  <c r="QJ1292" i="191" s="1"/>
  <c r="FQ1303" i="191"/>
  <c r="FW1303" i="191" s="1"/>
  <c r="ZA1286" i="191"/>
  <c r="ZG1286" i="191" s="1"/>
  <c r="ZA1281" i="191"/>
  <c r="ZG1281" i="191" s="1"/>
  <c r="ZA1308" i="191"/>
  <c r="ZG1308" i="191" s="1"/>
  <c r="AU1293" i="191"/>
  <c r="BA1293" i="191" s="1"/>
  <c r="AU1304" i="191"/>
  <c r="BA1304" i="191" s="1"/>
  <c r="UZ1290" i="191"/>
  <c r="VF1290" i="191" s="1"/>
  <c r="ZA1283" i="191"/>
  <c r="ZG1283" i="191" s="1"/>
  <c r="AU1284" i="191"/>
  <c r="BA1284" i="191" s="1"/>
  <c r="UZ1281" i="191"/>
  <c r="VF1281" i="191" s="1"/>
  <c r="UZ1303" i="191"/>
  <c r="VF1303" i="191" s="1"/>
  <c r="CK1284" i="191"/>
  <c r="CQ1284" i="191" s="1"/>
  <c r="CK1287" i="191"/>
  <c r="CQ1287" i="191" s="1"/>
  <c r="CK1281" i="191"/>
  <c r="CQ1281" i="191" s="1"/>
  <c r="CK1302" i="191"/>
  <c r="CQ1302" i="191" s="1"/>
  <c r="CK1303" i="191"/>
  <c r="CQ1303" i="191" s="1"/>
  <c r="CK1307" i="191"/>
  <c r="CQ1307" i="191" s="1"/>
  <c r="EV1290" i="191"/>
  <c r="FB1290" i="191" s="1"/>
  <c r="EV1282" i="191"/>
  <c r="FB1282" i="191" s="1"/>
  <c r="EV1302" i="191"/>
  <c r="FB1302" i="191" s="1"/>
  <c r="VU1288" i="191"/>
  <c r="WA1288" i="191" s="1"/>
  <c r="VU1285" i="191"/>
  <c r="WA1285" i="191" s="1"/>
  <c r="VU1301" i="191"/>
  <c r="WA1301" i="191" s="1"/>
  <c r="QD1286" i="191"/>
  <c r="QJ1286" i="191" s="1"/>
  <c r="QD1285" i="191"/>
  <c r="QJ1285" i="191" s="1"/>
  <c r="QD1297" i="191"/>
  <c r="QJ1297" i="191" s="1"/>
  <c r="FQ1292" i="191"/>
  <c r="FW1292" i="191" s="1"/>
  <c r="FQ1294" i="191"/>
  <c r="FW1294" i="191" s="1"/>
  <c r="FQ1305" i="191"/>
  <c r="FW1305" i="191" s="1"/>
  <c r="UZ1283" i="191"/>
  <c r="VF1283" i="191" s="1"/>
  <c r="ZA1285" i="191"/>
  <c r="ZG1285" i="191" s="1"/>
  <c r="ZA1303" i="191"/>
  <c r="ZG1303" i="191" s="1"/>
  <c r="AU1281" i="191"/>
  <c r="BA1281" i="191" s="1"/>
  <c r="AU1298" i="191"/>
  <c r="BA1298" i="191" s="1"/>
  <c r="AU1286" i="191"/>
  <c r="BA1286" i="191" s="1"/>
  <c r="UZ1297" i="191"/>
  <c r="VF1297" i="191" s="1"/>
  <c r="UZ1302" i="191"/>
  <c r="VF1302" i="191" s="1"/>
  <c r="CK1290" i="191"/>
  <c r="CQ1290" i="191" s="1"/>
  <c r="CK1286" i="191"/>
  <c r="CQ1286" i="191" s="1"/>
  <c r="CK1293" i="191"/>
  <c r="CQ1293" i="191" s="1"/>
  <c r="CK1299" i="191"/>
  <c r="CQ1299" i="191" s="1"/>
  <c r="CK1308" i="191"/>
  <c r="CQ1308" i="191" s="1"/>
  <c r="CK1282" i="191"/>
  <c r="CQ1282" i="191" s="1"/>
  <c r="EV1283" i="191"/>
  <c r="FB1283" i="191" s="1"/>
  <c r="EV1297" i="191"/>
  <c r="FB1297" i="191" s="1"/>
  <c r="EV1304" i="191"/>
  <c r="FB1304" i="191" s="1"/>
  <c r="VU1287" i="191"/>
  <c r="WA1287" i="191" s="1"/>
  <c r="VU1307" i="191"/>
  <c r="WA1307" i="191" s="1"/>
  <c r="VU1282" i="191"/>
  <c r="WA1282" i="191" s="1"/>
  <c r="QD1284" i="191"/>
  <c r="QJ1284" i="191" s="1"/>
  <c r="QD1281" i="191"/>
  <c r="QJ1281" i="191" s="1"/>
  <c r="QD1303" i="191"/>
  <c r="QJ1303" i="191" s="1"/>
  <c r="FQ1282" i="191"/>
  <c r="FW1282" i="191" s="1"/>
  <c r="FQ1281" i="191"/>
  <c r="FW1281" i="191" s="1"/>
  <c r="FQ1302" i="191"/>
  <c r="FW1302" i="191" s="1"/>
  <c r="UZ1292" i="191"/>
  <c r="VF1292" i="191" s="1"/>
  <c r="ZA1284" i="191"/>
  <c r="ZG1284" i="191" s="1"/>
  <c r="UZ1304" i="191"/>
  <c r="VF1304" i="191" s="1"/>
  <c r="CK1283" i="191"/>
  <c r="CQ1283" i="191" s="1"/>
  <c r="CK1288" i="191"/>
  <c r="CQ1288" i="191" s="1"/>
  <c r="CK1289" i="191"/>
  <c r="CQ1289" i="191" s="1"/>
  <c r="CK1305" i="191"/>
  <c r="CQ1305" i="191" s="1"/>
  <c r="CK1304" i="191"/>
  <c r="CQ1304" i="191" s="1"/>
  <c r="CK1301" i="191"/>
  <c r="CQ1301" i="191" s="1"/>
  <c r="EV1284" i="191"/>
  <c r="FB1284" i="191" s="1"/>
  <c r="EV1293" i="191"/>
  <c r="FB1293" i="191" s="1"/>
  <c r="VU1283" i="191"/>
  <c r="WA1283" i="191" s="1"/>
  <c r="VU1304" i="191"/>
  <c r="WA1304" i="191" s="1"/>
  <c r="QD1291" i="191"/>
  <c r="QJ1291" i="191" s="1"/>
  <c r="QD1294" i="191"/>
  <c r="QJ1294" i="191" s="1"/>
  <c r="FQ1290" i="191"/>
  <c r="FW1290" i="191" s="1"/>
  <c r="FQ1285" i="191"/>
  <c r="FW1285" i="191" s="1"/>
  <c r="EV1298" i="191"/>
  <c r="FB1298" i="191" s="1"/>
  <c r="EV1300" i="191"/>
  <c r="FB1300" i="191" s="1"/>
  <c r="VU1305" i="191"/>
  <c r="WA1305" i="191" s="1"/>
  <c r="VU1300" i="191"/>
  <c r="WA1300" i="191" s="1"/>
  <c r="QD1282" i="191"/>
  <c r="QJ1282" i="191" s="1"/>
  <c r="QD1300" i="191"/>
  <c r="QJ1300" i="191" s="1"/>
  <c r="FQ1299" i="191"/>
  <c r="FW1299" i="191" s="1"/>
  <c r="FQ1300" i="191"/>
  <c r="FW1300" i="191" s="1"/>
  <c r="ZA1282" i="191"/>
  <c r="ZG1282" i="191" s="1"/>
  <c r="ZA1300" i="191"/>
  <c r="ZG1300" i="191" s="1"/>
  <c r="UZ1288" i="191"/>
  <c r="VF1288" i="191" s="1"/>
  <c r="UZ1300" i="191"/>
  <c r="VF1300" i="191" s="1"/>
  <c r="AU1287" i="191"/>
  <c r="BA1287" i="191" s="1"/>
  <c r="AU1300" i="191"/>
  <c r="BA1300" i="191" s="1"/>
  <c r="IW1282" i="191"/>
  <c r="JC1282" i="191" s="1"/>
  <c r="IW1300" i="191"/>
  <c r="JC1300" i="191" s="1"/>
  <c r="KM1303" i="191"/>
  <c r="KS1303" i="191" s="1"/>
  <c r="KM1300" i="191"/>
  <c r="KS1300" i="191" s="1"/>
  <c r="LH1298" i="191"/>
  <c r="LN1298" i="191" s="1"/>
  <c r="LH1300" i="191"/>
  <c r="LN1300" i="191" s="1"/>
  <c r="WP1286" i="191"/>
  <c r="WV1286" i="191" s="1"/>
  <c r="WP1300" i="191"/>
  <c r="WV1300" i="191" s="1"/>
  <c r="SO1303" i="191"/>
  <c r="SU1303" i="191" s="1"/>
  <c r="SO1300" i="191"/>
  <c r="SU1300" i="191" s="1"/>
  <c r="TJ1294" i="191"/>
  <c r="TP1294" i="191" s="1"/>
  <c r="TJ1300" i="191"/>
  <c r="TP1300" i="191" s="1"/>
  <c r="MX1287" i="191"/>
  <c r="ND1287" i="191" s="1"/>
  <c r="MX1300" i="191"/>
  <c r="ND1300" i="191" s="1"/>
  <c r="GL1284" i="191"/>
  <c r="GR1284" i="191" s="1"/>
  <c r="GL1300" i="191"/>
  <c r="GR1300" i="191" s="1"/>
  <c r="QY1303" i="191"/>
  <c r="RE1303" i="191" s="1"/>
  <c r="QY1300" i="191"/>
  <c r="RE1300" i="191" s="1"/>
  <c r="RT1301" i="191"/>
  <c r="RZ1301" i="191" s="1"/>
  <c r="RT1300" i="191"/>
  <c r="RZ1300" i="191" s="1"/>
  <c r="DF1286" i="191"/>
  <c r="DL1286" i="191" s="1"/>
  <c r="DF1300" i="191"/>
  <c r="DL1300" i="191" s="1"/>
  <c r="EA1303" i="191"/>
  <c r="EG1303" i="191" s="1"/>
  <c r="EA1300" i="191"/>
  <c r="EG1300" i="191" s="1"/>
  <c r="MC1291" i="191"/>
  <c r="MI1291" i="191" s="1"/>
  <c r="MC1300" i="191"/>
  <c r="MI1300" i="191" s="1"/>
  <c r="NS1287" i="191"/>
  <c r="NY1287" i="191" s="1"/>
  <c r="NS1300" i="191"/>
  <c r="NY1300" i="191" s="1"/>
  <c r="HG1284" i="191"/>
  <c r="HM1284" i="191" s="1"/>
  <c r="HG1300" i="191"/>
  <c r="HM1300" i="191" s="1"/>
  <c r="BP1282" i="191"/>
  <c r="BV1282" i="191" s="1"/>
  <c r="BP1300" i="191"/>
  <c r="BV1300" i="191" s="1"/>
  <c r="XK1303" i="191"/>
  <c r="XQ1303" i="191" s="1"/>
  <c r="XK1300" i="191"/>
  <c r="XQ1300" i="191" s="1"/>
  <c r="YF1301" i="191"/>
  <c r="YL1301" i="191" s="1"/>
  <c r="YF1300" i="191"/>
  <c r="YL1300" i="191" s="1"/>
  <c r="PI1282" i="191"/>
  <c r="PO1282" i="191" s="1"/>
  <c r="PI1300" i="191"/>
  <c r="PO1300" i="191" s="1"/>
  <c r="JR1286" i="191"/>
  <c r="JX1286" i="191" s="1"/>
  <c r="JR1300" i="191"/>
  <c r="JX1300" i="191" s="1"/>
  <c r="IB1302" i="191"/>
  <c r="IH1302" i="191" s="1"/>
  <c r="IB1300" i="191"/>
  <c r="IH1300" i="191" s="1"/>
  <c r="UE1288" i="191"/>
  <c r="UK1288" i="191" s="1"/>
  <c r="UE1300" i="191"/>
  <c r="UK1300" i="191" s="1"/>
  <c r="ON1287" i="191"/>
  <c r="OT1287" i="191" s="1"/>
  <c r="ON1300" i="191"/>
  <c r="OT1300" i="191" s="1"/>
  <c r="TJ1293" i="191"/>
  <c r="TP1293" i="191" s="1"/>
  <c r="TJ1297" i="191"/>
  <c r="TP1297" i="191" s="1"/>
  <c r="TJ1303" i="191"/>
  <c r="TP1303" i="191" s="1"/>
  <c r="TJ1301" i="191"/>
  <c r="TP1301" i="191" s="1"/>
  <c r="UE1289" i="191"/>
  <c r="UK1289" i="191" s="1"/>
  <c r="IB1304" i="191"/>
  <c r="IH1304" i="191" s="1"/>
  <c r="IW1290" i="191"/>
  <c r="JC1290" i="191" s="1"/>
  <c r="IW1308" i="191"/>
  <c r="JC1308" i="191" s="1"/>
  <c r="IW1303" i="191"/>
  <c r="JC1303" i="191" s="1"/>
  <c r="XK1304" i="191"/>
  <c r="XQ1304" i="191" s="1"/>
  <c r="KM1284" i="191"/>
  <c r="KS1284" i="191" s="1"/>
  <c r="KM1293" i="191"/>
  <c r="KS1293" i="191" s="1"/>
  <c r="KM1298" i="191"/>
  <c r="KS1298" i="191" s="1"/>
  <c r="YF1287" i="191"/>
  <c r="YL1287" i="191" s="1"/>
  <c r="LH1293" i="191"/>
  <c r="LN1293" i="191" s="1"/>
  <c r="PI1288" i="191"/>
  <c r="PO1288" i="191" s="1"/>
  <c r="PI1307" i="191"/>
  <c r="PO1307" i="191" s="1"/>
  <c r="WP1282" i="191"/>
  <c r="WV1282" i="191" s="1"/>
  <c r="JR1292" i="191"/>
  <c r="JX1292" i="191" s="1"/>
  <c r="SO1286" i="191"/>
  <c r="SU1286" i="191" s="1"/>
  <c r="TJ1281" i="191"/>
  <c r="TP1281" i="191" s="1"/>
  <c r="TJ1299" i="191"/>
  <c r="TP1299" i="191" s="1"/>
  <c r="TJ1298" i="191"/>
  <c r="TP1298" i="191" s="1"/>
  <c r="UE1304" i="191"/>
  <c r="UK1304" i="191" s="1"/>
  <c r="IB1305" i="191"/>
  <c r="IH1305" i="191" s="1"/>
  <c r="IW1284" i="191"/>
  <c r="JC1284" i="191" s="1"/>
  <c r="IW1289" i="191"/>
  <c r="JC1289" i="191" s="1"/>
  <c r="IW1302" i="191"/>
  <c r="JC1302" i="191" s="1"/>
  <c r="XK1290" i="191"/>
  <c r="XQ1290" i="191" s="1"/>
  <c r="XK1299" i="191"/>
  <c r="XQ1299" i="191" s="1"/>
  <c r="KM1292" i="191"/>
  <c r="KS1292" i="191" s="1"/>
  <c r="KM1287" i="191"/>
  <c r="KS1287" i="191" s="1"/>
  <c r="KM1307" i="191"/>
  <c r="KS1307" i="191" s="1"/>
  <c r="YF1292" i="191"/>
  <c r="YL1292" i="191" s="1"/>
  <c r="YF1307" i="191"/>
  <c r="YL1307" i="191" s="1"/>
  <c r="LH1284" i="191"/>
  <c r="LN1284" i="191" s="1"/>
  <c r="LH1305" i="191"/>
  <c r="LN1305" i="191" s="1"/>
  <c r="PI1302" i="191"/>
  <c r="PO1302" i="191" s="1"/>
  <c r="WP1294" i="191"/>
  <c r="WV1294" i="191" s="1"/>
  <c r="JR1298" i="191"/>
  <c r="JX1298" i="191" s="1"/>
  <c r="SO1301" i="191"/>
  <c r="SU1301" i="191" s="1"/>
  <c r="ON1288" i="191"/>
  <c r="OT1288" i="191" s="1"/>
  <c r="ON1292" i="191"/>
  <c r="OT1292" i="191" s="1"/>
  <c r="ON1293" i="191"/>
  <c r="OT1293" i="191" s="1"/>
  <c r="ON1298" i="191"/>
  <c r="OT1298" i="191" s="1"/>
  <c r="ON1307" i="191"/>
  <c r="OT1307" i="191" s="1"/>
  <c r="ON1301" i="191"/>
  <c r="OT1301" i="191" s="1"/>
  <c r="IB1282" i="191"/>
  <c r="IH1282" i="191" s="1"/>
  <c r="ON1283" i="191"/>
  <c r="OT1283" i="191" s="1"/>
  <c r="IB1292" i="191"/>
  <c r="IH1292" i="191" s="1"/>
  <c r="UE1293" i="191"/>
  <c r="UK1293" i="191" s="1"/>
  <c r="UE1308" i="191"/>
  <c r="UK1308" i="191" s="1"/>
  <c r="UE1294" i="191"/>
  <c r="UK1294" i="191" s="1"/>
  <c r="UE1303" i="191"/>
  <c r="UK1303" i="191" s="1"/>
  <c r="IB1293" i="191"/>
  <c r="IH1293" i="191" s="1"/>
  <c r="IB1294" i="191"/>
  <c r="IH1294" i="191" s="1"/>
  <c r="IB1297" i="191"/>
  <c r="IH1297" i="191" s="1"/>
  <c r="QY1283" i="191"/>
  <c r="RE1283" i="191" s="1"/>
  <c r="QY1304" i="191"/>
  <c r="RE1304" i="191" s="1"/>
  <c r="QY1299" i="191"/>
  <c r="RE1299" i="191" s="1"/>
  <c r="RT1289" i="191"/>
  <c r="RZ1289" i="191" s="1"/>
  <c r="DF1289" i="191"/>
  <c r="DL1289" i="191" s="1"/>
  <c r="EA1288" i="191"/>
  <c r="EG1288" i="191" s="1"/>
  <c r="EA1305" i="191"/>
  <c r="EG1305" i="191" s="1"/>
  <c r="UE1284" i="191"/>
  <c r="UK1284" i="191" s="1"/>
  <c r="ZA1287" i="191"/>
  <c r="ZG1287" i="191" s="1"/>
  <c r="UZ1286" i="191"/>
  <c r="VF1286" i="191" s="1"/>
  <c r="AU1290" i="191"/>
  <c r="BA1290" i="191" s="1"/>
  <c r="ON1284" i="191"/>
  <c r="OT1284" i="191" s="1"/>
  <c r="ZA1293" i="191"/>
  <c r="ZG1293" i="191" s="1"/>
  <c r="ZA1301" i="191"/>
  <c r="ZG1301" i="191" s="1"/>
  <c r="ZA1304" i="191"/>
  <c r="ZG1304" i="191" s="1"/>
  <c r="ZA1305" i="191"/>
  <c r="ZG1305" i="191" s="1"/>
  <c r="AU1289" i="191"/>
  <c r="BA1289" i="191" s="1"/>
  <c r="AU1308" i="191"/>
  <c r="BA1308" i="191" s="1"/>
  <c r="AU1294" i="191"/>
  <c r="BA1294" i="191" s="1"/>
  <c r="AU1303" i="191"/>
  <c r="BA1303" i="191" s="1"/>
  <c r="ON1285" i="191"/>
  <c r="OT1285" i="191" s="1"/>
  <c r="ON1299" i="191"/>
  <c r="OT1299" i="191" s="1"/>
  <c r="ON1303" i="191"/>
  <c r="OT1303" i="191" s="1"/>
  <c r="ON1302" i="191"/>
  <c r="OT1302" i="191" s="1"/>
  <c r="UZ1287" i="191"/>
  <c r="VF1287" i="191" s="1"/>
  <c r="UE1290" i="191"/>
  <c r="UK1290" i="191" s="1"/>
  <c r="ON1291" i="191"/>
  <c r="OT1291" i="191" s="1"/>
  <c r="IB1284" i="191"/>
  <c r="IH1284" i="191" s="1"/>
  <c r="ZA1288" i="191"/>
  <c r="ZG1288" i="191" s="1"/>
  <c r="IB1288" i="191"/>
  <c r="IH1288" i="191" s="1"/>
  <c r="ZA1292" i="191"/>
  <c r="ZG1292" i="191" s="1"/>
  <c r="AU1292" i="191"/>
  <c r="BA1292" i="191" s="1"/>
  <c r="UE1285" i="191"/>
  <c r="UK1285" i="191" s="1"/>
  <c r="UE1298" i="191"/>
  <c r="UK1298" i="191" s="1"/>
  <c r="UE1297" i="191"/>
  <c r="UK1297" i="191" s="1"/>
  <c r="UE1307" i="191"/>
  <c r="UK1307" i="191" s="1"/>
  <c r="IB1285" i="191"/>
  <c r="IH1285" i="191" s="1"/>
  <c r="IB1308" i="191"/>
  <c r="IH1308" i="191" s="1"/>
  <c r="IB1307" i="191"/>
  <c r="IH1307" i="191" s="1"/>
  <c r="IB1298" i="191"/>
  <c r="IH1298" i="191" s="1"/>
  <c r="UZ1293" i="191"/>
  <c r="VF1293" i="191" s="1"/>
  <c r="UZ1294" i="191"/>
  <c r="VF1294" i="191" s="1"/>
  <c r="UZ1307" i="191"/>
  <c r="VF1307" i="191" s="1"/>
  <c r="XK1284" i="191"/>
  <c r="XQ1284" i="191" s="1"/>
  <c r="XK1293" i="191"/>
  <c r="XQ1293" i="191" s="1"/>
  <c r="XK1298" i="191"/>
  <c r="XQ1298" i="191" s="1"/>
  <c r="QY1292" i="191"/>
  <c r="RE1292" i="191" s="1"/>
  <c r="QY1289" i="191"/>
  <c r="RE1289" i="191" s="1"/>
  <c r="QY1298" i="191"/>
  <c r="RE1298" i="191" s="1"/>
  <c r="YF1282" i="191"/>
  <c r="YL1282" i="191" s="1"/>
  <c r="YF1289" i="191"/>
  <c r="YL1289" i="191" s="1"/>
  <c r="YF1308" i="191"/>
  <c r="YL1308" i="191" s="1"/>
  <c r="RT1288" i="191"/>
  <c r="RZ1288" i="191" s="1"/>
  <c r="RT1304" i="191"/>
  <c r="RZ1304" i="191" s="1"/>
  <c r="PI1287" i="191"/>
  <c r="PO1287" i="191" s="1"/>
  <c r="PI1281" i="191"/>
  <c r="PO1281" i="191" s="1"/>
  <c r="PI1304" i="191"/>
  <c r="PO1304" i="191" s="1"/>
  <c r="DF1291" i="191"/>
  <c r="DL1291" i="191" s="1"/>
  <c r="DF1305" i="191"/>
  <c r="DL1305" i="191" s="1"/>
  <c r="JR1285" i="191"/>
  <c r="JX1285" i="191" s="1"/>
  <c r="EA1283" i="191"/>
  <c r="EG1283" i="191" s="1"/>
  <c r="EA1297" i="191"/>
  <c r="EG1297" i="191" s="1"/>
  <c r="IB1287" i="191"/>
  <c r="IH1287" i="191" s="1"/>
  <c r="ON1282" i="191"/>
  <c r="OT1282" i="191" s="1"/>
  <c r="UZ1282" i="191"/>
  <c r="VF1282" i="191" s="1"/>
  <c r="IB1286" i="191"/>
  <c r="IH1286" i="191" s="1"/>
  <c r="ON1286" i="191"/>
  <c r="OT1286" i="191" s="1"/>
  <c r="UE1283" i="191"/>
  <c r="UK1283" i="191" s="1"/>
  <c r="UE1291" i="191"/>
  <c r="UK1291" i="191" s="1"/>
  <c r="ZA1289" i="191"/>
  <c r="ZG1289" i="191" s="1"/>
  <c r="ZA1298" i="191"/>
  <c r="ZG1298" i="191" s="1"/>
  <c r="ZA1294" i="191"/>
  <c r="ZG1294" i="191" s="1"/>
  <c r="ZA1297" i="191"/>
  <c r="ZG1297" i="191" s="1"/>
  <c r="AU1285" i="191"/>
  <c r="BA1285" i="191" s="1"/>
  <c r="AU1302" i="191"/>
  <c r="BA1302" i="191" s="1"/>
  <c r="AU1297" i="191"/>
  <c r="BA1297" i="191" s="1"/>
  <c r="AU1307" i="191"/>
  <c r="BA1307" i="191" s="1"/>
  <c r="ON1281" i="191"/>
  <c r="OT1281" i="191" s="1"/>
  <c r="ON1294" i="191"/>
  <c r="OT1294" i="191" s="1"/>
  <c r="ON1308" i="191"/>
  <c r="OT1308" i="191" s="1"/>
  <c r="ON1305" i="191"/>
  <c r="OT1305" i="191" s="1"/>
  <c r="UE1287" i="191"/>
  <c r="UK1287" i="191" s="1"/>
  <c r="IB1290" i="191"/>
  <c r="IH1290" i="191" s="1"/>
  <c r="AU1291" i="191"/>
  <c r="BA1291" i="191" s="1"/>
  <c r="UZ1284" i="191"/>
  <c r="VF1284" i="191" s="1"/>
  <c r="UE1281" i="191"/>
  <c r="UK1281" i="191" s="1"/>
  <c r="UE1299" i="191"/>
  <c r="UK1299" i="191" s="1"/>
  <c r="UE1302" i="191"/>
  <c r="UK1302" i="191" s="1"/>
  <c r="UE1301" i="191"/>
  <c r="UK1301" i="191" s="1"/>
  <c r="IB1281" i="191"/>
  <c r="IH1281" i="191" s="1"/>
  <c r="IB1301" i="191"/>
  <c r="IH1301" i="191" s="1"/>
  <c r="IB1303" i="191"/>
  <c r="IH1303" i="191" s="1"/>
  <c r="UZ1285" i="191"/>
  <c r="VF1285" i="191" s="1"/>
  <c r="UZ1301" i="191"/>
  <c r="VF1301" i="191" s="1"/>
  <c r="UZ1299" i="191"/>
  <c r="VF1299" i="191" s="1"/>
  <c r="UZ1298" i="191"/>
  <c r="VF1298" i="191" s="1"/>
  <c r="XK1283" i="191"/>
  <c r="XQ1283" i="191" s="1"/>
  <c r="XK1289" i="191"/>
  <c r="XQ1289" i="191" s="1"/>
  <c r="XK1301" i="191"/>
  <c r="XQ1301" i="191" s="1"/>
  <c r="QY1290" i="191"/>
  <c r="RE1290" i="191" s="1"/>
  <c r="QY1293" i="191"/>
  <c r="RE1293" i="191" s="1"/>
  <c r="QY1301" i="191"/>
  <c r="RE1301" i="191" s="1"/>
  <c r="YF1284" i="191"/>
  <c r="YL1284" i="191" s="1"/>
  <c r="YF1293" i="191"/>
  <c r="YL1293" i="191" s="1"/>
  <c r="YF1303" i="191"/>
  <c r="YL1303" i="191" s="1"/>
  <c r="RT1286" i="191"/>
  <c r="RZ1286" i="191" s="1"/>
  <c r="RT1305" i="191"/>
  <c r="RZ1305" i="191" s="1"/>
  <c r="PI1291" i="191"/>
  <c r="PO1291" i="191" s="1"/>
  <c r="PI1289" i="191"/>
  <c r="PO1289" i="191" s="1"/>
  <c r="PI1303" i="191"/>
  <c r="PO1303" i="191" s="1"/>
  <c r="DF1290" i="191"/>
  <c r="DL1290" i="191" s="1"/>
  <c r="DF1297" i="191"/>
  <c r="DL1297" i="191" s="1"/>
  <c r="JR1284" i="191"/>
  <c r="JX1284" i="191" s="1"/>
  <c r="JR1294" i="191"/>
  <c r="JX1294" i="191" s="1"/>
  <c r="EA1294" i="191"/>
  <c r="EG1294" i="191" s="1"/>
  <c r="QY1291" i="191"/>
  <c r="RE1291" i="191" s="1"/>
  <c r="QY1288" i="191"/>
  <c r="RE1288" i="191" s="1"/>
  <c r="QY1281" i="191"/>
  <c r="RE1281" i="191" s="1"/>
  <c r="QY1294" i="191"/>
  <c r="RE1294" i="191" s="1"/>
  <c r="QY1297" i="191"/>
  <c r="RE1297" i="191" s="1"/>
  <c r="QY1305" i="191"/>
  <c r="RE1305" i="191" s="1"/>
  <c r="EV1287" i="191"/>
  <c r="FB1287" i="191" s="1"/>
  <c r="EV1291" i="191"/>
  <c r="FB1291" i="191" s="1"/>
  <c r="EV1281" i="191"/>
  <c r="FB1281" i="191" s="1"/>
  <c r="EV1307" i="191"/>
  <c r="FB1307" i="191" s="1"/>
  <c r="EV1303" i="191"/>
  <c r="FB1303" i="191" s="1"/>
  <c r="EV1294" i="191"/>
  <c r="FB1294" i="191" s="1"/>
  <c r="RT1290" i="191"/>
  <c r="RZ1290" i="191" s="1"/>
  <c r="RT1281" i="191"/>
  <c r="RZ1281" i="191" s="1"/>
  <c r="RT1303" i="191"/>
  <c r="RZ1303" i="191" s="1"/>
  <c r="VU1286" i="191"/>
  <c r="WA1286" i="191" s="1"/>
  <c r="VU1290" i="191"/>
  <c r="WA1290" i="191" s="1"/>
  <c r="VU1289" i="191"/>
  <c r="WA1289" i="191" s="1"/>
  <c r="VU1308" i="191"/>
  <c r="WA1308" i="191" s="1"/>
  <c r="VU1302" i="191"/>
  <c r="WA1302" i="191" s="1"/>
  <c r="VU1303" i="191"/>
  <c r="WA1303" i="191" s="1"/>
  <c r="DF1288" i="191"/>
  <c r="DL1288" i="191" s="1"/>
  <c r="DF1308" i="191"/>
  <c r="DL1308" i="191" s="1"/>
  <c r="DF1298" i="191"/>
  <c r="DL1298" i="191" s="1"/>
  <c r="QD1290" i="191"/>
  <c r="QJ1290" i="191" s="1"/>
  <c r="QD1288" i="191"/>
  <c r="QJ1288" i="191" s="1"/>
  <c r="QD1289" i="191"/>
  <c r="QJ1289" i="191" s="1"/>
  <c r="QD1301" i="191"/>
  <c r="QJ1301" i="191" s="1"/>
  <c r="QD1307" i="191"/>
  <c r="QJ1307" i="191" s="1"/>
  <c r="QD1298" i="191"/>
  <c r="QJ1298" i="191" s="1"/>
  <c r="EA1284" i="191"/>
  <c r="EG1284" i="191" s="1"/>
  <c r="EA1304" i="191"/>
  <c r="EG1304" i="191" s="1"/>
  <c r="EA1299" i="191"/>
  <c r="EG1299" i="191" s="1"/>
  <c r="FQ1283" i="191"/>
  <c r="FW1283" i="191" s="1"/>
  <c r="FQ1287" i="191"/>
  <c r="FW1287" i="191" s="1"/>
  <c r="FQ1291" i="191"/>
  <c r="FW1291" i="191" s="1"/>
  <c r="FQ1289" i="191"/>
  <c r="FW1289" i="191" s="1"/>
  <c r="FQ1307" i="191"/>
  <c r="FW1307" i="191" s="1"/>
  <c r="FQ1298" i="191"/>
  <c r="FW1298" i="191" s="1"/>
  <c r="QY1286" i="191"/>
  <c r="RE1286" i="191" s="1"/>
  <c r="QY1282" i="191"/>
  <c r="RE1282" i="191" s="1"/>
  <c r="QY1285" i="191"/>
  <c r="RE1285" i="191" s="1"/>
  <c r="QY1308" i="191"/>
  <c r="RE1308" i="191" s="1"/>
  <c r="QY1302" i="191"/>
  <c r="RE1302" i="191" s="1"/>
  <c r="EV1288" i="191"/>
  <c r="FB1288" i="191" s="1"/>
  <c r="EV1286" i="191"/>
  <c r="FB1286" i="191" s="1"/>
  <c r="EV1289" i="191"/>
  <c r="FB1289" i="191" s="1"/>
  <c r="EV1308" i="191"/>
  <c r="FB1308" i="191" s="1"/>
  <c r="EV1299" i="191"/>
  <c r="FB1299" i="191" s="1"/>
  <c r="RT1292" i="191"/>
  <c r="RZ1292" i="191" s="1"/>
  <c r="RT1299" i="191"/>
  <c r="RZ1299" i="191" s="1"/>
  <c r="RT1294" i="191"/>
  <c r="RZ1294" i="191" s="1"/>
  <c r="VU1292" i="191"/>
  <c r="WA1292" i="191" s="1"/>
  <c r="VU1291" i="191"/>
  <c r="WA1291" i="191" s="1"/>
  <c r="VU1281" i="191"/>
  <c r="WA1281" i="191" s="1"/>
  <c r="VU1294" i="191"/>
  <c r="WA1294" i="191" s="1"/>
  <c r="VU1297" i="191"/>
  <c r="WA1297" i="191" s="1"/>
  <c r="DF1283" i="191"/>
  <c r="DL1283" i="191" s="1"/>
  <c r="DF1285" i="191"/>
  <c r="DL1285" i="191" s="1"/>
  <c r="DF1307" i="191"/>
  <c r="DL1307" i="191" s="1"/>
  <c r="QD1287" i="191"/>
  <c r="QJ1287" i="191" s="1"/>
  <c r="QD1283" i="191"/>
  <c r="QJ1283" i="191" s="1"/>
  <c r="QD1293" i="191"/>
  <c r="QJ1293" i="191" s="1"/>
  <c r="QD1304" i="191"/>
  <c r="QJ1304" i="191" s="1"/>
  <c r="QD1308" i="191"/>
  <c r="QJ1308" i="191" s="1"/>
  <c r="EA1290" i="191"/>
  <c r="EG1290" i="191" s="1"/>
  <c r="EA1289" i="191"/>
  <c r="EG1289" i="191" s="1"/>
  <c r="EA1301" i="191"/>
  <c r="EG1301" i="191" s="1"/>
  <c r="FQ1286" i="191"/>
  <c r="FW1286" i="191" s="1"/>
  <c r="FQ1288" i="191"/>
  <c r="FW1288" i="191" s="1"/>
  <c r="FQ1293" i="191"/>
  <c r="FW1293" i="191" s="1"/>
  <c r="FQ1304" i="191"/>
  <c r="FW1304" i="191" s="1"/>
  <c r="FQ1301" i="191"/>
  <c r="FW1301" i="191" s="1"/>
  <c r="BM29" i="87"/>
  <c r="WP1305" i="191"/>
  <c r="WV1305" i="191" s="1"/>
  <c r="JR1291" i="191"/>
  <c r="JX1291" i="191" s="1"/>
  <c r="JR1282" i="191"/>
  <c r="JX1282" i="191" s="1"/>
  <c r="JR1281" i="191"/>
  <c r="JX1281" i="191" s="1"/>
  <c r="JR1303" i="191"/>
  <c r="JX1303" i="191" s="1"/>
  <c r="JR1299" i="191"/>
  <c r="JX1299" i="191" s="1"/>
  <c r="JR1301" i="191"/>
  <c r="JX1301" i="191" s="1"/>
  <c r="SO1292" i="191"/>
  <c r="SU1292" i="191" s="1"/>
  <c r="SO1289" i="191"/>
  <c r="SU1289" i="191" s="1"/>
  <c r="SO1298" i="191"/>
  <c r="SU1298" i="191" s="1"/>
  <c r="RT1287" i="191"/>
  <c r="RZ1287" i="191" s="1"/>
  <c r="RT1291" i="191"/>
  <c r="RZ1291" i="191" s="1"/>
  <c r="RT1293" i="191"/>
  <c r="RZ1293" i="191" s="1"/>
  <c r="RT1302" i="191"/>
  <c r="RZ1302" i="191" s="1"/>
  <c r="RT1307" i="191"/>
  <c r="RZ1307" i="191" s="1"/>
  <c r="LH1292" i="191"/>
  <c r="LN1292" i="191" s="1"/>
  <c r="LH1287" i="191"/>
  <c r="LN1287" i="191" s="1"/>
  <c r="LH1302" i="191"/>
  <c r="LN1302" i="191" s="1"/>
  <c r="DF1284" i="191"/>
  <c r="DL1284" i="191" s="1"/>
  <c r="DF1292" i="191"/>
  <c r="DL1292" i="191" s="1"/>
  <c r="DF1281" i="191"/>
  <c r="DL1281" i="191" s="1"/>
  <c r="DF1299" i="191"/>
  <c r="DL1299" i="191" s="1"/>
  <c r="DF1301" i="191"/>
  <c r="DL1301" i="191" s="1"/>
  <c r="DF1302" i="191"/>
  <c r="DL1302" i="191" s="1"/>
  <c r="WP1292" i="191"/>
  <c r="WV1292" i="191" s="1"/>
  <c r="WP1281" i="191"/>
  <c r="WV1281" i="191" s="1"/>
  <c r="WP1297" i="191"/>
  <c r="WV1297" i="191" s="1"/>
  <c r="EA1291" i="191"/>
  <c r="EG1291" i="191" s="1"/>
  <c r="EA1292" i="191"/>
  <c r="EG1292" i="191" s="1"/>
  <c r="EA1287" i="191"/>
  <c r="EG1287" i="191" s="1"/>
  <c r="EA1285" i="191"/>
  <c r="EG1285" i="191" s="1"/>
  <c r="EA1307" i="191"/>
  <c r="EG1307" i="191" s="1"/>
  <c r="EA1298" i="191"/>
  <c r="EG1298" i="191" s="1"/>
  <c r="SO1284" i="191"/>
  <c r="SU1284" i="191" s="1"/>
  <c r="SO1282" i="191"/>
  <c r="SU1282" i="191" s="1"/>
  <c r="SO1307" i="191"/>
  <c r="SU1307" i="191" s="1"/>
  <c r="RT1282" i="191"/>
  <c r="RZ1282" i="191" s="1"/>
  <c r="RT1284" i="191"/>
  <c r="RZ1284" i="191" s="1"/>
  <c r="RT1285" i="191"/>
  <c r="RZ1285" i="191" s="1"/>
  <c r="RT1297" i="191"/>
  <c r="RZ1297" i="191" s="1"/>
  <c r="RT1308" i="191"/>
  <c r="RZ1308" i="191" s="1"/>
  <c r="LH1283" i="191"/>
  <c r="LN1283" i="191" s="1"/>
  <c r="LH1297" i="191"/>
  <c r="LN1297" i="191" s="1"/>
  <c r="LH1304" i="191"/>
  <c r="LN1304" i="191" s="1"/>
  <c r="DF1287" i="191"/>
  <c r="DL1287" i="191" s="1"/>
  <c r="DF1282" i="191"/>
  <c r="DL1282" i="191" s="1"/>
  <c r="DF1293" i="191"/>
  <c r="DL1293" i="191" s="1"/>
  <c r="DF1304" i="191"/>
  <c r="DL1304" i="191" s="1"/>
  <c r="DF1303" i="191"/>
  <c r="DL1303" i="191" s="1"/>
  <c r="WP1290" i="191"/>
  <c r="WV1290" i="191" s="1"/>
  <c r="WP1301" i="191"/>
  <c r="WV1301" i="191" s="1"/>
  <c r="WP1303" i="191"/>
  <c r="WV1303" i="191" s="1"/>
  <c r="EA1286" i="191"/>
  <c r="EG1286" i="191" s="1"/>
  <c r="EA1282" i="191"/>
  <c r="EG1282" i="191" s="1"/>
  <c r="EA1293" i="191"/>
  <c r="EG1293" i="191" s="1"/>
  <c r="EA1308" i="191"/>
  <c r="EG1308" i="191" s="1"/>
  <c r="EA1302" i="191"/>
  <c r="EG1302" i="191" s="1"/>
  <c r="SO1291" i="191"/>
  <c r="SU1291" i="191" s="1"/>
  <c r="SO1304" i="191"/>
  <c r="SU1304" i="191" s="1"/>
  <c r="SO1299" i="191"/>
  <c r="SU1299" i="191" s="1"/>
  <c r="IW1288" i="191"/>
  <c r="JC1288" i="191" s="1"/>
  <c r="IW1283" i="191"/>
  <c r="JC1283" i="191" s="1"/>
  <c r="IW1291" i="191"/>
  <c r="JC1291" i="191" s="1"/>
  <c r="IW1287" i="191"/>
  <c r="JC1287" i="191" s="1"/>
  <c r="IW1285" i="191"/>
  <c r="JC1285" i="191" s="1"/>
  <c r="IW1293" i="191"/>
  <c r="JC1293" i="191" s="1"/>
  <c r="IW1304" i="191"/>
  <c r="JC1304" i="191" s="1"/>
  <c r="IW1307" i="191"/>
  <c r="JC1307" i="191" s="1"/>
  <c r="IW1301" i="191"/>
  <c r="JC1301" i="191" s="1"/>
  <c r="IW1298" i="191"/>
  <c r="JC1298" i="191" s="1"/>
  <c r="IW1299" i="191"/>
  <c r="JC1299" i="191" s="1"/>
  <c r="XK1288" i="191"/>
  <c r="XQ1288" i="191" s="1"/>
  <c r="XK1282" i="191"/>
  <c r="XQ1282" i="191" s="1"/>
  <c r="XK1291" i="191"/>
  <c r="XQ1291" i="191" s="1"/>
  <c r="XK1286" i="191"/>
  <c r="XQ1286" i="191" s="1"/>
  <c r="XK1285" i="191"/>
  <c r="XQ1285" i="191" s="1"/>
  <c r="XK1281" i="191"/>
  <c r="XQ1281" i="191" s="1"/>
  <c r="XK1294" i="191"/>
  <c r="XQ1294" i="191" s="1"/>
  <c r="XK1308" i="191"/>
  <c r="XQ1308" i="191" s="1"/>
  <c r="XK1297" i="191"/>
  <c r="XQ1297" i="191" s="1"/>
  <c r="XK1302" i="191"/>
  <c r="XQ1302" i="191" s="1"/>
  <c r="XK1305" i="191"/>
  <c r="XQ1305" i="191" s="1"/>
  <c r="KM1288" i="191"/>
  <c r="KS1288" i="191" s="1"/>
  <c r="KM1282" i="191"/>
  <c r="KS1282" i="191" s="1"/>
  <c r="KM1291" i="191"/>
  <c r="KS1291" i="191" s="1"/>
  <c r="KM1286" i="191"/>
  <c r="KS1286" i="191" s="1"/>
  <c r="KM1285" i="191"/>
  <c r="KS1285" i="191" s="1"/>
  <c r="KM1281" i="191"/>
  <c r="KS1281" i="191" s="1"/>
  <c r="KM1294" i="191"/>
  <c r="KS1294" i="191" s="1"/>
  <c r="KM1308" i="191"/>
  <c r="KS1308" i="191" s="1"/>
  <c r="KM1297" i="191"/>
  <c r="KS1297" i="191" s="1"/>
  <c r="KM1302" i="191"/>
  <c r="KS1302" i="191" s="1"/>
  <c r="KM1305" i="191"/>
  <c r="KS1305" i="191" s="1"/>
  <c r="YF1288" i="191"/>
  <c r="YL1288" i="191" s="1"/>
  <c r="YF1291" i="191"/>
  <c r="YL1291" i="191" s="1"/>
  <c r="YF1283" i="191"/>
  <c r="YL1283" i="191" s="1"/>
  <c r="YF1286" i="191"/>
  <c r="YL1286" i="191" s="1"/>
  <c r="YF1285" i="191"/>
  <c r="YL1285" i="191" s="1"/>
  <c r="YF1281" i="191"/>
  <c r="YL1281" i="191" s="1"/>
  <c r="YF1294" i="191"/>
  <c r="YL1294" i="191" s="1"/>
  <c r="YF1298" i="191"/>
  <c r="YL1298" i="191" s="1"/>
  <c r="YF1297" i="191"/>
  <c r="YL1297" i="191" s="1"/>
  <c r="YF1302" i="191"/>
  <c r="YL1302" i="191" s="1"/>
  <c r="YF1305" i="191"/>
  <c r="YL1305" i="191" s="1"/>
  <c r="LH1288" i="191"/>
  <c r="LN1288" i="191" s="1"/>
  <c r="LH1291" i="191"/>
  <c r="LN1291" i="191" s="1"/>
  <c r="LH1282" i="191"/>
  <c r="LN1282" i="191" s="1"/>
  <c r="LH1290" i="191"/>
  <c r="LN1290" i="191" s="1"/>
  <c r="LH1285" i="191"/>
  <c r="LN1285" i="191" s="1"/>
  <c r="LH1281" i="191"/>
  <c r="LN1281" i="191" s="1"/>
  <c r="LH1307" i="191"/>
  <c r="LN1307" i="191" s="1"/>
  <c r="LH1308" i="191"/>
  <c r="LN1308" i="191" s="1"/>
  <c r="LH1303" i="191"/>
  <c r="LN1303" i="191" s="1"/>
  <c r="LH1299" i="191"/>
  <c r="LN1299" i="191" s="1"/>
  <c r="LH1294" i="191"/>
  <c r="LN1294" i="191" s="1"/>
  <c r="PI1290" i="191"/>
  <c r="PO1290" i="191" s="1"/>
  <c r="PI1292" i="191"/>
  <c r="PO1292" i="191" s="1"/>
  <c r="PI1284" i="191"/>
  <c r="PO1284" i="191" s="1"/>
  <c r="PI1286" i="191"/>
  <c r="PO1286" i="191" s="1"/>
  <c r="PI1293" i="191"/>
  <c r="PO1293" i="191" s="1"/>
  <c r="PI1285" i="191"/>
  <c r="PO1285" i="191" s="1"/>
  <c r="PI1298" i="191"/>
  <c r="PO1298" i="191" s="1"/>
  <c r="PI1299" i="191"/>
  <c r="PO1299" i="191" s="1"/>
  <c r="PI1294" i="191"/>
  <c r="PO1294" i="191" s="1"/>
  <c r="PI1308" i="191"/>
  <c r="PO1308" i="191" s="1"/>
  <c r="PI1297" i="191"/>
  <c r="PO1297" i="191" s="1"/>
  <c r="WP1288" i="191"/>
  <c r="WV1288" i="191" s="1"/>
  <c r="WP1291" i="191"/>
  <c r="WV1291" i="191" s="1"/>
  <c r="WP1283" i="191"/>
  <c r="WV1283" i="191" s="1"/>
  <c r="WP1287" i="191"/>
  <c r="WV1287" i="191" s="1"/>
  <c r="WP1293" i="191"/>
  <c r="WV1293" i="191" s="1"/>
  <c r="WP1289" i="191"/>
  <c r="WV1289" i="191" s="1"/>
  <c r="WP1304" i="191"/>
  <c r="WV1304" i="191" s="1"/>
  <c r="WP1307" i="191"/>
  <c r="WV1307" i="191" s="1"/>
  <c r="WP1308" i="191"/>
  <c r="WV1308" i="191" s="1"/>
  <c r="WP1298" i="191"/>
  <c r="WV1298" i="191" s="1"/>
  <c r="WP1299" i="191"/>
  <c r="WV1299" i="191" s="1"/>
  <c r="JR1288" i="191"/>
  <c r="JX1288" i="191" s="1"/>
  <c r="JR1283" i="191"/>
  <c r="JX1283" i="191" s="1"/>
  <c r="JR1290" i="191"/>
  <c r="JX1290" i="191" s="1"/>
  <c r="JR1287" i="191"/>
  <c r="JX1287" i="191" s="1"/>
  <c r="JR1293" i="191"/>
  <c r="JX1293" i="191" s="1"/>
  <c r="JR1289" i="191"/>
  <c r="JX1289" i="191" s="1"/>
  <c r="JR1297" i="191"/>
  <c r="JX1297" i="191" s="1"/>
  <c r="JR1302" i="191"/>
  <c r="JX1302" i="191" s="1"/>
  <c r="JR1305" i="191"/>
  <c r="JX1305" i="191" s="1"/>
  <c r="JR1308" i="191"/>
  <c r="JX1308" i="191" s="1"/>
  <c r="JR1304" i="191"/>
  <c r="JX1304" i="191" s="1"/>
  <c r="SO1290" i="191"/>
  <c r="SU1290" i="191" s="1"/>
  <c r="SO1287" i="191"/>
  <c r="SU1287" i="191" s="1"/>
  <c r="SO1288" i="191"/>
  <c r="SU1288" i="191" s="1"/>
  <c r="SO1283" i="191"/>
  <c r="SU1283" i="191" s="1"/>
  <c r="SO1281" i="191"/>
  <c r="SU1281" i="191" s="1"/>
  <c r="SO1285" i="191"/>
  <c r="SU1285" i="191" s="1"/>
  <c r="SO1294" i="191"/>
  <c r="SU1294" i="191" s="1"/>
  <c r="SO1308" i="191"/>
  <c r="SU1308" i="191" s="1"/>
  <c r="SO1297" i="191"/>
  <c r="SU1297" i="191" s="1"/>
  <c r="SO1302" i="191"/>
  <c r="SU1302" i="191" s="1"/>
  <c r="SO1305" i="191"/>
  <c r="SU1305" i="191" s="1"/>
  <c r="FI29" i="87"/>
  <c r="HG29" i="87"/>
  <c r="HQ29" i="87"/>
  <c r="IA29" i="87"/>
  <c r="LJ29" i="87"/>
  <c r="CG29" i="87"/>
  <c r="IK29" i="87"/>
  <c r="EE29" i="87"/>
  <c r="KI29" i="87"/>
  <c r="EO29" i="87"/>
  <c r="KS29" i="87"/>
  <c r="EY29" i="87"/>
  <c r="LC29" i="87"/>
  <c r="EO17" i="87"/>
  <c r="O29" i="87"/>
  <c r="AS29" i="87"/>
  <c r="DU29" i="87"/>
  <c r="GW29" i="87"/>
  <c r="JY29" i="87"/>
  <c r="CQ29" i="87"/>
  <c r="FS29" i="87"/>
  <c r="IU29" i="87"/>
  <c r="Y29" i="87"/>
  <c r="DA29" i="87"/>
  <c r="GC29" i="87"/>
  <c r="JE29" i="87"/>
  <c r="AI29" i="87"/>
  <c r="DK29" i="87"/>
  <c r="GM29" i="87"/>
  <c r="JO29" i="87"/>
  <c r="GM14" i="87"/>
  <c r="LI87" i="87"/>
  <c r="F627" i="191" s="1"/>
  <c r="DU19" i="87"/>
  <c r="F491" i="191"/>
  <c r="H491" i="191" s="1"/>
  <c r="LI116" i="87"/>
  <c r="E815" i="191"/>
  <c r="LI204" i="87"/>
  <c r="O204" i="87" s="1"/>
  <c r="LI58" i="87"/>
  <c r="LJ58" i="87" s="1"/>
  <c r="LI145" i="87"/>
  <c r="O14" i="87"/>
  <c r="LJ17" i="87"/>
  <c r="IV1307" i="191"/>
  <c r="JB1307" i="191" s="1"/>
  <c r="IV1305" i="191"/>
  <c r="JB1305" i="191" s="1"/>
  <c r="IV1304" i="191"/>
  <c r="JB1304" i="191" s="1"/>
  <c r="IV1301" i="191"/>
  <c r="JB1301" i="191" s="1"/>
  <c r="IV1308" i="191"/>
  <c r="JB1308" i="191" s="1"/>
  <c r="IV1299" i="191"/>
  <c r="JB1299" i="191" s="1"/>
  <c r="IV1297" i="191"/>
  <c r="JB1297" i="191" s="1"/>
  <c r="IV1303" i="191"/>
  <c r="JB1303" i="191" s="1"/>
  <c r="IV1302" i="191"/>
  <c r="JB1302" i="191" s="1"/>
  <c r="IV1294" i="191"/>
  <c r="JB1294" i="191" s="1"/>
  <c r="IV1298" i="191"/>
  <c r="JB1298" i="191" s="1"/>
  <c r="IV1281" i="191"/>
  <c r="JB1281" i="191" s="1"/>
  <c r="IV1289" i="191"/>
  <c r="JB1289" i="191" s="1"/>
  <c r="IV1291" i="191"/>
  <c r="JB1291" i="191" s="1"/>
  <c r="IV1288" i="191"/>
  <c r="JB1288" i="191" s="1"/>
  <c r="IV1287" i="191"/>
  <c r="JB1287" i="191" s="1"/>
  <c r="IV1282" i="191"/>
  <c r="JB1282" i="191" s="1"/>
  <c r="IV1286" i="191"/>
  <c r="JB1286" i="191" s="1"/>
  <c r="IV1290" i="191"/>
  <c r="JB1290" i="191" s="1"/>
  <c r="IV1283" i="191"/>
  <c r="JB1283" i="191" s="1"/>
  <c r="IV1284" i="191"/>
  <c r="JB1284" i="191" s="1"/>
  <c r="IV1292" i="191"/>
  <c r="JB1292" i="191" s="1"/>
  <c r="IV1285" i="191"/>
  <c r="JB1285" i="191" s="1"/>
  <c r="IV1293" i="191"/>
  <c r="JB1293" i="191" s="1"/>
  <c r="UD1302" i="191"/>
  <c r="UJ1302" i="191" s="1"/>
  <c r="UD1294" i="191"/>
  <c r="UJ1294" i="191" s="1"/>
  <c r="UD1298" i="191"/>
  <c r="UJ1298" i="191" s="1"/>
  <c r="UD1307" i="191"/>
  <c r="UJ1307" i="191" s="1"/>
  <c r="UD1305" i="191"/>
  <c r="UJ1305" i="191" s="1"/>
  <c r="UD1304" i="191"/>
  <c r="UJ1304" i="191" s="1"/>
  <c r="UD1301" i="191"/>
  <c r="UJ1301" i="191" s="1"/>
  <c r="UD1308" i="191"/>
  <c r="UJ1308" i="191" s="1"/>
  <c r="UD1299" i="191"/>
  <c r="UJ1299" i="191" s="1"/>
  <c r="UD1297" i="191"/>
  <c r="UJ1297" i="191" s="1"/>
  <c r="UD1303" i="191"/>
  <c r="UJ1303" i="191" s="1"/>
  <c r="UD1287" i="191"/>
  <c r="UJ1287" i="191" s="1"/>
  <c r="UD1282" i="191"/>
  <c r="UJ1282" i="191" s="1"/>
  <c r="UD1286" i="191"/>
  <c r="UJ1286" i="191" s="1"/>
  <c r="UD1281" i="191"/>
  <c r="UJ1281" i="191" s="1"/>
  <c r="UD1291" i="191"/>
  <c r="UJ1291" i="191" s="1"/>
  <c r="UD1284" i="191"/>
  <c r="UJ1284" i="191" s="1"/>
  <c r="UD1292" i="191"/>
  <c r="UJ1292" i="191" s="1"/>
  <c r="UD1285" i="191"/>
  <c r="UJ1285" i="191" s="1"/>
  <c r="UD1293" i="191"/>
  <c r="UJ1293" i="191" s="1"/>
  <c r="UD1290" i="191"/>
  <c r="UJ1290" i="191" s="1"/>
  <c r="UD1289" i="191"/>
  <c r="UJ1289" i="191" s="1"/>
  <c r="UD1283" i="191"/>
  <c r="UJ1283" i="191" s="1"/>
  <c r="UD1288" i="191"/>
  <c r="UJ1288" i="191" s="1"/>
  <c r="TI1308" i="191"/>
  <c r="TO1308" i="191" s="1"/>
  <c r="TI1301" i="191"/>
  <c r="TO1301" i="191" s="1"/>
  <c r="TI1307" i="191"/>
  <c r="TO1307" i="191" s="1"/>
  <c r="TI1299" i="191"/>
  <c r="TO1299" i="191" s="1"/>
  <c r="TI1304" i="191"/>
  <c r="TO1304" i="191" s="1"/>
  <c r="TI1305" i="191"/>
  <c r="TO1305" i="191" s="1"/>
  <c r="TI1298" i="191"/>
  <c r="TO1298" i="191" s="1"/>
  <c r="TI1294" i="191"/>
  <c r="TO1294" i="191" s="1"/>
  <c r="TI1297" i="191"/>
  <c r="TO1297" i="191" s="1"/>
  <c r="TI1303" i="191"/>
  <c r="TO1303" i="191" s="1"/>
  <c r="TI1302" i="191"/>
  <c r="TO1302" i="191" s="1"/>
  <c r="TI1290" i="191"/>
  <c r="TO1290" i="191" s="1"/>
  <c r="TI1289" i="191"/>
  <c r="TO1289" i="191" s="1"/>
  <c r="TI1283" i="191"/>
  <c r="TO1283" i="191" s="1"/>
  <c r="TI1287" i="191"/>
  <c r="TO1287" i="191" s="1"/>
  <c r="TI1282" i="191"/>
  <c r="TO1282" i="191" s="1"/>
  <c r="TI1286" i="191"/>
  <c r="TO1286" i="191" s="1"/>
  <c r="TI1281" i="191"/>
  <c r="TO1281" i="191" s="1"/>
  <c r="TI1291" i="191"/>
  <c r="TO1291" i="191" s="1"/>
  <c r="TI1284" i="191"/>
  <c r="TO1284" i="191" s="1"/>
  <c r="TI1288" i="191"/>
  <c r="TO1288" i="191" s="1"/>
  <c r="TI1292" i="191"/>
  <c r="TO1292" i="191" s="1"/>
  <c r="TI1285" i="191"/>
  <c r="TO1285" i="191" s="1"/>
  <c r="TI1293" i="191"/>
  <c r="TO1293" i="191" s="1"/>
  <c r="YZ1298" i="191"/>
  <c r="ZF1298" i="191" s="1"/>
  <c r="YZ1301" i="191"/>
  <c r="ZF1301" i="191" s="1"/>
  <c r="YZ1304" i="191"/>
  <c r="ZF1304" i="191" s="1"/>
  <c r="YZ1294" i="191"/>
  <c r="ZF1294" i="191" s="1"/>
  <c r="YZ1305" i="191"/>
  <c r="ZF1305" i="191" s="1"/>
  <c r="YZ1308" i="191"/>
  <c r="ZF1308" i="191" s="1"/>
  <c r="YZ1303" i="191"/>
  <c r="ZF1303" i="191" s="1"/>
  <c r="YZ1307" i="191"/>
  <c r="ZF1307" i="191" s="1"/>
  <c r="YZ1297" i="191"/>
  <c r="ZF1297" i="191" s="1"/>
  <c r="YZ1302" i="191"/>
  <c r="ZF1302" i="191" s="1"/>
  <c r="YZ1299" i="191"/>
  <c r="ZF1299" i="191" s="1"/>
  <c r="YZ1290" i="191"/>
  <c r="ZF1290" i="191" s="1"/>
  <c r="YZ1289" i="191"/>
  <c r="ZF1289" i="191" s="1"/>
  <c r="YZ1293" i="191"/>
  <c r="ZF1293" i="191" s="1"/>
  <c r="YZ1287" i="191"/>
  <c r="ZF1287" i="191" s="1"/>
  <c r="YZ1282" i="191"/>
  <c r="ZF1282" i="191" s="1"/>
  <c r="YZ1286" i="191"/>
  <c r="ZF1286" i="191" s="1"/>
  <c r="YZ1281" i="191"/>
  <c r="ZF1281" i="191" s="1"/>
  <c r="YZ1283" i="191"/>
  <c r="ZF1283" i="191" s="1"/>
  <c r="YZ1291" i="191"/>
  <c r="ZF1291" i="191" s="1"/>
  <c r="YZ1284" i="191"/>
  <c r="ZF1284" i="191" s="1"/>
  <c r="YZ1288" i="191"/>
  <c r="ZF1288" i="191" s="1"/>
  <c r="YZ1292" i="191"/>
  <c r="ZF1292" i="191" s="1"/>
  <c r="YZ1285" i="191"/>
  <c r="ZF1285" i="191" s="1"/>
  <c r="YE1302" i="191"/>
  <c r="YK1302" i="191" s="1"/>
  <c r="YE1303" i="191"/>
  <c r="YK1303" i="191" s="1"/>
  <c r="YE1294" i="191"/>
  <c r="YK1294" i="191" s="1"/>
  <c r="YE1297" i="191"/>
  <c r="YK1297" i="191" s="1"/>
  <c r="YE1308" i="191"/>
  <c r="YK1308" i="191" s="1"/>
  <c r="YE1301" i="191"/>
  <c r="YK1301" i="191" s="1"/>
  <c r="YE1304" i="191"/>
  <c r="YK1304" i="191" s="1"/>
  <c r="YE1305" i="191"/>
  <c r="YK1305" i="191" s="1"/>
  <c r="YE1307" i="191"/>
  <c r="YK1307" i="191" s="1"/>
  <c r="YE1299" i="191"/>
  <c r="YK1299" i="191" s="1"/>
  <c r="YE1298" i="191"/>
  <c r="YK1298" i="191" s="1"/>
  <c r="YE1287" i="191"/>
  <c r="YK1287" i="191" s="1"/>
  <c r="YE1282" i="191"/>
  <c r="YK1282" i="191" s="1"/>
  <c r="YE1290" i="191"/>
  <c r="YK1290" i="191" s="1"/>
  <c r="YE1281" i="191"/>
  <c r="YK1281" i="191" s="1"/>
  <c r="YE1283" i="191"/>
  <c r="YK1283" i="191" s="1"/>
  <c r="YE1284" i="191"/>
  <c r="YK1284" i="191" s="1"/>
  <c r="YE1288" i="191"/>
  <c r="YK1288" i="191" s="1"/>
  <c r="YE1292" i="191"/>
  <c r="YK1292" i="191" s="1"/>
  <c r="YE1285" i="191"/>
  <c r="YK1285" i="191" s="1"/>
  <c r="YE1293" i="191"/>
  <c r="YK1293" i="191" s="1"/>
  <c r="YE1286" i="191"/>
  <c r="YK1286" i="191" s="1"/>
  <c r="YE1289" i="191"/>
  <c r="YK1289" i="191" s="1"/>
  <c r="YE1291" i="191"/>
  <c r="YK1291" i="191" s="1"/>
  <c r="XJ1287" i="191"/>
  <c r="XP1287" i="191" s="1"/>
  <c r="XJ1307" i="191"/>
  <c r="XP1307" i="191" s="1"/>
  <c r="XJ1305" i="191"/>
  <c r="XP1305" i="191" s="1"/>
  <c r="XJ1303" i="191"/>
  <c r="XP1303" i="191" s="1"/>
  <c r="XJ1302" i="191"/>
  <c r="XP1302" i="191" s="1"/>
  <c r="XJ1308" i="191"/>
  <c r="XP1308" i="191" s="1"/>
  <c r="XJ1299" i="191"/>
  <c r="XP1299" i="191" s="1"/>
  <c r="XJ1297" i="191"/>
  <c r="XP1297" i="191" s="1"/>
  <c r="XJ1294" i="191"/>
  <c r="XP1294" i="191" s="1"/>
  <c r="XJ1304" i="191"/>
  <c r="XP1304" i="191" s="1"/>
  <c r="XJ1301" i="191"/>
  <c r="XP1301" i="191" s="1"/>
  <c r="XJ1298" i="191"/>
  <c r="XP1298" i="191" s="1"/>
  <c r="XJ1290" i="191"/>
  <c r="XP1290" i="191" s="1"/>
  <c r="XJ1289" i="191"/>
  <c r="XP1289" i="191" s="1"/>
  <c r="XJ1285" i="191"/>
  <c r="XP1285" i="191" s="1"/>
  <c r="XJ1293" i="191"/>
  <c r="XP1293" i="191" s="1"/>
  <c r="XJ1282" i="191"/>
  <c r="XP1282" i="191" s="1"/>
  <c r="XJ1286" i="191"/>
  <c r="XP1286" i="191" s="1"/>
  <c r="XJ1281" i="191"/>
  <c r="XP1281" i="191" s="1"/>
  <c r="XJ1283" i="191"/>
  <c r="XP1283" i="191" s="1"/>
  <c r="XJ1291" i="191"/>
  <c r="XP1291" i="191" s="1"/>
  <c r="XJ1284" i="191"/>
  <c r="XP1284" i="191" s="1"/>
  <c r="XJ1288" i="191"/>
  <c r="XP1288" i="191" s="1"/>
  <c r="XJ1292" i="191"/>
  <c r="XP1292" i="191" s="1"/>
  <c r="WO1287" i="191"/>
  <c r="WU1287" i="191" s="1"/>
  <c r="WO1304" i="191"/>
  <c r="WU1304" i="191" s="1"/>
  <c r="WO1299" i="191"/>
  <c r="WU1299" i="191" s="1"/>
  <c r="WO1298" i="191"/>
  <c r="WU1298" i="191" s="1"/>
  <c r="WO1294" i="191"/>
  <c r="WU1294" i="191" s="1"/>
  <c r="WO1303" i="191"/>
  <c r="WU1303" i="191" s="1"/>
  <c r="WO1302" i="191"/>
  <c r="WU1302" i="191" s="1"/>
  <c r="WO1308" i="191"/>
  <c r="WU1308" i="191" s="1"/>
  <c r="WO1305" i="191"/>
  <c r="WU1305" i="191" s="1"/>
  <c r="WO1307" i="191"/>
  <c r="WU1307" i="191" s="1"/>
  <c r="WO1301" i="191"/>
  <c r="WU1301" i="191" s="1"/>
  <c r="WO1297" i="191"/>
  <c r="WU1297" i="191" s="1"/>
  <c r="WO1282" i="191"/>
  <c r="WU1282" i="191" s="1"/>
  <c r="WO1286" i="191"/>
  <c r="WU1286" i="191" s="1"/>
  <c r="WO1281" i="191"/>
  <c r="WU1281" i="191" s="1"/>
  <c r="WO1291" i="191"/>
  <c r="WU1291" i="191" s="1"/>
  <c r="WO1284" i="191"/>
  <c r="WU1284" i="191" s="1"/>
  <c r="WO1292" i="191"/>
  <c r="WU1292" i="191" s="1"/>
  <c r="WO1285" i="191"/>
  <c r="WU1285" i="191" s="1"/>
  <c r="WO1293" i="191"/>
  <c r="WU1293" i="191" s="1"/>
  <c r="WO1290" i="191"/>
  <c r="WU1290" i="191" s="1"/>
  <c r="WO1289" i="191"/>
  <c r="WU1289" i="191" s="1"/>
  <c r="WO1283" i="191"/>
  <c r="WU1283" i="191" s="1"/>
  <c r="WO1288" i="191"/>
  <c r="WU1288" i="191" s="1"/>
  <c r="XB1282" i="191"/>
  <c r="XB1280" i="191" s="1"/>
  <c r="XB1310" i="191" s="1"/>
  <c r="XH1311" i="191" s="1"/>
  <c r="TV1282" i="191"/>
  <c r="TV1280" i="191" s="1"/>
  <c r="TV1310" i="191" s="1"/>
  <c r="UB1311" i="191" s="1"/>
  <c r="QP1282" i="191"/>
  <c r="NJ1282" i="191"/>
  <c r="NJ1280" i="191" s="1"/>
  <c r="NJ1310" i="191" s="1"/>
  <c r="NP1311" i="191" s="1"/>
  <c r="NP1281" i="191" s="1"/>
  <c r="NV1281" i="191" s="1"/>
  <c r="KD1282" i="191"/>
  <c r="KD1280" i="191" s="1"/>
  <c r="KD1310" i="191" s="1"/>
  <c r="KJ1311" i="191" s="1"/>
  <c r="GX1282" i="191"/>
  <c r="GX1280" i="191" s="1"/>
  <c r="GX1310" i="191" s="1"/>
  <c r="HD1311" i="191" s="1"/>
  <c r="DR1282" i="191"/>
  <c r="AL1282" i="191"/>
  <c r="AL1280" i="191" s="1"/>
  <c r="AL1310" i="191" s="1"/>
  <c r="AR1311" i="191" s="1"/>
  <c r="WG1282" i="191"/>
  <c r="WG1280" i="191" s="1"/>
  <c r="WG1310" i="191" s="1"/>
  <c r="WM1311" i="191" s="1"/>
  <c r="WM1281" i="191" s="1"/>
  <c r="WS1281" i="191" s="1"/>
  <c r="TA1282" i="191"/>
  <c r="TA1280" i="191" s="1"/>
  <c r="TA1310" i="191" s="1"/>
  <c r="TG1311" i="191" s="1"/>
  <c r="PU1282" i="191"/>
  <c r="PU1280" i="191" s="1"/>
  <c r="PU1310" i="191" s="1"/>
  <c r="QA1311" i="191" s="1"/>
  <c r="QA1281" i="191" s="1"/>
  <c r="QG1281" i="191" s="1"/>
  <c r="MO1282" i="191"/>
  <c r="MO1280" i="191" s="1"/>
  <c r="MO1310" i="191" s="1"/>
  <c r="MU1311" i="191" s="1"/>
  <c r="JI1282" i="191"/>
  <c r="JI1280" i="191" s="1"/>
  <c r="JI1310" i="191" s="1"/>
  <c r="JO1311" i="191" s="1"/>
  <c r="JO1281" i="191" s="1"/>
  <c r="JU1281" i="191" s="1"/>
  <c r="GC1282" i="191"/>
  <c r="CW1282" i="191"/>
  <c r="CW1280" i="191" s="1"/>
  <c r="CW1310" i="191" s="1"/>
  <c r="DC1311" i="191" s="1"/>
  <c r="DC1281" i="191" s="1"/>
  <c r="DI1281" i="191" s="1"/>
  <c r="Q1282" i="191"/>
  <c r="Q1280" i="191" s="1"/>
  <c r="Q1310" i="191" s="1"/>
  <c r="W1311" i="191" s="1"/>
  <c r="YR1282" i="191"/>
  <c r="YR1280" i="191" s="1"/>
  <c r="YR1310" i="191" s="1"/>
  <c r="YX1311" i="191" s="1"/>
  <c r="YX1293" i="191" s="1"/>
  <c r="ZD1293" i="191" s="1"/>
  <c r="VL1282" i="191"/>
  <c r="VL1280" i="191" s="1"/>
  <c r="VL1310" i="191" s="1"/>
  <c r="VR1311" i="191" s="1"/>
  <c r="SF1282" i="191"/>
  <c r="SF1280" i="191" s="1"/>
  <c r="SF1310" i="191" s="1"/>
  <c r="SL1311" i="191" s="1"/>
  <c r="SL1281" i="191" s="1"/>
  <c r="SR1281" i="191" s="1"/>
  <c r="OZ1282" i="191"/>
  <c r="OZ1280" i="191" s="1"/>
  <c r="OZ1310" i="191" s="1"/>
  <c r="PF1311" i="191" s="1"/>
  <c r="LT1282" i="191"/>
  <c r="LT1280" i="191" s="1"/>
  <c r="LT1310" i="191" s="1"/>
  <c r="LZ1311" i="191" s="1"/>
  <c r="IN1282" i="191"/>
  <c r="FH1282" i="191"/>
  <c r="FH1280" i="191" s="1"/>
  <c r="FH1310" i="191" s="1"/>
  <c r="FN1311" i="191" s="1"/>
  <c r="FN1281" i="191" s="1"/>
  <c r="FT1281" i="191" s="1"/>
  <c r="CB1282" i="191"/>
  <c r="CB1280" i="191" s="1"/>
  <c r="CB1310" i="191" s="1"/>
  <c r="CH1311" i="191" s="1"/>
  <c r="XW1282" i="191"/>
  <c r="XW1280" i="191" s="1"/>
  <c r="XW1310" i="191" s="1"/>
  <c r="YC1311" i="191" s="1"/>
  <c r="YC1281" i="191" s="1"/>
  <c r="YI1281" i="191" s="1"/>
  <c r="UQ1282" i="191"/>
  <c r="UQ1280" i="191" s="1"/>
  <c r="UQ1310" i="191" s="1"/>
  <c r="UW1311" i="191" s="1"/>
  <c r="RK1282" i="191"/>
  <c r="RK1280" i="191" s="1"/>
  <c r="RK1310" i="191" s="1"/>
  <c r="RQ1311" i="191" s="1"/>
  <c r="RQ1283" i="191" s="1"/>
  <c r="RW1283" i="191" s="1"/>
  <c r="OE1282" i="191"/>
  <c r="OE1280" i="191" s="1"/>
  <c r="OE1310" i="191" s="1"/>
  <c r="OK1311" i="191" s="1"/>
  <c r="KY1282" i="191"/>
  <c r="KY1280" i="191" s="1"/>
  <c r="KY1310" i="191" s="1"/>
  <c r="LE1311" i="191" s="1"/>
  <c r="HS1282" i="191"/>
  <c r="HS1280" i="191" s="1"/>
  <c r="HS1310" i="191" s="1"/>
  <c r="HY1311" i="191" s="1"/>
  <c r="EM1282" i="191"/>
  <c r="BG1282" i="191"/>
  <c r="BG1280" i="191" s="1"/>
  <c r="BG1310" i="191" s="1"/>
  <c r="BM1311" i="191" s="1"/>
  <c r="BM1281" i="191" s="1"/>
  <c r="BS1281" i="191" s="1"/>
  <c r="VT1307" i="191"/>
  <c r="VZ1307" i="191" s="1"/>
  <c r="VT1305" i="191"/>
  <c r="VZ1305" i="191" s="1"/>
  <c r="VT1304" i="191"/>
  <c r="VZ1304" i="191" s="1"/>
  <c r="VT1301" i="191"/>
  <c r="VZ1301" i="191" s="1"/>
  <c r="VT1308" i="191"/>
  <c r="VZ1308" i="191" s="1"/>
  <c r="VT1299" i="191"/>
  <c r="VZ1299" i="191" s="1"/>
  <c r="VT1297" i="191"/>
  <c r="VZ1297" i="191" s="1"/>
  <c r="VT1303" i="191"/>
  <c r="VZ1303" i="191" s="1"/>
  <c r="VT1302" i="191"/>
  <c r="VZ1302" i="191" s="1"/>
  <c r="VT1294" i="191"/>
  <c r="VZ1294" i="191" s="1"/>
  <c r="VT1298" i="191"/>
  <c r="VZ1298" i="191" s="1"/>
  <c r="VT1287" i="191"/>
  <c r="VZ1287" i="191" s="1"/>
  <c r="VT1282" i="191"/>
  <c r="VZ1282" i="191" s="1"/>
  <c r="VT1290" i="191"/>
  <c r="VZ1290" i="191" s="1"/>
  <c r="VT1283" i="191"/>
  <c r="VZ1283" i="191" s="1"/>
  <c r="VT1284" i="191"/>
  <c r="VZ1284" i="191" s="1"/>
  <c r="VT1288" i="191"/>
  <c r="VZ1288" i="191" s="1"/>
  <c r="VT1292" i="191"/>
  <c r="VZ1292" i="191" s="1"/>
  <c r="VT1285" i="191"/>
  <c r="VZ1285" i="191" s="1"/>
  <c r="VT1293" i="191"/>
  <c r="VZ1293" i="191" s="1"/>
  <c r="VT1286" i="191"/>
  <c r="VZ1286" i="191" s="1"/>
  <c r="VT1281" i="191"/>
  <c r="VZ1281" i="191" s="1"/>
  <c r="VT1289" i="191"/>
  <c r="VZ1289" i="191" s="1"/>
  <c r="VT1291" i="191"/>
  <c r="VZ1291" i="191" s="1"/>
  <c r="UY1308" i="191"/>
  <c r="VE1308" i="191" s="1"/>
  <c r="UY1304" i="191"/>
  <c r="VE1304" i="191" s="1"/>
  <c r="UY1307" i="191"/>
  <c r="VE1307" i="191" s="1"/>
  <c r="UY1299" i="191"/>
  <c r="VE1299" i="191" s="1"/>
  <c r="UY1305" i="191"/>
  <c r="VE1305" i="191" s="1"/>
  <c r="UY1301" i="191"/>
  <c r="VE1301" i="191" s="1"/>
  <c r="UY1298" i="191"/>
  <c r="VE1298" i="191" s="1"/>
  <c r="UY1294" i="191"/>
  <c r="VE1294" i="191" s="1"/>
  <c r="UY1297" i="191"/>
  <c r="VE1297" i="191" s="1"/>
  <c r="UY1303" i="191"/>
  <c r="VE1303" i="191" s="1"/>
  <c r="UY1302" i="191"/>
  <c r="VE1302" i="191" s="1"/>
  <c r="UY1287" i="191"/>
  <c r="VE1287" i="191" s="1"/>
  <c r="UY1282" i="191"/>
  <c r="VE1282" i="191" s="1"/>
  <c r="UY1286" i="191"/>
  <c r="VE1286" i="191" s="1"/>
  <c r="UY1290" i="191"/>
  <c r="VE1290" i="191" s="1"/>
  <c r="UY1281" i="191"/>
  <c r="VE1281" i="191" s="1"/>
  <c r="UY1283" i="191"/>
  <c r="VE1283" i="191" s="1"/>
  <c r="UY1292" i="191"/>
  <c r="VE1292" i="191" s="1"/>
  <c r="UY1285" i="191"/>
  <c r="VE1285" i="191" s="1"/>
  <c r="UY1289" i="191"/>
  <c r="VE1289" i="191" s="1"/>
  <c r="UY1291" i="191"/>
  <c r="VE1291" i="191" s="1"/>
  <c r="UY1284" i="191"/>
  <c r="VE1284" i="191" s="1"/>
  <c r="UY1288" i="191"/>
  <c r="VE1288" i="191" s="1"/>
  <c r="UY1293" i="191"/>
  <c r="VE1293" i="191" s="1"/>
  <c r="IA1294" i="191"/>
  <c r="IG1294" i="191" s="1"/>
  <c r="IA1297" i="191"/>
  <c r="IG1297" i="191" s="1"/>
  <c r="IA1308" i="191"/>
  <c r="IG1308" i="191" s="1"/>
  <c r="IA1301" i="191"/>
  <c r="IG1301" i="191" s="1"/>
  <c r="IA1304" i="191"/>
  <c r="IG1304" i="191" s="1"/>
  <c r="IA1305" i="191"/>
  <c r="IG1305" i="191" s="1"/>
  <c r="IA1307" i="191"/>
  <c r="IG1307" i="191" s="1"/>
  <c r="IA1299" i="191"/>
  <c r="IG1299" i="191" s="1"/>
  <c r="IA1298" i="191"/>
  <c r="IG1298" i="191" s="1"/>
  <c r="IA1302" i="191"/>
  <c r="IG1302" i="191" s="1"/>
  <c r="IA1303" i="191"/>
  <c r="IG1303" i="191" s="1"/>
  <c r="IA1282" i="191"/>
  <c r="IG1282" i="191" s="1"/>
  <c r="IA1290" i="191"/>
  <c r="IG1290" i="191" s="1"/>
  <c r="IA1283" i="191"/>
  <c r="IG1283" i="191" s="1"/>
  <c r="IA1288" i="191"/>
  <c r="IG1288" i="191" s="1"/>
  <c r="IA1292" i="191"/>
  <c r="IG1292" i="191" s="1"/>
  <c r="IA1285" i="191"/>
  <c r="IG1285" i="191" s="1"/>
  <c r="IA1293" i="191"/>
  <c r="IG1293" i="191" s="1"/>
  <c r="IA1287" i="191"/>
  <c r="IG1287" i="191" s="1"/>
  <c r="IA1286" i="191"/>
  <c r="IG1286" i="191" s="1"/>
  <c r="IA1281" i="191"/>
  <c r="IG1281" i="191" s="1"/>
  <c r="IA1289" i="191"/>
  <c r="IG1289" i="191" s="1"/>
  <c r="IA1291" i="191"/>
  <c r="IG1291" i="191" s="1"/>
  <c r="IA1284" i="191"/>
  <c r="IG1284" i="191" s="1"/>
  <c r="HF1308" i="191"/>
  <c r="HL1308" i="191" s="1"/>
  <c r="HF1301" i="191"/>
  <c r="HL1301" i="191" s="1"/>
  <c r="HF1307" i="191"/>
  <c r="HL1307" i="191" s="1"/>
  <c r="HF1299" i="191"/>
  <c r="HL1299" i="191" s="1"/>
  <c r="HF1305" i="191"/>
  <c r="HL1305" i="191" s="1"/>
  <c r="HF1304" i="191"/>
  <c r="HL1304" i="191" s="1"/>
  <c r="HF1298" i="191"/>
  <c r="HL1298" i="191" s="1"/>
  <c r="HF1294" i="191"/>
  <c r="HL1294" i="191" s="1"/>
  <c r="HF1297" i="191"/>
  <c r="HL1297" i="191" s="1"/>
  <c r="HF1303" i="191"/>
  <c r="HL1303" i="191" s="1"/>
  <c r="HF1302" i="191"/>
  <c r="HL1302" i="191" s="1"/>
  <c r="HF1286" i="191"/>
  <c r="HL1286" i="191" s="1"/>
  <c r="HF1281" i="191"/>
  <c r="HL1281" i="191" s="1"/>
  <c r="HF1289" i="191"/>
  <c r="HL1289" i="191" s="1"/>
  <c r="HF1291" i="191"/>
  <c r="HL1291" i="191" s="1"/>
  <c r="HF1284" i="191"/>
  <c r="HL1284" i="191" s="1"/>
  <c r="HF1287" i="191"/>
  <c r="HL1287" i="191" s="1"/>
  <c r="HF1282" i="191"/>
  <c r="HL1282" i="191" s="1"/>
  <c r="HF1290" i="191"/>
  <c r="HL1290" i="191" s="1"/>
  <c r="HF1283" i="191"/>
  <c r="HL1283" i="191" s="1"/>
  <c r="HF1288" i="191"/>
  <c r="HL1288" i="191" s="1"/>
  <c r="HF1292" i="191"/>
  <c r="HL1292" i="191" s="1"/>
  <c r="HF1285" i="191"/>
  <c r="HL1285" i="191" s="1"/>
  <c r="HF1293" i="191"/>
  <c r="HL1293" i="191" s="1"/>
  <c r="GK1308" i="191"/>
  <c r="GQ1308" i="191" s="1"/>
  <c r="GK1299" i="191"/>
  <c r="GQ1299" i="191" s="1"/>
  <c r="GK1307" i="191"/>
  <c r="GQ1307" i="191" s="1"/>
  <c r="GK1305" i="191"/>
  <c r="GQ1305" i="191" s="1"/>
  <c r="GK1304" i="191"/>
  <c r="GQ1304" i="191" s="1"/>
  <c r="GK1301" i="191"/>
  <c r="GQ1301" i="191" s="1"/>
  <c r="GK1298" i="191"/>
  <c r="GQ1298" i="191" s="1"/>
  <c r="GK1294" i="191"/>
  <c r="GQ1294" i="191" s="1"/>
  <c r="GK1297" i="191"/>
  <c r="GQ1297" i="191" s="1"/>
  <c r="GK1303" i="191"/>
  <c r="GQ1303" i="191" s="1"/>
  <c r="GK1302" i="191"/>
  <c r="GQ1302" i="191" s="1"/>
  <c r="GK1282" i="191"/>
  <c r="GQ1282" i="191" s="1"/>
  <c r="GK1286" i="191"/>
  <c r="GQ1286" i="191" s="1"/>
  <c r="GK1281" i="191"/>
  <c r="GQ1281" i="191" s="1"/>
  <c r="GK1291" i="191"/>
  <c r="GQ1291" i="191" s="1"/>
  <c r="GK1284" i="191"/>
  <c r="GQ1284" i="191" s="1"/>
  <c r="GK1288" i="191"/>
  <c r="GQ1288" i="191" s="1"/>
  <c r="GK1292" i="191"/>
  <c r="GQ1292" i="191" s="1"/>
  <c r="GK1287" i="191"/>
  <c r="GQ1287" i="191" s="1"/>
  <c r="GK1290" i="191"/>
  <c r="GQ1290" i="191" s="1"/>
  <c r="GK1289" i="191"/>
  <c r="GQ1289" i="191" s="1"/>
  <c r="GK1283" i="191"/>
  <c r="GQ1283" i="191" s="1"/>
  <c r="GK1285" i="191"/>
  <c r="GQ1285" i="191" s="1"/>
  <c r="GK1293" i="191"/>
  <c r="GQ1293" i="191" s="1"/>
  <c r="MB1307" i="191"/>
  <c r="MH1307" i="191" s="1"/>
  <c r="MB1301" i="191"/>
  <c r="MH1301" i="191" s="1"/>
  <c r="MB1304" i="191"/>
  <c r="MH1304" i="191" s="1"/>
  <c r="MB1299" i="191"/>
  <c r="MH1299" i="191" s="1"/>
  <c r="MB1305" i="191"/>
  <c r="MH1305" i="191" s="1"/>
  <c r="MB1302" i="191"/>
  <c r="MH1302" i="191" s="1"/>
  <c r="MB1303" i="191"/>
  <c r="MH1303" i="191" s="1"/>
  <c r="MB1298" i="191"/>
  <c r="MH1298" i="191" s="1"/>
  <c r="MB1308" i="191"/>
  <c r="MH1308" i="191" s="1"/>
  <c r="MB1297" i="191"/>
  <c r="MH1297" i="191" s="1"/>
  <c r="MB1294" i="191"/>
  <c r="MH1294" i="191" s="1"/>
  <c r="MB1287" i="191"/>
  <c r="MH1287" i="191" s="1"/>
  <c r="MB1286" i="191"/>
  <c r="MH1286" i="191" s="1"/>
  <c r="MB1289" i="191"/>
  <c r="MH1289" i="191" s="1"/>
  <c r="MB1283" i="191"/>
  <c r="MH1283" i="191" s="1"/>
  <c r="MB1291" i="191"/>
  <c r="MH1291" i="191" s="1"/>
  <c r="MB1284" i="191"/>
  <c r="MH1284" i="191" s="1"/>
  <c r="MB1288" i="191"/>
  <c r="MH1288" i="191" s="1"/>
  <c r="MB1292" i="191"/>
  <c r="MH1292" i="191" s="1"/>
  <c r="MB1285" i="191"/>
  <c r="MH1285" i="191" s="1"/>
  <c r="MB1293" i="191"/>
  <c r="MH1293" i="191" s="1"/>
  <c r="MB1282" i="191"/>
  <c r="MH1282" i="191" s="1"/>
  <c r="MB1290" i="191"/>
  <c r="MH1290" i="191" s="1"/>
  <c r="MB1281" i="191"/>
  <c r="MH1281" i="191" s="1"/>
  <c r="LG1303" i="191"/>
  <c r="LM1303" i="191" s="1"/>
  <c r="LG1302" i="191"/>
  <c r="LM1302" i="191" s="1"/>
  <c r="LG1308" i="191"/>
  <c r="LM1308" i="191" s="1"/>
  <c r="LG1301" i="191"/>
  <c r="LM1301" i="191" s="1"/>
  <c r="LG1307" i="191"/>
  <c r="LM1307" i="191" s="1"/>
  <c r="LG1299" i="191"/>
  <c r="LM1299" i="191" s="1"/>
  <c r="LG1305" i="191"/>
  <c r="LM1305" i="191" s="1"/>
  <c r="LG1304" i="191"/>
  <c r="LM1304" i="191" s="1"/>
  <c r="LG1298" i="191"/>
  <c r="LM1298" i="191" s="1"/>
  <c r="LG1294" i="191"/>
  <c r="LM1294" i="191" s="1"/>
  <c r="LG1297" i="191"/>
  <c r="LM1297" i="191" s="1"/>
  <c r="LG1289" i="191"/>
  <c r="LM1289" i="191" s="1"/>
  <c r="LG1291" i="191"/>
  <c r="LM1291" i="191" s="1"/>
  <c r="LG1288" i="191"/>
  <c r="LM1288" i="191" s="1"/>
  <c r="LG1287" i="191"/>
  <c r="LM1287" i="191" s="1"/>
  <c r="LG1282" i="191"/>
  <c r="LM1282" i="191" s="1"/>
  <c r="LG1286" i="191"/>
  <c r="LM1286" i="191" s="1"/>
  <c r="LG1290" i="191"/>
  <c r="LM1290" i="191" s="1"/>
  <c r="LG1281" i="191"/>
  <c r="LM1281" i="191" s="1"/>
  <c r="LG1283" i="191"/>
  <c r="LM1283" i="191" s="1"/>
  <c r="LG1284" i="191"/>
  <c r="LM1284" i="191" s="1"/>
  <c r="LG1292" i="191"/>
  <c r="LM1292" i="191" s="1"/>
  <c r="LG1285" i="191"/>
  <c r="LM1285" i="191" s="1"/>
  <c r="LG1293" i="191"/>
  <c r="LM1293" i="191" s="1"/>
  <c r="KL1287" i="191"/>
  <c r="KR1287" i="191" s="1"/>
  <c r="KL1307" i="191"/>
  <c r="KR1307" i="191" s="1"/>
  <c r="KL1305" i="191"/>
  <c r="KR1305" i="191" s="1"/>
  <c r="KL1304" i="191"/>
  <c r="KR1304" i="191" s="1"/>
  <c r="KL1301" i="191"/>
  <c r="KR1301" i="191" s="1"/>
  <c r="KL1308" i="191"/>
  <c r="KR1308" i="191" s="1"/>
  <c r="KL1299" i="191"/>
  <c r="KR1299" i="191" s="1"/>
  <c r="KL1297" i="191"/>
  <c r="KR1297" i="191" s="1"/>
  <c r="KL1303" i="191"/>
  <c r="KR1303" i="191" s="1"/>
  <c r="KL1302" i="191"/>
  <c r="KR1302" i="191" s="1"/>
  <c r="KL1294" i="191"/>
  <c r="KR1294" i="191" s="1"/>
  <c r="KL1298" i="191"/>
  <c r="KR1298" i="191" s="1"/>
  <c r="KL1290" i="191"/>
  <c r="KR1290" i="191" s="1"/>
  <c r="KL1289" i="191"/>
  <c r="KR1289" i="191" s="1"/>
  <c r="KL1283" i="191"/>
  <c r="KR1283" i="191" s="1"/>
  <c r="KL1291" i="191"/>
  <c r="KR1291" i="191" s="1"/>
  <c r="KL1288" i="191"/>
  <c r="KR1288" i="191" s="1"/>
  <c r="KL1292" i="191"/>
  <c r="KR1292" i="191" s="1"/>
  <c r="KL1293" i="191"/>
  <c r="KR1293" i="191" s="1"/>
  <c r="KL1282" i="191"/>
  <c r="KR1282" i="191" s="1"/>
  <c r="KL1286" i="191"/>
  <c r="KR1286" i="191" s="1"/>
  <c r="KL1281" i="191"/>
  <c r="KR1281" i="191" s="1"/>
  <c r="KL1284" i="191"/>
  <c r="KR1284" i="191" s="1"/>
  <c r="KL1285" i="191"/>
  <c r="KR1285" i="191" s="1"/>
  <c r="JQ1290" i="191"/>
  <c r="JW1290" i="191" s="1"/>
  <c r="JQ1303" i="191"/>
  <c r="JW1303" i="191" s="1"/>
  <c r="JQ1308" i="191"/>
  <c r="JW1308" i="191" s="1"/>
  <c r="JQ1307" i="191"/>
  <c r="JW1307" i="191" s="1"/>
  <c r="JQ1301" i="191"/>
  <c r="JW1301" i="191" s="1"/>
  <c r="JQ1299" i="191"/>
  <c r="JW1299" i="191" s="1"/>
  <c r="JQ1298" i="191"/>
  <c r="JW1298" i="191" s="1"/>
  <c r="JQ1294" i="191"/>
  <c r="JW1294" i="191" s="1"/>
  <c r="JQ1297" i="191"/>
  <c r="JW1297" i="191" s="1"/>
  <c r="JQ1302" i="191"/>
  <c r="JW1302" i="191" s="1"/>
  <c r="JQ1305" i="191"/>
  <c r="JW1305" i="191" s="1"/>
  <c r="JQ1304" i="191"/>
  <c r="JW1304" i="191" s="1"/>
  <c r="JQ1287" i="191"/>
  <c r="JW1287" i="191" s="1"/>
  <c r="JQ1282" i="191"/>
  <c r="JW1282" i="191" s="1"/>
  <c r="JQ1286" i="191"/>
  <c r="JW1286" i="191" s="1"/>
  <c r="JQ1281" i="191"/>
  <c r="JW1281" i="191" s="1"/>
  <c r="JQ1285" i="191"/>
  <c r="JW1285" i="191" s="1"/>
  <c r="JQ1289" i="191"/>
  <c r="JW1289" i="191" s="1"/>
  <c r="JQ1283" i="191"/>
  <c r="JW1283" i="191" s="1"/>
  <c r="JQ1291" i="191"/>
  <c r="JW1291" i="191" s="1"/>
  <c r="JQ1284" i="191"/>
  <c r="JW1284" i="191" s="1"/>
  <c r="JQ1288" i="191"/>
  <c r="JW1288" i="191" s="1"/>
  <c r="JQ1292" i="191"/>
  <c r="JW1292" i="191" s="1"/>
  <c r="JQ1293" i="191"/>
  <c r="JW1293" i="191" s="1"/>
  <c r="PH1297" i="191"/>
  <c r="PN1297" i="191" s="1"/>
  <c r="PH1305" i="191"/>
  <c r="PN1305" i="191" s="1"/>
  <c r="PH1299" i="191"/>
  <c r="PN1299" i="191" s="1"/>
  <c r="PH1301" i="191"/>
  <c r="PN1301" i="191" s="1"/>
  <c r="PH1308" i="191"/>
  <c r="PN1308" i="191" s="1"/>
  <c r="PH1307" i="191"/>
  <c r="PN1307" i="191" s="1"/>
  <c r="PH1294" i="191"/>
  <c r="PN1294" i="191" s="1"/>
  <c r="PH1303" i="191"/>
  <c r="PN1303" i="191" s="1"/>
  <c r="PH1304" i="191"/>
  <c r="PN1304" i="191" s="1"/>
  <c r="PH1298" i="191"/>
  <c r="PN1298" i="191" s="1"/>
  <c r="PH1302" i="191"/>
  <c r="PN1302" i="191" s="1"/>
  <c r="PH1287" i="191"/>
  <c r="PN1287" i="191" s="1"/>
  <c r="PH1286" i="191"/>
  <c r="PN1286" i="191" s="1"/>
  <c r="PH1281" i="191"/>
  <c r="PN1281" i="191" s="1"/>
  <c r="PH1291" i="191"/>
  <c r="PN1291" i="191" s="1"/>
  <c r="PH1292" i="191"/>
  <c r="PN1292" i="191" s="1"/>
  <c r="PH1285" i="191"/>
  <c r="PN1285" i="191" s="1"/>
  <c r="PH1282" i="191"/>
  <c r="PN1282" i="191" s="1"/>
  <c r="PH1290" i="191"/>
  <c r="PN1290" i="191" s="1"/>
  <c r="PH1289" i="191"/>
  <c r="PN1289" i="191" s="1"/>
  <c r="PH1283" i="191"/>
  <c r="PN1283" i="191" s="1"/>
  <c r="PH1284" i="191"/>
  <c r="PN1284" i="191" s="1"/>
  <c r="PH1288" i="191"/>
  <c r="PN1288" i="191" s="1"/>
  <c r="PH1293" i="191"/>
  <c r="PN1293" i="191" s="1"/>
  <c r="CJ1305" i="191"/>
  <c r="CP1305" i="191" s="1"/>
  <c r="CJ1302" i="191"/>
  <c r="CP1302" i="191" s="1"/>
  <c r="CJ1299" i="191"/>
  <c r="CP1299" i="191" s="1"/>
  <c r="CJ1301" i="191"/>
  <c r="CP1301" i="191" s="1"/>
  <c r="CJ1307" i="191"/>
  <c r="CP1307" i="191" s="1"/>
  <c r="CJ1303" i="191"/>
  <c r="CP1303" i="191" s="1"/>
  <c r="CJ1297" i="191"/>
  <c r="CP1297" i="191" s="1"/>
  <c r="CJ1298" i="191"/>
  <c r="CP1298" i="191" s="1"/>
  <c r="CJ1308" i="191"/>
  <c r="CP1308" i="191" s="1"/>
  <c r="CJ1294" i="191"/>
  <c r="CP1294" i="191" s="1"/>
  <c r="CJ1304" i="191"/>
  <c r="CP1304" i="191" s="1"/>
  <c r="CJ1287" i="191"/>
  <c r="CP1287" i="191" s="1"/>
  <c r="CJ1282" i="191"/>
  <c r="CP1282" i="191" s="1"/>
  <c r="CJ1286" i="191"/>
  <c r="CP1286" i="191" s="1"/>
  <c r="CJ1289" i="191"/>
  <c r="CP1289" i="191" s="1"/>
  <c r="CJ1291" i="191"/>
  <c r="CP1291" i="191" s="1"/>
  <c r="CJ1293" i="191"/>
  <c r="CP1293" i="191" s="1"/>
  <c r="CJ1290" i="191"/>
  <c r="CP1290" i="191" s="1"/>
  <c r="CJ1281" i="191"/>
  <c r="CP1281" i="191" s="1"/>
  <c r="CJ1283" i="191"/>
  <c r="CP1283" i="191" s="1"/>
  <c r="CJ1284" i="191"/>
  <c r="CP1284" i="191" s="1"/>
  <c r="CJ1288" i="191"/>
  <c r="CP1288" i="191" s="1"/>
  <c r="CJ1292" i="191"/>
  <c r="CP1292" i="191" s="1"/>
  <c r="CJ1285" i="191"/>
  <c r="CP1285" i="191" s="1"/>
  <c r="OM1307" i="191"/>
  <c r="OS1307" i="191" s="1"/>
  <c r="OM1297" i="191"/>
  <c r="OS1297" i="191" s="1"/>
  <c r="OM1305" i="191"/>
  <c r="OS1305" i="191" s="1"/>
  <c r="OM1301" i="191"/>
  <c r="OS1301" i="191" s="1"/>
  <c r="OM1304" i="191"/>
  <c r="OS1304" i="191" s="1"/>
  <c r="OM1294" i="191"/>
  <c r="OS1294" i="191" s="1"/>
  <c r="OM1303" i="191"/>
  <c r="OS1303" i="191" s="1"/>
  <c r="OM1298" i="191"/>
  <c r="OS1298" i="191" s="1"/>
  <c r="OM1308" i="191"/>
  <c r="OS1308" i="191" s="1"/>
  <c r="OM1302" i="191"/>
  <c r="OS1302" i="191" s="1"/>
  <c r="OM1299" i="191"/>
  <c r="OS1299" i="191" s="1"/>
  <c r="OM1282" i="191"/>
  <c r="OS1282" i="191" s="1"/>
  <c r="OM1286" i="191"/>
  <c r="OS1286" i="191" s="1"/>
  <c r="OM1289" i="191"/>
  <c r="OS1289" i="191" s="1"/>
  <c r="OM1283" i="191"/>
  <c r="OS1283" i="191" s="1"/>
  <c r="OM1291" i="191"/>
  <c r="OS1291" i="191" s="1"/>
  <c r="OM1284" i="191"/>
  <c r="OS1284" i="191" s="1"/>
  <c r="OM1285" i="191"/>
  <c r="OS1285" i="191" s="1"/>
  <c r="OM1287" i="191"/>
  <c r="OS1287" i="191" s="1"/>
  <c r="OM1290" i="191"/>
  <c r="OS1290" i="191" s="1"/>
  <c r="OM1281" i="191"/>
  <c r="OS1281" i="191" s="1"/>
  <c r="OM1288" i="191"/>
  <c r="OS1288" i="191" s="1"/>
  <c r="OM1292" i="191"/>
  <c r="OS1292" i="191" s="1"/>
  <c r="OM1293" i="191"/>
  <c r="OS1293" i="191" s="1"/>
  <c r="BO1298" i="191"/>
  <c r="BU1298" i="191" s="1"/>
  <c r="BO1301" i="191"/>
  <c r="BU1301" i="191" s="1"/>
  <c r="BO1304" i="191"/>
  <c r="BU1304" i="191" s="1"/>
  <c r="BO1299" i="191"/>
  <c r="BU1299" i="191" s="1"/>
  <c r="BO1305" i="191"/>
  <c r="BU1305" i="191" s="1"/>
  <c r="BO1308" i="191"/>
  <c r="BU1308" i="191" s="1"/>
  <c r="BO1303" i="191"/>
  <c r="BU1303" i="191" s="1"/>
  <c r="BO1294" i="191"/>
  <c r="BU1294" i="191" s="1"/>
  <c r="BO1307" i="191"/>
  <c r="BU1307" i="191" s="1"/>
  <c r="BO1302" i="191"/>
  <c r="BU1302" i="191" s="1"/>
  <c r="BO1297" i="191"/>
  <c r="BU1297" i="191" s="1"/>
  <c r="BO1287" i="191"/>
  <c r="BU1287" i="191" s="1"/>
  <c r="BO1290" i="191"/>
  <c r="BU1290" i="191" s="1"/>
  <c r="BO1283" i="191"/>
  <c r="BU1283" i="191" s="1"/>
  <c r="BO1284" i="191"/>
  <c r="BU1284" i="191" s="1"/>
  <c r="BO1288" i="191"/>
  <c r="BU1288" i="191" s="1"/>
  <c r="BO1285" i="191"/>
  <c r="BU1285" i="191" s="1"/>
  <c r="BO1282" i="191"/>
  <c r="BU1282" i="191" s="1"/>
  <c r="BO1286" i="191"/>
  <c r="BU1286" i="191" s="1"/>
  <c r="BO1281" i="191"/>
  <c r="BU1281" i="191" s="1"/>
  <c r="BO1289" i="191"/>
  <c r="BU1289" i="191" s="1"/>
  <c r="BO1291" i="191"/>
  <c r="BU1291" i="191" s="1"/>
  <c r="BO1292" i="191"/>
  <c r="BU1292" i="191" s="1"/>
  <c r="BO1293" i="191"/>
  <c r="BU1293" i="191" s="1"/>
  <c r="NR1301" i="191"/>
  <c r="NX1301" i="191" s="1"/>
  <c r="NR1308" i="191"/>
  <c r="NX1308" i="191" s="1"/>
  <c r="NR1299" i="191"/>
  <c r="NX1299" i="191" s="1"/>
  <c r="NR1297" i="191"/>
  <c r="NX1297" i="191" s="1"/>
  <c r="NR1303" i="191"/>
  <c r="NX1303" i="191" s="1"/>
  <c r="NR1302" i="191"/>
  <c r="NX1302" i="191" s="1"/>
  <c r="NR1294" i="191"/>
  <c r="NX1294" i="191" s="1"/>
  <c r="NR1298" i="191"/>
  <c r="NX1298" i="191" s="1"/>
  <c r="NR1307" i="191"/>
  <c r="NX1307" i="191" s="1"/>
  <c r="NR1305" i="191"/>
  <c r="NX1305" i="191" s="1"/>
  <c r="NR1304" i="191"/>
  <c r="NX1304" i="191" s="1"/>
  <c r="NR1281" i="191"/>
  <c r="NX1281" i="191" s="1"/>
  <c r="NR1289" i="191"/>
  <c r="NX1289" i="191" s="1"/>
  <c r="NR1284" i="191"/>
  <c r="NX1284" i="191" s="1"/>
  <c r="NR1288" i="191"/>
  <c r="NX1288" i="191" s="1"/>
  <c r="NR1292" i="191"/>
  <c r="NX1292" i="191" s="1"/>
  <c r="NR1285" i="191"/>
  <c r="NX1285" i="191" s="1"/>
  <c r="NR1287" i="191"/>
  <c r="NX1287" i="191" s="1"/>
  <c r="NR1282" i="191"/>
  <c r="NX1282" i="191" s="1"/>
  <c r="NR1286" i="191"/>
  <c r="NX1286" i="191" s="1"/>
  <c r="NR1290" i="191"/>
  <c r="NX1290" i="191" s="1"/>
  <c r="NR1283" i="191"/>
  <c r="NX1283" i="191" s="1"/>
  <c r="NR1291" i="191"/>
  <c r="NX1291" i="191" s="1"/>
  <c r="NR1293" i="191"/>
  <c r="NX1293" i="191" s="1"/>
  <c r="AT1298" i="191"/>
  <c r="AZ1298" i="191" s="1"/>
  <c r="AT1301" i="191"/>
  <c r="AZ1301" i="191" s="1"/>
  <c r="AT1304" i="191"/>
  <c r="AZ1304" i="191" s="1"/>
  <c r="AT1299" i="191"/>
  <c r="AZ1299" i="191" s="1"/>
  <c r="AT1305" i="191"/>
  <c r="AZ1305" i="191" s="1"/>
  <c r="AT1308" i="191"/>
  <c r="AZ1308" i="191" s="1"/>
  <c r="AT1302" i="191"/>
  <c r="AZ1302" i="191" s="1"/>
  <c r="AT1297" i="191"/>
  <c r="AZ1297" i="191" s="1"/>
  <c r="AT1307" i="191"/>
  <c r="AZ1307" i="191" s="1"/>
  <c r="AT1303" i="191"/>
  <c r="AZ1303" i="191" s="1"/>
  <c r="AT1294" i="191"/>
  <c r="AZ1294" i="191" s="1"/>
  <c r="AT1286" i="191"/>
  <c r="AZ1286" i="191" s="1"/>
  <c r="AT1281" i="191"/>
  <c r="AZ1281" i="191" s="1"/>
  <c r="AT1289" i="191"/>
  <c r="AZ1289" i="191" s="1"/>
  <c r="AT1291" i="191"/>
  <c r="AZ1291" i="191" s="1"/>
  <c r="AT1284" i="191"/>
  <c r="AZ1284" i="191" s="1"/>
  <c r="AT1292" i="191"/>
  <c r="AZ1292" i="191" s="1"/>
  <c r="AT1287" i="191"/>
  <c r="AZ1287" i="191" s="1"/>
  <c r="AT1282" i="191"/>
  <c r="AZ1282" i="191" s="1"/>
  <c r="AT1290" i="191"/>
  <c r="AZ1290" i="191" s="1"/>
  <c r="AT1283" i="191"/>
  <c r="AZ1283" i="191" s="1"/>
  <c r="AT1288" i="191"/>
  <c r="AZ1288" i="191" s="1"/>
  <c r="AT1285" i="191"/>
  <c r="AZ1285" i="191" s="1"/>
  <c r="AT1293" i="191"/>
  <c r="AZ1293" i="191" s="1"/>
  <c r="MW1298" i="191"/>
  <c r="NC1298" i="191" s="1"/>
  <c r="MW1305" i="191"/>
  <c r="NC1305" i="191" s="1"/>
  <c r="MW1299" i="191"/>
  <c r="NC1299" i="191" s="1"/>
  <c r="MW1304" i="191"/>
  <c r="NC1304" i="191" s="1"/>
  <c r="MW1301" i="191"/>
  <c r="NC1301" i="191" s="1"/>
  <c r="MW1308" i="191"/>
  <c r="NC1308" i="191" s="1"/>
  <c r="MW1302" i="191"/>
  <c r="NC1302" i="191" s="1"/>
  <c r="MW1297" i="191"/>
  <c r="NC1297" i="191" s="1"/>
  <c r="MW1307" i="191"/>
  <c r="NC1307" i="191" s="1"/>
  <c r="MW1303" i="191"/>
  <c r="NC1303" i="191" s="1"/>
  <c r="MW1294" i="191"/>
  <c r="NC1294" i="191" s="1"/>
  <c r="MW1287" i="191"/>
  <c r="NC1287" i="191" s="1"/>
  <c r="MW1282" i="191"/>
  <c r="NC1282" i="191" s="1"/>
  <c r="MW1290" i="191"/>
  <c r="NC1290" i="191" s="1"/>
  <c r="MW1284" i="191"/>
  <c r="NC1284" i="191" s="1"/>
  <c r="MW1293" i="191"/>
  <c r="NC1293" i="191" s="1"/>
  <c r="MW1286" i="191"/>
  <c r="NC1286" i="191" s="1"/>
  <c r="MW1281" i="191"/>
  <c r="NC1281" i="191" s="1"/>
  <c r="MW1289" i="191"/>
  <c r="NC1289" i="191" s="1"/>
  <c r="MW1283" i="191"/>
  <c r="NC1283" i="191" s="1"/>
  <c r="MW1291" i="191"/>
  <c r="NC1291" i="191" s="1"/>
  <c r="MW1288" i="191"/>
  <c r="NC1288" i="191" s="1"/>
  <c r="MW1292" i="191"/>
  <c r="NC1292" i="191" s="1"/>
  <c r="MW1285" i="191"/>
  <c r="NC1285" i="191" s="1"/>
  <c r="Y1298" i="191"/>
  <c r="AE1298" i="191" s="1"/>
  <c r="Y1301" i="191"/>
  <c r="AE1301" i="191" s="1"/>
  <c r="Y1304" i="191"/>
  <c r="AE1304" i="191" s="1"/>
  <c r="Y1299" i="191"/>
  <c r="AE1299" i="191" s="1"/>
  <c r="Y1305" i="191"/>
  <c r="AE1305" i="191" s="1"/>
  <c r="Y1308" i="191"/>
  <c r="AE1308" i="191" s="1"/>
  <c r="Y1303" i="191"/>
  <c r="AE1303" i="191" s="1"/>
  <c r="Y1294" i="191"/>
  <c r="AE1294" i="191" s="1"/>
  <c r="Y1307" i="191"/>
  <c r="AE1307" i="191" s="1"/>
  <c r="Y1302" i="191"/>
  <c r="AE1302" i="191" s="1"/>
  <c r="Y1297" i="191"/>
  <c r="AE1297" i="191" s="1"/>
  <c r="Y1282" i="191"/>
  <c r="AE1282" i="191" s="1"/>
  <c r="Y1286" i="191"/>
  <c r="AE1286" i="191" s="1"/>
  <c r="Y1290" i="191"/>
  <c r="AE1290" i="191" s="1"/>
  <c r="Y1283" i="191"/>
  <c r="AE1283" i="191" s="1"/>
  <c r="Y1288" i="191"/>
  <c r="AE1288" i="191" s="1"/>
  <c r="Y1287" i="191"/>
  <c r="AE1287" i="191" s="1"/>
  <c r="Y1281" i="191"/>
  <c r="AE1281" i="191" s="1"/>
  <c r="Y1289" i="191"/>
  <c r="AE1289" i="191" s="1"/>
  <c r="Y1291" i="191"/>
  <c r="AE1291" i="191" s="1"/>
  <c r="Y1284" i="191"/>
  <c r="AE1284" i="191" s="1"/>
  <c r="Y1292" i="191"/>
  <c r="AE1292" i="191" s="1"/>
  <c r="Y1285" i="191"/>
  <c r="AE1285" i="191" s="1"/>
  <c r="Y1293" i="191"/>
  <c r="AE1293" i="191" s="1"/>
  <c r="SN1302" i="191"/>
  <c r="ST1302" i="191" s="1"/>
  <c r="SN1294" i="191"/>
  <c r="ST1294" i="191" s="1"/>
  <c r="SN1298" i="191"/>
  <c r="ST1298" i="191" s="1"/>
  <c r="SN1307" i="191"/>
  <c r="ST1307" i="191" s="1"/>
  <c r="SN1305" i="191"/>
  <c r="ST1305" i="191" s="1"/>
  <c r="SN1304" i="191"/>
  <c r="ST1304" i="191" s="1"/>
  <c r="SN1301" i="191"/>
  <c r="ST1301" i="191" s="1"/>
  <c r="SN1308" i="191"/>
  <c r="ST1308" i="191" s="1"/>
  <c r="SN1299" i="191"/>
  <c r="ST1299" i="191" s="1"/>
  <c r="SN1297" i="191"/>
  <c r="ST1297" i="191" s="1"/>
  <c r="SN1303" i="191"/>
  <c r="ST1303" i="191" s="1"/>
  <c r="SN1287" i="191"/>
  <c r="ST1287" i="191" s="1"/>
  <c r="SN1290" i="191"/>
  <c r="ST1290" i="191" s="1"/>
  <c r="SN1281" i="191"/>
  <c r="ST1281" i="191" s="1"/>
  <c r="SN1289" i="191"/>
  <c r="ST1289" i="191" s="1"/>
  <c r="SN1283" i="191"/>
  <c r="ST1283" i="191" s="1"/>
  <c r="SN1284" i="191"/>
  <c r="ST1284" i="191" s="1"/>
  <c r="SN1288" i="191"/>
  <c r="ST1288" i="191" s="1"/>
  <c r="SN1292" i="191"/>
  <c r="ST1292" i="191" s="1"/>
  <c r="SN1285" i="191"/>
  <c r="ST1285" i="191" s="1"/>
  <c r="SN1293" i="191"/>
  <c r="ST1293" i="191" s="1"/>
  <c r="SN1282" i="191"/>
  <c r="ST1282" i="191" s="1"/>
  <c r="SN1286" i="191"/>
  <c r="ST1286" i="191" s="1"/>
  <c r="SN1291" i="191"/>
  <c r="ST1291" i="191" s="1"/>
  <c r="FP1308" i="191"/>
  <c r="FV1308" i="191" s="1"/>
  <c r="FP1301" i="191"/>
  <c r="FV1301" i="191" s="1"/>
  <c r="FP1307" i="191"/>
  <c r="FV1307" i="191" s="1"/>
  <c r="FP1299" i="191"/>
  <c r="FV1299" i="191" s="1"/>
  <c r="FP1305" i="191"/>
  <c r="FV1305" i="191" s="1"/>
  <c r="FP1304" i="191"/>
  <c r="FV1304" i="191" s="1"/>
  <c r="FP1298" i="191"/>
  <c r="FV1298" i="191" s="1"/>
  <c r="FP1294" i="191"/>
  <c r="FV1294" i="191" s="1"/>
  <c r="FP1297" i="191"/>
  <c r="FV1297" i="191" s="1"/>
  <c r="FP1303" i="191"/>
  <c r="FV1303" i="191" s="1"/>
  <c r="FP1302" i="191"/>
  <c r="FV1302" i="191" s="1"/>
  <c r="FP1287" i="191"/>
  <c r="FV1287" i="191" s="1"/>
  <c r="FP1282" i="191"/>
  <c r="FV1282" i="191" s="1"/>
  <c r="FP1286" i="191"/>
  <c r="FV1286" i="191" s="1"/>
  <c r="FP1281" i="191"/>
  <c r="FV1281" i="191" s="1"/>
  <c r="FP1289" i="191"/>
  <c r="FV1289" i="191" s="1"/>
  <c r="FP1291" i="191"/>
  <c r="FV1291" i="191" s="1"/>
  <c r="FP1290" i="191"/>
  <c r="FV1290" i="191" s="1"/>
  <c r="FP1283" i="191"/>
  <c r="FV1283" i="191" s="1"/>
  <c r="FP1284" i="191"/>
  <c r="FV1284" i="191" s="1"/>
  <c r="FP1288" i="191"/>
  <c r="FV1288" i="191" s="1"/>
  <c r="FP1292" i="191"/>
  <c r="FV1292" i="191" s="1"/>
  <c r="FP1285" i="191"/>
  <c r="FV1285" i="191" s="1"/>
  <c r="FP1293" i="191"/>
  <c r="FV1293" i="191" s="1"/>
  <c r="RS1301" i="191"/>
  <c r="RY1301" i="191" s="1"/>
  <c r="RS1303" i="191"/>
  <c r="RY1303" i="191" s="1"/>
  <c r="RS1299" i="191"/>
  <c r="RY1299" i="191" s="1"/>
  <c r="RS1297" i="191"/>
  <c r="RY1297" i="191" s="1"/>
  <c r="RS1308" i="191"/>
  <c r="RY1308" i="191" s="1"/>
  <c r="RS1302" i="191"/>
  <c r="RY1302" i="191" s="1"/>
  <c r="RS1304" i="191"/>
  <c r="RY1304" i="191" s="1"/>
  <c r="RS1305" i="191"/>
  <c r="RY1305" i="191" s="1"/>
  <c r="RS1294" i="191"/>
  <c r="RY1294" i="191" s="1"/>
  <c r="RS1298" i="191"/>
  <c r="RY1298" i="191" s="1"/>
  <c r="RS1307" i="191"/>
  <c r="RY1307" i="191" s="1"/>
  <c r="RS1282" i="191"/>
  <c r="RY1282" i="191" s="1"/>
  <c r="RS1286" i="191"/>
  <c r="RY1286" i="191" s="1"/>
  <c r="RS1290" i="191"/>
  <c r="RY1290" i="191" s="1"/>
  <c r="RS1281" i="191"/>
  <c r="RY1281" i="191" s="1"/>
  <c r="RS1283" i="191"/>
  <c r="RY1283" i="191" s="1"/>
  <c r="RS1284" i="191"/>
  <c r="RY1284" i="191" s="1"/>
  <c r="RS1292" i="191"/>
  <c r="RY1292" i="191" s="1"/>
  <c r="RS1285" i="191"/>
  <c r="RY1285" i="191" s="1"/>
  <c r="RS1293" i="191"/>
  <c r="RY1293" i="191" s="1"/>
  <c r="RS1287" i="191"/>
  <c r="RY1287" i="191" s="1"/>
  <c r="RS1289" i="191"/>
  <c r="RY1289" i="191" s="1"/>
  <c r="RS1291" i="191"/>
  <c r="RY1291" i="191" s="1"/>
  <c r="RS1288" i="191"/>
  <c r="RY1288" i="191" s="1"/>
  <c r="EU1304" i="191"/>
  <c r="FA1304" i="191" s="1"/>
  <c r="EU1303" i="191"/>
  <c r="FA1303" i="191" s="1"/>
  <c r="EU1301" i="191"/>
  <c r="FA1301" i="191" s="1"/>
  <c r="EU1297" i="191"/>
  <c r="FA1297" i="191" s="1"/>
  <c r="EU1308" i="191"/>
  <c r="FA1308" i="191" s="1"/>
  <c r="EU1302" i="191"/>
  <c r="FA1302" i="191" s="1"/>
  <c r="EU1298" i="191"/>
  <c r="FA1298" i="191" s="1"/>
  <c r="EU1307" i="191"/>
  <c r="FA1307" i="191" s="1"/>
  <c r="EU1294" i="191"/>
  <c r="FA1294" i="191" s="1"/>
  <c r="EU1299" i="191"/>
  <c r="FA1299" i="191" s="1"/>
  <c r="EU1305" i="191"/>
  <c r="FA1305" i="191" s="1"/>
  <c r="EU1290" i="191"/>
  <c r="FA1290" i="191" s="1"/>
  <c r="EU1283" i="191"/>
  <c r="FA1283" i="191" s="1"/>
  <c r="EU1288" i="191"/>
  <c r="FA1288" i="191" s="1"/>
  <c r="EU1292" i="191"/>
  <c r="FA1292" i="191" s="1"/>
  <c r="EU1293" i="191"/>
  <c r="FA1293" i="191" s="1"/>
  <c r="EU1287" i="191"/>
  <c r="FA1287" i="191" s="1"/>
  <c r="EU1282" i="191"/>
  <c r="FA1282" i="191" s="1"/>
  <c r="EU1286" i="191"/>
  <c r="FA1286" i="191" s="1"/>
  <c r="EU1281" i="191"/>
  <c r="FA1281" i="191" s="1"/>
  <c r="EU1289" i="191"/>
  <c r="FA1289" i="191" s="1"/>
  <c r="EU1291" i="191"/>
  <c r="FA1291" i="191" s="1"/>
  <c r="EU1284" i="191"/>
  <c r="FA1284" i="191" s="1"/>
  <c r="EU1285" i="191"/>
  <c r="FA1285" i="191" s="1"/>
  <c r="QX1288" i="191"/>
  <c r="RD1288" i="191" s="1"/>
  <c r="QX1297" i="191"/>
  <c r="RD1297" i="191" s="1"/>
  <c r="QX1303" i="191"/>
  <c r="RD1303" i="191" s="1"/>
  <c r="QX1302" i="191"/>
  <c r="RD1302" i="191" s="1"/>
  <c r="QX1294" i="191"/>
  <c r="RD1294" i="191" s="1"/>
  <c r="QX1298" i="191"/>
  <c r="RD1298" i="191" s="1"/>
  <c r="QX1307" i="191"/>
  <c r="RD1307" i="191" s="1"/>
  <c r="QX1305" i="191"/>
  <c r="RD1305" i="191" s="1"/>
  <c r="QX1304" i="191"/>
  <c r="RD1304" i="191" s="1"/>
  <c r="QX1301" i="191"/>
  <c r="RD1301" i="191" s="1"/>
  <c r="QX1308" i="191"/>
  <c r="RD1308" i="191" s="1"/>
  <c r="QX1299" i="191"/>
  <c r="RD1299" i="191" s="1"/>
  <c r="QX1282" i="191"/>
  <c r="RD1282" i="191" s="1"/>
  <c r="QX1290" i="191"/>
  <c r="RD1290" i="191" s="1"/>
  <c r="QX1281" i="191"/>
  <c r="RD1281" i="191" s="1"/>
  <c r="QX1283" i="191"/>
  <c r="RD1283" i="191" s="1"/>
  <c r="QX1291" i="191"/>
  <c r="RD1291" i="191" s="1"/>
  <c r="QX1284" i="191"/>
  <c r="RD1284" i="191" s="1"/>
  <c r="QX1287" i="191"/>
  <c r="RD1287" i="191" s="1"/>
  <c r="QX1286" i="191"/>
  <c r="RD1286" i="191" s="1"/>
  <c r="QX1289" i="191"/>
  <c r="RD1289" i="191" s="1"/>
  <c r="QX1292" i="191"/>
  <c r="RD1292" i="191" s="1"/>
  <c r="QX1285" i="191"/>
  <c r="RD1285" i="191" s="1"/>
  <c r="QX1293" i="191"/>
  <c r="RD1293" i="191" s="1"/>
  <c r="DZ1303" i="191"/>
  <c r="EF1303" i="191" s="1"/>
  <c r="DZ1302" i="191"/>
  <c r="EF1302" i="191" s="1"/>
  <c r="DZ1308" i="191"/>
  <c r="EF1308" i="191" s="1"/>
  <c r="DZ1301" i="191"/>
  <c r="EF1301" i="191" s="1"/>
  <c r="DZ1307" i="191"/>
  <c r="EF1307" i="191" s="1"/>
  <c r="DZ1299" i="191"/>
  <c r="EF1299" i="191" s="1"/>
  <c r="DZ1305" i="191"/>
  <c r="EF1305" i="191" s="1"/>
  <c r="DZ1304" i="191"/>
  <c r="EF1304" i="191" s="1"/>
  <c r="DZ1298" i="191"/>
  <c r="EF1298" i="191" s="1"/>
  <c r="DZ1294" i="191"/>
  <c r="EF1294" i="191" s="1"/>
  <c r="DZ1297" i="191"/>
  <c r="EF1297" i="191" s="1"/>
  <c r="DZ1287" i="191"/>
  <c r="EF1287" i="191" s="1"/>
  <c r="DZ1290" i="191"/>
  <c r="EF1290" i="191" s="1"/>
  <c r="DZ1289" i="191"/>
  <c r="EF1289" i="191" s="1"/>
  <c r="DZ1283" i="191"/>
  <c r="EF1283" i="191" s="1"/>
  <c r="DZ1291" i="191"/>
  <c r="EF1291" i="191" s="1"/>
  <c r="DZ1288" i="191"/>
  <c r="EF1288" i="191" s="1"/>
  <c r="DZ1292" i="191"/>
  <c r="EF1292" i="191" s="1"/>
  <c r="DZ1293" i="191"/>
  <c r="EF1293" i="191" s="1"/>
  <c r="DZ1282" i="191"/>
  <c r="EF1282" i="191" s="1"/>
  <c r="DZ1286" i="191"/>
  <c r="EF1286" i="191" s="1"/>
  <c r="DZ1281" i="191"/>
  <c r="EF1281" i="191" s="1"/>
  <c r="DZ1284" i="191"/>
  <c r="EF1284" i="191" s="1"/>
  <c r="DZ1285" i="191"/>
  <c r="EF1285" i="191" s="1"/>
  <c r="QC1305" i="191"/>
  <c r="QI1305" i="191" s="1"/>
  <c r="QC1304" i="191"/>
  <c r="QI1304" i="191" s="1"/>
  <c r="QC1298" i="191"/>
  <c r="QI1298" i="191" s="1"/>
  <c r="QC1294" i="191"/>
  <c r="QI1294" i="191" s="1"/>
  <c r="QC1297" i="191"/>
  <c r="QI1297" i="191" s="1"/>
  <c r="QC1303" i="191"/>
  <c r="QI1303" i="191" s="1"/>
  <c r="QC1302" i="191"/>
  <c r="QI1302" i="191" s="1"/>
  <c r="QC1308" i="191"/>
  <c r="QI1308" i="191" s="1"/>
  <c r="QC1301" i="191"/>
  <c r="QI1301" i="191" s="1"/>
  <c r="QC1307" i="191"/>
  <c r="QI1307" i="191" s="1"/>
  <c r="QC1299" i="191"/>
  <c r="QI1299" i="191" s="1"/>
  <c r="QC1286" i="191"/>
  <c r="QI1286" i="191" s="1"/>
  <c r="QC1281" i="191"/>
  <c r="QI1281" i="191" s="1"/>
  <c r="QC1289" i="191"/>
  <c r="QI1289" i="191" s="1"/>
  <c r="QC1283" i="191"/>
  <c r="QI1283" i="191" s="1"/>
  <c r="QC1285" i="191"/>
  <c r="QI1285" i="191" s="1"/>
  <c r="QC1287" i="191"/>
  <c r="QI1287" i="191" s="1"/>
  <c r="QC1282" i="191"/>
  <c r="QI1282" i="191" s="1"/>
  <c r="QC1290" i="191"/>
  <c r="QI1290" i="191" s="1"/>
  <c r="QC1291" i="191"/>
  <c r="QI1291" i="191" s="1"/>
  <c r="QC1284" i="191"/>
  <c r="QI1284" i="191" s="1"/>
  <c r="QC1288" i="191"/>
  <c r="QI1288" i="191" s="1"/>
  <c r="QC1292" i="191"/>
  <c r="QI1292" i="191" s="1"/>
  <c r="QC1293" i="191"/>
  <c r="QI1293" i="191" s="1"/>
  <c r="DE1303" i="191"/>
  <c r="DK1303" i="191" s="1"/>
  <c r="DE1302" i="191"/>
  <c r="DK1302" i="191" s="1"/>
  <c r="DE1308" i="191"/>
  <c r="DK1308" i="191" s="1"/>
  <c r="DE1299" i="191"/>
  <c r="DK1299" i="191" s="1"/>
  <c r="DE1307" i="191"/>
  <c r="DK1307" i="191" s="1"/>
  <c r="DE1305" i="191"/>
  <c r="DK1305" i="191" s="1"/>
  <c r="DE1304" i="191"/>
  <c r="DK1304" i="191" s="1"/>
  <c r="DE1301" i="191"/>
  <c r="DK1301" i="191" s="1"/>
  <c r="DE1298" i="191"/>
  <c r="DK1298" i="191" s="1"/>
  <c r="DE1294" i="191"/>
  <c r="DK1294" i="191" s="1"/>
  <c r="DE1297" i="191"/>
  <c r="DK1297" i="191" s="1"/>
  <c r="DE1287" i="191"/>
  <c r="DK1287" i="191" s="1"/>
  <c r="DE1282" i="191"/>
  <c r="DK1282" i="191" s="1"/>
  <c r="DE1286" i="191"/>
  <c r="DK1286" i="191" s="1"/>
  <c r="DE1291" i="191"/>
  <c r="DK1291" i="191" s="1"/>
  <c r="DE1284" i="191"/>
  <c r="DK1284" i="191" s="1"/>
  <c r="DE1288" i="191"/>
  <c r="DK1288" i="191" s="1"/>
  <c r="DE1293" i="191"/>
  <c r="DK1293" i="191" s="1"/>
  <c r="DE1290" i="191"/>
  <c r="DK1290" i="191" s="1"/>
  <c r="DE1281" i="191"/>
  <c r="DK1281" i="191" s="1"/>
  <c r="DE1289" i="191"/>
  <c r="DK1289" i="191" s="1"/>
  <c r="DE1283" i="191"/>
  <c r="DK1283" i="191" s="1"/>
  <c r="DE1292" i="191"/>
  <c r="DK1292" i="191" s="1"/>
  <c r="DE1285" i="191"/>
  <c r="DK1285" i="191" s="1"/>
  <c r="IN1280" i="191"/>
  <c r="IN1310" i="191" s="1"/>
  <c r="IT1311" i="191" s="1"/>
  <c r="IT1281" i="191" s="1"/>
  <c r="IZ1281" i="191" s="1"/>
  <c r="GC1280" i="191"/>
  <c r="GC1310" i="191" s="1"/>
  <c r="GI1311" i="191" s="1"/>
  <c r="GI1281" i="191" s="1"/>
  <c r="GO1281" i="191" s="1"/>
  <c r="FI17" i="87"/>
  <c r="FS14" i="87"/>
  <c r="EM1280" i="191"/>
  <c r="EM1310" i="191" s="1"/>
  <c r="ES1311" i="191" s="1"/>
  <c r="ES1288" i="191" s="1"/>
  <c r="EY1288" i="191" s="1"/>
  <c r="QP1280" i="191"/>
  <c r="QP1310" i="191" s="1"/>
  <c r="QV1311" i="191" s="1"/>
  <c r="QV1281" i="191" s="1"/>
  <c r="RB1281" i="191" s="1"/>
  <c r="MI1296" i="191"/>
  <c r="EY17" i="87"/>
  <c r="HG17" i="87"/>
  <c r="DU14" i="87"/>
  <c r="GC14" i="87"/>
  <c r="DR1280" i="191"/>
  <c r="DR1310" i="191" s="1"/>
  <c r="DX1311" i="191" s="1"/>
  <c r="DX1281" i="191" s="1"/>
  <c r="ED1281" i="191" s="1"/>
  <c r="XV1283" i="191"/>
  <c r="XV1280" i="191" s="1"/>
  <c r="XV1310" i="191" s="1"/>
  <c r="YB1311" i="191" s="1"/>
  <c r="WF1283" i="191"/>
  <c r="WF1280" i="191" s="1"/>
  <c r="WF1310" i="191" s="1"/>
  <c r="WL1311" i="191" s="1"/>
  <c r="WL1281" i="191" s="1"/>
  <c r="WR1281" i="191" s="1"/>
  <c r="UP1283" i="191"/>
  <c r="UP1280" i="191" s="1"/>
  <c r="UP1310" i="191" s="1"/>
  <c r="UV1311" i="191" s="1"/>
  <c r="SZ1283" i="191"/>
  <c r="RJ1283" i="191"/>
  <c r="RJ1280" i="191" s="1"/>
  <c r="RJ1310" i="191" s="1"/>
  <c r="RP1311" i="191" s="1"/>
  <c r="PT1283" i="191"/>
  <c r="PT1280" i="191" s="1"/>
  <c r="PT1310" i="191" s="1"/>
  <c r="PZ1311" i="191" s="1"/>
  <c r="PZ1281" i="191" s="1"/>
  <c r="QF1281" i="191" s="1"/>
  <c r="OD1283" i="191"/>
  <c r="OD1280" i="191" s="1"/>
  <c r="OD1310" i="191" s="1"/>
  <c r="OJ1311" i="191" s="1"/>
  <c r="MN1283" i="191"/>
  <c r="MN1280" i="191" s="1"/>
  <c r="MN1310" i="191" s="1"/>
  <c r="MT1311" i="191" s="1"/>
  <c r="MT1281" i="191" s="1"/>
  <c r="MZ1281" i="191" s="1"/>
  <c r="KX1283" i="191"/>
  <c r="KX1280" i="191" s="1"/>
  <c r="KX1310" i="191" s="1"/>
  <c r="LD1311" i="191" s="1"/>
  <c r="JH1283" i="191"/>
  <c r="JH1280" i="191" s="1"/>
  <c r="JH1310" i="191" s="1"/>
  <c r="JN1311" i="191" s="1"/>
  <c r="JN1281" i="191" s="1"/>
  <c r="JT1281" i="191" s="1"/>
  <c r="IM1283" i="191"/>
  <c r="IM1280" i="191" s="1"/>
  <c r="IM1310" i="191" s="1"/>
  <c r="IS1311" i="191" s="1"/>
  <c r="GW1283" i="191"/>
  <c r="GW1280" i="191" s="1"/>
  <c r="GW1310" i="191" s="1"/>
  <c r="HC1311" i="191" s="1"/>
  <c r="HC1281" i="191" s="1"/>
  <c r="HI1281" i="191" s="1"/>
  <c r="FG1283" i="191"/>
  <c r="FG1280" i="191" s="1"/>
  <c r="FG1310" i="191" s="1"/>
  <c r="FM1311" i="191" s="1"/>
  <c r="DQ1283" i="191"/>
  <c r="DQ1280" i="191" s="1"/>
  <c r="DQ1310" i="191" s="1"/>
  <c r="DW1311" i="191" s="1"/>
  <c r="DW1281" i="191" s="1"/>
  <c r="EC1281" i="191" s="1"/>
  <c r="CA1283" i="191"/>
  <c r="CA1280" i="191" s="1"/>
  <c r="CA1310" i="191" s="1"/>
  <c r="CG1311" i="191" s="1"/>
  <c r="AK1283" i="191"/>
  <c r="AK1280" i="191" s="1"/>
  <c r="AK1310" i="191" s="1"/>
  <c r="AQ1311" i="191" s="1"/>
  <c r="AQ1281" i="191" s="1"/>
  <c r="AW1281" i="191" s="1"/>
  <c r="XA1283" i="191"/>
  <c r="XA1280" i="191" s="1"/>
  <c r="XA1310" i="191" s="1"/>
  <c r="XG1311" i="191" s="1"/>
  <c r="VK1283" i="191"/>
  <c r="VK1280" i="191" s="1"/>
  <c r="VK1310" i="191" s="1"/>
  <c r="VQ1311" i="191" s="1"/>
  <c r="TU1283" i="191"/>
  <c r="TU1280" i="191" s="1"/>
  <c r="TU1310" i="191" s="1"/>
  <c r="UA1311" i="191" s="1"/>
  <c r="SE1283" i="191"/>
  <c r="SE1280" i="191" s="1"/>
  <c r="SE1310" i="191" s="1"/>
  <c r="SK1311" i="191" s="1"/>
  <c r="SK1281" i="191" s="1"/>
  <c r="SQ1281" i="191" s="1"/>
  <c r="QO1283" i="191"/>
  <c r="QO1280" i="191" s="1"/>
  <c r="QO1310" i="191" s="1"/>
  <c r="QU1311" i="191" s="1"/>
  <c r="OY1283" i="191"/>
  <c r="OY1280" i="191" s="1"/>
  <c r="OY1310" i="191" s="1"/>
  <c r="PE1311" i="191" s="1"/>
  <c r="PE1281" i="191" s="1"/>
  <c r="PK1281" i="191" s="1"/>
  <c r="NI1283" i="191"/>
  <c r="NI1280" i="191" s="1"/>
  <c r="NI1310" i="191" s="1"/>
  <c r="NO1311" i="191" s="1"/>
  <c r="LS1283" i="191"/>
  <c r="LS1280" i="191" s="1"/>
  <c r="LS1310" i="191" s="1"/>
  <c r="LY1311" i="191" s="1"/>
  <c r="KC1283" i="191"/>
  <c r="KC1280" i="191" s="1"/>
  <c r="KC1310" i="191" s="1"/>
  <c r="KI1311" i="191" s="1"/>
  <c r="YQ1283" i="191"/>
  <c r="YQ1280" i="191" s="1"/>
  <c r="YQ1310" i="191" s="1"/>
  <c r="YW1311" i="191" s="1"/>
  <c r="HR1283" i="191"/>
  <c r="HR1280" i="191" s="1"/>
  <c r="HR1310" i="191" s="1"/>
  <c r="HX1311" i="191" s="1"/>
  <c r="GB1283" i="191"/>
  <c r="GB1280" i="191" s="1"/>
  <c r="GB1310" i="191" s="1"/>
  <c r="GH1311" i="191" s="1"/>
  <c r="GH1281" i="191" s="1"/>
  <c r="GN1281" i="191" s="1"/>
  <c r="EL1283" i="191"/>
  <c r="EL1280" i="191" s="1"/>
  <c r="EL1310" i="191" s="1"/>
  <c r="ER1311" i="191" s="1"/>
  <c r="CV1283" i="191"/>
  <c r="CV1280" i="191" s="1"/>
  <c r="CV1310" i="191" s="1"/>
  <c r="DB1311" i="191" s="1"/>
  <c r="BF1283" i="191"/>
  <c r="BF1280" i="191" s="1"/>
  <c r="BF1310" i="191" s="1"/>
  <c r="BL1311" i="191" s="1"/>
  <c r="P1283" i="191"/>
  <c r="P1280" i="191" s="1"/>
  <c r="P1310" i="191" s="1"/>
  <c r="V1311" i="191" s="1"/>
  <c r="V1281" i="191" s="1"/>
  <c r="AB1281" i="191" s="1"/>
  <c r="SZ1280" i="191"/>
  <c r="SZ1310" i="191" s="1"/>
  <c r="TF1311" i="191" s="1"/>
  <c r="TF1281" i="191" s="1"/>
  <c r="TL1281" i="191" s="1"/>
  <c r="XU1284" i="191"/>
  <c r="XU1280" i="191" s="1"/>
  <c r="XU1310" i="191" s="1"/>
  <c r="YA1311" i="191" s="1"/>
  <c r="WZ1284" i="191"/>
  <c r="WZ1280" i="191" s="1"/>
  <c r="WZ1310" i="191" s="1"/>
  <c r="XF1311" i="191" s="1"/>
  <c r="TT1284" i="191"/>
  <c r="TT1280" i="191" s="1"/>
  <c r="TT1310" i="191" s="1"/>
  <c r="TZ1311" i="191" s="1"/>
  <c r="QN1284" i="191"/>
  <c r="QN1280" i="191" s="1"/>
  <c r="QN1310" i="191" s="1"/>
  <c r="QT1311" i="191" s="1"/>
  <c r="NH1284" i="191"/>
  <c r="NH1280" i="191" s="1"/>
  <c r="NH1310" i="191" s="1"/>
  <c r="NN1311" i="191" s="1"/>
  <c r="KB1284" i="191"/>
  <c r="KB1280" i="191" s="1"/>
  <c r="KB1310" i="191" s="1"/>
  <c r="KH1311" i="191" s="1"/>
  <c r="GV1284" i="191"/>
  <c r="GV1280" i="191" s="1"/>
  <c r="GV1310" i="191" s="1"/>
  <c r="HB1311" i="191" s="1"/>
  <c r="DP1284" i="191"/>
  <c r="DP1280" i="191" s="1"/>
  <c r="DP1310" i="191" s="1"/>
  <c r="DV1311" i="191" s="1"/>
  <c r="AJ1284" i="191"/>
  <c r="AJ1280" i="191" s="1"/>
  <c r="AJ1310" i="191" s="1"/>
  <c r="AP1311" i="191" s="1"/>
  <c r="UO1284" i="191"/>
  <c r="UO1280" i="191" s="1"/>
  <c r="UO1310" i="191" s="1"/>
  <c r="UU1311" i="191" s="1"/>
  <c r="RI1284" i="191"/>
  <c r="RI1280" i="191" s="1"/>
  <c r="RI1310" i="191" s="1"/>
  <c r="RO1311" i="191" s="1"/>
  <c r="OC1284" i="191"/>
  <c r="OC1280" i="191" s="1"/>
  <c r="OC1310" i="191" s="1"/>
  <c r="OI1311" i="191" s="1"/>
  <c r="KW1284" i="191"/>
  <c r="KW1280" i="191" s="1"/>
  <c r="KW1310" i="191" s="1"/>
  <c r="LC1311" i="191" s="1"/>
  <c r="HQ1284" i="191"/>
  <c r="HQ1280" i="191" s="1"/>
  <c r="HQ1310" i="191" s="1"/>
  <c r="HW1311" i="191" s="1"/>
  <c r="EK1284" i="191"/>
  <c r="EK1280" i="191" s="1"/>
  <c r="EK1310" i="191" s="1"/>
  <c r="EQ1311" i="191" s="1"/>
  <c r="BE1284" i="191"/>
  <c r="BE1280" i="191" s="1"/>
  <c r="BE1310" i="191" s="1"/>
  <c r="BK1311" i="191" s="1"/>
  <c r="YP1284" i="191"/>
  <c r="YP1280" i="191" s="1"/>
  <c r="YP1310" i="191" s="1"/>
  <c r="YV1311" i="191" s="1"/>
  <c r="VJ1284" i="191"/>
  <c r="VJ1280" i="191" s="1"/>
  <c r="VJ1310" i="191" s="1"/>
  <c r="VP1311" i="191" s="1"/>
  <c r="SD1284" i="191"/>
  <c r="SD1280" i="191" s="1"/>
  <c r="SD1310" i="191" s="1"/>
  <c r="SJ1311" i="191" s="1"/>
  <c r="OX1284" i="191"/>
  <c r="OX1280" i="191" s="1"/>
  <c r="OX1310" i="191" s="1"/>
  <c r="PD1311" i="191" s="1"/>
  <c r="LR1284" i="191"/>
  <c r="LR1280" i="191" s="1"/>
  <c r="LR1310" i="191" s="1"/>
  <c r="LX1311" i="191" s="1"/>
  <c r="IL1284" i="191"/>
  <c r="IL1280" i="191" s="1"/>
  <c r="IL1310" i="191" s="1"/>
  <c r="IR1311" i="191" s="1"/>
  <c r="FF1284" i="191"/>
  <c r="FF1280" i="191" s="1"/>
  <c r="FF1310" i="191" s="1"/>
  <c r="FL1311" i="191" s="1"/>
  <c r="BZ1284" i="191"/>
  <c r="BZ1280" i="191" s="1"/>
  <c r="BZ1310" i="191" s="1"/>
  <c r="CF1311" i="191" s="1"/>
  <c r="WE1284" i="191"/>
  <c r="WE1280" i="191" s="1"/>
  <c r="WE1310" i="191" s="1"/>
  <c r="WK1311" i="191" s="1"/>
  <c r="SY1284" i="191"/>
  <c r="SY1280" i="191" s="1"/>
  <c r="SY1310" i="191" s="1"/>
  <c r="TE1311" i="191" s="1"/>
  <c r="PS1284" i="191"/>
  <c r="PS1280" i="191" s="1"/>
  <c r="PS1310" i="191" s="1"/>
  <c r="PY1311" i="191" s="1"/>
  <c r="MM1284" i="191"/>
  <c r="MM1280" i="191" s="1"/>
  <c r="MM1310" i="191" s="1"/>
  <c r="MS1311" i="191" s="1"/>
  <c r="JG1284" i="191"/>
  <c r="JG1280" i="191" s="1"/>
  <c r="JG1310" i="191" s="1"/>
  <c r="JM1311" i="191" s="1"/>
  <c r="GA1284" i="191"/>
  <c r="GA1280" i="191" s="1"/>
  <c r="GA1310" i="191" s="1"/>
  <c r="GG1311" i="191" s="1"/>
  <c r="CU1284" i="191"/>
  <c r="CU1280" i="191" s="1"/>
  <c r="CU1310" i="191" s="1"/>
  <c r="DA1311" i="191" s="1"/>
  <c r="O1284" i="191"/>
  <c r="O1280" i="191" s="1"/>
  <c r="O1310" i="191" s="1"/>
  <c r="U1311" i="191" s="1"/>
  <c r="DK19" i="87"/>
  <c r="FS19" i="87"/>
  <c r="KS17" i="87"/>
  <c r="LC17" i="87"/>
  <c r="BC17" i="87"/>
  <c r="JY14" i="87"/>
  <c r="Y14" i="87"/>
  <c r="AI14" i="87"/>
  <c r="JE19" i="87"/>
  <c r="JO19" i="87"/>
  <c r="JY19" i="87"/>
  <c r="O17" i="87"/>
  <c r="BM17" i="87"/>
  <c r="HQ17" i="87"/>
  <c r="BW17" i="87"/>
  <c r="IA17" i="87"/>
  <c r="CG17" i="87"/>
  <c r="IK17" i="87"/>
  <c r="EE17" i="87"/>
  <c r="KI17" i="87"/>
  <c r="AS14" i="87"/>
  <c r="GW14" i="87"/>
  <c r="CQ14" i="87"/>
  <c r="IU14" i="87"/>
  <c r="DA14" i="87"/>
  <c r="JE14" i="87"/>
  <c r="DK14" i="87"/>
  <c r="JO14" i="87"/>
  <c r="O19" i="87"/>
  <c r="Y19" i="87"/>
  <c r="GC19" i="87"/>
  <c r="AI19" i="87"/>
  <c r="GM19" i="87"/>
  <c r="AS19" i="87"/>
  <c r="GW19" i="87"/>
  <c r="CQ19" i="87"/>
  <c r="IU19" i="87"/>
  <c r="LJ14" i="87"/>
  <c r="Y17" i="87"/>
  <c r="DA17" i="87"/>
  <c r="GC17" i="87"/>
  <c r="JE17" i="87"/>
  <c r="AI17" i="87"/>
  <c r="DK17" i="87"/>
  <c r="GM17" i="87"/>
  <c r="JO17" i="87"/>
  <c r="AS17" i="87"/>
  <c r="DU17" i="87"/>
  <c r="GW17" i="87"/>
  <c r="JY17" i="87"/>
  <c r="CQ17" i="87"/>
  <c r="FS17" i="87"/>
  <c r="IU17" i="87"/>
  <c r="CG14" i="87"/>
  <c r="FI14" i="87"/>
  <c r="IK14" i="87"/>
  <c r="BC14" i="87"/>
  <c r="EE14" i="87"/>
  <c r="HG14" i="87"/>
  <c r="KI14" i="87"/>
  <c r="BM14" i="87"/>
  <c r="EO14" i="87"/>
  <c r="HQ14" i="87"/>
  <c r="KS14" i="87"/>
  <c r="BW14" i="87"/>
  <c r="EY14" i="87"/>
  <c r="IA14" i="87"/>
  <c r="LC14" i="87"/>
  <c r="LJ19" i="87"/>
  <c r="BM19" i="87"/>
  <c r="EO19" i="87"/>
  <c r="HQ19" i="87"/>
  <c r="KS19" i="87"/>
  <c r="BW19" i="87"/>
  <c r="EY19" i="87"/>
  <c r="IA19" i="87"/>
  <c r="LC19" i="87"/>
  <c r="CG19" i="87"/>
  <c r="FI19" i="87"/>
  <c r="IK19" i="87"/>
  <c r="BC19" i="87"/>
  <c r="EE19" i="87"/>
  <c r="HG19" i="87"/>
  <c r="KI19" i="87"/>
  <c r="Y185" i="87"/>
  <c r="JY46" i="87"/>
  <c r="IK46" i="87"/>
  <c r="GW46" i="87"/>
  <c r="FI46" i="87"/>
  <c r="DU46" i="87"/>
  <c r="CG46" i="87"/>
  <c r="AS46" i="87"/>
  <c r="LC46" i="87"/>
  <c r="JO46" i="87"/>
  <c r="IA46" i="87"/>
  <c r="GM46" i="87"/>
  <c r="EY46" i="87"/>
  <c r="DK46" i="87"/>
  <c r="BW46" i="87"/>
  <c r="AI46" i="87"/>
  <c r="LJ46" i="87"/>
  <c r="F552" i="191"/>
  <c r="H552" i="191" s="1"/>
  <c r="KS46" i="87"/>
  <c r="JE46" i="87"/>
  <c r="HQ46" i="87"/>
  <c r="GC46" i="87"/>
  <c r="EO46" i="87"/>
  <c r="DA46" i="87"/>
  <c r="BM46" i="87"/>
  <c r="Y46" i="87"/>
  <c r="KI46" i="87"/>
  <c r="IU46" i="87"/>
  <c r="HG46" i="87"/>
  <c r="FS46" i="87"/>
  <c r="EE46" i="87"/>
  <c r="CQ46" i="87"/>
  <c r="BC46" i="87"/>
  <c r="O46" i="87"/>
  <c r="KS75" i="87"/>
  <c r="JE75" i="87"/>
  <c r="HQ75" i="87"/>
  <c r="GC75" i="87"/>
  <c r="EO75" i="87"/>
  <c r="DA75" i="87"/>
  <c r="BM75" i="87"/>
  <c r="Y75" i="87"/>
  <c r="KI75" i="87"/>
  <c r="IU75" i="87"/>
  <c r="HG75" i="87"/>
  <c r="FS75" i="87"/>
  <c r="EE75" i="87"/>
  <c r="CQ75" i="87"/>
  <c r="BC75" i="87"/>
  <c r="O75" i="87"/>
  <c r="F615" i="191"/>
  <c r="G615" i="191" s="1"/>
  <c r="JY75" i="87"/>
  <c r="IK75" i="87"/>
  <c r="GW75" i="87"/>
  <c r="FI75" i="87"/>
  <c r="DU75" i="87"/>
  <c r="CG75" i="87"/>
  <c r="AS75" i="87"/>
  <c r="LC75" i="87"/>
  <c r="JO75" i="87"/>
  <c r="IA75" i="87"/>
  <c r="GM75" i="87"/>
  <c r="EY75" i="87"/>
  <c r="DK75" i="87"/>
  <c r="BW75" i="87"/>
  <c r="AI75" i="87"/>
  <c r="LJ75" i="87"/>
  <c r="E742" i="191"/>
  <c r="E737" i="191"/>
  <c r="E674" i="191"/>
  <c r="E554" i="191"/>
  <c r="E617" i="191"/>
  <c r="LI194" i="87"/>
  <c r="E805" i="191"/>
  <c r="LI106" i="87"/>
  <c r="IU106" i="87" s="1"/>
  <c r="LI43" i="87"/>
  <c r="F549" i="191" s="1"/>
  <c r="E679" i="191"/>
  <c r="E549" i="191"/>
  <c r="LI77" i="87"/>
  <c r="LI130" i="87"/>
  <c r="E740" i="191"/>
  <c r="E552" i="191"/>
  <c r="E615" i="191"/>
  <c r="E612" i="191"/>
  <c r="LI189" i="87"/>
  <c r="O189" i="87" s="1"/>
  <c r="E800" i="191"/>
  <c r="LI192" i="87"/>
  <c r="O192" i="87" s="1"/>
  <c r="E803" i="191"/>
  <c r="LI133" i="87"/>
  <c r="LI162" i="87" s="1"/>
  <c r="LI72" i="87"/>
  <c r="LI48" i="87"/>
  <c r="LI135" i="87"/>
  <c r="LI101" i="87"/>
  <c r="F485" i="191"/>
  <c r="F677" i="191"/>
  <c r="F623" i="191"/>
  <c r="E625" i="191"/>
  <c r="E616" i="191"/>
  <c r="E751" i="191"/>
  <c r="E750" i="191"/>
  <c r="E745" i="191"/>
  <c r="E747" i="191"/>
  <c r="E758" i="191"/>
  <c r="E738" i="191"/>
  <c r="E684" i="191"/>
  <c r="E688" i="191"/>
  <c r="E697" i="191"/>
  <c r="E570" i="191"/>
  <c r="E566" i="191"/>
  <c r="E557" i="191"/>
  <c r="E559" i="191"/>
  <c r="E629" i="191"/>
  <c r="E620" i="191"/>
  <c r="E626" i="191"/>
  <c r="F757" i="191"/>
  <c r="F698" i="191"/>
  <c r="E741" i="191"/>
  <c r="F636" i="191"/>
  <c r="F621" i="191"/>
  <c r="E614" i="191"/>
  <c r="E611" i="191"/>
  <c r="E551" i="191"/>
  <c r="F487" i="191"/>
  <c r="F490" i="191"/>
  <c r="F558" i="191"/>
  <c r="F759" i="191"/>
  <c r="F503" i="191"/>
  <c r="F498" i="191"/>
  <c r="F494" i="191"/>
  <c r="F488" i="191"/>
  <c r="F569" i="191"/>
  <c r="E822" i="191"/>
  <c r="E813" i="191"/>
  <c r="E804" i="191"/>
  <c r="E821" i="191"/>
  <c r="E817" i="191"/>
  <c r="E812" i="191"/>
  <c r="E808" i="191"/>
  <c r="E799" i="191"/>
  <c r="G755" i="191"/>
  <c r="H755" i="191"/>
  <c r="G748" i="191"/>
  <c r="H748" i="191"/>
  <c r="G694" i="191"/>
  <c r="H694" i="191"/>
  <c r="G685" i="191"/>
  <c r="H685" i="191"/>
  <c r="G631" i="191"/>
  <c r="H631" i="191"/>
  <c r="G506" i="191"/>
  <c r="H506" i="191"/>
  <c r="G501" i="191"/>
  <c r="H501" i="191"/>
  <c r="G495" i="191"/>
  <c r="H495" i="191"/>
  <c r="G486" i="191"/>
  <c r="H486" i="191"/>
  <c r="G811" i="191"/>
  <c r="H811" i="191"/>
  <c r="G820" i="191"/>
  <c r="H820" i="191"/>
  <c r="G818" i="191"/>
  <c r="H818" i="191"/>
  <c r="G756" i="191"/>
  <c r="H756" i="191"/>
  <c r="G692" i="191"/>
  <c r="H692" i="191"/>
  <c r="G505" i="191"/>
  <c r="H505" i="191"/>
  <c r="F442" i="191"/>
  <c r="E675" i="191"/>
  <c r="F630" i="191"/>
  <c r="F618" i="191"/>
  <c r="E571" i="191"/>
  <c r="E562" i="191"/>
  <c r="E553" i="191"/>
  <c r="E754" i="191"/>
  <c r="E749" i="191"/>
  <c r="E760" i="191"/>
  <c r="E739" i="191"/>
  <c r="E696" i="191"/>
  <c r="E686" i="191"/>
  <c r="E695" i="191"/>
  <c r="E691" i="191"/>
  <c r="E687" i="191"/>
  <c r="E676" i="191"/>
  <c r="E678" i="191"/>
  <c r="E572" i="191"/>
  <c r="E561" i="191"/>
  <c r="E563" i="191"/>
  <c r="E550" i="191"/>
  <c r="E635" i="191"/>
  <c r="E624" i="191"/>
  <c r="E633" i="191"/>
  <c r="E622" i="191"/>
  <c r="F743" i="191"/>
  <c r="F683" i="191"/>
  <c r="F632" i="191"/>
  <c r="E613" i="191"/>
  <c r="E682" i="191"/>
  <c r="F634" i="191"/>
  <c r="F499" i="191"/>
  <c r="F567" i="191"/>
  <c r="F573" i="191"/>
  <c r="F555" i="191"/>
  <c r="F500" i="191"/>
  <c r="F496" i="191"/>
  <c r="F508" i="191"/>
  <c r="F509" i="191"/>
  <c r="F560" i="191"/>
  <c r="E802" i="191"/>
  <c r="E823" i="191"/>
  <c r="E814" i="191"/>
  <c r="E810" i="191"/>
  <c r="E801" i="191"/>
  <c r="G568" i="191"/>
  <c r="H568" i="191"/>
  <c r="G761" i="191"/>
  <c r="H761" i="191"/>
  <c r="G693" i="191"/>
  <c r="H693" i="191"/>
  <c r="G680" i="191"/>
  <c r="H680" i="191"/>
  <c r="G510" i="191"/>
  <c r="H510" i="191"/>
  <c r="G504" i="191"/>
  <c r="H504" i="191"/>
  <c r="G497" i="191"/>
  <c r="H497" i="191"/>
  <c r="G492" i="191"/>
  <c r="H492" i="191"/>
  <c r="G507" i="191"/>
  <c r="H507" i="191"/>
  <c r="G806" i="191"/>
  <c r="H806" i="191"/>
  <c r="G809" i="191"/>
  <c r="H809" i="191"/>
  <c r="G819" i="191"/>
  <c r="H819" i="191"/>
  <c r="G824" i="191"/>
  <c r="H824" i="191"/>
  <c r="G746" i="191"/>
  <c r="H746" i="191"/>
  <c r="G489" i="191"/>
  <c r="H489" i="191"/>
  <c r="GC185" i="87"/>
  <c r="JE185" i="87"/>
  <c r="DA185" i="87"/>
  <c r="LI85" i="87"/>
  <c r="LI76" i="87"/>
  <c r="LI144" i="87"/>
  <c r="LI143" i="87"/>
  <c r="IA143" i="87" s="1"/>
  <c r="LI138" i="87"/>
  <c r="LI140" i="87"/>
  <c r="LI151" i="87"/>
  <c r="LI131" i="87"/>
  <c r="LI111" i="87"/>
  <c r="LJ111" i="87" s="1"/>
  <c r="LI115" i="87"/>
  <c r="DK115" i="87" s="1"/>
  <c r="LI124" i="87"/>
  <c r="BW124" i="87" s="1"/>
  <c r="LI64" i="87"/>
  <c r="KS64" i="87" s="1"/>
  <c r="LI60" i="87"/>
  <c r="HQ60" i="87" s="1"/>
  <c r="LI51" i="87"/>
  <c r="HG51" i="87" s="1"/>
  <c r="LI53" i="87"/>
  <c r="EY53" i="87" s="1"/>
  <c r="LI89" i="87"/>
  <c r="LI80" i="87"/>
  <c r="LI86" i="87"/>
  <c r="LI134" i="87"/>
  <c r="LI73" i="87"/>
  <c r="LI109" i="87"/>
  <c r="HG109" i="87" s="1"/>
  <c r="LJ94" i="87"/>
  <c r="O27" i="87"/>
  <c r="O61" i="87"/>
  <c r="O67" i="87"/>
  <c r="IU31" i="87"/>
  <c r="IU26" i="87"/>
  <c r="IU22" i="87"/>
  <c r="JO16" i="87"/>
  <c r="LJ63" i="87"/>
  <c r="LI211" i="87"/>
  <c r="LI202" i="87"/>
  <c r="LJ202" i="87" s="1"/>
  <c r="LI193" i="87"/>
  <c r="LI210" i="87"/>
  <c r="LI206" i="87"/>
  <c r="LI201" i="87"/>
  <c r="LI197" i="87"/>
  <c r="LI188" i="87"/>
  <c r="LI102" i="87"/>
  <c r="LI65" i="87"/>
  <c r="LI56" i="87"/>
  <c r="LI47" i="87"/>
  <c r="LI147" i="87"/>
  <c r="LI142" i="87"/>
  <c r="LI153" i="87"/>
  <c r="LI132" i="87"/>
  <c r="LI123" i="87"/>
  <c r="LI113" i="87"/>
  <c r="LI122" i="87"/>
  <c r="LI118" i="87"/>
  <c r="LI114" i="87"/>
  <c r="LI103" i="87"/>
  <c r="LI105" i="87"/>
  <c r="LI66" i="87"/>
  <c r="LI55" i="87"/>
  <c r="LI57" i="87"/>
  <c r="LI44" i="87"/>
  <c r="GM44" i="87" s="1"/>
  <c r="LI95" i="87"/>
  <c r="IA95" i="87" s="1"/>
  <c r="LI84" i="87"/>
  <c r="GM84" i="87" s="1"/>
  <c r="LI93" i="87"/>
  <c r="EY93" i="87" s="1"/>
  <c r="LI82" i="87"/>
  <c r="DK82" i="87" s="1"/>
  <c r="LI74" i="87"/>
  <c r="EE74" i="87" s="1"/>
  <c r="LI71" i="87"/>
  <c r="FI71" i="87" s="1"/>
  <c r="LI45" i="87"/>
  <c r="IU28" i="87"/>
  <c r="IU24" i="87"/>
  <c r="JO36" i="87"/>
  <c r="KI37" i="87"/>
  <c r="LJ54" i="87"/>
  <c r="LI191" i="87"/>
  <c r="LI212" i="87"/>
  <c r="LI203" i="87"/>
  <c r="LI199" i="87"/>
  <c r="LI190" i="87"/>
  <c r="KI185" i="87"/>
  <c r="EO185" i="87"/>
  <c r="O185" i="87"/>
  <c r="HQ185" i="87"/>
  <c r="BM185" i="87"/>
  <c r="LJ185" i="87"/>
  <c r="LL185" i="87" s="1"/>
  <c r="LC185" i="87"/>
  <c r="IU185" i="87"/>
  <c r="HG185" i="87"/>
  <c r="FS185" i="87"/>
  <c r="EE185" i="87"/>
  <c r="CQ185" i="87"/>
  <c r="BC185" i="87"/>
  <c r="JY185" i="87"/>
  <c r="IK185" i="87"/>
  <c r="GW185" i="87"/>
  <c r="FI185" i="87"/>
  <c r="DU185" i="87"/>
  <c r="CG185" i="87"/>
  <c r="AS185" i="87"/>
  <c r="KS185" i="87"/>
  <c r="JO185" i="87"/>
  <c r="IA185" i="87"/>
  <c r="GM185" i="87"/>
  <c r="EY185" i="87"/>
  <c r="DK185" i="87"/>
  <c r="BW185" i="87"/>
  <c r="LC16" i="87"/>
  <c r="L159" i="87"/>
  <c r="L218" i="87" s="1"/>
  <c r="O63" i="87"/>
  <c r="IK31" i="87"/>
  <c r="BC63" i="87"/>
  <c r="LC36" i="87"/>
  <c r="GC37" i="87"/>
  <c r="EE28" i="87"/>
  <c r="HG24" i="87"/>
  <c r="KS54" i="87"/>
  <c r="GW37" i="87"/>
  <c r="BW28" i="87"/>
  <c r="EY24" i="87"/>
  <c r="KI36" i="87"/>
  <c r="O54" i="87"/>
  <c r="O24" i="87"/>
  <c r="FS54" i="87"/>
  <c r="EO54" i="87"/>
  <c r="GM37" i="87"/>
  <c r="IU37" i="87"/>
  <c r="BM28" i="87"/>
  <c r="CG28" i="87"/>
  <c r="EO24" i="87"/>
  <c r="FI24" i="87"/>
  <c r="IK36" i="87"/>
  <c r="KS36" i="87"/>
  <c r="LC63" i="87"/>
  <c r="BM63" i="87"/>
  <c r="IU54" i="87"/>
  <c r="CQ54" i="87"/>
  <c r="HQ54" i="87"/>
  <c r="BM54" i="87"/>
  <c r="KI54" i="87"/>
  <c r="HG54" i="87"/>
  <c r="EE54" i="87"/>
  <c r="BC54" i="87"/>
  <c r="JE54" i="87"/>
  <c r="GC54" i="87"/>
  <c r="DA54" i="87"/>
  <c r="Y54" i="87"/>
  <c r="LC54" i="87"/>
  <c r="JO54" i="87"/>
  <c r="IA54" i="87"/>
  <c r="GM54" i="87"/>
  <c r="EY54" i="87"/>
  <c r="DK54" i="87"/>
  <c r="BW54" i="87"/>
  <c r="AI54" i="87"/>
  <c r="JY54" i="87"/>
  <c r="IK54" i="87"/>
  <c r="GW54" i="87"/>
  <c r="FI54" i="87"/>
  <c r="DU54" i="87"/>
  <c r="CG54" i="87"/>
  <c r="AS54" i="87"/>
  <c r="EY63" i="87"/>
  <c r="FI63" i="87"/>
  <c r="HG63" i="87"/>
  <c r="HQ63" i="87"/>
  <c r="BW63" i="87"/>
  <c r="IA63" i="87"/>
  <c r="CG63" i="87"/>
  <c r="IK63" i="87"/>
  <c r="EE63" i="87"/>
  <c r="KI63" i="87"/>
  <c r="EO63" i="87"/>
  <c r="KS63" i="87"/>
  <c r="AI63" i="87"/>
  <c r="DK63" i="87"/>
  <c r="GM63" i="87"/>
  <c r="JO63" i="87"/>
  <c r="AS63" i="87"/>
  <c r="DU63" i="87"/>
  <c r="GW63" i="87"/>
  <c r="JY63" i="87"/>
  <c r="CQ63" i="87"/>
  <c r="FS63" i="87"/>
  <c r="IU63" i="87"/>
  <c r="Y63" i="87"/>
  <c r="DA63" i="87"/>
  <c r="GC63" i="87"/>
  <c r="JE63" i="87"/>
  <c r="O37" i="87"/>
  <c r="LJ36" i="87"/>
  <c r="Y37" i="87"/>
  <c r="AI37" i="87"/>
  <c r="AS37" i="87"/>
  <c r="CQ37" i="87"/>
  <c r="HQ28" i="87"/>
  <c r="IA28" i="87"/>
  <c r="IK28" i="87"/>
  <c r="KI28" i="87"/>
  <c r="KS24" i="87"/>
  <c r="LC24" i="87"/>
  <c r="BC24" i="87"/>
  <c r="CG36" i="87"/>
  <c r="EE36" i="87"/>
  <c r="EO36" i="87"/>
  <c r="EY36" i="87"/>
  <c r="O28" i="87"/>
  <c r="DA37" i="87"/>
  <c r="JE37" i="87"/>
  <c r="DK37" i="87"/>
  <c r="JO37" i="87"/>
  <c r="DU37" i="87"/>
  <c r="JY37" i="87"/>
  <c r="FS37" i="87"/>
  <c r="EO28" i="87"/>
  <c r="KS28" i="87"/>
  <c r="EY28" i="87"/>
  <c r="LC28" i="87"/>
  <c r="FI28" i="87"/>
  <c r="BC28" i="87"/>
  <c r="HG28" i="87"/>
  <c r="BM24" i="87"/>
  <c r="HQ24" i="87"/>
  <c r="BW24" i="87"/>
  <c r="IA24" i="87"/>
  <c r="CG24" i="87"/>
  <c r="IK24" i="87"/>
  <c r="EE24" i="87"/>
  <c r="KI24" i="87"/>
  <c r="FI36" i="87"/>
  <c r="BC36" i="87"/>
  <c r="HG36" i="87"/>
  <c r="BM36" i="87"/>
  <c r="HQ36" i="87"/>
  <c r="BW36" i="87"/>
  <c r="IA36" i="87"/>
  <c r="LJ37" i="87"/>
  <c r="LJ28" i="87"/>
  <c r="LJ24" i="87"/>
  <c r="O36" i="87"/>
  <c r="BM37" i="87"/>
  <c r="EO37" i="87"/>
  <c r="HQ37" i="87"/>
  <c r="KS37" i="87"/>
  <c r="BW37" i="87"/>
  <c r="EY37" i="87"/>
  <c r="IA37" i="87"/>
  <c r="LC37" i="87"/>
  <c r="CG37" i="87"/>
  <c r="FI37" i="87"/>
  <c r="IK37" i="87"/>
  <c r="BC37" i="87"/>
  <c r="EE37" i="87"/>
  <c r="HG37" i="87"/>
  <c r="Y28" i="87"/>
  <c r="DA28" i="87"/>
  <c r="GC28" i="87"/>
  <c r="JE28" i="87"/>
  <c r="AI28" i="87"/>
  <c r="DK28" i="87"/>
  <c r="GM28" i="87"/>
  <c r="JO28" i="87"/>
  <c r="AS28" i="87"/>
  <c r="DU28" i="87"/>
  <c r="GW28" i="87"/>
  <c r="JY28" i="87"/>
  <c r="CQ28" i="87"/>
  <c r="FS28" i="87"/>
  <c r="Y24" i="87"/>
  <c r="DA24" i="87"/>
  <c r="GC24" i="87"/>
  <c r="JE24" i="87"/>
  <c r="AI24" i="87"/>
  <c r="DK24" i="87"/>
  <c r="GM24" i="87"/>
  <c r="JO24" i="87"/>
  <c r="AS24" i="87"/>
  <c r="DU24" i="87"/>
  <c r="GW24" i="87"/>
  <c r="JY24" i="87"/>
  <c r="CQ24" i="87"/>
  <c r="FS24" i="87"/>
  <c r="AS36" i="87"/>
  <c r="DU36" i="87"/>
  <c r="GW36" i="87"/>
  <c r="JY36" i="87"/>
  <c r="CQ36" i="87"/>
  <c r="FS36" i="87"/>
  <c r="IU36" i="87"/>
  <c r="Y36" i="87"/>
  <c r="DA36" i="87"/>
  <c r="GC36" i="87"/>
  <c r="JE36" i="87"/>
  <c r="AI36" i="87"/>
  <c r="DK36" i="87"/>
  <c r="GM36" i="87"/>
  <c r="EE22" i="87"/>
  <c r="BC26" i="87"/>
  <c r="KI16" i="87"/>
  <c r="O26" i="87"/>
  <c r="LJ16" i="87"/>
  <c r="HQ31" i="87"/>
  <c r="KS26" i="87"/>
  <c r="BW22" i="87"/>
  <c r="IK16" i="87"/>
  <c r="KS16" i="87"/>
  <c r="O31" i="87"/>
  <c r="O22" i="87"/>
  <c r="LJ27" i="87"/>
  <c r="IA31" i="87"/>
  <c r="KI31" i="87"/>
  <c r="LC26" i="87"/>
  <c r="BM22" i="87"/>
  <c r="CG22" i="87"/>
  <c r="CG16" i="87"/>
  <c r="EE16" i="87"/>
  <c r="EO16" i="87"/>
  <c r="EY16" i="87"/>
  <c r="BM31" i="87"/>
  <c r="BW31" i="87"/>
  <c r="CG31" i="87"/>
  <c r="EE31" i="87"/>
  <c r="EO26" i="87"/>
  <c r="EY26" i="87"/>
  <c r="FI26" i="87"/>
  <c r="HG26" i="87"/>
  <c r="HQ22" i="87"/>
  <c r="IA22" i="87"/>
  <c r="IK22" i="87"/>
  <c r="KI22" i="87"/>
  <c r="FI16" i="87"/>
  <c r="BC16" i="87"/>
  <c r="HG16" i="87"/>
  <c r="BM16" i="87"/>
  <c r="HQ16" i="87"/>
  <c r="BW16" i="87"/>
  <c r="IA16" i="87"/>
  <c r="LJ31" i="87"/>
  <c r="LJ26" i="87"/>
  <c r="LJ22" i="87"/>
  <c r="O16" i="87"/>
  <c r="EO31" i="87"/>
  <c r="KS31" i="87"/>
  <c r="EY31" i="87"/>
  <c r="LC31" i="87"/>
  <c r="FI31" i="87"/>
  <c r="BC31" i="87"/>
  <c r="HG31" i="87"/>
  <c r="BM26" i="87"/>
  <c r="HQ26" i="87"/>
  <c r="BW26" i="87"/>
  <c r="IA26" i="87"/>
  <c r="CG26" i="87"/>
  <c r="IK26" i="87"/>
  <c r="EE26" i="87"/>
  <c r="KI26" i="87"/>
  <c r="EO22" i="87"/>
  <c r="KS22" i="87"/>
  <c r="EY22" i="87"/>
  <c r="LC22" i="87"/>
  <c r="FI22" i="87"/>
  <c r="BC22" i="87"/>
  <c r="HG22" i="87"/>
  <c r="AS16" i="87"/>
  <c r="DU16" i="87"/>
  <c r="GW16" i="87"/>
  <c r="JY16" i="87"/>
  <c r="CQ16" i="87"/>
  <c r="FS16" i="87"/>
  <c r="IU16" i="87"/>
  <c r="Y16" i="87"/>
  <c r="DA16" i="87"/>
  <c r="GC16" i="87"/>
  <c r="JE16" i="87"/>
  <c r="AI16" i="87"/>
  <c r="DK16" i="87"/>
  <c r="GM16" i="87"/>
  <c r="L167" i="87"/>
  <c r="L226" i="87" s="1"/>
  <c r="L160" i="87"/>
  <c r="L219" i="87" s="1"/>
  <c r="Y31" i="87"/>
  <c r="DA31" i="87"/>
  <c r="GC31" i="87"/>
  <c r="JE31" i="87"/>
  <c r="AI31" i="87"/>
  <c r="DK31" i="87"/>
  <c r="GM31" i="87"/>
  <c r="JO31" i="87"/>
  <c r="AS31" i="87"/>
  <c r="DU31" i="87"/>
  <c r="GW31" i="87"/>
  <c r="JY31" i="87"/>
  <c r="CQ31" i="87"/>
  <c r="FS31" i="87"/>
  <c r="Y26" i="87"/>
  <c r="DA26" i="87"/>
  <c r="GC26" i="87"/>
  <c r="JE26" i="87"/>
  <c r="AI26" i="87"/>
  <c r="DK26" i="87"/>
  <c r="GM26" i="87"/>
  <c r="JO26" i="87"/>
  <c r="AS26" i="87"/>
  <c r="DU26" i="87"/>
  <c r="GW26" i="87"/>
  <c r="JY26" i="87"/>
  <c r="CQ26" i="87"/>
  <c r="FS26" i="87"/>
  <c r="Y22" i="87"/>
  <c r="DA22" i="87"/>
  <c r="GC22" i="87"/>
  <c r="JE22" i="87"/>
  <c r="AI22" i="87"/>
  <c r="DK22" i="87"/>
  <c r="GM22" i="87"/>
  <c r="JO22" i="87"/>
  <c r="AS22" i="87"/>
  <c r="DU22" i="87"/>
  <c r="GW22" i="87"/>
  <c r="JY22" i="87"/>
  <c r="CQ22" i="87"/>
  <c r="FS22" i="87"/>
  <c r="LJ178" i="87"/>
  <c r="LJ237" i="87" s="1"/>
  <c r="JO90" i="87"/>
  <c r="GM90" i="87"/>
  <c r="DK90" i="87"/>
  <c r="AI90" i="87"/>
  <c r="KS90" i="87"/>
  <c r="JY90" i="87"/>
  <c r="JE90" i="87"/>
  <c r="IK90" i="87"/>
  <c r="HQ90" i="87"/>
  <c r="GW90" i="87"/>
  <c r="GC90" i="87"/>
  <c r="FI90" i="87"/>
  <c r="EO90" i="87"/>
  <c r="DU90" i="87"/>
  <c r="DA90" i="87"/>
  <c r="CG90" i="87"/>
  <c r="BM90" i="87"/>
  <c r="AS90" i="87"/>
  <c r="Y90" i="87"/>
  <c r="LC90" i="87"/>
  <c r="KI90" i="87"/>
  <c r="IU90" i="87"/>
  <c r="IA90" i="87"/>
  <c r="HG90" i="87"/>
  <c r="FS90" i="87"/>
  <c r="EY90" i="87"/>
  <c r="EE90" i="87"/>
  <c r="CQ90" i="87"/>
  <c r="BW90" i="87"/>
  <c r="BC90" i="87"/>
  <c r="KS78" i="87"/>
  <c r="JY78" i="87"/>
  <c r="JE78" i="87"/>
  <c r="IK78" i="87"/>
  <c r="HQ78" i="87"/>
  <c r="GW78" i="87"/>
  <c r="GC78" i="87"/>
  <c r="FI78" i="87"/>
  <c r="EO78" i="87"/>
  <c r="DU78" i="87"/>
  <c r="DA78" i="87"/>
  <c r="CG78" i="87"/>
  <c r="BM78" i="87"/>
  <c r="AS78" i="87"/>
  <c r="Y78" i="87"/>
  <c r="LC78" i="87"/>
  <c r="KI78" i="87"/>
  <c r="JO78" i="87"/>
  <c r="IU78" i="87"/>
  <c r="IA78" i="87"/>
  <c r="HG78" i="87"/>
  <c r="GM78" i="87"/>
  <c r="FS78" i="87"/>
  <c r="EY78" i="87"/>
  <c r="EE78" i="87"/>
  <c r="DK78" i="87"/>
  <c r="CQ78" i="87"/>
  <c r="BW78" i="87"/>
  <c r="BC78" i="87"/>
  <c r="AI78" i="87"/>
  <c r="AS126" i="87"/>
  <c r="CG126" i="87"/>
  <c r="DU126" i="87"/>
  <c r="FI126" i="87"/>
  <c r="GW126" i="87"/>
  <c r="IK126" i="87"/>
  <c r="JY126" i="87"/>
  <c r="Y126" i="87"/>
  <c r="BM126" i="87"/>
  <c r="DA126" i="87"/>
  <c r="EO126" i="87"/>
  <c r="GC126" i="87"/>
  <c r="HQ126" i="87"/>
  <c r="JE126" i="87"/>
  <c r="KS126" i="87"/>
  <c r="IU126" i="87"/>
  <c r="HG126" i="87"/>
  <c r="FS126" i="87"/>
  <c r="EE126" i="87"/>
  <c r="CQ126" i="87"/>
  <c r="BC126" i="87"/>
  <c r="KI126" i="87"/>
  <c r="LC126" i="87"/>
  <c r="JO126" i="87"/>
  <c r="IA126" i="87"/>
  <c r="GM126" i="87"/>
  <c r="EY126" i="87"/>
  <c r="DK126" i="87"/>
  <c r="BW126" i="87"/>
  <c r="AI126" i="87"/>
  <c r="AS39" i="87"/>
  <c r="CG39" i="87"/>
  <c r="DU39" i="87"/>
  <c r="FI39" i="87"/>
  <c r="GW39" i="87"/>
  <c r="IK39" i="87"/>
  <c r="JY39" i="87"/>
  <c r="Y39" i="87"/>
  <c r="BM39" i="87"/>
  <c r="DA39" i="87"/>
  <c r="EO39" i="87"/>
  <c r="GC39" i="87"/>
  <c r="HQ39" i="87"/>
  <c r="JE39" i="87"/>
  <c r="KS39" i="87"/>
  <c r="LC39" i="87"/>
  <c r="JO39" i="87"/>
  <c r="IA39" i="87"/>
  <c r="GM39" i="87"/>
  <c r="EY39" i="87"/>
  <c r="DK39" i="87"/>
  <c r="BW39" i="87"/>
  <c r="AI39" i="87"/>
  <c r="KI39" i="87"/>
  <c r="IU39" i="87"/>
  <c r="HG39" i="87"/>
  <c r="FS39" i="87"/>
  <c r="EE39" i="87"/>
  <c r="CQ39" i="87"/>
  <c r="BC39" i="87"/>
  <c r="AS68" i="87"/>
  <c r="CG68" i="87"/>
  <c r="DU68" i="87"/>
  <c r="FI68" i="87"/>
  <c r="Y68" i="87"/>
  <c r="BM68" i="87"/>
  <c r="DA68" i="87"/>
  <c r="EO68" i="87"/>
  <c r="KS68" i="87"/>
  <c r="JY68" i="87"/>
  <c r="JE68" i="87"/>
  <c r="IK68" i="87"/>
  <c r="HQ68" i="87"/>
  <c r="GW68" i="87"/>
  <c r="GC68" i="87"/>
  <c r="EY68" i="87"/>
  <c r="DK68" i="87"/>
  <c r="BW68" i="87"/>
  <c r="AI68" i="87"/>
  <c r="FS68" i="87"/>
  <c r="EE68" i="87"/>
  <c r="CQ68" i="87"/>
  <c r="BC68" i="87"/>
  <c r="GM68" i="87"/>
  <c r="HG68" i="87"/>
  <c r="IA68" i="87"/>
  <c r="IU68" i="87"/>
  <c r="JO68" i="87"/>
  <c r="KI68" i="87"/>
  <c r="LC68" i="87"/>
  <c r="JY136" i="87"/>
  <c r="IK136" i="87"/>
  <c r="GW136" i="87"/>
  <c r="FI136" i="87"/>
  <c r="DU136" i="87"/>
  <c r="CG136" i="87"/>
  <c r="AS136" i="87"/>
  <c r="JO136" i="87"/>
  <c r="KI136" i="87"/>
  <c r="KS136" i="87"/>
  <c r="JE136" i="87"/>
  <c r="HQ136" i="87"/>
  <c r="GC136" i="87"/>
  <c r="EO136" i="87"/>
  <c r="DA136" i="87"/>
  <c r="BM136" i="87"/>
  <c r="Y136" i="87"/>
  <c r="LC136" i="87"/>
  <c r="IA136" i="87"/>
  <c r="GM136" i="87"/>
  <c r="EY136" i="87"/>
  <c r="DK136" i="87"/>
  <c r="BW136" i="87"/>
  <c r="AI136" i="87"/>
  <c r="IU136" i="87"/>
  <c r="HG136" i="87"/>
  <c r="FS136" i="87"/>
  <c r="EE136" i="87"/>
  <c r="CQ136" i="87"/>
  <c r="BC136" i="87"/>
  <c r="KS110" i="87"/>
  <c r="JE110" i="87"/>
  <c r="HQ110" i="87"/>
  <c r="GC110" i="87"/>
  <c r="EO110" i="87"/>
  <c r="DA110" i="87"/>
  <c r="BM110" i="87"/>
  <c r="Y110" i="87"/>
  <c r="JY110" i="87"/>
  <c r="IK110" i="87"/>
  <c r="GW110" i="87"/>
  <c r="FI110" i="87"/>
  <c r="DU110" i="87"/>
  <c r="CG110" i="87"/>
  <c r="AS110" i="87"/>
  <c r="LC110" i="87"/>
  <c r="KI110" i="87"/>
  <c r="JO110" i="87"/>
  <c r="IU110" i="87"/>
  <c r="IA110" i="87"/>
  <c r="HG110" i="87"/>
  <c r="GM110" i="87"/>
  <c r="FS110" i="87"/>
  <c r="EY110" i="87"/>
  <c r="EE110" i="87"/>
  <c r="DK110" i="87"/>
  <c r="CQ110" i="87"/>
  <c r="BW110" i="87"/>
  <c r="BC110" i="87"/>
  <c r="AI110" i="87"/>
  <c r="KS92" i="87"/>
  <c r="JY92" i="87"/>
  <c r="JE92" i="87"/>
  <c r="IK92" i="87"/>
  <c r="HQ92" i="87"/>
  <c r="GW92" i="87"/>
  <c r="GC92" i="87"/>
  <c r="FI92" i="87"/>
  <c r="EO92" i="87"/>
  <c r="DU92" i="87"/>
  <c r="DA92" i="87"/>
  <c r="CG92" i="87"/>
  <c r="BM92" i="87"/>
  <c r="AS92" i="87"/>
  <c r="Y92" i="87"/>
  <c r="LC92" i="87"/>
  <c r="KI92" i="87"/>
  <c r="JO92" i="87"/>
  <c r="IU92" i="87"/>
  <c r="IA92" i="87"/>
  <c r="HG92" i="87"/>
  <c r="GM92" i="87"/>
  <c r="FS92" i="87"/>
  <c r="EY92" i="87"/>
  <c r="EE92" i="87"/>
  <c r="DK92" i="87"/>
  <c r="CQ92" i="87"/>
  <c r="BW92" i="87"/>
  <c r="BC92" i="87"/>
  <c r="AI92" i="87"/>
  <c r="KS81" i="87"/>
  <c r="JY81" i="87"/>
  <c r="JE81" i="87"/>
  <c r="IK81" i="87"/>
  <c r="HQ81" i="87"/>
  <c r="GW81" i="87"/>
  <c r="GC81" i="87"/>
  <c r="FI81" i="87"/>
  <c r="EO81" i="87"/>
  <c r="DU81" i="87"/>
  <c r="DA81" i="87"/>
  <c r="CG81" i="87"/>
  <c r="BM81" i="87"/>
  <c r="AS81" i="87"/>
  <c r="Y81" i="87"/>
  <c r="LC81" i="87"/>
  <c r="KI81" i="87"/>
  <c r="JO81" i="87"/>
  <c r="IU81" i="87"/>
  <c r="IA81" i="87"/>
  <c r="HG81" i="87"/>
  <c r="GM81" i="87"/>
  <c r="FS81" i="87"/>
  <c r="EY81" i="87"/>
  <c r="EE81" i="87"/>
  <c r="DK81" i="87"/>
  <c r="CQ81" i="87"/>
  <c r="BW81" i="87"/>
  <c r="BC81" i="87"/>
  <c r="AI81" i="87"/>
  <c r="KS94" i="87"/>
  <c r="JY94" i="87"/>
  <c r="JE94" i="87"/>
  <c r="IK94" i="87"/>
  <c r="HQ94" i="87"/>
  <c r="GW94" i="87"/>
  <c r="GC94" i="87"/>
  <c r="FI94" i="87"/>
  <c r="EO94" i="87"/>
  <c r="DU94" i="87"/>
  <c r="DA94" i="87"/>
  <c r="CG94" i="87"/>
  <c r="BM94" i="87"/>
  <c r="AS94" i="87"/>
  <c r="Y94" i="87"/>
  <c r="LC94" i="87"/>
  <c r="KI94" i="87"/>
  <c r="JO94" i="87"/>
  <c r="IU94" i="87"/>
  <c r="IA94" i="87"/>
  <c r="HG94" i="87"/>
  <c r="GM94" i="87"/>
  <c r="FS94" i="87"/>
  <c r="EY94" i="87"/>
  <c r="EE94" i="87"/>
  <c r="DK94" i="87"/>
  <c r="CQ94" i="87"/>
  <c r="BW94" i="87"/>
  <c r="BC94" i="87"/>
  <c r="AI94" i="87"/>
  <c r="LC27" i="87"/>
  <c r="JO27" i="87"/>
  <c r="IA27" i="87"/>
  <c r="GM27" i="87"/>
  <c r="EY27" i="87"/>
  <c r="DK27" i="87"/>
  <c r="BW27" i="87"/>
  <c r="AI27" i="87"/>
  <c r="KS27" i="87"/>
  <c r="JE27" i="87"/>
  <c r="HQ27" i="87"/>
  <c r="GC27" i="87"/>
  <c r="EO27" i="87"/>
  <c r="DA27" i="87"/>
  <c r="BM27" i="87"/>
  <c r="Y27" i="87"/>
  <c r="KI27" i="87"/>
  <c r="IU27" i="87"/>
  <c r="HG27" i="87"/>
  <c r="FS27" i="87"/>
  <c r="EE27" i="87"/>
  <c r="CQ27" i="87"/>
  <c r="BC27" i="87"/>
  <c r="JY27" i="87"/>
  <c r="IK27" i="87"/>
  <c r="GW27" i="87"/>
  <c r="FI27" i="87"/>
  <c r="DU27" i="87"/>
  <c r="CG27" i="87"/>
  <c r="AS27" i="87"/>
  <c r="LJ61" i="87"/>
  <c r="KS61" i="87"/>
  <c r="JE61" i="87"/>
  <c r="HQ61" i="87"/>
  <c r="GC61" i="87"/>
  <c r="EO61" i="87"/>
  <c r="DA61" i="87"/>
  <c r="BM61" i="87"/>
  <c r="Y61" i="87"/>
  <c r="KI61" i="87"/>
  <c r="IU61" i="87"/>
  <c r="HG61" i="87"/>
  <c r="FS61" i="87"/>
  <c r="EE61" i="87"/>
  <c r="CQ61" i="87"/>
  <c r="BC61" i="87"/>
  <c r="JY61" i="87"/>
  <c r="IK61" i="87"/>
  <c r="GW61" i="87"/>
  <c r="FI61" i="87"/>
  <c r="DU61" i="87"/>
  <c r="CG61" i="87"/>
  <c r="AS61" i="87"/>
  <c r="LC61" i="87"/>
  <c r="JO61" i="87"/>
  <c r="IA61" i="87"/>
  <c r="GM61" i="87"/>
  <c r="EY61" i="87"/>
  <c r="DK61" i="87"/>
  <c r="BW61" i="87"/>
  <c r="AI61" i="87"/>
  <c r="LJ67" i="87"/>
  <c r="KS67" i="87"/>
  <c r="JE67" i="87"/>
  <c r="HQ67" i="87"/>
  <c r="GC67" i="87"/>
  <c r="EO67" i="87"/>
  <c r="DA67" i="87"/>
  <c r="BM67" i="87"/>
  <c r="Y67" i="87"/>
  <c r="KI67" i="87"/>
  <c r="IU67" i="87"/>
  <c r="HG67" i="87"/>
  <c r="FS67" i="87"/>
  <c r="EE67" i="87"/>
  <c r="CQ67" i="87"/>
  <c r="BC67" i="87"/>
  <c r="JY67" i="87"/>
  <c r="IK67" i="87"/>
  <c r="GW67" i="87"/>
  <c r="FI67" i="87"/>
  <c r="DU67" i="87"/>
  <c r="CG67" i="87"/>
  <c r="AS67" i="87"/>
  <c r="LC67" i="87"/>
  <c r="JO67" i="87"/>
  <c r="IA67" i="87"/>
  <c r="GM67" i="87"/>
  <c r="EY67" i="87"/>
  <c r="DK67" i="87"/>
  <c r="BW67" i="87"/>
  <c r="AI67" i="87"/>
  <c r="LJ49" i="87"/>
  <c r="KS49" i="87"/>
  <c r="JY49" i="87"/>
  <c r="JE49" i="87"/>
  <c r="IK49" i="87"/>
  <c r="HQ49" i="87"/>
  <c r="GW49" i="87"/>
  <c r="GC49" i="87"/>
  <c r="FI49" i="87"/>
  <c r="EO49" i="87"/>
  <c r="DU49" i="87"/>
  <c r="DA49" i="87"/>
  <c r="CG49" i="87"/>
  <c r="BM49" i="87"/>
  <c r="AS49" i="87"/>
  <c r="Y49" i="87"/>
  <c r="LC49" i="87"/>
  <c r="KI49" i="87"/>
  <c r="JO49" i="87"/>
  <c r="IU49" i="87"/>
  <c r="IA49" i="87"/>
  <c r="HG49" i="87"/>
  <c r="GM49" i="87"/>
  <c r="FS49" i="87"/>
  <c r="EY49" i="87"/>
  <c r="EE49" i="87"/>
  <c r="DK49" i="87"/>
  <c r="CQ49" i="87"/>
  <c r="BW49" i="87"/>
  <c r="BC49" i="87"/>
  <c r="AI49" i="87"/>
  <c r="KI13" i="87"/>
  <c r="IU13" i="87"/>
  <c r="HG13" i="87"/>
  <c r="FS13" i="87"/>
  <c r="EE13" i="87"/>
  <c r="CQ13" i="87"/>
  <c r="BC13" i="87"/>
  <c r="JY13" i="87"/>
  <c r="IK13" i="87"/>
  <c r="GW13" i="87"/>
  <c r="FI13" i="87"/>
  <c r="DU13" i="87"/>
  <c r="CG13" i="87"/>
  <c r="AS13" i="87"/>
  <c r="LC13" i="87"/>
  <c r="JO13" i="87"/>
  <c r="IA13" i="87"/>
  <c r="GM13" i="87"/>
  <c r="EY13" i="87"/>
  <c r="DK13" i="87"/>
  <c r="BW13" i="87"/>
  <c r="AI13" i="87"/>
  <c r="KS13" i="87"/>
  <c r="JE13" i="87"/>
  <c r="HQ13" i="87"/>
  <c r="GC13" i="87"/>
  <c r="EO13" i="87"/>
  <c r="DA13" i="87"/>
  <c r="BM13" i="87"/>
  <c r="Y13" i="87"/>
  <c r="KS104" i="87"/>
  <c r="JE104" i="87"/>
  <c r="HQ104" i="87"/>
  <c r="GC104" i="87"/>
  <c r="FI104" i="87"/>
  <c r="EO104" i="87"/>
  <c r="DU104" i="87"/>
  <c r="DA104" i="87"/>
  <c r="CG104" i="87"/>
  <c r="BM104" i="87"/>
  <c r="AS104" i="87"/>
  <c r="Y104" i="87"/>
  <c r="JY104" i="87"/>
  <c r="IK104" i="87"/>
  <c r="GW104" i="87"/>
  <c r="FS104" i="87"/>
  <c r="EY104" i="87"/>
  <c r="EE104" i="87"/>
  <c r="DK104" i="87"/>
  <c r="CQ104" i="87"/>
  <c r="BW104" i="87"/>
  <c r="BC104" i="87"/>
  <c r="AI104" i="87"/>
  <c r="LC104" i="87"/>
  <c r="KI104" i="87"/>
  <c r="JO104" i="87"/>
  <c r="IU104" i="87"/>
  <c r="IA104" i="87"/>
  <c r="HG104" i="87"/>
  <c r="GM104" i="87"/>
  <c r="KS83" i="87"/>
  <c r="JY83" i="87"/>
  <c r="JE83" i="87"/>
  <c r="IK83" i="87"/>
  <c r="HQ83" i="87"/>
  <c r="GW83" i="87"/>
  <c r="GC83" i="87"/>
  <c r="FI83" i="87"/>
  <c r="EO83" i="87"/>
  <c r="DU83" i="87"/>
  <c r="DA83" i="87"/>
  <c r="CG83" i="87"/>
  <c r="BM83" i="87"/>
  <c r="AS83" i="87"/>
  <c r="Y83" i="87"/>
  <c r="LC83" i="87"/>
  <c r="KI83" i="87"/>
  <c r="JO83" i="87"/>
  <c r="IU83" i="87"/>
  <c r="IA83" i="87"/>
  <c r="HG83" i="87"/>
  <c r="GM83" i="87"/>
  <c r="FS83" i="87"/>
  <c r="EY83" i="87"/>
  <c r="EE83" i="87"/>
  <c r="DK83" i="87"/>
  <c r="CQ83" i="87"/>
  <c r="BW83" i="87"/>
  <c r="BC83" i="87"/>
  <c r="AI83" i="87"/>
  <c r="O97" i="87"/>
  <c r="AS97" i="87"/>
  <c r="BC97" i="87"/>
  <c r="CG97" i="87"/>
  <c r="CQ97" i="87"/>
  <c r="DU97" i="87"/>
  <c r="EE97" i="87"/>
  <c r="FI97" i="87"/>
  <c r="FS97" i="87"/>
  <c r="GW97" i="87"/>
  <c r="HG97" i="87"/>
  <c r="IK97" i="87"/>
  <c r="IU97" i="87"/>
  <c r="JY97" i="87"/>
  <c r="KI97" i="87"/>
  <c r="Y97" i="87"/>
  <c r="AI97" i="87"/>
  <c r="BM97" i="87"/>
  <c r="BW97" i="87"/>
  <c r="DA97" i="87"/>
  <c r="DK97" i="87"/>
  <c r="EO97" i="87"/>
  <c r="EY97" i="87"/>
  <c r="GC97" i="87"/>
  <c r="GM97" i="87"/>
  <c r="HQ97" i="87"/>
  <c r="IA97" i="87"/>
  <c r="JE97" i="87"/>
  <c r="JO97" i="87"/>
  <c r="KS97" i="87"/>
  <c r="LC97" i="87"/>
  <c r="JY150" i="87"/>
  <c r="IK150" i="87"/>
  <c r="GW150" i="87"/>
  <c r="FI150" i="87"/>
  <c r="DU150" i="87"/>
  <c r="CG150" i="87"/>
  <c r="AS150" i="87"/>
  <c r="JO150" i="87"/>
  <c r="KI150" i="87"/>
  <c r="KS150" i="87"/>
  <c r="JE150" i="87"/>
  <c r="HQ150" i="87"/>
  <c r="GC150" i="87"/>
  <c r="EO150" i="87"/>
  <c r="DA150" i="87"/>
  <c r="BM150" i="87"/>
  <c r="Y150" i="87"/>
  <c r="LC150" i="87"/>
  <c r="IA150" i="87"/>
  <c r="GM150" i="87"/>
  <c r="EY150" i="87"/>
  <c r="DK150" i="87"/>
  <c r="BW150" i="87"/>
  <c r="AI150" i="87"/>
  <c r="IU150" i="87"/>
  <c r="HG150" i="87"/>
  <c r="FS150" i="87"/>
  <c r="EE150" i="87"/>
  <c r="CQ150" i="87"/>
  <c r="BC150" i="87"/>
  <c r="KS125" i="87"/>
  <c r="JE125" i="87"/>
  <c r="HQ125" i="87"/>
  <c r="GC125" i="87"/>
  <c r="EO125" i="87"/>
  <c r="DA125" i="87"/>
  <c r="BM125" i="87"/>
  <c r="Y125" i="87"/>
  <c r="JY125" i="87"/>
  <c r="IK125" i="87"/>
  <c r="GW125" i="87"/>
  <c r="FI125" i="87"/>
  <c r="DU125" i="87"/>
  <c r="CG125" i="87"/>
  <c r="AS125" i="87"/>
  <c r="LC125" i="87"/>
  <c r="KI125" i="87"/>
  <c r="JO125" i="87"/>
  <c r="IU125" i="87"/>
  <c r="IA125" i="87"/>
  <c r="HG125" i="87"/>
  <c r="GM125" i="87"/>
  <c r="FS125" i="87"/>
  <c r="EY125" i="87"/>
  <c r="EE125" i="87"/>
  <c r="DK125" i="87"/>
  <c r="CQ125" i="87"/>
  <c r="BW125" i="87"/>
  <c r="BC125" i="87"/>
  <c r="AI125" i="87"/>
  <c r="LC96" i="87"/>
  <c r="KI96" i="87"/>
  <c r="JO96" i="87"/>
  <c r="IU96" i="87"/>
  <c r="IA96" i="87"/>
  <c r="HG96" i="87"/>
  <c r="GM96" i="87"/>
  <c r="FS96" i="87"/>
  <c r="EE96" i="87"/>
  <c r="CQ96" i="87"/>
  <c r="BC96" i="87"/>
  <c r="EO96" i="87"/>
  <c r="DA96" i="87"/>
  <c r="BM96" i="87"/>
  <c r="Y96" i="87"/>
  <c r="KS96" i="87"/>
  <c r="JY96" i="87"/>
  <c r="JE96" i="87"/>
  <c r="IK96" i="87"/>
  <c r="HQ96" i="87"/>
  <c r="GW96" i="87"/>
  <c r="GC96" i="87"/>
  <c r="EY96" i="87"/>
  <c r="DK96" i="87"/>
  <c r="BW96" i="87"/>
  <c r="AI96" i="87"/>
  <c r="FI96" i="87"/>
  <c r="DU96" i="87"/>
  <c r="CG96" i="87"/>
  <c r="AS96" i="87"/>
  <c r="AS178" i="87"/>
  <c r="CG178" i="87"/>
  <c r="DU178" i="87"/>
  <c r="FI178" i="87"/>
  <c r="GW178" i="87"/>
  <c r="IK178" i="87"/>
  <c r="JY178" i="87"/>
  <c r="AI178" i="87"/>
  <c r="BW178" i="87"/>
  <c r="DK178" i="87"/>
  <c r="EY178" i="87"/>
  <c r="GM178" i="87"/>
  <c r="IA178" i="87"/>
  <c r="JO178" i="87"/>
  <c r="LC178" i="87"/>
  <c r="Y178" i="87"/>
  <c r="BM178" i="87"/>
  <c r="DA178" i="87"/>
  <c r="EO178" i="87"/>
  <c r="GC178" i="87"/>
  <c r="HQ178" i="87"/>
  <c r="JE178" i="87"/>
  <c r="KS178" i="87"/>
  <c r="BC178" i="87"/>
  <c r="CQ178" i="87"/>
  <c r="EE178" i="87"/>
  <c r="FS178" i="87"/>
  <c r="HG178" i="87"/>
  <c r="IU178" i="87"/>
  <c r="KI178" i="87"/>
  <c r="KI15" i="87"/>
  <c r="IU15" i="87"/>
  <c r="HG15" i="87"/>
  <c r="FS15" i="87"/>
  <c r="EE15" i="87"/>
  <c r="CQ15" i="87"/>
  <c r="BC15" i="87"/>
  <c r="JY15" i="87"/>
  <c r="IK15" i="87"/>
  <c r="GW15" i="87"/>
  <c r="FI15" i="87"/>
  <c r="DU15" i="87"/>
  <c r="CG15" i="87"/>
  <c r="AS15" i="87"/>
  <c r="LC15" i="87"/>
  <c r="JO15" i="87"/>
  <c r="IA15" i="87"/>
  <c r="GM15" i="87"/>
  <c r="EY15" i="87"/>
  <c r="DK15" i="87"/>
  <c r="BW15" i="87"/>
  <c r="AI15" i="87"/>
  <c r="KS15" i="87"/>
  <c r="JE15" i="87"/>
  <c r="HQ15" i="87"/>
  <c r="GC15" i="87"/>
  <c r="EO15" i="87"/>
  <c r="DA15" i="87"/>
  <c r="BM15" i="87"/>
  <c r="Y15" i="87"/>
  <c r="LJ18" i="87"/>
  <c r="LC18" i="87"/>
  <c r="JO18" i="87"/>
  <c r="IA18" i="87"/>
  <c r="GM18" i="87"/>
  <c r="EY18" i="87"/>
  <c r="DK18" i="87"/>
  <c r="BW18" i="87"/>
  <c r="AI18" i="87"/>
  <c r="KS18" i="87"/>
  <c r="JE18" i="87"/>
  <c r="HQ18" i="87"/>
  <c r="GC18" i="87"/>
  <c r="EO18" i="87"/>
  <c r="DA18" i="87"/>
  <c r="BM18" i="87"/>
  <c r="Y18" i="87"/>
  <c r="KI18" i="87"/>
  <c r="IU18" i="87"/>
  <c r="HG18" i="87"/>
  <c r="FS18" i="87"/>
  <c r="EE18" i="87"/>
  <c r="CQ18" i="87"/>
  <c r="BC18" i="87"/>
  <c r="JY18" i="87"/>
  <c r="IK18" i="87"/>
  <c r="GW18" i="87"/>
  <c r="FI18" i="87"/>
  <c r="DU18" i="87"/>
  <c r="CG18" i="87"/>
  <c r="AS18" i="87"/>
  <c r="LJ52" i="87"/>
  <c r="Y52" i="87"/>
  <c r="AS52" i="87"/>
  <c r="BM52" i="87"/>
  <c r="CG52" i="87"/>
  <c r="DA52" i="87"/>
  <c r="DU52" i="87"/>
  <c r="EO52" i="87"/>
  <c r="FI52" i="87"/>
  <c r="GC52" i="87"/>
  <c r="GW52" i="87"/>
  <c r="HQ52" i="87"/>
  <c r="IK52" i="87"/>
  <c r="JE52" i="87"/>
  <c r="JY52" i="87"/>
  <c r="KS52" i="87"/>
  <c r="AI52" i="87"/>
  <c r="BC52" i="87"/>
  <c r="BW52" i="87"/>
  <c r="CQ52" i="87"/>
  <c r="DK52" i="87"/>
  <c r="EE52" i="87"/>
  <c r="EY52" i="87"/>
  <c r="FS52" i="87"/>
  <c r="GM52" i="87"/>
  <c r="HG52" i="87"/>
  <c r="IA52" i="87"/>
  <c r="IU52" i="87"/>
  <c r="JO52" i="87"/>
  <c r="KI52" i="87"/>
  <c r="LC52" i="87"/>
  <c r="LJ152" i="87"/>
  <c r="JY152" i="87"/>
  <c r="IK152" i="87"/>
  <c r="GW152" i="87"/>
  <c r="FI152" i="87"/>
  <c r="DU152" i="87"/>
  <c r="CG152" i="87"/>
  <c r="AS152" i="87"/>
  <c r="JO152" i="87"/>
  <c r="KI152" i="87"/>
  <c r="KS152" i="87"/>
  <c r="JE152" i="87"/>
  <c r="HQ152" i="87"/>
  <c r="GC152" i="87"/>
  <c r="EO152" i="87"/>
  <c r="DA152" i="87"/>
  <c r="BM152" i="87"/>
  <c r="Y152" i="87"/>
  <c r="LC152" i="87"/>
  <c r="IA152" i="87"/>
  <c r="GM152" i="87"/>
  <c r="EY152" i="87"/>
  <c r="DK152" i="87"/>
  <c r="BW152" i="87"/>
  <c r="AI152" i="87"/>
  <c r="IU152" i="87"/>
  <c r="HG152" i="87"/>
  <c r="FS152" i="87"/>
  <c r="EE152" i="87"/>
  <c r="CQ152" i="87"/>
  <c r="BC152" i="87"/>
  <c r="L176" i="87"/>
  <c r="L235" i="87" s="1"/>
  <c r="N214" i="87"/>
  <c r="O208" i="87"/>
  <c r="O207" i="87"/>
  <c r="O195" i="87"/>
  <c r="O198" i="87"/>
  <c r="LF186" i="87"/>
  <c r="O49" i="87"/>
  <c r="O18" i="87"/>
  <c r="L161" i="87"/>
  <c r="L220" i="87" s="1"/>
  <c r="L181" i="87"/>
  <c r="L240" i="87" s="1"/>
  <c r="O152" i="87"/>
  <c r="L163" i="87"/>
  <c r="L222" i="87" s="1"/>
  <c r="O94" i="87"/>
  <c r="L173" i="87"/>
  <c r="L232" i="87" s="1"/>
  <c r="L182" i="87"/>
  <c r="L241" i="87" s="1"/>
  <c r="O52" i="87"/>
  <c r="O15" i="87"/>
  <c r="LJ15" i="87"/>
  <c r="O178" i="87"/>
  <c r="LI168" i="87"/>
  <c r="LI227" i="87" s="1"/>
  <c r="LI183" i="87"/>
  <c r="LI242" i="87" s="1"/>
  <c r="LI179" i="87"/>
  <c r="LI238" i="87" s="1"/>
  <c r="LI165" i="87"/>
  <c r="LI224" i="87" s="1"/>
  <c r="O68" i="87"/>
  <c r="L172" i="87"/>
  <c r="L231" i="87" s="1"/>
  <c r="L180" i="87"/>
  <c r="L239" i="87" s="1"/>
  <c r="L171" i="87"/>
  <c r="L230" i="87" s="1"/>
  <c r="LF69" i="87"/>
  <c r="L169" i="87"/>
  <c r="L228" i="87" s="1"/>
  <c r="LJ13" i="87"/>
  <c r="O13" i="87"/>
  <c r="LJ90" i="87"/>
  <c r="O90" i="87"/>
  <c r="LJ83" i="87"/>
  <c r="O83" i="87"/>
  <c r="LG129" i="87"/>
  <c r="LF127" i="87"/>
  <c r="LJ150" i="87"/>
  <c r="O150" i="87"/>
  <c r="LJ96" i="87"/>
  <c r="O96" i="87"/>
  <c r="L155" i="87"/>
  <c r="N39" i="87"/>
  <c r="LI177" i="87"/>
  <c r="LI236" i="87" s="1"/>
  <c r="LI170" i="87"/>
  <c r="LI229" i="87" s="1"/>
  <c r="LJ104" i="87"/>
  <c r="O104" i="87"/>
  <c r="LJ78" i="87"/>
  <c r="O78" i="87"/>
  <c r="LJ126" i="87"/>
  <c r="O126" i="87"/>
  <c r="LJ97" i="87"/>
  <c r="N68" i="87"/>
  <c r="LG42" i="87"/>
  <c r="LF40" i="87"/>
  <c r="LJ39" i="87"/>
  <c r="LI155" i="87"/>
  <c r="LI214" i="87" s="1"/>
  <c r="LJ214" i="87" s="1"/>
  <c r="LJ68" i="87"/>
  <c r="L100" i="87"/>
  <c r="L98" i="87" s="1"/>
  <c r="LJ136" i="87"/>
  <c r="O136" i="87"/>
  <c r="LJ125" i="87"/>
  <c r="O125" i="87"/>
  <c r="LJ110" i="87"/>
  <c r="O110" i="87"/>
  <c r="LJ92" i="87"/>
  <c r="O92" i="87"/>
  <c r="LF98" i="87"/>
  <c r="LG100" i="87"/>
  <c r="LJ81" i="87"/>
  <c r="O81" i="87"/>
  <c r="N97" i="87"/>
  <c r="L42" i="87"/>
  <c r="K158" i="87"/>
  <c r="K217" i="87" s="1"/>
  <c r="L71" i="87"/>
  <c r="L69" i="87" s="1"/>
  <c r="L127" i="87"/>
  <c r="O39" i="87"/>
  <c r="BV1280" i="191" l="1"/>
  <c r="NY1280" i="191"/>
  <c r="HM1280" i="191"/>
  <c r="MI1280" i="191"/>
  <c r="BV1296" i="191"/>
  <c r="NY1296" i="191"/>
  <c r="HM1296" i="191"/>
  <c r="ND1280" i="191"/>
  <c r="TP1296" i="191"/>
  <c r="AF1280" i="191"/>
  <c r="BM1292" i="191"/>
  <c r="BS1292" i="191" s="1"/>
  <c r="BM1290" i="191"/>
  <c r="BS1290" i="191" s="1"/>
  <c r="WA1296" i="191"/>
  <c r="AF1296" i="191"/>
  <c r="AF1312" i="191" s="1"/>
  <c r="AF1313" i="191" s="1"/>
  <c r="MU1281" i="191"/>
  <c r="NA1281" i="191" s="1"/>
  <c r="MU1289" i="191"/>
  <c r="NA1289" i="191" s="1"/>
  <c r="ZG1296" i="191"/>
  <c r="SL1290" i="191"/>
  <c r="SR1290" i="191" s="1"/>
  <c r="SL1284" i="191"/>
  <c r="SR1284" i="191" s="1"/>
  <c r="JX1280" i="191"/>
  <c r="CQ1280" i="191"/>
  <c r="VF1280" i="191"/>
  <c r="CQ1296" i="191"/>
  <c r="ND1296" i="191"/>
  <c r="ND1312" i="191" s="1"/>
  <c r="ND1313" i="191" s="1"/>
  <c r="BV1312" i="191"/>
  <c r="BV1313" i="191" s="1"/>
  <c r="TP1280" i="191"/>
  <c r="GR1280" i="191"/>
  <c r="SU1296" i="191"/>
  <c r="GR1296" i="191"/>
  <c r="WV1280" i="191"/>
  <c r="UK1296" i="191"/>
  <c r="NP1282" i="191"/>
  <c r="NV1282" i="191" s="1"/>
  <c r="XH1281" i="191"/>
  <c r="XN1281" i="191" s="1"/>
  <c r="XH1291" i="191"/>
  <c r="XN1291" i="191" s="1"/>
  <c r="NP1294" i="191"/>
  <c r="NV1294" i="191" s="1"/>
  <c r="QV1292" i="191"/>
  <c r="RB1292" i="191" s="1"/>
  <c r="JC1296" i="191"/>
  <c r="NP1291" i="191"/>
  <c r="NV1291" i="191" s="1"/>
  <c r="NP1289" i="191"/>
  <c r="NV1289" i="191" s="1"/>
  <c r="RZ1280" i="191"/>
  <c r="MU1283" i="191"/>
  <c r="NA1283" i="191" s="1"/>
  <c r="IT1293" i="191"/>
  <c r="IZ1293" i="191" s="1"/>
  <c r="VF1296" i="191"/>
  <c r="XQ1296" i="191"/>
  <c r="RE1280" i="191"/>
  <c r="BA1296" i="191"/>
  <c r="JC1280" i="191"/>
  <c r="LN1296" i="191"/>
  <c r="WV1296" i="191"/>
  <c r="DL1280" i="191"/>
  <c r="EG1296" i="191"/>
  <c r="QJ1296" i="191"/>
  <c r="WA1280" i="191"/>
  <c r="FB1280" i="191"/>
  <c r="DL1296" i="191"/>
  <c r="UK1280" i="191"/>
  <c r="OT1280" i="191"/>
  <c r="PO1280" i="191"/>
  <c r="IH1280" i="191"/>
  <c r="IH1296" i="191"/>
  <c r="OT1296" i="191"/>
  <c r="BA1280" i="191"/>
  <c r="ZG1280" i="191"/>
  <c r="QJ1280" i="191"/>
  <c r="FB1296" i="191"/>
  <c r="RZ1296" i="191"/>
  <c r="NY1312" i="191"/>
  <c r="NY1313" i="191" s="1"/>
  <c r="WM1289" i="191"/>
  <c r="WS1289" i="191" s="1"/>
  <c r="WM1284" i="191"/>
  <c r="WS1284" i="191" s="1"/>
  <c r="YL1296" i="191"/>
  <c r="WM1285" i="191"/>
  <c r="WS1285" i="191" s="1"/>
  <c r="QV1289" i="191"/>
  <c r="RB1289" i="191" s="1"/>
  <c r="WM1294" i="191"/>
  <c r="WS1294" i="191" s="1"/>
  <c r="DC1294" i="191"/>
  <c r="DI1294" i="191" s="1"/>
  <c r="RQ1290" i="191"/>
  <c r="RW1290" i="191" s="1"/>
  <c r="JO1291" i="191"/>
  <c r="JU1291" i="191" s="1"/>
  <c r="QA1288" i="191"/>
  <c r="QG1288" i="191" s="1"/>
  <c r="GI1289" i="191"/>
  <c r="GO1289" i="191" s="1"/>
  <c r="WM1290" i="191"/>
  <c r="WS1290" i="191" s="1"/>
  <c r="WM1288" i="191"/>
  <c r="WS1288" i="191" s="1"/>
  <c r="WM1282" i="191"/>
  <c r="WS1282" i="191" s="1"/>
  <c r="ES1283" i="191"/>
  <c r="EY1283" i="191" s="1"/>
  <c r="DC1285" i="191"/>
  <c r="DI1285" i="191" s="1"/>
  <c r="FW1296" i="191"/>
  <c r="EG1280" i="191"/>
  <c r="RE1296" i="191"/>
  <c r="KS1280" i="191"/>
  <c r="FW1280" i="191"/>
  <c r="FW1312" i="191" s="1"/>
  <c r="FW1313" i="191" s="1"/>
  <c r="LE1283" i="191"/>
  <c r="LK1283" i="191" s="1"/>
  <c r="LE1290" i="191"/>
  <c r="LK1290" i="191" s="1"/>
  <c r="LE1288" i="191"/>
  <c r="LK1288" i="191" s="1"/>
  <c r="LZ1281" i="191"/>
  <c r="MF1281" i="191" s="1"/>
  <c r="LZ1282" i="191"/>
  <c r="MF1282" i="191" s="1"/>
  <c r="LZ1284" i="191"/>
  <c r="MF1284" i="191" s="1"/>
  <c r="LZ1290" i="191"/>
  <c r="MF1290" i="191" s="1"/>
  <c r="LZ1289" i="191"/>
  <c r="MF1289" i="191" s="1"/>
  <c r="LZ1292" i="191"/>
  <c r="MF1292" i="191" s="1"/>
  <c r="LZ1283" i="191"/>
  <c r="MF1283" i="191" s="1"/>
  <c r="LZ1293" i="191"/>
  <c r="MF1293" i="191" s="1"/>
  <c r="KJ1281" i="191"/>
  <c r="KP1281" i="191" s="1"/>
  <c r="KJ1284" i="191"/>
  <c r="KP1284" i="191" s="1"/>
  <c r="KJ1290" i="191"/>
  <c r="KP1290" i="191" s="1"/>
  <c r="KJ1289" i="191"/>
  <c r="KP1289" i="191" s="1"/>
  <c r="KJ1292" i="191"/>
  <c r="KP1292" i="191" s="1"/>
  <c r="KJ1283" i="191"/>
  <c r="KP1283" i="191" s="1"/>
  <c r="KJ1293" i="191"/>
  <c r="KP1293" i="191" s="1"/>
  <c r="KJ1282" i="191"/>
  <c r="KP1282" i="191" s="1"/>
  <c r="UW1281" i="191"/>
  <c r="VC1281" i="191" s="1"/>
  <c r="UW1287" i="191"/>
  <c r="VC1287" i="191" s="1"/>
  <c r="UW1290" i="191"/>
  <c r="VC1290" i="191" s="1"/>
  <c r="UW1286" i="191"/>
  <c r="VC1286" i="191" s="1"/>
  <c r="YX1281" i="191"/>
  <c r="ZD1281" i="191" s="1"/>
  <c r="GI1290" i="191"/>
  <c r="GO1290" i="191" s="1"/>
  <c r="IT1290" i="191"/>
  <c r="IZ1290" i="191" s="1"/>
  <c r="XH1286" i="191"/>
  <c r="XN1286" i="191" s="1"/>
  <c r="GI1283" i="191"/>
  <c r="GO1283" i="191" s="1"/>
  <c r="IT1286" i="191"/>
  <c r="IZ1286" i="191" s="1"/>
  <c r="JO1292" i="191"/>
  <c r="JU1292" i="191" s="1"/>
  <c r="XH1294" i="191"/>
  <c r="XN1294" i="191" s="1"/>
  <c r="FN1293" i="191"/>
  <c r="FT1293" i="191" s="1"/>
  <c r="GH1294" i="191"/>
  <c r="GN1294" i="191" s="1"/>
  <c r="JO1283" i="191"/>
  <c r="JU1283" i="191" s="1"/>
  <c r="UB1281" i="191"/>
  <c r="UH1281" i="191" s="1"/>
  <c r="UB1292" i="191"/>
  <c r="UH1292" i="191" s="1"/>
  <c r="UB1288" i="191"/>
  <c r="UH1288" i="191" s="1"/>
  <c r="UB1287" i="191"/>
  <c r="UH1287" i="191" s="1"/>
  <c r="UB1285" i="191"/>
  <c r="UH1285" i="191" s="1"/>
  <c r="UB1283" i="191"/>
  <c r="UH1283" i="191" s="1"/>
  <c r="UB1284" i="191"/>
  <c r="UH1284" i="191" s="1"/>
  <c r="UB1293" i="191"/>
  <c r="UH1293" i="191" s="1"/>
  <c r="UB1290" i="191"/>
  <c r="UH1290" i="191" s="1"/>
  <c r="UB1286" i="191"/>
  <c r="UH1286" i="191" s="1"/>
  <c r="UB1294" i="191"/>
  <c r="UH1294" i="191" s="1"/>
  <c r="UB1291" i="191"/>
  <c r="UH1291" i="191" s="1"/>
  <c r="UB1289" i="191"/>
  <c r="UH1289" i="191" s="1"/>
  <c r="UB1282" i="191"/>
  <c r="UH1282" i="191" s="1"/>
  <c r="LY1281" i="191"/>
  <c r="ME1281" i="191" s="1"/>
  <c r="LY1287" i="191"/>
  <c r="ME1287" i="191" s="1"/>
  <c r="GI1284" i="191"/>
  <c r="GO1284" i="191" s="1"/>
  <c r="UW1283" i="191"/>
  <c r="VC1283" i="191" s="1"/>
  <c r="IT1282" i="191"/>
  <c r="IZ1282" i="191" s="1"/>
  <c r="IT1291" i="191"/>
  <c r="IZ1291" i="191" s="1"/>
  <c r="WM1291" i="191"/>
  <c r="WS1291" i="191" s="1"/>
  <c r="WM1292" i="191"/>
  <c r="WS1292" i="191" s="1"/>
  <c r="WM1283" i="191"/>
  <c r="WS1283" i="191" s="1"/>
  <c r="JO1282" i="191"/>
  <c r="JU1282" i="191" s="1"/>
  <c r="XH1282" i="191"/>
  <c r="XN1282" i="191" s="1"/>
  <c r="KJ1285" i="191"/>
  <c r="KP1285" i="191" s="1"/>
  <c r="KJ1287" i="191"/>
  <c r="KP1287" i="191" s="1"/>
  <c r="KJ1288" i="191"/>
  <c r="KP1288" i="191" s="1"/>
  <c r="RQ1288" i="191"/>
  <c r="RW1288" i="191" s="1"/>
  <c r="YX1284" i="191"/>
  <c r="ZD1284" i="191" s="1"/>
  <c r="LZ1291" i="191"/>
  <c r="MF1291" i="191" s="1"/>
  <c r="LZ1294" i="191"/>
  <c r="MF1294" i="191" s="1"/>
  <c r="LZ1286" i="191"/>
  <c r="MF1286" i="191" s="1"/>
  <c r="GI1288" i="191"/>
  <c r="GO1288" i="191" s="1"/>
  <c r="GI1286" i="191"/>
  <c r="GO1286" i="191" s="1"/>
  <c r="UW1292" i="191"/>
  <c r="VC1292" i="191" s="1"/>
  <c r="IT1289" i="191"/>
  <c r="IZ1289" i="191" s="1"/>
  <c r="IT1294" i="191"/>
  <c r="IZ1294" i="191" s="1"/>
  <c r="WM1286" i="191"/>
  <c r="WS1286" i="191" s="1"/>
  <c r="WM1287" i="191"/>
  <c r="WS1287" i="191" s="1"/>
  <c r="WM1293" i="191"/>
  <c r="WS1293" i="191" s="1"/>
  <c r="JO1294" i="191"/>
  <c r="JU1294" i="191" s="1"/>
  <c r="JO1285" i="191"/>
  <c r="JU1285" i="191" s="1"/>
  <c r="XH1292" i="191"/>
  <c r="XN1292" i="191" s="1"/>
  <c r="XH1289" i="191"/>
  <c r="XN1289" i="191" s="1"/>
  <c r="KJ1291" i="191"/>
  <c r="KP1291" i="191" s="1"/>
  <c r="KJ1294" i="191"/>
  <c r="KP1294" i="191" s="1"/>
  <c r="KJ1286" i="191"/>
  <c r="KP1286" i="191" s="1"/>
  <c r="DX1287" i="191"/>
  <c r="ED1287" i="191" s="1"/>
  <c r="LZ1285" i="191"/>
  <c r="MF1285" i="191" s="1"/>
  <c r="LZ1287" i="191"/>
  <c r="MF1287" i="191" s="1"/>
  <c r="LZ1288" i="191"/>
  <c r="MF1288" i="191" s="1"/>
  <c r="MU1290" i="191"/>
  <c r="NA1290" i="191" s="1"/>
  <c r="NP1287" i="191"/>
  <c r="NV1287" i="191" s="1"/>
  <c r="NP1288" i="191"/>
  <c r="NV1288" i="191" s="1"/>
  <c r="NP1292" i="191"/>
  <c r="NV1292" i="191" s="1"/>
  <c r="BM1283" i="191"/>
  <c r="BS1283" i="191" s="1"/>
  <c r="QA1290" i="191"/>
  <c r="QG1290" i="191" s="1"/>
  <c r="DC1290" i="191"/>
  <c r="DI1290" i="191" s="1"/>
  <c r="DC1288" i="191"/>
  <c r="DI1288" i="191" s="1"/>
  <c r="QV1290" i="191"/>
  <c r="RB1290" i="191" s="1"/>
  <c r="QV1284" i="191"/>
  <c r="RB1284" i="191" s="1"/>
  <c r="YC1287" i="191"/>
  <c r="YI1287" i="191" s="1"/>
  <c r="LE1294" i="191"/>
  <c r="LK1294" i="191" s="1"/>
  <c r="ES1291" i="191"/>
  <c r="EY1291" i="191" s="1"/>
  <c r="SL1282" i="191"/>
  <c r="SR1282" i="191" s="1"/>
  <c r="LY1290" i="191"/>
  <c r="ME1290" i="191" s="1"/>
  <c r="DX1285" i="191"/>
  <c r="ED1285" i="191" s="1"/>
  <c r="RQ1289" i="191"/>
  <c r="RW1289" i="191" s="1"/>
  <c r="MT1294" i="191"/>
  <c r="MZ1294" i="191" s="1"/>
  <c r="GH1293" i="191"/>
  <c r="GN1293" i="191" s="1"/>
  <c r="DX1282" i="191"/>
  <c r="ED1282" i="191" s="1"/>
  <c r="RQ1284" i="191"/>
  <c r="RW1284" i="191" s="1"/>
  <c r="RQ1287" i="191"/>
  <c r="RW1287" i="191" s="1"/>
  <c r="DX1292" i="191"/>
  <c r="ED1292" i="191" s="1"/>
  <c r="DX1288" i="191"/>
  <c r="ED1288" i="191" s="1"/>
  <c r="RQ1286" i="191"/>
  <c r="RW1286" i="191" s="1"/>
  <c r="DX1289" i="191"/>
  <c r="ED1289" i="191" s="1"/>
  <c r="PZ1285" i="191"/>
  <c r="QF1285" i="191" s="1"/>
  <c r="DX1291" i="191"/>
  <c r="ED1291" i="191" s="1"/>
  <c r="DX1294" i="191"/>
  <c r="ED1294" i="191" s="1"/>
  <c r="DX1286" i="191"/>
  <c r="ED1286" i="191" s="1"/>
  <c r="PZ1287" i="191"/>
  <c r="QF1287" i="191" s="1"/>
  <c r="DX1290" i="191"/>
  <c r="ED1290" i="191" s="1"/>
  <c r="DX1293" i="191"/>
  <c r="ED1293" i="191" s="1"/>
  <c r="DX1284" i="191"/>
  <c r="ED1284" i="191" s="1"/>
  <c r="DX1283" i="191"/>
  <c r="ED1283" i="191" s="1"/>
  <c r="MT1290" i="191"/>
  <c r="MZ1290" i="191" s="1"/>
  <c r="SK1283" i="191"/>
  <c r="SQ1283" i="191" s="1"/>
  <c r="WL1293" i="191"/>
  <c r="WR1293" i="191" s="1"/>
  <c r="DW1288" i="191"/>
  <c r="EC1288" i="191" s="1"/>
  <c r="GI1287" i="191"/>
  <c r="GO1287" i="191" s="1"/>
  <c r="GI1293" i="191"/>
  <c r="GO1293" i="191" s="1"/>
  <c r="GI1294" i="191"/>
  <c r="GO1294" i="191" s="1"/>
  <c r="NP1286" i="191"/>
  <c r="NV1286" i="191" s="1"/>
  <c r="NP1290" i="191"/>
  <c r="NV1290" i="191" s="1"/>
  <c r="NP1293" i="191"/>
  <c r="NV1293" i="191" s="1"/>
  <c r="IT1284" i="191"/>
  <c r="IZ1284" i="191" s="1"/>
  <c r="IT1283" i="191"/>
  <c r="IZ1283" i="191" s="1"/>
  <c r="IT1285" i="191"/>
  <c r="IZ1285" i="191" s="1"/>
  <c r="RQ1281" i="191"/>
  <c r="RW1281" i="191" s="1"/>
  <c r="JO1290" i="191"/>
  <c r="JU1290" i="191" s="1"/>
  <c r="JO1289" i="191"/>
  <c r="JU1289" i="191" s="1"/>
  <c r="JO1288" i="191"/>
  <c r="JU1288" i="191" s="1"/>
  <c r="JO1284" i="191"/>
  <c r="JU1284" i="191" s="1"/>
  <c r="DC1282" i="191"/>
  <c r="DI1282" i="191" s="1"/>
  <c r="XH1290" i="191"/>
  <c r="XN1290" i="191" s="1"/>
  <c r="XH1293" i="191"/>
  <c r="XN1293" i="191" s="1"/>
  <c r="XH1284" i="191"/>
  <c r="XN1284" i="191" s="1"/>
  <c r="XH1283" i="191"/>
  <c r="XN1283" i="191" s="1"/>
  <c r="QV1282" i="191"/>
  <c r="RB1282" i="191" s="1"/>
  <c r="RQ1293" i="191"/>
  <c r="RW1293" i="191" s="1"/>
  <c r="RQ1294" i="191"/>
  <c r="RW1294" i="191" s="1"/>
  <c r="RQ1282" i="191"/>
  <c r="RW1282" i="191" s="1"/>
  <c r="LE1293" i="191"/>
  <c r="LK1293" i="191" s="1"/>
  <c r="LE1282" i="191"/>
  <c r="LK1282" i="191" s="1"/>
  <c r="YX1289" i="191"/>
  <c r="ZD1289" i="191" s="1"/>
  <c r="SL1293" i="191"/>
  <c r="SR1293" i="191" s="1"/>
  <c r="SL1283" i="191"/>
  <c r="SR1283" i="191" s="1"/>
  <c r="WL1283" i="191"/>
  <c r="WR1283" i="191" s="1"/>
  <c r="PZ1286" i="191"/>
  <c r="QF1286" i="191" s="1"/>
  <c r="LE1281" i="191"/>
  <c r="LK1281" i="191" s="1"/>
  <c r="GI1282" i="191"/>
  <c r="GO1282" i="191" s="1"/>
  <c r="GI1285" i="191"/>
  <c r="GO1285" i="191" s="1"/>
  <c r="GI1291" i="191"/>
  <c r="GO1291" i="191" s="1"/>
  <c r="GI1292" i="191"/>
  <c r="GO1292" i="191" s="1"/>
  <c r="NP1284" i="191"/>
  <c r="NV1284" i="191" s="1"/>
  <c r="NP1283" i="191"/>
  <c r="NV1283" i="191" s="1"/>
  <c r="NP1285" i="191"/>
  <c r="NV1285" i="191" s="1"/>
  <c r="IT1287" i="191"/>
  <c r="IZ1287" i="191" s="1"/>
  <c r="IT1288" i="191"/>
  <c r="IZ1288" i="191" s="1"/>
  <c r="IT1292" i="191"/>
  <c r="IZ1292" i="191" s="1"/>
  <c r="JO1286" i="191"/>
  <c r="JU1286" i="191" s="1"/>
  <c r="JO1287" i="191"/>
  <c r="JU1287" i="191" s="1"/>
  <c r="JO1293" i="191"/>
  <c r="JU1293" i="191" s="1"/>
  <c r="DC1289" i="191"/>
  <c r="DI1289" i="191" s="1"/>
  <c r="DC1284" i="191"/>
  <c r="DI1284" i="191" s="1"/>
  <c r="XH1285" i="191"/>
  <c r="XN1285" i="191" s="1"/>
  <c r="XH1287" i="191"/>
  <c r="XN1287" i="191" s="1"/>
  <c r="XH1288" i="191"/>
  <c r="XN1288" i="191" s="1"/>
  <c r="QV1293" i="191"/>
  <c r="RB1293" i="191" s="1"/>
  <c r="QV1283" i="191"/>
  <c r="RB1283" i="191" s="1"/>
  <c r="RQ1285" i="191"/>
  <c r="RW1285" i="191" s="1"/>
  <c r="RQ1291" i="191"/>
  <c r="RW1291" i="191" s="1"/>
  <c r="RQ1292" i="191"/>
  <c r="RW1292" i="191" s="1"/>
  <c r="LE1289" i="191"/>
  <c r="LK1289" i="191" s="1"/>
  <c r="SL1292" i="191"/>
  <c r="SR1292" i="191" s="1"/>
  <c r="SL1289" i="191"/>
  <c r="SR1289" i="191" s="1"/>
  <c r="PO1296" i="191"/>
  <c r="YW1281" i="191"/>
  <c r="ZC1281" i="191" s="1"/>
  <c r="YW1291" i="191"/>
  <c r="ZC1291" i="191" s="1"/>
  <c r="SK1285" i="191"/>
  <c r="SQ1285" i="191" s="1"/>
  <c r="MU1282" i="191"/>
  <c r="NA1282" i="191" s="1"/>
  <c r="MU1285" i="191"/>
  <c r="NA1285" i="191" s="1"/>
  <c r="MU1291" i="191"/>
  <c r="NA1291" i="191" s="1"/>
  <c r="MU1292" i="191"/>
  <c r="NA1292" i="191" s="1"/>
  <c r="BM1282" i="191"/>
  <c r="BS1282" i="191" s="1"/>
  <c r="BM1285" i="191"/>
  <c r="BS1285" i="191" s="1"/>
  <c r="BM1291" i="191"/>
  <c r="BS1291" i="191" s="1"/>
  <c r="QA1294" i="191"/>
  <c r="QG1294" i="191" s="1"/>
  <c r="QA1285" i="191"/>
  <c r="QG1285" i="191" s="1"/>
  <c r="YC1291" i="191"/>
  <c r="YI1291" i="191" s="1"/>
  <c r="YC1286" i="191"/>
  <c r="YI1286" i="191" s="1"/>
  <c r="ES1286" i="191"/>
  <c r="EY1286" i="191" s="1"/>
  <c r="FN1284" i="191"/>
  <c r="FT1284" i="191" s="1"/>
  <c r="TF1288" i="191"/>
  <c r="TL1288" i="191" s="1"/>
  <c r="AQ1289" i="191"/>
  <c r="AW1289" i="191" s="1"/>
  <c r="MU1288" i="191"/>
  <c r="NA1288" i="191" s="1"/>
  <c r="MU1284" i="191"/>
  <c r="NA1284" i="191" s="1"/>
  <c r="MU1286" i="191"/>
  <c r="NA1286" i="191" s="1"/>
  <c r="BM1289" i="191"/>
  <c r="BS1289" i="191" s="1"/>
  <c r="BM1288" i="191"/>
  <c r="BS1288" i="191" s="1"/>
  <c r="BM1284" i="191"/>
  <c r="BS1284" i="191" s="1"/>
  <c r="QA1282" i="191"/>
  <c r="QG1282" i="191" s="1"/>
  <c r="YC1294" i="191"/>
  <c r="YI1294" i="191" s="1"/>
  <c r="ES1284" i="191"/>
  <c r="EY1284" i="191" s="1"/>
  <c r="ES1287" i="191"/>
  <c r="EY1287" i="191" s="1"/>
  <c r="FN1290" i="191"/>
  <c r="FT1290" i="191" s="1"/>
  <c r="TF1291" i="191"/>
  <c r="TL1291" i="191" s="1"/>
  <c r="SK1288" i="191"/>
  <c r="SQ1288" i="191" s="1"/>
  <c r="AQ1290" i="191"/>
  <c r="AW1290" i="191" s="1"/>
  <c r="WL1290" i="191"/>
  <c r="WR1290" i="191" s="1"/>
  <c r="PE1288" i="191"/>
  <c r="PK1288" i="191" s="1"/>
  <c r="MU1287" i="191"/>
  <c r="NA1287" i="191" s="1"/>
  <c r="MU1293" i="191"/>
  <c r="NA1293" i="191" s="1"/>
  <c r="MU1294" i="191"/>
  <c r="NA1294" i="191" s="1"/>
  <c r="BM1286" i="191"/>
  <c r="BS1286" i="191" s="1"/>
  <c r="BM1287" i="191"/>
  <c r="BS1287" i="191" s="1"/>
  <c r="BM1293" i="191"/>
  <c r="BS1293" i="191" s="1"/>
  <c r="BM1294" i="191"/>
  <c r="BS1294" i="191" s="1"/>
  <c r="ES1281" i="191"/>
  <c r="EY1281" i="191" s="1"/>
  <c r="QA1289" i="191"/>
  <c r="QG1289" i="191" s="1"/>
  <c r="QA1284" i="191"/>
  <c r="QG1284" i="191" s="1"/>
  <c r="YC1285" i="191"/>
  <c r="YI1285" i="191" s="1"/>
  <c r="YC1288" i="191"/>
  <c r="YI1288" i="191" s="1"/>
  <c r="ES1285" i="191"/>
  <c r="EY1285" i="191" s="1"/>
  <c r="ES1292" i="191"/>
  <c r="EY1292" i="191" s="1"/>
  <c r="FN1283" i="191"/>
  <c r="FT1283" i="191" s="1"/>
  <c r="MT1284" i="191"/>
  <c r="MZ1284" i="191" s="1"/>
  <c r="LY1292" i="191"/>
  <c r="ME1292" i="191" s="1"/>
  <c r="HC1289" i="191"/>
  <c r="HI1289" i="191" s="1"/>
  <c r="HC1291" i="191"/>
  <c r="HI1291" i="191" s="1"/>
  <c r="JN1293" i="191"/>
  <c r="JT1293" i="191" s="1"/>
  <c r="TF1289" i="191"/>
  <c r="TL1289" i="191" s="1"/>
  <c r="MT1283" i="191"/>
  <c r="MZ1283" i="191" s="1"/>
  <c r="V1294" i="191"/>
  <c r="AB1294" i="191" s="1"/>
  <c r="SK1282" i="191"/>
  <c r="SQ1282" i="191" s="1"/>
  <c r="LY1284" i="191"/>
  <c r="ME1284" i="191" s="1"/>
  <c r="AQ1291" i="191"/>
  <c r="AW1291" i="191" s="1"/>
  <c r="WL1284" i="191"/>
  <c r="WR1284" i="191" s="1"/>
  <c r="PE1285" i="191"/>
  <c r="PK1285" i="191" s="1"/>
  <c r="DB1281" i="191"/>
  <c r="DH1281" i="191" s="1"/>
  <c r="DB1282" i="191"/>
  <c r="DH1282" i="191" s="1"/>
  <c r="DB1289" i="191"/>
  <c r="DH1289" i="191" s="1"/>
  <c r="DB1288" i="191"/>
  <c r="DH1288" i="191" s="1"/>
  <c r="DB1291" i="191"/>
  <c r="DH1291" i="191" s="1"/>
  <c r="VQ1281" i="191"/>
  <c r="VW1281" i="191" s="1"/>
  <c r="VQ1284" i="191"/>
  <c r="VW1284" i="191" s="1"/>
  <c r="VQ1293" i="191"/>
  <c r="VW1293" i="191" s="1"/>
  <c r="VQ1286" i="191"/>
  <c r="VW1286" i="191" s="1"/>
  <c r="VQ1294" i="191"/>
  <c r="VW1294" i="191" s="1"/>
  <c r="VQ1283" i="191"/>
  <c r="VW1283" i="191" s="1"/>
  <c r="VQ1292" i="191"/>
  <c r="VW1292" i="191" s="1"/>
  <c r="MT1293" i="191"/>
  <c r="MZ1293" i="191" s="1"/>
  <c r="MT1292" i="191"/>
  <c r="MZ1292" i="191" s="1"/>
  <c r="GH1292" i="191"/>
  <c r="GN1292" i="191" s="1"/>
  <c r="V1283" i="191"/>
  <c r="AB1283" i="191" s="1"/>
  <c r="LY1293" i="191"/>
  <c r="ME1293" i="191" s="1"/>
  <c r="LY1291" i="191"/>
  <c r="ME1291" i="191" s="1"/>
  <c r="HC1285" i="191"/>
  <c r="HI1285" i="191" s="1"/>
  <c r="WL1292" i="191"/>
  <c r="WR1292" i="191" s="1"/>
  <c r="WL1294" i="191"/>
  <c r="WR1294" i="191" s="1"/>
  <c r="JN1283" i="191"/>
  <c r="JT1283" i="191" s="1"/>
  <c r="JN1290" i="191"/>
  <c r="JT1290" i="191" s="1"/>
  <c r="PE1291" i="191"/>
  <c r="PK1291" i="191" s="1"/>
  <c r="V1290" i="191"/>
  <c r="AB1290" i="191" s="1"/>
  <c r="V1284" i="191"/>
  <c r="AB1284" i="191" s="1"/>
  <c r="HC1288" i="191"/>
  <c r="HI1288" i="191" s="1"/>
  <c r="HC1283" i="191"/>
  <c r="HI1283" i="191" s="1"/>
  <c r="JN1284" i="191"/>
  <c r="JT1284" i="191" s="1"/>
  <c r="V1293" i="191"/>
  <c r="AB1293" i="191" s="1"/>
  <c r="V1292" i="191"/>
  <c r="AB1292" i="191" s="1"/>
  <c r="HC1290" i="191"/>
  <c r="HI1290" i="191" s="1"/>
  <c r="JN1292" i="191"/>
  <c r="JT1292" i="191" s="1"/>
  <c r="JN1294" i="191"/>
  <c r="JT1294" i="191" s="1"/>
  <c r="KS1296" i="191"/>
  <c r="CG1281" i="191"/>
  <c r="CM1281" i="191" s="1"/>
  <c r="CG1285" i="191"/>
  <c r="CM1285" i="191" s="1"/>
  <c r="CG1283" i="191"/>
  <c r="CM1283" i="191" s="1"/>
  <c r="CG1288" i="191"/>
  <c r="CM1288" i="191" s="1"/>
  <c r="HY1281" i="191"/>
  <c r="IE1281" i="191" s="1"/>
  <c r="HY1294" i="191"/>
  <c r="IE1294" i="191" s="1"/>
  <c r="HY1290" i="191"/>
  <c r="IE1290" i="191" s="1"/>
  <c r="HY1293" i="191"/>
  <c r="IE1293" i="191" s="1"/>
  <c r="HY1283" i="191"/>
  <c r="IE1283" i="191" s="1"/>
  <c r="HY1287" i="191"/>
  <c r="IE1287" i="191" s="1"/>
  <c r="HY1292" i="191"/>
  <c r="IE1292" i="191" s="1"/>
  <c r="HY1286" i="191"/>
  <c r="IE1286" i="191" s="1"/>
  <c r="HY1291" i="191"/>
  <c r="IE1291" i="191" s="1"/>
  <c r="HY1284" i="191"/>
  <c r="IE1284" i="191" s="1"/>
  <c r="HY1285" i="191"/>
  <c r="IE1285" i="191" s="1"/>
  <c r="HY1288" i="191"/>
  <c r="IE1288" i="191" s="1"/>
  <c r="HY1282" i="191"/>
  <c r="IE1282" i="191" s="1"/>
  <c r="HY1289" i="191"/>
  <c r="IE1289" i="191" s="1"/>
  <c r="TF1285" i="191"/>
  <c r="TL1285" i="191" s="1"/>
  <c r="TF1286" i="191"/>
  <c r="TL1286" i="191" s="1"/>
  <c r="TF1287" i="191"/>
  <c r="TL1287" i="191" s="1"/>
  <c r="TF1282" i="191"/>
  <c r="TL1282" i="191" s="1"/>
  <c r="GH1290" i="191"/>
  <c r="GN1290" i="191" s="1"/>
  <c r="GH1283" i="191"/>
  <c r="GN1283" i="191" s="1"/>
  <c r="GH1284" i="191"/>
  <c r="GN1284" i="191" s="1"/>
  <c r="SK1286" i="191"/>
  <c r="SQ1286" i="191" s="1"/>
  <c r="SK1294" i="191"/>
  <c r="SQ1294" i="191" s="1"/>
  <c r="SK1289" i="191"/>
  <c r="SQ1289" i="191" s="1"/>
  <c r="YW1289" i="191"/>
  <c r="ZC1289" i="191" s="1"/>
  <c r="AQ1288" i="191"/>
  <c r="AW1288" i="191" s="1"/>
  <c r="AQ1285" i="191"/>
  <c r="AW1285" i="191" s="1"/>
  <c r="AQ1283" i="191"/>
  <c r="AW1283" i="191" s="1"/>
  <c r="PZ1289" i="191"/>
  <c r="QF1289" i="191" s="1"/>
  <c r="PZ1288" i="191"/>
  <c r="QF1288" i="191" s="1"/>
  <c r="PZ1291" i="191"/>
  <c r="QF1291" i="191" s="1"/>
  <c r="PZ1282" i="191"/>
  <c r="QF1282" i="191" s="1"/>
  <c r="DB1287" i="191"/>
  <c r="DH1287" i="191" s="1"/>
  <c r="DB1285" i="191"/>
  <c r="DH1285" i="191" s="1"/>
  <c r="DB1286" i="191"/>
  <c r="DH1286" i="191" s="1"/>
  <c r="PE1290" i="191"/>
  <c r="PK1290" i="191" s="1"/>
  <c r="PE1289" i="191"/>
  <c r="PK1289" i="191" s="1"/>
  <c r="PE1287" i="191"/>
  <c r="PK1287" i="191" s="1"/>
  <c r="PE1282" i="191"/>
  <c r="PK1282" i="191" s="1"/>
  <c r="DW1293" i="191"/>
  <c r="EC1293" i="191" s="1"/>
  <c r="DW1287" i="191"/>
  <c r="EC1287" i="191" s="1"/>
  <c r="SU1280" i="191"/>
  <c r="LN1280" i="191"/>
  <c r="YL1280" i="191"/>
  <c r="XQ1280" i="191"/>
  <c r="BL1281" i="191"/>
  <c r="BR1281" i="191" s="1"/>
  <c r="BL1293" i="191"/>
  <c r="BR1293" i="191" s="1"/>
  <c r="BL1284" i="191"/>
  <c r="BR1284" i="191" s="1"/>
  <c r="BL1290" i="191"/>
  <c r="BR1290" i="191" s="1"/>
  <c r="ER1281" i="191"/>
  <c r="EX1281" i="191" s="1"/>
  <c r="ER1289" i="191"/>
  <c r="EX1289" i="191" s="1"/>
  <c r="ER1286" i="191"/>
  <c r="EX1286" i="191" s="1"/>
  <c r="ER1287" i="191"/>
  <c r="EX1287" i="191" s="1"/>
  <c r="PF1281" i="191"/>
  <c r="PL1281" i="191" s="1"/>
  <c r="PF1294" i="191"/>
  <c r="PL1294" i="191" s="1"/>
  <c r="PF1285" i="191"/>
  <c r="PL1285" i="191" s="1"/>
  <c r="PF1291" i="191"/>
  <c r="PL1291" i="191" s="1"/>
  <c r="PF1283" i="191"/>
  <c r="PL1283" i="191" s="1"/>
  <c r="PF1289" i="191"/>
  <c r="PL1289" i="191" s="1"/>
  <c r="PF1284" i="191"/>
  <c r="PL1284" i="191" s="1"/>
  <c r="PF1282" i="191"/>
  <c r="PL1282" i="191" s="1"/>
  <c r="PF1293" i="191"/>
  <c r="PL1293" i="191" s="1"/>
  <c r="PF1292" i="191"/>
  <c r="PL1292" i="191" s="1"/>
  <c r="PF1290" i="191"/>
  <c r="PL1290" i="191" s="1"/>
  <c r="PF1288" i="191"/>
  <c r="PL1288" i="191" s="1"/>
  <c r="PF1286" i="191"/>
  <c r="PL1286" i="191" s="1"/>
  <c r="PF1287" i="191"/>
  <c r="PL1287" i="191" s="1"/>
  <c r="TG1281" i="191"/>
  <c r="TM1281" i="191" s="1"/>
  <c r="TG1289" i="191"/>
  <c r="TM1289" i="191" s="1"/>
  <c r="TG1294" i="191"/>
  <c r="TM1294" i="191" s="1"/>
  <c r="TG1290" i="191"/>
  <c r="TM1290" i="191" s="1"/>
  <c r="TG1293" i="191"/>
  <c r="TM1293" i="191" s="1"/>
  <c r="TG1283" i="191"/>
  <c r="TM1283" i="191" s="1"/>
  <c r="TG1287" i="191"/>
  <c r="TM1287" i="191" s="1"/>
  <c r="TG1292" i="191"/>
  <c r="TM1292" i="191" s="1"/>
  <c r="TG1286" i="191"/>
  <c r="TM1286" i="191" s="1"/>
  <c r="TG1291" i="191"/>
  <c r="TM1291" i="191" s="1"/>
  <c r="TG1284" i="191"/>
  <c r="TM1284" i="191" s="1"/>
  <c r="TG1285" i="191"/>
  <c r="TM1285" i="191" s="1"/>
  <c r="TG1288" i="191"/>
  <c r="TM1288" i="191" s="1"/>
  <c r="TG1282" i="191"/>
  <c r="TM1282" i="191" s="1"/>
  <c r="AR1281" i="191"/>
  <c r="AX1281" i="191" s="1"/>
  <c r="AR1294" i="191"/>
  <c r="AX1294" i="191" s="1"/>
  <c r="AR1285" i="191"/>
  <c r="AX1285" i="191" s="1"/>
  <c r="AR1291" i="191"/>
  <c r="AX1291" i="191" s="1"/>
  <c r="AR1283" i="191"/>
  <c r="AX1283" i="191" s="1"/>
  <c r="AR1289" i="191"/>
  <c r="AX1289" i="191" s="1"/>
  <c r="AR1284" i="191"/>
  <c r="AX1284" i="191" s="1"/>
  <c r="AR1282" i="191"/>
  <c r="AX1282" i="191" s="1"/>
  <c r="AR1293" i="191"/>
  <c r="AX1293" i="191" s="1"/>
  <c r="AR1292" i="191"/>
  <c r="AX1292" i="191" s="1"/>
  <c r="AR1290" i="191"/>
  <c r="AX1290" i="191" s="1"/>
  <c r="AR1288" i="191"/>
  <c r="AX1288" i="191" s="1"/>
  <c r="AR1286" i="191"/>
  <c r="AX1286" i="191" s="1"/>
  <c r="AR1287" i="191"/>
  <c r="AX1287" i="191" s="1"/>
  <c r="JX1296" i="191"/>
  <c r="FN1292" i="191"/>
  <c r="FT1292" i="191" s="1"/>
  <c r="FN1282" i="191"/>
  <c r="FT1282" i="191" s="1"/>
  <c r="FN1289" i="191"/>
  <c r="FT1289" i="191" s="1"/>
  <c r="DK1296" i="191"/>
  <c r="EF1296" i="191"/>
  <c r="FA1280" i="191"/>
  <c r="AE1296" i="191"/>
  <c r="BU1296" i="191"/>
  <c r="LM1296" i="191"/>
  <c r="UW1293" i="191"/>
  <c r="VC1293" i="191" s="1"/>
  <c r="UW1294" i="191"/>
  <c r="VC1294" i="191" s="1"/>
  <c r="YX1290" i="191"/>
  <c r="ZD1290" i="191" s="1"/>
  <c r="YX1288" i="191"/>
  <c r="ZD1288" i="191" s="1"/>
  <c r="YW1290" i="191"/>
  <c r="ZC1290" i="191" s="1"/>
  <c r="NO1281" i="191"/>
  <c r="NU1281" i="191" s="1"/>
  <c r="NO1289" i="191"/>
  <c r="NU1289" i="191" s="1"/>
  <c r="NO1290" i="191"/>
  <c r="NU1290" i="191" s="1"/>
  <c r="NO1287" i="191"/>
  <c r="NU1287" i="191" s="1"/>
  <c r="NO1291" i="191"/>
  <c r="NU1291" i="191" s="1"/>
  <c r="NO1285" i="191"/>
  <c r="NU1285" i="191" s="1"/>
  <c r="NO1288" i="191"/>
  <c r="NU1288" i="191" s="1"/>
  <c r="QU1281" i="191"/>
  <c r="RA1281" i="191" s="1"/>
  <c r="QU1282" i="191"/>
  <c r="RA1282" i="191" s="1"/>
  <c r="QU1293" i="191"/>
  <c r="RA1293" i="191" s="1"/>
  <c r="QU1291" i="191"/>
  <c r="RA1291" i="191" s="1"/>
  <c r="QU1292" i="191"/>
  <c r="RA1292" i="191" s="1"/>
  <c r="QU1287" i="191"/>
  <c r="RA1287" i="191" s="1"/>
  <c r="QU1290" i="191"/>
  <c r="RA1290" i="191" s="1"/>
  <c r="QU1284" i="191"/>
  <c r="RA1284" i="191" s="1"/>
  <c r="OJ1281" i="191"/>
  <c r="OP1281" i="191" s="1"/>
  <c r="OJ1284" i="191"/>
  <c r="OP1284" i="191" s="1"/>
  <c r="OJ1293" i="191"/>
  <c r="OP1293" i="191" s="1"/>
  <c r="OJ1290" i="191"/>
  <c r="OP1290" i="191" s="1"/>
  <c r="OJ1292" i="191"/>
  <c r="OP1292" i="191" s="1"/>
  <c r="OJ1294" i="191"/>
  <c r="OP1294" i="191" s="1"/>
  <c r="OJ1283" i="191"/>
  <c r="OP1283" i="191" s="1"/>
  <c r="RP1281" i="191"/>
  <c r="RV1281" i="191" s="1"/>
  <c r="RP1282" i="191"/>
  <c r="RV1282" i="191" s="1"/>
  <c r="RP1288" i="191"/>
  <c r="RV1288" i="191" s="1"/>
  <c r="RP1293" i="191"/>
  <c r="RV1293" i="191" s="1"/>
  <c r="RP1287" i="191"/>
  <c r="RV1287" i="191" s="1"/>
  <c r="RP1289" i="191"/>
  <c r="RV1289" i="191" s="1"/>
  <c r="RP1291" i="191"/>
  <c r="RV1291" i="191" s="1"/>
  <c r="RP1290" i="191"/>
  <c r="RV1290" i="191" s="1"/>
  <c r="TF1293" i="191"/>
  <c r="TL1293" i="191" s="1"/>
  <c r="TF1290" i="191"/>
  <c r="TL1290" i="191" s="1"/>
  <c r="TF1294" i="191"/>
  <c r="TL1294" i="191" s="1"/>
  <c r="TF1283" i="191"/>
  <c r="TL1283" i="191" s="1"/>
  <c r="TF1292" i="191"/>
  <c r="TL1292" i="191" s="1"/>
  <c r="TF1284" i="191"/>
  <c r="TL1284" i="191" s="1"/>
  <c r="GH1285" i="191"/>
  <c r="GN1285" i="191" s="1"/>
  <c r="GH1291" i="191"/>
  <c r="GN1291" i="191" s="1"/>
  <c r="GH1286" i="191"/>
  <c r="GN1286" i="191" s="1"/>
  <c r="GH1289" i="191"/>
  <c r="GN1289" i="191" s="1"/>
  <c r="GH1287" i="191"/>
  <c r="GN1287" i="191" s="1"/>
  <c r="GH1288" i="191"/>
  <c r="GN1288" i="191" s="1"/>
  <c r="GH1282" i="191"/>
  <c r="GN1282" i="191" s="1"/>
  <c r="SK1290" i="191"/>
  <c r="SQ1290" i="191" s="1"/>
  <c r="SK1293" i="191"/>
  <c r="SQ1293" i="191" s="1"/>
  <c r="SK1287" i="191"/>
  <c r="SQ1287" i="191" s="1"/>
  <c r="SK1292" i="191"/>
  <c r="SQ1292" i="191" s="1"/>
  <c r="SK1284" i="191"/>
  <c r="SQ1284" i="191" s="1"/>
  <c r="SK1291" i="191"/>
  <c r="SQ1291" i="191" s="1"/>
  <c r="YW1288" i="191"/>
  <c r="ZC1288" i="191" s="1"/>
  <c r="YW1287" i="191"/>
  <c r="ZC1287" i="191" s="1"/>
  <c r="YW1293" i="191"/>
  <c r="ZC1293" i="191" s="1"/>
  <c r="BL1287" i="191"/>
  <c r="BR1287" i="191" s="1"/>
  <c r="BL1294" i="191"/>
  <c r="BR1294" i="191" s="1"/>
  <c r="BL1292" i="191"/>
  <c r="BR1292" i="191" s="1"/>
  <c r="HC1292" i="191"/>
  <c r="HI1292" i="191" s="1"/>
  <c r="HC1284" i="191"/>
  <c r="HI1284" i="191" s="1"/>
  <c r="HC1293" i="191"/>
  <c r="HI1293" i="191" s="1"/>
  <c r="HC1294" i="191"/>
  <c r="HI1294" i="191" s="1"/>
  <c r="HC1286" i="191"/>
  <c r="HI1286" i="191" s="1"/>
  <c r="HC1287" i="191"/>
  <c r="HI1287" i="191" s="1"/>
  <c r="HC1282" i="191"/>
  <c r="HI1282" i="191" s="1"/>
  <c r="WL1289" i="191"/>
  <c r="WR1289" i="191" s="1"/>
  <c r="WL1287" i="191"/>
  <c r="WR1287" i="191" s="1"/>
  <c r="WL1288" i="191"/>
  <c r="WR1288" i="191" s="1"/>
  <c r="WL1285" i="191"/>
  <c r="WR1285" i="191" s="1"/>
  <c r="WL1291" i="191"/>
  <c r="WR1291" i="191" s="1"/>
  <c r="WL1286" i="191"/>
  <c r="WR1286" i="191" s="1"/>
  <c r="WL1282" i="191"/>
  <c r="WR1282" i="191" s="1"/>
  <c r="JN1289" i="191"/>
  <c r="JT1289" i="191" s="1"/>
  <c r="JN1287" i="191"/>
  <c r="JT1287" i="191" s="1"/>
  <c r="JN1288" i="191"/>
  <c r="JT1288" i="191" s="1"/>
  <c r="JN1285" i="191"/>
  <c r="JT1285" i="191" s="1"/>
  <c r="JN1291" i="191"/>
  <c r="JT1291" i="191" s="1"/>
  <c r="JN1286" i="191"/>
  <c r="JT1286" i="191" s="1"/>
  <c r="JN1282" i="191"/>
  <c r="JT1282" i="191" s="1"/>
  <c r="VQ1290" i="191"/>
  <c r="VW1290" i="191" s="1"/>
  <c r="VQ1291" i="191"/>
  <c r="VW1291" i="191" s="1"/>
  <c r="VQ1289" i="191"/>
  <c r="VW1289" i="191" s="1"/>
  <c r="VQ1288" i="191"/>
  <c r="VW1288" i="191" s="1"/>
  <c r="VQ1287" i="191"/>
  <c r="VW1287" i="191" s="1"/>
  <c r="VQ1285" i="191"/>
  <c r="VW1285" i="191" s="1"/>
  <c r="VQ1282" i="191"/>
  <c r="VW1282" i="191" s="1"/>
  <c r="CG1290" i="191"/>
  <c r="CM1290" i="191" s="1"/>
  <c r="CG1289" i="191"/>
  <c r="CM1289" i="191" s="1"/>
  <c r="CG1291" i="191"/>
  <c r="CM1291" i="191" s="1"/>
  <c r="CG1282" i="191"/>
  <c r="CM1282" i="191" s="1"/>
  <c r="ER1291" i="191"/>
  <c r="EX1291" i="191" s="1"/>
  <c r="ER1285" i="191"/>
  <c r="EX1285" i="191" s="1"/>
  <c r="ER1288" i="191"/>
  <c r="EX1288" i="191" s="1"/>
  <c r="ER1282" i="191"/>
  <c r="EX1282" i="191" s="1"/>
  <c r="DW1290" i="191"/>
  <c r="EC1290" i="191" s="1"/>
  <c r="DW1291" i="191"/>
  <c r="EC1291" i="191" s="1"/>
  <c r="DW1289" i="191"/>
  <c r="EC1289" i="191" s="1"/>
  <c r="DW1282" i="191"/>
  <c r="EC1282" i="191" s="1"/>
  <c r="WU1296" i="191"/>
  <c r="UJ1296" i="191"/>
  <c r="BW58" i="87"/>
  <c r="O58" i="87"/>
  <c r="G491" i="191"/>
  <c r="F564" i="191"/>
  <c r="G564" i="191" s="1"/>
  <c r="YX1294" i="191"/>
  <c r="ZD1294" i="191" s="1"/>
  <c r="YX1282" i="191"/>
  <c r="ZD1282" i="191" s="1"/>
  <c r="YX1285" i="191"/>
  <c r="ZD1285" i="191" s="1"/>
  <c r="UW1289" i="191"/>
  <c r="VC1289" i="191" s="1"/>
  <c r="UW1282" i="191"/>
  <c r="VC1282" i="191" s="1"/>
  <c r="UW1288" i="191"/>
  <c r="VC1288" i="191" s="1"/>
  <c r="UW1285" i="191"/>
  <c r="VC1285" i="191" s="1"/>
  <c r="UW1284" i="191"/>
  <c r="VC1284" i="191" s="1"/>
  <c r="UW1291" i="191"/>
  <c r="VC1291" i="191" s="1"/>
  <c r="YX1291" i="191"/>
  <c r="ZD1291" i="191" s="1"/>
  <c r="YX1286" i="191"/>
  <c r="ZD1286" i="191" s="1"/>
  <c r="YX1292" i="191"/>
  <c r="ZD1292" i="191" s="1"/>
  <c r="YX1287" i="191"/>
  <c r="ZD1287" i="191" s="1"/>
  <c r="YX1283" i="191"/>
  <c r="ZD1283" i="191" s="1"/>
  <c r="EE58" i="87"/>
  <c r="CG87" i="87"/>
  <c r="CG58" i="87"/>
  <c r="EO58" i="87"/>
  <c r="GM87" i="87"/>
  <c r="IK87" i="87"/>
  <c r="IA58" i="87"/>
  <c r="IK58" i="87"/>
  <c r="KI58" i="87"/>
  <c r="KS58" i="87"/>
  <c r="CQ87" i="87"/>
  <c r="KI87" i="87"/>
  <c r="FI87" i="87"/>
  <c r="BW87" i="87"/>
  <c r="IA43" i="87"/>
  <c r="LJ87" i="87"/>
  <c r="LI174" i="87"/>
  <c r="LI233" i="87" s="1"/>
  <c r="O233" i="87" s="1"/>
  <c r="EY58" i="87"/>
  <c r="LC58" i="87"/>
  <c r="FI58" i="87"/>
  <c r="BC58" i="87"/>
  <c r="HG58" i="87"/>
  <c r="BM58" i="87"/>
  <c r="HQ58" i="87"/>
  <c r="AI87" i="87"/>
  <c r="EE87" i="87"/>
  <c r="IU87" i="87"/>
  <c r="AS87" i="87"/>
  <c r="DU87" i="87"/>
  <c r="GW87" i="87"/>
  <c r="JY87" i="87"/>
  <c r="IA87" i="87"/>
  <c r="O87" i="87"/>
  <c r="AI58" i="87"/>
  <c r="DK58" i="87"/>
  <c r="GM58" i="87"/>
  <c r="JO58" i="87"/>
  <c r="AS58" i="87"/>
  <c r="DU58" i="87"/>
  <c r="GW58" i="87"/>
  <c r="JY58" i="87"/>
  <c r="CQ58" i="87"/>
  <c r="FS58" i="87"/>
  <c r="IU58" i="87"/>
  <c r="Y58" i="87"/>
  <c r="DA58" i="87"/>
  <c r="GC58" i="87"/>
  <c r="JE58" i="87"/>
  <c r="BC87" i="87"/>
  <c r="DK87" i="87"/>
  <c r="FS87" i="87"/>
  <c r="HG87" i="87"/>
  <c r="JO87" i="87"/>
  <c r="Y87" i="87"/>
  <c r="BM87" i="87"/>
  <c r="DA87" i="87"/>
  <c r="EO87" i="87"/>
  <c r="GC87" i="87"/>
  <c r="HQ87" i="87"/>
  <c r="JE87" i="87"/>
  <c r="KS87" i="87"/>
  <c r="EY87" i="87"/>
  <c r="LC87" i="87"/>
  <c r="F752" i="191"/>
  <c r="LJ145" i="87"/>
  <c r="IK145" i="87"/>
  <c r="FI145" i="87"/>
  <c r="CG145" i="87"/>
  <c r="JO145" i="87"/>
  <c r="KS145" i="87"/>
  <c r="HQ145" i="87"/>
  <c r="EO145" i="87"/>
  <c r="BM145" i="87"/>
  <c r="LC145" i="87"/>
  <c r="GM145" i="87"/>
  <c r="DK145" i="87"/>
  <c r="AI145" i="87"/>
  <c r="HG145" i="87"/>
  <c r="EE145" i="87"/>
  <c r="BC145" i="87"/>
  <c r="JY145" i="87"/>
  <c r="GW145" i="87"/>
  <c r="DU145" i="87"/>
  <c r="AS145" i="87"/>
  <c r="KI145" i="87"/>
  <c r="JE145" i="87"/>
  <c r="GC145" i="87"/>
  <c r="DA145" i="87"/>
  <c r="Y145" i="87"/>
  <c r="IA145" i="87"/>
  <c r="EY145" i="87"/>
  <c r="BW145" i="87"/>
  <c r="IU145" i="87"/>
  <c r="FS145" i="87"/>
  <c r="CQ145" i="87"/>
  <c r="O145" i="87"/>
  <c r="CQ204" i="87"/>
  <c r="IK204" i="87"/>
  <c r="FI204" i="87"/>
  <c r="AI204" i="87"/>
  <c r="BC204" i="87"/>
  <c r="LJ204" i="87"/>
  <c r="DA204" i="87"/>
  <c r="GC204" i="87"/>
  <c r="JO204" i="87"/>
  <c r="CG204" i="87"/>
  <c r="DK204" i="87"/>
  <c r="JY204" i="87"/>
  <c r="KS204" i="87"/>
  <c r="FS204" i="87"/>
  <c r="F815" i="191"/>
  <c r="KI204" i="87"/>
  <c r="EY204" i="87"/>
  <c r="DU204" i="87"/>
  <c r="GW204" i="87"/>
  <c r="AS204" i="87"/>
  <c r="HG204" i="87"/>
  <c r="Y204" i="87"/>
  <c r="BW204" i="87"/>
  <c r="IU204" i="87"/>
  <c r="IA204" i="87"/>
  <c r="EO204" i="87"/>
  <c r="HQ204" i="87"/>
  <c r="LC204" i="87"/>
  <c r="GM204" i="87"/>
  <c r="BM204" i="87"/>
  <c r="EE204" i="87"/>
  <c r="JE204" i="87"/>
  <c r="F689" i="191"/>
  <c r="JE116" i="87"/>
  <c r="GC116" i="87"/>
  <c r="DA116" i="87"/>
  <c r="Y116" i="87"/>
  <c r="IK116" i="87"/>
  <c r="FI116" i="87"/>
  <c r="CG116" i="87"/>
  <c r="LC116" i="87"/>
  <c r="JO116" i="87"/>
  <c r="IA116" i="87"/>
  <c r="GM116" i="87"/>
  <c r="EY116" i="87"/>
  <c r="DK116" i="87"/>
  <c r="BW116" i="87"/>
  <c r="AI116" i="87"/>
  <c r="LJ116" i="87"/>
  <c r="KS116" i="87"/>
  <c r="HQ116" i="87"/>
  <c r="EO116" i="87"/>
  <c r="BM116" i="87"/>
  <c r="JY116" i="87"/>
  <c r="GW116" i="87"/>
  <c r="DU116" i="87"/>
  <c r="AS116" i="87"/>
  <c r="KI116" i="87"/>
  <c r="IU116" i="87"/>
  <c r="HG116" i="87"/>
  <c r="FS116" i="87"/>
  <c r="EE116" i="87"/>
  <c r="CQ116" i="87"/>
  <c r="BC116" i="87"/>
  <c r="O116" i="87"/>
  <c r="H615" i="191"/>
  <c r="HX1281" i="191"/>
  <c r="ID1281" i="191" s="1"/>
  <c r="HX1282" i="191"/>
  <c r="ID1282" i="191" s="1"/>
  <c r="HX1288" i="191"/>
  <c r="ID1288" i="191" s="1"/>
  <c r="HX1285" i="191"/>
  <c r="ID1285" i="191" s="1"/>
  <c r="HX1291" i="191"/>
  <c r="ID1291" i="191" s="1"/>
  <c r="HX1286" i="191"/>
  <c r="ID1286" i="191" s="1"/>
  <c r="HX1289" i="191"/>
  <c r="ID1289" i="191" s="1"/>
  <c r="HX1283" i="191"/>
  <c r="ID1283" i="191" s="1"/>
  <c r="HX1284" i="191"/>
  <c r="ID1284" i="191" s="1"/>
  <c r="HX1292" i="191"/>
  <c r="ID1292" i="191" s="1"/>
  <c r="HX1293" i="191"/>
  <c r="ID1293" i="191" s="1"/>
  <c r="HX1294" i="191"/>
  <c r="ID1294" i="191" s="1"/>
  <c r="HX1290" i="191"/>
  <c r="ID1290" i="191" s="1"/>
  <c r="HX1287" i="191"/>
  <c r="ID1287" i="191" s="1"/>
  <c r="KI1281" i="191"/>
  <c r="KO1281" i="191" s="1"/>
  <c r="KI1294" i="191"/>
  <c r="KO1294" i="191" s="1"/>
  <c r="KI1285" i="191"/>
  <c r="KO1285" i="191" s="1"/>
  <c r="KI1286" i="191"/>
  <c r="KO1286" i="191" s="1"/>
  <c r="KI1283" i="191"/>
  <c r="KO1283" i="191" s="1"/>
  <c r="KI1289" i="191"/>
  <c r="KO1289" i="191" s="1"/>
  <c r="KI1288" i="191"/>
  <c r="KO1288" i="191" s="1"/>
  <c r="KI1282" i="191"/>
  <c r="KO1282" i="191" s="1"/>
  <c r="KI1287" i="191"/>
  <c r="KO1287" i="191" s="1"/>
  <c r="KI1293" i="191"/>
  <c r="KO1293" i="191" s="1"/>
  <c r="KI1290" i="191"/>
  <c r="KO1290" i="191" s="1"/>
  <c r="KI1291" i="191"/>
  <c r="KO1291" i="191" s="1"/>
  <c r="KI1284" i="191"/>
  <c r="KO1284" i="191" s="1"/>
  <c r="KI1292" i="191"/>
  <c r="KO1292" i="191" s="1"/>
  <c r="UA1281" i="191"/>
  <c r="UG1281" i="191" s="1"/>
  <c r="UA1282" i="191"/>
  <c r="UG1282" i="191" s="1"/>
  <c r="UA1283" i="191"/>
  <c r="UG1283" i="191" s="1"/>
  <c r="UA1286" i="191"/>
  <c r="UG1286" i="191" s="1"/>
  <c r="UA1294" i="191"/>
  <c r="UG1294" i="191" s="1"/>
  <c r="UA1293" i="191"/>
  <c r="UG1293" i="191" s="1"/>
  <c r="UA1284" i="191"/>
  <c r="UG1284" i="191" s="1"/>
  <c r="UA1292" i="191"/>
  <c r="UG1292" i="191" s="1"/>
  <c r="UA1289" i="191"/>
  <c r="UG1289" i="191" s="1"/>
  <c r="UA1291" i="191"/>
  <c r="UG1291" i="191" s="1"/>
  <c r="UA1290" i="191"/>
  <c r="UG1290" i="191" s="1"/>
  <c r="UA1285" i="191"/>
  <c r="UG1285" i="191" s="1"/>
  <c r="UA1287" i="191"/>
  <c r="UG1287" i="191" s="1"/>
  <c r="UA1288" i="191"/>
  <c r="UG1288" i="191" s="1"/>
  <c r="XG1281" i="191"/>
  <c r="XM1281" i="191" s="1"/>
  <c r="XG1294" i="191"/>
  <c r="XM1294" i="191" s="1"/>
  <c r="XG1285" i="191"/>
  <c r="XM1285" i="191" s="1"/>
  <c r="XG1286" i="191"/>
  <c r="XM1286" i="191" s="1"/>
  <c r="XG1283" i="191"/>
  <c r="XM1283" i="191" s="1"/>
  <c r="XG1289" i="191"/>
  <c r="XM1289" i="191" s="1"/>
  <c r="XG1288" i="191"/>
  <c r="XM1288" i="191" s="1"/>
  <c r="XG1282" i="191"/>
  <c r="XM1282" i="191" s="1"/>
  <c r="XG1287" i="191"/>
  <c r="XM1287" i="191" s="1"/>
  <c r="XG1293" i="191"/>
  <c r="XM1293" i="191" s="1"/>
  <c r="XG1290" i="191"/>
  <c r="XM1290" i="191" s="1"/>
  <c r="XG1291" i="191"/>
  <c r="XM1291" i="191" s="1"/>
  <c r="XG1284" i="191"/>
  <c r="XM1284" i="191" s="1"/>
  <c r="XG1292" i="191"/>
  <c r="XM1292" i="191" s="1"/>
  <c r="FM1281" i="191"/>
  <c r="FS1281" i="191" s="1"/>
  <c r="FM1282" i="191"/>
  <c r="FS1282" i="191" s="1"/>
  <c r="FM1285" i="191"/>
  <c r="FS1285" i="191" s="1"/>
  <c r="FM1286" i="191"/>
  <c r="FS1286" i="191" s="1"/>
  <c r="FM1294" i="191"/>
  <c r="FS1294" i="191" s="1"/>
  <c r="FM1283" i="191"/>
  <c r="FS1283" i="191" s="1"/>
  <c r="FM1284" i="191"/>
  <c r="FS1284" i="191" s="1"/>
  <c r="FM1292" i="191"/>
  <c r="FS1292" i="191" s="1"/>
  <c r="FM1291" i="191"/>
  <c r="FS1291" i="191" s="1"/>
  <c r="FM1293" i="191"/>
  <c r="FS1293" i="191" s="1"/>
  <c r="FM1290" i="191"/>
  <c r="FS1290" i="191" s="1"/>
  <c r="FM1287" i="191"/>
  <c r="FS1287" i="191" s="1"/>
  <c r="FM1289" i="191"/>
  <c r="FS1289" i="191" s="1"/>
  <c r="FM1288" i="191"/>
  <c r="FS1288" i="191" s="1"/>
  <c r="IS1281" i="191"/>
  <c r="IY1281" i="191" s="1"/>
  <c r="IS1294" i="191"/>
  <c r="IY1294" i="191" s="1"/>
  <c r="IS1293" i="191"/>
  <c r="IY1293" i="191" s="1"/>
  <c r="IS1284" i="191"/>
  <c r="IY1284" i="191" s="1"/>
  <c r="IS1292" i="191"/>
  <c r="IY1292" i="191" s="1"/>
  <c r="IS1287" i="191"/>
  <c r="IY1287" i="191" s="1"/>
  <c r="IS1286" i="191"/>
  <c r="IY1286" i="191" s="1"/>
  <c r="IS1282" i="191"/>
  <c r="IY1282" i="191" s="1"/>
  <c r="IS1285" i="191"/>
  <c r="IY1285" i="191" s="1"/>
  <c r="IS1291" i="191"/>
  <c r="IY1291" i="191" s="1"/>
  <c r="IS1288" i="191"/>
  <c r="IY1288" i="191" s="1"/>
  <c r="IS1289" i="191"/>
  <c r="IY1289" i="191" s="1"/>
  <c r="IS1283" i="191"/>
  <c r="IY1283" i="191" s="1"/>
  <c r="IS1290" i="191"/>
  <c r="IY1290" i="191" s="1"/>
  <c r="LD1281" i="191"/>
  <c r="LJ1281" i="191" s="1"/>
  <c r="LD1294" i="191"/>
  <c r="LJ1294" i="191" s="1"/>
  <c r="LD1284" i="191"/>
  <c r="LJ1284" i="191" s="1"/>
  <c r="LD1292" i="191"/>
  <c r="LJ1292" i="191" s="1"/>
  <c r="LD1285" i="191"/>
  <c r="LJ1285" i="191" s="1"/>
  <c r="LD1286" i="191"/>
  <c r="LJ1286" i="191" s="1"/>
  <c r="LD1283" i="191"/>
  <c r="LJ1283" i="191" s="1"/>
  <c r="LD1282" i="191"/>
  <c r="LJ1282" i="191" s="1"/>
  <c r="LD1289" i="191"/>
  <c r="LJ1289" i="191" s="1"/>
  <c r="LD1288" i="191"/>
  <c r="LJ1288" i="191" s="1"/>
  <c r="LD1291" i="191"/>
  <c r="LJ1291" i="191" s="1"/>
  <c r="LD1293" i="191"/>
  <c r="LJ1293" i="191" s="1"/>
  <c r="LD1290" i="191"/>
  <c r="LJ1290" i="191" s="1"/>
  <c r="LD1287" i="191"/>
  <c r="LJ1287" i="191" s="1"/>
  <c r="UV1281" i="191"/>
  <c r="VB1281" i="191" s="1"/>
  <c r="UV1282" i="191"/>
  <c r="VB1282" i="191" s="1"/>
  <c r="UV1288" i="191"/>
  <c r="VB1288" i="191" s="1"/>
  <c r="UV1285" i="191"/>
  <c r="VB1285" i="191" s="1"/>
  <c r="UV1287" i="191"/>
  <c r="VB1287" i="191" s="1"/>
  <c r="UV1286" i="191"/>
  <c r="VB1286" i="191" s="1"/>
  <c r="UV1289" i="191"/>
  <c r="VB1289" i="191" s="1"/>
  <c r="UV1291" i="191"/>
  <c r="VB1291" i="191" s="1"/>
  <c r="UV1284" i="191"/>
  <c r="VB1284" i="191" s="1"/>
  <c r="UV1292" i="191"/>
  <c r="VB1292" i="191" s="1"/>
  <c r="UV1293" i="191"/>
  <c r="VB1293" i="191" s="1"/>
  <c r="UV1294" i="191"/>
  <c r="VB1294" i="191" s="1"/>
  <c r="UV1290" i="191"/>
  <c r="VB1290" i="191" s="1"/>
  <c r="UV1283" i="191"/>
  <c r="VB1283" i="191" s="1"/>
  <c r="YB1281" i="191"/>
  <c r="YH1281" i="191" s="1"/>
  <c r="YB1294" i="191"/>
  <c r="YH1294" i="191" s="1"/>
  <c r="YB1284" i="191"/>
  <c r="YH1284" i="191" s="1"/>
  <c r="YB1292" i="191"/>
  <c r="YH1292" i="191" s="1"/>
  <c r="YB1285" i="191"/>
  <c r="YH1285" i="191" s="1"/>
  <c r="YB1286" i="191"/>
  <c r="YH1286" i="191" s="1"/>
  <c r="YB1283" i="191"/>
  <c r="YH1283" i="191" s="1"/>
  <c r="YB1282" i="191"/>
  <c r="YH1282" i="191" s="1"/>
  <c r="YB1289" i="191"/>
  <c r="YH1289" i="191" s="1"/>
  <c r="YB1288" i="191"/>
  <c r="YH1288" i="191" s="1"/>
  <c r="YB1291" i="191"/>
  <c r="YH1291" i="191" s="1"/>
  <c r="YB1293" i="191"/>
  <c r="YH1293" i="191" s="1"/>
  <c r="YB1290" i="191"/>
  <c r="YH1290" i="191" s="1"/>
  <c r="YB1287" i="191"/>
  <c r="YH1287" i="191" s="1"/>
  <c r="OK1281" i="191"/>
  <c r="OQ1281" i="191" s="1"/>
  <c r="OK1294" i="191"/>
  <c r="OQ1294" i="191" s="1"/>
  <c r="OK1290" i="191"/>
  <c r="OQ1290" i="191" s="1"/>
  <c r="OK1293" i="191"/>
  <c r="OQ1293" i="191" s="1"/>
  <c r="OK1283" i="191"/>
  <c r="OQ1283" i="191" s="1"/>
  <c r="OK1287" i="191"/>
  <c r="OQ1287" i="191" s="1"/>
  <c r="OK1292" i="191"/>
  <c r="OQ1292" i="191" s="1"/>
  <c r="OK1286" i="191"/>
  <c r="OQ1286" i="191" s="1"/>
  <c r="OK1291" i="191"/>
  <c r="OQ1291" i="191" s="1"/>
  <c r="OK1284" i="191"/>
  <c r="OQ1284" i="191" s="1"/>
  <c r="OK1285" i="191"/>
  <c r="OQ1285" i="191" s="1"/>
  <c r="OK1288" i="191"/>
  <c r="OQ1288" i="191" s="1"/>
  <c r="OK1282" i="191"/>
  <c r="OQ1282" i="191" s="1"/>
  <c r="OK1289" i="191"/>
  <c r="OQ1289" i="191" s="1"/>
  <c r="CH1281" i="191"/>
  <c r="CN1281" i="191" s="1"/>
  <c r="CH1294" i="191"/>
  <c r="CN1294" i="191" s="1"/>
  <c r="CH1285" i="191"/>
  <c r="CN1285" i="191" s="1"/>
  <c r="CH1291" i="191"/>
  <c r="CN1291" i="191" s="1"/>
  <c r="CH1283" i="191"/>
  <c r="CN1283" i="191" s="1"/>
  <c r="CH1289" i="191"/>
  <c r="CN1289" i="191" s="1"/>
  <c r="CH1284" i="191"/>
  <c r="CN1284" i="191" s="1"/>
  <c r="CH1282" i="191"/>
  <c r="CN1282" i="191" s="1"/>
  <c r="CH1293" i="191"/>
  <c r="CN1293" i="191" s="1"/>
  <c r="CH1292" i="191"/>
  <c r="CN1292" i="191" s="1"/>
  <c r="CH1290" i="191"/>
  <c r="CN1290" i="191" s="1"/>
  <c r="CH1288" i="191"/>
  <c r="CN1288" i="191" s="1"/>
  <c r="CH1286" i="191"/>
  <c r="CN1286" i="191" s="1"/>
  <c r="CH1287" i="191"/>
  <c r="CN1287" i="191" s="1"/>
  <c r="VR1281" i="191"/>
  <c r="VX1281" i="191" s="1"/>
  <c r="VR1293" i="191"/>
  <c r="VX1293" i="191" s="1"/>
  <c r="VR1292" i="191"/>
  <c r="VX1292" i="191" s="1"/>
  <c r="VR1290" i="191"/>
  <c r="VX1290" i="191" s="1"/>
  <c r="VR1288" i="191"/>
  <c r="VX1288" i="191" s="1"/>
  <c r="VR1286" i="191"/>
  <c r="VX1286" i="191" s="1"/>
  <c r="VR1287" i="191"/>
  <c r="VX1287" i="191" s="1"/>
  <c r="VR1294" i="191"/>
  <c r="VX1294" i="191" s="1"/>
  <c r="VR1285" i="191"/>
  <c r="VX1285" i="191" s="1"/>
  <c r="VR1291" i="191"/>
  <c r="VX1291" i="191" s="1"/>
  <c r="VR1283" i="191"/>
  <c r="VX1283" i="191" s="1"/>
  <c r="VR1289" i="191"/>
  <c r="VX1289" i="191" s="1"/>
  <c r="VR1284" i="191"/>
  <c r="VX1284" i="191" s="1"/>
  <c r="VR1282" i="191"/>
  <c r="VX1282" i="191" s="1"/>
  <c r="W1281" i="191"/>
  <c r="AC1281" i="191" s="1"/>
  <c r="W1294" i="191"/>
  <c r="AC1294" i="191" s="1"/>
  <c r="W1290" i="191"/>
  <c r="AC1290" i="191" s="1"/>
  <c r="W1293" i="191"/>
  <c r="AC1293" i="191" s="1"/>
  <c r="W1283" i="191"/>
  <c r="AC1283" i="191" s="1"/>
  <c r="W1287" i="191"/>
  <c r="AC1287" i="191" s="1"/>
  <c r="W1292" i="191"/>
  <c r="AC1292" i="191" s="1"/>
  <c r="W1286" i="191"/>
  <c r="AC1286" i="191" s="1"/>
  <c r="W1291" i="191"/>
  <c r="AC1291" i="191" s="1"/>
  <c r="W1284" i="191"/>
  <c r="AC1284" i="191" s="1"/>
  <c r="W1285" i="191"/>
  <c r="AC1285" i="191" s="1"/>
  <c r="W1288" i="191"/>
  <c r="AC1288" i="191" s="1"/>
  <c r="W1282" i="191"/>
  <c r="AC1282" i="191" s="1"/>
  <c r="W1289" i="191"/>
  <c r="AC1289" i="191" s="1"/>
  <c r="HD1281" i="191"/>
  <c r="HJ1281" i="191" s="1"/>
  <c r="HD1293" i="191"/>
  <c r="HJ1293" i="191" s="1"/>
  <c r="HD1292" i="191"/>
  <c r="HJ1292" i="191" s="1"/>
  <c r="HD1290" i="191"/>
  <c r="HJ1290" i="191" s="1"/>
  <c r="HD1288" i="191"/>
  <c r="HJ1288" i="191" s="1"/>
  <c r="HD1286" i="191"/>
  <c r="HJ1286" i="191" s="1"/>
  <c r="HD1287" i="191"/>
  <c r="HJ1287" i="191" s="1"/>
  <c r="HD1294" i="191"/>
  <c r="HJ1294" i="191" s="1"/>
  <c r="HD1285" i="191"/>
  <c r="HJ1285" i="191" s="1"/>
  <c r="HD1291" i="191"/>
  <c r="HJ1291" i="191" s="1"/>
  <c r="HD1283" i="191"/>
  <c r="HJ1283" i="191" s="1"/>
  <c r="HD1289" i="191"/>
  <c r="HJ1289" i="191" s="1"/>
  <c r="HD1284" i="191"/>
  <c r="HJ1284" i="191" s="1"/>
  <c r="HD1282" i="191"/>
  <c r="HJ1282" i="191" s="1"/>
  <c r="MT1285" i="191"/>
  <c r="MZ1285" i="191" s="1"/>
  <c r="MT1291" i="191"/>
  <c r="MZ1291" i="191" s="1"/>
  <c r="MT1286" i="191"/>
  <c r="MZ1286" i="191" s="1"/>
  <c r="MT1289" i="191"/>
  <c r="MZ1289" i="191" s="1"/>
  <c r="MT1287" i="191"/>
  <c r="MZ1287" i="191" s="1"/>
  <c r="MT1288" i="191"/>
  <c r="MZ1288" i="191" s="1"/>
  <c r="MT1282" i="191"/>
  <c r="MZ1282" i="191" s="1"/>
  <c r="V1285" i="191"/>
  <c r="AB1285" i="191" s="1"/>
  <c r="V1291" i="191"/>
  <c r="AB1291" i="191" s="1"/>
  <c r="V1286" i="191"/>
  <c r="AB1286" i="191" s="1"/>
  <c r="V1289" i="191"/>
  <c r="AB1289" i="191" s="1"/>
  <c r="V1287" i="191"/>
  <c r="AB1287" i="191" s="1"/>
  <c r="V1288" i="191"/>
  <c r="AB1288" i="191" s="1"/>
  <c r="V1282" i="191"/>
  <c r="AB1282" i="191" s="1"/>
  <c r="LY1283" i="191"/>
  <c r="ME1283" i="191" s="1"/>
  <c r="LY1286" i="191"/>
  <c r="ME1286" i="191" s="1"/>
  <c r="LY1285" i="191"/>
  <c r="ME1285" i="191" s="1"/>
  <c r="LY1294" i="191"/>
  <c r="ME1294" i="191" s="1"/>
  <c r="LY1288" i="191"/>
  <c r="ME1288" i="191" s="1"/>
  <c r="LY1289" i="191"/>
  <c r="ME1289" i="191" s="1"/>
  <c r="LY1282" i="191"/>
  <c r="ME1282" i="191" s="1"/>
  <c r="YW1292" i="191"/>
  <c r="ZC1292" i="191" s="1"/>
  <c r="YW1284" i="191"/>
  <c r="ZC1284" i="191" s="1"/>
  <c r="YW1283" i="191"/>
  <c r="ZC1283" i="191" s="1"/>
  <c r="YW1294" i="191"/>
  <c r="ZC1294" i="191" s="1"/>
  <c r="YW1286" i="191"/>
  <c r="ZC1286" i="191" s="1"/>
  <c r="YW1285" i="191"/>
  <c r="ZC1285" i="191" s="1"/>
  <c r="YW1282" i="191"/>
  <c r="ZC1282" i="191" s="1"/>
  <c r="OJ1291" i="191"/>
  <c r="OP1291" i="191" s="1"/>
  <c r="OJ1289" i="191"/>
  <c r="OP1289" i="191" s="1"/>
  <c r="OJ1286" i="191"/>
  <c r="OP1286" i="191" s="1"/>
  <c r="OJ1287" i="191"/>
  <c r="OP1287" i="191" s="1"/>
  <c r="OJ1285" i="191"/>
  <c r="OP1285" i="191" s="1"/>
  <c r="OJ1288" i="191"/>
  <c r="OP1288" i="191" s="1"/>
  <c r="OJ1282" i="191"/>
  <c r="OP1282" i="191" s="1"/>
  <c r="BL1283" i="191"/>
  <c r="BR1283" i="191" s="1"/>
  <c r="BL1289" i="191"/>
  <c r="BR1289" i="191" s="1"/>
  <c r="BL1286" i="191"/>
  <c r="BR1286" i="191" s="1"/>
  <c r="BL1291" i="191"/>
  <c r="BR1291" i="191" s="1"/>
  <c r="BL1285" i="191"/>
  <c r="BR1285" i="191" s="1"/>
  <c r="BL1288" i="191"/>
  <c r="BR1288" i="191" s="1"/>
  <c r="BL1282" i="191"/>
  <c r="BR1282" i="191" s="1"/>
  <c r="NO1292" i="191"/>
  <c r="NU1292" i="191" s="1"/>
  <c r="NO1284" i="191"/>
  <c r="NU1284" i="191" s="1"/>
  <c r="NO1293" i="191"/>
  <c r="NU1293" i="191" s="1"/>
  <c r="NO1294" i="191"/>
  <c r="NU1294" i="191" s="1"/>
  <c r="NO1286" i="191"/>
  <c r="NU1286" i="191" s="1"/>
  <c r="NO1283" i="191"/>
  <c r="NU1283" i="191" s="1"/>
  <c r="NO1282" i="191"/>
  <c r="NU1282" i="191" s="1"/>
  <c r="AQ1292" i="191"/>
  <c r="AW1292" i="191" s="1"/>
  <c r="AQ1284" i="191"/>
  <c r="AW1284" i="191" s="1"/>
  <c r="AQ1293" i="191"/>
  <c r="AW1293" i="191" s="1"/>
  <c r="AQ1294" i="191"/>
  <c r="AW1294" i="191" s="1"/>
  <c r="AQ1286" i="191"/>
  <c r="AW1286" i="191" s="1"/>
  <c r="AQ1287" i="191"/>
  <c r="AW1287" i="191" s="1"/>
  <c r="AQ1282" i="191"/>
  <c r="AW1282" i="191" s="1"/>
  <c r="PZ1283" i="191"/>
  <c r="QF1283" i="191" s="1"/>
  <c r="PZ1292" i="191"/>
  <c r="QF1292" i="191" s="1"/>
  <c r="PZ1284" i="191"/>
  <c r="QF1284" i="191" s="1"/>
  <c r="PZ1293" i="191"/>
  <c r="QF1293" i="191" s="1"/>
  <c r="PZ1290" i="191"/>
  <c r="QF1290" i="191" s="1"/>
  <c r="PZ1294" i="191"/>
  <c r="QF1294" i="191" s="1"/>
  <c r="DB1283" i="191"/>
  <c r="DH1283" i="191" s="1"/>
  <c r="DB1292" i="191"/>
  <c r="DH1292" i="191" s="1"/>
  <c r="DB1284" i="191"/>
  <c r="DH1284" i="191" s="1"/>
  <c r="DB1293" i="191"/>
  <c r="DH1293" i="191" s="1"/>
  <c r="DB1290" i="191"/>
  <c r="DH1290" i="191" s="1"/>
  <c r="DB1294" i="191"/>
  <c r="DH1294" i="191" s="1"/>
  <c r="PE1286" i="191"/>
  <c r="PK1286" i="191" s="1"/>
  <c r="PE1283" i="191"/>
  <c r="PK1283" i="191" s="1"/>
  <c r="PE1292" i="191"/>
  <c r="PK1292" i="191" s="1"/>
  <c r="PE1284" i="191"/>
  <c r="PK1284" i="191" s="1"/>
  <c r="PE1293" i="191"/>
  <c r="PK1293" i="191" s="1"/>
  <c r="PE1294" i="191"/>
  <c r="PK1294" i="191" s="1"/>
  <c r="CG1286" i="191"/>
  <c r="CM1286" i="191" s="1"/>
  <c r="CG1287" i="191"/>
  <c r="CM1287" i="191" s="1"/>
  <c r="CG1292" i="191"/>
  <c r="CM1292" i="191" s="1"/>
  <c r="CG1284" i="191"/>
  <c r="CM1284" i="191" s="1"/>
  <c r="CG1293" i="191"/>
  <c r="CM1293" i="191" s="1"/>
  <c r="CG1294" i="191"/>
  <c r="CM1294" i="191" s="1"/>
  <c r="RP1283" i="191"/>
  <c r="RV1283" i="191" s="1"/>
  <c r="RP1286" i="191"/>
  <c r="RV1286" i="191" s="1"/>
  <c r="RP1285" i="191"/>
  <c r="RV1285" i="191" s="1"/>
  <c r="RP1292" i="191"/>
  <c r="RV1292" i="191" s="1"/>
  <c r="RP1284" i="191"/>
  <c r="RV1284" i="191" s="1"/>
  <c r="RP1294" i="191"/>
  <c r="RV1294" i="191" s="1"/>
  <c r="ER1290" i="191"/>
  <c r="EX1290" i="191" s="1"/>
  <c r="ER1293" i="191"/>
  <c r="EX1293" i="191" s="1"/>
  <c r="ER1283" i="191"/>
  <c r="EX1283" i="191" s="1"/>
  <c r="ER1292" i="191"/>
  <c r="EX1292" i="191" s="1"/>
  <c r="ER1284" i="191"/>
  <c r="EX1284" i="191" s="1"/>
  <c r="ER1294" i="191"/>
  <c r="EX1294" i="191" s="1"/>
  <c r="QU1288" i="191"/>
  <c r="RA1288" i="191" s="1"/>
  <c r="QU1289" i="191"/>
  <c r="RA1289" i="191" s="1"/>
  <c r="QU1283" i="191"/>
  <c r="RA1283" i="191" s="1"/>
  <c r="QU1286" i="191"/>
  <c r="RA1286" i="191" s="1"/>
  <c r="QU1285" i="191"/>
  <c r="RA1285" i="191" s="1"/>
  <c r="QU1294" i="191"/>
  <c r="RA1294" i="191" s="1"/>
  <c r="DW1286" i="191"/>
  <c r="EC1286" i="191" s="1"/>
  <c r="DW1285" i="191"/>
  <c r="EC1285" i="191" s="1"/>
  <c r="DW1292" i="191"/>
  <c r="EC1292" i="191" s="1"/>
  <c r="DW1284" i="191"/>
  <c r="EC1284" i="191" s="1"/>
  <c r="DW1283" i="191"/>
  <c r="EC1283" i="191" s="1"/>
  <c r="DW1294" i="191"/>
  <c r="EC1294" i="191" s="1"/>
  <c r="QA1291" i="191"/>
  <c r="QG1291" i="191" s="1"/>
  <c r="QA1286" i="191"/>
  <c r="QG1286" i="191" s="1"/>
  <c r="QA1292" i="191"/>
  <c r="QG1292" i="191" s="1"/>
  <c r="QA1287" i="191"/>
  <c r="QG1287" i="191" s="1"/>
  <c r="QA1283" i="191"/>
  <c r="QG1283" i="191" s="1"/>
  <c r="QA1293" i="191"/>
  <c r="QG1293" i="191" s="1"/>
  <c r="DC1291" i="191"/>
  <c r="DI1291" i="191" s="1"/>
  <c r="DC1286" i="191"/>
  <c r="DI1286" i="191" s="1"/>
  <c r="DC1292" i="191"/>
  <c r="DI1292" i="191" s="1"/>
  <c r="DC1287" i="191"/>
  <c r="DI1287" i="191" s="1"/>
  <c r="DC1283" i="191"/>
  <c r="DI1283" i="191" s="1"/>
  <c r="DC1293" i="191"/>
  <c r="DI1293" i="191" s="1"/>
  <c r="QV1291" i="191"/>
  <c r="RB1291" i="191" s="1"/>
  <c r="QV1285" i="191"/>
  <c r="RB1285" i="191" s="1"/>
  <c r="QV1294" i="191"/>
  <c r="RB1294" i="191" s="1"/>
  <c r="QV1287" i="191"/>
  <c r="RB1287" i="191" s="1"/>
  <c r="QV1286" i="191"/>
  <c r="RB1286" i="191" s="1"/>
  <c r="QV1288" i="191"/>
  <c r="RB1288" i="191" s="1"/>
  <c r="YC1290" i="191"/>
  <c r="YI1290" i="191" s="1"/>
  <c r="YC1292" i="191"/>
  <c r="YI1292" i="191" s="1"/>
  <c r="YC1293" i="191"/>
  <c r="YI1293" i="191" s="1"/>
  <c r="YC1282" i="191"/>
  <c r="YI1282" i="191" s="1"/>
  <c r="YC1284" i="191"/>
  <c r="YI1284" i="191" s="1"/>
  <c r="YC1289" i="191"/>
  <c r="YI1289" i="191" s="1"/>
  <c r="YC1283" i="191"/>
  <c r="YI1283" i="191" s="1"/>
  <c r="LE1285" i="191"/>
  <c r="LK1285" i="191" s="1"/>
  <c r="LE1284" i="191"/>
  <c r="LK1284" i="191" s="1"/>
  <c r="LE1291" i="191"/>
  <c r="LK1291" i="191" s="1"/>
  <c r="LE1286" i="191"/>
  <c r="LK1286" i="191" s="1"/>
  <c r="LE1292" i="191"/>
  <c r="LK1292" i="191" s="1"/>
  <c r="LE1287" i="191"/>
  <c r="LK1287" i="191" s="1"/>
  <c r="ES1293" i="191"/>
  <c r="EY1293" i="191" s="1"/>
  <c r="ES1290" i="191"/>
  <c r="EY1290" i="191" s="1"/>
  <c r="ES1294" i="191"/>
  <c r="EY1294" i="191" s="1"/>
  <c r="ES1289" i="191"/>
  <c r="EY1289" i="191" s="1"/>
  <c r="ES1282" i="191"/>
  <c r="EY1282" i="191" s="1"/>
  <c r="SL1291" i="191"/>
  <c r="SR1291" i="191" s="1"/>
  <c r="SL1285" i="191"/>
  <c r="SR1285" i="191" s="1"/>
  <c r="SL1294" i="191"/>
  <c r="SR1294" i="191" s="1"/>
  <c r="SL1287" i="191"/>
  <c r="SR1287" i="191" s="1"/>
  <c r="SL1286" i="191"/>
  <c r="SR1286" i="191" s="1"/>
  <c r="SL1288" i="191"/>
  <c r="SR1288" i="191" s="1"/>
  <c r="FN1291" i="191"/>
  <c r="FT1291" i="191" s="1"/>
  <c r="FN1285" i="191"/>
  <c r="FT1285" i="191" s="1"/>
  <c r="FN1294" i="191"/>
  <c r="FT1294" i="191" s="1"/>
  <c r="FN1287" i="191"/>
  <c r="FT1287" i="191" s="1"/>
  <c r="FN1286" i="191"/>
  <c r="FT1286" i="191" s="1"/>
  <c r="FN1288" i="191"/>
  <c r="FT1288" i="191" s="1"/>
  <c r="MI1312" i="191"/>
  <c r="MI1313" i="191" s="1"/>
  <c r="DK1280" i="191"/>
  <c r="EF1280" i="191"/>
  <c r="RD1296" i="191"/>
  <c r="FA1296" i="191"/>
  <c r="RY1296" i="191"/>
  <c r="ST1280" i="191"/>
  <c r="ST1296" i="191"/>
  <c r="AE1280" i="191"/>
  <c r="NC1280" i="191"/>
  <c r="NC1296" i="191"/>
  <c r="AZ1296" i="191"/>
  <c r="NX1280" i="191"/>
  <c r="NX1296" i="191"/>
  <c r="BU1280" i="191"/>
  <c r="OS1296" i="191"/>
  <c r="CP1280" i="191"/>
  <c r="PN1280" i="191"/>
  <c r="PN1296" i="191"/>
  <c r="JW1280" i="191"/>
  <c r="KR1280" i="191"/>
  <c r="KR1296" i="191"/>
  <c r="MH1296" i="191"/>
  <c r="GQ1280" i="191"/>
  <c r="IG1296" i="191"/>
  <c r="VE1280" i="191"/>
  <c r="VZ1280" i="191"/>
  <c r="WU1280" i="191"/>
  <c r="XP1280" i="191"/>
  <c r="YK1280" i="191"/>
  <c r="ZF1296" i="191"/>
  <c r="TO1296" i="191"/>
  <c r="UJ1280" i="191"/>
  <c r="JB1296" i="191"/>
  <c r="QI1280" i="191"/>
  <c r="QI1296" i="191"/>
  <c r="RD1280" i="191"/>
  <c r="RY1280" i="191"/>
  <c r="FV1280" i="191"/>
  <c r="FV1296" i="191"/>
  <c r="AZ1280" i="191"/>
  <c r="OS1280" i="191"/>
  <c r="CP1296" i="191"/>
  <c r="JW1296" i="191"/>
  <c r="LM1280" i="191"/>
  <c r="MH1280" i="191"/>
  <c r="GQ1296" i="191"/>
  <c r="HL1280" i="191"/>
  <c r="HL1296" i="191"/>
  <c r="IG1280" i="191"/>
  <c r="VE1296" i="191"/>
  <c r="VZ1296" i="191"/>
  <c r="XP1296" i="191"/>
  <c r="YK1296" i="191"/>
  <c r="ZF1280" i="191"/>
  <c r="TO1280" i="191"/>
  <c r="JB1280" i="191"/>
  <c r="DA1281" i="191"/>
  <c r="DG1281" i="191" s="1"/>
  <c r="DA1291" i="191"/>
  <c r="DG1291" i="191" s="1"/>
  <c r="DA1283" i="191"/>
  <c r="DG1283" i="191" s="1"/>
  <c r="DA1294" i="191"/>
  <c r="DG1294" i="191" s="1"/>
  <c r="DA1282" i="191"/>
  <c r="DG1282" i="191" s="1"/>
  <c r="DA1284" i="191"/>
  <c r="DG1284" i="191" s="1"/>
  <c r="DA1288" i="191"/>
  <c r="DG1288" i="191" s="1"/>
  <c r="DA1290" i="191"/>
  <c r="DG1290" i="191" s="1"/>
  <c r="DA1292" i="191"/>
  <c r="DG1292" i="191" s="1"/>
  <c r="DA1289" i="191"/>
  <c r="DG1289" i="191" s="1"/>
  <c r="DA1285" i="191"/>
  <c r="DG1285" i="191" s="1"/>
  <c r="DA1287" i="191"/>
  <c r="DG1287" i="191" s="1"/>
  <c r="DA1286" i="191"/>
  <c r="DG1286" i="191" s="1"/>
  <c r="DA1293" i="191"/>
  <c r="DG1293" i="191" s="1"/>
  <c r="JM1281" i="191"/>
  <c r="JS1281" i="191" s="1"/>
  <c r="JM1290" i="191"/>
  <c r="JS1290" i="191" s="1"/>
  <c r="JM1292" i="191"/>
  <c r="JS1292" i="191" s="1"/>
  <c r="JM1289" i="191"/>
  <c r="JS1289" i="191" s="1"/>
  <c r="JM1285" i="191"/>
  <c r="JS1285" i="191" s="1"/>
  <c r="JM1287" i="191"/>
  <c r="JS1287" i="191" s="1"/>
  <c r="JM1286" i="191"/>
  <c r="JS1286" i="191" s="1"/>
  <c r="JM1293" i="191"/>
  <c r="JS1293" i="191" s="1"/>
  <c r="JM1291" i="191"/>
  <c r="JS1291" i="191" s="1"/>
  <c r="JM1283" i="191"/>
  <c r="JS1283" i="191" s="1"/>
  <c r="JM1294" i="191"/>
  <c r="JS1294" i="191" s="1"/>
  <c r="JM1282" i="191"/>
  <c r="JS1282" i="191" s="1"/>
  <c r="JM1284" i="191"/>
  <c r="JS1284" i="191" s="1"/>
  <c r="JM1288" i="191"/>
  <c r="JS1288" i="191" s="1"/>
  <c r="PY1281" i="191"/>
  <c r="QE1281" i="191" s="1"/>
  <c r="PY1291" i="191"/>
  <c r="QE1291" i="191" s="1"/>
  <c r="PY1283" i="191"/>
  <c r="QE1283" i="191" s="1"/>
  <c r="PY1294" i="191"/>
  <c r="QE1294" i="191" s="1"/>
  <c r="PY1282" i="191"/>
  <c r="QE1282" i="191" s="1"/>
  <c r="PY1284" i="191"/>
  <c r="QE1284" i="191" s="1"/>
  <c r="PY1288" i="191"/>
  <c r="QE1288" i="191" s="1"/>
  <c r="PY1290" i="191"/>
  <c r="QE1290" i="191" s="1"/>
  <c r="PY1292" i="191"/>
  <c r="QE1292" i="191" s="1"/>
  <c r="PY1289" i="191"/>
  <c r="QE1289" i="191" s="1"/>
  <c r="PY1285" i="191"/>
  <c r="QE1285" i="191" s="1"/>
  <c r="PY1287" i="191"/>
  <c r="QE1287" i="191" s="1"/>
  <c r="PY1286" i="191"/>
  <c r="QE1286" i="191" s="1"/>
  <c r="PY1293" i="191"/>
  <c r="QE1293" i="191" s="1"/>
  <c r="WK1281" i="191"/>
  <c r="WQ1281" i="191" s="1"/>
  <c r="WK1284" i="191"/>
  <c r="WQ1284" i="191" s="1"/>
  <c r="WK1289" i="191"/>
  <c r="WQ1289" i="191" s="1"/>
  <c r="WK1290" i="191"/>
  <c r="WQ1290" i="191" s="1"/>
  <c r="WK1287" i="191"/>
  <c r="WQ1287" i="191" s="1"/>
  <c r="WK1293" i="191"/>
  <c r="WQ1293" i="191" s="1"/>
  <c r="WK1283" i="191"/>
  <c r="WQ1283" i="191" s="1"/>
  <c r="WK1282" i="191"/>
  <c r="WQ1282" i="191" s="1"/>
  <c r="WK1286" i="191"/>
  <c r="WQ1286" i="191" s="1"/>
  <c r="WK1288" i="191"/>
  <c r="WQ1288" i="191" s="1"/>
  <c r="WK1292" i="191"/>
  <c r="WQ1292" i="191" s="1"/>
  <c r="WK1294" i="191"/>
  <c r="WQ1294" i="191" s="1"/>
  <c r="WK1285" i="191"/>
  <c r="WQ1285" i="191" s="1"/>
  <c r="WK1291" i="191"/>
  <c r="WQ1291" i="191" s="1"/>
  <c r="FL1286" i="191"/>
  <c r="FR1286" i="191" s="1"/>
  <c r="FL1288" i="191"/>
  <c r="FR1288" i="191" s="1"/>
  <c r="FL1282" i="191"/>
  <c r="FR1282" i="191" s="1"/>
  <c r="FL1294" i="191"/>
  <c r="FR1294" i="191" s="1"/>
  <c r="FL1285" i="191"/>
  <c r="FR1285" i="191" s="1"/>
  <c r="FL1292" i="191"/>
  <c r="FR1292" i="191" s="1"/>
  <c r="FL1281" i="191"/>
  <c r="FR1281" i="191" s="1"/>
  <c r="FL1283" i="191"/>
  <c r="FR1283" i="191" s="1"/>
  <c r="FL1289" i="191"/>
  <c r="FR1289" i="191" s="1"/>
  <c r="FL1291" i="191"/>
  <c r="FR1291" i="191" s="1"/>
  <c r="FL1284" i="191"/>
  <c r="FR1284" i="191" s="1"/>
  <c r="FL1293" i="191"/>
  <c r="FR1293" i="191" s="1"/>
  <c r="FL1290" i="191"/>
  <c r="FR1290" i="191" s="1"/>
  <c r="FL1287" i="191"/>
  <c r="FR1287" i="191" s="1"/>
  <c r="LX1283" i="191"/>
  <c r="MD1283" i="191" s="1"/>
  <c r="LX1289" i="191"/>
  <c r="MD1289" i="191" s="1"/>
  <c r="LX1291" i="191"/>
  <c r="MD1291" i="191" s="1"/>
  <c r="LX1284" i="191"/>
  <c r="MD1284" i="191" s="1"/>
  <c r="LX1293" i="191"/>
  <c r="MD1293" i="191" s="1"/>
  <c r="LX1290" i="191"/>
  <c r="MD1290" i="191" s="1"/>
  <c r="LX1287" i="191"/>
  <c r="MD1287" i="191" s="1"/>
  <c r="LX1286" i="191"/>
  <c r="MD1286" i="191" s="1"/>
  <c r="LX1288" i="191"/>
  <c r="MD1288" i="191" s="1"/>
  <c r="LX1282" i="191"/>
  <c r="MD1282" i="191" s="1"/>
  <c r="LX1294" i="191"/>
  <c r="MD1294" i="191" s="1"/>
  <c r="LX1285" i="191"/>
  <c r="MD1285" i="191" s="1"/>
  <c r="LX1292" i="191"/>
  <c r="MD1292" i="191" s="1"/>
  <c r="LX1281" i="191"/>
  <c r="MD1281" i="191" s="1"/>
  <c r="SJ1286" i="191"/>
  <c r="SP1286" i="191" s="1"/>
  <c r="SJ1288" i="191"/>
  <c r="SP1288" i="191" s="1"/>
  <c r="SJ1282" i="191"/>
  <c r="SP1282" i="191" s="1"/>
  <c r="SJ1294" i="191"/>
  <c r="SP1294" i="191" s="1"/>
  <c r="SJ1285" i="191"/>
  <c r="SP1285" i="191" s="1"/>
  <c r="SJ1292" i="191"/>
  <c r="SP1292" i="191" s="1"/>
  <c r="SJ1283" i="191"/>
  <c r="SP1283" i="191" s="1"/>
  <c r="SJ1289" i="191"/>
  <c r="SP1289" i="191" s="1"/>
  <c r="SJ1291" i="191"/>
  <c r="SP1291" i="191" s="1"/>
  <c r="SJ1284" i="191"/>
  <c r="SP1284" i="191" s="1"/>
  <c r="SJ1293" i="191"/>
  <c r="SP1293" i="191" s="1"/>
  <c r="SJ1290" i="191"/>
  <c r="SP1290" i="191" s="1"/>
  <c r="SJ1287" i="191"/>
  <c r="SP1287" i="191" s="1"/>
  <c r="SJ1281" i="191"/>
  <c r="SP1281" i="191" s="1"/>
  <c r="YV1283" i="191"/>
  <c r="ZB1283" i="191" s="1"/>
  <c r="YV1289" i="191"/>
  <c r="ZB1289" i="191" s="1"/>
  <c r="YV1291" i="191"/>
  <c r="ZB1291" i="191" s="1"/>
  <c r="YV1284" i="191"/>
  <c r="ZB1284" i="191" s="1"/>
  <c r="YV1293" i="191"/>
  <c r="ZB1293" i="191" s="1"/>
  <c r="YV1290" i="191"/>
  <c r="ZB1290" i="191" s="1"/>
  <c r="YV1287" i="191"/>
  <c r="ZB1287" i="191" s="1"/>
  <c r="YV1281" i="191"/>
  <c r="ZB1281" i="191" s="1"/>
  <c r="YV1286" i="191"/>
  <c r="ZB1286" i="191" s="1"/>
  <c r="YV1288" i="191"/>
  <c r="ZB1288" i="191" s="1"/>
  <c r="YV1282" i="191"/>
  <c r="ZB1282" i="191" s="1"/>
  <c r="YV1294" i="191"/>
  <c r="ZB1294" i="191" s="1"/>
  <c r="YV1285" i="191"/>
  <c r="ZB1285" i="191" s="1"/>
  <c r="YV1292" i="191"/>
  <c r="ZB1292" i="191" s="1"/>
  <c r="EQ1281" i="191"/>
  <c r="EW1281" i="191" s="1"/>
  <c r="EQ1282" i="191"/>
  <c r="EW1282" i="191" s="1"/>
  <c r="EQ1294" i="191"/>
  <c r="EW1294" i="191" s="1"/>
  <c r="EQ1286" i="191"/>
  <c r="EW1286" i="191" s="1"/>
  <c r="EQ1290" i="191"/>
  <c r="EW1290" i="191" s="1"/>
  <c r="EQ1292" i="191"/>
  <c r="EW1292" i="191" s="1"/>
  <c r="EQ1283" i="191"/>
  <c r="EW1283" i="191" s="1"/>
  <c r="EQ1284" i="191"/>
  <c r="EW1284" i="191" s="1"/>
  <c r="EQ1287" i="191"/>
  <c r="EW1287" i="191" s="1"/>
  <c r="EQ1285" i="191"/>
  <c r="EW1285" i="191" s="1"/>
  <c r="EQ1288" i="191"/>
  <c r="EW1288" i="191" s="1"/>
  <c r="EQ1291" i="191"/>
  <c r="EW1291" i="191" s="1"/>
  <c r="EQ1293" i="191"/>
  <c r="EW1293" i="191" s="1"/>
  <c r="EQ1289" i="191"/>
  <c r="EW1289" i="191" s="1"/>
  <c r="LC1283" i="191"/>
  <c r="LI1283" i="191" s="1"/>
  <c r="LC1289" i="191"/>
  <c r="LI1289" i="191" s="1"/>
  <c r="LC1282" i="191"/>
  <c r="LI1282" i="191" s="1"/>
  <c r="LC1284" i="191"/>
  <c r="LI1284" i="191" s="1"/>
  <c r="LC1293" i="191"/>
  <c r="LI1293" i="191" s="1"/>
  <c r="LC1290" i="191"/>
  <c r="LI1290" i="191" s="1"/>
  <c r="LC1287" i="191"/>
  <c r="LI1287" i="191" s="1"/>
  <c r="LC1286" i="191"/>
  <c r="LI1286" i="191" s="1"/>
  <c r="LC1288" i="191"/>
  <c r="LI1288" i="191" s="1"/>
  <c r="LC1292" i="191"/>
  <c r="LI1292" i="191" s="1"/>
  <c r="LC1294" i="191"/>
  <c r="LI1294" i="191" s="1"/>
  <c r="LC1285" i="191"/>
  <c r="LI1285" i="191" s="1"/>
  <c r="LC1291" i="191"/>
  <c r="LI1291" i="191" s="1"/>
  <c r="LC1281" i="191"/>
  <c r="LI1281" i="191" s="1"/>
  <c r="RO1282" i="191"/>
  <c r="RU1282" i="191" s="1"/>
  <c r="RO1284" i="191"/>
  <c r="RU1284" i="191" s="1"/>
  <c r="RO1289" i="191"/>
  <c r="RU1289" i="191" s="1"/>
  <c r="RO1290" i="191"/>
  <c r="RU1290" i="191" s="1"/>
  <c r="RO1292" i="191"/>
  <c r="RU1292" i="191" s="1"/>
  <c r="RO1293" i="191"/>
  <c r="RU1293" i="191" s="1"/>
  <c r="RO1281" i="191"/>
  <c r="RU1281" i="191" s="1"/>
  <c r="RO1283" i="191"/>
  <c r="RU1283" i="191" s="1"/>
  <c r="RO1287" i="191"/>
  <c r="RU1287" i="191" s="1"/>
  <c r="RO1286" i="191"/>
  <c r="RU1286" i="191" s="1"/>
  <c r="RO1288" i="191"/>
  <c r="RU1288" i="191" s="1"/>
  <c r="RO1291" i="191"/>
  <c r="RU1291" i="191" s="1"/>
  <c r="RO1294" i="191"/>
  <c r="RU1294" i="191" s="1"/>
  <c r="RO1285" i="191"/>
  <c r="RU1285" i="191" s="1"/>
  <c r="AP1281" i="191"/>
  <c r="AV1281" i="191" s="1"/>
  <c r="AP1293" i="191"/>
  <c r="AV1293" i="191" s="1"/>
  <c r="AP1282" i="191"/>
  <c r="AV1282" i="191" s="1"/>
  <c r="AP1291" i="191"/>
  <c r="AV1291" i="191" s="1"/>
  <c r="AP1286" i="191"/>
  <c r="AV1286" i="191" s="1"/>
  <c r="AP1288" i="191"/>
  <c r="AV1288" i="191" s="1"/>
  <c r="AP1290" i="191"/>
  <c r="AV1290" i="191" s="1"/>
  <c r="AP1294" i="191"/>
  <c r="AV1294" i="191" s="1"/>
  <c r="AP1285" i="191"/>
  <c r="AV1285" i="191" s="1"/>
  <c r="AP1284" i="191"/>
  <c r="AV1284" i="191" s="1"/>
  <c r="AP1283" i="191"/>
  <c r="AV1283" i="191" s="1"/>
  <c r="AP1289" i="191"/>
  <c r="AV1289" i="191" s="1"/>
  <c r="AP1287" i="191"/>
  <c r="AV1287" i="191" s="1"/>
  <c r="AP1292" i="191"/>
  <c r="AV1292" i="191" s="1"/>
  <c r="HB1281" i="191"/>
  <c r="HH1281" i="191" s="1"/>
  <c r="HB1294" i="191"/>
  <c r="HH1294" i="191" s="1"/>
  <c r="HB1285" i="191"/>
  <c r="HH1285" i="191" s="1"/>
  <c r="HB1284" i="191"/>
  <c r="HH1284" i="191" s="1"/>
  <c r="HB1283" i="191"/>
  <c r="HH1283" i="191" s="1"/>
  <c r="HB1289" i="191"/>
  <c r="HH1289" i="191" s="1"/>
  <c r="HB1287" i="191"/>
  <c r="HH1287" i="191" s="1"/>
  <c r="HB1292" i="191"/>
  <c r="HH1292" i="191" s="1"/>
  <c r="HB1293" i="191"/>
  <c r="HH1293" i="191" s="1"/>
  <c r="HB1282" i="191"/>
  <c r="HH1282" i="191" s="1"/>
  <c r="HB1291" i="191"/>
  <c r="HH1291" i="191" s="1"/>
  <c r="HB1286" i="191"/>
  <c r="HH1286" i="191" s="1"/>
  <c r="HB1288" i="191"/>
  <c r="HH1288" i="191" s="1"/>
  <c r="HB1290" i="191"/>
  <c r="HH1290" i="191" s="1"/>
  <c r="NN1281" i="191"/>
  <c r="NT1281" i="191" s="1"/>
  <c r="NN1293" i="191"/>
  <c r="NT1293" i="191" s="1"/>
  <c r="NN1282" i="191"/>
  <c r="NT1282" i="191" s="1"/>
  <c r="NN1291" i="191"/>
  <c r="NT1291" i="191" s="1"/>
  <c r="NN1286" i="191"/>
  <c r="NT1286" i="191" s="1"/>
  <c r="NN1288" i="191"/>
  <c r="NT1288" i="191" s="1"/>
  <c r="NN1290" i="191"/>
  <c r="NT1290" i="191" s="1"/>
  <c r="NN1294" i="191"/>
  <c r="NT1294" i="191" s="1"/>
  <c r="NN1285" i="191"/>
  <c r="NT1285" i="191" s="1"/>
  <c r="NN1284" i="191"/>
  <c r="NT1284" i="191" s="1"/>
  <c r="NN1283" i="191"/>
  <c r="NT1283" i="191" s="1"/>
  <c r="NN1289" i="191"/>
  <c r="NT1289" i="191" s="1"/>
  <c r="NN1287" i="191"/>
  <c r="NT1287" i="191" s="1"/>
  <c r="NN1292" i="191"/>
  <c r="NT1292" i="191" s="1"/>
  <c r="TZ1281" i="191"/>
  <c r="UF1281" i="191" s="1"/>
  <c r="TZ1294" i="191"/>
  <c r="UF1294" i="191" s="1"/>
  <c r="TZ1285" i="191"/>
  <c r="UF1285" i="191" s="1"/>
  <c r="TZ1284" i="191"/>
  <c r="UF1284" i="191" s="1"/>
  <c r="TZ1283" i="191"/>
  <c r="UF1283" i="191" s="1"/>
  <c r="TZ1289" i="191"/>
  <c r="UF1289" i="191" s="1"/>
  <c r="TZ1287" i="191"/>
  <c r="UF1287" i="191" s="1"/>
  <c r="TZ1292" i="191"/>
  <c r="UF1292" i="191" s="1"/>
  <c r="TZ1293" i="191"/>
  <c r="UF1293" i="191" s="1"/>
  <c r="TZ1282" i="191"/>
  <c r="UF1282" i="191" s="1"/>
  <c r="TZ1291" i="191"/>
  <c r="UF1291" i="191" s="1"/>
  <c r="TZ1286" i="191"/>
  <c r="UF1286" i="191" s="1"/>
  <c r="TZ1288" i="191"/>
  <c r="UF1288" i="191" s="1"/>
  <c r="TZ1290" i="191"/>
  <c r="UF1290" i="191" s="1"/>
  <c r="YA1281" i="191"/>
  <c r="YG1281" i="191" s="1"/>
  <c r="YA1283" i="191"/>
  <c r="YG1283" i="191" s="1"/>
  <c r="YA1289" i="191"/>
  <c r="YG1289" i="191" s="1"/>
  <c r="YA1282" i="191"/>
  <c r="YG1282" i="191" s="1"/>
  <c r="YA1284" i="191"/>
  <c r="YG1284" i="191" s="1"/>
  <c r="YA1293" i="191"/>
  <c r="YG1293" i="191" s="1"/>
  <c r="YA1290" i="191"/>
  <c r="YG1290" i="191" s="1"/>
  <c r="YA1292" i="191"/>
  <c r="YG1292" i="191" s="1"/>
  <c r="YA1286" i="191"/>
  <c r="YG1286" i="191" s="1"/>
  <c r="YA1288" i="191"/>
  <c r="YG1288" i="191" s="1"/>
  <c r="YA1287" i="191"/>
  <c r="YG1287" i="191" s="1"/>
  <c r="YA1294" i="191"/>
  <c r="YG1294" i="191" s="1"/>
  <c r="YA1285" i="191"/>
  <c r="YG1285" i="191" s="1"/>
  <c r="YA1291" i="191"/>
  <c r="YG1291" i="191" s="1"/>
  <c r="U1281" i="191"/>
  <c r="AA1281" i="191" s="1"/>
  <c r="U1293" i="191"/>
  <c r="AA1293" i="191" s="1"/>
  <c r="U1282" i="191"/>
  <c r="AA1282" i="191" s="1"/>
  <c r="U1291" i="191"/>
  <c r="AA1291" i="191" s="1"/>
  <c r="U1286" i="191"/>
  <c r="AA1286" i="191" s="1"/>
  <c r="U1288" i="191"/>
  <c r="AA1288" i="191" s="1"/>
  <c r="U1290" i="191"/>
  <c r="AA1290" i="191" s="1"/>
  <c r="U1294" i="191"/>
  <c r="AA1294" i="191" s="1"/>
  <c r="U1285" i="191"/>
  <c r="AA1285" i="191" s="1"/>
  <c r="U1284" i="191"/>
  <c r="AA1284" i="191" s="1"/>
  <c r="U1283" i="191"/>
  <c r="AA1283" i="191" s="1"/>
  <c r="U1289" i="191"/>
  <c r="AA1289" i="191" s="1"/>
  <c r="U1287" i="191"/>
  <c r="AA1287" i="191" s="1"/>
  <c r="U1292" i="191"/>
  <c r="AA1292" i="191" s="1"/>
  <c r="GG1281" i="191"/>
  <c r="GM1281" i="191" s="1"/>
  <c r="GG1282" i="191"/>
  <c r="GM1282" i="191" s="1"/>
  <c r="GG1284" i="191"/>
  <c r="GM1284" i="191" s="1"/>
  <c r="GG1283" i="191"/>
  <c r="GM1283" i="191" s="1"/>
  <c r="GG1290" i="191"/>
  <c r="GM1290" i="191" s="1"/>
  <c r="GG1292" i="191"/>
  <c r="GM1292" i="191" s="1"/>
  <c r="GG1285" i="191"/>
  <c r="GM1285" i="191" s="1"/>
  <c r="GG1288" i="191"/>
  <c r="GM1288" i="191" s="1"/>
  <c r="GG1287" i="191"/>
  <c r="GM1287" i="191" s="1"/>
  <c r="GG1293" i="191"/>
  <c r="GM1293" i="191" s="1"/>
  <c r="GG1289" i="191"/>
  <c r="GM1289" i="191" s="1"/>
  <c r="GG1291" i="191"/>
  <c r="GM1291" i="191" s="1"/>
  <c r="GG1294" i="191"/>
  <c r="GM1294" i="191" s="1"/>
  <c r="GG1286" i="191"/>
  <c r="GM1286" i="191" s="1"/>
  <c r="MS1281" i="191"/>
  <c r="MY1281" i="191" s="1"/>
  <c r="MS1293" i="191"/>
  <c r="MY1293" i="191" s="1"/>
  <c r="MS1282" i="191"/>
  <c r="MY1282" i="191" s="1"/>
  <c r="MS1291" i="191"/>
  <c r="MY1291" i="191" s="1"/>
  <c r="MS1286" i="191"/>
  <c r="MY1286" i="191" s="1"/>
  <c r="MS1288" i="191"/>
  <c r="MY1288" i="191" s="1"/>
  <c r="MS1290" i="191"/>
  <c r="MY1290" i="191" s="1"/>
  <c r="MS1294" i="191"/>
  <c r="MY1294" i="191" s="1"/>
  <c r="MS1285" i="191"/>
  <c r="MY1285" i="191" s="1"/>
  <c r="MS1283" i="191"/>
  <c r="MY1283" i="191" s="1"/>
  <c r="MS1284" i="191"/>
  <c r="MY1284" i="191" s="1"/>
  <c r="MS1289" i="191"/>
  <c r="MY1289" i="191" s="1"/>
  <c r="MS1287" i="191"/>
  <c r="MY1287" i="191" s="1"/>
  <c r="MS1292" i="191"/>
  <c r="MY1292" i="191" s="1"/>
  <c r="TE1281" i="191"/>
  <c r="TK1281" i="191" s="1"/>
  <c r="TE1282" i="191"/>
  <c r="TK1282" i="191" s="1"/>
  <c r="TE1284" i="191"/>
  <c r="TK1284" i="191" s="1"/>
  <c r="TE1283" i="191"/>
  <c r="TK1283" i="191" s="1"/>
  <c r="TE1290" i="191"/>
  <c r="TK1290" i="191" s="1"/>
  <c r="TE1292" i="191"/>
  <c r="TK1292" i="191" s="1"/>
  <c r="TE1285" i="191"/>
  <c r="TK1285" i="191" s="1"/>
  <c r="TE1288" i="191"/>
  <c r="TK1288" i="191" s="1"/>
  <c r="TE1287" i="191"/>
  <c r="TK1287" i="191" s="1"/>
  <c r="TE1293" i="191"/>
  <c r="TK1293" i="191" s="1"/>
  <c r="TE1289" i="191"/>
  <c r="TK1289" i="191" s="1"/>
  <c r="TE1291" i="191"/>
  <c r="TK1291" i="191" s="1"/>
  <c r="TE1294" i="191"/>
  <c r="TK1294" i="191" s="1"/>
  <c r="TE1286" i="191"/>
  <c r="TK1286" i="191" s="1"/>
  <c r="CF1281" i="191"/>
  <c r="CL1281" i="191" s="1"/>
  <c r="CF1293" i="191"/>
  <c r="CL1293" i="191" s="1"/>
  <c r="CF1290" i="191"/>
  <c r="CL1290" i="191" s="1"/>
  <c r="CF1287" i="191"/>
  <c r="CL1287" i="191" s="1"/>
  <c r="CF1286" i="191"/>
  <c r="CL1286" i="191" s="1"/>
  <c r="CF1288" i="191"/>
  <c r="CL1288" i="191" s="1"/>
  <c r="CF1282" i="191"/>
  <c r="CL1282" i="191" s="1"/>
  <c r="CF1294" i="191"/>
  <c r="CL1294" i="191" s="1"/>
  <c r="CF1285" i="191"/>
  <c r="CL1285" i="191" s="1"/>
  <c r="CF1292" i="191"/>
  <c r="CL1292" i="191" s="1"/>
  <c r="CF1283" i="191"/>
  <c r="CL1283" i="191" s="1"/>
  <c r="CF1289" i="191"/>
  <c r="CL1289" i="191" s="1"/>
  <c r="CF1291" i="191"/>
  <c r="CL1291" i="191" s="1"/>
  <c r="CF1284" i="191"/>
  <c r="CL1284" i="191" s="1"/>
  <c r="IR1281" i="191"/>
  <c r="IX1281" i="191" s="1"/>
  <c r="IR1294" i="191"/>
  <c r="IX1294" i="191" s="1"/>
  <c r="IR1285" i="191"/>
  <c r="IX1285" i="191" s="1"/>
  <c r="IR1292" i="191"/>
  <c r="IX1292" i="191" s="1"/>
  <c r="IR1283" i="191"/>
  <c r="IX1283" i="191" s="1"/>
  <c r="IR1289" i="191"/>
  <c r="IX1289" i="191" s="1"/>
  <c r="IR1291" i="191"/>
  <c r="IX1291" i="191" s="1"/>
  <c r="IR1284" i="191"/>
  <c r="IX1284" i="191" s="1"/>
  <c r="IR1293" i="191"/>
  <c r="IX1293" i="191" s="1"/>
  <c r="IR1290" i="191"/>
  <c r="IX1290" i="191" s="1"/>
  <c r="IR1287" i="191"/>
  <c r="IX1287" i="191" s="1"/>
  <c r="IR1286" i="191"/>
  <c r="IX1286" i="191" s="1"/>
  <c r="IR1288" i="191"/>
  <c r="IX1288" i="191" s="1"/>
  <c r="IR1282" i="191"/>
  <c r="IX1282" i="191" s="1"/>
  <c r="PD1281" i="191"/>
  <c r="PJ1281" i="191" s="1"/>
  <c r="PD1293" i="191"/>
  <c r="PJ1293" i="191" s="1"/>
  <c r="PD1290" i="191"/>
  <c r="PJ1290" i="191" s="1"/>
  <c r="PD1287" i="191"/>
  <c r="PJ1287" i="191" s="1"/>
  <c r="PD1286" i="191"/>
  <c r="PJ1286" i="191" s="1"/>
  <c r="PD1288" i="191"/>
  <c r="PJ1288" i="191" s="1"/>
  <c r="PD1282" i="191"/>
  <c r="PJ1282" i="191" s="1"/>
  <c r="PD1294" i="191"/>
  <c r="PJ1294" i="191" s="1"/>
  <c r="PD1285" i="191"/>
  <c r="PJ1285" i="191" s="1"/>
  <c r="PD1292" i="191"/>
  <c r="PJ1292" i="191" s="1"/>
  <c r="PD1283" i="191"/>
  <c r="PJ1283" i="191" s="1"/>
  <c r="PD1289" i="191"/>
  <c r="PJ1289" i="191" s="1"/>
  <c r="PD1291" i="191"/>
  <c r="PJ1291" i="191" s="1"/>
  <c r="PD1284" i="191"/>
  <c r="PJ1284" i="191" s="1"/>
  <c r="VP1281" i="191"/>
  <c r="VV1281" i="191" s="1"/>
  <c r="VP1294" i="191"/>
  <c r="VV1294" i="191" s="1"/>
  <c r="VP1285" i="191"/>
  <c r="VV1285" i="191" s="1"/>
  <c r="VP1292" i="191"/>
  <c r="VV1292" i="191" s="1"/>
  <c r="VP1283" i="191"/>
  <c r="VV1283" i="191" s="1"/>
  <c r="VP1289" i="191"/>
  <c r="VV1289" i="191" s="1"/>
  <c r="VP1291" i="191"/>
  <c r="VV1291" i="191" s="1"/>
  <c r="VP1284" i="191"/>
  <c r="VV1284" i="191" s="1"/>
  <c r="VP1293" i="191"/>
  <c r="VV1293" i="191" s="1"/>
  <c r="VP1290" i="191"/>
  <c r="VV1290" i="191" s="1"/>
  <c r="VP1287" i="191"/>
  <c r="VV1287" i="191" s="1"/>
  <c r="VP1286" i="191"/>
  <c r="VV1286" i="191" s="1"/>
  <c r="VP1288" i="191"/>
  <c r="VV1288" i="191" s="1"/>
  <c r="VP1282" i="191"/>
  <c r="VV1282" i="191" s="1"/>
  <c r="BK1281" i="191"/>
  <c r="BQ1281" i="191" s="1"/>
  <c r="BK1293" i="191"/>
  <c r="BQ1293" i="191" s="1"/>
  <c r="BK1282" i="191"/>
  <c r="BQ1282" i="191" s="1"/>
  <c r="BK1291" i="191"/>
  <c r="BQ1291" i="191" s="1"/>
  <c r="BK1286" i="191"/>
  <c r="BQ1286" i="191" s="1"/>
  <c r="BK1288" i="191"/>
  <c r="BQ1288" i="191" s="1"/>
  <c r="BK1290" i="191"/>
  <c r="BQ1290" i="191" s="1"/>
  <c r="BK1294" i="191"/>
  <c r="BQ1294" i="191" s="1"/>
  <c r="BK1285" i="191"/>
  <c r="BQ1285" i="191" s="1"/>
  <c r="BK1284" i="191"/>
  <c r="BQ1284" i="191" s="1"/>
  <c r="BK1283" i="191"/>
  <c r="BQ1283" i="191" s="1"/>
  <c r="BK1289" i="191"/>
  <c r="BQ1289" i="191" s="1"/>
  <c r="BK1287" i="191"/>
  <c r="BQ1287" i="191" s="1"/>
  <c r="BK1292" i="191"/>
  <c r="BQ1292" i="191" s="1"/>
  <c r="HW1290" i="191"/>
  <c r="IC1290" i="191" s="1"/>
  <c r="HW1292" i="191"/>
  <c r="IC1292" i="191" s="1"/>
  <c r="HW1288" i="191"/>
  <c r="IC1288" i="191" s="1"/>
  <c r="HW1284" i="191"/>
  <c r="IC1284" i="191" s="1"/>
  <c r="HW1287" i="191"/>
  <c r="IC1287" i="191" s="1"/>
  <c r="HW1289" i="191"/>
  <c r="IC1289" i="191" s="1"/>
  <c r="HW1285" i="191"/>
  <c r="IC1285" i="191" s="1"/>
  <c r="HW1291" i="191"/>
  <c r="IC1291" i="191" s="1"/>
  <c r="HW1286" i="191"/>
  <c r="IC1286" i="191" s="1"/>
  <c r="HW1293" i="191"/>
  <c r="IC1293" i="191" s="1"/>
  <c r="HW1282" i="191"/>
  <c r="IC1282" i="191" s="1"/>
  <c r="HW1283" i="191"/>
  <c r="IC1283" i="191" s="1"/>
  <c r="HW1294" i="191"/>
  <c r="IC1294" i="191" s="1"/>
  <c r="HW1281" i="191"/>
  <c r="IC1281" i="191" s="1"/>
  <c r="OI1281" i="191"/>
  <c r="OO1281" i="191" s="1"/>
  <c r="OI1291" i="191"/>
  <c r="OO1291" i="191" s="1"/>
  <c r="OI1294" i="191"/>
  <c r="OO1294" i="191" s="1"/>
  <c r="OI1285" i="191"/>
  <c r="OO1285" i="191" s="1"/>
  <c r="OI1282" i="191"/>
  <c r="OO1282" i="191" s="1"/>
  <c r="OI1284" i="191"/>
  <c r="OO1284" i="191" s="1"/>
  <c r="OI1289" i="191"/>
  <c r="OO1289" i="191" s="1"/>
  <c r="OI1290" i="191"/>
  <c r="OO1290" i="191" s="1"/>
  <c r="OI1292" i="191"/>
  <c r="OO1292" i="191" s="1"/>
  <c r="OI1293" i="191"/>
  <c r="OO1293" i="191" s="1"/>
  <c r="OI1283" i="191"/>
  <c r="OO1283" i="191" s="1"/>
  <c r="OI1287" i="191"/>
  <c r="OO1287" i="191" s="1"/>
  <c r="OI1286" i="191"/>
  <c r="OO1286" i="191" s="1"/>
  <c r="OI1288" i="191"/>
  <c r="OO1288" i="191" s="1"/>
  <c r="UU1281" i="191"/>
  <c r="VA1281" i="191" s="1"/>
  <c r="UU1290" i="191"/>
  <c r="VA1290" i="191" s="1"/>
  <c r="UU1292" i="191"/>
  <c r="VA1292" i="191" s="1"/>
  <c r="UU1293" i="191"/>
  <c r="VA1293" i="191" s="1"/>
  <c r="UU1283" i="191"/>
  <c r="VA1283" i="191" s="1"/>
  <c r="UU1287" i="191"/>
  <c r="VA1287" i="191" s="1"/>
  <c r="UU1286" i="191"/>
  <c r="VA1286" i="191" s="1"/>
  <c r="UU1288" i="191"/>
  <c r="VA1288" i="191" s="1"/>
  <c r="UU1291" i="191"/>
  <c r="VA1291" i="191" s="1"/>
  <c r="UU1294" i="191"/>
  <c r="VA1294" i="191" s="1"/>
  <c r="UU1285" i="191"/>
  <c r="VA1285" i="191" s="1"/>
  <c r="UU1282" i="191"/>
  <c r="VA1282" i="191" s="1"/>
  <c r="UU1284" i="191"/>
  <c r="VA1284" i="191" s="1"/>
  <c r="UU1289" i="191"/>
  <c r="VA1289" i="191" s="1"/>
  <c r="DV1281" i="191"/>
  <c r="EB1281" i="191" s="1"/>
  <c r="DV1286" i="191"/>
  <c r="EB1286" i="191" s="1"/>
  <c r="DV1288" i="191"/>
  <c r="EB1288" i="191" s="1"/>
  <c r="DV1290" i="191"/>
  <c r="EB1290" i="191" s="1"/>
  <c r="DV1294" i="191"/>
  <c r="EB1294" i="191" s="1"/>
  <c r="DV1285" i="191"/>
  <c r="EB1285" i="191" s="1"/>
  <c r="DV1284" i="191"/>
  <c r="EB1284" i="191" s="1"/>
  <c r="DV1283" i="191"/>
  <c r="EB1283" i="191" s="1"/>
  <c r="DV1289" i="191"/>
  <c r="EB1289" i="191" s="1"/>
  <c r="DV1287" i="191"/>
  <c r="EB1287" i="191" s="1"/>
  <c r="DV1292" i="191"/>
  <c r="EB1292" i="191" s="1"/>
  <c r="DV1293" i="191"/>
  <c r="EB1293" i="191" s="1"/>
  <c r="DV1282" i="191"/>
  <c r="EB1282" i="191" s="1"/>
  <c r="DV1291" i="191"/>
  <c r="EB1291" i="191" s="1"/>
  <c r="KH1281" i="191"/>
  <c r="KN1281" i="191" s="1"/>
  <c r="KH1283" i="191"/>
  <c r="KN1283" i="191" s="1"/>
  <c r="KH1289" i="191"/>
  <c r="KN1289" i="191" s="1"/>
  <c r="KH1287" i="191"/>
  <c r="KN1287" i="191" s="1"/>
  <c r="KH1292" i="191"/>
  <c r="KN1292" i="191" s="1"/>
  <c r="KH1293" i="191"/>
  <c r="KN1293" i="191" s="1"/>
  <c r="KH1282" i="191"/>
  <c r="KN1282" i="191" s="1"/>
  <c r="KH1291" i="191"/>
  <c r="KN1291" i="191" s="1"/>
  <c r="KH1286" i="191"/>
  <c r="KN1286" i="191" s="1"/>
  <c r="KH1288" i="191"/>
  <c r="KN1288" i="191" s="1"/>
  <c r="KH1290" i="191"/>
  <c r="KN1290" i="191" s="1"/>
  <c r="KH1294" i="191"/>
  <c r="KN1294" i="191" s="1"/>
  <c r="KH1285" i="191"/>
  <c r="KN1285" i="191" s="1"/>
  <c r="KH1284" i="191"/>
  <c r="KN1284" i="191" s="1"/>
  <c r="QT1281" i="191"/>
  <c r="QZ1281" i="191" s="1"/>
  <c r="QT1286" i="191"/>
  <c r="QZ1286" i="191" s="1"/>
  <c r="QT1288" i="191"/>
  <c r="QZ1288" i="191" s="1"/>
  <c r="QT1290" i="191"/>
  <c r="QZ1290" i="191" s="1"/>
  <c r="QT1294" i="191"/>
  <c r="QZ1294" i="191" s="1"/>
  <c r="QT1285" i="191"/>
  <c r="QZ1285" i="191" s="1"/>
  <c r="QT1284" i="191"/>
  <c r="QZ1284" i="191" s="1"/>
  <c r="QT1283" i="191"/>
  <c r="QZ1283" i="191" s="1"/>
  <c r="QT1289" i="191"/>
  <c r="QZ1289" i="191" s="1"/>
  <c r="QT1287" i="191"/>
  <c r="QZ1287" i="191" s="1"/>
  <c r="QT1292" i="191"/>
  <c r="QZ1292" i="191" s="1"/>
  <c r="QT1293" i="191"/>
  <c r="QZ1293" i="191" s="1"/>
  <c r="QT1282" i="191"/>
  <c r="QZ1282" i="191" s="1"/>
  <c r="QT1291" i="191"/>
  <c r="QZ1291" i="191" s="1"/>
  <c r="XF1281" i="191"/>
  <c r="XL1281" i="191" s="1"/>
  <c r="XF1283" i="191"/>
  <c r="XL1283" i="191" s="1"/>
  <c r="XF1289" i="191"/>
  <c r="XL1289" i="191" s="1"/>
  <c r="XF1287" i="191"/>
  <c r="XL1287" i="191" s="1"/>
  <c r="XF1292" i="191"/>
  <c r="XL1292" i="191" s="1"/>
  <c r="XF1293" i="191"/>
  <c r="XL1293" i="191" s="1"/>
  <c r="XF1282" i="191"/>
  <c r="XL1282" i="191" s="1"/>
  <c r="XF1291" i="191"/>
  <c r="XL1291" i="191" s="1"/>
  <c r="XF1286" i="191"/>
  <c r="XL1286" i="191" s="1"/>
  <c r="XF1288" i="191"/>
  <c r="XL1288" i="191" s="1"/>
  <c r="XF1290" i="191"/>
  <c r="XL1290" i="191" s="1"/>
  <c r="XF1294" i="191"/>
  <c r="XL1294" i="191" s="1"/>
  <c r="XF1285" i="191"/>
  <c r="XL1285" i="191" s="1"/>
  <c r="XF1284" i="191"/>
  <c r="XL1284" i="191" s="1"/>
  <c r="IK43" i="87"/>
  <c r="JY106" i="87"/>
  <c r="DU106" i="87"/>
  <c r="CQ106" i="87"/>
  <c r="BW43" i="87"/>
  <c r="CG43" i="87"/>
  <c r="LI159" i="87"/>
  <c r="LI218" i="87" s="1"/>
  <c r="EY43" i="87"/>
  <c r="LC43" i="87"/>
  <c r="FI43" i="87"/>
  <c r="LJ43" i="87"/>
  <c r="F429" i="191"/>
  <c r="AI43" i="87"/>
  <c r="DK43" i="87"/>
  <c r="GM43" i="87"/>
  <c r="JO43" i="87"/>
  <c r="AS43" i="87"/>
  <c r="DU43" i="87"/>
  <c r="GW43" i="87"/>
  <c r="JY43" i="87"/>
  <c r="G552" i="191"/>
  <c r="LJ106" i="87"/>
  <c r="GW106" i="87"/>
  <c r="AS106" i="87"/>
  <c r="FS106" i="87"/>
  <c r="LC106" i="87"/>
  <c r="F434" i="191"/>
  <c r="F441" i="191"/>
  <c r="O43" i="87"/>
  <c r="BC43" i="87"/>
  <c r="CQ43" i="87"/>
  <c r="EE43" i="87"/>
  <c r="FS43" i="87"/>
  <c r="HG43" i="87"/>
  <c r="IU43" i="87"/>
  <c r="KI43" i="87"/>
  <c r="Y43" i="87"/>
  <c r="BM43" i="87"/>
  <c r="DA43" i="87"/>
  <c r="EO43" i="87"/>
  <c r="GC43" i="87"/>
  <c r="HQ43" i="87"/>
  <c r="JE43" i="87"/>
  <c r="KS43" i="87"/>
  <c r="EY111" i="87"/>
  <c r="LI164" i="87"/>
  <c r="LI223" i="87" s="1"/>
  <c r="O223" i="87" s="1"/>
  <c r="LJ60" i="87"/>
  <c r="IK106" i="87"/>
  <c r="FI106" i="87"/>
  <c r="CG106" i="87"/>
  <c r="KI106" i="87"/>
  <c r="HG106" i="87"/>
  <c r="EE106" i="87"/>
  <c r="BC106" i="87"/>
  <c r="F679" i="191"/>
  <c r="G679" i="191" s="1"/>
  <c r="F447" i="191"/>
  <c r="KS101" i="87"/>
  <c r="JE101" i="87"/>
  <c r="HQ101" i="87"/>
  <c r="GC101" i="87"/>
  <c r="EO101" i="87"/>
  <c r="DA101" i="87"/>
  <c r="BM101" i="87"/>
  <c r="Y101" i="87"/>
  <c r="KI101" i="87"/>
  <c r="IU101" i="87"/>
  <c r="HG101" i="87"/>
  <c r="FS101" i="87"/>
  <c r="EE101" i="87"/>
  <c r="CQ101" i="87"/>
  <c r="BC101" i="87"/>
  <c r="O101" i="87"/>
  <c r="F674" i="191"/>
  <c r="LJ101" i="87"/>
  <c r="JY101" i="87"/>
  <c r="IK101" i="87"/>
  <c r="GW101" i="87"/>
  <c r="FI101" i="87"/>
  <c r="DU101" i="87"/>
  <c r="CG101" i="87"/>
  <c r="AS101" i="87"/>
  <c r="LC101" i="87"/>
  <c r="JO101" i="87"/>
  <c r="IA101" i="87"/>
  <c r="GM101" i="87"/>
  <c r="EY101" i="87"/>
  <c r="DK101" i="87"/>
  <c r="BW101" i="87"/>
  <c r="AI101" i="87"/>
  <c r="F554" i="191"/>
  <c r="KS48" i="87"/>
  <c r="JE48" i="87"/>
  <c r="HQ48" i="87"/>
  <c r="GC48" i="87"/>
  <c r="EO48" i="87"/>
  <c r="DA48" i="87"/>
  <c r="BM48" i="87"/>
  <c r="Y48" i="87"/>
  <c r="KI48" i="87"/>
  <c r="IU48" i="87"/>
  <c r="HG48" i="87"/>
  <c r="FS48" i="87"/>
  <c r="EE48" i="87"/>
  <c r="CQ48" i="87"/>
  <c r="BC48" i="87"/>
  <c r="O48" i="87"/>
  <c r="LJ48" i="87"/>
  <c r="JY48" i="87"/>
  <c r="IK48" i="87"/>
  <c r="GW48" i="87"/>
  <c r="FI48" i="87"/>
  <c r="DU48" i="87"/>
  <c r="CG48" i="87"/>
  <c r="AS48" i="87"/>
  <c r="LC48" i="87"/>
  <c r="JO48" i="87"/>
  <c r="IA48" i="87"/>
  <c r="GM48" i="87"/>
  <c r="EY48" i="87"/>
  <c r="DK48" i="87"/>
  <c r="BW48" i="87"/>
  <c r="AI48" i="87"/>
  <c r="KS133" i="87"/>
  <c r="HQ133" i="87"/>
  <c r="EO133" i="87"/>
  <c r="BM133" i="87"/>
  <c r="LC133" i="87"/>
  <c r="GM133" i="87"/>
  <c r="DK133" i="87"/>
  <c r="AI133" i="87"/>
  <c r="HG133" i="87"/>
  <c r="EE133" i="87"/>
  <c r="BC133" i="87"/>
  <c r="IK133" i="87"/>
  <c r="FI133" i="87"/>
  <c r="CG133" i="87"/>
  <c r="JO133" i="87"/>
  <c r="F740" i="191"/>
  <c r="LJ133" i="87"/>
  <c r="LJ162" i="87" s="1"/>
  <c r="JE133" i="87"/>
  <c r="GC133" i="87"/>
  <c r="DA133" i="87"/>
  <c r="Y133" i="87"/>
  <c r="IA133" i="87"/>
  <c r="EY133" i="87"/>
  <c r="BW133" i="87"/>
  <c r="IU133" i="87"/>
  <c r="FS133" i="87"/>
  <c r="CQ133" i="87"/>
  <c r="JY133" i="87"/>
  <c r="GW133" i="87"/>
  <c r="DU133" i="87"/>
  <c r="AS133" i="87"/>
  <c r="KI133" i="87"/>
  <c r="O133" i="87"/>
  <c r="JY77" i="87"/>
  <c r="IK77" i="87"/>
  <c r="GW77" i="87"/>
  <c r="FI77" i="87"/>
  <c r="DU77" i="87"/>
  <c r="CG77" i="87"/>
  <c r="AS77" i="87"/>
  <c r="LC77" i="87"/>
  <c r="JO77" i="87"/>
  <c r="IA77" i="87"/>
  <c r="GM77" i="87"/>
  <c r="EY77" i="87"/>
  <c r="DK77" i="87"/>
  <c r="BW77" i="87"/>
  <c r="AI77" i="87"/>
  <c r="LJ77" i="87"/>
  <c r="F617" i="191"/>
  <c r="KS77" i="87"/>
  <c r="JE77" i="87"/>
  <c r="HQ77" i="87"/>
  <c r="GC77" i="87"/>
  <c r="EO77" i="87"/>
  <c r="DA77" i="87"/>
  <c r="BM77" i="87"/>
  <c r="Y77" i="87"/>
  <c r="KI77" i="87"/>
  <c r="IU77" i="87"/>
  <c r="HG77" i="87"/>
  <c r="FS77" i="87"/>
  <c r="EE77" i="87"/>
  <c r="CQ77" i="87"/>
  <c r="BC77" i="87"/>
  <c r="O77" i="87"/>
  <c r="F742" i="191"/>
  <c r="KS135" i="87"/>
  <c r="HQ135" i="87"/>
  <c r="EO135" i="87"/>
  <c r="BM135" i="87"/>
  <c r="LC135" i="87"/>
  <c r="GM135" i="87"/>
  <c r="DK135" i="87"/>
  <c r="AI135" i="87"/>
  <c r="HG135" i="87"/>
  <c r="EE135" i="87"/>
  <c r="BC135" i="87"/>
  <c r="IK135" i="87"/>
  <c r="FI135" i="87"/>
  <c r="CG135" i="87"/>
  <c r="JO135" i="87"/>
  <c r="O135" i="87"/>
  <c r="LJ135" i="87"/>
  <c r="JE135" i="87"/>
  <c r="GC135" i="87"/>
  <c r="DA135" i="87"/>
  <c r="Y135" i="87"/>
  <c r="IA135" i="87"/>
  <c r="EY135" i="87"/>
  <c r="BW135" i="87"/>
  <c r="IU135" i="87"/>
  <c r="FS135" i="87"/>
  <c r="CQ135" i="87"/>
  <c r="JY135" i="87"/>
  <c r="GW135" i="87"/>
  <c r="DU135" i="87"/>
  <c r="AS135" i="87"/>
  <c r="KI135" i="87"/>
  <c r="F612" i="191"/>
  <c r="BW72" i="87"/>
  <c r="EY72" i="87"/>
  <c r="IA72" i="87"/>
  <c r="LC72" i="87"/>
  <c r="CQ72" i="87"/>
  <c r="FS72" i="87"/>
  <c r="IU72" i="87"/>
  <c r="JY72" i="87"/>
  <c r="GW72" i="87"/>
  <c r="DU72" i="87"/>
  <c r="AS72" i="87"/>
  <c r="JE72" i="87"/>
  <c r="GC72" i="87"/>
  <c r="DA72" i="87"/>
  <c r="Y72" i="87"/>
  <c r="AI72" i="87"/>
  <c r="DK72" i="87"/>
  <c r="GM72" i="87"/>
  <c r="JO72" i="87"/>
  <c r="BC72" i="87"/>
  <c r="EE72" i="87"/>
  <c r="HG72" i="87"/>
  <c r="KI72" i="87"/>
  <c r="IK72" i="87"/>
  <c r="FI72" i="87"/>
  <c r="CG72" i="87"/>
  <c r="KS72" i="87"/>
  <c r="HQ72" i="87"/>
  <c r="EO72" i="87"/>
  <c r="BM72" i="87"/>
  <c r="LJ72" i="87"/>
  <c r="O72" i="87"/>
  <c r="F803" i="191"/>
  <c r="FI192" i="87"/>
  <c r="AS192" i="87"/>
  <c r="EE192" i="87"/>
  <c r="DU192" i="87"/>
  <c r="BC192" i="87"/>
  <c r="KI192" i="87"/>
  <c r="GW192" i="87"/>
  <c r="JO192" i="87"/>
  <c r="Y192" i="87"/>
  <c r="DK192" i="87"/>
  <c r="IK192" i="87"/>
  <c r="IU192" i="87"/>
  <c r="CQ192" i="87"/>
  <c r="HG192" i="87"/>
  <c r="GC192" i="87"/>
  <c r="AI192" i="87"/>
  <c r="KS192" i="87"/>
  <c r="EO192" i="87"/>
  <c r="GM192" i="87"/>
  <c r="CG192" i="87"/>
  <c r="DA192" i="87"/>
  <c r="BM192" i="87"/>
  <c r="FS192" i="87"/>
  <c r="JE192" i="87"/>
  <c r="EY192" i="87"/>
  <c r="IA192" i="87"/>
  <c r="LJ192" i="87"/>
  <c r="LC192" i="87"/>
  <c r="HQ192" i="87"/>
  <c r="BW192" i="87"/>
  <c r="JY192" i="87"/>
  <c r="EE189" i="87"/>
  <c r="BW189" i="87"/>
  <c r="KS189" i="87"/>
  <c r="FI189" i="87"/>
  <c r="DA189" i="87"/>
  <c r="GC189" i="87"/>
  <c r="JY189" i="87"/>
  <c r="IU189" i="87"/>
  <c r="LJ189" i="87"/>
  <c r="DK189" i="87"/>
  <c r="KI189" i="87"/>
  <c r="JO189" i="87"/>
  <c r="HG189" i="87"/>
  <c r="F800" i="191"/>
  <c r="GW189" i="87"/>
  <c r="AS189" i="87"/>
  <c r="DU189" i="87"/>
  <c r="CG189" i="87"/>
  <c r="JE189" i="87"/>
  <c r="IA189" i="87"/>
  <c r="FS189" i="87"/>
  <c r="BM189" i="87"/>
  <c r="EO189" i="87"/>
  <c r="HQ189" i="87"/>
  <c r="IK189" i="87"/>
  <c r="EY189" i="87"/>
  <c r="Y189" i="87"/>
  <c r="AI189" i="87"/>
  <c r="GM189" i="87"/>
  <c r="CQ189" i="87"/>
  <c r="LC189" i="87"/>
  <c r="BC189" i="87"/>
  <c r="F737" i="191"/>
  <c r="JO130" i="87"/>
  <c r="LC130" i="87"/>
  <c r="GM130" i="87"/>
  <c r="DK130" i="87"/>
  <c r="AI130" i="87"/>
  <c r="HG130" i="87"/>
  <c r="EE130" i="87"/>
  <c r="BC130" i="87"/>
  <c r="JE130" i="87"/>
  <c r="GC130" i="87"/>
  <c r="DA130" i="87"/>
  <c r="Y130" i="87"/>
  <c r="IK130" i="87"/>
  <c r="FI130" i="87"/>
  <c r="CG130" i="87"/>
  <c r="O130" i="87"/>
  <c r="LJ130" i="87"/>
  <c r="KI130" i="87"/>
  <c r="IA130" i="87"/>
  <c r="EY130" i="87"/>
  <c r="BW130" i="87"/>
  <c r="IU130" i="87"/>
  <c r="FS130" i="87"/>
  <c r="CQ130" i="87"/>
  <c r="KS130" i="87"/>
  <c r="HQ130" i="87"/>
  <c r="EO130" i="87"/>
  <c r="BM130" i="87"/>
  <c r="JY130" i="87"/>
  <c r="GW130" i="87"/>
  <c r="DU130" i="87"/>
  <c r="AS130" i="87"/>
  <c r="F805" i="191"/>
  <c r="EY194" i="87"/>
  <c r="JY194" i="87"/>
  <c r="JO194" i="87"/>
  <c r="DK194" i="87"/>
  <c r="EO194" i="87"/>
  <c r="LJ194" i="87"/>
  <c r="IU194" i="87"/>
  <c r="FS194" i="87"/>
  <c r="CQ194" i="87"/>
  <c r="KS194" i="87"/>
  <c r="BM194" i="87"/>
  <c r="HQ194" i="87"/>
  <c r="DA194" i="87"/>
  <c r="O194" i="87"/>
  <c r="FI194" i="87"/>
  <c r="IA194" i="87"/>
  <c r="BW194" i="87"/>
  <c r="GM194" i="87"/>
  <c r="AI194" i="87"/>
  <c r="AS194" i="87"/>
  <c r="CG194" i="87"/>
  <c r="KI194" i="87"/>
  <c r="HG194" i="87"/>
  <c r="EE194" i="87"/>
  <c r="BC194" i="87"/>
  <c r="IK194" i="87"/>
  <c r="GW194" i="87"/>
  <c r="LC194" i="87"/>
  <c r="JE194" i="87"/>
  <c r="GC194" i="87"/>
  <c r="Y194" i="87"/>
  <c r="DU194" i="87"/>
  <c r="O106" i="87"/>
  <c r="KS106" i="87"/>
  <c r="JE106" i="87"/>
  <c r="HQ106" i="87"/>
  <c r="GC106" i="87"/>
  <c r="EO106" i="87"/>
  <c r="DA106" i="87"/>
  <c r="BM106" i="87"/>
  <c r="Y106" i="87"/>
  <c r="JO106" i="87"/>
  <c r="IA106" i="87"/>
  <c r="GM106" i="87"/>
  <c r="EY106" i="87"/>
  <c r="DK106" i="87"/>
  <c r="BW106" i="87"/>
  <c r="AI106" i="87"/>
  <c r="E548" i="191"/>
  <c r="F801" i="191"/>
  <c r="F810" i="191"/>
  <c r="F814" i="191"/>
  <c r="F823" i="191"/>
  <c r="F802" i="191"/>
  <c r="F551" i="191"/>
  <c r="F611" i="191"/>
  <c r="F614" i="191"/>
  <c r="F622" i="191"/>
  <c r="F633" i="191"/>
  <c r="F624" i="191"/>
  <c r="F635" i="191"/>
  <c r="F550" i="191"/>
  <c r="F563" i="191"/>
  <c r="LC55" i="87"/>
  <c r="F561" i="191"/>
  <c r="GW66" i="87"/>
  <c r="F572" i="191"/>
  <c r="CG105" i="87"/>
  <c r="F678" i="191"/>
  <c r="KS103" i="87"/>
  <c r="F676" i="191"/>
  <c r="HQ114" i="87"/>
  <c r="F687" i="191"/>
  <c r="JY118" i="87"/>
  <c r="F691" i="191"/>
  <c r="GW122" i="87"/>
  <c r="F695" i="191"/>
  <c r="JY113" i="87"/>
  <c r="F686" i="191"/>
  <c r="GC123" i="87"/>
  <c r="F696" i="191"/>
  <c r="IK132" i="87"/>
  <c r="F739" i="191"/>
  <c r="KS153" i="87"/>
  <c r="F760" i="191"/>
  <c r="HQ142" i="87"/>
  <c r="F749" i="191"/>
  <c r="KS147" i="87"/>
  <c r="F754" i="191"/>
  <c r="JY47" i="87"/>
  <c r="F553" i="191"/>
  <c r="GC56" i="87"/>
  <c r="F562" i="191"/>
  <c r="JE65" i="87"/>
  <c r="F571" i="191"/>
  <c r="O102" i="87"/>
  <c r="F675" i="191"/>
  <c r="G560" i="191"/>
  <c r="H560" i="191"/>
  <c r="G509" i="191"/>
  <c r="H509" i="191"/>
  <c r="G508" i="191"/>
  <c r="H508" i="191"/>
  <c r="G496" i="191"/>
  <c r="H496" i="191"/>
  <c r="G500" i="191"/>
  <c r="H500" i="191"/>
  <c r="G555" i="191"/>
  <c r="H555" i="191"/>
  <c r="G683" i="191"/>
  <c r="H683" i="191"/>
  <c r="G618" i="191"/>
  <c r="H618" i="191"/>
  <c r="G630" i="191"/>
  <c r="H630" i="191"/>
  <c r="G442" i="191"/>
  <c r="G549" i="191"/>
  <c r="H549" i="191"/>
  <c r="G490" i="191"/>
  <c r="H490" i="191"/>
  <c r="G621" i="191"/>
  <c r="H621" i="191"/>
  <c r="G636" i="191"/>
  <c r="H636" i="191"/>
  <c r="G757" i="191"/>
  <c r="H757" i="191"/>
  <c r="G677" i="191"/>
  <c r="H677" i="191"/>
  <c r="E673" i="191"/>
  <c r="E736" i="191"/>
  <c r="F799" i="191"/>
  <c r="F808" i="191"/>
  <c r="F812" i="191"/>
  <c r="F817" i="191"/>
  <c r="F821" i="191"/>
  <c r="F804" i="191"/>
  <c r="F813" i="191"/>
  <c r="F822" i="191"/>
  <c r="F682" i="191"/>
  <c r="F613" i="191"/>
  <c r="F741" i="191"/>
  <c r="F626" i="191"/>
  <c r="F620" i="191"/>
  <c r="F629" i="191"/>
  <c r="F559" i="191"/>
  <c r="F557" i="191"/>
  <c r="F566" i="191"/>
  <c r="F570" i="191"/>
  <c r="F697" i="191"/>
  <c r="F688" i="191"/>
  <c r="F684" i="191"/>
  <c r="F738" i="191"/>
  <c r="F758" i="191"/>
  <c r="F747" i="191"/>
  <c r="F745" i="191"/>
  <c r="F750" i="191"/>
  <c r="F751" i="191"/>
  <c r="F616" i="191"/>
  <c r="F625" i="191"/>
  <c r="G573" i="191"/>
  <c r="H573" i="191"/>
  <c r="G567" i="191"/>
  <c r="H567" i="191"/>
  <c r="G499" i="191"/>
  <c r="H499" i="191"/>
  <c r="G634" i="191"/>
  <c r="H634" i="191"/>
  <c r="G632" i="191"/>
  <c r="H632" i="191"/>
  <c r="G743" i="191"/>
  <c r="H743" i="191"/>
  <c r="G627" i="191"/>
  <c r="H627" i="191"/>
  <c r="H442" i="191"/>
  <c r="G569" i="191"/>
  <c r="H569" i="191"/>
  <c r="G488" i="191"/>
  <c r="H488" i="191"/>
  <c r="G494" i="191"/>
  <c r="H494" i="191"/>
  <c r="G498" i="191"/>
  <c r="H498" i="191"/>
  <c r="G503" i="191"/>
  <c r="H503" i="191"/>
  <c r="G759" i="191"/>
  <c r="H759" i="191"/>
  <c r="G558" i="191"/>
  <c r="H558" i="191"/>
  <c r="G487" i="191"/>
  <c r="H487" i="191"/>
  <c r="G698" i="191"/>
  <c r="H698" i="191"/>
  <c r="G623" i="191"/>
  <c r="H623" i="191"/>
  <c r="G485" i="191"/>
  <c r="H485" i="191"/>
  <c r="F432" i="191"/>
  <c r="F443" i="191"/>
  <c r="EY71" i="87"/>
  <c r="EO74" i="87"/>
  <c r="DU82" i="87"/>
  <c r="FI93" i="87"/>
  <c r="GW84" i="87"/>
  <c r="IK95" i="87"/>
  <c r="FI132" i="87"/>
  <c r="DU53" i="87"/>
  <c r="IK51" i="87"/>
  <c r="IK60" i="87"/>
  <c r="FI124" i="87"/>
  <c r="IK115" i="87"/>
  <c r="O111" i="87"/>
  <c r="BM109" i="87"/>
  <c r="GC71" i="87"/>
  <c r="EE71" i="87"/>
  <c r="KI74" i="87"/>
  <c r="KS74" i="87"/>
  <c r="JO82" i="87"/>
  <c r="JY82" i="87"/>
  <c r="LC93" i="87"/>
  <c r="AI84" i="87"/>
  <c r="AS84" i="87"/>
  <c r="BW95" i="87"/>
  <c r="CG95" i="87"/>
  <c r="AS118" i="87"/>
  <c r="KS142" i="87"/>
  <c r="O51" i="87"/>
  <c r="O76" i="87"/>
  <c r="JO73" i="87"/>
  <c r="LC53" i="87"/>
  <c r="JY53" i="87"/>
  <c r="BC51" i="87"/>
  <c r="CG51" i="87"/>
  <c r="HG60" i="87"/>
  <c r="IA60" i="87"/>
  <c r="KI64" i="87"/>
  <c r="LC64" i="87"/>
  <c r="DA124" i="87"/>
  <c r="IA124" i="87"/>
  <c r="GC115" i="87"/>
  <c r="JO115" i="87"/>
  <c r="JE111" i="87"/>
  <c r="LC111" i="87"/>
  <c r="GC131" i="87"/>
  <c r="FI76" i="87"/>
  <c r="BC109" i="87"/>
  <c r="DU109" i="87"/>
  <c r="BW206" i="87"/>
  <c r="BW197" i="87"/>
  <c r="BW193" i="87"/>
  <c r="DA103" i="87"/>
  <c r="GW113" i="87"/>
  <c r="HQ153" i="87"/>
  <c r="KI188" i="87"/>
  <c r="IU201" i="87"/>
  <c r="JO210" i="87"/>
  <c r="EY211" i="87"/>
  <c r="O210" i="87"/>
  <c r="O206" i="87"/>
  <c r="EO188" i="87"/>
  <c r="Y197" i="87"/>
  <c r="HQ201" i="87"/>
  <c r="EO206" i="87"/>
  <c r="AS210" i="87"/>
  <c r="GW193" i="87"/>
  <c r="KS202" i="87"/>
  <c r="GC211" i="87"/>
  <c r="Y188" i="87"/>
  <c r="IK188" i="87"/>
  <c r="BM197" i="87"/>
  <c r="LC197" i="87"/>
  <c r="AS201" i="87"/>
  <c r="JE206" i="87"/>
  <c r="CQ206" i="87"/>
  <c r="DK210" i="87"/>
  <c r="EO210" i="87"/>
  <c r="IA193" i="87"/>
  <c r="IK193" i="87"/>
  <c r="CG202" i="87"/>
  <c r="BW202" i="87"/>
  <c r="JE211" i="87"/>
  <c r="BW211" i="87"/>
  <c r="O197" i="87"/>
  <c r="O193" i="87"/>
  <c r="FS188" i="87"/>
  <c r="GC188" i="87"/>
  <c r="FI188" i="87"/>
  <c r="EO197" i="87"/>
  <c r="DK197" i="87"/>
  <c r="KS197" i="87"/>
  <c r="AS197" i="87"/>
  <c r="IA201" i="87"/>
  <c r="GW201" i="87"/>
  <c r="BW201" i="87"/>
  <c r="LC201" i="87"/>
  <c r="FS206" i="87"/>
  <c r="Y206" i="87"/>
  <c r="AS206" i="87"/>
  <c r="LC206" i="87"/>
  <c r="KS210" i="87"/>
  <c r="CG210" i="87"/>
  <c r="GW210" i="87"/>
  <c r="JE193" i="87"/>
  <c r="FI193" i="87"/>
  <c r="JO193" i="87"/>
  <c r="BM193" i="87"/>
  <c r="EY202" i="87"/>
  <c r="IK202" i="87"/>
  <c r="HG202" i="87"/>
  <c r="FS202" i="87"/>
  <c r="LC211" i="87"/>
  <c r="HQ211" i="87"/>
  <c r="DU211" i="87"/>
  <c r="AI211" i="87"/>
  <c r="O201" i="87"/>
  <c r="O202" i="87"/>
  <c r="O211" i="87"/>
  <c r="JE188" i="87"/>
  <c r="JY188" i="87"/>
  <c r="EY188" i="87"/>
  <c r="HG188" i="87"/>
  <c r="AI188" i="87"/>
  <c r="AS188" i="87"/>
  <c r="BW188" i="87"/>
  <c r="LC188" i="87"/>
  <c r="IA197" i="87"/>
  <c r="HQ197" i="87"/>
  <c r="EY197" i="87"/>
  <c r="KI197" i="87"/>
  <c r="AI197" i="87"/>
  <c r="IK197" i="87"/>
  <c r="FI197" i="87"/>
  <c r="EE201" i="87"/>
  <c r="Y201" i="87"/>
  <c r="DK201" i="87"/>
  <c r="HG201" i="87"/>
  <c r="GM201" i="87"/>
  <c r="DA201" i="87"/>
  <c r="CQ201" i="87"/>
  <c r="CG201" i="87"/>
  <c r="JY206" i="87"/>
  <c r="HQ206" i="87"/>
  <c r="GW206" i="87"/>
  <c r="KS206" i="87"/>
  <c r="GM206" i="87"/>
  <c r="FI206" i="87"/>
  <c r="IK206" i="87"/>
  <c r="JY210" i="87"/>
  <c r="EY210" i="87"/>
  <c r="AI210" i="87"/>
  <c r="BM210" i="87"/>
  <c r="DA210" i="87"/>
  <c r="FS210" i="87"/>
  <c r="LC210" i="87"/>
  <c r="IK210" i="87"/>
  <c r="JY193" i="87"/>
  <c r="CQ193" i="87"/>
  <c r="GC193" i="87"/>
  <c r="HQ193" i="87"/>
  <c r="KS193" i="87"/>
  <c r="DK193" i="87"/>
  <c r="DU193" i="87"/>
  <c r="JE202" i="87"/>
  <c r="GM202" i="87"/>
  <c r="AS202" i="87"/>
  <c r="JY202" i="87"/>
  <c r="DA202" i="87"/>
  <c r="EO202" i="87"/>
  <c r="HQ202" i="87"/>
  <c r="DK202" i="87"/>
  <c r="KI211" i="87"/>
  <c r="FI211" i="87"/>
  <c r="IK211" i="87"/>
  <c r="GW211" i="87"/>
  <c r="EO211" i="87"/>
  <c r="DA211" i="87"/>
  <c r="BC211" i="87"/>
  <c r="LJ201" i="87"/>
  <c r="O203" i="87"/>
  <c r="O191" i="87"/>
  <c r="O190" i="87"/>
  <c r="O199" i="87"/>
  <c r="O212" i="87"/>
  <c r="KI191" i="87"/>
  <c r="DK188" i="87"/>
  <c r="IA188" i="87"/>
  <c r="BC188" i="87"/>
  <c r="EE188" i="87"/>
  <c r="GW188" i="87"/>
  <c r="BM188" i="87"/>
  <c r="HQ188" i="87"/>
  <c r="GM188" i="87"/>
  <c r="KS188" i="87"/>
  <c r="CQ188" i="87"/>
  <c r="CG188" i="87"/>
  <c r="IU188" i="87"/>
  <c r="DA188" i="87"/>
  <c r="JO188" i="87"/>
  <c r="DU188" i="87"/>
  <c r="GW197" i="87"/>
  <c r="JY197" i="87"/>
  <c r="HG197" i="87"/>
  <c r="JE197" i="87"/>
  <c r="EE197" i="87"/>
  <c r="BC197" i="87"/>
  <c r="FS197" i="87"/>
  <c r="CQ197" i="87"/>
  <c r="GM197" i="87"/>
  <c r="GC197" i="87"/>
  <c r="DA197" i="87"/>
  <c r="JO197" i="87"/>
  <c r="CG197" i="87"/>
  <c r="IU197" i="87"/>
  <c r="DU197" i="87"/>
  <c r="EY201" i="87"/>
  <c r="JY201" i="87"/>
  <c r="FS201" i="87"/>
  <c r="JE201" i="87"/>
  <c r="EO201" i="87"/>
  <c r="BC201" i="87"/>
  <c r="KS201" i="87"/>
  <c r="GC201" i="87"/>
  <c r="FI201" i="87"/>
  <c r="JO201" i="87"/>
  <c r="IK201" i="87"/>
  <c r="KI201" i="87"/>
  <c r="BM201" i="87"/>
  <c r="DU201" i="87"/>
  <c r="AI201" i="87"/>
  <c r="DK206" i="87"/>
  <c r="BC206" i="87"/>
  <c r="HG206" i="87"/>
  <c r="EE206" i="87"/>
  <c r="EY206" i="87"/>
  <c r="IA206" i="87"/>
  <c r="BM206" i="87"/>
  <c r="KI206" i="87"/>
  <c r="GC206" i="87"/>
  <c r="AI206" i="87"/>
  <c r="CG206" i="87"/>
  <c r="IU206" i="87"/>
  <c r="DA206" i="87"/>
  <c r="JO206" i="87"/>
  <c r="DU206" i="87"/>
  <c r="HQ210" i="87"/>
  <c r="EE210" i="87"/>
  <c r="HG210" i="87"/>
  <c r="GC210" i="87"/>
  <c r="Y210" i="87"/>
  <c r="BC210" i="87"/>
  <c r="BW210" i="87"/>
  <c r="CQ210" i="87"/>
  <c r="DU210" i="87"/>
  <c r="FI210" i="87"/>
  <c r="GM210" i="87"/>
  <c r="IU210" i="87"/>
  <c r="KI210" i="87"/>
  <c r="JE210" i="87"/>
  <c r="IA210" i="87"/>
  <c r="EY193" i="87"/>
  <c r="EO193" i="87"/>
  <c r="BC193" i="87"/>
  <c r="AI193" i="87"/>
  <c r="FS193" i="87"/>
  <c r="GM193" i="87"/>
  <c r="HG193" i="87"/>
  <c r="IU193" i="87"/>
  <c r="KI193" i="87"/>
  <c r="LC193" i="87"/>
  <c r="EE193" i="87"/>
  <c r="CG193" i="87"/>
  <c r="Y193" i="87"/>
  <c r="DA193" i="87"/>
  <c r="AS193" i="87"/>
  <c r="BC202" i="87"/>
  <c r="AI202" i="87"/>
  <c r="FI202" i="87"/>
  <c r="CQ202" i="87"/>
  <c r="JO202" i="87"/>
  <c r="IU202" i="87"/>
  <c r="KI202" i="87"/>
  <c r="LC202" i="87"/>
  <c r="IA202" i="87"/>
  <c r="GC202" i="87"/>
  <c r="DU202" i="87"/>
  <c r="Y202" i="87"/>
  <c r="GW202" i="87"/>
  <c r="EE202" i="87"/>
  <c r="BM202" i="87"/>
  <c r="JY211" i="87"/>
  <c r="KS211" i="87"/>
  <c r="CG211" i="87"/>
  <c r="JO211" i="87"/>
  <c r="IU211" i="87"/>
  <c r="IA211" i="87"/>
  <c r="HG211" i="87"/>
  <c r="GM211" i="87"/>
  <c r="FS211" i="87"/>
  <c r="EE211" i="87"/>
  <c r="DK211" i="87"/>
  <c r="CQ211" i="87"/>
  <c r="BM211" i="87"/>
  <c r="AS211" i="87"/>
  <c r="Y211" i="87"/>
  <c r="LJ188" i="87"/>
  <c r="LJ210" i="87"/>
  <c r="O124" i="87"/>
  <c r="LJ109" i="87"/>
  <c r="JE124" i="87"/>
  <c r="EY124" i="87"/>
  <c r="LC124" i="87"/>
  <c r="Y115" i="87"/>
  <c r="AI115" i="87"/>
  <c r="GM115" i="87"/>
  <c r="CG115" i="87"/>
  <c r="DA111" i="87"/>
  <c r="BW111" i="87"/>
  <c r="IA111" i="87"/>
  <c r="FI111" i="87"/>
  <c r="HQ109" i="87"/>
  <c r="EE109" i="87"/>
  <c r="KI109" i="87"/>
  <c r="JY109" i="87"/>
  <c r="GM132" i="87"/>
  <c r="BC153" i="87"/>
  <c r="HG142" i="87"/>
  <c r="AI147" i="87"/>
  <c r="O142" i="87"/>
  <c r="EE132" i="87"/>
  <c r="HQ132" i="87"/>
  <c r="JO153" i="87"/>
  <c r="GM153" i="87"/>
  <c r="FI142" i="87"/>
  <c r="LC142" i="87"/>
  <c r="IK147" i="87"/>
  <c r="BM147" i="87"/>
  <c r="IK140" i="87"/>
  <c r="DK105" i="87"/>
  <c r="JY114" i="87"/>
  <c r="DU122" i="87"/>
  <c r="JE123" i="87"/>
  <c r="AI102" i="87"/>
  <c r="DK134" i="87"/>
  <c r="GW151" i="87"/>
  <c r="BC138" i="87"/>
  <c r="HG144" i="87"/>
  <c r="O140" i="87"/>
  <c r="CG134" i="87"/>
  <c r="IU131" i="87"/>
  <c r="Y151" i="87"/>
  <c r="BM140" i="87"/>
  <c r="EO138" i="87"/>
  <c r="GW143" i="87"/>
  <c r="KS144" i="87"/>
  <c r="LJ103" i="87"/>
  <c r="JY105" i="87"/>
  <c r="CQ103" i="87"/>
  <c r="EE114" i="87"/>
  <c r="KS118" i="87"/>
  <c r="BC122" i="87"/>
  <c r="CQ113" i="87"/>
  <c r="JO123" i="87"/>
  <c r="AS102" i="87"/>
  <c r="O115" i="87"/>
  <c r="Y124" i="87"/>
  <c r="GC124" i="87"/>
  <c r="AI124" i="87"/>
  <c r="DK124" i="87"/>
  <c r="GM124" i="87"/>
  <c r="JO124" i="87"/>
  <c r="CG124" i="87"/>
  <c r="IK124" i="87"/>
  <c r="DA115" i="87"/>
  <c r="JE115" i="87"/>
  <c r="BW115" i="87"/>
  <c r="EY115" i="87"/>
  <c r="IA115" i="87"/>
  <c r="LC115" i="87"/>
  <c r="FI115" i="87"/>
  <c r="Y111" i="87"/>
  <c r="GC111" i="87"/>
  <c r="AI111" i="87"/>
  <c r="DK111" i="87"/>
  <c r="GM111" i="87"/>
  <c r="JO111" i="87"/>
  <c r="CG111" i="87"/>
  <c r="IK111" i="87"/>
  <c r="EO109" i="87"/>
  <c r="KS109" i="87"/>
  <c r="CQ109" i="87"/>
  <c r="FS109" i="87"/>
  <c r="IU109" i="87"/>
  <c r="AS109" i="87"/>
  <c r="GW109" i="87"/>
  <c r="BC134" i="87"/>
  <c r="EO134" i="87"/>
  <c r="GW131" i="87"/>
  <c r="JE131" i="87"/>
  <c r="IU151" i="87"/>
  <c r="O151" i="87"/>
  <c r="AI140" i="87"/>
  <c r="JO138" i="87"/>
  <c r="DK138" i="87"/>
  <c r="FS143" i="87"/>
  <c r="JE143" i="87"/>
  <c r="FI144" i="87"/>
  <c r="LC144" i="87"/>
  <c r="LJ134" i="87"/>
  <c r="O143" i="87"/>
  <c r="LJ143" i="87"/>
  <c r="HG134" i="87"/>
  <c r="LC134" i="87"/>
  <c r="KS134" i="87"/>
  <c r="IK134" i="87"/>
  <c r="Y131" i="87"/>
  <c r="DU131" i="87"/>
  <c r="CQ131" i="87"/>
  <c r="EY131" i="87"/>
  <c r="AS151" i="87"/>
  <c r="CQ151" i="87"/>
  <c r="EY151" i="87"/>
  <c r="GC151" i="87"/>
  <c r="CG140" i="87"/>
  <c r="EE140" i="87"/>
  <c r="GM140" i="87"/>
  <c r="HQ140" i="87"/>
  <c r="FI138" i="87"/>
  <c r="HG138" i="87"/>
  <c r="LC138" i="87"/>
  <c r="KS138" i="87"/>
  <c r="BW143" i="87"/>
  <c r="DA143" i="87"/>
  <c r="AS143" i="87"/>
  <c r="JO144" i="87"/>
  <c r="BC144" i="87"/>
  <c r="DK144" i="87"/>
  <c r="EO144" i="87"/>
  <c r="LJ131" i="87"/>
  <c r="O138" i="87"/>
  <c r="LJ144" i="87"/>
  <c r="EE134" i="87"/>
  <c r="AI134" i="87"/>
  <c r="GM134" i="87"/>
  <c r="BM134" i="87"/>
  <c r="HQ134" i="87"/>
  <c r="JO134" i="87"/>
  <c r="FI134" i="87"/>
  <c r="DA131" i="87"/>
  <c r="AS131" i="87"/>
  <c r="KI131" i="87"/>
  <c r="JY131" i="87"/>
  <c r="FS131" i="87"/>
  <c r="BW131" i="87"/>
  <c r="IA131" i="87"/>
  <c r="KI151" i="87"/>
  <c r="DU151" i="87"/>
  <c r="JY151" i="87"/>
  <c r="FS151" i="87"/>
  <c r="BW151" i="87"/>
  <c r="IA151" i="87"/>
  <c r="DA151" i="87"/>
  <c r="JE151" i="87"/>
  <c r="JO140" i="87"/>
  <c r="FI140" i="87"/>
  <c r="BC140" i="87"/>
  <c r="HG140" i="87"/>
  <c r="DK140" i="87"/>
  <c r="LC140" i="87"/>
  <c r="EO140" i="87"/>
  <c r="KS140" i="87"/>
  <c r="CG138" i="87"/>
  <c r="IK138" i="87"/>
  <c r="EE138" i="87"/>
  <c r="AI138" i="87"/>
  <c r="GM138" i="87"/>
  <c r="BM138" i="87"/>
  <c r="HQ138" i="87"/>
  <c r="CQ143" i="87"/>
  <c r="IU143" i="87"/>
  <c r="EY143" i="87"/>
  <c r="Y143" i="87"/>
  <c r="GC143" i="87"/>
  <c r="KI143" i="87"/>
  <c r="DU143" i="87"/>
  <c r="JY143" i="87"/>
  <c r="CG144" i="87"/>
  <c r="IK144" i="87"/>
  <c r="EE144" i="87"/>
  <c r="AI144" i="87"/>
  <c r="GM144" i="87"/>
  <c r="BM144" i="87"/>
  <c r="HQ144" i="87"/>
  <c r="LJ124" i="87"/>
  <c r="LJ115" i="87"/>
  <c r="O109" i="87"/>
  <c r="BM124" i="87"/>
  <c r="EO124" i="87"/>
  <c r="HQ124" i="87"/>
  <c r="KS124" i="87"/>
  <c r="BC124" i="87"/>
  <c r="CQ124" i="87"/>
  <c r="EE124" i="87"/>
  <c r="FS124" i="87"/>
  <c r="HG124" i="87"/>
  <c r="IU124" i="87"/>
  <c r="KI124" i="87"/>
  <c r="AS124" i="87"/>
  <c r="DU124" i="87"/>
  <c r="GW124" i="87"/>
  <c r="JY124" i="87"/>
  <c r="BM115" i="87"/>
  <c r="EO115" i="87"/>
  <c r="HQ115" i="87"/>
  <c r="KS115" i="87"/>
  <c r="BC115" i="87"/>
  <c r="CQ115" i="87"/>
  <c r="EE115" i="87"/>
  <c r="FS115" i="87"/>
  <c r="HG115" i="87"/>
  <c r="IU115" i="87"/>
  <c r="KI115" i="87"/>
  <c r="AS115" i="87"/>
  <c r="DU115" i="87"/>
  <c r="GW115" i="87"/>
  <c r="JY115" i="87"/>
  <c r="BM111" i="87"/>
  <c r="EO111" i="87"/>
  <c r="HQ111" i="87"/>
  <c r="KS111" i="87"/>
  <c r="BC111" i="87"/>
  <c r="CQ111" i="87"/>
  <c r="EE111" i="87"/>
  <c r="FS111" i="87"/>
  <c r="HG111" i="87"/>
  <c r="IU111" i="87"/>
  <c r="KI111" i="87"/>
  <c r="AS111" i="87"/>
  <c r="DU111" i="87"/>
  <c r="GW111" i="87"/>
  <c r="JY111" i="87"/>
  <c r="Y109" i="87"/>
  <c r="DA109" i="87"/>
  <c r="GC109" i="87"/>
  <c r="JE109" i="87"/>
  <c r="AI109" i="87"/>
  <c r="BW109" i="87"/>
  <c r="DK109" i="87"/>
  <c r="EY109" i="87"/>
  <c r="GM109" i="87"/>
  <c r="IA109" i="87"/>
  <c r="JO109" i="87"/>
  <c r="LC109" i="87"/>
  <c r="CG109" i="87"/>
  <c r="FI109" i="87"/>
  <c r="IK109" i="87"/>
  <c r="O153" i="87"/>
  <c r="LJ147" i="87"/>
  <c r="AI132" i="87"/>
  <c r="BM132" i="87"/>
  <c r="JO132" i="87"/>
  <c r="O132" i="87"/>
  <c r="FI153" i="87"/>
  <c r="AI153" i="87"/>
  <c r="BM153" i="87"/>
  <c r="JO142" i="87"/>
  <c r="BC142" i="87"/>
  <c r="DK142" i="87"/>
  <c r="EO142" i="87"/>
  <c r="CG147" i="87"/>
  <c r="EE147" i="87"/>
  <c r="GM147" i="87"/>
  <c r="HQ147" i="87"/>
  <c r="O134" i="87"/>
  <c r="O131" i="87"/>
  <c r="LJ151" i="87"/>
  <c r="LJ140" i="87"/>
  <c r="LJ138" i="87"/>
  <c r="O144" i="87"/>
  <c r="CQ134" i="87"/>
  <c r="FS134" i="87"/>
  <c r="IU134" i="87"/>
  <c r="BW134" i="87"/>
  <c r="EY134" i="87"/>
  <c r="IA134" i="87"/>
  <c r="Y134" i="87"/>
  <c r="DA134" i="87"/>
  <c r="GC134" i="87"/>
  <c r="JE134" i="87"/>
  <c r="KI134" i="87"/>
  <c r="AS134" i="87"/>
  <c r="DU134" i="87"/>
  <c r="GW134" i="87"/>
  <c r="JY134" i="87"/>
  <c r="BM131" i="87"/>
  <c r="EO131" i="87"/>
  <c r="HQ131" i="87"/>
  <c r="CG131" i="87"/>
  <c r="FI131" i="87"/>
  <c r="JO131" i="87"/>
  <c r="IK131" i="87"/>
  <c r="BC131" i="87"/>
  <c r="EE131" i="87"/>
  <c r="HG131" i="87"/>
  <c r="AI131" i="87"/>
  <c r="DK131" i="87"/>
  <c r="GM131" i="87"/>
  <c r="LC131" i="87"/>
  <c r="KS131" i="87"/>
  <c r="JO151" i="87"/>
  <c r="CG151" i="87"/>
  <c r="FI151" i="87"/>
  <c r="IK151" i="87"/>
  <c r="BC151" i="87"/>
  <c r="EE151" i="87"/>
  <c r="HG151" i="87"/>
  <c r="AI151" i="87"/>
  <c r="DK151" i="87"/>
  <c r="GM151" i="87"/>
  <c r="LC151" i="87"/>
  <c r="BM151" i="87"/>
  <c r="EO151" i="87"/>
  <c r="HQ151" i="87"/>
  <c r="KS151" i="87"/>
  <c r="KI140" i="87"/>
  <c r="AS140" i="87"/>
  <c r="DU140" i="87"/>
  <c r="GW140" i="87"/>
  <c r="JY140" i="87"/>
  <c r="CQ140" i="87"/>
  <c r="FS140" i="87"/>
  <c r="IU140" i="87"/>
  <c r="BW140" i="87"/>
  <c r="EY140" i="87"/>
  <c r="IA140" i="87"/>
  <c r="Y140" i="87"/>
  <c r="DA140" i="87"/>
  <c r="GC140" i="87"/>
  <c r="JE140" i="87"/>
  <c r="KI138" i="87"/>
  <c r="AS138" i="87"/>
  <c r="DU138" i="87"/>
  <c r="GW138" i="87"/>
  <c r="JY138" i="87"/>
  <c r="CQ138" i="87"/>
  <c r="FS138" i="87"/>
  <c r="IU138" i="87"/>
  <c r="BW138" i="87"/>
  <c r="EY138" i="87"/>
  <c r="IA138" i="87"/>
  <c r="Y138" i="87"/>
  <c r="DA138" i="87"/>
  <c r="GC138" i="87"/>
  <c r="JE138" i="87"/>
  <c r="BC143" i="87"/>
  <c r="EE143" i="87"/>
  <c r="HG143" i="87"/>
  <c r="AI143" i="87"/>
  <c r="DK143" i="87"/>
  <c r="GM143" i="87"/>
  <c r="LC143" i="87"/>
  <c r="BM143" i="87"/>
  <c r="EO143" i="87"/>
  <c r="HQ143" i="87"/>
  <c r="KS143" i="87"/>
  <c r="JO143" i="87"/>
  <c r="CG143" i="87"/>
  <c r="FI143" i="87"/>
  <c r="IK143" i="87"/>
  <c r="KI144" i="87"/>
  <c r="AS144" i="87"/>
  <c r="DU144" i="87"/>
  <c r="GW144" i="87"/>
  <c r="JY144" i="87"/>
  <c r="CQ144" i="87"/>
  <c r="FS144" i="87"/>
  <c r="IU144" i="87"/>
  <c r="BW144" i="87"/>
  <c r="EY144" i="87"/>
  <c r="IA144" i="87"/>
  <c r="Y144" i="87"/>
  <c r="DA144" i="87"/>
  <c r="GC144" i="87"/>
  <c r="JE144" i="87"/>
  <c r="LJ132" i="87"/>
  <c r="LJ153" i="87"/>
  <c r="LJ142" i="87"/>
  <c r="BC132" i="87"/>
  <c r="HG132" i="87"/>
  <c r="DK132" i="87"/>
  <c r="LC132" i="87"/>
  <c r="EO132" i="87"/>
  <c r="KS132" i="87"/>
  <c r="CG132" i="87"/>
  <c r="KI153" i="87"/>
  <c r="CG153" i="87"/>
  <c r="IK153" i="87"/>
  <c r="EE153" i="87"/>
  <c r="DK153" i="87"/>
  <c r="LC153" i="87"/>
  <c r="EO153" i="87"/>
  <c r="CG142" i="87"/>
  <c r="IK142" i="87"/>
  <c r="EE142" i="87"/>
  <c r="AI142" i="87"/>
  <c r="GM142" i="87"/>
  <c r="BM142" i="87"/>
  <c r="JO147" i="87"/>
  <c r="FI147" i="87"/>
  <c r="BC147" i="87"/>
  <c r="HG147" i="87"/>
  <c r="DK147" i="87"/>
  <c r="LC147" i="87"/>
  <c r="EO147" i="87"/>
  <c r="O122" i="87"/>
  <c r="IU105" i="87"/>
  <c r="GC105" i="87"/>
  <c r="IU103" i="87"/>
  <c r="JE103" i="87"/>
  <c r="KI114" i="87"/>
  <c r="KS114" i="87"/>
  <c r="FS118" i="87"/>
  <c r="BM122" i="87"/>
  <c r="HG122" i="87"/>
  <c r="EO113" i="87"/>
  <c r="IU113" i="87"/>
  <c r="DK123" i="87"/>
  <c r="IK123" i="87"/>
  <c r="GM102" i="87"/>
  <c r="GW102" i="87"/>
  <c r="O105" i="87"/>
  <c r="O114" i="87"/>
  <c r="O118" i="87"/>
  <c r="LJ113" i="87"/>
  <c r="GW105" i="87"/>
  <c r="AI105" i="87"/>
  <c r="Y105" i="87"/>
  <c r="FI105" i="87"/>
  <c r="FS103" i="87"/>
  <c r="Y103" i="87"/>
  <c r="GC103" i="87"/>
  <c r="BC114" i="87"/>
  <c r="HG114" i="87"/>
  <c r="DU114" i="87"/>
  <c r="EO114" i="87"/>
  <c r="EO118" i="87"/>
  <c r="CQ118" i="87"/>
  <c r="IU118" i="87"/>
  <c r="GW118" i="87"/>
  <c r="HQ122" i="87"/>
  <c r="EE122" i="87"/>
  <c r="KI122" i="87"/>
  <c r="JY122" i="87"/>
  <c r="KS113" i="87"/>
  <c r="FS113" i="87"/>
  <c r="AS113" i="87"/>
  <c r="AI123" i="87"/>
  <c r="GM123" i="87"/>
  <c r="CG123" i="87"/>
  <c r="DA123" i="87"/>
  <c r="DK102" i="87"/>
  <c r="JO102" i="87"/>
  <c r="DU102" i="87"/>
  <c r="JY102" i="87"/>
  <c r="O103" i="87"/>
  <c r="O123" i="87"/>
  <c r="LJ102" i="87"/>
  <c r="LJ105" i="87"/>
  <c r="LJ114" i="87"/>
  <c r="LJ118" i="87"/>
  <c r="LJ122" i="87"/>
  <c r="LJ123" i="87"/>
  <c r="IK105" i="87"/>
  <c r="KI105" i="87"/>
  <c r="HG105" i="87"/>
  <c r="BW105" i="87"/>
  <c r="EY105" i="87"/>
  <c r="DA105" i="87"/>
  <c r="BC103" i="87"/>
  <c r="EE103" i="87"/>
  <c r="HG103" i="87"/>
  <c r="KI103" i="87"/>
  <c r="BM103" i="87"/>
  <c r="EO103" i="87"/>
  <c r="HQ103" i="87"/>
  <c r="CQ114" i="87"/>
  <c r="FS114" i="87"/>
  <c r="IU114" i="87"/>
  <c r="AS114" i="87"/>
  <c r="GW114" i="87"/>
  <c r="BM114" i="87"/>
  <c r="BM118" i="87"/>
  <c r="HQ118" i="87"/>
  <c r="BC118" i="87"/>
  <c r="EE118" i="87"/>
  <c r="HG118" i="87"/>
  <c r="KI118" i="87"/>
  <c r="DU118" i="87"/>
  <c r="EO122" i="87"/>
  <c r="KS122" i="87"/>
  <c r="CQ122" i="87"/>
  <c r="FS122" i="87"/>
  <c r="IU122" i="87"/>
  <c r="AS122" i="87"/>
  <c r="BM113" i="87"/>
  <c r="HQ113" i="87"/>
  <c r="BC113" i="87"/>
  <c r="EE113" i="87"/>
  <c r="HG113" i="87"/>
  <c r="KI113" i="87"/>
  <c r="DU113" i="87"/>
  <c r="BW123" i="87"/>
  <c r="EY123" i="87"/>
  <c r="IA123" i="87"/>
  <c r="LC123" i="87"/>
  <c r="FI123" i="87"/>
  <c r="Y123" i="87"/>
  <c r="BW102" i="87"/>
  <c r="EY102" i="87"/>
  <c r="IA102" i="87"/>
  <c r="LC102" i="87"/>
  <c r="CG102" i="87"/>
  <c r="FI102" i="87"/>
  <c r="IK102" i="87"/>
  <c r="BC86" i="87"/>
  <c r="HQ85" i="87"/>
  <c r="JY80" i="87"/>
  <c r="JY73" i="87"/>
  <c r="EY76" i="87"/>
  <c r="GM85" i="87"/>
  <c r="LC86" i="87"/>
  <c r="JO80" i="87"/>
  <c r="BM89" i="87"/>
  <c r="LJ89" i="87"/>
  <c r="LJ76" i="87"/>
  <c r="LJ73" i="87"/>
  <c r="O80" i="87"/>
  <c r="DK73" i="87"/>
  <c r="DU73" i="87"/>
  <c r="LC76" i="87"/>
  <c r="AI85" i="87"/>
  <c r="BM85" i="87"/>
  <c r="CQ86" i="87"/>
  <c r="FI86" i="87"/>
  <c r="DK80" i="87"/>
  <c r="DU80" i="87"/>
  <c r="GM89" i="87"/>
  <c r="HQ89" i="87"/>
  <c r="LJ84" i="87"/>
  <c r="O74" i="87"/>
  <c r="Y71" i="87"/>
  <c r="LC71" i="87"/>
  <c r="KI71" i="87"/>
  <c r="BC74" i="87"/>
  <c r="HG74" i="87"/>
  <c r="BM74" i="87"/>
  <c r="HQ74" i="87"/>
  <c r="AI82" i="87"/>
  <c r="GM82" i="87"/>
  <c r="AS82" i="87"/>
  <c r="GW82" i="87"/>
  <c r="BW93" i="87"/>
  <c r="IA93" i="87"/>
  <c r="CG93" i="87"/>
  <c r="IK93" i="87"/>
  <c r="DK84" i="87"/>
  <c r="JO84" i="87"/>
  <c r="DU84" i="87"/>
  <c r="JY84" i="87"/>
  <c r="EY95" i="87"/>
  <c r="LC95" i="87"/>
  <c r="FI95" i="87"/>
  <c r="LJ86" i="87"/>
  <c r="AI73" i="87"/>
  <c r="GM73" i="87"/>
  <c r="AS73" i="87"/>
  <c r="GW73" i="87"/>
  <c r="BW76" i="87"/>
  <c r="IA76" i="87"/>
  <c r="CG76" i="87"/>
  <c r="IK76" i="87"/>
  <c r="DK85" i="87"/>
  <c r="KI85" i="87"/>
  <c r="EO85" i="87"/>
  <c r="KS85" i="87"/>
  <c r="GM86" i="87"/>
  <c r="CG86" i="87"/>
  <c r="IK86" i="87"/>
  <c r="AI80" i="87"/>
  <c r="GM80" i="87"/>
  <c r="AS80" i="87"/>
  <c r="GW80" i="87"/>
  <c r="BW89" i="87"/>
  <c r="KI89" i="87"/>
  <c r="EO89" i="87"/>
  <c r="KS89" i="87"/>
  <c r="LJ80" i="87"/>
  <c r="LJ85" i="87"/>
  <c r="O73" i="87"/>
  <c r="O85" i="87"/>
  <c r="O86" i="87"/>
  <c r="O89" i="87"/>
  <c r="BW73" i="87"/>
  <c r="EY73" i="87"/>
  <c r="IA73" i="87"/>
  <c r="LC73" i="87"/>
  <c r="CG73" i="87"/>
  <c r="FI73" i="87"/>
  <c r="IK73" i="87"/>
  <c r="AI76" i="87"/>
  <c r="DK76" i="87"/>
  <c r="GM76" i="87"/>
  <c r="JO76" i="87"/>
  <c r="AS76" i="87"/>
  <c r="DU76" i="87"/>
  <c r="GW76" i="87"/>
  <c r="JY76" i="87"/>
  <c r="BW85" i="87"/>
  <c r="EY85" i="87"/>
  <c r="IA85" i="87"/>
  <c r="Y85" i="87"/>
  <c r="DA85" i="87"/>
  <c r="GC85" i="87"/>
  <c r="JE85" i="87"/>
  <c r="AI86" i="87"/>
  <c r="EY86" i="87"/>
  <c r="IU86" i="87"/>
  <c r="AS86" i="87"/>
  <c r="DU86" i="87"/>
  <c r="GW86" i="87"/>
  <c r="JY86" i="87"/>
  <c r="HG86" i="87"/>
  <c r="BW80" i="87"/>
  <c r="EY80" i="87"/>
  <c r="IA80" i="87"/>
  <c r="LC80" i="87"/>
  <c r="CG80" i="87"/>
  <c r="FI80" i="87"/>
  <c r="IK80" i="87"/>
  <c r="AI89" i="87"/>
  <c r="EE89" i="87"/>
  <c r="IA89" i="87"/>
  <c r="Y89" i="87"/>
  <c r="DA89" i="87"/>
  <c r="GC89" i="87"/>
  <c r="JE89" i="87"/>
  <c r="FS89" i="87"/>
  <c r="O95" i="87"/>
  <c r="LJ82" i="87"/>
  <c r="LJ71" i="87"/>
  <c r="LJ74" i="87"/>
  <c r="O93" i="87"/>
  <c r="CG71" i="87"/>
  <c r="IK71" i="87"/>
  <c r="DA71" i="87"/>
  <c r="JE71" i="87"/>
  <c r="IA71" i="87"/>
  <c r="BW71" i="87"/>
  <c r="HG71" i="87"/>
  <c r="BC71" i="87"/>
  <c r="CQ74" i="87"/>
  <c r="FS74" i="87"/>
  <c r="IU74" i="87"/>
  <c r="Y74" i="87"/>
  <c r="DA74" i="87"/>
  <c r="GC74" i="87"/>
  <c r="JE74" i="87"/>
  <c r="BW82" i="87"/>
  <c r="EY82" i="87"/>
  <c r="IA82" i="87"/>
  <c r="LC82" i="87"/>
  <c r="CG82" i="87"/>
  <c r="FI82" i="87"/>
  <c r="IK82" i="87"/>
  <c r="AI93" i="87"/>
  <c r="DK93" i="87"/>
  <c r="GM93" i="87"/>
  <c r="JO93" i="87"/>
  <c r="AS93" i="87"/>
  <c r="DU93" i="87"/>
  <c r="GW93" i="87"/>
  <c r="JY93" i="87"/>
  <c r="BW84" i="87"/>
  <c r="EY84" i="87"/>
  <c r="IA84" i="87"/>
  <c r="LC84" i="87"/>
  <c r="CG84" i="87"/>
  <c r="FI84" i="87"/>
  <c r="IK84" i="87"/>
  <c r="AI95" i="87"/>
  <c r="DK95" i="87"/>
  <c r="GM95" i="87"/>
  <c r="JO95" i="87"/>
  <c r="AS95" i="87"/>
  <c r="DU95" i="87"/>
  <c r="GW95" i="87"/>
  <c r="JY95" i="87"/>
  <c r="O71" i="87"/>
  <c r="O82" i="87"/>
  <c r="LJ93" i="87"/>
  <c r="LJ95" i="87"/>
  <c r="O84" i="87"/>
  <c r="AS71" i="87"/>
  <c r="DU71" i="87"/>
  <c r="GW71" i="87"/>
  <c r="JY71" i="87"/>
  <c r="BM71" i="87"/>
  <c r="EO71" i="87"/>
  <c r="HQ71" i="87"/>
  <c r="KS71" i="87"/>
  <c r="JO71" i="87"/>
  <c r="GM71" i="87"/>
  <c r="DK71" i="87"/>
  <c r="AI71" i="87"/>
  <c r="IU71" i="87"/>
  <c r="FS71" i="87"/>
  <c r="CQ71" i="87"/>
  <c r="AI74" i="87"/>
  <c r="BW74" i="87"/>
  <c r="DK74" i="87"/>
  <c r="EY74" i="87"/>
  <c r="GM74" i="87"/>
  <c r="IA74" i="87"/>
  <c r="JO74" i="87"/>
  <c r="LC74" i="87"/>
  <c r="AS74" i="87"/>
  <c r="CG74" i="87"/>
  <c r="DU74" i="87"/>
  <c r="FI74" i="87"/>
  <c r="GW74" i="87"/>
  <c r="IK74" i="87"/>
  <c r="JY74" i="87"/>
  <c r="BC82" i="87"/>
  <c r="CQ82" i="87"/>
  <c r="EE82" i="87"/>
  <c r="FS82" i="87"/>
  <c r="HG82" i="87"/>
  <c r="IU82" i="87"/>
  <c r="KI82" i="87"/>
  <c r="Y82" i="87"/>
  <c r="BM82" i="87"/>
  <c r="DA82" i="87"/>
  <c r="EO82" i="87"/>
  <c r="GC82" i="87"/>
  <c r="HQ82" i="87"/>
  <c r="JE82" i="87"/>
  <c r="KS82" i="87"/>
  <c r="BC93" i="87"/>
  <c r="CQ93" i="87"/>
  <c r="EE93" i="87"/>
  <c r="FS93" i="87"/>
  <c r="HG93" i="87"/>
  <c r="IU93" i="87"/>
  <c r="KI93" i="87"/>
  <c r="Y93" i="87"/>
  <c r="BM93" i="87"/>
  <c r="DA93" i="87"/>
  <c r="EO93" i="87"/>
  <c r="GC93" i="87"/>
  <c r="HQ93" i="87"/>
  <c r="JE93" i="87"/>
  <c r="KS93" i="87"/>
  <c r="BC84" i="87"/>
  <c r="CQ84" i="87"/>
  <c r="EE84" i="87"/>
  <c r="FS84" i="87"/>
  <c r="HG84" i="87"/>
  <c r="IU84" i="87"/>
  <c r="KI84" i="87"/>
  <c r="Y84" i="87"/>
  <c r="BM84" i="87"/>
  <c r="DA84" i="87"/>
  <c r="EO84" i="87"/>
  <c r="GC84" i="87"/>
  <c r="HQ84" i="87"/>
  <c r="JE84" i="87"/>
  <c r="KS84" i="87"/>
  <c r="BC95" i="87"/>
  <c r="CQ95" i="87"/>
  <c r="EE95" i="87"/>
  <c r="FS95" i="87"/>
  <c r="HG95" i="87"/>
  <c r="IU95" i="87"/>
  <c r="KI95" i="87"/>
  <c r="Y95" i="87"/>
  <c r="BM95" i="87"/>
  <c r="DA95" i="87"/>
  <c r="EO95" i="87"/>
  <c r="GC95" i="87"/>
  <c r="HQ95" i="87"/>
  <c r="JE95" i="87"/>
  <c r="KS95" i="87"/>
  <c r="BC73" i="87"/>
  <c r="CQ73" i="87"/>
  <c r="EE73" i="87"/>
  <c r="FS73" i="87"/>
  <c r="HG73" i="87"/>
  <c r="IU73" i="87"/>
  <c r="KI73" i="87"/>
  <c r="Y73" i="87"/>
  <c r="BM73" i="87"/>
  <c r="DA73" i="87"/>
  <c r="EO73" i="87"/>
  <c r="GC73" i="87"/>
  <c r="HQ73" i="87"/>
  <c r="JE73" i="87"/>
  <c r="KS73" i="87"/>
  <c r="BC76" i="87"/>
  <c r="CQ76" i="87"/>
  <c r="EE76" i="87"/>
  <c r="FS76" i="87"/>
  <c r="HG76" i="87"/>
  <c r="IU76" i="87"/>
  <c r="KI76" i="87"/>
  <c r="Y76" i="87"/>
  <c r="BM76" i="87"/>
  <c r="DA76" i="87"/>
  <c r="EO76" i="87"/>
  <c r="GC76" i="87"/>
  <c r="HQ76" i="87"/>
  <c r="JE76" i="87"/>
  <c r="KS76" i="87"/>
  <c r="BC85" i="87"/>
  <c r="CQ85" i="87"/>
  <c r="EE85" i="87"/>
  <c r="FS85" i="87"/>
  <c r="HG85" i="87"/>
  <c r="IU85" i="87"/>
  <c r="LC85" i="87"/>
  <c r="AS85" i="87"/>
  <c r="CG85" i="87"/>
  <c r="DU85" i="87"/>
  <c r="FI85" i="87"/>
  <c r="GW85" i="87"/>
  <c r="IK85" i="87"/>
  <c r="JY85" i="87"/>
  <c r="JO85" i="87"/>
  <c r="BW86" i="87"/>
  <c r="DK86" i="87"/>
  <c r="FS86" i="87"/>
  <c r="IA86" i="87"/>
  <c r="JO86" i="87"/>
  <c r="Y86" i="87"/>
  <c r="BM86" i="87"/>
  <c r="DA86" i="87"/>
  <c r="EO86" i="87"/>
  <c r="GC86" i="87"/>
  <c r="HQ86" i="87"/>
  <c r="JE86" i="87"/>
  <c r="KS86" i="87"/>
  <c r="EE86" i="87"/>
  <c r="KI86" i="87"/>
  <c r="BC80" i="87"/>
  <c r="CQ80" i="87"/>
  <c r="EE80" i="87"/>
  <c r="FS80" i="87"/>
  <c r="HG80" i="87"/>
  <c r="IU80" i="87"/>
  <c r="KI80" i="87"/>
  <c r="Y80" i="87"/>
  <c r="BM80" i="87"/>
  <c r="DA80" i="87"/>
  <c r="EO80" i="87"/>
  <c r="GC80" i="87"/>
  <c r="HQ80" i="87"/>
  <c r="JE80" i="87"/>
  <c r="KS80" i="87"/>
  <c r="BC89" i="87"/>
  <c r="DK89" i="87"/>
  <c r="EY89" i="87"/>
  <c r="HG89" i="87"/>
  <c r="JO89" i="87"/>
  <c r="LC89" i="87"/>
  <c r="AS89" i="87"/>
  <c r="CG89" i="87"/>
  <c r="DU89" i="87"/>
  <c r="FI89" i="87"/>
  <c r="GW89" i="87"/>
  <c r="IK89" i="87"/>
  <c r="JY89" i="87"/>
  <c r="CQ89" i="87"/>
  <c r="IU89" i="87"/>
  <c r="DA55" i="87"/>
  <c r="FI45" i="87"/>
  <c r="EO57" i="87"/>
  <c r="IK47" i="87"/>
  <c r="LI169" i="87"/>
  <c r="LI228" i="87" s="1"/>
  <c r="IA53" i="87"/>
  <c r="BW53" i="87"/>
  <c r="GW53" i="87"/>
  <c r="AS53" i="87"/>
  <c r="EE51" i="87"/>
  <c r="KI51" i="87"/>
  <c r="FI51" i="87"/>
  <c r="BC60" i="87"/>
  <c r="BM60" i="87"/>
  <c r="BW60" i="87"/>
  <c r="CG60" i="87"/>
  <c r="EE64" i="87"/>
  <c r="EO64" i="87"/>
  <c r="EY64" i="87"/>
  <c r="FI64" i="87"/>
  <c r="LI167" i="87"/>
  <c r="LI226" i="87" s="1"/>
  <c r="O226" i="87" s="1"/>
  <c r="O64" i="87"/>
  <c r="LJ53" i="87"/>
  <c r="LJ169" i="87" s="1"/>
  <c r="JO53" i="87"/>
  <c r="GM53" i="87"/>
  <c r="DK53" i="87"/>
  <c r="AI53" i="87"/>
  <c r="IK53" i="87"/>
  <c r="FI53" i="87"/>
  <c r="CG53" i="87"/>
  <c r="LC51" i="87"/>
  <c r="CQ51" i="87"/>
  <c r="FS51" i="87"/>
  <c r="IU51" i="87"/>
  <c r="AS51" i="87"/>
  <c r="DU51" i="87"/>
  <c r="GW51" i="87"/>
  <c r="JY51" i="87"/>
  <c r="EE60" i="87"/>
  <c r="KI60" i="87"/>
  <c r="EO60" i="87"/>
  <c r="KS60" i="87"/>
  <c r="EY60" i="87"/>
  <c r="LC60" i="87"/>
  <c r="FI60" i="87"/>
  <c r="BC64" i="87"/>
  <c r="HG64" i="87"/>
  <c r="BM64" i="87"/>
  <c r="HQ64" i="87"/>
  <c r="BW64" i="87"/>
  <c r="IA64" i="87"/>
  <c r="CG64" i="87"/>
  <c r="IK64" i="87"/>
  <c r="EY45" i="87"/>
  <c r="GW44" i="87"/>
  <c r="FI57" i="87"/>
  <c r="DU66" i="87"/>
  <c r="JE56" i="87"/>
  <c r="LI176" i="87"/>
  <c r="LI235" i="87" s="1"/>
  <c r="O235" i="87" s="1"/>
  <c r="O60" i="87"/>
  <c r="O53" i="87"/>
  <c r="LI180" i="87"/>
  <c r="LI239" i="87" s="1"/>
  <c r="LJ51" i="87"/>
  <c r="LJ64" i="87"/>
  <c r="KI53" i="87"/>
  <c r="IU53" i="87"/>
  <c r="HG53" i="87"/>
  <c r="FS53" i="87"/>
  <c r="EE53" i="87"/>
  <c r="CQ53" i="87"/>
  <c r="BC53" i="87"/>
  <c r="KS53" i="87"/>
  <c r="JE53" i="87"/>
  <c r="HQ53" i="87"/>
  <c r="GC53" i="87"/>
  <c r="EO53" i="87"/>
  <c r="DA53" i="87"/>
  <c r="BM53" i="87"/>
  <c r="Y53" i="87"/>
  <c r="AI51" i="87"/>
  <c r="BW51" i="87"/>
  <c r="DK51" i="87"/>
  <c r="EY51" i="87"/>
  <c r="GM51" i="87"/>
  <c r="IA51" i="87"/>
  <c r="JO51" i="87"/>
  <c r="Y51" i="87"/>
  <c r="BM51" i="87"/>
  <c r="DA51" i="87"/>
  <c r="EO51" i="87"/>
  <c r="GC51" i="87"/>
  <c r="HQ51" i="87"/>
  <c r="JE51" i="87"/>
  <c r="KS51" i="87"/>
  <c r="CQ60" i="87"/>
  <c r="FS60" i="87"/>
  <c r="IU60" i="87"/>
  <c r="Y60" i="87"/>
  <c r="DA60" i="87"/>
  <c r="GC60" i="87"/>
  <c r="JE60" i="87"/>
  <c r="AI60" i="87"/>
  <c r="DK60" i="87"/>
  <c r="GM60" i="87"/>
  <c r="JO60" i="87"/>
  <c r="AS60" i="87"/>
  <c r="DU60" i="87"/>
  <c r="GW60" i="87"/>
  <c r="JY60" i="87"/>
  <c r="CQ64" i="87"/>
  <c r="FS64" i="87"/>
  <c r="IU64" i="87"/>
  <c r="Y64" i="87"/>
  <c r="DA64" i="87"/>
  <c r="GC64" i="87"/>
  <c r="JE64" i="87"/>
  <c r="AI64" i="87"/>
  <c r="DK64" i="87"/>
  <c r="GM64" i="87"/>
  <c r="JO64" i="87"/>
  <c r="AS64" i="87"/>
  <c r="DU64" i="87"/>
  <c r="GW64" i="87"/>
  <c r="JY64" i="87"/>
  <c r="LI172" i="87"/>
  <c r="LI231" i="87" s="1"/>
  <c r="O65" i="87"/>
  <c r="O56" i="87"/>
  <c r="LC45" i="87"/>
  <c r="LJ45" i="87"/>
  <c r="AI44" i="87"/>
  <c r="AS44" i="87"/>
  <c r="EE57" i="87"/>
  <c r="EY57" i="87"/>
  <c r="EY55" i="87"/>
  <c r="DA66" i="87"/>
  <c r="IA47" i="87"/>
  <c r="GW56" i="87"/>
  <c r="JY65" i="87"/>
  <c r="LJ57" i="87"/>
  <c r="LJ65" i="87"/>
  <c r="LJ170" i="87"/>
  <c r="LJ229" i="87" s="1"/>
  <c r="LI160" i="87"/>
  <c r="LI219" i="87" s="1"/>
  <c r="BW45" i="87"/>
  <c r="IA45" i="87"/>
  <c r="CG45" i="87"/>
  <c r="IK45" i="87"/>
  <c r="DK44" i="87"/>
  <c r="JO44" i="87"/>
  <c r="DU44" i="87"/>
  <c r="JY44" i="87"/>
  <c r="KI57" i="87"/>
  <c r="KS57" i="87"/>
  <c r="LC57" i="87"/>
  <c r="KI55" i="87"/>
  <c r="JE55" i="87"/>
  <c r="CQ66" i="87"/>
  <c r="DK66" i="87"/>
  <c r="BW47" i="87"/>
  <c r="CG47" i="87"/>
  <c r="GM56" i="87"/>
  <c r="IU56" i="87"/>
  <c r="JO65" i="87"/>
  <c r="Y65" i="87"/>
  <c r="LI181" i="87"/>
  <c r="LI240" i="87" s="1"/>
  <c r="O240" i="87" s="1"/>
  <c r="LI171" i="87"/>
  <c r="LI230" i="87" s="1"/>
  <c r="LI182" i="87"/>
  <c r="LI241" i="87" s="1"/>
  <c r="O241" i="87" s="1"/>
  <c r="O55" i="87"/>
  <c r="O66" i="87"/>
  <c r="LJ66" i="87"/>
  <c r="LJ47" i="87"/>
  <c r="O45" i="87"/>
  <c r="AI45" i="87"/>
  <c r="DK45" i="87"/>
  <c r="GM45" i="87"/>
  <c r="JO45" i="87"/>
  <c r="AS45" i="87"/>
  <c r="DU45" i="87"/>
  <c r="GW45" i="87"/>
  <c r="JY45" i="87"/>
  <c r="BW44" i="87"/>
  <c r="EY44" i="87"/>
  <c r="IA44" i="87"/>
  <c r="LC44" i="87"/>
  <c r="CG44" i="87"/>
  <c r="FI44" i="87"/>
  <c r="IK44" i="87"/>
  <c r="BC57" i="87"/>
  <c r="HG57" i="87"/>
  <c r="BM57" i="87"/>
  <c r="HQ57" i="87"/>
  <c r="BW57" i="87"/>
  <c r="IA57" i="87"/>
  <c r="CG57" i="87"/>
  <c r="IK57" i="87"/>
  <c r="IA55" i="87"/>
  <c r="BW55" i="87"/>
  <c r="GC55" i="87"/>
  <c r="Y55" i="87"/>
  <c r="IU66" i="87"/>
  <c r="JE66" i="87"/>
  <c r="JO66" i="87"/>
  <c r="JY66" i="87"/>
  <c r="EY47" i="87"/>
  <c r="LC47" i="87"/>
  <c r="FI47" i="87"/>
  <c r="AI56" i="87"/>
  <c r="AS56" i="87"/>
  <c r="CQ56" i="87"/>
  <c r="DA56" i="87"/>
  <c r="DK65" i="87"/>
  <c r="DU65" i="87"/>
  <c r="FS65" i="87"/>
  <c r="GC65" i="87"/>
  <c r="LI163" i="87"/>
  <c r="LI222" i="87" s="1"/>
  <c r="O222" i="87" s="1"/>
  <c r="O44" i="87"/>
  <c r="O57" i="87"/>
  <c r="LJ44" i="87"/>
  <c r="LJ55" i="87"/>
  <c r="LI161" i="87"/>
  <c r="LI220" i="87" s="1"/>
  <c r="O47" i="87"/>
  <c r="LJ56" i="87"/>
  <c r="LI173" i="87"/>
  <c r="LI232" i="87" s="1"/>
  <c r="BC45" i="87"/>
  <c r="CQ45" i="87"/>
  <c r="EE45" i="87"/>
  <c r="FS45" i="87"/>
  <c r="HG45" i="87"/>
  <c r="IU45" i="87"/>
  <c r="KI45" i="87"/>
  <c r="Y45" i="87"/>
  <c r="BM45" i="87"/>
  <c r="DA45" i="87"/>
  <c r="EO45" i="87"/>
  <c r="GC45" i="87"/>
  <c r="HQ45" i="87"/>
  <c r="JE45" i="87"/>
  <c r="KS45" i="87"/>
  <c r="BC44" i="87"/>
  <c r="CQ44" i="87"/>
  <c r="EE44" i="87"/>
  <c r="FS44" i="87"/>
  <c r="HG44" i="87"/>
  <c r="IU44" i="87"/>
  <c r="KI44" i="87"/>
  <c r="Y44" i="87"/>
  <c r="BM44" i="87"/>
  <c r="DA44" i="87"/>
  <c r="EO44" i="87"/>
  <c r="GC44" i="87"/>
  <c r="HQ44" i="87"/>
  <c r="JE44" i="87"/>
  <c r="KS44" i="87"/>
  <c r="CQ57" i="87"/>
  <c r="FS57" i="87"/>
  <c r="IU57" i="87"/>
  <c r="Y57" i="87"/>
  <c r="DA57" i="87"/>
  <c r="GC57" i="87"/>
  <c r="JE57" i="87"/>
  <c r="AI57" i="87"/>
  <c r="DK57" i="87"/>
  <c r="GM57" i="87"/>
  <c r="JO57" i="87"/>
  <c r="AS57" i="87"/>
  <c r="DU57" i="87"/>
  <c r="GW57" i="87"/>
  <c r="JY57" i="87"/>
  <c r="JO55" i="87"/>
  <c r="GM55" i="87"/>
  <c r="DK55" i="87"/>
  <c r="AI55" i="87"/>
  <c r="HQ55" i="87"/>
  <c r="EO55" i="87"/>
  <c r="BM55" i="87"/>
  <c r="FS66" i="87"/>
  <c r="Y66" i="87"/>
  <c r="GC66" i="87"/>
  <c r="AI66" i="87"/>
  <c r="GM66" i="87"/>
  <c r="AS66" i="87"/>
  <c r="AI47" i="87"/>
  <c r="DK47" i="87"/>
  <c r="GM47" i="87"/>
  <c r="JO47" i="87"/>
  <c r="AS47" i="87"/>
  <c r="DU47" i="87"/>
  <c r="GW47" i="87"/>
  <c r="DK56" i="87"/>
  <c r="JO56" i="87"/>
  <c r="DU56" i="87"/>
  <c r="JY56" i="87"/>
  <c r="FS56" i="87"/>
  <c r="Y56" i="87"/>
  <c r="AI65" i="87"/>
  <c r="GM65" i="87"/>
  <c r="AS65" i="87"/>
  <c r="GW65" i="87"/>
  <c r="CQ65" i="87"/>
  <c r="IU65" i="87"/>
  <c r="DA65" i="87"/>
  <c r="KS55" i="87"/>
  <c r="AS55" i="87"/>
  <c r="CG55" i="87"/>
  <c r="DU55" i="87"/>
  <c r="FI55" i="87"/>
  <c r="GW55" i="87"/>
  <c r="IK55" i="87"/>
  <c r="JY55" i="87"/>
  <c r="BC55" i="87"/>
  <c r="CQ55" i="87"/>
  <c r="EE55" i="87"/>
  <c r="FS55" i="87"/>
  <c r="HG55" i="87"/>
  <c r="IU55" i="87"/>
  <c r="IK66" i="87"/>
  <c r="FI66" i="87"/>
  <c r="CG66" i="87"/>
  <c r="LC66" i="87"/>
  <c r="IA66" i="87"/>
  <c r="EY66" i="87"/>
  <c r="BW66" i="87"/>
  <c r="KS66" i="87"/>
  <c r="HQ66" i="87"/>
  <c r="EO66" i="87"/>
  <c r="BM66" i="87"/>
  <c r="KI66" i="87"/>
  <c r="HG66" i="87"/>
  <c r="EE66" i="87"/>
  <c r="BC66" i="87"/>
  <c r="DU105" i="87"/>
  <c r="AS105" i="87"/>
  <c r="EO105" i="87"/>
  <c r="BM105" i="87"/>
  <c r="FS105" i="87"/>
  <c r="EE105" i="87"/>
  <c r="CQ105" i="87"/>
  <c r="BC105" i="87"/>
  <c r="GM105" i="87"/>
  <c r="IA105" i="87"/>
  <c r="JO105" i="87"/>
  <c r="LC105" i="87"/>
  <c r="HQ105" i="87"/>
  <c r="JE105" i="87"/>
  <c r="KS105" i="87"/>
  <c r="JY103" i="87"/>
  <c r="IK103" i="87"/>
  <c r="GW103" i="87"/>
  <c r="FI103" i="87"/>
  <c r="DU103" i="87"/>
  <c r="CG103" i="87"/>
  <c r="AS103" i="87"/>
  <c r="LC103" i="87"/>
  <c r="JO103" i="87"/>
  <c r="IA103" i="87"/>
  <c r="GM103" i="87"/>
  <c r="EY103" i="87"/>
  <c r="DK103" i="87"/>
  <c r="BW103" i="87"/>
  <c r="AI103" i="87"/>
  <c r="JE114" i="87"/>
  <c r="GC114" i="87"/>
  <c r="DA114" i="87"/>
  <c r="Y114" i="87"/>
  <c r="IK114" i="87"/>
  <c r="FI114" i="87"/>
  <c r="CG114" i="87"/>
  <c r="LC114" i="87"/>
  <c r="JO114" i="87"/>
  <c r="IA114" i="87"/>
  <c r="GM114" i="87"/>
  <c r="EY114" i="87"/>
  <c r="DK114" i="87"/>
  <c r="BW114" i="87"/>
  <c r="AI114" i="87"/>
  <c r="IK118" i="87"/>
  <c r="FI118" i="87"/>
  <c r="CG118" i="87"/>
  <c r="LC118" i="87"/>
  <c r="JO118" i="87"/>
  <c r="IA118" i="87"/>
  <c r="GM118" i="87"/>
  <c r="EY118" i="87"/>
  <c r="DK118" i="87"/>
  <c r="BW118" i="87"/>
  <c r="AI118" i="87"/>
  <c r="JE118" i="87"/>
  <c r="GC118" i="87"/>
  <c r="DA118" i="87"/>
  <c r="Y118" i="87"/>
  <c r="IK122" i="87"/>
  <c r="FI122" i="87"/>
  <c r="CG122" i="87"/>
  <c r="LC122" i="87"/>
  <c r="JO122" i="87"/>
  <c r="IA122" i="87"/>
  <c r="GM122" i="87"/>
  <c r="EY122" i="87"/>
  <c r="DK122" i="87"/>
  <c r="BW122" i="87"/>
  <c r="AI122" i="87"/>
  <c r="JE122" i="87"/>
  <c r="GC122" i="87"/>
  <c r="DA122" i="87"/>
  <c r="Y122" i="87"/>
  <c r="O113" i="87"/>
  <c r="IK113" i="87"/>
  <c r="FI113" i="87"/>
  <c r="CG113" i="87"/>
  <c r="LC113" i="87"/>
  <c r="JO113" i="87"/>
  <c r="IA113" i="87"/>
  <c r="GM113" i="87"/>
  <c r="EY113" i="87"/>
  <c r="DK113" i="87"/>
  <c r="BW113" i="87"/>
  <c r="AI113" i="87"/>
  <c r="JE113" i="87"/>
  <c r="GC113" i="87"/>
  <c r="DA113" i="87"/>
  <c r="Y113" i="87"/>
  <c r="KS123" i="87"/>
  <c r="HQ123" i="87"/>
  <c r="EO123" i="87"/>
  <c r="BM123" i="87"/>
  <c r="JY123" i="87"/>
  <c r="GW123" i="87"/>
  <c r="DU123" i="87"/>
  <c r="AS123" i="87"/>
  <c r="KI123" i="87"/>
  <c r="IU123" i="87"/>
  <c r="HG123" i="87"/>
  <c r="FS123" i="87"/>
  <c r="EE123" i="87"/>
  <c r="CQ123" i="87"/>
  <c r="BC123" i="87"/>
  <c r="JY132" i="87"/>
  <c r="GW132" i="87"/>
  <c r="DU132" i="87"/>
  <c r="AS132" i="87"/>
  <c r="KI132" i="87"/>
  <c r="JE132" i="87"/>
  <c r="GC132" i="87"/>
  <c r="DA132" i="87"/>
  <c r="Y132" i="87"/>
  <c r="IA132" i="87"/>
  <c r="EY132" i="87"/>
  <c r="BW132" i="87"/>
  <c r="IU132" i="87"/>
  <c r="FS132" i="87"/>
  <c r="CQ132" i="87"/>
  <c r="JE153" i="87"/>
  <c r="GC153" i="87"/>
  <c r="DA153" i="87"/>
  <c r="Y153" i="87"/>
  <c r="IA153" i="87"/>
  <c r="EY153" i="87"/>
  <c r="BW153" i="87"/>
  <c r="FS153" i="87"/>
  <c r="CQ153" i="87"/>
  <c r="JY153" i="87"/>
  <c r="GW153" i="87"/>
  <c r="DU153" i="87"/>
  <c r="AS153" i="87"/>
  <c r="HG153" i="87"/>
  <c r="IU153" i="87"/>
  <c r="JE142" i="87"/>
  <c r="GC142" i="87"/>
  <c r="DA142" i="87"/>
  <c r="Y142" i="87"/>
  <c r="IA142" i="87"/>
  <c r="EY142" i="87"/>
  <c r="BW142" i="87"/>
  <c r="IU142" i="87"/>
  <c r="FS142" i="87"/>
  <c r="CQ142" i="87"/>
  <c r="JY142" i="87"/>
  <c r="GW142" i="87"/>
  <c r="DU142" i="87"/>
  <c r="AS142" i="87"/>
  <c r="KI142" i="87"/>
  <c r="O147" i="87"/>
  <c r="JE147" i="87"/>
  <c r="GC147" i="87"/>
  <c r="DA147" i="87"/>
  <c r="Y147" i="87"/>
  <c r="IA147" i="87"/>
  <c r="EY147" i="87"/>
  <c r="BW147" i="87"/>
  <c r="IU147" i="87"/>
  <c r="FS147" i="87"/>
  <c r="CQ147" i="87"/>
  <c r="JY147" i="87"/>
  <c r="GW147" i="87"/>
  <c r="DU147" i="87"/>
  <c r="AS147" i="87"/>
  <c r="KI147" i="87"/>
  <c r="KS47" i="87"/>
  <c r="JE47" i="87"/>
  <c r="HQ47" i="87"/>
  <c r="GC47" i="87"/>
  <c r="EO47" i="87"/>
  <c r="DA47" i="87"/>
  <c r="BM47" i="87"/>
  <c r="Y47" i="87"/>
  <c r="KI47" i="87"/>
  <c r="IU47" i="87"/>
  <c r="HG47" i="87"/>
  <c r="FS47" i="87"/>
  <c r="EE47" i="87"/>
  <c r="CQ47" i="87"/>
  <c r="BC47" i="87"/>
  <c r="KS56" i="87"/>
  <c r="HQ56" i="87"/>
  <c r="EO56" i="87"/>
  <c r="BM56" i="87"/>
  <c r="KI56" i="87"/>
  <c r="HG56" i="87"/>
  <c r="EE56" i="87"/>
  <c r="BC56" i="87"/>
  <c r="IK56" i="87"/>
  <c r="FI56" i="87"/>
  <c r="CG56" i="87"/>
  <c r="LC56" i="87"/>
  <c r="IA56" i="87"/>
  <c r="EY56" i="87"/>
  <c r="BW56" i="87"/>
  <c r="KS65" i="87"/>
  <c r="HQ65" i="87"/>
  <c r="EO65" i="87"/>
  <c r="BM65" i="87"/>
  <c r="KI65" i="87"/>
  <c r="HG65" i="87"/>
  <c r="EE65" i="87"/>
  <c r="BC65" i="87"/>
  <c r="IK65" i="87"/>
  <c r="FI65" i="87"/>
  <c r="CG65" i="87"/>
  <c r="LC65" i="87"/>
  <c r="IA65" i="87"/>
  <c r="EY65" i="87"/>
  <c r="BW65" i="87"/>
  <c r="KS102" i="87"/>
  <c r="JE102" i="87"/>
  <c r="HQ102" i="87"/>
  <c r="GC102" i="87"/>
  <c r="EO102" i="87"/>
  <c r="DA102" i="87"/>
  <c r="BM102" i="87"/>
  <c r="Y102" i="87"/>
  <c r="KI102" i="87"/>
  <c r="IU102" i="87"/>
  <c r="HG102" i="87"/>
  <c r="FS102" i="87"/>
  <c r="EE102" i="87"/>
  <c r="CQ102" i="87"/>
  <c r="BC102" i="87"/>
  <c r="IA190" i="87"/>
  <c r="IA203" i="87"/>
  <c r="CQ199" i="87"/>
  <c r="IU212" i="87"/>
  <c r="BC190" i="87"/>
  <c r="HQ199" i="87"/>
  <c r="BM203" i="87"/>
  <c r="CG212" i="87"/>
  <c r="JY191" i="87"/>
  <c r="DA190" i="87"/>
  <c r="CG190" i="87"/>
  <c r="IK199" i="87"/>
  <c r="JO199" i="87"/>
  <c r="EY203" i="87"/>
  <c r="LC203" i="87"/>
  <c r="FS212" i="87"/>
  <c r="EY191" i="87"/>
  <c r="DA191" i="87"/>
  <c r="HQ190" i="87"/>
  <c r="KI190" i="87"/>
  <c r="EO190" i="87"/>
  <c r="Y190" i="87"/>
  <c r="GM199" i="87"/>
  <c r="IA199" i="87"/>
  <c r="AS199" i="87"/>
  <c r="Y203" i="87"/>
  <c r="DA203" i="87"/>
  <c r="GM203" i="87"/>
  <c r="JO203" i="87"/>
  <c r="AS212" i="87"/>
  <c r="EE212" i="87"/>
  <c r="HG212" i="87"/>
  <c r="KI212" i="87"/>
  <c r="HQ191" i="87"/>
  <c r="GM191" i="87"/>
  <c r="FI191" i="87"/>
  <c r="LJ212" i="87"/>
  <c r="LJ197" i="87"/>
  <c r="LJ206" i="87"/>
  <c r="LJ193" i="87"/>
  <c r="LJ211" i="87"/>
  <c r="EY190" i="87"/>
  <c r="AS190" i="87"/>
  <c r="LC190" i="87"/>
  <c r="JE190" i="87"/>
  <c r="GC190" i="87"/>
  <c r="DK190" i="87"/>
  <c r="BM190" i="87"/>
  <c r="JY199" i="87"/>
  <c r="GW199" i="87"/>
  <c r="DA199" i="87"/>
  <c r="KI199" i="87"/>
  <c r="EY199" i="87"/>
  <c r="BW199" i="87"/>
  <c r="Y199" i="87"/>
  <c r="HG199" i="87"/>
  <c r="AS203" i="87"/>
  <c r="CG203" i="87"/>
  <c r="EE203" i="87"/>
  <c r="FS203" i="87"/>
  <c r="HG203" i="87"/>
  <c r="IU203" i="87"/>
  <c r="KI203" i="87"/>
  <c r="Y212" i="87"/>
  <c r="BM212" i="87"/>
  <c r="DA212" i="87"/>
  <c r="EY212" i="87"/>
  <c r="GM212" i="87"/>
  <c r="IA212" i="87"/>
  <c r="JO212" i="87"/>
  <c r="LC212" i="87"/>
  <c r="Y191" i="87"/>
  <c r="EO191" i="87"/>
  <c r="FS191" i="87"/>
  <c r="CQ191" i="87"/>
  <c r="JO191" i="87"/>
  <c r="LC191" i="87"/>
  <c r="DK191" i="87"/>
  <c r="BM191" i="87"/>
  <c r="LJ199" i="87"/>
  <c r="JY190" i="87"/>
  <c r="EE190" i="87"/>
  <c r="GW190" i="87"/>
  <c r="GM190" i="87"/>
  <c r="FI190" i="87"/>
  <c r="IK190" i="87"/>
  <c r="KS190" i="87"/>
  <c r="JO190" i="87"/>
  <c r="IU190" i="87"/>
  <c r="HG190" i="87"/>
  <c r="FS190" i="87"/>
  <c r="DU190" i="87"/>
  <c r="CQ190" i="87"/>
  <c r="BW190" i="87"/>
  <c r="AI190" i="87"/>
  <c r="EO199" i="87"/>
  <c r="DU199" i="87"/>
  <c r="EE199" i="87"/>
  <c r="BC199" i="87"/>
  <c r="GC199" i="87"/>
  <c r="FI199" i="87"/>
  <c r="LC199" i="87"/>
  <c r="JE199" i="87"/>
  <c r="FS199" i="87"/>
  <c r="DK199" i="87"/>
  <c r="CG199" i="87"/>
  <c r="BM199" i="87"/>
  <c r="AI199" i="87"/>
  <c r="KS199" i="87"/>
  <c r="IU199" i="87"/>
  <c r="DU203" i="87"/>
  <c r="AI203" i="87"/>
  <c r="BC203" i="87"/>
  <c r="BW203" i="87"/>
  <c r="CQ203" i="87"/>
  <c r="DK203" i="87"/>
  <c r="EO203" i="87"/>
  <c r="FI203" i="87"/>
  <c r="GC203" i="87"/>
  <c r="GW203" i="87"/>
  <c r="HQ203" i="87"/>
  <c r="IK203" i="87"/>
  <c r="JE203" i="87"/>
  <c r="JY203" i="87"/>
  <c r="KS203" i="87"/>
  <c r="DU212" i="87"/>
  <c r="AI212" i="87"/>
  <c r="BC212" i="87"/>
  <c r="BW212" i="87"/>
  <c r="CQ212" i="87"/>
  <c r="DK212" i="87"/>
  <c r="EO212" i="87"/>
  <c r="FI212" i="87"/>
  <c r="GC212" i="87"/>
  <c r="GW212" i="87"/>
  <c r="HQ212" i="87"/>
  <c r="IK212" i="87"/>
  <c r="JE212" i="87"/>
  <c r="JY212" i="87"/>
  <c r="KS212" i="87"/>
  <c r="EE191" i="87"/>
  <c r="GW191" i="87"/>
  <c r="HG191" i="87"/>
  <c r="JE191" i="87"/>
  <c r="IA191" i="87"/>
  <c r="BC191" i="87"/>
  <c r="GC191" i="87"/>
  <c r="AI191" i="87"/>
  <c r="BW191" i="87"/>
  <c r="IK191" i="87"/>
  <c r="AS191" i="87"/>
  <c r="IU191" i="87"/>
  <c r="KS191" i="87"/>
  <c r="DU191" i="87"/>
  <c r="CG191" i="87"/>
  <c r="LJ190" i="87"/>
  <c r="LJ203" i="87"/>
  <c r="LJ191" i="87"/>
  <c r="LI100" i="87"/>
  <c r="LI42" i="87"/>
  <c r="LI129" i="87"/>
  <c r="LL214" i="87"/>
  <c r="O162" i="87"/>
  <c r="LI221" i="87"/>
  <c r="JO221" i="87" s="1"/>
  <c r="LJ168" i="87"/>
  <c r="LJ227" i="87" s="1"/>
  <c r="LJ177" i="87"/>
  <c r="LJ236" i="87" s="1"/>
  <c r="BC170" i="87"/>
  <c r="CQ170" i="87"/>
  <c r="EE170" i="87"/>
  <c r="FS170" i="87"/>
  <c r="HG170" i="87"/>
  <c r="IU170" i="87"/>
  <c r="KI170" i="87"/>
  <c r="KS170" i="87"/>
  <c r="JE170" i="87"/>
  <c r="HQ170" i="87"/>
  <c r="GC170" i="87"/>
  <c r="EO170" i="87"/>
  <c r="DA170" i="87"/>
  <c r="BM170" i="87"/>
  <c r="Y170" i="87"/>
  <c r="LC170" i="87"/>
  <c r="JO170" i="87"/>
  <c r="IA170" i="87"/>
  <c r="GM170" i="87"/>
  <c r="EY170" i="87"/>
  <c r="DK170" i="87"/>
  <c r="BW170" i="87"/>
  <c r="AI170" i="87"/>
  <c r="JY170" i="87"/>
  <c r="IK170" i="87"/>
  <c r="GW170" i="87"/>
  <c r="FI170" i="87"/>
  <c r="DU170" i="87"/>
  <c r="CG170" i="87"/>
  <c r="AS170" i="87"/>
  <c r="Y165" i="87"/>
  <c r="BM165" i="87"/>
  <c r="DA165" i="87"/>
  <c r="EO165" i="87"/>
  <c r="GC165" i="87"/>
  <c r="HQ165" i="87"/>
  <c r="JE165" i="87"/>
  <c r="KS165" i="87"/>
  <c r="BC165" i="87"/>
  <c r="CQ165" i="87"/>
  <c r="EE165" i="87"/>
  <c r="FS165" i="87"/>
  <c r="HG165" i="87"/>
  <c r="IU165" i="87"/>
  <c r="KI165" i="87"/>
  <c r="AS165" i="87"/>
  <c r="CG165" i="87"/>
  <c r="DU165" i="87"/>
  <c r="FI165" i="87"/>
  <c r="GW165" i="87"/>
  <c r="IK165" i="87"/>
  <c r="JY165" i="87"/>
  <c r="AI165" i="87"/>
  <c r="BW165" i="87"/>
  <c r="DK165" i="87"/>
  <c r="EY165" i="87"/>
  <c r="GM165" i="87"/>
  <c r="IA165" i="87"/>
  <c r="JO165" i="87"/>
  <c r="LC165" i="87"/>
  <c r="AI183" i="87"/>
  <c r="DK183" i="87"/>
  <c r="GM183" i="87"/>
  <c r="JO183" i="87"/>
  <c r="Y183" i="87"/>
  <c r="DA183" i="87"/>
  <c r="GC183" i="87"/>
  <c r="JE183" i="87"/>
  <c r="BC183" i="87"/>
  <c r="EE183" i="87"/>
  <c r="HG183" i="87"/>
  <c r="KI183" i="87"/>
  <c r="CG183" i="87"/>
  <c r="FI183" i="87"/>
  <c r="IK183" i="87"/>
  <c r="CQ183" i="87"/>
  <c r="FS183" i="87"/>
  <c r="IU183" i="87"/>
  <c r="AS183" i="87"/>
  <c r="DU183" i="87"/>
  <c r="GW183" i="87"/>
  <c r="JY183" i="87"/>
  <c r="BW183" i="87"/>
  <c r="EY183" i="87"/>
  <c r="IA183" i="87"/>
  <c r="LC183" i="87"/>
  <c r="BM183" i="87"/>
  <c r="EO183" i="87"/>
  <c r="HQ183" i="87"/>
  <c r="KS183" i="87"/>
  <c r="LC237" i="87"/>
  <c r="IA237" i="87"/>
  <c r="EY237" i="87"/>
  <c r="BW237" i="87"/>
  <c r="IK237" i="87"/>
  <c r="FI237" i="87"/>
  <c r="CG237" i="87"/>
  <c r="KI237" i="87"/>
  <c r="HG237" i="87"/>
  <c r="EE237" i="87"/>
  <c r="BC237" i="87"/>
  <c r="KS237" i="87"/>
  <c r="HQ237" i="87"/>
  <c r="EO237" i="87"/>
  <c r="BM237" i="87"/>
  <c r="JO237" i="87"/>
  <c r="GM237" i="87"/>
  <c r="DK237" i="87"/>
  <c r="AI237" i="87"/>
  <c r="JY237" i="87"/>
  <c r="GW237" i="87"/>
  <c r="DU237" i="87"/>
  <c r="AS237" i="87"/>
  <c r="IU237" i="87"/>
  <c r="FS237" i="87"/>
  <c r="CQ237" i="87"/>
  <c r="JE237" i="87"/>
  <c r="GC237" i="87"/>
  <c r="DA237" i="87"/>
  <c r="Y237" i="87"/>
  <c r="HG174" i="87"/>
  <c r="DK155" i="87"/>
  <c r="JO155" i="87"/>
  <c r="DA155" i="87"/>
  <c r="JE155" i="87"/>
  <c r="EE155" i="87"/>
  <c r="KI155" i="87"/>
  <c r="DU155" i="87"/>
  <c r="JY155" i="87"/>
  <c r="BW155" i="87"/>
  <c r="IA155" i="87"/>
  <c r="BM155" i="87"/>
  <c r="HQ155" i="87"/>
  <c r="CQ155" i="87"/>
  <c r="IU155" i="87"/>
  <c r="FI155" i="87"/>
  <c r="AI155" i="87"/>
  <c r="GM155" i="87"/>
  <c r="Y155" i="87"/>
  <c r="GC155" i="87"/>
  <c r="BC155" i="87"/>
  <c r="HG155" i="87"/>
  <c r="AS155" i="87"/>
  <c r="GW155" i="87"/>
  <c r="EY155" i="87"/>
  <c r="LC155" i="87"/>
  <c r="EO155" i="87"/>
  <c r="KS155" i="87"/>
  <c r="FS155" i="87"/>
  <c r="CG155" i="87"/>
  <c r="IK155" i="87"/>
  <c r="Y177" i="87"/>
  <c r="BM177" i="87"/>
  <c r="DA177" i="87"/>
  <c r="EO177" i="87"/>
  <c r="GC177" i="87"/>
  <c r="HQ177" i="87"/>
  <c r="JE177" i="87"/>
  <c r="KS177" i="87"/>
  <c r="BC177" i="87"/>
  <c r="CQ177" i="87"/>
  <c r="EE177" i="87"/>
  <c r="FS177" i="87"/>
  <c r="HG177" i="87"/>
  <c r="IU177" i="87"/>
  <c r="KI177" i="87"/>
  <c r="AS177" i="87"/>
  <c r="CG177" i="87"/>
  <c r="DU177" i="87"/>
  <c r="FI177" i="87"/>
  <c r="GW177" i="87"/>
  <c r="IK177" i="87"/>
  <c r="JY177" i="87"/>
  <c r="AI177" i="87"/>
  <c r="BW177" i="87"/>
  <c r="DK177" i="87"/>
  <c r="EY177" i="87"/>
  <c r="GM177" i="87"/>
  <c r="IA177" i="87"/>
  <c r="JO177" i="87"/>
  <c r="LC177" i="87"/>
  <c r="Y179" i="87"/>
  <c r="BM179" i="87"/>
  <c r="DA179" i="87"/>
  <c r="EO179" i="87"/>
  <c r="GC179" i="87"/>
  <c r="HQ179" i="87"/>
  <c r="JE179" i="87"/>
  <c r="KS179" i="87"/>
  <c r="BC179" i="87"/>
  <c r="CQ179" i="87"/>
  <c r="EE179" i="87"/>
  <c r="FS179" i="87"/>
  <c r="HG179" i="87"/>
  <c r="IU179" i="87"/>
  <c r="KI179" i="87"/>
  <c r="AS179" i="87"/>
  <c r="CG179" i="87"/>
  <c r="DU179" i="87"/>
  <c r="FI179" i="87"/>
  <c r="GW179" i="87"/>
  <c r="IK179" i="87"/>
  <c r="JY179" i="87"/>
  <c r="AI179" i="87"/>
  <c r="BW179" i="87"/>
  <c r="DK179" i="87"/>
  <c r="EY179" i="87"/>
  <c r="GM179" i="87"/>
  <c r="IA179" i="87"/>
  <c r="JO179" i="87"/>
  <c r="LC179" i="87"/>
  <c r="BC168" i="87"/>
  <c r="CQ168" i="87"/>
  <c r="EE168" i="87"/>
  <c r="FS168" i="87"/>
  <c r="HG168" i="87"/>
  <c r="IU168" i="87"/>
  <c r="KI168" i="87"/>
  <c r="KS168" i="87"/>
  <c r="JE168" i="87"/>
  <c r="HQ168" i="87"/>
  <c r="GC168" i="87"/>
  <c r="EO168" i="87"/>
  <c r="DA168" i="87"/>
  <c r="BM168" i="87"/>
  <c r="Y168" i="87"/>
  <c r="LC168" i="87"/>
  <c r="JO168" i="87"/>
  <c r="IA168" i="87"/>
  <c r="GM168" i="87"/>
  <c r="EY168" i="87"/>
  <c r="DK168" i="87"/>
  <c r="BW168" i="87"/>
  <c r="AI168" i="87"/>
  <c r="JY168" i="87"/>
  <c r="IK168" i="87"/>
  <c r="GW168" i="87"/>
  <c r="FI168" i="87"/>
  <c r="DU168" i="87"/>
  <c r="CG168" i="87"/>
  <c r="AS168" i="87"/>
  <c r="AS162" i="87"/>
  <c r="CG162" i="87"/>
  <c r="DU162" i="87"/>
  <c r="FI162" i="87"/>
  <c r="GW162" i="87"/>
  <c r="IK162" i="87"/>
  <c r="JY162" i="87"/>
  <c r="AI162" i="87"/>
  <c r="BW162" i="87"/>
  <c r="DK162" i="87"/>
  <c r="EY162" i="87"/>
  <c r="GM162" i="87"/>
  <c r="IA162" i="87"/>
  <c r="JO162" i="87"/>
  <c r="LC162" i="87"/>
  <c r="Y162" i="87"/>
  <c r="BM162" i="87"/>
  <c r="DA162" i="87"/>
  <c r="EO162" i="87"/>
  <c r="GC162" i="87"/>
  <c r="HQ162" i="87"/>
  <c r="JE162" i="87"/>
  <c r="KS162" i="87"/>
  <c r="BC162" i="87"/>
  <c r="CQ162" i="87"/>
  <c r="EE162" i="87"/>
  <c r="FS162" i="87"/>
  <c r="HG162" i="87"/>
  <c r="IU162" i="87"/>
  <c r="KI162" i="87"/>
  <c r="O188" i="87"/>
  <c r="O237" i="87"/>
  <c r="O183" i="87"/>
  <c r="LJ183" i="87"/>
  <c r="LJ242" i="87" s="1"/>
  <c r="O165" i="87"/>
  <c r="O168" i="87"/>
  <c r="O179" i="87"/>
  <c r="LJ165" i="87"/>
  <c r="LJ224" i="87" s="1"/>
  <c r="LJ179" i="87"/>
  <c r="LJ238" i="87" s="1"/>
  <c r="LL39" i="87"/>
  <c r="LL97" i="87"/>
  <c r="LJ11" i="87"/>
  <c r="L158" i="87"/>
  <c r="O155" i="87"/>
  <c r="LL68" i="87"/>
  <c r="LJ155" i="87"/>
  <c r="LL126" i="87"/>
  <c r="N155" i="87"/>
  <c r="O170" i="87"/>
  <c r="O177" i="87"/>
  <c r="L40" i="87"/>
  <c r="HM1312" i="191" l="1"/>
  <c r="HM1313" i="191" s="1"/>
  <c r="TP1312" i="191"/>
  <c r="TP1313" i="191" s="1"/>
  <c r="KS1312" i="191"/>
  <c r="KS1313" i="191" s="1"/>
  <c r="LN1312" i="191"/>
  <c r="LN1313" i="191" s="1"/>
  <c r="ZG1312" i="191"/>
  <c r="WA1312" i="191"/>
  <c r="WA1313" i="191" s="1"/>
  <c r="CQ1312" i="191"/>
  <c r="CQ1313" i="191" s="1"/>
  <c r="OT1312" i="191"/>
  <c r="OT1313" i="191" s="1"/>
  <c r="WV1312" i="191"/>
  <c r="WV1313" i="191" s="1"/>
  <c r="UK1312" i="191"/>
  <c r="UK1313" i="191" s="1"/>
  <c r="H564" i="191"/>
  <c r="VF1312" i="191"/>
  <c r="VF1313" i="191" s="1"/>
  <c r="GR1312" i="191"/>
  <c r="GR1313" i="191" s="1"/>
  <c r="JX1312" i="191"/>
  <c r="JX1313" i="191" s="1"/>
  <c r="SU1312" i="191"/>
  <c r="SU1313" i="191" s="1"/>
  <c r="RW1280" i="191"/>
  <c r="RW1312" i="191" s="1"/>
  <c r="RW1313" i="191" s="1"/>
  <c r="RZ1312" i="191"/>
  <c r="RZ1313" i="191" s="1"/>
  <c r="SQ1280" i="191"/>
  <c r="SQ1312" i="191" s="1"/>
  <c r="SQ1313" i="191" s="1"/>
  <c r="UH1280" i="191"/>
  <c r="UH1312" i="191" s="1"/>
  <c r="UH1313" i="191" s="1"/>
  <c r="VC1280" i="191"/>
  <c r="VC1312" i="191" s="1"/>
  <c r="VC1313" i="191" s="1"/>
  <c r="KP1280" i="191"/>
  <c r="KP1312" i="191" s="1"/>
  <c r="KP1313" i="191" s="1"/>
  <c r="FB1312" i="191"/>
  <c r="FB1313" i="191" s="1"/>
  <c r="TL1280" i="191"/>
  <c r="TL1312" i="191" s="1"/>
  <c r="TL1313" i="191" s="1"/>
  <c r="PO1312" i="191"/>
  <c r="PO1313" i="191" s="1"/>
  <c r="BA1312" i="191"/>
  <c r="BA1313" i="191" s="1"/>
  <c r="JC1312" i="191"/>
  <c r="JC1313" i="191" s="1"/>
  <c r="DL1312" i="191"/>
  <c r="DL1313" i="191" s="1"/>
  <c r="LJ173" i="87"/>
  <c r="LJ232" i="87" s="1"/>
  <c r="FS1280" i="191"/>
  <c r="FS1312" i="191" s="1"/>
  <c r="FS1313" i="191" s="1"/>
  <c r="IE1280" i="191"/>
  <c r="IE1312" i="191" s="1"/>
  <c r="IE1313" i="191" s="1"/>
  <c r="JU1280" i="191"/>
  <c r="JU1312" i="191" s="1"/>
  <c r="JU1313" i="191" s="1"/>
  <c r="XN1280" i="191"/>
  <c r="XN1312" i="191" s="1"/>
  <c r="XN1313" i="191" s="1"/>
  <c r="MF1280" i="191"/>
  <c r="MF1312" i="191" s="1"/>
  <c r="MF1313" i="191" s="1"/>
  <c r="HI1280" i="191"/>
  <c r="HI1312" i="191" s="1"/>
  <c r="HI1313" i="191" s="1"/>
  <c r="TM1280" i="191"/>
  <c r="TM1312" i="191" s="1"/>
  <c r="TM1313" i="191" s="1"/>
  <c r="IZ1280" i="191"/>
  <c r="IZ1312" i="191" s="1"/>
  <c r="IZ1313" i="191" s="1"/>
  <c r="GO1280" i="191"/>
  <c r="GO1312" i="191" s="1"/>
  <c r="GO1313" i="191" s="1"/>
  <c r="WS1280" i="191"/>
  <c r="WS1312" i="191" s="1"/>
  <c r="WS1313" i="191" s="1"/>
  <c r="CG164" i="87"/>
  <c r="QJ1312" i="191"/>
  <c r="QJ1313" i="191" s="1"/>
  <c r="BU1312" i="191"/>
  <c r="BU1313" i="191" s="1"/>
  <c r="RE1312" i="191"/>
  <c r="RE1313" i="191" s="1"/>
  <c r="DK1312" i="191"/>
  <c r="DK1313" i="191" s="1"/>
  <c r="WU1312" i="191"/>
  <c r="WU1313" i="191" s="1"/>
  <c r="FA1312" i="191"/>
  <c r="FA1313" i="191" s="1"/>
  <c r="XQ1312" i="191"/>
  <c r="XQ1313" i="191" s="1"/>
  <c r="IH1312" i="191"/>
  <c r="IH1313" i="191" s="1"/>
  <c r="EG1312" i="191"/>
  <c r="EG1313" i="191" s="1"/>
  <c r="AE1312" i="191"/>
  <c r="AE1313" i="191" s="1"/>
  <c r="UJ1312" i="191"/>
  <c r="UJ1313" i="191" s="1"/>
  <c r="YL1312" i="191"/>
  <c r="YL1313" i="191" s="1"/>
  <c r="LM1312" i="191"/>
  <c r="LM1313" i="191" s="1"/>
  <c r="EF1312" i="191"/>
  <c r="EF1313" i="191" s="1"/>
  <c r="OP1280" i="191"/>
  <c r="OP1312" i="191" s="1"/>
  <c r="OP1313" i="191" s="1"/>
  <c r="UG1280" i="191"/>
  <c r="UG1312" i="191" s="1"/>
  <c r="UG1313" i="191" s="1"/>
  <c r="LJ181" i="87"/>
  <c r="LJ240" i="87" s="1"/>
  <c r="QG1280" i="191"/>
  <c r="QG1312" i="191" s="1"/>
  <c r="QG1313" i="191" s="1"/>
  <c r="JB1312" i="191"/>
  <c r="JB1313" i="191" s="1"/>
  <c r="ED1280" i="191"/>
  <c r="ED1312" i="191" s="1"/>
  <c r="ED1313" i="191" s="1"/>
  <c r="JO174" i="87"/>
  <c r="NV1280" i="191"/>
  <c r="NV1312" i="191" s="1"/>
  <c r="NV1313" i="191" s="1"/>
  <c r="EY1280" i="191"/>
  <c r="EY1312" i="191" s="1"/>
  <c r="EY1313" i="191" s="1"/>
  <c r="EC1280" i="191"/>
  <c r="EC1312" i="191" s="1"/>
  <c r="EC1313" i="191" s="1"/>
  <c r="MZ1280" i="191"/>
  <c r="MZ1312" i="191" s="1"/>
  <c r="MZ1313" i="191" s="1"/>
  <c r="AB1280" i="191"/>
  <c r="AB1312" i="191" s="1"/>
  <c r="AB1313" i="191" s="1"/>
  <c r="NA1280" i="191"/>
  <c r="NA1312" i="191" s="1"/>
  <c r="NA1313" i="191" s="1"/>
  <c r="ZF1312" i="191"/>
  <c r="VW1280" i="191"/>
  <c r="VW1312" i="191" s="1"/>
  <c r="VW1313" i="191" s="1"/>
  <c r="OS1312" i="191"/>
  <c r="OS1313" i="191" s="1"/>
  <c r="BS1280" i="191"/>
  <c r="BS1312" i="191" s="1"/>
  <c r="BS1313" i="191" s="1"/>
  <c r="NU1280" i="191"/>
  <c r="NU1312" i="191" s="1"/>
  <c r="NU1313" i="191" s="1"/>
  <c r="ME1280" i="191"/>
  <c r="ME1312" i="191" s="1"/>
  <c r="ME1313" i="191" s="1"/>
  <c r="DI1280" i="191"/>
  <c r="DI1312" i="191" s="1"/>
  <c r="DI1313" i="191" s="1"/>
  <c r="WR1280" i="191"/>
  <c r="WR1312" i="191" s="1"/>
  <c r="WR1313" i="191" s="1"/>
  <c r="TO1312" i="191"/>
  <c r="TO1313" i="191" s="1"/>
  <c r="IG1312" i="191"/>
  <c r="IG1313" i="191" s="1"/>
  <c r="MH1312" i="191"/>
  <c r="MH1313" i="191" s="1"/>
  <c r="AX1280" i="191"/>
  <c r="AX1312" i="191" s="1"/>
  <c r="AX1313" i="191" s="1"/>
  <c r="PL1280" i="191"/>
  <c r="PL1312" i="191" s="1"/>
  <c r="PL1313" i="191" s="1"/>
  <c r="GN1280" i="191"/>
  <c r="GN1312" i="191" s="1"/>
  <c r="GN1313" i="191" s="1"/>
  <c r="YI1280" i="191"/>
  <c r="YI1312" i="191" s="1"/>
  <c r="YI1313" i="191" s="1"/>
  <c r="RV1280" i="191"/>
  <c r="RV1312" i="191" s="1"/>
  <c r="RV1313" i="191" s="1"/>
  <c r="QF1280" i="191"/>
  <c r="QF1312" i="191" s="1"/>
  <c r="QF1313" i="191" s="1"/>
  <c r="FV1312" i="191"/>
  <c r="FV1313" i="191" s="1"/>
  <c r="PN1312" i="191"/>
  <c r="PN1313" i="191" s="1"/>
  <c r="NC1312" i="191"/>
  <c r="NC1313" i="191" s="1"/>
  <c r="ST1312" i="191"/>
  <c r="ST1313" i="191" s="1"/>
  <c r="LK1280" i="191"/>
  <c r="LK1312" i="191" s="1"/>
  <c r="LK1313" i="191" s="1"/>
  <c r="CM1280" i="191"/>
  <c r="CM1312" i="191" s="1"/>
  <c r="CM1313" i="191" s="1"/>
  <c r="ZD1280" i="191"/>
  <c r="ZD1312" i="191" s="1"/>
  <c r="JT1280" i="191"/>
  <c r="JT1312" i="191" s="1"/>
  <c r="JT1313" i="191" s="1"/>
  <c r="IK174" i="87"/>
  <c r="GC174" i="87"/>
  <c r="DK174" i="87"/>
  <c r="CG174" i="87"/>
  <c r="BC174" i="87"/>
  <c r="Y174" i="87"/>
  <c r="LJ174" i="87"/>
  <c r="LJ233" i="87" s="1"/>
  <c r="GM174" i="87"/>
  <c r="AI174" i="87"/>
  <c r="FI174" i="87"/>
  <c r="KI174" i="87"/>
  <c r="EE174" i="87"/>
  <c r="JE174" i="87"/>
  <c r="DA174" i="87"/>
  <c r="F438" i="191"/>
  <c r="O174" i="87"/>
  <c r="LC174" i="87"/>
  <c r="IA174" i="87"/>
  <c r="EY174" i="87"/>
  <c r="BW174" i="87"/>
  <c r="JY174" i="87"/>
  <c r="GW174" i="87"/>
  <c r="DU174" i="87"/>
  <c r="AS174" i="87"/>
  <c r="IU174" i="87"/>
  <c r="FS174" i="87"/>
  <c r="CQ174" i="87"/>
  <c r="KS174" i="87"/>
  <c r="HQ174" i="87"/>
  <c r="EO174" i="87"/>
  <c r="BM174" i="87"/>
  <c r="H752" i="191"/>
  <c r="G752" i="191"/>
  <c r="H689" i="191"/>
  <c r="G689" i="191"/>
  <c r="H815" i="191"/>
  <c r="G815" i="191"/>
  <c r="HL1312" i="191"/>
  <c r="HL1313" i="191" s="1"/>
  <c r="AZ1312" i="191"/>
  <c r="AZ1313" i="191" s="1"/>
  <c r="RY1312" i="191"/>
  <c r="RY1313" i="191" s="1"/>
  <c r="RD1312" i="191"/>
  <c r="RD1313" i="191" s="1"/>
  <c r="QI1312" i="191"/>
  <c r="QI1313" i="191" s="1"/>
  <c r="YK1312" i="191"/>
  <c r="YK1313" i="191" s="1"/>
  <c r="VZ1312" i="191"/>
  <c r="VZ1313" i="191" s="1"/>
  <c r="KR1312" i="191"/>
  <c r="KR1313" i="191" s="1"/>
  <c r="CP1312" i="191"/>
  <c r="CP1313" i="191" s="1"/>
  <c r="NX1312" i="191"/>
  <c r="NX1313" i="191" s="1"/>
  <c r="FT1280" i="191"/>
  <c r="FT1312" i="191" s="1"/>
  <c r="FT1313" i="191" s="1"/>
  <c r="SR1280" i="191"/>
  <c r="SR1312" i="191" s="1"/>
  <c r="SR1313" i="191" s="1"/>
  <c r="RB1280" i="191"/>
  <c r="RB1312" i="191" s="1"/>
  <c r="RB1313" i="191" s="1"/>
  <c r="PK1280" i="191"/>
  <c r="PK1312" i="191" s="1"/>
  <c r="PK1313" i="191" s="1"/>
  <c r="AW1280" i="191"/>
  <c r="AW1312" i="191" s="1"/>
  <c r="AW1313" i="191" s="1"/>
  <c r="BR1280" i="191"/>
  <c r="BR1312" i="191" s="1"/>
  <c r="BR1313" i="191" s="1"/>
  <c r="ZC1280" i="191"/>
  <c r="ZC1312" i="191" s="1"/>
  <c r="HJ1280" i="191"/>
  <c r="HJ1312" i="191" s="1"/>
  <c r="HJ1313" i="191" s="1"/>
  <c r="AC1280" i="191"/>
  <c r="AC1312" i="191" s="1"/>
  <c r="AC1313" i="191" s="1"/>
  <c r="VX1280" i="191"/>
  <c r="VX1312" i="191" s="1"/>
  <c r="VX1313" i="191" s="1"/>
  <c r="CN1280" i="191"/>
  <c r="CN1312" i="191" s="1"/>
  <c r="CN1313" i="191" s="1"/>
  <c r="OQ1280" i="191"/>
  <c r="OQ1312" i="191" s="1"/>
  <c r="OQ1313" i="191" s="1"/>
  <c r="YH1280" i="191"/>
  <c r="YH1312" i="191" s="1"/>
  <c r="YH1313" i="191" s="1"/>
  <c r="VB1280" i="191"/>
  <c r="VB1312" i="191" s="1"/>
  <c r="VB1313" i="191" s="1"/>
  <c r="LJ1280" i="191"/>
  <c r="LJ1312" i="191" s="1"/>
  <c r="LJ1313" i="191" s="1"/>
  <c r="IY1280" i="191"/>
  <c r="IY1312" i="191" s="1"/>
  <c r="IY1313" i="191" s="1"/>
  <c r="XM1280" i="191"/>
  <c r="XM1312" i="191" s="1"/>
  <c r="XM1313" i="191" s="1"/>
  <c r="KO1280" i="191"/>
  <c r="KO1312" i="191" s="1"/>
  <c r="KO1313" i="191" s="1"/>
  <c r="ID1280" i="191"/>
  <c r="ID1312" i="191" s="1"/>
  <c r="ID1313" i="191" s="1"/>
  <c r="XP1312" i="191"/>
  <c r="XP1313" i="191" s="1"/>
  <c r="VE1312" i="191"/>
  <c r="VE1313" i="191" s="1"/>
  <c r="GQ1312" i="191"/>
  <c r="GQ1313" i="191" s="1"/>
  <c r="JW1312" i="191"/>
  <c r="JW1313" i="191" s="1"/>
  <c r="RA1280" i="191"/>
  <c r="RA1312" i="191" s="1"/>
  <c r="RA1313" i="191" s="1"/>
  <c r="EX1280" i="191"/>
  <c r="EX1312" i="191" s="1"/>
  <c r="EX1313" i="191" s="1"/>
  <c r="DH1280" i="191"/>
  <c r="DH1312" i="191" s="1"/>
  <c r="DH1313" i="191" s="1"/>
  <c r="IC1280" i="191"/>
  <c r="IC1312" i="191" s="1"/>
  <c r="IC1313" i="191" s="1"/>
  <c r="VV1280" i="191"/>
  <c r="VV1312" i="191" s="1"/>
  <c r="VV1313" i="191" s="1"/>
  <c r="LI1280" i="191"/>
  <c r="LI1312" i="191" s="1"/>
  <c r="LI1313" i="191" s="1"/>
  <c r="Y159" i="87"/>
  <c r="O164" i="87"/>
  <c r="DA164" i="87"/>
  <c r="CG159" i="87"/>
  <c r="EE164" i="87"/>
  <c r="DK164" i="87"/>
  <c r="DK159" i="87"/>
  <c r="BC159" i="87"/>
  <c r="KI164" i="87"/>
  <c r="JE164" i="87"/>
  <c r="JO164" i="87"/>
  <c r="IK164" i="87"/>
  <c r="XL1280" i="191"/>
  <c r="XL1312" i="191" s="1"/>
  <c r="XL1313" i="191" s="1"/>
  <c r="QZ1280" i="191"/>
  <c r="QZ1312" i="191" s="1"/>
  <c r="QZ1313" i="191" s="1"/>
  <c r="KN1280" i="191"/>
  <c r="KN1312" i="191" s="1"/>
  <c r="KN1313" i="191" s="1"/>
  <c r="EB1280" i="191"/>
  <c r="EB1312" i="191" s="1"/>
  <c r="EB1313" i="191" s="1"/>
  <c r="VA1280" i="191"/>
  <c r="VA1312" i="191" s="1"/>
  <c r="VA1313" i="191" s="1"/>
  <c r="OO1280" i="191"/>
  <c r="OO1312" i="191" s="1"/>
  <c r="OO1313" i="191" s="1"/>
  <c r="BQ1280" i="191"/>
  <c r="BQ1312" i="191" s="1"/>
  <c r="BQ1313" i="191" s="1"/>
  <c r="PJ1280" i="191"/>
  <c r="PJ1312" i="191" s="1"/>
  <c r="PJ1313" i="191" s="1"/>
  <c r="CL1280" i="191"/>
  <c r="CL1312" i="191" s="1"/>
  <c r="CL1313" i="191" s="1"/>
  <c r="TK1280" i="191"/>
  <c r="TK1312" i="191" s="1"/>
  <c r="TK1313" i="191" s="1"/>
  <c r="MY1280" i="191"/>
  <c r="MY1312" i="191" s="1"/>
  <c r="MY1313" i="191" s="1"/>
  <c r="GM1280" i="191"/>
  <c r="GM1312" i="191" s="1"/>
  <c r="GM1313" i="191" s="1"/>
  <c r="AA1280" i="191"/>
  <c r="AA1312" i="191" s="1"/>
  <c r="AA1313" i="191" s="1"/>
  <c r="YG1280" i="191"/>
  <c r="YG1312" i="191" s="1"/>
  <c r="YG1313" i="191" s="1"/>
  <c r="UF1280" i="191"/>
  <c r="UF1312" i="191" s="1"/>
  <c r="UF1313" i="191" s="1"/>
  <c r="NT1280" i="191"/>
  <c r="NT1312" i="191" s="1"/>
  <c r="NT1313" i="191" s="1"/>
  <c r="HH1280" i="191"/>
  <c r="HH1312" i="191" s="1"/>
  <c r="HH1313" i="191" s="1"/>
  <c r="AV1280" i="191"/>
  <c r="AV1312" i="191" s="1"/>
  <c r="AV1313" i="191" s="1"/>
  <c r="RU1280" i="191"/>
  <c r="RU1312" i="191" s="1"/>
  <c r="RU1313" i="191" s="1"/>
  <c r="EW1280" i="191"/>
  <c r="EW1312" i="191" s="1"/>
  <c r="EW1313" i="191" s="1"/>
  <c r="FR1280" i="191"/>
  <c r="FR1312" i="191" s="1"/>
  <c r="FR1313" i="191" s="1"/>
  <c r="WQ1280" i="191"/>
  <c r="WQ1312" i="191" s="1"/>
  <c r="WQ1313" i="191" s="1"/>
  <c r="QE1280" i="191"/>
  <c r="QE1312" i="191" s="1"/>
  <c r="QE1313" i="191" s="1"/>
  <c r="JS1280" i="191"/>
  <c r="JS1312" i="191" s="1"/>
  <c r="JS1313" i="191" s="1"/>
  <c r="DG1280" i="191"/>
  <c r="DG1312" i="191" s="1"/>
  <c r="DG1313" i="191" s="1"/>
  <c r="IX1280" i="191"/>
  <c r="IX1312" i="191" s="1"/>
  <c r="IX1313" i="191" s="1"/>
  <c r="ZB1280" i="191"/>
  <c r="ZB1312" i="191" s="1"/>
  <c r="SP1280" i="191"/>
  <c r="SP1312" i="191" s="1"/>
  <c r="SP1313" i="191" s="1"/>
  <c r="MD1280" i="191"/>
  <c r="MD1312" i="191" s="1"/>
  <c r="MD1313" i="191" s="1"/>
  <c r="JO159" i="87"/>
  <c r="IK159" i="87"/>
  <c r="HG159" i="87"/>
  <c r="GC159" i="87"/>
  <c r="GM159" i="87"/>
  <c r="AI159" i="87"/>
  <c r="FI159" i="87"/>
  <c r="KI159" i="87"/>
  <c r="EE159" i="87"/>
  <c r="JE159" i="87"/>
  <c r="DA159" i="87"/>
  <c r="O159" i="87"/>
  <c r="LC159" i="87"/>
  <c r="IA159" i="87"/>
  <c r="EY159" i="87"/>
  <c r="BW159" i="87"/>
  <c r="JY159" i="87"/>
  <c r="GW159" i="87"/>
  <c r="DU159" i="87"/>
  <c r="AS159" i="87"/>
  <c r="IU159" i="87"/>
  <c r="FS159" i="87"/>
  <c r="CQ159" i="87"/>
  <c r="KS159" i="87"/>
  <c r="HQ159" i="87"/>
  <c r="EO159" i="87"/>
  <c r="BM159" i="87"/>
  <c r="HG164" i="87"/>
  <c r="BC164" i="87"/>
  <c r="GC164" i="87"/>
  <c r="Y164" i="87"/>
  <c r="GM164" i="87"/>
  <c r="AI164" i="87"/>
  <c r="FI164" i="87"/>
  <c r="H679" i="191"/>
  <c r="G443" i="191"/>
  <c r="FI171" i="87"/>
  <c r="F424" i="191"/>
  <c r="G441" i="191"/>
  <c r="F446" i="191"/>
  <c r="F440" i="191"/>
  <c r="LJ159" i="87"/>
  <c r="LJ218" i="87" s="1"/>
  <c r="LJ164" i="87"/>
  <c r="LJ223" i="87" s="1"/>
  <c r="F426" i="191"/>
  <c r="F431" i="191"/>
  <c r="F436" i="191"/>
  <c r="F435" i="191"/>
  <c r="F425" i="191"/>
  <c r="IU164" i="87"/>
  <c r="FS164" i="87"/>
  <c r="CQ164" i="87"/>
  <c r="KS164" i="87"/>
  <c r="HQ164" i="87"/>
  <c r="EO164" i="87"/>
  <c r="BM164" i="87"/>
  <c r="LC164" i="87"/>
  <c r="IA164" i="87"/>
  <c r="EY164" i="87"/>
  <c r="BW164" i="87"/>
  <c r="JY164" i="87"/>
  <c r="GW164" i="87"/>
  <c r="DU164" i="87"/>
  <c r="AS164" i="87"/>
  <c r="H432" i="191"/>
  <c r="H441" i="191"/>
  <c r="LJ221" i="87"/>
  <c r="H737" i="191"/>
  <c r="G737" i="191"/>
  <c r="H803" i="191"/>
  <c r="G803" i="191"/>
  <c r="H742" i="191"/>
  <c r="G742" i="191"/>
  <c r="G674" i="191"/>
  <c r="H674" i="191"/>
  <c r="H805" i="191"/>
  <c r="G805" i="191"/>
  <c r="G800" i="191"/>
  <c r="H800" i="191"/>
  <c r="H612" i="191"/>
  <c r="F423" i="191"/>
  <c r="G612" i="191"/>
  <c r="H617" i="191"/>
  <c r="G617" i="191"/>
  <c r="H740" i="191"/>
  <c r="G740" i="191"/>
  <c r="F428" i="191"/>
  <c r="H554" i="191"/>
  <c r="G554" i="191"/>
  <c r="F433" i="191"/>
  <c r="H429" i="191"/>
  <c r="G616" i="191"/>
  <c r="H616" i="191"/>
  <c r="G750" i="191"/>
  <c r="H750" i="191"/>
  <c r="G747" i="191"/>
  <c r="H747" i="191"/>
  <c r="G738" i="191"/>
  <c r="H738" i="191"/>
  <c r="G688" i="191"/>
  <c r="H688" i="191"/>
  <c r="G570" i="191"/>
  <c r="H570" i="191"/>
  <c r="F444" i="191"/>
  <c r="G557" i="191"/>
  <c r="H557" i="191"/>
  <c r="G629" i="191"/>
  <c r="H629" i="191"/>
  <c r="G626" i="191"/>
  <c r="H626" i="191"/>
  <c r="G613" i="191"/>
  <c r="H613" i="191"/>
  <c r="G822" i="191"/>
  <c r="H822" i="191"/>
  <c r="G804" i="191"/>
  <c r="H804" i="191"/>
  <c r="G817" i="191"/>
  <c r="H817" i="191"/>
  <c r="G808" i="191"/>
  <c r="H808" i="191"/>
  <c r="G571" i="191"/>
  <c r="H571" i="191"/>
  <c r="G553" i="191"/>
  <c r="H553" i="191"/>
  <c r="G749" i="191"/>
  <c r="H749" i="191"/>
  <c r="G739" i="191"/>
  <c r="H739" i="191"/>
  <c r="G686" i="191"/>
  <c r="H686" i="191"/>
  <c r="G691" i="191"/>
  <c r="H691" i="191"/>
  <c r="G676" i="191"/>
  <c r="H676" i="191"/>
  <c r="G572" i="191"/>
  <c r="H572" i="191"/>
  <c r="G563" i="191"/>
  <c r="H563" i="191"/>
  <c r="G635" i="191"/>
  <c r="H635" i="191"/>
  <c r="G633" i="191"/>
  <c r="H633" i="191"/>
  <c r="G614" i="191"/>
  <c r="H614" i="191"/>
  <c r="G551" i="191"/>
  <c r="H551" i="191"/>
  <c r="G823" i="191"/>
  <c r="H823" i="191"/>
  <c r="G810" i="191"/>
  <c r="H810" i="191"/>
  <c r="H443" i="191"/>
  <c r="H447" i="191"/>
  <c r="H434" i="191"/>
  <c r="G429" i="191"/>
  <c r="G432" i="191"/>
  <c r="F437" i="191"/>
  <c r="F445" i="191"/>
  <c r="G447" i="191"/>
  <c r="G434" i="191"/>
  <c r="F736" i="191"/>
  <c r="F548" i="191"/>
  <c r="F673" i="191"/>
  <c r="G625" i="191"/>
  <c r="H625" i="191"/>
  <c r="G751" i="191"/>
  <c r="H751" i="191"/>
  <c r="G745" i="191"/>
  <c r="H745" i="191"/>
  <c r="G758" i="191"/>
  <c r="H758" i="191"/>
  <c r="G684" i="191"/>
  <c r="H684" i="191"/>
  <c r="G697" i="191"/>
  <c r="H697" i="191"/>
  <c r="G566" i="191"/>
  <c r="H566" i="191"/>
  <c r="G559" i="191"/>
  <c r="H559" i="191"/>
  <c r="G620" i="191"/>
  <c r="H620" i="191"/>
  <c r="G741" i="191"/>
  <c r="H741" i="191"/>
  <c r="G682" i="191"/>
  <c r="H682" i="191"/>
  <c r="G813" i="191"/>
  <c r="H813" i="191"/>
  <c r="G821" i="191"/>
  <c r="H821" i="191"/>
  <c r="G812" i="191"/>
  <c r="H812" i="191"/>
  <c r="G799" i="191"/>
  <c r="H799" i="191"/>
  <c r="G675" i="191"/>
  <c r="H675" i="191"/>
  <c r="G562" i="191"/>
  <c r="H562" i="191"/>
  <c r="G754" i="191"/>
  <c r="H754" i="191"/>
  <c r="G760" i="191"/>
  <c r="H760" i="191"/>
  <c r="G696" i="191"/>
  <c r="H696" i="191"/>
  <c r="G695" i="191"/>
  <c r="H695" i="191"/>
  <c r="G687" i="191"/>
  <c r="H687" i="191"/>
  <c r="G678" i="191"/>
  <c r="H678" i="191"/>
  <c r="G561" i="191"/>
  <c r="H561" i="191"/>
  <c r="G550" i="191"/>
  <c r="H550" i="191"/>
  <c r="G624" i="191"/>
  <c r="H624" i="191"/>
  <c r="G622" i="191"/>
  <c r="H622" i="191"/>
  <c r="G611" i="191"/>
  <c r="H611" i="191"/>
  <c r="G802" i="191"/>
  <c r="H802" i="191"/>
  <c r="G814" i="191"/>
  <c r="H814" i="191"/>
  <c r="G801" i="191"/>
  <c r="H801" i="191"/>
  <c r="F427" i="191"/>
  <c r="LJ176" i="87"/>
  <c r="LJ235" i="87" s="1"/>
  <c r="LJ228" i="87"/>
  <c r="DA129" i="87"/>
  <c r="CQ129" i="87"/>
  <c r="DU129" i="87"/>
  <c r="EY129" i="87"/>
  <c r="LJ161" i="87"/>
  <c r="LJ220" i="87" s="1"/>
  <c r="LJ182" i="87"/>
  <c r="LJ241" i="87" s="1"/>
  <c r="LJ167" i="87"/>
  <c r="LJ226" i="87" s="1"/>
  <c r="O129" i="87"/>
  <c r="JE129" i="87"/>
  <c r="JY129" i="87"/>
  <c r="IU129" i="87"/>
  <c r="JY100" i="87"/>
  <c r="CQ169" i="87"/>
  <c r="JO100" i="87"/>
  <c r="KI167" i="87"/>
  <c r="GM169" i="87"/>
  <c r="DK100" i="87"/>
  <c r="DU100" i="87"/>
  <c r="KI176" i="87"/>
  <c r="IA167" i="87"/>
  <c r="LJ180" i="87"/>
  <c r="LJ239" i="87" s="1"/>
  <c r="BM169" i="87"/>
  <c r="DU169" i="87"/>
  <c r="JO176" i="87"/>
  <c r="JE167" i="87"/>
  <c r="GW167" i="87"/>
  <c r="LJ160" i="87"/>
  <c r="LJ219" i="87" s="1"/>
  <c r="HQ169" i="87"/>
  <c r="IU169" i="87"/>
  <c r="JY169" i="87"/>
  <c r="AI169" i="87"/>
  <c r="KI172" i="87"/>
  <c r="JE176" i="87"/>
  <c r="IK176" i="87"/>
  <c r="EE167" i="87"/>
  <c r="DA167" i="87"/>
  <c r="BW167" i="87"/>
  <c r="AS167" i="87"/>
  <c r="LJ171" i="87"/>
  <c r="LJ230" i="87" s="1"/>
  <c r="LJ163" i="87"/>
  <c r="LJ222" i="87" s="1"/>
  <c r="LJ69" i="87"/>
  <c r="BM160" i="87"/>
  <c r="CQ180" i="87"/>
  <c r="LJ172" i="87"/>
  <c r="LJ231" i="87" s="1"/>
  <c r="BW180" i="87"/>
  <c r="BM180" i="87"/>
  <c r="AS180" i="87"/>
  <c r="EO169" i="87"/>
  <c r="KS169" i="87"/>
  <c r="FS169" i="87"/>
  <c r="AS169" i="87"/>
  <c r="GW169" i="87"/>
  <c r="JO169" i="87"/>
  <c r="DK169" i="87"/>
  <c r="FI161" i="87"/>
  <c r="AI172" i="87"/>
  <c r="JE172" i="87"/>
  <c r="EE176" i="87"/>
  <c r="DA176" i="87"/>
  <c r="DK176" i="87"/>
  <c r="CG176" i="87"/>
  <c r="HG167" i="87"/>
  <c r="BC167" i="87"/>
  <c r="GC167" i="87"/>
  <c r="Y167" i="87"/>
  <c r="EY167" i="87"/>
  <c r="JY167" i="87"/>
  <c r="DU167" i="87"/>
  <c r="O167" i="87"/>
  <c r="Y169" i="87"/>
  <c r="DA169" i="87"/>
  <c r="GC169" i="87"/>
  <c r="JE169" i="87"/>
  <c r="BC169" i="87"/>
  <c r="EE169" i="87"/>
  <c r="HG169" i="87"/>
  <c r="KI169" i="87"/>
  <c r="CG169" i="87"/>
  <c r="FI169" i="87"/>
  <c r="IK169" i="87"/>
  <c r="LC169" i="87"/>
  <c r="IA169" i="87"/>
  <c r="EY169" i="87"/>
  <c r="BW169" i="87"/>
  <c r="O169" i="87"/>
  <c r="DA161" i="87"/>
  <c r="GM172" i="87"/>
  <c r="FI172" i="87"/>
  <c r="EE172" i="87"/>
  <c r="DA172" i="87"/>
  <c r="HG176" i="87"/>
  <c r="BC176" i="87"/>
  <c r="GC176" i="87"/>
  <c r="Y176" i="87"/>
  <c r="GM176" i="87"/>
  <c r="AI176" i="87"/>
  <c r="FI176" i="87"/>
  <c r="IU167" i="87"/>
  <c r="FS167" i="87"/>
  <c r="CQ167" i="87"/>
  <c r="KS167" i="87"/>
  <c r="HQ167" i="87"/>
  <c r="EO167" i="87"/>
  <c r="BM167" i="87"/>
  <c r="JO167" i="87"/>
  <c r="GM167" i="87"/>
  <c r="DK167" i="87"/>
  <c r="AI167" i="87"/>
  <c r="IK167" i="87"/>
  <c r="FI167" i="87"/>
  <c r="CG167" i="87"/>
  <c r="LC167" i="87"/>
  <c r="BM171" i="87"/>
  <c r="AS160" i="87"/>
  <c r="HG182" i="87"/>
  <c r="IU180" i="87"/>
  <c r="HQ180" i="87"/>
  <c r="IA180" i="87"/>
  <c r="GW180" i="87"/>
  <c r="BW181" i="87"/>
  <c r="CQ160" i="87"/>
  <c r="BW160" i="87"/>
  <c r="GM182" i="87"/>
  <c r="AI173" i="87"/>
  <c r="FS180" i="87"/>
  <c r="KS180" i="87"/>
  <c r="EO180" i="87"/>
  <c r="LC180" i="87"/>
  <c r="EY180" i="87"/>
  <c r="JY180" i="87"/>
  <c r="DU180" i="87"/>
  <c r="FI163" i="87"/>
  <c r="KS181" i="87"/>
  <c r="O181" i="87"/>
  <c r="IU160" i="87"/>
  <c r="HQ160" i="87"/>
  <c r="IA160" i="87"/>
  <c r="GW160" i="87"/>
  <c r="GC182" i="87"/>
  <c r="FI182" i="87"/>
  <c r="BC173" i="87"/>
  <c r="KI180" i="87"/>
  <c r="HG180" i="87"/>
  <c r="EE180" i="87"/>
  <c r="BC180" i="87"/>
  <c r="JE180" i="87"/>
  <c r="GC180" i="87"/>
  <c r="DA180" i="87"/>
  <c r="Y180" i="87"/>
  <c r="JO180" i="87"/>
  <c r="GM180" i="87"/>
  <c r="DK180" i="87"/>
  <c r="AI180" i="87"/>
  <c r="IK180" i="87"/>
  <c r="FI180" i="87"/>
  <c r="CG180" i="87"/>
  <c r="O180" i="87"/>
  <c r="DA163" i="87"/>
  <c r="AS181" i="87"/>
  <c r="O176" i="87"/>
  <c r="O172" i="87"/>
  <c r="GM161" i="87"/>
  <c r="EE161" i="87"/>
  <c r="JO172" i="87"/>
  <c r="DK172" i="87"/>
  <c r="IK172" i="87"/>
  <c r="CG172" i="87"/>
  <c r="HG172" i="87"/>
  <c r="BC172" i="87"/>
  <c r="GC172" i="87"/>
  <c r="Y172" i="87"/>
  <c r="IU176" i="87"/>
  <c r="FS176" i="87"/>
  <c r="CQ176" i="87"/>
  <c r="KS176" i="87"/>
  <c r="HQ176" i="87"/>
  <c r="EO176" i="87"/>
  <c r="BM176" i="87"/>
  <c r="LC176" i="87"/>
  <c r="IA176" i="87"/>
  <c r="EY176" i="87"/>
  <c r="BW176" i="87"/>
  <c r="JY176" i="87"/>
  <c r="GW176" i="87"/>
  <c r="DU176" i="87"/>
  <c r="AS176" i="87"/>
  <c r="EE171" i="87"/>
  <c r="GM171" i="87"/>
  <c r="FS160" i="87"/>
  <c r="KS160" i="87"/>
  <c r="EO160" i="87"/>
  <c r="LC160" i="87"/>
  <c r="EY160" i="87"/>
  <c r="JY160" i="87"/>
  <c r="DU160" i="87"/>
  <c r="BC182" i="87"/>
  <c r="Y182" i="87"/>
  <c r="AI182" i="87"/>
  <c r="Y173" i="87"/>
  <c r="GM163" i="87"/>
  <c r="EE163" i="87"/>
  <c r="IA181" i="87"/>
  <c r="GW181" i="87"/>
  <c r="FS181" i="87"/>
  <c r="EO181" i="87"/>
  <c r="AI161" i="87"/>
  <c r="KI161" i="87"/>
  <c r="JE161" i="87"/>
  <c r="LC172" i="87"/>
  <c r="IA172" i="87"/>
  <c r="EY172" i="87"/>
  <c r="BW172" i="87"/>
  <c r="JY172" i="87"/>
  <c r="GW172" i="87"/>
  <c r="DU172" i="87"/>
  <c r="AS172" i="87"/>
  <c r="IU172" i="87"/>
  <c r="FS172" i="87"/>
  <c r="CQ172" i="87"/>
  <c r="KS172" i="87"/>
  <c r="HQ172" i="87"/>
  <c r="EO172" i="87"/>
  <c r="BM172" i="87"/>
  <c r="EE42" i="87"/>
  <c r="HQ171" i="87"/>
  <c r="KI171" i="87"/>
  <c r="KS171" i="87"/>
  <c r="AI171" i="87"/>
  <c r="O160" i="87"/>
  <c r="KI160" i="87"/>
  <c r="HG160" i="87"/>
  <c r="EE160" i="87"/>
  <c r="BC160" i="87"/>
  <c r="JE160" i="87"/>
  <c r="GC160" i="87"/>
  <c r="DA160" i="87"/>
  <c r="Y160" i="87"/>
  <c r="JO160" i="87"/>
  <c r="GM160" i="87"/>
  <c r="DK160" i="87"/>
  <c r="AI160" i="87"/>
  <c r="IK160" i="87"/>
  <c r="FI160" i="87"/>
  <c r="CG160" i="87"/>
  <c r="KI182" i="87"/>
  <c r="EE182" i="87"/>
  <c r="JE182" i="87"/>
  <c r="DA182" i="87"/>
  <c r="JO182" i="87"/>
  <c r="DK182" i="87"/>
  <c r="IK182" i="87"/>
  <c r="CG182" i="87"/>
  <c r="HG173" i="87"/>
  <c r="GC173" i="87"/>
  <c r="GM173" i="87"/>
  <c r="FI173" i="87"/>
  <c r="AI163" i="87"/>
  <c r="KI163" i="87"/>
  <c r="JE163" i="87"/>
  <c r="LC181" i="87"/>
  <c r="EY181" i="87"/>
  <c r="JY181" i="87"/>
  <c r="DU181" i="87"/>
  <c r="IU181" i="87"/>
  <c r="CQ181" i="87"/>
  <c r="HQ181" i="87"/>
  <c r="BM181" i="87"/>
  <c r="O161" i="87"/>
  <c r="JO161" i="87"/>
  <c r="DK161" i="87"/>
  <c r="IK161" i="87"/>
  <c r="CG161" i="87"/>
  <c r="HG161" i="87"/>
  <c r="BC161" i="87"/>
  <c r="GC161" i="87"/>
  <c r="Y161" i="87"/>
  <c r="EO171" i="87"/>
  <c r="BC171" i="87"/>
  <c r="HG171" i="87"/>
  <c r="CG171" i="87"/>
  <c r="IK171" i="87"/>
  <c r="JO171" i="87"/>
  <c r="DK171" i="87"/>
  <c r="O171" i="87"/>
  <c r="LC161" i="87"/>
  <c r="IA161" i="87"/>
  <c r="EY161" i="87"/>
  <c r="BW161" i="87"/>
  <c r="JY161" i="87"/>
  <c r="GW161" i="87"/>
  <c r="DU161" i="87"/>
  <c r="AS161" i="87"/>
  <c r="IU161" i="87"/>
  <c r="FS161" i="87"/>
  <c r="CQ161" i="87"/>
  <c r="KS161" i="87"/>
  <c r="HQ161" i="87"/>
  <c r="EO161" i="87"/>
  <c r="BM161" i="87"/>
  <c r="Y171" i="87"/>
  <c r="DA171" i="87"/>
  <c r="GC171" i="87"/>
  <c r="JE171" i="87"/>
  <c r="CQ171" i="87"/>
  <c r="FS171" i="87"/>
  <c r="IU171" i="87"/>
  <c r="AS171" i="87"/>
  <c r="DU171" i="87"/>
  <c r="GW171" i="87"/>
  <c r="JY171" i="87"/>
  <c r="LC171" i="87"/>
  <c r="IA171" i="87"/>
  <c r="EY171" i="87"/>
  <c r="BW171" i="87"/>
  <c r="O182" i="87"/>
  <c r="O163" i="87"/>
  <c r="O173" i="87"/>
  <c r="IU182" i="87"/>
  <c r="FS182" i="87"/>
  <c r="CQ182" i="87"/>
  <c r="KS182" i="87"/>
  <c r="HQ182" i="87"/>
  <c r="EO182" i="87"/>
  <c r="BM182" i="87"/>
  <c r="LC182" i="87"/>
  <c r="IA182" i="87"/>
  <c r="EY182" i="87"/>
  <c r="BW182" i="87"/>
  <c r="JY182" i="87"/>
  <c r="GW182" i="87"/>
  <c r="DU182" i="87"/>
  <c r="AS182" i="87"/>
  <c r="KI173" i="87"/>
  <c r="EE173" i="87"/>
  <c r="JE173" i="87"/>
  <c r="DA173" i="87"/>
  <c r="JO173" i="87"/>
  <c r="DK173" i="87"/>
  <c r="IK173" i="87"/>
  <c r="CG173" i="87"/>
  <c r="FI42" i="87"/>
  <c r="JO163" i="87"/>
  <c r="DK163" i="87"/>
  <c r="IK163" i="87"/>
  <c r="CG163" i="87"/>
  <c r="HG163" i="87"/>
  <c r="BC163" i="87"/>
  <c r="GC163" i="87"/>
  <c r="Y163" i="87"/>
  <c r="JO181" i="87"/>
  <c r="GM181" i="87"/>
  <c r="DK181" i="87"/>
  <c r="AI181" i="87"/>
  <c r="IK181" i="87"/>
  <c r="FI181" i="87"/>
  <c r="CG181" i="87"/>
  <c r="KI181" i="87"/>
  <c r="HG181" i="87"/>
  <c r="EE181" i="87"/>
  <c r="BC181" i="87"/>
  <c r="JE181" i="87"/>
  <c r="GC181" i="87"/>
  <c r="DA181" i="87"/>
  <c r="Y181" i="87"/>
  <c r="IU173" i="87"/>
  <c r="FS173" i="87"/>
  <c r="CQ173" i="87"/>
  <c r="KS173" i="87"/>
  <c r="HQ173" i="87"/>
  <c r="EO173" i="87"/>
  <c r="BM173" i="87"/>
  <c r="LC173" i="87"/>
  <c r="IA173" i="87"/>
  <c r="EY173" i="87"/>
  <c r="BW173" i="87"/>
  <c r="JY173" i="87"/>
  <c r="GW173" i="87"/>
  <c r="DU173" i="87"/>
  <c r="AS173" i="87"/>
  <c r="EO42" i="87"/>
  <c r="EY42" i="87"/>
  <c r="LC163" i="87"/>
  <c r="IA163" i="87"/>
  <c r="EY163" i="87"/>
  <c r="BW163" i="87"/>
  <c r="JY163" i="87"/>
  <c r="GW163" i="87"/>
  <c r="DU163" i="87"/>
  <c r="AS163" i="87"/>
  <c r="IU163" i="87"/>
  <c r="FS163" i="87"/>
  <c r="CQ163" i="87"/>
  <c r="KS163" i="87"/>
  <c r="HQ163" i="87"/>
  <c r="EO163" i="87"/>
  <c r="BM163" i="87"/>
  <c r="Y129" i="87"/>
  <c r="GC129" i="87"/>
  <c r="AS129" i="87"/>
  <c r="GW129" i="87"/>
  <c r="JO129" i="87"/>
  <c r="FS129" i="87"/>
  <c r="BW129" i="87"/>
  <c r="IA129" i="87"/>
  <c r="LJ129" i="87"/>
  <c r="LJ127" i="87" s="1"/>
  <c r="BM129" i="87"/>
  <c r="EO129" i="87"/>
  <c r="HQ129" i="87"/>
  <c r="KS129" i="87"/>
  <c r="CG129" i="87"/>
  <c r="FI129" i="87"/>
  <c r="IK129" i="87"/>
  <c r="KI129" i="87"/>
  <c r="BC129" i="87"/>
  <c r="EE129" i="87"/>
  <c r="HG129" i="87"/>
  <c r="AI129" i="87"/>
  <c r="DK129" i="87"/>
  <c r="GM129" i="87"/>
  <c r="LC129" i="87"/>
  <c r="LI158" i="87"/>
  <c r="LI217" i="87" s="1"/>
  <c r="O217" i="87" s="1"/>
  <c r="O100" i="87"/>
  <c r="LC221" i="87"/>
  <c r="KS42" i="87"/>
  <c r="LC42" i="87"/>
  <c r="KI42" i="87"/>
  <c r="AI100" i="87"/>
  <c r="GM100" i="87"/>
  <c r="AS100" i="87"/>
  <c r="GW100" i="87"/>
  <c r="LJ42" i="87"/>
  <c r="LJ40" i="87" s="1"/>
  <c r="LJ100" i="87"/>
  <c r="LJ98" i="87" s="1"/>
  <c r="BM42" i="87"/>
  <c r="HQ42" i="87"/>
  <c r="CG42" i="87"/>
  <c r="IK42" i="87"/>
  <c r="IA42" i="87"/>
  <c r="BW42" i="87"/>
  <c r="HG42" i="87"/>
  <c r="BC42" i="87"/>
  <c r="BW100" i="87"/>
  <c r="EY100" i="87"/>
  <c r="IA100" i="87"/>
  <c r="LC100" i="87"/>
  <c r="CG100" i="87"/>
  <c r="FI100" i="87"/>
  <c r="IK100" i="87"/>
  <c r="Y42" i="87"/>
  <c r="DA42" i="87"/>
  <c r="GC42" i="87"/>
  <c r="JE42" i="87"/>
  <c r="AS42" i="87"/>
  <c r="DU42" i="87"/>
  <c r="GW42" i="87"/>
  <c r="JY42" i="87"/>
  <c r="JO42" i="87"/>
  <c r="GM42" i="87"/>
  <c r="DK42" i="87"/>
  <c r="AI42" i="87"/>
  <c r="IU42" i="87"/>
  <c r="FS42" i="87"/>
  <c r="CQ42" i="87"/>
  <c r="O42" i="87"/>
  <c r="BC100" i="87"/>
  <c r="CQ100" i="87"/>
  <c r="EE100" i="87"/>
  <c r="FS100" i="87"/>
  <c r="HG100" i="87"/>
  <c r="IU100" i="87"/>
  <c r="KI100" i="87"/>
  <c r="Y100" i="87"/>
  <c r="BM100" i="87"/>
  <c r="DA100" i="87"/>
  <c r="EO100" i="87"/>
  <c r="GC100" i="87"/>
  <c r="HQ100" i="87"/>
  <c r="JE100" i="87"/>
  <c r="KS100" i="87"/>
  <c r="HG221" i="87"/>
  <c r="AS221" i="87"/>
  <c r="GC221" i="87"/>
  <c r="IK221" i="87"/>
  <c r="KS221" i="87"/>
  <c r="AI221" i="87"/>
  <c r="O221" i="87"/>
  <c r="Y221" i="87"/>
  <c r="BC221" i="87"/>
  <c r="CG221" i="87"/>
  <c r="EY221" i="87"/>
  <c r="EO221" i="87"/>
  <c r="FS221" i="87"/>
  <c r="GW221" i="87"/>
  <c r="GM221" i="87"/>
  <c r="DA221" i="87"/>
  <c r="JE221" i="87"/>
  <c r="EE221" i="87"/>
  <c r="KI221" i="87"/>
  <c r="FI221" i="87"/>
  <c r="BW221" i="87"/>
  <c r="IA221" i="87"/>
  <c r="BM221" i="87"/>
  <c r="HQ221" i="87"/>
  <c r="CQ221" i="87"/>
  <c r="IU221" i="87"/>
  <c r="DU221" i="87"/>
  <c r="JY221" i="87"/>
  <c r="DK221" i="87"/>
  <c r="AS214" i="87"/>
  <c r="Y214" i="87"/>
  <c r="AI214" i="87"/>
  <c r="FI214" i="87"/>
  <c r="IU214" i="87"/>
  <c r="CQ214" i="87"/>
  <c r="HQ214" i="87"/>
  <c r="BM214" i="87"/>
  <c r="IA214" i="87"/>
  <c r="BW214" i="87"/>
  <c r="JY214" i="87"/>
  <c r="DU214" i="87"/>
  <c r="KI214" i="87"/>
  <c r="EE214" i="87"/>
  <c r="JE214" i="87"/>
  <c r="DA214" i="87"/>
  <c r="JO214" i="87"/>
  <c r="DK214" i="87"/>
  <c r="IK214" i="87"/>
  <c r="CG214" i="87"/>
  <c r="FS214" i="87"/>
  <c r="KS214" i="87"/>
  <c r="EO214" i="87"/>
  <c r="LC214" i="87"/>
  <c r="EY214" i="87"/>
  <c r="GW214" i="87"/>
  <c r="HG214" i="87"/>
  <c r="BC214" i="87"/>
  <c r="GC214" i="87"/>
  <c r="GM214" i="87"/>
  <c r="JO230" i="87"/>
  <c r="GM230" i="87"/>
  <c r="DK230" i="87"/>
  <c r="AI230" i="87"/>
  <c r="LC230" i="87"/>
  <c r="IA230" i="87"/>
  <c r="EY230" i="87"/>
  <c r="BW230" i="87"/>
  <c r="KS230" i="87"/>
  <c r="CG230" i="87"/>
  <c r="FI230" i="87"/>
  <c r="IK230" i="87"/>
  <c r="BM230" i="87"/>
  <c r="EO230" i="87"/>
  <c r="HQ230" i="87"/>
  <c r="CQ230" i="87"/>
  <c r="FS230" i="87"/>
  <c r="IU230" i="87"/>
  <c r="DA230" i="87"/>
  <c r="JE230" i="87"/>
  <c r="BC230" i="87"/>
  <c r="HG230" i="87"/>
  <c r="AS230" i="87"/>
  <c r="DU230" i="87"/>
  <c r="GW230" i="87"/>
  <c r="JY230" i="87"/>
  <c r="Y230" i="87"/>
  <c r="GC230" i="87"/>
  <c r="EE230" i="87"/>
  <c r="KI230" i="87"/>
  <c r="KI227" i="87"/>
  <c r="HG227" i="87"/>
  <c r="EE227" i="87"/>
  <c r="BC227" i="87"/>
  <c r="IU227" i="87"/>
  <c r="FS227" i="87"/>
  <c r="CQ227" i="87"/>
  <c r="Y227" i="87"/>
  <c r="DA227" i="87"/>
  <c r="GC227" i="87"/>
  <c r="JE227" i="87"/>
  <c r="CG227" i="87"/>
  <c r="FI227" i="87"/>
  <c r="IK227" i="87"/>
  <c r="AI227" i="87"/>
  <c r="DK227" i="87"/>
  <c r="GM227" i="87"/>
  <c r="JO227" i="87"/>
  <c r="EY227" i="87"/>
  <c r="LC227" i="87"/>
  <c r="BM227" i="87"/>
  <c r="EO227" i="87"/>
  <c r="HQ227" i="87"/>
  <c r="KS227" i="87"/>
  <c r="AS227" i="87"/>
  <c r="DU227" i="87"/>
  <c r="GW227" i="87"/>
  <c r="JY227" i="87"/>
  <c r="BW227" i="87"/>
  <c r="IA227" i="87"/>
  <c r="IU229" i="87"/>
  <c r="FS229" i="87"/>
  <c r="CQ229" i="87"/>
  <c r="KI229" i="87"/>
  <c r="HG229" i="87"/>
  <c r="EE229" i="87"/>
  <c r="BC229" i="87"/>
  <c r="BM229" i="87"/>
  <c r="EO229" i="87"/>
  <c r="HQ229" i="87"/>
  <c r="KS229" i="87"/>
  <c r="AS229" i="87"/>
  <c r="DU229" i="87"/>
  <c r="GW229" i="87"/>
  <c r="JY229" i="87"/>
  <c r="BW229" i="87"/>
  <c r="EY229" i="87"/>
  <c r="IA229" i="87"/>
  <c r="LC229" i="87"/>
  <c r="IK229" i="87"/>
  <c r="AI229" i="87"/>
  <c r="GM229" i="87"/>
  <c r="Y229" i="87"/>
  <c r="DA229" i="87"/>
  <c r="GC229" i="87"/>
  <c r="JE229" i="87"/>
  <c r="CG229" i="87"/>
  <c r="FI229" i="87"/>
  <c r="DK229" i="87"/>
  <c r="JO229" i="87"/>
  <c r="LC228" i="87"/>
  <c r="IA228" i="87"/>
  <c r="EY228" i="87"/>
  <c r="BW228" i="87"/>
  <c r="JO228" i="87"/>
  <c r="GM228" i="87"/>
  <c r="DK228" i="87"/>
  <c r="AI228" i="87"/>
  <c r="AS228" i="87"/>
  <c r="DU228" i="87"/>
  <c r="GW228" i="87"/>
  <c r="JY228" i="87"/>
  <c r="Y228" i="87"/>
  <c r="DA228" i="87"/>
  <c r="GC228" i="87"/>
  <c r="JE228" i="87"/>
  <c r="BC228" i="87"/>
  <c r="EE228" i="87"/>
  <c r="HG228" i="87"/>
  <c r="KI228" i="87"/>
  <c r="KS228" i="87"/>
  <c r="FS228" i="87"/>
  <c r="CG228" i="87"/>
  <c r="FI228" i="87"/>
  <c r="IK228" i="87"/>
  <c r="BM228" i="87"/>
  <c r="EO228" i="87"/>
  <c r="HQ228" i="87"/>
  <c r="CQ228" i="87"/>
  <c r="IU228" i="87"/>
  <c r="GW242" i="87"/>
  <c r="AS242" i="87"/>
  <c r="FS242" i="87"/>
  <c r="FI242" i="87"/>
  <c r="KI242" i="87"/>
  <c r="EE242" i="87"/>
  <c r="JE242" i="87"/>
  <c r="DA242" i="87"/>
  <c r="JO242" i="87"/>
  <c r="DK242" i="87"/>
  <c r="KS242" i="87"/>
  <c r="EO242" i="87"/>
  <c r="LC242" i="87"/>
  <c r="EY242" i="87"/>
  <c r="JY242" i="87"/>
  <c r="DU242" i="87"/>
  <c r="IU242" i="87"/>
  <c r="CQ242" i="87"/>
  <c r="IK242" i="87"/>
  <c r="CG242" i="87"/>
  <c r="HG242" i="87"/>
  <c r="BC242" i="87"/>
  <c r="GC242" i="87"/>
  <c r="Y242" i="87"/>
  <c r="GM242" i="87"/>
  <c r="AI242" i="87"/>
  <c r="HQ242" i="87"/>
  <c r="BM242" i="87"/>
  <c r="IA242" i="87"/>
  <c r="BW242" i="87"/>
  <c r="KI218" i="87"/>
  <c r="HG218" i="87"/>
  <c r="EE218" i="87"/>
  <c r="BC218" i="87"/>
  <c r="KS218" i="87"/>
  <c r="HQ218" i="87"/>
  <c r="EO218" i="87"/>
  <c r="BM218" i="87"/>
  <c r="JO218" i="87"/>
  <c r="GM218" i="87"/>
  <c r="DK218" i="87"/>
  <c r="AI218" i="87"/>
  <c r="IK218" i="87"/>
  <c r="FI218" i="87"/>
  <c r="CG218" i="87"/>
  <c r="IU218" i="87"/>
  <c r="FS218" i="87"/>
  <c r="CQ218" i="87"/>
  <c r="JE218" i="87"/>
  <c r="GC218" i="87"/>
  <c r="DA218" i="87"/>
  <c r="Y218" i="87"/>
  <c r="LC218" i="87"/>
  <c r="IA218" i="87"/>
  <c r="EY218" i="87"/>
  <c r="BW218" i="87"/>
  <c r="JY218" i="87"/>
  <c r="GW218" i="87"/>
  <c r="DU218" i="87"/>
  <c r="AS218" i="87"/>
  <c r="KI236" i="87"/>
  <c r="HG236" i="87"/>
  <c r="EE236" i="87"/>
  <c r="BC236" i="87"/>
  <c r="KS236" i="87"/>
  <c r="HQ236" i="87"/>
  <c r="EO236" i="87"/>
  <c r="BM236" i="87"/>
  <c r="JO236" i="87"/>
  <c r="GM236" i="87"/>
  <c r="DK236" i="87"/>
  <c r="AI236" i="87"/>
  <c r="JY236" i="87"/>
  <c r="GW236" i="87"/>
  <c r="DU236" i="87"/>
  <c r="AS236" i="87"/>
  <c r="IU236" i="87"/>
  <c r="FS236" i="87"/>
  <c r="CQ236" i="87"/>
  <c r="JE236" i="87"/>
  <c r="GC236" i="87"/>
  <c r="DA236" i="87"/>
  <c r="Y236" i="87"/>
  <c r="LC236" i="87"/>
  <c r="IA236" i="87"/>
  <c r="EY236" i="87"/>
  <c r="BW236" i="87"/>
  <c r="IK236" i="87"/>
  <c r="FI236" i="87"/>
  <c r="CG236" i="87"/>
  <c r="IU233" i="87"/>
  <c r="FS233" i="87"/>
  <c r="CQ233" i="87"/>
  <c r="JE233" i="87"/>
  <c r="GC233" i="87"/>
  <c r="DA233" i="87"/>
  <c r="Y233" i="87"/>
  <c r="LC233" i="87"/>
  <c r="IA233" i="87"/>
  <c r="EY233" i="87"/>
  <c r="BW233" i="87"/>
  <c r="IK233" i="87"/>
  <c r="FI233" i="87"/>
  <c r="CG233" i="87"/>
  <c r="KI233" i="87"/>
  <c r="HG233" i="87"/>
  <c r="EE233" i="87"/>
  <c r="BC233" i="87"/>
  <c r="KS233" i="87"/>
  <c r="HQ233" i="87"/>
  <c r="EO233" i="87"/>
  <c r="BM233" i="87"/>
  <c r="JO233" i="87"/>
  <c r="GM233" i="87"/>
  <c r="DK233" i="87"/>
  <c r="AI233" i="87"/>
  <c r="JY233" i="87"/>
  <c r="GW233" i="87"/>
  <c r="DU233" i="87"/>
  <c r="AS233" i="87"/>
  <c r="JO226" i="87"/>
  <c r="GM226" i="87"/>
  <c r="DK226" i="87"/>
  <c r="AI226" i="87"/>
  <c r="JY226" i="87"/>
  <c r="GW226" i="87"/>
  <c r="DU226" i="87"/>
  <c r="AS226" i="87"/>
  <c r="IU226" i="87"/>
  <c r="FS226" i="87"/>
  <c r="CQ226" i="87"/>
  <c r="KS226" i="87"/>
  <c r="HQ226" i="87"/>
  <c r="EO226" i="87"/>
  <c r="BM226" i="87"/>
  <c r="IA226" i="87"/>
  <c r="EY226" i="87"/>
  <c r="BW226" i="87"/>
  <c r="IK226" i="87"/>
  <c r="FI226" i="87"/>
  <c r="CG226" i="87"/>
  <c r="LC226" i="87"/>
  <c r="KI226" i="87"/>
  <c r="HG226" i="87"/>
  <c r="EE226" i="87"/>
  <c r="BC226" i="87"/>
  <c r="JE226" i="87"/>
  <c r="GC226" i="87"/>
  <c r="DA226" i="87"/>
  <c r="Y226" i="87"/>
  <c r="KI240" i="87"/>
  <c r="HG240" i="87"/>
  <c r="EE240" i="87"/>
  <c r="BC240" i="87"/>
  <c r="KS240" i="87"/>
  <c r="HQ240" i="87"/>
  <c r="EO240" i="87"/>
  <c r="BM240" i="87"/>
  <c r="JO240" i="87"/>
  <c r="GM240" i="87"/>
  <c r="DK240" i="87"/>
  <c r="AI240" i="87"/>
  <c r="JY240" i="87"/>
  <c r="GW240" i="87"/>
  <c r="DU240" i="87"/>
  <c r="AS240" i="87"/>
  <c r="IU240" i="87"/>
  <c r="FS240" i="87"/>
  <c r="CQ240" i="87"/>
  <c r="JE240" i="87"/>
  <c r="GC240" i="87"/>
  <c r="DA240" i="87"/>
  <c r="Y240" i="87"/>
  <c r="LC240" i="87"/>
  <c r="IA240" i="87"/>
  <c r="EY240" i="87"/>
  <c r="BW240" i="87"/>
  <c r="IK240" i="87"/>
  <c r="FI240" i="87"/>
  <c r="CG240" i="87"/>
  <c r="LC232" i="87"/>
  <c r="IA232" i="87"/>
  <c r="EY232" i="87"/>
  <c r="BW232" i="87"/>
  <c r="IK232" i="87"/>
  <c r="FI232" i="87"/>
  <c r="CG232" i="87"/>
  <c r="KI232" i="87"/>
  <c r="HG232" i="87"/>
  <c r="EE232" i="87"/>
  <c r="BC232" i="87"/>
  <c r="KS232" i="87"/>
  <c r="HQ232" i="87"/>
  <c r="EO232" i="87"/>
  <c r="BM232" i="87"/>
  <c r="JO232" i="87"/>
  <c r="GM232" i="87"/>
  <c r="DK232" i="87"/>
  <c r="AI232" i="87"/>
  <c r="JY232" i="87"/>
  <c r="GW232" i="87"/>
  <c r="DU232" i="87"/>
  <c r="AS232" i="87"/>
  <c r="IU232" i="87"/>
  <c r="FS232" i="87"/>
  <c r="CQ232" i="87"/>
  <c r="JE232" i="87"/>
  <c r="GC232" i="87"/>
  <c r="DA232" i="87"/>
  <c r="Y232" i="87"/>
  <c r="IU220" i="87"/>
  <c r="FS220" i="87"/>
  <c r="CQ220" i="87"/>
  <c r="JE220" i="87"/>
  <c r="GC220" i="87"/>
  <c r="DA220" i="87"/>
  <c r="Y220" i="87"/>
  <c r="LC220" i="87"/>
  <c r="IA220" i="87"/>
  <c r="EY220" i="87"/>
  <c r="BW220" i="87"/>
  <c r="JY220" i="87"/>
  <c r="GW220" i="87"/>
  <c r="DU220" i="87"/>
  <c r="AS220" i="87"/>
  <c r="KI220" i="87"/>
  <c r="HG220" i="87"/>
  <c r="EE220" i="87"/>
  <c r="BC220" i="87"/>
  <c r="KS220" i="87"/>
  <c r="HQ220" i="87"/>
  <c r="EO220" i="87"/>
  <c r="BM220" i="87"/>
  <c r="JO220" i="87"/>
  <c r="GM220" i="87"/>
  <c r="DK220" i="87"/>
  <c r="AI220" i="87"/>
  <c r="IK220" i="87"/>
  <c r="FI220" i="87"/>
  <c r="CG220" i="87"/>
  <c r="KI231" i="87"/>
  <c r="HG231" i="87"/>
  <c r="EE231" i="87"/>
  <c r="BC231" i="87"/>
  <c r="KS231" i="87"/>
  <c r="HQ231" i="87"/>
  <c r="EO231" i="87"/>
  <c r="BM231" i="87"/>
  <c r="JO231" i="87"/>
  <c r="GM231" i="87"/>
  <c r="DK231" i="87"/>
  <c r="AI231" i="87"/>
  <c r="JY231" i="87"/>
  <c r="GW231" i="87"/>
  <c r="DU231" i="87"/>
  <c r="AS231" i="87"/>
  <c r="IU231" i="87"/>
  <c r="FS231" i="87"/>
  <c r="CQ231" i="87"/>
  <c r="JE231" i="87"/>
  <c r="GC231" i="87"/>
  <c r="DA231" i="87"/>
  <c r="Y231" i="87"/>
  <c r="LC231" i="87"/>
  <c r="IA231" i="87"/>
  <c r="EY231" i="87"/>
  <c r="BW231" i="87"/>
  <c r="IK231" i="87"/>
  <c r="FI231" i="87"/>
  <c r="CG231" i="87"/>
  <c r="JO239" i="87"/>
  <c r="GM239" i="87"/>
  <c r="DK239" i="87"/>
  <c r="AI239" i="87"/>
  <c r="JY239" i="87"/>
  <c r="GW239" i="87"/>
  <c r="DU239" i="87"/>
  <c r="AS239" i="87"/>
  <c r="IU239" i="87"/>
  <c r="FS239" i="87"/>
  <c r="CQ239" i="87"/>
  <c r="JE239" i="87"/>
  <c r="GC239" i="87"/>
  <c r="DA239" i="87"/>
  <c r="Y239" i="87"/>
  <c r="LC239" i="87"/>
  <c r="IA239" i="87"/>
  <c r="EY239" i="87"/>
  <c r="BW239" i="87"/>
  <c r="IK239" i="87"/>
  <c r="FI239" i="87"/>
  <c r="CG239" i="87"/>
  <c r="KI239" i="87"/>
  <c r="HG239" i="87"/>
  <c r="EE239" i="87"/>
  <c r="BC239" i="87"/>
  <c r="KS239" i="87"/>
  <c r="HQ239" i="87"/>
  <c r="EO239" i="87"/>
  <c r="BM239" i="87"/>
  <c r="LC219" i="87"/>
  <c r="IA219" i="87"/>
  <c r="EY219" i="87"/>
  <c r="BW219" i="87"/>
  <c r="IK219" i="87"/>
  <c r="FI219" i="87"/>
  <c r="CG219" i="87"/>
  <c r="KI219" i="87"/>
  <c r="HG219" i="87"/>
  <c r="EE219" i="87"/>
  <c r="BC219" i="87"/>
  <c r="JE219" i="87"/>
  <c r="GC219" i="87"/>
  <c r="DA219" i="87"/>
  <c r="Y219" i="87"/>
  <c r="JO219" i="87"/>
  <c r="GM219" i="87"/>
  <c r="DK219" i="87"/>
  <c r="AI219" i="87"/>
  <c r="JY219" i="87"/>
  <c r="GW219" i="87"/>
  <c r="DU219" i="87"/>
  <c r="AS219" i="87"/>
  <c r="IU219" i="87"/>
  <c r="FS219" i="87"/>
  <c r="CQ219" i="87"/>
  <c r="KS219" i="87"/>
  <c r="HQ219" i="87"/>
  <c r="EO219" i="87"/>
  <c r="BM219" i="87"/>
  <c r="IU224" i="87"/>
  <c r="FS224" i="87"/>
  <c r="CQ224" i="87"/>
  <c r="JE224" i="87"/>
  <c r="GC224" i="87"/>
  <c r="DA224" i="87"/>
  <c r="Y224" i="87"/>
  <c r="LC224" i="87"/>
  <c r="IA224" i="87"/>
  <c r="EY224" i="87"/>
  <c r="BW224" i="87"/>
  <c r="JY224" i="87"/>
  <c r="GW224" i="87"/>
  <c r="DU224" i="87"/>
  <c r="AS224" i="87"/>
  <c r="KI224" i="87"/>
  <c r="HG224" i="87"/>
  <c r="EE224" i="87"/>
  <c r="BC224" i="87"/>
  <c r="KS224" i="87"/>
  <c r="HQ224" i="87"/>
  <c r="EO224" i="87"/>
  <c r="BM224" i="87"/>
  <c r="JO224" i="87"/>
  <c r="GM224" i="87"/>
  <c r="DK224" i="87"/>
  <c r="AI224" i="87"/>
  <c r="IK224" i="87"/>
  <c r="FI224" i="87"/>
  <c r="CG224" i="87"/>
  <c r="IU238" i="87"/>
  <c r="FS238" i="87"/>
  <c r="CQ238" i="87"/>
  <c r="JE238" i="87"/>
  <c r="GC238" i="87"/>
  <c r="DA238" i="87"/>
  <c r="Y238" i="87"/>
  <c r="LC238" i="87"/>
  <c r="IA238" i="87"/>
  <c r="EY238" i="87"/>
  <c r="BW238" i="87"/>
  <c r="IK238" i="87"/>
  <c r="FI238" i="87"/>
  <c r="CG238" i="87"/>
  <c r="KI238" i="87"/>
  <c r="HG238" i="87"/>
  <c r="EE238" i="87"/>
  <c r="BC238" i="87"/>
  <c r="KS238" i="87"/>
  <c r="HQ238" i="87"/>
  <c r="EO238" i="87"/>
  <c r="BM238" i="87"/>
  <c r="JO238" i="87"/>
  <c r="GM238" i="87"/>
  <c r="DK238" i="87"/>
  <c r="AI238" i="87"/>
  <c r="JY238" i="87"/>
  <c r="GW238" i="87"/>
  <c r="DU238" i="87"/>
  <c r="AS238" i="87"/>
  <c r="LC223" i="87"/>
  <c r="IA223" i="87"/>
  <c r="EY223" i="87"/>
  <c r="BW223" i="87"/>
  <c r="IK223" i="87"/>
  <c r="FI223" i="87"/>
  <c r="CG223" i="87"/>
  <c r="KI223" i="87"/>
  <c r="HG223" i="87"/>
  <c r="EE223" i="87"/>
  <c r="BC223" i="87"/>
  <c r="JE223" i="87"/>
  <c r="GC223" i="87"/>
  <c r="DA223" i="87"/>
  <c r="Y223" i="87"/>
  <c r="JO223" i="87"/>
  <c r="GM223" i="87"/>
  <c r="DK223" i="87"/>
  <c r="AI223" i="87"/>
  <c r="JY223" i="87"/>
  <c r="GW223" i="87"/>
  <c r="DU223" i="87"/>
  <c r="AS223" i="87"/>
  <c r="IU223" i="87"/>
  <c r="FS223" i="87"/>
  <c r="CQ223" i="87"/>
  <c r="KS223" i="87"/>
  <c r="HQ223" i="87"/>
  <c r="EO223" i="87"/>
  <c r="BM223" i="87"/>
  <c r="LC241" i="87"/>
  <c r="IA241" i="87"/>
  <c r="EY241" i="87"/>
  <c r="BW241" i="87"/>
  <c r="IK241" i="87"/>
  <c r="FI241" i="87"/>
  <c r="CG241" i="87"/>
  <c r="KI241" i="87"/>
  <c r="HG241" i="87"/>
  <c r="EE241" i="87"/>
  <c r="BC241" i="87"/>
  <c r="KS241" i="87"/>
  <c r="HQ241" i="87"/>
  <c r="EO241" i="87"/>
  <c r="BM241" i="87"/>
  <c r="JO241" i="87"/>
  <c r="GM241" i="87"/>
  <c r="DK241" i="87"/>
  <c r="AI241" i="87"/>
  <c r="JY241" i="87"/>
  <c r="GW241" i="87"/>
  <c r="DU241" i="87"/>
  <c r="AS241" i="87"/>
  <c r="IU241" i="87"/>
  <c r="FS241" i="87"/>
  <c r="CQ241" i="87"/>
  <c r="JE241" i="87"/>
  <c r="GC241" i="87"/>
  <c r="DA241" i="87"/>
  <c r="Y241" i="87"/>
  <c r="JO235" i="87"/>
  <c r="GM235" i="87"/>
  <c r="DK235" i="87"/>
  <c r="AI235" i="87"/>
  <c r="JY235" i="87"/>
  <c r="GW235" i="87"/>
  <c r="DU235" i="87"/>
  <c r="AS235" i="87"/>
  <c r="IU235" i="87"/>
  <c r="FS235" i="87"/>
  <c r="CQ235" i="87"/>
  <c r="JE235" i="87"/>
  <c r="GC235" i="87"/>
  <c r="DA235" i="87"/>
  <c r="Y235" i="87"/>
  <c r="LC235" i="87"/>
  <c r="IA235" i="87"/>
  <c r="EY235" i="87"/>
  <c r="BW235" i="87"/>
  <c r="IK235" i="87"/>
  <c r="FI235" i="87"/>
  <c r="CG235" i="87"/>
  <c r="KI235" i="87"/>
  <c r="HG235" i="87"/>
  <c r="EE235" i="87"/>
  <c r="BC235" i="87"/>
  <c r="KS235" i="87"/>
  <c r="HQ235" i="87"/>
  <c r="EO235" i="87"/>
  <c r="BM235" i="87"/>
  <c r="KI222" i="87"/>
  <c r="HG222" i="87"/>
  <c r="EE222" i="87"/>
  <c r="BC222" i="87"/>
  <c r="KS222" i="87"/>
  <c r="HQ222" i="87"/>
  <c r="EO222" i="87"/>
  <c r="BM222" i="87"/>
  <c r="JO222" i="87"/>
  <c r="GM222" i="87"/>
  <c r="DK222" i="87"/>
  <c r="AI222" i="87"/>
  <c r="IK222" i="87"/>
  <c r="FI222" i="87"/>
  <c r="CG222" i="87"/>
  <c r="IU222" i="87"/>
  <c r="FS222" i="87"/>
  <c r="CQ222" i="87"/>
  <c r="JE222" i="87"/>
  <c r="GC222" i="87"/>
  <c r="DA222" i="87"/>
  <c r="Y222" i="87"/>
  <c r="LC222" i="87"/>
  <c r="IA222" i="87"/>
  <c r="EY222" i="87"/>
  <c r="BW222" i="87"/>
  <c r="JY222" i="87"/>
  <c r="GW222" i="87"/>
  <c r="DU222" i="87"/>
  <c r="AS222" i="87"/>
  <c r="O236" i="87"/>
  <c r="L156" i="87"/>
  <c r="L217" i="87"/>
  <c r="L215" i="87" s="1"/>
  <c r="O214" i="87"/>
  <c r="O231" i="87"/>
  <c r="O239" i="87"/>
  <c r="O229" i="87"/>
  <c r="O228" i="87"/>
  <c r="O242" i="87"/>
  <c r="O232" i="87"/>
  <c r="O220" i="87"/>
  <c r="O230" i="87"/>
  <c r="O227" i="87"/>
  <c r="O219" i="87"/>
  <c r="O224" i="87"/>
  <c r="O238" i="87"/>
  <c r="LJ186" i="87"/>
  <c r="O218" i="87"/>
  <c r="LL155" i="87"/>
  <c r="ZG1313" i="191" l="1"/>
  <c r="H438" i="191"/>
  <c r="ZD1313" i="191"/>
  <c r="ZF1313" i="191"/>
  <c r="ZC1313" i="191"/>
  <c r="G438" i="191"/>
  <c r="G426" i="191"/>
  <c r="ZB1313" i="191"/>
  <c r="H423" i="191"/>
  <c r="G428" i="191"/>
  <c r="G425" i="191"/>
  <c r="G437" i="191"/>
  <c r="H428" i="191"/>
  <c r="H426" i="191"/>
  <c r="G423" i="191"/>
  <c r="H425" i="191"/>
  <c r="G435" i="191"/>
  <c r="G436" i="191"/>
  <c r="H424" i="191"/>
  <c r="H427" i="191"/>
  <c r="G431" i="191"/>
  <c r="G440" i="191"/>
  <c r="G548" i="191"/>
  <c r="H548" i="191"/>
  <c r="F422" i="191"/>
  <c r="G444" i="191"/>
  <c r="G446" i="191"/>
  <c r="G445" i="191"/>
  <c r="G433" i="191"/>
  <c r="H446" i="191"/>
  <c r="H445" i="191"/>
  <c r="H433" i="191"/>
  <c r="H437" i="191"/>
  <c r="G427" i="191"/>
  <c r="H436" i="191"/>
  <c r="H431" i="191"/>
  <c r="H435" i="191"/>
  <c r="H440" i="191"/>
  <c r="G424" i="191"/>
  <c r="G673" i="191"/>
  <c r="H673" i="191"/>
  <c r="G736" i="191"/>
  <c r="H736" i="191"/>
  <c r="H444" i="191"/>
  <c r="Y158" i="87"/>
  <c r="BC158" i="87"/>
  <c r="AI158" i="87"/>
  <c r="HG158" i="87"/>
  <c r="GC158" i="87"/>
  <c r="GM158" i="87"/>
  <c r="FI158" i="87"/>
  <c r="KI158" i="87"/>
  <c r="EE158" i="87"/>
  <c r="JE158" i="87"/>
  <c r="DA158" i="87"/>
  <c r="JO158" i="87"/>
  <c r="DK158" i="87"/>
  <c r="IK158" i="87"/>
  <c r="CG158" i="87"/>
  <c r="O158" i="87"/>
  <c r="LJ158" i="87"/>
  <c r="LJ156" i="87" s="1"/>
  <c r="IU158" i="87"/>
  <c r="FS158" i="87"/>
  <c r="CQ158" i="87"/>
  <c r="KS158" i="87"/>
  <c r="HQ158" i="87"/>
  <c r="EO158" i="87"/>
  <c r="BM158" i="87"/>
  <c r="LC158" i="87"/>
  <c r="IA158" i="87"/>
  <c r="EY158" i="87"/>
  <c r="BW158" i="87"/>
  <c r="JY158" i="87"/>
  <c r="GW158" i="87"/>
  <c r="DU158" i="87"/>
  <c r="AS158" i="87"/>
  <c r="JO217" i="87"/>
  <c r="GM217" i="87"/>
  <c r="DK217" i="87"/>
  <c r="AI217" i="87"/>
  <c r="JY217" i="87"/>
  <c r="GW217" i="87"/>
  <c r="DU217" i="87"/>
  <c r="AS217" i="87"/>
  <c r="IU217" i="87"/>
  <c r="FS217" i="87"/>
  <c r="CQ217" i="87"/>
  <c r="KS217" i="87"/>
  <c r="HQ217" i="87"/>
  <c r="EO217" i="87"/>
  <c r="BM217" i="87"/>
  <c r="LC217" i="87"/>
  <c r="IA217" i="87"/>
  <c r="EY217" i="87"/>
  <c r="BW217" i="87"/>
  <c r="IK217" i="87"/>
  <c r="FI217" i="87"/>
  <c r="CG217" i="87"/>
  <c r="KI217" i="87"/>
  <c r="HG217" i="87"/>
  <c r="EE217" i="87"/>
  <c r="BC217" i="87"/>
  <c r="JE217" i="87"/>
  <c r="GC217" i="87"/>
  <c r="DA217" i="87"/>
  <c r="Y217" i="87"/>
  <c r="F32" i="76"/>
  <c r="E1137" i="191" s="1"/>
  <c r="F33" i="76"/>
  <c r="E1138" i="191" s="1"/>
  <c r="F31" i="76"/>
  <c r="E1136" i="191" s="1"/>
  <c r="F27" i="76"/>
  <c r="E1132" i="191" s="1"/>
  <c r="F23" i="76"/>
  <c r="E1128" i="191" s="1"/>
  <c r="F24" i="76"/>
  <c r="E1129" i="191" s="1"/>
  <c r="F22" i="76"/>
  <c r="E1127" i="191" s="1"/>
  <c r="F20" i="76"/>
  <c r="E1125" i="191" s="1"/>
  <c r="F18" i="76"/>
  <c r="E1123" i="191" s="1"/>
  <c r="F14" i="76"/>
  <c r="E1119" i="191" s="1"/>
  <c r="F12" i="76"/>
  <c r="E1117" i="191" s="1"/>
  <c r="F11" i="76"/>
  <c r="E1116" i="191" s="1"/>
  <c r="F9" i="76"/>
  <c r="E1114" i="191" s="1"/>
  <c r="G422" i="191" l="1"/>
  <c r="H422" i="191"/>
  <c r="LJ217" i="87"/>
  <c r="LJ215" i="87" s="1"/>
  <c r="R11" i="76"/>
  <c r="F1116" i="191" s="1"/>
  <c r="R14" i="76"/>
  <c r="F1119" i="191" s="1"/>
  <c r="R20" i="76"/>
  <c r="F1125" i="191" s="1"/>
  <c r="R24" i="76"/>
  <c r="F1129" i="191" s="1"/>
  <c r="R27" i="76"/>
  <c r="F1132" i="191" s="1"/>
  <c r="R33" i="76"/>
  <c r="F1138" i="191" s="1"/>
  <c r="R9" i="76"/>
  <c r="F1114" i="191" s="1"/>
  <c r="R12" i="76"/>
  <c r="F1117" i="191" s="1"/>
  <c r="R18" i="76"/>
  <c r="F1123" i="191" s="1"/>
  <c r="R22" i="76"/>
  <c r="F1127" i="191" s="1"/>
  <c r="R23" i="76"/>
  <c r="F1128" i="191" s="1"/>
  <c r="R31" i="76"/>
  <c r="F1136" i="191" s="1"/>
  <c r="R32" i="76"/>
  <c r="F1137" i="191" s="1"/>
  <c r="N242" i="77"/>
  <c r="G242" i="77"/>
  <c r="L242" i="77" s="1"/>
  <c r="N241" i="77"/>
  <c r="F241" i="77"/>
  <c r="G241" i="77" s="1"/>
  <c r="L241" i="77" s="1"/>
  <c r="N240" i="77"/>
  <c r="G240" i="77"/>
  <c r="N239" i="77"/>
  <c r="G239" i="77"/>
  <c r="L239" i="77" s="1"/>
  <c r="N238" i="77"/>
  <c r="G238" i="77"/>
  <c r="N235" i="77"/>
  <c r="G235" i="77"/>
  <c r="L235" i="77" s="1"/>
  <c r="N234" i="77"/>
  <c r="G234" i="77"/>
  <c r="L234" i="77" s="1"/>
  <c r="N233" i="77"/>
  <c r="G233" i="77"/>
  <c r="L233" i="77" s="1"/>
  <c r="N232" i="77"/>
  <c r="G232" i="77"/>
  <c r="L232" i="77" s="1"/>
  <c r="N231" i="77"/>
  <c r="G231" i="77"/>
  <c r="L231" i="77" s="1"/>
  <c r="N230" i="77"/>
  <c r="G230" i="77"/>
  <c r="L230" i="77" s="1"/>
  <c r="N229" i="77"/>
  <c r="N236" i="77" s="1"/>
  <c r="G229" i="77"/>
  <c r="L229" i="77" s="1"/>
  <c r="N226" i="77"/>
  <c r="N227" i="77" s="1"/>
  <c r="F226" i="77"/>
  <c r="E226" i="77"/>
  <c r="N221" i="77"/>
  <c r="F221" i="77"/>
  <c r="E221" i="77"/>
  <c r="N220" i="77"/>
  <c r="F220" i="77"/>
  <c r="E220" i="77"/>
  <c r="N219" i="77"/>
  <c r="F219" i="77"/>
  <c r="E219" i="77"/>
  <c r="N216" i="77"/>
  <c r="N217" i="77" s="1"/>
  <c r="J216" i="77"/>
  <c r="G216" i="77"/>
  <c r="L216" i="77" s="1"/>
  <c r="N211" i="77"/>
  <c r="J211" i="77"/>
  <c r="G211" i="77"/>
  <c r="L211" i="77" s="1"/>
  <c r="N210" i="77"/>
  <c r="E210" i="77"/>
  <c r="G210" i="77" s="1"/>
  <c r="L210" i="77" s="1"/>
  <c r="N209" i="77"/>
  <c r="E209" i="77"/>
  <c r="G209" i="77" s="1"/>
  <c r="L209" i="77" s="1"/>
  <c r="N208" i="77"/>
  <c r="N213" i="77" s="1"/>
  <c r="J208" i="77"/>
  <c r="G208" i="77"/>
  <c r="L208" i="77" s="1"/>
  <c r="N207" i="77"/>
  <c r="J207" i="77"/>
  <c r="G207" i="77"/>
  <c r="L207" i="77" s="1"/>
  <c r="N206" i="77"/>
  <c r="J206" i="77"/>
  <c r="G206" i="77"/>
  <c r="L206" i="77" s="1"/>
  <c r="N205" i="77"/>
  <c r="E205" i="77"/>
  <c r="J205" i="77" s="1"/>
  <c r="N204" i="77"/>
  <c r="E204" i="77"/>
  <c r="J204" i="77" s="1"/>
  <c r="N201" i="77"/>
  <c r="N202" i="77" s="1"/>
  <c r="J201" i="77"/>
  <c r="G201" i="77"/>
  <c r="L201" i="77" s="1"/>
  <c r="L202" i="77" s="1"/>
  <c r="N198" i="77"/>
  <c r="J198" i="77"/>
  <c r="G198" i="77"/>
  <c r="L198" i="77" s="1"/>
  <c r="N197" i="77"/>
  <c r="J197" i="77"/>
  <c r="G197" i="77"/>
  <c r="L197" i="77" s="1"/>
  <c r="N196" i="77"/>
  <c r="E196" i="77"/>
  <c r="G196" i="77" s="1"/>
  <c r="L196" i="77" s="1"/>
  <c r="N195" i="77"/>
  <c r="J195" i="77"/>
  <c r="G195" i="77"/>
  <c r="L195" i="77" s="1"/>
  <c r="N194" i="77"/>
  <c r="J194" i="77"/>
  <c r="G194" i="77"/>
  <c r="L194" i="77" s="1"/>
  <c r="N191" i="77"/>
  <c r="E191" i="77"/>
  <c r="G191" i="77" s="1"/>
  <c r="L191" i="77" s="1"/>
  <c r="N190" i="77"/>
  <c r="N192" i="77" s="1"/>
  <c r="E190" i="77"/>
  <c r="J190" i="77" s="1"/>
  <c r="N187" i="77"/>
  <c r="N188" i="77" s="1"/>
  <c r="E187" i="77"/>
  <c r="J187" i="77" s="1"/>
  <c r="N184" i="77"/>
  <c r="N185" i="77" s="1"/>
  <c r="J184" i="77"/>
  <c r="G184" i="77"/>
  <c r="L184" i="77" s="1"/>
  <c r="N181" i="77"/>
  <c r="G181" i="77"/>
  <c r="L181" i="77" s="1"/>
  <c r="N180" i="77"/>
  <c r="G180" i="77"/>
  <c r="L180" i="77" s="1"/>
  <c r="N179" i="77"/>
  <c r="G179" i="77"/>
  <c r="L179" i="77" s="1"/>
  <c r="N178" i="77"/>
  <c r="G178" i="77"/>
  <c r="L178" i="77" s="1"/>
  <c r="N177" i="77"/>
  <c r="G177" i="77"/>
  <c r="L177" i="77" s="1"/>
  <c r="N176" i="77"/>
  <c r="G176" i="77"/>
  <c r="L176" i="77" s="1"/>
  <c r="N175" i="77"/>
  <c r="G175" i="77"/>
  <c r="L175" i="77" s="1"/>
  <c r="N174" i="77"/>
  <c r="G174" i="77"/>
  <c r="L174" i="77" s="1"/>
  <c r="N173" i="77"/>
  <c r="G173" i="77"/>
  <c r="L173" i="77" s="1"/>
  <c r="N170" i="77"/>
  <c r="J170" i="77"/>
  <c r="G170" i="77"/>
  <c r="L170" i="77" s="1"/>
  <c r="N169" i="77"/>
  <c r="J169" i="77"/>
  <c r="G169" i="77"/>
  <c r="L169" i="77" s="1"/>
  <c r="L171" i="77" s="1"/>
  <c r="N164" i="77"/>
  <c r="J164" i="77"/>
  <c r="G164" i="77"/>
  <c r="L164" i="77" s="1"/>
  <c r="N163" i="77"/>
  <c r="J163" i="77"/>
  <c r="G163" i="77"/>
  <c r="L163" i="77" s="1"/>
  <c r="N162" i="77"/>
  <c r="J162" i="77"/>
  <c r="G162" i="77"/>
  <c r="L162" i="77" s="1"/>
  <c r="I160" i="77"/>
  <c r="N160" i="77" s="1"/>
  <c r="E160" i="77"/>
  <c r="G160" i="77" s="1"/>
  <c r="I159" i="77"/>
  <c r="N159" i="77" s="1"/>
  <c r="E159" i="77"/>
  <c r="G159" i="77" s="1"/>
  <c r="I158" i="77"/>
  <c r="N158" i="77" s="1"/>
  <c r="E158" i="77"/>
  <c r="G158" i="77" s="1"/>
  <c r="I157" i="77"/>
  <c r="N157" i="77" s="1"/>
  <c r="E157" i="77"/>
  <c r="G157" i="77" s="1"/>
  <c r="N156" i="77"/>
  <c r="M156" i="77"/>
  <c r="O156" i="77" s="1"/>
  <c r="N155" i="77"/>
  <c r="J155" i="77"/>
  <c r="G155" i="77"/>
  <c r="L155" i="77" s="1"/>
  <c r="N154" i="77"/>
  <c r="J154" i="77"/>
  <c r="G154" i="77"/>
  <c r="L154" i="77" s="1"/>
  <c r="N153" i="77"/>
  <c r="J153" i="77"/>
  <c r="G153" i="77"/>
  <c r="L153" i="77" s="1"/>
  <c r="N152" i="77"/>
  <c r="J152" i="77"/>
  <c r="G152" i="77"/>
  <c r="L152" i="77" s="1"/>
  <c r="N151" i="77"/>
  <c r="J151" i="77"/>
  <c r="G151" i="77"/>
  <c r="N148" i="77"/>
  <c r="E148" i="77"/>
  <c r="N147" i="77"/>
  <c r="E147" i="77"/>
  <c r="N146" i="77"/>
  <c r="J146" i="77"/>
  <c r="G146" i="77"/>
  <c r="L146" i="77" s="1"/>
  <c r="N141" i="77"/>
  <c r="G141" i="77"/>
  <c r="H141" i="77" s="1"/>
  <c r="M141" i="77" s="1"/>
  <c r="N140" i="77"/>
  <c r="G140" i="77"/>
  <c r="H140" i="77" s="1"/>
  <c r="M140" i="77" s="1"/>
  <c r="N139" i="77"/>
  <c r="L139" i="77"/>
  <c r="O139" i="77" s="1"/>
  <c r="G139" i="77"/>
  <c r="H139" i="77" s="1"/>
  <c r="M139" i="77" s="1"/>
  <c r="N138" i="77"/>
  <c r="G138" i="77"/>
  <c r="H138" i="77" s="1"/>
  <c r="M138" i="77" s="1"/>
  <c r="N137" i="77"/>
  <c r="G137" i="77"/>
  <c r="H137" i="77" s="1"/>
  <c r="M137" i="77" s="1"/>
  <c r="G132" i="77"/>
  <c r="L132" i="77" s="1"/>
  <c r="N130" i="77"/>
  <c r="J130" i="77"/>
  <c r="G130" i="77"/>
  <c r="K129" i="77"/>
  <c r="N129" i="77" s="1"/>
  <c r="J129" i="77"/>
  <c r="G129" i="77"/>
  <c r="H129" i="77" s="1"/>
  <c r="N128" i="77"/>
  <c r="J128" i="77"/>
  <c r="G128" i="77"/>
  <c r="L128" i="77" s="1"/>
  <c r="N127" i="77"/>
  <c r="E127" i="77"/>
  <c r="J127" i="77" s="1"/>
  <c r="J126" i="77"/>
  <c r="I126" i="77"/>
  <c r="N126" i="77" s="1"/>
  <c r="G126" i="77"/>
  <c r="J125" i="77"/>
  <c r="I125" i="77"/>
  <c r="N125" i="77" s="1"/>
  <c r="G125" i="77"/>
  <c r="N122" i="77"/>
  <c r="J122" i="77"/>
  <c r="H122" i="77" s="1"/>
  <c r="M122" i="77" s="1"/>
  <c r="G122" i="77"/>
  <c r="L122" i="77" s="1"/>
  <c r="N121" i="77"/>
  <c r="J121" i="77"/>
  <c r="G121" i="77"/>
  <c r="L121" i="77" s="1"/>
  <c r="N120" i="77"/>
  <c r="J120" i="77"/>
  <c r="G120" i="77"/>
  <c r="H120" i="77" s="1"/>
  <c r="M120" i="77" s="1"/>
  <c r="N119" i="77"/>
  <c r="J119" i="77"/>
  <c r="G119" i="77"/>
  <c r="L119" i="77" s="1"/>
  <c r="N118" i="77"/>
  <c r="J118" i="77"/>
  <c r="H118" i="77" s="1"/>
  <c r="M118" i="77" s="1"/>
  <c r="G118" i="77"/>
  <c r="L118" i="77" s="1"/>
  <c r="N117" i="77"/>
  <c r="J117" i="77"/>
  <c r="G117" i="77"/>
  <c r="L117" i="77" s="1"/>
  <c r="N114" i="77"/>
  <c r="J114" i="77"/>
  <c r="G114" i="77"/>
  <c r="L114" i="77" s="1"/>
  <c r="N113" i="77"/>
  <c r="J113" i="77"/>
  <c r="G113" i="77"/>
  <c r="L113" i="77" s="1"/>
  <c r="N112" i="77"/>
  <c r="E112" i="77"/>
  <c r="J112" i="77" s="1"/>
  <c r="N111" i="77"/>
  <c r="E111" i="77"/>
  <c r="J111" i="77" s="1"/>
  <c r="N108" i="77"/>
  <c r="G108" i="77"/>
  <c r="H108" i="77" s="1"/>
  <c r="M108" i="77" s="1"/>
  <c r="E108" i="77"/>
  <c r="N107" i="77"/>
  <c r="F107" i="77"/>
  <c r="E107" i="77"/>
  <c r="N106" i="77"/>
  <c r="F106" i="77"/>
  <c r="E106" i="77"/>
  <c r="N105" i="77"/>
  <c r="E105" i="77"/>
  <c r="G105" i="77" s="1"/>
  <c r="N104" i="77"/>
  <c r="F104" i="77"/>
  <c r="G104" i="77" s="1"/>
  <c r="H104" i="77" s="1"/>
  <c r="M104" i="77" s="1"/>
  <c r="N103" i="77"/>
  <c r="E103" i="77"/>
  <c r="G103" i="77" s="1"/>
  <c r="N102" i="77"/>
  <c r="G102" i="77"/>
  <c r="H102" i="77" s="1"/>
  <c r="M102" i="77" s="1"/>
  <c r="N101" i="77"/>
  <c r="E101" i="77"/>
  <c r="G101" i="77" s="1"/>
  <c r="H101" i="77" s="1"/>
  <c r="M101" i="77" s="1"/>
  <c r="N100" i="77"/>
  <c r="E100" i="77"/>
  <c r="G100" i="77" s="1"/>
  <c r="N99" i="77"/>
  <c r="E99" i="77"/>
  <c r="G99" i="77" s="1"/>
  <c r="H99" i="77" s="1"/>
  <c r="M99" i="77" s="1"/>
  <c r="N98" i="77"/>
  <c r="E98" i="77"/>
  <c r="G98" i="77" s="1"/>
  <c r="N97" i="77"/>
  <c r="F97" i="77"/>
  <c r="E97" i="77"/>
  <c r="N96" i="77"/>
  <c r="G96" i="77"/>
  <c r="H96" i="77" s="1"/>
  <c r="M96" i="77" s="1"/>
  <c r="N95" i="77"/>
  <c r="F95" i="77"/>
  <c r="E95" i="77"/>
  <c r="N94" i="77"/>
  <c r="N93" i="77"/>
  <c r="F93" i="77"/>
  <c r="G93" i="77" s="1"/>
  <c r="H93" i="77" s="1"/>
  <c r="M93" i="77" s="1"/>
  <c r="N92" i="77"/>
  <c r="F92" i="77"/>
  <c r="F94" i="77" s="1"/>
  <c r="E92" i="77"/>
  <c r="F87" i="77"/>
  <c r="I87" i="77" s="1"/>
  <c r="N87" i="77" s="1"/>
  <c r="E87" i="77"/>
  <c r="I86" i="77"/>
  <c r="N86" i="77" s="1"/>
  <c r="G86" i="77"/>
  <c r="L86" i="77" s="1"/>
  <c r="F85" i="77"/>
  <c r="I85" i="77" s="1"/>
  <c r="N85" i="77" s="1"/>
  <c r="E85" i="77"/>
  <c r="F84" i="77"/>
  <c r="I84" i="77" s="1"/>
  <c r="N84" i="77" s="1"/>
  <c r="E84" i="77"/>
  <c r="F83" i="77"/>
  <c r="I83" i="77" s="1"/>
  <c r="N83" i="77" s="1"/>
  <c r="E83" i="77"/>
  <c r="F82" i="77"/>
  <c r="I82" i="77" s="1"/>
  <c r="N82" i="77" s="1"/>
  <c r="E82" i="77"/>
  <c r="G82" i="77" s="1"/>
  <c r="F81" i="77"/>
  <c r="I81" i="77" s="1"/>
  <c r="N81" i="77" s="1"/>
  <c r="E81" i="77"/>
  <c r="F80" i="77"/>
  <c r="I80" i="77" s="1"/>
  <c r="N80" i="77" s="1"/>
  <c r="E80" i="77"/>
  <c r="F79" i="77"/>
  <c r="I79" i="77" s="1"/>
  <c r="N79" i="77" s="1"/>
  <c r="E79" i="77"/>
  <c r="F78" i="77"/>
  <c r="I78" i="77" s="1"/>
  <c r="N78" i="77" s="1"/>
  <c r="E78" i="77"/>
  <c r="F77" i="77"/>
  <c r="I77" i="77" s="1"/>
  <c r="N77" i="77" s="1"/>
  <c r="E77" i="77"/>
  <c r="F76" i="77"/>
  <c r="I76" i="77" s="1"/>
  <c r="N76" i="77" s="1"/>
  <c r="E76" i="77"/>
  <c r="F75" i="77"/>
  <c r="I75" i="77" s="1"/>
  <c r="N75" i="77" s="1"/>
  <c r="E75" i="77"/>
  <c r="F74" i="77"/>
  <c r="I74" i="77" s="1"/>
  <c r="N74" i="77" s="1"/>
  <c r="E74" i="77"/>
  <c r="F73" i="77"/>
  <c r="I73" i="77" s="1"/>
  <c r="N73" i="77" s="1"/>
  <c r="E73" i="77"/>
  <c r="F72" i="77"/>
  <c r="I72" i="77" s="1"/>
  <c r="N72" i="77" s="1"/>
  <c r="E72" i="77"/>
  <c r="F71" i="77"/>
  <c r="I71" i="77" s="1"/>
  <c r="N71" i="77" s="1"/>
  <c r="E71" i="77"/>
  <c r="I70" i="77"/>
  <c r="N70" i="77" s="1"/>
  <c r="G70" i="77"/>
  <c r="L70" i="77" s="1"/>
  <c r="F69" i="77"/>
  <c r="I69" i="77" s="1"/>
  <c r="N69" i="77" s="1"/>
  <c r="E69" i="77"/>
  <c r="F68" i="77"/>
  <c r="I68" i="77" s="1"/>
  <c r="N68" i="77" s="1"/>
  <c r="E68" i="77"/>
  <c r="F67" i="77"/>
  <c r="I67" i="77" s="1"/>
  <c r="N67" i="77" s="1"/>
  <c r="E67" i="77"/>
  <c r="F66" i="77"/>
  <c r="I66" i="77" s="1"/>
  <c r="N66" i="77" s="1"/>
  <c r="E66" i="77"/>
  <c r="F65" i="77"/>
  <c r="I65" i="77" s="1"/>
  <c r="N65" i="77" s="1"/>
  <c r="E65" i="77"/>
  <c r="F64" i="77"/>
  <c r="I64" i="77" s="1"/>
  <c r="N64" i="77" s="1"/>
  <c r="E64" i="77"/>
  <c r="F63" i="77"/>
  <c r="I63" i="77" s="1"/>
  <c r="N63" i="77" s="1"/>
  <c r="E63" i="77"/>
  <c r="F62" i="77"/>
  <c r="I62" i="77" s="1"/>
  <c r="N62" i="77" s="1"/>
  <c r="E62" i="77"/>
  <c r="F61" i="77"/>
  <c r="I61" i="77" s="1"/>
  <c r="N61" i="77" s="1"/>
  <c r="E61" i="77"/>
  <c r="F60" i="77"/>
  <c r="I60" i="77" s="1"/>
  <c r="N60" i="77" s="1"/>
  <c r="E60" i="77"/>
  <c r="F59" i="77"/>
  <c r="I59" i="77" s="1"/>
  <c r="N59" i="77" s="1"/>
  <c r="E59" i="77"/>
  <c r="N58" i="77"/>
  <c r="F58" i="77"/>
  <c r="I58" i="77" s="1"/>
  <c r="E58" i="77"/>
  <c r="G58" i="77" s="1"/>
  <c r="L58" i="77" s="1"/>
  <c r="F57" i="77"/>
  <c r="I57" i="77" s="1"/>
  <c r="N57" i="77" s="1"/>
  <c r="E57" i="77"/>
  <c r="F56" i="77"/>
  <c r="I56" i="77" s="1"/>
  <c r="N56" i="77" s="1"/>
  <c r="E56" i="77"/>
  <c r="F55" i="77"/>
  <c r="I55" i="77" s="1"/>
  <c r="N55" i="77" s="1"/>
  <c r="E55" i="77"/>
  <c r="F54" i="77"/>
  <c r="I54" i="77" s="1"/>
  <c r="N54" i="77" s="1"/>
  <c r="E54" i="77"/>
  <c r="F53" i="77"/>
  <c r="I53" i="77" s="1"/>
  <c r="N53" i="77" s="1"/>
  <c r="E53" i="77"/>
  <c r="F52" i="77"/>
  <c r="I52" i="77" s="1"/>
  <c r="N52" i="77" s="1"/>
  <c r="E52" i="77"/>
  <c r="I51" i="77"/>
  <c r="N51" i="77" s="1"/>
  <c r="G51" i="77"/>
  <c r="F50" i="77"/>
  <c r="I50" i="77" s="1"/>
  <c r="N50" i="77" s="1"/>
  <c r="E50" i="77"/>
  <c r="F49" i="77"/>
  <c r="I49" i="77" s="1"/>
  <c r="N49" i="77" s="1"/>
  <c r="E49" i="77"/>
  <c r="F48" i="77"/>
  <c r="I48" i="77" s="1"/>
  <c r="N48" i="77" s="1"/>
  <c r="E48" i="77"/>
  <c r="F47" i="77"/>
  <c r="I47" i="77" s="1"/>
  <c r="N47" i="77" s="1"/>
  <c r="E47" i="77"/>
  <c r="N42" i="77"/>
  <c r="G42" i="77"/>
  <c r="H42" i="77" s="1"/>
  <c r="M42" i="77" s="1"/>
  <c r="N41" i="77"/>
  <c r="F41" i="77"/>
  <c r="E41" i="77"/>
  <c r="F39" i="77"/>
  <c r="I39" i="77" s="1"/>
  <c r="N39" i="77" s="1"/>
  <c r="E39" i="77"/>
  <c r="N38" i="77"/>
  <c r="F38" i="77"/>
  <c r="E38" i="77"/>
  <c r="N37" i="77"/>
  <c r="F37" i="77"/>
  <c r="E37" i="77"/>
  <c r="N35" i="77"/>
  <c r="G35" i="77"/>
  <c r="H35" i="77" s="1"/>
  <c r="M35" i="77" s="1"/>
  <c r="N34" i="77"/>
  <c r="G34" i="77"/>
  <c r="H34" i="77" s="1"/>
  <c r="M34" i="77" s="1"/>
  <c r="F32" i="77"/>
  <c r="F33" i="77" s="1"/>
  <c r="F36" i="77" s="1"/>
  <c r="I36" i="77" s="1"/>
  <c r="N36" i="77" s="1"/>
  <c r="E32" i="77"/>
  <c r="E33" i="77" s="1"/>
  <c r="L120" i="77" l="1"/>
  <c r="H126" i="77"/>
  <c r="M126" i="77" s="1"/>
  <c r="N182" i="77"/>
  <c r="G83" i="77"/>
  <c r="G107" i="77"/>
  <c r="G190" i="77"/>
  <c r="L190" i="77" s="1"/>
  <c r="N199" i="77"/>
  <c r="G219" i="77"/>
  <c r="G221" i="77"/>
  <c r="L199" i="77"/>
  <c r="G39" i="77"/>
  <c r="G69" i="77"/>
  <c r="H114" i="77"/>
  <c r="M114" i="77" s="1"/>
  <c r="G37" i="77"/>
  <c r="G41" i="77"/>
  <c r="H70" i="77"/>
  <c r="M70" i="77" s="1"/>
  <c r="G53" i="77"/>
  <c r="G74" i="77"/>
  <c r="G95" i="77"/>
  <c r="H125" i="77"/>
  <c r="M125" i="77" s="1"/>
  <c r="M129" i="77"/>
  <c r="N142" i="77"/>
  <c r="N143" i="77" s="1"/>
  <c r="N149" i="77"/>
  <c r="N253" i="77" s="1"/>
  <c r="N212" i="77"/>
  <c r="N222" i="77"/>
  <c r="N223" i="77" s="1"/>
  <c r="G63" i="77"/>
  <c r="G75" i="77"/>
  <c r="I32" i="77"/>
  <c r="N32" i="77" s="1"/>
  <c r="G49" i="77"/>
  <c r="L49" i="77" s="1"/>
  <c r="G55" i="77"/>
  <c r="G61" i="77"/>
  <c r="G66" i="77"/>
  <c r="L66" i="77" s="1"/>
  <c r="G71" i="77"/>
  <c r="L71" i="77" s="1"/>
  <c r="G78" i="77"/>
  <c r="G79" i="77"/>
  <c r="G92" i="77"/>
  <c r="H146" i="77"/>
  <c r="M146" i="77" s="1"/>
  <c r="H152" i="77"/>
  <c r="M152" i="77" s="1"/>
  <c r="H154" i="77"/>
  <c r="M154" i="77" s="1"/>
  <c r="H170" i="77"/>
  <c r="M170" i="77" s="1"/>
  <c r="G187" i="77"/>
  <c r="L187" i="77" s="1"/>
  <c r="N254" i="77"/>
  <c r="N243" i="77"/>
  <c r="G38" i="77"/>
  <c r="G47" i="77"/>
  <c r="L47" i="77" s="1"/>
  <c r="G50" i="77"/>
  <c r="L50" i="77" s="1"/>
  <c r="G54" i="77"/>
  <c r="L54" i="77" s="1"/>
  <c r="G57" i="77"/>
  <c r="G59" i="77"/>
  <c r="L59" i="77" s="1"/>
  <c r="G62" i="77"/>
  <c r="L62" i="77" s="1"/>
  <c r="G65" i="77"/>
  <c r="G67" i="77"/>
  <c r="G73" i="77"/>
  <c r="L73" i="77" s="1"/>
  <c r="G76" i="77"/>
  <c r="G77" i="77"/>
  <c r="G80" i="77"/>
  <c r="G81" i="77"/>
  <c r="G84" i="77"/>
  <c r="G85" i="77"/>
  <c r="H86" i="77"/>
  <c r="M86" i="77" s="1"/>
  <c r="G87" i="77"/>
  <c r="N109" i="77"/>
  <c r="G97" i="77"/>
  <c r="G106" i="77"/>
  <c r="N115" i="77"/>
  <c r="N123" i="77"/>
  <c r="L129" i="77"/>
  <c r="L137" i="77"/>
  <c r="O137" i="77" s="1"/>
  <c r="L141" i="77"/>
  <c r="O141" i="77" s="1"/>
  <c r="H163" i="77"/>
  <c r="M163" i="77" s="1"/>
  <c r="N171" i="77"/>
  <c r="J191" i="77"/>
  <c r="J196" i="77"/>
  <c r="J209" i="77"/>
  <c r="J210" i="77"/>
  <c r="E94" i="77"/>
  <c r="G94" i="77" s="1"/>
  <c r="N165" i="77"/>
  <c r="N166" i="77" s="1"/>
  <c r="H194" i="77"/>
  <c r="M194" i="77" s="1"/>
  <c r="H197" i="77"/>
  <c r="M197" i="77" s="1"/>
  <c r="H201" i="77"/>
  <c r="M201" i="77" s="1"/>
  <c r="M202" i="77" s="1"/>
  <c r="H207" i="77"/>
  <c r="M207" i="77" s="1"/>
  <c r="N214" i="77"/>
  <c r="H211" i="77"/>
  <c r="M211" i="77" s="1"/>
  <c r="G220" i="77"/>
  <c r="G226" i="77"/>
  <c r="G33" i="77"/>
  <c r="E36" i="77"/>
  <c r="G36" i="77" s="1"/>
  <c r="L37" i="77"/>
  <c r="H37" i="77"/>
  <c r="M37" i="77" s="1"/>
  <c r="L39" i="77"/>
  <c r="H39" i="77"/>
  <c r="M39" i="77" s="1"/>
  <c r="H41" i="77"/>
  <c r="M41" i="77" s="1"/>
  <c r="L41" i="77"/>
  <c r="H49" i="77"/>
  <c r="M49" i="77" s="1"/>
  <c r="L53" i="77"/>
  <c r="H53" i="77"/>
  <c r="M53" i="77" s="1"/>
  <c r="L55" i="77"/>
  <c r="H55" i="77"/>
  <c r="M55" i="77" s="1"/>
  <c r="L61" i="77"/>
  <c r="H61" i="77"/>
  <c r="M61" i="77" s="1"/>
  <c r="L63" i="77"/>
  <c r="H63" i="77"/>
  <c r="M63" i="77" s="1"/>
  <c r="L69" i="77"/>
  <c r="H69" i="77"/>
  <c r="M69" i="77" s="1"/>
  <c r="H71" i="77"/>
  <c r="M71" i="77" s="1"/>
  <c r="L38" i="77"/>
  <c r="H38" i="77"/>
  <c r="M38" i="77" s="1"/>
  <c r="H47" i="77"/>
  <c r="M47" i="77" s="1"/>
  <c r="L57" i="77"/>
  <c r="H57" i="77"/>
  <c r="M57" i="77" s="1"/>
  <c r="H59" i="77"/>
  <c r="M59" i="77" s="1"/>
  <c r="L65" i="77"/>
  <c r="H65" i="77"/>
  <c r="M65" i="77" s="1"/>
  <c r="L67" i="77"/>
  <c r="H67" i="77"/>
  <c r="M67" i="77" s="1"/>
  <c r="H73" i="77"/>
  <c r="M73" i="77" s="1"/>
  <c r="L74" i="77"/>
  <c r="H74" i="77"/>
  <c r="M74" i="77" s="1"/>
  <c r="L75" i="77"/>
  <c r="H75" i="77"/>
  <c r="M75" i="77" s="1"/>
  <c r="L78" i="77"/>
  <c r="H78" i="77"/>
  <c r="M78" i="77" s="1"/>
  <c r="L79" i="77"/>
  <c r="H79" i="77"/>
  <c r="M79" i="77" s="1"/>
  <c r="L82" i="77"/>
  <c r="H82" i="77"/>
  <c r="M82" i="77" s="1"/>
  <c r="L83" i="77"/>
  <c r="H83" i="77"/>
  <c r="M83" i="77" s="1"/>
  <c r="L92" i="77"/>
  <c r="H92" i="77"/>
  <c r="M92" i="77" s="1"/>
  <c r="H94" i="77"/>
  <c r="M94" i="77" s="1"/>
  <c r="L94" i="77"/>
  <c r="H95" i="77"/>
  <c r="M95" i="77" s="1"/>
  <c r="L95" i="77"/>
  <c r="O95" i="77" s="1"/>
  <c r="L98" i="77"/>
  <c r="H98" i="77"/>
  <c r="M98" i="77" s="1"/>
  <c r="L103" i="77"/>
  <c r="H103" i="77"/>
  <c r="M103" i="77" s="1"/>
  <c r="L107" i="77"/>
  <c r="H107" i="77"/>
  <c r="M107" i="77" s="1"/>
  <c r="L123" i="77"/>
  <c r="G32" i="77"/>
  <c r="L34" i="77"/>
  <c r="O34" i="77" s="1"/>
  <c r="L35" i="77"/>
  <c r="O35" i="77" s="1"/>
  <c r="L42" i="77"/>
  <c r="O42" i="77" s="1"/>
  <c r="N88" i="77"/>
  <c r="N89" i="77" s="1"/>
  <c r="L89" i="77" s="1"/>
  <c r="H50" i="77"/>
  <c r="M50" i="77" s="1"/>
  <c r="O50" i="77" s="1"/>
  <c r="H54" i="77"/>
  <c r="M54" i="77" s="1"/>
  <c r="O54" i="77" s="1"/>
  <c r="H58" i="77"/>
  <c r="M58" i="77" s="1"/>
  <c r="O58" i="77" s="1"/>
  <c r="H62" i="77"/>
  <c r="M62" i="77" s="1"/>
  <c r="O62" i="77" s="1"/>
  <c r="H66" i="77"/>
  <c r="M66" i="77" s="1"/>
  <c r="O66" i="77" s="1"/>
  <c r="O114" i="77"/>
  <c r="O118" i="77"/>
  <c r="O120" i="77"/>
  <c r="O122" i="77"/>
  <c r="L51" i="77"/>
  <c r="O51" i="77" s="1"/>
  <c r="H51" i="77"/>
  <c r="M51" i="77" s="1"/>
  <c r="L76" i="77"/>
  <c r="O76" i="77" s="1"/>
  <c r="H76" i="77"/>
  <c r="M76" i="77" s="1"/>
  <c r="L77" i="77"/>
  <c r="O77" i="77" s="1"/>
  <c r="H77" i="77"/>
  <c r="M77" i="77" s="1"/>
  <c r="L80" i="77"/>
  <c r="O80" i="77" s="1"/>
  <c r="H80" i="77"/>
  <c r="M80" i="77" s="1"/>
  <c r="L81" i="77"/>
  <c r="O81" i="77" s="1"/>
  <c r="H81" i="77"/>
  <c r="M81" i="77" s="1"/>
  <c r="L84" i="77"/>
  <c r="O84" i="77" s="1"/>
  <c r="H84" i="77"/>
  <c r="M84" i="77" s="1"/>
  <c r="L85" i="77"/>
  <c r="O85" i="77" s="1"/>
  <c r="H85" i="77"/>
  <c r="M85" i="77" s="1"/>
  <c r="L87" i="77"/>
  <c r="O87" i="77" s="1"/>
  <c r="H87" i="77"/>
  <c r="M87" i="77" s="1"/>
  <c r="H97" i="77"/>
  <c r="M97" i="77" s="1"/>
  <c r="L97" i="77"/>
  <c r="L100" i="77"/>
  <c r="H100" i="77"/>
  <c r="M100" i="77" s="1"/>
  <c r="L105" i="77"/>
  <c r="O105" i="77" s="1"/>
  <c r="H105" i="77"/>
  <c r="M105" i="77" s="1"/>
  <c r="L106" i="77"/>
  <c r="H106" i="77"/>
  <c r="M106" i="77" s="1"/>
  <c r="N258" i="77"/>
  <c r="N246" i="77"/>
  <c r="I33" i="77"/>
  <c r="N33" i="77" s="1"/>
  <c r="N43" i="77" s="1"/>
  <c r="G48" i="77"/>
  <c r="G52" i="77"/>
  <c r="G56" i="77"/>
  <c r="G60" i="77"/>
  <c r="G64" i="77"/>
  <c r="G68" i="77"/>
  <c r="O70" i="77"/>
  <c r="G72" i="77"/>
  <c r="O86" i="77"/>
  <c r="N133" i="77"/>
  <c r="N134" i="77" s="1"/>
  <c r="L134" i="77" s="1"/>
  <c r="O129" i="77"/>
  <c r="L130" i="77"/>
  <c r="H130" i="77"/>
  <c r="M130" i="77" s="1"/>
  <c r="J147" i="77"/>
  <c r="G147" i="77"/>
  <c r="J148" i="77"/>
  <c r="G148" i="77"/>
  <c r="L151" i="77"/>
  <c r="H151" i="77"/>
  <c r="M151" i="77" s="1"/>
  <c r="L158" i="77"/>
  <c r="H158" i="77"/>
  <c r="M158" i="77" s="1"/>
  <c r="L160" i="77"/>
  <c r="H160" i="77"/>
  <c r="M160" i="77" s="1"/>
  <c r="L182" i="77"/>
  <c r="L185" i="77"/>
  <c r="L188" i="77"/>
  <c r="L192" i="77"/>
  <c r="L213" i="77"/>
  <c r="L214" i="77"/>
  <c r="L217" i="77"/>
  <c r="H220" i="77"/>
  <c r="M220" i="77" s="1"/>
  <c r="L220" i="77"/>
  <c r="L226" i="77"/>
  <c r="H226" i="77"/>
  <c r="M226" i="77" s="1"/>
  <c r="M227" i="77" s="1"/>
  <c r="H240" i="77"/>
  <c r="M240" i="77" s="1"/>
  <c r="L240" i="77"/>
  <c r="L93" i="77"/>
  <c r="O93" i="77" s="1"/>
  <c r="L96" i="77"/>
  <c r="O96" i="77" s="1"/>
  <c r="L99" i="77"/>
  <c r="O99" i="77" s="1"/>
  <c r="L101" i="77"/>
  <c r="O101" i="77" s="1"/>
  <c r="L102" i="77"/>
  <c r="O102" i="77" s="1"/>
  <c r="L104" i="77"/>
  <c r="O104" i="77" s="1"/>
  <c r="L108" i="77"/>
  <c r="O108" i="77" s="1"/>
  <c r="L125" i="77"/>
  <c r="L126" i="77"/>
  <c r="O126" i="77" s="1"/>
  <c r="O146" i="77"/>
  <c r="O152" i="77"/>
  <c r="O154" i="77"/>
  <c r="O170" i="77"/>
  <c r="O197" i="77"/>
  <c r="O207" i="77"/>
  <c r="O211" i="77"/>
  <c r="L157" i="77"/>
  <c r="H157" i="77"/>
  <c r="M157" i="77" s="1"/>
  <c r="L159" i="77"/>
  <c r="H159" i="77"/>
  <c r="M159" i="77" s="1"/>
  <c r="H219" i="77"/>
  <c r="M219" i="77" s="1"/>
  <c r="L219" i="77"/>
  <c r="H221" i="77"/>
  <c r="M221" i="77" s="1"/>
  <c r="L221" i="77"/>
  <c r="L236" i="77"/>
  <c r="H238" i="77"/>
  <c r="M238" i="77" s="1"/>
  <c r="L238" i="77"/>
  <c r="S238" i="77" s="1"/>
  <c r="G111" i="77"/>
  <c r="G112" i="77"/>
  <c r="H113" i="77"/>
  <c r="M113" i="77" s="1"/>
  <c r="O113" i="77" s="1"/>
  <c r="H117" i="77"/>
  <c r="M117" i="77" s="1"/>
  <c r="H119" i="77"/>
  <c r="M119" i="77" s="1"/>
  <c r="O119" i="77" s="1"/>
  <c r="H121" i="77"/>
  <c r="M121" i="77" s="1"/>
  <c r="O121" i="77" s="1"/>
  <c r="G127" i="77"/>
  <c r="H128" i="77"/>
  <c r="M128" i="77" s="1"/>
  <c r="O128" i="77" s="1"/>
  <c r="M142" i="77"/>
  <c r="M143" i="77" s="1"/>
  <c r="L143" i="77" s="1"/>
  <c r="L138" i="77"/>
  <c r="O138" i="77" s="1"/>
  <c r="L140" i="77"/>
  <c r="O140" i="77" s="1"/>
  <c r="O163" i="77"/>
  <c r="H153" i="77"/>
  <c r="M153" i="77" s="1"/>
  <c r="O153" i="77" s="1"/>
  <c r="H155" i="77"/>
  <c r="M155" i="77" s="1"/>
  <c r="O155" i="77" s="1"/>
  <c r="H162" i="77"/>
  <c r="M162" i="77" s="1"/>
  <c r="O162" i="77" s="1"/>
  <c r="H164" i="77"/>
  <c r="M164" i="77" s="1"/>
  <c r="O164" i="77" s="1"/>
  <c r="H169" i="77"/>
  <c r="M169" i="77" s="1"/>
  <c r="M171" i="77" s="1"/>
  <c r="H173" i="77"/>
  <c r="M173" i="77" s="1"/>
  <c r="H174" i="77"/>
  <c r="M174" i="77" s="1"/>
  <c r="O174" i="77" s="1"/>
  <c r="H175" i="77"/>
  <c r="M175" i="77" s="1"/>
  <c r="O175" i="77" s="1"/>
  <c r="H176" i="77"/>
  <c r="M176" i="77" s="1"/>
  <c r="O176" i="77" s="1"/>
  <c r="H177" i="77"/>
  <c r="M177" i="77" s="1"/>
  <c r="O177" i="77" s="1"/>
  <c r="H178" i="77"/>
  <c r="M178" i="77" s="1"/>
  <c r="O178" i="77" s="1"/>
  <c r="H179" i="77"/>
  <c r="M179" i="77" s="1"/>
  <c r="O179" i="77" s="1"/>
  <c r="H180" i="77"/>
  <c r="M180" i="77" s="1"/>
  <c r="O180" i="77" s="1"/>
  <c r="H181" i="77"/>
  <c r="M181" i="77" s="1"/>
  <c r="O181" i="77" s="1"/>
  <c r="H184" i="77"/>
  <c r="M184" i="77" s="1"/>
  <c r="M185" i="77" s="1"/>
  <c r="H187" i="77"/>
  <c r="M187" i="77" s="1"/>
  <c r="M188" i="77" s="1"/>
  <c r="H190" i="77"/>
  <c r="M190" i="77" s="1"/>
  <c r="H191" i="77"/>
  <c r="M191" i="77" s="1"/>
  <c r="O191" i="77" s="1"/>
  <c r="O194" i="77"/>
  <c r="H195" i="77"/>
  <c r="M195" i="77" s="1"/>
  <c r="H196" i="77"/>
  <c r="M196" i="77" s="1"/>
  <c r="O196" i="77" s="1"/>
  <c r="H198" i="77"/>
  <c r="M198" i="77" s="1"/>
  <c r="O198" i="77" s="1"/>
  <c r="O201" i="77"/>
  <c r="O202" i="77" s="1"/>
  <c r="G204" i="77"/>
  <c r="G205" i="77"/>
  <c r="H206" i="77"/>
  <c r="M206" i="77" s="1"/>
  <c r="O206" i="77" s="1"/>
  <c r="H208" i="77"/>
  <c r="M208" i="77" s="1"/>
  <c r="M213" i="77" s="1"/>
  <c r="H209" i="77"/>
  <c r="M209" i="77" s="1"/>
  <c r="H210" i="77"/>
  <c r="M210" i="77" s="1"/>
  <c r="O210" i="77" s="1"/>
  <c r="H216" i="77"/>
  <c r="M216" i="77" s="1"/>
  <c r="M217" i="77" s="1"/>
  <c r="H229" i="77"/>
  <c r="M229" i="77" s="1"/>
  <c r="O229" i="77" s="1"/>
  <c r="H230" i="77"/>
  <c r="M230" i="77" s="1"/>
  <c r="O230" i="77" s="1"/>
  <c r="H231" i="77"/>
  <c r="M231" i="77" s="1"/>
  <c r="O231" i="77" s="1"/>
  <c r="H232" i="77"/>
  <c r="M232" i="77" s="1"/>
  <c r="O232" i="77" s="1"/>
  <c r="H233" i="77"/>
  <c r="M233" i="77" s="1"/>
  <c r="O233" i="77" s="1"/>
  <c r="H234" i="77"/>
  <c r="M234" i="77" s="1"/>
  <c r="O234" i="77" s="1"/>
  <c r="H235" i="77"/>
  <c r="M235" i="77" s="1"/>
  <c r="O235" i="77" s="1"/>
  <c r="H239" i="77"/>
  <c r="M239" i="77" s="1"/>
  <c r="O239" i="77" s="1"/>
  <c r="H241" i="77"/>
  <c r="M241" i="77" s="1"/>
  <c r="O241" i="77" s="1"/>
  <c r="H242" i="77"/>
  <c r="M242" i="77" s="1"/>
  <c r="O242" i="77" s="1"/>
  <c r="O94" i="77" l="1"/>
  <c r="N251" i="77"/>
  <c r="O106" i="77"/>
  <c r="O100" i="77"/>
  <c r="O142" i="77"/>
  <c r="O144" i="77" s="1"/>
  <c r="L144" i="77" s="1"/>
  <c r="M192" i="77"/>
  <c r="O240" i="77"/>
  <c r="O220" i="77"/>
  <c r="O73" i="77"/>
  <c r="O67" i="77"/>
  <c r="O65" i="77"/>
  <c r="O59" i="77"/>
  <c r="O57" i="77"/>
  <c r="O38" i="77"/>
  <c r="M199" i="77"/>
  <c r="O41" i="77"/>
  <c r="N245" i="77"/>
  <c r="N44" i="77"/>
  <c r="O236" i="77"/>
  <c r="L204" i="77"/>
  <c r="H204" i="77"/>
  <c r="M204" i="77" s="1"/>
  <c r="L112" i="77"/>
  <c r="H112" i="77"/>
  <c r="M112" i="77" s="1"/>
  <c r="L243" i="77"/>
  <c r="O238" i="77"/>
  <c r="O219" i="77"/>
  <c r="L222" i="77"/>
  <c r="L227" i="77"/>
  <c r="O226" i="77"/>
  <c r="O227" i="77" s="1"/>
  <c r="L165" i="77"/>
  <c r="O151" i="77"/>
  <c r="H72" i="77"/>
  <c r="M72" i="77" s="1"/>
  <c r="L72" i="77"/>
  <c r="H68" i="77"/>
  <c r="M68" i="77" s="1"/>
  <c r="L68" i="77"/>
  <c r="H60" i="77"/>
  <c r="M60" i="77" s="1"/>
  <c r="L60" i="77"/>
  <c r="H52" i="77"/>
  <c r="M52" i="77" s="1"/>
  <c r="L52" i="77"/>
  <c r="L32" i="77"/>
  <c r="H32" i="77"/>
  <c r="M32" i="77" s="1"/>
  <c r="L109" i="77"/>
  <c r="O92" i="77"/>
  <c r="L33" i="77"/>
  <c r="H33" i="77"/>
  <c r="M33" i="77" s="1"/>
  <c r="M214" i="77"/>
  <c r="M182" i="77"/>
  <c r="M123" i="77"/>
  <c r="O221" i="77"/>
  <c r="O195" i="77"/>
  <c r="O169" i="77"/>
  <c r="O171" i="77" s="1"/>
  <c r="L142" i="77"/>
  <c r="O216" i="77"/>
  <c r="O217" i="77" s="1"/>
  <c r="O190" i="77"/>
  <c r="O192" i="77" s="1"/>
  <c r="O187" i="77"/>
  <c r="O188" i="77" s="1"/>
  <c r="O184" i="77"/>
  <c r="O185" i="77" s="1"/>
  <c r="O160" i="77"/>
  <c r="O158" i="77"/>
  <c r="O130" i="77"/>
  <c r="O97" i="77"/>
  <c r="O107" i="77"/>
  <c r="O103" i="77"/>
  <c r="O98" i="77"/>
  <c r="O83" i="77"/>
  <c r="O82" i="77"/>
  <c r="O79" i="77"/>
  <c r="O78" i="77"/>
  <c r="O75" i="77"/>
  <c r="O74" i="77"/>
  <c r="O71" i="77"/>
  <c r="O69" i="77"/>
  <c r="O63" i="77"/>
  <c r="O61" i="77"/>
  <c r="O55" i="77"/>
  <c r="O53" i="77"/>
  <c r="O49" i="77"/>
  <c r="O39" i="77"/>
  <c r="O37" i="77"/>
  <c r="L205" i="77"/>
  <c r="H205" i="77"/>
  <c r="M205" i="77" s="1"/>
  <c r="L127" i="77"/>
  <c r="H127" i="77"/>
  <c r="M127" i="77" s="1"/>
  <c r="M133" i="77" s="1"/>
  <c r="M135" i="77" s="1"/>
  <c r="L111" i="77"/>
  <c r="H111" i="77"/>
  <c r="M111" i="77" s="1"/>
  <c r="M115" i="77" s="1"/>
  <c r="M223" i="77"/>
  <c r="L223" i="77" s="1"/>
  <c r="M222" i="77"/>
  <c r="L133" i="77"/>
  <c r="O125" i="77"/>
  <c r="H148" i="77"/>
  <c r="M148" i="77" s="1"/>
  <c r="L148" i="77"/>
  <c r="H147" i="77"/>
  <c r="M147" i="77" s="1"/>
  <c r="L147" i="77"/>
  <c r="H64" i="77"/>
  <c r="M64" i="77" s="1"/>
  <c r="L64" i="77"/>
  <c r="H56" i="77"/>
  <c r="M56" i="77" s="1"/>
  <c r="L56" i="77"/>
  <c r="H48" i="77"/>
  <c r="M48" i="77" s="1"/>
  <c r="M88" i="77" s="1"/>
  <c r="M90" i="77" s="1"/>
  <c r="L90" i="77" s="1"/>
  <c r="L48" i="77"/>
  <c r="O47" i="77"/>
  <c r="L36" i="77"/>
  <c r="H36" i="77"/>
  <c r="M36" i="77" s="1"/>
  <c r="M236" i="77"/>
  <c r="O199" i="77"/>
  <c r="M254" i="77"/>
  <c r="M243" i="77"/>
  <c r="M250" i="77" s="1"/>
  <c r="O159" i="77"/>
  <c r="O157" i="77"/>
  <c r="O209" i="77"/>
  <c r="O214" i="77" s="1"/>
  <c r="O208" i="77"/>
  <c r="O213" i="77" s="1"/>
  <c r="O173" i="77"/>
  <c r="O182" i="77" s="1"/>
  <c r="M165" i="77"/>
  <c r="M166" i="77" s="1"/>
  <c r="L166" i="77" s="1"/>
  <c r="O117" i="77"/>
  <c r="O123" i="77" s="1"/>
  <c r="M109" i="77"/>
  <c r="O243" i="77" l="1"/>
  <c r="O250" i="77" s="1"/>
  <c r="O127" i="77"/>
  <c r="O133" i="77" s="1"/>
  <c r="O135" i="77" s="1"/>
  <c r="L135" i="77" s="1"/>
  <c r="L88" i="77"/>
  <c r="M149" i="77"/>
  <c r="M253" i="77" s="1"/>
  <c r="L44" i="77"/>
  <c r="L250" i="77" s="1"/>
  <c r="N250" i="77"/>
  <c r="N259" i="77" s="1"/>
  <c r="O205" i="77"/>
  <c r="O36" i="77"/>
  <c r="O52" i="77"/>
  <c r="O60" i="77"/>
  <c r="O68" i="77"/>
  <c r="O72" i="77"/>
  <c r="O111" i="77"/>
  <c r="L115" i="77"/>
  <c r="O109" i="77"/>
  <c r="O251" i="77" s="1"/>
  <c r="M43" i="77"/>
  <c r="O165" i="77"/>
  <c r="O167" i="77" s="1"/>
  <c r="M212" i="77"/>
  <c r="O147" i="77"/>
  <c r="L149" i="77"/>
  <c r="L253" i="77" s="1"/>
  <c r="M258" i="77"/>
  <c r="M246" i="77"/>
  <c r="L43" i="77"/>
  <c r="O32" i="77"/>
  <c r="L212" i="77"/>
  <c r="O204" i="77"/>
  <c r="O212" i="77" s="1"/>
  <c r="O48" i="77"/>
  <c r="O56" i="77"/>
  <c r="O64" i="77"/>
  <c r="O148" i="77"/>
  <c r="O33" i="77"/>
  <c r="O222" i="77"/>
  <c r="O224" i="77" s="1"/>
  <c r="L224" i="77" s="1"/>
  <c r="O112" i="77"/>
  <c r="J288" i="77" l="1"/>
  <c r="F257" i="191" s="1"/>
  <c r="J286" i="77"/>
  <c r="F255" i="191" s="1"/>
  <c r="J284" i="77"/>
  <c r="F253" i="191" s="1"/>
  <c r="J282" i="77"/>
  <c r="F251" i="191" s="1"/>
  <c r="J279" i="77"/>
  <c r="F248" i="191" s="1"/>
  <c r="J277" i="77"/>
  <c r="F246" i="191" s="1"/>
  <c r="J275" i="77"/>
  <c r="F244" i="191" s="1"/>
  <c r="J273" i="77"/>
  <c r="F242" i="191" s="1"/>
  <c r="J270" i="77"/>
  <c r="J268" i="77"/>
  <c r="J266" i="77"/>
  <c r="J264" i="77"/>
  <c r="J287" i="77"/>
  <c r="F256" i="191" s="1"/>
  <c r="J283" i="77"/>
  <c r="F252" i="191" s="1"/>
  <c r="J278" i="77"/>
  <c r="F247" i="191" s="1"/>
  <c r="J271" i="77"/>
  <c r="J289" i="77"/>
  <c r="F258" i="191" s="1"/>
  <c r="J285" i="77"/>
  <c r="F254" i="191" s="1"/>
  <c r="J280" i="77"/>
  <c r="F249" i="191" s="1"/>
  <c r="J276" i="77"/>
  <c r="F245" i="191" s="1"/>
  <c r="J274" i="77"/>
  <c r="F243" i="191" s="1"/>
  <c r="J269" i="77"/>
  <c r="J267" i="77"/>
  <c r="J265" i="77"/>
  <c r="U33" i="135"/>
  <c r="T33" i="135"/>
  <c r="S33" i="135"/>
  <c r="R33" i="135"/>
  <c r="Q33" i="135"/>
  <c r="P33" i="135"/>
  <c r="N33" i="135"/>
  <c r="M33" i="135"/>
  <c r="L33" i="135"/>
  <c r="K33" i="135"/>
  <c r="J33" i="135"/>
  <c r="I33" i="135"/>
  <c r="B33" i="135"/>
  <c r="G33" i="135"/>
  <c r="F33" i="135"/>
  <c r="E33" i="135"/>
  <c r="D33" i="135"/>
  <c r="C33" i="135"/>
  <c r="L245" i="77"/>
  <c r="L258" i="77"/>
  <c r="O88" i="77"/>
  <c r="M245" i="77"/>
  <c r="M45" i="77"/>
  <c r="O43" i="77"/>
  <c r="L167" i="77"/>
  <c r="L254" i="77" s="1"/>
  <c r="O254" i="77"/>
  <c r="O149" i="77"/>
  <c r="O253" i="77" s="1"/>
  <c r="O115" i="77"/>
  <c r="H245" i="191" l="1"/>
  <c r="G245" i="191"/>
  <c r="G242" i="191"/>
  <c r="H242" i="191"/>
  <c r="G251" i="191"/>
  <c r="H251" i="191"/>
  <c r="H249" i="191"/>
  <c r="G249" i="191"/>
  <c r="H247" i="191"/>
  <c r="G247" i="191"/>
  <c r="H244" i="191"/>
  <c r="G244" i="191"/>
  <c r="H253" i="191"/>
  <c r="G253" i="191"/>
  <c r="H254" i="191"/>
  <c r="G254" i="191"/>
  <c r="H252" i="191"/>
  <c r="G252" i="191"/>
  <c r="G246" i="191"/>
  <c r="H246" i="191"/>
  <c r="G255" i="191"/>
  <c r="H255" i="191"/>
  <c r="H243" i="191"/>
  <c r="G243" i="191"/>
  <c r="H258" i="191"/>
  <c r="G258" i="191"/>
  <c r="H256" i="191"/>
  <c r="G256" i="191"/>
  <c r="H248" i="191"/>
  <c r="G248" i="191"/>
  <c r="G257" i="191"/>
  <c r="H257" i="191"/>
  <c r="M289" i="77"/>
  <c r="F950" i="191" s="1"/>
  <c r="M287" i="77"/>
  <c r="F948" i="191" s="1"/>
  <c r="M285" i="77"/>
  <c r="F946" i="191" s="1"/>
  <c r="M283" i="77"/>
  <c r="F944" i="191" s="1"/>
  <c r="M280" i="77"/>
  <c r="F941" i="191" s="1"/>
  <c r="M278" i="77"/>
  <c r="F939" i="191" s="1"/>
  <c r="M276" i="77"/>
  <c r="F937" i="191" s="1"/>
  <c r="M273" i="77"/>
  <c r="F934" i="191" s="1"/>
  <c r="M270" i="77"/>
  <c r="F931" i="191" s="1"/>
  <c r="M268" i="77"/>
  <c r="F929" i="191" s="1"/>
  <c r="M266" i="77"/>
  <c r="F927" i="191" s="1"/>
  <c r="M264" i="77"/>
  <c r="F925" i="191" s="1"/>
  <c r="M288" i="77"/>
  <c r="F949" i="191" s="1"/>
  <c r="M286" i="77"/>
  <c r="F947" i="191" s="1"/>
  <c r="M284" i="77"/>
  <c r="F945" i="191" s="1"/>
  <c r="M282" i="77"/>
  <c r="F943" i="191" s="1"/>
  <c r="M279" i="77"/>
  <c r="F940" i="191" s="1"/>
  <c r="M277" i="77"/>
  <c r="F938" i="191" s="1"/>
  <c r="M275" i="77"/>
  <c r="F936" i="191" s="1"/>
  <c r="M274" i="77"/>
  <c r="F935" i="191" s="1"/>
  <c r="M271" i="77"/>
  <c r="F932" i="191" s="1"/>
  <c r="M269" i="77"/>
  <c r="F930" i="191" s="1"/>
  <c r="M267" i="77"/>
  <c r="F928" i="191" s="1"/>
  <c r="M265" i="77"/>
  <c r="F926" i="191" s="1"/>
  <c r="L288" i="77"/>
  <c r="F886" i="191" s="1"/>
  <c r="L286" i="77"/>
  <c r="F884" i="191" s="1"/>
  <c r="L284" i="77"/>
  <c r="F882" i="191" s="1"/>
  <c r="L282" i="77"/>
  <c r="F880" i="191" s="1"/>
  <c r="L279" i="77"/>
  <c r="F877" i="191" s="1"/>
  <c r="L277" i="77"/>
  <c r="F875" i="191" s="1"/>
  <c r="L275" i="77"/>
  <c r="F873" i="191" s="1"/>
  <c r="L273" i="77"/>
  <c r="F871" i="191" s="1"/>
  <c r="L270" i="77"/>
  <c r="F868" i="191" s="1"/>
  <c r="L268" i="77"/>
  <c r="F866" i="191" s="1"/>
  <c r="L266" i="77"/>
  <c r="F864" i="191" s="1"/>
  <c r="L264" i="77"/>
  <c r="F862" i="191" s="1"/>
  <c r="L289" i="77"/>
  <c r="F887" i="191" s="1"/>
  <c r="L287" i="77"/>
  <c r="F885" i="191" s="1"/>
  <c r="L285" i="77"/>
  <c r="F883" i="191" s="1"/>
  <c r="L283" i="77"/>
  <c r="F881" i="191" s="1"/>
  <c r="L280" i="77"/>
  <c r="F878" i="191" s="1"/>
  <c r="L278" i="77"/>
  <c r="F876" i="191" s="1"/>
  <c r="L276" i="77"/>
  <c r="F874" i="191" s="1"/>
  <c r="L274" i="77"/>
  <c r="F872" i="191" s="1"/>
  <c r="L271" i="77"/>
  <c r="F869" i="191" s="1"/>
  <c r="L269" i="77"/>
  <c r="F867" i="191" s="1"/>
  <c r="L267" i="77"/>
  <c r="F865" i="191" s="1"/>
  <c r="L265" i="77"/>
  <c r="F863" i="191" s="1"/>
  <c r="L45" i="77"/>
  <c r="L251" i="77" s="1"/>
  <c r="M251" i="77"/>
  <c r="M259" i="77" s="1"/>
  <c r="O258" i="77"/>
  <c r="O259" i="77" s="1"/>
  <c r="O246" i="77"/>
  <c r="L246" i="77"/>
  <c r="O245" i="77"/>
  <c r="K288" i="77" l="1"/>
  <c r="F320" i="191" s="1"/>
  <c r="K284" i="77"/>
  <c r="F316" i="191" s="1"/>
  <c r="K279" i="77"/>
  <c r="F311" i="191" s="1"/>
  <c r="K275" i="77"/>
  <c r="F307" i="191" s="1"/>
  <c r="K270" i="77"/>
  <c r="F302" i="191" s="1"/>
  <c r="K266" i="77"/>
  <c r="F298" i="191" s="1"/>
  <c r="K285" i="77"/>
  <c r="F317" i="191" s="1"/>
  <c r="K276" i="77"/>
  <c r="F308" i="191" s="1"/>
  <c r="K287" i="77"/>
  <c r="F319" i="191" s="1"/>
  <c r="K283" i="77"/>
  <c r="F315" i="191" s="1"/>
  <c r="K278" i="77"/>
  <c r="F310" i="191" s="1"/>
  <c r="K274" i="77"/>
  <c r="F306" i="191" s="1"/>
  <c r="K269" i="77"/>
  <c r="F301" i="191" s="1"/>
  <c r="K265" i="77"/>
  <c r="F297" i="191" s="1"/>
  <c r="K289" i="77"/>
  <c r="F321" i="191" s="1"/>
  <c r="K280" i="77"/>
  <c r="F312" i="191" s="1"/>
  <c r="K267" i="77"/>
  <c r="F299" i="191" s="1"/>
  <c r="K286" i="77"/>
  <c r="F318" i="191" s="1"/>
  <c r="K282" i="77"/>
  <c r="F314" i="191" s="1"/>
  <c r="K277" i="77"/>
  <c r="F309" i="191" s="1"/>
  <c r="K273" i="77"/>
  <c r="F305" i="191" s="1"/>
  <c r="K268" i="77"/>
  <c r="F300" i="191" s="1"/>
  <c r="K264" i="77"/>
  <c r="F296" i="191" s="1"/>
  <c r="K271" i="77"/>
  <c r="F303" i="191" s="1"/>
  <c r="G869" i="191"/>
  <c r="H869" i="191"/>
  <c r="G878" i="191"/>
  <c r="H878" i="191"/>
  <c r="H864" i="191"/>
  <c r="G864" i="191"/>
  <c r="H873" i="191"/>
  <c r="G873" i="191"/>
  <c r="H877" i="191"/>
  <c r="G877" i="191"/>
  <c r="H886" i="191"/>
  <c r="G886" i="191"/>
  <c r="G932" i="191"/>
  <c r="H932" i="191"/>
  <c r="H945" i="191"/>
  <c r="G945" i="191"/>
  <c r="H927" i="191"/>
  <c r="G927" i="191"/>
  <c r="G950" i="191"/>
  <c r="H950" i="191"/>
  <c r="G865" i="191"/>
  <c r="H865" i="191"/>
  <c r="G874" i="191"/>
  <c r="H874" i="191"/>
  <c r="G883" i="191"/>
  <c r="H883" i="191"/>
  <c r="G887" i="191"/>
  <c r="H887" i="191"/>
  <c r="H868" i="191"/>
  <c r="G868" i="191"/>
  <c r="H882" i="191"/>
  <c r="G882" i="191"/>
  <c r="G928" i="191"/>
  <c r="H928" i="191"/>
  <c r="H936" i="191"/>
  <c r="G936" i="191"/>
  <c r="H940" i="191"/>
  <c r="G940" i="191"/>
  <c r="H949" i="191"/>
  <c r="G949" i="191"/>
  <c r="H931" i="191"/>
  <c r="G931" i="191"/>
  <c r="G937" i="191"/>
  <c r="H937" i="191"/>
  <c r="G941" i="191"/>
  <c r="H941" i="191"/>
  <c r="G946" i="191"/>
  <c r="H946" i="191"/>
  <c r="G863" i="191"/>
  <c r="H863" i="191"/>
  <c r="G867" i="191"/>
  <c r="H867" i="191"/>
  <c r="G872" i="191"/>
  <c r="H872" i="191"/>
  <c r="G876" i="191"/>
  <c r="H876" i="191"/>
  <c r="G881" i="191"/>
  <c r="H881" i="191"/>
  <c r="G885" i="191"/>
  <c r="H885" i="191"/>
  <c r="H862" i="191"/>
  <c r="G862" i="191"/>
  <c r="H866" i="191"/>
  <c r="G866" i="191"/>
  <c r="H871" i="191"/>
  <c r="G871" i="191"/>
  <c r="H875" i="191"/>
  <c r="G875" i="191"/>
  <c r="H880" i="191"/>
  <c r="G880" i="191"/>
  <c r="H884" i="191"/>
  <c r="G884" i="191"/>
  <c r="G926" i="191"/>
  <c r="H926" i="191"/>
  <c r="G930" i="191"/>
  <c r="H930" i="191"/>
  <c r="G935" i="191"/>
  <c r="H935" i="191"/>
  <c r="H938" i="191"/>
  <c r="G938" i="191"/>
  <c r="H943" i="191"/>
  <c r="G943" i="191"/>
  <c r="H947" i="191"/>
  <c r="G947" i="191"/>
  <c r="H925" i="191"/>
  <c r="G925" i="191"/>
  <c r="H929" i="191"/>
  <c r="G929" i="191"/>
  <c r="H934" i="191"/>
  <c r="G934" i="191"/>
  <c r="G939" i="191"/>
  <c r="H939" i="191"/>
  <c r="G944" i="191"/>
  <c r="H944" i="191"/>
  <c r="G948" i="191"/>
  <c r="H948" i="191"/>
  <c r="U34" i="135"/>
  <c r="U32" i="135" s="1"/>
  <c r="U28" i="135" s="1"/>
  <c r="T34" i="135"/>
  <c r="T32" i="135" s="1"/>
  <c r="T28" i="135" s="1"/>
  <c r="S34" i="135"/>
  <c r="S32" i="135" s="1"/>
  <c r="S28" i="135" s="1"/>
  <c r="R34" i="135"/>
  <c r="R32" i="135" s="1"/>
  <c r="R28" i="135" s="1"/>
  <c r="Q34" i="135"/>
  <c r="Q32" i="135" s="1"/>
  <c r="Q28" i="135" s="1"/>
  <c r="P34" i="135"/>
  <c r="P32" i="135" s="1"/>
  <c r="P28" i="135" s="1"/>
  <c r="N34" i="135"/>
  <c r="N32" i="135" s="1"/>
  <c r="N28" i="135" s="1"/>
  <c r="M34" i="135"/>
  <c r="M32" i="135" s="1"/>
  <c r="M28" i="135" s="1"/>
  <c r="L34" i="135"/>
  <c r="L32" i="135" s="1"/>
  <c r="L28" i="135" s="1"/>
  <c r="K34" i="135"/>
  <c r="K32" i="135" s="1"/>
  <c r="K28" i="135" s="1"/>
  <c r="J34" i="135"/>
  <c r="J32" i="135" s="1"/>
  <c r="J28" i="135" s="1"/>
  <c r="I34" i="135"/>
  <c r="I32" i="135" s="1"/>
  <c r="I28" i="135" s="1"/>
  <c r="B34" i="135"/>
  <c r="G34" i="135"/>
  <c r="F34" i="135"/>
  <c r="E34" i="135"/>
  <c r="D34" i="135"/>
  <c r="C34" i="135"/>
  <c r="L259" i="77"/>
  <c r="O288" i="77"/>
  <c r="F1201" i="191" s="1"/>
  <c r="O277" i="77"/>
  <c r="F1190" i="191" s="1"/>
  <c r="O275" i="77"/>
  <c r="F1188" i="191" s="1"/>
  <c r="O274" i="77"/>
  <c r="F1187" i="191" s="1"/>
  <c r="O273" i="77"/>
  <c r="F1186" i="191" s="1"/>
  <c r="F368" i="191" s="1"/>
  <c r="I1329" i="191" s="1"/>
  <c r="O271" i="77"/>
  <c r="F1184" i="191" s="1"/>
  <c r="O270" i="77"/>
  <c r="F1183" i="191" s="1"/>
  <c r="F365" i="191" s="1"/>
  <c r="O269" i="77"/>
  <c r="F1182" i="191" s="1"/>
  <c r="O268" i="77"/>
  <c r="F1181" i="191" s="1"/>
  <c r="O267" i="77"/>
  <c r="F1180" i="191" s="1"/>
  <c r="O266" i="77"/>
  <c r="F1179" i="191" s="1"/>
  <c r="F361" i="191" s="1"/>
  <c r="I1321" i="191" s="1"/>
  <c r="O265" i="77"/>
  <c r="F1178" i="191" s="1"/>
  <c r="O264" i="77"/>
  <c r="F1177" i="191" s="1"/>
  <c r="F359" i="191" s="1"/>
  <c r="I1319" i="191" s="1"/>
  <c r="O289" i="77"/>
  <c r="F1202" i="191" s="1"/>
  <c r="O287" i="77"/>
  <c r="F1200" i="191" s="1"/>
  <c r="O286" i="77"/>
  <c r="F1199" i="191" s="1"/>
  <c r="O285" i="77"/>
  <c r="F1198" i="191" s="1"/>
  <c r="F380" i="191" s="1"/>
  <c r="O284" i="77"/>
  <c r="F1197" i="191" s="1"/>
  <c r="O283" i="77"/>
  <c r="F1196" i="191" s="1"/>
  <c r="F378" i="191" s="1"/>
  <c r="O282" i="77"/>
  <c r="F1195" i="191" s="1"/>
  <c r="F377" i="191" s="1"/>
  <c r="I1339" i="191" s="1"/>
  <c r="O280" i="77"/>
  <c r="F1193" i="191" s="1"/>
  <c r="O279" i="77"/>
  <c r="F1192" i="191" s="1"/>
  <c r="O278" i="77"/>
  <c r="F1191" i="191" s="1"/>
  <c r="O276" i="77"/>
  <c r="F1189" i="191" s="1"/>
  <c r="H303" i="191" l="1"/>
  <c r="H177" i="191" s="1"/>
  <c r="H51" i="191" s="1"/>
  <c r="H1326" i="191" s="1"/>
  <c r="G303" i="191"/>
  <c r="G177" i="191" s="1"/>
  <c r="G51" i="191" s="1"/>
  <c r="G1326" i="191" s="1"/>
  <c r="F177" i="191"/>
  <c r="F51" i="191" s="1"/>
  <c r="F1326" i="191" s="1"/>
  <c r="H309" i="191"/>
  <c r="G309" i="191"/>
  <c r="H312" i="191"/>
  <c r="H186" i="191" s="1"/>
  <c r="H60" i="191" s="1"/>
  <c r="H1336" i="191" s="1"/>
  <c r="G312" i="191"/>
  <c r="G186" i="191" s="1"/>
  <c r="G60" i="191" s="1"/>
  <c r="G1336" i="191" s="1"/>
  <c r="F186" i="191"/>
  <c r="F60" i="191" s="1"/>
  <c r="F1336" i="191" s="1"/>
  <c r="H306" i="191"/>
  <c r="H180" i="191" s="1"/>
  <c r="H54" i="191" s="1"/>
  <c r="H1330" i="191" s="1"/>
  <c r="G306" i="191"/>
  <c r="G180" i="191" s="1"/>
  <c r="G54" i="191" s="1"/>
  <c r="G1330" i="191" s="1"/>
  <c r="F180" i="191"/>
  <c r="F54" i="191" s="1"/>
  <c r="F1330" i="191" s="1"/>
  <c r="H308" i="191"/>
  <c r="H182" i="191" s="1"/>
  <c r="H56" i="191" s="1"/>
  <c r="H1332" i="191" s="1"/>
  <c r="G308" i="191"/>
  <c r="G182" i="191" s="1"/>
  <c r="G56" i="191" s="1"/>
  <c r="G1332" i="191" s="1"/>
  <c r="F182" i="191"/>
  <c r="F56" i="191" s="1"/>
  <c r="F1332" i="191" s="1"/>
  <c r="H307" i="191"/>
  <c r="G307" i="191"/>
  <c r="G296" i="191"/>
  <c r="H296" i="191"/>
  <c r="G314" i="191"/>
  <c r="H314" i="191"/>
  <c r="H321" i="191"/>
  <c r="H195" i="191" s="1"/>
  <c r="H69" i="191" s="1"/>
  <c r="H1346" i="191" s="1"/>
  <c r="G321" i="191"/>
  <c r="G195" i="191" s="1"/>
  <c r="G69" i="191" s="1"/>
  <c r="G1346" i="191" s="1"/>
  <c r="F195" i="191"/>
  <c r="F69" i="191" s="1"/>
  <c r="F1346" i="191" s="1"/>
  <c r="H310" i="191"/>
  <c r="G310" i="191"/>
  <c r="H317" i="191"/>
  <c r="H191" i="191" s="1"/>
  <c r="H65" i="191" s="1"/>
  <c r="H1342" i="191" s="1"/>
  <c r="G317" i="191"/>
  <c r="G191" i="191" s="1"/>
  <c r="G65" i="191" s="1"/>
  <c r="G1342" i="191" s="1"/>
  <c r="F191" i="191"/>
  <c r="F65" i="191" s="1"/>
  <c r="F1342" i="191" s="1"/>
  <c r="H311" i="191"/>
  <c r="G311" i="191"/>
  <c r="G300" i="191"/>
  <c r="G174" i="191" s="1"/>
  <c r="G48" i="191" s="1"/>
  <c r="G1323" i="191" s="1"/>
  <c r="H300" i="191"/>
  <c r="H174" i="191" s="1"/>
  <c r="H48" i="191" s="1"/>
  <c r="H1323" i="191" s="1"/>
  <c r="F174" i="191"/>
  <c r="F48" i="191" s="1"/>
  <c r="F1323" i="191" s="1"/>
  <c r="G318" i="191"/>
  <c r="H318" i="191"/>
  <c r="H297" i="191"/>
  <c r="H171" i="191" s="1"/>
  <c r="H45" i="191" s="1"/>
  <c r="H1320" i="191" s="1"/>
  <c r="G297" i="191"/>
  <c r="G171" i="191" s="1"/>
  <c r="G45" i="191" s="1"/>
  <c r="G1320" i="191" s="1"/>
  <c r="F171" i="191"/>
  <c r="F45" i="191" s="1"/>
  <c r="F1320" i="191" s="1"/>
  <c r="H315" i="191"/>
  <c r="H189" i="191" s="1"/>
  <c r="H63" i="191" s="1"/>
  <c r="H1340" i="191" s="1"/>
  <c r="G315" i="191"/>
  <c r="G189" i="191" s="1"/>
  <c r="G63" i="191" s="1"/>
  <c r="G1340" i="191" s="1"/>
  <c r="F189" i="191"/>
  <c r="F63" i="191" s="1"/>
  <c r="F1340" i="191" s="1"/>
  <c r="H298" i="191"/>
  <c r="G298" i="191"/>
  <c r="H316" i="191"/>
  <c r="H190" i="191" s="1"/>
  <c r="H64" i="191" s="1"/>
  <c r="H1341" i="191" s="1"/>
  <c r="G316" i="191"/>
  <c r="G190" i="191" s="1"/>
  <c r="G64" i="191" s="1"/>
  <c r="G1341" i="191" s="1"/>
  <c r="F190" i="191"/>
  <c r="F64" i="191" s="1"/>
  <c r="F1341" i="191" s="1"/>
  <c r="H305" i="191"/>
  <c r="G305" i="191"/>
  <c r="H299" i="191"/>
  <c r="G299" i="191"/>
  <c r="H301" i="191"/>
  <c r="G301" i="191"/>
  <c r="H319" i="191"/>
  <c r="G319" i="191"/>
  <c r="H302" i="191"/>
  <c r="H176" i="191" s="1"/>
  <c r="H50" i="191" s="1"/>
  <c r="H1325" i="191" s="1"/>
  <c r="G302" i="191"/>
  <c r="G176" i="191" s="1"/>
  <c r="G50" i="191" s="1"/>
  <c r="G1325" i="191" s="1"/>
  <c r="F176" i="191"/>
  <c r="F50" i="191" s="1"/>
  <c r="F1325" i="191" s="1"/>
  <c r="H320" i="191"/>
  <c r="G320" i="191"/>
  <c r="XC1319" i="191"/>
  <c r="TW1319" i="191"/>
  <c r="QQ1319" i="191"/>
  <c r="NK1319" i="191"/>
  <c r="KE1319" i="191"/>
  <c r="GY1319" i="191"/>
  <c r="DS1319" i="191"/>
  <c r="AM1319" i="191"/>
  <c r="WH1319" i="191"/>
  <c r="TB1319" i="191"/>
  <c r="PV1319" i="191"/>
  <c r="MP1319" i="191"/>
  <c r="JJ1319" i="191"/>
  <c r="GD1319" i="191"/>
  <c r="CX1319" i="191"/>
  <c r="R1319" i="191"/>
  <c r="YS1319" i="191"/>
  <c r="VM1319" i="191"/>
  <c r="SG1319" i="191"/>
  <c r="PA1319" i="191"/>
  <c r="LU1319" i="191"/>
  <c r="IO1319" i="191"/>
  <c r="FI1319" i="191"/>
  <c r="CC1319" i="191"/>
  <c r="XX1319" i="191"/>
  <c r="UR1319" i="191"/>
  <c r="RL1319" i="191"/>
  <c r="OF1319" i="191"/>
  <c r="KZ1319" i="191"/>
  <c r="HT1319" i="191"/>
  <c r="EN1319" i="191"/>
  <c r="BH1319" i="191"/>
  <c r="YS1321" i="191"/>
  <c r="SG1321" i="191"/>
  <c r="LU1321" i="191"/>
  <c r="FI1321" i="191"/>
  <c r="XX1321" i="191"/>
  <c r="RL1321" i="191"/>
  <c r="KZ1321" i="191"/>
  <c r="EN1321" i="191"/>
  <c r="XC1321" i="191"/>
  <c r="QQ1321" i="191"/>
  <c r="KE1321" i="191"/>
  <c r="DS1321" i="191"/>
  <c r="WH1321" i="191"/>
  <c r="PV1321" i="191"/>
  <c r="JJ1321" i="191"/>
  <c r="CX1321" i="191"/>
  <c r="VM1321" i="191"/>
  <c r="PA1321" i="191"/>
  <c r="IO1321" i="191"/>
  <c r="CC1321" i="191"/>
  <c r="UR1321" i="191"/>
  <c r="OF1321" i="191"/>
  <c r="HT1321" i="191"/>
  <c r="BH1321" i="191"/>
  <c r="TW1321" i="191"/>
  <c r="NK1321" i="191"/>
  <c r="GY1321" i="191"/>
  <c r="AM1321" i="191"/>
  <c r="TB1321" i="191"/>
  <c r="MP1321" i="191"/>
  <c r="GD1321" i="191"/>
  <c r="R1321" i="191"/>
  <c r="F1246" i="191"/>
  <c r="I1325" i="191"/>
  <c r="YS1339" i="191"/>
  <c r="SG1339" i="191"/>
  <c r="LU1339" i="191"/>
  <c r="FI1339" i="191"/>
  <c r="XX1339" i="191"/>
  <c r="RL1339" i="191"/>
  <c r="KZ1339" i="191"/>
  <c r="EN1339" i="191"/>
  <c r="XC1339" i="191"/>
  <c r="QQ1339" i="191"/>
  <c r="KE1339" i="191"/>
  <c r="DS1339" i="191"/>
  <c r="WH1339" i="191"/>
  <c r="PV1339" i="191"/>
  <c r="JJ1339" i="191"/>
  <c r="CX1339" i="191"/>
  <c r="VM1339" i="191"/>
  <c r="PA1339" i="191"/>
  <c r="IO1339" i="191"/>
  <c r="CC1339" i="191"/>
  <c r="UR1339" i="191"/>
  <c r="OF1339" i="191"/>
  <c r="HT1339" i="191"/>
  <c r="BH1339" i="191"/>
  <c r="TW1339" i="191"/>
  <c r="NK1339" i="191"/>
  <c r="GY1339" i="191"/>
  <c r="AM1339" i="191"/>
  <c r="TB1339" i="191"/>
  <c r="MP1339" i="191"/>
  <c r="GD1339" i="191"/>
  <c r="R1339" i="191"/>
  <c r="I1340" i="191"/>
  <c r="I1342" i="191"/>
  <c r="UR1329" i="191"/>
  <c r="OF1329" i="191"/>
  <c r="HT1329" i="191"/>
  <c r="BH1329" i="191"/>
  <c r="TW1329" i="191"/>
  <c r="NK1329" i="191"/>
  <c r="GY1329" i="191"/>
  <c r="AM1329" i="191"/>
  <c r="TB1329" i="191"/>
  <c r="MP1329" i="191"/>
  <c r="GD1329" i="191"/>
  <c r="YS1329" i="191"/>
  <c r="SG1329" i="191"/>
  <c r="LU1329" i="191"/>
  <c r="FI1329" i="191"/>
  <c r="R1329" i="191"/>
  <c r="XX1329" i="191"/>
  <c r="RL1329" i="191"/>
  <c r="KZ1329" i="191"/>
  <c r="EN1329" i="191"/>
  <c r="XC1329" i="191"/>
  <c r="QQ1329" i="191"/>
  <c r="KE1329" i="191"/>
  <c r="DS1329" i="191"/>
  <c r="WH1329" i="191"/>
  <c r="PV1329" i="191"/>
  <c r="JJ1329" i="191"/>
  <c r="CX1329" i="191"/>
  <c r="VM1329" i="191"/>
  <c r="PA1329" i="191"/>
  <c r="IO1329" i="191"/>
  <c r="CC1329" i="191"/>
  <c r="H1192" i="191"/>
  <c r="H374" i="191" s="1"/>
  <c r="K1335" i="191" s="1"/>
  <c r="G1192" i="191"/>
  <c r="G374" i="191" s="1"/>
  <c r="J1335" i="191" s="1"/>
  <c r="H1199" i="191"/>
  <c r="H381" i="191" s="1"/>
  <c r="K1343" i="191" s="1"/>
  <c r="G1199" i="191"/>
  <c r="G381" i="191" s="1"/>
  <c r="J1343" i="191" s="1"/>
  <c r="G1178" i="191"/>
  <c r="G360" i="191" s="1"/>
  <c r="H1178" i="191"/>
  <c r="H360" i="191" s="1"/>
  <c r="G1180" i="191"/>
  <c r="G362" i="191" s="1"/>
  <c r="J1322" i="191" s="1"/>
  <c r="H1180" i="191"/>
  <c r="H362" i="191" s="1"/>
  <c r="K1322" i="191" s="1"/>
  <c r="G1182" i="191"/>
  <c r="G364" i="191" s="1"/>
  <c r="J1324" i="191" s="1"/>
  <c r="H1182" i="191"/>
  <c r="G1184" i="191"/>
  <c r="G366" i="191" s="1"/>
  <c r="H1184" i="191"/>
  <c r="H366" i="191" s="1"/>
  <c r="G1187" i="191"/>
  <c r="G369" i="191" s="1"/>
  <c r="H1187" i="191"/>
  <c r="H369" i="191" s="1"/>
  <c r="H1190" i="191"/>
  <c r="H372" i="191" s="1"/>
  <c r="K1333" i="191" s="1"/>
  <c r="G1190" i="191"/>
  <c r="G372" i="191" s="1"/>
  <c r="J1333" i="191" s="1"/>
  <c r="F369" i="191"/>
  <c r="H364" i="191"/>
  <c r="K1324" i="191" s="1"/>
  <c r="F360" i="191"/>
  <c r="F362" i="191"/>
  <c r="I1322" i="191" s="1"/>
  <c r="F374" i="191"/>
  <c r="I1335" i="191" s="1"/>
  <c r="F366" i="191"/>
  <c r="G1189" i="191"/>
  <c r="G371" i="191" s="1"/>
  <c r="H1189" i="191"/>
  <c r="H371" i="191" s="1"/>
  <c r="H1195" i="191"/>
  <c r="H377" i="191" s="1"/>
  <c r="K1339" i="191" s="1"/>
  <c r="G1195" i="191"/>
  <c r="G377" i="191" s="1"/>
  <c r="J1339" i="191" s="1"/>
  <c r="H1197" i="191"/>
  <c r="H379" i="191" s="1"/>
  <c r="G1197" i="191"/>
  <c r="G379" i="191" s="1"/>
  <c r="G1202" i="191"/>
  <c r="G384" i="191" s="1"/>
  <c r="H1202" i="191"/>
  <c r="H384" i="191" s="1"/>
  <c r="H1191" i="191"/>
  <c r="H373" i="191" s="1"/>
  <c r="K1334" i="191" s="1"/>
  <c r="G1191" i="191"/>
  <c r="G373" i="191" s="1"/>
  <c r="J1334" i="191" s="1"/>
  <c r="H1193" i="191"/>
  <c r="H375" i="191" s="1"/>
  <c r="G1193" i="191"/>
  <c r="G375" i="191" s="1"/>
  <c r="H1196" i="191"/>
  <c r="H378" i="191" s="1"/>
  <c r="G1196" i="191"/>
  <c r="G378" i="191" s="1"/>
  <c r="H1198" i="191"/>
  <c r="H380" i="191" s="1"/>
  <c r="G1198" i="191"/>
  <c r="G380" i="191" s="1"/>
  <c r="H1200" i="191"/>
  <c r="H382" i="191" s="1"/>
  <c r="K1344" i="191" s="1"/>
  <c r="G1200" i="191"/>
  <c r="G382" i="191" s="1"/>
  <c r="J1344" i="191" s="1"/>
  <c r="H1177" i="191"/>
  <c r="H359" i="191" s="1"/>
  <c r="K1319" i="191" s="1"/>
  <c r="G1177" i="191"/>
  <c r="G359" i="191" s="1"/>
  <c r="J1319" i="191" s="1"/>
  <c r="H1179" i="191"/>
  <c r="H361" i="191" s="1"/>
  <c r="K1321" i="191" s="1"/>
  <c r="G1179" i="191"/>
  <c r="G361" i="191" s="1"/>
  <c r="J1321" i="191" s="1"/>
  <c r="H1181" i="191"/>
  <c r="H363" i="191" s="1"/>
  <c r="G1181" i="191"/>
  <c r="G363" i="191" s="1"/>
  <c r="H1183" i="191"/>
  <c r="H365" i="191" s="1"/>
  <c r="G1183" i="191"/>
  <c r="G365" i="191" s="1"/>
  <c r="H1186" i="191"/>
  <c r="H368" i="191" s="1"/>
  <c r="K1329" i="191" s="1"/>
  <c r="G1186" i="191"/>
  <c r="G368" i="191" s="1"/>
  <c r="J1329" i="191" s="1"/>
  <c r="H1188" i="191"/>
  <c r="H370" i="191" s="1"/>
  <c r="K1331" i="191" s="1"/>
  <c r="G1188" i="191"/>
  <c r="G370" i="191" s="1"/>
  <c r="J1331" i="191" s="1"/>
  <c r="H1201" i="191"/>
  <c r="H383" i="191" s="1"/>
  <c r="K1345" i="191" s="1"/>
  <c r="G1201" i="191"/>
  <c r="G383" i="191" s="1"/>
  <c r="J1345" i="191" s="1"/>
  <c r="F381" i="191"/>
  <c r="I1343" i="191" s="1"/>
  <c r="F372" i="191"/>
  <c r="I1333" i="191" s="1"/>
  <c r="F363" i="191"/>
  <c r="F382" i="191"/>
  <c r="I1344" i="191" s="1"/>
  <c r="F373" i="191"/>
  <c r="I1334" i="191" s="1"/>
  <c r="F364" i="191"/>
  <c r="I1324" i="191" s="1"/>
  <c r="F379" i="191"/>
  <c r="F384" i="191"/>
  <c r="F371" i="191"/>
  <c r="F383" i="191"/>
  <c r="I1345" i="191" s="1"/>
  <c r="F370" i="191"/>
  <c r="I1331" i="191" s="1"/>
  <c r="F375" i="191"/>
  <c r="D32" i="135"/>
  <c r="D28" i="135" s="1"/>
  <c r="D29" i="135" s="1"/>
  <c r="F32" i="135"/>
  <c r="F28" i="135" s="1"/>
  <c r="F29" i="135" s="1"/>
  <c r="B32" i="135"/>
  <c r="B28" i="135" s="1"/>
  <c r="B29" i="135" s="1"/>
  <c r="J30" i="135"/>
  <c r="K39" i="135" s="1"/>
  <c r="G324" i="191" s="1"/>
  <c r="J29" i="135"/>
  <c r="L30" i="135"/>
  <c r="K43" i="135" s="1"/>
  <c r="G328" i="191" s="1"/>
  <c r="L29" i="135"/>
  <c r="N30" i="135"/>
  <c r="K40" i="135" s="1"/>
  <c r="G325" i="191" s="1"/>
  <c r="N29" i="135"/>
  <c r="Q30" i="135"/>
  <c r="R39" i="135" s="1"/>
  <c r="H324" i="191" s="1"/>
  <c r="Q29" i="135"/>
  <c r="S30" i="135"/>
  <c r="R43" i="135" s="1"/>
  <c r="H328" i="191" s="1"/>
  <c r="S29" i="135"/>
  <c r="U30" i="135"/>
  <c r="R40" i="135" s="1"/>
  <c r="H325" i="191" s="1"/>
  <c r="U29" i="135"/>
  <c r="C32" i="135"/>
  <c r="C28" i="135" s="1"/>
  <c r="C29" i="135" s="1"/>
  <c r="E32" i="135"/>
  <c r="E28" i="135" s="1"/>
  <c r="E29" i="135" s="1"/>
  <c r="G32" i="135"/>
  <c r="G28" i="135" s="1"/>
  <c r="G29" i="135" s="1"/>
  <c r="I30" i="135"/>
  <c r="K38" i="135" s="1"/>
  <c r="G323" i="191" s="1"/>
  <c r="I29" i="135"/>
  <c r="K30" i="135"/>
  <c r="K42" i="135" s="1"/>
  <c r="G327" i="191" s="1"/>
  <c r="K29" i="135"/>
  <c r="M30" i="135"/>
  <c r="K41" i="135" s="1"/>
  <c r="G326" i="191" s="1"/>
  <c r="M29" i="135"/>
  <c r="P30" i="135"/>
  <c r="R38" i="135" s="1"/>
  <c r="H323" i="191" s="1"/>
  <c r="P29" i="135"/>
  <c r="R30" i="135"/>
  <c r="R42" i="135" s="1"/>
  <c r="H327" i="191" s="1"/>
  <c r="R29" i="135"/>
  <c r="T30" i="135"/>
  <c r="R41" i="135" s="1"/>
  <c r="H326" i="191" s="1"/>
  <c r="T29" i="135"/>
  <c r="J20" i="71"/>
  <c r="P20" i="71" s="1"/>
  <c r="Q20" i="71" s="1"/>
  <c r="F20" i="71"/>
  <c r="E1098" i="191" s="1"/>
  <c r="J19" i="71"/>
  <c r="P19" i="71" s="1"/>
  <c r="Q19" i="71" s="1"/>
  <c r="F19" i="71"/>
  <c r="E1097" i="191" s="1"/>
  <c r="J18" i="71"/>
  <c r="P18" i="71" s="1"/>
  <c r="Q18" i="71" s="1"/>
  <c r="F18" i="71"/>
  <c r="E1096" i="191" s="1"/>
  <c r="J17" i="71"/>
  <c r="P17" i="71" s="1"/>
  <c r="Q17" i="71" s="1"/>
  <c r="F17" i="71"/>
  <c r="E1095" i="191" s="1"/>
  <c r="J16" i="71"/>
  <c r="P16" i="71" s="1"/>
  <c r="Q16" i="71" s="1"/>
  <c r="F16" i="71"/>
  <c r="E1094" i="191" s="1"/>
  <c r="J15" i="71"/>
  <c r="P15" i="71" s="1"/>
  <c r="Q15" i="71" s="1"/>
  <c r="F15" i="71"/>
  <c r="E1093" i="191" s="1"/>
  <c r="J14" i="71"/>
  <c r="P14" i="71" s="1"/>
  <c r="Q14" i="71" s="1"/>
  <c r="F14" i="71"/>
  <c r="E1092" i="191" s="1"/>
  <c r="J13" i="71"/>
  <c r="P13" i="71" s="1"/>
  <c r="Q13" i="71" s="1"/>
  <c r="F13" i="71"/>
  <c r="E1091" i="191" s="1"/>
  <c r="J12" i="71"/>
  <c r="P12" i="71" s="1"/>
  <c r="Q12" i="71" s="1"/>
  <c r="F12" i="71"/>
  <c r="E1090" i="191" s="1"/>
  <c r="J11" i="71"/>
  <c r="P11" i="71" s="1"/>
  <c r="Q11" i="71" s="1"/>
  <c r="F11" i="71"/>
  <c r="E1089" i="191" s="1"/>
  <c r="J10" i="71"/>
  <c r="P10" i="71" s="1"/>
  <c r="Q10" i="71" s="1"/>
  <c r="F10" i="71"/>
  <c r="E1088" i="191" s="1"/>
  <c r="J9" i="71"/>
  <c r="P9" i="71" s="1"/>
  <c r="Q9" i="71" s="1"/>
  <c r="F9" i="71"/>
  <c r="E1087" i="191" s="1"/>
  <c r="J8" i="71"/>
  <c r="P8" i="71" s="1"/>
  <c r="Q8" i="71" s="1"/>
  <c r="F8" i="71"/>
  <c r="E1086" i="191" s="1"/>
  <c r="F1259" i="191" l="1"/>
  <c r="F1261" i="191"/>
  <c r="XV1325" i="191"/>
  <c r="UP1325" i="191"/>
  <c r="RJ1325" i="191"/>
  <c r="OD1325" i="191"/>
  <c r="KX1325" i="191"/>
  <c r="HR1325" i="191"/>
  <c r="EL1325" i="191"/>
  <c r="BF1325" i="191"/>
  <c r="VK1325" i="191"/>
  <c r="LS1325" i="191"/>
  <c r="XA1325" i="191"/>
  <c r="TU1325" i="191"/>
  <c r="QO1325" i="191"/>
  <c r="NI1325" i="191"/>
  <c r="KC1325" i="191"/>
  <c r="GW1325" i="191"/>
  <c r="DQ1325" i="191"/>
  <c r="AK1325" i="191"/>
  <c r="OY1325" i="191"/>
  <c r="CA1325" i="191"/>
  <c r="WF1325" i="191"/>
  <c r="SZ1325" i="191"/>
  <c r="PT1325" i="191"/>
  <c r="MN1325" i="191"/>
  <c r="JH1325" i="191"/>
  <c r="GB1325" i="191"/>
  <c r="CV1325" i="191"/>
  <c r="P1325" i="191"/>
  <c r="SE1325" i="191"/>
  <c r="FG1325" i="191"/>
  <c r="YQ1325" i="191"/>
  <c r="IM1325" i="191"/>
  <c r="XB1341" i="191"/>
  <c r="TV1341" i="191"/>
  <c r="QP1341" i="191"/>
  <c r="NJ1341" i="191"/>
  <c r="KD1341" i="191"/>
  <c r="GX1341" i="191"/>
  <c r="DR1341" i="191"/>
  <c r="AL1341" i="191"/>
  <c r="WG1341" i="191"/>
  <c r="TA1341" i="191"/>
  <c r="PU1341" i="191"/>
  <c r="MO1341" i="191"/>
  <c r="JI1341" i="191"/>
  <c r="GC1341" i="191"/>
  <c r="CW1341" i="191"/>
  <c r="Q1341" i="191"/>
  <c r="VL1341" i="191"/>
  <c r="SF1341" i="191"/>
  <c r="OZ1341" i="191"/>
  <c r="LT1341" i="191"/>
  <c r="IN1341" i="191"/>
  <c r="FH1341" i="191"/>
  <c r="CB1341" i="191"/>
  <c r="YR1341" i="191"/>
  <c r="RK1341" i="191"/>
  <c r="EM1341" i="191"/>
  <c r="OE1341" i="191"/>
  <c r="BG1341" i="191"/>
  <c r="HS1341" i="191"/>
  <c r="XW1341" i="191"/>
  <c r="KY1341" i="191"/>
  <c r="UQ1341" i="191"/>
  <c r="XV1340" i="191"/>
  <c r="UP1340" i="191"/>
  <c r="RJ1340" i="191"/>
  <c r="OD1340" i="191"/>
  <c r="KX1340" i="191"/>
  <c r="HR1340" i="191"/>
  <c r="EL1340" i="191"/>
  <c r="BF1340" i="191"/>
  <c r="XA1340" i="191"/>
  <c r="TU1340" i="191"/>
  <c r="QO1340" i="191"/>
  <c r="NI1340" i="191"/>
  <c r="KC1340" i="191"/>
  <c r="GW1340" i="191"/>
  <c r="DQ1340" i="191"/>
  <c r="AK1340" i="191"/>
  <c r="WF1340" i="191"/>
  <c r="SZ1340" i="191"/>
  <c r="PT1340" i="191"/>
  <c r="MN1340" i="191"/>
  <c r="JH1340" i="191"/>
  <c r="GB1340" i="191"/>
  <c r="CV1340" i="191"/>
  <c r="P1340" i="191"/>
  <c r="SE1340" i="191"/>
  <c r="FG1340" i="191"/>
  <c r="OY1340" i="191"/>
  <c r="CA1340" i="191"/>
  <c r="IM1340" i="191"/>
  <c r="YQ1340" i="191"/>
  <c r="LS1340" i="191"/>
  <c r="VK1340" i="191"/>
  <c r="XB1320" i="191"/>
  <c r="TV1320" i="191"/>
  <c r="QP1320" i="191"/>
  <c r="NJ1320" i="191"/>
  <c r="KD1320" i="191"/>
  <c r="GX1320" i="191"/>
  <c r="DR1320" i="191"/>
  <c r="AL1320" i="191"/>
  <c r="WG1320" i="191"/>
  <c r="TA1320" i="191"/>
  <c r="PU1320" i="191"/>
  <c r="MO1320" i="191"/>
  <c r="JI1320" i="191"/>
  <c r="GC1320" i="191"/>
  <c r="CW1320" i="191"/>
  <c r="Q1320" i="191"/>
  <c r="VL1320" i="191"/>
  <c r="SF1320" i="191"/>
  <c r="OZ1320" i="191"/>
  <c r="LT1320" i="191"/>
  <c r="IN1320" i="191"/>
  <c r="FH1320" i="191"/>
  <c r="CB1320" i="191"/>
  <c r="YR1320" i="191"/>
  <c r="XW1320" i="191"/>
  <c r="UQ1320" i="191"/>
  <c r="RK1320" i="191"/>
  <c r="OE1320" i="191"/>
  <c r="KY1320" i="191"/>
  <c r="HS1320" i="191"/>
  <c r="EM1320" i="191"/>
  <c r="BG1320" i="191"/>
  <c r="XB1323" i="191"/>
  <c r="WG1323" i="191"/>
  <c r="TA1323" i="191"/>
  <c r="VL1323" i="191"/>
  <c r="SF1323" i="191"/>
  <c r="TV1323" i="191"/>
  <c r="OZ1323" i="191"/>
  <c r="LT1323" i="191"/>
  <c r="IN1323" i="191"/>
  <c r="FH1323" i="191"/>
  <c r="CB1323" i="191"/>
  <c r="YR1323" i="191"/>
  <c r="RK1323" i="191"/>
  <c r="OE1323" i="191"/>
  <c r="KY1323" i="191"/>
  <c r="HS1323" i="191"/>
  <c r="EM1323" i="191"/>
  <c r="BG1323" i="191"/>
  <c r="PU1323" i="191"/>
  <c r="JI1323" i="191"/>
  <c r="CW1323" i="191"/>
  <c r="XW1323" i="191"/>
  <c r="QP1323" i="191"/>
  <c r="NJ1323" i="191"/>
  <c r="KD1323" i="191"/>
  <c r="GX1323" i="191"/>
  <c r="DR1323" i="191"/>
  <c r="AL1323" i="191"/>
  <c r="UQ1323" i="191"/>
  <c r="MO1323" i="191"/>
  <c r="GC1323" i="191"/>
  <c r="Q1323" i="191"/>
  <c r="WZ1342" i="191"/>
  <c r="TT1342" i="191"/>
  <c r="QN1342" i="191"/>
  <c r="NH1342" i="191"/>
  <c r="KB1342" i="191"/>
  <c r="GV1342" i="191"/>
  <c r="DP1342" i="191"/>
  <c r="AJ1342" i="191"/>
  <c r="WE1342" i="191"/>
  <c r="SY1342" i="191"/>
  <c r="PS1342" i="191"/>
  <c r="MM1342" i="191"/>
  <c r="JG1342" i="191"/>
  <c r="GA1342" i="191"/>
  <c r="CU1342" i="191"/>
  <c r="O1342" i="191"/>
  <c r="VJ1342" i="191"/>
  <c r="SD1342" i="191"/>
  <c r="OX1342" i="191"/>
  <c r="LR1342" i="191"/>
  <c r="IL1342" i="191"/>
  <c r="FF1342" i="191"/>
  <c r="BZ1342" i="191"/>
  <c r="YP1342" i="191"/>
  <c r="XU1342" i="191"/>
  <c r="UO1342" i="191"/>
  <c r="RI1342" i="191"/>
  <c r="OC1342" i="191"/>
  <c r="KW1342" i="191"/>
  <c r="HQ1342" i="191"/>
  <c r="EK1342" i="191"/>
  <c r="BE1342" i="191"/>
  <c r="XW1332" i="191"/>
  <c r="UQ1332" i="191"/>
  <c r="RK1332" i="191"/>
  <c r="OE1332" i="191"/>
  <c r="KY1332" i="191"/>
  <c r="HS1332" i="191"/>
  <c r="EM1332" i="191"/>
  <c r="BG1332" i="191"/>
  <c r="VL1332" i="191"/>
  <c r="IN1332" i="191"/>
  <c r="XB1332" i="191"/>
  <c r="TV1332" i="191"/>
  <c r="QP1332" i="191"/>
  <c r="NJ1332" i="191"/>
  <c r="KD1332" i="191"/>
  <c r="GX1332" i="191"/>
  <c r="DR1332" i="191"/>
  <c r="AL1332" i="191"/>
  <c r="YR1332" i="191"/>
  <c r="LT1332" i="191"/>
  <c r="WG1332" i="191"/>
  <c r="TA1332" i="191"/>
  <c r="PU1332" i="191"/>
  <c r="MO1332" i="191"/>
  <c r="JI1332" i="191"/>
  <c r="GC1332" i="191"/>
  <c r="CW1332" i="191"/>
  <c r="Q1332" i="191"/>
  <c r="OZ1332" i="191"/>
  <c r="CB1332" i="191"/>
  <c r="SF1332" i="191"/>
  <c r="FH1332" i="191"/>
  <c r="WZ1336" i="191"/>
  <c r="TT1336" i="191"/>
  <c r="QN1336" i="191"/>
  <c r="NH1336" i="191"/>
  <c r="KB1336" i="191"/>
  <c r="GV1336" i="191"/>
  <c r="DP1336" i="191"/>
  <c r="AJ1336" i="191"/>
  <c r="WE1336" i="191"/>
  <c r="SY1336" i="191"/>
  <c r="PS1336" i="191"/>
  <c r="MM1336" i="191"/>
  <c r="JG1336" i="191"/>
  <c r="GA1336" i="191"/>
  <c r="CU1336" i="191"/>
  <c r="YP1336" i="191"/>
  <c r="VJ1336" i="191"/>
  <c r="SD1336" i="191"/>
  <c r="OX1336" i="191"/>
  <c r="LR1336" i="191"/>
  <c r="IL1336" i="191"/>
  <c r="FF1336" i="191"/>
  <c r="BZ1336" i="191"/>
  <c r="O1336" i="191"/>
  <c r="XU1336" i="191"/>
  <c r="UO1336" i="191"/>
  <c r="RI1336" i="191"/>
  <c r="OC1336" i="191"/>
  <c r="KW1336" i="191"/>
  <c r="HQ1336" i="191"/>
  <c r="EK1336" i="191"/>
  <c r="BE1336" i="191"/>
  <c r="XB1325" i="191"/>
  <c r="TV1325" i="191"/>
  <c r="QP1325" i="191"/>
  <c r="NJ1325" i="191"/>
  <c r="KD1325" i="191"/>
  <c r="GX1325" i="191"/>
  <c r="DR1325" i="191"/>
  <c r="AL1325" i="191"/>
  <c r="WG1325" i="191"/>
  <c r="TA1325" i="191"/>
  <c r="PU1325" i="191"/>
  <c r="MO1325" i="191"/>
  <c r="JI1325" i="191"/>
  <c r="GC1325" i="191"/>
  <c r="CW1325" i="191"/>
  <c r="Q1325" i="191"/>
  <c r="VL1325" i="191"/>
  <c r="SF1325" i="191"/>
  <c r="OZ1325" i="191"/>
  <c r="LT1325" i="191"/>
  <c r="IN1325" i="191"/>
  <c r="FH1325" i="191"/>
  <c r="CB1325" i="191"/>
  <c r="YR1325" i="191"/>
  <c r="RK1325" i="191"/>
  <c r="EM1325" i="191"/>
  <c r="OE1325" i="191"/>
  <c r="BG1325" i="191"/>
  <c r="HS1325" i="191"/>
  <c r="XW1325" i="191"/>
  <c r="KY1325" i="191"/>
  <c r="UQ1325" i="191"/>
  <c r="XB1340" i="191"/>
  <c r="TV1340" i="191"/>
  <c r="QP1340" i="191"/>
  <c r="NJ1340" i="191"/>
  <c r="KD1340" i="191"/>
  <c r="GX1340" i="191"/>
  <c r="DR1340" i="191"/>
  <c r="AL1340" i="191"/>
  <c r="RK1340" i="191"/>
  <c r="EM1340" i="191"/>
  <c r="WG1340" i="191"/>
  <c r="TA1340" i="191"/>
  <c r="PU1340" i="191"/>
  <c r="MO1340" i="191"/>
  <c r="JI1340" i="191"/>
  <c r="GC1340" i="191"/>
  <c r="CW1340" i="191"/>
  <c r="Q1340" i="191"/>
  <c r="XW1340" i="191"/>
  <c r="KY1340" i="191"/>
  <c r="VL1340" i="191"/>
  <c r="SF1340" i="191"/>
  <c r="OZ1340" i="191"/>
  <c r="LT1340" i="191"/>
  <c r="IN1340" i="191"/>
  <c r="FH1340" i="191"/>
  <c r="CB1340" i="191"/>
  <c r="YR1340" i="191"/>
  <c r="UQ1340" i="191"/>
  <c r="OE1340" i="191"/>
  <c r="BG1340" i="191"/>
  <c r="HS1340" i="191"/>
  <c r="XV1323" i="191"/>
  <c r="UP1323" i="191"/>
  <c r="RJ1323" i="191"/>
  <c r="OD1323" i="191"/>
  <c r="KX1323" i="191"/>
  <c r="HR1323" i="191"/>
  <c r="EL1323" i="191"/>
  <c r="BF1323" i="191"/>
  <c r="XA1323" i="191"/>
  <c r="TU1323" i="191"/>
  <c r="QO1323" i="191"/>
  <c r="NI1323" i="191"/>
  <c r="KC1323" i="191"/>
  <c r="GW1323" i="191"/>
  <c r="DQ1323" i="191"/>
  <c r="AK1323" i="191"/>
  <c r="WF1323" i="191"/>
  <c r="SZ1323" i="191"/>
  <c r="PT1323" i="191"/>
  <c r="MN1323" i="191"/>
  <c r="JH1323" i="191"/>
  <c r="GB1323" i="191"/>
  <c r="CV1323" i="191"/>
  <c r="P1323" i="191"/>
  <c r="YQ1323" i="191"/>
  <c r="VK1323" i="191"/>
  <c r="SE1323" i="191"/>
  <c r="OY1323" i="191"/>
  <c r="LS1323" i="191"/>
  <c r="IM1323" i="191"/>
  <c r="FG1323" i="191"/>
  <c r="CA1323" i="191"/>
  <c r="XV1342" i="191"/>
  <c r="UP1342" i="191"/>
  <c r="RJ1342" i="191"/>
  <c r="OD1342" i="191"/>
  <c r="KX1342" i="191"/>
  <c r="HR1342" i="191"/>
  <c r="EL1342" i="191"/>
  <c r="BF1342" i="191"/>
  <c r="XA1342" i="191"/>
  <c r="TU1342" i="191"/>
  <c r="QO1342" i="191"/>
  <c r="NI1342" i="191"/>
  <c r="KC1342" i="191"/>
  <c r="GW1342" i="191"/>
  <c r="DQ1342" i="191"/>
  <c r="AK1342" i="191"/>
  <c r="WF1342" i="191"/>
  <c r="SZ1342" i="191"/>
  <c r="PT1342" i="191"/>
  <c r="MN1342" i="191"/>
  <c r="JH1342" i="191"/>
  <c r="GB1342" i="191"/>
  <c r="CV1342" i="191"/>
  <c r="P1342" i="191"/>
  <c r="SE1342" i="191"/>
  <c r="FG1342" i="191"/>
  <c r="OY1342" i="191"/>
  <c r="CA1342" i="191"/>
  <c r="IM1342" i="191"/>
  <c r="YQ1342" i="191"/>
  <c r="LS1342" i="191"/>
  <c r="VK1342" i="191"/>
  <c r="XU1346" i="191"/>
  <c r="UO1346" i="191"/>
  <c r="RI1346" i="191"/>
  <c r="OC1346" i="191"/>
  <c r="KW1346" i="191"/>
  <c r="HQ1346" i="191"/>
  <c r="EK1346" i="191"/>
  <c r="BE1346" i="191"/>
  <c r="WZ1346" i="191"/>
  <c r="TT1346" i="191"/>
  <c r="QN1346" i="191"/>
  <c r="NH1346" i="191"/>
  <c r="KB1346" i="191"/>
  <c r="GV1346" i="191"/>
  <c r="DP1346" i="191"/>
  <c r="AJ1346" i="191"/>
  <c r="WE1346" i="191"/>
  <c r="SY1346" i="191"/>
  <c r="PS1346" i="191"/>
  <c r="MM1346" i="191"/>
  <c r="JG1346" i="191"/>
  <c r="GA1346" i="191"/>
  <c r="CU1346" i="191"/>
  <c r="O1346" i="191"/>
  <c r="YP1346" i="191"/>
  <c r="VJ1346" i="191"/>
  <c r="SD1346" i="191"/>
  <c r="OX1346" i="191"/>
  <c r="LR1346" i="191"/>
  <c r="IL1346" i="191"/>
  <c r="FF1346" i="191"/>
  <c r="BZ1346" i="191"/>
  <c r="XU1330" i="191"/>
  <c r="UO1330" i="191"/>
  <c r="RI1330" i="191"/>
  <c r="OC1330" i="191"/>
  <c r="KW1330" i="191"/>
  <c r="HQ1330" i="191"/>
  <c r="EK1330" i="191"/>
  <c r="BE1330" i="191"/>
  <c r="VJ1330" i="191"/>
  <c r="LR1330" i="191"/>
  <c r="BZ1330" i="191"/>
  <c r="WZ1330" i="191"/>
  <c r="TT1330" i="191"/>
  <c r="QN1330" i="191"/>
  <c r="NH1330" i="191"/>
  <c r="KB1330" i="191"/>
  <c r="GV1330" i="191"/>
  <c r="DP1330" i="191"/>
  <c r="AJ1330" i="191"/>
  <c r="YP1330" i="191"/>
  <c r="IL1330" i="191"/>
  <c r="WE1330" i="191"/>
  <c r="SY1330" i="191"/>
  <c r="PS1330" i="191"/>
  <c r="MM1330" i="191"/>
  <c r="JG1330" i="191"/>
  <c r="GA1330" i="191"/>
  <c r="CU1330" i="191"/>
  <c r="O1330" i="191"/>
  <c r="OX1330" i="191"/>
  <c r="SD1330" i="191"/>
  <c r="FF1330" i="191"/>
  <c r="P1336" i="191"/>
  <c r="VK1336" i="191"/>
  <c r="SE1336" i="191"/>
  <c r="OY1336" i="191"/>
  <c r="LS1336" i="191"/>
  <c r="IM1336" i="191"/>
  <c r="FG1336" i="191"/>
  <c r="CA1336" i="191"/>
  <c r="XV1336" i="191"/>
  <c r="UP1336" i="191"/>
  <c r="RJ1336" i="191"/>
  <c r="OD1336" i="191"/>
  <c r="KX1336" i="191"/>
  <c r="HR1336" i="191"/>
  <c r="EL1336" i="191"/>
  <c r="BF1336" i="191"/>
  <c r="XA1336" i="191"/>
  <c r="TU1336" i="191"/>
  <c r="QO1336" i="191"/>
  <c r="NI1336" i="191"/>
  <c r="KC1336" i="191"/>
  <c r="GW1336" i="191"/>
  <c r="DQ1336" i="191"/>
  <c r="AK1336" i="191"/>
  <c r="SZ1336" i="191"/>
  <c r="GB1336" i="191"/>
  <c r="PT1336" i="191"/>
  <c r="CV1336" i="191"/>
  <c r="JH1336" i="191"/>
  <c r="YQ1336" i="191"/>
  <c r="MN1336" i="191"/>
  <c r="WF1336" i="191"/>
  <c r="XU1326" i="191"/>
  <c r="UO1326" i="191"/>
  <c r="RI1326" i="191"/>
  <c r="OC1326" i="191"/>
  <c r="KW1326" i="191"/>
  <c r="HQ1326" i="191"/>
  <c r="EK1326" i="191"/>
  <c r="BE1326" i="191"/>
  <c r="WZ1326" i="191"/>
  <c r="TT1326" i="191"/>
  <c r="QN1326" i="191"/>
  <c r="NH1326" i="191"/>
  <c r="KB1326" i="191"/>
  <c r="GV1326" i="191"/>
  <c r="DP1326" i="191"/>
  <c r="AJ1326" i="191"/>
  <c r="WE1326" i="191"/>
  <c r="SY1326" i="191"/>
  <c r="PS1326" i="191"/>
  <c r="MM1326" i="191"/>
  <c r="JG1326" i="191"/>
  <c r="GA1326" i="191"/>
  <c r="CU1326" i="191"/>
  <c r="O1326" i="191"/>
  <c r="YP1326" i="191"/>
  <c r="VJ1326" i="191"/>
  <c r="SD1326" i="191"/>
  <c r="OX1326" i="191"/>
  <c r="LR1326" i="191"/>
  <c r="IL1326" i="191"/>
  <c r="FF1326" i="191"/>
  <c r="BZ1326" i="191"/>
  <c r="WZ1341" i="191"/>
  <c r="TT1341" i="191"/>
  <c r="QN1341" i="191"/>
  <c r="NH1341" i="191"/>
  <c r="KB1341" i="191"/>
  <c r="GV1341" i="191"/>
  <c r="DP1341" i="191"/>
  <c r="AJ1341" i="191"/>
  <c r="WE1341" i="191"/>
  <c r="SY1341" i="191"/>
  <c r="PS1341" i="191"/>
  <c r="MM1341" i="191"/>
  <c r="JG1341" i="191"/>
  <c r="GA1341" i="191"/>
  <c r="CU1341" i="191"/>
  <c r="O1341" i="191"/>
  <c r="VJ1341" i="191"/>
  <c r="SD1341" i="191"/>
  <c r="OX1341" i="191"/>
  <c r="LR1341" i="191"/>
  <c r="IL1341" i="191"/>
  <c r="FF1341" i="191"/>
  <c r="BZ1341" i="191"/>
  <c r="YP1341" i="191"/>
  <c r="RI1341" i="191"/>
  <c r="EK1341" i="191"/>
  <c r="OC1341" i="191"/>
  <c r="BE1341" i="191"/>
  <c r="HQ1341" i="191"/>
  <c r="XU1341" i="191"/>
  <c r="KW1341" i="191"/>
  <c r="UO1341" i="191"/>
  <c r="VJ1320" i="191"/>
  <c r="EK1320" i="191"/>
  <c r="KW1320" i="191"/>
  <c r="KB1320" i="191"/>
  <c r="WZ1320" i="191"/>
  <c r="JG1320" i="191"/>
  <c r="WE1320" i="191"/>
  <c r="IL1320" i="191"/>
  <c r="OC1320" i="191"/>
  <c r="UO1320" i="191"/>
  <c r="AJ1320" i="191"/>
  <c r="NH1320" i="191"/>
  <c r="O1320" i="191"/>
  <c r="MM1320" i="191"/>
  <c r="YP1320" i="191"/>
  <c r="LR1320" i="191"/>
  <c r="BE1320" i="191"/>
  <c r="HQ1320" i="191"/>
  <c r="DP1320" i="191"/>
  <c r="QN1320" i="191"/>
  <c r="CU1320" i="191"/>
  <c r="PS1320" i="191"/>
  <c r="BZ1320" i="191"/>
  <c r="OX1320" i="191"/>
  <c r="RI1320" i="191"/>
  <c r="XU1320" i="191"/>
  <c r="GV1320" i="191"/>
  <c r="TT1320" i="191"/>
  <c r="GA1320" i="191"/>
  <c r="SY1320" i="191"/>
  <c r="FF1320" i="191"/>
  <c r="SD1320" i="191"/>
  <c r="XB1342" i="191"/>
  <c r="TV1342" i="191"/>
  <c r="QP1342" i="191"/>
  <c r="NJ1342" i="191"/>
  <c r="KD1342" i="191"/>
  <c r="GX1342" i="191"/>
  <c r="DR1342" i="191"/>
  <c r="AL1342" i="191"/>
  <c r="OE1342" i="191"/>
  <c r="WG1342" i="191"/>
  <c r="TA1342" i="191"/>
  <c r="PU1342" i="191"/>
  <c r="MO1342" i="191"/>
  <c r="JI1342" i="191"/>
  <c r="GC1342" i="191"/>
  <c r="CW1342" i="191"/>
  <c r="Q1342" i="191"/>
  <c r="UQ1342" i="191"/>
  <c r="HS1342" i="191"/>
  <c r="VL1342" i="191"/>
  <c r="SF1342" i="191"/>
  <c r="OZ1342" i="191"/>
  <c r="LT1342" i="191"/>
  <c r="IN1342" i="191"/>
  <c r="FH1342" i="191"/>
  <c r="CB1342" i="191"/>
  <c r="YR1342" i="191"/>
  <c r="RK1342" i="191"/>
  <c r="EM1342" i="191"/>
  <c r="XW1342" i="191"/>
  <c r="KY1342" i="191"/>
  <c r="BG1342" i="191"/>
  <c r="XA1346" i="191"/>
  <c r="TU1346" i="191"/>
  <c r="QO1346" i="191"/>
  <c r="NI1346" i="191"/>
  <c r="KC1346" i="191"/>
  <c r="GW1346" i="191"/>
  <c r="DQ1346" i="191"/>
  <c r="AK1346" i="191"/>
  <c r="WF1346" i="191"/>
  <c r="SZ1346" i="191"/>
  <c r="PT1346" i="191"/>
  <c r="MN1346" i="191"/>
  <c r="JH1346" i="191"/>
  <c r="GB1346" i="191"/>
  <c r="CV1346" i="191"/>
  <c r="P1346" i="191"/>
  <c r="VK1346" i="191"/>
  <c r="SE1346" i="191"/>
  <c r="OY1346" i="191"/>
  <c r="LS1346" i="191"/>
  <c r="IM1346" i="191"/>
  <c r="FG1346" i="191"/>
  <c r="CA1346" i="191"/>
  <c r="YQ1346" i="191"/>
  <c r="RJ1346" i="191"/>
  <c r="EL1346" i="191"/>
  <c r="OD1346" i="191"/>
  <c r="BF1346" i="191"/>
  <c r="UP1346" i="191"/>
  <c r="XV1346" i="191"/>
  <c r="KX1346" i="191"/>
  <c r="HR1346" i="191"/>
  <c r="XU1332" i="191"/>
  <c r="UO1332" i="191"/>
  <c r="RI1332" i="191"/>
  <c r="OC1332" i="191"/>
  <c r="KW1332" i="191"/>
  <c r="HQ1332" i="191"/>
  <c r="EK1332" i="191"/>
  <c r="BE1332" i="191"/>
  <c r="VJ1332" i="191"/>
  <c r="IL1332" i="191"/>
  <c r="WZ1332" i="191"/>
  <c r="TT1332" i="191"/>
  <c r="QN1332" i="191"/>
  <c r="NH1332" i="191"/>
  <c r="KB1332" i="191"/>
  <c r="GV1332" i="191"/>
  <c r="DP1332" i="191"/>
  <c r="AJ1332" i="191"/>
  <c r="YP1332" i="191"/>
  <c r="OX1332" i="191"/>
  <c r="BZ1332" i="191"/>
  <c r="WE1332" i="191"/>
  <c r="SY1332" i="191"/>
  <c r="PS1332" i="191"/>
  <c r="MM1332" i="191"/>
  <c r="JG1332" i="191"/>
  <c r="GA1332" i="191"/>
  <c r="CU1332" i="191"/>
  <c r="O1332" i="191"/>
  <c r="LR1332" i="191"/>
  <c r="SD1332" i="191"/>
  <c r="FF1332" i="191"/>
  <c r="XA1330" i="191"/>
  <c r="TU1330" i="191"/>
  <c r="QO1330" i="191"/>
  <c r="NI1330" i="191"/>
  <c r="KC1330" i="191"/>
  <c r="GW1330" i="191"/>
  <c r="DQ1330" i="191"/>
  <c r="AK1330" i="191"/>
  <c r="WF1330" i="191"/>
  <c r="SZ1330" i="191"/>
  <c r="PT1330" i="191"/>
  <c r="MN1330" i="191"/>
  <c r="JH1330" i="191"/>
  <c r="GB1330" i="191"/>
  <c r="CV1330" i="191"/>
  <c r="P1330" i="191"/>
  <c r="VK1330" i="191"/>
  <c r="SE1330" i="191"/>
  <c r="OY1330" i="191"/>
  <c r="LS1330" i="191"/>
  <c r="IM1330" i="191"/>
  <c r="FG1330" i="191"/>
  <c r="CA1330" i="191"/>
  <c r="YQ1330" i="191"/>
  <c r="RJ1330" i="191"/>
  <c r="EL1330" i="191"/>
  <c r="OD1330" i="191"/>
  <c r="BF1330" i="191"/>
  <c r="HR1330" i="191"/>
  <c r="XV1330" i="191"/>
  <c r="KX1330" i="191"/>
  <c r="UP1330" i="191"/>
  <c r="XB1336" i="191"/>
  <c r="TV1336" i="191"/>
  <c r="QP1336" i="191"/>
  <c r="NJ1336" i="191"/>
  <c r="KD1336" i="191"/>
  <c r="GX1336" i="191"/>
  <c r="DR1336" i="191"/>
  <c r="AL1336" i="191"/>
  <c r="WG1336" i="191"/>
  <c r="TA1336" i="191"/>
  <c r="PU1336" i="191"/>
  <c r="MO1336" i="191"/>
  <c r="JI1336" i="191"/>
  <c r="GC1336" i="191"/>
  <c r="CW1336" i="191"/>
  <c r="YR1336" i="191"/>
  <c r="VL1336" i="191"/>
  <c r="SF1336" i="191"/>
  <c r="OZ1336" i="191"/>
  <c r="LT1336" i="191"/>
  <c r="IN1336" i="191"/>
  <c r="FH1336" i="191"/>
  <c r="CB1336" i="191"/>
  <c r="Q1336" i="191"/>
  <c r="XW1336" i="191"/>
  <c r="UQ1336" i="191"/>
  <c r="RK1336" i="191"/>
  <c r="OE1336" i="191"/>
  <c r="KY1336" i="191"/>
  <c r="HS1336" i="191"/>
  <c r="EM1336" i="191"/>
  <c r="BG1336" i="191"/>
  <c r="XA1326" i="191"/>
  <c r="TU1326" i="191"/>
  <c r="QO1326" i="191"/>
  <c r="NI1326" i="191"/>
  <c r="KC1326" i="191"/>
  <c r="GW1326" i="191"/>
  <c r="DQ1326" i="191"/>
  <c r="AK1326" i="191"/>
  <c r="WF1326" i="191"/>
  <c r="SZ1326" i="191"/>
  <c r="PT1326" i="191"/>
  <c r="MN1326" i="191"/>
  <c r="JH1326" i="191"/>
  <c r="GB1326" i="191"/>
  <c r="CV1326" i="191"/>
  <c r="P1326" i="191"/>
  <c r="VK1326" i="191"/>
  <c r="SE1326" i="191"/>
  <c r="OY1326" i="191"/>
  <c r="LS1326" i="191"/>
  <c r="IM1326" i="191"/>
  <c r="FG1326" i="191"/>
  <c r="CA1326" i="191"/>
  <c r="YQ1326" i="191"/>
  <c r="RJ1326" i="191"/>
  <c r="EL1326" i="191"/>
  <c r="OD1326" i="191"/>
  <c r="BF1326" i="191"/>
  <c r="HR1326" i="191"/>
  <c r="XV1326" i="191"/>
  <c r="KX1326" i="191"/>
  <c r="UP1326" i="191"/>
  <c r="WZ1325" i="191"/>
  <c r="TT1325" i="191"/>
  <c r="QN1325" i="191"/>
  <c r="NH1325" i="191"/>
  <c r="KB1325" i="191"/>
  <c r="GV1325" i="191"/>
  <c r="DP1325" i="191"/>
  <c r="AJ1325" i="191"/>
  <c r="WE1325" i="191"/>
  <c r="SY1325" i="191"/>
  <c r="PS1325" i="191"/>
  <c r="MM1325" i="191"/>
  <c r="JG1325" i="191"/>
  <c r="GA1325" i="191"/>
  <c r="CU1325" i="191"/>
  <c r="O1325" i="191"/>
  <c r="VJ1325" i="191"/>
  <c r="SD1325" i="191"/>
  <c r="OX1325" i="191"/>
  <c r="LR1325" i="191"/>
  <c r="IL1325" i="191"/>
  <c r="FF1325" i="191"/>
  <c r="BZ1325" i="191"/>
  <c r="YP1325" i="191"/>
  <c r="RI1325" i="191"/>
  <c r="EK1325" i="191"/>
  <c r="OC1325" i="191"/>
  <c r="BE1325" i="191"/>
  <c r="HQ1325" i="191"/>
  <c r="XU1325" i="191"/>
  <c r="KW1325" i="191"/>
  <c r="UO1325" i="191"/>
  <c r="XV1341" i="191"/>
  <c r="UP1341" i="191"/>
  <c r="RJ1341" i="191"/>
  <c r="OD1341" i="191"/>
  <c r="KX1341" i="191"/>
  <c r="HR1341" i="191"/>
  <c r="EL1341" i="191"/>
  <c r="BF1341" i="191"/>
  <c r="XA1341" i="191"/>
  <c r="TU1341" i="191"/>
  <c r="QO1341" i="191"/>
  <c r="NI1341" i="191"/>
  <c r="KC1341" i="191"/>
  <c r="GW1341" i="191"/>
  <c r="DQ1341" i="191"/>
  <c r="AK1341" i="191"/>
  <c r="WF1341" i="191"/>
  <c r="SZ1341" i="191"/>
  <c r="PT1341" i="191"/>
  <c r="MN1341" i="191"/>
  <c r="JH1341" i="191"/>
  <c r="GB1341" i="191"/>
  <c r="CV1341" i="191"/>
  <c r="P1341" i="191"/>
  <c r="YQ1341" i="191"/>
  <c r="VK1341" i="191"/>
  <c r="SE1341" i="191"/>
  <c r="OY1341" i="191"/>
  <c r="LS1341" i="191"/>
  <c r="IM1341" i="191"/>
  <c r="FG1341" i="191"/>
  <c r="CA1341" i="191"/>
  <c r="WZ1340" i="191"/>
  <c r="TT1340" i="191"/>
  <c r="QN1340" i="191"/>
  <c r="NH1340" i="191"/>
  <c r="KB1340" i="191"/>
  <c r="GV1340" i="191"/>
  <c r="DP1340" i="191"/>
  <c r="AJ1340" i="191"/>
  <c r="WE1340" i="191"/>
  <c r="SY1340" i="191"/>
  <c r="PS1340" i="191"/>
  <c r="MM1340" i="191"/>
  <c r="JG1340" i="191"/>
  <c r="GA1340" i="191"/>
  <c r="CU1340" i="191"/>
  <c r="O1340" i="191"/>
  <c r="VJ1340" i="191"/>
  <c r="SD1340" i="191"/>
  <c r="OX1340" i="191"/>
  <c r="LR1340" i="191"/>
  <c r="IL1340" i="191"/>
  <c r="FF1340" i="191"/>
  <c r="BZ1340" i="191"/>
  <c r="YP1340" i="191"/>
  <c r="XU1340" i="191"/>
  <c r="UO1340" i="191"/>
  <c r="RI1340" i="191"/>
  <c r="OC1340" i="191"/>
  <c r="KW1340" i="191"/>
  <c r="HQ1340" i="191"/>
  <c r="EK1340" i="191"/>
  <c r="BE1340" i="191"/>
  <c r="WF1320" i="191"/>
  <c r="SZ1320" i="191"/>
  <c r="PT1320" i="191"/>
  <c r="MN1320" i="191"/>
  <c r="JH1320" i="191"/>
  <c r="GB1320" i="191"/>
  <c r="CV1320" i="191"/>
  <c r="P1320" i="191"/>
  <c r="YQ1320" i="191"/>
  <c r="VK1320" i="191"/>
  <c r="SE1320" i="191"/>
  <c r="OY1320" i="191"/>
  <c r="LS1320" i="191"/>
  <c r="IM1320" i="191"/>
  <c r="FG1320" i="191"/>
  <c r="CA1320" i="191"/>
  <c r="XA1320" i="191"/>
  <c r="QO1320" i="191"/>
  <c r="KC1320" i="191"/>
  <c r="DQ1320" i="191"/>
  <c r="XV1320" i="191"/>
  <c r="UP1320" i="191"/>
  <c r="RJ1320" i="191"/>
  <c r="OD1320" i="191"/>
  <c r="KX1320" i="191"/>
  <c r="HR1320" i="191"/>
  <c r="EL1320" i="191"/>
  <c r="BF1320" i="191"/>
  <c r="TU1320" i="191"/>
  <c r="NI1320" i="191"/>
  <c r="GW1320" i="191"/>
  <c r="AK1320" i="191"/>
  <c r="VJ1323" i="191"/>
  <c r="SD1323" i="191"/>
  <c r="OX1323" i="191"/>
  <c r="LR1323" i="191"/>
  <c r="IL1323" i="191"/>
  <c r="FF1323" i="191"/>
  <c r="BZ1323" i="191"/>
  <c r="YP1323" i="191"/>
  <c r="XU1323" i="191"/>
  <c r="UO1323" i="191"/>
  <c r="RI1323" i="191"/>
  <c r="OC1323" i="191"/>
  <c r="KW1323" i="191"/>
  <c r="HQ1323" i="191"/>
  <c r="EK1323" i="191"/>
  <c r="BE1323" i="191"/>
  <c r="WE1323" i="191"/>
  <c r="PS1323" i="191"/>
  <c r="JG1323" i="191"/>
  <c r="CU1323" i="191"/>
  <c r="WZ1323" i="191"/>
  <c r="TT1323" i="191"/>
  <c r="QN1323" i="191"/>
  <c r="NH1323" i="191"/>
  <c r="KB1323" i="191"/>
  <c r="GV1323" i="191"/>
  <c r="DP1323" i="191"/>
  <c r="AJ1323" i="191"/>
  <c r="SY1323" i="191"/>
  <c r="MM1323" i="191"/>
  <c r="GA1323" i="191"/>
  <c r="O1323" i="191"/>
  <c r="XW1346" i="191"/>
  <c r="UQ1346" i="191"/>
  <c r="RK1346" i="191"/>
  <c r="OE1346" i="191"/>
  <c r="KY1346" i="191"/>
  <c r="HS1346" i="191"/>
  <c r="EM1346" i="191"/>
  <c r="BG1346" i="191"/>
  <c r="XB1346" i="191"/>
  <c r="TV1346" i="191"/>
  <c r="QP1346" i="191"/>
  <c r="NJ1346" i="191"/>
  <c r="KD1346" i="191"/>
  <c r="GX1346" i="191"/>
  <c r="DR1346" i="191"/>
  <c r="AL1346" i="191"/>
  <c r="WG1346" i="191"/>
  <c r="TA1346" i="191"/>
  <c r="PU1346" i="191"/>
  <c r="MO1346" i="191"/>
  <c r="JI1346" i="191"/>
  <c r="GC1346" i="191"/>
  <c r="CW1346" i="191"/>
  <c r="Q1346" i="191"/>
  <c r="YR1346" i="191"/>
  <c r="VL1346" i="191"/>
  <c r="SF1346" i="191"/>
  <c r="OZ1346" i="191"/>
  <c r="LT1346" i="191"/>
  <c r="IN1346" i="191"/>
  <c r="FH1346" i="191"/>
  <c r="CB1346" i="191"/>
  <c r="XA1332" i="191"/>
  <c r="TU1332" i="191"/>
  <c r="QO1332" i="191"/>
  <c r="NI1332" i="191"/>
  <c r="KC1332" i="191"/>
  <c r="GW1332" i="191"/>
  <c r="DQ1332" i="191"/>
  <c r="AK1332" i="191"/>
  <c r="WF1332" i="191"/>
  <c r="SZ1332" i="191"/>
  <c r="PT1332" i="191"/>
  <c r="MN1332" i="191"/>
  <c r="JH1332" i="191"/>
  <c r="GB1332" i="191"/>
  <c r="CV1332" i="191"/>
  <c r="P1332" i="191"/>
  <c r="VK1332" i="191"/>
  <c r="SE1332" i="191"/>
  <c r="OY1332" i="191"/>
  <c r="LS1332" i="191"/>
  <c r="IM1332" i="191"/>
  <c r="FG1332" i="191"/>
  <c r="CA1332" i="191"/>
  <c r="YQ1332" i="191"/>
  <c r="RJ1332" i="191"/>
  <c r="EL1332" i="191"/>
  <c r="OD1332" i="191"/>
  <c r="BF1332" i="191"/>
  <c r="HR1332" i="191"/>
  <c r="XV1332" i="191"/>
  <c r="KX1332" i="191"/>
  <c r="UP1332" i="191"/>
  <c r="XW1330" i="191"/>
  <c r="UQ1330" i="191"/>
  <c r="RK1330" i="191"/>
  <c r="OE1330" i="191"/>
  <c r="KY1330" i="191"/>
  <c r="HS1330" i="191"/>
  <c r="EM1330" i="191"/>
  <c r="BG1330" i="191"/>
  <c r="VL1330" i="191"/>
  <c r="IN1330" i="191"/>
  <c r="XB1330" i="191"/>
  <c r="TV1330" i="191"/>
  <c r="QP1330" i="191"/>
  <c r="NJ1330" i="191"/>
  <c r="KD1330" i="191"/>
  <c r="GX1330" i="191"/>
  <c r="DR1330" i="191"/>
  <c r="AL1330" i="191"/>
  <c r="OZ1330" i="191"/>
  <c r="WG1330" i="191"/>
  <c r="TA1330" i="191"/>
  <c r="PU1330" i="191"/>
  <c r="MO1330" i="191"/>
  <c r="JI1330" i="191"/>
  <c r="GC1330" i="191"/>
  <c r="CW1330" i="191"/>
  <c r="Q1330" i="191"/>
  <c r="YR1330" i="191"/>
  <c r="LT1330" i="191"/>
  <c r="CB1330" i="191"/>
  <c r="SF1330" i="191"/>
  <c r="FH1330" i="191"/>
  <c r="XW1326" i="191"/>
  <c r="UQ1326" i="191"/>
  <c r="RK1326" i="191"/>
  <c r="OE1326" i="191"/>
  <c r="KY1326" i="191"/>
  <c r="HS1326" i="191"/>
  <c r="EM1326" i="191"/>
  <c r="BG1326" i="191"/>
  <c r="OZ1326" i="191"/>
  <c r="FH1326" i="191"/>
  <c r="XB1326" i="191"/>
  <c r="TV1326" i="191"/>
  <c r="QP1326" i="191"/>
  <c r="NJ1326" i="191"/>
  <c r="KD1326" i="191"/>
  <c r="GX1326" i="191"/>
  <c r="DR1326" i="191"/>
  <c r="AL1326" i="191"/>
  <c r="SF1326" i="191"/>
  <c r="CB1326" i="191"/>
  <c r="WG1326" i="191"/>
  <c r="TA1326" i="191"/>
  <c r="PU1326" i="191"/>
  <c r="MO1326" i="191"/>
  <c r="JI1326" i="191"/>
  <c r="GC1326" i="191"/>
  <c r="CW1326" i="191"/>
  <c r="Q1326" i="191"/>
  <c r="YR1326" i="191"/>
  <c r="IN1326" i="191"/>
  <c r="VL1326" i="191"/>
  <c r="LT1326" i="191"/>
  <c r="R8" i="71"/>
  <c r="F1086" i="191" s="1"/>
  <c r="F331" i="191" s="1"/>
  <c r="F1212" i="191" s="1"/>
  <c r="R9" i="71"/>
  <c r="F1087" i="191" s="1"/>
  <c r="F332" i="191" s="1"/>
  <c r="I1282" i="191" s="1"/>
  <c r="R10" i="71"/>
  <c r="F1088" i="191" s="1"/>
  <c r="F333" i="191" s="1"/>
  <c r="F1214" i="191" s="1"/>
  <c r="R11" i="71"/>
  <c r="F1089" i="191" s="1"/>
  <c r="F334" i="191" s="1"/>
  <c r="I1284" i="191" s="1"/>
  <c r="R12" i="71"/>
  <c r="F1090" i="191" s="1"/>
  <c r="F335" i="191" s="1"/>
  <c r="F1216" i="191" s="1"/>
  <c r="R13" i="71"/>
  <c r="F1091" i="191" s="1"/>
  <c r="F336" i="191" s="1"/>
  <c r="I1286" i="191" s="1"/>
  <c r="R14" i="71"/>
  <c r="F1092" i="191" s="1"/>
  <c r="F337" i="191" s="1"/>
  <c r="I1287" i="191" s="1"/>
  <c r="R15" i="71"/>
  <c r="F1093" i="191" s="1"/>
  <c r="F338" i="191" s="1"/>
  <c r="I1288" i="191" s="1"/>
  <c r="R16" i="71"/>
  <c r="F1094" i="191" s="1"/>
  <c r="F339" i="191" s="1"/>
  <c r="F1220" i="191" s="1"/>
  <c r="R17" i="71"/>
  <c r="F1095" i="191" s="1"/>
  <c r="F340" i="191" s="1"/>
  <c r="I1290" i="191" s="1"/>
  <c r="R18" i="71"/>
  <c r="F1096" i="191" s="1"/>
  <c r="F341" i="191" s="1"/>
  <c r="F1222" i="191" s="1"/>
  <c r="R19" i="71"/>
  <c r="F1097" i="191" s="1"/>
  <c r="F342" i="191" s="1"/>
  <c r="I1292" i="191" s="1"/>
  <c r="R20" i="71"/>
  <c r="F1098" i="191" s="1"/>
  <c r="F343" i="191" s="1"/>
  <c r="F1224" i="191" s="1"/>
  <c r="XD1319" i="191"/>
  <c r="TX1319" i="191"/>
  <c r="QR1319" i="191"/>
  <c r="NL1319" i="191"/>
  <c r="KF1319" i="191"/>
  <c r="GZ1319" i="191"/>
  <c r="DT1319" i="191"/>
  <c r="AN1319" i="191"/>
  <c r="XY1319" i="191"/>
  <c r="US1319" i="191"/>
  <c r="RM1319" i="191"/>
  <c r="OG1319" i="191"/>
  <c r="LA1319" i="191"/>
  <c r="HU1319" i="191"/>
  <c r="EO1319" i="191"/>
  <c r="BI1319" i="191"/>
  <c r="VN1319" i="191"/>
  <c r="SH1319" i="191"/>
  <c r="PB1319" i="191"/>
  <c r="LV1319" i="191"/>
  <c r="IP1319" i="191"/>
  <c r="FJ1319" i="191"/>
  <c r="CD1319" i="191"/>
  <c r="YT1319" i="191"/>
  <c r="WI1319" i="191"/>
  <c r="TC1319" i="191"/>
  <c r="PW1319" i="191"/>
  <c r="MQ1319" i="191"/>
  <c r="JK1319" i="191"/>
  <c r="GE1319" i="191"/>
  <c r="CY1319" i="191"/>
  <c r="S1319" i="191"/>
  <c r="XZ1329" i="191"/>
  <c r="UT1329" i="191"/>
  <c r="RN1329" i="191"/>
  <c r="OH1329" i="191"/>
  <c r="LB1329" i="191"/>
  <c r="HV1329" i="191"/>
  <c r="EP1329" i="191"/>
  <c r="BJ1329" i="191"/>
  <c r="XE1329" i="191"/>
  <c r="TY1329" i="191"/>
  <c r="QS1329" i="191"/>
  <c r="NM1329" i="191"/>
  <c r="KG1329" i="191"/>
  <c r="HA1329" i="191"/>
  <c r="DU1329" i="191"/>
  <c r="AO1329" i="191"/>
  <c r="WJ1329" i="191"/>
  <c r="TD1329" i="191"/>
  <c r="PX1329" i="191"/>
  <c r="MR1329" i="191"/>
  <c r="JL1329" i="191"/>
  <c r="GF1329" i="191"/>
  <c r="CZ1329" i="191"/>
  <c r="YU1329" i="191"/>
  <c r="VO1329" i="191"/>
  <c r="SI1329" i="191"/>
  <c r="PC1329" i="191"/>
  <c r="LW1329" i="191"/>
  <c r="IQ1329" i="191"/>
  <c r="FK1329" i="191"/>
  <c r="CE1329" i="191"/>
  <c r="T1329" i="191"/>
  <c r="H1246" i="191"/>
  <c r="K1325" i="191"/>
  <c r="XE1321" i="191"/>
  <c r="TY1321" i="191"/>
  <c r="QS1321" i="191"/>
  <c r="NM1321" i="191"/>
  <c r="KG1321" i="191"/>
  <c r="HA1321" i="191"/>
  <c r="DU1321" i="191"/>
  <c r="AO1321" i="191"/>
  <c r="WJ1321" i="191"/>
  <c r="TD1321" i="191"/>
  <c r="PX1321" i="191"/>
  <c r="MR1321" i="191"/>
  <c r="JL1321" i="191"/>
  <c r="GF1321" i="191"/>
  <c r="CZ1321" i="191"/>
  <c r="T1321" i="191"/>
  <c r="YU1321" i="191"/>
  <c r="VO1321" i="191"/>
  <c r="SI1321" i="191"/>
  <c r="PC1321" i="191"/>
  <c r="LW1321" i="191"/>
  <c r="IQ1321" i="191"/>
  <c r="FK1321" i="191"/>
  <c r="CE1321" i="191"/>
  <c r="XZ1321" i="191"/>
  <c r="UT1321" i="191"/>
  <c r="RN1321" i="191"/>
  <c r="OH1321" i="191"/>
  <c r="LB1321" i="191"/>
  <c r="HV1321" i="191"/>
  <c r="EP1321" i="191"/>
  <c r="BJ1321" i="191"/>
  <c r="YU1319" i="191"/>
  <c r="VO1319" i="191"/>
  <c r="SI1319" i="191"/>
  <c r="PC1319" i="191"/>
  <c r="LW1319" i="191"/>
  <c r="IQ1319" i="191"/>
  <c r="FK1319" i="191"/>
  <c r="CE1319" i="191"/>
  <c r="XZ1319" i="191"/>
  <c r="UT1319" i="191"/>
  <c r="RN1319" i="191"/>
  <c r="OH1319" i="191"/>
  <c r="LB1319" i="191"/>
  <c r="HV1319" i="191"/>
  <c r="EP1319" i="191"/>
  <c r="BJ1319" i="191"/>
  <c r="XE1319" i="191"/>
  <c r="TY1319" i="191"/>
  <c r="QS1319" i="191"/>
  <c r="NM1319" i="191"/>
  <c r="KG1319" i="191"/>
  <c r="HA1319" i="191"/>
  <c r="DU1319" i="191"/>
  <c r="AO1319" i="191"/>
  <c r="WJ1319" i="191"/>
  <c r="TD1319" i="191"/>
  <c r="PX1319" i="191"/>
  <c r="MR1319" i="191"/>
  <c r="JL1319" i="191"/>
  <c r="GF1319" i="191"/>
  <c r="CZ1319" i="191"/>
  <c r="T1319" i="191"/>
  <c r="XE1339" i="191"/>
  <c r="TY1339" i="191"/>
  <c r="QS1339" i="191"/>
  <c r="NM1339" i="191"/>
  <c r="KG1339" i="191"/>
  <c r="HA1339" i="191"/>
  <c r="DU1339" i="191"/>
  <c r="AO1339" i="191"/>
  <c r="WJ1339" i="191"/>
  <c r="TD1339" i="191"/>
  <c r="PX1339" i="191"/>
  <c r="MR1339" i="191"/>
  <c r="JL1339" i="191"/>
  <c r="GF1339" i="191"/>
  <c r="CZ1339" i="191"/>
  <c r="T1339" i="191"/>
  <c r="YU1339" i="191"/>
  <c r="VO1339" i="191"/>
  <c r="SI1339" i="191"/>
  <c r="PC1339" i="191"/>
  <c r="LW1339" i="191"/>
  <c r="IQ1339" i="191"/>
  <c r="FK1339" i="191"/>
  <c r="CE1339" i="191"/>
  <c r="XZ1339" i="191"/>
  <c r="UT1339" i="191"/>
  <c r="RN1339" i="191"/>
  <c r="OH1339" i="191"/>
  <c r="LB1339" i="191"/>
  <c r="HV1339" i="191"/>
  <c r="EP1339" i="191"/>
  <c r="BJ1339" i="191"/>
  <c r="WJ1333" i="191"/>
  <c r="TD1333" i="191"/>
  <c r="PX1333" i="191"/>
  <c r="MR1333" i="191"/>
  <c r="JL1333" i="191"/>
  <c r="GF1333" i="191"/>
  <c r="CZ1333" i="191"/>
  <c r="T1333" i="191"/>
  <c r="VO1333" i="191"/>
  <c r="SI1333" i="191"/>
  <c r="PC1333" i="191"/>
  <c r="LW1333" i="191"/>
  <c r="IQ1333" i="191"/>
  <c r="FK1333" i="191"/>
  <c r="CE1333" i="191"/>
  <c r="YU1333" i="191"/>
  <c r="XZ1333" i="191"/>
  <c r="UT1333" i="191"/>
  <c r="RN1333" i="191"/>
  <c r="OH1333" i="191"/>
  <c r="LB1333" i="191"/>
  <c r="HV1333" i="191"/>
  <c r="EP1333" i="191"/>
  <c r="BJ1333" i="191"/>
  <c r="XE1333" i="191"/>
  <c r="TY1333" i="191"/>
  <c r="QS1333" i="191"/>
  <c r="NM1333" i="191"/>
  <c r="KG1333" i="191"/>
  <c r="HA1333" i="191"/>
  <c r="DU1333" i="191"/>
  <c r="AO1333" i="191"/>
  <c r="XY1324" i="191"/>
  <c r="US1324" i="191"/>
  <c r="RM1324" i="191"/>
  <c r="OG1324" i="191"/>
  <c r="LA1324" i="191"/>
  <c r="HU1324" i="191"/>
  <c r="EO1324" i="191"/>
  <c r="BI1324" i="191"/>
  <c r="XD1324" i="191"/>
  <c r="TX1324" i="191"/>
  <c r="QR1324" i="191"/>
  <c r="NL1324" i="191"/>
  <c r="KF1324" i="191"/>
  <c r="GZ1324" i="191"/>
  <c r="DT1324" i="191"/>
  <c r="AN1324" i="191"/>
  <c r="WI1324" i="191"/>
  <c r="TC1324" i="191"/>
  <c r="PW1324" i="191"/>
  <c r="MQ1324" i="191"/>
  <c r="JK1324" i="191"/>
  <c r="GE1324" i="191"/>
  <c r="CY1324" i="191"/>
  <c r="S1324" i="191"/>
  <c r="VN1324" i="191"/>
  <c r="SH1324" i="191"/>
  <c r="PB1324" i="191"/>
  <c r="LV1324" i="191"/>
  <c r="IP1324" i="191"/>
  <c r="FJ1324" i="191"/>
  <c r="CD1324" i="191"/>
  <c r="YT1324" i="191"/>
  <c r="G1241" i="191"/>
  <c r="J1320" i="191"/>
  <c r="WJ1335" i="191"/>
  <c r="XZ1335" i="191"/>
  <c r="KG1335" i="191"/>
  <c r="QS1335" i="191"/>
  <c r="RN1335" i="191"/>
  <c r="HA1335" i="191"/>
  <c r="TY1335" i="191"/>
  <c r="HV1335" i="191"/>
  <c r="UT1335" i="191"/>
  <c r="YU1335" i="191"/>
  <c r="FK1335" i="191"/>
  <c r="LW1335" i="191"/>
  <c r="SI1335" i="191"/>
  <c r="T1335" i="191"/>
  <c r="GF1335" i="191"/>
  <c r="MR1335" i="191"/>
  <c r="TD1335" i="191"/>
  <c r="XE1335" i="191"/>
  <c r="LB1335" i="191"/>
  <c r="DU1335" i="191"/>
  <c r="EP1335" i="191"/>
  <c r="AO1335" i="191"/>
  <c r="NM1335" i="191"/>
  <c r="BJ1335" i="191"/>
  <c r="OH1335" i="191"/>
  <c r="CE1335" i="191"/>
  <c r="IQ1335" i="191"/>
  <c r="PC1335" i="191"/>
  <c r="VO1335" i="191"/>
  <c r="CZ1335" i="191"/>
  <c r="JL1335" i="191"/>
  <c r="PX1335" i="191"/>
  <c r="WI1345" i="191"/>
  <c r="TC1345" i="191"/>
  <c r="PW1345" i="191"/>
  <c r="MQ1345" i="191"/>
  <c r="JK1345" i="191"/>
  <c r="GE1345" i="191"/>
  <c r="CY1345" i="191"/>
  <c r="S1345" i="191"/>
  <c r="XD1345" i="191"/>
  <c r="TX1345" i="191"/>
  <c r="QR1345" i="191"/>
  <c r="NL1345" i="191"/>
  <c r="KF1345" i="191"/>
  <c r="GZ1345" i="191"/>
  <c r="DT1345" i="191"/>
  <c r="AN1345" i="191"/>
  <c r="XY1345" i="191"/>
  <c r="US1345" i="191"/>
  <c r="RM1345" i="191"/>
  <c r="OG1345" i="191"/>
  <c r="LA1345" i="191"/>
  <c r="HU1345" i="191"/>
  <c r="EO1345" i="191"/>
  <c r="BI1345" i="191"/>
  <c r="YT1345" i="191"/>
  <c r="VN1345" i="191"/>
  <c r="SH1345" i="191"/>
  <c r="PB1345" i="191"/>
  <c r="LV1345" i="191"/>
  <c r="IP1345" i="191"/>
  <c r="FJ1345" i="191"/>
  <c r="CD1345" i="191"/>
  <c r="XY1331" i="191"/>
  <c r="US1331" i="191"/>
  <c r="RM1331" i="191"/>
  <c r="OG1331" i="191"/>
  <c r="LA1331" i="191"/>
  <c r="HU1331" i="191"/>
  <c r="EO1331" i="191"/>
  <c r="BI1331" i="191"/>
  <c r="YT1331" i="191"/>
  <c r="VN1331" i="191"/>
  <c r="SH1331" i="191"/>
  <c r="PB1331" i="191"/>
  <c r="LV1331" i="191"/>
  <c r="IP1331" i="191"/>
  <c r="FJ1331" i="191"/>
  <c r="CD1331" i="191"/>
  <c r="WI1331" i="191"/>
  <c r="TC1331" i="191"/>
  <c r="PW1331" i="191"/>
  <c r="MQ1331" i="191"/>
  <c r="JK1331" i="191"/>
  <c r="GE1331" i="191"/>
  <c r="CY1331" i="191"/>
  <c r="S1331" i="191"/>
  <c r="XD1331" i="191"/>
  <c r="TX1331" i="191"/>
  <c r="QR1331" i="191"/>
  <c r="NL1331" i="191"/>
  <c r="KF1331" i="191"/>
  <c r="GZ1331" i="191"/>
  <c r="DT1331" i="191"/>
  <c r="AN1331" i="191"/>
  <c r="G1246" i="191"/>
  <c r="J1325" i="191"/>
  <c r="G1244" i="191"/>
  <c r="J1323" i="191"/>
  <c r="VN1321" i="191"/>
  <c r="XD1321" i="191"/>
  <c r="XY1321" i="191"/>
  <c r="LA1321" i="191"/>
  <c r="RM1321" i="191"/>
  <c r="QR1321" i="191"/>
  <c r="HU1321" i="191"/>
  <c r="US1321" i="191"/>
  <c r="GZ1321" i="191"/>
  <c r="TX1321" i="191"/>
  <c r="CY1321" i="191"/>
  <c r="JK1321" i="191"/>
  <c r="PW1321" i="191"/>
  <c r="WI1321" i="191"/>
  <c r="CD1321" i="191"/>
  <c r="IP1321" i="191"/>
  <c r="PB1321" i="191"/>
  <c r="KF1321" i="191"/>
  <c r="EO1321" i="191"/>
  <c r="DT1321" i="191"/>
  <c r="BI1321" i="191"/>
  <c r="OG1321" i="191"/>
  <c r="AN1321" i="191"/>
  <c r="NL1321" i="191"/>
  <c r="S1321" i="191"/>
  <c r="GE1321" i="191"/>
  <c r="MQ1321" i="191"/>
  <c r="TC1321" i="191"/>
  <c r="YT1321" i="191"/>
  <c r="FJ1321" i="191"/>
  <c r="LV1321" i="191"/>
  <c r="SH1321" i="191"/>
  <c r="XD1344" i="191"/>
  <c r="TX1344" i="191"/>
  <c r="QR1344" i="191"/>
  <c r="NL1344" i="191"/>
  <c r="KF1344" i="191"/>
  <c r="GZ1344" i="191"/>
  <c r="DT1344" i="191"/>
  <c r="AN1344" i="191"/>
  <c r="WI1344" i="191"/>
  <c r="TC1344" i="191"/>
  <c r="PW1344" i="191"/>
  <c r="MQ1344" i="191"/>
  <c r="JK1344" i="191"/>
  <c r="GE1344" i="191"/>
  <c r="CY1344" i="191"/>
  <c r="S1344" i="191"/>
  <c r="YT1344" i="191"/>
  <c r="VN1344" i="191"/>
  <c r="SH1344" i="191"/>
  <c r="PB1344" i="191"/>
  <c r="LV1344" i="191"/>
  <c r="IP1344" i="191"/>
  <c r="FJ1344" i="191"/>
  <c r="CD1344" i="191"/>
  <c r="XY1344" i="191"/>
  <c r="US1344" i="191"/>
  <c r="RM1344" i="191"/>
  <c r="OG1344" i="191"/>
  <c r="LA1344" i="191"/>
  <c r="HU1344" i="191"/>
  <c r="EO1344" i="191"/>
  <c r="BI1344" i="191"/>
  <c r="J1342" i="191"/>
  <c r="G1261" i="191"/>
  <c r="J1340" i="191"/>
  <c r="G1259" i="191"/>
  <c r="J1336" i="191"/>
  <c r="G1256" i="191"/>
  <c r="H1265" i="191"/>
  <c r="K1346" i="191"/>
  <c r="J1341" i="191"/>
  <c r="G1260" i="191"/>
  <c r="XD1339" i="191"/>
  <c r="TX1339" i="191"/>
  <c r="QR1339" i="191"/>
  <c r="NL1339" i="191"/>
  <c r="KF1339" i="191"/>
  <c r="GZ1339" i="191"/>
  <c r="DT1339" i="191"/>
  <c r="AN1339" i="191"/>
  <c r="XY1339" i="191"/>
  <c r="US1339" i="191"/>
  <c r="RM1339" i="191"/>
  <c r="OG1339" i="191"/>
  <c r="LA1339" i="191"/>
  <c r="HU1339" i="191"/>
  <c r="EO1339" i="191"/>
  <c r="BI1339" i="191"/>
  <c r="VN1339" i="191"/>
  <c r="SH1339" i="191"/>
  <c r="PB1339" i="191"/>
  <c r="LV1339" i="191"/>
  <c r="IP1339" i="191"/>
  <c r="FJ1339" i="191"/>
  <c r="CD1339" i="191"/>
  <c r="YT1339" i="191"/>
  <c r="WI1339" i="191"/>
  <c r="TC1339" i="191"/>
  <c r="PW1339" i="191"/>
  <c r="MQ1339" i="191"/>
  <c r="JK1339" i="191"/>
  <c r="GE1339" i="191"/>
  <c r="CY1339" i="191"/>
  <c r="S1339" i="191"/>
  <c r="K1332" i="191"/>
  <c r="H1252" i="191"/>
  <c r="H1247" i="191"/>
  <c r="K1326" i="191"/>
  <c r="F1256" i="191"/>
  <c r="I1336" i="191"/>
  <c r="WJ1331" i="191"/>
  <c r="TD1331" i="191"/>
  <c r="PX1331" i="191"/>
  <c r="MR1331" i="191"/>
  <c r="JL1331" i="191"/>
  <c r="GF1331" i="191"/>
  <c r="CZ1331" i="191"/>
  <c r="T1331" i="191"/>
  <c r="VO1331" i="191"/>
  <c r="SI1331" i="191"/>
  <c r="PC1331" i="191"/>
  <c r="LW1331" i="191"/>
  <c r="IQ1331" i="191"/>
  <c r="FK1331" i="191"/>
  <c r="CE1331" i="191"/>
  <c r="YU1331" i="191"/>
  <c r="XZ1331" i="191"/>
  <c r="UT1331" i="191"/>
  <c r="RN1331" i="191"/>
  <c r="OH1331" i="191"/>
  <c r="LB1331" i="191"/>
  <c r="HV1331" i="191"/>
  <c r="EP1331" i="191"/>
  <c r="BJ1331" i="191"/>
  <c r="XE1331" i="191"/>
  <c r="TY1331" i="191"/>
  <c r="QS1331" i="191"/>
  <c r="NM1331" i="191"/>
  <c r="KG1331" i="191"/>
  <c r="HA1331" i="191"/>
  <c r="DU1331" i="191"/>
  <c r="AO1331" i="191"/>
  <c r="XY1335" i="191"/>
  <c r="US1335" i="191"/>
  <c r="RM1335" i="191"/>
  <c r="OG1335" i="191"/>
  <c r="LA1335" i="191"/>
  <c r="HU1335" i="191"/>
  <c r="EO1335" i="191"/>
  <c r="BI1335" i="191"/>
  <c r="YT1335" i="191"/>
  <c r="VN1335" i="191"/>
  <c r="SH1335" i="191"/>
  <c r="PB1335" i="191"/>
  <c r="LV1335" i="191"/>
  <c r="IP1335" i="191"/>
  <c r="FJ1335" i="191"/>
  <c r="CD1335" i="191"/>
  <c r="WI1335" i="191"/>
  <c r="TC1335" i="191"/>
  <c r="PW1335" i="191"/>
  <c r="MQ1335" i="191"/>
  <c r="JK1335" i="191"/>
  <c r="GE1335" i="191"/>
  <c r="CY1335" i="191"/>
  <c r="S1335" i="191"/>
  <c r="XD1335" i="191"/>
  <c r="TX1335" i="191"/>
  <c r="QR1335" i="191"/>
  <c r="NL1335" i="191"/>
  <c r="KF1335" i="191"/>
  <c r="GZ1335" i="191"/>
  <c r="DT1335" i="191"/>
  <c r="AN1335" i="191"/>
  <c r="WH1345" i="191"/>
  <c r="AM1345" i="191"/>
  <c r="GY1345" i="191"/>
  <c r="NK1345" i="191"/>
  <c r="TW1345" i="191"/>
  <c r="BH1345" i="191"/>
  <c r="HT1345" i="191"/>
  <c r="OF1345" i="191"/>
  <c r="UR1345" i="191"/>
  <c r="YS1345" i="191"/>
  <c r="FI1345" i="191"/>
  <c r="LU1345" i="191"/>
  <c r="SG1345" i="191"/>
  <c r="R1345" i="191"/>
  <c r="GD1345" i="191"/>
  <c r="MP1345" i="191"/>
  <c r="TB1345" i="191"/>
  <c r="DS1345" i="191"/>
  <c r="KE1345" i="191"/>
  <c r="QQ1345" i="191"/>
  <c r="XC1345" i="191"/>
  <c r="EN1345" i="191"/>
  <c r="KZ1345" i="191"/>
  <c r="RL1345" i="191"/>
  <c r="XX1345" i="191"/>
  <c r="CC1345" i="191"/>
  <c r="IO1345" i="191"/>
  <c r="PA1345" i="191"/>
  <c r="VM1345" i="191"/>
  <c r="CX1345" i="191"/>
  <c r="JJ1345" i="191"/>
  <c r="PV1345" i="191"/>
  <c r="J1332" i="191"/>
  <c r="G1252" i="191"/>
  <c r="H1261" i="191"/>
  <c r="K1342" i="191"/>
  <c r="F1265" i="191"/>
  <c r="I1346" i="191"/>
  <c r="H1260" i="191"/>
  <c r="K1341" i="191"/>
  <c r="K1320" i="191"/>
  <c r="H1241" i="191"/>
  <c r="WH1324" i="191"/>
  <c r="FI1324" i="191"/>
  <c r="LU1324" i="191"/>
  <c r="SG1324" i="191"/>
  <c r="YS1324" i="191"/>
  <c r="EN1324" i="191"/>
  <c r="KZ1324" i="191"/>
  <c r="RL1324" i="191"/>
  <c r="XX1324" i="191"/>
  <c r="DS1324" i="191"/>
  <c r="KE1324" i="191"/>
  <c r="QQ1324" i="191"/>
  <c r="XC1324" i="191"/>
  <c r="CX1324" i="191"/>
  <c r="JJ1324" i="191"/>
  <c r="PV1324" i="191"/>
  <c r="CC1324" i="191"/>
  <c r="IO1324" i="191"/>
  <c r="PA1324" i="191"/>
  <c r="VM1324" i="191"/>
  <c r="BH1324" i="191"/>
  <c r="HT1324" i="191"/>
  <c r="OF1324" i="191"/>
  <c r="UR1324" i="191"/>
  <c r="AM1324" i="191"/>
  <c r="GY1324" i="191"/>
  <c r="NK1324" i="191"/>
  <c r="TW1324" i="191"/>
  <c r="R1324" i="191"/>
  <c r="GD1324" i="191"/>
  <c r="MP1324" i="191"/>
  <c r="TB1324" i="191"/>
  <c r="XD1334" i="191"/>
  <c r="TX1334" i="191"/>
  <c r="QR1334" i="191"/>
  <c r="NL1334" i="191"/>
  <c r="KF1334" i="191"/>
  <c r="GZ1334" i="191"/>
  <c r="DT1334" i="191"/>
  <c r="AN1334" i="191"/>
  <c r="WI1334" i="191"/>
  <c r="TC1334" i="191"/>
  <c r="PW1334" i="191"/>
  <c r="MQ1334" i="191"/>
  <c r="JK1334" i="191"/>
  <c r="GE1334" i="191"/>
  <c r="CY1334" i="191"/>
  <c r="S1334" i="191"/>
  <c r="YT1334" i="191"/>
  <c r="VN1334" i="191"/>
  <c r="SH1334" i="191"/>
  <c r="PB1334" i="191"/>
  <c r="LV1334" i="191"/>
  <c r="IP1334" i="191"/>
  <c r="FJ1334" i="191"/>
  <c r="CD1334" i="191"/>
  <c r="XY1334" i="191"/>
  <c r="US1334" i="191"/>
  <c r="RM1334" i="191"/>
  <c r="OG1334" i="191"/>
  <c r="LA1334" i="191"/>
  <c r="HU1334" i="191"/>
  <c r="EO1334" i="191"/>
  <c r="BI1334" i="191"/>
  <c r="H1259" i="191"/>
  <c r="K1340" i="191"/>
  <c r="XC1344" i="191"/>
  <c r="QQ1344" i="191"/>
  <c r="KE1344" i="191"/>
  <c r="EN1344" i="191"/>
  <c r="XX1344" i="191"/>
  <c r="RL1344" i="191"/>
  <c r="KZ1344" i="191"/>
  <c r="FI1344" i="191"/>
  <c r="VM1344" i="191"/>
  <c r="PA1344" i="191"/>
  <c r="IO1344" i="191"/>
  <c r="CX1344" i="191"/>
  <c r="WH1344" i="191"/>
  <c r="PV1344" i="191"/>
  <c r="JJ1344" i="191"/>
  <c r="DS1344" i="191"/>
  <c r="TW1344" i="191"/>
  <c r="NK1344" i="191"/>
  <c r="YS1344" i="191"/>
  <c r="BH1344" i="191"/>
  <c r="UR1344" i="191"/>
  <c r="OF1344" i="191"/>
  <c r="HT1344" i="191"/>
  <c r="CC1344" i="191"/>
  <c r="SG1344" i="191"/>
  <c r="LU1344" i="191"/>
  <c r="GD1344" i="191"/>
  <c r="R1344" i="191"/>
  <c r="TB1344" i="191"/>
  <c r="MP1344" i="191"/>
  <c r="GY1344" i="191"/>
  <c r="AM1344" i="191"/>
  <c r="H1244" i="191"/>
  <c r="K1323" i="191"/>
  <c r="XY1329" i="191"/>
  <c r="US1329" i="191"/>
  <c r="RM1329" i="191"/>
  <c r="OG1329" i="191"/>
  <c r="HU1329" i="191"/>
  <c r="BI1329" i="191"/>
  <c r="IP1329" i="191"/>
  <c r="CD1329" i="191"/>
  <c r="YT1329" i="191"/>
  <c r="VN1329" i="191"/>
  <c r="SH1329" i="191"/>
  <c r="PB1329" i="191"/>
  <c r="JK1329" i="191"/>
  <c r="CY1329" i="191"/>
  <c r="KF1329" i="191"/>
  <c r="DT1329" i="191"/>
  <c r="WI1329" i="191"/>
  <c r="TC1329" i="191"/>
  <c r="PW1329" i="191"/>
  <c r="LA1329" i="191"/>
  <c r="EO1329" i="191"/>
  <c r="LV1329" i="191"/>
  <c r="FJ1329" i="191"/>
  <c r="S1329" i="191"/>
  <c r="XD1329" i="191"/>
  <c r="TX1329" i="191"/>
  <c r="QR1329" i="191"/>
  <c r="MQ1329" i="191"/>
  <c r="GE1329" i="191"/>
  <c r="NL1329" i="191"/>
  <c r="GZ1329" i="191"/>
  <c r="AN1329" i="191"/>
  <c r="WH1333" i="191"/>
  <c r="PV1333" i="191"/>
  <c r="JJ1333" i="191"/>
  <c r="CX1333" i="191"/>
  <c r="VM1333" i="191"/>
  <c r="PA1333" i="191"/>
  <c r="IO1333" i="191"/>
  <c r="CC1333" i="191"/>
  <c r="XX1333" i="191"/>
  <c r="RL1333" i="191"/>
  <c r="KZ1333" i="191"/>
  <c r="EN1333" i="191"/>
  <c r="XC1333" i="191"/>
  <c r="QQ1333" i="191"/>
  <c r="KE1333" i="191"/>
  <c r="DS1333" i="191"/>
  <c r="TB1333" i="191"/>
  <c r="MP1333" i="191"/>
  <c r="GD1333" i="191"/>
  <c r="R1333" i="191"/>
  <c r="SG1333" i="191"/>
  <c r="LU1333" i="191"/>
  <c r="FI1333" i="191"/>
  <c r="YS1333" i="191"/>
  <c r="UR1333" i="191"/>
  <c r="OF1333" i="191"/>
  <c r="HT1333" i="191"/>
  <c r="BH1333" i="191"/>
  <c r="TW1333" i="191"/>
  <c r="NK1333" i="191"/>
  <c r="GY1333" i="191"/>
  <c r="AM1333" i="191"/>
  <c r="XE1343" i="191"/>
  <c r="TY1343" i="191"/>
  <c r="QS1343" i="191"/>
  <c r="NM1343" i="191"/>
  <c r="KG1343" i="191"/>
  <c r="HA1343" i="191"/>
  <c r="DU1343" i="191"/>
  <c r="AO1343" i="191"/>
  <c r="WJ1343" i="191"/>
  <c r="TD1343" i="191"/>
  <c r="PX1343" i="191"/>
  <c r="MR1343" i="191"/>
  <c r="JL1343" i="191"/>
  <c r="GF1343" i="191"/>
  <c r="CZ1343" i="191"/>
  <c r="T1343" i="191"/>
  <c r="YU1343" i="191"/>
  <c r="VO1343" i="191"/>
  <c r="SI1343" i="191"/>
  <c r="PC1343" i="191"/>
  <c r="LW1343" i="191"/>
  <c r="IQ1343" i="191"/>
  <c r="FK1343" i="191"/>
  <c r="CE1343" i="191"/>
  <c r="XZ1343" i="191"/>
  <c r="UT1343" i="191"/>
  <c r="RN1343" i="191"/>
  <c r="OH1343" i="191"/>
  <c r="LB1343" i="191"/>
  <c r="HV1343" i="191"/>
  <c r="EP1343" i="191"/>
  <c r="BJ1343" i="191"/>
  <c r="J1326" i="191"/>
  <c r="G1247" i="191"/>
  <c r="K1336" i="191"/>
  <c r="H1256" i="191"/>
  <c r="WH1335" i="191"/>
  <c r="DS1335" i="191"/>
  <c r="KE1335" i="191"/>
  <c r="QQ1335" i="191"/>
  <c r="XC1335" i="191"/>
  <c r="EN1335" i="191"/>
  <c r="KZ1335" i="191"/>
  <c r="RL1335" i="191"/>
  <c r="XX1335" i="191"/>
  <c r="CC1335" i="191"/>
  <c r="IO1335" i="191"/>
  <c r="PA1335" i="191"/>
  <c r="VM1335" i="191"/>
  <c r="CX1335" i="191"/>
  <c r="JJ1335" i="191"/>
  <c r="PV1335" i="191"/>
  <c r="AM1335" i="191"/>
  <c r="GY1335" i="191"/>
  <c r="NK1335" i="191"/>
  <c r="TW1335" i="191"/>
  <c r="BH1335" i="191"/>
  <c r="HT1335" i="191"/>
  <c r="OF1335" i="191"/>
  <c r="UR1335" i="191"/>
  <c r="YS1335" i="191"/>
  <c r="FI1335" i="191"/>
  <c r="LU1335" i="191"/>
  <c r="SG1335" i="191"/>
  <c r="R1335" i="191"/>
  <c r="GD1335" i="191"/>
  <c r="MP1335" i="191"/>
  <c r="TB1335" i="191"/>
  <c r="XY1322" i="191"/>
  <c r="US1322" i="191"/>
  <c r="RM1322" i="191"/>
  <c r="OG1322" i="191"/>
  <c r="LA1322" i="191"/>
  <c r="HU1322" i="191"/>
  <c r="EO1322" i="191"/>
  <c r="BI1322" i="191"/>
  <c r="XD1322" i="191"/>
  <c r="TX1322" i="191"/>
  <c r="QR1322" i="191"/>
  <c r="NL1322" i="191"/>
  <c r="KF1322" i="191"/>
  <c r="GZ1322" i="191"/>
  <c r="DT1322" i="191"/>
  <c r="AN1322" i="191"/>
  <c r="WI1322" i="191"/>
  <c r="TC1322" i="191"/>
  <c r="PW1322" i="191"/>
  <c r="MQ1322" i="191"/>
  <c r="JK1322" i="191"/>
  <c r="GE1322" i="191"/>
  <c r="CY1322" i="191"/>
  <c r="S1322" i="191"/>
  <c r="VN1322" i="191"/>
  <c r="SH1322" i="191"/>
  <c r="PB1322" i="191"/>
  <c r="LV1322" i="191"/>
  <c r="IP1322" i="191"/>
  <c r="FJ1322" i="191"/>
  <c r="CD1322" i="191"/>
  <c r="YT1322" i="191"/>
  <c r="I1320" i="191"/>
  <c r="F1241" i="191"/>
  <c r="G1250" i="191"/>
  <c r="J1330" i="191"/>
  <c r="XZ1334" i="191"/>
  <c r="T1334" i="191"/>
  <c r="MR1334" i="191"/>
  <c r="SI1334" i="191"/>
  <c r="TD1334" i="191"/>
  <c r="IQ1334" i="191"/>
  <c r="VO1334" i="191"/>
  <c r="JL1334" i="191"/>
  <c r="WJ1334" i="191"/>
  <c r="DU1334" i="191"/>
  <c r="KG1334" i="191"/>
  <c r="QS1334" i="191"/>
  <c r="XE1334" i="191"/>
  <c r="EP1334" i="191"/>
  <c r="LB1334" i="191"/>
  <c r="RN1334" i="191"/>
  <c r="YU1334" i="191"/>
  <c r="LW1334" i="191"/>
  <c r="FK1334" i="191"/>
  <c r="GF1334" i="191"/>
  <c r="CE1334" i="191"/>
  <c r="PC1334" i="191"/>
  <c r="CZ1334" i="191"/>
  <c r="PX1334" i="191"/>
  <c r="AO1334" i="191"/>
  <c r="HA1334" i="191"/>
  <c r="NM1334" i="191"/>
  <c r="TY1334" i="191"/>
  <c r="BJ1334" i="191"/>
  <c r="HV1334" i="191"/>
  <c r="OH1334" i="191"/>
  <c r="UT1334" i="191"/>
  <c r="XZ1344" i="191"/>
  <c r="UT1344" i="191"/>
  <c r="RN1344" i="191"/>
  <c r="OH1344" i="191"/>
  <c r="LB1344" i="191"/>
  <c r="HV1344" i="191"/>
  <c r="FK1344" i="191"/>
  <c r="CE1344" i="191"/>
  <c r="XE1344" i="191"/>
  <c r="TY1344" i="191"/>
  <c r="QS1344" i="191"/>
  <c r="NM1344" i="191"/>
  <c r="KG1344" i="191"/>
  <c r="YU1344" i="191"/>
  <c r="EP1344" i="191"/>
  <c r="BJ1344" i="191"/>
  <c r="WJ1344" i="191"/>
  <c r="TD1344" i="191"/>
  <c r="PX1344" i="191"/>
  <c r="MR1344" i="191"/>
  <c r="JL1344" i="191"/>
  <c r="HA1344" i="191"/>
  <c r="DU1344" i="191"/>
  <c r="AO1344" i="191"/>
  <c r="VO1344" i="191"/>
  <c r="SI1344" i="191"/>
  <c r="PC1344" i="191"/>
  <c r="LW1344" i="191"/>
  <c r="IQ1344" i="191"/>
  <c r="GF1344" i="191"/>
  <c r="CZ1344" i="191"/>
  <c r="T1344" i="191"/>
  <c r="WI1333" i="191"/>
  <c r="TC1333" i="191"/>
  <c r="PW1333" i="191"/>
  <c r="MQ1333" i="191"/>
  <c r="JK1333" i="191"/>
  <c r="GE1333" i="191"/>
  <c r="CY1333" i="191"/>
  <c r="S1333" i="191"/>
  <c r="XD1333" i="191"/>
  <c r="TX1333" i="191"/>
  <c r="QR1333" i="191"/>
  <c r="NL1333" i="191"/>
  <c r="KF1333" i="191"/>
  <c r="GZ1333" i="191"/>
  <c r="DT1333" i="191"/>
  <c r="AN1333" i="191"/>
  <c r="XY1333" i="191"/>
  <c r="US1333" i="191"/>
  <c r="RM1333" i="191"/>
  <c r="OG1333" i="191"/>
  <c r="LA1333" i="191"/>
  <c r="HU1333" i="191"/>
  <c r="EO1333" i="191"/>
  <c r="BI1333" i="191"/>
  <c r="YT1333" i="191"/>
  <c r="VN1333" i="191"/>
  <c r="SH1333" i="191"/>
  <c r="PB1333" i="191"/>
  <c r="LV1333" i="191"/>
  <c r="IP1333" i="191"/>
  <c r="FJ1333" i="191"/>
  <c r="CD1333" i="191"/>
  <c r="VN1343" i="191"/>
  <c r="SH1343" i="191"/>
  <c r="PB1343" i="191"/>
  <c r="LV1343" i="191"/>
  <c r="IP1343" i="191"/>
  <c r="FJ1343" i="191"/>
  <c r="CD1343" i="191"/>
  <c r="YT1343" i="191"/>
  <c r="WI1343" i="191"/>
  <c r="TC1343" i="191"/>
  <c r="PW1343" i="191"/>
  <c r="MQ1343" i="191"/>
  <c r="JK1343" i="191"/>
  <c r="GE1343" i="191"/>
  <c r="CY1343" i="191"/>
  <c r="S1343" i="191"/>
  <c r="XD1343" i="191"/>
  <c r="TX1343" i="191"/>
  <c r="QR1343" i="191"/>
  <c r="NL1343" i="191"/>
  <c r="KF1343" i="191"/>
  <c r="GZ1343" i="191"/>
  <c r="DT1343" i="191"/>
  <c r="AN1343" i="191"/>
  <c r="XY1343" i="191"/>
  <c r="US1343" i="191"/>
  <c r="RM1343" i="191"/>
  <c r="OG1343" i="191"/>
  <c r="LA1343" i="191"/>
  <c r="HU1343" i="191"/>
  <c r="EO1343" i="191"/>
  <c r="BI1343" i="191"/>
  <c r="WH1340" i="191"/>
  <c r="XX1340" i="191"/>
  <c r="KZ1340" i="191"/>
  <c r="SG1340" i="191"/>
  <c r="RL1340" i="191"/>
  <c r="IO1340" i="191"/>
  <c r="VM1340" i="191"/>
  <c r="HT1340" i="191"/>
  <c r="UR1340" i="191"/>
  <c r="DS1340" i="191"/>
  <c r="KE1340" i="191"/>
  <c r="QQ1340" i="191"/>
  <c r="XC1340" i="191"/>
  <c r="CX1340" i="191"/>
  <c r="JJ1340" i="191"/>
  <c r="PV1340" i="191"/>
  <c r="YS1340" i="191"/>
  <c r="LU1340" i="191"/>
  <c r="FI1340" i="191"/>
  <c r="EN1340" i="191"/>
  <c r="CC1340" i="191"/>
  <c r="PA1340" i="191"/>
  <c r="BH1340" i="191"/>
  <c r="OF1340" i="191"/>
  <c r="AM1340" i="191"/>
  <c r="GY1340" i="191"/>
  <c r="NK1340" i="191"/>
  <c r="TW1340" i="191"/>
  <c r="R1340" i="191"/>
  <c r="GD1340" i="191"/>
  <c r="MP1340" i="191"/>
  <c r="TB1340" i="191"/>
  <c r="VM1325" i="191"/>
  <c r="PA1325" i="191"/>
  <c r="IO1325" i="191"/>
  <c r="CC1325" i="191"/>
  <c r="UR1325" i="191"/>
  <c r="OF1325" i="191"/>
  <c r="HT1325" i="191"/>
  <c r="BH1325" i="191"/>
  <c r="TW1325" i="191"/>
  <c r="NK1325" i="191"/>
  <c r="GY1325" i="191"/>
  <c r="AM1325" i="191"/>
  <c r="TB1325" i="191"/>
  <c r="MP1325" i="191"/>
  <c r="GD1325" i="191"/>
  <c r="R1325" i="191"/>
  <c r="YS1325" i="191"/>
  <c r="SG1325" i="191"/>
  <c r="LU1325" i="191"/>
  <c r="FI1325" i="191"/>
  <c r="XX1325" i="191"/>
  <c r="RL1325" i="191"/>
  <c r="KZ1325" i="191"/>
  <c r="EN1325" i="191"/>
  <c r="XC1325" i="191"/>
  <c r="QQ1325" i="191"/>
  <c r="KE1325" i="191"/>
  <c r="DS1325" i="191"/>
  <c r="WH1325" i="191"/>
  <c r="PV1325" i="191"/>
  <c r="JJ1325" i="191"/>
  <c r="CX1325" i="191"/>
  <c r="WH1331" i="191"/>
  <c r="AM1331" i="191"/>
  <c r="GY1331" i="191"/>
  <c r="NK1331" i="191"/>
  <c r="TW1331" i="191"/>
  <c r="BH1331" i="191"/>
  <c r="HT1331" i="191"/>
  <c r="OF1331" i="191"/>
  <c r="UR1331" i="191"/>
  <c r="YS1331" i="191"/>
  <c r="FI1331" i="191"/>
  <c r="LU1331" i="191"/>
  <c r="SG1331" i="191"/>
  <c r="R1331" i="191"/>
  <c r="GD1331" i="191"/>
  <c r="MP1331" i="191"/>
  <c r="TB1331" i="191"/>
  <c r="DS1331" i="191"/>
  <c r="KE1331" i="191"/>
  <c r="QQ1331" i="191"/>
  <c r="XC1331" i="191"/>
  <c r="EN1331" i="191"/>
  <c r="KZ1331" i="191"/>
  <c r="RL1331" i="191"/>
  <c r="XX1331" i="191"/>
  <c r="CC1331" i="191"/>
  <c r="IO1331" i="191"/>
  <c r="PA1331" i="191"/>
  <c r="VM1331" i="191"/>
  <c r="CX1331" i="191"/>
  <c r="JJ1331" i="191"/>
  <c r="PV1331" i="191"/>
  <c r="XZ1345" i="191"/>
  <c r="T1345" i="191"/>
  <c r="YU1345" i="191"/>
  <c r="MR1345" i="191"/>
  <c r="SI1345" i="191"/>
  <c r="TD1345" i="191"/>
  <c r="CE1345" i="191"/>
  <c r="PC1345" i="191"/>
  <c r="CZ1345" i="191"/>
  <c r="PX1345" i="191"/>
  <c r="AO1345" i="191"/>
  <c r="HA1345" i="191"/>
  <c r="NM1345" i="191"/>
  <c r="TY1345" i="191"/>
  <c r="BJ1345" i="191"/>
  <c r="HV1345" i="191"/>
  <c r="OH1345" i="191"/>
  <c r="UT1345" i="191"/>
  <c r="LW1345" i="191"/>
  <c r="FK1345" i="191"/>
  <c r="GF1345" i="191"/>
  <c r="IQ1345" i="191"/>
  <c r="VO1345" i="191"/>
  <c r="JL1345" i="191"/>
  <c r="WJ1345" i="191"/>
  <c r="DU1345" i="191"/>
  <c r="KG1345" i="191"/>
  <c r="QS1345" i="191"/>
  <c r="XE1345" i="191"/>
  <c r="EP1345" i="191"/>
  <c r="LB1345" i="191"/>
  <c r="RN1345" i="191"/>
  <c r="YU1322" i="191"/>
  <c r="VO1322" i="191"/>
  <c r="SI1322" i="191"/>
  <c r="PC1322" i="191"/>
  <c r="LW1322" i="191"/>
  <c r="IQ1322" i="191"/>
  <c r="FK1322" i="191"/>
  <c r="CE1322" i="191"/>
  <c r="XZ1322" i="191"/>
  <c r="UT1322" i="191"/>
  <c r="RN1322" i="191"/>
  <c r="OH1322" i="191"/>
  <c r="LB1322" i="191"/>
  <c r="HV1322" i="191"/>
  <c r="EP1322" i="191"/>
  <c r="BJ1322" i="191"/>
  <c r="XE1322" i="191"/>
  <c r="TY1322" i="191"/>
  <c r="QS1322" i="191"/>
  <c r="NM1322" i="191"/>
  <c r="KG1322" i="191"/>
  <c r="HA1322" i="191"/>
  <c r="DU1322" i="191"/>
  <c r="AO1322" i="191"/>
  <c r="WJ1322" i="191"/>
  <c r="TD1322" i="191"/>
  <c r="PX1322" i="191"/>
  <c r="MR1322" i="191"/>
  <c r="JL1322" i="191"/>
  <c r="GF1322" i="191"/>
  <c r="CZ1322" i="191"/>
  <c r="T1322" i="191"/>
  <c r="F1252" i="191"/>
  <c r="I1332" i="191"/>
  <c r="J1346" i="191"/>
  <c r="G1265" i="191"/>
  <c r="I1341" i="191"/>
  <c r="F1260" i="191"/>
  <c r="H1250" i="191"/>
  <c r="K1330" i="191"/>
  <c r="XC1334" i="191"/>
  <c r="QQ1334" i="191"/>
  <c r="KE1334" i="191"/>
  <c r="DS1334" i="191"/>
  <c r="XX1334" i="191"/>
  <c r="RL1334" i="191"/>
  <c r="KZ1334" i="191"/>
  <c r="EN1334" i="191"/>
  <c r="VM1334" i="191"/>
  <c r="PA1334" i="191"/>
  <c r="IO1334" i="191"/>
  <c r="CC1334" i="191"/>
  <c r="WH1334" i="191"/>
  <c r="PV1334" i="191"/>
  <c r="JJ1334" i="191"/>
  <c r="CX1334" i="191"/>
  <c r="TW1334" i="191"/>
  <c r="NK1334" i="191"/>
  <c r="GY1334" i="191"/>
  <c r="AM1334" i="191"/>
  <c r="UR1334" i="191"/>
  <c r="OF1334" i="191"/>
  <c r="HT1334" i="191"/>
  <c r="BH1334" i="191"/>
  <c r="SG1334" i="191"/>
  <c r="LU1334" i="191"/>
  <c r="FI1334" i="191"/>
  <c r="YS1334" i="191"/>
  <c r="TB1334" i="191"/>
  <c r="MP1334" i="191"/>
  <c r="GD1334" i="191"/>
  <c r="R1334" i="191"/>
  <c r="I1323" i="191"/>
  <c r="F1244" i="191"/>
  <c r="YS1343" i="191"/>
  <c r="R1343" i="191"/>
  <c r="GD1343" i="191"/>
  <c r="MP1343" i="191"/>
  <c r="TB1343" i="191"/>
  <c r="AM1343" i="191"/>
  <c r="GY1343" i="191"/>
  <c r="NK1343" i="191"/>
  <c r="TW1343" i="191"/>
  <c r="EN1343" i="191"/>
  <c r="KZ1343" i="191"/>
  <c r="RL1343" i="191"/>
  <c r="XX1343" i="191"/>
  <c r="FI1343" i="191"/>
  <c r="LU1343" i="191"/>
  <c r="SG1343" i="191"/>
  <c r="CX1343" i="191"/>
  <c r="JJ1343" i="191"/>
  <c r="PV1343" i="191"/>
  <c r="WH1343" i="191"/>
  <c r="DS1343" i="191"/>
  <c r="KE1343" i="191"/>
  <c r="QQ1343" i="191"/>
  <c r="XC1343" i="191"/>
  <c r="BH1343" i="191"/>
  <c r="HT1343" i="191"/>
  <c r="OF1343" i="191"/>
  <c r="UR1343" i="191"/>
  <c r="CC1343" i="191"/>
  <c r="IO1343" i="191"/>
  <c r="PA1343" i="191"/>
  <c r="VM1343" i="191"/>
  <c r="F1247" i="191"/>
  <c r="I1326" i="191"/>
  <c r="XC1322" i="191"/>
  <c r="QQ1322" i="191"/>
  <c r="KE1322" i="191"/>
  <c r="DS1322" i="191"/>
  <c r="WH1322" i="191"/>
  <c r="PV1322" i="191"/>
  <c r="JJ1322" i="191"/>
  <c r="CX1322" i="191"/>
  <c r="YS1322" i="191"/>
  <c r="SG1322" i="191"/>
  <c r="LU1322" i="191"/>
  <c r="FI1322" i="191"/>
  <c r="XX1322" i="191"/>
  <c r="RL1322" i="191"/>
  <c r="KZ1322" i="191"/>
  <c r="EN1322" i="191"/>
  <c r="TW1322" i="191"/>
  <c r="NK1322" i="191"/>
  <c r="GY1322" i="191"/>
  <c r="AM1322" i="191"/>
  <c r="TB1322" i="191"/>
  <c r="MP1322" i="191"/>
  <c r="GD1322" i="191"/>
  <c r="R1322" i="191"/>
  <c r="VM1322" i="191"/>
  <c r="PA1322" i="191"/>
  <c r="IO1322" i="191"/>
  <c r="CC1322" i="191"/>
  <c r="UR1322" i="191"/>
  <c r="OF1322" i="191"/>
  <c r="HT1322" i="191"/>
  <c r="BH1322" i="191"/>
  <c r="YU1324" i="191"/>
  <c r="VO1324" i="191"/>
  <c r="SI1324" i="191"/>
  <c r="PC1324" i="191"/>
  <c r="LW1324" i="191"/>
  <c r="IQ1324" i="191"/>
  <c r="FK1324" i="191"/>
  <c r="CE1324" i="191"/>
  <c r="XZ1324" i="191"/>
  <c r="UT1324" i="191"/>
  <c r="RN1324" i="191"/>
  <c r="OH1324" i="191"/>
  <c r="LB1324" i="191"/>
  <c r="HV1324" i="191"/>
  <c r="EP1324" i="191"/>
  <c r="BJ1324" i="191"/>
  <c r="XE1324" i="191"/>
  <c r="TY1324" i="191"/>
  <c r="QS1324" i="191"/>
  <c r="NM1324" i="191"/>
  <c r="KG1324" i="191"/>
  <c r="HA1324" i="191"/>
  <c r="DU1324" i="191"/>
  <c r="AO1324" i="191"/>
  <c r="WJ1324" i="191"/>
  <c r="TD1324" i="191"/>
  <c r="PX1324" i="191"/>
  <c r="MR1324" i="191"/>
  <c r="JL1324" i="191"/>
  <c r="GF1324" i="191"/>
  <c r="CZ1324" i="191"/>
  <c r="T1324" i="191"/>
  <c r="I1330" i="191"/>
  <c r="F1250" i="191"/>
  <c r="XX1342" i="191"/>
  <c r="UR1342" i="191"/>
  <c r="RL1342" i="191"/>
  <c r="OF1342" i="191"/>
  <c r="KZ1342" i="191"/>
  <c r="HT1342" i="191"/>
  <c r="EN1342" i="191"/>
  <c r="BH1342" i="191"/>
  <c r="YS1342" i="191"/>
  <c r="VM1342" i="191"/>
  <c r="SG1342" i="191"/>
  <c r="PA1342" i="191"/>
  <c r="LU1342" i="191"/>
  <c r="IO1342" i="191"/>
  <c r="FI1342" i="191"/>
  <c r="CC1342" i="191"/>
  <c r="WH1342" i="191"/>
  <c r="TB1342" i="191"/>
  <c r="PV1342" i="191"/>
  <c r="MP1342" i="191"/>
  <c r="JJ1342" i="191"/>
  <c r="GD1342" i="191"/>
  <c r="CX1342" i="191"/>
  <c r="R1342" i="191"/>
  <c r="XC1342" i="191"/>
  <c r="TW1342" i="191"/>
  <c r="QQ1342" i="191"/>
  <c r="NK1342" i="191"/>
  <c r="KE1342" i="191"/>
  <c r="GY1342" i="191"/>
  <c r="DS1342" i="191"/>
  <c r="AM1342" i="191"/>
  <c r="G30" i="135"/>
  <c r="D40" i="135" s="1"/>
  <c r="F325" i="191" s="1"/>
  <c r="E30" i="135"/>
  <c r="D43" i="135" s="1"/>
  <c r="F328" i="191" s="1"/>
  <c r="C30" i="135"/>
  <c r="D39" i="135" s="1"/>
  <c r="F324" i="191" s="1"/>
  <c r="F1219" i="191"/>
  <c r="I1283" i="191"/>
  <c r="I1291" i="191"/>
  <c r="I1281" i="191"/>
  <c r="B30" i="135"/>
  <c r="D38" i="135" s="1"/>
  <c r="F323" i="191" s="1"/>
  <c r="F30" i="135"/>
  <c r="D41" i="135" s="1"/>
  <c r="F326" i="191" s="1"/>
  <c r="D30" i="135"/>
  <c r="D42" i="135" s="1"/>
  <c r="F327" i="191" s="1"/>
  <c r="H194" i="191"/>
  <c r="H68" i="191" s="1"/>
  <c r="H188" i="191"/>
  <c r="H62" i="191" s="1"/>
  <c r="Q41" i="135"/>
  <c r="H263" i="191" s="1"/>
  <c r="H200" i="191" s="1"/>
  <c r="H74" i="191" s="1"/>
  <c r="T31" i="135"/>
  <c r="Q39" i="135"/>
  <c r="H261" i="191" s="1"/>
  <c r="H198" i="191" s="1"/>
  <c r="H72" i="191" s="1"/>
  <c r="Q42" i="135"/>
  <c r="H264" i="191" s="1"/>
  <c r="H201" i="191" s="1"/>
  <c r="H75" i="191" s="1"/>
  <c r="R31" i="135"/>
  <c r="Q38" i="135"/>
  <c r="H260" i="191" s="1"/>
  <c r="H197" i="191" s="1"/>
  <c r="H71" i="191" s="1"/>
  <c r="P31" i="135"/>
  <c r="J41" i="135"/>
  <c r="G263" i="191" s="1"/>
  <c r="G200" i="191" s="1"/>
  <c r="G74" i="191" s="1"/>
  <c r="M31" i="135"/>
  <c r="J42" i="135"/>
  <c r="G264" i="191" s="1"/>
  <c r="G201" i="191" s="1"/>
  <c r="G75" i="191" s="1"/>
  <c r="J39" i="135"/>
  <c r="G261" i="191" s="1"/>
  <c r="G198" i="191" s="1"/>
  <c r="G72" i="191" s="1"/>
  <c r="K31" i="135"/>
  <c r="J38" i="135"/>
  <c r="G260" i="191" s="1"/>
  <c r="G197" i="191" s="1"/>
  <c r="G71" i="191" s="1"/>
  <c r="I31" i="135"/>
  <c r="C40" i="135"/>
  <c r="F262" i="191" s="1"/>
  <c r="G31" i="135"/>
  <c r="C43" i="135"/>
  <c r="F265" i="191" s="1"/>
  <c r="E31" i="135"/>
  <c r="H192" i="191"/>
  <c r="H66" i="191" s="1"/>
  <c r="H185" i="191"/>
  <c r="H59" i="191" s="1"/>
  <c r="H179" i="191"/>
  <c r="H53" i="191" s="1"/>
  <c r="G173" i="191"/>
  <c r="G47" i="191" s="1"/>
  <c r="G172" i="191"/>
  <c r="G46" i="191" s="1"/>
  <c r="F194" i="191"/>
  <c r="F68" i="191" s="1"/>
  <c r="F181" i="191"/>
  <c r="F55" i="191" s="1"/>
  <c r="F188" i="191"/>
  <c r="F62" i="191" s="1"/>
  <c r="F170" i="191"/>
  <c r="F44" i="191" s="1"/>
  <c r="G183" i="191"/>
  <c r="G57" i="191" s="1"/>
  <c r="G181" i="191"/>
  <c r="G55" i="191" s="1"/>
  <c r="G170" i="191"/>
  <c r="G44" i="191" s="1"/>
  <c r="H183" i="191"/>
  <c r="H57" i="191" s="1"/>
  <c r="H181" i="191"/>
  <c r="H55" i="191" s="1"/>
  <c r="H170" i="191"/>
  <c r="H44" i="191" s="1"/>
  <c r="Q40" i="135"/>
  <c r="H262" i="191" s="1"/>
  <c r="H199" i="191" s="1"/>
  <c r="H73" i="191" s="1"/>
  <c r="U31" i="135"/>
  <c r="Q43" i="135"/>
  <c r="H265" i="191" s="1"/>
  <c r="H202" i="191" s="1"/>
  <c r="H76" i="191" s="1"/>
  <c r="S31" i="135"/>
  <c r="J40" i="135"/>
  <c r="G262" i="191" s="1"/>
  <c r="G199" i="191" s="1"/>
  <c r="G73" i="191" s="1"/>
  <c r="N31" i="135"/>
  <c r="J43" i="135"/>
  <c r="G265" i="191" s="1"/>
  <c r="G202" i="191" s="1"/>
  <c r="G76" i="191" s="1"/>
  <c r="L31" i="135"/>
  <c r="C38" i="135"/>
  <c r="F260" i="191" s="1"/>
  <c r="B31" i="135"/>
  <c r="C41" i="135"/>
  <c r="F263" i="191" s="1"/>
  <c r="C42" i="135"/>
  <c r="F264" i="191" s="1"/>
  <c r="C39" i="135"/>
  <c r="F261" i="191" s="1"/>
  <c r="H173" i="191"/>
  <c r="H47" i="191" s="1"/>
  <c r="H172" i="191"/>
  <c r="H46" i="191" s="1"/>
  <c r="G192" i="191"/>
  <c r="G66" i="191" s="1"/>
  <c r="G185" i="191"/>
  <c r="G59" i="191" s="1"/>
  <c r="G179" i="191"/>
  <c r="G53" i="191" s="1"/>
  <c r="F173" i="191"/>
  <c r="F47" i="191" s="1"/>
  <c r="F185" i="191"/>
  <c r="F59" i="191" s="1"/>
  <c r="F179" i="191"/>
  <c r="F53" i="191" s="1"/>
  <c r="G194" i="191"/>
  <c r="G68" i="191" s="1"/>
  <c r="G188" i="191"/>
  <c r="G62" i="191" s="1"/>
  <c r="C31" i="135"/>
  <c r="Q31" i="135"/>
  <c r="J31" i="135"/>
  <c r="F1215" i="191" l="1"/>
  <c r="F1223" i="191"/>
  <c r="F1218" i="191"/>
  <c r="F1213" i="191"/>
  <c r="F1221" i="191"/>
  <c r="F1217" i="191"/>
  <c r="F197" i="191"/>
  <c r="F71" i="191" s="1"/>
  <c r="F1361" i="191" s="1"/>
  <c r="F172" i="191"/>
  <c r="F46" i="191" s="1"/>
  <c r="F1242" i="191" s="1"/>
  <c r="F198" i="191"/>
  <c r="F72" i="191" s="1"/>
  <c r="F1362" i="191" s="1"/>
  <c r="F183" i="191"/>
  <c r="F57" i="191" s="1"/>
  <c r="F1253" i="191" s="1"/>
  <c r="F201" i="191"/>
  <c r="F75" i="191" s="1"/>
  <c r="F1271" i="191" s="1"/>
  <c r="F192" i="191"/>
  <c r="F66" i="191" s="1"/>
  <c r="F1262" i="191" s="1"/>
  <c r="F200" i="191"/>
  <c r="F74" i="191" s="1"/>
  <c r="F202" i="191"/>
  <c r="F76" i="191" s="1"/>
  <c r="F1367" i="191" s="1"/>
  <c r="I1293" i="191"/>
  <c r="TW1293" i="191" s="1"/>
  <c r="I1289" i="191"/>
  <c r="YS1289" i="191" s="1"/>
  <c r="I1285" i="191"/>
  <c r="TW1285" i="191" s="1"/>
  <c r="WH1330" i="191"/>
  <c r="TB1330" i="191"/>
  <c r="PV1330" i="191"/>
  <c r="MP1330" i="191"/>
  <c r="JJ1330" i="191"/>
  <c r="GD1330" i="191"/>
  <c r="CX1330" i="191"/>
  <c r="R1330" i="191"/>
  <c r="VM1330" i="191"/>
  <c r="SG1330" i="191"/>
  <c r="PA1330" i="191"/>
  <c r="LU1330" i="191"/>
  <c r="IO1330" i="191"/>
  <c r="FI1330" i="191"/>
  <c r="CC1330" i="191"/>
  <c r="YS1330" i="191"/>
  <c r="XX1330" i="191"/>
  <c r="UR1330" i="191"/>
  <c r="RL1330" i="191"/>
  <c r="OF1330" i="191"/>
  <c r="KZ1330" i="191"/>
  <c r="HT1330" i="191"/>
  <c r="EN1330" i="191"/>
  <c r="BH1330" i="191"/>
  <c r="XC1330" i="191"/>
  <c r="TW1330" i="191"/>
  <c r="QQ1330" i="191"/>
  <c r="NK1330" i="191"/>
  <c r="KE1330" i="191"/>
  <c r="GY1330" i="191"/>
  <c r="DS1330" i="191"/>
  <c r="AM1330" i="191"/>
  <c r="XZ1330" i="191"/>
  <c r="UT1330" i="191"/>
  <c r="RN1330" i="191"/>
  <c r="OH1330" i="191"/>
  <c r="LB1330" i="191"/>
  <c r="HV1330" i="191"/>
  <c r="EP1330" i="191"/>
  <c r="BJ1330" i="191"/>
  <c r="XE1330" i="191"/>
  <c r="TY1330" i="191"/>
  <c r="QS1330" i="191"/>
  <c r="NM1330" i="191"/>
  <c r="KG1330" i="191"/>
  <c r="HA1330" i="191"/>
  <c r="DU1330" i="191"/>
  <c r="AO1330" i="191"/>
  <c r="WJ1330" i="191"/>
  <c r="TD1330" i="191"/>
  <c r="PX1330" i="191"/>
  <c r="MR1330" i="191"/>
  <c r="JL1330" i="191"/>
  <c r="GF1330" i="191"/>
  <c r="CZ1330" i="191"/>
  <c r="T1330" i="191"/>
  <c r="VO1330" i="191"/>
  <c r="SI1330" i="191"/>
  <c r="PC1330" i="191"/>
  <c r="LW1330" i="191"/>
  <c r="IQ1330" i="191"/>
  <c r="FK1330" i="191"/>
  <c r="CE1330" i="191"/>
  <c r="YU1330" i="191"/>
  <c r="XX1332" i="191"/>
  <c r="WH1332" i="191"/>
  <c r="QQ1332" i="191"/>
  <c r="JJ1332" i="191"/>
  <c r="KE1332" i="191"/>
  <c r="PV1332" i="191"/>
  <c r="AM1332" i="191"/>
  <c r="NK1332" i="191"/>
  <c r="GD1332" i="191"/>
  <c r="TB1332" i="191"/>
  <c r="YS1332" i="191"/>
  <c r="FI1332" i="191"/>
  <c r="LU1332" i="191"/>
  <c r="SG1332" i="191"/>
  <c r="EN1332" i="191"/>
  <c r="KZ1332" i="191"/>
  <c r="RL1332" i="191"/>
  <c r="DS1332" i="191"/>
  <c r="CX1332" i="191"/>
  <c r="XC1332" i="191"/>
  <c r="R1332" i="191"/>
  <c r="GY1332" i="191"/>
  <c r="TW1332" i="191"/>
  <c r="MP1332" i="191"/>
  <c r="BH1332" i="191"/>
  <c r="CC1332" i="191"/>
  <c r="IO1332" i="191"/>
  <c r="PA1332" i="191"/>
  <c r="VM1332" i="191"/>
  <c r="HT1332" i="191"/>
  <c r="OF1332" i="191"/>
  <c r="UR1332" i="191"/>
  <c r="VM1326" i="191"/>
  <c r="AM1326" i="191"/>
  <c r="NK1326" i="191"/>
  <c r="HT1326" i="191"/>
  <c r="GY1326" i="191"/>
  <c r="KZ1326" i="191"/>
  <c r="XX1326" i="191"/>
  <c r="KE1326" i="191"/>
  <c r="XC1326" i="191"/>
  <c r="R1326" i="191"/>
  <c r="GD1326" i="191"/>
  <c r="MP1326" i="191"/>
  <c r="TB1326" i="191"/>
  <c r="YS1326" i="191"/>
  <c r="FI1326" i="191"/>
  <c r="LU1326" i="191"/>
  <c r="SG1326" i="191"/>
  <c r="BH1326" i="191"/>
  <c r="OF1326" i="191"/>
  <c r="UR1326" i="191"/>
  <c r="TW1326" i="191"/>
  <c r="EN1326" i="191"/>
  <c r="RL1326" i="191"/>
  <c r="DS1326" i="191"/>
  <c r="QQ1326" i="191"/>
  <c r="CX1326" i="191"/>
  <c r="JJ1326" i="191"/>
  <c r="PV1326" i="191"/>
  <c r="WH1326" i="191"/>
  <c r="CC1326" i="191"/>
  <c r="IO1326" i="191"/>
  <c r="PA1326" i="191"/>
  <c r="VM1323" i="191"/>
  <c r="PA1323" i="191"/>
  <c r="IO1323" i="191"/>
  <c r="CC1323" i="191"/>
  <c r="UR1323" i="191"/>
  <c r="OF1323" i="191"/>
  <c r="HT1323" i="191"/>
  <c r="BH1323" i="191"/>
  <c r="TW1323" i="191"/>
  <c r="NK1323" i="191"/>
  <c r="GY1323" i="191"/>
  <c r="AM1323" i="191"/>
  <c r="TB1323" i="191"/>
  <c r="MP1323" i="191"/>
  <c r="GD1323" i="191"/>
  <c r="R1323" i="191"/>
  <c r="YS1323" i="191"/>
  <c r="SG1323" i="191"/>
  <c r="LU1323" i="191"/>
  <c r="FI1323" i="191"/>
  <c r="XX1323" i="191"/>
  <c r="RL1323" i="191"/>
  <c r="KZ1323" i="191"/>
  <c r="EN1323" i="191"/>
  <c r="XC1323" i="191"/>
  <c r="QQ1323" i="191"/>
  <c r="KE1323" i="191"/>
  <c r="DS1323" i="191"/>
  <c r="WH1323" i="191"/>
  <c r="PV1323" i="191"/>
  <c r="JJ1323" i="191"/>
  <c r="CX1323" i="191"/>
  <c r="YS1341" i="191"/>
  <c r="VM1341" i="191"/>
  <c r="SG1341" i="191"/>
  <c r="PA1341" i="191"/>
  <c r="LU1341" i="191"/>
  <c r="IO1341" i="191"/>
  <c r="FI1341" i="191"/>
  <c r="CC1341" i="191"/>
  <c r="XX1341" i="191"/>
  <c r="UR1341" i="191"/>
  <c r="RL1341" i="191"/>
  <c r="OF1341" i="191"/>
  <c r="KZ1341" i="191"/>
  <c r="HT1341" i="191"/>
  <c r="EN1341" i="191"/>
  <c r="BH1341" i="191"/>
  <c r="XC1341" i="191"/>
  <c r="TW1341" i="191"/>
  <c r="QQ1341" i="191"/>
  <c r="NK1341" i="191"/>
  <c r="KE1341" i="191"/>
  <c r="GY1341" i="191"/>
  <c r="DS1341" i="191"/>
  <c r="AM1341" i="191"/>
  <c r="WH1341" i="191"/>
  <c r="TB1341" i="191"/>
  <c r="PV1341" i="191"/>
  <c r="MP1341" i="191"/>
  <c r="JJ1341" i="191"/>
  <c r="GD1341" i="191"/>
  <c r="CX1341" i="191"/>
  <c r="R1341" i="191"/>
  <c r="XD1346" i="191"/>
  <c r="TX1346" i="191"/>
  <c r="QR1346" i="191"/>
  <c r="NL1346" i="191"/>
  <c r="KF1346" i="191"/>
  <c r="GZ1346" i="191"/>
  <c r="DT1346" i="191"/>
  <c r="AN1346" i="191"/>
  <c r="WI1346" i="191"/>
  <c r="TC1346" i="191"/>
  <c r="PW1346" i="191"/>
  <c r="MQ1346" i="191"/>
  <c r="JK1346" i="191"/>
  <c r="GE1346" i="191"/>
  <c r="CY1346" i="191"/>
  <c r="S1346" i="191"/>
  <c r="YT1346" i="191"/>
  <c r="VN1346" i="191"/>
  <c r="SH1346" i="191"/>
  <c r="PB1346" i="191"/>
  <c r="LV1346" i="191"/>
  <c r="IP1346" i="191"/>
  <c r="FJ1346" i="191"/>
  <c r="CD1346" i="191"/>
  <c r="XY1346" i="191"/>
  <c r="US1346" i="191"/>
  <c r="RM1346" i="191"/>
  <c r="OG1346" i="191"/>
  <c r="LA1346" i="191"/>
  <c r="HU1346" i="191"/>
  <c r="EO1346" i="191"/>
  <c r="BI1346" i="191"/>
  <c r="YT1330" i="191"/>
  <c r="AN1330" i="191"/>
  <c r="NL1330" i="191"/>
  <c r="GE1330" i="191"/>
  <c r="GZ1330" i="191"/>
  <c r="JK1330" i="191"/>
  <c r="WI1330" i="191"/>
  <c r="KF1330" i="191"/>
  <c r="XD1330" i="191"/>
  <c r="BI1330" i="191"/>
  <c r="HU1330" i="191"/>
  <c r="OG1330" i="191"/>
  <c r="US1330" i="191"/>
  <c r="CD1330" i="191"/>
  <c r="IP1330" i="191"/>
  <c r="PB1330" i="191"/>
  <c r="VN1330" i="191"/>
  <c r="S1330" i="191"/>
  <c r="MQ1330" i="191"/>
  <c r="TC1330" i="191"/>
  <c r="TX1330" i="191"/>
  <c r="CY1330" i="191"/>
  <c r="PW1330" i="191"/>
  <c r="DT1330" i="191"/>
  <c r="QR1330" i="191"/>
  <c r="EO1330" i="191"/>
  <c r="LA1330" i="191"/>
  <c r="RM1330" i="191"/>
  <c r="XY1330" i="191"/>
  <c r="FJ1330" i="191"/>
  <c r="LV1330" i="191"/>
  <c r="SH1330" i="191"/>
  <c r="TY1323" i="191"/>
  <c r="NM1323" i="191"/>
  <c r="HA1323" i="191"/>
  <c r="AO1323" i="191"/>
  <c r="TD1323" i="191"/>
  <c r="MR1323" i="191"/>
  <c r="GF1323" i="191"/>
  <c r="T1323" i="191"/>
  <c r="VO1323" i="191"/>
  <c r="PC1323" i="191"/>
  <c r="IQ1323" i="191"/>
  <c r="CE1323" i="191"/>
  <c r="UT1323" i="191"/>
  <c r="OH1323" i="191"/>
  <c r="HV1323" i="191"/>
  <c r="BJ1323" i="191"/>
  <c r="XE1323" i="191"/>
  <c r="QS1323" i="191"/>
  <c r="KG1323" i="191"/>
  <c r="DU1323" i="191"/>
  <c r="WJ1323" i="191"/>
  <c r="PX1323" i="191"/>
  <c r="JL1323" i="191"/>
  <c r="CZ1323" i="191"/>
  <c r="YU1323" i="191"/>
  <c r="SI1323" i="191"/>
  <c r="LW1323" i="191"/>
  <c r="FK1323" i="191"/>
  <c r="XZ1323" i="191"/>
  <c r="RN1323" i="191"/>
  <c r="LB1323" i="191"/>
  <c r="EP1323" i="191"/>
  <c r="XE1341" i="191"/>
  <c r="TY1341" i="191"/>
  <c r="QS1341" i="191"/>
  <c r="NM1341" i="191"/>
  <c r="KG1341" i="191"/>
  <c r="HA1341" i="191"/>
  <c r="DU1341" i="191"/>
  <c r="AO1341" i="191"/>
  <c r="WJ1341" i="191"/>
  <c r="TD1341" i="191"/>
  <c r="PX1341" i="191"/>
  <c r="MR1341" i="191"/>
  <c r="JL1341" i="191"/>
  <c r="GF1341" i="191"/>
  <c r="CZ1341" i="191"/>
  <c r="T1341" i="191"/>
  <c r="YU1341" i="191"/>
  <c r="VO1341" i="191"/>
  <c r="SI1341" i="191"/>
  <c r="PC1341" i="191"/>
  <c r="LW1341" i="191"/>
  <c r="IQ1341" i="191"/>
  <c r="FK1341" i="191"/>
  <c r="CE1341" i="191"/>
  <c r="XZ1341" i="191"/>
  <c r="UT1341" i="191"/>
  <c r="RN1341" i="191"/>
  <c r="OH1341" i="191"/>
  <c r="LB1341" i="191"/>
  <c r="HV1341" i="191"/>
  <c r="EP1341" i="191"/>
  <c r="BJ1341" i="191"/>
  <c r="XC1346" i="191"/>
  <c r="TW1346" i="191"/>
  <c r="QQ1346" i="191"/>
  <c r="NK1346" i="191"/>
  <c r="KE1346" i="191"/>
  <c r="GY1346" i="191"/>
  <c r="DS1346" i="191"/>
  <c r="AM1346" i="191"/>
  <c r="AM1338" i="191" s="1"/>
  <c r="XX1346" i="191"/>
  <c r="UR1346" i="191"/>
  <c r="RL1346" i="191"/>
  <c r="OF1346" i="191"/>
  <c r="KZ1346" i="191"/>
  <c r="HT1346" i="191"/>
  <c r="EN1346" i="191"/>
  <c r="BH1346" i="191"/>
  <c r="BH1338" i="191" s="1"/>
  <c r="VM1346" i="191"/>
  <c r="SG1346" i="191"/>
  <c r="PA1346" i="191"/>
  <c r="LU1346" i="191"/>
  <c r="IO1346" i="191"/>
  <c r="FI1346" i="191"/>
  <c r="CC1346" i="191"/>
  <c r="YS1346" i="191"/>
  <c r="WH1346" i="191"/>
  <c r="TB1346" i="191"/>
  <c r="PV1346" i="191"/>
  <c r="MP1346" i="191"/>
  <c r="JJ1346" i="191"/>
  <c r="GD1346" i="191"/>
  <c r="CX1346" i="191"/>
  <c r="R1346" i="191"/>
  <c r="R1338" i="191" s="1"/>
  <c r="XE1342" i="191"/>
  <c r="FK1342" i="191"/>
  <c r="RN1342" i="191"/>
  <c r="XZ1342" i="191"/>
  <c r="YU1342" i="191"/>
  <c r="HV1342" i="191"/>
  <c r="UT1342" i="191"/>
  <c r="IQ1342" i="191"/>
  <c r="VO1342" i="191"/>
  <c r="T1342" i="191"/>
  <c r="GF1342" i="191"/>
  <c r="MR1342" i="191"/>
  <c r="TD1342" i="191"/>
  <c r="AO1342" i="191"/>
  <c r="HA1342" i="191"/>
  <c r="NM1342" i="191"/>
  <c r="TY1342" i="191"/>
  <c r="EP1342" i="191"/>
  <c r="SI1342" i="191"/>
  <c r="LB1342" i="191"/>
  <c r="LW1342" i="191"/>
  <c r="BJ1342" i="191"/>
  <c r="OH1342" i="191"/>
  <c r="CE1342" i="191"/>
  <c r="PC1342" i="191"/>
  <c r="CZ1342" i="191"/>
  <c r="JL1342" i="191"/>
  <c r="PX1342" i="191"/>
  <c r="WJ1342" i="191"/>
  <c r="DU1342" i="191"/>
  <c r="KG1342" i="191"/>
  <c r="QS1342" i="191"/>
  <c r="R1336" i="191"/>
  <c r="VM1336" i="191"/>
  <c r="SG1336" i="191"/>
  <c r="PA1336" i="191"/>
  <c r="LU1336" i="191"/>
  <c r="IO1336" i="191"/>
  <c r="FI1336" i="191"/>
  <c r="CC1336" i="191"/>
  <c r="YS1336" i="191"/>
  <c r="WH1336" i="191"/>
  <c r="TB1336" i="191"/>
  <c r="PV1336" i="191"/>
  <c r="MP1336" i="191"/>
  <c r="JJ1336" i="191"/>
  <c r="GD1336" i="191"/>
  <c r="CX1336" i="191"/>
  <c r="XC1336" i="191"/>
  <c r="TW1336" i="191"/>
  <c r="QQ1336" i="191"/>
  <c r="NK1336" i="191"/>
  <c r="KE1336" i="191"/>
  <c r="GY1336" i="191"/>
  <c r="DS1336" i="191"/>
  <c r="AM1336" i="191"/>
  <c r="XX1336" i="191"/>
  <c r="UR1336" i="191"/>
  <c r="RL1336" i="191"/>
  <c r="OF1336" i="191"/>
  <c r="KZ1336" i="191"/>
  <c r="HT1336" i="191"/>
  <c r="EN1336" i="191"/>
  <c r="BH1336" i="191"/>
  <c r="XZ1326" i="191"/>
  <c r="UT1326" i="191"/>
  <c r="RN1326" i="191"/>
  <c r="OH1326" i="191"/>
  <c r="LB1326" i="191"/>
  <c r="HV1326" i="191"/>
  <c r="EP1326" i="191"/>
  <c r="BJ1326" i="191"/>
  <c r="XE1326" i="191"/>
  <c r="TY1326" i="191"/>
  <c r="QS1326" i="191"/>
  <c r="NM1326" i="191"/>
  <c r="KG1326" i="191"/>
  <c r="HA1326" i="191"/>
  <c r="DU1326" i="191"/>
  <c r="AO1326" i="191"/>
  <c r="WJ1326" i="191"/>
  <c r="TD1326" i="191"/>
  <c r="PX1326" i="191"/>
  <c r="MR1326" i="191"/>
  <c r="JL1326" i="191"/>
  <c r="GF1326" i="191"/>
  <c r="CZ1326" i="191"/>
  <c r="T1326" i="191"/>
  <c r="VO1326" i="191"/>
  <c r="SI1326" i="191"/>
  <c r="PC1326" i="191"/>
  <c r="LW1326" i="191"/>
  <c r="IQ1326" i="191"/>
  <c r="FK1326" i="191"/>
  <c r="CE1326" i="191"/>
  <c r="YU1326" i="191"/>
  <c r="XZ1346" i="191"/>
  <c r="WJ1346" i="191"/>
  <c r="JL1346" i="191"/>
  <c r="CE1346" i="191"/>
  <c r="CZ1346" i="191"/>
  <c r="FK1346" i="191"/>
  <c r="SI1346" i="191"/>
  <c r="GF1346" i="191"/>
  <c r="TD1346" i="191"/>
  <c r="DU1346" i="191"/>
  <c r="KG1346" i="191"/>
  <c r="QS1346" i="191"/>
  <c r="XE1346" i="191"/>
  <c r="EP1346" i="191"/>
  <c r="LB1346" i="191"/>
  <c r="RN1346" i="191"/>
  <c r="VO1346" i="191"/>
  <c r="IQ1346" i="191"/>
  <c r="PC1346" i="191"/>
  <c r="PX1346" i="191"/>
  <c r="YU1346" i="191"/>
  <c r="LW1346" i="191"/>
  <c r="T1346" i="191"/>
  <c r="MR1346" i="191"/>
  <c r="AO1346" i="191"/>
  <c r="HA1346" i="191"/>
  <c r="NM1346" i="191"/>
  <c r="TY1346" i="191"/>
  <c r="BJ1346" i="191"/>
  <c r="HV1346" i="191"/>
  <c r="OH1346" i="191"/>
  <c r="UT1346" i="191"/>
  <c r="XD1323" i="191"/>
  <c r="S1323" i="191"/>
  <c r="YT1323" i="191"/>
  <c r="LV1323" i="191"/>
  <c r="TC1323" i="191"/>
  <c r="SH1323" i="191"/>
  <c r="JK1323" i="191"/>
  <c r="WI1323" i="191"/>
  <c r="IP1323" i="191"/>
  <c r="VN1323" i="191"/>
  <c r="EO1323" i="191"/>
  <c r="LA1323" i="191"/>
  <c r="RM1323" i="191"/>
  <c r="XY1323" i="191"/>
  <c r="DT1323" i="191"/>
  <c r="KF1323" i="191"/>
  <c r="QR1323" i="191"/>
  <c r="MQ1323" i="191"/>
  <c r="GE1323" i="191"/>
  <c r="FJ1323" i="191"/>
  <c r="CY1323" i="191"/>
  <c r="PW1323" i="191"/>
  <c r="CD1323" i="191"/>
  <c r="PB1323" i="191"/>
  <c r="BI1323" i="191"/>
  <c r="HU1323" i="191"/>
  <c r="OG1323" i="191"/>
  <c r="US1323" i="191"/>
  <c r="AN1323" i="191"/>
  <c r="GZ1323" i="191"/>
  <c r="NL1323" i="191"/>
  <c r="TX1323" i="191"/>
  <c r="EO1325" i="191"/>
  <c r="BI1325" i="191"/>
  <c r="TX1325" i="191"/>
  <c r="AN1325" i="191"/>
  <c r="KF1325" i="191"/>
  <c r="XY1325" i="191"/>
  <c r="OG1325" i="191"/>
  <c r="LA1325" i="191"/>
  <c r="XD1325" i="191"/>
  <c r="PB1325" i="191"/>
  <c r="CD1325" i="191"/>
  <c r="PW1325" i="191"/>
  <c r="CY1325" i="191"/>
  <c r="LV1325" i="191"/>
  <c r="YT1325" i="191"/>
  <c r="MQ1325" i="191"/>
  <c r="S1325" i="191"/>
  <c r="GZ1325" i="191"/>
  <c r="NL1325" i="191"/>
  <c r="US1325" i="191"/>
  <c r="QR1325" i="191"/>
  <c r="DT1325" i="191"/>
  <c r="RM1325" i="191"/>
  <c r="HU1325" i="191"/>
  <c r="VN1325" i="191"/>
  <c r="IP1325" i="191"/>
  <c r="WI1325" i="191"/>
  <c r="JK1325" i="191"/>
  <c r="SH1325" i="191"/>
  <c r="FJ1325" i="191"/>
  <c r="TC1325" i="191"/>
  <c r="GE1325" i="191"/>
  <c r="TC1320" i="191"/>
  <c r="MQ1320" i="191"/>
  <c r="GE1320" i="191"/>
  <c r="S1320" i="191"/>
  <c r="SH1320" i="191"/>
  <c r="LV1320" i="191"/>
  <c r="FJ1320" i="191"/>
  <c r="YT1320" i="191"/>
  <c r="US1320" i="191"/>
  <c r="OG1320" i="191"/>
  <c r="HU1320" i="191"/>
  <c r="BI1320" i="191"/>
  <c r="TX1320" i="191"/>
  <c r="NL1320" i="191"/>
  <c r="GZ1320" i="191"/>
  <c r="AN1320" i="191"/>
  <c r="WI1320" i="191"/>
  <c r="PW1320" i="191"/>
  <c r="JK1320" i="191"/>
  <c r="CY1320" i="191"/>
  <c r="VN1320" i="191"/>
  <c r="PB1320" i="191"/>
  <c r="IP1320" i="191"/>
  <c r="CD1320" i="191"/>
  <c r="XY1320" i="191"/>
  <c r="RM1320" i="191"/>
  <c r="LA1320" i="191"/>
  <c r="EO1320" i="191"/>
  <c r="XD1320" i="191"/>
  <c r="QR1320" i="191"/>
  <c r="KF1320" i="191"/>
  <c r="DT1320" i="191"/>
  <c r="YU1325" i="191"/>
  <c r="XE1325" i="191"/>
  <c r="KG1325" i="191"/>
  <c r="PX1325" i="191"/>
  <c r="QS1325" i="191"/>
  <c r="GF1325" i="191"/>
  <c r="TD1325" i="191"/>
  <c r="HA1325" i="191"/>
  <c r="TY1325" i="191"/>
  <c r="BJ1325" i="191"/>
  <c r="HV1325" i="191"/>
  <c r="OH1325" i="191"/>
  <c r="UT1325" i="191"/>
  <c r="CE1325" i="191"/>
  <c r="IQ1325" i="191"/>
  <c r="PC1325" i="191"/>
  <c r="VO1325" i="191"/>
  <c r="WJ1325" i="191"/>
  <c r="JL1325" i="191"/>
  <c r="CZ1325" i="191"/>
  <c r="DU1325" i="191"/>
  <c r="T1325" i="191"/>
  <c r="MR1325" i="191"/>
  <c r="AO1325" i="191"/>
  <c r="NM1325" i="191"/>
  <c r="EP1325" i="191"/>
  <c r="LB1325" i="191"/>
  <c r="RN1325" i="191"/>
  <c r="XZ1325" i="191"/>
  <c r="FK1325" i="191"/>
  <c r="LW1325" i="191"/>
  <c r="SI1325" i="191"/>
  <c r="TB1320" i="191"/>
  <c r="MP1320" i="191"/>
  <c r="GD1320" i="191"/>
  <c r="GD1318" i="191" s="1"/>
  <c r="R1320" i="191"/>
  <c r="TW1320" i="191"/>
  <c r="TW1318" i="191" s="1"/>
  <c r="NK1320" i="191"/>
  <c r="GY1320" i="191"/>
  <c r="AM1320" i="191"/>
  <c r="UR1320" i="191"/>
  <c r="OF1320" i="191"/>
  <c r="HT1320" i="191"/>
  <c r="BH1320" i="191"/>
  <c r="VM1320" i="191"/>
  <c r="VM1318" i="191" s="1"/>
  <c r="PA1320" i="191"/>
  <c r="IO1320" i="191"/>
  <c r="IO1318" i="191" s="1"/>
  <c r="CC1320" i="191"/>
  <c r="WH1320" i="191"/>
  <c r="WH1318" i="191" s="1"/>
  <c r="PV1320" i="191"/>
  <c r="JJ1320" i="191"/>
  <c r="CX1320" i="191"/>
  <c r="XC1320" i="191"/>
  <c r="XC1318" i="191" s="1"/>
  <c r="QQ1320" i="191"/>
  <c r="KE1320" i="191"/>
  <c r="DS1320" i="191"/>
  <c r="DS1318" i="191" s="1"/>
  <c r="XX1320" i="191"/>
  <c r="RL1320" i="191"/>
  <c r="KZ1320" i="191"/>
  <c r="EN1320" i="191"/>
  <c r="YS1320" i="191"/>
  <c r="SG1320" i="191"/>
  <c r="LU1320" i="191"/>
  <c r="FI1320" i="191"/>
  <c r="XZ1336" i="191"/>
  <c r="UT1336" i="191"/>
  <c r="RN1336" i="191"/>
  <c r="OH1336" i="191"/>
  <c r="LB1336" i="191"/>
  <c r="HV1336" i="191"/>
  <c r="EP1336" i="191"/>
  <c r="BJ1336" i="191"/>
  <c r="XE1336" i="191"/>
  <c r="TY1336" i="191"/>
  <c r="QS1336" i="191"/>
  <c r="NM1336" i="191"/>
  <c r="KG1336" i="191"/>
  <c r="HA1336" i="191"/>
  <c r="DU1336" i="191"/>
  <c r="AO1336" i="191"/>
  <c r="YU1336" i="191"/>
  <c r="WJ1336" i="191"/>
  <c r="TD1336" i="191"/>
  <c r="PX1336" i="191"/>
  <c r="MR1336" i="191"/>
  <c r="JL1336" i="191"/>
  <c r="GF1336" i="191"/>
  <c r="CZ1336" i="191"/>
  <c r="T1336" i="191"/>
  <c r="VO1336" i="191"/>
  <c r="SI1336" i="191"/>
  <c r="PC1336" i="191"/>
  <c r="LW1336" i="191"/>
  <c r="IQ1336" i="191"/>
  <c r="FK1336" i="191"/>
  <c r="CE1336" i="191"/>
  <c r="XD1326" i="191"/>
  <c r="XD1318" i="191" s="1"/>
  <c r="TX1326" i="191"/>
  <c r="QR1326" i="191"/>
  <c r="NL1326" i="191"/>
  <c r="KF1326" i="191"/>
  <c r="GZ1326" i="191"/>
  <c r="DT1326" i="191"/>
  <c r="AN1326" i="191"/>
  <c r="WI1326" i="191"/>
  <c r="TC1326" i="191"/>
  <c r="PW1326" i="191"/>
  <c r="MQ1326" i="191"/>
  <c r="JK1326" i="191"/>
  <c r="GE1326" i="191"/>
  <c r="CY1326" i="191"/>
  <c r="S1326" i="191"/>
  <c r="YT1326" i="191"/>
  <c r="VN1326" i="191"/>
  <c r="SH1326" i="191"/>
  <c r="PB1326" i="191"/>
  <c r="LV1326" i="191"/>
  <c r="IP1326" i="191"/>
  <c r="FJ1326" i="191"/>
  <c r="CD1326" i="191"/>
  <c r="XY1326" i="191"/>
  <c r="US1326" i="191"/>
  <c r="RM1326" i="191"/>
  <c r="OG1326" i="191"/>
  <c r="LA1326" i="191"/>
  <c r="HU1326" i="191"/>
  <c r="EO1326" i="191"/>
  <c r="BI1326" i="191"/>
  <c r="YU1340" i="191"/>
  <c r="VO1340" i="191"/>
  <c r="SI1340" i="191"/>
  <c r="SI1338" i="191" s="1"/>
  <c r="PC1340" i="191"/>
  <c r="LW1340" i="191"/>
  <c r="IQ1340" i="191"/>
  <c r="FK1340" i="191"/>
  <c r="CE1340" i="191"/>
  <c r="CE1338" i="191" s="1"/>
  <c r="XZ1340" i="191"/>
  <c r="UT1340" i="191"/>
  <c r="RN1340" i="191"/>
  <c r="OH1340" i="191"/>
  <c r="LB1340" i="191"/>
  <c r="HV1340" i="191"/>
  <c r="HV1338" i="191" s="1"/>
  <c r="EP1340" i="191"/>
  <c r="BJ1340" i="191"/>
  <c r="XE1340" i="191"/>
  <c r="XE1338" i="191" s="1"/>
  <c r="TY1340" i="191"/>
  <c r="QS1340" i="191"/>
  <c r="NM1340" i="191"/>
  <c r="KG1340" i="191"/>
  <c r="HA1340" i="191"/>
  <c r="DU1340" i="191"/>
  <c r="AO1340" i="191"/>
  <c r="WJ1340" i="191"/>
  <c r="TD1340" i="191"/>
  <c r="PX1340" i="191"/>
  <c r="MR1340" i="191"/>
  <c r="MR1338" i="191" s="1"/>
  <c r="JL1340" i="191"/>
  <c r="GF1340" i="191"/>
  <c r="CZ1340" i="191"/>
  <c r="T1340" i="191"/>
  <c r="XE1320" i="191"/>
  <c r="XZ1320" i="191"/>
  <c r="YU1320" i="191"/>
  <c r="LW1320" i="191"/>
  <c r="RN1320" i="191"/>
  <c r="SI1320" i="191"/>
  <c r="HV1320" i="191"/>
  <c r="UT1320" i="191"/>
  <c r="IQ1320" i="191"/>
  <c r="VO1320" i="191"/>
  <c r="CZ1320" i="191"/>
  <c r="JL1320" i="191"/>
  <c r="PX1320" i="191"/>
  <c r="WJ1320" i="191"/>
  <c r="DU1320" i="191"/>
  <c r="KG1320" i="191"/>
  <c r="QS1320" i="191"/>
  <c r="LB1320" i="191"/>
  <c r="EP1320" i="191"/>
  <c r="FK1320" i="191"/>
  <c r="BJ1320" i="191"/>
  <c r="OH1320" i="191"/>
  <c r="CE1320" i="191"/>
  <c r="PC1320" i="191"/>
  <c r="T1320" i="191"/>
  <c r="GF1320" i="191"/>
  <c r="MR1320" i="191"/>
  <c r="TD1320" i="191"/>
  <c r="AO1320" i="191"/>
  <c r="HA1320" i="191"/>
  <c r="NM1320" i="191"/>
  <c r="TY1320" i="191"/>
  <c r="XD1332" i="191"/>
  <c r="TX1332" i="191"/>
  <c r="QR1332" i="191"/>
  <c r="NL1332" i="191"/>
  <c r="KF1332" i="191"/>
  <c r="GZ1332" i="191"/>
  <c r="DT1332" i="191"/>
  <c r="AN1332" i="191"/>
  <c r="WI1332" i="191"/>
  <c r="TC1332" i="191"/>
  <c r="PW1332" i="191"/>
  <c r="MQ1332" i="191"/>
  <c r="JK1332" i="191"/>
  <c r="GE1332" i="191"/>
  <c r="CY1332" i="191"/>
  <c r="S1332" i="191"/>
  <c r="YT1332" i="191"/>
  <c r="VN1332" i="191"/>
  <c r="SH1332" i="191"/>
  <c r="PB1332" i="191"/>
  <c r="LV1332" i="191"/>
  <c r="IP1332" i="191"/>
  <c r="FJ1332" i="191"/>
  <c r="CD1332" i="191"/>
  <c r="XY1332" i="191"/>
  <c r="US1332" i="191"/>
  <c r="RM1332" i="191"/>
  <c r="OG1332" i="191"/>
  <c r="LA1332" i="191"/>
  <c r="HU1332" i="191"/>
  <c r="EO1332" i="191"/>
  <c r="BI1332" i="191"/>
  <c r="XZ1332" i="191"/>
  <c r="UT1332" i="191"/>
  <c r="UT1328" i="191" s="1"/>
  <c r="RN1332" i="191"/>
  <c r="OH1332" i="191"/>
  <c r="LB1332" i="191"/>
  <c r="LB1328" i="191" s="1"/>
  <c r="HV1332" i="191"/>
  <c r="HV1328" i="191" s="1"/>
  <c r="EP1332" i="191"/>
  <c r="BJ1332" i="191"/>
  <c r="BJ1328" i="191" s="1"/>
  <c r="XE1332" i="191"/>
  <c r="XE1328" i="191" s="1"/>
  <c r="TY1332" i="191"/>
  <c r="TY1328" i="191" s="1"/>
  <c r="QS1332" i="191"/>
  <c r="NM1332" i="191"/>
  <c r="KG1332" i="191"/>
  <c r="HA1332" i="191"/>
  <c r="HA1328" i="191" s="1"/>
  <c r="DU1332" i="191"/>
  <c r="DU1328" i="191" s="1"/>
  <c r="AO1332" i="191"/>
  <c r="AO1328" i="191" s="1"/>
  <c r="WJ1332" i="191"/>
  <c r="TD1332" i="191"/>
  <c r="PX1332" i="191"/>
  <c r="MR1332" i="191"/>
  <c r="JL1332" i="191"/>
  <c r="GF1332" i="191"/>
  <c r="CZ1332" i="191"/>
  <c r="T1332" i="191"/>
  <c r="VO1332" i="191"/>
  <c r="SI1332" i="191"/>
  <c r="PC1332" i="191"/>
  <c r="LW1332" i="191"/>
  <c r="IQ1332" i="191"/>
  <c r="FK1332" i="191"/>
  <c r="CE1332" i="191"/>
  <c r="YU1332" i="191"/>
  <c r="XD1341" i="191"/>
  <c r="TX1341" i="191"/>
  <c r="QR1341" i="191"/>
  <c r="NL1341" i="191"/>
  <c r="KF1341" i="191"/>
  <c r="GZ1341" i="191"/>
  <c r="DT1341" i="191"/>
  <c r="AN1341" i="191"/>
  <c r="XY1341" i="191"/>
  <c r="US1341" i="191"/>
  <c r="RM1341" i="191"/>
  <c r="OG1341" i="191"/>
  <c r="LA1341" i="191"/>
  <c r="HU1341" i="191"/>
  <c r="EO1341" i="191"/>
  <c r="BI1341" i="191"/>
  <c r="VN1341" i="191"/>
  <c r="SH1341" i="191"/>
  <c r="PB1341" i="191"/>
  <c r="LV1341" i="191"/>
  <c r="IP1341" i="191"/>
  <c r="FJ1341" i="191"/>
  <c r="CD1341" i="191"/>
  <c r="YT1341" i="191"/>
  <c r="WI1341" i="191"/>
  <c r="TC1341" i="191"/>
  <c r="PW1341" i="191"/>
  <c r="MQ1341" i="191"/>
  <c r="JK1341" i="191"/>
  <c r="GE1341" i="191"/>
  <c r="CY1341" i="191"/>
  <c r="S1341" i="191"/>
  <c r="WI1336" i="191"/>
  <c r="TC1336" i="191"/>
  <c r="PW1336" i="191"/>
  <c r="PW1328" i="191" s="1"/>
  <c r="MQ1336" i="191"/>
  <c r="JK1336" i="191"/>
  <c r="GE1336" i="191"/>
  <c r="CY1336" i="191"/>
  <c r="YT1336" i="191"/>
  <c r="VN1336" i="191"/>
  <c r="SH1336" i="191"/>
  <c r="PB1336" i="191"/>
  <c r="LV1336" i="191"/>
  <c r="IP1336" i="191"/>
  <c r="FJ1336" i="191"/>
  <c r="CD1336" i="191"/>
  <c r="S1336" i="191"/>
  <c r="XY1336" i="191"/>
  <c r="US1336" i="191"/>
  <c r="RM1336" i="191"/>
  <c r="OG1336" i="191"/>
  <c r="LA1336" i="191"/>
  <c r="HU1336" i="191"/>
  <c r="EO1336" i="191"/>
  <c r="BI1336" i="191"/>
  <c r="XD1336" i="191"/>
  <c r="TX1336" i="191"/>
  <c r="QR1336" i="191"/>
  <c r="NL1336" i="191"/>
  <c r="KF1336" i="191"/>
  <c r="GZ1336" i="191"/>
  <c r="DT1336" i="191"/>
  <c r="AN1336" i="191"/>
  <c r="XY1340" i="191"/>
  <c r="US1340" i="191"/>
  <c r="RM1340" i="191"/>
  <c r="OG1340" i="191"/>
  <c r="LA1340" i="191"/>
  <c r="HU1340" i="191"/>
  <c r="EO1340" i="191"/>
  <c r="BI1340" i="191"/>
  <c r="XD1340" i="191"/>
  <c r="TX1340" i="191"/>
  <c r="QR1340" i="191"/>
  <c r="NL1340" i="191"/>
  <c r="KF1340" i="191"/>
  <c r="GZ1340" i="191"/>
  <c r="DT1340" i="191"/>
  <c r="AN1340" i="191"/>
  <c r="WI1340" i="191"/>
  <c r="TC1340" i="191"/>
  <c r="PW1340" i="191"/>
  <c r="MQ1340" i="191"/>
  <c r="JK1340" i="191"/>
  <c r="GE1340" i="191"/>
  <c r="CY1340" i="191"/>
  <c r="S1340" i="191"/>
  <c r="VN1340" i="191"/>
  <c r="SH1340" i="191"/>
  <c r="PB1340" i="191"/>
  <c r="LV1340" i="191"/>
  <c r="IP1340" i="191"/>
  <c r="FJ1340" i="191"/>
  <c r="CD1340" i="191"/>
  <c r="YT1340" i="191"/>
  <c r="XY1342" i="191"/>
  <c r="US1342" i="191"/>
  <c r="RM1342" i="191"/>
  <c r="OG1342" i="191"/>
  <c r="LA1342" i="191"/>
  <c r="HU1342" i="191"/>
  <c r="EO1342" i="191"/>
  <c r="BI1342" i="191"/>
  <c r="XD1342" i="191"/>
  <c r="TX1342" i="191"/>
  <c r="QR1342" i="191"/>
  <c r="NL1342" i="191"/>
  <c r="KF1342" i="191"/>
  <c r="GZ1342" i="191"/>
  <c r="DT1342" i="191"/>
  <c r="AN1342" i="191"/>
  <c r="WI1342" i="191"/>
  <c r="TC1342" i="191"/>
  <c r="PW1342" i="191"/>
  <c r="MQ1342" i="191"/>
  <c r="JK1342" i="191"/>
  <c r="GE1342" i="191"/>
  <c r="CY1342" i="191"/>
  <c r="S1342" i="191"/>
  <c r="VN1342" i="191"/>
  <c r="SH1342" i="191"/>
  <c r="PB1342" i="191"/>
  <c r="LV1342" i="191"/>
  <c r="IP1342" i="191"/>
  <c r="FJ1342" i="191"/>
  <c r="CD1342" i="191"/>
  <c r="YT1342" i="191"/>
  <c r="YU1338" i="191"/>
  <c r="H1267" i="191"/>
  <c r="H1361" i="191"/>
  <c r="H1271" i="191"/>
  <c r="H1366" i="191"/>
  <c r="H1272" i="191"/>
  <c r="H1367" i="191"/>
  <c r="H1269" i="191"/>
  <c r="H1363" i="191"/>
  <c r="H1268" i="191"/>
  <c r="H1362" i="191"/>
  <c r="H1270" i="191"/>
  <c r="H1365" i="191"/>
  <c r="G1271" i="191"/>
  <c r="G1366" i="191"/>
  <c r="G1270" i="191"/>
  <c r="G1365" i="191"/>
  <c r="G1272" i="191"/>
  <c r="G1367" i="191"/>
  <c r="G1269" i="191"/>
  <c r="G1363" i="191"/>
  <c r="G1361" i="191"/>
  <c r="G1267" i="191"/>
  <c r="G1268" i="191"/>
  <c r="G1362" i="191"/>
  <c r="F1270" i="191"/>
  <c r="F1365" i="191"/>
  <c r="F1267" i="191"/>
  <c r="F31" i="135"/>
  <c r="F199" i="191"/>
  <c r="F73" i="191" s="1"/>
  <c r="H1321" i="191"/>
  <c r="H1242" i="191"/>
  <c r="H1319" i="191"/>
  <c r="H1240" i="191"/>
  <c r="H1331" i="191"/>
  <c r="H1251" i="191"/>
  <c r="H1329" i="191"/>
  <c r="H1249" i="191"/>
  <c r="H1322" i="191"/>
  <c r="H1243" i="191"/>
  <c r="H1333" i="191"/>
  <c r="H1253" i="191"/>
  <c r="H1335" i="191"/>
  <c r="H1255" i="191"/>
  <c r="H1343" i="191"/>
  <c r="H1262" i="191"/>
  <c r="H1339" i="191"/>
  <c r="H1258" i="191"/>
  <c r="H1345" i="191"/>
  <c r="H1264" i="191"/>
  <c r="G1329" i="191"/>
  <c r="G1249" i="191"/>
  <c r="G1321" i="191"/>
  <c r="G1242" i="191"/>
  <c r="G1319" i="191"/>
  <c r="G1240" i="191"/>
  <c r="G1331" i="191"/>
  <c r="G1251" i="191"/>
  <c r="G1335" i="191"/>
  <c r="G1255" i="191"/>
  <c r="G1343" i="191"/>
  <c r="G1262" i="191"/>
  <c r="G1322" i="191"/>
  <c r="G1243" i="191"/>
  <c r="G1339" i="191"/>
  <c r="G1258" i="191"/>
  <c r="G1345" i="191"/>
  <c r="G1264" i="191"/>
  <c r="G1333" i="191"/>
  <c r="G1253" i="191"/>
  <c r="F1322" i="191"/>
  <c r="F1243" i="191"/>
  <c r="F1335" i="191"/>
  <c r="F1255" i="191"/>
  <c r="F1329" i="191"/>
  <c r="F1249" i="191"/>
  <c r="F1331" i="191"/>
  <c r="F1251" i="191"/>
  <c r="F1319" i="191"/>
  <c r="F1240" i="191"/>
  <c r="F1339" i="191"/>
  <c r="F1258" i="191"/>
  <c r="F1345" i="191"/>
  <c r="F1264" i="191"/>
  <c r="YS1293" i="191"/>
  <c r="XX1293" i="191"/>
  <c r="YS1291" i="191"/>
  <c r="XC1291" i="191"/>
  <c r="VM1291" i="191"/>
  <c r="TW1291" i="191"/>
  <c r="SG1291" i="191"/>
  <c r="QQ1291" i="191"/>
  <c r="PA1291" i="191"/>
  <c r="NK1291" i="191"/>
  <c r="LU1291" i="191"/>
  <c r="KE1291" i="191"/>
  <c r="IO1291" i="191"/>
  <c r="GY1291" i="191"/>
  <c r="FI1291" i="191"/>
  <c r="DS1291" i="191"/>
  <c r="CC1291" i="191"/>
  <c r="AM1291" i="191"/>
  <c r="XX1291" i="191"/>
  <c r="WH1291" i="191"/>
  <c r="UR1291" i="191"/>
  <c r="TB1291" i="191"/>
  <c r="RL1291" i="191"/>
  <c r="PV1291" i="191"/>
  <c r="OF1291" i="191"/>
  <c r="MP1291" i="191"/>
  <c r="KZ1291" i="191"/>
  <c r="JJ1291" i="191"/>
  <c r="HT1291" i="191"/>
  <c r="GD1291" i="191"/>
  <c r="EN1291" i="191"/>
  <c r="CX1291" i="191"/>
  <c r="BH1291" i="191"/>
  <c r="R1291" i="191"/>
  <c r="YS1287" i="191"/>
  <c r="XC1287" i="191"/>
  <c r="VM1287" i="191"/>
  <c r="TW1287" i="191"/>
  <c r="SG1287" i="191"/>
  <c r="QQ1287" i="191"/>
  <c r="PA1287" i="191"/>
  <c r="NK1287" i="191"/>
  <c r="LU1287" i="191"/>
  <c r="KE1287" i="191"/>
  <c r="IO1287" i="191"/>
  <c r="GY1287" i="191"/>
  <c r="FI1287" i="191"/>
  <c r="DS1287" i="191"/>
  <c r="CC1287" i="191"/>
  <c r="AM1287" i="191"/>
  <c r="XX1287" i="191"/>
  <c r="WH1287" i="191"/>
  <c r="UR1287" i="191"/>
  <c r="TB1287" i="191"/>
  <c r="RL1287" i="191"/>
  <c r="PV1287" i="191"/>
  <c r="OF1287" i="191"/>
  <c r="MP1287" i="191"/>
  <c r="KZ1287" i="191"/>
  <c r="JJ1287" i="191"/>
  <c r="HT1287" i="191"/>
  <c r="GD1287" i="191"/>
  <c r="EN1287" i="191"/>
  <c r="CX1287" i="191"/>
  <c r="BH1287" i="191"/>
  <c r="R1287" i="191"/>
  <c r="YS1285" i="191"/>
  <c r="QQ1285" i="191"/>
  <c r="LU1285" i="191"/>
  <c r="DS1285" i="191"/>
  <c r="XX1285" i="191"/>
  <c r="PV1285" i="191"/>
  <c r="KZ1285" i="191"/>
  <c r="CX1285" i="191"/>
  <c r="XX1283" i="191"/>
  <c r="WH1283" i="191"/>
  <c r="UR1283" i="191"/>
  <c r="TB1283" i="191"/>
  <c r="RL1283" i="191"/>
  <c r="PV1283" i="191"/>
  <c r="OF1283" i="191"/>
  <c r="MP1283" i="191"/>
  <c r="KZ1283" i="191"/>
  <c r="JJ1283" i="191"/>
  <c r="HT1283" i="191"/>
  <c r="GD1283" i="191"/>
  <c r="EN1283" i="191"/>
  <c r="CX1283" i="191"/>
  <c r="BH1283" i="191"/>
  <c r="R1283" i="191"/>
  <c r="XC1283" i="191"/>
  <c r="VM1283" i="191"/>
  <c r="TW1283" i="191"/>
  <c r="SG1283" i="191"/>
  <c r="QQ1283" i="191"/>
  <c r="PA1283" i="191"/>
  <c r="NK1283" i="191"/>
  <c r="LU1283" i="191"/>
  <c r="KE1283" i="191"/>
  <c r="IO1283" i="191"/>
  <c r="GY1283" i="191"/>
  <c r="FI1283" i="191"/>
  <c r="DS1283" i="191"/>
  <c r="CC1283" i="191"/>
  <c r="AM1283" i="191"/>
  <c r="YS1283" i="191"/>
  <c r="YS1292" i="191"/>
  <c r="XC1292" i="191"/>
  <c r="VM1292" i="191"/>
  <c r="TW1292" i="191"/>
  <c r="SG1292" i="191"/>
  <c r="QQ1292" i="191"/>
  <c r="PA1292" i="191"/>
  <c r="NK1292" i="191"/>
  <c r="LU1292" i="191"/>
  <c r="KE1292" i="191"/>
  <c r="IO1292" i="191"/>
  <c r="GY1292" i="191"/>
  <c r="FI1292" i="191"/>
  <c r="DS1292" i="191"/>
  <c r="CC1292" i="191"/>
  <c r="AM1292" i="191"/>
  <c r="XX1292" i="191"/>
  <c r="WH1292" i="191"/>
  <c r="UR1292" i="191"/>
  <c r="TB1292" i="191"/>
  <c r="RL1292" i="191"/>
  <c r="PV1292" i="191"/>
  <c r="OF1292" i="191"/>
  <c r="MP1292" i="191"/>
  <c r="KZ1292" i="191"/>
  <c r="JJ1292" i="191"/>
  <c r="HT1292" i="191"/>
  <c r="GD1292" i="191"/>
  <c r="EN1292" i="191"/>
  <c r="CX1292" i="191"/>
  <c r="BH1292" i="191"/>
  <c r="R1292" i="191"/>
  <c r="XX1290" i="191"/>
  <c r="WH1290" i="191"/>
  <c r="UR1290" i="191"/>
  <c r="TB1290" i="191"/>
  <c r="RL1290" i="191"/>
  <c r="PV1290" i="191"/>
  <c r="OF1290" i="191"/>
  <c r="MP1290" i="191"/>
  <c r="KZ1290" i="191"/>
  <c r="JJ1290" i="191"/>
  <c r="HT1290" i="191"/>
  <c r="GD1290" i="191"/>
  <c r="EN1290" i="191"/>
  <c r="CX1290" i="191"/>
  <c r="BH1290" i="191"/>
  <c r="R1290" i="191"/>
  <c r="YS1290" i="191"/>
  <c r="XC1290" i="191"/>
  <c r="VM1290" i="191"/>
  <c r="TW1290" i="191"/>
  <c r="SG1290" i="191"/>
  <c r="QQ1290" i="191"/>
  <c r="PA1290" i="191"/>
  <c r="NK1290" i="191"/>
  <c r="LU1290" i="191"/>
  <c r="KE1290" i="191"/>
  <c r="IO1290" i="191"/>
  <c r="GY1290" i="191"/>
  <c r="FI1290" i="191"/>
  <c r="DS1290" i="191"/>
  <c r="CC1290" i="191"/>
  <c r="AM1290" i="191"/>
  <c r="XX1288" i="191"/>
  <c r="WH1288" i="191"/>
  <c r="UR1288" i="191"/>
  <c r="TB1288" i="191"/>
  <c r="RL1288" i="191"/>
  <c r="PV1288" i="191"/>
  <c r="OF1288" i="191"/>
  <c r="MP1288" i="191"/>
  <c r="KZ1288" i="191"/>
  <c r="JJ1288" i="191"/>
  <c r="HT1288" i="191"/>
  <c r="GD1288" i="191"/>
  <c r="EN1288" i="191"/>
  <c r="CX1288" i="191"/>
  <c r="BH1288" i="191"/>
  <c r="R1288" i="191"/>
  <c r="YS1288" i="191"/>
  <c r="XC1288" i="191"/>
  <c r="VM1288" i="191"/>
  <c r="TW1288" i="191"/>
  <c r="SG1288" i="191"/>
  <c r="QQ1288" i="191"/>
  <c r="PA1288" i="191"/>
  <c r="NK1288" i="191"/>
  <c r="LU1288" i="191"/>
  <c r="KE1288" i="191"/>
  <c r="IO1288" i="191"/>
  <c r="GY1288" i="191"/>
  <c r="FI1288" i="191"/>
  <c r="DS1288" i="191"/>
  <c r="CC1288" i="191"/>
  <c r="AM1288" i="191"/>
  <c r="YS1286" i="191"/>
  <c r="XC1286" i="191"/>
  <c r="VM1286" i="191"/>
  <c r="TW1286" i="191"/>
  <c r="SG1286" i="191"/>
  <c r="QQ1286" i="191"/>
  <c r="PA1286" i="191"/>
  <c r="NK1286" i="191"/>
  <c r="LU1286" i="191"/>
  <c r="KE1286" i="191"/>
  <c r="IO1286" i="191"/>
  <c r="GY1286" i="191"/>
  <c r="FI1286" i="191"/>
  <c r="DS1286" i="191"/>
  <c r="CC1286" i="191"/>
  <c r="AM1286" i="191"/>
  <c r="XX1286" i="191"/>
  <c r="WH1286" i="191"/>
  <c r="UR1286" i="191"/>
  <c r="TB1286" i="191"/>
  <c r="RL1286" i="191"/>
  <c r="PV1286" i="191"/>
  <c r="OF1286" i="191"/>
  <c r="MP1286" i="191"/>
  <c r="KZ1286" i="191"/>
  <c r="JJ1286" i="191"/>
  <c r="HT1286" i="191"/>
  <c r="GD1286" i="191"/>
  <c r="EN1286" i="191"/>
  <c r="CX1286" i="191"/>
  <c r="BH1286" i="191"/>
  <c r="R1286" i="191"/>
  <c r="XX1284" i="191"/>
  <c r="WH1284" i="191"/>
  <c r="UR1284" i="191"/>
  <c r="TB1284" i="191"/>
  <c r="RL1284" i="191"/>
  <c r="PV1284" i="191"/>
  <c r="OF1284" i="191"/>
  <c r="MP1284" i="191"/>
  <c r="KZ1284" i="191"/>
  <c r="JJ1284" i="191"/>
  <c r="HT1284" i="191"/>
  <c r="GD1284" i="191"/>
  <c r="EN1284" i="191"/>
  <c r="CX1284" i="191"/>
  <c r="BH1284" i="191"/>
  <c r="R1284" i="191"/>
  <c r="YS1284" i="191"/>
  <c r="XC1284" i="191"/>
  <c r="VM1284" i="191"/>
  <c r="TW1284" i="191"/>
  <c r="SG1284" i="191"/>
  <c r="QQ1284" i="191"/>
  <c r="PA1284" i="191"/>
  <c r="NK1284" i="191"/>
  <c r="LU1284" i="191"/>
  <c r="KE1284" i="191"/>
  <c r="IO1284" i="191"/>
  <c r="GY1284" i="191"/>
  <c r="FI1284" i="191"/>
  <c r="DS1284" i="191"/>
  <c r="CC1284" i="191"/>
  <c r="AM1284" i="191"/>
  <c r="XC1282" i="191"/>
  <c r="VM1282" i="191"/>
  <c r="TW1282" i="191"/>
  <c r="SG1282" i="191"/>
  <c r="QQ1282" i="191"/>
  <c r="PA1282" i="191"/>
  <c r="NK1282" i="191"/>
  <c r="LU1282" i="191"/>
  <c r="KE1282" i="191"/>
  <c r="IO1282" i="191"/>
  <c r="GY1282" i="191"/>
  <c r="FI1282" i="191"/>
  <c r="DS1282" i="191"/>
  <c r="CC1282" i="191"/>
  <c r="AM1282" i="191"/>
  <c r="YS1282" i="191"/>
  <c r="XX1282" i="191"/>
  <c r="WH1282" i="191"/>
  <c r="UR1282" i="191"/>
  <c r="TB1282" i="191"/>
  <c r="RL1282" i="191"/>
  <c r="PV1282" i="191"/>
  <c r="OF1282" i="191"/>
  <c r="MP1282" i="191"/>
  <c r="KZ1282" i="191"/>
  <c r="JJ1282" i="191"/>
  <c r="HT1282" i="191"/>
  <c r="GD1282" i="191"/>
  <c r="EN1282" i="191"/>
  <c r="CX1282" i="191"/>
  <c r="BH1282" i="191"/>
  <c r="R1282" i="191"/>
  <c r="XX1281" i="191"/>
  <c r="WH1281" i="191"/>
  <c r="UR1281" i="191"/>
  <c r="TB1281" i="191"/>
  <c r="RL1281" i="191"/>
  <c r="PV1281" i="191"/>
  <c r="OF1281" i="191"/>
  <c r="MP1281" i="191"/>
  <c r="KZ1281" i="191"/>
  <c r="JJ1281" i="191"/>
  <c r="HT1281" i="191"/>
  <c r="GD1281" i="191"/>
  <c r="EN1281" i="191"/>
  <c r="CX1281" i="191"/>
  <c r="BH1281" i="191"/>
  <c r="R1281" i="191"/>
  <c r="XC1281" i="191"/>
  <c r="VM1281" i="191"/>
  <c r="TW1281" i="191"/>
  <c r="SG1281" i="191"/>
  <c r="QQ1281" i="191"/>
  <c r="PA1281" i="191"/>
  <c r="NK1281" i="191"/>
  <c r="LU1281" i="191"/>
  <c r="KE1281" i="191"/>
  <c r="IO1281" i="191"/>
  <c r="GY1281" i="191"/>
  <c r="FI1281" i="191"/>
  <c r="DS1281" i="191"/>
  <c r="CC1281" i="191"/>
  <c r="AM1281" i="191"/>
  <c r="YS1281" i="191"/>
  <c r="D31" i="135"/>
  <c r="E39" i="135"/>
  <c r="E41" i="135"/>
  <c r="L42" i="135"/>
  <c r="L41" i="135"/>
  <c r="S38" i="135"/>
  <c r="S42" i="135"/>
  <c r="E42" i="135"/>
  <c r="E38" i="135"/>
  <c r="L43" i="135"/>
  <c r="L40" i="135"/>
  <c r="S43" i="135"/>
  <c r="S40" i="135"/>
  <c r="E43" i="135"/>
  <c r="E40" i="135"/>
  <c r="L38" i="135"/>
  <c r="L39" i="135"/>
  <c r="S39" i="135"/>
  <c r="S41" i="135"/>
  <c r="S20" i="71"/>
  <c r="S18" i="71"/>
  <c r="S16" i="71"/>
  <c r="S14" i="71"/>
  <c r="S12" i="71"/>
  <c r="S10" i="71"/>
  <c r="S8" i="71"/>
  <c r="S19" i="71"/>
  <c r="S17" i="71"/>
  <c r="S15" i="71"/>
  <c r="S13" i="71"/>
  <c r="S11" i="71"/>
  <c r="S9" i="71"/>
  <c r="EN1285" i="191" l="1"/>
  <c r="RL1285" i="191"/>
  <c r="FI1285" i="191"/>
  <c r="SG1285" i="191"/>
  <c r="F1268" i="191"/>
  <c r="JJ1285" i="191"/>
  <c r="WH1285" i="191"/>
  <c r="KE1285" i="191"/>
  <c r="XC1285" i="191"/>
  <c r="F1272" i="191"/>
  <c r="TB1318" i="191"/>
  <c r="F1321" i="191"/>
  <c r="TT1321" i="191" s="1"/>
  <c r="XX1318" i="191"/>
  <c r="BH1285" i="191"/>
  <c r="HT1285" i="191"/>
  <c r="OF1285" i="191"/>
  <c r="UR1285" i="191"/>
  <c r="CC1285" i="191"/>
  <c r="IO1285" i="191"/>
  <c r="PA1285" i="191"/>
  <c r="VM1285" i="191"/>
  <c r="KE1289" i="191"/>
  <c r="R1285" i="191"/>
  <c r="GD1285" i="191"/>
  <c r="MP1285" i="191"/>
  <c r="TB1285" i="191"/>
  <c r="AM1285" i="191"/>
  <c r="GY1285" i="191"/>
  <c r="NK1285" i="191"/>
  <c r="JJ1289" i="191"/>
  <c r="CX1289" i="191"/>
  <c r="DS1289" i="191"/>
  <c r="WH1289" i="191"/>
  <c r="XC1289" i="191"/>
  <c r="PV1289" i="191"/>
  <c r="QQ1289" i="191"/>
  <c r="RL1293" i="191"/>
  <c r="SG1293" i="191"/>
  <c r="F1366" i="191"/>
  <c r="KZ1293" i="191"/>
  <c r="LU1293" i="191"/>
  <c r="EN1293" i="191"/>
  <c r="FI1293" i="191"/>
  <c r="IQ1318" i="191"/>
  <c r="JL1338" i="191"/>
  <c r="KG1338" i="191"/>
  <c r="SI1318" i="191"/>
  <c r="F1333" i="191"/>
  <c r="XU1333" i="191" s="1"/>
  <c r="GE1328" i="191"/>
  <c r="OH1318" i="191"/>
  <c r="PV1318" i="191"/>
  <c r="PA1318" i="191"/>
  <c r="MP1318" i="191"/>
  <c r="PB1318" i="191"/>
  <c r="BH1289" i="191"/>
  <c r="HT1289" i="191"/>
  <c r="OF1289" i="191"/>
  <c r="UR1289" i="191"/>
  <c r="CC1289" i="191"/>
  <c r="IO1289" i="191"/>
  <c r="PA1289" i="191"/>
  <c r="VM1289" i="191"/>
  <c r="F1343" i="191"/>
  <c r="R1289" i="191"/>
  <c r="GD1289" i="191"/>
  <c r="MP1289" i="191"/>
  <c r="TB1289" i="191"/>
  <c r="AM1289" i="191"/>
  <c r="GY1289" i="191"/>
  <c r="NK1289" i="191"/>
  <c r="TW1289" i="191"/>
  <c r="TW1280" i="191" s="1"/>
  <c r="TW1310" i="191" s="1"/>
  <c r="UC1311" i="191" s="1"/>
  <c r="EN1289" i="191"/>
  <c r="EN1280" i="191" s="1"/>
  <c r="EN1310" i="191" s="1"/>
  <c r="ET1311" i="191" s="1"/>
  <c r="KZ1289" i="191"/>
  <c r="RL1289" i="191"/>
  <c r="XX1289" i="191"/>
  <c r="XX1280" i="191" s="1"/>
  <c r="XX1310" i="191" s="1"/>
  <c r="YD1311" i="191" s="1"/>
  <c r="FI1289" i="191"/>
  <c r="FI1280" i="191" s="1"/>
  <c r="FI1310" i="191" s="1"/>
  <c r="FO1311" i="191" s="1"/>
  <c r="FO1306" i="191" s="1"/>
  <c r="FU1306" i="191" s="1"/>
  <c r="LU1289" i="191"/>
  <c r="LU1280" i="191" s="1"/>
  <c r="LU1310" i="191" s="1"/>
  <c r="MA1311" i="191" s="1"/>
  <c r="SG1289" i="191"/>
  <c r="CX1293" i="191"/>
  <c r="CX1280" i="191" s="1"/>
  <c r="CX1310" i="191" s="1"/>
  <c r="DD1311" i="191" s="1"/>
  <c r="JJ1293" i="191"/>
  <c r="JJ1280" i="191" s="1"/>
  <c r="JJ1310" i="191" s="1"/>
  <c r="JP1311" i="191" s="1"/>
  <c r="PV1293" i="191"/>
  <c r="WH1293" i="191"/>
  <c r="DS1293" i="191"/>
  <c r="KE1293" i="191"/>
  <c r="KE1280" i="191" s="1"/>
  <c r="KE1310" i="191" s="1"/>
  <c r="KK1311" i="191" s="1"/>
  <c r="QQ1293" i="191"/>
  <c r="XC1293" i="191"/>
  <c r="XC1280" i="191" s="1"/>
  <c r="XC1310" i="191" s="1"/>
  <c r="XI1311" i="191" s="1"/>
  <c r="BH1293" i="191"/>
  <c r="HT1293" i="191"/>
  <c r="OF1293" i="191"/>
  <c r="UR1293" i="191"/>
  <c r="CC1293" i="191"/>
  <c r="IO1293" i="191"/>
  <c r="PA1293" i="191"/>
  <c r="VM1293" i="191"/>
  <c r="QR1328" i="191"/>
  <c r="GY1318" i="191"/>
  <c r="YS1280" i="191"/>
  <c r="YS1310" i="191" s="1"/>
  <c r="YY1311" i="191" s="1"/>
  <c r="YY1306" i="191" s="1"/>
  <c r="ZE1306" i="191" s="1"/>
  <c r="R1293" i="191"/>
  <c r="GD1293" i="191"/>
  <c r="MP1293" i="191"/>
  <c r="TB1293" i="191"/>
  <c r="AM1293" i="191"/>
  <c r="GY1293" i="191"/>
  <c r="NK1293" i="191"/>
  <c r="FK1318" i="191"/>
  <c r="MQ1318" i="191"/>
  <c r="EN1318" i="191"/>
  <c r="CC1318" i="191"/>
  <c r="BH1318" i="191"/>
  <c r="AM1318" i="191"/>
  <c r="R1318" i="191"/>
  <c r="JJ1318" i="191"/>
  <c r="IQ1338" i="191"/>
  <c r="CX1318" i="191"/>
  <c r="LB1318" i="191"/>
  <c r="TD1328" i="191"/>
  <c r="JL1318" i="191"/>
  <c r="HU1318" i="191"/>
  <c r="WI1318" i="191"/>
  <c r="XZ1338" i="191"/>
  <c r="RN1338" i="191"/>
  <c r="FJ1328" i="191"/>
  <c r="GZ1318" i="191"/>
  <c r="KG1318" i="191"/>
  <c r="VO1328" i="191"/>
  <c r="QS1328" i="191"/>
  <c r="XZ1328" i="191"/>
  <c r="WJ1318" i="191"/>
  <c r="LW1318" i="191"/>
  <c r="XZ1318" i="191"/>
  <c r="CZ1328" i="191"/>
  <c r="XE1318" i="191"/>
  <c r="JK1318" i="191"/>
  <c r="IP1318" i="191"/>
  <c r="TX1318" i="191"/>
  <c r="US1318" i="191"/>
  <c r="VN1318" i="191"/>
  <c r="LW1338" i="191"/>
  <c r="WJ1338" i="191"/>
  <c r="YU1318" i="191"/>
  <c r="EP1338" i="191"/>
  <c r="SH1328" i="191"/>
  <c r="NM1328" i="191"/>
  <c r="OH1328" i="191"/>
  <c r="KF1328" i="191"/>
  <c r="RM1328" i="191"/>
  <c r="IP1328" i="191"/>
  <c r="PC1328" i="191"/>
  <c r="PX1328" i="191"/>
  <c r="NM1318" i="191"/>
  <c r="AO1318" i="191"/>
  <c r="MR1318" i="191"/>
  <c r="T1318" i="191"/>
  <c r="CE1318" i="191"/>
  <c r="BJ1318" i="191"/>
  <c r="EP1318" i="191"/>
  <c r="QS1318" i="191"/>
  <c r="DU1318" i="191"/>
  <c r="PX1318" i="191"/>
  <c r="CZ1318" i="191"/>
  <c r="HV1318" i="191"/>
  <c r="HV1348" i="191" s="1"/>
  <c r="IB1349" i="191" s="1"/>
  <c r="RN1318" i="191"/>
  <c r="CZ1338" i="191"/>
  <c r="PX1338" i="191"/>
  <c r="DU1338" i="191"/>
  <c r="QS1338" i="191"/>
  <c r="LB1338" i="191"/>
  <c r="FK1338" i="191"/>
  <c r="EO1318" i="191"/>
  <c r="LA1318" i="191"/>
  <c r="RM1318" i="191"/>
  <c r="XY1318" i="191"/>
  <c r="FJ1318" i="191"/>
  <c r="LV1318" i="191"/>
  <c r="SH1318" i="191"/>
  <c r="YT1318" i="191"/>
  <c r="PW1318" i="191"/>
  <c r="DT1318" i="191"/>
  <c r="KF1318" i="191"/>
  <c r="QR1318" i="191"/>
  <c r="LU1318" i="191"/>
  <c r="YS1318" i="191"/>
  <c r="KZ1318" i="191"/>
  <c r="KE1318" i="191"/>
  <c r="HT1318" i="191"/>
  <c r="UR1318" i="191"/>
  <c r="CC1338" i="191"/>
  <c r="RM1338" i="191"/>
  <c r="PW1338" i="191"/>
  <c r="PW1348" i="191" s="1"/>
  <c r="QC1349" i="191" s="1"/>
  <c r="PB1338" i="191"/>
  <c r="QR1338" i="191"/>
  <c r="CD1338" i="191"/>
  <c r="CY1338" i="191"/>
  <c r="DT1338" i="191"/>
  <c r="EO1338" i="191"/>
  <c r="XE1348" i="191"/>
  <c r="XK1349" i="191" s="1"/>
  <c r="XK1330" i="191" s="1"/>
  <c r="XQ1330" i="191" s="1"/>
  <c r="IP1338" i="191"/>
  <c r="VN1338" i="191"/>
  <c r="JK1338" i="191"/>
  <c r="WI1338" i="191"/>
  <c r="KF1338" i="191"/>
  <c r="XD1338" i="191"/>
  <c r="LA1338" i="191"/>
  <c r="XY1338" i="191"/>
  <c r="EO1328" i="191"/>
  <c r="JK1328" i="191"/>
  <c r="SI1328" i="191"/>
  <c r="NL1318" i="191"/>
  <c r="AN1318" i="191"/>
  <c r="OG1318" i="191"/>
  <c r="BI1318" i="191"/>
  <c r="CD1318" i="191"/>
  <c r="CY1318" i="191"/>
  <c r="XY1328" i="191"/>
  <c r="HU1328" i="191"/>
  <c r="XD1328" i="191"/>
  <c r="WI1328" i="191"/>
  <c r="GZ1328" i="191"/>
  <c r="YT1328" i="191"/>
  <c r="CE1328" i="191"/>
  <c r="IQ1328" i="191"/>
  <c r="JL1328" i="191"/>
  <c r="WJ1328" i="191"/>
  <c r="KG1328" i="191"/>
  <c r="EP1328" i="191"/>
  <c r="RN1328" i="191"/>
  <c r="YU1328" i="191"/>
  <c r="FK1328" i="191"/>
  <c r="LW1328" i="191"/>
  <c r="T1328" i="191"/>
  <c r="GF1328" i="191"/>
  <c r="MR1328" i="191"/>
  <c r="TY1318" i="191"/>
  <c r="HA1318" i="191"/>
  <c r="TD1318" i="191"/>
  <c r="GF1318" i="191"/>
  <c r="PC1318" i="191"/>
  <c r="VO1318" i="191"/>
  <c r="UT1318" i="191"/>
  <c r="T1338" i="191"/>
  <c r="GF1338" i="191"/>
  <c r="TD1338" i="191"/>
  <c r="AO1338" i="191"/>
  <c r="HA1338" i="191"/>
  <c r="NM1338" i="191"/>
  <c r="TY1338" i="191"/>
  <c r="BJ1338" i="191"/>
  <c r="OH1338" i="191"/>
  <c r="UT1338" i="191"/>
  <c r="PC1338" i="191"/>
  <c r="VO1338" i="191"/>
  <c r="S1318" i="191"/>
  <c r="GE1318" i="191"/>
  <c r="TC1318" i="191"/>
  <c r="FI1318" i="191"/>
  <c r="SG1318" i="191"/>
  <c r="RL1318" i="191"/>
  <c r="QQ1318" i="191"/>
  <c r="OF1318" i="191"/>
  <c r="NK1318" i="191"/>
  <c r="FI1338" i="191"/>
  <c r="LA1328" i="191"/>
  <c r="LV1328" i="191"/>
  <c r="CY1328" i="191"/>
  <c r="DT1328" i="191"/>
  <c r="YT1338" i="191"/>
  <c r="FJ1338" i="191"/>
  <c r="LV1338" i="191"/>
  <c r="SH1338" i="191"/>
  <c r="S1338" i="191"/>
  <c r="GE1338" i="191"/>
  <c r="MQ1338" i="191"/>
  <c r="TC1338" i="191"/>
  <c r="AN1338" i="191"/>
  <c r="GZ1338" i="191"/>
  <c r="NL1338" i="191"/>
  <c r="TX1338" i="191"/>
  <c r="BI1338" i="191"/>
  <c r="HU1338" i="191"/>
  <c r="OG1338" i="191"/>
  <c r="US1338" i="191"/>
  <c r="BI1328" i="191"/>
  <c r="OG1328" i="191"/>
  <c r="US1328" i="191"/>
  <c r="CD1328" i="191"/>
  <c r="PB1328" i="191"/>
  <c r="VN1328" i="191"/>
  <c r="S1328" i="191"/>
  <c r="MQ1328" i="191"/>
  <c r="TC1328" i="191"/>
  <c r="AN1328" i="191"/>
  <c r="NL1328" i="191"/>
  <c r="TX1328" i="191"/>
  <c r="NK1338" i="191"/>
  <c r="CX1338" i="191"/>
  <c r="JJ1338" i="191"/>
  <c r="PV1338" i="191"/>
  <c r="WH1338" i="191"/>
  <c r="DS1338" i="191"/>
  <c r="KE1338" i="191"/>
  <c r="QQ1338" i="191"/>
  <c r="XC1338" i="191"/>
  <c r="EN1338" i="191"/>
  <c r="KZ1338" i="191"/>
  <c r="RL1338" i="191"/>
  <c r="XX1338" i="191"/>
  <c r="LU1338" i="191"/>
  <c r="SG1338" i="191"/>
  <c r="YS1338" i="191"/>
  <c r="AM1328" i="191"/>
  <c r="GY1328" i="191"/>
  <c r="NK1328" i="191"/>
  <c r="TW1328" i="191"/>
  <c r="BH1328" i="191"/>
  <c r="HT1328" i="191"/>
  <c r="OF1328" i="191"/>
  <c r="UR1328" i="191"/>
  <c r="YS1328" i="191"/>
  <c r="FI1328" i="191"/>
  <c r="LU1328" i="191"/>
  <c r="SG1328" i="191"/>
  <c r="R1328" i="191"/>
  <c r="GD1328" i="191"/>
  <c r="MP1328" i="191"/>
  <c r="TB1328" i="191"/>
  <c r="GD1338" i="191"/>
  <c r="MP1338" i="191"/>
  <c r="TB1338" i="191"/>
  <c r="GY1338" i="191"/>
  <c r="TW1338" i="191"/>
  <c r="HT1338" i="191"/>
  <c r="OF1338" i="191"/>
  <c r="UR1338" i="191"/>
  <c r="IO1338" i="191"/>
  <c r="PA1338" i="191"/>
  <c r="VM1338" i="191"/>
  <c r="DS1328" i="191"/>
  <c r="KE1328" i="191"/>
  <c r="QQ1328" i="191"/>
  <c r="XC1328" i="191"/>
  <c r="EN1328" i="191"/>
  <c r="KZ1328" i="191"/>
  <c r="RL1328" i="191"/>
  <c r="XX1328" i="191"/>
  <c r="CC1328" i="191"/>
  <c r="IO1328" i="191"/>
  <c r="PA1328" i="191"/>
  <c r="VM1328" i="191"/>
  <c r="CX1328" i="191"/>
  <c r="JJ1328" i="191"/>
  <c r="PV1328" i="191"/>
  <c r="WH1328" i="191"/>
  <c r="XB1365" i="191"/>
  <c r="WG1365" i="191"/>
  <c r="UQ1365" i="191"/>
  <c r="TA1365" i="191"/>
  <c r="RK1365" i="191"/>
  <c r="PU1365" i="191"/>
  <c r="OE1365" i="191"/>
  <c r="MO1365" i="191"/>
  <c r="KY1365" i="191"/>
  <c r="JI1365" i="191"/>
  <c r="HS1365" i="191"/>
  <c r="GC1365" i="191"/>
  <c r="EM1365" i="191"/>
  <c r="CW1365" i="191"/>
  <c r="BG1365" i="191"/>
  <c r="Q1365" i="191"/>
  <c r="XW1365" i="191"/>
  <c r="YR1365" i="191"/>
  <c r="VL1365" i="191"/>
  <c r="TV1365" i="191"/>
  <c r="SF1365" i="191"/>
  <c r="QP1365" i="191"/>
  <c r="OZ1365" i="191"/>
  <c r="NJ1365" i="191"/>
  <c r="LT1365" i="191"/>
  <c r="KD1365" i="191"/>
  <c r="IN1365" i="191"/>
  <c r="GX1365" i="191"/>
  <c r="FH1365" i="191"/>
  <c r="DR1365" i="191"/>
  <c r="CB1365" i="191"/>
  <c r="AL1365" i="191"/>
  <c r="XW1362" i="191"/>
  <c r="WG1362" i="191"/>
  <c r="UQ1362" i="191"/>
  <c r="TA1362" i="191"/>
  <c r="RK1362" i="191"/>
  <c r="PU1362" i="191"/>
  <c r="OE1362" i="191"/>
  <c r="MO1362" i="191"/>
  <c r="KY1362" i="191"/>
  <c r="JI1362" i="191"/>
  <c r="HS1362" i="191"/>
  <c r="GC1362" i="191"/>
  <c r="EM1362" i="191"/>
  <c r="CW1362" i="191"/>
  <c r="BG1362" i="191"/>
  <c r="Q1362" i="191"/>
  <c r="YR1362" i="191"/>
  <c r="XB1362" i="191"/>
  <c r="VL1362" i="191"/>
  <c r="TV1362" i="191"/>
  <c r="SF1362" i="191"/>
  <c r="QP1362" i="191"/>
  <c r="OZ1362" i="191"/>
  <c r="NJ1362" i="191"/>
  <c r="LT1362" i="191"/>
  <c r="KD1362" i="191"/>
  <c r="IN1362" i="191"/>
  <c r="GX1362" i="191"/>
  <c r="FH1362" i="191"/>
  <c r="DR1362" i="191"/>
  <c r="CB1362" i="191"/>
  <c r="AL1362" i="191"/>
  <c r="YR1363" i="191"/>
  <c r="XB1363" i="191"/>
  <c r="VL1363" i="191"/>
  <c r="TV1363" i="191"/>
  <c r="SF1363" i="191"/>
  <c r="QP1363" i="191"/>
  <c r="OZ1363" i="191"/>
  <c r="NJ1363" i="191"/>
  <c r="LT1363" i="191"/>
  <c r="KD1363" i="191"/>
  <c r="IN1363" i="191"/>
  <c r="GX1363" i="191"/>
  <c r="FH1363" i="191"/>
  <c r="DR1363" i="191"/>
  <c r="CB1363" i="191"/>
  <c r="AL1363" i="191"/>
  <c r="XW1363" i="191"/>
  <c r="WG1363" i="191"/>
  <c r="UQ1363" i="191"/>
  <c r="TA1363" i="191"/>
  <c r="RK1363" i="191"/>
  <c r="PU1363" i="191"/>
  <c r="OE1363" i="191"/>
  <c r="MO1363" i="191"/>
  <c r="KY1363" i="191"/>
  <c r="JI1363" i="191"/>
  <c r="HS1363" i="191"/>
  <c r="GC1363" i="191"/>
  <c r="EM1363" i="191"/>
  <c r="CW1363" i="191"/>
  <c r="BG1363" i="191"/>
  <c r="Q1363" i="191"/>
  <c r="XB1367" i="191"/>
  <c r="VL1367" i="191"/>
  <c r="TV1367" i="191"/>
  <c r="SF1367" i="191"/>
  <c r="QP1367" i="191"/>
  <c r="OZ1367" i="191"/>
  <c r="OE1367" i="191"/>
  <c r="MO1367" i="191"/>
  <c r="KY1367" i="191"/>
  <c r="JI1367" i="191"/>
  <c r="HS1367" i="191"/>
  <c r="GC1367" i="191"/>
  <c r="EM1367" i="191"/>
  <c r="CW1367" i="191"/>
  <c r="BG1367" i="191"/>
  <c r="Q1367" i="191"/>
  <c r="XW1367" i="191"/>
  <c r="WG1367" i="191"/>
  <c r="UQ1367" i="191"/>
  <c r="TA1367" i="191"/>
  <c r="RK1367" i="191"/>
  <c r="PU1367" i="191"/>
  <c r="YR1367" i="191"/>
  <c r="NJ1367" i="191"/>
  <c r="LT1367" i="191"/>
  <c r="KD1367" i="191"/>
  <c r="IN1367" i="191"/>
  <c r="GX1367" i="191"/>
  <c r="FH1367" i="191"/>
  <c r="DR1367" i="191"/>
  <c r="CB1367" i="191"/>
  <c r="AL1367" i="191"/>
  <c r="XW1366" i="191"/>
  <c r="WG1366" i="191"/>
  <c r="UQ1366" i="191"/>
  <c r="TA1366" i="191"/>
  <c r="RK1366" i="191"/>
  <c r="PU1366" i="191"/>
  <c r="OE1366" i="191"/>
  <c r="MO1366" i="191"/>
  <c r="KY1366" i="191"/>
  <c r="JI1366" i="191"/>
  <c r="HS1366" i="191"/>
  <c r="GC1366" i="191"/>
  <c r="EM1366" i="191"/>
  <c r="CW1366" i="191"/>
  <c r="BG1366" i="191"/>
  <c r="Q1366" i="191"/>
  <c r="XB1366" i="191"/>
  <c r="VL1366" i="191"/>
  <c r="TV1366" i="191"/>
  <c r="SF1366" i="191"/>
  <c r="QP1366" i="191"/>
  <c r="OZ1366" i="191"/>
  <c r="NJ1366" i="191"/>
  <c r="LT1366" i="191"/>
  <c r="KD1366" i="191"/>
  <c r="IN1366" i="191"/>
  <c r="GX1366" i="191"/>
  <c r="FH1366" i="191"/>
  <c r="DR1366" i="191"/>
  <c r="CB1366" i="191"/>
  <c r="AL1366" i="191"/>
  <c r="YR1366" i="191"/>
  <c r="YR1361" i="191"/>
  <c r="XB1361" i="191"/>
  <c r="VL1361" i="191"/>
  <c r="TV1361" i="191"/>
  <c r="SF1361" i="191"/>
  <c r="QP1361" i="191"/>
  <c r="OZ1361" i="191"/>
  <c r="NJ1361" i="191"/>
  <c r="LT1361" i="191"/>
  <c r="KD1361" i="191"/>
  <c r="IN1361" i="191"/>
  <c r="GX1361" i="191"/>
  <c r="FH1361" i="191"/>
  <c r="DR1361" i="191"/>
  <c r="CB1361" i="191"/>
  <c r="AL1361" i="191"/>
  <c r="XW1361" i="191"/>
  <c r="XW1360" i="191" s="1"/>
  <c r="XW1369" i="191" s="1"/>
  <c r="YC1370" i="191" s="1"/>
  <c r="YC1367" i="191" s="1"/>
  <c r="YI1367" i="191" s="1"/>
  <c r="WG1361" i="191"/>
  <c r="WG1360" i="191" s="1"/>
  <c r="WG1369" i="191" s="1"/>
  <c r="WM1370" i="191" s="1"/>
  <c r="WM1367" i="191" s="1"/>
  <c r="WS1367" i="191" s="1"/>
  <c r="UQ1361" i="191"/>
  <c r="UQ1360" i="191" s="1"/>
  <c r="UQ1369" i="191" s="1"/>
  <c r="UW1370" i="191" s="1"/>
  <c r="UW1367" i="191" s="1"/>
  <c r="VC1367" i="191" s="1"/>
  <c r="TA1361" i="191"/>
  <c r="TA1360" i="191" s="1"/>
  <c r="TA1369" i="191" s="1"/>
  <c r="TG1370" i="191" s="1"/>
  <c r="TG1367" i="191" s="1"/>
  <c r="TM1367" i="191" s="1"/>
  <c r="RK1361" i="191"/>
  <c r="RK1360" i="191" s="1"/>
  <c r="RK1369" i="191" s="1"/>
  <c r="RQ1370" i="191" s="1"/>
  <c r="RQ1367" i="191" s="1"/>
  <c r="RW1367" i="191" s="1"/>
  <c r="PU1361" i="191"/>
  <c r="PU1360" i="191" s="1"/>
  <c r="PU1369" i="191" s="1"/>
  <c r="QA1370" i="191" s="1"/>
  <c r="QA1367" i="191" s="1"/>
  <c r="QG1367" i="191" s="1"/>
  <c r="OE1361" i="191"/>
  <c r="OE1360" i="191" s="1"/>
  <c r="OE1369" i="191" s="1"/>
  <c r="OK1370" i="191" s="1"/>
  <c r="OK1367" i="191" s="1"/>
  <c r="OQ1367" i="191" s="1"/>
  <c r="MO1361" i="191"/>
  <c r="MO1360" i="191" s="1"/>
  <c r="MO1369" i="191" s="1"/>
  <c r="MU1370" i="191" s="1"/>
  <c r="MU1367" i="191" s="1"/>
  <c r="NA1367" i="191" s="1"/>
  <c r="KY1361" i="191"/>
  <c r="KY1360" i="191" s="1"/>
  <c r="KY1369" i="191" s="1"/>
  <c r="LE1370" i="191" s="1"/>
  <c r="LE1367" i="191" s="1"/>
  <c r="LK1367" i="191" s="1"/>
  <c r="JI1361" i="191"/>
  <c r="JI1360" i="191" s="1"/>
  <c r="JI1369" i="191" s="1"/>
  <c r="JO1370" i="191" s="1"/>
  <c r="JO1367" i="191" s="1"/>
  <c r="JU1367" i="191" s="1"/>
  <c r="HS1361" i="191"/>
  <c r="HS1360" i="191" s="1"/>
  <c r="HS1369" i="191" s="1"/>
  <c r="HY1370" i="191" s="1"/>
  <c r="HY1367" i="191" s="1"/>
  <c r="IE1367" i="191" s="1"/>
  <c r="GC1361" i="191"/>
  <c r="GC1360" i="191" s="1"/>
  <c r="GC1369" i="191" s="1"/>
  <c r="GI1370" i="191" s="1"/>
  <c r="GI1367" i="191" s="1"/>
  <c r="GO1367" i="191" s="1"/>
  <c r="EM1361" i="191"/>
  <c r="EM1360" i="191" s="1"/>
  <c r="EM1369" i="191" s="1"/>
  <c r="ES1370" i="191" s="1"/>
  <c r="ES1367" i="191" s="1"/>
  <c r="EY1367" i="191" s="1"/>
  <c r="CW1361" i="191"/>
  <c r="CW1360" i="191" s="1"/>
  <c r="CW1369" i="191" s="1"/>
  <c r="DC1370" i="191" s="1"/>
  <c r="DC1367" i="191" s="1"/>
  <c r="DI1367" i="191" s="1"/>
  <c r="BG1361" i="191"/>
  <c r="BG1360" i="191" s="1"/>
  <c r="BG1369" i="191" s="1"/>
  <c r="BM1370" i="191" s="1"/>
  <c r="BM1367" i="191" s="1"/>
  <c r="BS1367" i="191" s="1"/>
  <c r="Q1361" i="191"/>
  <c r="Q1360" i="191" s="1"/>
  <c r="Q1369" i="191" s="1"/>
  <c r="W1370" i="191" s="1"/>
  <c r="W1367" i="191" s="1"/>
  <c r="AC1367" i="191" s="1"/>
  <c r="XA1361" i="191"/>
  <c r="VK1361" i="191"/>
  <c r="TU1361" i="191"/>
  <c r="SE1361" i="191"/>
  <c r="QO1361" i="191"/>
  <c r="OY1361" i="191"/>
  <c r="NI1361" i="191"/>
  <c r="LS1361" i="191"/>
  <c r="KC1361" i="191"/>
  <c r="IM1361" i="191"/>
  <c r="GW1361" i="191"/>
  <c r="FG1361" i="191"/>
  <c r="DQ1361" i="191"/>
  <c r="CA1361" i="191"/>
  <c r="AK1361" i="191"/>
  <c r="YQ1361" i="191"/>
  <c r="XV1361" i="191"/>
  <c r="WF1361" i="191"/>
  <c r="UP1361" i="191"/>
  <c r="SZ1361" i="191"/>
  <c r="RJ1361" i="191"/>
  <c r="PT1361" i="191"/>
  <c r="OD1361" i="191"/>
  <c r="MN1361" i="191"/>
  <c r="KX1361" i="191"/>
  <c r="JH1361" i="191"/>
  <c r="HR1361" i="191"/>
  <c r="GB1361" i="191"/>
  <c r="EL1361" i="191"/>
  <c r="CV1361" i="191"/>
  <c r="BF1361" i="191"/>
  <c r="P1361" i="191"/>
  <c r="XV1362" i="191"/>
  <c r="WF1362" i="191"/>
  <c r="UP1362" i="191"/>
  <c r="SZ1362" i="191"/>
  <c r="RJ1362" i="191"/>
  <c r="PT1362" i="191"/>
  <c r="OD1362" i="191"/>
  <c r="MN1362" i="191"/>
  <c r="KX1362" i="191"/>
  <c r="JH1362" i="191"/>
  <c r="HR1362" i="191"/>
  <c r="GB1362" i="191"/>
  <c r="EL1362" i="191"/>
  <c r="CV1362" i="191"/>
  <c r="BF1362" i="191"/>
  <c r="P1362" i="191"/>
  <c r="XA1362" i="191"/>
  <c r="VK1362" i="191"/>
  <c r="TU1362" i="191"/>
  <c r="SE1362" i="191"/>
  <c r="QO1362" i="191"/>
  <c r="OY1362" i="191"/>
  <c r="NI1362" i="191"/>
  <c r="LS1362" i="191"/>
  <c r="KC1362" i="191"/>
  <c r="IM1362" i="191"/>
  <c r="GW1362" i="191"/>
  <c r="FG1362" i="191"/>
  <c r="DQ1362" i="191"/>
  <c r="CA1362" i="191"/>
  <c r="AK1362" i="191"/>
  <c r="YQ1362" i="191"/>
  <c r="XA1363" i="191"/>
  <c r="VK1363" i="191"/>
  <c r="TU1363" i="191"/>
  <c r="SE1363" i="191"/>
  <c r="QO1363" i="191"/>
  <c r="OY1363" i="191"/>
  <c r="NI1363" i="191"/>
  <c r="LS1363" i="191"/>
  <c r="KC1363" i="191"/>
  <c r="IM1363" i="191"/>
  <c r="GW1363" i="191"/>
  <c r="FG1363" i="191"/>
  <c r="DQ1363" i="191"/>
  <c r="YQ1363" i="191"/>
  <c r="BF1363" i="191"/>
  <c r="P1363" i="191"/>
  <c r="XV1363" i="191"/>
  <c r="WF1363" i="191"/>
  <c r="UP1363" i="191"/>
  <c r="SZ1363" i="191"/>
  <c r="RJ1363" i="191"/>
  <c r="PT1363" i="191"/>
  <c r="OD1363" i="191"/>
  <c r="MN1363" i="191"/>
  <c r="KX1363" i="191"/>
  <c r="JH1363" i="191"/>
  <c r="HR1363" i="191"/>
  <c r="GB1363" i="191"/>
  <c r="EL1363" i="191"/>
  <c r="CV1363" i="191"/>
  <c r="CA1363" i="191"/>
  <c r="AK1363" i="191"/>
  <c r="YQ1367" i="191"/>
  <c r="XA1367" i="191"/>
  <c r="VK1367" i="191"/>
  <c r="TU1367" i="191"/>
  <c r="SE1367" i="191"/>
  <c r="QO1367" i="191"/>
  <c r="OY1367" i="191"/>
  <c r="NI1367" i="191"/>
  <c r="LS1367" i="191"/>
  <c r="KC1367" i="191"/>
  <c r="IM1367" i="191"/>
  <c r="GW1367" i="191"/>
  <c r="FG1367" i="191"/>
  <c r="DQ1367" i="191"/>
  <c r="CA1367" i="191"/>
  <c r="AK1367" i="191"/>
  <c r="XV1367" i="191"/>
  <c r="WF1367" i="191"/>
  <c r="UP1367" i="191"/>
  <c r="SZ1367" i="191"/>
  <c r="RJ1367" i="191"/>
  <c r="PT1367" i="191"/>
  <c r="OD1367" i="191"/>
  <c r="MN1367" i="191"/>
  <c r="KX1367" i="191"/>
  <c r="JH1367" i="191"/>
  <c r="HR1367" i="191"/>
  <c r="GB1367" i="191"/>
  <c r="EL1367" i="191"/>
  <c r="CV1367" i="191"/>
  <c r="BF1367" i="191"/>
  <c r="P1367" i="191"/>
  <c r="YQ1365" i="191"/>
  <c r="XA1365" i="191"/>
  <c r="VK1365" i="191"/>
  <c r="TU1365" i="191"/>
  <c r="SE1365" i="191"/>
  <c r="QO1365" i="191"/>
  <c r="OY1365" i="191"/>
  <c r="NI1365" i="191"/>
  <c r="LS1365" i="191"/>
  <c r="KC1365" i="191"/>
  <c r="IM1365" i="191"/>
  <c r="GW1365" i="191"/>
  <c r="FG1365" i="191"/>
  <c r="DQ1365" i="191"/>
  <c r="CA1365" i="191"/>
  <c r="AK1365" i="191"/>
  <c r="XV1365" i="191"/>
  <c r="WF1365" i="191"/>
  <c r="UP1365" i="191"/>
  <c r="SZ1365" i="191"/>
  <c r="RJ1365" i="191"/>
  <c r="PT1365" i="191"/>
  <c r="OD1365" i="191"/>
  <c r="MN1365" i="191"/>
  <c r="KX1365" i="191"/>
  <c r="JH1365" i="191"/>
  <c r="HR1365" i="191"/>
  <c r="GB1365" i="191"/>
  <c r="EL1365" i="191"/>
  <c r="CV1365" i="191"/>
  <c r="BF1365" i="191"/>
  <c r="P1365" i="191"/>
  <c r="XV1366" i="191"/>
  <c r="WF1366" i="191"/>
  <c r="UP1366" i="191"/>
  <c r="SZ1366" i="191"/>
  <c r="RJ1366" i="191"/>
  <c r="PT1366" i="191"/>
  <c r="OD1366" i="191"/>
  <c r="MN1366" i="191"/>
  <c r="KX1366" i="191"/>
  <c r="JH1366" i="191"/>
  <c r="HR1366" i="191"/>
  <c r="GB1366" i="191"/>
  <c r="EL1366" i="191"/>
  <c r="CV1366" i="191"/>
  <c r="BF1366" i="191"/>
  <c r="P1366" i="191"/>
  <c r="YQ1366" i="191"/>
  <c r="XA1366" i="191"/>
  <c r="VK1366" i="191"/>
  <c r="TU1366" i="191"/>
  <c r="SE1366" i="191"/>
  <c r="QO1366" i="191"/>
  <c r="OY1366" i="191"/>
  <c r="NI1366" i="191"/>
  <c r="LS1366" i="191"/>
  <c r="KC1366" i="191"/>
  <c r="IM1366" i="191"/>
  <c r="GW1366" i="191"/>
  <c r="FG1366" i="191"/>
  <c r="DQ1366" i="191"/>
  <c r="CA1366" i="191"/>
  <c r="AK1366" i="191"/>
  <c r="YP1361" i="191"/>
  <c r="WZ1361" i="191"/>
  <c r="VJ1361" i="191"/>
  <c r="TT1361" i="191"/>
  <c r="SD1361" i="191"/>
  <c r="QN1361" i="191"/>
  <c r="OX1361" i="191"/>
  <c r="NH1361" i="191"/>
  <c r="LR1361" i="191"/>
  <c r="KB1361" i="191"/>
  <c r="IL1361" i="191"/>
  <c r="GV1361" i="191"/>
  <c r="FF1361" i="191"/>
  <c r="DP1361" i="191"/>
  <c r="BZ1361" i="191"/>
  <c r="AJ1361" i="191"/>
  <c r="XU1361" i="191"/>
  <c r="WE1361" i="191"/>
  <c r="UO1361" i="191"/>
  <c r="SY1361" i="191"/>
  <c r="RI1361" i="191"/>
  <c r="PS1361" i="191"/>
  <c r="OC1361" i="191"/>
  <c r="MM1361" i="191"/>
  <c r="KW1361" i="191"/>
  <c r="JG1361" i="191"/>
  <c r="HQ1361" i="191"/>
  <c r="GA1361" i="191"/>
  <c r="EK1361" i="191"/>
  <c r="CU1361" i="191"/>
  <c r="BE1361" i="191"/>
  <c r="O1361" i="191"/>
  <c r="XU1366" i="191"/>
  <c r="WE1366" i="191"/>
  <c r="UO1366" i="191"/>
  <c r="SY1366" i="191"/>
  <c r="RI1366" i="191"/>
  <c r="PS1366" i="191"/>
  <c r="OC1366" i="191"/>
  <c r="MM1366" i="191"/>
  <c r="KW1366" i="191"/>
  <c r="JG1366" i="191"/>
  <c r="HQ1366" i="191"/>
  <c r="GA1366" i="191"/>
  <c r="EK1366" i="191"/>
  <c r="CU1366" i="191"/>
  <c r="BE1366" i="191"/>
  <c r="O1366" i="191"/>
  <c r="WZ1366" i="191"/>
  <c r="VJ1366" i="191"/>
  <c r="TT1366" i="191"/>
  <c r="SD1366" i="191"/>
  <c r="QN1366" i="191"/>
  <c r="OX1366" i="191"/>
  <c r="NH1366" i="191"/>
  <c r="LR1366" i="191"/>
  <c r="KB1366" i="191"/>
  <c r="IL1366" i="191"/>
  <c r="GV1366" i="191"/>
  <c r="FF1366" i="191"/>
  <c r="DP1366" i="191"/>
  <c r="BZ1366" i="191"/>
  <c r="AJ1366" i="191"/>
  <c r="YP1366" i="191"/>
  <c r="XU1362" i="191"/>
  <c r="WE1362" i="191"/>
  <c r="UO1362" i="191"/>
  <c r="SY1362" i="191"/>
  <c r="RI1362" i="191"/>
  <c r="PS1362" i="191"/>
  <c r="OC1362" i="191"/>
  <c r="MM1362" i="191"/>
  <c r="KW1362" i="191"/>
  <c r="JG1362" i="191"/>
  <c r="HQ1362" i="191"/>
  <c r="GA1362" i="191"/>
  <c r="EK1362" i="191"/>
  <c r="CU1362" i="191"/>
  <c r="BE1362" i="191"/>
  <c r="O1362" i="191"/>
  <c r="YP1362" i="191"/>
  <c r="WZ1362" i="191"/>
  <c r="VJ1362" i="191"/>
  <c r="TT1362" i="191"/>
  <c r="SD1362" i="191"/>
  <c r="QN1362" i="191"/>
  <c r="OX1362" i="191"/>
  <c r="NH1362" i="191"/>
  <c r="LR1362" i="191"/>
  <c r="KB1362" i="191"/>
  <c r="IL1362" i="191"/>
  <c r="GV1362" i="191"/>
  <c r="FF1362" i="191"/>
  <c r="DP1362" i="191"/>
  <c r="BZ1362" i="191"/>
  <c r="AJ1362" i="191"/>
  <c r="F1363" i="191"/>
  <c r="F1269" i="191"/>
  <c r="WZ1367" i="191"/>
  <c r="VJ1367" i="191"/>
  <c r="TT1367" i="191"/>
  <c r="SD1367" i="191"/>
  <c r="QN1367" i="191"/>
  <c r="OX1367" i="191"/>
  <c r="OC1367" i="191"/>
  <c r="MM1367" i="191"/>
  <c r="KW1367" i="191"/>
  <c r="JG1367" i="191"/>
  <c r="HQ1367" i="191"/>
  <c r="GA1367" i="191"/>
  <c r="EK1367" i="191"/>
  <c r="CU1367" i="191"/>
  <c r="BE1367" i="191"/>
  <c r="O1367" i="191"/>
  <c r="XU1367" i="191"/>
  <c r="WE1367" i="191"/>
  <c r="UO1367" i="191"/>
  <c r="SY1367" i="191"/>
  <c r="RI1367" i="191"/>
  <c r="PS1367" i="191"/>
  <c r="YP1367" i="191"/>
  <c r="NH1367" i="191"/>
  <c r="LR1367" i="191"/>
  <c r="KB1367" i="191"/>
  <c r="IL1367" i="191"/>
  <c r="GV1367" i="191"/>
  <c r="FF1367" i="191"/>
  <c r="DP1367" i="191"/>
  <c r="BZ1367" i="191"/>
  <c r="AJ1367" i="191"/>
  <c r="WZ1365" i="191"/>
  <c r="VJ1365" i="191"/>
  <c r="TT1365" i="191"/>
  <c r="SD1365" i="191"/>
  <c r="QN1365" i="191"/>
  <c r="OX1365" i="191"/>
  <c r="NH1365" i="191"/>
  <c r="LR1365" i="191"/>
  <c r="KB1365" i="191"/>
  <c r="IL1365" i="191"/>
  <c r="GV1365" i="191"/>
  <c r="FF1365" i="191"/>
  <c r="DP1365" i="191"/>
  <c r="BZ1365" i="191"/>
  <c r="AJ1365" i="191"/>
  <c r="WE1365" i="191"/>
  <c r="XU1365" i="191"/>
  <c r="YP1365" i="191"/>
  <c r="UO1365" i="191"/>
  <c r="SY1365" i="191"/>
  <c r="RI1365" i="191"/>
  <c r="PS1365" i="191"/>
  <c r="OC1365" i="191"/>
  <c r="MM1365" i="191"/>
  <c r="KW1365" i="191"/>
  <c r="JG1365" i="191"/>
  <c r="HQ1365" i="191"/>
  <c r="GA1365" i="191"/>
  <c r="EK1365" i="191"/>
  <c r="CU1365" i="191"/>
  <c r="BE1365" i="191"/>
  <c r="O1365" i="191"/>
  <c r="XW1329" i="191"/>
  <c r="WG1329" i="191"/>
  <c r="UQ1329" i="191"/>
  <c r="TA1329" i="191"/>
  <c r="RK1329" i="191"/>
  <c r="PU1329" i="191"/>
  <c r="OE1329" i="191"/>
  <c r="LT1329" i="191"/>
  <c r="IN1329" i="191"/>
  <c r="FH1329" i="191"/>
  <c r="CB1329" i="191"/>
  <c r="MO1329" i="191"/>
  <c r="JI1329" i="191"/>
  <c r="GC1329" i="191"/>
  <c r="CW1329" i="191"/>
  <c r="Q1329" i="191"/>
  <c r="YR1329" i="191"/>
  <c r="VL1329" i="191"/>
  <c r="SF1329" i="191"/>
  <c r="OZ1329" i="191"/>
  <c r="GX1329" i="191"/>
  <c r="DR1329" i="191"/>
  <c r="EM1329" i="191"/>
  <c r="XB1329" i="191"/>
  <c r="TV1329" i="191"/>
  <c r="QP1329" i="191"/>
  <c r="NJ1329" i="191"/>
  <c r="KD1329" i="191"/>
  <c r="AL1329" i="191"/>
  <c r="KY1329" i="191"/>
  <c r="HS1329" i="191"/>
  <c r="BG1329" i="191"/>
  <c r="XW1331" i="191"/>
  <c r="WG1331" i="191"/>
  <c r="UQ1331" i="191"/>
  <c r="TA1331" i="191"/>
  <c r="RK1331" i="191"/>
  <c r="PU1331" i="191"/>
  <c r="OE1331" i="191"/>
  <c r="MO1331" i="191"/>
  <c r="KY1331" i="191"/>
  <c r="JI1331" i="191"/>
  <c r="HS1331" i="191"/>
  <c r="GC1331" i="191"/>
  <c r="EM1331" i="191"/>
  <c r="CW1331" i="191"/>
  <c r="BG1331" i="191"/>
  <c r="Q1331" i="191"/>
  <c r="XB1331" i="191"/>
  <c r="VL1331" i="191"/>
  <c r="TV1331" i="191"/>
  <c r="SF1331" i="191"/>
  <c r="QP1331" i="191"/>
  <c r="OZ1331" i="191"/>
  <c r="NJ1331" i="191"/>
  <c r="KD1331" i="191"/>
  <c r="IN1331" i="191"/>
  <c r="FH1331" i="191"/>
  <c r="CB1331" i="191"/>
  <c r="YR1331" i="191"/>
  <c r="LT1331" i="191"/>
  <c r="GX1331" i="191"/>
  <c r="DR1331" i="191"/>
  <c r="AL1331" i="191"/>
  <c r="XB1319" i="191"/>
  <c r="VL1319" i="191"/>
  <c r="TV1319" i="191"/>
  <c r="SF1319" i="191"/>
  <c r="QP1319" i="191"/>
  <c r="OZ1319" i="191"/>
  <c r="NJ1319" i="191"/>
  <c r="LT1319" i="191"/>
  <c r="KD1319" i="191"/>
  <c r="IN1319" i="191"/>
  <c r="GX1319" i="191"/>
  <c r="FH1319" i="191"/>
  <c r="DR1319" i="191"/>
  <c r="CB1319" i="191"/>
  <c r="AL1319" i="191"/>
  <c r="YR1319" i="191"/>
  <c r="XW1319" i="191"/>
  <c r="UQ1319" i="191"/>
  <c r="RK1319" i="191"/>
  <c r="OE1319" i="191"/>
  <c r="KY1319" i="191"/>
  <c r="GC1319" i="191"/>
  <c r="BG1319" i="191"/>
  <c r="WG1319" i="191"/>
  <c r="TA1319" i="191"/>
  <c r="PU1319" i="191"/>
  <c r="MO1319" i="191"/>
  <c r="JI1319" i="191"/>
  <c r="HS1319" i="191"/>
  <c r="EM1319" i="191"/>
  <c r="CW1319" i="191"/>
  <c r="Q1319" i="191"/>
  <c r="XB1321" i="191"/>
  <c r="VL1321" i="191"/>
  <c r="TV1321" i="191"/>
  <c r="SF1321" i="191"/>
  <c r="QP1321" i="191"/>
  <c r="OZ1321" i="191"/>
  <c r="NJ1321" i="191"/>
  <c r="LT1321" i="191"/>
  <c r="KD1321" i="191"/>
  <c r="IN1321" i="191"/>
  <c r="GX1321" i="191"/>
  <c r="FH1321" i="191"/>
  <c r="DR1321" i="191"/>
  <c r="CB1321" i="191"/>
  <c r="AL1321" i="191"/>
  <c r="YR1321" i="191"/>
  <c r="XW1321" i="191"/>
  <c r="UQ1321" i="191"/>
  <c r="RK1321" i="191"/>
  <c r="OE1321" i="191"/>
  <c r="MO1321" i="191"/>
  <c r="JI1321" i="191"/>
  <c r="GC1321" i="191"/>
  <c r="CW1321" i="191"/>
  <c r="Q1321" i="191"/>
  <c r="WG1321" i="191"/>
  <c r="TA1321" i="191"/>
  <c r="PU1321" i="191"/>
  <c r="KY1321" i="191"/>
  <c r="HS1321" i="191"/>
  <c r="EM1321" i="191"/>
  <c r="BG1321" i="191"/>
  <c r="XW1345" i="191"/>
  <c r="WG1345" i="191"/>
  <c r="UQ1345" i="191"/>
  <c r="TA1345" i="191"/>
  <c r="RK1345" i="191"/>
  <c r="PU1345" i="191"/>
  <c r="OE1345" i="191"/>
  <c r="MO1345" i="191"/>
  <c r="KY1345" i="191"/>
  <c r="JI1345" i="191"/>
  <c r="HS1345" i="191"/>
  <c r="GC1345" i="191"/>
  <c r="EM1345" i="191"/>
  <c r="CW1345" i="191"/>
  <c r="BG1345" i="191"/>
  <c r="Q1345" i="191"/>
  <c r="YR1345" i="191"/>
  <c r="XB1345" i="191"/>
  <c r="VL1345" i="191"/>
  <c r="TV1345" i="191"/>
  <c r="SF1345" i="191"/>
  <c r="QP1345" i="191"/>
  <c r="OZ1345" i="191"/>
  <c r="NJ1345" i="191"/>
  <c r="LT1345" i="191"/>
  <c r="KD1345" i="191"/>
  <c r="IN1345" i="191"/>
  <c r="GX1345" i="191"/>
  <c r="FH1345" i="191"/>
  <c r="DR1345" i="191"/>
  <c r="CB1345" i="191"/>
  <c r="AL1345" i="191"/>
  <c r="XB1339" i="191"/>
  <c r="VL1339" i="191"/>
  <c r="TV1339" i="191"/>
  <c r="SF1339" i="191"/>
  <c r="QP1339" i="191"/>
  <c r="OZ1339" i="191"/>
  <c r="NJ1339" i="191"/>
  <c r="LT1339" i="191"/>
  <c r="KD1339" i="191"/>
  <c r="IN1339" i="191"/>
  <c r="GX1339" i="191"/>
  <c r="FH1339" i="191"/>
  <c r="DR1339" i="191"/>
  <c r="CB1339" i="191"/>
  <c r="AL1339" i="191"/>
  <c r="YR1339" i="191"/>
  <c r="XW1339" i="191"/>
  <c r="WG1339" i="191"/>
  <c r="UQ1339" i="191"/>
  <c r="TA1339" i="191"/>
  <c r="RK1339" i="191"/>
  <c r="PU1339" i="191"/>
  <c r="OE1339" i="191"/>
  <c r="MO1339" i="191"/>
  <c r="KY1339" i="191"/>
  <c r="JI1339" i="191"/>
  <c r="HS1339" i="191"/>
  <c r="GC1339" i="191"/>
  <c r="EM1339" i="191"/>
  <c r="CW1339" i="191"/>
  <c r="BG1339" i="191"/>
  <c r="Q1339" i="191"/>
  <c r="XB1343" i="191"/>
  <c r="VL1343" i="191"/>
  <c r="TV1343" i="191"/>
  <c r="SF1343" i="191"/>
  <c r="QP1343" i="191"/>
  <c r="OZ1343" i="191"/>
  <c r="NJ1343" i="191"/>
  <c r="LT1343" i="191"/>
  <c r="KD1343" i="191"/>
  <c r="IN1343" i="191"/>
  <c r="GX1343" i="191"/>
  <c r="FH1343" i="191"/>
  <c r="DR1343" i="191"/>
  <c r="CB1343" i="191"/>
  <c r="AL1343" i="191"/>
  <c r="YR1343" i="191"/>
  <c r="XW1343" i="191"/>
  <c r="WG1343" i="191"/>
  <c r="UQ1343" i="191"/>
  <c r="TA1343" i="191"/>
  <c r="RK1343" i="191"/>
  <c r="PU1343" i="191"/>
  <c r="OE1343" i="191"/>
  <c r="MO1343" i="191"/>
  <c r="KY1343" i="191"/>
  <c r="JI1343" i="191"/>
  <c r="HS1343" i="191"/>
  <c r="GC1343" i="191"/>
  <c r="EM1343" i="191"/>
  <c r="CW1343" i="191"/>
  <c r="BG1343" i="191"/>
  <c r="Q1343" i="191"/>
  <c r="XW1335" i="191"/>
  <c r="WG1335" i="191"/>
  <c r="UQ1335" i="191"/>
  <c r="TA1335" i="191"/>
  <c r="RK1335" i="191"/>
  <c r="PU1335" i="191"/>
  <c r="OE1335" i="191"/>
  <c r="MO1335" i="191"/>
  <c r="KY1335" i="191"/>
  <c r="JI1335" i="191"/>
  <c r="HS1335" i="191"/>
  <c r="GC1335" i="191"/>
  <c r="EM1335" i="191"/>
  <c r="CW1335" i="191"/>
  <c r="BG1335" i="191"/>
  <c r="Q1335" i="191"/>
  <c r="YR1335" i="191"/>
  <c r="XB1335" i="191"/>
  <c r="VL1335" i="191"/>
  <c r="TV1335" i="191"/>
  <c r="SF1335" i="191"/>
  <c r="QP1335" i="191"/>
  <c r="OZ1335" i="191"/>
  <c r="NJ1335" i="191"/>
  <c r="LT1335" i="191"/>
  <c r="KD1335" i="191"/>
  <c r="IN1335" i="191"/>
  <c r="GX1335" i="191"/>
  <c r="FH1335" i="191"/>
  <c r="DR1335" i="191"/>
  <c r="CB1335" i="191"/>
  <c r="AL1335" i="191"/>
  <c r="XW1333" i="191"/>
  <c r="WG1333" i="191"/>
  <c r="UQ1333" i="191"/>
  <c r="TA1333" i="191"/>
  <c r="RK1333" i="191"/>
  <c r="PU1333" i="191"/>
  <c r="OE1333" i="191"/>
  <c r="MO1333" i="191"/>
  <c r="KY1333" i="191"/>
  <c r="JI1333" i="191"/>
  <c r="HS1333" i="191"/>
  <c r="GC1333" i="191"/>
  <c r="EM1333" i="191"/>
  <c r="CW1333" i="191"/>
  <c r="BG1333" i="191"/>
  <c r="Q1333" i="191"/>
  <c r="YR1333" i="191"/>
  <c r="XB1333" i="191"/>
  <c r="VL1333" i="191"/>
  <c r="TV1333" i="191"/>
  <c r="SF1333" i="191"/>
  <c r="QP1333" i="191"/>
  <c r="OZ1333" i="191"/>
  <c r="NJ1333" i="191"/>
  <c r="LT1333" i="191"/>
  <c r="KD1333" i="191"/>
  <c r="IN1333" i="191"/>
  <c r="GX1333" i="191"/>
  <c r="FH1333" i="191"/>
  <c r="DR1333" i="191"/>
  <c r="CB1333" i="191"/>
  <c r="AL1333" i="191"/>
  <c r="XB1322" i="191"/>
  <c r="VL1322" i="191"/>
  <c r="TV1322" i="191"/>
  <c r="SF1322" i="191"/>
  <c r="QP1322" i="191"/>
  <c r="OZ1322" i="191"/>
  <c r="NJ1322" i="191"/>
  <c r="LT1322" i="191"/>
  <c r="KD1322" i="191"/>
  <c r="IN1322" i="191"/>
  <c r="GX1322" i="191"/>
  <c r="FH1322" i="191"/>
  <c r="DR1322" i="191"/>
  <c r="CB1322" i="191"/>
  <c r="AL1322" i="191"/>
  <c r="YR1322" i="191"/>
  <c r="XW1322" i="191"/>
  <c r="WG1322" i="191"/>
  <c r="UQ1322" i="191"/>
  <c r="TA1322" i="191"/>
  <c r="RK1322" i="191"/>
  <c r="PU1322" i="191"/>
  <c r="OE1322" i="191"/>
  <c r="MO1322" i="191"/>
  <c r="KY1322" i="191"/>
  <c r="JI1322" i="191"/>
  <c r="HS1322" i="191"/>
  <c r="GC1322" i="191"/>
  <c r="EM1322" i="191"/>
  <c r="CW1322" i="191"/>
  <c r="BG1322" i="191"/>
  <c r="Q1322" i="191"/>
  <c r="XV1331" i="191"/>
  <c r="WF1331" i="191"/>
  <c r="UP1331" i="191"/>
  <c r="SZ1331" i="191"/>
  <c r="RJ1331" i="191"/>
  <c r="PT1331" i="191"/>
  <c r="OD1331" i="191"/>
  <c r="MN1331" i="191"/>
  <c r="KX1331" i="191"/>
  <c r="JH1331" i="191"/>
  <c r="HR1331" i="191"/>
  <c r="GB1331" i="191"/>
  <c r="EL1331" i="191"/>
  <c r="CV1331" i="191"/>
  <c r="BF1331" i="191"/>
  <c r="P1331" i="191"/>
  <c r="XA1331" i="191"/>
  <c r="VK1331" i="191"/>
  <c r="TU1331" i="191"/>
  <c r="SE1331" i="191"/>
  <c r="QO1331" i="191"/>
  <c r="OY1331" i="191"/>
  <c r="NI1331" i="191"/>
  <c r="LS1331" i="191"/>
  <c r="KC1331" i="191"/>
  <c r="IM1331" i="191"/>
  <c r="GW1331" i="191"/>
  <c r="FG1331" i="191"/>
  <c r="DQ1331" i="191"/>
  <c r="CA1331" i="191"/>
  <c r="AK1331" i="191"/>
  <c r="YQ1331" i="191"/>
  <c r="XV1319" i="191"/>
  <c r="WF1319" i="191"/>
  <c r="UP1319" i="191"/>
  <c r="SZ1319" i="191"/>
  <c r="RJ1319" i="191"/>
  <c r="PT1319" i="191"/>
  <c r="OD1319" i="191"/>
  <c r="MN1319" i="191"/>
  <c r="KX1319" i="191"/>
  <c r="JH1319" i="191"/>
  <c r="HR1319" i="191"/>
  <c r="GB1319" i="191"/>
  <c r="EL1319" i="191"/>
  <c r="CV1319" i="191"/>
  <c r="BF1319" i="191"/>
  <c r="P1319" i="191"/>
  <c r="YQ1319" i="191"/>
  <c r="XA1319" i="191"/>
  <c r="VK1319" i="191"/>
  <c r="TU1319" i="191"/>
  <c r="SE1319" i="191"/>
  <c r="QO1319" i="191"/>
  <c r="OY1319" i="191"/>
  <c r="NI1319" i="191"/>
  <c r="LS1319" i="191"/>
  <c r="KC1319" i="191"/>
  <c r="IM1319" i="191"/>
  <c r="GW1319" i="191"/>
  <c r="FG1319" i="191"/>
  <c r="DQ1319" i="191"/>
  <c r="CA1319" i="191"/>
  <c r="AK1319" i="191"/>
  <c r="XV1321" i="191"/>
  <c r="WF1321" i="191"/>
  <c r="UP1321" i="191"/>
  <c r="SZ1321" i="191"/>
  <c r="RJ1321" i="191"/>
  <c r="PT1321" i="191"/>
  <c r="OD1321" i="191"/>
  <c r="MN1321" i="191"/>
  <c r="KX1321" i="191"/>
  <c r="JH1321" i="191"/>
  <c r="HR1321" i="191"/>
  <c r="GB1321" i="191"/>
  <c r="EL1321" i="191"/>
  <c r="CV1321" i="191"/>
  <c r="BF1321" i="191"/>
  <c r="P1321" i="191"/>
  <c r="YQ1321" i="191"/>
  <c r="XA1321" i="191"/>
  <c r="VK1321" i="191"/>
  <c r="TU1321" i="191"/>
  <c r="SE1321" i="191"/>
  <c r="QO1321" i="191"/>
  <c r="OY1321" i="191"/>
  <c r="NI1321" i="191"/>
  <c r="LS1321" i="191"/>
  <c r="KC1321" i="191"/>
  <c r="IM1321" i="191"/>
  <c r="GW1321" i="191"/>
  <c r="FG1321" i="191"/>
  <c r="DQ1321" i="191"/>
  <c r="CA1321" i="191"/>
  <c r="AK1321" i="191"/>
  <c r="XV1329" i="191"/>
  <c r="WF1329" i="191"/>
  <c r="UP1329" i="191"/>
  <c r="SZ1329" i="191"/>
  <c r="RJ1329" i="191"/>
  <c r="PT1329" i="191"/>
  <c r="OD1329" i="191"/>
  <c r="MN1329" i="191"/>
  <c r="KX1329" i="191"/>
  <c r="JH1329" i="191"/>
  <c r="HR1329" i="191"/>
  <c r="GB1329" i="191"/>
  <c r="EL1329" i="191"/>
  <c r="CV1329" i="191"/>
  <c r="BF1329" i="191"/>
  <c r="YQ1329" i="191"/>
  <c r="XA1329" i="191"/>
  <c r="VK1329" i="191"/>
  <c r="TU1329" i="191"/>
  <c r="SE1329" i="191"/>
  <c r="QO1329" i="191"/>
  <c r="OY1329" i="191"/>
  <c r="NI1329" i="191"/>
  <c r="LS1329" i="191"/>
  <c r="KC1329" i="191"/>
  <c r="IM1329" i="191"/>
  <c r="GW1329" i="191"/>
  <c r="FG1329" i="191"/>
  <c r="DQ1329" i="191"/>
  <c r="CA1329" i="191"/>
  <c r="AK1329" i="191"/>
  <c r="P1329" i="191"/>
  <c r="XV1333" i="191"/>
  <c r="WF1333" i="191"/>
  <c r="UP1333" i="191"/>
  <c r="SZ1333" i="191"/>
  <c r="RJ1333" i="191"/>
  <c r="PT1333" i="191"/>
  <c r="OD1333" i="191"/>
  <c r="MN1333" i="191"/>
  <c r="KX1333" i="191"/>
  <c r="JH1333" i="191"/>
  <c r="HR1333" i="191"/>
  <c r="GB1333" i="191"/>
  <c r="EL1333" i="191"/>
  <c r="CV1333" i="191"/>
  <c r="BF1333" i="191"/>
  <c r="P1333" i="191"/>
  <c r="XA1333" i="191"/>
  <c r="VK1333" i="191"/>
  <c r="TU1333" i="191"/>
  <c r="SE1333" i="191"/>
  <c r="QO1333" i="191"/>
  <c r="OY1333" i="191"/>
  <c r="NI1333" i="191"/>
  <c r="LS1333" i="191"/>
  <c r="KC1333" i="191"/>
  <c r="IM1333" i="191"/>
  <c r="GW1333" i="191"/>
  <c r="FG1333" i="191"/>
  <c r="DQ1333" i="191"/>
  <c r="CA1333" i="191"/>
  <c r="AK1333" i="191"/>
  <c r="YQ1333" i="191"/>
  <c r="XV1345" i="191"/>
  <c r="WF1345" i="191"/>
  <c r="UP1345" i="191"/>
  <c r="SZ1345" i="191"/>
  <c r="RJ1345" i="191"/>
  <c r="PT1345" i="191"/>
  <c r="OD1345" i="191"/>
  <c r="MN1345" i="191"/>
  <c r="KX1345" i="191"/>
  <c r="JH1345" i="191"/>
  <c r="HR1345" i="191"/>
  <c r="GB1345" i="191"/>
  <c r="EL1345" i="191"/>
  <c r="CV1345" i="191"/>
  <c r="BF1345" i="191"/>
  <c r="P1345" i="191"/>
  <c r="XA1345" i="191"/>
  <c r="VK1345" i="191"/>
  <c r="TU1345" i="191"/>
  <c r="SE1345" i="191"/>
  <c r="QO1345" i="191"/>
  <c r="OY1345" i="191"/>
  <c r="NI1345" i="191"/>
  <c r="LS1345" i="191"/>
  <c r="KC1345" i="191"/>
  <c r="IM1345" i="191"/>
  <c r="GW1345" i="191"/>
  <c r="FG1345" i="191"/>
  <c r="DQ1345" i="191"/>
  <c r="CA1345" i="191"/>
  <c r="AK1345" i="191"/>
  <c r="YQ1345" i="191"/>
  <c r="XV1339" i="191"/>
  <c r="WF1339" i="191"/>
  <c r="UP1339" i="191"/>
  <c r="SZ1339" i="191"/>
  <c r="RJ1339" i="191"/>
  <c r="PT1339" i="191"/>
  <c r="OD1339" i="191"/>
  <c r="MN1339" i="191"/>
  <c r="KX1339" i="191"/>
  <c r="JH1339" i="191"/>
  <c r="HR1339" i="191"/>
  <c r="GB1339" i="191"/>
  <c r="EL1339" i="191"/>
  <c r="CV1339" i="191"/>
  <c r="BF1339" i="191"/>
  <c r="P1339" i="191"/>
  <c r="YQ1339" i="191"/>
  <c r="XA1339" i="191"/>
  <c r="VK1339" i="191"/>
  <c r="TU1339" i="191"/>
  <c r="SE1339" i="191"/>
  <c r="QO1339" i="191"/>
  <c r="OY1339" i="191"/>
  <c r="NI1339" i="191"/>
  <c r="LS1339" i="191"/>
  <c r="KC1339" i="191"/>
  <c r="IM1339" i="191"/>
  <c r="GW1339" i="191"/>
  <c r="FG1339" i="191"/>
  <c r="DQ1339" i="191"/>
  <c r="CA1339" i="191"/>
  <c r="AK1339" i="191"/>
  <c r="XV1322" i="191"/>
  <c r="WF1322" i="191"/>
  <c r="UP1322" i="191"/>
  <c r="SZ1322" i="191"/>
  <c r="RJ1322" i="191"/>
  <c r="PT1322" i="191"/>
  <c r="OD1322" i="191"/>
  <c r="MN1322" i="191"/>
  <c r="KX1322" i="191"/>
  <c r="JH1322" i="191"/>
  <c r="HR1322" i="191"/>
  <c r="GB1322" i="191"/>
  <c r="EL1322" i="191"/>
  <c r="CV1322" i="191"/>
  <c r="BF1322" i="191"/>
  <c r="P1322" i="191"/>
  <c r="YQ1322" i="191"/>
  <c r="XA1322" i="191"/>
  <c r="VK1322" i="191"/>
  <c r="TU1322" i="191"/>
  <c r="SE1322" i="191"/>
  <c r="QO1322" i="191"/>
  <c r="OY1322" i="191"/>
  <c r="NI1322" i="191"/>
  <c r="LS1322" i="191"/>
  <c r="KC1322" i="191"/>
  <c r="IM1322" i="191"/>
  <c r="GW1322" i="191"/>
  <c r="FG1322" i="191"/>
  <c r="DQ1322" i="191"/>
  <c r="CA1322" i="191"/>
  <c r="AK1322" i="191"/>
  <c r="YQ1343" i="191"/>
  <c r="XA1343" i="191"/>
  <c r="VK1343" i="191"/>
  <c r="TU1343" i="191"/>
  <c r="SE1343" i="191"/>
  <c r="QO1343" i="191"/>
  <c r="OY1343" i="191"/>
  <c r="NI1343" i="191"/>
  <c r="LS1343" i="191"/>
  <c r="KC1343" i="191"/>
  <c r="IM1343" i="191"/>
  <c r="GW1343" i="191"/>
  <c r="FG1343" i="191"/>
  <c r="DQ1343" i="191"/>
  <c r="CA1343" i="191"/>
  <c r="AK1343" i="191"/>
  <c r="XV1343" i="191"/>
  <c r="WF1343" i="191"/>
  <c r="UP1343" i="191"/>
  <c r="SZ1343" i="191"/>
  <c r="RJ1343" i="191"/>
  <c r="PT1343" i="191"/>
  <c r="OD1343" i="191"/>
  <c r="MN1343" i="191"/>
  <c r="KX1343" i="191"/>
  <c r="JH1343" i="191"/>
  <c r="HR1343" i="191"/>
  <c r="GB1343" i="191"/>
  <c r="EL1343" i="191"/>
  <c r="CV1343" i="191"/>
  <c r="BF1343" i="191"/>
  <c r="P1343" i="191"/>
  <c r="XA1335" i="191"/>
  <c r="VK1335" i="191"/>
  <c r="TU1335" i="191"/>
  <c r="SE1335" i="191"/>
  <c r="QO1335" i="191"/>
  <c r="OY1335" i="191"/>
  <c r="NI1335" i="191"/>
  <c r="LS1335" i="191"/>
  <c r="KC1335" i="191"/>
  <c r="IM1335" i="191"/>
  <c r="GW1335" i="191"/>
  <c r="FG1335" i="191"/>
  <c r="DQ1335" i="191"/>
  <c r="CA1335" i="191"/>
  <c r="AK1335" i="191"/>
  <c r="YQ1335" i="191"/>
  <c r="XV1335" i="191"/>
  <c r="WF1335" i="191"/>
  <c r="UP1335" i="191"/>
  <c r="SZ1335" i="191"/>
  <c r="RJ1335" i="191"/>
  <c r="PT1335" i="191"/>
  <c r="OD1335" i="191"/>
  <c r="MN1335" i="191"/>
  <c r="KX1335" i="191"/>
  <c r="JH1335" i="191"/>
  <c r="HR1335" i="191"/>
  <c r="GB1335" i="191"/>
  <c r="EL1335" i="191"/>
  <c r="CV1335" i="191"/>
  <c r="BF1335" i="191"/>
  <c r="P1335" i="191"/>
  <c r="PS1333" i="191"/>
  <c r="QN1333" i="191"/>
  <c r="XU1322" i="191"/>
  <c r="WE1322" i="191"/>
  <c r="UO1322" i="191"/>
  <c r="SY1322" i="191"/>
  <c r="RI1322" i="191"/>
  <c r="PS1322" i="191"/>
  <c r="OC1322" i="191"/>
  <c r="MM1322" i="191"/>
  <c r="KW1322" i="191"/>
  <c r="JG1322" i="191"/>
  <c r="HQ1322" i="191"/>
  <c r="GA1322" i="191"/>
  <c r="EK1322" i="191"/>
  <c r="CU1322" i="191"/>
  <c r="BE1322" i="191"/>
  <c r="O1322" i="191"/>
  <c r="WZ1322" i="191"/>
  <c r="VJ1322" i="191"/>
  <c r="TT1322" i="191"/>
  <c r="SD1322" i="191"/>
  <c r="QN1322" i="191"/>
  <c r="OX1322" i="191"/>
  <c r="NH1322" i="191"/>
  <c r="LR1322" i="191"/>
  <c r="KB1322" i="191"/>
  <c r="IL1322" i="191"/>
  <c r="GV1322" i="191"/>
  <c r="FF1322" i="191"/>
  <c r="DP1322" i="191"/>
  <c r="BZ1322" i="191"/>
  <c r="AJ1322" i="191"/>
  <c r="YP1322" i="191"/>
  <c r="XU1335" i="191"/>
  <c r="WE1335" i="191"/>
  <c r="UO1335" i="191"/>
  <c r="SY1335" i="191"/>
  <c r="RI1335" i="191"/>
  <c r="PS1335" i="191"/>
  <c r="OC1335" i="191"/>
  <c r="MM1335" i="191"/>
  <c r="KW1335" i="191"/>
  <c r="JG1335" i="191"/>
  <c r="HQ1335" i="191"/>
  <c r="GA1335" i="191"/>
  <c r="EK1335" i="191"/>
  <c r="CU1335" i="191"/>
  <c r="BE1335" i="191"/>
  <c r="O1335" i="191"/>
  <c r="YP1335" i="191"/>
  <c r="WZ1335" i="191"/>
  <c r="VJ1335" i="191"/>
  <c r="TT1335" i="191"/>
  <c r="SD1335" i="191"/>
  <c r="QN1335" i="191"/>
  <c r="OX1335" i="191"/>
  <c r="NH1335" i="191"/>
  <c r="LR1335" i="191"/>
  <c r="KB1335" i="191"/>
  <c r="IL1335" i="191"/>
  <c r="GV1335" i="191"/>
  <c r="FF1335" i="191"/>
  <c r="DP1335" i="191"/>
  <c r="BZ1335" i="191"/>
  <c r="AJ1335" i="191"/>
  <c r="WZ1319" i="191"/>
  <c r="VJ1319" i="191"/>
  <c r="TT1319" i="191"/>
  <c r="SD1319" i="191"/>
  <c r="QN1319" i="191"/>
  <c r="OX1319" i="191"/>
  <c r="NH1319" i="191"/>
  <c r="LR1319" i="191"/>
  <c r="KB1319" i="191"/>
  <c r="IL1319" i="191"/>
  <c r="GV1319" i="191"/>
  <c r="FF1319" i="191"/>
  <c r="DP1319" i="191"/>
  <c r="BZ1319" i="191"/>
  <c r="AJ1319" i="191"/>
  <c r="YP1319" i="191"/>
  <c r="XU1319" i="191"/>
  <c r="WE1319" i="191"/>
  <c r="UO1319" i="191"/>
  <c r="SY1319" i="191"/>
  <c r="RI1319" i="191"/>
  <c r="PS1319" i="191"/>
  <c r="OC1319" i="191"/>
  <c r="MM1319" i="191"/>
  <c r="KW1319" i="191"/>
  <c r="JG1319" i="191"/>
  <c r="HQ1319" i="191"/>
  <c r="GA1319" i="191"/>
  <c r="EK1319" i="191"/>
  <c r="CU1319" i="191"/>
  <c r="BE1319" i="191"/>
  <c r="O1319" i="191"/>
  <c r="XU1331" i="191"/>
  <c r="WE1331" i="191"/>
  <c r="UO1331" i="191"/>
  <c r="SY1331" i="191"/>
  <c r="RI1331" i="191"/>
  <c r="PS1331" i="191"/>
  <c r="OC1331" i="191"/>
  <c r="MM1331" i="191"/>
  <c r="KW1331" i="191"/>
  <c r="JG1331" i="191"/>
  <c r="HQ1331" i="191"/>
  <c r="GA1331" i="191"/>
  <c r="EK1331" i="191"/>
  <c r="CU1331" i="191"/>
  <c r="BE1331" i="191"/>
  <c r="O1331" i="191"/>
  <c r="YP1331" i="191"/>
  <c r="WZ1331" i="191"/>
  <c r="VJ1331" i="191"/>
  <c r="TT1331" i="191"/>
  <c r="SD1331" i="191"/>
  <c r="QN1331" i="191"/>
  <c r="OX1331" i="191"/>
  <c r="NH1331" i="191"/>
  <c r="LR1331" i="191"/>
  <c r="KB1331" i="191"/>
  <c r="IL1331" i="191"/>
  <c r="GV1331" i="191"/>
  <c r="FF1331" i="191"/>
  <c r="DP1331" i="191"/>
  <c r="BZ1331" i="191"/>
  <c r="AJ1331" i="191"/>
  <c r="VJ1321" i="191"/>
  <c r="OX1321" i="191"/>
  <c r="IL1321" i="191"/>
  <c r="BZ1321" i="191"/>
  <c r="WE1321" i="191"/>
  <c r="PS1321" i="191"/>
  <c r="JG1321" i="191"/>
  <c r="CU1321" i="191"/>
  <c r="XU1329" i="191"/>
  <c r="WE1329" i="191"/>
  <c r="UO1329" i="191"/>
  <c r="SY1329" i="191"/>
  <c r="RI1329" i="191"/>
  <c r="PS1329" i="191"/>
  <c r="OC1329" i="191"/>
  <c r="KW1329" i="191"/>
  <c r="HQ1329" i="191"/>
  <c r="EK1329" i="191"/>
  <c r="BE1329" i="191"/>
  <c r="LR1329" i="191"/>
  <c r="IL1329" i="191"/>
  <c r="FF1329" i="191"/>
  <c r="BZ1329" i="191"/>
  <c r="O1329" i="191"/>
  <c r="YP1329" i="191"/>
  <c r="WZ1329" i="191"/>
  <c r="VJ1329" i="191"/>
  <c r="TT1329" i="191"/>
  <c r="SD1329" i="191"/>
  <c r="QN1329" i="191"/>
  <c r="OX1329" i="191"/>
  <c r="MM1329" i="191"/>
  <c r="JG1329" i="191"/>
  <c r="GA1329" i="191"/>
  <c r="CU1329" i="191"/>
  <c r="NH1329" i="191"/>
  <c r="KB1329" i="191"/>
  <c r="GV1329" i="191"/>
  <c r="DP1329" i="191"/>
  <c r="AJ1329" i="191"/>
  <c r="WZ1339" i="191"/>
  <c r="VJ1339" i="191"/>
  <c r="TT1339" i="191"/>
  <c r="SD1339" i="191"/>
  <c r="QN1339" i="191"/>
  <c r="OX1339" i="191"/>
  <c r="NH1339" i="191"/>
  <c r="LR1339" i="191"/>
  <c r="KB1339" i="191"/>
  <c r="IL1339" i="191"/>
  <c r="GV1339" i="191"/>
  <c r="FF1339" i="191"/>
  <c r="DP1339" i="191"/>
  <c r="BZ1339" i="191"/>
  <c r="AJ1339" i="191"/>
  <c r="YP1339" i="191"/>
  <c r="XU1339" i="191"/>
  <c r="WE1339" i="191"/>
  <c r="UO1339" i="191"/>
  <c r="SY1339" i="191"/>
  <c r="RI1339" i="191"/>
  <c r="PS1339" i="191"/>
  <c r="OC1339" i="191"/>
  <c r="MM1339" i="191"/>
  <c r="KW1339" i="191"/>
  <c r="JG1339" i="191"/>
  <c r="HQ1339" i="191"/>
  <c r="GA1339" i="191"/>
  <c r="EK1339" i="191"/>
  <c r="CU1339" i="191"/>
  <c r="BE1339" i="191"/>
  <c r="O1339" i="191"/>
  <c r="XU1345" i="191"/>
  <c r="WE1345" i="191"/>
  <c r="UO1345" i="191"/>
  <c r="SY1345" i="191"/>
  <c r="RI1345" i="191"/>
  <c r="PS1345" i="191"/>
  <c r="OC1345" i="191"/>
  <c r="MM1345" i="191"/>
  <c r="KW1345" i="191"/>
  <c r="JG1345" i="191"/>
  <c r="HQ1345" i="191"/>
  <c r="GA1345" i="191"/>
  <c r="EK1345" i="191"/>
  <c r="CU1345" i="191"/>
  <c r="BE1345" i="191"/>
  <c r="O1345" i="191"/>
  <c r="YP1345" i="191"/>
  <c r="WZ1345" i="191"/>
  <c r="VJ1345" i="191"/>
  <c r="TT1345" i="191"/>
  <c r="SD1345" i="191"/>
  <c r="QN1345" i="191"/>
  <c r="OX1345" i="191"/>
  <c r="NH1345" i="191"/>
  <c r="LR1345" i="191"/>
  <c r="KB1345" i="191"/>
  <c r="IL1345" i="191"/>
  <c r="GV1345" i="191"/>
  <c r="FF1345" i="191"/>
  <c r="DP1345" i="191"/>
  <c r="BZ1345" i="191"/>
  <c r="AJ1345" i="191"/>
  <c r="WZ1343" i="191"/>
  <c r="VJ1343" i="191"/>
  <c r="TT1343" i="191"/>
  <c r="SD1343" i="191"/>
  <c r="QN1343" i="191"/>
  <c r="OX1343" i="191"/>
  <c r="NH1343" i="191"/>
  <c r="LR1343" i="191"/>
  <c r="KB1343" i="191"/>
  <c r="IL1343" i="191"/>
  <c r="GV1343" i="191"/>
  <c r="FF1343" i="191"/>
  <c r="DP1343" i="191"/>
  <c r="BZ1343" i="191"/>
  <c r="AJ1343" i="191"/>
  <c r="YP1343" i="191"/>
  <c r="XU1343" i="191"/>
  <c r="WE1343" i="191"/>
  <c r="UO1343" i="191"/>
  <c r="SY1343" i="191"/>
  <c r="RI1343" i="191"/>
  <c r="PS1343" i="191"/>
  <c r="OC1343" i="191"/>
  <c r="MM1343" i="191"/>
  <c r="KW1343" i="191"/>
  <c r="JG1343" i="191"/>
  <c r="HQ1343" i="191"/>
  <c r="GA1343" i="191"/>
  <c r="EK1343" i="191"/>
  <c r="CU1343" i="191"/>
  <c r="BE1343" i="191"/>
  <c r="O1343" i="191"/>
  <c r="F193" i="191"/>
  <c r="F67" i="191" s="1"/>
  <c r="G193" i="191"/>
  <c r="G67" i="191" s="1"/>
  <c r="H184" i="191"/>
  <c r="H58" i="191" s="1"/>
  <c r="F184" i="191"/>
  <c r="F58" i="191" s="1"/>
  <c r="H193" i="191"/>
  <c r="H67" i="191" s="1"/>
  <c r="G184" i="191"/>
  <c r="G58" i="191" s="1"/>
  <c r="EK1321" i="191" l="1"/>
  <c r="KW1321" i="191"/>
  <c r="RI1321" i="191"/>
  <c r="XU1321" i="191"/>
  <c r="DP1321" i="191"/>
  <c r="KB1321" i="191"/>
  <c r="QN1321" i="191"/>
  <c r="WZ1321" i="191"/>
  <c r="WZ1333" i="191"/>
  <c r="WE1333" i="191"/>
  <c r="O1321" i="191"/>
  <c r="GA1321" i="191"/>
  <c r="MM1321" i="191"/>
  <c r="SY1321" i="191"/>
  <c r="YP1321" i="191"/>
  <c r="FF1321" i="191"/>
  <c r="LR1321" i="191"/>
  <c r="SD1321" i="191"/>
  <c r="DP1333" i="191"/>
  <c r="CU1333" i="191"/>
  <c r="SG1280" i="191"/>
  <c r="SG1310" i="191" s="1"/>
  <c r="SM1311" i="191" s="1"/>
  <c r="BE1321" i="191"/>
  <c r="HQ1321" i="191"/>
  <c r="OC1321" i="191"/>
  <c r="UO1321" i="191"/>
  <c r="AJ1321" i="191"/>
  <c r="GV1321" i="191"/>
  <c r="NH1321" i="191"/>
  <c r="KB1333" i="191"/>
  <c r="JG1333" i="191"/>
  <c r="YY1292" i="191"/>
  <c r="ZE1292" i="191" s="1"/>
  <c r="YY1298" i="191"/>
  <c r="ZE1298" i="191" s="1"/>
  <c r="YY1284" i="191"/>
  <c r="ZE1284" i="191" s="1"/>
  <c r="YY1307" i="191"/>
  <c r="ZE1307" i="191" s="1"/>
  <c r="YY1294" i="191"/>
  <c r="ZE1294" i="191" s="1"/>
  <c r="YY1286" i="191"/>
  <c r="ZE1286" i="191" s="1"/>
  <c r="IQ1348" i="191"/>
  <c r="IW1349" i="191" s="1"/>
  <c r="IW1319" i="191" s="1"/>
  <c r="JC1319" i="191" s="1"/>
  <c r="QQ1280" i="191"/>
  <c r="QQ1310" i="191" s="1"/>
  <c r="QW1311" i="191" s="1"/>
  <c r="QW1301" i="191" s="1"/>
  <c r="RC1301" i="191" s="1"/>
  <c r="BZ1333" i="191"/>
  <c r="IL1333" i="191"/>
  <c r="OX1333" i="191"/>
  <c r="VJ1333" i="191"/>
  <c r="BE1333" i="191"/>
  <c r="HQ1333" i="191"/>
  <c r="OC1333" i="191"/>
  <c r="UO1333" i="191"/>
  <c r="AJ1333" i="191"/>
  <c r="GV1333" i="191"/>
  <c r="NH1333" i="191"/>
  <c r="TT1333" i="191"/>
  <c r="O1333" i="191"/>
  <c r="GA1333" i="191"/>
  <c r="MM1333" i="191"/>
  <c r="SY1333" i="191"/>
  <c r="FF1333" i="191"/>
  <c r="LR1333" i="191"/>
  <c r="SD1333" i="191"/>
  <c r="YP1333" i="191"/>
  <c r="EK1333" i="191"/>
  <c r="KW1333" i="191"/>
  <c r="RI1333" i="191"/>
  <c r="DS1280" i="191"/>
  <c r="DS1310" i="191" s="1"/>
  <c r="DY1311" i="191" s="1"/>
  <c r="DY1288" i="191" s="1"/>
  <c r="EE1288" i="191" s="1"/>
  <c r="YU1348" i="191"/>
  <c r="ZA1349" i="191" s="1"/>
  <c r="ZA1329" i="191" s="1"/>
  <c r="ZG1329" i="191" s="1"/>
  <c r="GY1280" i="191"/>
  <c r="GY1310" i="191" s="1"/>
  <c r="HE1311" i="191" s="1"/>
  <c r="HE1300" i="191" s="1"/>
  <c r="HK1300" i="191" s="1"/>
  <c r="GD1280" i="191"/>
  <c r="GD1310" i="191" s="1"/>
  <c r="GJ1311" i="191" s="1"/>
  <c r="GJ1306" i="191" s="1"/>
  <c r="GP1306" i="191" s="1"/>
  <c r="WH1280" i="191"/>
  <c r="WH1310" i="191" s="1"/>
  <c r="WN1311" i="191" s="1"/>
  <c r="WN1291" i="191" s="1"/>
  <c r="WT1291" i="191" s="1"/>
  <c r="RL1280" i="191"/>
  <c r="RL1310" i="191" s="1"/>
  <c r="RR1311" i="191" s="1"/>
  <c r="RR1300" i="191" s="1"/>
  <c r="RX1300" i="191" s="1"/>
  <c r="DT1348" i="191"/>
  <c r="DZ1349" i="191" s="1"/>
  <c r="DZ1321" i="191" s="1"/>
  <c r="EF1321" i="191" s="1"/>
  <c r="EO1348" i="191"/>
  <c r="EU1349" i="191" s="1"/>
  <c r="EU1319" i="191" s="1"/>
  <c r="FA1319" i="191" s="1"/>
  <c r="KG1348" i="191"/>
  <c r="KM1349" i="191" s="1"/>
  <c r="KM1323" i="191" s="1"/>
  <c r="KS1323" i="191" s="1"/>
  <c r="YY1304" i="191"/>
  <c r="ZE1304" i="191" s="1"/>
  <c r="YY1305" i="191"/>
  <c r="ZE1305" i="191" s="1"/>
  <c r="YY1287" i="191"/>
  <c r="ZE1287" i="191" s="1"/>
  <c r="YY1302" i="191"/>
  <c r="ZE1302" i="191" s="1"/>
  <c r="YY1290" i="191"/>
  <c r="ZE1290" i="191" s="1"/>
  <c r="YY1285" i="191"/>
  <c r="ZE1285" i="191" s="1"/>
  <c r="FO1301" i="191"/>
  <c r="FU1301" i="191" s="1"/>
  <c r="YY1303" i="191"/>
  <c r="ZE1303" i="191" s="1"/>
  <c r="YY1291" i="191"/>
  <c r="ZE1291" i="191" s="1"/>
  <c r="YY1299" i="191"/>
  <c r="ZE1299" i="191" s="1"/>
  <c r="YY1301" i="191"/>
  <c r="ZE1301" i="191" s="1"/>
  <c r="YY1289" i="191"/>
  <c r="ZE1289" i="191" s="1"/>
  <c r="YY1297" i="191"/>
  <c r="ZE1297" i="191" s="1"/>
  <c r="YY1288" i="191"/>
  <c r="ZE1288" i="191" s="1"/>
  <c r="YY1282" i="191"/>
  <c r="ZE1282" i="191" s="1"/>
  <c r="YY1308" i="191"/>
  <c r="ZE1308" i="191" s="1"/>
  <c r="YY1293" i="191"/>
  <c r="ZE1293" i="191" s="1"/>
  <c r="YY1283" i="191"/>
  <c r="ZE1283" i="191" s="1"/>
  <c r="SI1348" i="191"/>
  <c r="SO1349" i="191" s="1"/>
  <c r="SO1339" i="191" s="1"/>
  <c r="SU1339" i="191" s="1"/>
  <c r="QW1286" i="191"/>
  <c r="RC1286" i="191" s="1"/>
  <c r="TB1280" i="191"/>
  <c r="TB1310" i="191" s="1"/>
  <c r="TH1311" i="191" s="1"/>
  <c r="TH1300" i="191" s="1"/>
  <c r="TN1300" i="191" s="1"/>
  <c r="PV1280" i="191"/>
  <c r="PV1310" i="191" s="1"/>
  <c r="QB1311" i="191" s="1"/>
  <c r="QB1292" i="191" s="1"/>
  <c r="QH1292" i="191" s="1"/>
  <c r="FO1302" i="191"/>
  <c r="FU1302" i="191" s="1"/>
  <c r="AM1280" i="191"/>
  <c r="AM1310" i="191" s="1"/>
  <c r="AS1311" i="191" s="1"/>
  <c r="AS1306" i="191" s="1"/>
  <c r="AY1306" i="191" s="1"/>
  <c r="R1280" i="191"/>
  <c r="R1310" i="191" s="1"/>
  <c r="X1311" i="191" s="1"/>
  <c r="X1306" i="191" s="1"/>
  <c r="AD1306" i="191" s="1"/>
  <c r="IO1280" i="191"/>
  <c r="IO1310" i="191" s="1"/>
  <c r="IU1311" i="191" s="1"/>
  <c r="IU1306" i="191" s="1"/>
  <c r="JA1306" i="191" s="1"/>
  <c r="HT1280" i="191"/>
  <c r="HT1310" i="191" s="1"/>
  <c r="HZ1311" i="191" s="1"/>
  <c r="HZ1307" i="191" s="1"/>
  <c r="IF1307" i="191" s="1"/>
  <c r="KZ1280" i="191"/>
  <c r="KZ1310" i="191" s="1"/>
  <c r="LF1311" i="191" s="1"/>
  <c r="LF1300" i="191" s="1"/>
  <c r="LL1300" i="191" s="1"/>
  <c r="FO1285" i="191"/>
  <c r="FU1285" i="191" s="1"/>
  <c r="XI1300" i="191"/>
  <c r="XO1300" i="191" s="1"/>
  <c r="XI1306" i="191"/>
  <c r="XO1306" i="191" s="1"/>
  <c r="SM1300" i="191"/>
  <c r="SS1300" i="191" s="1"/>
  <c r="SM1306" i="191"/>
  <c r="SS1306" i="191" s="1"/>
  <c r="DD1300" i="191"/>
  <c r="DJ1300" i="191" s="1"/>
  <c r="DD1306" i="191"/>
  <c r="DJ1306" i="191" s="1"/>
  <c r="YD1300" i="191"/>
  <c r="YJ1300" i="191" s="1"/>
  <c r="YD1306" i="191"/>
  <c r="YJ1306" i="191" s="1"/>
  <c r="UC1300" i="191"/>
  <c r="UI1300" i="191" s="1"/>
  <c r="UC1306" i="191"/>
  <c r="UI1306" i="191" s="1"/>
  <c r="MA1290" i="191"/>
  <c r="MG1290" i="191" s="1"/>
  <c r="MA1306" i="191"/>
  <c r="MG1306" i="191" s="1"/>
  <c r="KK1300" i="191"/>
  <c r="KQ1300" i="191" s="1"/>
  <c r="KK1306" i="191"/>
  <c r="KQ1306" i="191" s="1"/>
  <c r="JP1300" i="191"/>
  <c r="JV1300" i="191" s="1"/>
  <c r="JP1306" i="191"/>
  <c r="JV1306" i="191" s="1"/>
  <c r="ET1300" i="191"/>
  <c r="EZ1300" i="191" s="1"/>
  <c r="ET1306" i="191"/>
  <c r="EZ1306" i="191" s="1"/>
  <c r="PA1280" i="191"/>
  <c r="PA1310" i="191" s="1"/>
  <c r="PG1311" i="191" s="1"/>
  <c r="PG1281" i="191" s="1"/>
  <c r="PM1281" i="191" s="1"/>
  <c r="MA1304" i="191"/>
  <c r="MG1304" i="191" s="1"/>
  <c r="MA1305" i="191"/>
  <c r="MG1305" i="191" s="1"/>
  <c r="MA1293" i="191"/>
  <c r="MG1293" i="191" s="1"/>
  <c r="MA1294" i="191"/>
  <c r="MG1294" i="191" s="1"/>
  <c r="MA1302" i="191"/>
  <c r="MG1302" i="191" s="1"/>
  <c r="MA1292" i="191"/>
  <c r="MG1292" i="191" s="1"/>
  <c r="MA1301" i="191"/>
  <c r="MG1301" i="191" s="1"/>
  <c r="MA1299" i="191"/>
  <c r="MG1299" i="191" s="1"/>
  <c r="MA1287" i="191"/>
  <c r="MG1287" i="191" s="1"/>
  <c r="MA1307" i="191"/>
  <c r="MG1307" i="191" s="1"/>
  <c r="MA1289" i="191"/>
  <c r="MG1289" i="191" s="1"/>
  <c r="MA1281" i="191"/>
  <c r="MG1281" i="191" s="1"/>
  <c r="MA1300" i="191"/>
  <c r="MG1300" i="191" s="1"/>
  <c r="YY1281" i="191"/>
  <c r="ZE1281" i="191" s="1"/>
  <c r="YY1300" i="191"/>
  <c r="ZE1300" i="191" s="1"/>
  <c r="FO1281" i="191"/>
  <c r="FU1281" i="191" s="1"/>
  <c r="FO1300" i="191"/>
  <c r="FU1300" i="191" s="1"/>
  <c r="BH1348" i="191"/>
  <c r="BN1349" i="191" s="1"/>
  <c r="BN1339" i="191" s="1"/>
  <c r="BT1339" i="191" s="1"/>
  <c r="CC1280" i="191"/>
  <c r="CC1310" i="191" s="1"/>
  <c r="CI1311" i="191" s="1"/>
  <c r="CI1291" i="191" s="1"/>
  <c r="CO1291" i="191" s="1"/>
  <c r="BH1280" i="191"/>
  <c r="BH1310" i="191" s="1"/>
  <c r="BN1311" i="191" s="1"/>
  <c r="BN1292" i="191" s="1"/>
  <c r="BT1292" i="191" s="1"/>
  <c r="OF1280" i="191"/>
  <c r="OF1310" i="191" s="1"/>
  <c r="OL1311" i="191" s="1"/>
  <c r="OL1293" i="191" s="1"/>
  <c r="OR1293" i="191" s="1"/>
  <c r="FO1297" i="191"/>
  <c r="FU1297" i="191" s="1"/>
  <c r="FO1282" i="191"/>
  <c r="FU1282" i="191" s="1"/>
  <c r="FO1293" i="191"/>
  <c r="FU1293" i="191" s="1"/>
  <c r="MA1303" i="191"/>
  <c r="MG1303" i="191" s="1"/>
  <c r="MA1283" i="191"/>
  <c r="MG1283" i="191" s="1"/>
  <c r="MA1286" i="191"/>
  <c r="MG1286" i="191" s="1"/>
  <c r="MA1308" i="191"/>
  <c r="MG1308" i="191" s="1"/>
  <c r="MA1291" i="191"/>
  <c r="MG1291" i="191" s="1"/>
  <c r="FO1304" i="191"/>
  <c r="FU1304" i="191" s="1"/>
  <c r="FO1287" i="191"/>
  <c r="FU1287" i="191" s="1"/>
  <c r="FO1290" i="191"/>
  <c r="FU1290" i="191" s="1"/>
  <c r="MA1297" i="191"/>
  <c r="MG1297" i="191" s="1"/>
  <c r="MA1288" i="191"/>
  <c r="MG1288" i="191" s="1"/>
  <c r="MA1285" i="191"/>
  <c r="MG1285" i="191" s="1"/>
  <c r="MA1298" i="191"/>
  <c r="MG1298" i="191" s="1"/>
  <c r="MA1284" i="191"/>
  <c r="MG1284" i="191" s="1"/>
  <c r="MA1282" i="191"/>
  <c r="MG1282" i="191" s="1"/>
  <c r="FO1288" i="191"/>
  <c r="FU1288" i="191" s="1"/>
  <c r="FO1308" i="191"/>
  <c r="FU1308" i="191" s="1"/>
  <c r="FO1283" i="191"/>
  <c r="FU1283" i="191" s="1"/>
  <c r="UC1281" i="191"/>
  <c r="UI1281" i="191" s="1"/>
  <c r="UC1285" i="191"/>
  <c r="UI1285" i="191" s="1"/>
  <c r="UC1288" i="191"/>
  <c r="UI1288" i="191" s="1"/>
  <c r="UC1297" i="191"/>
  <c r="UI1297" i="191" s="1"/>
  <c r="UC1292" i="191"/>
  <c r="UI1292" i="191" s="1"/>
  <c r="UC1290" i="191"/>
  <c r="UI1290" i="191" s="1"/>
  <c r="UC1302" i="191"/>
  <c r="UI1302" i="191" s="1"/>
  <c r="UC1286" i="191"/>
  <c r="UI1286" i="191" s="1"/>
  <c r="UC1283" i="191"/>
  <c r="UI1283" i="191" s="1"/>
  <c r="UC1303" i="191"/>
  <c r="UI1303" i="191" s="1"/>
  <c r="UC1282" i="191"/>
  <c r="UI1282" i="191" s="1"/>
  <c r="UC1284" i="191"/>
  <c r="UI1284" i="191" s="1"/>
  <c r="UC1298" i="191"/>
  <c r="UI1298" i="191" s="1"/>
  <c r="UC1293" i="191"/>
  <c r="UI1293" i="191" s="1"/>
  <c r="UC1301" i="191"/>
  <c r="UI1301" i="191" s="1"/>
  <c r="UC1304" i="191"/>
  <c r="UI1304" i="191" s="1"/>
  <c r="UC1291" i="191"/>
  <c r="UI1291" i="191" s="1"/>
  <c r="UC1308" i="191"/>
  <c r="UI1308" i="191" s="1"/>
  <c r="UC1289" i="191"/>
  <c r="UI1289" i="191" s="1"/>
  <c r="UC1294" i="191"/>
  <c r="UI1294" i="191" s="1"/>
  <c r="UC1307" i="191"/>
  <c r="UI1307" i="191" s="1"/>
  <c r="UC1287" i="191"/>
  <c r="UI1287" i="191" s="1"/>
  <c r="UC1305" i="191"/>
  <c r="UI1305" i="191" s="1"/>
  <c r="UC1299" i="191"/>
  <c r="UI1299" i="191" s="1"/>
  <c r="QB1301" i="191"/>
  <c r="QH1301" i="191" s="1"/>
  <c r="XD1348" i="191"/>
  <c r="XJ1349" i="191" s="1"/>
  <c r="XJ1324" i="191" s="1"/>
  <c r="XP1324" i="191" s="1"/>
  <c r="XI1281" i="191"/>
  <c r="XO1281" i="191" s="1"/>
  <c r="XI1285" i="191"/>
  <c r="XO1285" i="191" s="1"/>
  <c r="XI1288" i="191"/>
  <c r="XO1288" i="191" s="1"/>
  <c r="XI1297" i="191"/>
  <c r="XO1297" i="191" s="1"/>
  <c r="XI1292" i="191"/>
  <c r="XO1292" i="191" s="1"/>
  <c r="XI1290" i="191"/>
  <c r="XO1290" i="191" s="1"/>
  <c r="XI1302" i="191"/>
  <c r="XO1302" i="191" s="1"/>
  <c r="XI1294" i="191"/>
  <c r="XO1294" i="191" s="1"/>
  <c r="XI1305" i="191"/>
  <c r="XO1305" i="191" s="1"/>
  <c r="XI1286" i="191"/>
  <c r="XO1286" i="191" s="1"/>
  <c r="XI1283" i="191"/>
  <c r="XO1283" i="191" s="1"/>
  <c r="XI1303" i="191"/>
  <c r="XO1303" i="191" s="1"/>
  <c r="XI1282" i="191"/>
  <c r="XO1282" i="191" s="1"/>
  <c r="XI1284" i="191"/>
  <c r="XO1284" i="191" s="1"/>
  <c r="XI1298" i="191"/>
  <c r="XO1298" i="191" s="1"/>
  <c r="XI1289" i="191"/>
  <c r="XO1289" i="191" s="1"/>
  <c r="XI1287" i="191"/>
  <c r="XO1287" i="191" s="1"/>
  <c r="XI1299" i="191"/>
  <c r="XO1299" i="191" s="1"/>
  <c r="XI1293" i="191"/>
  <c r="XO1293" i="191" s="1"/>
  <c r="XI1301" i="191"/>
  <c r="XO1301" i="191" s="1"/>
  <c r="XI1304" i="191"/>
  <c r="XO1304" i="191" s="1"/>
  <c r="XI1291" i="191"/>
  <c r="XO1291" i="191" s="1"/>
  <c r="XI1308" i="191"/>
  <c r="XO1308" i="191" s="1"/>
  <c r="XI1307" i="191"/>
  <c r="XO1307" i="191" s="1"/>
  <c r="SM1281" i="191"/>
  <c r="SS1281" i="191" s="1"/>
  <c r="SM1292" i="191"/>
  <c r="SS1292" i="191" s="1"/>
  <c r="SM1290" i="191"/>
  <c r="SS1290" i="191" s="1"/>
  <c r="SM1302" i="191"/>
  <c r="SS1302" i="191" s="1"/>
  <c r="SM1289" i="191"/>
  <c r="SS1289" i="191" s="1"/>
  <c r="SM1294" i="191"/>
  <c r="SS1294" i="191" s="1"/>
  <c r="SM1307" i="191"/>
  <c r="SS1307" i="191" s="1"/>
  <c r="SM1282" i="191"/>
  <c r="SS1282" i="191" s="1"/>
  <c r="SM1284" i="191"/>
  <c r="SS1284" i="191" s="1"/>
  <c r="SM1285" i="191"/>
  <c r="SS1285" i="191" s="1"/>
  <c r="SM1288" i="191"/>
  <c r="SS1288" i="191" s="1"/>
  <c r="SM1293" i="191"/>
  <c r="SS1293" i="191" s="1"/>
  <c r="SM1298" i="191"/>
  <c r="SS1298" i="191" s="1"/>
  <c r="SM1297" i="191"/>
  <c r="SS1297" i="191" s="1"/>
  <c r="SM1287" i="191"/>
  <c r="SS1287" i="191" s="1"/>
  <c r="SM1299" i="191"/>
  <c r="SS1299" i="191" s="1"/>
  <c r="SM1304" i="191"/>
  <c r="SS1304" i="191" s="1"/>
  <c r="SM1291" i="191"/>
  <c r="SS1291" i="191" s="1"/>
  <c r="SM1308" i="191"/>
  <c r="SS1308" i="191" s="1"/>
  <c r="SM1286" i="191"/>
  <c r="SS1286" i="191" s="1"/>
  <c r="SM1283" i="191"/>
  <c r="SS1283" i="191" s="1"/>
  <c r="SM1303" i="191"/>
  <c r="SS1303" i="191" s="1"/>
  <c r="SM1305" i="191"/>
  <c r="SS1305" i="191" s="1"/>
  <c r="SM1301" i="191"/>
  <c r="SS1301" i="191" s="1"/>
  <c r="CE1348" i="191"/>
  <c r="CK1349" i="191" s="1"/>
  <c r="CK1339" i="191" s="1"/>
  <c r="CQ1339" i="191" s="1"/>
  <c r="NK1280" i="191"/>
  <c r="NK1310" i="191" s="1"/>
  <c r="NQ1311" i="191" s="1"/>
  <c r="NQ1285" i="191" s="1"/>
  <c r="NW1285" i="191" s="1"/>
  <c r="MP1280" i="191"/>
  <c r="MP1310" i="191" s="1"/>
  <c r="MV1311" i="191" s="1"/>
  <c r="VM1280" i="191"/>
  <c r="VM1310" i="191" s="1"/>
  <c r="VS1311" i="191" s="1"/>
  <c r="VS1281" i="191" s="1"/>
  <c r="VY1281" i="191" s="1"/>
  <c r="UR1280" i="191"/>
  <c r="UR1310" i="191" s="1"/>
  <c r="UX1311" i="191" s="1"/>
  <c r="UX1285" i="191" s="1"/>
  <c r="VD1285" i="191" s="1"/>
  <c r="YD1281" i="191"/>
  <c r="YJ1281" i="191" s="1"/>
  <c r="YD1292" i="191"/>
  <c r="YJ1292" i="191" s="1"/>
  <c r="YD1290" i="191"/>
  <c r="YJ1290" i="191" s="1"/>
  <c r="YD1302" i="191"/>
  <c r="YJ1302" i="191" s="1"/>
  <c r="YD1289" i="191"/>
  <c r="YJ1289" i="191" s="1"/>
  <c r="YD1294" i="191"/>
  <c r="YJ1294" i="191" s="1"/>
  <c r="YD1307" i="191"/>
  <c r="YJ1307" i="191" s="1"/>
  <c r="YD1282" i="191"/>
  <c r="YJ1282" i="191" s="1"/>
  <c r="YD1284" i="191"/>
  <c r="YJ1284" i="191" s="1"/>
  <c r="YD1298" i="191"/>
  <c r="YJ1298" i="191" s="1"/>
  <c r="YD1285" i="191"/>
  <c r="YJ1285" i="191" s="1"/>
  <c r="YD1288" i="191"/>
  <c r="YJ1288" i="191" s="1"/>
  <c r="YD1297" i="191"/>
  <c r="YJ1297" i="191" s="1"/>
  <c r="YD1291" i="191"/>
  <c r="YJ1291" i="191" s="1"/>
  <c r="YD1308" i="191"/>
  <c r="YJ1308" i="191" s="1"/>
  <c r="YD1286" i="191"/>
  <c r="YJ1286" i="191" s="1"/>
  <c r="YD1283" i="191"/>
  <c r="YJ1283" i="191" s="1"/>
  <c r="YD1303" i="191"/>
  <c r="YJ1303" i="191" s="1"/>
  <c r="YD1287" i="191"/>
  <c r="YJ1287" i="191" s="1"/>
  <c r="YD1305" i="191"/>
  <c r="YJ1305" i="191" s="1"/>
  <c r="YD1299" i="191"/>
  <c r="YJ1299" i="191" s="1"/>
  <c r="YD1293" i="191"/>
  <c r="YJ1293" i="191" s="1"/>
  <c r="YD1301" i="191"/>
  <c r="YJ1301" i="191" s="1"/>
  <c r="YD1304" i="191"/>
  <c r="YJ1304" i="191" s="1"/>
  <c r="ET1281" i="191"/>
  <c r="EZ1281" i="191" s="1"/>
  <c r="ET1285" i="191"/>
  <c r="EZ1285" i="191" s="1"/>
  <c r="ET1290" i="191"/>
  <c r="EZ1290" i="191" s="1"/>
  <c r="ET1302" i="191"/>
  <c r="EZ1302" i="191" s="1"/>
  <c r="ET1287" i="191"/>
  <c r="EZ1287" i="191" s="1"/>
  <c r="ET1303" i="191"/>
  <c r="EZ1303" i="191" s="1"/>
  <c r="ET1304" i="191"/>
  <c r="EZ1304" i="191" s="1"/>
  <c r="ET1286" i="191"/>
  <c r="EZ1286" i="191" s="1"/>
  <c r="ET1284" i="191"/>
  <c r="EZ1284" i="191" s="1"/>
  <c r="ET1298" i="191"/>
  <c r="EZ1298" i="191" s="1"/>
  <c r="ET1292" i="191"/>
  <c r="EZ1292" i="191" s="1"/>
  <c r="ET1294" i="191"/>
  <c r="EZ1294" i="191" s="1"/>
  <c r="ET1307" i="191"/>
  <c r="EZ1307" i="191" s="1"/>
  <c r="ET1291" i="191"/>
  <c r="EZ1291" i="191" s="1"/>
  <c r="ET1283" i="191"/>
  <c r="EZ1283" i="191" s="1"/>
  <c r="ET1293" i="191"/>
  <c r="EZ1293" i="191" s="1"/>
  <c r="ET1301" i="191"/>
  <c r="EZ1301" i="191" s="1"/>
  <c r="ET1282" i="191"/>
  <c r="EZ1282" i="191" s="1"/>
  <c r="ET1288" i="191"/>
  <c r="EZ1288" i="191" s="1"/>
  <c r="ET1297" i="191"/>
  <c r="EZ1297" i="191" s="1"/>
  <c r="ET1289" i="191"/>
  <c r="EZ1289" i="191" s="1"/>
  <c r="ET1305" i="191"/>
  <c r="EZ1305" i="191" s="1"/>
  <c r="ET1299" i="191"/>
  <c r="EZ1299" i="191" s="1"/>
  <c r="ET1308" i="191"/>
  <c r="EZ1308" i="191" s="1"/>
  <c r="RR1282" i="191"/>
  <c r="RX1282" i="191" s="1"/>
  <c r="RR1288" i="191"/>
  <c r="RX1288" i="191" s="1"/>
  <c r="RR1286" i="191"/>
  <c r="RX1286" i="191" s="1"/>
  <c r="RR1305" i="191"/>
  <c r="RX1305" i="191" s="1"/>
  <c r="RR1304" i="191"/>
  <c r="RX1304" i="191" s="1"/>
  <c r="FO1307" i="191"/>
  <c r="FU1307" i="191" s="1"/>
  <c r="FO1294" i="191"/>
  <c r="FU1294" i="191" s="1"/>
  <c r="FO1292" i="191"/>
  <c r="FU1292" i="191" s="1"/>
  <c r="FO1298" i="191"/>
  <c r="FU1298" i="191" s="1"/>
  <c r="FO1284" i="191"/>
  <c r="FU1284" i="191" s="1"/>
  <c r="FO1286" i="191"/>
  <c r="FU1286" i="191" s="1"/>
  <c r="GI1361" i="191"/>
  <c r="GO1361" i="191" s="1"/>
  <c r="R1348" i="191"/>
  <c r="X1349" i="191" s="1"/>
  <c r="X1319" i="191" s="1"/>
  <c r="AD1319" i="191" s="1"/>
  <c r="FO1303" i="191"/>
  <c r="FU1303" i="191" s="1"/>
  <c r="FO1291" i="191"/>
  <c r="FU1291" i="191" s="1"/>
  <c r="FO1299" i="191"/>
  <c r="FU1299" i="191" s="1"/>
  <c r="FO1305" i="191"/>
  <c r="FU1305" i="191" s="1"/>
  <c r="FO1289" i="191"/>
  <c r="FU1289" i="191" s="1"/>
  <c r="AM1348" i="191"/>
  <c r="AS1349" i="191" s="1"/>
  <c r="AS1319" i="191" s="1"/>
  <c r="AY1319" i="191" s="1"/>
  <c r="KK1281" i="191"/>
  <c r="KQ1281" i="191" s="1"/>
  <c r="KK1285" i="191"/>
  <c r="KQ1285" i="191" s="1"/>
  <c r="KK1288" i="191"/>
  <c r="KQ1288" i="191" s="1"/>
  <c r="KK1297" i="191"/>
  <c r="KQ1297" i="191" s="1"/>
  <c r="KK1292" i="191"/>
  <c r="KQ1292" i="191" s="1"/>
  <c r="KK1290" i="191"/>
  <c r="KQ1290" i="191" s="1"/>
  <c r="KK1302" i="191"/>
  <c r="KQ1302" i="191" s="1"/>
  <c r="KK1286" i="191"/>
  <c r="KQ1286" i="191" s="1"/>
  <c r="KK1283" i="191"/>
  <c r="KQ1283" i="191" s="1"/>
  <c r="KK1303" i="191"/>
  <c r="KQ1303" i="191" s="1"/>
  <c r="KK1282" i="191"/>
  <c r="KQ1282" i="191" s="1"/>
  <c r="KK1284" i="191"/>
  <c r="KQ1284" i="191" s="1"/>
  <c r="KK1298" i="191"/>
  <c r="KQ1298" i="191" s="1"/>
  <c r="KK1293" i="191"/>
  <c r="KQ1293" i="191" s="1"/>
  <c r="KK1301" i="191"/>
  <c r="KQ1301" i="191" s="1"/>
  <c r="KK1304" i="191"/>
  <c r="KQ1304" i="191" s="1"/>
  <c r="KK1291" i="191"/>
  <c r="KQ1291" i="191" s="1"/>
  <c r="KK1308" i="191"/>
  <c r="KQ1308" i="191" s="1"/>
  <c r="KK1289" i="191"/>
  <c r="KQ1289" i="191" s="1"/>
  <c r="KK1294" i="191"/>
  <c r="KQ1294" i="191" s="1"/>
  <c r="KK1307" i="191"/>
  <c r="KQ1307" i="191" s="1"/>
  <c r="KK1287" i="191"/>
  <c r="KQ1287" i="191" s="1"/>
  <c r="KK1305" i="191"/>
  <c r="KQ1305" i="191" s="1"/>
  <c r="KK1299" i="191"/>
  <c r="KQ1299" i="191" s="1"/>
  <c r="TH1307" i="191"/>
  <c r="TN1307" i="191" s="1"/>
  <c r="TH1285" i="191"/>
  <c r="TN1285" i="191" s="1"/>
  <c r="TH1308" i="191"/>
  <c r="TN1308" i="191" s="1"/>
  <c r="DD1281" i="191"/>
  <c r="DJ1281" i="191" s="1"/>
  <c r="DD1283" i="191"/>
  <c r="DJ1283" i="191" s="1"/>
  <c r="DD1293" i="191"/>
  <c r="DJ1293" i="191" s="1"/>
  <c r="DD1298" i="191"/>
  <c r="DJ1298" i="191" s="1"/>
  <c r="DD1282" i="191"/>
  <c r="DJ1282" i="191" s="1"/>
  <c r="DD1288" i="191"/>
  <c r="DJ1288" i="191" s="1"/>
  <c r="DD1297" i="191"/>
  <c r="DJ1297" i="191" s="1"/>
  <c r="DD1289" i="191"/>
  <c r="DJ1289" i="191" s="1"/>
  <c r="DD1305" i="191"/>
  <c r="DJ1305" i="191" s="1"/>
  <c r="DD1299" i="191"/>
  <c r="DJ1299" i="191" s="1"/>
  <c r="DD1291" i="191"/>
  <c r="DJ1291" i="191" s="1"/>
  <c r="DD1301" i="191"/>
  <c r="DJ1301" i="191" s="1"/>
  <c r="DD1285" i="191"/>
  <c r="DJ1285" i="191" s="1"/>
  <c r="DD1290" i="191"/>
  <c r="DJ1290" i="191" s="1"/>
  <c r="DD1302" i="191"/>
  <c r="DJ1302" i="191" s="1"/>
  <c r="DD1287" i="191"/>
  <c r="DJ1287" i="191" s="1"/>
  <c r="DD1308" i="191"/>
  <c r="DJ1308" i="191" s="1"/>
  <c r="DD1304" i="191"/>
  <c r="DJ1304" i="191" s="1"/>
  <c r="DD1286" i="191"/>
  <c r="DJ1286" i="191" s="1"/>
  <c r="DD1284" i="191"/>
  <c r="DJ1284" i="191" s="1"/>
  <c r="DD1303" i="191"/>
  <c r="DJ1303" i="191" s="1"/>
  <c r="DD1292" i="191"/>
  <c r="DJ1292" i="191" s="1"/>
  <c r="DD1294" i="191"/>
  <c r="DJ1294" i="191" s="1"/>
  <c r="DD1307" i="191"/>
  <c r="DJ1307" i="191" s="1"/>
  <c r="GJ1281" i="191"/>
  <c r="GP1281" i="191" s="1"/>
  <c r="GJ1293" i="191"/>
  <c r="GP1293" i="191" s="1"/>
  <c r="GJ1297" i="191"/>
  <c r="GP1297" i="191" s="1"/>
  <c r="GJ1291" i="191"/>
  <c r="GP1291" i="191" s="1"/>
  <c r="HZ1281" i="191"/>
  <c r="IF1281" i="191" s="1"/>
  <c r="HZ1292" i="191"/>
  <c r="IF1292" i="191" s="1"/>
  <c r="HZ1285" i="191"/>
  <c r="IF1285" i="191" s="1"/>
  <c r="HZ1288" i="191"/>
  <c r="IF1288" i="191" s="1"/>
  <c r="HZ1297" i="191"/>
  <c r="IF1297" i="191" s="1"/>
  <c r="HZ1298" i="191"/>
  <c r="IF1298" i="191" s="1"/>
  <c r="HZ1293" i="191"/>
  <c r="IF1293" i="191" s="1"/>
  <c r="HZ1301" i="191"/>
  <c r="IF1301" i="191" s="1"/>
  <c r="HZ1304" i="191"/>
  <c r="IF1304" i="191" s="1"/>
  <c r="JP1281" i="191"/>
  <c r="JV1281" i="191" s="1"/>
  <c r="JP1287" i="191"/>
  <c r="JV1287" i="191" s="1"/>
  <c r="JP1305" i="191"/>
  <c r="JV1305" i="191" s="1"/>
  <c r="JP1299" i="191"/>
  <c r="JV1299" i="191" s="1"/>
  <c r="JP1293" i="191"/>
  <c r="JV1293" i="191" s="1"/>
  <c r="JP1308" i="191"/>
  <c r="JV1308" i="191" s="1"/>
  <c r="JP1304" i="191"/>
  <c r="JV1304" i="191" s="1"/>
  <c r="JP1292" i="191"/>
  <c r="JV1292" i="191" s="1"/>
  <c r="JP1290" i="191"/>
  <c r="JV1290" i="191" s="1"/>
  <c r="JP1302" i="191"/>
  <c r="JV1302" i="191" s="1"/>
  <c r="JP1289" i="191"/>
  <c r="JV1289" i="191" s="1"/>
  <c r="JP1294" i="191"/>
  <c r="JV1294" i="191" s="1"/>
  <c r="JP1307" i="191"/>
  <c r="JV1307" i="191" s="1"/>
  <c r="JP1282" i="191"/>
  <c r="JV1282" i="191" s="1"/>
  <c r="JP1284" i="191"/>
  <c r="JV1284" i="191" s="1"/>
  <c r="JP1298" i="191"/>
  <c r="JV1298" i="191" s="1"/>
  <c r="JP1285" i="191"/>
  <c r="JV1285" i="191" s="1"/>
  <c r="JP1288" i="191"/>
  <c r="JV1288" i="191" s="1"/>
  <c r="JP1297" i="191"/>
  <c r="JV1297" i="191" s="1"/>
  <c r="JP1291" i="191"/>
  <c r="JV1291" i="191" s="1"/>
  <c r="JP1301" i="191"/>
  <c r="JV1301" i="191" s="1"/>
  <c r="JP1286" i="191"/>
  <c r="JV1286" i="191" s="1"/>
  <c r="JP1283" i="191"/>
  <c r="JV1283" i="191" s="1"/>
  <c r="JP1303" i="191"/>
  <c r="JV1303" i="191" s="1"/>
  <c r="NQ1290" i="191"/>
  <c r="NW1290" i="191" s="1"/>
  <c r="OL1292" i="191"/>
  <c r="OR1292" i="191" s="1"/>
  <c r="QA1361" i="191"/>
  <c r="QG1361" i="191" s="1"/>
  <c r="T1348" i="191"/>
  <c r="Z1349" i="191" s="1"/>
  <c r="Z1319" i="191" s="1"/>
  <c r="AF1319" i="191" s="1"/>
  <c r="UT1348" i="191"/>
  <c r="UZ1349" i="191" s="1"/>
  <c r="UZ1319" i="191" s="1"/>
  <c r="VF1319" i="191" s="1"/>
  <c r="WM1361" i="191"/>
  <c r="WS1361" i="191" s="1"/>
  <c r="JO1361" i="191"/>
  <c r="JU1361" i="191" s="1"/>
  <c r="TG1361" i="191"/>
  <c r="TM1361" i="191" s="1"/>
  <c r="UW1361" i="191"/>
  <c r="VC1361" i="191" s="1"/>
  <c r="XK1319" i="191"/>
  <c r="XQ1319" i="191" s="1"/>
  <c r="RN1348" i="191"/>
  <c r="RT1349" i="191" s="1"/>
  <c r="RT1321" i="191" s="1"/>
  <c r="RZ1321" i="191" s="1"/>
  <c r="XK1326" i="191"/>
  <c r="XQ1326" i="191" s="1"/>
  <c r="XK1331" i="191"/>
  <c r="XQ1331" i="191" s="1"/>
  <c r="XK1323" i="191"/>
  <c r="XQ1323" i="191" s="1"/>
  <c r="XK1324" i="191"/>
  <c r="XQ1324" i="191" s="1"/>
  <c r="XK1344" i="191"/>
  <c r="XQ1344" i="191" s="1"/>
  <c r="MU1361" i="191"/>
  <c r="NA1361" i="191" s="1"/>
  <c r="XK1336" i="191"/>
  <c r="XQ1336" i="191" s="1"/>
  <c r="XK1342" i="191"/>
  <c r="XQ1342" i="191" s="1"/>
  <c r="XK1325" i="191"/>
  <c r="XQ1325" i="191" s="1"/>
  <c r="XK1345" i="191"/>
  <c r="XQ1345" i="191" s="1"/>
  <c r="XK1339" i="191"/>
  <c r="XQ1339" i="191" s="1"/>
  <c r="XK1333" i="191"/>
  <c r="XQ1333" i="191" s="1"/>
  <c r="XK1320" i="191"/>
  <c r="XQ1320" i="191" s="1"/>
  <c r="PB1348" i="191"/>
  <c r="PH1349" i="191" s="1"/>
  <c r="PH1324" i="191" s="1"/>
  <c r="PN1324" i="191" s="1"/>
  <c r="LA1348" i="191"/>
  <c r="LG1349" i="191" s="1"/>
  <c r="LG1319" i="191" s="1"/>
  <c r="LM1319" i="191" s="1"/>
  <c r="MR1348" i="191"/>
  <c r="MX1349" i="191" s="1"/>
  <c r="MX1319" i="191" s="1"/>
  <c r="ND1319" i="191" s="1"/>
  <c r="YS1348" i="191"/>
  <c r="YY1349" i="191" s="1"/>
  <c r="YY1319" i="191" s="1"/>
  <c r="ZE1319" i="191" s="1"/>
  <c r="PV1348" i="191"/>
  <c r="QB1349" i="191" s="1"/>
  <c r="QB1319" i="191" s="1"/>
  <c r="QH1319" i="191" s="1"/>
  <c r="CX1348" i="191"/>
  <c r="DD1349" i="191" s="1"/>
  <c r="DD1319" i="191" s="1"/>
  <c r="DJ1319" i="191" s="1"/>
  <c r="SG1348" i="191"/>
  <c r="SM1349" i="191" s="1"/>
  <c r="SM1344" i="191" s="1"/>
  <c r="SS1344" i="191" s="1"/>
  <c r="GZ1348" i="191"/>
  <c r="HF1349" i="191" s="1"/>
  <c r="HF1321" i="191" s="1"/>
  <c r="HL1321" i="191" s="1"/>
  <c r="LV1348" i="191"/>
  <c r="MB1349" i="191" s="1"/>
  <c r="MB1319" i="191" s="1"/>
  <c r="MH1319" i="191" s="1"/>
  <c r="PC1348" i="191"/>
  <c r="PI1349" i="191" s="1"/>
  <c r="PI1325" i="191" s="1"/>
  <c r="PO1325" i="191" s="1"/>
  <c r="VO1348" i="191"/>
  <c r="VU1349" i="191" s="1"/>
  <c r="VU1319" i="191" s="1"/>
  <c r="WA1319" i="191" s="1"/>
  <c r="KF1348" i="191"/>
  <c r="KL1349" i="191" s="1"/>
  <c r="KL1326" i="191" s="1"/>
  <c r="KR1326" i="191" s="1"/>
  <c r="RM1348" i="191"/>
  <c r="RS1349" i="191" s="1"/>
  <c r="RS1321" i="191" s="1"/>
  <c r="RY1321" i="191" s="1"/>
  <c r="PX1348" i="191"/>
  <c r="QD1349" i="191" s="1"/>
  <c r="QD1319" i="191" s="1"/>
  <c r="QJ1319" i="191" s="1"/>
  <c r="QS1348" i="191"/>
  <c r="QY1349" i="191" s="1"/>
  <c r="QY1335" i="191" s="1"/>
  <c r="RE1335" i="191" s="1"/>
  <c r="NM1348" i="191"/>
  <c r="NS1349" i="191" s="1"/>
  <c r="NS1321" i="191" s="1"/>
  <c r="NY1321" i="191" s="1"/>
  <c r="LW1348" i="191"/>
  <c r="MC1349" i="191" s="1"/>
  <c r="MC1333" i="191" s="1"/>
  <c r="MI1333" i="191" s="1"/>
  <c r="HA1348" i="191"/>
  <c r="HG1349" i="191" s="1"/>
  <c r="HG1321" i="191" s="1"/>
  <c r="HM1321" i="191" s="1"/>
  <c r="HU1348" i="191"/>
  <c r="IA1349" i="191" s="1"/>
  <c r="IA1319" i="191" s="1"/>
  <c r="IG1319" i="191" s="1"/>
  <c r="CY1348" i="191"/>
  <c r="DE1349" i="191" s="1"/>
  <c r="DE1324" i="191" s="1"/>
  <c r="DK1324" i="191" s="1"/>
  <c r="AN1348" i="191"/>
  <c r="AT1349" i="191" s="1"/>
  <c r="AT1339" i="191" s="1"/>
  <c r="AZ1339" i="191" s="1"/>
  <c r="LB1348" i="191"/>
  <c r="LH1349" i="191" s="1"/>
  <c r="LH1329" i="191" s="1"/>
  <c r="LN1329" i="191" s="1"/>
  <c r="CC1348" i="191"/>
  <c r="CI1349" i="191" s="1"/>
  <c r="CI1339" i="191" s="1"/>
  <c r="CO1339" i="191" s="1"/>
  <c r="MQ1348" i="191"/>
  <c r="MW1349" i="191" s="1"/>
  <c r="MW1319" i="191" s="1"/>
  <c r="NC1319" i="191" s="1"/>
  <c r="WH1348" i="191"/>
  <c r="WN1349" i="191" s="1"/>
  <c r="WN1319" i="191" s="1"/>
  <c r="WT1319" i="191" s="1"/>
  <c r="LU1348" i="191"/>
  <c r="MA1349" i="191" s="1"/>
  <c r="MA1319" i="191" s="1"/>
  <c r="MG1319" i="191" s="1"/>
  <c r="NK1348" i="191"/>
  <c r="NQ1349" i="191" s="1"/>
  <c r="NQ1343" i="191" s="1"/>
  <c r="NW1343" i="191" s="1"/>
  <c r="TX1348" i="191"/>
  <c r="UD1349" i="191" s="1"/>
  <c r="UD1319" i="191" s="1"/>
  <c r="UJ1319" i="191" s="1"/>
  <c r="VN1348" i="191"/>
  <c r="VT1349" i="191" s="1"/>
  <c r="VT1321" i="191" s="1"/>
  <c r="VZ1321" i="191" s="1"/>
  <c r="BJ1348" i="191"/>
  <c r="BP1349" i="191" s="1"/>
  <c r="BP1329" i="191" s="1"/>
  <c r="BV1329" i="191" s="1"/>
  <c r="AO1348" i="191"/>
  <c r="AU1349" i="191" s="1"/>
  <c r="AU1339" i="191" s="1"/>
  <c r="BA1339" i="191" s="1"/>
  <c r="JL1348" i="191"/>
  <c r="JR1349" i="191" s="1"/>
  <c r="JR1325" i="191" s="1"/>
  <c r="JX1325" i="191" s="1"/>
  <c r="JJ1348" i="191"/>
  <c r="JP1349" i="191" s="1"/>
  <c r="JP1321" i="191" s="1"/>
  <c r="JV1321" i="191" s="1"/>
  <c r="TC1348" i="191"/>
  <c r="TI1349" i="191" s="1"/>
  <c r="TI1319" i="191" s="1"/>
  <c r="TO1319" i="191" s="1"/>
  <c r="TD1348" i="191"/>
  <c r="TJ1349" i="191" s="1"/>
  <c r="TJ1319" i="191" s="1"/>
  <c r="TP1319" i="191" s="1"/>
  <c r="TY1348" i="191"/>
  <c r="UE1349" i="191" s="1"/>
  <c r="UE1331" i="191" s="1"/>
  <c r="UK1331" i="191" s="1"/>
  <c r="QR1348" i="191"/>
  <c r="QX1349" i="191" s="1"/>
  <c r="QX1331" i="191" s="1"/>
  <c r="RD1331" i="191" s="1"/>
  <c r="DU1348" i="191"/>
  <c r="EA1349" i="191" s="1"/>
  <c r="EA1329" i="191" s="1"/>
  <c r="EG1329" i="191" s="1"/>
  <c r="XZ1348" i="191"/>
  <c r="YF1349" i="191" s="1"/>
  <c r="YF1319" i="191" s="1"/>
  <c r="YL1319" i="191" s="1"/>
  <c r="FI1348" i="191"/>
  <c r="FO1349" i="191" s="1"/>
  <c r="FO1333" i="191" s="1"/>
  <c r="FU1333" i="191" s="1"/>
  <c r="GE1348" i="191"/>
  <c r="GK1349" i="191" s="1"/>
  <c r="GK1321" i="191" s="1"/>
  <c r="GQ1321" i="191" s="1"/>
  <c r="GF1348" i="191"/>
  <c r="GL1349" i="191" s="1"/>
  <c r="GL1335" i="191" s="1"/>
  <c r="GR1335" i="191" s="1"/>
  <c r="CD1348" i="191"/>
  <c r="CJ1349" i="191" s="1"/>
  <c r="CJ1345" i="191" s="1"/>
  <c r="CP1345" i="191" s="1"/>
  <c r="OG1348" i="191"/>
  <c r="OM1349" i="191" s="1"/>
  <c r="OM1319" i="191" s="1"/>
  <c r="OS1319" i="191" s="1"/>
  <c r="NL1348" i="191"/>
  <c r="NR1349" i="191" s="1"/>
  <c r="NR1319" i="191" s="1"/>
  <c r="NX1319" i="191" s="1"/>
  <c r="XY1348" i="191"/>
  <c r="YE1349" i="191" s="1"/>
  <c r="YE1324" i="191" s="1"/>
  <c r="YK1324" i="191" s="1"/>
  <c r="FK1348" i="191"/>
  <c r="FQ1349" i="191" s="1"/>
  <c r="FQ1329" i="191" s="1"/>
  <c r="FW1329" i="191" s="1"/>
  <c r="EP1348" i="191"/>
  <c r="EV1349" i="191" s="1"/>
  <c r="EV1320" i="191" s="1"/>
  <c r="FB1320" i="191" s="1"/>
  <c r="OH1348" i="191"/>
  <c r="ON1349" i="191" s="1"/>
  <c r="ON1335" i="191" s="1"/>
  <c r="OT1335" i="191" s="1"/>
  <c r="SH1348" i="191"/>
  <c r="SN1349" i="191" s="1"/>
  <c r="SN1319" i="191" s="1"/>
  <c r="ST1319" i="191" s="1"/>
  <c r="US1348" i="191"/>
  <c r="UY1349" i="191" s="1"/>
  <c r="UY1324" i="191" s="1"/>
  <c r="VE1324" i="191" s="1"/>
  <c r="FJ1348" i="191"/>
  <c r="FP1349" i="191" s="1"/>
  <c r="FP1319" i="191" s="1"/>
  <c r="FV1319" i="191" s="1"/>
  <c r="GD1348" i="191"/>
  <c r="GJ1349" i="191" s="1"/>
  <c r="GJ1319" i="191" s="1"/>
  <c r="GP1319" i="191" s="1"/>
  <c r="OF1348" i="191"/>
  <c r="OL1349" i="191" s="1"/>
  <c r="OL1329" i="191" s="1"/>
  <c r="OR1329" i="191" s="1"/>
  <c r="XK1341" i="191"/>
  <c r="XQ1341" i="191" s="1"/>
  <c r="XK1346" i="191"/>
  <c r="XQ1346" i="191" s="1"/>
  <c r="XK1332" i="191"/>
  <c r="XQ1332" i="191" s="1"/>
  <c r="XK1322" i="191"/>
  <c r="XQ1322" i="191" s="1"/>
  <c r="XK1343" i="191"/>
  <c r="XQ1343" i="191" s="1"/>
  <c r="XK1335" i="191"/>
  <c r="XQ1335" i="191" s="1"/>
  <c r="XK1329" i="191"/>
  <c r="XQ1329" i="191" s="1"/>
  <c r="XK1334" i="191"/>
  <c r="XQ1334" i="191" s="1"/>
  <c r="XK1321" i="191"/>
  <c r="XQ1321" i="191" s="1"/>
  <c r="XK1340" i="191"/>
  <c r="XQ1340" i="191" s="1"/>
  <c r="WJ1348" i="191"/>
  <c r="WP1349" i="191" s="1"/>
  <c r="WP1319" i="191" s="1"/>
  <c r="WV1319" i="191" s="1"/>
  <c r="IP1348" i="191"/>
  <c r="IV1349" i="191" s="1"/>
  <c r="IV1325" i="191" s="1"/>
  <c r="JB1325" i="191" s="1"/>
  <c r="CZ1348" i="191"/>
  <c r="DF1349" i="191" s="1"/>
  <c r="DF1329" i="191" s="1"/>
  <c r="DL1329" i="191" s="1"/>
  <c r="VM1348" i="191"/>
  <c r="VS1349" i="191" s="1"/>
  <c r="VS1333" i="191" s="1"/>
  <c r="VY1333" i="191" s="1"/>
  <c r="IO1348" i="191"/>
  <c r="IU1349" i="191" s="1"/>
  <c r="IU1336" i="191" s="1"/>
  <c r="JA1336" i="191" s="1"/>
  <c r="XX1348" i="191"/>
  <c r="YD1349" i="191" s="1"/>
  <c r="YD1324" i="191" s="1"/>
  <c r="YJ1324" i="191" s="1"/>
  <c r="KZ1348" i="191"/>
  <c r="LF1349" i="191" s="1"/>
  <c r="LF1321" i="191" s="1"/>
  <c r="LL1321" i="191" s="1"/>
  <c r="XC1348" i="191"/>
  <c r="XI1349" i="191" s="1"/>
  <c r="XI1333" i="191" s="1"/>
  <c r="XO1333" i="191" s="1"/>
  <c r="KE1348" i="191"/>
  <c r="KK1349" i="191" s="1"/>
  <c r="KK1346" i="191" s="1"/>
  <c r="KQ1346" i="191" s="1"/>
  <c r="HT1348" i="191"/>
  <c r="HZ1349" i="191" s="1"/>
  <c r="HZ1333" i="191" s="1"/>
  <c r="IF1333" i="191" s="1"/>
  <c r="GY1348" i="191"/>
  <c r="HE1349" i="191" s="1"/>
  <c r="HE1321" i="191" s="1"/>
  <c r="HK1321" i="191" s="1"/>
  <c r="BI1348" i="191"/>
  <c r="BO1349" i="191" s="1"/>
  <c r="BO1329" i="191" s="1"/>
  <c r="BU1329" i="191" s="1"/>
  <c r="PA1348" i="191"/>
  <c r="PG1349" i="191" s="1"/>
  <c r="PG1324" i="191" s="1"/>
  <c r="PM1324" i="191" s="1"/>
  <c r="S1348" i="191"/>
  <c r="Y1349" i="191" s="1"/>
  <c r="Y1320" i="191" s="1"/>
  <c r="AE1320" i="191" s="1"/>
  <c r="JK1348" i="191"/>
  <c r="JQ1349" i="191" s="1"/>
  <c r="JQ1325" i="191" s="1"/>
  <c r="JW1325" i="191" s="1"/>
  <c r="QC1324" i="191"/>
  <c r="QI1324" i="191" s="1"/>
  <c r="QC1344" i="191"/>
  <c r="QI1344" i="191" s="1"/>
  <c r="QC1345" i="191"/>
  <c r="QI1345" i="191" s="1"/>
  <c r="QC1339" i="191"/>
  <c r="QI1339" i="191" s="1"/>
  <c r="QC1334" i="191"/>
  <c r="QI1334" i="191" s="1"/>
  <c r="QC1322" i="191"/>
  <c r="QI1322" i="191" s="1"/>
  <c r="QC1320" i="191"/>
  <c r="QI1320" i="191" s="1"/>
  <c r="QC1325" i="191"/>
  <c r="QI1325" i="191" s="1"/>
  <c r="QC1323" i="191"/>
  <c r="QI1323" i="191" s="1"/>
  <c r="QC1342" i="191"/>
  <c r="QI1342" i="191" s="1"/>
  <c r="QC1330" i="191"/>
  <c r="QI1330" i="191" s="1"/>
  <c r="QC1346" i="191"/>
  <c r="QI1346" i="191" s="1"/>
  <c r="QC1319" i="191"/>
  <c r="QI1319" i="191" s="1"/>
  <c r="QC1331" i="191"/>
  <c r="QI1331" i="191" s="1"/>
  <c r="QC1343" i="191"/>
  <c r="QI1343" i="191" s="1"/>
  <c r="QC1321" i="191"/>
  <c r="QI1321" i="191" s="1"/>
  <c r="QC1335" i="191"/>
  <c r="QI1335" i="191" s="1"/>
  <c r="QC1329" i="191"/>
  <c r="QI1329" i="191" s="1"/>
  <c r="QC1333" i="191"/>
  <c r="QI1333" i="191" s="1"/>
  <c r="QC1332" i="191"/>
  <c r="QI1332" i="191" s="1"/>
  <c r="QC1326" i="191"/>
  <c r="QI1326" i="191" s="1"/>
  <c r="QC1340" i="191"/>
  <c r="QI1340" i="191" s="1"/>
  <c r="QC1336" i="191"/>
  <c r="QI1336" i="191" s="1"/>
  <c r="QC1341" i="191"/>
  <c r="QI1341" i="191" s="1"/>
  <c r="WI1348" i="191"/>
  <c r="WO1349" i="191" s="1"/>
  <c r="WO1346" i="191" s="1"/>
  <c r="WU1346" i="191" s="1"/>
  <c r="RL1348" i="191"/>
  <c r="RR1349" i="191" s="1"/>
  <c r="RR1340" i="191" s="1"/>
  <c r="RX1340" i="191" s="1"/>
  <c r="EN1348" i="191"/>
  <c r="ET1349" i="191" s="1"/>
  <c r="ET1342" i="191" s="1"/>
  <c r="EZ1342" i="191" s="1"/>
  <c r="QQ1348" i="191"/>
  <c r="QW1349" i="191" s="1"/>
  <c r="QW1319" i="191" s="1"/>
  <c r="RC1319" i="191" s="1"/>
  <c r="DS1348" i="191"/>
  <c r="DY1349" i="191" s="1"/>
  <c r="DY1323" i="191" s="1"/>
  <c r="EE1323" i="191" s="1"/>
  <c r="MP1348" i="191"/>
  <c r="MV1349" i="191" s="1"/>
  <c r="MV1326" i="191" s="1"/>
  <c r="NB1326" i="191" s="1"/>
  <c r="YT1348" i="191"/>
  <c r="YZ1349" i="191" s="1"/>
  <c r="YZ1345" i="191" s="1"/>
  <c r="ZF1345" i="191" s="1"/>
  <c r="UR1348" i="191"/>
  <c r="UX1349" i="191" s="1"/>
  <c r="UX1344" i="191" s="1"/>
  <c r="VD1344" i="191" s="1"/>
  <c r="TW1348" i="191"/>
  <c r="UC1349" i="191" s="1"/>
  <c r="UC1340" i="191" s="1"/>
  <c r="UI1340" i="191" s="1"/>
  <c r="W1361" i="191"/>
  <c r="AC1361" i="191" s="1"/>
  <c r="DC1361" i="191"/>
  <c r="DI1361" i="191" s="1"/>
  <c r="CB1360" i="191"/>
  <c r="CB1369" i="191" s="1"/>
  <c r="CH1370" i="191" s="1"/>
  <c r="CH1367" i="191" s="1"/>
  <c r="CN1367" i="191" s="1"/>
  <c r="FH1360" i="191"/>
  <c r="FH1369" i="191" s="1"/>
  <c r="FN1370" i="191" s="1"/>
  <c r="FN1367" i="191" s="1"/>
  <c r="FT1367" i="191" s="1"/>
  <c r="IN1360" i="191"/>
  <c r="IN1369" i="191" s="1"/>
  <c r="IT1370" i="191" s="1"/>
  <c r="IT1366" i="191" s="1"/>
  <c r="IZ1366" i="191" s="1"/>
  <c r="LT1360" i="191"/>
  <c r="LT1369" i="191" s="1"/>
  <c r="LZ1370" i="191" s="1"/>
  <c r="LZ1365" i="191" s="1"/>
  <c r="MF1365" i="191" s="1"/>
  <c r="OZ1360" i="191"/>
  <c r="OZ1369" i="191" s="1"/>
  <c r="PF1370" i="191" s="1"/>
  <c r="PF1367" i="191" s="1"/>
  <c r="PL1367" i="191" s="1"/>
  <c r="SF1360" i="191"/>
  <c r="SF1369" i="191" s="1"/>
  <c r="SL1370" i="191" s="1"/>
  <c r="SL1367" i="191" s="1"/>
  <c r="SR1367" i="191" s="1"/>
  <c r="VL1360" i="191"/>
  <c r="VL1369" i="191" s="1"/>
  <c r="VR1370" i="191" s="1"/>
  <c r="VR1366" i="191" s="1"/>
  <c r="VX1366" i="191" s="1"/>
  <c r="YR1360" i="191"/>
  <c r="YR1369" i="191" s="1"/>
  <c r="YX1370" i="191" s="1"/>
  <c r="YX1363" i="191" s="1"/>
  <c r="ZD1363" i="191" s="1"/>
  <c r="TB1348" i="191"/>
  <c r="TH1349" i="191" s="1"/>
  <c r="IB1319" i="191"/>
  <c r="IH1319" i="191" s="1"/>
  <c r="IB1329" i="191"/>
  <c r="IH1329" i="191" s="1"/>
  <c r="IB1321" i="191"/>
  <c r="IH1321" i="191" s="1"/>
  <c r="IB1333" i="191"/>
  <c r="IH1333" i="191" s="1"/>
  <c r="IB1335" i="191"/>
  <c r="IH1335" i="191" s="1"/>
  <c r="IB1331" i="191"/>
  <c r="IH1331" i="191" s="1"/>
  <c r="IB1339" i="191"/>
  <c r="IH1339" i="191" s="1"/>
  <c r="IB1343" i="191"/>
  <c r="IH1343" i="191" s="1"/>
  <c r="IB1334" i="191"/>
  <c r="IH1334" i="191" s="1"/>
  <c r="IB1344" i="191"/>
  <c r="IH1344" i="191" s="1"/>
  <c r="IB1345" i="191"/>
  <c r="IH1345" i="191" s="1"/>
  <c r="IB1322" i="191"/>
  <c r="IH1322" i="191" s="1"/>
  <c r="IB1324" i="191"/>
  <c r="IH1324" i="191" s="1"/>
  <c r="IB1323" i="191"/>
  <c r="IH1323" i="191" s="1"/>
  <c r="IB1341" i="191"/>
  <c r="IH1341" i="191" s="1"/>
  <c r="IB1342" i="191"/>
  <c r="IH1342" i="191" s="1"/>
  <c r="IB1325" i="191"/>
  <c r="IH1325" i="191" s="1"/>
  <c r="IB1320" i="191"/>
  <c r="IH1320" i="191" s="1"/>
  <c r="IB1330" i="191"/>
  <c r="IH1330" i="191" s="1"/>
  <c r="IB1326" i="191"/>
  <c r="IH1326" i="191" s="1"/>
  <c r="IB1346" i="191"/>
  <c r="IH1346" i="191" s="1"/>
  <c r="IB1336" i="191"/>
  <c r="IH1336" i="191" s="1"/>
  <c r="IB1340" i="191"/>
  <c r="IH1340" i="191" s="1"/>
  <c r="IB1332" i="191"/>
  <c r="IH1332" i="191" s="1"/>
  <c r="HY1361" i="191"/>
  <c r="IE1361" i="191" s="1"/>
  <c r="RQ1361" i="191"/>
  <c r="RW1361" i="191" s="1"/>
  <c r="ES1361" i="191"/>
  <c r="EY1361" i="191" s="1"/>
  <c r="OK1361" i="191"/>
  <c r="OQ1361" i="191" s="1"/>
  <c r="BM1361" i="191"/>
  <c r="BS1361" i="191" s="1"/>
  <c r="YC1361" i="191"/>
  <c r="YI1361" i="191" s="1"/>
  <c r="LE1361" i="191"/>
  <c r="LK1361" i="191" s="1"/>
  <c r="AL1360" i="191"/>
  <c r="AL1369" i="191" s="1"/>
  <c r="AR1370" i="191" s="1"/>
  <c r="AR1366" i="191" s="1"/>
  <c r="AX1366" i="191" s="1"/>
  <c r="DR1360" i="191"/>
  <c r="DR1369" i="191" s="1"/>
  <c r="DX1370" i="191" s="1"/>
  <c r="DX1366" i="191" s="1"/>
  <c r="ED1366" i="191" s="1"/>
  <c r="GX1360" i="191"/>
  <c r="GX1369" i="191" s="1"/>
  <c r="HD1370" i="191" s="1"/>
  <c r="HD1366" i="191" s="1"/>
  <c r="HJ1366" i="191" s="1"/>
  <c r="KD1360" i="191"/>
  <c r="KD1369" i="191" s="1"/>
  <c r="KJ1370" i="191" s="1"/>
  <c r="KJ1366" i="191" s="1"/>
  <c r="KP1366" i="191" s="1"/>
  <c r="NJ1360" i="191"/>
  <c r="NJ1369" i="191" s="1"/>
  <c r="NP1370" i="191" s="1"/>
  <c r="NP1362" i="191" s="1"/>
  <c r="NV1362" i="191" s="1"/>
  <c r="QP1360" i="191"/>
  <c r="QP1369" i="191" s="1"/>
  <c r="QV1370" i="191" s="1"/>
  <c r="QV1366" i="191" s="1"/>
  <c r="RB1366" i="191" s="1"/>
  <c r="TV1360" i="191"/>
  <c r="TV1369" i="191" s="1"/>
  <c r="UB1370" i="191" s="1"/>
  <c r="UB1363" i="191" s="1"/>
  <c r="UH1363" i="191" s="1"/>
  <c r="XB1360" i="191"/>
  <c r="XB1369" i="191" s="1"/>
  <c r="XH1370" i="191" s="1"/>
  <c r="XH1366" i="191" s="1"/>
  <c r="XN1366" i="191" s="1"/>
  <c r="YC1366" i="191"/>
  <c r="YI1366" i="191" s="1"/>
  <c r="UW1366" i="191"/>
  <c r="VC1366" i="191" s="1"/>
  <c r="TG1366" i="191"/>
  <c r="TM1366" i="191" s="1"/>
  <c r="QA1366" i="191"/>
  <c r="QG1366" i="191" s="1"/>
  <c r="MU1366" i="191"/>
  <c r="NA1366" i="191" s="1"/>
  <c r="JO1366" i="191"/>
  <c r="JU1366" i="191" s="1"/>
  <c r="GI1366" i="191"/>
  <c r="GO1366" i="191" s="1"/>
  <c r="DC1366" i="191"/>
  <c r="DI1366" i="191" s="1"/>
  <c r="W1366" i="191"/>
  <c r="AC1366" i="191" s="1"/>
  <c r="TG1363" i="191"/>
  <c r="TM1363" i="191" s="1"/>
  <c r="OK1363" i="191"/>
  <c r="OQ1363" i="191" s="1"/>
  <c r="GI1363" i="191"/>
  <c r="GO1363" i="191" s="1"/>
  <c r="BM1363" i="191"/>
  <c r="BS1363" i="191" s="1"/>
  <c r="YC1363" i="191"/>
  <c r="YI1363" i="191" s="1"/>
  <c r="QA1363" i="191"/>
  <c r="QG1363" i="191" s="1"/>
  <c r="LE1363" i="191"/>
  <c r="LK1363" i="191" s="1"/>
  <c r="DC1363" i="191"/>
  <c r="DI1363" i="191" s="1"/>
  <c r="WM1362" i="191"/>
  <c r="WS1362" i="191" s="1"/>
  <c r="RQ1362" i="191"/>
  <c r="RW1362" i="191" s="1"/>
  <c r="OK1362" i="191"/>
  <c r="OQ1362" i="191" s="1"/>
  <c r="LE1362" i="191"/>
  <c r="LK1362" i="191" s="1"/>
  <c r="HY1362" i="191"/>
  <c r="IE1362" i="191" s="1"/>
  <c r="ES1362" i="191"/>
  <c r="EY1362" i="191" s="1"/>
  <c r="BM1362" i="191"/>
  <c r="BS1362" i="191" s="1"/>
  <c r="YC1365" i="191"/>
  <c r="YI1365" i="191" s="1"/>
  <c r="TG1365" i="191"/>
  <c r="TM1365" i="191" s="1"/>
  <c r="OK1365" i="191"/>
  <c r="OQ1365" i="191" s="1"/>
  <c r="GI1365" i="191"/>
  <c r="GO1365" i="191" s="1"/>
  <c r="BM1365" i="191"/>
  <c r="BS1365" i="191" s="1"/>
  <c r="RQ1365" i="191"/>
  <c r="RW1365" i="191" s="1"/>
  <c r="JO1365" i="191"/>
  <c r="JU1365" i="191" s="1"/>
  <c r="ES1365" i="191"/>
  <c r="EY1365" i="191" s="1"/>
  <c r="WM1366" i="191"/>
  <c r="WS1366" i="191" s="1"/>
  <c r="RQ1366" i="191"/>
  <c r="RW1366" i="191" s="1"/>
  <c r="OK1366" i="191"/>
  <c r="OQ1366" i="191" s="1"/>
  <c r="LE1366" i="191"/>
  <c r="LK1366" i="191" s="1"/>
  <c r="HY1366" i="191"/>
  <c r="IE1366" i="191" s="1"/>
  <c r="ES1366" i="191"/>
  <c r="EY1366" i="191" s="1"/>
  <c r="BM1366" i="191"/>
  <c r="BS1366" i="191" s="1"/>
  <c r="UW1363" i="191"/>
  <c r="VC1363" i="191" s="1"/>
  <c r="MU1363" i="191"/>
  <c r="NA1363" i="191" s="1"/>
  <c r="HY1363" i="191"/>
  <c r="IE1363" i="191" s="1"/>
  <c r="W1363" i="191"/>
  <c r="AC1363" i="191" s="1"/>
  <c r="WM1363" i="191"/>
  <c r="WS1363" i="191" s="1"/>
  <c r="RQ1363" i="191"/>
  <c r="RW1363" i="191" s="1"/>
  <c r="JO1363" i="191"/>
  <c r="JU1363" i="191" s="1"/>
  <c r="ES1363" i="191"/>
  <c r="EY1363" i="191" s="1"/>
  <c r="YC1362" i="191"/>
  <c r="YI1362" i="191" s="1"/>
  <c r="UW1362" i="191"/>
  <c r="VC1362" i="191" s="1"/>
  <c r="TG1362" i="191"/>
  <c r="TM1362" i="191" s="1"/>
  <c r="QA1362" i="191"/>
  <c r="QG1362" i="191" s="1"/>
  <c r="MU1362" i="191"/>
  <c r="NA1362" i="191" s="1"/>
  <c r="JO1362" i="191"/>
  <c r="JU1362" i="191" s="1"/>
  <c r="GI1362" i="191"/>
  <c r="GO1362" i="191" s="1"/>
  <c r="DC1362" i="191"/>
  <c r="DI1362" i="191" s="1"/>
  <c r="W1362" i="191"/>
  <c r="AC1362" i="191" s="1"/>
  <c r="WM1365" i="191"/>
  <c r="WS1365" i="191" s="1"/>
  <c r="MU1365" i="191"/>
  <c r="NA1365" i="191" s="1"/>
  <c r="HY1365" i="191"/>
  <c r="IE1365" i="191" s="1"/>
  <c r="W1365" i="191"/>
  <c r="AC1365" i="191" s="1"/>
  <c r="UW1365" i="191"/>
  <c r="VC1365" i="191" s="1"/>
  <c r="QA1365" i="191"/>
  <c r="QG1365" i="191" s="1"/>
  <c r="LE1365" i="191"/>
  <c r="LK1365" i="191" s="1"/>
  <c r="DC1365" i="191"/>
  <c r="DI1365" i="191" s="1"/>
  <c r="BF1360" i="191"/>
  <c r="BF1369" i="191" s="1"/>
  <c r="BL1370" i="191" s="1"/>
  <c r="EL1360" i="191"/>
  <c r="EL1369" i="191" s="1"/>
  <c r="ER1370" i="191" s="1"/>
  <c r="HR1360" i="191"/>
  <c r="HR1369" i="191" s="1"/>
  <c r="HX1370" i="191" s="1"/>
  <c r="KX1360" i="191"/>
  <c r="KX1369" i="191" s="1"/>
  <c r="LD1370" i="191" s="1"/>
  <c r="OD1360" i="191"/>
  <c r="OD1369" i="191" s="1"/>
  <c r="OJ1370" i="191" s="1"/>
  <c r="RJ1360" i="191"/>
  <c r="RJ1369" i="191" s="1"/>
  <c r="RP1370" i="191" s="1"/>
  <c r="UP1360" i="191"/>
  <c r="UP1369" i="191" s="1"/>
  <c r="UV1370" i="191" s="1"/>
  <c r="XV1360" i="191"/>
  <c r="XV1369" i="191" s="1"/>
  <c r="YB1370" i="191" s="1"/>
  <c r="AK1360" i="191"/>
  <c r="AK1369" i="191" s="1"/>
  <c r="AQ1370" i="191" s="1"/>
  <c r="DQ1360" i="191"/>
  <c r="DQ1369" i="191" s="1"/>
  <c r="DW1370" i="191" s="1"/>
  <c r="GW1360" i="191"/>
  <c r="GW1369" i="191" s="1"/>
  <c r="HC1370" i="191" s="1"/>
  <c r="KC1360" i="191"/>
  <c r="KC1369" i="191" s="1"/>
  <c r="KI1370" i="191" s="1"/>
  <c r="NI1360" i="191"/>
  <c r="NI1369" i="191" s="1"/>
  <c r="NO1370" i="191" s="1"/>
  <c r="QO1360" i="191"/>
  <c r="QO1369" i="191" s="1"/>
  <c r="QU1370" i="191" s="1"/>
  <c r="TU1360" i="191"/>
  <c r="TU1369" i="191" s="1"/>
  <c r="UA1370" i="191" s="1"/>
  <c r="XA1360" i="191"/>
  <c r="XA1369" i="191" s="1"/>
  <c r="XG1370" i="191" s="1"/>
  <c r="P1360" i="191"/>
  <c r="P1369" i="191" s="1"/>
  <c r="V1370" i="191" s="1"/>
  <c r="CV1360" i="191"/>
  <c r="CV1369" i="191" s="1"/>
  <c r="DB1370" i="191" s="1"/>
  <c r="GB1360" i="191"/>
  <c r="GB1369" i="191" s="1"/>
  <c r="GH1370" i="191" s="1"/>
  <c r="JH1360" i="191"/>
  <c r="JH1369" i="191" s="1"/>
  <c r="JN1370" i="191" s="1"/>
  <c r="MN1360" i="191"/>
  <c r="MN1369" i="191" s="1"/>
  <c r="MT1370" i="191" s="1"/>
  <c r="PT1360" i="191"/>
  <c r="PT1369" i="191" s="1"/>
  <c r="PZ1370" i="191" s="1"/>
  <c r="SZ1360" i="191"/>
  <c r="SZ1369" i="191" s="1"/>
  <c r="TF1370" i="191" s="1"/>
  <c r="WF1360" i="191"/>
  <c r="WF1369" i="191" s="1"/>
  <c r="WL1370" i="191" s="1"/>
  <c r="YQ1360" i="191"/>
  <c r="YQ1369" i="191" s="1"/>
  <c r="YW1370" i="191" s="1"/>
  <c r="CA1360" i="191"/>
  <c r="CA1369" i="191" s="1"/>
  <c r="CG1370" i="191" s="1"/>
  <c r="FG1360" i="191"/>
  <c r="FG1369" i="191" s="1"/>
  <c r="FM1370" i="191" s="1"/>
  <c r="IM1360" i="191"/>
  <c r="IM1369" i="191" s="1"/>
  <c r="IS1370" i="191" s="1"/>
  <c r="LS1360" i="191"/>
  <c r="LS1369" i="191" s="1"/>
  <c r="LY1370" i="191" s="1"/>
  <c r="OY1360" i="191"/>
  <c r="OY1369" i="191" s="1"/>
  <c r="PE1370" i="191" s="1"/>
  <c r="SE1360" i="191"/>
  <c r="SE1369" i="191" s="1"/>
  <c r="SK1370" i="191" s="1"/>
  <c r="VK1360" i="191"/>
  <c r="VK1369" i="191" s="1"/>
  <c r="VQ1370" i="191" s="1"/>
  <c r="YP1363" i="191"/>
  <c r="YP1360" i="191" s="1"/>
  <c r="YP1369" i="191" s="1"/>
  <c r="YV1370" i="191" s="1"/>
  <c r="WZ1363" i="191"/>
  <c r="WZ1360" i="191" s="1"/>
  <c r="WZ1369" i="191" s="1"/>
  <c r="XF1370" i="191" s="1"/>
  <c r="VJ1363" i="191"/>
  <c r="VJ1360" i="191" s="1"/>
  <c r="VJ1369" i="191" s="1"/>
  <c r="VP1370" i="191" s="1"/>
  <c r="TT1363" i="191"/>
  <c r="TT1360" i="191" s="1"/>
  <c r="TT1369" i="191" s="1"/>
  <c r="TZ1370" i="191" s="1"/>
  <c r="SD1363" i="191"/>
  <c r="SD1360" i="191" s="1"/>
  <c r="SD1369" i="191" s="1"/>
  <c r="SJ1370" i="191" s="1"/>
  <c r="QN1363" i="191"/>
  <c r="QN1360" i="191" s="1"/>
  <c r="QN1369" i="191" s="1"/>
  <c r="QT1370" i="191" s="1"/>
  <c r="QT1363" i="191" s="1"/>
  <c r="QZ1363" i="191" s="1"/>
  <c r="OX1363" i="191"/>
  <c r="OX1360" i="191" s="1"/>
  <c r="OX1369" i="191" s="1"/>
  <c r="PD1370" i="191" s="1"/>
  <c r="NH1363" i="191"/>
  <c r="NH1360" i="191" s="1"/>
  <c r="NH1369" i="191" s="1"/>
  <c r="NN1370" i="191" s="1"/>
  <c r="LR1363" i="191"/>
  <c r="LR1360" i="191" s="1"/>
  <c r="LR1369" i="191" s="1"/>
  <c r="LX1370" i="191" s="1"/>
  <c r="KB1363" i="191"/>
  <c r="KB1360" i="191" s="1"/>
  <c r="KB1369" i="191" s="1"/>
  <c r="KH1370" i="191" s="1"/>
  <c r="IL1363" i="191"/>
  <c r="IL1360" i="191" s="1"/>
  <c r="IL1369" i="191" s="1"/>
  <c r="IR1370" i="191" s="1"/>
  <c r="GV1363" i="191"/>
  <c r="GV1360" i="191" s="1"/>
  <c r="GV1369" i="191" s="1"/>
  <c r="HB1370" i="191" s="1"/>
  <c r="FF1363" i="191"/>
  <c r="FF1360" i="191" s="1"/>
  <c r="FF1369" i="191" s="1"/>
  <c r="FL1370" i="191" s="1"/>
  <c r="DP1363" i="191"/>
  <c r="DP1360" i="191" s="1"/>
  <c r="DP1369" i="191" s="1"/>
  <c r="DV1370" i="191" s="1"/>
  <c r="DV1363" i="191" s="1"/>
  <c r="EB1363" i="191" s="1"/>
  <c r="BZ1363" i="191"/>
  <c r="BZ1360" i="191" s="1"/>
  <c r="BZ1369" i="191" s="1"/>
  <c r="CF1370" i="191" s="1"/>
  <c r="AJ1363" i="191"/>
  <c r="AJ1360" i="191" s="1"/>
  <c r="AJ1369" i="191" s="1"/>
  <c r="AP1370" i="191" s="1"/>
  <c r="XU1363" i="191"/>
  <c r="XU1360" i="191" s="1"/>
  <c r="XU1369" i="191" s="1"/>
  <c r="YA1370" i="191" s="1"/>
  <c r="WE1363" i="191"/>
  <c r="WE1360" i="191" s="1"/>
  <c r="WE1369" i="191" s="1"/>
  <c r="WK1370" i="191" s="1"/>
  <c r="WK1363" i="191" s="1"/>
  <c r="WQ1363" i="191" s="1"/>
  <c r="UO1363" i="191"/>
  <c r="UO1360" i="191" s="1"/>
  <c r="UO1369" i="191" s="1"/>
  <c r="UU1370" i="191" s="1"/>
  <c r="SY1363" i="191"/>
  <c r="SY1360" i="191" s="1"/>
  <c r="SY1369" i="191" s="1"/>
  <c r="TE1370" i="191" s="1"/>
  <c r="RI1363" i="191"/>
  <c r="RI1360" i="191" s="1"/>
  <c r="RI1369" i="191" s="1"/>
  <c r="RO1370" i="191" s="1"/>
  <c r="PS1363" i="191"/>
  <c r="PS1360" i="191" s="1"/>
  <c r="PS1369" i="191" s="1"/>
  <c r="PY1370" i="191" s="1"/>
  <c r="OC1363" i="191"/>
  <c r="OC1360" i="191" s="1"/>
  <c r="OC1369" i="191" s="1"/>
  <c r="OI1370" i="191" s="1"/>
  <c r="MM1363" i="191"/>
  <c r="MM1360" i="191" s="1"/>
  <c r="MM1369" i="191" s="1"/>
  <c r="MS1370" i="191" s="1"/>
  <c r="KW1363" i="191"/>
  <c r="KW1360" i="191" s="1"/>
  <c r="KW1369" i="191" s="1"/>
  <c r="LC1370" i="191" s="1"/>
  <c r="JG1363" i="191"/>
  <c r="JG1360" i="191" s="1"/>
  <c r="JG1369" i="191" s="1"/>
  <c r="JM1370" i="191" s="1"/>
  <c r="JM1363" i="191" s="1"/>
  <c r="JS1363" i="191" s="1"/>
  <c r="HQ1363" i="191"/>
  <c r="HQ1360" i="191" s="1"/>
  <c r="HQ1369" i="191" s="1"/>
  <c r="HW1370" i="191" s="1"/>
  <c r="GA1363" i="191"/>
  <c r="GA1360" i="191" s="1"/>
  <c r="GA1369" i="191" s="1"/>
  <c r="GG1370" i="191" s="1"/>
  <c r="EK1363" i="191"/>
  <c r="EK1360" i="191" s="1"/>
  <c r="EK1369" i="191" s="1"/>
  <c r="EQ1370" i="191" s="1"/>
  <c r="CU1363" i="191"/>
  <c r="CU1360" i="191" s="1"/>
  <c r="CU1369" i="191" s="1"/>
  <c r="DA1370" i="191" s="1"/>
  <c r="BE1363" i="191"/>
  <c r="BE1360" i="191" s="1"/>
  <c r="BE1369" i="191" s="1"/>
  <c r="BK1370" i="191" s="1"/>
  <c r="O1363" i="191"/>
  <c r="O1360" i="191" s="1"/>
  <c r="O1369" i="191" s="1"/>
  <c r="U1370" i="191" s="1"/>
  <c r="H1334" i="191"/>
  <c r="H1254" i="191"/>
  <c r="H1344" i="191"/>
  <c r="H1263" i="191"/>
  <c r="G1334" i="191"/>
  <c r="G1254" i="191"/>
  <c r="G1344" i="191"/>
  <c r="G1263" i="191"/>
  <c r="F1334" i="191"/>
  <c r="F1254" i="191"/>
  <c r="F1344" i="191"/>
  <c r="F1263" i="191"/>
  <c r="H175" i="191"/>
  <c r="H49" i="191" s="1"/>
  <c r="F175" i="191"/>
  <c r="F49" i="191" s="1"/>
  <c r="G175" i="191"/>
  <c r="G49" i="191" s="1"/>
  <c r="HE1289" i="191" l="1"/>
  <c r="HK1289" i="191" s="1"/>
  <c r="HE1290" i="191"/>
  <c r="HK1290" i="191" s="1"/>
  <c r="HE1308" i="191"/>
  <c r="HK1308" i="191" s="1"/>
  <c r="HE1292" i="191"/>
  <c r="HK1292" i="191" s="1"/>
  <c r="HZ1289" i="191"/>
  <c r="IF1289" i="191" s="1"/>
  <c r="HZ1291" i="191"/>
  <c r="IF1291" i="191" s="1"/>
  <c r="HZ1290" i="191"/>
  <c r="IF1290" i="191" s="1"/>
  <c r="GJ1302" i="191"/>
  <c r="GP1302" i="191" s="1"/>
  <c r="GJ1292" i="191"/>
  <c r="GP1292" i="191" s="1"/>
  <c r="HE1291" i="191"/>
  <c r="HK1291" i="191" s="1"/>
  <c r="X1294" i="191"/>
  <c r="AD1294" i="191" s="1"/>
  <c r="RR1302" i="191"/>
  <c r="RX1302" i="191" s="1"/>
  <c r="HE1297" i="191"/>
  <c r="HK1297" i="191" s="1"/>
  <c r="HE1304" i="191"/>
  <c r="HK1304" i="191" s="1"/>
  <c r="HE1293" i="191"/>
  <c r="HK1293" i="191" s="1"/>
  <c r="HE1298" i="191"/>
  <c r="HK1298" i="191" s="1"/>
  <c r="HE1288" i="191"/>
  <c r="HK1288" i="191" s="1"/>
  <c r="HE1285" i="191"/>
  <c r="HK1285" i="191" s="1"/>
  <c r="HE1281" i="191"/>
  <c r="HK1281" i="191" s="1"/>
  <c r="HE1299" i="191"/>
  <c r="HK1299" i="191" s="1"/>
  <c r="HE1301" i="191"/>
  <c r="HK1301" i="191" s="1"/>
  <c r="HE1283" i="191"/>
  <c r="HK1283" i="191" s="1"/>
  <c r="HE1284" i="191"/>
  <c r="HK1284" i="191" s="1"/>
  <c r="HE1282" i="191"/>
  <c r="HK1282" i="191" s="1"/>
  <c r="HE1307" i="191"/>
  <c r="HK1307" i="191" s="1"/>
  <c r="HE1305" i="191"/>
  <c r="HK1305" i="191" s="1"/>
  <c r="HE1287" i="191"/>
  <c r="HK1287" i="191" s="1"/>
  <c r="HE1303" i="191"/>
  <c r="HK1303" i="191" s="1"/>
  <c r="HE1286" i="191"/>
  <c r="HK1286" i="191" s="1"/>
  <c r="HE1302" i="191"/>
  <c r="HK1302" i="191" s="1"/>
  <c r="HE1294" i="191"/>
  <c r="HK1294" i="191" s="1"/>
  <c r="AS1290" i="191"/>
  <c r="AY1290" i="191" s="1"/>
  <c r="DY1286" i="191"/>
  <c r="EE1286" i="191" s="1"/>
  <c r="AS1281" i="191"/>
  <c r="AY1281" i="191" s="1"/>
  <c r="WN1282" i="191"/>
  <c r="WT1282" i="191" s="1"/>
  <c r="BN1281" i="191"/>
  <c r="BT1281" i="191" s="1"/>
  <c r="LF1303" i="191"/>
  <c r="LL1303" i="191" s="1"/>
  <c r="AS1292" i="191"/>
  <c r="AY1292" i="191" s="1"/>
  <c r="LF1285" i="191"/>
  <c r="LL1285" i="191" s="1"/>
  <c r="LF1287" i="191"/>
  <c r="LL1287" i="191" s="1"/>
  <c r="DY1307" i="191"/>
  <c r="EE1307" i="191" s="1"/>
  <c r="AS1304" i="191"/>
  <c r="AY1304" i="191" s="1"/>
  <c r="LF1289" i="191"/>
  <c r="LL1289" i="191" s="1"/>
  <c r="LF1298" i="191"/>
  <c r="LL1298" i="191" s="1"/>
  <c r="DY1287" i="191"/>
  <c r="EE1287" i="191" s="1"/>
  <c r="AS1297" i="191"/>
  <c r="AY1297" i="191" s="1"/>
  <c r="AS1293" i="191"/>
  <c r="AY1293" i="191" s="1"/>
  <c r="LF1288" i="191"/>
  <c r="LL1288" i="191" s="1"/>
  <c r="OL1305" i="191"/>
  <c r="OR1305" i="191" s="1"/>
  <c r="DY1299" i="191"/>
  <c r="EE1299" i="191" s="1"/>
  <c r="DY1283" i="191"/>
  <c r="EE1283" i="191" s="1"/>
  <c r="DY1282" i="191"/>
  <c r="EE1282" i="191" s="1"/>
  <c r="X1286" i="191"/>
  <c r="AD1286" i="191" s="1"/>
  <c r="WN1302" i="191"/>
  <c r="WT1302" i="191" s="1"/>
  <c r="QW1281" i="191"/>
  <c r="RC1281" i="191" s="1"/>
  <c r="OL1308" i="191"/>
  <c r="OR1308" i="191" s="1"/>
  <c r="OL1294" i="191"/>
  <c r="OR1294" i="191" s="1"/>
  <c r="DY1305" i="191"/>
  <c r="EE1305" i="191" s="1"/>
  <c r="DY1303" i="191"/>
  <c r="EE1303" i="191" s="1"/>
  <c r="DY1281" i="191"/>
  <c r="EE1281" i="191" s="1"/>
  <c r="X1281" i="191"/>
  <c r="AD1281" i="191" s="1"/>
  <c r="WN1308" i="191"/>
  <c r="WT1308" i="191" s="1"/>
  <c r="DY1306" i="191"/>
  <c r="EE1306" i="191" s="1"/>
  <c r="QW1292" i="191"/>
  <c r="RC1292" i="191" s="1"/>
  <c r="QW1293" i="191"/>
  <c r="RC1293" i="191" s="1"/>
  <c r="OL1286" i="191"/>
  <c r="OR1286" i="191" s="1"/>
  <c r="OL1303" i="191"/>
  <c r="OR1303" i="191" s="1"/>
  <c r="DY1285" i="191"/>
  <c r="EE1285" i="191" s="1"/>
  <c r="DY1301" i="191"/>
  <c r="EE1301" i="191" s="1"/>
  <c r="DY1284" i="191"/>
  <c r="EE1284" i="191" s="1"/>
  <c r="QW1287" i="191"/>
  <c r="RC1287" i="191" s="1"/>
  <c r="QW1282" i="191"/>
  <c r="RC1282" i="191" s="1"/>
  <c r="EU1325" i="191"/>
  <c r="FA1325" i="191" s="1"/>
  <c r="EU1334" i="191"/>
  <c r="FA1334" i="191" s="1"/>
  <c r="EU1323" i="191"/>
  <c r="FA1323" i="191" s="1"/>
  <c r="CK1335" i="191"/>
  <c r="CQ1335" i="191" s="1"/>
  <c r="EU1329" i="191"/>
  <c r="FA1329" i="191" s="1"/>
  <c r="SO1344" i="191"/>
  <c r="SU1344" i="191" s="1"/>
  <c r="X1320" i="191"/>
  <c r="AD1320" i="191" s="1"/>
  <c r="EU1320" i="191"/>
  <c r="FA1320" i="191" s="1"/>
  <c r="X1339" i="191"/>
  <c r="AD1339" i="191" s="1"/>
  <c r="EU1332" i="191"/>
  <c r="FA1332" i="191" s="1"/>
  <c r="X1300" i="191"/>
  <c r="AD1300" i="191" s="1"/>
  <c r="AS1300" i="191"/>
  <c r="AY1300" i="191" s="1"/>
  <c r="QW1306" i="191"/>
  <c r="RC1306" i="191" s="1"/>
  <c r="GJ1304" i="191"/>
  <c r="GP1304" i="191" s="1"/>
  <c r="GJ1290" i="191"/>
  <c r="GP1290" i="191" s="1"/>
  <c r="GJ1299" i="191"/>
  <c r="GP1299" i="191" s="1"/>
  <c r="GJ1288" i="191"/>
  <c r="GP1288" i="191" s="1"/>
  <c r="GJ1283" i="191"/>
  <c r="GP1283" i="191" s="1"/>
  <c r="GJ1303" i="191"/>
  <c r="GP1303" i="191" s="1"/>
  <c r="AS1298" i="191"/>
  <c r="AY1298" i="191" s="1"/>
  <c r="AS1288" i="191"/>
  <c r="AY1288" i="191" s="1"/>
  <c r="AS1285" i="191"/>
  <c r="AY1285" i="191" s="1"/>
  <c r="AS1299" i="191"/>
  <c r="AY1299" i="191" s="1"/>
  <c r="AS1301" i="191"/>
  <c r="AY1301" i="191" s="1"/>
  <c r="AS1283" i="191"/>
  <c r="AY1283" i="191" s="1"/>
  <c r="LF1284" i="191"/>
  <c r="LL1284" i="191" s="1"/>
  <c r="LF1302" i="191"/>
  <c r="LL1302" i="191" s="1"/>
  <c r="LF1308" i="191"/>
  <c r="LL1308" i="191" s="1"/>
  <c r="LF1293" i="191"/>
  <c r="LL1293" i="191" s="1"/>
  <c r="LF1301" i="191"/>
  <c r="LL1301" i="191" s="1"/>
  <c r="LF1291" i="191"/>
  <c r="LL1291" i="191" s="1"/>
  <c r="QW1289" i="191"/>
  <c r="RC1289" i="191" s="1"/>
  <c r="QW1305" i="191"/>
  <c r="RC1305" i="191" s="1"/>
  <c r="QW1285" i="191"/>
  <c r="RC1285" i="191" s="1"/>
  <c r="QW1290" i="191"/>
  <c r="RC1290" i="191" s="1"/>
  <c r="QW1298" i="191"/>
  <c r="RC1298" i="191" s="1"/>
  <c r="QW1304" i="191"/>
  <c r="RC1304" i="191" s="1"/>
  <c r="QW1303" i="191"/>
  <c r="RC1303" i="191" s="1"/>
  <c r="GJ1308" i="191"/>
  <c r="GP1308" i="191" s="1"/>
  <c r="GJ1285" i="191"/>
  <c r="GP1285" i="191" s="1"/>
  <c r="GJ1305" i="191"/>
  <c r="GP1305" i="191" s="1"/>
  <c r="GJ1282" i="191"/>
  <c r="GP1282" i="191" s="1"/>
  <c r="GJ1307" i="191"/>
  <c r="GP1307" i="191" s="1"/>
  <c r="GJ1284" i="191"/>
  <c r="GP1284" i="191" s="1"/>
  <c r="AS1284" i="191"/>
  <c r="AY1284" i="191" s="1"/>
  <c r="AS1282" i="191"/>
  <c r="AY1282" i="191" s="1"/>
  <c r="AS1307" i="191"/>
  <c r="AY1307" i="191" s="1"/>
  <c r="AS1305" i="191"/>
  <c r="AY1305" i="191" s="1"/>
  <c r="AS1287" i="191"/>
  <c r="AY1287" i="191" s="1"/>
  <c r="AS1303" i="191"/>
  <c r="AY1303" i="191" s="1"/>
  <c r="LF1307" i="191"/>
  <c r="LL1307" i="191" s="1"/>
  <c r="LF1290" i="191"/>
  <c r="LL1290" i="191" s="1"/>
  <c r="LF1282" i="191"/>
  <c r="LL1282" i="191" s="1"/>
  <c r="LF1299" i="191"/>
  <c r="LL1299" i="191" s="1"/>
  <c r="LF1283" i="191"/>
  <c r="LL1283" i="191" s="1"/>
  <c r="LF1281" i="191"/>
  <c r="LL1281" i="191" s="1"/>
  <c r="GJ1300" i="191"/>
  <c r="GP1300" i="191" s="1"/>
  <c r="QW1294" i="191"/>
  <c r="RC1294" i="191" s="1"/>
  <c r="QW1299" i="191"/>
  <c r="RC1299" i="191" s="1"/>
  <c r="QW1288" i="191"/>
  <c r="RC1288" i="191" s="1"/>
  <c r="QW1302" i="191"/>
  <c r="RC1302" i="191" s="1"/>
  <c r="QW1308" i="191"/>
  <c r="RC1308" i="191" s="1"/>
  <c r="QW1284" i="191"/>
  <c r="RC1284" i="191" s="1"/>
  <c r="QW1291" i="191"/>
  <c r="RC1291" i="191" s="1"/>
  <c r="GJ1287" i="191"/>
  <c r="GP1287" i="191" s="1"/>
  <c r="GJ1301" i="191"/>
  <c r="GP1301" i="191" s="1"/>
  <c r="GJ1289" i="191"/>
  <c r="GP1289" i="191" s="1"/>
  <c r="GJ1298" i="191"/>
  <c r="GP1298" i="191" s="1"/>
  <c r="GJ1294" i="191"/>
  <c r="GP1294" i="191" s="1"/>
  <c r="GJ1286" i="191"/>
  <c r="GP1286" i="191" s="1"/>
  <c r="AS1286" i="191"/>
  <c r="AY1286" i="191" s="1"/>
  <c r="AS1302" i="191"/>
  <c r="AY1302" i="191" s="1"/>
  <c r="AS1294" i="191"/>
  <c r="AY1294" i="191" s="1"/>
  <c r="AS1289" i="191"/>
  <c r="AY1289" i="191" s="1"/>
  <c r="AS1308" i="191"/>
  <c r="AY1308" i="191" s="1"/>
  <c r="AS1291" i="191"/>
  <c r="AY1291" i="191" s="1"/>
  <c r="LF1297" i="191"/>
  <c r="LL1297" i="191" s="1"/>
  <c r="LF1294" i="191"/>
  <c r="LL1294" i="191" s="1"/>
  <c r="LF1292" i="191"/>
  <c r="LL1292" i="191" s="1"/>
  <c r="LF1304" i="191"/>
  <c r="LL1304" i="191" s="1"/>
  <c r="LF1305" i="191"/>
  <c r="LL1305" i="191" s="1"/>
  <c r="LF1286" i="191"/>
  <c r="LL1286" i="191" s="1"/>
  <c r="QW1300" i="191"/>
  <c r="RC1300" i="191" s="1"/>
  <c r="QW1307" i="191"/>
  <c r="RC1307" i="191" s="1"/>
  <c r="QW1297" i="191"/>
  <c r="RC1297" i="191" s="1"/>
  <c r="QW1283" i="191"/>
  <c r="RC1283" i="191" s="1"/>
  <c r="KM1321" i="191"/>
  <c r="KS1321" i="191" s="1"/>
  <c r="KM1332" i="191"/>
  <c r="KS1332" i="191" s="1"/>
  <c r="SO1333" i="191"/>
  <c r="SU1333" i="191" s="1"/>
  <c r="OL1284" i="191"/>
  <c r="OR1284" i="191" s="1"/>
  <c r="OL1297" i="191"/>
  <c r="OR1297" i="191" s="1"/>
  <c r="OL1289" i="191"/>
  <c r="OR1289" i="191" s="1"/>
  <c r="DY1302" i="191"/>
  <c r="EE1302" i="191" s="1"/>
  <c r="DY1294" i="191"/>
  <c r="EE1294" i="191" s="1"/>
  <c r="DY1289" i="191"/>
  <c r="EE1289" i="191" s="1"/>
  <c r="DY1308" i="191"/>
  <c r="EE1308" i="191" s="1"/>
  <c r="DY1291" i="191"/>
  <c r="EE1291" i="191" s="1"/>
  <c r="DY1297" i="191"/>
  <c r="EE1297" i="191" s="1"/>
  <c r="X1302" i="191"/>
  <c r="AD1302" i="191" s="1"/>
  <c r="TH1287" i="191"/>
  <c r="TN1287" i="191" s="1"/>
  <c r="TH1290" i="191"/>
  <c r="TN1290" i="191" s="1"/>
  <c r="WN1301" i="191"/>
  <c r="WT1301" i="191" s="1"/>
  <c r="QB1285" i="191"/>
  <c r="QH1285" i="191" s="1"/>
  <c r="TH1306" i="191"/>
  <c r="TN1306" i="191" s="1"/>
  <c r="DY1300" i="191"/>
  <c r="EE1300" i="191" s="1"/>
  <c r="CK1325" i="191"/>
  <c r="CQ1325" i="191" s="1"/>
  <c r="KM1340" i="191"/>
  <c r="KS1340" i="191" s="1"/>
  <c r="SO1325" i="191"/>
  <c r="SU1325" i="191" s="1"/>
  <c r="OL1283" i="191"/>
  <c r="OR1283" i="191" s="1"/>
  <c r="OL1299" i="191"/>
  <c r="OR1299" i="191" s="1"/>
  <c r="OL1304" i="191"/>
  <c r="OR1304" i="191" s="1"/>
  <c r="DY1290" i="191"/>
  <c r="EE1290" i="191" s="1"/>
  <c r="DY1292" i="191"/>
  <c r="EE1292" i="191" s="1"/>
  <c r="DY1304" i="191"/>
  <c r="EE1304" i="191" s="1"/>
  <c r="DY1293" i="191"/>
  <c r="EE1293" i="191" s="1"/>
  <c r="DY1298" i="191"/>
  <c r="EE1298" i="191" s="1"/>
  <c r="X1298" i="191"/>
  <c r="AD1298" i="191" s="1"/>
  <c r="X1291" i="191"/>
  <c r="AD1291" i="191" s="1"/>
  <c r="TH1301" i="191"/>
  <c r="TN1301" i="191" s="1"/>
  <c r="WN1288" i="191"/>
  <c r="WT1288" i="191" s="1"/>
  <c r="WN1287" i="191"/>
  <c r="WT1287" i="191" s="1"/>
  <c r="QB1308" i="191"/>
  <c r="QH1308" i="191" s="1"/>
  <c r="QB1307" i="191"/>
  <c r="QH1307" i="191" s="1"/>
  <c r="QB1287" i="191"/>
  <c r="QH1287" i="191" s="1"/>
  <c r="QB1290" i="191"/>
  <c r="QH1290" i="191" s="1"/>
  <c r="ZE1296" i="191"/>
  <c r="YE1344" i="191"/>
  <c r="YK1344" i="191" s="1"/>
  <c r="CK1343" i="191"/>
  <c r="CQ1343" i="191" s="1"/>
  <c r="KM1346" i="191"/>
  <c r="KS1346" i="191" s="1"/>
  <c r="KM1329" i="191"/>
  <c r="KS1329" i="191" s="1"/>
  <c r="KM1331" i="191"/>
  <c r="KS1331" i="191" s="1"/>
  <c r="SO1341" i="191"/>
  <c r="SU1341" i="191" s="1"/>
  <c r="SO1319" i="191"/>
  <c r="SU1319" i="191" s="1"/>
  <c r="CK1324" i="191"/>
  <c r="CQ1324" i="191" s="1"/>
  <c r="KM1339" i="191"/>
  <c r="KS1339" i="191" s="1"/>
  <c r="KM1345" i="191"/>
  <c r="KS1345" i="191" s="1"/>
  <c r="KM1320" i="191"/>
  <c r="KS1320" i="191" s="1"/>
  <c r="SO1332" i="191"/>
  <c r="SU1332" i="191" s="1"/>
  <c r="SO1336" i="191"/>
  <c r="SU1336" i="191" s="1"/>
  <c r="CK1342" i="191"/>
  <c r="CQ1342" i="191" s="1"/>
  <c r="CK1319" i="191"/>
  <c r="CQ1319" i="191" s="1"/>
  <c r="KM1344" i="191"/>
  <c r="KS1344" i="191" s="1"/>
  <c r="KM1341" i="191"/>
  <c r="KS1341" i="191" s="1"/>
  <c r="KM1342" i="191"/>
  <c r="KS1342" i="191" s="1"/>
  <c r="SO1334" i="191"/>
  <c r="SU1334" i="191" s="1"/>
  <c r="SO1345" i="191"/>
  <c r="SU1345" i="191" s="1"/>
  <c r="SO1323" i="191"/>
  <c r="SU1323" i="191" s="1"/>
  <c r="IW1343" i="191"/>
  <c r="JC1343" i="191" s="1"/>
  <c r="X1342" i="191"/>
  <c r="AD1342" i="191" s="1"/>
  <c r="X1332" i="191"/>
  <c r="AD1332" i="191" s="1"/>
  <c r="EU1339" i="191"/>
  <c r="FA1339" i="191" s="1"/>
  <c r="EU1341" i="191"/>
  <c r="FA1341" i="191" s="1"/>
  <c r="EU1326" i="191"/>
  <c r="FA1326" i="191" s="1"/>
  <c r="EU1335" i="191"/>
  <c r="FA1335" i="191" s="1"/>
  <c r="UZ1331" i="191"/>
  <c r="VF1331" i="191" s="1"/>
  <c r="ZA1323" i="191"/>
  <c r="ZG1323" i="191" s="1"/>
  <c r="ZA1320" i="191"/>
  <c r="ZG1320" i="191" s="1"/>
  <c r="ZA1334" i="191"/>
  <c r="ZG1334" i="191" s="1"/>
  <c r="IW1340" i="191"/>
  <c r="JC1340" i="191" s="1"/>
  <c r="IW1329" i="191"/>
  <c r="JC1329" i="191" s="1"/>
  <c r="X1324" i="191"/>
  <c r="AD1324" i="191" s="1"/>
  <c r="ZA1326" i="191"/>
  <c r="ZG1326" i="191" s="1"/>
  <c r="ZA1321" i="191"/>
  <c r="ZG1321" i="191" s="1"/>
  <c r="IW1341" i="191"/>
  <c r="JC1341" i="191" s="1"/>
  <c r="ZA1345" i="191"/>
  <c r="ZG1345" i="191" s="1"/>
  <c r="IW1336" i="191"/>
  <c r="JC1336" i="191" s="1"/>
  <c r="IW1339" i="191"/>
  <c r="JC1339" i="191" s="1"/>
  <c r="X1331" i="191"/>
  <c r="AD1331" i="191" s="1"/>
  <c r="UZ1342" i="191"/>
  <c r="VF1342" i="191" s="1"/>
  <c r="YX1362" i="191"/>
  <c r="ZD1362" i="191" s="1"/>
  <c r="ZA1346" i="191"/>
  <c r="ZG1346" i="191" s="1"/>
  <c r="ZA1331" i="191"/>
  <c r="ZG1331" i="191" s="1"/>
  <c r="ZA1319" i="191"/>
  <c r="ZG1319" i="191" s="1"/>
  <c r="IW1323" i="191"/>
  <c r="JC1323" i="191" s="1"/>
  <c r="IW1345" i="191"/>
  <c r="JC1345" i="191" s="1"/>
  <c r="IW1334" i="191"/>
  <c r="JC1334" i="191" s="1"/>
  <c r="EU1336" i="191"/>
  <c r="FA1336" i="191" s="1"/>
  <c r="EU1342" i="191"/>
  <c r="FA1342" i="191" s="1"/>
  <c r="Z1344" i="191"/>
  <c r="AF1344" i="191" s="1"/>
  <c r="ZA1336" i="191"/>
  <c r="ZG1336" i="191" s="1"/>
  <c r="ZA1324" i="191"/>
  <c r="ZG1324" i="191" s="1"/>
  <c r="ZA1333" i="191"/>
  <c r="ZG1333" i="191" s="1"/>
  <c r="IW1332" i="191"/>
  <c r="JC1332" i="191" s="1"/>
  <c r="IW1326" i="191"/>
  <c r="JC1326" i="191" s="1"/>
  <c r="IW1335" i="191"/>
  <c r="JC1335" i="191" s="1"/>
  <c r="Z1321" i="191"/>
  <c r="AF1321" i="191" s="1"/>
  <c r="CK1346" i="191"/>
  <c r="CQ1346" i="191" s="1"/>
  <c r="CK1344" i="191"/>
  <c r="CQ1344" i="191" s="1"/>
  <c r="CK1329" i="191"/>
  <c r="CQ1329" i="191" s="1"/>
  <c r="X1330" i="191"/>
  <c r="AD1330" i="191" s="1"/>
  <c r="X1333" i="191"/>
  <c r="AD1333" i="191" s="1"/>
  <c r="X1321" i="191"/>
  <c r="AD1321" i="191" s="1"/>
  <c r="KM1325" i="191"/>
  <c r="KS1325" i="191" s="1"/>
  <c r="KM1343" i="191"/>
  <c r="KS1343" i="191" s="1"/>
  <c r="KM1326" i="191"/>
  <c r="KS1326" i="191" s="1"/>
  <c r="KM1324" i="191"/>
  <c r="KS1324" i="191" s="1"/>
  <c r="KM1335" i="191"/>
  <c r="KS1335" i="191" s="1"/>
  <c r="KM1336" i="191"/>
  <c r="KS1336" i="191" s="1"/>
  <c r="SO1331" i="191"/>
  <c r="SU1331" i="191" s="1"/>
  <c r="SO1322" i="191"/>
  <c r="SU1322" i="191" s="1"/>
  <c r="SO1342" i="191"/>
  <c r="SU1342" i="191" s="1"/>
  <c r="SO1335" i="191"/>
  <c r="SU1335" i="191" s="1"/>
  <c r="SO1330" i="191"/>
  <c r="SU1330" i="191" s="1"/>
  <c r="Z1323" i="191"/>
  <c r="AF1323" i="191" s="1"/>
  <c r="CK1336" i="191"/>
  <c r="CQ1336" i="191" s="1"/>
  <c r="CK1330" i="191"/>
  <c r="CQ1330" i="191" s="1"/>
  <c r="CK1334" i="191"/>
  <c r="CQ1334" i="191" s="1"/>
  <c r="X1326" i="191"/>
  <c r="AD1326" i="191" s="1"/>
  <c r="X1343" i="191"/>
  <c r="AD1343" i="191" s="1"/>
  <c r="X1344" i="191"/>
  <c r="AD1344" i="191" s="1"/>
  <c r="KM1322" i="191"/>
  <c r="KS1322" i="191" s="1"/>
  <c r="KM1333" i="191"/>
  <c r="KS1333" i="191" s="1"/>
  <c r="KM1330" i="191"/>
  <c r="KS1330" i="191" s="1"/>
  <c r="KM1334" i="191"/>
  <c r="KS1334" i="191" s="1"/>
  <c r="KM1319" i="191"/>
  <c r="KS1319" i="191" s="1"/>
  <c r="SO1321" i="191"/>
  <c r="SU1321" i="191" s="1"/>
  <c r="SO1346" i="191"/>
  <c r="SU1346" i="191" s="1"/>
  <c r="SO1340" i="191"/>
  <c r="SU1340" i="191" s="1"/>
  <c r="SO1329" i="191"/>
  <c r="SU1329" i="191" s="1"/>
  <c r="SO1326" i="191"/>
  <c r="SU1326" i="191" s="1"/>
  <c r="SO1324" i="191"/>
  <c r="SU1324" i="191" s="1"/>
  <c r="SO1320" i="191"/>
  <c r="SU1320" i="191" s="1"/>
  <c r="SO1343" i="191"/>
  <c r="SU1343" i="191" s="1"/>
  <c r="ZA1332" i="191"/>
  <c r="ZG1332" i="191" s="1"/>
  <c r="ZA1325" i="191"/>
  <c r="ZG1325" i="191" s="1"/>
  <c r="ZA1341" i="191"/>
  <c r="ZG1341" i="191" s="1"/>
  <c r="ZA1322" i="191"/>
  <c r="ZG1322" i="191" s="1"/>
  <c r="ZA1335" i="191"/>
  <c r="ZG1335" i="191" s="1"/>
  <c r="ZA1339" i="191"/>
  <c r="ZG1339" i="191" s="1"/>
  <c r="IW1320" i="191"/>
  <c r="JC1320" i="191" s="1"/>
  <c r="IW1330" i="191"/>
  <c r="JC1330" i="191" s="1"/>
  <c r="IW1342" i="191"/>
  <c r="JC1342" i="191" s="1"/>
  <c r="IW1322" i="191"/>
  <c r="JC1322" i="191" s="1"/>
  <c r="IW1333" i="191"/>
  <c r="JC1333" i="191" s="1"/>
  <c r="IW1321" i="191"/>
  <c r="JC1321" i="191" s="1"/>
  <c r="UZ1324" i="191"/>
  <c r="VF1324" i="191" s="1"/>
  <c r="ZA1340" i="191"/>
  <c r="ZG1340" i="191" s="1"/>
  <c r="ZA1342" i="191"/>
  <c r="ZG1342" i="191" s="1"/>
  <c r="ZA1330" i="191"/>
  <c r="ZG1330" i="191" s="1"/>
  <c r="ZA1344" i="191"/>
  <c r="ZG1344" i="191" s="1"/>
  <c r="ZA1343" i="191"/>
  <c r="ZG1343" i="191" s="1"/>
  <c r="IW1325" i="191"/>
  <c r="JC1325" i="191" s="1"/>
  <c r="IW1346" i="191"/>
  <c r="JC1346" i="191" s="1"/>
  <c r="IW1324" i="191"/>
  <c r="JC1324" i="191" s="1"/>
  <c r="IW1331" i="191"/>
  <c r="JC1331" i="191" s="1"/>
  <c r="IW1344" i="191"/>
  <c r="JC1344" i="191" s="1"/>
  <c r="Z1324" i="191"/>
  <c r="AF1324" i="191" s="1"/>
  <c r="Z1325" i="191"/>
  <c r="AF1325" i="191" s="1"/>
  <c r="Z1329" i="191"/>
  <c r="AF1329" i="191" s="1"/>
  <c r="HE1306" i="191"/>
  <c r="HK1306" i="191" s="1"/>
  <c r="RR1306" i="191"/>
  <c r="RX1306" i="191" s="1"/>
  <c r="RR1292" i="191"/>
  <c r="RX1292" i="191" s="1"/>
  <c r="RR1299" i="191"/>
  <c r="RX1299" i="191" s="1"/>
  <c r="RR1289" i="191"/>
  <c r="RX1289" i="191" s="1"/>
  <c r="RR1283" i="191"/>
  <c r="RX1283" i="191" s="1"/>
  <c r="RR1297" i="191"/>
  <c r="RX1297" i="191" s="1"/>
  <c r="RR1284" i="191"/>
  <c r="RX1284" i="191" s="1"/>
  <c r="IU1302" i="191"/>
  <c r="JA1302" i="191" s="1"/>
  <c r="RR1294" i="191"/>
  <c r="RX1294" i="191" s="1"/>
  <c r="RR1293" i="191"/>
  <c r="RX1293" i="191" s="1"/>
  <c r="RR1307" i="191"/>
  <c r="RX1307" i="191" s="1"/>
  <c r="RR1301" i="191"/>
  <c r="RX1301" i="191" s="1"/>
  <c r="RR1291" i="191"/>
  <c r="RX1291" i="191" s="1"/>
  <c r="RR1308" i="191"/>
  <c r="RX1308" i="191" s="1"/>
  <c r="RR1303" i="191"/>
  <c r="RX1303" i="191" s="1"/>
  <c r="RR1287" i="191"/>
  <c r="RX1287" i="191" s="1"/>
  <c r="RR1290" i="191"/>
  <c r="RX1290" i="191" s="1"/>
  <c r="RR1298" i="191"/>
  <c r="RX1298" i="191" s="1"/>
  <c r="RR1285" i="191"/>
  <c r="RX1285" i="191" s="1"/>
  <c r="RR1281" i="191"/>
  <c r="RX1281" i="191" s="1"/>
  <c r="BN1290" i="191"/>
  <c r="BT1290" i="191" s="1"/>
  <c r="X1282" i="191"/>
  <c r="AD1282" i="191" s="1"/>
  <c r="X1307" i="191"/>
  <c r="AD1307" i="191" s="1"/>
  <c r="X1284" i="191"/>
  <c r="AD1284" i="191" s="1"/>
  <c r="X1287" i="191"/>
  <c r="AD1287" i="191" s="1"/>
  <c r="X1301" i="191"/>
  <c r="AD1301" i="191" s="1"/>
  <c r="X1289" i="191"/>
  <c r="AD1289" i="191" s="1"/>
  <c r="TH1304" i="191"/>
  <c r="TN1304" i="191" s="1"/>
  <c r="TH1305" i="191"/>
  <c r="TN1305" i="191" s="1"/>
  <c r="TH1286" i="191"/>
  <c r="TN1286" i="191" s="1"/>
  <c r="TH1288" i="191"/>
  <c r="TN1288" i="191" s="1"/>
  <c r="TH1282" i="191"/>
  <c r="TN1282" i="191" s="1"/>
  <c r="TH1302" i="191"/>
  <c r="TN1302" i="191" s="1"/>
  <c r="WN1297" i="191"/>
  <c r="WT1297" i="191" s="1"/>
  <c r="WN1284" i="191"/>
  <c r="WT1284" i="191" s="1"/>
  <c r="WN1289" i="191"/>
  <c r="WT1289" i="191" s="1"/>
  <c r="WN1304" i="191"/>
  <c r="WT1304" i="191" s="1"/>
  <c r="WN1305" i="191"/>
  <c r="WT1305" i="191" s="1"/>
  <c r="WN1286" i="191"/>
  <c r="WT1286" i="191" s="1"/>
  <c r="QB1304" i="191"/>
  <c r="QH1304" i="191" s="1"/>
  <c r="QB1305" i="191"/>
  <c r="QH1305" i="191" s="1"/>
  <c r="QB1286" i="191"/>
  <c r="QH1286" i="191" s="1"/>
  <c r="QB1288" i="191"/>
  <c r="QH1288" i="191" s="1"/>
  <c r="QB1282" i="191"/>
  <c r="QH1282" i="191" s="1"/>
  <c r="QB1302" i="191"/>
  <c r="QH1302" i="191" s="1"/>
  <c r="WN1300" i="191"/>
  <c r="WT1300" i="191" s="1"/>
  <c r="QB1300" i="191"/>
  <c r="QH1300" i="191" s="1"/>
  <c r="X1288" i="191"/>
  <c r="AD1288" i="191" s="1"/>
  <c r="X1283" i="191"/>
  <c r="AD1283" i="191" s="1"/>
  <c r="X1303" i="191"/>
  <c r="AD1303" i="191" s="1"/>
  <c r="X1308" i="191"/>
  <c r="AD1308" i="191" s="1"/>
  <c r="X1285" i="191"/>
  <c r="AD1285" i="191" s="1"/>
  <c r="X1305" i="191"/>
  <c r="AD1305" i="191" s="1"/>
  <c r="TH1299" i="191"/>
  <c r="TN1299" i="191" s="1"/>
  <c r="TH1283" i="191"/>
  <c r="TN1283" i="191" s="1"/>
  <c r="TH1297" i="191"/>
  <c r="TN1297" i="191" s="1"/>
  <c r="TH1284" i="191"/>
  <c r="TN1284" i="191" s="1"/>
  <c r="TH1289" i="191"/>
  <c r="TN1289" i="191" s="1"/>
  <c r="TH1281" i="191"/>
  <c r="TN1281" i="191" s="1"/>
  <c r="WN1298" i="191"/>
  <c r="WT1298" i="191" s="1"/>
  <c r="WN1294" i="191"/>
  <c r="WT1294" i="191" s="1"/>
  <c r="WN1292" i="191"/>
  <c r="WT1292" i="191" s="1"/>
  <c r="WN1299" i="191"/>
  <c r="WT1299" i="191" s="1"/>
  <c r="WN1283" i="191"/>
  <c r="WT1283" i="191" s="1"/>
  <c r="WN1281" i="191"/>
  <c r="WT1281" i="191" s="1"/>
  <c r="QB1299" i="191"/>
  <c r="QH1299" i="191" s="1"/>
  <c r="QB1283" i="191"/>
  <c r="QH1283" i="191" s="1"/>
  <c r="QB1297" i="191"/>
  <c r="QH1297" i="191" s="1"/>
  <c r="QB1284" i="191"/>
  <c r="QH1284" i="191" s="1"/>
  <c r="QB1289" i="191"/>
  <c r="QH1289" i="191" s="1"/>
  <c r="QB1281" i="191"/>
  <c r="QH1281" i="191" s="1"/>
  <c r="WN1306" i="191"/>
  <c r="WT1306" i="191" s="1"/>
  <c r="QB1306" i="191"/>
  <c r="QH1306" i="191" s="1"/>
  <c r="NQ1281" i="191"/>
  <c r="NW1281" i="191" s="1"/>
  <c r="X1297" i="191"/>
  <c r="AD1297" i="191" s="1"/>
  <c r="X1293" i="191"/>
  <c r="AD1293" i="191" s="1"/>
  <c r="X1292" i="191"/>
  <c r="AD1292" i="191" s="1"/>
  <c r="X1304" i="191"/>
  <c r="AD1304" i="191" s="1"/>
  <c r="X1290" i="191"/>
  <c r="AD1290" i="191" s="1"/>
  <c r="X1299" i="191"/>
  <c r="AD1299" i="191" s="1"/>
  <c r="TH1293" i="191"/>
  <c r="TN1293" i="191" s="1"/>
  <c r="TH1303" i="191"/>
  <c r="TN1303" i="191" s="1"/>
  <c r="TH1291" i="191"/>
  <c r="TN1291" i="191" s="1"/>
  <c r="TH1298" i="191"/>
  <c r="TN1298" i="191" s="1"/>
  <c r="TH1294" i="191"/>
  <c r="TN1294" i="191" s="1"/>
  <c r="TH1292" i="191"/>
  <c r="TN1292" i="191" s="1"/>
  <c r="WN1285" i="191"/>
  <c r="WT1285" i="191" s="1"/>
  <c r="WN1307" i="191"/>
  <c r="WT1307" i="191" s="1"/>
  <c r="WN1290" i="191"/>
  <c r="WT1290" i="191" s="1"/>
  <c r="WN1293" i="191"/>
  <c r="WT1293" i="191" s="1"/>
  <c r="WN1303" i="191"/>
  <c r="WT1303" i="191" s="1"/>
  <c r="QB1293" i="191"/>
  <c r="QH1293" i="191" s="1"/>
  <c r="QB1303" i="191"/>
  <c r="QH1303" i="191" s="1"/>
  <c r="QB1291" i="191"/>
  <c r="QH1291" i="191" s="1"/>
  <c r="QB1298" i="191"/>
  <c r="QH1298" i="191" s="1"/>
  <c r="QB1294" i="191"/>
  <c r="QH1294" i="191" s="1"/>
  <c r="ZE1280" i="191"/>
  <c r="FN1362" i="191"/>
  <c r="FT1362" i="191" s="1"/>
  <c r="HZ1300" i="191"/>
  <c r="IF1300" i="191" s="1"/>
  <c r="LF1306" i="191"/>
  <c r="LL1306" i="191" s="1"/>
  <c r="Z1336" i="191"/>
  <c r="AF1336" i="191" s="1"/>
  <c r="Z1330" i="191"/>
  <c r="AF1330" i="191" s="1"/>
  <c r="Z1333" i="191"/>
  <c r="AF1333" i="191" s="1"/>
  <c r="BP1334" i="191"/>
  <c r="BV1334" i="191" s="1"/>
  <c r="CK1340" i="191"/>
  <c r="CQ1340" i="191" s="1"/>
  <c r="CK1332" i="191"/>
  <c r="CQ1332" i="191" s="1"/>
  <c r="CK1323" i="191"/>
  <c r="CQ1323" i="191" s="1"/>
  <c r="CK1345" i="191"/>
  <c r="CQ1345" i="191" s="1"/>
  <c r="CK1333" i="191"/>
  <c r="CQ1333" i="191" s="1"/>
  <c r="CK1321" i="191"/>
  <c r="CQ1321" i="191" s="1"/>
  <c r="X1323" i="191"/>
  <c r="AD1323" i="191" s="1"/>
  <c r="X1341" i="191"/>
  <c r="AD1341" i="191" s="1"/>
  <c r="X1322" i="191"/>
  <c r="AD1322" i="191" s="1"/>
  <c r="X1340" i="191"/>
  <c r="AD1340" i="191" s="1"/>
  <c r="X1335" i="191"/>
  <c r="AD1335" i="191" s="1"/>
  <c r="X1329" i="191"/>
  <c r="AD1329" i="191" s="1"/>
  <c r="EU1344" i="191"/>
  <c r="FA1344" i="191" s="1"/>
  <c r="EU1343" i="191"/>
  <c r="FA1343" i="191" s="1"/>
  <c r="EU1330" i="191"/>
  <c r="FA1330" i="191" s="1"/>
  <c r="EU1324" i="191"/>
  <c r="FA1324" i="191" s="1"/>
  <c r="EU1333" i="191"/>
  <c r="FA1333" i="191" s="1"/>
  <c r="Z1332" i="191"/>
  <c r="AF1332" i="191" s="1"/>
  <c r="Z1342" i="191"/>
  <c r="AF1342" i="191" s="1"/>
  <c r="Z1343" i="191"/>
  <c r="AF1343" i="191" s="1"/>
  <c r="BP1336" i="191"/>
  <c r="BV1336" i="191" s="1"/>
  <c r="CK1320" i="191"/>
  <c r="CQ1320" i="191" s="1"/>
  <c r="CK1326" i="191"/>
  <c r="CQ1326" i="191" s="1"/>
  <c r="CK1341" i="191"/>
  <c r="CQ1341" i="191" s="1"/>
  <c r="CK1322" i="191"/>
  <c r="CQ1322" i="191" s="1"/>
  <c r="CK1331" i="191"/>
  <c r="CQ1331" i="191" s="1"/>
  <c r="X1336" i="191"/>
  <c r="AD1336" i="191" s="1"/>
  <c r="X1346" i="191"/>
  <c r="AD1346" i="191" s="1"/>
  <c r="X1334" i="191"/>
  <c r="AD1334" i="191" s="1"/>
  <c r="X1325" i="191"/>
  <c r="AD1325" i="191" s="1"/>
  <c r="X1345" i="191"/>
  <c r="AD1345" i="191" s="1"/>
  <c r="EU1331" i="191"/>
  <c r="FA1331" i="191" s="1"/>
  <c r="EU1322" i="191"/>
  <c r="FA1322" i="191" s="1"/>
  <c r="EU1340" i="191"/>
  <c r="FA1340" i="191" s="1"/>
  <c r="EU1345" i="191"/>
  <c r="FA1345" i="191" s="1"/>
  <c r="EU1321" i="191"/>
  <c r="FA1321" i="191" s="1"/>
  <c r="EU1346" i="191"/>
  <c r="FA1346" i="191" s="1"/>
  <c r="DZ1346" i="191"/>
  <c r="EF1346" i="191" s="1"/>
  <c r="AS1325" i="191"/>
  <c r="AY1325" i="191" s="1"/>
  <c r="DZ1335" i="191"/>
  <c r="EF1335" i="191" s="1"/>
  <c r="DZ1341" i="191"/>
  <c r="EF1341" i="191" s="1"/>
  <c r="DZ1344" i="191"/>
  <c r="EF1344" i="191" s="1"/>
  <c r="BN1325" i="191"/>
  <c r="BT1325" i="191" s="1"/>
  <c r="DZ1333" i="191"/>
  <c r="EF1333" i="191" s="1"/>
  <c r="DZ1332" i="191"/>
  <c r="EF1332" i="191" s="1"/>
  <c r="DZ1330" i="191"/>
  <c r="EF1330" i="191" s="1"/>
  <c r="DZ1336" i="191"/>
  <c r="EF1336" i="191" s="1"/>
  <c r="DZ1343" i="191"/>
  <c r="EF1343" i="191" s="1"/>
  <c r="DZ1339" i="191"/>
  <c r="EF1339" i="191" s="1"/>
  <c r="DZ1334" i="191"/>
  <c r="EF1334" i="191" s="1"/>
  <c r="DZ1319" i="191"/>
  <c r="EF1319" i="191" s="1"/>
  <c r="BN1332" i="191"/>
  <c r="BT1332" i="191" s="1"/>
  <c r="BN1329" i="191"/>
  <c r="BT1329" i="191" s="1"/>
  <c r="DZ1325" i="191"/>
  <c r="EF1325" i="191" s="1"/>
  <c r="DZ1340" i="191"/>
  <c r="EF1340" i="191" s="1"/>
  <c r="DZ1323" i="191"/>
  <c r="EF1323" i="191" s="1"/>
  <c r="DZ1329" i="191"/>
  <c r="EF1329" i="191" s="1"/>
  <c r="DZ1345" i="191"/>
  <c r="EF1345" i="191" s="1"/>
  <c r="DZ1324" i="191"/>
  <c r="EF1324" i="191" s="1"/>
  <c r="BN1336" i="191"/>
  <c r="BT1336" i="191" s="1"/>
  <c r="BN1344" i="191"/>
  <c r="BT1344" i="191" s="1"/>
  <c r="DZ1326" i="191"/>
  <c r="EF1326" i="191" s="1"/>
  <c r="DZ1342" i="191"/>
  <c r="EF1342" i="191" s="1"/>
  <c r="DZ1320" i="191"/>
  <c r="EF1320" i="191" s="1"/>
  <c r="DZ1322" i="191"/>
  <c r="EF1322" i="191" s="1"/>
  <c r="DZ1331" i="191"/>
  <c r="EF1331" i="191" s="1"/>
  <c r="BN1331" i="191"/>
  <c r="BT1331" i="191" s="1"/>
  <c r="KL1333" i="191"/>
  <c r="KR1333" i="191" s="1"/>
  <c r="NQ1303" i="191"/>
  <c r="NW1303" i="191" s="1"/>
  <c r="NQ1291" i="191"/>
  <c r="NW1291" i="191" s="1"/>
  <c r="IU1282" i="191"/>
  <c r="JA1282" i="191" s="1"/>
  <c r="BN1297" i="191"/>
  <c r="BT1297" i="191" s="1"/>
  <c r="BN1293" i="191"/>
  <c r="BT1293" i="191" s="1"/>
  <c r="OL1301" i="191"/>
  <c r="OR1301" i="191" s="1"/>
  <c r="OL1290" i="191"/>
  <c r="OR1290" i="191" s="1"/>
  <c r="OL1285" i="191"/>
  <c r="OR1285" i="191" s="1"/>
  <c r="OL1307" i="191"/>
  <c r="OR1307" i="191" s="1"/>
  <c r="OL1291" i="191"/>
  <c r="OR1291" i="191" s="1"/>
  <c r="OL1281" i="191"/>
  <c r="OR1281" i="191" s="1"/>
  <c r="NQ1307" i="191"/>
  <c r="NW1307" i="191" s="1"/>
  <c r="HZ1305" i="191"/>
  <c r="IF1305" i="191" s="1"/>
  <c r="HZ1287" i="191"/>
  <c r="IF1287" i="191" s="1"/>
  <c r="HZ1308" i="191"/>
  <c r="IF1308" i="191" s="1"/>
  <c r="HZ1286" i="191"/>
  <c r="IF1286" i="191" s="1"/>
  <c r="HZ1302" i="191"/>
  <c r="IF1302" i="191" s="1"/>
  <c r="HZ1294" i="191"/>
  <c r="IF1294" i="191" s="1"/>
  <c r="IU1288" i="191"/>
  <c r="JA1288" i="191" s="1"/>
  <c r="IU1287" i="191"/>
  <c r="JA1287" i="191" s="1"/>
  <c r="BN1304" i="191"/>
  <c r="BT1304" i="191" s="1"/>
  <c r="HZ1306" i="191"/>
  <c r="IF1306" i="191" s="1"/>
  <c r="OL1282" i="191"/>
  <c r="OR1282" i="191" s="1"/>
  <c r="OL1302" i="191"/>
  <c r="OR1302" i="191" s="1"/>
  <c r="OL1288" i="191"/>
  <c r="OR1288" i="191" s="1"/>
  <c r="OL1287" i="191"/>
  <c r="OR1287" i="191" s="1"/>
  <c r="OL1298" i="191"/>
  <c r="OR1298" i="191" s="1"/>
  <c r="HZ1299" i="191"/>
  <c r="IF1299" i="191" s="1"/>
  <c r="HZ1303" i="191"/>
  <c r="IF1303" i="191" s="1"/>
  <c r="HZ1283" i="191"/>
  <c r="IF1283" i="191" s="1"/>
  <c r="HZ1284" i="191"/>
  <c r="IF1284" i="191" s="1"/>
  <c r="HZ1282" i="191"/>
  <c r="IF1282" i="191" s="1"/>
  <c r="IU1286" i="191"/>
  <c r="JA1286" i="191" s="1"/>
  <c r="IU1301" i="191"/>
  <c r="JA1301" i="191" s="1"/>
  <c r="MG1296" i="191"/>
  <c r="IU1283" i="191"/>
  <c r="JA1283" i="191" s="1"/>
  <c r="IU1297" i="191"/>
  <c r="JA1297" i="191" s="1"/>
  <c r="IU1284" i="191"/>
  <c r="JA1284" i="191" s="1"/>
  <c r="IU1289" i="191"/>
  <c r="JA1289" i="191" s="1"/>
  <c r="IU1304" i="191"/>
  <c r="JA1304" i="191" s="1"/>
  <c r="IU1305" i="191"/>
  <c r="JA1305" i="191" s="1"/>
  <c r="IU1300" i="191"/>
  <c r="JA1300" i="191" s="1"/>
  <c r="IU1303" i="191"/>
  <c r="JA1303" i="191" s="1"/>
  <c r="IU1291" i="191"/>
  <c r="JA1291" i="191" s="1"/>
  <c r="IU1298" i="191"/>
  <c r="JA1298" i="191" s="1"/>
  <c r="IU1294" i="191"/>
  <c r="JA1294" i="191" s="1"/>
  <c r="IU1292" i="191"/>
  <c r="JA1292" i="191" s="1"/>
  <c r="IU1299" i="191"/>
  <c r="JA1299" i="191" s="1"/>
  <c r="IU1308" i="191"/>
  <c r="JA1308" i="191" s="1"/>
  <c r="IU1285" i="191"/>
  <c r="JA1285" i="191" s="1"/>
  <c r="IU1307" i="191"/>
  <c r="JA1307" i="191" s="1"/>
  <c r="IU1290" i="191"/>
  <c r="JA1290" i="191" s="1"/>
  <c r="IU1293" i="191"/>
  <c r="JA1293" i="191" s="1"/>
  <c r="IU1281" i="191"/>
  <c r="JA1281" i="191" s="1"/>
  <c r="UX1286" i="191"/>
  <c r="VD1286" i="191" s="1"/>
  <c r="UX1306" i="191"/>
  <c r="VD1306" i="191" s="1"/>
  <c r="CI1300" i="191"/>
  <c r="CO1300" i="191" s="1"/>
  <c r="CI1306" i="191"/>
  <c r="CO1306" i="191" s="1"/>
  <c r="NQ1300" i="191"/>
  <c r="NW1300" i="191" s="1"/>
  <c r="NQ1306" i="191"/>
  <c r="NW1306" i="191" s="1"/>
  <c r="BN1300" i="191"/>
  <c r="BT1300" i="191" s="1"/>
  <c r="BN1306" i="191"/>
  <c r="BT1306" i="191" s="1"/>
  <c r="MV1302" i="191"/>
  <c r="NB1302" i="191" s="1"/>
  <c r="MV1306" i="191"/>
  <c r="NB1306" i="191" s="1"/>
  <c r="OL1300" i="191"/>
  <c r="OR1300" i="191" s="1"/>
  <c r="OL1306" i="191"/>
  <c r="OR1306" i="191" s="1"/>
  <c r="PG1300" i="191"/>
  <c r="PM1300" i="191" s="1"/>
  <c r="PG1306" i="191"/>
  <c r="PM1306" i="191" s="1"/>
  <c r="VS1285" i="191"/>
  <c r="VY1285" i="191" s="1"/>
  <c r="VS1306" i="191"/>
  <c r="VY1306" i="191" s="1"/>
  <c r="MV1301" i="191"/>
  <c r="NB1301" i="191" s="1"/>
  <c r="AS1322" i="191"/>
  <c r="AY1322" i="191" s="1"/>
  <c r="MV1288" i="191"/>
  <c r="NB1288" i="191" s="1"/>
  <c r="MV1287" i="191"/>
  <c r="NB1287" i="191" s="1"/>
  <c r="MV1282" i="191"/>
  <c r="NB1282" i="191" s="1"/>
  <c r="IA1329" i="191"/>
  <c r="IG1329" i="191" s="1"/>
  <c r="UD1336" i="191"/>
  <c r="UJ1336" i="191" s="1"/>
  <c r="AS1326" i="191"/>
  <c r="AY1326" i="191" s="1"/>
  <c r="AS1321" i="191"/>
  <c r="AY1321" i="191" s="1"/>
  <c r="MV1308" i="191"/>
  <c r="NB1308" i="191" s="1"/>
  <c r="FP1343" i="191"/>
  <c r="FV1343" i="191" s="1"/>
  <c r="OM1343" i="191"/>
  <c r="OS1343" i="191" s="1"/>
  <c r="AS1336" i="191"/>
  <c r="AY1336" i="191" s="1"/>
  <c r="AS1335" i="191"/>
  <c r="AY1335" i="191" s="1"/>
  <c r="CI1286" i="191"/>
  <c r="CO1286" i="191" s="1"/>
  <c r="CI1293" i="191"/>
  <c r="CO1293" i="191" s="1"/>
  <c r="CI1294" i="191"/>
  <c r="CO1294" i="191" s="1"/>
  <c r="CI1297" i="191"/>
  <c r="CO1297" i="191" s="1"/>
  <c r="CI1302" i="191"/>
  <c r="CO1302" i="191" s="1"/>
  <c r="UX1293" i="191"/>
  <c r="VD1293" i="191" s="1"/>
  <c r="SL1366" i="191"/>
  <c r="SR1366" i="191" s="1"/>
  <c r="FN1363" i="191"/>
  <c r="FT1363" i="191" s="1"/>
  <c r="FN1365" i="191"/>
  <c r="FT1365" i="191" s="1"/>
  <c r="FN1366" i="191"/>
  <c r="FT1366" i="191" s="1"/>
  <c r="SL1365" i="191"/>
  <c r="SR1365" i="191" s="1"/>
  <c r="SL1362" i="191"/>
  <c r="SR1362" i="191" s="1"/>
  <c r="FN1361" i="191"/>
  <c r="FT1361" i="191" s="1"/>
  <c r="BN1320" i="191"/>
  <c r="BT1320" i="191" s="1"/>
  <c r="BN1326" i="191"/>
  <c r="BT1326" i="191" s="1"/>
  <c r="BN1322" i="191"/>
  <c r="BT1322" i="191" s="1"/>
  <c r="BN1334" i="191"/>
  <c r="BT1334" i="191" s="1"/>
  <c r="BN1333" i="191"/>
  <c r="BT1333" i="191" s="1"/>
  <c r="BN1319" i="191"/>
  <c r="BT1319" i="191" s="1"/>
  <c r="XJ1342" i="191"/>
  <c r="XP1342" i="191" s="1"/>
  <c r="XJ1322" i="191"/>
  <c r="XP1322" i="191" s="1"/>
  <c r="PG1288" i="191"/>
  <c r="PM1288" i="191" s="1"/>
  <c r="YX1367" i="191"/>
  <c r="ZD1367" i="191" s="1"/>
  <c r="LZ1366" i="191"/>
  <c r="MF1366" i="191" s="1"/>
  <c r="LZ1362" i="191"/>
  <c r="MF1362" i="191" s="1"/>
  <c r="BN1341" i="191"/>
  <c r="BT1341" i="191" s="1"/>
  <c r="BN1330" i="191"/>
  <c r="BT1330" i="191" s="1"/>
  <c r="BN1343" i="191"/>
  <c r="BT1343" i="191" s="1"/>
  <c r="BN1335" i="191"/>
  <c r="BT1335" i="191" s="1"/>
  <c r="BN1345" i="191"/>
  <c r="BT1345" i="191" s="1"/>
  <c r="BN1321" i="191"/>
  <c r="BT1321" i="191" s="1"/>
  <c r="XJ1336" i="191"/>
  <c r="XP1336" i="191" s="1"/>
  <c r="PG1304" i="191"/>
  <c r="PM1304" i="191" s="1"/>
  <c r="LZ1363" i="191"/>
  <c r="MF1363" i="191" s="1"/>
  <c r="BN1346" i="191"/>
  <c r="BT1346" i="191" s="1"/>
  <c r="BN1323" i="191"/>
  <c r="BT1323" i="191" s="1"/>
  <c r="BN1342" i="191"/>
  <c r="BT1342" i="191" s="1"/>
  <c r="BN1340" i="191"/>
  <c r="BT1340" i="191" s="1"/>
  <c r="BN1324" i="191"/>
  <c r="BT1324" i="191" s="1"/>
  <c r="XJ1343" i="191"/>
  <c r="XP1343" i="191" s="1"/>
  <c r="XJ1339" i="191"/>
  <c r="XP1339" i="191" s="1"/>
  <c r="PG1294" i="191"/>
  <c r="PM1294" i="191" s="1"/>
  <c r="PG1283" i="191"/>
  <c r="PM1283" i="191" s="1"/>
  <c r="PG1305" i="191"/>
  <c r="PM1305" i="191" s="1"/>
  <c r="BP1345" i="191"/>
  <c r="BV1345" i="191" s="1"/>
  <c r="NQ1282" i="191"/>
  <c r="NW1282" i="191" s="1"/>
  <c r="NQ1302" i="191"/>
  <c r="NW1302" i="191" s="1"/>
  <c r="NQ1288" i="191"/>
  <c r="NW1288" i="191" s="1"/>
  <c r="NQ1287" i="191"/>
  <c r="NW1287" i="191" s="1"/>
  <c r="NQ1308" i="191"/>
  <c r="NW1308" i="191" s="1"/>
  <c r="NQ1293" i="191"/>
  <c r="NW1293" i="191" s="1"/>
  <c r="BN1286" i="191"/>
  <c r="BT1286" i="191" s="1"/>
  <c r="BN1302" i="191"/>
  <c r="BT1302" i="191" s="1"/>
  <c r="BN1294" i="191"/>
  <c r="BT1294" i="191" s="1"/>
  <c r="BN1289" i="191"/>
  <c r="BT1289" i="191" s="1"/>
  <c r="BN1301" i="191"/>
  <c r="BT1301" i="191" s="1"/>
  <c r="BN1291" i="191"/>
  <c r="BT1291" i="191" s="1"/>
  <c r="UX1287" i="191"/>
  <c r="VD1287" i="191" s="1"/>
  <c r="PG1307" i="191"/>
  <c r="PM1307" i="191" s="1"/>
  <c r="PG1292" i="191"/>
  <c r="PM1292" i="191" s="1"/>
  <c r="PG1299" i="191"/>
  <c r="PM1299" i="191" s="1"/>
  <c r="PG1291" i="191"/>
  <c r="PM1291" i="191" s="1"/>
  <c r="PG1297" i="191"/>
  <c r="PM1297" i="191" s="1"/>
  <c r="PG1302" i="191"/>
  <c r="PM1302" i="191" s="1"/>
  <c r="BP1323" i="191"/>
  <c r="BV1323" i="191" s="1"/>
  <c r="NQ1284" i="191"/>
  <c r="NW1284" i="191" s="1"/>
  <c r="NQ1286" i="191"/>
  <c r="NW1286" i="191" s="1"/>
  <c r="NQ1297" i="191"/>
  <c r="NW1297" i="191" s="1"/>
  <c r="NQ1305" i="191"/>
  <c r="NW1305" i="191" s="1"/>
  <c r="NQ1289" i="191"/>
  <c r="NW1289" i="191" s="1"/>
  <c r="NQ1301" i="191"/>
  <c r="NW1301" i="191" s="1"/>
  <c r="BN1284" i="191"/>
  <c r="BT1284" i="191" s="1"/>
  <c r="BN1282" i="191"/>
  <c r="BT1282" i="191" s="1"/>
  <c r="BN1307" i="191"/>
  <c r="BT1307" i="191" s="1"/>
  <c r="BN1305" i="191"/>
  <c r="BT1305" i="191" s="1"/>
  <c r="BN1287" i="191"/>
  <c r="BT1287" i="191" s="1"/>
  <c r="BN1308" i="191"/>
  <c r="BT1308" i="191" s="1"/>
  <c r="PG1290" i="191"/>
  <c r="PM1290" i="191" s="1"/>
  <c r="PG1293" i="191"/>
  <c r="PM1293" i="191" s="1"/>
  <c r="PG1303" i="191"/>
  <c r="PM1303" i="191" s="1"/>
  <c r="PG1308" i="191"/>
  <c r="PM1308" i="191" s="1"/>
  <c r="PG1298" i="191"/>
  <c r="PM1298" i="191" s="1"/>
  <c r="BP1341" i="191"/>
  <c r="BV1341" i="191" s="1"/>
  <c r="BP1321" i="191"/>
  <c r="BV1321" i="191" s="1"/>
  <c r="NQ1298" i="191"/>
  <c r="NW1298" i="191" s="1"/>
  <c r="NQ1283" i="191"/>
  <c r="NW1283" i="191" s="1"/>
  <c r="NQ1292" i="191"/>
  <c r="NW1292" i="191" s="1"/>
  <c r="NQ1299" i="191"/>
  <c r="NW1299" i="191" s="1"/>
  <c r="NQ1294" i="191"/>
  <c r="NW1294" i="191" s="1"/>
  <c r="NQ1304" i="191"/>
  <c r="NW1304" i="191" s="1"/>
  <c r="BN1298" i="191"/>
  <c r="BT1298" i="191" s="1"/>
  <c r="BN1288" i="191"/>
  <c r="BT1288" i="191" s="1"/>
  <c r="BN1285" i="191"/>
  <c r="BT1285" i="191" s="1"/>
  <c r="BN1299" i="191"/>
  <c r="BT1299" i="191" s="1"/>
  <c r="BN1303" i="191"/>
  <c r="BT1303" i="191" s="1"/>
  <c r="BN1283" i="191"/>
  <c r="BT1283" i="191" s="1"/>
  <c r="PG1289" i="191"/>
  <c r="PM1289" i="191" s="1"/>
  <c r="PG1301" i="191"/>
  <c r="PM1301" i="191" s="1"/>
  <c r="PG1287" i="191"/>
  <c r="PM1287" i="191" s="1"/>
  <c r="PG1286" i="191"/>
  <c r="PM1286" i="191" s="1"/>
  <c r="PG1285" i="191"/>
  <c r="PM1285" i="191" s="1"/>
  <c r="PG1282" i="191"/>
  <c r="PM1282" i="191" s="1"/>
  <c r="PG1284" i="191"/>
  <c r="PM1284" i="191" s="1"/>
  <c r="CI1307" i="191"/>
  <c r="CO1307" i="191" s="1"/>
  <c r="CI1284" i="191"/>
  <c r="CO1284" i="191" s="1"/>
  <c r="CI1287" i="191"/>
  <c r="CO1287" i="191" s="1"/>
  <c r="CI1303" i="191"/>
  <c r="CO1303" i="191" s="1"/>
  <c r="CI1289" i="191"/>
  <c r="CO1289" i="191" s="1"/>
  <c r="CI1308" i="191"/>
  <c r="CO1308" i="191" s="1"/>
  <c r="UX1299" i="191"/>
  <c r="VD1299" i="191" s="1"/>
  <c r="UX1304" i="191"/>
  <c r="VD1304" i="191" s="1"/>
  <c r="UX1290" i="191"/>
  <c r="VD1290" i="191" s="1"/>
  <c r="CI1298" i="191"/>
  <c r="CO1298" i="191" s="1"/>
  <c r="CI1301" i="191"/>
  <c r="CO1301" i="191" s="1"/>
  <c r="CI1285" i="191"/>
  <c r="CO1285" i="191" s="1"/>
  <c r="CI1305" i="191"/>
  <c r="CO1305" i="191" s="1"/>
  <c r="CI1282" i="191"/>
  <c r="CO1282" i="191" s="1"/>
  <c r="CI1281" i="191"/>
  <c r="CO1281" i="191" s="1"/>
  <c r="UX1298" i="191"/>
  <c r="VD1298" i="191" s="1"/>
  <c r="UX1301" i="191"/>
  <c r="VD1301" i="191" s="1"/>
  <c r="CI1292" i="191"/>
  <c r="CO1292" i="191" s="1"/>
  <c r="CI1304" i="191"/>
  <c r="CO1304" i="191" s="1"/>
  <c r="CI1290" i="191"/>
  <c r="CO1290" i="191" s="1"/>
  <c r="CI1299" i="191"/>
  <c r="CO1299" i="191" s="1"/>
  <c r="CI1288" i="191"/>
  <c r="CO1288" i="191" s="1"/>
  <c r="CI1283" i="191"/>
  <c r="CO1283" i="191" s="1"/>
  <c r="UX1294" i="191"/>
  <c r="VD1294" i="191" s="1"/>
  <c r="UX1284" i="191"/>
  <c r="VD1284" i="191" s="1"/>
  <c r="UX1305" i="191"/>
  <c r="VD1305" i="191" s="1"/>
  <c r="UX1289" i="191"/>
  <c r="VD1289" i="191" s="1"/>
  <c r="UX1303" i="191"/>
  <c r="VD1303" i="191" s="1"/>
  <c r="UX1282" i="191"/>
  <c r="VD1282" i="191" s="1"/>
  <c r="UX1297" i="191"/>
  <c r="VD1297" i="191" s="1"/>
  <c r="UX1307" i="191"/>
  <c r="VD1307" i="191" s="1"/>
  <c r="UX1291" i="191"/>
  <c r="VD1291" i="191" s="1"/>
  <c r="UX1308" i="191"/>
  <c r="VD1308" i="191" s="1"/>
  <c r="VS1299" i="191"/>
  <c r="VY1299" i="191" s="1"/>
  <c r="VS1300" i="191"/>
  <c r="VY1300" i="191" s="1"/>
  <c r="UX1288" i="191"/>
  <c r="VD1288" i="191" s="1"/>
  <c r="UX1300" i="191"/>
  <c r="VD1300" i="191" s="1"/>
  <c r="MV1291" i="191"/>
  <c r="NB1291" i="191" s="1"/>
  <c r="MV1300" i="191"/>
  <c r="NB1300" i="191" s="1"/>
  <c r="EZ1296" i="191"/>
  <c r="XO1296" i="191"/>
  <c r="UI1296" i="191"/>
  <c r="MG1280" i="191"/>
  <c r="FU1296" i="191"/>
  <c r="VS1308" i="191"/>
  <c r="VY1308" i="191" s="1"/>
  <c r="VS1293" i="191"/>
  <c r="VY1293" i="191" s="1"/>
  <c r="VS1290" i="191"/>
  <c r="VY1290" i="191" s="1"/>
  <c r="VS1307" i="191"/>
  <c r="VY1307" i="191" s="1"/>
  <c r="KJ1363" i="191"/>
  <c r="KP1363" i="191" s="1"/>
  <c r="KJ1362" i="191"/>
  <c r="KP1362" i="191" s="1"/>
  <c r="YJ1296" i="191"/>
  <c r="VR1365" i="191"/>
  <c r="VX1365" i="191" s="1"/>
  <c r="XH1362" i="191"/>
  <c r="XN1362" i="191" s="1"/>
  <c r="CH1362" i="191"/>
  <c r="CN1362" i="191" s="1"/>
  <c r="PF1362" i="191"/>
  <c r="PL1362" i="191" s="1"/>
  <c r="SL1363" i="191"/>
  <c r="SR1363" i="191" s="1"/>
  <c r="AS1323" i="191"/>
  <c r="AY1323" i="191" s="1"/>
  <c r="AS1342" i="191"/>
  <c r="AY1342" i="191" s="1"/>
  <c r="AS1331" i="191"/>
  <c r="AY1331" i="191" s="1"/>
  <c r="AS1344" i="191"/>
  <c r="AY1344" i="191" s="1"/>
  <c r="AS1339" i="191"/>
  <c r="AY1339" i="191" s="1"/>
  <c r="AS1330" i="191"/>
  <c r="AY1330" i="191" s="1"/>
  <c r="PI1346" i="191"/>
  <c r="PO1346" i="191" s="1"/>
  <c r="MV1297" i="191"/>
  <c r="NB1297" i="191" s="1"/>
  <c r="MV1284" i="191"/>
  <c r="NB1284" i="191" s="1"/>
  <c r="MV1289" i="191"/>
  <c r="NB1289" i="191" s="1"/>
  <c r="MV1304" i="191"/>
  <c r="NB1304" i="191" s="1"/>
  <c r="MV1305" i="191"/>
  <c r="NB1305" i="191" s="1"/>
  <c r="MV1286" i="191"/>
  <c r="NB1286" i="191" s="1"/>
  <c r="SS1296" i="191"/>
  <c r="XO1280" i="191"/>
  <c r="PI1319" i="191"/>
  <c r="PO1319" i="191" s="1"/>
  <c r="VR1363" i="191"/>
  <c r="VX1363" i="191" s="1"/>
  <c r="LG1321" i="191"/>
  <c r="LM1321" i="191" s="1"/>
  <c r="AS1341" i="191"/>
  <c r="AY1341" i="191" s="1"/>
  <c r="AS1320" i="191"/>
  <c r="AY1320" i="191" s="1"/>
  <c r="AS1334" i="191"/>
  <c r="AY1334" i="191" s="1"/>
  <c r="AS1333" i="191"/>
  <c r="AY1333" i="191" s="1"/>
  <c r="AS1345" i="191"/>
  <c r="AY1345" i="191" s="1"/>
  <c r="AS1329" i="191"/>
  <c r="AY1329" i="191" s="1"/>
  <c r="MV1298" i="191"/>
  <c r="NB1298" i="191" s="1"/>
  <c r="MV1294" i="191"/>
  <c r="NB1294" i="191" s="1"/>
  <c r="MV1292" i="191"/>
  <c r="NB1292" i="191" s="1"/>
  <c r="MV1299" i="191"/>
  <c r="NB1299" i="191" s="1"/>
  <c r="MV1283" i="191"/>
  <c r="NB1283" i="191" s="1"/>
  <c r="MV1281" i="191"/>
  <c r="NB1281" i="191" s="1"/>
  <c r="QV1362" i="191"/>
  <c r="RB1362" i="191" s="1"/>
  <c r="DX1363" i="191"/>
  <c r="ED1363" i="191" s="1"/>
  <c r="VR1362" i="191"/>
  <c r="VX1362" i="191" s="1"/>
  <c r="IT1362" i="191"/>
  <c r="IZ1362" i="191" s="1"/>
  <c r="LG1340" i="191"/>
  <c r="LM1340" i="191" s="1"/>
  <c r="AS1346" i="191"/>
  <c r="AY1346" i="191" s="1"/>
  <c r="AS1332" i="191"/>
  <c r="AY1332" i="191" s="1"/>
  <c r="AS1343" i="191"/>
  <c r="AY1343" i="191" s="1"/>
  <c r="AS1340" i="191"/>
  <c r="AY1340" i="191" s="1"/>
  <c r="AS1324" i="191"/>
  <c r="AY1324" i="191" s="1"/>
  <c r="MV1285" i="191"/>
  <c r="NB1285" i="191" s="1"/>
  <c r="MV1307" i="191"/>
  <c r="NB1307" i="191" s="1"/>
  <c r="MV1290" i="191"/>
  <c r="NB1290" i="191" s="1"/>
  <c r="MV1293" i="191"/>
  <c r="NB1293" i="191" s="1"/>
  <c r="MV1303" i="191"/>
  <c r="NB1303" i="191" s="1"/>
  <c r="FU1280" i="191"/>
  <c r="KQ1296" i="191"/>
  <c r="EZ1280" i="191"/>
  <c r="YJ1280" i="191"/>
  <c r="SS1280" i="191"/>
  <c r="SS1312" i="191" s="1"/>
  <c r="SS1313" i="191" s="1"/>
  <c r="UI1280" i="191"/>
  <c r="DJ1280" i="191"/>
  <c r="JV1296" i="191"/>
  <c r="DJ1296" i="191"/>
  <c r="PF1365" i="191"/>
  <c r="PL1365" i="191" s="1"/>
  <c r="UZ1325" i="191"/>
  <c r="VF1325" i="191" s="1"/>
  <c r="UZ1330" i="191"/>
  <c r="VF1330" i="191" s="1"/>
  <c r="UZ1329" i="191"/>
  <c r="VF1329" i="191" s="1"/>
  <c r="XJ1334" i="191"/>
  <c r="XP1334" i="191" s="1"/>
  <c r="XJ1330" i="191"/>
  <c r="XP1330" i="191" s="1"/>
  <c r="XJ1326" i="191"/>
  <c r="XP1326" i="191" s="1"/>
  <c r="XJ1331" i="191"/>
  <c r="XP1331" i="191" s="1"/>
  <c r="XJ1332" i="191"/>
  <c r="XP1332" i="191" s="1"/>
  <c r="VS1286" i="191"/>
  <c r="VY1286" i="191" s="1"/>
  <c r="VS1288" i="191"/>
  <c r="VY1288" i="191" s="1"/>
  <c r="VS1282" i="191"/>
  <c r="VY1282" i="191" s="1"/>
  <c r="VS1302" i="191"/>
  <c r="VY1302" i="191" s="1"/>
  <c r="VS1301" i="191"/>
  <c r="VY1301" i="191" s="1"/>
  <c r="VS1287" i="191"/>
  <c r="VY1287" i="191" s="1"/>
  <c r="UZ1320" i="191"/>
  <c r="VF1320" i="191" s="1"/>
  <c r="UZ1340" i="191"/>
  <c r="VF1340" i="191" s="1"/>
  <c r="UZ1333" i="191"/>
  <c r="VF1333" i="191" s="1"/>
  <c r="XJ1344" i="191"/>
  <c r="XP1344" i="191" s="1"/>
  <c r="XJ1329" i="191"/>
  <c r="XP1329" i="191" s="1"/>
  <c r="XJ1325" i="191"/>
  <c r="XP1325" i="191" s="1"/>
  <c r="XJ1335" i="191"/>
  <c r="XP1335" i="191" s="1"/>
  <c r="XJ1320" i="191"/>
  <c r="XP1320" i="191" s="1"/>
  <c r="XJ1341" i="191"/>
  <c r="XP1341" i="191" s="1"/>
  <c r="XJ1345" i="191"/>
  <c r="XP1345" i="191" s="1"/>
  <c r="VS1283" i="191"/>
  <c r="VY1283" i="191" s="1"/>
  <c r="VS1297" i="191"/>
  <c r="VY1297" i="191" s="1"/>
  <c r="VS1284" i="191"/>
  <c r="VY1284" i="191" s="1"/>
  <c r="VS1289" i="191"/>
  <c r="VY1289" i="191" s="1"/>
  <c r="VS1304" i="191"/>
  <c r="VY1304" i="191" s="1"/>
  <c r="VS1305" i="191"/>
  <c r="VY1305" i="191" s="1"/>
  <c r="UZ1323" i="191"/>
  <c r="VF1323" i="191" s="1"/>
  <c r="UZ1344" i="191"/>
  <c r="VF1344" i="191" s="1"/>
  <c r="UZ1339" i="191"/>
  <c r="VF1339" i="191" s="1"/>
  <c r="XJ1321" i="191"/>
  <c r="XP1321" i="191" s="1"/>
  <c r="XJ1346" i="191"/>
  <c r="XP1346" i="191" s="1"/>
  <c r="XJ1319" i="191"/>
  <c r="XP1319" i="191" s="1"/>
  <c r="XJ1340" i="191"/>
  <c r="XP1340" i="191" s="1"/>
  <c r="XJ1333" i="191"/>
  <c r="XP1333" i="191" s="1"/>
  <c r="XJ1323" i="191"/>
  <c r="XP1323" i="191" s="1"/>
  <c r="VS1303" i="191"/>
  <c r="VY1303" i="191" s="1"/>
  <c r="VS1291" i="191"/>
  <c r="VY1291" i="191" s="1"/>
  <c r="VS1298" i="191"/>
  <c r="VY1298" i="191" s="1"/>
  <c r="VS1294" i="191"/>
  <c r="VY1294" i="191" s="1"/>
  <c r="VS1292" i="191"/>
  <c r="VY1292" i="191" s="1"/>
  <c r="JV1280" i="191"/>
  <c r="DX1365" i="191"/>
  <c r="ED1365" i="191" s="1"/>
  <c r="DX1362" i="191"/>
  <c r="ED1362" i="191" s="1"/>
  <c r="SL1361" i="191"/>
  <c r="SR1361" i="191" s="1"/>
  <c r="HD1365" i="191"/>
  <c r="HJ1365" i="191" s="1"/>
  <c r="QV1365" i="191"/>
  <c r="RB1365" i="191" s="1"/>
  <c r="UX1283" i="191"/>
  <c r="VD1283" i="191" s="1"/>
  <c r="UX1292" i="191"/>
  <c r="VD1292" i="191" s="1"/>
  <c r="UX1281" i="191"/>
  <c r="VD1281" i="191" s="1"/>
  <c r="UX1302" i="191"/>
  <c r="VD1302" i="191" s="1"/>
  <c r="PF1363" i="191"/>
  <c r="PL1363" i="191" s="1"/>
  <c r="NP1366" i="191"/>
  <c r="NV1366" i="191" s="1"/>
  <c r="IV1343" i="191"/>
  <c r="JB1343" i="191" s="1"/>
  <c r="YI1360" i="191"/>
  <c r="YI1371" i="191" s="1"/>
  <c r="YI1372" i="191" s="1"/>
  <c r="CH1361" i="191"/>
  <c r="CN1361" i="191" s="1"/>
  <c r="KQ1280" i="191"/>
  <c r="UB1366" i="191"/>
  <c r="UH1366" i="191" s="1"/>
  <c r="YX1366" i="191"/>
  <c r="ZD1366" i="191" s="1"/>
  <c r="Z1320" i="191"/>
  <c r="AF1320" i="191" s="1"/>
  <c r="Z1326" i="191"/>
  <c r="AF1326" i="191" s="1"/>
  <c r="Z1340" i="191"/>
  <c r="AF1340" i="191" s="1"/>
  <c r="Z1346" i="191"/>
  <c r="AF1346" i="191" s="1"/>
  <c r="Z1341" i="191"/>
  <c r="AF1341" i="191" s="1"/>
  <c r="Z1322" i="191"/>
  <c r="AF1322" i="191" s="1"/>
  <c r="Z1345" i="191"/>
  <c r="AF1345" i="191" s="1"/>
  <c r="Z1334" i="191"/>
  <c r="AF1334" i="191" s="1"/>
  <c r="Z1331" i="191"/>
  <c r="AF1331" i="191" s="1"/>
  <c r="Z1339" i="191"/>
  <c r="AF1339" i="191" s="1"/>
  <c r="Z1335" i="191"/>
  <c r="AF1335" i="191" s="1"/>
  <c r="BP1346" i="191"/>
  <c r="BV1346" i="191" s="1"/>
  <c r="BP1340" i="191"/>
  <c r="BV1340" i="191" s="1"/>
  <c r="BP1322" i="191"/>
  <c r="BV1322" i="191" s="1"/>
  <c r="BP1333" i="191"/>
  <c r="BV1333" i="191" s="1"/>
  <c r="BP1335" i="191"/>
  <c r="BV1335" i="191" s="1"/>
  <c r="BP1319" i="191"/>
  <c r="BV1319" i="191" s="1"/>
  <c r="SN1322" i="191"/>
  <c r="ST1322" i="191" s="1"/>
  <c r="UZ1336" i="191"/>
  <c r="VF1336" i="191" s="1"/>
  <c r="UZ1326" i="191"/>
  <c r="VF1326" i="191" s="1"/>
  <c r="UZ1341" i="191"/>
  <c r="VF1341" i="191" s="1"/>
  <c r="UZ1332" i="191"/>
  <c r="VF1332" i="191" s="1"/>
  <c r="UZ1346" i="191"/>
  <c r="VF1346" i="191" s="1"/>
  <c r="UZ1322" i="191"/>
  <c r="VF1322" i="191" s="1"/>
  <c r="UZ1345" i="191"/>
  <c r="VF1345" i="191" s="1"/>
  <c r="UZ1334" i="191"/>
  <c r="VF1334" i="191" s="1"/>
  <c r="UZ1321" i="191"/>
  <c r="VF1321" i="191" s="1"/>
  <c r="UZ1343" i="191"/>
  <c r="VF1343" i="191" s="1"/>
  <c r="UZ1335" i="191"/>
  <c r="VF1335" i="191" s="1"/>
  <c r="QD1345" i="191"/>
  <c r="QJ1345" i="191" s="1"/>
  <c r="SM1325" i="191"/>
  <c r="SS1325" i="191" s="1"/>
  <c r="NS1343" i="191"/>
  <c r="NY1343" i="191" s="1"/>
  <c r="LG1331" i="191"/>
  <c r="LM1331" i="191" s="1"/>
  <c r="AT1345" i="191"/>
  <c r="AZ1345" i="191" s="1"/>
  <c r="UD1324" i="191"/>
  <c r="UJ1324" i="191" s="1"/>
  <c r="AR1362" i="191"/>
  <c r="AX1362" i="191" s="1"/>
  <c r="NP1363" i="191"/>
  <c r="NV1363" i="191" s="1"/>
  <c r="NP1365" i="191"/>
  <c r="NV1365" i="191" s="1"/>
  <c r="SM1323" i="191"/>
  <c r="SS1323" i="191" s="1"/>
  <c r="SM1339" i="191"/>
  <c r="SS1339" i="191" s="1"/>
  <c r="LF1343" i="191"/>
  <c r="LL1343" i="191" s="1"/>
  <c r="WN1329" i="191"/>
  <c r="WT1329" i="191" s="1"/>
  <c r="VU1345" i="191"/>
  <c r="WA1345" i="191" s="1"/>
  <c r="ON1320" i="191"/>
  <c r="OT1320" i="191" s="1"/>
  <c r="MA1325" i="191"/>
  <c r="MG1325" i="191" s="1"/>
  <c r="LK1360" i="191"/>
  <c r="LK1371" i="191" s="1"/>
  <c r="LK1372" i="191" s="1"/>
  <c r="IT1365" i="191"/>
  <c r="IZ1365" i="191" s="1"/>
  <c r="JU1360" i="191"/>
  <c r="JU1371" i="191" s="1"/>
  <c r="JU1372" i="191" s="1"/>
  <c r="AR1363" i="191"/>
  <c r="AX1363" i="191" s="1"/>
  <c r="IT1363" i="191"/>
  <c r="IZ1363" i="191" s="1"/>
  <c r="BS1360" i="191"/>
  <c r="BS1371" i="191" s="1"/>
  <c r="BS1372" i="191" s="1"/>
  <c r="OQ1360" i="191"/>
  <c r="OQ1371" i="191" s="1"/>
  <c r="OQ1372" i="191" s="1"/>
  <c r="CH1366" i="191"/>
  <c r="CN1366" i="191" s="1"/>
  <c r="PF1366" i="191"/>
  <c r="PL1366" i="191" s="1"/>
  <c r="AR1365" i="191"/>
  <c r="AX1365" i="191" s="1"/>
  <c r="CH1365" i="191"/>
  <c r="CN1365" i="191" s="1"/>
  <c r="CH1363" i="191"/>
  <c r="CN1363" i="191" s="1"/>
  <c r="PF1361" i="191"/>
  <c r="PL1361" i="191" s="1"/>
  <c r="HG1323" i="191"/>
  <c r="HM1323" i="191" s="1"/>
  <c r="RT1326" i="191"/>
  <c r="RZ1326" i="191" s="1"/>
  <c r="MX1326" i="191"/>
  <c r="ND1326" i="191" s="1"/>
  <c r="LG1320" i="191"/>
  <c r="LM1320" i="191" s="1"/>
  <c r="LG1346" i="191"/>
  <c r="LM1346" i="191" s="1"/>
  <c r="LG1329" i="191"/>
  <c r="LM1329" i="191" s="1"/>
  <c r="UE1321" i="191"/>
  <c r="UK1321" i="191" s="1"/>
  <c r="EA1322" i="191"/>
  <c r="EG1322" i="191" s="1"/>
  <c r="UD1334" i="191"/>
  <c r="UJ1334" i="191" s="1"/>
  <c r="YY1335" i="191"/>
  <c r="ZE1335" i="191" s="1"/>
  <c r="DD1342" i="191"/>
  <c r="DJ1342" i="191" s="1"/>
  <c r="UY1320" i="191"/>
  <c r="VE1320" i="191" s="1"/>
  <c r="AU1319" i="191"/>
  <c r="BA1319" i="191" s="1"/>
  <c r="HG1319" i="191"/>
  <c r="HM1319" i="191" s="1"/>
  <c r="DE1341" i="191"/>
  <c r="DK1341" i="191" s="1"/>
  <c r="RT1319" i="191"/>
  <c r="RZ1319" i="191" s="1"/>
  <c r="PG1323" i="191"/>
  <c r="PM1323" i="191" s="1"/>
  <c r="MB1334" i="191"/>
  <c r="MH1334" i="191" s="1"/>
  <c r="MW1332" i="191"/>
  <c r="NC1332" i="191" s="1"/>
  <c r="CJ1331" i="191"/>
  <c r="CP1331" i="191" s="1"/>
  <c r="MC1329" i="191"/>
  <c r="MI1329" i="191" s="1"/>
  <c r="SN1326" i="191"/>
  <c r="ST1326" i="191" s="1"/>
  <c r="TI1343" i="191"/>
  <c r="TO1343" i="191" s="1"/>
  <c r="NS1346" i="191"/>
  <c r="NY1346" i="191" s="1"/>
  <c r="NS1319" i="191"/>
  <c r="NY1319" i="191" s="1"/>
  <c r="LG1336" i="191"/>
  <c r="LM1336" i="191" s="1"/>
  <c r="LG1330" i="191"/>
  <c r="LM1330" i="191" s="1"/>
  <c r="LG1326" i="191"/>
  <c r="LM1326" i="191" s="1"/>
  <c r="LG1322" i="191"/>
  <c r="LM1322" i="191" s="1"/>
  <c r="LG1324" i="191"/>
  <c r="LM1324" i="191" s="1"/>
  <c r="LG1335" i="191"/>
  <c r="LM1335" i="191" s="1"/>
  <c r="GL1326" i="191"/>
  <c r="GR1326" i="191" s="1"/>
  <c r="AT1320" i="191"/>
  <c r="AZ1320" i="191" s="1"/>
  <c r="AT1321" i="191"/>
  <c r="AZ1321" i="191" s="1"/>
  <c r="EV1321" i="191"/>
  <c r="FB1321" i="191" s="1"/>
  <c r="UD1320" i="191"/>
  <c r="UJ1320" i="191" s="1"/>
  <c r="UD1330" i="191"/>
  <c r="UJ1330" i="191" s="1"/>
  <c r="UD1335" i="191"/>
  <c r="UJ1335" i="191" s="1"/>
  <c r="FO1329" i="191"/>
  <c r="FU1329" i="191" s="1"/>
  <c r="WN1330" i="191"/>
  <c r="WT1330" i="191" s="1"/>
  <c r="YY1326" i="191"/>
  <c r="ZE1326" i="191" s="1"/>
  <c r="YY1321" i="191"/>
  <c r="ZE1321" i="191" s="1"/>
  <c r="DD1346" i="191"/>
  <c r="DJ1346" i="191" s="1"/>
  <c r="DD1344" i="191"/>
  <c r="DJ1344" i="191" s="1"/>
  <c r="UB1365" i="191"/>
  <c r="UH1365" i="191" s="1"/>
  <c r="UB1362" i="191"/>
  <c r="UH1362" i="191" s="1"/>
  <c r="UE1326" i="191"/>
  <c r="UK1326" i="191" s="1"/>
  <c r="UD1342" i="191"/>
  <c r="UJ1342" i="191" s="1"/>
  <c r="UD1346" i="191"/>
  <c r="UJ1346" i="191" s="1"/>
  <c r="UD1326" i="191"/>
  <c r="UJ1326" i="191" s="1"/>
  <c r="UD1322" i="191"/>
  <c r="UJ1322" i="191" s="1"/>
  <c r="UD1321" i="191"/>
  <c r="UJ1321" i="191" s="1"/>
  <c r="UD1331" i="191"/>
  <c r="UJ1331" i="191" s="1"/>
  <c r="GK1333" i="191"/>
  <c r="GQ1333" i="191" s="1"/>
  <c r="NR1323" i="191"/>
  <c r="NX1323" i="191" s="1"/>
  <c r="PH1335" i="191"/>
  <c r="PN1335" i="191" s="1"/>
  <c r="DE1319" i="191"/>
  <c r="DK1319" i="191" s="1"/>
  <c r="RT1343" i="191"/>
  <c r="RZ1343" i="191" s="1"/>
  <c r="QY1343" i="191"/>
  <c r="RE1343" i="191" s="1"/>
  <c r="HF1323" i="191"/>
  <c r="HL1323" i="191" s="1"/>
  <c r="YF1331" i="191"/>
  <c r="YL1331" i="191" s="1"/>
  <c r="QB1334" i="191"/>
  <c r="QH1334" i="191" s="1"/>
  <c r="PG1345" i="191"/>
  <c r="PM1345" i="191" s="1"/>
  <c r="MX1321" i="191"/>
  <c r="ND1321" i="191" s="1"/>
  <c r="MW1339" i="191"/>
  <c r="NC1339" i="191" s="1"/>
  <c r="CJ1332" i="191"/>
  <c r="CP1332" i="191" s="1"/>
  <c r="FQ1345" i="191"/>
  <c r="FW1345" i="191" s="1"/>
  <c r="MC1325" i="191"/>
  <c r="MI1325" i="191" s="1"/>
  <c r="LH1322" i="191"/>
  <c r="LN1322" i="191" s="1"/>
  <c r="GJ1335" i="191"/>
  <c r="GP1335" i="191" s="1"/>
  <c r="JP1323" i="191"/>
  <c r="JV1323" i="191" s="1"/>
  <c r="HG1334" i="191"/>
  <c r="HM1334" i="191" s="1"/>
  <c r="GK1330" i="191"/>
  <c r="GQ1330" i="191" s="1"/>
  <c r="GK1319" i="191"/>
  <c r="GQ1319" i="191" s="1"/>
  <c r="NR1342" i="191"/>
  <c r="NX1342" i="191" s="1"/>
  <c r="NR1321" i="191"/>
  <c r="NX1321" i="191" s="1"/>
  <c r="PH1320" i="191"/>
  <c r="PN1320" i="191" s="1"/>
  <c r="PH1319" i="191"/>
  <c r="PN1319" i="191" s="1"/>
  <c r="DE1329" i="191"/>
  <c r="DK1329" i="191" s="1"/>
  <c r="RT1346" i="191"/>
  <c r="RZ1346" i="191" s="1"/>
  <c r="RT1324" i="191"/>
  <c r="RZ1324" i="191" s="1"/>
  <c r="RT1334" i="191"/>
  <c r="RZ1334" i="191" s="1"/>
  <c r="QY1346" i="191"/>
  <c r="RE1346" i="191" s="1"/>
  <c r="QY1319" i="191"/>
  <c r="RE1319" i="191" s="1"/>
  <c r="HF1325" i="191"/>
  <c r="HL1325" i="191" s="1"/>
  <c r="HF1344" i="191"/>
  <c r="HL1344" i="191" s="1"/>
  <c r="YF1340" i="191"/>
  <c r="YL1340" i="191" s="1"/>
  <c r="YF1321" i="191"/>
  <c r="YL1321" i="191" s="1"/>
  <c r="QB1326" i="191"/>
  <c r="QH1326" i="191" s="1"/>
  <c r="QB1324" i="191"/>
  <c r="QH1324" i="191" s="1"/>
  <c r="PG1342" i="191"/>
  <c r="PM1342" i="191" s="1"/>
  <c r="NQ1331" i="191"/>
  <c r="NW1331" i="191" s="1"/>
  <c r="MX1330" i="191"/>
  <c r="ND1330" i="191" s="1"/>
  <c r="MB1340" i="191"/>
  <c r="MH1340" i="191" s="1"/>
  <c r="MW1323" i="191"/>
  <c r="NC1323" i="191" s="1"/>
  <c r="CJ1334" i="191"/>
  <c r="CP1334" i="191" s="1"/>
  <c r="FQ1330" i="191"/>
  <c r="FW1330" i="191" s="1"/>
  <c r="FQ1333" i="191"/>
  <c r="FW1333" i="191" s="1"/>
  <c r="UY1345" i="191"/>
  <c r="VE1345" i="191" s="1"/>
  <c r="MC1324" i="191"/>
  <c r="MI1324" i="191" s="1"/>
  <c r="LH1325" i="191"/>
  <c r="LN1325" i="191" s="1"/>
  <c r="LH1334" i="191"/>
  <c r="LN1334" i="191" s="1"/>
  <c r="GJ1320" i="191"/>
  <c r="GP1320" i="191" s="1"/>
  <c r="KK1325" i="191"/>
  <c r="KQ1325" i="191" s="1"/>
  <c r="IU1322" i="191"/>
  <c r="JA1322" i="191" s="1"/>
  <c r="JP1339" i="191"/>
  <c r="JV1339" i="191" s="1"/>
  <c r="ET1340" i="191"/>
  <c r="EZ1340" i="191" s="1"/>
  <c r="BP1320" i="191"/>
  <c r="BV1320" i="191" s="1"/>
  <c r="BP1325" i="191"/>
  <c r="BV1325" i="191" s="1"/>
  <c r="BP1342" i="191"/>
  <c r="BV1342" i="191" s="1"/>
  <c r="BP1332" i="191"/>
  <c r="BV1332" i="191" s="1"/>
  <c r="BP1326" i="191"/>
  <c r="BV1326" i="191" s="1"/>
  <c r="BP1330" i="191"/>
  <c r="BV1330" i="191" s="1"/>
  <c r="BP1324" i="191"/>
  <c r="BV1324" i="191" s="1"/>
  <c r="BP1343" i="191"/>
  <c r="BV1343" i="191" s="1"/>
  <c r="BP1344" i="191"/>
  <c r="BV1344" i="191" s="1"/>
  <c r="BP1331" i="191"/>
  <c r="BV1331" i="191" s="1"/>
  <c r="BP1339" i="191"/>
  <c r="BV1339" i="191" s="1"/>
  <c r="FP1320" i="191"/>
  <c r="FV1320" i="191" s="1"/>
  <c r="FP1335" i="191"/>
  <c r="FV1335" i="191" s="1"/>
  <c r="SN1343" i="191"/>
  <c r="ST1343" i="191" s="1"/>
  <c r="TI1342" i="191"/>
  <c r="TO1342" i="191" s="1"/>
  <c r="TI1344" i="191"/>
  <c r="TO1344" i="191" s="1"/>
  <c r="OM1336" i="191"/>
  <c r="OS1336" i="191" s="1"/>
  <c r="OM1334" i="191"/>
  <c r="OS1334" i="191" s="1"/>
  <c r="QD1332" i="191"/>
  <c r="QJ1332" i="191" s="1"/>
  <c r="QD1343" i="191"/>
  <c r="QJ1343" i="191" s="1"/>
  <c r="IA1332" i="191"/>
  <c r="IG1332" i="191" s="1"/>
  <c r="IA1344" i="191"/>
  <c r="IG1344" i="191" s="1"/>
  <c r="SM1332" i="191"/>
  <c r="SS1332" i="191" s="1"/>
  <c r="SM1322" i="191"/>
  <c r="SS1322" i="191" s="1"/>
  <c r="SM1324" i="191"/>
  <c r="SS1324" i="191" s="1"/>
  <c r="QW1336" i="191"/>
  <c r="RC1336" i="191" s="1"/>
  <c r="MV1344" i="191"/>
  <c r="NB1344" i="191" s="1"/>
  <c r="NS1326" i="191"/>
  <c r="NY1326" i="191" s="1"/>
  <c r="NS1345" i="191"/>
  <c r="NY1345" i="191" s="1"/>
  <c r="NS1335" i="191"/>
  <c r="NY1335" i="191" s="1"/>
  <c r="LG1341" i="191"/>
  <c r="LM1341" i="191" s="1"/>
  <c r="LG1323" i="191"/>
  <c r="LM1323" i="191" s="1"/>
  <c r="LG1342" i="191"/>
  <c r="LM1342" i="191" s="1"/>
  <c r="LG1332" i="191"/>
  <c r="LM1332" i="191" s="1"/>
  <c r="LG1325" i="191"/>
  <c r="LM1325" i="191" s="1"/>
  <c r="LG1333" i="191"/>
  <c r="LM1333" i="191" s="1"/>
  <c r="LG1339" i="191"/>
  <c r="LM1339" i="191" s="1"/>
  <c r="LG1345" i="191"/>
  <c r="LM1345" i="191" s="1"/>
  <c r="LG1343" i="191"/>
  <c r="LM1343" i="191" s="1"/>
  <c r="LG1334" i="191"/>
  <c r="LM1334" i="191" s="1"/>
  <c r="LG1344" i="191"/>
  <c r="LM1344" i="191" s="1"/>
  <c r="UE1325" i="191"/>
  <c r="UK1325" i="191" s="1"/>
  <c r="GL1332" i="191"/>
  <c r="GR1332" i="191" s="1"/>
  <c r="GL1321" i="191"/>
  <c r="GR1321" i="191" s="1"/>
  <c r="AT1336" i="191"/>
  <c r="AZ1336" i="191" s="1"/>
  <c r="AT1346" i="191"/>
  <c r="AZ1346" i="191" s="1"/>
  <c r="AT1334" i="191"/>
  <c r="AZ1334" i="191" s="1"/>
  <c r="EV1332" i="191"/>
  <c r="FB1332" i="191" s="1"/>
  <c r="EA1342" i="191"/>
  <c r="EG1342" i="191" s="1"/>
  <c r="EA1333" i="191"/>
  <c r="EG1333" i="191" s="1"/>
  <c r="UD1332" i="191"/>
  <c r="UJ1332" i="191" s="1"/>
  <c r="UD1323" i="191"/>
  <c r="UJ1323" i="191" s="1"/>
  <c r="UD1340" i="191"/>
  <c r="UJ1340" i="191" s="1"/>
  <c r="UD1341" i="191"/>
  <c r="UJ1341" i="191" s="1"/>
  <c r="UD1325" i="191"/>
  <c r="UJ1325" i="191" s="1"/>
  <c r="UD1333" i="191"/>
  <c r="UJ1333" i="191" s="1"/>
  <c r="UD1329" i="191"/>
  <c r="UJ1329" i="191" s="1"/>
  <c r="UD1344" i="191"/>
  <c r="UJ1344" i="191" s="1"/>
  <c r="UD1343" i="191"/>
  <c r="UJ1343" i="191" s="1"/>
  <c r="UD1339" i="191"/>
  <c r="UJ1339" i="191" s="1"/>
  <c r="UD1345" i="191"/>
  <c r="UJ1345" i="191" s="1"/>
  <c r="WN1331" i="191"/>
  <c r="WT1331" i="191" s="1"/>
  <c r="YY1320" i="191"/>
  <c r="ZE1320" i="191" s="1"/>
  <c r="YY1342" i="191"/>
  <c r="ZE1342" i="191" s="1"/>
  <c r="YY1344" i="191"/>
  <c r="ZE1344" i="191" s="1"/>
  <c r="MA1326" i="191"/>
  <c r="MG1326" i="191" s="1"/>
  <c r="MA1329" i="191"/>
  <c r="MG1329" i="191" s="1"/>
  <c r="CI1334" i="191"/>
  <c r="CO1334" i="191" s="1"/>
  <c r="DD1320" i="191"/>
  <c r="DJ1320" i="191" s="1"/>
  <c r="DD1331" i="191"/>
  <c r="DJ1331" i="191" s="1"/>
  <c r="DD1339" i="191"/>
  <c r="DJ1339" i="191" s="1"/>
  <c r="RR1343" i="191"/>
  <c r="RX1343" i="191" s="1"/>
  <c r="QW1333" i="191"/>
  <c r="RC1333" i="191" s="1"/>
  <c r="MV1346" i="191"/>
  <c r="NB1346" i="191" s="1"/>
  <c r="Y1341" i="191"/>
  <c r="AE1341" i="191" s="1"/>
  <c r="BO1330" i="191"/>
  <c r="BU1330" i="191" s="1"/>
  <c r="FO1346" i="191"/>
  <c r="FU1346" i="191" s="1"/>
  <c r="OL1334" i="191"/>
  <c r="OR1334" i="191" s="1"/>
  <c r="XI1322" i="191"/>
  <c r="XO1322" i="191" s="1"/>
  <c r="YD1334" i="191"/>
  <c r="YJ1334" i="191" s="1"/>
  <c r="VS1340" i="191"/>
  <c r="VY1340" i="191" s="1"/>
  <c r="WN1342" i="191"/>
  <c r="WT1342" i="191" s="1"/>
  <c r="WN1324" i="191"/>
  <c r="WT1324" i="191" s="1"/>
  <c r="WN1341" i="191"/>
  <c r="WT1341" i="191" s="1"/>
  <c r="MA1342" i="191"/>
  <c r="MG1342" i="191" s="1"/>
  <c r="MA1333" i="191"/>
  <c r="MG1333" i="191" s="1"/>
  <c r="MA1323" i="191"/>
  <c r="MG1323" i="191" s="1"/>
  <c r="CI1341" i="191"/>
  <c r="CO1341" i="191" s="1"/>
  <c r="CI1335" i="191"/>
  <c r="CO1335" i="191" s="1"/>
  <c r="AU1336" i="191"/>
  <c r="BA1336" i="191" s="1"/>
  <c r="HG1325" i="191"/>
  <c r="HM1325" i="191" s="1"/>
  <c r="HG1324" i="191"/>
  <c r="HM1324" i="191" s="1"/>
  <c r="HG1343" i="191"/>
  <c r="HM1343" i="191" s="1"/>
  <c r="GK1341" i="191"/>
  <c r="GQ1341" i="191" s="1"/>
  <c r="GK1331" i="191"/>
  <c r="GQ1331" i="191" s="1"/>
  <c r="GK1335" i="191"/>
  <c r="GQ1335" i="191" s="1"/>
  <c r="NR1332" i="191"/>
  <c r="NX1332" i="191" s="1"/>
  <c r="NR1329" i="191"/>
  <c r="NX1329" i="191" s="1"/>
  <c r="NR1334" i="191"/>
  <c r="NX1334" i="191" s="1"/>
  <c r="PH1326" i="191"/>
  <c r="PN1326" i="191" s="1"/>
  <c r="PH1333" i="191"/>
  <c r="PN1333" i="191" s="1"/>
  <c r="PH1344" i="191"/>
  <c r="PN1344" i="191" s="1"/>
  <c r="DE1332" i="191"/>
  <c r="DK1332" i="191" s="1"/>
  <c r="DE1343" i="191"/>
  <c r="DK1343" i="191" s="1"/>
  <c r="DE1344" i="191"/>
  <c r="DK1344" i="191" s="1"/>
  <c r="RT1340" i="191"/>
  <c r="RZ1340" i="191" s="1"/>
  <c r="RT1332" i="191"/>
  <c r="RZ1332" i="191" s="1"/>
  <c r="RT1323" i="191"/>
  <c r="RZ1323" i="191" s="1"/>
  <c r="RT1345" i="191"/>
  <c r="RZ1345" i="191" s="1"/>
  <c r="RT1333" i="191"/>
  <c r="RZ1333" i="191" s="1"/>
  <c r="RT1339" i="191"/>
  <c r="RZ1339" i="191" s="1"/>
  <c r="QY1341" i="191"/>
  <c r="RE1341" i="191" s="1"/>
  <c r="QY1324" i="191"/>
  <c r="RE1324" i="191" s="1"/>
  <c r="QY1321" i="191"/>
  <c r="RE1321" i="191" s="1"/>
  <c r="HF1341" i="191"/>
  <c r="HL1341" i="191" s="1"/>
  <c r="HF1322" i="191"/>
  <c r="HL1322" i="191" s="1"/>
  <c r="HF1329" i="191"/>
  <c r="HL1329" i="191" s="1"/>
  <c r="YF1342" i="191"/>
  <c r="YL1342" i="191" s="1"/>
  <c r="YF1323" i="191"/>
  <c r="YL1323" i="191" s="1"/>
  <c r="YF1344" i="191"/>
  <c r="YL1344" i="191" s="1"/>
  <c r="QB1341" i="191"/>
  <c r="QH1341" i="191" s="1"/>
  <c r="QB1340" i="191"/>
  <c r="QH1340" i="191" s="1"/>
  <c r="QB1321" i="191"/>
  <c r="QH1321" i="191" s="1"/>
  <c r="PG1332" i="191"/>
  <c r="PM1332" i="191" s="1"/>
  <c r="PG1325" i="191"/>
  <c r="PM1325" i="191" s="1"/>
  <c r="PG1319" i="191"/>
  <c r="PM1319" i="191" s="1"/>
  <c r="MX1340" i="191"/>
  <c r="ND1340" i="191" s="1"/>
  <c r="MX1334" i="191"/>
  <c r="ND1334" i="191" s="1"/>
  <c r="MX1339" i="191"/>
  <c r="ND1339" i="191" s="1"/>
  <c r="MB1335" i="191"/>
  <c r="MH1335" i="191" s="1"/>
  <c r="MW1340" i="191"/>
  <c r="NC1340" i="191" s="1"/>
  <c r="MW1343" i="191"/>
  <c r="NC1343" i="191" s="1"/>
  <c r="MW1324" i="191"/>
  <c r="NC1324" i="191" s="1"/>
  <c r="CJ1340" i="191"/>
  <c r="CP1340" i="191" s="1"/>
  <c r="CJ1323" i="191"/>
  <c r="CP1323" i="191" s="1"/>
  <c r="CJ1333" i="191"/>
  <c r="CP1333" i="191" s="1"/>
  <c r="FQ1340" i="191"/>
  <c r="FW1340" i="191" s="1"/>
  <c r="FQ1341" i="191"/>
  <c r="FW1341" i="191" s="1"/>
  <c r="FQ1339" i="191"/>
  <c r="FW1339" i="191" s="1"/>
  <c r="UY1344" i="191"/>
  <c r="VE1344" i="191" s="1"/>
  <c r="VT1339" i="191"/>
  <c r="VZ1339" i="191" s="1"/>
  <c r="MC1330" i="191"/>
  <c r="MI1330" i="191" s="1"/>
  <c r="MC1334" i="191"/>
  <c r="MI1334" i="191" s="1"/>
  <c r="MC1319" i="191"/>
  <c r="MI1319" i="191" s="1"/>
  <c r="LH1346" i="191"/>
  <c r="LN1346" i="191" s="1"/>
  <c r="LH1335" i="191"/>
  <c r="LN1335" i="191" s="1"/>
  <c r="LH1319" i="191"/>
  <c r="LN1319" i="191" s="1"/>
  <c r="GJ1342" i="191"/>
  <c r="GP1342" i="191" s="1"/>
  <c r="JP1340" i="191"/>
  <c r="JV1340" i="191" s="1"/>
  <c r="HE1339" i="191"/>
  <c r="HK1339" i="191" s="1"/>
  <c r="WP1330" i="191"/>
  <c r="WV1330" i="191" s="1"/>
  <c r="Y1331" i="191"/>
  <c r="AE1331" i="191" s="1"/>
  <c r="OL1320" i="191"/>
  <c r="OR1320" i="191" s="1"/>
  <c r="OL1324" i="191"/>
  <c r="OR1324" i="191" s="1"/>
  <c r="XI1336" i="191"/>
  <c r="XO1336" i="191" s="1"/>
  <c r="XI1321" i="191"/>
  <c r="XO1321" i="191" s="1"/>
  <c r="YD1336" i="191"/>
  <c r="YJ1336" i="191" s="1"/>
  <c r="YD1329" i="191"/>
  <c r="YJ1329" i="191" s="1"/>
  <c r="VS1320" i="191"/>
  <c r="VY1320" i="191" s="1"/>
  <c r="VS1321" i="191"/>
  <c r="VY1321" i="191" s="1"/>
  <c r="IV1324" i="191"/>
  <c r="JB1324" i="191" s="1"/>
  <c r="AU1343" i="191"/>
  <c r="BA1343" i="191" s="1"/>
  <c r="HG1320" i="191"/>
  <c r="HM1320" i="191" s="1"/>
  <c r="HG1326" i="191"/>
  <c r="HM1326" i="191" s="1"/>
  <c r="HG1336" i="191"/>
  <c r="HM1336" i="191" s="1"/>
  <c r="HG1322" i="191"/>
  <c r="HM1322" i="191" s="1"/>
  <c r="HG1335" i="191"/>
  <c r="HM1335" i="191" s="1"/>
  <c r="HG1339" i="191"/>
  <c r="HM1339" i="191" s="1"/>
  <c r="GK1340" i="191"/>
  <c r="GQ1340" i="191" s="1"/>
  <c r="GK1326" i="191"/>
  <c r="GQ1326" i="191" s="1"/>
  <c r="GK1323" i="191"/>
  <c r="GQ1323" i="191" s="1"/>
  <c r="GK1324" i="191"/>
  <c r="GQ1324" i="191" s="1"/>
  <c r="GK1329" i="191"/>
  <c r="GQ1329" i="191" s="1"/>
  <c r="GK1344" i="191"/>
  <c r="GQ1344" i="191" s="1"/>
  <c r="NR1336" i="191"/>
  <c r="NX1336" i="191" s="1"/>
  <c r="NR1320" i="191"/>
  <c r="NX1320" i="191" s="1"/>
  <c r="NR1346" i="191"/>
  <c r="NX1346" i="191" s="1"/>
  <c r="NR1339" i="191"/>
  <c r="NX1339" i="191" s="1"/>
  <c r="NR1333" i="191"/>
  <c r="NX1333" i="191" s="1"/>
  <c r="NR1324" i="191"/>
  <c r="NX1324" i="191" s="1"/>
  <c r="PH1340" i="191"/>
  <c r="PN1340" i="191" s="1"/>
  <c r="PH1336" i="191"/>
  <c r="PN1336" i="191" s="1"/>
  <c r="PH1330" i="191"/>
  <c r="PN1330" i="191" s="1"/>
  <c r="PH1329" i="191"/>
  <c r="PN1329" i="191" s="1"/>
  <c r="PH1343" i="191"/>
  <c r="PN1343" i="191" s="1"/>
  <c r="PH1345" i="191"/>
  <c r="PN1345" i="191" s="1"/>
  <c r="DE1340" i="191"/>
  <c r="DK1340" i="191" s="1"/>
  <c r="DE1323" i="191"/>
  <c r="DK1323" i="191" s="1"/>
  <c r="DE1325" i="191"/>
  <c r="DK1325" i="191" s="1"/>
  <c r="DE1333" i="191"/>
  <c r="DK1333" i="191" s="1"/>
  <c r="DE1335" i="191"/>
  <c r="DK1335" i="191" s="1"/>
  <c r="DE1345" i="191"/>
  <c r="DK1345" i="191" s="1"/>
  <c r="RT1320" i="191"/>
  <c r="RZ1320" i="191" s="1"/>
  <c r="RT1325" i="191"/>
  <c r="RZ1325" i="191" s="1"/>
  <c r="RT1342" i="191"/>
  <c r="RZ1342" i="191" s="1"/>
  <c r="RT1336" i="191"/>
  <c r="RZ1336" i="191" s="1"/>
  <c r="RT1341" i="191"/>
  <c r="RZ1341" i="191" s="1"/>
  <c r="RT1330" i="191"/>
  <c r="RZ1330" i="191" s="1"/>
  <c r="RT1322" i="191"/>
  <c r="RZ1322" i="191" s="1"/>
  <c r="RT1344" i="191"/>
  <c r="RZ1344" i="191" s="1"/>
  <c r="RT1335" i="191"/>
  <c r="RZ1335" i="191" s="1"/>
  <c r="RT1329" i="191"/>
  <c r="RZ1329" i="191" s="1"/>
  <c r="RT1331" i="191"/>
  <c r="RZ1331" i="191" s="1"/>
  <c r="QY1340" i="191"/>
  <c r="RE1340" i="191" s="1"/>
  <c r="QY1332" i="191"/>
  <c r="RE1332" i="191" s="1"/>
  <c r="QY1342" i="191"/>
  <c r="RE1342" i="191" s="1"/>
  <c r="QY1345" i="191"/>
  <c r="RE1345" i="191" s="1"/>
  <c r="QY1333" i="191"/>
  <c r="RE1333" i="191" s="1"/>
  <c r="QY1344" i="191"/>
  <c r="RE1344" i="191" s="1"/>
  <c r="HF1342" i="191"/>
  <c r="HL1342" i="191" s="1"/>
  <c r="HF1326" i="191"/>
  <c r="HL1326" i="191" s="1"/>
  <c r="HF1343" i="191"/>
  <c r="HL1343" i="191" s="1"/>
  <c r="HF1335" i="191"/>
  <c r="HL1335" i="191" s="1"/>
  <c r="HF1345" i="191"/>
  <c r="HL1345" i="191" s="1"/>
  <c r="HF1319" i="191"/>
  <c r="HL1319" i="191" s="1"/>
  <c r="YF1332" i="191"/>
  <c r="YL1332" i="191" s="1"/>
  <c r="YF1330" i="191"/>
  <c r="YL1330" i="191" s="1"/>
  <c r="YF1325" i="191"/>
  <c r="YL1325" i="191" s="1"/>
  <c r="YF1345" i="191"/>
  <c r="YL1345" i="191" s="1"/>
  <c r="YF1339" i="191"/>
  <c r="YL1339" i="191" s="1"/>
  <c r="YF1343" i="191"/>
  <c r="YL1343" i="191" s="1"/>
  <c r="RR1336" i="191"/>
  <c r="RX1336" i="191" s="1"/>
  <c r="RR1333" i="191"/>
  <c r="RX1333" i="191" s="1"/>
  <c r="QW1334" i="191"/>
  <c r="RC1334" i="191" s="1"/>
  <c r="QB1320" i="191"/>
  <c r="QH1320" i="191" s="1"/>
  <c r="QB1330" i="191"/>
  <c r="QH1330" i="191" s="1"/>
  <c r="QB1342" i="191"/>
  <c r="QH1342" i="191" s="1"/>
  <c r="QB1343" i="191"/>
  <c r="QH1343" i="191" s="1"/>
  <c r="QB1333" i="191"/>
  <c r="QH1333" i="191" s="1"/>
  <c r="QB1329" i="191"/>
  <c r="QH1329" i="191" s="1"/>
  <c r="PG1320" i="191"/>
  <c r="PM1320" i="191" s="1"/>
  <c r="PG1341" i="191"/>
  <c r="PM1341" i="191" s="1"/>
  <c r="PG1343" i="191"/>
  <c r="PM1343" i="191" s="1"/>
  <c r="PG1334" i="191"/>
  <c r="PM1334" i="191" s="1"/>
  <c r="PG1344" i="191"/>
  <c r="PM1344" i="191" s="1"/>
  <c r="PG1339" i="191"/>
  <c r="PM1339" i="191" s="1"/>
  <c r="NQ1346" i="191"/>
  <c r="NW1346" i="191" s="1"/>
  <c r="NQ1329" i="191"/>
  <c r="NW1329" i="191" s="1"/>
  <c r="MV1331" i="191"/>
  <c r="NB1331" i="191" s="1"/>
  <c r="MX1332" i="191"/>
  <c r="ND1332" i="191" s="1"/>
  <c r="MX1323" i="191"/>
  <c r="ND1323" i="191" s="1"/>
  <c r="MX1346" i="191"/>
  <c r="ND1346" i="191" s="1"/>
  <c r="MX1324" i="191"/>
  <c r="ND1324" i="191" s="1"/>
  <c r="MX1335" i="191"/>
  <c r="ND1335" i="191" s="1"/>
  <c r="MX1344" i="191"/>
  <c r="ND1344" i="191" s="1"/>
  <c r="MB1342" i="191"/>
  <c r="MH1342" i="191" s="1"/>
  <c r="MB1325" i="191"/>
  <c r="MH1325" i="191" s="1"/>
  <c r="MB1324" i="191"/>
  <c r="MH1324" i="191" s="1"/>
  <c r="MW1342" i="191"/>
  <c r="NC1342" i="191" s="1"/>
  <c r="MW1330" i="191"/>
  <c r="NC1330" i="191" s="1"/>
  <c r="MW1326" i="191"/>
  <c r="NC1326" i="191" s="1"/>
  <c r="MW1334" i="191"/>
  <c r="NC1334" i="191" s="1"/>
  <c r="MW1329" i="191"/>
  <c r="NC1329" i="191" s="1"/>
  <c r="MW1331" i="191"/>
  <c r="NC1331" i="191" s="1"/>
  <c r="CJ1330" i="191"/>
  <c r="CP1330" i="191" s="1"/>
  <c r="CJ1320" i="191"/>
  <c r="CP1320" i="191" s="1"/>
  <c r="CJ1343" i="191"/>
  <c r="CP1343" i="191" s="1"/>
  <c r="CJ1344" i="191"/>
  <c r="CP1344" i="191" s="1"/>
  <c r="CJ1335" i="191"/>
  <c r="CP1335" i="191" s="1"/>
  <c r="CJ1319" i="191"/>
  <c r="CP1319" i="191" s="1"/>
  <c r="FQ1346" i="191"/>
  <c r="FW1346" i="191" s="1"/>
  <c r="FQ1325" i="191"/>
  <c r="FW1325" i="191" s="1"/>
  <c r="FQ1322" i="191"/>
  <c r="FW1322" i="191" s="1"/>
  <c r="FQ1331" i="191"/>
  <c r="FW1331" i="191" s="1"/>
  <c r="FQ1344" i="191"/>
  <c r="FW1344" i="191" s="1"/>
  <c r="FQ1319" i="191"/>
  <c r="FW1319" i="191" s="1"/>
  <c r="UY1340" i="191"/>
  <c r="VE1340" i="191" s="1"/>
  <c r="UY1326" i="191"/>
  <c r="VE1326" i="191" s="1"/>
  <c r="UY1329" i="191"/>
  <c r="VE1329" i="191" s="1"/>
  <c r="VT1325" i="191"/>
  <c r="VZ1325" i="191" s="1"/>
  <c r="MC1320" i="191"/>
  <c r="MI1320" i="191" s="1"/>
  <c r="MC1326" i="191"/>
  <c r="MI1326" i="191" s="1"/>
  <c r="MC1342" i="191"/>
  <c r="MI1342" i="191" s="1"/>
  <c r="MC1345" i="191"/>
  <c r="MI1345" i="191" s="1"/>
  <c r="MC1339" i="191"/>
  <c r="MI1339" i="191" s="1"/>
  <c r="MC1335" i="191"/>
  <c r="MI1335" i="191" s="1"/>
  <c r="LH1320" i="191"/>
  <c r="LN1320" i="191" s="1"/>
  <c r="LH1323" i="191"/>
  <c r="LN1323" i="191" s="1"/>
  <c r="LH1341" i="191"/>
  <c r="LN1341" i="191" s="1"/>
  <c r="LH1345" i="191"/>
  <c r="LN1345" i="191" s="1"/>
  <c r="LH1321" i="191"/>
  <c r="LN1321" i="191" s="1"/>
  <c r="LH1339" i="191"/>
  <c r="LN1339" i="191" s="1"/>
  <c r="UC1325" i="191"/>
  <c r="UI1325" i="191" s="1"/>
  <c r="GJ1336" i="191"/>
  <c r="GP1336" i="191" s="1"/>
  <c r="GJ1340" i="191"/>
  <c r="GP1340" i="191" s="1"/>
  <c r="GJ1329" i="191"/>
  <c r="GP1329" i="191" s="1"/>
  <c r="KK1323" i="191"/>
  <c r="KQ1323" i="191" s="1"/>
  <c r="KK1321" i="191"/>
  <c r="KQ1321" i="191" s="1"/>
  <c r="LF1346" i="191"/>
  <c r="LL1346" i="191" s="1"/>
  <c r="LF1319" i="191"/>
  <c r="LL1319" i="191" s="1"/>
  <c r="IU1330" i="191"/>
  <c r="JA1330" i="191" s="1"/>
  <c r="IU1321" i="191"/>
  <c r="JA1321" i="191" s="1"/>
  <c r="JP1326" i="191"/>
  <c r="JV1326" i="191" s="1"/>
  <c r="JP1322" i="191"/>
  <c r="JV1322" i="191" s="1"/>
  <c r="JP1333" i="191"/>
  <c r="JV1333" i="191" s="1"/>
  <c r="HE1323" i="191"/>
  <c r="HK1323" i="191" s="1"/>
  <c r="QD1340" i="191"/>
  <c r="QJ1340" i="191" s="1"/>
  <c r="QD1326" i="191"/>
  <c r="QJ1326" i="191" s="1"/>
  <c r="QD1333" i="191"/>
  <c r="QJ1333" i="191" s="1"/>
  <c r="PI1321" i="191"/>
  <c r="PO1321" i="191" s="1"/>
  <c r="AU1330" i="191"/>
  <c r="BA1330" i="191" s="1"/>
  <c r="AU1322" i="191"/>
  <c r="BA1322" i="191" s="1"/>
  <c r="AU1329" i="191"/>
  <c r="BA1329" i="191" s="1"/>
  <c r="HG1332" i="191"/>
  <c r="HM1332" i="191" s="1"/>
  <c r="HG1340" i="191"/>
  <c r="HM1340" i="191" s="1"/>
  <c r="HG1346" i="191"/>
  <c r="HM1346" i="191" s="1"/>
  <c r="HG1342" i="191"/>
  <c r="HM1342" i="191" s="1"/>
  <c r="HG1330" i="191"/>
  <c r="HM1330" i="191" s="1"/>
  <c r="HG1341" i="191"/>
  <c r="HM1341" i="191" s="1"/>
  <c r="HG1345" i="191"/>
  <c r="HM1345" i="191" s="1"/>
  <c r="HG1344" i="191"/>
  <c r="HM1344" i="191" s="1"/>
  <c r="HG1331" i="191"/>
  <c r="HM1331" i="191" s="1"/>
  <c r="HG1329" i="191"/>
  <c r="HM1329" i="191" s="1"/>
  <c r="HG1333" i="191"/>
  <c r="HM1333" i="191" s="1"/>
  <c r="GK1342" i="191"/>
  <c r="GQ1342" i="191" s="1"/>
  <c r="GK1336" i="191"/>
  <c r="GQ1336" i="191" s="1"/>
  <c r="GK1332" i="191"/>
  <c r="GQ1332" i="191" s="1"/>
  <c r="GK1320" i="191"/>
  <c r="GQ1320" i="191" s="1"/>
  <c r="GK1325" i="191"/>
  <c r="GQ1325" i="191" s="1"/>
  <c r="GK1346" i="191"/>
  <c r="GQ1346" i="191" s="1"/>
  <c r="GK1345" i="191"/>
  <c r="GQ1345" i="191" s="1"/>
  <c r="GK1343" i="191"/>
  <c r="GQ1343" i="191" s="1"/>
  <c r="GK1322" i="191"/>
  <c r="GQ1322" i="191" s="1"/>
  <c r="GK1334" i="191"/>
  <c r="GQ1334" i="191" s="1"/>
  <c r="GK1339" i="191"/>
  <c r="GQ1339" i="191" s="1"/>
  <c r="NR1340" i="191"/>
  <c r="NX1340" i="191" s="1"/>
  <c r="NR1341" i="191"/>
  <c r="NX1341" i="191" s="1"/>
  <c r="NR1326" i="191"/>
  <c r="NX1326" i="191" s="1"/>
  <c r="NR1325" i="191"/>
  <c r="NX1325" i="191" s="1"/>
  <c r="NR1330" i="191"/>
  <c r="NX1330" i="191" s="1"/>
  <c r="NR1343" i="191"/>
  <c r="NX1343" i="191" s="1"/>
  <c r="NR1335" i="191"/>
  <c r="NX1335" i="191" s="1"/>
  <c r="NR1344" i="191"/>
  <c r="NX1344" i="191" s="1"/>
  <c r="NR1345" i="191"/>
  <c r="NX1345" i="191" s="1"/>
  <c r="NR1322" i="191"/>
  <c r="NX1322" i="191" s="1"/>
  <c r="NR1331" i="191"/>
  <c r="NX1331" i="191" s="1"/>
  <c r="PH1342" i="191"/>
  <c r="PN1342" i="191" s="1"/>
  <c r="PH1332" i="191"/>
  <c r="PN1332" i="191" s="1"/>
  <c r="PH1323" i="191"/>
  <c r="PN1323" i="191" s="1"/>
  <c r="PH1341" i="191"/>
  <c r="PN1341" i="191" s="1"/>
  <c r="PH1325" i="191"/>
  <c r="PN1325" i="191" s="1"/>
  <c r="PH1346" i="191"/>
  <c r="PN1346" i="191" s="1"/>
  <c r="PH1322" i="191"/>
  <c r="PN1322" i="191" s="1"/>
  <c r="PH1334" i="191"/>
  <c r="PN1334" i="191" s="1"/>
  <c r="PH1331" i="191"/>
  <c r="PN1331" i="191" s="1"/>
  <c r="PH1339" i="191"/>
  <c r="PN1339" i="191" s="1"/>
  <c r="PH1321" i="191"/>
  <c r="PN1321" i="191" s="1"/>
  <c r="DE1342" i="191"/>
  <c r="DK1342" i="191" s="1"/>
  <c r="DE1336" i="191"/>
  <c r="DK1336" i="191" s="1"/>
  <c r="DE1320" i="191"/>
  <c r="DK1320" i="191" s="1"/>
  <c r="DE1346" i="191"/>
  <c r="DK1346" i="191" s="1"/>
  <c r="DE1326" i="191"/>
  <c r="DK1326" i="191" s="1"/>
  <c r="DE1330" i="191"/>
  <c r="DK1330" i="191" s="1"/>
  <c r="DE1321" i="191"/>
  <c r="DK1321" i="191" s="1"/>
  <c r="DE1322" i="191"/>
  <c r="DK1322" i="191" s="1"/>
  <c r="DE1334" i="191"/>
  <c r="DK1334" i="191" s="1"/>
  <c r="DE1339" i="191"/>
  <c r="DK1339" i="191" s="1"/>
  <c r="DE1331" i="191"/>
  <c r="DK1331" i="191" s="1"/>
  <c r="QY1320" i="191"/>
  <c r="RE1320" i="191" s="1"/>
  <c r="QY1325" i="191"/>
  <c r="RE1325" i="191" s="1"/>
  <c r="QY1330" i="191"/>
  <c r="RE1330" i="191" s="1"/>
  <c r="QY1336" i="191"/>
  <c r="RE1336" i="191" s="1"/>
  <c r="QY1326" i="191"/>
  <c r="RE1326" i="191" s="1"/>
  <c r="QY1323" i="191"/>
  <c r="RE1323" i="191" s="1"/>
  <c r="QY1322" i="191"/>
  <c r="RE1322" i="191" s="1"/>
  <c r="QY1334" i="191"/>
  <c r="RE1334" i="191" s="1"/>
  <c r="QY1331" i="191"/>
  <c r="RE1331" i="191" s="1"/>
  <c r="QY1339" i="191"/>
  <c r="RE1339" i="191" s="1"/>
  <c r="QY1329" i="191"/>
  <c r="RE1329" i="191" s="1"/>
  <c r="HF1336" i="191"/>
  <c r="HL1336" i="191" s="1"/>
  <c r="HF1330" i="191"/>
  <c r="HL1330" i="191" s="1"/>
  <c r="HF1340" i="191"/>
  <c r="HL1340" i="191" s="1"/>
  <c r="HF1332" i="191"/>
  <c r="HL1332" i="191" s="1"/>
  <c r="HF1320" i="191"/>
  <c r="HL1320" i="191" s="1"/>
  <c r="HF1346" i="191"/>
  <c r="HL1346" i="191" s="1"/>
  <c r="HF1333" i="191"/>
  <c r="HL1333" i="191" s="1"/>
  <c r="HF1334" i="191"/>
  <c r="HL1334" i="191" s="1"/>
  <c r="HF1339" i="191"/>
  <c r="HL1339" i="191" s="1"/>
  <c r="HF1331" i="191"/>
  <c r="HL1331" i="191" s="1"/>
  <c r="HF1324" i="191"/>
  <c r="HL1324" i="191" s="1"/>
  <c r="YF1346" i="191"/>
  <c r="YL1346" i="191" s="1"/>
  <c r="YF1341" i="191"/>
  <c r="YL1341" i="191" s="1"/>
  <c r="YF1320" i="191"/>
  <c r="YL1320" i="191" s="1"/>
  <c r="YF1336" i="191"/>
  <c r="YL1336" i="191" s="1"/>
  <c r="YF1326" i="191"/>
  <c r="YL1326" i="191" s="1"/>
  <c r="YF1324" i="191"/>
  <c r="YL1324" i="191" s="1"/>
  <c r="YF1322" i="191"/>
  <c r="YL1322" i="191" s="1"/>
  <c r="YF1335" i="191"/>
  <c r="YL1335" i="191" s="1"/>
  <c r="YF1329" i="191"/>
  <c r="YL1329" i="191" s="1"/>
  <c r="YF1334" i="191"/>
  <c r="YL1334" i="191" s="1"/>
  <c r="YF1333" i="191"/>
  <c r="YL1333" i="191" s="1"/>
  <c r="RR1346" i="191"/>
  <c r="RX1346" i="191" s="1"/>
  <c r="RR1331" i="191"/>
  <c r="RX1331" i="191" s="1"/>
  <c r="RR1319" i="191"/>
  <c r="RX1319" i="191" s="1"/>
  <c r="QW1346" i="191"/>
  <c r="RC1346" i="191" s="1"/>
  <c r="QW1331" i="191"/>
  <c r="RC1331" i="191" s="1"/>
  <c r="QW1339" i="191"/>
  <c r="RC1339" i="191" s="1"/>
  <c r="QB1336" i="191"/>
  <c r="QH1336" i="191" s="1"/>
  <c r="QB1332" i="191"/>
  <c r="QH1332" i="191" s="1"/>
  <c r="QB1346" i="191"/>
  <c r="QH1346" i="191" s="1"/>
  <c r="QB1323" i="191"/>
  <c r="QH1323" i="191" s="1"/>
  <c r="QB1322" i="191"/>
  <c r="QH1322" i="191" s="1"/>
  <c r="QB1325" i="191"/>
  <c r="QH1325" i="191" s="1"/>
  <c r="QB1331" i="191"/>
  <c r="QH1331" i="191" s="1"/>
  <c r="QB1335" i="191"/>
  <c r="QH1335" i="191" s="1"/>
  <c r="QB1344" i="191"/>
  <c r="QH1344" i="191" s="1"/>
  <c r="QB1345" i="191"/>
  <c r="QH1345" i="191" s="1"/>
  <c r="QB1339" i="191"/>
  <c r="QH1339" i="191" s="1"/>
  <c r="PG1336" i="191"/>
  <c r="PM1336" i="191" s="1"/>
  <c r="PG1346" i="191"/>
  <c r="PM1346" i="191" s="1"/>
  <c r="PG1326" i="191"/>
  <c r="PM1326" i="191" s="1"/>
  <c r="PG1330" i="191"/>
  <c r="PM1330" i="191" s="1"/>
  <c r="PG1340" i="191"/>
  <c r="PM1340" i="191" s="1"/>
  <c r="PG1322" i="191"/>
  <c r="PM1322" i="191" s="1"/>
  <c r="PG1331" i="191"/>
  <c r="PM1331" i="191" s="1"/>
  <c r="PG1333" i="191"/>
  <c r="PM1333" i="191" s="1"/>
  <c r="PG1335" i="191"/>
  <c r="PM1335" i="191" s="1"/>
  <c r="PG1329" i="191"/>
  <c r="PM1329" i="191" s="1"/>
  <c r="PG1321" i="191"/>
  <c r="PM1321" i="191" s="1"/>
  <c r="NQ1332" i="191"/>
  <c r="NW1332" i="191" s="1"/>
  <c r="NQ1324" i="191"/>
  <c r="NW1324" i="191" s="1"/>
  <c r="MV1332" i="191"/>
  <c r="NB1332" i="191" s="1"/>
  <c r="MV1325" i="191"/>
  <c r="NB1325" i="191" s="1"/>
  <c r="MV1329" i="191"/>
  <c r="NB1329" i="191" s="1"/>
  <c r="MX1336" i="191"/>
  <c r="ND1336" i="191" s="1"/>
  <c r="MX1341" i="191"/>
  <c r="ND1341" i="191" s="1"/>
  <c r="MX1320" i="191"/>
  <c r="ND1320" i="191" s="1"/>
  <c r="MX1325" i="191"/>
  <c r="ND1325" i="191" s="1"/>
  <c r="MX1342" i="191"/>
  <c r="ND1342" i="191" s="1"/>
  <c r="MX1345" i="191"/>
  <c r="ND1345" i="191" s="1"/>
  <c r="MX1322" i="191"/>
  <c r="ND1322" i="191" s="1"/>
  <c r="MX1331" i="191"/>
  <c r="ND1331" i="191" s="1"/>
  <c r="MX1333" i="191"/>
  <c r="ND1333" i="191" s="1"/>
  <c r="MX1329" i="191"/>
  <c r="ND1329" i="191" s="1"/>
  <c r="MX1343" i="191"/>
  <c r="ND1343" i="191" s="1"/>
  <c r="MB1341" i="191"/>
  <c r="MH1341" i="191" s="1"/>
  <c r="MB1326" i="191"/>
  <c r="MH1326" i="191" s="1"/>
  <c r="MB1330" i="191"/>
  <c r="MH1330" i="191" s="1"/>
  <c r="MB1321" i="191"/>
  <c r="MH1321" i="191" s="1"/>
  <c r="MB1322" i="191"/>
  <c r="MH1322" i="191" s="1"/>
  <c r="MB1331" i="191"/>
  <c r="MH1331" i="191" s="1"/>
  <c r="MW1336" i="191"/>
  <c r="NC1336" i="191" s="1"/>
  <c r="MW1320" i="191"/>
  <c r="NC1320" i="191" s="1"/>
  <c r="MW1346" i="191"/>
  <c r="NC1346" i="191" s="1"/>
  <c r="MW1341" i="191"/>
  <c r="NC1341" i="191" s="1"/>
  <c r="MW1325" i="191"/>
  <c r="NC1325" i="191" s="1"/>
  <c r="MW1322" i="191"/>
  <c r="NC1322" i="191" s="1"/>
  <c r="MW1344" i="191"/>
  <c r="NC1344" i="191" s="1"/>
  <c r="MW1333" i="191"/>
  <c r="NC1333" i="191" s="1"/>
  <c r="MW1335" i="191"/>
  <c r="NC1335" i="191" s="1"/>
  <c r="MW1321" i="191"/>
  <c r="NC1321" i="191" s="1"/>
  <c r="MW1345" i="191"/>
  <c r="NC1345" i="191" s="1"/>
  <c r="CJ1342" i="191"/>
  <c r="CP1342" i="191" s="1"/>
  <c r="CJ1336" i="191"/>
  <c r="CP1336" i="191" s="1"/>
  <c r="CJ1341" i="191"/>
  <c r="CP1341" i="191" s="1"/>
  <c r="CJ1326" i="191"/>
  <c r="CP1326" i="191" s="1"/>
  <c r="CJ1325" i="191"/>
  <c r="CP1325" i="191" s="1"/>
  <c r="CJ1346" i="191"/>
  <c r="CP1346" i="191" s="1"/>
  <c r="CJ1322" i="191"/>
  <c r="CP1322" i="191" s="1"/>
  <c r="CJ1339" i="191"/>
  <c r="CP1339" i="191" s="1"/>
  <c r="CJ1324" i="191"/>
  <c r="CP1324" i="191" s="1"/>
  <c r="CJ1329" i="191"/>
  <c r="CP1329" i="191" s="1"/>
  <c r="CJ1321" i="191"/>
  <c r="CP1321" i="191" s="1"/>
  <c r="FQ1332" i="191"/>
  <c r="FW1332" i="191" s="1"/>
  <c r="FQ1336" i="191"/>
  <c r="FW1336" i="191" s="1"/>
  <c r="FQ1326" i="191"/>
  <c r="FW1326" i="191" s="1"/>
  <c r="FQ1320" i="191"/>
  <c r="FW1320" i="191" s="1"/>
  <c r="FQ1342" i="191"/>
  <c r="FW1342" i="191" s="1"/>
  <c r="FQ1323" i="191"/>
  <c r="FW1323" i="191" s="1"/>
  <c r="FQ1324" i="191"/>
  <c r="FW1324" i="191" s="1"/>
  <c r="FQ1334" i="191"/>
  <c r="FW1334" i="191" s="1"/>
  <c r="FQ1335" i="191"/>
  <c r="FW1335" i="191" s="1"/>
  <c r="FQ1321" i="191"/>
  <c r="FW1321" i="191" s="1"/>
  <c r="FQ1343" i="191"/>
  <c r="FW1343" i="191" s="1"/>
  <c r="UY1341" i="191"/>
  <c r="VE1341" i="191" s="1"/>
  <c r="UY1330" i="191"/>
  <c r="VE1330" i="191" s="1"/>
  <c r="UY1333" i="191"/>
  <c r="VE1333" i="191" s="1"/>
  <c r="UY1343" i="191"/>
  <c r="VE1343" i="191" s="1"/>
  <c r="UY1339" i="191"/>
  <c r="VE1339" i="191" s="1"/>
  <c r="UY1319" i="191"/>
  <c r="VE1319" i="191" s="1"/>
  <c r="VT1333" i="191"/>
  <c r="VZ1333" i="191" s="1"/>
  <c r="MC1332" i="191"/>
  <c r="MI1332" i="191" s="1"/>
  <c r="MC1340" i="191"/>
  <c r="MI1340" i="191" s="1"/>
  <c r="MC1346" i="191"/>
  <c r="MI1346" i="191" s="1"/>
  <c r="MC1323" i="191"/>
  <c r="MI1323" i="191" s="1"/>
  <c r="MC1336" i="191"/>
  <c r="MI1336" i="191" s="1"/>
  <c r="MC1341" i="191"/>
  <c r="MI1341" i="191" s="1"/>
  <c r="MC1322" i="191"/>
  <c r="MI1322" i="191" s="1"/>
  <c r="MC1344" i="191"/>
  <c r="MI1344" i="191" s="1"/>
  <c r="MC1343" i="191"/>
  <c r="MI1343" i="191" s="1"/>
  <c r="MC1321" i="191"/>
  <c r="MI1321" i="191" s="1"/>
  <c r="MC1331" i="191"/>
  <c r="MI1331" i="191" s="1"/>
  <c r="LH1332" i="191"/>
  <c r="LN1332" i="191" s="1"/>
  <c r="LH1340" i="191"/>
  <c r="LN1340" i="191" s="1"/>
  <c r="LH1342" i="191"/>
  <c r="LN1342" i="191" s="1"/>
  <c r="LH1336" i="191"/>
  <c r="LN1336" i="191" s="1"/>
  <c r="LH1326" i="191"/>
  <c r="LN1326" i="191" s="1"/>
  <c r="LH1330" i="191"/>
  <c r="LN1330" i="191" s="1"/>
  <c r="LH1324" i="191"/>
  <c r="LN1324" i="191" s="1"/>
  <c r="LH1331" i="191"/>
  <c r="LN1331" i="191" s="1"/>
  <c r="LH1333" i="191"/>
  <c r="LN1333" i="191" s="1"/>
  <c r="LH1344" i="191"/>
  <c r="LN1344" i="191" s="1"/>
  <c r="LH1343" i="191"/>
  <c r="LN1343" i="191" s="1"/>
  <c r="UC1326" i="191"/>
  <c r="UI1326" i="191" s="1"/>
  <c r="UC1339" i="191"/>
  <c r="UI1339" i="191" s="1"/>
  <c r="GJ1323" i="191"/>
  <c r="GP1323" i="191" s="1"/>
  <c r="GJ1326" i="191"/>
  <c r="GP1326" i="191" s="1"/>
  <c r="GJ1343" i="191"/>
  <c r="GP1343" i="191" s="1"/>
  <c r="GJ1331" i="191"/>
  <c r="GP1331" i="191" s="1"/>
  <c r="GJ1324" i="191"/>
  <c r="GP1324" i="191" s="1"/>
  <c r="GJ1321" i="191"/>
  <c r="GP1321" i="191" s="1"/>
  <c r="KK1320" i="191"/>
  <c r="KQ1320" i="191" s="1"/>
  <c r="KK1322" i="191"/>
  <c r="KQ1322" i="191" s="1"/>
  <c r="KK1344" i="191"/>
  <c r="KQ1344" i="191" s="1"/>
  <c r="LF1330" i="191"/>
  <c r="LL1330" i="191" s="1"/>
  <c r="LF1333" i="191"/>
  <c r="LL1333" i="191" s="1"/>
  <c r="LF1340" i="191"/>
  <c r="LL1340" i="191" s="1"/>
  <c r="IU1320" i="191"/>
  <c r="JA1320" i="191" s="1"/>
  <c r="IU1334" i="191"/>
  <c r="JA1334" i="191" s="1"/>
  <c r="IU1344" i="191"/>
  <c r="JA1344" i="191" s="1"/>
  <c r="JP1336" i="191"/>
  <c r="JV1336" i="191" s="1"/>
  <c r="JP1330" i="191"/>
  <c r="JV1330" i="191" s="1"/>
  <c r="JP1331" i="191"/>
  <c r="JV1331" i="191" s="1"/>
  <c r="JP1345" i="191"/>
  <c r="JV1345" i="191" s="1"/>
  <c r="JP1324" i="191"/>
  <c r="JV1324" i="191" s="1"/>
  <c r="JP1319" i="191"/>
  <c r="JV1319" i="191" s="1"/>
  <c r="HE1322" i="191"/>
  <c r="HK1322" i="191" s="1"/>
  <c r="RS1326" i="191"/>
  <c r="RY1326" i="191" s="1"/>
  <c r="RS1344" i="191"/>
  <c r="RY1344" i="191" s="1"/>
  <c r="RS1346" i="191"/>
  <c r="RY1346" i="191" s="1"/>
  <c r="HE1343" i="191"/>
  <c r="HK1343" i="191" s="1"/>
  <c r="HE1344" i="191"/>
  <c r="HK1344" i="191" s="1"/>
  <c r="HE1336" i="191"/>
  <c r="HK1336" i="191" s="1"/>
  <c r="WP1335" i="191"/>
  <c r="WV1335" i="191" s="1"/>
  <c r="PI1323" i="191"/>
  <c r="PO1323" i="191" s="1"/>
  <c r="JR1343" i="191"/>
  <c r="JX1343" i="191" s="1"/>
  <c r="RS1339" i="191"/>
  <c r="RY1339" i="191" s="1"/>
  <c r="RS1336" i="191"/>
  <c r="RY1336" i="191" s="1"/>
  <c r="VU1339" i="191"/>
  <c r="WA1339" i="191" s="1"/>
  <c r="VU1332" i="191"/>
  <c r="WA1332" i="191" s="1"/>
  <c r="RS1325" i="191"/>
  <c r="RY1325" i="191" s="1"/>
  <c r="RS1319" i="191"/>
  <c r="RY1319" i="191" s="1"/>
  <c r="VU1333" i="191"/>
  <c r="WA1333" i="191" s="1"/>
  <c r="UX1340" i="191"/>
  <c r="VD1340" i="191" s="1"/>
  <c r="YZ1324" i="191"/>
  <c r="ZF1324" i="191" s="1"/>
  <c r="FO1331" i="191"/>
  <c r="FU1331" i="191" s="1"/>
  <c r="UC1320" i="191"/>
  <c r="UI1320" i="191" s="1"/>
  <c r="UC1342" i="191"/>
  <c r="UI1342" i="191" s="1"/>
  <c r="UC1324" i="191"/>
  <c r="UI1324" i="191" s="1"/>
  <c r="OL1326" i="191"/>
  <c r="OR1326" i="191" s="1"/>
  <c r="OL1325" i="191"/>
  <c r="OR1325" i="191" s="1"/>
  <c r="OL1321" i="191"/>
  <c r="OR1321" i="191" s="1"/>
  <c r="KK1336" i="191"/>
  <c r="KQ1336" i="191" s="1"/>
  <c r="KK1330" i="191"/>
  <c r="KQ1330" i="191" s="1"/>
  <c r="KK1334" i="191"/>
  <c r="KQ1334" i="191" s="1"/>
  <c r="KK1333" i="191"/>
  <c r="KQ1333" i="191" s="1"/>
  <c r="KK1345" i="191"/>
  <c r="KQ1345" i="191" s="1"/>
  <c r="KK1319" i="191"/>
  <c r="KQ1319" i="191" s="1"/>
  <c r="LF1320" i="191"/>
  <c r="LL1320" i="191" s="1"/>
  <c r="LF1326" i="191"/>
  <c r="LL1326" i="191" s="1"/>
  <c r="LF1334" i="191"/>
  <c r="LL1334" i="191" s="1"/>
  <c r="LF1325" i="191"/>
  <c r="LL1325" i="191" s="1"/>
  <c r="LF1324" i="191"/>
  <c r="LL1324" i="191" s="1"/>
  <c r="LF1339" i="191"/>
  <c r="LL1339" i="191" s="1"/>
  <c r="IU1323" i="191"/>
  <c r="JA1323" i="191" s="1"/>
  <c r="IU1326" i="191"/>
  <c r="JA1326" i="191" s="1"/>
  <c r="IU1340" i="191"/>
  <c r="JA1340" i="191" s="1"/>
  <c r="IU1335" i="191"/>
  <c r="JA1335" i="191" s="1"/>
  <c r="IU1345" i="191"/>
  <c r="JA1345" i="191" s="1"/>
  <c r="IU1319" i="191"/>
  <c r="JA1319" i="191" s="1"/>
  <c r="WN1323" i="191"/>
  <c r="WT1323" i="191" s="1"/>
  <c r="WN1346" i="191"/>
  <c r="WT1346" i="191" s="1"/>
  <c r="WN1343" i="191"/>
  <c r="WT1343" i="191" s="1"/>
  <c r="WN1340" i="191"/>
  <c r="WT1340" i="191" s="1"/>
  <c r="WN1335" i="191"/>
  <c r="WT1335" i="191" s="1"/>
  <c r="WN1321" i="191"/>
  <c r="WT1321" i="191" s="1"/>
  <c r="MA1346" i="191"/>
  <c r="MG1346" i="191" s="1"/>
  <c r="MA1320" i="191"/>
  <c r="MG1320" i="191" s="1"/>
  <c r="MA1343" i="191"/>
  <c r="MG1343" i="191" s="1"/>
  <c r="MA1331" i="191"/>
  <c r="MG1331" i="191" s="1"/>
  <c r="MA1345" i="191"/>
  <c r="MG1345" i="191" s="1"/>
  <c r="MA1339" i="191"/>
  <c r="MG1339" i="191" s="1"/>
  <c r="HE1346" i="191"/>
  <c r="HK1346" i="191" s="1"/>
  <c r="HE1330" i="191"/>
  <c r="HK1330" i="191" s="1"/>
  <c r="HE1331" i="191"/>
  <c r="HK1331" i="191" s="1"/>
  <c r="HE1340" i="191"/>
  <c r="HK1340" i="191" s="1"/>
  <c r="HE1333" i="191"/>
  <c r="HK1333" i="191" s="1"/>
  <c r="HE1329" i="191"/>
  <c r="HK1329" i="191" s="1"/>
  <c r="WP1345" i="191"/>
  <c r="WV1345" i="191" s="1"/>
  <c r="JR1330" i="191"/>
  <c r="JX1330" i="191" s="1"/>
  <c r="RS1324" i="191"/>
  <c r="RY1324" i="191" s="1"/>
  <c r="RS1333" i="191"/>
  <c r="RY1333" i="191" s="1"/>
  <c r="RS1342" i="191"/>
  <c r="RY1342" i="191" s="1"/>
  <c r="VU1329" i="191"/>
  <c r="WA1329" i="191" s="1"/>
  <c r="VU1346" i="191"/>
  <c r="WA1346" i="191" s="1"/>
  <c r="VU1326" i="191"/>
  <c r="WA1326" i="191" s="1"/>
  <c r="RS1320" i="191"/>
  <c r="RY1320" i="191" s="1"/>
  <c r="RS1332" i="191"/>
  <c r="RY1332" i="191" s="1"/>
  <c r="VU1336" i="191"/>
  <c r="WA1336" i="191" s="1"/>
  <c r="VU1342" i="191"/>
  <c r="WA1342" i="191" s="1"/>
  <c r="MB1336" i="191"/>
  <c r="MH1336" i="191" s="1"/>
  <c r="MB1346" i="191"/>
  <c r="MH1346" i="191" s="1"/>
  <c r="MB1332" i="191"/>
  <c r="MH1332" i="191" s="1"/>
  <c r="MB1320" i="191"/>
  <c r="MH1320" i="191" s="1"/>
  <c r="MB1323" i="191"/>
  <c r="MH1323" i="191" s="1"/>
  <c r="MB1343" i="191"/>
  <c r="MH1343" i="191" s="1"/>
  <c r="MB1344" i="191"/>
  <c r="MH1344" i="191" s="1"/>
  <c r="MB1345" i="191"/>
  <c r="MH1345" i="191" s="1"/>
  <c r="MB1333" i="191"/>
  <c r="MH1333" i="191" s="1"/>
  <c r="MB1329" i="191"/>
  <c r="MH1329" i="191" s="1"/>
  <c r="MB1339" i="191"/>
  <c r="MH1339" i="191" s="1"/>
  <c r="RS1343" i="191"/>
  <c r="RY1343" i="191" s="1"/>
  <c r="VU1325" i="191"/>
  <c r="WA1325" i="191" s="1"/>
  <c r="VU1341" i="191"/>
  <c r="WA1341" i="191" s="1"/>
  <c r="VU1344" i="191"/>
  <c r="WA1344" i="191" s="1"/>
  <c r="KJ1365" i="191"/>
  <c r="KP1365" i="191" s="1"/>
  <c r="KL1339" i="191"/>
  <c r="KR1339" i="191" s="1"/>
  <c r="KL1336" i="191"/>
  <c r="KR1336" i="191" s="1"/>
  <c r="KL1341" i="191"/>
  <c r="KR1341" i="191" s="1"/>
  <c r="UY1342" i="191"/>
  <c r="VE1342" i="191" s="1"/>
  <c r="UY1336" i="191"/>
  <c r="VE1336" i="191" s="1"/>
  <c r="UY1332" i="191"/>
  <c r="VE1332" i="191" s="1"/>
  <c r="UY1325" i="191"/>
  <c r="VE1325" i="191" s="1"/>
  <c r="UY1346" i="191"/>
  <c r="VE1346" i="191" s="1"/>
  <c r="UY1323" i="191"/>
  <c r="VE1323" i="191" s="1"/>
  <c r="UY1334" i="191"/>
  <c r="VE1334" i="191" s="1"/>
  <c r="UY1331" i="191"/>
  <c r="VE1331" i="191" s="1"/>
  <c r="UY1322" i="191"/>
  <c r="VE1322" i="191" s="1"/>
  <c r="UY1335" i="191"/>
  <c r="VE1335" i="191" s="1"/>
  <c r="UY1321" i="191"/>
  <c r="VE1321" i="191" s="1"/>
  <c r="UX1323" i="191"/>
  <c r="VD1323" i="191" s="1"/>
  <c r="UX1339" i="191"/>
  <c r="VD1339" i="191" s="1"/>
  <c r="GJ1341" i="191"/>
  <c r="GP1341" i="191" s="1"/>
  <c r="GJ1330" i="191"/>
  <c r="GP1330" i="191" s="1"/>
  <c r="GJ1346" i="191"/>
  <c r="GP1346" i="191" s="1"/>
  <c r="GJ1332" i="191"/>
  <c r="GP1332" i="191" s="1"/>
  <c r="GJ1322" i="191"/>
  <c r="GP1322" i="191" s="1"/>
  <c r="GJ1325" i="191"/>
  <c r="GP1325" i="191" s="1"/>
  <c r="GJ1334" i="191"/>
  <c r="GP1334" i="191" s="1"/>
  <c r="GJ1344" i="191"/>
  <c r="GP1344" i="191" s="1"/>
  <c r="GJ1333" i="191"/>
  <c r="GP1333" i="191" s="1"/>
  <c r="GJ1345" i="191"/>
  <c r="GP1345" i="191" s="1"/>
  <c r="GJ1339" i="191"/>
  <c r="GP1339" i="191" s="1"/>
  <c r="KK1332" i="191"/>
  <c r="KQ1332" i="191" s="1"/>
  <c r="KK1341" i="191"/>
  <c r="KQ1341" i="191" s="1"/>
  <c r="KK1326" i="191"/>
  <c r="KQ1326" i="191" s="1"/>
  <c r="KK1342" i="191"/>
  <c r="KQ1342" i="191" s="1"/>
  <c r="KK1343" i="191"/>
  <c r="KQ1343" i="191" s="1"/>
  <c r="KK1331" i="191"/>
  <c r="KQ1331" i="191" s="1"/>
  <c r="KK1340" i="191"/>
  <c r="KQ1340" i="191" s="1"/>
  <c r="KK1335" i="191"/>
  <c r="KQ1335" i="191" s="1"/>
  <c r="KK1324" i="191"/>
  <c r="KQ1324" i="191" s="1"/>
  <c r="KK1339" i="191"/>
  <c r="KQ1339" i="191" s="1"/>
  <c r="KK1329" i="191"/>
  <c r="KQ1329" i="191" s="1"/>
  <c r="LF1341" i="191"/>
  <c r="LL1341" i="191" s="1"/>
  <c r="LF1336" i="191"/>
  <c r="LL1336" i="191" s="1"/>
  <c r="LF1323" i="191"/>
  <c r="LL1323" i="191" s="1"/>
  <c r="LF1332" i="191"/>
  <c r="LL1332" i="191" s="1"/>
  <c r="LF1342" i="191"/>
  <c r="LL1342" i="191" s="1"/>
  <c r="LF1322" i="191"/>
  <c r="LL1322" i="191" s="1"/>
  <c r="LF1331" i="191"/>
  <c r="LL1331" i="191" s="1"/>
  <c r="LF1335" i="191"/>
  <c r="LL1335" i="191" s="1"/>
  <c r="LF1344" i="191"/>
  <c r="LL1344" i="191" s="1"/>
  <c r="LF1345" i="191"/>
  <c r="LL1345" i="191" s="1"/>
  <c r="LF1329" i="191"/>
  <c r="LL1329" i="191" s="1"/>
  <c r="IU1341" i="191"/>
  <c r="JA1341" i="191" s="1"/>
  <c r="IU1332" i="191"/>
  <c r="JA1332" i="191" s="1"/>
  <c r="IU1346" i="191"/>
  <c r="JA1346" i="191" s="1"/>
  <c r="IU1343" i="191"/>
  <c r="JA1343" i="191" s="1"/>
  <c r="IU1325" i="191"/>
  <c r="JA1325" i="191" s="1"/>
  <c r="IU1342" i="191"/>
  <c r="JA1342" i="191" s="1"/>
  <c r="IU1331" i="191"/>
  <c r="JA1331" i="191" s="1"/>
  <c r="IU1333" i="191"/>
  <c r="JA1333" i="191" s="1"/>
  <c r="IU1324" i="191"/>
  <c r="JA1324" i="191" s="1"/>
  <c r="IU1329" i="191"/>
  <c r="JA1329" i="191" s="1"/>
  <c r="IU1339" i="191"/>
  <c r="JA1339" i="191" s="1"/>
  <c r="JP1346" i="191"/>
  <c r="JV1346" i="191" s="1"/>
  <c r="JP1320" i="191"/>
  <c r="JV1320" i="191" s="1"/>
  <c r="JP1341" i="191"/>
  <c r="JV1341" i="191" s="1"/>
  <c r="JP1332" i="191"/>
  <c r="JV1332" i="191" s="1"/>
  <c r="JP1342" i="191"/>
  <c r="JV1342" i="191" s="1"/>
  <c r="JP1334" i="191"/>
  <c r="JV1334" i="191" s="1"/>
  <c r="JP1343" i="191"/>
  <c r="JV1343" i="191" s="1"/>
  <c r="JP1325" i="191"/>
  <c r="JV1325" i="191" s="1"/>
  <c r="JP1335" i="191"/>
  <c r="JV1335" i="191" s="1"/>
  <c r="JP1344" i="191"/>
  <c r="JV1344" i="191" s="1"/>
  <c r="JP1329" i="191"/>
  <c r="JV1329" i="191" s="1"/>
  <c r="HE1320" i="191"/>
  <c r="HK1320" i="191" s="1"/>
  <c r="HE1341" i="191"/>
  <c r="HK1341" i="191" s="1"/>
  <c r="HE1332" i="191"/>
  <c r="HK1332" i="191" s="1"/>
  <c r="HE1326" i="191"/>
  <c r="HK1326" i="191" s="1"/>
  <c r="HE1334" i="191"/>
  <c r="HK1334" i="191" s="1"/>
  <c r="HE1342" i="191"/>
  <c r="HK1342" i="191" s="1"/>
  <c r="HE1325" i="191"/>
  <c r="HK1325" i="191" s="1"/>
  <c r="HE1335" i="191"/>
  <c r="HK1335" i="191" s="1"/>
  <c r="HE1345" i="191"/>
  <c r="HK1345" i="191" s="1"/>
  <c r="HE1324" i="191"/>
  <c r="HK1324" i="191" s="1"/>
  <c r="HE1319" i="191"/>
  <c r="HK1319" i="191" s="1"/>
  <c r="DY1341" i="191"/>
  <c r="EE1341" i="191" s="1"/>
  <c r="IV1339" i="191"/>
  <c r="JB1339" i="191" s="1"/>
  <c r="IV1341" i="191"/>
  <c r="JB1341" i="191" s="1"/>
  <c r="IV1346" i="191"/>
  <c r="JB1346" i="191" s="1"/>
  <c r="JR1344" i="191"/>
  <c r="JX1344" i="191" s="1"/>
  <c r="RS1331" i="191"/>
  <c r="RY1331" i="191" s="1"/>
  <c r="RS1334" i="191"/>
  <c r="RY1334" i="191" s="1"/>
  <c r="RS1323" i="191"/>
  <c r="RY1323" i="191" s="1"/>
  <c r="RS1341" i="191"/>
  <c r="RY1341" i="191" s="1"/>
  <c r="RS1330" i="191"/>
  <c r="RY1330" i="191" s="1"/>
  <c r="VU1343" i="191"/>
  <c r="WA1343" i="191" s="1"/>
  <c r="VU1335" i="191"/>
  <c r="WA1335" i="191" s="1"/>
  <c r="VU1324" i="191"/>
  <c r="WA1324" i="191" s="1"/>
  <c r="VU1340" i="191"/>
  <c r="WA1340" i="191" s="1"/>
  <c r="VU1323" i="191"/>
  <c r="WA1323" i="191" s="1"/>
  <c r="RS1329" i="191"/>
  <c r="RY1329" i="191" s="1"/>
  <c r="RS1322" i="191"/>
  <c r="RY1322" i="191" s="1"/>
  <c r="RS1340" i="191"/>
  <c r="RY1340" i="191" s="1"/>
  <c r="RS1335" i="191"/>
  <c r="RY1335" i="191" s="1"/>
  <c r="RS1345" i="191"/>
  <c r="RY1345" i="191" s="1"/>
  <c r="VU1330" i="191"/>
  <c r="WA1330" i="191" s="1"/>
  <c r="VU1322" i="191"/>
  <c r="WA1322" i="191" s="1"/>
  <c r="VU1331" i="191"/>
  <c r="WA1331" i="191" s="1"/>
  <c r="VU1320" i="191"/>
  <c r="WA1320" i="191" s="1"/>
  <c r="VU1334" i="191"/>
  <c r="WA1334" i="191" s="1"/>
  <c r="VU1321" i="191"/>
  <c r="WA1321" i="191" s="1"/>
  <c r="QI1338" i="191"/>
  <c r="AU1326" i="191"/>
  <c r="BA1326" i="191" s="1"/>
  <c r="AU1320" i="191"/>
  <c r="BA1320" i="191" s="1"/>
  <c r="AU1342" i="191"/>
  <c r="BA1342" i="191" s="1"/>
  <c r="AU1345" i="191"/>
  <c r="BA1345" i="191" s="1"/>
  <c r="AU1333" i="191"/>
  <c r="BA1333" i="191" s="1"/>
  <c r="AU1331" i="191"/>
  <c r="BA1331" i="191" s="1"/>
  <c r="FP1336" i="191"/>
  <c r="FV1336" i="191" s="1"/>
  <c r="FP1342" i="191"/>
  <c r="FV1342" i="191" s="1"/>
  <c r="FP1345" i="191"/>
  <c r="FV1345" i="191" s="1"/>
  <c r="SN1332" i="191"/>
  <c r="ST1332" i="191" s="1"/>
  <c r="SN1331" i="191"/>
  <c r="ST1331" i="191" s="1"/>
  <c r="TI1320" i="191"/>
  <c r="TO1320" i="191" s="1"/>
  <c r="TI1345" i="191"/>
  <c r="TO1345" i="191" s="1"/>
  <c r="OM1320" i="191"/>
  <c r="OS1320" i="191" s="1"/>
  <c r="OM1344" i="191"/>
  <c r="OS1344" i="191" s="1"/>
  <c r="QD1341" i="191"/>
  <c r="QJ1341" i="191" s="1"/>
  <c r="QD1325" i="191"/>
  <c r="QJ1325" i="191" s="1"/>
  <c r="QD1324" i="191"/>
  <c r="QJ1324" i="191" s="1"/>
  <c r="QD1334" i="191"/>
  <c r="QJ1334" i="191" s="1"/>
  <c r="QD1321" i="191"/>
  <c r="QJ1321" i="191" s="1"/>
  <c r="IA1336" i="191"/>
  <c r="IG1336" i="191" s="1"/>
  <c r="IA1333" i="191"/>
  <c r="IG1333" i="191" s="1"/>
  <c r="SM1346" i="191"/>
  <c r="SS1346" i="191" s="1"/>
  <c r="SM1330" i="191"/>
  <c r="SS1330" i="191" s="1"/>
  <c r="SM1331" i="191"/>
  <c r="SS1331" i="191" s="1"/>
  <c r="SM1335" i="191"/>
  <c r="SS1335" i="191" s="1"/>
  <c r="SM1321" i="191"/>
  <c r="SS1321" i="191" s="1"/>
  <c r="RR1332" i="191"/>
  <c r="RX1332" i="191" s="1"/>
  <c r="RR1326" i="191"/>
  <c r="RX1326" i="191" s="1"/>
  <c r="RR1325" i="191"/>
  <c r="RX1325" i="191" s="1"/>
  <c r="RR1345" i="191"/>
  <c r="RX1345" i="191" s="1"/>
  <c r="RR1329" i="191"/>
  <c r="RX1329" i="191" s="1"/>
  <c r="QW1323" i="191"/>
  <c r="RC1323" i="191" s="1"/>
  <c r="QW1330" i="191"/>
  <c r="RC1330" i="191" s="1"/>
  <c r="QW1342" i="191"/>
  <c r="RC1342" i="191" s="1"/>
  <c r="QW1335" i="191"/>
  <c r="RC1335" i="191" s="1"/>
  <c r="QW1324" i="191"/>
  <c r="RC1324" i="191" s="1"/>
  <c r="MV1323" i="191"/>
  <c r="NB1323" i="191" s="1"/>
  <c r="MV1322" i="191"/>
  <c r="NB1322" i="191" s="1"/>
  <c r="MV1334" i="191"/>
  <c r="NB1334" i="191" s="1"/>
  <c r="MV1345" i="191"/>
  <c r="NB1345" i="191" s="1"/>
  <c r="MV1339" i="191"/>
  <c r="NB1339" i="191" s="1"/>
  <c r="NS1336" i="191"/>
  <c r="NY1336" i="191" s="1"/>
  <c r="NS1320" i="191"/>
  <c r="NY1320" i="191" s="1"/>
  <c r="NS1341" i="191"/>
  <c r="NY1341" i="191" s="1"/>
  <c r="NS1322" i="191"/>
  <c r="NY1322" i="191" s="1"/>
  <c r="NS1339" i="191"/>
  <c r="NY1339" i="191" s="1"/>
  <c r="UE1332" i="191"/>
  <c r="UK1332" i="191" s="1"/>
  <c r="UE1345" i="191"/>
  <c r="UK1345" i="191" s="1"/>
  <c r="GL1346" i="191"/>
  <c r="GR1346" i="191" s="1"/>
  <c r="GL1322" i="191"/>
  <c r="GR1322" i="191" s="1"/>
  <c r="AT1342" i="191"/>
  <c r="AZ1342" i="191" s="1"/>
  <c r="AT1332" i="191"/>
  <c r="AZ1332" i="191" s="1"/>
  <c r="AT1323" i="191"/>
  <c r="AZ1323" i="191" s="1"/>
  <c r="AT1322" i="191"/>
  <c r="AZ1322" i="191" s="1"/>
  <c r="AT1343" i="191"/>
  <c r="AZ1343" i="191" s="1"/>
  <c r="BO1340" i="191"/>
  <c r="BU1340" i="191" s="1"/>
  <c r="EA1332" i="191"/>
  <c r="EG1332" i="191" s="1"/>
  <c r="EA1325" i="191"/>
  <c r="EG1325" i="191" s="1"/>
  <c r="VT1340" i="191"/>
  <c r="VZ1340" i="191" s="1"/>
  <c r="VT1336" i="191"/>
  <c r="VZ1336" i="191" s="1"/>
  <c r="FO1326" i="191"/>
  <c r="FU1326" i="191" s="1"/>
  <c r="FO1342" i="191"/>
  <c r="FU1342" i="191" s="1"/>
  <c r="UX1330" i="191"/>
  <c r="VD1330" i="191" s="1"/>
  <c r="UX1331" i="191"/>
  <c r="VD1331" i="191" s="1"/>
  <c r="OL1323" i="191"/>
  <c r="OR1323" i="191" s="1"/>
  <c r="OL1346" i="191"/>
  <c r="OR1346" i="191" s="1"/>
  <c r="OL1342" i="191"/>
  <c r="OR1342" i="191" s="1"/>
  <c r="OL1322" i="191"/>
  <c r="OR1322" i="191" s="1"/>
  <c r="OL1333" i="191"/>
  <c r="OR1333" i="191" s="1"/>
  <c r="XI1346" i="191"/>
  <c r="XO1346" i="191" s="1"/>
  <c r="XI1334" i="191"/>
  <c r="XO1334" i="191" s="1"/>
  <c r="YD1341" i="191"/>
  <c r="YJ1341" i="191" s="1"/>
  <c r="YD1343" i="191"/>
  <c r="YJ1343" i="191" s="1"/>
  <c r="VS1346" i="191"/>
  <c r="VY1346" i="191" s="1"/>
  <c r="VS1322" i="191"/>
  <c r="VY1322" i="191" s="1"/>
  <c r="WN1336" i="191"/>
  <c r="WT1336" i="191" s="1"/>
  <c r="WN1326" i="191"/>
  <c r="WT1326" i="191" s="1"/>
  <c r="WN1320" i="191"/>
  <c r="WT1320" i="191" s="1"/>
  <c r="WN1332" i="191"/>
  <c r="WT1332" i="191" s="1"/>
  <c r="WN1322" i="191"/>
  <c r="WT1322" i="191" s="1"/>
  <c r="WN1334" i="191"/>
  <c r="WT1334" i="191" s="1"/>
  <c r="WN1325" i="191"/>
  <c r="WT1325" i="191" s="1"/>
  <c r="WN1344" i="191"/>
  <c r="WT1344" i="191" s="1"/>
  <c r="WN1345" i="191"/>
  <c r="WT1345" i="191" s="1"/>
  <c r="WN1333" i="191"/>
  <c r="WT1333" i="191" s="1"/>
  <c r="WN1339" i="191"/>
  <c r="WT1339" i="191" s="1"/>
  <c r="YY1332" i="191"/>
  <c r="ZE1332" i="191" s="1"/>
  <c r="YY1346" i="191"/>
  <c r="ZE1346" i="191" s="1"/>
  <c r="YY1334" i="191"/>
  <c r="ZE1334" i="191" s="1"/>
  <c r="YY1340" i="191"/>
  <c r="ZE1340" i="191" s="1"/>
  <c r="YY1345" i="191"/>
  <c r="ZE1345" i="191" s="1"/>
  <c r="MA1336" i="191"/>
  <c r="MG1336" i="191" s="1"/>
  <c r="MA1341" i="191"/>
  <c r="MG1341" i="191" s="1"/>
  <c r="MA1332" i="191"/>
  <c r="MG1332" i="191" s="1"/>
  <c r="MA1330" i="191"/>
  <c r="MG1330" i="191" s="1"/>
  <c r="MA1322" i="191"/>
  <c r="MG1322" i="191" s="1"/>
  <c r="MA1334" i="191"/>
  <c r="MG1334" i="191" s="1"/>
  <c r="MA1340" i="191"/>
  <c r="MG1340" i="191" s="1"/>
  <c r="MA1335" i="191"/>
  <c r="MG1335" i="191" s="1"/>
  <c r="MA1344" i="191"/>
  <c r="MG1344" i="191" s="1"/>
  <c r="MA1324" i="191"/>
  <c r="MG1324" i="191" s="1"/>
  <c r="MA1321" i="191"/>
  <c r="MG1321" i="191" s="1"/>
  <c r="HZ1342" i="191"/>
  <c r="IF1342" i="191" s="1"/>
  <c r="CI1332" i="191"/>
  <c r="CO1332" i="191" s="1"/>
  <c r="CI1331" i="191"/>
  <c r="CO1331" i="191" s="1"/>
  <c r="DD1332" i="191"/>
  <c r="DJ1332" i="191" s="1"/>
  <c r="DD1341" i="191"/>
  <c r="DJ1341" i="191" s="1"/>
  <c r="DD1343" i="191"/>
  <c r="DJ1343" i="191" s="1"/>
  <c r="DD1335" i="191"/>
  <c r="DJ1335" i="191" s="1"/>
  <c r="DD1345" i="191"/>
  <c r="DJ1345" i="191" s="1"/>
  <c r="WP1324" i="191"/>
  <c r="WV1324" i="191" s="1"/>
  <c r="WP1323" i="191"/>
  <c r="WV1323" i="191" s="1"/>
  <c r="WP1331" i="191"/>
  <c r="WV1331" i="191" s="1"/>
  <c r="KL1335" i="191"/>
  <c r="KR1335" i="191" s="1"/>
  <c r="KL1323" i="191"/>
  <c r="KR1323" i="191" s="1"/>
  <c r="PI1335" i="191"/>
  <c r="PO1335" i="191" s="1"/>
  <c r="PI1345" i="191"/>
  <c r="PO1345" i="191" s="1"/>
  <c r="XQ1338" i="191"/>
  <c r="NQ1319" i="191"/>
  <c r="NW1319" i="191" s="1"/>
  <c r="NQ1321" i="191"/>
  <c r="NW1321" i="191" s="1"/>
  <c r="NQ1335" i="191"/>
  <c r="NW1335" i="191" s="1"/>
  <c r="NQ1340" i="191"/>
  <c r="NW1340" i="191" s="1"/>
  <c r="NQ1322" i="191"/>
  <c r="NW1322" i="191" s="1"/>
  <c r="NQ1323" i="191"/>
  <c r="NW1323" i="191" s="1"/>
  <c r="NQ1336" i="191"/>
  <c r="NW1336" i="191" s="1"/>
  <c r="CI1321" i="191"/>
  <c r="CO1321" i="191" s="1"/>
  <c r="CI1320" i="191"/>
  <c r="CO1320" i="191" s="1"/>
  <c r="CI1319" i="191"/>
  <c r="CO1319" i="191" s="1"/>
  <c r="CI1324" i="191"/>
  <c r="CO1324" i="191" s="1"/>
  <c r="CI1340" i="191"/>
  <c r="CO1340" i="191" s="1"/>
  <c r="CI1342" i="191"/>
  <c r="CO1342" i="191" s="1"/>
  <c r="CI1323" i="191"/>
  <c r="CO1323" i="191" s="1"/>
  <c r="AT1319" i="191"/>
  <c r="AZ1319" i="191" s="1"/>
  <c r="AT1344" i="191"/>
  <c r="AZ1344" i="191" s="1"/>
  <c r="AT1335" i="191"/>
  <c r="AZ1335" i="191" s="1"/>
  <c r="AT1329" i="191"/>
  <c r="AZ1329" i="191" s="1"/>
  <c r="AT1324" i="191"/>
  <c r="AZ1324" i="191" s="1"/>
  <c r="AT1331" i="191"/>
  <c r="AZ1331" i="191" s="1"/>
  <c r="AT1333" i="191"/>
  <c r="AZ1333" i="191" s="1"/>
  <c r="AT1330" i="191"/>
  <c r="AZ1330" i="191" s="1"/>
  <c r="AT1325" i="191"/>
  <c r="AZ1325" i="191" s="1"/>
  <c r="AT1326" i="191"/>
  <c r="AZ1326" i="191" s="1"/>
  <c r="AT1341" i="191"/>
  <c r="AZ1341" i="191" s="1"/>
  <c r="AT1340" i="191"/>
  <c r="AZ1340" i="191" s="1"/>
  <c r="IA1324" i="191"/>
  <c r="IG1324" i="191" s="1"/>
  <c r="IA1345" i="191"/>
  <c r="IG1345" i="191" s="1"/>
  <c r="IA1335" i="191"/>
  <c r="IG1335" i="191" s="1"/>
  <c r="IA1321" i="191"/>
  <c r="IG1321" i="191" s="1"/>
  <c r="IA1330" i="191"/>
  <c r="IG1330" i="191" s="1"/>
  <c r="IA1320" i="191"/>
  <c r="IG1320" i="191" s="1"/>
  <c r="IA1340" i="191"/>
  <c r="IG1340" i="191" s="1"/>
  <c r="NS1329" i="191"/>
  <c r="NY1329" i="191" s="1"/>
  <c r="NS1333" i="191"/>
  <c r="NY1333" i="191" s="1"/>
  <c r="NS1344" i="191"/>
  <c r="NY1344" i="191" s="1"/>
  <c r="NS1331" i="191"/>
  <c r="NY1331" i="191" s="1"/>
  <c r="NS1334" i="191"/>
  <c r="NY1334" i="191" s="1"/>
  <c r="NS1324" i="191"/>
  <c r="NY1324" i="191" s="1"/>
  <c r="NS1330" i="191"/>
  <c r="NY1330" i="191" s="1"/>
  <c r="NS1342" i="191"/>
  <c r="NY1342" i="191" s="1"/>
  <c r="NS1340" i="191"/>
  <c r="NY1340" i="191" s="1"/>
  <c r="NS1323" i="191"/>
  <c r="NY1323" i="191" s="1"/>
  <c r="NS1325" i="191"/>
  <c r="NY1325" i="191" s="1"/>
  <c r="NS1332" i="191"/>
  <c r="NY1332" i="191" s="1"/>
  <c r="QD1335" i="191"/>
  <c r="QJ1335" i="191" s="1"/>
  <c r="QD1329" i="191"/>
  <c r="QJ1329" i="191" s="1"/>
  <c r="QD1339" i="191"/>
  <c r="QJ1339" i="191" s="1"/>
  <c r="QD1331" i="191"/>
  <c r="QJ1331" i="191" s="1"/>
  <c r="QD1344" i="191"/>
  <c r="QJ1344" i="191" s="1"/>
  <c r="QD1322" i="191"/>
  <c r="QJ1322" i="191" s="1"/>
  <c r="QD1330" i="191"/>
  <c r="QJ1330" i="191" s="1"/>
  <c r="QD1346" i="191"/>
  <c r="QJ1346" i="191" s="1"/>
  <c r="QD1336" i="191"/>
  <c r="QJ1336" i="191" s="1"/>
  <c r="QD1323" i="191"/>
  <c r="QJ1323" i="191" s="1"/>
  <c r="QD1342" i="191"/>
  <c r="QJ1342" i="191" s="1"/>
  <c r="QD1320" i="191"/>
  <c r="QJ1320" i="191" s="1"/>
  <c r="KL1345" i="191"/>
  <c r="KR1345" i="191" s="1"/>
  <c r="KL1322" i="191"/>
  <c r="KR1322" i="191" s="1"/>
  <c r="KL1342" i="191"/>
  <c r="KR1342" i="191" s="1"/>
  <c r="KL1332" i="191"/>
  <c r="KR1332" i="191" s="1"/>
  <c r="KL1346" i="191"/>
  <c r="KR1346" i="191" s="1"/>
  <c r="KL1329" i="191"/>
  <c r="KR1329" i="191" s="1"/>
  <c r="KL1321" i="191"/>
  <c r="KR1321" i="191" s="1"/>
  <c r="PI1343" i="191"/>
  <c r="PO1343" i="191" s="1"/>
  <c r="PI1326" i="191"/>
  <c r="PO1326" i="191" s="1"/>
  <c r="PI1339" i="191"/>
  <c r="PO1339" i="191" s="1"/>
  <c r="PI1320" i="191"/>
  <c r="PO1320" i="191" s="1"/>
  <c r="PI1342" i="191"/>
  <c r="PO1342" i="191" s="1"/>
  <c r="PI1322" i="191"/>
  <c r="PO1322" i="191" s="1"/>
  <c r="PI1331" i="191"/>
  <c r="PO1331" i="191" s="1"/>
  <c r="PI1344" i="191"/>
  <c r="PO1344" i="191" s="1"/>
  <c r="SM1319" i="191"/>
  <c r="SS1319" i="191" s="1"/>
  <c r="SM1329" i="191"/>
  <c r="SS1329" i="191" s="1"/>
  <c r="SM1345" i="191"/>
  <c r="SS1345" i="191" s="1"/>
  <c r="SM1333" i="191"/>
  <c r="SS1333" i="191" s="1"/>
  <c r="SM1340" i="191"/>
  <c r="SS1340" i="191" s="1"/>
  <c r="SM1334" i="191"/>
  <c r="SS1334" i="191" s="1"/>
  <c r="SM1343" i="191"/>
  <c r="SS1343" i="191" s="1"/>
  <c r="SM1342" i="191"/>
  <c r="SS1342" i="191" s="1"/>
  <c r="SM1326" i="191"/>
  <c r="SS1326" i="191" s="1"/>
  <c r="SM1341" i="191"/>
  <c r="SS1341" i="191" s="1"/>
  <c r="SM1320" i="191"/>
  <c r="SS1320" i="191" s="1"/>
  <c r="SM1336" i="191"/>
  <c r="SS1336" i="191" s="1"/>
  <c r="DD1340" i="191"/>
  <c r="DJ1340" i="191" s="1"/>
  <c r="DD1321" i="191"/>
  <c r="DJ1321" i="191" s="1"/>
  <c r="DD1329" i="191"/>
  <c r="DJ1329" i="191" s="1"/>
  <c r="DD1324" i="191"/>
  <c r="DJ1324" i="191" s="1"/>
  <c r="DD1333" i="191"/>
  <c r="DJ1333" i="191" s="1"/>
  <c r="DD1325" i="191"/>
  <c r="DJ1325" i="191" s="1"/>
  <c r="DD1334" i="191"/>
  <c r="DJ1334" i="191" s="1"/>
  <c r="DD1322" i="191"/>
  <c r="DJ1322" i="191" s="1"/>
  <c r="DD1323" i="191"/>
  <c r="DJ1323" i="191" s="1"/>
  <c r="DD1336" i="191"/>
  <c r="DJ1336" i="191" s="1"/>
  <c r="DD1330" i="191"/>
  <c r="DJ1330" i="191" s="1"/>
  <c r="DD1326" i="191"/>
  <c r="DJ1326" i="191" s="1"/>
  <c r="YY1323" i="191"/>
  <c r="ZE1323" i="191" s="1"/>
  <c r="YY1339" i="191"/>
  <c r="ZE1339" i="191" s="1"/>
  <c r="YY1329" i="191"/>
  <c r="ZE1329" i="191" s="1"/>
  <c r="YY1333" i="191"/>
  <c r="ZE1333" i="191" s="1"/>
  <c r="YY1324" i="191"/>
  <c r="ZE1324" i="191" s="1"/>
  <c r="YY1331" i="191"/>
  <c r="ZE1331" i="191" s="1"/>
  <c r="YY1343" i="191"/>
  <c r="ZE1343" i="191" s="1"/>
  <c r="YY1325" i="191"/>
  <c r="ZE1325" i="191" s="1"/>
  <c r="YY1322" i="191"/>
  <c r="ZE1322" i="191" s="1"/>
  <c r="YY1341" i="191"/>
  <c r="ZE1341" i="191" s="1"/>
  <c r="YY1336" i="191"/>
  <c r="ZE1336" i="191" s="1"/>
  <c r="YY1330" i="191"/>
  <c r="ZE1330" i="191" s="1"/>
  <c r="HZ1320" i="191"/>
  <c r="IF1320" i="191" s="1"/>
  <c r="WP1320" i="191"/>
  <c r="WV1320" i="191" s="1"/>
  <c r="WP1344" i="191"/>
  <c r="WV1344" i="191" s="1"/>
  <c r="WP1326" i="191"/>
  <c r="WV1326" i="191" s="1"/>
  <c r="WP1342" i="191"/>
  <c r="WV1342" i="191" s="1"/>
  <c r="WP1329" i="191"/>
  <c r="WV1329" i="191" s="1"/>
  <c r="UX1321" i="191"/>
  <c r="VD1321" i="191" s="1"/>
  <c r="UX1319" i="191"/>
  <c r="VD1319" i="191" s="1"/>
  <c r="UX1345" i="191"/>
  <c r="VD1345" i="191" s="1"/>
  <c r="UX1335" i="191"/>
  <c r="VD1335" i="191" s="1"/>
  <c r="UX1322" i="191"/>
  <c r="VD1322" i="191" s="1"/>
  <c r="UX1332" i="191"/>
  <c r="VD1332" i="191" s="1"/>
  <c r="UX1336" i="191"/>
  <c r="VD1336" i="191" s="1"/>
  <c r="MV1321" i="191"/>
  <c r="NB1321" i="191" s="1"/>
  <c r="MV1319" i="191"/>
  <c r="NB1319" i="191" s="1"/>
  <c r="MV1324" i="191"/>
  <c r="NB1324" i="191" s="1"/>
  <c r="MV1335" i="191"/>
  <c r="NB1335" i="191" s="1"/>
  <c r="MV1333" i="191"/>
  <c r="NB1333" i="191" s="1"/>
  <c r="MV1340" i="191"/>
  <c r="NB1340" i="191" s="1"/>
  <c r="MV1342" i="191"/>
  <c r="NB1342" i="191" s="1"/>
  <c r="MV1343" i="191"/>
  <c r="NB1343" i="191" s="1"/>
  <c r="MV1330" i="191"/>
  <c r="NB1330" i="191" s="1"/>
  <c r="MV1336" i="191"/>
  <c r="NB1336" i="191" s="1"/>
  <c r="MV1341" i="191"/>
  <c r="NB1341" i="191" s="1"/>
  <c r="MV1320" i="191"/>
  <c r="NB1320" i="191" s="1"/>
  <c r="QW1321" i="191"/>
  <c r="RC1321" i="191" s="1"/>
  <c r="QW1329" i="191"/>
  <c r="RC1329" i="191" s="1"/>
  <c r="QW1344" i="191"/>
  <c r="RC1344" i="191" s="1"/>
  <c r="QW1345" i="191"/>
  <c r="RC1345" i="191" s="1"/>
  <c r="QW1325" i="191"/>
  <c r="RC1325" i="191" s="1"/>
  <c r="QW1322" i="191"/>
  <c r="RC1322" i="191" s="1"/>
  <c r="QW1340" i="191"/>
  <c r="RC1340" i="191" s="1"/>
  <c r="QW1343" i="191"/>
  <c r="RC1343" i="191" s="1"/>
  <c r="QW1332" i="191"/>
  <c r="RC1332" i="191" s="1"/>
  <c r="QW1326" i="191"/>
  <c r="RC1326" i="191" s="1"/>
  <c r="QW1341" i="191"/>
  <c r="RC1341" i="191" s="1"/>
  <c r="QW1320" i="191"/>
  <c r="RC1320" i="191" s="1"/>
  <c r="RR1339" i="191"/>
  <c r="RX1339" i="191" s="1"/>
  <c r="RR1321" i="191"/>
  <c r="RX1321" i="191" s="1"/>
  <c r="RR1344" i="191"/>
  <c r="RX1344" i="191" s="1"/>
  <c r="RR1335" i="191"/>
  <c r="RX1335" i="191" s="1"/>
  <c r="RR1324" i="191"/>
  <c r="RX1324" i="191" s="1"/>
  <c r="RR1322" i="191"/>
  <c r="RX1322" i="191" s="1"/>
  <c r="RR1334" i="191"/>
  <c r="RX1334" i="191" s="1"/>
  <c r="RR1342" i="191"/>
  <c r="RX1342" i="191" s="1"/>
  <c r="RR1323" i="191"/>
  <c r="RX1323" i="191" s="1"/>
  <c r="RR1330" i="191"/>
  <c r="RX1330" i="191" s="1"/>
  <c r="RR1341" i="191"/>
  <c r="RX1341" i="191" s="1"/>
  <c r="RR1320" i="191"/>
  <c r="RX1320" i="191" s="1"/>
  <c r="Y1334" i="191"/>
  <c r="AE1334" i="191" s="1"/>
  <c r="Y1322" i="191"/>
  <c r="AE1322" i="191" s="1"/>
  <c r="Y1335" i="191"/>
  <c r="AE1335" i="191" s="1"/>
  <c r="Y1342" i="191"/>
  <c r="AE1342" i="191" s="1"/>
  <c r="BO1345" i="191"/>
  <c r="BU1345" i="191" s="1"/>
  <c r="BO1321" i="191"/>
  <c r="BU1321" i="191" s="1"/>
  <c r="BO1334" i="191"/>
  <c r="BU1334" i="191" s="1"/>
  <c r="BO1326" i="191"/>
  <c r="BU1326" i="191" s="1"/>
  <c r="HZ1321" i="191"/>
  <c r="IF1321" i="191" s="1"/>
  <c r="HZ1319" i="191"/>
  <c r="IF1319" i="191" s="1"/>
  <c r="HZ1325" i="191"/>
  <c r="IF1325" i="191" s="1"/>
  <c r="HZ1326" i="191"/>
  <c r="IF1326" i="191" s="1"/>
  <c r="XI1341" i="191"/>
  <c r="XO1341" i="191" s="1"/>
  <c r="XI1319" i="191"/>
  <c r="XO1319" i="191" s="1"/>
  <c r="XI1324" i="191"/>
  <c r="XO1324" i="191" s="1"/>
  <c r="XI1335" i="191"/>
  <c r="XO1335" i="191" s="1"/>
  <c r="XI1340" i="191"/>
  <c r="XO1340" i="191" s="1"/>
  <c r="XI1332" i="191"/>
  <c r="XO1332" i="191" s="1"/>
  <c r="XI1330" i="191"/>
  <c r="XO1330" i="191" s="1"/>
  <c r="YD1321" i="191"/>
  <c r="YJ1321" i="191" s="1"/>
  <c r="YD1319" i="191"/>
  <c r="YJ1319" i="191" s="1"/>
  <c r="YD1333" i="191"/>
  <c r="YJ1333" i="191" s="1"/>
  <c r="YD1340" i="191"/>
  <c r="YJ1340" i="191" s="1"/>
  <c r="YD1342" i="191"/>
  <c r="YJ1342" i="191" s="1"/>
  <c r="YD1332" i="191"/>
  <c r="YJ1332" i="191" s="1"/>
  <c r="YD1326" i="191"/>
  <c r="YJ1326" i="191" s="1"/>
  <c r="VS1329" i="191"/>
  <c r="VY1329" i="191" s="1"/>
  <c r="VS1319" i="191"/>
  <c r="VY1319" i="191" s="1"/>
  <c r="VS1324" i="191"/>
  <c r="VY1324" i="191" s="1"/>
  <c r="VS1325" i="191"/>
  <c r="VY1325" i="191" s="1"/>
  <c r="VS1342" i="191"/>
  <c r="VY1342" i="191" s="1"/>
  <c r="VS1332" i="191"/>
  <c r="VY1332" i="191" s="1"/>
  <c r="VS1323" i="191"/>
  <c r="VY1323" i="191" s="1"/>
  <c r="WP1346" i="191"/>
  <c r="WV1346" i="191" s="1"/>
  <c r="WP1339" i="191"/>
  <c r="WV1339" i="191" s="1"/>
  <c r="WP1334" i="191"/>
  <c r="WV1334" i="191" s="1"/>
  <c r="WP1322" i="191"/>
  <c r="WV1322" i="191" s="1"/>
  <c r="WP1336" i="191"/>
  <c r="WV1336" i="191" s="1"/>
  <c r="WP1341" i="191"/>
  <c r="WV1341" i="191" s="1"/>
  <c r="WP1325" i="191"/>
  <c r="WV1325" i="191" s="1"/>
  <c r="WP1321" i="191"/>
  <c r="WV1321" i="191" s="1"/>
  <c r="WP1343" i="191"/>
  <c r="WV1343" i="191" s="1"/>
  <c r="WP1333" i="191"/>
  <c r="WV1333" i="191" s="1"/>
  <c r="WP1332" i="191"/>
  <c r="WV1332" i="191" s="1"/>
  <c r="WP1340" i="191"/>
  <c r="WV1340" i="191" s="1"/>
  <c r="OL1319" i="191"/>
  <c r="OR1319" i="191" s="1"/>
  <c r="OL1339" i="191"/>
  <c r="OR1339" i="191" s="1"/>
  <c r="OL1345" i="191"/>
  <c r="OR1345" i="191" s="1"/>
  <c r="OL1344" i="191"/>
  <c r="OR1344" i="191" s="1"/>
  <c r="OL1335" i="191"/>
  <c r="OR1335" i="191" s="1"/>
  <c r="OL1331" i="191"/>
  <c r="OR1331" i="191" s="1"/>
  <c r="OL1340" i="191"/>
  <c r="OR1340" i="191" s="1"/>
  <c r="OL1343" i="191"/>
  <c r="OR1343" i="191" s="1"/>
  <c r="OL1332" i="191"/>
  <c r="OR1332" i="191" s="1"/>
  <c r="OL1341" i="191"/>
  <c r="OR1341" i="191" s="1"/>
  <c r="OL1336" i="191"/>
  <c r="OR1336" i="191" s="1"/>
  <c r="OL1330" i="191"/>
  <c r="OR1330" i="191" s="1"/>
  <c r="FP1324" i="191"/>
  <c r="FV1324" i="191" s="1"/>
  <c r="FP1331" i="191"/>
  <c r="FV1331" i="191" s="1"/>
  <c r="FP1329" i="191"/>
  <c r="FV1329" i="191" s="1"/>
  <c r="FP1339" i="191"/>
  <c r="FV1339" i="191" s="1"/>
  <c r="FP1326" i="191"/>
  <c r="FV1326" i="191" s="1"/>
  <c r="FP1323" i="191"/>
  <c r="FV1323" i="191" s="1"/>
  <c r="SN1335" i="191"/>
  <c r="ST1335" i="191" s="1"/>
  <c r="SN1334" i="191"/>
  <c r="ST1334" i="191" s="1"/>
  <c r="SN1324" i="191"/>
  <c r="ST1324" i="191" s="1"/>
  <c r="SN1344" i="191"/>
  <c r="ST1344" i="191" s="1"/>
  <c r="SN1325" i="191"/>
  <c r="ST1325" i="191" s="1"/>
  <c r="SN1346" i="191"/>
  <c r="ST1346" i="191" s="1"/>
  <c r="SN1340" i="191"/>
  <c r="ST1340" i="191" s="1"/>
  <c r="EV1319" i="191"/>
  <c r="FB1319" i="191" s="1"/>
  <c r="EV1335" i="191"/>
  <c r="FB1335" i="191" s="1"/>
  <c r="EV1322" i="191"/>
  <c r="FB1322" i="191" s="1"/>
  <c r="EV1342" i="191"/>
  <c r="FB1342" i="191" s="1"/>
  <c r="OM1324" i="191"/>
  <c r="OS1324" i="191" s="1"/>
  <c r="OM1345" i="191"/>
  <c r="OS1345" i="191" s="1"/>
  <c r="OM1333" i="191"/>
  <c r="OS1333" i="191" s="1"/>
  <c r="OM1335" i="191"/>
  <c r="OS1335" i="191" s="1"/>
  <c r="OM1323" i="191"/>
  <c r="OS1323" i="191" s="1"/>
  <c r="OM1332" i="191"/>
  <c r="OS1332" i="191" s="1"/>
  <c r="OM1342" i="191"/>
  <c r="OS1342" i="191" s="1"/>
  <c r="GL1319" i="191"/>
  <c r="GR1319" i="191" s="1"/>
  <c r="GL1329" i="191"/>
  <c r="GR1329" i="191" s="1"/>
  <c r="GL1334" i="191"/>
  <c r="GR1334" i="191" s="1"/>
  <c r="GL1343" i="191"/>
  <c r="GR1343" i="191" s="1"/>
  <c r="GL1323" i="191"/>
  <c r="GR1323" i="191" s="1"/>
  <c r="GL1330" i="191"/>
  <c r="GR1330" i="191" s="1"/>
  <c r="GL1340" i="191"/>
  <c r="GR1340" i="191" s="1"/>
  <c r="FO1340" i="191"/>
  <c r="FU1340" i="191" s="1"/>
  <c r="FO1321" i="191"/>
  <c r="FU1321" i="191" s="1"/>
  <c r="FO1345" i="191"/>
  <c r="FU1345" i="191" s="1"/>
  <c r="FO1335" i="191"/>
  <c r="FU1335" i="191" s="1"/>
  <c r="FO1343" i="191"/>
  <c r="FU1343" i="191" s="1"/>
  <c r="FO1323" i="191"/>
  <c r="FU1323" i="191" s="1"/>
  <c r="FO1320" i="191"/>
  <c r="FU1320" i="191" s="1"/>
  <c r="EA1319" i="191"/>
  <c r="EG1319" i="191" s="1"/>
  <c r="EA1321" i="191"/>
  <c r="EG1321" i="191" s="1"/>
  <c r="EA1331" i="191"/>
  <c r="EG1331" i="191" s="1"/>
  <c r="EA1344" i="191"/>
  <c r="EG1344" i="191" s="1"/>
  <c r="EA1330" i="191"/>
  <c r="EG1330" i="191" s="1"/>
  <c r="EA1323" i="191"/>
  <c r="EG1323" i="191" s="1"/>
  <c r="EA1336" i="191"/>
  <c r="EG1336" i="191" s="1"/>
  <c r="UE1319" i="191"/>
  <c r="UK1319" i="191" s="1"/>
  <c r="UE1329" i="191"/>
  <c r="UK1329" i="191" s="1"/>
  <c r="UE1334" i="191"/>
  <c r="UK1334" i="191" s="1"/>
  <c r="UE1335" i="191"/>
  <c r="UK1335" i="191" s="1"/>
  <c r="UE1323" i="191"/>
  <c r="UK1323" i="191" s="1"/>
  <c r="UE1340" i="191"/>
  <c r="UK1340" i="191" s="1"/>
  <c r="UE1341" i="191"/>
  <c r="UK1341" i="191" s="1"/>
  <c r="TI1324" i="191"/>
  <c r="TO1324" i="191" s="1"/>
  <c r="TI1331" i="191"/>
  <c r="TO1331" i="191" s="1"/>
  <c r="TI1334" i="191"/>
  <c r="TO1334" i="191" s="1"/>
  <c r="TI1322" i="191"/>
  <c r="TO1322" i="191" s="1"/>
  <c r="TI1330" i="191"/>
  <c r="TO1330" i="191" s="1"/>
  <c r="TI1341" i="191"/>
  <c r="TO1341" i="191" s="1"/>
  <c r="TI1326" i="191"/>
  <c r="TO1326" i="191" s="1"/>
  <c r="VT1319" i="191"/>
  <c r="VZ1319" i="191" s="1"/>
  <c r="VT1324" i="191"/>
  <c r="VZ1324" i="191" s="1"/>
  <c r="VT1345" i="191"/>
  <c r="VZ1345" i="191" s="1"/>
  <c r="VT1334" i="191"/>
  <c r="VZ1334" i="191" s="1"/>
  <c r="VT1346" i="191"/>
  <c r="VZ1346" i="191" s="1"/>
  <c r="VT1330" i="191"/>
  <c r="VZ1330" i="191" s="1"/>
  <c r="VT1326" i="191"/>
  <c r="VZ1326" i="191" s="1"/>
  <c r="KL1331" i="191"/>
  <c r="KR1331" i="191" s="1"/>
  <c r="PI1334" i="191"/>
  <c r="PO1334" i="191" s="1"/>
  <c r="JR1332" i="191"/>
  <c r="JX1332" i="191" s="1"/>
  <c r="JR1341" i="191"/>
  <c r="JX1341" i="191" s="1"/>
  <c r="JR1329" i="191"/>
  <c r="JX1329" i="191" s="1"/>
  <c r="JR1336" i="191"/>
  <c r="JX1336" i="191" s="1"/>
  <c r="JR1345" i="191"/>
  <c r="JX1345" i="191" s="1"/>
  <c r="JR1321" i="191"/>
  <c r="JX1321" i="191" s="1"/>
  <c r="JR1340" i="191"/>
  <c r="JX1340" i="191" s="1"/>
  <c r="JR1331" i="191"/>
  <c r="JX1331" i="191" s="1"/>
  <c r="JR1342" i="191"/>
  <c r="JX1342" i="191" s="1"/>
  <c r="JR1326" i="191"/>
  <c r="JX1326" i="191" s="1"/>
  <c r="JR1320" i="191"/>
  <c r="JX1320" i="191" s="1"/>
  <c r="JR1324" i="191"/>
  <c r="JX1324" i="191" s="1"/>
  <c r="JR1334" i="191"/>
  <c r="JX1334" i="191" s="1"/>
  <c r="JR1333" i="191"/>
  <c r="JX1333" i="191" s="1"/>
  <c r="JR1319" i="191"/>
  <c r="JX1319" i="191" s="1"/>
  <c r="JR1346" i="191"/>
  <c r="JX1346" i="191" s="1"/>
  <c r="JR1322" i="191"/>
  <c r="JX1322" i="191" s="1"/>
  <c r="JR1335" i="191"/>
  <c r="JX1335" i="191" s="1"/>
  <c r="JR1339" i="191"/>
  <c r="JX1339" i="191" s="1"/>
  <c r="JR1323" i="191"/>
  <c r="JX1323" i="191" s="1"/>
  <c r="IV1334" i="191"/>
  <c r="JB1334" i="191" s="1"/>
  <c r="YZ1332" i="191"/>
  <c r="ZF1332" i="191" s="1"/>
  <c r="IA1342" i="191"/>
  <c r="IG1342" i="191" s="1"/>
  <c r="IA1341" i="191"/>
  <c r="IG1341" i="191" s="1"/>
  <c r="IA1326" i="191"/>
  <c r="IG1326" i="191" s="1"/>
  <c r="IA1323" i="191"/>
  <c r="IG1323" i="191" s="1"/>
  <c r="IA1325" i="191"/>
  <c r="IG1325" i="191" s="1"/>
  <c r="IA1346" i="191"/>
  <c r="IG1346" i="191" s="1"/>
  <c r="IA1334" i="191"/>
  <c r="IG1334" i="191" s="1"/>
  <c r="IA1343" i="191"/>
  <c r="IG1343" i="191" s="1"/>
  <c r="IA1322" i="191"/>
  <c r="IG1322" i="191" s="1"/>
  <c r="IA1339" i="191"/>
  <c r="IG1339" i="191" s="1"/>
  <c r="IA1331" i="191"/>
  <c r="IG1331" i="191" s="1"/>
  <c r="HD1362" i="191"/>
  <c r="HJ1362" i="191" s="1"/>
  <c r="HD1363" i="191"/>
  <c r="HJ1363" i="191" s="1"/>
  <c r="YZ1336" i="191"/>
  <c r="ZF1336" i="191" s="1"/>
  <c r="KL1344" i="191"/>
  <c r="KR1344" i="191" s="1"/>
  <c r="KL1330" i="191"/>
  <c r="KR1330" i="191" s="1"/>
  <c r="KL1325" i="191"/>
  <c r="KR1325" i="191" s="1"/>
  <c r="PI1329" i="191"/>
  <c r="PO1329" i="191" s="1"/>
  <c r="PI1330" i="191"/>
  <c r="PO1330" i="191" s="1"/>
  <c r="PI1332" i="191"/>
  <c r="PO1332" i="191" s="1"/>
  <c r="KL1319" i="191"/>
  <c r="KR1319" i="191" s="1"/>
  <c r="KL1343" i="191"/>
  <c r="KR1343" i="191" s="1"/>
  <c r="PI1333" i="191"/>
  <c r="PO1333" i="191" s="1"/>
  <c r="KL1320" i="191"/>
  <c r="KR1320" i="191" s="1"/>
  <c r="PI1340" i="191"/>
  <c r="PO1340" i="191" s="1"/>
  <c r="PI1324" i="191"/>
  <c r="PO1324" i="191" s="1"/>
  <c r="XQ1318" i="191"/>
  <c r="XQ1328" i="191"/>
  <c r="ON1342" i="191"/>
  <c r="OT1342" i="191" s="1"/>
  <c r="KL1340" i="191"/>
  <c r="KR1340" i="191" s="1"/>
  <c r="KL1324" i="191"/>
  <c r="KR1324" i="191" s="1"/>
  <c r="KL1334" i="191"/>
  <c r="KR1334" i="191" s="1"/>
  <c r="PI1341" i="191"/>
  <c r="PO1341" i="191" s="1"/>
  <c r="PI1336" i="191"/>
  <c r="PO1336" i="191" s="1"/>
  <c r="HZ1341" i="191"/>
  <c r="IF1341" i="191" s="1"/>
  <c r="HZ1346" i="191"/>
  <c r="IF1346" i="191" s="1"/>
  <c r="HZ1343" i="191"/>
  <c r="IF1343" i="191" s="1"/>
  <c r="HZ1340" i="191"/>
  <c r="IF1340" i="191" s="1"/>
  <c r="HZ1324" i="191"/>
  <c r="IF1324" i="191" s="1"/>
  <c r="HZ1339" i="191"/>
  <c r="IF1339" i="191" s="1"/>
  <c r="DY1329" i="191"/>
  <c r="EE1329" i="191" s="1"/>
  <c r="CI1346" i="191"/>
  <c r="CO1346" i="191" s="1"/>
  <c r="CI1336" i="191"/>
  <c r="CO1336" i="191" s="1"/>
  <c r="CI1326" i="191"/>
  <c r="CO1326" i="191" s="1"/>
  <c r="CI1330" i="191"/>
  <c r="CO1330" i="191" s="1"/>
  <c r="CI1343" i="191"/>
  <c r="CO1343" i="191" s="1"/>
  <c r="CI1325" i="191"/>
  <c r="CO1325" i="191" s="1"/>
  <c r="CI1322" i="191"/>
  <c r="CO1322" i="191" s="1"/>
  <c r="CI1333" i="191"/>
  <c r="CO1333" i="191" s="1"/>
  <c r="CI1345" i="191"/>
  <c r="CO1345" i="191" s="1"/>
  <c r="CI1344" i="191"/>
  <c r="CO1344" i="191" s="1"/>
  <c r="CI1329" i="191"/>
  <c r="CO1329" i="191" s="1"/>
  <c r="IV1336" i="191"/>
  <c r="JB1336" i="191" s="1"/>
  <c r="IV1322" i="191"/>
  <c r="JB1322" i="191" s="1"/>
  <c r="IV1320" i="191"/>
  <c r="JB1320" i="191" s="1"/>
  <c r="IV1330" i="191"/>
  <c r="JB1330" i="191" s="1"/>
  <c r="IV1344" i="191"/>
  <c r="JB1344" i="191" s="1"/>
  <c r="IV1319" i="191"/>
  <c r="JB1319" i="191" s="1"/>
  <c r="QI1328" i="191"/>
  <c r="EV1336" i="191"/>
  <c r="FB1336" i="191" s="1"/>
  <c r="EV1323" i="191"/>
  <c r="FB1323" i="191" s="1"/>
  <c r="EV1326" i="191"/>
  <c r="FB1326" i="191" s="1"/>
  <c r="EV1344" i="191"/>
  <c r="FB1344" i="191" s="1"/>
  <c r="EV1343" i="191"/>
  <c r="FB1343" i="191" s="1"/>
  <c r="EV1329" i="191"/>
  <c r="FB1329" i="191" s="1"/>
  <c r="AU1346" i="191"/>
  <c r="BA1346" i="191" s="1"/>
  <c r="AU1341" i="191"/>
  <c r="BA1341" i="191" s="1"/>
  <c r="AU1332" i="191"/>
  <c r="BA1332" i="191" s="1"/>
  <c r="AU1340" i="191"/>
  <c r="BA1340" i="191" s="1"/>
  <c r="AU1325" i="191"/>
  <c r="BA1325" i="191" s="1"/>
  <c r="AU1323" i="191"/>
  <c r="BA1323" i="191" s="1"/>
  <c r="AU1324" i="191"/>
  <c r="BA1324" i="191" s="1"/>
  <c r="AU1344" i="191"/>
  <c r="BA1344" i="191" s="1"/>
  <c r="AU1335" i="191"/>
  <c r="BA1335" i="191" s="1"/>
  <c r="AU1321" i="191"/>
  <c r="BA1321" i="191" s="1"/>
  <c r="AU1334" i="191"/>
  <c r="BA1334" i="191" s="1"/>
  <c r="FP1340" i="191"/>
  <c r="FV1340" i="191" s="1"/>
  <c r="FP1332" i="191"/>
  <c r="FV1332" i="191" s="1"/>
  <c r="FP1325" i="191"/>
  <c r="FV1325" i="191" s="1"/>
  <c r="FP1330" i="191"/>
  <c r="FV1330" i="191" s="1"/>
  <c r="FP1341" i="191"/>
  <c r="FV1341" i="191" s="1"/>
  <c r="FP1346" i="191"/>
  <c r="FV1346" i="191" s="1"/>
  <c r="FP1333" i="191"/>
  <c r="FV1333" i="191" s="1"/>
  <c r="FP1321" i="191"/>
  <c r="FV1321" i="191" s="1"/>
  <c r="FP1322" i="191"/>
  <c r="FV1322" i="191" s="1"/>
  <c r="FP1334" i="191"/>
  <c r="FV1334" i="191" s="1"/>
  <c r="FP1344" i="191"/>
  <c r="FV1344" i="191" s="1"/>
  <c r="SN1342" i="191"/>
  <c r="ST1342" i="191" s="1"/>
  <c r="SN1336" i="191"/>
  <c r="ST1336" i="191" s="1"/>
  <c r="SN1330" i="191"/>
  <c r="ST1330" i="191" s="1"/>
  <c r="SN1341" i="191"/>
  <c r="ST1341" i="191" s="1"/>
  <c r="SN1320" i="191"/>
  <c r="ST1320" i="191" s="1"/>
  <c r="SN1323" i="191"/>
  <c r="ST1323" i="191" s="1"/>
  <c r="SN1339" i="191"/>
  <c r="ST1339" i="191" s="1"/>
  <c r="SN1321" i="191"/>
  <c r="ST1321" i="191" s="1"/>
  <c r="SN1345" i="191"/>
  <c r="ST1345" i="191" s="1"/>
  <c r="SN1333" i="191"/>
  <c r="ST1333" i="191" s="1"/>
  <c r="SN1329" i="191"/>
  <c r="ST1329" i="191" s="1"/>
  <c r="TI1336" i="191"/>
  <c r="TO1336" i="191" s="1"/>
  <c r="TI1325" i="191"/>
  <c r="TO1325" i="191" s="1"/>
  <c r="TI1340" i="191"/>
  <c r="TO1340" i="191" s="1"/>
  <c r="TI1332" i="191"/>
  <c r="TO1332" i="191" s="1"/>
  <c r="TI1323" i="191"/>
  <c r="TO1323" i="191" s="1"/>
  <c r="TI1346" i="191"/>
  <c r="TO1346" i="191" s="1"/>
  <c r="TI1333" i="191"/>
  <c r="TO1333" i="191" s="1"/>
  <c r="TI1335" i="191"/>
  <c r="TO1335" i="191" s="1"/>
  <c r="TI1329" i="191"/>
  <c r="TO1329" i="191" s="1"/>
  <c r="TI1339" i="191"/>
  <c r="TO1339" i="191" s="1"/>
  <c r="TI1321" i="191"/>
  <c r="TO1321" i="191" s="1"/>
  <c r="OM1346" i="191"/>
  <c r="OS1346" i="191" s="1"/>
  <c r="OM1340" i="191"/>
  <c r="OS1340" i="191" s="1"/>
  <c r="OM1341" i="191"/>
  <c r="OS1341" i="191" s="1"/>
  <c r="OM1326" i="191"/>
  <c r="OS1326" i="191" s="1"/>
  <c r="OM1325" i="191"/>
  <c r="OS1325" i="191" s="1"/>
  <c r="OM1330" i="191"/>
  <c r="OS1330" i="191" s="1"/>
  <c r="OM1329" i="191"/>
  <c r="OS1329" i="191" s="1"/>
  <c r="OM1339" i="191"/>
  <c r="OS1339" i="191" s="1"/>
  <c r="OM1321" i="191"/>
  <c r="OS1321" i="191" s="1"/>
  <c r="OM1322" i="191"/>
  <c r="OS1322" i="191" s="1"/>
  <c r="OM1331" i="191"/>
  <c r="OS1331" i="191" s="1"/>
  <c r="NQ1320" i="191"/>
  <c r="NW1320" i="191" s="1"/>
  <c r="NQ1330" i="191"/>
  <c r="NW1330" i="191" s="1"/>
  <c r="NQ1341" i="191"/>
  <c r="NW1341" i="191" s="1"/>
  <c r="NQ1326" i="191"/>
  <c r="NW1326" i="191" s="1"/>
  <c r="NQ1342" i="191"/>
  <c r="NW1342" i="191" s="1"/>
  <c r="NQ1334" i="191"/>
  <c r="NW1334" i="191" s="1"/>
  <c r="NQ1325" i="191"/>
  <c r="NW1325" i="191" s="1"/>
  <c r="NQ1333" i="191"/>
  <c r="NW1333" i="191" s="1"/>
  <c r="NQ1345" i="191"/>
  <c r="NW1345" i="191" s="1"/>
  <c r="NQ1344" i="191"/>
  <c r="NW1344" i="191" s="1"/>
  <c r="NQ1339" i="191"/>
  <c r="NW1339" i="191" s="1"/>
  <c r="YZ1330" i="191"/>
  <c r="ZF1330" i="191" s="1"/>
  <c r="YZ1329" i="191"/>
  <c r="ZF1329" i="191" s="1"/>
  <c r="YZ1321" i="191"/>
  <c r="ZF1321" i="191" s="1"/>
  <c r="UE1342" i="191"/>
  <c r="UK1342" i="191" s="1"/>
  <c r="UE1330" i="191"/>
  <c r="UK1330" i="191" s="1"/>
  <c r="UE1320" i="191"/>
  <c r="UK1320" i="191" s="1"/>
  <c r="UE1336" i="191"/>
  <c r="UK1336" i="191" s="1"/>
  <c r="UE1346" i="191"/>
  <c r="UK1346" i="191" s="1"/>
  <c r="UE1322" i="191"/>
  <c r="UK1322" i="191" s="1"/>
  <c r="UE1324" i="191"/>
  <c r="UK1324" i="191" s="1"/>
  <c r="UE1339" i="191"/>
  <c r="UK1339" i="191" s="1"/>
  <c r="UE1344" i="191"/>
  <c r="UK1344" i="191" s="1"/>
  <c r="UE1343" i="191"/>
  <c r="UK1343" i="191" s="1"/>
  <c r="UE1333" i="191"/>
  <c r="UK1333" i="191" s="1"/>
  <c r="GL1320" i="191"/>
  <c r="GR1320" i="191" s="1"/>
  <c r="GL1325" i="191"/>
  <c r="GR1325" i="191" s="1"/>
  <c r="GL1342" i="191"/>
  <c r="GR1342" i="191" s="1"/>
  <c r="GL1336" i="191"/>
  <c r="GR1336" i="191" s="1"/>
  <c r="GL1341" i="191"/>
  <c r="GR1341" i="191" s="1"/>
  <c r="GL1324" i="191"/>
  <c r="GR1324" i="191" s="1"/>
  <c r="GL1345" i="191"/>
  <c r="GR1345" i="191" s="1"/>
  <c r="GL1339" i="191"/>
  <c r="GR1339" i="191" s="1"/>
  <c r="GL1344" i="191"/>
  <c r="GR1344" i="191" s="1"/>
  <c r="GL1331" i="191"/>
  <c r="GR1331" i="191" s="1"/>
  <c r="GL1333" i="191"/>
  <c r="GR1333" i="191" s="1"/>
  <c r="Y1323" i="191"/>
  <c r="AE1323" i="191" s="1"/>
  <c r="Y1332" i="191"/>
  <c r="AE1332" i="191" s="1"/>
  <c r="Y1343" i="191"/>
  <c r="AE1343" i="191" s="1"/>
  <c r="Y1344" i="191"/>
  <c r="AE1344" i="191" s="1"/>
  <c r="Y1324" i="191"/>
  <c r="AE1324" i="191" s="1"/>
  <c r="Y1319" i="191"/>
  <c r="AE1319" i="191" s="1"/>
  <c r="BO1341" i="191"/>
  <c r="BU1341" i="191" s="1"/>
  <c r="BO1325" i="191"/>
  <c r="BU1325" i="191" s="1"/>
  <c r="BO1333" i="191"/>
  <c r="BU1333" i="191" s="1"/>
  <c r="BO1324" i="191"/>
  <c r="BU1324" i="191" s="1"/>
  <c r="BO1339" i="191"/>
  <c r="BU1339" i="191" s="1"/>
  <c r="BO1319" i="191"/>
  <c r="BU1319" i="191" s="1"/>
  <c r="EV1340" i="191"/>
  <c r="FB1340" i="191" s="1"/>
  <c r="EV1346" i="191"/>
  <c r="FB1346" i="191" s="1"/>
  <c r="EV1341" i="191"/>
  <c r="FB1341" i="191" s="1"/>
  <c r="EV1330" i="191"/>
  <c r="FB1330" i="191" s="1"/>
  <c r="EV1325" i="191"/>
  <c r="FB1325" i="191" s="1"/>
  <c r="EV1324" i="191"/>
  <c r="FB1324" i="191" s="1"/>
  <c r="EV1345" i="191"/>
  <c r="FB1345" i="191" s="1"/>
  <c r="EV1339" i="191"/>
  <c r="FB1339" i="191" s="1"/>
  <c r="EV1334" i="191"/>
  <c r="FB1334" i="191" s="1"/>
  <c r="EV1331" i="191"/>
  <c r="FB1331" i="191" s="1"/>
  <c r="EV1333" i="191"/>
  <c r="FB1333" i="191" s="1"/>
  <c r="EA1320" i="191"/>
  <c r="EG1320" i="191" s="1"/>
  <c r="EA1346" i="191"/>
  <c r="EG1346" i="191" s="1"/>
  <c r="EA1341" i="191"/>
  <c r="EG1341" i="191" s="1"/>
  <c r="EA1340" i="191"/>
  <c r="EG1340" i="191" s="1"/>
  <c r="EA1326" i="191"/>
  <c r="EG1326" i="191" s="1"/>
  <c r="EA1324" i="191"/>
  <c r="EG1324" i="191" s="1"/>
  <c r="EA1345" i="191"/>
  <c r="EG1345" i="191" s="1"/>
  <c r="EA1343" i="191"/>
  <c r="EG1343" i="191" s="1"/>
  <c r="EA1334" i="191"/>
  <c r="EG1334" i="191" s="1"/>
  <c r="EA1335" i="191"/>
  <c r="EG1335" i="191" s="1"/>
  <c r="EA1339" i="191"/>
  <c r="EG1339" i="191" s="1"/>
  <c r="VT1341" i="191"/>
  <c r="VZ1341" i="191" s="1"/>
  <c r="VT1320" i="191"/>
  <c r="VZ1320" i="191" s="1"/>
  <c r="VT1323" i="191"/>
  <c r="VZ1323" i="191" s="1"/>
  <c r="VT1342" i="191"/>
  <c r="VZ1342" i="191" s="1"/>
  <c r="VT1332" i="191"/>
  <c r="VZ1332" i="191" s="1"/>
  <c r="VT1343" i="191"/>
  <c r="VZ1343" i="191" s="1"/>
  <c r="VT1329" i="191"/>
  <c r="VZ1329" i="191" s="1"/>
  <c r="VT1335" i="191"/>
  <c r="VZ1335" i="191" s="1"/>
  <c r="VT1331" i="191"/>
  <c r="VZ1331" i="191" s="1"/>
  <c r="VT1322" i="191"/>
  <c r="VZ1322" i="191" s="1"/>
  <c r="VT1344" i="191"/>
  <c r="VZ1344" i="191" s="1"/>
  <c r="FO1330" i="191"/>
  <c r="FU1330" i="191" s="1"/>
  <c r="FO1336" i="191"/>
  <c r="FU1336" i="191" s="1"/>
  <c r="FO1341" i="191"/>
  <c r="FU1341" i="191" s="1"/>
  <c r="FO1332" i="191"/>
  <c r="FU1332" i="191" s="1"/>
  <c r="FO1322" i="191"/>
  <c r="FU1322" i="191" s="1"/>
  <c r="FO1334" i="191"/>
  <c r="FU1334" i="191" s="1"/>
  <c r="FO1325" i="191"/>
  <c r="FU1325" i="191" s="1"/>
  <c r="FO1324" i="191"/>
  <c r="FU1324" i="191" s="1"/>
  <c r="FO1344" i="191"/>
  <c r="FU1344" i="191" s="1"/>
  <c r="FO1319" i="191"/>
  <c r="FU1319" i="191" s="1"/>
  <c r="FO1339" i="191"/>
  <c r="FU1339" i="191" s="1"/>
  <c r="UC1346" i="191"/>
  <c r="UI1346" i="191" s="1"/>
  <c r="UC1330" i="191"/>
  <c r="UI1330" i="191" s="1"/>
  <c r="UC1343" i="191"/>
  <c r="UI1343" i="191" s="1"/>
  <c r="UC1335" i="191"/>
  <c r="UI1335" i="191" s="1"/>
  <c r="UC1345" i="191"/>
  <c r="UI1345" i="191" s="1"/>
  <c r="UC1319" i="191"/>
  <c r="UI1319" i="191" s="1"/>
  <c r="XI1326" i="191"/>
  <c r="XO1326" i="191" s="1"/>
  <c r="XI1320" i="191"/>
  <c r="XO1320" i="191" s="1"/>
  <c r="XI1323" i="191"/>
  <c r="XO1323" i="191" s="1"/>
  <c r="XI1343" i="191"/>
  <c r="XO1343" i="191" s="1"/>
  <c r="XI1331" i="191"/>
  <c r="XO1331" i="191" s="1"/>
  <c r="XI1342" i="191"/>
  <c r="XO1342" i="191" s="1"/>
  <c r="XI1325" i="191"/>
  <c r="XO1325" i="191" s="1"/>
  <c r="XI1345" i="191"/>
  <c r="XO1345" i="191" s="1"/>
  <c r="XI1344" i="191"/>
  <c r="XO1344" i="191" s="1"/>
  <c r="XI1339" i="191"/>
  <c r="XO1339" i="191" s="1"/>
  <c r="XI1329" i="191"/>
  <c r="XO1329" i="191" s="1"/>
  <c r="YD1323" i="191"/>
  <c r="YJ1323" i="191" s="1"/>
  <c r="YD1320" i="191"/>
  <c r="YJ1320" i="191" s="1"/>
  <c r="YD1346" i="191"/>
  <c r="YJ1346" i="191" s="1"/>
  <c r="YD1330" i="191"/>
  <c r="YJ1330" i="191" s="1"/>
  <c r="YD1331" i="191"/>
  <c r="YJ1331" i="191" s="1"/>
  <c r="YD1322" i="191"/>
  <c r="YJ1322" i="191" s="1"/>
  <c r="YD1325" i="191"/>
  <c r="YJ1325" i="191" s="1"/>
  <c r="YD1344" i="191"/>
  <c r="YJ1344" i="191" s="1"/>
  <c r="YD1335" i="191"/>
  <c r="YJ1335" i="191" s="1"/>
  <c r="YD1345" i="191"/>
  <c r="YJ1345" i="191" s="1"/>
  <c r="YD1339" i="191"/>
  <c r="YJ1339" i="191" s="1"/>
  <c r="VS1341" i="191"/>
  <c r="VY1341" i="191" s="1"/>
  <c r="VS1326" i="191"/>
  <c r="VY1326" i="191" s="1"/>
  <c r="VS1336" i="191"/>
  <c r="VY1336" i="191" s="1"/>
  <c r="VS1330" i="191"/>
  <c r="VY1330" i="191" s="1"/>
  <c r="VS1334" i="191"/>
  <c r="VY1334" i="191" s="1"/>
  <c r="VS1343" i="191"/>
  <c r="VY1343" i="191" s="1"/>
  <c r="VS1331" i="191"/>
  <c r="VY1331" i="191" s="1"/>
  <c r="VS1335" i="191"/>
  <c r="VY1335" i="191" s="1"/>
  <c r="VS1344" i="191"/>
  <c r="VY1344" i="191" s="1"/>
  <c r="VS1345" i="191"/>
  <c r="VY1345" i="191" s="1"/>
  <c r="VS1339" i="191"/>
  <c r="VY1339" i="191" s="1"/>
  <c r="HZ1336" i="191"/>
  <c r="IF1336" i="191" s="1"/>
  <c r="HZ1323" i="191"/>
  <c r="IF1323" i="191" s="1"/>
  <c r="HZ1332" i="191"/>
  <c r="IF1332" i="191" s="1"/>
  <c r="HZ1330" i="191"/>
  <c r="IF1330" i="191" s="1"/>
  <c r="HZ1322" i="191"/>
  <c r="IF1322" i="191" s="1"/>
  <c r="HZ1334" i="191"/>
  <c r="IF1334" i="191" s="1"/>
  <c r="HZ1331" i="191"/>
  <c r="IF1331" i="191" s="1"/>
  <c r="HZ1335" i="191"/>
  <c r="IF1335" i="191" s="1"/>
  <c r="HZ1344" i="191"/>
  <c r="IF1344" i="191" s="1"/>
  <c r="HZ1345" i="191"/>
  <c r="IF1345" i="191" s="1"/>
  <c r="HZ1329" i="191"/>
  <c r="IF1329" i="191" s="1"/>
  <c r="DY1325" i="191"/>
  <c r="EE1325" i="191" s="1"/>
  <c r="ET1320" i="191"/>
  <c r="EZ1320" i="191" s="1"/>
  <c r="ET1321" i="191"/>
  <c r="EZ1321" i="191" s="1"/>
  <c r="YE1331" i="191"/>
  <c r="YK1331" i="191" s="1"/>
  <c r="IV1326" i="191"/>
  <c r="JB1326" i="191" s="1"/>
  <c r="IV1329" i="191"/>
  <c r="JB1329" i="191" s="1"/>
  <c r="IV1331" i="191"/>
  <c r="JB1331" i="191" s="1"/>
  <c r="IV1321" i="191"/>
  <c r="JB1321" i="191" s="1"/>
  <c r="IV1323" i="191"/>
  <c r="JB1323" i="191" s="1"/>
  <c r="IV1332" i="191"/>
  <c r="JB1332" i="191" s="1"/>
  <c r="IV1340" i="191"/>
  <c r="JB1340" i="191" s="1"/>
  <c r="IV1342" i="191"/>
  <c r="JB1342" i="191" s="1"/>
  <c r="IV1335" i="191"/>
  <c r="JB1335" i="191" s="1"/>
  <c r="IV1333" i="191"/>
  <c r="JB1333" i="191" s="1"/>
  <c r="IV1345" i="191"/>
  <c r="JB1345" i="191" s="1"/>
  <c r="YE1329" i="191"/>
  <c r="YK1329" i="191" s="1"/>
  <c r="YE1326" i="191"/>
  <c r="YK1326" i="191" s="1"/>
  <c r="YE1332" i="191"/>
  <c r="YK1332" i="191" s="1"/>
  <c r="YE1339" i="191"/>
  <c r="YK1339" i="191" s="1"/>
  <c r="YE1321" i="191"/>
  <c r="YK1321" i="191" s="1"/>
  <c r="YE1336" i="191"/>
  <c r="YK1336" i="191" s="1"/>
  <c r="YE1333" i="191"/>
  <c r="YK1333" i="191" s="1"/>
  <c r="YE1342" i="191"/>
  <c r="YK1342" i="191" s="1"/>
  <c r="YE1325" i="191"/>
  <c r="YK1325" i="191" s="1"/>
  <c r="YE1322" i="191"/>
  <c r="YK1322" i="191" s="1"/>
  <c r="ON1332" i="191"/>
  <c r="OT1332" i="191" s="1"/>
  <c r="ON1339" i="191"/>
  <c r="OT1339" i="191" s="1"/>
  <c r="ON1334" i="191"/>
  <c r="OT1334" i="191" s="1"/>
  <c r="QX1342" i="191"/>
  <c r="RD1342" i="191" s="1"/>
  <c r="YE1340" i="191"/>
  <c r="YK1340" i="191" s="1"/>
  <c r="YE1320" i="191"/>
  <c r="YK1320" i="191" s="1"/>
  <c r="YE1330" i="191"/>
  <c r="YK1330" i="191" s="1"/>
  <c r="YE1319" i="191"/>
  <c r="YK1319" i="191" s="1"/>
  <c r="YE1334" i="191"/>
  <c r="YK1334" i="191" s="1"/>
  <c r="YE1345" i="191"/>
  <c r="YK1345" i="191" s="1"/>
  <c r="YE1341" i="191"/>
  <c r="YK1341" i="191" s="1"/>
  <c r="YE1323" i="191"/>
  <c r="YK1323" i="191" s="1"/>
  <c r="YE1346" i="191"/>
  <c r="YK1346" i="191" s="1"/>
  <c r="YE1343" i="191"/>
  <c r="YK1343" i="191" s="1"/>
  <c r="YE1335" i="191"/>
  <c r="YK1335" i="191" s="1"/>
  <c r="ON1340" i="191"/>
  <c r="OT1340" i="191" s="1"/>
  <c r="ON1322" i="191"/>
  <c r="OT1322" i="191" s="1"/>
  <c r="ON1331" i="191"/>
  <c r="OT1331" i="191" s="1"/>
  <c r="ON1324" i="191"/>
  <c r="OT1324" i="191" s="1"/>
  <c r="QX1323" i="191"/>
  <c r="RD1323" i="191" s="1"/>
  <c r="ON1341" i="191"/>
  <c r="OT1341" i="191" s="1"/>
  <c r="ON1325" i="191"/>
  <c r="OT1325" i="191" s="1"/>
  <c r="ON1330" i="191"/>
  <c r="OT1330" i="191" s="1"/>
  <c r="ON1343" i="191"/>
  <c r="OT1343" i="191" s="1"/>
  <c r="ON1344" i="191"/>
  <c r="OT1344" i="191" s="1"/>
  <c r="ON1329" i="191"/>
  <c r="OT1329" i="191" s="1"/>
  <c r="ON1326" i="191"/>
  <c r="OT1326" i="191" s="1"/>
  <c r="ON1333" i="191"/>
  <c r="OT1333" i="191" s="1"/>
  <c r="QX1335" i="191"/>
  <c r="RD1335" i="191" s="1"/>
  <c r="TJ1323" i="191"/>
  <c r="TP1323" i="191" s="1"/>
  <c r="ON1346" i="191"/>
  <c r="OT1346" i="191" s="1"/>
  <c r="ON1336" i="191"/>
  <c r="OT1336" i="191" s="1"/>
  <c r="ON1323" i="191"/>
  <c r="OT1323" i="191" s="1"/>
  <c r="ON1345" i="191"/>
  <c r="OT1345" i="191" s="1"/>
  <c r="ON1321" i="191"/>
  <c r="OT1321" i="191" s="1"/>
  <c r="ON1319" i="191"/>
  <c r="OT1319" i="191" s="1"/>
  <c r="QX1336" i="191"/>
  <c r="RD1336" i="191" s="1"/>
  <c r="QX1330" i="191"/>
  <c r="RD1330" i="191" s="1"/>
  <c r="QX1321" i="191"/>
  <c r="RD1321" i="191" s="1"/>
  <c r="QX1344" i="191"/>
  <c r="RD1344" i="191" s="1"/>
  <c r="TJ1335" i="191"/>
  <c r="TP1335" i="191" s="1"/>
  <c r="QX1326" i="191"/>
  <c r="RD1326" i="191" s="1"/>
  <c r="QX1320" i="191"/>
  <c r="RD1320" i="191" s="1"/>
  <c r="QX1343" i="191"/>
  <c r="RD1343" i="191" s="1"/>
  <c r="QX1333" i="191"/>
  <c r="RD1333" i="191" s="1"/>
  <c r="QX1340" i="191"/>
  <c r="RD1340" i="191" s="1"/>
  <c r="QX1334" i="191"/>
  <c r="RD1334" i="191" s="1"/>
  <c r="TJ1340" i="191"/>
  <c r="TP1340" i="191" s="1"/>
  <c r="TJ1346" i="191"/>
  <c r="TP1346" i="191" s="1"/>
  <c r="TJ1342" i="191"/>
  <c r="TP1342" i="191" s="1"/>
  <c r="QX1325" i="191"/>
  <c r="RD1325" i="191" s="1"/>
  <c r="QX1324" i="191"/>
  <c r="RD1324" i="191" s="1"/>
  <c r="TJ1325" i="191"/>
  <c r="TP1325" i="191" s="1"/>
  <c r="TJ1339" i="191"/>
  <c r="TP1339" i="191" s="1"/>
  <c r="QX1345" i="191"/>
  <c r="RD1345" i="191" s="1"/>
  <c r="QX1329" i="191"/>
  <c r="RD1329" i="191" s="1"/>
  <c r="QX1319" i="191"/>
  <c r="RD1319" i="191" s="1"/>
  <c r="QX1341" i="191"/>
  <c r="RD1341" i="191" s="1"/>
  <c r="QX1332" i="191"/>
  <c r="RD1332" i="191" s="1"/>
  <c r="QX1346" i="191"/>
  <c r="RD1346" i="191" s="1"/>
  <c r="QX1339" i="191"/>
  <c r="RD1339" i="191" s="1"/>
  <c r="QX1322" i="191"/>
  <c r="RD1322" i="191" s="1"/>
  <c r="TJ1326" i="191"/>
  <c r="TP1326" i="191" s="1"/>
  <c r="TJ1320" i="191"/>
  <c r="TP1320" i="191" s="1"/>
  <c r="TJ1324" i="191"/>
  <c r="TP1324" i="191" s="1"/>
  <c r="TJ1343" i="191"/>
  <c r="TP1343" i="191" s="1"/>
  <c r="TJ1332" i="191"/>
  <c r="TP1332" i="191" s="1"/>
  <c r="TJ1345" i="191"/>
  <c r="TP1345" i="191" s="1"/>
  <c r="TJ1331" i="191"/>
  <c r="TP1331" i="191" s="1"/>
  <c r="DF1322" i="191"/>
  <c r="DL1322" i="191" s="1"/>
  <c r="DF1330" i="191"/>
  <c r="DL1330" i="191" s="1"/>
  <c r="DF1346" i="191"/>
  <c r="DL1346" i="191" s="1"/>
  <c r="TJ1330" i="191"/>
  <c r="TP1330" i="191" s="1"/>
  <c r="TJ1344" i="191"/>
  <c r="TP1344" i="191" s="1"/>
  <c r="TJ1321" i="191"/>
  <c r="TP1321" i="191" s="1"/>
  <c r="TJ1333" i="191"/>
  <c r="TP1333" i="191" s="1"/>
  <c r="TJ1341" i="191"/>
  <c r="TP1341" i="191" s="1"/>
  <c r="TJ1336" i="191"/>
  <c r="TP1336" i="191" s="1"/>
  <c r="TJ1322" i="191"/>
  <c r="TP1322" i="191" s="1"/>
  <c r="TJ1334" i="191"/>
  <c r="TP1334" i="191" s="1"/>
  <c r="TJ1329" i="191"/>
  <c r="TP1329" i="191" s="1"/>
  <c r="DF1332" i="191"/>
  <c r="DL1332" i="191" s="1"/>
  <c r="DF1321" i="191"/>
  <c r="DL1321" i="191" s="1"/>
  <c r="DF1331" i="191"/>
  <c r="DL1331" i="191" s="1"/>
  <c r="DF1326" i="191"/>
  <c r="DL1326" i="191" s="1"/>
  <c r="DF1342" i="191"/>
  <c r="DL1342" i="191" s="1"/>
  <c r="DF1335" i="191"/>
  <c r="DL1335" i="191" s="1"/>
  <c r="DF1340" i="191"/>
  <c r="DL1340" i="191" s="1"/>
  <c r="DF1324" i="191"/>
  <c r="DL1324" i="191" s="1"/>
  <c r="DF1339" i="191"/>
  <c r="DL1339" i="191" s="1"/>
  <c r="DF1323" i="191"/>
  <c r="DL1323" i="191" s="1"/>
  <c r="DF1325" i="191"/>
  <c r="DL1325" i="191" s="1"/>
  <c r="DF1341" i="191"/>
  <c r="DL1341" i="191" s="1"/>
  <c r="DF1345" i="191"/>
  <c r="DL1345" i="191" s="1"/>
  <c r="DF1343" i="191"/>
  <c r="DL1343" i="191" s="1"/>
  <c r="DF1334" i="191"/>
  <c r="DL1334" i="191" s="1"/>
  <c r="DF1319" i="191"/>
  <c r="DL1319" i="191" s="1"/>
  <c r="DF1320" i="191"/>
  <c r="DL1320" i="191" s="1"/>
  <c r="DF1336" i="191"/>
  <c r="DL1336" i="191" s="1"/>
  <c r="DF1344" i="191"/>
  <c r="DL1344" i="191" s="1"/>
  <c r="DF1333" i="191"/>
  <c r="DL1333" i="191" s="1"/>
  <c r="YZ1325" i="191"/>
  <c r="ZF1325" i="191" s="1"/>
  <c r="YZ1342" i="191"/>
  <c r="ZF1342" i="191" s="1"/>
  <c r="YZ1333" i="191"/>
  <c r="ZF1333" i="191" s="1"/>
  <c r="YZ1339" i="191"/>
  <c r="ZF1339" i="191" s="1"/>
  <c r="YZ1334" i="191"/>
  <c r="ZF1334" i="191" s="1"/>
  <c r="YZ1319" i="191"/>
  <c r="ZF1319" i="191" s="1"/>
  <c r="JQ1324" i="191"/>
  <c r="JW1324" i="191" s="1"/>
  <c r="JQ1334" i="191"/>
  <c r="JW1334" i="191" s="1"/>
  <c r="JQ1341" i="191"/>
  <c r="JW1341" i="191" s="1"/>
  <c r="JQ1326" i="191"/>
  <c r="JW1326" i="191" s="1"/>
  <c r="JQ1329" i="191"/>
  <c r="JW1329" i="191" s="1"/>
  <c r="WO1339" i="191"/>
  <c r="WU1339" i="191" s="1"/>
  <c r="JQ1330" i="191"/>
  <c r="JW1330" i="191" s="1"/>
  <c r="JQ1344" i="191"/>
  <c r="JW1344" i="191" s="1"/>
  <c r="JQ1335" i="191"/>
  <c r="JW1335" i="191" s="1"/>
  <c r="JQ1346" i="191"/>
  <c r="JW1346" i="191" s="1"/>
  <c r="JQ1345" i="191"/>
  <c r="JW1345" i="191" s="1"/>
  <c r="JQ1332" i="191"/>
  <c r="JW1332" i="191" s="1"/>
  <c r="JQ1342" i="191"/>
  <c r="JW1342" i="191" s="1"/>
  <c r="QI1318" i="191"/>
  <c r="YZ1341" i="191"/>
  <c r="ZF1341" i="191" s="1"/>
  <c r="YZ1320" i="191"/>
  <c r="ZF1320" i="191" s="1"/>
  <c r="YZ1323" i="191"/>
  <c r="ZF1323" i="191" s="1"/>
  <c r="YZ1346" i="191"/>
  <c r="ZF1346" i="191" s="1"/>
  <c r="YZ1340" i="191"/>
  <c r="ZF1340" i="191" s="1"/>
  <c r="YZ1326" i="191"/>
  <c r="ZF1326" i="191" s="1"/>
  <c r="YZ1322" i="191"/>
  <c r="ZF1322" i="191" s="1"/>
  <c r="YZ1335" i="191"/>
  <c r="ZF1335" i="191" s="1"/>
  <c r="YZ1331" i="191"/>
  <c r="ZF1331" i="191" s="1"/>
  <c r="YZ1343" i="191"/>
  <c r="ZF1343" i="191" s="1"/>
  <c r="YZ1344" i="191"/>
  <c r="ZF1344" i="191" s="1"/>
  <c r="Y1340" i="191"/>
  <c r="AE1340" i="191" s="1"/>
  <c r="Y1325" i="191"/>
  <c r="AE1325" i="191" s="1"/>
  <c r="Y1330" i="191"/>
  <c r="AE1330" i="191" s="1"/>
  <c r="Y1336" i="191"/>
  <c r="AE1336" i="191" s="1"/>
  <c r="Y1326" i="191"/>
  <c r="AE1326" i="191" s="1"/>
  <c r="Y1346" i="191"/>
  <c r="AE1346" i="191" s="1"/>
  <c r="Y1329" i="191"/>
  <c r="AE1329" i="191" s="1"/>
  <c r="Y1339" i="191"/>
  <c r="AE1339" i="191" s="1"/>
  <c r="Y1321" i="191"/>
  <c r="AE1321" i="191" s="1"/>
  <c r="Y1345" i="191"/>
  <c r="AE1345" i="191" s="1"/>
  <c r="Y1333" i="191"/>
  <c r="AE1333" i="191" s="1"/>
  <c r="BO1342" i="191"/>
  <c r="BU1342" i="191" s="1"/>
  <c r="BO1336" i="191"/>
  <c r="BU1336" i="191" s="1"/>
  <c r="BO1332" i="191"/>
  <c r="BU1332" i="191" s="1"/>
  <c r="BO1320" i="191"/>
  <c r="BU1320" i="191" s="1"/>
  <c r="BO1323" i="191"/>
  <c r="BU1323" i="191" s="1"/>
  <c r="BO1346" i="191"/>
  <c r="BU1346" i="191" s="1"/>
  <c r="BO1322" i="191"/>
  <c r="BU1322" i="191" s="1"/>
  <c r="BO1331" i="191"/>
  <c r="BU1331" i="191" s="1"/>
  <c r="BO1343" i="191"/>
  <c r="BU1343" i="191" s="1"/>
  <c r="BO1335" i="191"/>
  <c r="BU1335" i="191" s="1"/>
  <c r="BO1344" i="191"/>
  <c r="BU1344" i="191" s="1"/>
  <c r="UX1346" i="191"/>
  <c r="VD1346" i="191" s="1"/>
  <c r="UX1320" i="191"/>
  <c r="VD1320" i="191" s="1"/>
  <c r="UX1341" i="191"/>
  <c r="VD1341" i="191" s="1"/>
  <c r="UX1326" i="191"/>
  <c r="VD1326" i="191" s="1"/>
  <c r="UX1334" i="191"/>
  <c r="VD1334" i="191" s="1"/>
  <c r="UX1342" i="191"/>
  <c r="VD1342" i="191" s="1"/>
  <c r="UX1343" i="191"/>
  <c r="VD1343" i="191" s="1"/>
  <c r="UX1325" i="191"/>
  <c r="VD1325" i="191" s="1"/>
  <c r="UX1333" i="191"/>
  <c r="VD1333" i="191" s="1"/>
  <c r="UX1324" i="191"/>
  <c r="VD1324" i="191" s="1"/>
  <c r="UX1329" i="191"/>
  <c r="VD1329" i="191" s="1"/>
  <c r="DY1320" i="191"/>
  <c r="EE1320" i="191" s="1"/>
  <c r="DY1322" i="191"/>
  <c r="EE1322" i="191" s="1"/>
  <c r="DY1335" i="191"/>
  <c r="EE1335" i="191" s="1"/>
  <c r="ET1336" i="191"/>
  <c r="EZ1336" i="191" s="1"/>
  <c r="ET1322" i="191"/>
  <c r="EZ1322" i="191" s="1"/>
  <c r="ET1344" i="191"/>
  <c r="EZ1344" i="191" s="1"/>
  <c r="WO1323" i="191"/>
  <c r="WU1323" i="191" s="1"/>
  <c r="WO1334" i="191"/>
  <c r="WU1334" i="191" s="1"/>
  <c r="JQ1320" i="191"/>
  <c r="JW1320" i="191" s="1"/>
  <c r="JQ1343" i="191"/>
  <c r="JW1343" i="191" s="1"/>
  <c r="JQ1331" i="191"/>
  <c r="JW1331" i="191" s="1"/>
  <c r="JQ1322" i="191"/>
  <c r="JW1322" i="191" s="1"/>
  <c r="JQ1319" i="191"/>
  <c r="JW1319" i="191" s="1"/>
  <c r="JQ1340" i="191"/>
  <c r="JW1340" i="191" s="1"/>
  <c r="JQ1323" i="191"/>
  <c r="JW1323" i="191" s="1"/>
  <c r="JQ1321" i="191"/>
  <c r="JW1321" i="191" s="1"/>
  <c r="JQ1333" i="191"/>
  <c r="JW1333" i="191" s="1"/>
  <c r="JQ1339" i="191"/>
  <c r="JW1339" i="191" s="1"/>
  <c r="JQ1336" i="191"/>
  <c r="JW1336" i="191" s="1"/>
  <c r="WO1329" i="191"/>
  <c r="WU1329" i="191" s="1"/>
  <c r="WO1326" i="191"/>
  <c r="WU1326" i="191" s="1"/>
  <c r="WO1331" i="191"/>
  <c r="WU1331" i="191" s="1"/>
  <c r="DY1346" i="191"/>
  <c r="EE1346" i="191" s="1"/>
  <c r="DY1330" i="191"/>
  <c r="EE1330" i="191" s="1"/>
  <c r="DY1334" i="191"/>
  <c r="EE1334" i="191" s="1"/>
  <c r="DY1344" i="191"/>
  <c r="EE1344" i="191" s="1"/>
  <c r="DY1324" i="191"/>
  <c r="EE1324" i="191" s="1"/>
  <c r="DY1319" i="191"/>
  <c r="EE1319" i="191" s="1"/>
  <c r="ET1341" i="191"/>
  <c r="EZ1341" i="191" s="1"/>
  <c r="ET1326" i="191"/>
  <c r="EZ1326" i="191" s="1"/>
  <c r="ET1343" i="191"/>
  <c r="EZ1343" i="191" s="1"/>
  <c r="ET1335" i="191"/>
  <c r="EZ1335" i="191" s="1"/>
  <c r="ET1324" i="191"/>
  <c r="EZ1324" i="191" s="1"/>
  <c r="ET1329" i="191"/>
  <c r="EZ1329" i="191" s="1"/>
  <c r="WO1340" i="191"/>
  <c r="WU1340" i="191" s="1"/>
  <c r="WO1321" i="191"/>
  <c r="WU1321" i="191" s="1"/>
  <c r="WO1330" i="191"/>
  <c r="WU1330" i="191" s="1"/>
  <c r="WO1336" i="191"/>
  <c r="WU1336" i="191" s="1"/>
  <c r="WO1324" i="191"/>
  <c r="WU1324" i="191" s="1"/>
  <c r="WO1341" i="191"/>
  <c r="WU1341" i="191" s="1"/>
  <c r="UC1336" i="191"/>
  <c r="UI1336" i="191" s="1"/>
  <c r="UC1323" i="191"/>
  <c r="UI1323" i="191" s="1"/>
  <c r="UC1332" i="191"/>
  <c r="UI1332" i="191" s="1"/>
  <c r="UC1341" i="191"/>
  <c r="UI1341" i="191" s="1"/>
  <c r="UC1322" i="191"/>
  <c r="UI1322" i="191" s="1"/>
  <c r="UC1334" i="191"/>
  <c r="UI1334" i="191" s="1"/>
  <c r="UC1331" i="191"/>
  <c r="UI1331" i="191" s="1"/>
  <c r="UC1344" i="191"/>
  <c r="UI1344" i="191" s="1"/>
  <c r="UC1333" i="191"/>
  <c r="UI1333" i="191" s="1"/>
  <c r="UC1329" i="191"/>
  <c r="UI1329" i="191" s="1"/>
  <c r="UC1321" i="191"/>
  <c r="UI1321" i="191" s="1"/>
  <c r="DY1336" i="191"/>
  <c r="EE1336" i="191" s="1"/>
  <c r="DY1332" i="191"/>
  <c r="EE1332" i="191" s="1"/>
  <c r="DY1326" i="191"/>
  <c r="EE1326" i="191" s="1"/>
  <c r="DY1342" i="191"/>
  <c r="EE1342" i="191" s="1"/>
  <c r="DY1343" i="191"/>
  <c r="EE1343" i="191" s="1"/>
  <c r="DY1331" i="191"/>
  <c r="EE1331" i="191" s="1"/>
  <c r="DY1340" i="191"/>
  <c r="EE1340" i="191" s="1"/>
  <c r="DY1345" i="191"/>
  <c r="EE1345" i="191" s="1"/>
  <c r="DY1333" i="191"/>
  <c r="EE1333" i="191" s="1"/>
  <c r="DY1339" i="191"/>
  <c r="EE1339" i="191" s="1"/>
  <c r="DY1321" i="191"/>
  <c r="EE1321" i="191" s="1"/>
  <c r="ET1346" i="191"/>
  <c r="EZ1346" i="191" s="1"/>
  <c r="ET1330" i="191"/>
  <c r="EZ1330" i="191" s="1"/>
  <c r="ET1323" i="191"/>
  <c r="EZ1323" i="191" s="1"/>
  <c r="ET1332" i="191"/>
  <c r="EZ1332" i="191" s="1"/>
  <c r="ET1325" i="191"/>
  <c r="EZ1325" i="191" s="1"/>
  <c r="ET1334" i="191"/>
  <c r="EZ1334" i="191" s="1"/>
  <c r="ET1331" i="191"/>
  <c r="EZ1331" i="191" s="1"/>
  <c r="ET1333" i="191"/>
  <c r="EZ1333" i="191" s="1"/>
  <c r="ET1345" i="191"/>
  <c r="EZ1345" i="191" s="1"/>
  <c r="ET1339" i="191"/>
  <c r="EZ1339" i="191" s="1"/>
  <c r="ET1319" i="191"/>
  <c r="EZ1319" i="191" s="1"/>
  <c r="WO1325" i="191"/>
  <c r="WU1325" i="191" s="1"/>
  <c r="WO1342" i="191"/>
  <c r="WU1342" i="191" s="1"/>
  <c r="WO1335" i="191"/>
  <c r="WU1335" i="191" s="1"/>
  <c r="WO1333" i="191"/>
  <c r="WU1333" i="191" s="1"/>
  <c r="WO1345" i="191"/>
  <c r="WU1345" i="191" s="1"/>
  <c r="WO1320" i="191"/>
  <c r="WU1320" i="191" s="1"/>
  <c r="WO1332" i="191"/>
  <c r="WU1332" i="191" s="1"/>
  <c r="WO1343" i="191"/>
  <c r="WU1343" i="191" s="1"/>
  <c r="WO1344" i="191"/>
  <c r="WU1344" i="191" s="1"/>
  <c r="WO1322" i="191"/>
  <c r="WU1322" i="191" s="1"/>
  <c r="WO1319" i="191"/>
  <c r="WU1319" i="191" s="1"/>
  <c r="TH1319" i="191"/>
  <c r="TN1319" i="191" s="1"/>
  <c r="TH1321" i="191"/>
  <c r="TN1321" i="191" s="1"/>
  <c r="TH1339" i="191"/>
  <c r="TN1339" i="191" s="1"/>
  <c r="TH1329" i="191"/>
  <c r="TN1329" i="191" s="1"/>
  <c r="TH1345" i="191"/>
  <c r="TN1345" i="191" s="1"/>
  <c r="TH1344" i="191"/>
  <c r="TN1344" i="191" s="1"/>
  <c r="TH1335" i="191"/>
  <c r="TN1335" i="191" s="1"/>
  <c r="TH1324" i="191"/>
  <c r="TN1324" i="191" s="1"/>
  <c r="TH1333" i="191"/>
  <c r="TN1333" i="191" s="1"/>
  <c r="TH1340" i="191"/>
  <c r="TN1340" i="191" s="1"/>
  <c r="TH1325" i="191"/>
  <c r="TN1325" i="191" s="1"/>
  <c r="TH1331" i="191"/>
  <c r="TN1331" i="191" s="1"/>
  <c r="TH1334" i="191"/>
  <c r="TN1334" i="191" s="1"/>
  <c r="TH1343" i="191"/>
  <c r="TN1343" i="191" s="1"/>
  <c r="TH1342" i="191"/>
  <c r="TN1342" i="191" s="1"/>
  <c r="TH1322" i="191"/>
  <c r="TN1322" i="191" s="1"/>
  <c r="TH1330" i="191"/>
  <c r="TN1330" i="191" s="1"/>
  <c r="TH1323" i="191"/>
  <c r="TN1323" i="191" s="1"/>
  <c r="TH1341" i="191"/>
  <c r="TN1341" i="191" s="1"/>
  <c r="TH1336" i="191"/>
  <c r="TN1336" i="191" s="1"/>
  <c r="TH1332" i="191"/>
  <c r="TN1332" i="191" s="1"/>
  <c r="TH1326" i="191"/>
  <c r="TN1326" i="191" s="1"/>
  <c r="TH1346" i="191"/>
  <c r="TN1346" i="191" s="1"/>
  <c r="TH1320" i="191"/>
  <c r="TN1320" i="191" s="1"/>
  <c r="VR1367" i="191"/>
  <c r="VX1367" i="191" s="1"/>
  <c r="VR1361" i="191"/>
  <c r="VX1361" i="191" s="1"/>
  <c r="IT1367" i="191"/>
  <c r="IZ1367" i="191" s="1"/>
  <c r="IT1361" i="191"/>
  <c r="IZ1361" i="191" s="1"/>
  <c r="GO1360" i="191"/>
  <c r="GO1371" i="191" s="1"/>
  <c r="GO1372" i="191" s="1"/>
  <c r="TM1360" i="191"/>
  <c r="TM1371" i="191" s="1"/>
  <c r="TM1372" i="191" s="1"/>
  <c r="QV1363" i="191"/>
  <c r="RB1363" i="191" s="1"/>
  <c r="XH1365" i="191"/>
  <c r="XN1365" i="191" s="1"/>
  <c r="XH1363" i="191"/>
  <c r="XN1363" i="191" s="1"/>
  <c r="IH1328" i="191"/>
  <c r="YX1365" i="191"/>
  <c r="ZD1365" i="191" s="1"/>
  <c r="YX1361" i="191"/>
  <c r="ZD1361" i="191" s="1"/>
  <c r="LZ1367" i="191"/>
  <c r="MF1367" i="191" s="1"/>
  <c r="LZ1361" i="191"/>
  <c r="MF1361" i="191" s="1"/>
  <c r="IH1338" i="191"/>
  <c r="IH1318" i="191"/>
  <c r="UB1367" i="191"/>
  <c r="UH1367" i="191" s="1"/>
  <c r="UB1361" i="191"/>
  <c r="UH1361" i="191" s="1"/>
  <c r="NP1367" i="191"/>
  <c r="NV1367" i="191" s="1"/>
  <c r="NP1361" i="191"/>
  <c r="NV1361" i="191" s="1"/>
  <c r="HD1367" i="191"/>
  <c r="HJ1367" i="191" s="1"/>
  <c r="HD1361" i="191"/>
  <c r="HJ1361" i="191" s="1"/>
  <c r="AR1367" i="191"/>
  <c r="AX1367" i="191" s="1"/>
  <c r="AR1361" i="191"/>
  <c r="AX1361" i="191" s="1"/>
  <c r="XH1367" i="191"/>
  <c r="XN1367" i="191" s="1"/>
  <c r="XH1361" i="191"/>
  <c r="XN1361" i="191" s="1"/>
  <c r="QV1367" i="191"/>
  <c r="RB1367" i="191" s="1"/>
  <c r="QV1361" i="191"/>
  <c r="RB1361" i="191" s="1"/>
  <c r="KJ1367" i="191"/>
  <c r="KP1367" i="191" s="1"/>
  <c r="KJ1361" i="191"/>
  <c r="KP1361" i="191" s="1"/>
  <c r="DX1367" i="191"/>
  <c r="ED1367" i="191" s="1"/>
  <c r="DX1361" i="191"/>
  <c r="ED1361" i="191" s="1"/>
  <c r="AC1360" i="191"/>
  <c r="AC1371" i="191" s="1"/>
  <c r="AC1372" i="191" s="1"/>
  <c r="NA1360" i="191"/>
  <c r="NA1371" i="191" s="1"/>
  <c r="NA1372" i="191" s="1"/>
  <c r="VC1360" i="191"/>
  <c r="VC1371" i="191" s="1"/>
  <c r="VC1372" i="191" s="1"/>
  <c r="EY1360" i="191"/>
  <c r="EY1371" i="191" s="1"/>
  <c r="EY1372" i="191" s="1"/>
  <c r="RW1360" i="191"/>
  <c r="RW1371" i="191" s="1"/>
  <c r="RW1372" i="191" s="1"/>
  <c r="DI1360" i="191"/>
  <c r="DI1371" i="191" s="1"/>
  <c r="DI1372" i="191" s="1"/>
  <c r="QG1360" i="191"/>
  <c r="QG1371" i="191" s="1"/>
  <c r="QG1372" i="191" s="1"/>
  <c r="IE1360" i="191"/>
  <c r="IE1371" i="191" s="1"/>
  <c r="IE1372" i="191" s="1"/>
  <c r="WS1360" i="191"/>
  <c r="WS1371" i="191" s="1"/>
  <c r="WS1372" i="191" s="1"/>
  <c r="SK1362" i="191"/>
  <c r="SQ1362" i="191" s="1"/>
  <c r="SK1363" i="191"/>
  <c r="SQ1363" i="191" s="1"/>
  <c r="SK1367" i="191"/>
  <c r="SQ1367" i="191" s="1"/>
  <c r="SK1361" i="191"/>
  <c r="SQ1361" i="191" s="1"/>
  <c r="SK1365" i="191"/>
  <c r="SQ1365" i="191" s="1"/>
  <c r="SK1366" i="191"/>
  <c r="SQ1366" i="191" s="1"/>
  <c r="LY1362" i="191"/>
  <c r="ME1362" i="191" s="1"/>
  <c r="LY1363" i="191"/>
  <c r="ME1363" i="191" s="1"/>
  <c r="LY1367" i="191"/>
  <c r="ME1367" i="191" s="1"/>
  <c r="LY1361" i="191"/>
  <c r="ME1361" i="191" s="1"/>
  <c r="LY1365" i="191"/>
  <c r="ME1365" i="191" s="1"/>
  <c r="LY1366" i="191"/>
  <c r="ME1366" i="191" s="1"/>
  <c r="FM1362" i="191"/>
  <c r="FS1362" i="191" s="1"/>
  <c r="FM1363" i="191"/>
  <c r="FS1363" i="191" s="1"/>
  <c r="FM1367" i="191"/>
  <c r="FS1367" i="191" s="1"/>
  <c r="FM1361" i="191"/>
  <c r="FS1361" i="191" s="1"/>
  <c r="FM1365" i="191"/>
  <c r="FS1365" i="191" s="1"/>
  <c r="FM1366" i="191"/>
  <c r="FS1366" i="191" s="1"/>
  <c r="YW1362" i="191"/>
  <c r="ZC1362" i="191" s="1"/>
  <c r="YW1363" i="191"/>
  <c r="ZC1363" i="191" s="1"/>
  <c r="YW1367" i="191"/>
  <c r="ZC1367" i="191" s="1"/>
  <c r="YW1361" i="191"/>
  <c r="ZC1361" i="191" s="1"/>
  <c r="YW1365" i="191"/>
  <c r="ZC1365" i="191" s="1"/>
  <c r="YW1366" i="191"/>
  <c r="ZC1366" i="191" s="1"/>
  <c r="TF1361" i="191"/>
  <c r="TL1361" i="191" s="1"/>
  <c r="TF1365" i="191"/>
  <c r="TL1365" i="191" s="1"/>
  <c r="TF1366" i="191"/>
  <c r="TL1366" i="191" s="1"/>
  <c r="TF1362" i="191"/>
  <c r="TL1362" i="191" s="1"/>
  <c r="TF1363" i="191"/>
  <c r="TL1363" i="191" s="1"/>
  <c r="TF1367" i="191"/>
  <c r="TL1367" i="191" s="1"/>
  <c r="MT1361" i="191"/>
  <c r="MZ1361" i="191" s="1"/>
  <c r="MT1365" i="191"/>
  <c r="MZ1365" i="191" s="1"/>
  <c r="MT1366" i="191"/>
  <c r="MZ1366" i="191" s="1"/>
  <c r="MT1362" i="191"/>
  <c r="MZ1362" i="191" s="1"/>
  <c r="MT1363" i="191"/>
  <c r="MZ1363" i="191" s="1"/>
  <c r="MT1367" i="191"/>
  <c r="MZ1367" i="191" s="1"/>
  <c r="GH1361" i="191"/>
  <c r="GN1361" i="191" s="1"/>
  <c r="GH1365" i="191"/>
  <c r="GN1365" i="191" s="1"/>
  <c r="GH1366" i="191"/>
  <c r="GN1366" i="191" s="1"/>
  <c r="GH1362" i="191"/>
  <c r="GN1362" i="191" s="1"/>
  <c r="GH1363" i="191"/>
  <c r="GN1363" i="191" s="1"/>
  <c r="GH1367" i="191"/>
  <c r="GN1367" i="191" s="1"/>
  <c r="V1361" i="191"/>
  <c r="AB1361" i="191" s="1"/>
  <c r="V1365" i="191"/>
  <c r="AB1365" i="191" s="1"/>
  <c r="V1366" i="191"/>
  <c r="AB1366" i="191" s="1"/>
  <c r="V1362" i="191"/>
  <c r="AB1362" i="191" s="1"/>
  <c r="V1363" i="191"/>
  <c r="AB1363" i="191" s="1"/>
  <c r="V1367" i="191"/>
  <c r="AB1367" i="191" s="1"/>
  <c r="UA1361" i="191"/>
  <c r="UG1361" i="191" s="1"/>
  <c r="UA1365" i="191"/>
  <c r="UG1365" i="191" s="1"/>
  <c r="UA1366" i="191"/>
  <c r="UG1366" i="191" s="1"/>
  <c r="UA1362" i="191"/>
  <c r="UG1362" i="191" s="1"/>
  <c r="UA1363" i="191"/>
  <c r="UG1363" i="191" s="1"/>
  <c r="UA1367" i="191"/>
  <c r="UG1367" i="191" s="1"/>
  <c r="NO1361" i="191"/>
  <c r="NU1361" i="191" s="1"/>
  <c r="NO1365" i="191"/>
  <c r="NU1365" i="191" s="1"/>
  <c r="NO1366" i="191"/>
  <c r="NU1366" i="191" s="1"/>
  <c r="NO1362" i="191"/>
  <c r="NU1362" i="191" s="1"/>
  <c r="NO1363" i="191"/>
  <c r="NU1363" i="191" s="1"/>
  <c r="NO1367" i="191"/>
  <c r="NU1367" i="191" s="1"/>
  <c r="HC1361" i="191"/>
  <c r="HI1361" i="191" s="1"/>
  <c r="HC1365" i="191"/>
  <c r="HI1365" i="191" s="1"/>
  <c r="HC1366" i="191"/>
  <c r="HI1366" i="191" s="1"/>
  <c r="HC1362" i="191"/>
  <c r="HI1362" i="191" s="1"/>
  <c r="HC1363" i="191"/>
  <c r="HI1363" i="191" s="1"/>
  <c r="HC1367" i="191"/>
  <c r="HI1367" i="191" s="1"/>
  <c r="AQ1361" i="191"/>
  <c r="AW1361" i="191" s="1"/>
  <c r="AQ1365" i="191"/>
  <c r="AW1365" i="191" s="1"/>
  <c r="AQ1366" i="191"/>
  <c r="AW1366" i="191" s="1"/>
  <c r="AQ1362" i="191"/>
  <c r="AW1362" i="191" s="1"/>
  <c r="AQ1363" i="191"/>
  <c r="AW1363" i="191" s="1"/>
  <c r="AQ1367" i="191"/>
  <c r="AW1367" i="191" s="1"/>
  <c r="UV1362" i="191"/>
  <c r="VB1362" i="191" s="1"/>
  <c r="UV1363" i="191"/>
  <c r="VB1363" i="191" s="1"/>
  <c r="UV1367" i="191"/>
  <c r="VB1367" i="191" s="1"/>
  <c r="UV1361" i="191"/>
  <c r="VB1361" i="191" s="1"/>
  <c r="UV1365" i="191"/>
  <c r="VB1365" i="191" s="1"/>
  <c r="UV1366" i="191"/>
  <c r="VB1366" i="191" s="1"/>
  <c r="OJ1362" i="191"/>
  <c r="OP1362" i="191" s="1"/>
  <c r="OJ1363" i="191"/>
  <c r="OP1363" i="191" s="1"/>
  <c r="OJ1367" i="191"/>
  <c r="OP1367" i="191" s="1"/>
  <c r="OJ1361" i="191"/>
  <c r="OP1361" i="191" s="1"/>
  <c r="OJ1365" i="191"/>
  <c r="OP1365" i="191" s="1"/>
  <c r="OJ1366" i="191"/>
  <c r="OP1366" i="191" s="1"/>
  <c r="HX1362" i="191"/>
  <c r="ID1362" i="191" s="1"/>
  <c r="HX1363" i="191"/>
  <c r="ID1363" i="191" s="1"/>
  <c r="HX1367" i="191"/>
  <c r="ID1367" i="191" s="1"/>
  <c r="HX1361" i="191"/>
  <c r="ID1361" i="191" s="1"/>
  <c r="HX1365" i="191"/>
  <c r="ID1365" i="191" s="1"/>
  <c r="HX1366" i="191"/>
  <c r="ID1366" i="191" s="1"/>
  <c r="BL1362" i="191"/>
  <c r="BR1362" i="191" s="1"/>
  <c r="BL1363" i="191"/>
  <c r="BR1363" i="191" s="1"/>
  <c r="BL1367" i="191"/>
  <c r="BR1367" i="191" s="1"/>
  <c r="BL1361" i="191"/>
  <c r="BR1361" i="191" s="1"/>
  <c r="BL1365" i="191"/>
  <c r="BR1365" i="191" s="1"/>
  <c r="BL1366" i="191"/>
  <c r="BR1366" i="191" s="1"/>
  <c r="VQ1362" i="191"/>
  <c r="VW1362" i="191" s="1"/>
  <c r="VQ1363" i="191"/>
  <c r="VW1363" i="191" s="1"/>
  <c r="VQ1367" i="191"/>
  <c r="VW1367" i="191" s="1"/>
  <c r="VQ1361" i="191"/>
  <c r="VW1361" i="191" s="1"/>
  <c r="VQ1365" i="191"/>
  <c r="VW1365" i="191" s="1"/>
  <c r="VQ1366" i="191"/>
  <c r="VW1366" i="191" s="1"/>
  <c r="PE1362" i="191"/>
  <c r="PK1362" i="191" s="1"/>
  <c r="PE1363" i="191"/>
  <c r="PK1363" i="191" s="1"/>
  <c r="PE1367" i="191"/>
  <c r="PK1367" i="191" s="1"/>
  <c r="PE1361" i="191"/>
  <c r="PK1361" i="191" s="1"/>
  <c r="PE1365" i="191"/>
  <c r="PK1365" i="191" s="1"/>
  <c r="PE1366" i="191"/>
  <c r="PK1366" i="191" s="1"/>
  <c r="IS1362" i="191"/>
  <c r="IY1362" i="191" s="1"/>
  <c r="IS1363" i="191"/>
  <c r="IY1363" i="191" s="1"/>
  <c r="IS1367" i="191"/>
  <c r="IY1367" i="191" s="1"/>
  <c r="IS1361" i="191"/>
  <c r="IY1361" i="191" s="1"/>
  <c r="IS1365" i="191"/>
  <c r="IY1365" i="191" s="1"/>
  <c r="IS1366" i="191"/>
  <c r="IY1366" i="191" s="1"/>
  <c r="CG1362" i="191"/>
  <c r="CM1362" i="191" s="1"/>
  <c r="CG1363" i="191"/>
  <c r="CM1363" i="191" s="1"/>
  <c r="CG1367" i="191"/>
  <c r="CM1367" i="191" s="1"/>
  <c r="CG1361" i="191"/>
  <c r="CM1361" i="191" s="1"/>
  <c r="CG1365" i="191"/>
  <c r="CM1365" i="191" s="1"/>
  <c r="CG1366" i="191"/>
  <c r="CM1366" i="191" s="1"/>
  <c r="WL1362" i="191"/>
  <c r="WR1362" i="191" s="1"/>
  <c r="WL1363" i="191"/>
  <c r="WR1363" i="191" s="1"/>
  <c r="WL1367" i="191"/>
  <c r="WR1367" i="191" s="1"/>
  <c r="WL1361" i="191"/>
  <c r="WR1361" i="191" s="1"/>
  <c r="WL1365" i="191"/>
  <c r="WR1365" i="191" s="1"/>
  <c r="WL1366" i="191"/>
  <c r="WR1366" i="191" s="1"/>
  <c r="PZ1362" i="191"/>
  <c r="QF1362" i="191" s="1"/>
  <c r="PZ1363" i="191"/>
  <c r="QF1363" i="191" s="1"/>
  <c r="PZ1367" i="191"/>
  <c r="QF1367" i="191" s="1"/>
  <c r="PZ1361" i="191"/>
  <c r="QF1361" i="191" s="1"/>
  <c r="PZ1365" i="191"/>
  <c r="QF1365" i="191" s="1"/>
  <c r="PZ1366" i="191"/>
  <c r="QF1366" i="191" s="1"/>
  <c r="JN1362" i="191"/>
  <c r="JT1362" i="191" s="1"/>
  <c r="JN1363" i="191"/>
  <c r="JT1363" i="191" s="1"/>
  <c r="JN1367" i="191"/>
  <c r="JT1367" i="191" s="1"/>
  <c r="JN1361" i="191"/>
  <c r="JT1361" i="191" s="1"/>
  <c r="JN1365" i="191"/>
  <c r="JT1365" i="191" s="1"/>
  <c r="JN1366" i="191"/>
  <c r="JT1366" i="191" s="1"/>
  <c r="DB1361" i="191"/>
  <c r="DH1361" i="191" s="1"/>
  <c r="DB1365" i="191"/>
  <c r="DH1365" i="191" s="1"/>
  <c r="DB1366" i="191"/>
  <c r="DH1366" i="191" s="1"/>
  <c r="DB1362" i="191"/>
  <c r="DH1362" i="191" s="1"/>
  <c r="DB1363" i="191"/>
  <c r="DH1363" i="191" s="1"/>
  <c r="DB1367" i="191"/>
  <c r="DH1367" i="191" s="1"/>
  <c r="XG1361" i="191"/>
  <c r="XM1361" i="191" s="1"/>
  <c r="XG1365" i="191"/>
  <c r="XM1365" i="191" s="1"/>
  <c r="XG1366" i="191"/>
  <c r="XM1366" i="191" s="1"/>
  <c r="XG1362" i="191"/>
  <c r="XM1362" i="191" s="1"/>
  <c r="XG1363" i="191"/>
  <c r="XM1363" i="191" s="1"/>
  <c r="XG1367" i="191"/>
  <c r="XM1367" i="191" s="1"/>
  <c r="QU1361" i="191"/>
  <c r="RA1361" i="191" s="1"/>
  <c r="QU1365" i="191"/>
  <c r="RA1365" i="191" s="1"/>
  <c r="QU1366" i="191"/>
  <c r="RA1366" i="191" s="1"/>
  <c r="QU1362" i="191"/>
  <c r="RA1362" i="191" s="1"/>
  <c r="QU1363" i="191"/>
  <c r="RA1363" i="191" s="1"/>
  <c r="QU1367" i="191"/>
  <c r="RA1367" i="191" s="1"/>
  <c r="KI1361" i="191"/>
  <c r="KO1361" i="191" s="1"/>
  <c r="KI1365" i="191"/>
  <c r="KO1365" i="191" s="1"/>
  <c r="KI1366" i="191"/>
  <c r="KO1366" i="191" s="1"/>
  <c r="KI1362" i="191"/>
  <c r="KO1362" i="191" s="1"/>
  <c r="KI1363" i="191"/>
  <c r="KO1363" i="191" s="1"/>
  <c r="KI1367" i="191"/>
  <c r="KO1367" i="191" s="1"/>
  <c r="DW1361" i="191"/>
  <c r="EC1361" i="191" s="1"/>
  <c r="DW1365" i="191"/>
  <c r="EC1365" i="191" s="1"/>
  <c r="DW1366" i="191"/>
  <c r="EC1366" i="191" s="1"/>
  <c r="DW1362" i="191"/>
  <c r="EC1362" i="191" s="1"/>
  <c r="DW1363" i="191"/>
  <c r="EC1363" i="191" s="1"/>
  <c r="DW1367" i="191"/>
  <c r="EC1367" i="191" s="1"/>
  <c r="YB1361" i="191"/>
  <c r="YH1361" i="191" s="1"/>
  <c r="YB1365" i="191"/>
  <c r="YH1365" i="191" s="1"/>
  <c r="YB1366" i="191"/>
  <c r="YH1366" i="191" s="1"/>
  <c r="YB1362" i="191"/>
  <c r="YH1362" i="191" s="1"/>
  <c r="YB1363" i="191"/>
  <c r="YH1363" i="191" s="1"/>
  <c r="YB1367" i="191"/>
  <c r="YH1367" i="191" s="1"/>
  <c r="RP1361" i="191"/>
  <c r="RV1361" i="191" s="1"/>
  <c r="RP1365" i="191"/>
  <c r="RV1365" i="191" s="1"/>
  <c r="RP1366" i="191"/>
  <c r="RV1366" i="191" s="1"/>
  <c r="RP1362" i="191"/>
  <c r="RV1362" i="191" s="1"/>
  <c r="RP1363" i="191"/>
  <c r="RV1363" i="191" s="1"/>
  <c r="RP1367" i="191"/>
  <c r="RV1367" i="191" s="1"/>
  <c r="LD1361" i="191"/>
  <c r="LJ1361" i="191" s="1"/>
  <c r="LD1365" i="191"/>
  <c r="LJ1365" i="191" s="1"/>
  <c r="LD1366" i="191"/>
  <c r="LJ1366" i="191" s="1"/>
  <c r="LD1362" i="191"/>
  <c r="LJ1362" i="191" s="1"/>
  <c r="LD1363" i="191"/>
  <c r="LJ1363" i="191" s="1"/>
  <c r="LD1367" i="191"/>
  <c r="LJ1367" i="191" s="1"/>
  <c r="ER1362" i="191"/>
  <c r="EX1362" i="191" s="1"/>
  <c r="ER1363" i="191"/>
  <c r="EX1363" i="191" s="1"/>
  <c r="ER1367" i="191"/>
  <c r="EX1367" i="191" s="1"/>
  <c r="ER1361" i="191"/>
  <c r="EX1361" i="191" s="1"/>
  <c r="ER1365" i="191"/>
  <c r="EX1365" i="191" s="1"/>
  <c r="ER1366" i="191"/>
  <c r="EX1366" i="191" s="1"/>
  <c r="EQ1367" i="191"/>
  <c r="EW1367" i="191" s="1"/>
  <c r="EQ1366" i="191"/>
  <c r="EW1366" i="191" s="1"/>
  <c r="EQ1362" i="191"/>
  <c r="EW1362" i="191" s="1"/>
  <c r="EQ1365" i="191"/>
  <c r="EW1365" i="191" s="1"/>
  <c r="EQ1361" i="191"/>
  <c r="EW1361" i="191" s="1"/>
  <c r="EQ1363" i="191"/>
  <c r="EW1363" i="191" s="1"/>
  <c r="LC1367" i="191"/>
  <c r="LI1367" i="191" s="1"/>
  <c r="LC1361" i="191"/>
  <c r="LI1361" i="191" s="1"/>
  <c r="LC1366" i="191"/>
  <c r="LI1366" i="191" s="1"/>
  <c r="LC1362" i="191"/>
  <c r="LI1362" i="191" s="1"/>
  <c r="LC1365" i="191"/>
  <c r="LI1365" i="191" s="1"/>
  <c r="LC1363" i="191"/>
  <c r="LI1363" i="191" s="1"/>
  <c r="RO1367" i="191"/>
  <c r="RU1367" i="191" s="1"/>
  <c r="RO1366" i="191"/>
  <c r="RU1366" i="191" s="1"/>
  <c r="RO1362" i="191"/>
  <c r="RU1362" i="191" s="1"/>
  <c r="RO1365" i="191"/>
  <c r="RU1365" i="191" s="1"/>
  <c r="RO1361" i="191"/>
  <c r="RU1361" i="191" s="1"/>
  <c r="RO1363" i="191"/>
  <c r="RU1363" i="191" s="1"/>
  <c r="YA1367" i="191"/>
  <c r="YG1367" i="191" s="1"/>
  <c r="YA1361" i="191"/>
  <c r="YG1361" i="191" s="1"/>
  <c r="YA1366" i="191"/>
  <c r="YG1366" i="191" s="1"/>
  <c r="YA1362" i="191"/>
  <c r="YG1362" i="191" s="1"/>
  <c r="YA1365" i="191"/>
  <c r="YG1365" i="191" s="1"/>
  <c r="YA1363" i="191"/>
  <c r="YG1363" i="191" s="1"/>
  <c r="FL1367" i="191"/>
  <c r="FR1367" i="191" s="1"/>
  <c r="FL1361" i="191"/>
  <c r="FR1361" i="191" s="1"/>
  <c r="FL1362" i="191"/>
  <c r="FR1362" i="191" s="1"/>
  <c r="FL1366" i="191"/>
  <c r="FR1366" i="191" s="1"/>
  <c r="FL1365" i="191"/>
  <c r="FR1365" i="191" s="1"/>
  <c r="FL1363" i="191"/>
  <c r="FR1363" i="191" s="1"/>
  <c r="LX1367" i="191"/>
  <c r="MD1367" i="191" s="1"/>
  <c r="LX1362" i="191"/>
  <c r="MD1362" i="191" s="1"/>
  <c r="LX1361" i="191"/>
  <c r="MD1361" i="191" s="1"/>
  <c r="LX1366" i="191"/>
  <c r="MD1366" i="191" s="1"/>
  <c r="LX1365" i="191"/>
  <c r="MD1365" i="191" s="1"/>
  <c r="LX1363" i="191"/>
  <c r="MD1363" i="191" s="1"/>
  <c r="SJ1367" i="191"/>
  <c r="SP1367" i="191" s="1"/>
  <c r="SJ1361" i="191"/>
  <c r="SP1361" i="191" s="1"/>
  <c r="SJ1362" i="191"/>
  <c r="SP1362" i="191" s="1"/>
  <c r="SJ1366" i="191"/>
  <c r="SP1366" i="191" s="1"/>
  <c r="SJ1365" i="191"/>
  <c r="SP1365" i="191" s="1"/>
  <c r="SJ1363" i="191"/>
  <c r="SP1363" i="191" s="1"/>
  <c r="YV1367" i="191"/>
  <c r="ZB1367" i="191" s="1"/>
  <c r="YV1362" i="191"/>
  <c r="ZB1362" i="191" s="1"/>
  <c r="YV1365" i="191"/>
  <c r="ZB1365" i="191" s="1"/>
  <c r="YV1361" i="191"/>
  <c r="ZB1361" i="191" s="1"/>
  <c r="YV1366" i="191"/>
  <c r="ZB1366" i="191" s="1"/>
  <c r="YV1363" i="191"/>
  <c r="ZB1363" i="191" s="1"/>
  <c r="TZ1367" i="191"/>
  <c r="UF1367" i="191" s="1"/>
  <c r="TZ1361" i="191"/>
  <c r="UF1361" i="191" s="1"/>
  <c r="TZ1366" i="191"/>
  <c r="UF1366" i="191" s="1"/>
  <c r="TZ1365" i="191"/>
  <c r="UF1365" i="191" s="1"/>
  <c r="TZ1362" i="191"/>
  <c r="UF1362" i="191" s="1"/>
  <c r="NN1367" i="191"/>
  <c r="NT1367" i="191" s="1"/>
  <c r="NN1366" i="191"/>
  <c r="NT1366" i="191" s="1"/>
  <c r="NN1365" i="191"/>
  <c r="NT1365" i="191" s="1"/>
  <c r="NN1361" i="191"/>
  <c r="NT1361" i="191" s="1"/>
  <c r="NN1362" i="191"/>
  <c r="NT1362" i="191" s="1"/>
  <c r="HB1367" i="191"/>
  <c r="HH1367" i="191" s="1"/>
  <c r="HB1361" i="191"/>
  <c r="HH1361" i="191" s="1"/>
  <c r="HB1366" i="191"/>
  <c r="HH1366" i="191" s="1"/>
  <c r="HB1365" i="191"/>
  <c r="HH1365" i="191" s="1"/>
  <c r="HB1362" i="191"/>
  <c r="HH1362" i="191" s="1"/>
  <c r="AP1367" i="191"/>
  <c r="AV1367" i="191" s="1"/>
  <c r="AP1366" i="191"/>
  <c r="AV1366" i="191" s="1"/>
  <c r="AP1365" i="191"/>
  <c r="AV1365" i="191" s="1"/>
  <c r="AP1361" i="191"/>
  <c r="AV1361" i="191" s="1"/>
  <c r="AP1362" i="191"/>
  <c r="AV1362" i="191" s="1"/>
  <c r="TE1367" i="191"/>
  <c r="TK1367" i="191" s="1"/>
  <c r="TE1361" i="191"/>
  <c r="TK1361" i="191" s="1"/>
  <c r="TE1366" i="191"/>
  <c r="TK1366" i="191" s="1"/>
  <c r="TE1362" i="191"/>
  <c r="TK1362" i="191" s="1"/>
  <c r="TE1365" i="191"/>
  <c r="TK1365" i="191" s="1"/>
  <c r="MS1367" i="191"/>
  <c r="MY1367" i="191" s="1"/>
  <c r="MS1361" i="191"/>
  <c r="MY1361" i="191" s="1"/>
  <c r="MS1366" i="191"/>
  <c r="MY1366" i="191" s="1"/>
  <c r="MS1362" i="191"/>
  <c r="MY1362" i="191" s="1"/>
  <c r="MS1365" i="191"/>
  <c r="MY1365" i="191" s="1"/>
  <c r="GG1367" i="191"/>
  <c r="GM1367" i="191" s="1"/>
  <c r="GG1361" i="191"/>
  <c r="GM1361" i="191" s="1"/>
  <c r="GG1366" i="191"/>
  <c r="GM1366" i="191" s="1"/>
  <c r="GG1362" i="191"/>
  <c r="GM1362" i="191" s="1"/>
  <c r="GG1365" i="191"/>
  <c r="GM1365" i="191" s="1"/>
  <c r="U1367" i="191"/>
  <c r="AA1367" i="191" s="1"/>
  <c r="U1361" i="191"/>
  <c r="AA1361" i="191" s="1"/>
  <c r="U1366" i="191"/>
  <c r="AA1366" i="191" s="1"/>
  <c r="U1362" i="191"/>
  <c r="AA1362" i="191" s="1"/>
  <c r="U1365" i="191"/>
  <c r="AA1365" i="191" s="1"/>
  <c r="VP1365" i="191"/>
  <c r="VV1365" i="191" s="1"/>
  <c r="VP1362" i="191"/>
  <c r="VV1362" i="191" s="1"/>
  <c r="VP1361" i="191"/>
  <c r="VV1361" i="191" s="1"/>
  <c r="VP1366" i="191"/>
  <c r="VV1366" i="191" s="1"/>
  <c r="VP1367" i="191"/>
  <c r="VV1367" i="191" s="1"/>
  <c r="PD1367" i="191"/>
  <c r="PJ1367" i="191" s="1"/>
  <c r="PD1361" i="191"/>
  <c r="PJ1361" i="191" s="1"/>
  <c r="PD1362" i="191"/>
  <c r="PJ1362" i="191" s="1"/>
  <c r="PD1366" i="191"/>
  <c r="PJ1366" i="191" s="1"/>
  <c r="PD1365" i="191"/>
  <c r="PJ1365" i="191" s="1"/>
  <c r="IR1367" i="191"/>
  <c r="IX1367" i="191" s="1"/>
  <c r="IR1362" i="191"/>
  <c r="IX1362" i="191" s="1"/>
  <c r="IR1361" i="191"/>
  <c r="IX1361" i="191" s="1"/>
  <c r="IR1366" i="191"/>
  <c r="IX1366" i="191" s="1"/>
  <c r="IR1365" i="191"/>
  <c r="IX1365" i="191" s="1"/>
  <c r="CF1367" i="191"/>
  <c r="CL1367" i="191" s="1"/>
  <c r="CF1361" i="191"/>
  <c r="CL1361" i="191" s="1"/>
  <c r="CF1362" i="191"/>
  <c r="CL1362" i="191" s="1"/>
  <c r="CF1366" i="191"/>
  <c r="CL1366" i="191" s="1"/>
  <c r="CF1365" i="191"/>
  <c r="CL1365" i="191" s="1"/>
  <c r="UU1367" i="191"/>
  <c r="VA1367" i="191" s="1"/>
  <c r="UU1366" i="191"/>
  <c r="VA1366" i="191" s="1"/>
  <c r="UU1362" i="191"/>
  <c r="VA1362" i="191" s="1"/>
  <c r="UU1365" i="191"/>
  <c r="VA1365" i="191" s="1"/>
  <c r="UU1361" i="191"/>
  <c r="VA1361" i="191" s="1"/>
  <c r="OI1367" i="191"/>
  <c r="OO1367" i="191" s="1"/>
  <c r="OI1361" i="191"/>
  <c r="OO1361" i="191" s="1"/>
  <c r="OI1366" i="191"/>
  <c r="OO1366" i="191" s="1"/>
  <c r="OI1362" i="191"/>
  <c r="OO1362" i="191" s="1"/>
  <c r="OI1365" i="191"/>
  <c r="OO1365" i="191" s="1"/>
  <c r="HW1367" i="191"/>
  <c r="IC1367" i="191" s="1"/>
  <c r="HW1366" i="191"/>
  <c r="IC1366" i="191" s="1"/>
  <c r="HW1362" i="191"/>
  <c r="IC1362" i="191" s="1"/>
  <c r="HW1365" i="191"/>
  <c r="IC1365" i="191" s="1"/>
  <c r="HW1361" i="191"/>
  <c r="IC1361" i="191" s="1"/>
  <c r="BK1367" i="191"/>
  <c r="BQ1367" i="191" s="1"/>
  <c r="BK1361" i="191"/>
  <c r="BQ1361" i="191" s="1"/>
  <c r="BK1366" i="191"/>
  <c r="BQ1366" i="191" s="1"/>
  <c r="BK1362" i="191"/>
  <c r="BQ1362" i="191" s="1"/>
  <c r="BK1365" i="191"/>
  <c r="BQ1365" i="191" s="1"/>
  <c r="XF1367" i="191"/>
  <c r="XL1367" i="191" s="1"/>
  <c r="XF1361" i="191"/>
  <c r="XL1361" i="191" s="1"/>
  <c r="XF1366" i="191"/>
  <c r="XL1366" i="191" s="1"/>
  <c r="XF1362" i="191"/>
  <c r="XL1362" i="191" s="1"/>
  <c r="XF1365" i="191"/>
  <c r="XL1365" i="191" s="1"/>
  <c r="QT1367" i="191"/>
  <c r="QZ1367" i="191" s="1"/>
  <c r="QT1366" i="191"/>
  <c r="QZ1366" i="191" s="1"/>
  <c r="QT1365" i="191"/>
  <c r="QZ1365" i="191" s="1"/>
  <c r="QT1361" i="191"/>
  <c r="QZ1361" i="191" s="1"/>
  <c r="QT1362" i="191"/>
  <c r="QZ1362" i="191" s="1"/>
  <c r="KH1367" i="191"/>
  <c r="KN1367" i="191" s="1"/>
  <c r="KH1361" i="191"/>
  <c r="KN1361" i="191" s="1"/>
  <c r="KH1366" i="191"/>
  <c r="KN1366" i="191" s="1"/>
  <c r="KH1365" i="191"/>
  <c r="KN1365" i="191" s="1"/>
  <c r="KH1362" i="191"/>
  <c r="KN1362" i="191" s="1"/>
  <c r="DV1367" i="191"/>
  <c r="EB1367" i="191" s="1"/>
  <c r="DV1366" i="191"/>
  <c r="EB1366" i="191" s="1"/>
  <c r="DV1365" i="191"/>
  <c r="EB1365" i="191" s="1"/>
  <c r="DV1361" i="191"/>
  <c r="EB1361" i="191" s="1"/>
  <c r="DV1362" i="191"/>
  <c r="EB1362" i="191" s="1"/>
  <c r="WK1367" i="191"/>
  <c r="WQ1367" i="191" s="1"/>
  <c r="WK1361" i="191"/>
  <c r="WQ1361" i="191" s="1"/>
  <c r="WK1366" i="191"/>
  <c r="WQ1366" i="191" s="1"/>
  <c r="WK1362" i="191"/>
  <c r="WQ1362" i="191" s="1"/>
  <c r="WK1365" i="191"/>
  <c r="WQ1365" i="191" s="1"/>
  <c r="PY1367" i="191"/>
  <c r="QE1367" i="191" s="1"/>
  <c r="PY1361" i="191"/>
  <c r="QE1361" i="191" s="1"/>
  <c r="PY1366" i="191"/>
  <c r="QE1366" i="191" s="1"/>
  <c r="PY1362" i="191"/>
  <c r="QE1362" i="191" s="1"/>
  <c r="PY1365" i="191"/>
  <c r="QE1365" i="191" s="1"/>
  <c r="JM1367" i="191"/>
  <c r="JS1367" i="191" s="1"/>
  <c r="JM1361" i="191"/>
  <c r="JS1361" i="191" s="1"/>
  <c r="JM1366" i="191"/>
  <c r="JS1366" i="191" s="1"/>
  <c r="JM1362" i="191"/>
  <c r="JS1362" i="191" s="1"/>
  <c r="JM1365" i="191"/>
  <c r="JS1365" i="191" s="1"/>
  <c r="DA1367" i="191"/>
  <c r="DG1367" i="191" s="1"/>
  <c r="DA1361" i="191"/>
  <c r="DG1361" i="191" s="1"/>
  <c r="DA1366" i="191"/>
  <c r="DG1366" i="191" s="1"/>
  <c r="DA1362" i="191"/>
  <c r="DG1362" i="191" s="1"/>
  <c r="DA1365" i="191"/>
  <c r="DG1365" i="191" s="1"/>
  <c r="IR1363" i="191"/>
  <c r="IX1363" i="191" s="1"/>
  <c r="VP1363" i="191"/>
  <c r="VV1363" i="191" s="1"/>
  <c r="UU1363" i="191"/>
  <c r="VA1363" i="191" s="1"/>
  <c r="MS1363" i="191"/>
  <c r="MY1363" i="191" s="1"/>
  <c r="HW1363" i="191"/>
  <c r="IC1363" i="191" s="1"/>
  <c r="U1363" i="191"/>
  <c r="AA1363" i="191" s="1"/>
  <c r="NN1363" i="191"/>
  <c r="NT1363" i="191" s="1"/>
  <c r="AP1363" i="191"/>
  <c r="AV1363" i="191" s="1"/>
  <c r="CF1363" i="191"/>
  <c r="CL1363" i="191" s="1"/>
  <c r="PD1363" i="191"/>
  <c r="PJ1363" i="191" s="1"/>
  <c r="XF1363" i="191"/>
  <c r="XL1363" i="191" s="1"/>
  <c r="TE1363" i="191"/>
  <c r="TK1363" i="191" s="1"/>
  <c r="OI1363" i="191"/>
  <c r="OO1363" i="191" s="1"/>
  <c r="KH1363" i="191"/>
  <c r="KN1363" i="191" s="1"/>
  <c r="GG1363" i="191"/>
  <c r="GM1363" i="191" s="1"/>
  <c r="BK1363" i="191"/>
  <c r="BQ1363" i="191" s="1"/>
  <c r="TZ1363" i="191"/>
  <c r="UF1363" i="191" s="1"/>
  <c r="PY1363" i="191"/>
  <c r="QE1363" i="191" s="1"/>
  <c r="HB1363" i="191"/>
  <c r="HH1363" i="191" s="1"/>
  <c r="DA1363" i="191"/>
  <c r="DG1363" i="191" s="1"/>
  <c r="H1324" i="191"/>
  <c r="H1245" i="191"/>
  <c r="YR1344" i="191"/>
  <c r="YR1338" i="191" s="1"/>
  <c r="XB1344" i="191"/>
  <c r="XB1338" i="191" s="1"/>
  <c r="VL1344" i="191"/>
  <c r="VL1338" i="191" s="1"/>
  <c r="TV1344" i="191"/>
  <c r="TV1338" i="191" s="1"/>
  <c r="SF1344" i="191"/>
  <c r="SF1338" i="191" s="1"/>
  <c r="QP1344" i="191"/>
  <c r="QP1338" i="191" s="1"/>
  <c r="OZ1344" i="191"/>
  <c r="OZ1338" i="191" s="1"/>
  <c r="NJ1344" i="191"/>
  <c r="NJ1338" i="191" s="1"/>
  <c r="LT1344" i="191"/>
  <c r="LT1338" i="191" s="1"/>
  <c r="KD1344" i="191"/>
  <c r="KD1338" i="191" s="1"/>
  <c r="IN1344" i="191"/>
  <c r="IN1338" i="191" s="1"/>
  <c r="GX1344" i="191"/>
  <c r="GX1338" i="191" s="1"/>
  <c r="FH1344" i="191"/>
  <c r="FH1338" i="191" s="1"/>
  <c r="DR1344" i="191"/>
  <c r="DR1338" i="191" s="1"/>
  <c r="CB1344" i="191"/>
  <c r="CB1338" i="191" s="1"/>
  <c r="AL1344" i="191"/>
  <c r="AL1338" i="191" s="1"/>
  <c r="XW1344" i="191"/>
  <c r="XW1338" i="191" s="1"/>
  <c r="WG1344" i="191"/>
  <c r="WG1338" i="191" s="1"/>
  <c r="UQ1344" i="191"/>
  <c r="UQ1338" i="191" s="1"/>
  <c r="TA1344" i="191"/>
  <c r="TA1338" i="191" s="1"/>
  <c r="RK1344" i="191"/>
  <c r="RK1338" i="191" s="1"/>
  <c r="PU1344" i="191"/>
  <c r="PU1338" i="191" s="1"/>
  <c r="OE1344" i="191"/>
  <c r="OE1338" i="191" s="1"/>
  <c r="MO1344" i="191"/>
  <c r="MO1338" i="191" s="1"/>
  <c r="KY1344" i="191"/>
  <c r="KY1338" i="191" s="1"/>
  <c r="JI1344" i="191"/>
  <c r="JI1338" i="191" s="1"/>
  <c r="HS1344" i="191"/>
  <c r="HS1338" i="191" s="1"/>
  <c r="GC1344" i="191"/>
  <c r="GC1338" i="191" s="1"/>
  <c r="EM1344" i="191"/>
  <c r="EM1338" i="191" s="1"/>
  <c r="CW1344" i="191"/>
  <c r="CW1338" i="191" s="1"/>
  <c r="BG1344" i="191"/>
  <c r="BG1338" i="191" s="1"/>
  <c r="Q1344" i="191"/>
  <c r="Q1338" i="191" s="1"/>
  <c r="YR1334" i="191"/>
  <c r="YR1328" i="191" s="1"/>
  <c r="XB1334" i="191"/>
  <c r="XB1328" i="191" s="1"/>
  <c r="VL1334" i="191"/>
  <c r="VL1328" i="191" s="1"/>
  <c r="TV1334" i="191"/>
  <c r="TV1328" i="191" s="1"/>
  <c r="SF1334" i="191"/>
  <c r="SF1328" i="191" s="1"/>
  <c r="QP1334" i="191"/>
  <c r="QP1328" i="191" s="1"/>
  <c r="OZ1334" i="191"/>
  <c r="OZ1328" i="191" s="1"/>
  <c r="NJ1334" i="191"/>
  <c r="NJ1328" i="191" s="1"/>
  <c r="LT1334" i="191"/>
  <c r="LT1328" i="191" s="1"/>
  <c r="KD1334" i="191"/>
  <c r="KD1328" i="191" s="1"/>
  <c r="IN1334" i="191"/>
  <c r="IN1328" i="191" s="1"/>
  <c r="GX1334" i="191"/>
  <c r="GX1328" i="191" s="1"/>
  <c r="FH1334" i="191"/>
  <c r="FH1328" i="191" s="1"/>
  <c r="DR1334" i="191"/>
  <c r="DR1328" i="191" s="1"/>
  <c r="CB1334" i="191"/>
  <c r="CB1328" i="191" s="1"/>
  <c r="AL1334" i="191"/>
  <c r="AL1328" i="191" s="1"/>
  <c r="XW1334" i="191"/>
  <c r="XW1328" i="191" s="1"/>
  <c r="WG1334" i="191"/>
  <c r="WG1328" i="191" s="1"/>
  <c r="UQ1334" i="191"/>
  <c r="UQ1328" i="191" s="1"/>
  <c r="TA1334" i="191"/>
  <c r="TA1328" i="191" s="1"/>
  <c r="RK1334" i="191"/>
  <c r="RK1328" i="191" s="1"/>
  <c r="PU1334" i="191"/>
  <c r="PU1328" i="191" s="1"/>
  <c r="OE1334" i="191"/>
  <c r="OE1328" i="191" s="1"/>
  <c r="MO1334" i="191"/>
  <c r="MO1328" i="191" s="1"/>
  <c r="KY1334" i="191"/>
  <c r="KY1328" i="191" s="1"/>
  <c r="JI1334" i="191"/>
  <c r="JI1328" i="191" s="1"/>
  <c r="HS1334" i="191"/>
  <c r="HS1328" i="191" s="1"/>
  <c r="GC1334" i="191"/>
  <c r="GC1328" i="191" s="1"/>
  <c r="EM1334" i="191"/>
  <c r="EM1328" i="191" s="1"/>
  <c r="CW1334" i="191"/>
  <c r="CW1328" i="191" s="1"/>
  <c r="BG1334" i="191"/>
  <c r="BG1328" i="191" s="1"/>
  <c r="Q1334" i="191"/>
  <c r="Q1328" i="191" s="1"/>
  <c r="XA1344" i="191"/>
  <c r="XA1338" i="191" s="1"/>
  <c r="VK1344" i="191"/>
  <c r="VK1338" i="191" s="1"/>
  <c r="TU1344" i="191"/>
  <c r="TU1338" i="191" s="1"/>
  <c r="SE1344" i="191"/>
  <c r="SE1338" i="191" s="1"/>
  <c r="QO1344" i="191"/>
  <c r="QO1338" i="191" s="1"/>
  <c r="OY1344" i="191"/>
  <c r="OY1338" i="191" s="1"/>
  <c r="NI1344" i="191"/>
  <c r="NI1338" i="191" s="1"/>
  <c r="LS1344" i="191"/>
  <c r="LS1338" i="191" s="1"/>
  <c r="KC1344" i="191"/>
  <c r="KC1338" i="191" s="1"/>
  <c r="IM1344" i="191"/>
  <c r="IM1338" i="191" s="1"/>
  <c r="HR1344" i="191"/>
  <c r="HR1338" i="191" s="1"/>
  <c r="GB1344" i="191"/>
  <c r="GB1338" i="191" s="1"/>
  <c r="EL1344" i="191"/>
  <c r="EL1338" i="191" s="1"/>
  <c r="CV1344" i="191"/>
  <c r="CV1338" i="191" s="1"/>
  <c r="BF1344" i="191"/>
  <c r="BF1338" i="191" s="1"/>
  <c r="P1344" i="191"/>
  <c r="P1338" i="191" s="1"/>
  <c r="XV1344" i="191"/>
  <c r="XV1338" i="191" s="1"/>
  <c r="WF1344" i="191"/>
  <c r="WF1338" i="191" s="1"/>
  <c r="UP1344" i="191"/>
  <c r="UP1338" i="191" s="1"/>
  <c r="SZ1344" i="191"/>
  <c r="SZ1338" i="191" s="1"/>
  <c r="RJ1344" i="191"/>
  <c r="RJ1338" i="191" s="1"/>
  <c r="PT1344" i="191"/>
  <c r="PT1338" i="191" s="1"/>
  <c r="OD1344" i="191"/>
  <c r="OD1338" i="191" s="1"/>
  <c r="MN1344" i="191"/>
  <c r="MN1338" i="191" s="1"/>
  <c r="KX1344" i="191"/>
  <c r="KX1338" i="191" s="1"/>
  <c r="JH1344" i="191"/>
  <c r="JH1338" i="191" s="1"/>
  <c r="YQ1344" i="191"/>
  <c r="YQ1338" i="191" s="1"/>
  <c r="GW1344" i="191"/>
  <c r="GW1338" i="191" s="1"/>
  <c r="FG1344" i="191"/>
  <c r="FG1338" i="191" s="1"/>
  <c r="DQ1344" i="191"/>
  <c r="DQ1338" i="191" s="1"/>
  <c r="CA1344" i="191"/>
  <c r="CA1338" i="191" s="1"/>
  <c r="AK1344" i="191"/>
  <c r="AK1338" i="191" s="1"/>
  <c r="XA1334" i="191"/>
  <c r="XA1328" i="191" s="1"/>
  <c r="VK1334" i="191"/>
  <c r="VK1328" i="191" s="1"/>
  <c r="TU1334" i="191"/>
  <c r="TU1328" i="191" s="1"/>
  <c r="SE1334" i="191"/>
  <c r="SE1328" i="191" s="1"/>
  <c r="QO1334" i="191"/>
  <c r="QO1328" i="191" s="1"/>
  <c r="OY1334" i="191"/>
  <c r="OY1328" i="191" s="1"/>
  <c r="NI1334" i="191"/>
  <c r="NI1328" i="191" s="1"/>
  <c r="LS1334" i="191"/>
  <c r="LS1328" i="191" s="1"/>
  <c r="KC1334" i="191"/>
  <c r="KC1328" i="191" s="1"/>
  <c r="IM1334" i="191"/>
  <c r="IM1328" i="191" s="1"/>
  <c r="GW1334" i="191"/>
  <c r="GW1328" i="191" s="1"/>
  <c r="FG1334" i="191"/>
  <c r="FG1328" i="191" s="1"/>
  <c r="DQ1334" i="191"/>
  <c r="DQ1328" i="191" s="1"/>
  <c r="CA1334" i="191"/>
  <c r="CA1328" i="191" s="1"/>
  <c r="AK1334" i="191"/>
  <c r="AK1328" i="191" s="1"/>
  <c r="YQ1334" i="191"/>
  <c r="YQ1328" i="191" s="1"/>
  <c r="XV1334" i="191"/>
  <c r="XV1328" i="191" s="1"/>
  <c r="WF1334" i="191"/>
  <c r="WF1328" i="191" s="1"/>
  <c r="UP1334" i="191"/>
  <c r="UP1328" i="191" s="1"/>
  <c r="SZ1334" i="191"/>
  <c r="SZ1328" i="191" s="1"/>
  <c r="RJ1334" i="191"/>
  <c r="RJ1328" i="191" s="1"/>
  <c r="PT1334" i="191"/>
  <c r="PT1328" i="191" s="1"/>
  <c r="OD1334" i="191"/>
  <c r="OD1328" i="191" s="1"/>
  <c r="MN1334" i="191"/>
  <c r="MN1328" i="191" s="1"/>
  <c r="KX1334" i="191"/>
  <c r="KX1328" i="191" s="1"/>
  <c r="JH1334" i="191"/>
  <c r="JH1328" i="191" s="1"/>
  <c r="HR1334" i="191"/>
  <c r="HR1328" i="191" s="1"/>
  <c r="GB1334" i="191"/>
  <c r="GB1328" i="191" s="1"/>
  <c r="EL1334" i="191"/>
  <c r="EL1328" i="191" s="1"/>
  <c r="CV1334" i="191"/>
  <c r="CV1328" i="191" s="1"/>
  <c r="BF1334" i="191"/>
  <c r="BF1328" i="191" s="1"/>
  <c r="P1334" i="191"/>
  <c r="P1328" i="191" s="1"/>
  <c r="G1324" i="191"/>
  <c r="G1245" i="191"/>
  <c r="F1324" i="191"/>
  <c r="F1245" i="191"/>
  <c r="YP1344" i="191"/>
  <c r="YP1338" i="191" s="1"/>
  <c r="WZ1344" i="191"/>
  <c r="WZ1338" i="191" s="1"/>
  <c r="VJ1344" i="191"/>
  <c r="VJ1338" i="191" s="1"/>
  <c r="TT1344" i="191"/>
  <c r="TT1338" i="191" s="1"/>
  <c r="SD1344" i="191"/>
  <c r="SD1338" i="191" s="1"/>
  <c r="QN1344" i="191"/>
  <c r="QN1338" i="191" s="1"/>
  <c r="OX1344" i="191"/>
  <c r="OX1338" i="191" s="1"/>
  <c r="NH1344" i="191"/>
  <c r="NH1338" i="191" s="1"/>
  <c r="LR1344" i="191"/>
  <c r="LR1338" i="191" s="1"/>
  <c r="KB1344" i="191"/>
  <c r="KB1338" i="191" s="1"/>
  <c r="IL1344" i="191"/>
  <c r="IL1338" i="191" s="1"/>
  <c r="GV1344" i="191"/>
  <c r="GV1338" i="191" s="1"/>
  <c r="FF1344" i="191"/>
  <c r="FF1338" i="191" s="1"/>
  <c r="DP1344" i="191"/>
  <c r="DP1338" i="191" s="1"/>
  <c r="BZ1344" i="191"/>
  <c r="BZ1338" i="191" s="1"/>
  <c r="AJ1344" i="191"/>
  <c r="AJ1338" i="191" s="1"/>
  <c r="XU1344" i="191"/>
  <c r="XU1338" i="191" s="1"/>
  <c r="WE1344" i="191"/>
  <c r="WE1338" i="191" s="1"/>
  <c r="UO1344" i="191"/>
  <c r="UO1338" i="191" s="1"/>
  <c r="SY1344" i="191"/>
  <c r="SY1338" i="191" s="1"/>
  <c r="RI1344" i="191"/>
  <c r="RI1338" i="191" s="1"/>
  <c r="PS1344" i="191"/>
  <c r="PS1338" i="191" s="1"/>
  <c r="OC1344" i="191"/>
  <c r="OC1338" i="191" s="1"/>
  <c r="MM1344" i="191"/>
  <c r="MM1338" i="191" s="1"/>
  <c r="KW1344" i="191"/>
  <c r="KW1338" i="191" s="1"/>
  <c r="JG1344" i="191"/>
  <c r="JG1338" i="191" s="1"/>
  <c r="HQ1344" i="191"/>
  <c r="HQ1338" i="191" s="1"/>
  <c r="GA1344" i="191"/>
  <c r="GA1338" i="191" s="1"/>
  <c r="EK1344" i="191"/>
  <c r="EK1338" i="191" s="1"/>
  <c r="CU1344" i="191"/>
  <c r="CU1338" i="191" s="1"/>
  <c r="BE1344" i="191"/>
  <c r="BE1338" i="191" s="1"/>
  <c r="O1344" i="191"/>
  <c r="O1338" i="191" s="1"/>
  <c r="WE1334" i="191"/>
  <c r="WE1328" i="191" s="1"/>
  <c r="O1334" i="191"/>
  <c r="O1328" i="191" s="1"/>
  <c r="YP1334" i="191"/>
  <c r="YP1328" i="191" s="1"/>
  <c r="WZ1334" i="191"/>
  <c r="WZ1328" i="191" s="1"/>
  <c r="VJ1334" i="191"/>
  <c r="VJ1328" i="191" s="1"/>
  <c r="TT1334" i="191"/>
  <c r="TT1328" i="191" s="1"/>
  <c r="SD1334" i="191"/>
  <c r="SD1328" i="191" s="1"/>
  <c r="QN1334" i="191"/>
  <c r="QN1328" i="191" s="1"/>
  <c r="OX1334" i="191"/>
  <c r="OX1328" i="191" s="1"/>
  <c r="NH1334" i="191"/>
  <c r="NH1328" i="191" s="1"/>
  <c r="LR1334" i="191"/>
  <c r="LR1328" i="191" s="1"/>
  <c r="KB1334" i="191"/>
  <c r="KB1328" i="191" s="1"/>
  <c r="IL1334" i="191"/>
  <c r="IL1328" i="191" s="1"/>
  <c r="GV1334" i="191"/>
  <c r="GV1328" i="191" s="1"/>
  <c r="FF1334" i="191"/>
  <c r="FF1328" i="191" s="1"/>
  <c r="DP1334" i="191"/>
  <c r="DP1328" i="191" s="1"/>
  <c r="BZ1334" i="191"/>
  <c r="BZ1328" i="191" s="1"/>
  <c r="AJ1334" i="191"/>
  <c r="AJ1328" i="191" s="1"/>
  <c r="XU1334" i="191"/>
  <c r="XU1328" i="191" s="1"/>
  <c r="UO1334" i="191"/>
  <c r="UO1328" i="191" s="1"/>
  <c r="SY1334" i="191"/>
  <c r="SY1328" i="191" s="1"/>
  <c r="RI1334" i="191"/>
  <c r="RI1328" i="191" s="1"/>
  <c r="PS1334" i="191"/>
  <c r="PS1328" i="191" s="1"/>
  <c r="OC1334" i="191"/>
  <c r="OC1328" i="191" s="1"/>
  <c r="MM1334" i="191"/>
  <c r="MM1328" i="191" s="1"/>
  <c r="KW1334" i="191"/>
  <c r="KW1328" i="191" s="1"/>
  <c r="JG1334" i="191"/>
  <c r="JG1328" i="191" s="1"/>
  <c r="HQ1334" i="191"/>
  <c r="HQ1328" i="191" s="1"/>
  <c r="GA1334" i="191"/>
  <c r="GA1328" i="191" s="1"/>
  <c r="EK1334" i="191"/>
  <c r="EK1328" i="191" s="1"/>
  <c r="CU1334" i="191"/>
  <c r="CU1328" i="191" s="1"/>
  <c r="BE1334" i="191"/>
  <c r="BE1328" i="191" s="1"/>
  <c r="HK1280" i="191" l="1"/>
  <c r="HK1296" i="191"/>
  <c r="TN1280" i="191"/>
  <c r="RC1296" i="191"/>
  <c r="EE1296" i="191"/>
  <c r="SR1360" i="191"/>
  <c r="SR1371" i="191" s="1"/>
  <c r="SR1372" i="191" s="1"/>
  <c r="AY1280" i="191"/>
  <c r="GP1296" i="191"/>
  <c r="LL1296" i="191"/>
  <c r="LL1280" i="191"/>
  <c r="GP1280" i="191"/>
  <c r="AY1296" i="191"/>
  <c r="RC1280" i="191"/>
  <c r="AD1280" i="191"/>
  <c r="AD1296" i="191"/>
  <c r="RX1280" i="191"/>
  <c r="QH1296" i="191"/>
  <c r="QH1280" i="191"/>
  <c r="WT1280" i="191"/>
  <c r="WT1296" i="191"/>
  <c r="RX1296" i="191"/>
  <c r="TN1296" i="191"/>
  <c r="EE1280" i="191"/>
  <c r="KS1318" i="191"/>
  <c r="ZG1338" i="191"/>
  <c r="IF1280" i="191"/>
  <c r="ZE1312" i="191"/>
  <c r="KS1338" i="191"/>
  <c r="ZG1318" i="191"/>
  <c r="SU1328" i="191"/>
  <c r="AD1338" i="191"/>
  <c r="JC1338" i="191"/>
  <c r="JC1318" i="191"/>
  <c r="EF1338" i="191"/>
  <c r="ZG1328" i="191"/>
  <c r="JC1328" i="191"/>
  <c r="SU1318" i="191"/>
  <c r="KS1328" i="191"/>
  <c r="XP1318" i="191"/>
  <c r="SU1338" i="191"/>
  <c r="FT1360" i="191"/>
  <c r="FT1371" i="191" s="1"/>
  <c r="FT1372" i="191" s="1"/>
  <c r="IF1296" i="191"/>
  <c r="OR1280" i="191"/>
  <c r="MG1312" i="191"/>
  <c r="MG1313" i="191" s="1"/>
  <c r="AD1328" i="191"/>
  <c r="EF1318" i="191"/>
  <c r="FA1318" i="191"/>
  <c r="BT1296" i="191"/>
  <c r="JA1296" i="191"/>
  <c r="CQ1328" i="191"/>
  <c r="CQ1318" i="191"/>
  <c r="EF1328" i="191"/>
  <c r="FA1338" i="191"/>
  <c r="AD1318" i="191"/>
  <c r="CQ1338" i="191"/>
  <c r="FA1328" i="191"/>
  <c r="AY1318" i="191"/>
  <c r="XP1338" i="191"/>
  <c r="VF1318" i="191"/>
  <c r="VF1338" i="191"/>
  <c r="XP1328" i="191"/>
  <c r="BT1328" i="191"/>
  <c r="BT1338" i="191"/>
  <c r="AY1338" i="191"/>
  <c r="DJ1312" i="191"/>
  <c r="DJ1313" i="191" s="1"/>
  <c r="FU1312" i="191"/>
  <c r="FU1313" i="191" s="1"/>
  <c r="JA1280" i="191"/>
  <c r="BT1318" i="191"/>
  <c r="AY1328" i="191"/>
  <c r="EZ1312" i="191"/>
  <c r="EZ1313" i="191" s="1"/>
  <c r="BT1280" i="191"/>
  <c r="OR1296" i="191"/>
  <c r="CO1296" i="191"/>
  <c r="NW1280" i="191"/>
  <c r="PM1280" i="191"/>
  <c r="CO1280" i="191"/>
  <c r="PM1296" i="191"/>
  <c r="NW1296" i="191"/>
  <c r="VD1296" i="191"/>
  <c r="JV1312" i="191"/>
  <c r="JV1313" i="191" s="1"/>
  <c r="XO1312" i="191"/>
  <c r="XO1313" i="191" s="1"/>
  <c r="YJ1312" i="191"/>
  <c r="YJ1313" i="191" s="1"/>
  <c r="UI1312" i="191"/>
  <c r="UI1313" i="191" s="1"/>
  <c r="NB1296" i="191"/>
  <c r="KQ1312" i="191"/>
  <c r="KQ1313" i="191" s="1"/>
  <c r="NB1280" i="191"/>
  <c r="VY1280" i="191"/>
  <c r="VY1296" i="191"/>
  <c r="VD1280" i="191"/>
  <c r="AF1318" i="191"/>
  <c r="BV1328" i="191"/>
  <c r="ED1360" i="191"/>
  <c r="ED1371" i="191" s="1"/>
  <c r="ED1372" i="191" s="1"/>
  <c r="NV1360" i="191"/>
  <c r="NV1371" i="191" s="1"/>
  <c r="NV1372" i="191" s="1"/>
  <c r="UH1360" i="191"/>
  <c r="UH1371" i="191" s="1"/>
  <c r="UH1372" i="191" s="1"/>
  <c r="VF1328" i="191"/>
  <c r="NC1318" i="191"/>
  <c r="BV1318" i="191"/>
  <c r="AF1328" i="191"/>
  <c r="AF1338" i="191"/>
  <c r="PN1328" i="191"/>
  <c r="LN1338" i="191"/>
  <c r="UJ1338" i="191"/>
  <c r="LM1338" i="191"/>
  <c r="DK1328" i="191"/>
  <c r="LM1328" i="191"/>
  <c r="IZ1360" i="191"/>
  <c r="IZ1371" i="191" s="1"/>
  <c r="IZ1372" i="191" s="1"/>
  <c r="PL1360" i="191"/>
  <c r="PL1371" i="191" s="1"/>
  <c r="PL1372" i="191" s="1"/>
  <c r="MF1360" i="191"/>
  <c r="MF1371" i="191" s="1"/>
  <c r="MF1372" i="191" s="1"/>
  <c r="CN1360" i="191"/>
  <c r="CN1371" i="191" s="1"/>
  <c r="CN1372" i="191" s="1"/>
  <c r="RB1360" i="191"/>
  <c r="RB1371" i="191" s="1"/>
  <c r="RB1372" i="191" s="1"/>
  <c r="XN1360" i="191"/>
  <c r="XN1371" i="191" s="1"/>
  <c r="XN1372" i="191" s="1"/>
  <c r="AX1360" i="191"/>
  <c r="AX1371" i="191" s="1"/>
  <c r="AX1372" i="191" s="1"/>
  <c r="HJ1360" i="191"/>
  <c r="HJ1371" i="191" s="1"/>
  <c r="HJ1372" i="191" s="1"/>
  <c r="VX1360" i="191"/>
  <c r="VX1371" i="191" s="1"/>
  <c r="VX1372" i="191" s="1"/>
  <c r="UJ1328" i="191"/>
  <c r="BV1338" i="191"/>
  <c r="HM1328" i="191"/>
  <c r="PN1318" i="191"/>
  <c r="UJ1318" i="191"/>
  <c r="LM1318" i="191"/>
  <c r="MI1328" i="191"/>
  <c r="CP1328" i="191"/>
  <c r="RE1328" i="191"/>
  <c r="PM1338" i="191"/>
  <c r="QH1338" i="191"/>
  <c r="RE1318" i="191"/>
  <c r="PN1338" i="191"/>
  <c r="LN1328" i="191"/>
  <c r="FW1338" i="191"/>
  <c r="NC1338" i="191"/>
  <c r="ND1328" i="191"/>
  <c r="PM1328" i="191"/>
  <c r="HL1318" i="191"/>
  <c r="NX1328" i="191"/>
  <c r="GQ1318" i="191"/>
  <c r="YL1338" i="191"/>
  <c r="YL1328" i="191"/>
  <c r="RZ1328" i="191"/>
  <c r="RZ1338" i="191"/>
  <c r="HM1338" i="191"/>
  <c r="WT1338" i="191"/>
  <c r="MI1338" i="191"/>
  <c r="MI1318" i="191"/>
  <c r="CP1338" i="191"/>
  <c r="ND1318" i="191"/>
  <c r="PM1318" i="191"/>
  <c r="QH1318" i="191"/>
  <c r="YL1318" i="191"/>
  <c r="HL1338" i="191"/>
  <c r="GQ1328" i="191"/>
  <c r="RE1338" i="191"/>
  <c r="ND1338" i="191"/>
  <c r="HL1328" i="191"/>
  <c r="DK1318" i="191"/>
  <c r="DK1338" i="191"/>
  <c r="GQ1338" i="191"/>
  <c r="LN1318" i="191"/>
  <c r="FW1318" i="191"/>
  <c r="FW1328" i="191"/>
  <c r="CP1318" i="191"/>
  <c r="NC1328" i="191"/>
  <c r="QH1328" i="191"/>
  <c r="RZ1318" i="191"/>
  <c r="NX1338" i="191"/>
  <c r="NX1318" i="191"/>
  <c r="HM1318" i="191"/>
  <c r="JA1338" i="191"/>
  <c r="PO1318" i="191"/>
  <c r="DJ1338" i="191"/>
  <c r="QJ1318" i="191"/>
  <c r="JA1318" i="191"/>
  <c r="RC1328" i="191"/>
  <c r="GP1318" i="191"/>
  <c r="HK1338" i="191"/>
  <c r="NY1328" i="191"/>
  <c r="RX1328" i="191"/>
  <c r="NB1338" i="191"/>
  <c r="ZE1318" i="191"/>
  <c r="ZE1328" i="191"/>
  <c r="DJ1318" i="191"/>
  <c r="QJ1328" i="191"/>
  <c r="RY1328" i="191"/>
  <c r="HK1318" i="191"/>
  <c r="KQ1328" i="191"/>
  <c r="VE1328" i="191"/>
  <c r="MH1328" i="191"/>
  <c r="KQ1318" i="191"/>
  <c r="XO1328" i="191"/>
  <c r="RC1318" i="191"/>
  <c r="DJ1328" i="191"/>
  <c r="SS1318" i="191"/>
  <c r="MG1328" i="191"/>
  <c r="OR1318" i="191"/>
  <c r="AZ1328" i="191"/>
  <c r="NY1338" i="191"/>
  <c r="RY1318" i="191"/>
  <c r="JV1318" i="191"/>
  <c r="LL1338" i="191"/>
  <c r="GP1328" i="191"/>
  <c r="VE1318" i="191"/>
  <c r="MH1318" i="191"/>
  <c r="MH1338" i="191"/>
  <c r="QJ1338" i="191"/>
  <c r="NY1318" i="191"/>
  <c r="AZ1338" i="191"/>
  <c r="MG1318" i="191"/>
  <c r="WT1328" i="191"/>
  <c r="WA1338" i="191"/>
  <c r="JV1338" i="191"/>
  <c r="JA1328" i="191"/>
  <c r="LL1318" i="191"/>
  <c r="KQ1338" i="191"/>
  <c r="WV1338" i="191"/>
  <c r="SS1338" i="191"/>
  <c r="AZ1318" i="191"/>
  <c r="MG1338" i="191"/>
  <c r="ZE1338" i="191"/>
  <c r="WT1318" i="191"/>
  <c r="RC1338" i="191"/>
  <c r="SS1328" i="191"/>
  <c r="WA1318" i="191"/>
  <c r="HK1328" i="191"/>
  <c r="JV1328" i="191"/>
  <c r="LL1328" i="191"/>
  <c r="GP1338" i="191"/>
  <c r="VE1338" i="191"/>
  <c r="OR1328" i="191"/>
  <c r="OR1338" i="191"/>
  <c r="RX1318" i="191"/>
  <c r="RX1338" i="191"/>
  <c r="NB1328" i="191"/>
  <c r="NB1318" i="191"/>
  <c r="VD1328" i="191"/>
  <c r="IG1328" i="191"/>
  <c r="WA1328" i="191"/>
  <c r="KP1360" i="191"/>
  <c r="KP1371" i="191" s="1"/>
  <c r="KP1372" i="191" s="1"/>
  <c r="RY1338" i="191"/>
  <c r="WV1328" i="191"/>
  <c r="QI1350" i="191"/>
  <c r="QI1351" i="191" s="1"/>
  <c r="VY1318" i="191"/>
  <c r="FU1338" i="191"/>
  <c r="JX1338" i="191"/>
  <c r="WV1318" i="191"/>
  <c r="KR1328" i="191"/>
  <c r="JX1328" i="191"/>
  <c r="JX1318" i="191"/>
  <c r="VY1338" i="191"/>
  <c r="FU1318" i="191"/>
  <c r="EG1328" i="191"/>
  <c r="FV1328" i="191"/>
  <c r="BA1328" i="191"/>
  <c r="CO1318" i="191"/>
  <c r="IG1318" i="191"/>
  <c r="VD1318" i="191"/>
  <c r="YJ1318" i="191"/>
  <c r="VZ1318" i="191"/>
  <c r="OS1328" i="191"/>
  <c r="BA1338" i="191"/>
  <c r="GR1318" i="191"/>
  <c r="IG1338" i="191"/>
  <c r="UI1338" i="191"/>
  <c r="FB1338" i="191"/>
  <c r="BU1338" i="191"/>
  <c r="CO1338" i="191"/>
  <c r="IF1338" i="191"/>
  <c r="GR1328" i="191"/>
  <c r="UK1318" i="191"/>
  <c r="NW1338" i="191"/>
  <c r="OS1318" i="191"/>
  <c r="ST1328" i="191"/>
  <c r="ST1318" i="191"/>
  <c r="TO1318" i="191"/>
  <c r="EG1318" i="191"/>
  <c r="TO1328" i="191"/>
  <c r="JB1318" i="191"/>
  <c r="KR1338" i="191"/>
  <c r="EZ1328" i="191"/>
  <c r="IF1328" i="191"/>
  <c r="IF1318" i="191"/>
  <c r="YJ1338" i="191"/>
  <c r="XO1338" i="191"/>
  <c r="XO1318" i="191"/>
  <c r="FU1328" i="191"/>
  <c r="VZ1328" i="191"/>
  <c r="EG1338" i="191"/>
  <c r="NW1318" i="191"/>
  <c r="OS1338" i="191"/>
  <c r="TO1338" i="191"/>
  <c r="FV1318" i="191"/>
  <c r="FV1338" i="191"/>
  <c r="BA1318" i="191"/>
  <c r="CO1328" i="191"/>
  <c r="XQ1350" i="191"/>
  <c r="XQ1351" i="191" s="1"/>
  <c r="JB1328" i="191"/>
  <c r="VY1328" i="191"/>
  <c r="YJ1328" i="191"/>
  <c r="VZ1338" i="191"/>
  <c r="FB1328" i="191"/>
  <c r="UK1338" i="191"/>
  <c r="UK1328" i="191"/>
  <c r="NW1328" i="191"/>
  <c r="ST1338" i="191"/>
  <c r="GR1338" i="191"/>
  <c r="PO1338" i="191"/>
  <c r="PO1328" i="191"/>
  <c r="KR1318" i="191"/>
  <c r="FB1318" i="191"/>
  <c r="JB1338" i="191"/>
  <c r="OT1328" i="191"/>
  <c r="YK1328" i="191"/>
  <c r="YK1318" i="191"/>
  <c r="YK1338" i="191"/>
  <c r="OT1318" i="191"/>
  <c r="OT1338" i="191"/>
  <c r="RD1328" i="191"/>
  <c r="TP1328" i="191"/>
  <c r="TP1338" i="191"/>
  <c r="TP1318" i="191"/>
  <c r="RD1338" i="191"/>
  <c r="RD1318" i="191"/>
  <c r="VD1338" i="191"/>
  <c r="AE1328" i="191"/>
  <c r="JW1338" i="191"/>
  <c r="DL1328" i="191"/>
  <c r="ZF1318" i="191"/>
  <c r="DL1318" i="191"/>
  <c r="DL1338" i="191"/>
  <c r="ZD1360" i="191"/>
  <c r="ZD1371" i="191" s="1"/>
  <c r="ZF1328" i="191"/>
  <c r="EE1328" i="191"/>
  <c r="EZ1338" i="191"/>
  <c r="BU1318" i="191"/>
  <c r="AE1318" i="191"/>
  <c r="AE1338" i="191"/>
  <c r="ZF1338" i="191"/>
  <c r="BU1328" i="191"/>
  <c r="WU1318" i="191"/>
  <c r="WU1328" i="191"/>
  <c r="EE1338" i="191"/>
  <c r="UI1328" i="191"/>
  <c r="UI1318" i="191"/>
  <c r="JW1318" i="191"/>
  <c r="JW1328" i="191"/>
  <c r="EZ1318" i="191"/>
  <c r="EE1318" i="191"/>
  <c r="WU1338" i="191"/>
  <c r="IH1350" i="191"/>
  <c r="IH1351" i="191" s="1"/>
  <c r="TN1338" i="191"/>
  <c r="TN1318" i="191"/>
  <c r="TN1328" i="191"/>
  <c r="RU1360" i="191"/>
  <c r="RU1371" i="191" s="1"/>
  <c r="RU1372" i="191" s="1"/>
  <c r="EW1360" i="191"/>
  <c r="EW1371" i="191" s="1"/>
  <c r="EW1372" i="191" s="1"/>
  <c r="LJ1360" i="191"/>
  <c r="LJ1371" i="191" s="1"/>
  <c r="LJ1372" i="191" s="1"/>
  <c r="RV1360" i="191"/>
  <c r="RV1371" i="191" s="1"/>
  <c r="RV1372" i="191" s="1"/>
  <c r="YH1360" i="191"/>
  <c r="YH1371" i="191" s="1"/>
  <c r="YH1372" i="191" s="1"/>
  <c r="EC1360" i="191"/>
  <c r="EC1371" i="191" s="1"/>
  <c r="EC1372" i="191" s="1"/>
  <c r="KO1360" i="191"/>
  <c r="KO1371" i="191" s="1"/>
  <c r="KO1372" i="191" s="1"/>
  <c r="RA1360" i="191"/>
  <c r="RA1371" i="191" s="1"/>
  <c r="RA1372" i="191" s="1"/>
  <c r="XM1360" i="191"/>
  <c r="XM1371" i="191" s="1"/>
  <c r="XM1372" i="191" s="1"/>
  <c r="DH1360" i="191"/>
  <c r="DH1371" i="191" s="1"/>
  <c r="DH1372" i="191" s="1"/>
  <c r="AW1360" i="191"/>
  <c r="AW1371" i="191" s="1"/>
  <c r="AW1372" i="191" s="1"/>
  <c r="HI1360" i="191"/>
  <c r="HI1371" i="191" s="1"/>
  <c r="HI1372" i="191" s="1"/>
  <c r="NU1360" i="191"/>
  <c r="NU1371" i="191" s="1"/>
  <c r="NU1372" i="191" s="1"/>
  <c r="UG1360" i="191"/>
  <c r="UG1371" i="191" s="1"/>
  <c r="UG1372" i="191" s="1"/>
  <c r="AB1360" i="191"/>
  <c r="AB1371" i="191" s="1"/>
  <c r="AB1372" i="191" s="1"/>
  <c r="GN1360" i="191"/>
  <c r="GN1371" i="191" s="1"/>
  <c r="GN1372" i="191" s="1"/>
  <c r="MZ1360" i="191"/>
  <c r="MZ1371" i="191" s="1"/>
  <c r="MZ1372" i="191" s="1"/>
  <c r="TL1360" i="191"/>
  <c r="TL1371" i="191" s="1"/>
  <c r="TL1372" i="191" s="1"/>
  <c r="EX1360" i="191"/>
  <c r="EX1371" i="191" s="1"/>
  <c r="EX1372" i="191" s="1"/>
  <c r="JT1360" i="191"/>
  <c r="JT1371" i="191" s="1"/>
  <c r="JT1372" i="191" s="1"/>
  <c r="QF1360" i="191"/>
  <c r="QF1371" i="191" s="1"/>
  <c r="QF1372" i="191" s="1"/>
  <c r="WR1360" i="191"/>
  <c r="WR1371" i="191" s="1"/>
  <c r="WR1372" i="191" s="1"/>
  <c r="CM1360" i="191"/>
  <c r="CM1371" i="191" s="1"/>
  <c r="CM1372" i="191" s="1"/>
  <c r="IY1360" i="191"/>
  <c r="IY1371" i="191" s="1"/>
  <c r="IY1372" i="191" s="1"/>
  <c r="PK1360" i="191"/>
  <c r="PK1371" i="191" s="1"/>
  <c r="PK1372" i="191" s="1"/>
  <c r="VW1360" i="191"/>
  <c r="VW1371" i="191" s="1"/>
  <c r="VW1372" i="191" s="1"/>
  <c r="BR1360" i="191"/>
  <c r="BR1371" i="191" s="1"/>
  <c r="BR1372" i="191" s="1"/>
  <c r="ID1360" i="191"/>
  <c r="ID1371" i="191" s="1"/>
  <c r="ID1372" i="191" s="1"/>
  <c r="OP1360" i="191"/>
  <c r="OP1371" i="191" s="1"/>
  <c r="OP1372" i="191" s="1"/>
  <c r="VB1360" i="191"/>
  <c r="VB1371" i="191" s="1"/>
  <c r="VB1372" i="191" s="1"/>
  <c r="ZC1360" i="191"/>
  <c r="ZC1371" i="191" s="1"/>
  <c r="FS1360" i="191"/>
  <c r="FS1371" i="191" s="1"/>
  <c r="FS1372" i="191" s="1"/>
  <c r="ME1360" i="191"/>
  <c r="ME1371" i="191" s="1"/>
  <c r="ME1372" i="191" s="1"/>
  <c r="SQ1360" i="191"/>
  <c r="SQ1371" i="191" s="1"/>
  <c r="SQ1372" i="191" s="1"/>
  <c r="EB1360" i="191"/>
  <c r="EB1371" i="191" s="1"/>
  <c r="EB1372" i="191" s="1"/>
  <c r="QZ1360" i="191"/>
  <c r="QZ1371" i="191" s="1"/>
  <c r="QZ1372" i="191" s="1"/>
  <c r="AV1360" i="191"/>
  <c r="AV1371" i="191" s="1"/>
  <c r="AV1372" i="191" s="1"/>
  <c r="DG1360" i="191"/>
  <c r="DG1371" i="191" s="1"/>
  <c r="DG1372" i="191" s="1"/>
  <c r="QE1360" i="191"/>
  <c r="QE1371" i="191" s="1"/>
  <c r="QE1372" i="191" s="1"/>
  <c r="BQ1360" i="191"/>
  <c r="BQ1371" i="191" s="1"/>
  <c r="BQ1372" i="191" s="1"/>
  <c r="IC1360" i="191"/>
  <c r="IC1371" i="191" s="1"/>
  <c r="IC1372" i="191" s="1"/>
  <c r="OO1360" i="191"/>
  <c r="OO1371" i="191" s="1"/>
  <c r="OO1372" i="191" s="1"/>
  <c r="VA1360" i="191"/>
  <c r="VA1371" i="191" s="1"/>
  <c r="VA1372" i="191" s="1"/>
  <c r="CL1360" i="191"/>
  <c r="CL1371" i="191" s="1"/>
  <c r="CL1372" i="191" s="1"/>
  <c r="IX1360" i="191"/>
  <c r="IX1371" i="191" s="1"/>
  <c r="IX1372" i="191" s="1"/>
  <c r="PJ1360" i="191"/>
  <c r="PJ1371" i="191" s="1"/>
  <c r="PJ1372" i="191" s="1"/>
  <c r="VV1360" i="191"/>
  <c r="VV1371" i="191" s="1"/>
  <c r="VV1372" i="191" s="1"/>
  <c r="AA1360" i="191"/>
  <c r="AA1371" i="191" s="1"/>
  <c r="AA1372" i="191" s="1"/>
  <c r="MY1360" i="191"/>
  <c r="MY1371" i="191" s="1"/>
  <c r="MY1372" i="191" s="1"/>
  <c r="NT1360" i="191"/>
  <c r="NT1371" i="191" s="1"/>
  <c r="NT1372" i="191" s="1"/>
  <c r="MD1360" i="191"/>
  <c r="MD1371" i="191" s="1"/>
  <c r="MD1372" i="191" s="1"/>
  <c r="JS1360" i="191"/>
  <c r="JS1371" i="191" s="1"/>
  <c r="JS1372" i="191" s="1"/>
  <c r="WQ1360" i="191"/>
  <c r="WQ1371" i="191" s="1"/>
  <c r="WQ1372" i="191" s="1"/>
  <c r="KN1360" i="191"/>
  <c r="KN1371" i="191" s="1"/>
  <c r="KN1372" i="191" s="1"/>
  <c r="XL1360" i="191"/>
  <c r="XL1371" i="191" s="1"/>
  <c r="XL1372" i="191" s="1"/>
  <c r="GM1360" i="191"/>
  <c r="GM1371" i="191" s="1"/>
  <c r="GM1372" i="191" s="1"/>
  <c r="TK1360" i="191"/>
  <c r="TK1371" i="191" s="1"/>
  <c r="TK1372" i="191" s="1"/>
  <c r="HH1360" i="191"/>
  <c r="HH1371" i="191" s="1"/>
  <c r="HH1372" i="191" s="1"/>
  <c r="UF1360" i="191"/>
  <c r="UF1371" i="191" s="1"/>
  <c r="UF1372" i="191" s="1"/>
  <c r="ZB1360" i="191"/>
  <c r="ZB1371" i="191" s="1"/>
  <c r="SP1360" i="191"/>
  <c r="SP1371" i="191" s="1"/>
  <c r="SP1372" i="191" s="1"/>
  <c r="FR1360" i="191"/>
  <c r="FR1371" i="191" s="1"/>
  <c r="FR1372" i="191" s="1"/>
  <c r="YG1360" i="191"/>
  <c r="YG1371" i="191" s="1"/>
  <c r="YG1372" i="191" s="1"/>
  <c r="LI1360" i="191"/>
  <c r="LI1371" i="191" s="1"/>
  <c r="LI1372" i="191" s="1"/>
  <c r="XW1324" i="191"/>
  <c r="XW1318" i="191" s="1"/>
  <c r="XW1348" i="191" s="1"/>
  <c r="YC1349" i="191" s="1"/>
  <c r="WG1324" i="191"/>
  <c r="WG1318" i="191" s="1"/>
  <c r="WG1348" i="191" s="1"/>
  <c r="WM1349" i="191" s="1"/>
  <c r="UQ1324" i="191"/>
  <c r="UQ1318" i="191" s="1"/>
  <c r="UQ1348" i="191" s="1"/>
  <c r="UW1349" i="191" s="1"/>
  <c r="TA1324" i="191"/>
  <c r="TA1318" i="191" s="1"/>
  <c r="TA1348" i="191" s="1"/>
  <c r="TG1349" i="191" s="1"/>
  <c r="RK1324" i="191"/>
  <c r="RK1318" i="191" s="1"/>
  <c r="RK1348" i="191" s="1"/>
  <c r="RQ1349" i="191" s="1"/>
  <c r="PU1324" i="191"/>
  <c r="PU1318" i="191" s="1"/>
  <c r="PU1348" i="191" s="1"/>
  <c r="QA1349" i="191" s="1"/>
  <c r="OE1324" i="191"/>
  <c r="OE1318" i="191" s="1"/>
  <c r="OE1348" i="191" s="1"/>
  <c r="OK1349" i="191" s="1"/>
  <c r="MO1324" i="191"/>
  <c r="MO1318" i="191" s="1"/>
  <c r="MO1348" i="191" s="1"/>
  <c r="MU1349" i="191" s="1"/>
  <c r="KY1324" i="191"/>
  <c r="KY1318" i="191" s="1"/>
  <c r="KY1348" i="191" s="1"/>
  <c r="LE1349" i="191" s="1"/>
  <c r="JI1324" i="191"/>
  <c r="JI1318" i="191" s="1"/>
  <c r="JI1348" i="191" s="1"/>
  <c r="JO1349" i="191" s="1"/>
  <c r="HS1324" i="191"/>
  <c r="HS1318" i="191" s="1"/>
  <c r="HS1348" i="191" s="1"/>
  <c r="HY1349" i="191" s="1"/>
  <c r="GC1324" i="191"/>
  <c r="GC1318" i="191" s="1"/>
  <c r="GC1348" i="191" s="1"/>
  <c r="GI1349" i="191" s="1"/>
  <c r="EM1324" i="191"/>
  <c r="EM1318" i="191" s="1"/>
  <c r="EM1348" i="191" s="1"/>
  <c r="ES1349" i="191" s="1"/>
  <c r="CW1324" i="191"/>
  <c r="CW1318" i="191" s="1"/>
  <c r="CW1348" i="191" s="1"/>
  <c r="DC1349" i="191" s="1"/>
  <c r="BG1324" i="191"/>
  <c r="BG1318" i="191" s="1"/>
  <c r="BG1348" i="191" s="1"/>
  <c r="BM1349" i="191" s="1"/>
  <c r="Q1324" i="191"/>
  <c r="Q1318" i="191" s="1"/>
  <c r="Q1348" i="191" s="1"/>
  <c r="W1349" i="191" s="1"/>
  <c r="XB1324" i="191"/>
  <c r="XB1318" i="191" s="1"/>
  <c r="XB1348" i="191" s="1"/>
  <c r="XH1349" i="191" s="1"/>
  <c r="VL1324" i="191"/>
  <c r="VL1318" i="191" s="1"/>
  <c r="VL1348" i="191" s="1"/>
  <c r="VR1349" i="191" s="1"/>
  <c r="TV1324" i="191"/>
  <c r="TV1318" i="191" s="1"/>
  <c r="TV1348" i="191" s="1"/>
  <c r="UB1349" i="191" s="1"/>
  <c r="SF1324" i="191"/>
  <c r="SF1318" i="191" s="1"/>
  <c r="SF1348" i="191" s="1"/>
  <c r="SL1349" i="191" s="1"/>
  <c r="QP1324" i="191"/>
  <c r="QP1318" i="191" s="1"/>
  <c r="QP1348" i="191" s="1"/>
  <c r="QV1349" i="191" s="1"/>
  <c r="OZ1324" i="191"/>
  <c r="OZ1318" i="191" s="1"/>
  <c r="OZ1348" i="191" s="1"/>
  <c r="PF1349" i="191" s="1"/>
  <c r="NJ1324" i="191"/>
  <c r="NJ1318" i="191" s="1"/>
  <c r="NJ1348" i="191" s="1"/>
  <c r="NP1349" i="191" s="1"/>
  <c r="LT1324" i="191"/>
  <c r="LT1318" i="191" s="1"/>
  <c r="LT1348" i="191" s="1"/>
  <c r="LZ1349" i="191" s="1"/>
  <c r="KD1324" i="191"/>
  <c r="KD1318" i="191" s="1"/>
  <c r="KD1348" i="191" s="1"/>
  <c r="KJ1349" i="191" s="1"/>
  <c r="IN1324" i="191"/>
  <c r="IN1318" i="191" s="1"/>
  <c r="IN1348" i="191" s="1"/>
  <c r="IT1349" i="191" s="1"/>
  <c r="GX1324" i="191"/>
  <c r="GX1318" i="191" s="1"/>
  <c r="GX1348" i="191" s="1"/>
  <c r="HD1349" i="191" s="1"/>
  <c r="FH1324" i="191"/>
  <c r="FH1318" i="191" s="1"/>
  <c r="FH1348" i="191" s="1"/>
  <c r="FN1349" i="191" s="1"/>
  <c r="DR1324" i="191"/>
  <c r="DR1318" i="191" s="1"/>
  <c r="DR1348" i="191" s="1"/>
  <c r="DX1349" i="191" s="1"/>
  <c r="CB1324" i="191"/>
  <c r="CB1318" i="191" s="1"/>
  <c r="CB1348" i="191" s="1"/>
  <c r="CH1349" i="191" s="1"/>
  <c r="AL1324" i="191"/>
  <c r="AL1318" i="191" s="1"/>
  <c r="AL1348" i="191" s="1"/>
  <c r="AR1349" i="191" s="1"/>
  <c r="YR1324" i="191"/>
  <c r="YR1318" i="191" s="1"/>
  <c r="YR1348" i="191" s="1"/>
  <c r="YX1349" i="191" s="1"/>
  <c r="XV1324" i="191"/>
  <c r="XV1318" i="191" s="1"/>
  <c r="XV1348" i="191" s="1"/>
  <c r="YB1349" i="191" s="1"/>
  <c r="WF1324" i="191"/>
  <c r="WF1318" i="191" s="1"/>
  <c r="WF1348" i="191" s="1"/>
  <c r="WL1349" i="191" s="1"/>
  <c r="UP1324" i="191"/>
  <c r="UP1318" i="191" s="1"/>
  <c r="UP1348" i="191" s="1"/>
  <c r="UV1349" i="191" s="1"/>
  <c r="SZ1324" i="191"/>
  <c r="SZ1318" i="191" s="1"/>
  <c r="SZ1348" i="191" s="1"/>
  <c r="TF1349" i="191" s="1"/>
  <c r="RJ1324" i="191"/>
  <c r="RJ1318" i="191" s="1"/>
  <c r="RJ1348" i="191" s="1"/>
  <c r="RP1349" i="191" s="1"/>
  <c r="PT1324" i="191"/>
  <c r="PT1318" i="191" s="1"/>
  <c r="PT1348" i="191" s="1"/>
  <c r="PZ1349" i="191" s="1"/>
  <c r="OD1324" i="191"/>
  <c r="OD1318" i="191" s="1"/>
  <c r="OD1348" i="191" s="1"/>
  <c r="OJ1349" i="191" s="1"/>
  <c r="MN1324" i="191"/>
  <c r="MN1318" i="191" s="1"/>
  <c r="MN1348" i="191" s="1"/>
  <c r="MT1349" i="191" s="1"/>
  <c r="KX1324" i="191"/>
  <c r="KX1318" i="191" s="1"/>
  <c r="KX1348" i="191" s="1"/>
  <c r="LD1349" i="191" s="1"/>
  <c r="JH1324" i="191"/>
  <c r="JH1318" i="191" s="1"/>
  <c r="JH1348" i="191" s="1"/>
  <c r="JN1349" i="191" s="1"/>
  <c r="HR1324" i="191"/>
  <c r="HR1318" i="191" s="1"/>
  <c r="HR1348" i="191" s="1"/>
  <c r="HX1349" i="191" s="1"/>
  <c r="GB1324" i="191"/>
  <c r="GB1318" i="191" s="1"/>
  <c r="GB1348" i="191" s="1"/>
  <c r="GH1349" i="191" s="1"/>
  <c r="EL1324" i="191"/>
  <c r="EL1318" i="191" s="1"/>
  <c r="EL1348" i="191" s="1"/>
  <c r="ER1349" i="191" s="1"/>
  <c r="CV1324" i="191"/>
  <c r="CV1318" i="191" s="1"/>
  <c r="CV1348" i="191" s="1"/>
  <c r="DB1349" i="191" s="1"/>
  <c r="BF1324" i="191"/>
  <c r="BF1318" i="191" s="1"/>
  <c r="BF1348" i="191" s="1"/>
  <c r="BL1349" i="191" s="1"/>
  <c r="P1324" i="191"/>
  <c r="P1318" i="191" s="1"/>
  <c r="P1348" i="191" s="1"/>
  <c r="V1349" i="191" s="1"/>
  <c r="YQ1324" i="191"/>
  <c r="YQ1318" i="191" s="1"/>
  <c r="YQ1348" i="191" s="1"/>
  <c r="YW1349" i="191" s="1"/>
  <c r="XA1324" i="191"/>
  <c r="XA1318" i="191" s="1"/>
  <c r="XA1348" i="191" s="1"/>
  <c r="XG1349" i="191" s="1"/>
  <c r="XG1341" i="191" s="1"/>
  <c r="XM1341" i="191" s="1"/>
  <c r="VK1324" i="191"/>
  <c r="VK1318" i="191" s="1"/>
  <c r="VK1348" i="191" s="1"/>
  <c r="VQ1349" i="191" s="1"/>
  <c r="TU1324" i="191"/>
  <c r="TU1318" i="191" s="1"/>
  <c r="TU1348" i="191" s="1"/>
  <c r="UA1349" i="191" s="1"/>
  <c r="UA1341" i="191" s="1"/>
  <c r="UG1341" i="191" s="1"/>
  <c r="SE1324" i="191"/>
  <c r="SE1318" i="191" s="1"/>
  <c r="SE1348" i="191" s="1"/>
  <c r="SK1349" i="191" s="1"/>
  <c r="QO1324" i="191"/>
  <c r="QO1318" i="191" s="1"/>
  <c r="QO1348" i="191" s="1"/>
  <c r="QU1349" i="191" s="1"/>
  <c r="QU1341" i="191" s="1"/>
  <c r="RA1341" i="191" s="1"/>
  <c r="OY1324" i="191"/>
  <c r="OY1318" i="191" s="1"/>
  <c r="OY1348" i="191" s="1"/>
  <c r="PE1349" i="191" s="1"/>
  <c r="NI1324" i="191"/>
  <c r="NI1318" i="191" s="1"/>
  <c r="NI1348" i="191" s="1"/>
  <c r="NO1349" i="191" s="1"/>
  <c r="NO1331" i="191" s="1"/>
  <c r="NU1331" i="191" s="1"/>
  <c r="LS1324" i="191"/>
  <c r="LS1318" i="191" s="1"/>
  <c r="LS1348" i="191" s="1"/>
  <c r="LY1349" i="191" s="1"/>
  <c r="KC1324" i="191"/>
  <c r="KC1318" i="191" s="1"/>
  <c r="KC1348" i="191" s="1"/>
  <c r="KI1349" i="191" s="1"/>
  <c r="KI1331" i="191" s="1"/>
  <c r="KO1331" i="191" s="1"/>
  <c r="IM1324" i="191"/>
  <c r="IM1318" i="191" s="1"/>
  <c r="IM1348" i="191" s="1"/>
  <c r="IS1349" i="191" s="1"/>
  <c r="GW1324" i="191"/>
  <c r="GW1318" i="191" s="1"/>
  <c r="GW1348" i="191" s="1"/>
  <c r="HC1349" i="191" s="1"/>
  <c r="HC1331" i="191" s="1"/>
  <c r="HI1331" i="191" s="1"/>
  <c r="FG1324" i="191"/>
  <c r="FG1318" i="191" s="1"/>
  <c r="FG1348" i="191" s="1"/>
  <c r="FM1349" i="191" s="1"/>
  <c r="DQ1324" i="191"/>
  <c r="DQ1318" i="191" s="1"/>
  <c r="DQ1348" i="191" s="1"/>
  <c r="DW1349" i="191" s="1"/>
  <c r="DW1341" i="191" s="1"/>
  <c r="EC1341" i="191" s="1"/>
  <c r="CA1324" i="191"/>
  <c r="CA1318" i="191" s="1"/>
  <c r="CA1348" i="191" s="1"/>
  <c r="CG1349" i="191" s="1"/>
  <c r="AK1324" i="191"/>
  <c r="AK1318" i="191" s="1"/>
  <c r="AK1348" i="191" s="1"/>
  <c r="AQ1349" i="191" s="1"/>
  <c r="AQ1341" i="191" s="1"/>
  <c r="AW1341" i="191" s="1"/>
  <c r="WZ1324" i="191"/>
  <c r="WZ1318" i="191" s="1"/>
  <c r="WZ1348" i="191" s="1"/>
  <c r="XF1349" i="191" s="1"/>
  <c r="TT1324" i="191"/>
  <c r="TT1318" i="191" s="1"/>
  <c r="TT1348" i="191" s="1"/>
  <c r="TZ1349" i="191" s="1"/>
  <c r="QN1324" i="191"/>
  <c r="QN1318" i="191" s="1"/>
  <c r="QN1348" i="191" s="1"/>
  <c r="QT1349" i="191" s="1"/>
  <c r="NH1324" i="191"/>
  <c r="NH1318" i="191" s="1"/>
  <c r="NH1348" i="191" s="1"/>
  <c r="NN1349" i="191" s="1"/>
  <c r="KB1324" i="191"/>
  <c r="KB1318" i="191" s="1"/>
  <c r="KB1348" i="191" s="1"/>
  <c r="KH1349" i="191" s="1"/>
  <c r="GV1324" i="191"/>
  <c r="GV1318" i="191" s="1"/>
  <c r="GV1348" i="191" s="1"/>
  <c r="HB1349" i="191" s="1"/>
  <c r="DP1324" i="191"/>
  <c r="DP1318" i="191" s="1"/>
  <c r="DP1348" i="191" s="1"/>
  <c r="DV1349" i="191" s="1"/>
  <c r="AJ1324" i="191"/>
  <c r="AJ1318" i="191" s="1"/>
  <c r="AJ1348" i="191" s="1"/>
  <c r="AP1349" i="191" s="1"/>
  <c r="XU1324" i="191"/>
  <c r="XU1318" i="191" s="1"/>
  <c r="XU1348" i="191" s="1"/>
  <c r="YA1349" i="191" s="1"/>
  <c r="WE1324" i="191"/>
  <c r="WE1318" i="191" s="1"/>
  <c r="WE1348" i="191" s="1"/>
  <c r="WK1349" i="191" s="1"/>
  <c r="WK1324" i="191" s="1"/>
  <c r="WQ1324" i="191" s="1"/>
  <c r="UO1324" i="191"/>
  <c r="UO1318" i="191" s="1"/>
  <c r="UO1348" i="191" s="1"/>
  <c r="UU1349" i="191" s="1"/>
  <c r="SY1324" i="191"/>
  <c r="SY1318" i="191" s="1"/>
  <c r="SY1348" i="191" s="1"/>
  <c r="TE1349" i="191" s="1"/>
  <c r="TE1324" i="191" s="1"/>
  <c r="TK1324" i="191" s="1"/>
  <c r="RI1324" i="191"/>
  <c r="RI1318" i="191" s="1"/>
  <c r="RI1348" i="191" s="1"/>
  <c r="RO1349" i="191" s="1"/>
  <c r="PS1324" i="191"/>
  <c r="PS1318" i="191" s="1"/>
  <c r="PS1348" i="191" s="1"/>
  <c r="PY1349" i="191" s="1"/>
  <c r="PY1324" i="191" s="1"/>
  <c r="QE1324" i="191" s="1"/>
  <c r="OC1324" i="191"/>
  <c r="OC1318" i="191" s="1"/>
  <c r="OC1348" i="191" s="1"/>
  <c r="OI1349" i="191" s="1"/>
  <c r="MM1324" i="191"/>
  <c r="MM1318" i="191" s="1"/>
  <c r="MM1348" i="191" s="1"/>
  <c r="MS1349" i="191" s="1"/>
  <c r="KW1324" i="191"/>
  <c r="KW1318" i="191" s="1"/>
  <c r="KW1348" i="191" s="1"/>
  <c r="LC1349" i="191" s="1"/>
  <c r="JG1324" i="191"/>
  <c r="JG1318" i="191" s="1"/>
  <c r="JG1348" i="191" s="1"/>
  <c r="JM1349" i="191" s="1"/>
  <c r="HQ1324" i="191"/>
  <c r="HQ1318" i="191" s="1"/>
  <c r="HQ1348" i="191" s="1"/>
  <c r="HW1349" i="191" s="1"/>
  <c r="GA1324" i="191"/>
  <c r="GA1318" i="191" s="1"/>
  <c r="GA1348" i="191" s="1"/>
  <c r="GG1349" i="191" s="1"/>
  <c r="EK1324" i="191"/>
  <c r="EK1318" i="191" s="1"/>
  <c r="EK1348" i="191" s="1"/>
  <c r="EQ1349" i="191" s="1"/>
  <c r="CU1324" i="191"/>
  <c r="CU1318" i="191" s="1"/>
  <c r="CU1348" i="191" s="1"/>
  <c r="DA1349" i="191" s="1"/>
  <c r="BE1324" i="191"/>
  <c r="BE1318" i="191" s="1"/>
  <c r="BE1348" i="191" s="1"/>
  <c r="BK1349" i="191" s="1"/>
  <c r="O1324" i="191"/>
  <c r="O1318" i="191" s="1"/>
  <c r="O1348" i="191" s="1"/>
  <c r="U1349" i="191" s="1"/>
  <c r="VJ1324" i="191"/>
  <c r="VJ1318" i="191" s="1"/>
  <c r="VJ1348" i="191" s="1"/>
  <c r="VP1349" i="191" s="1"/>
  <c r="VP1324" i="191" s="1"/>
  <c r="VV1324" i="191" s="1"/>
  <c r="SD1324" i="191"/>
  <c r="SD1318" i="191" s="1"/>
  <c r="SD1348" i="191" s="1"/>
  <c r="SJ1349" i="191" s="1"/>
  <c r="SJ1324" i="191" s="1"/>
  <c r="SP1324" i="191" s="1"/>
  <c r="OX1324" i="191"/>
  <c r="OX1318" i="191" s="1"/>
  <c r="OX1348" i="191" s="1"/>
  <c r="PD1349" i="191" s="1"/>
  <c r="PD1324" i="191" s="1"/>
  <c r="PJ1324" i="191" s="1"/>
  <c r="LR1324" i="191"/>
  <c r="LR1318" i="191" s="1"/>
  <c r="LR1348" i="191" s="1"/>
  <c r="LX1349" i="191" s="1"/>
  <c r="LX1324" i="191" s="1"/>
  <c r="MD1324" i="191" s="1"/>
  <c r="IL1324" i="191"/>
  <c r="IL1318" i="191" s="1"/>
  <c r="IL1348" i="191" s="1"/>
  <c r="IR1349" i="191" s="1"/>
  <c r="IR1324" i="191" s="1"/>
  <c r="IX1324" i="191" s="1"/>
  <c r="FF1324" i="191"/>
  <c r="FF1318" i="191" s="1"/>
  <c r="FF1348" i="191" s="1"/>
  <c r="FL1349" i="191" s="1"/>
  <c r="FL1324" i="191" s="1"/>
  <c r="FR1324" i="191" s="1"/>
  <c r="BZ1324" i="191"/>
  <c r="BZ1318" i="191" s="1"/>
  <c r="BZ1348" i="191" s="1"/>
  <c r="CF1349" i="191" s="1"/>
  <c r="CF1324" i="191" s="1"/>
  <c r="CL1324" i="191" s="1"/>
  <c r="YP1324" i="191"/>
  <c r="YP1318" i="191" s="1"/>
  <c r="YP1348" i="191" s="1"/>
  <c r="YV1349" i="191" s="1"/>
  <c r="YV1324" i="191" s="1"/>
  <c r="ZB1324" i="191" s="1"/>
  <c r="WT1312" i="191" l="1"/>
  <c r="WT1313" i="191" s="1"/>
  <c r="GP1312" i="191"/>
  <c r="GP1313" i="191" s="1"/>
  <c r="AY1312" i="191"/>
  <c r="AY1313" i="191" s="1"/>
  <c r="HK1312" i="191"/>
  <c r="HK1313" i="191" s="1"/>
  <c r="HL1350" i="191"/>
  <c r="HL1351" i="191" s="1"/>
  <c r="OR1312" i="191"/>
  <c r="OR1313" i="191" s="1"/>
  <c r="TN1312" i="191"/>
  <c r="TN1313" i="191" s="1"/>
  <c r="RC1312" i="191"/>
  <c r="RC1313" i="191" s="1"/>
  <c r="EE1312" i="191"/>
  <c r="EE1313" i="191" s="1"/>
  <c r="AD1312" i="191"/>
  <c r="AD1313" i="191" s="1"/>
  <c r="LL1312" i="191"/>
  <c r="LL1313" i="191" s="1"/>
  <c r="RX1312" i="191"/>
  <c r="RX1313" i="191" s="1"/>
  <c r="IF1312" i="191"/>
  <c r="IF1313" i="191" s="1"/>
  <c r="QH1312" i="191"/>
  <c r="QH1313" i="191" s="1"/>
  <c r="BT1312" i="191"/>
  <c r="BT1313" i="191" s="1"/>
  <c r="NW1312" i="191"/>
  <c r="NW1313" i="191" s="1"/>
  <c r="CQ1350" i="191"/>
  <c r="CQ1351" i="191" s="1"/>
  <c r="AD1350" i="191"/>
  <c r="AD1351" i="191" s="1"/>
  <c r="KS1350" i="191"/>
  <c r="KS1351" i="191" s="1"/>
  <c r="ZG1350" i="191"/>
  <c r="JC1350" i="191"/>
  <c r="JC1351" i="191" s="1"/>
  <c r="SU1350" i="191"/>
  <c r="SU1351" i="191" s="1"/>
  <c r="EF1350" i="191"/>
  <c r="EF1351" i="191" s="1"/>
  <c r="HC1340" i="191"/>
  <c r="HI1340" i="191" s="1"/>
  <c r="XG1329" i="191"/>
  <c r="XM1329" i="191" s="1"/>
  <c r="XG1333" i="191"/>
  <c r="XM1333" i="191" s="1"/>
  <c r="XG1339" i="191"/>
  <c r="XM1339" i="191" s="1"/>
  <c r="XG1342" i="191"/>
  <c r="XM1342" i="191" s="1"/>
  <c r="QU1345" i="191"/>
  <c r="RA1345" i="191" s="1"/>
  <c r="HC1339" i="191"/>
  <c r="HI1339" i="191" s="1"/>
  <c r="DW1345" i="191"/>
  <c r="EC1345" i="191" s="1"/>
  <c r="DW1334" i="191"/>
  <c r="EC1334" i="191" s="1"/>
  <c r="DW1346" i="191"/>
  <c r="EC1346" i="191" s="1"/>
  <c r="DW1344" i="191"/>
  <c r="EC1344" i="191" s="1"/>
  <c r="DW1322" i="191"/>
  <c r="EC1322" i="191" s="1"/>
  <c r="DW1336" i="191"/>
  <c r="EC1336" i="191" s="1"/>
  <c r="AQ1345" i="191"/>
  <c r="AW1345" i="191" s="1"/>
  <c r="VD1312" i="191"/>
  <c r="VD1313" i="191" s="1"/>
  <c r="JA1312" i="191"/>
  <c r="JA1313" i="191" s="1"/>
  <c r="CO1312" i="191"/>
  <c r="CO1313" i="191" s="1"/>
  <c r="FA1350" i="191"/>
  <c r="FA1351" i="191" s="1"/>
  <c r="XP1350" i="191"/>
  <c r="XP1351" i="191" s="1"/>
  <c r="BT1350" i="191"/>
  <c r="BT1351" i="191" s="1"/>
  <c r="AY1350" i="191"/>
  <c r="AY1351" i="191" s="1"/>
  <c r="VF1350" i="191"/>
  <c r="VF1351" i="191" s="1"/>
  <c r="PM1312" i="191"/>
  <c r="PM1313" i="191" s="1"/>
  <c r="UA1324" i="191"/>
  <c r="UG1324" i="191" s="1"/>
  <c r="HC1320" i="191"/>
  <c r="HI1320" i="191" s="1"/>
  <c r="NO1341" i="191"/>
  <c r="NU1341" i="191" s="1"/>
  <c r="NO1320" i="191"/>
  <c r="NU1320" i="191" s="1"/>
  <c r="AQ1344" i="191"/>
  <c r="AW1344" i="191" s="1"/>
  <c r="UA1335" i="191"/>
  <c r="UG1335" i="191" s="1"/>
  <c r="HC1342" i="191"/>
  <c r="HI1342" i="191" s="1"/>
  <c r="NO1325" i="191"/>
  <c r="NU1325" i="191" s="1"/>
  <c r="AQ1346" i="191"/>
  <c r="AW1346" i="191" s="1"/>
  <c r="HC1325" i="191"/>
  <c r="HI1325" i="191" s="1"/>
  <c r="HC1341" i="191"/>
  <c r="HI1341" i="191" s="1"/>
  <c r="MG1350" i="191"/>
  <c r="MG1351" i="191" s="1"/>
  <c r="DW1335" i="191"/>
  <c r="EC1335" i="191" s="1"/>
  <c r="DW1326" i="191"/>
  <c r="EC1326" i="191" s="1"/>
  <c r="DW1324" i="191"/>
  <c r="EC1324" i="191" s="1"/>
  <c r="XG1343" i="191"/>
  <c r="XM1343" i="191" s="1"/>
  <c r="XG1332" i="191"/>
  <c r="XM1332" i="191" s="1"/>
  <c r="XG1344" i="191"/>
  <c r="XM1344" i="191" s="1"/>
  <c r="QU1346" i="191"/>
  <c r="RA1346" i="191" s="1"/>
  <c r="DW1319" i="191"/>
  <c r="EC1319" i="191" s="1"/>
  <c r="DW1321" i="191"/>
  <c r="EC1321" i="191" s="1"/>
  <c r="DW1331" i="191"/>
  <c r="EC1331" i="191" s="1"/>
  <c r="XG1325" i="191"/>
  <c r="XM1325" i="191" s="1"/>
  <c r="XG1324" i="191"/>
  <c r="XM1324" i="191" s="1"/>
  <c r="NB1312" i="191"/>
  <c r="NB1313" i="191" s="1"/>
  <c r="VY1312" i="191"/>
  <c r="VY1313" i="191" s="1"/>
  <c r="ZD1372" i="191"/>
  <c r="AF1350" i="191"/>
  <c r="AF1351" i="191" s="1"/>
  <c r="BV1350" i="191"/>
  <c r="BV1351" i="191" s="1"/>
  <c r="YL1350" i="191"/>
  <c r="YL1351" i="191" s="1"/>
  <c r="LM1350" i="191"/>
  <c r="LM1351" i="191" s="1"/>
  <c r="NO1339" i="191"/>
  <c r="NU1339" i="191" s="1"/>
  <c r="NO1342" i="191"/>
  <c r="NU1342" i="191" s="1"/>
  <c r="NO1340" i="191"/>
  <c r="NU1340" i="191" s="1"/>
  <c r="AQ1335" i="191"/>
  <c r="AW1335" i="191" s="1"/>
  <c r="AQ1326" i="191"/>
  <c r="AW1326" i="191" s="1"/>
  <c r="AQ1324" i="191"/>
  <c r="AW1324" i="191" s="1"/>
  <c r="QU1335" i="191"/>
  <c r="RA1335" i="191" s="1"/>
  <c r="QU1326" i="191"/>
  <c r="RA1326" i="191" s="1"/>
  <c r="QU1324" i="191"/>
  <c r="RA1324" i="191" s="1"/>
  <c r="DW1343" i="191"/>
  <c r="EC1343" i="191" s="1"/>
  <c r="DW1339" i="191"/>
  <c r="EC1339" i="191" s="1"/>
  <c r="DW1333" i="191"/>
  <c r="EC1333" i="191" s="1"/>
  <c r="DW1325" i="191"/>
  <c r="EC1325" i="191" s="1"/>
  <c r="DW1332" i="191"/>
  <c r="EC1332" i="191" s="1"/>
  <c r="DW1342" i="191"/>
  <c r="EC1342" i="191" s="1"/>
  <c r="DW1329" i="191"/>
  <c r="EC1329" i="191" s="1"/>
  <c r="DW1320" i="191"/>
  <c r="EC1320" i="191" s="1"/>
  <c r="DW1330" i="191"/>
  <c r="EC1330" i="191" s="1"/>
  <c r="DW1340" i="191"/>
  <c r="EC1340" i="191" s="1"/>
  <c r="DW1323" i="191"/>
  <c r="EC1323" i="191" s="1"/>
  <c r="UA1326" i="191"/>
  <c r="UG1326" i="191" s="1"/>
  <c r="HC1343" i="191"/>
  <c r="HI1343" i="191" s="1"/>
  <c r="HC1333" i="191"/>
  <c r="HI1333" i="191" s="1"/>
  <c r="HC1332" i="191"/>
  <c r="HI1332" i="191" s="1"/>
  <c r="HC1329" i="191"/>
  <c r="HI1329" i="191" s="1"/>
  <c r="HC1330" i="191"/>
  <c r="HI1330" i="191" s="1"/>
  <c r="HC1323" i="191"/>
  <c r="HI1323" i="191" s="1"/>
  <c r="XG1335" i="191"/>
  <c r="XM1335" i="191" s="1"/>
  <c r="XG1322" i="191"/>
  <c r="XM1322" i="191" s="1"/>
  <c r="XG1345" i="191"/>
  <c r="XM1345" i="191" s="1"/>
  <c r="XG1319" i="191"/>
  <c r="XM1319" i="191" s="1"/>
  <c r="XG1326" i="191"/>
  <c r="XM1326" i="191" s="1"/>
  <c r="XG1336" i="191"/>
  <c r="XM1336" i="191" s="1"/>
  <c r="XG1346" i="191"/>
  <c r="XM1346" i="191" s="1"/>
  <c r="XG1321" i="191"/>
  <c r="XM1321" i="191" s="1"/>
  <c r="XG1334" i="191"/>
  <c r="XM1334" i="191" s="1"/>
  <c r="XG1331" i="191"/>
  <c r="XM1331" i="191" s="1"/>
  <c r="RZ1350" i="191"/>
  <c r="RZ1351" i="191" s="1"/>
  <c r="UJ1350" i="191"/>
  <c r="UJ1351" i="191" s="1"/>
  <c r="CP1350" i="191"/>
  <c r="CP1351" i="191" s="1"/>
  <c r="JV1350" i="191"/>
  <c r="JV1351" i="191" s="1"/>
  <c r="ZF1350" i="191"/>
  <c r="PM1350" i="191"/>
  <c r="PM1351" i="191" s="1"/>
  <c r="HC1335" i="191"/>
  <c r="HI1335" i="191" s="1"/>
  <c r="HC1322" i="191"/>
  <c r="HI1322" i="191" s="1"/>
  <c r="HC1345" i="191"/>
  <c r="HI1345" i="191" s="1"/>
  <c r="HC1319" i="191"/>
  <c r="HI1319" i="191" s="1"/>
  <c r="HC1326" i="191"/>
  <c r="HI1326" i="191" s="1"/>
  <c r="HC1336" i="191"/>
  <c r="HI1336" i="191" s="1"/>
  <c r="HC1346" i="191"/>
  <c r="HI1346" i="191" s="1"/>
  <c r="HC1321" i="191"/>
  <c r="HI1321" i="191" s="1"/>
  <c r="HC1324" i="191"/>
  <c r="HI1324" i="191" s="1"/>
  <c r="HC1334" i="191"/>
  <c r="HI1334" i="191" s="1"/>
  <c r="HC1344" i="191"/>
  <c r="HI1344" i="191" s="1"/>
  <c r="RE1350" i="191"/>
  <c r="RE1351" i="191" s="1"/>
  <c r="XG1320" i="191"/>
  <c r="XM1320" i="191" s="1"/>
  <c r="XG1330" i="191"/>
  <c r="XM1330" i="191" s="1"/>
  <c r="XG1340" i="191"/>
  <c r="XM1340" i="191" s="1"/>
  <c r="XG1323" i="191"/>
  <c r="XM1323" i="191" s="1"/>
  <c r="HM1350" i="191"/>
  <c r="HM1351" i="191" s="1"/>
  <c r="PN1350" i="191"/>
  <c r="PN1351" i="191" s="1"/>
  <c r="UA1345" i="191"/>
  <c r="UG1345" i="191" s="1"/>
  <c r="UA1346" i="191"/>
  <c r="UG1346" i="191" s="1"/>
  <c r="UA1344" i="191"/>
  <c r="UG1344" i="191" s="1"/>
  <c r="UA1322" i="191"/>
  <c r="UG1322" i="191" s="1"/>
  <c r="UA1319" i="191"/>
  <c r="UG1319" i="191" s="1"/>
  <c r="UA1336" i="191"/>
  <c r="UG1336" i="191" s="1"/>
  <c r="UA1321" i="191"/>
  <c r="UG1321" i="191" s="1"/>
  <c r="UA1334" i="191"/>
  <c r="UG1334" i="191" s="1"/>
  <c r="UA1331" i="191"/>
  <c r="UG1331" i="191" s="1"/>
  <c r="UA1343" i="191"/>
  <c r="UG1343" i="191" s="1"/>
  <c r="UA1339" i="191"/>
  <c r="UG1339" i="191" s="1"/>
  <c r="UA1333" i="191"/>
  <c r="UG1333" i="191" s="1"/>
  <c r="UA1325" i="191"/>
  <c r="UG1325" i="191" s="1"/>
  <c r="UA1332" i="191"/>
  <c r="UG1332" i="191" s="1"/>
  <c r="UA1342" i="191"/>
  <c r="UG1342" i="191" s="1"/>
  <c r="UA1329" i="191"/>
  <c r="UG1329" i="191" s="1"/>
  <c r="UA1320" i="191"/>
  <c r="UG1320" i="191" s="1"/>
  <c r="UA1330" i="191"/>
  <c r="UG1330" i="191" s="1"/>
  <c r="UA1340" i="191"/>
  <c r="UG1340" i="191" s="1"/>
  <c r="UA1323" i="191"/>
  <c r="UG1323" i="191" s="1"/>
  <c r="ND1350" i="191"/>
  <c r="ND1351" i="191" s="1"/>
  <c r="MI1350" i="191"/>
  <c r="MI1351" i="191" s="1"/>
  <c r="VE1350" i="191"/>
  <c r="VE1351" i="191" s="1"/>
  <c r="SS1350" i="191"/>
  <c r="SS1351" i="191" s="1"/>
  <c r="NC1350" i="191"/>
  <c r="NC1351" i="191" s="1"/>
  <c r="LN1350" i="191"/>
  <c r="LN1351" i="191" s="1"/>
  <c r="QH1350" i="191"/>
  <c r="QH1351" i="191" s="1"/>
  <c r="GQ1350" i="191"/>
  <c r="GQ1351" i="191" s="1"/>
  <c r="QU1322" i="191"/>
  <c r="RA1322" i="191" s="1"/>
  <c r="QU1319" i="191"/>
  <c r="RA1319" i="191" s="1"/>
  <c r="QU1336" i="191"/>
  <c r="RA1336" i="191" s="1"/>
  <c r="QU1321" i="191"/>
  <c r="RA1321" i="191" s="1"/>
  <c r="QU1344" i="191"/>
  <c r="RA1344" i="191" s="1"/>
  <c r="QU1334" i="191"/>
  <c r="RA1334" i="191" s="1"/>
  <c r="QU1331" i="191"/>
  <c r="RA1331" i="191" s="1"/>
  <c r="NX1350" i="191"/>
  <c r="NX1351" i="191" s="1"/>
  <c r="FW1350" i="191"/>
  <c r="FW1351" i="191" s="1"/>
  <c r="DK1350" i="191"/>
  <c r="DK1351" i="191" s="1"/>
  <c r="QU1343" i="191"/>
  <c r="RA1343" i="191" s="1"/>
  <c r="QU1339" i="191"/>
  <c r="RA1339" i="191" s="1"/>
  <c r="QU1333" i="191"/>
  <c r="RA1333" i="191" s="1"/>
  <c r="QU1325" i="191"/>
  <c r="RA1325" i="191" s="1"/>
  <c r="QU1332" i="191"/>
  <c r="RA1332" i="191" s="1"/>
  <c r="QU1342" i="191"/>
  <c r="RA1342" i="191" s="1"/>
  <c r="QU1329" i="191"/>
  <c r="RA1329" i="191" s="1"/>
  <c r="QU1320" i="191"/>
  <c r="RA1320" i="191" s="1"/>
  <c r="QU1330" i="191"/>
  <c r="RA1330" i="191" s="1"/>
  <c r="QU1340" i="191"/>
  <c r="RA1340" i="191" s="1"/>
  <c r="QU1323" i="191"/>
  <c r="RA1323" i="191" s="1"/>
  <c r="HK1350" i="191"/>
  <c r="HK1351" i="191" s="1"/>
  <c r="JA1350" i="191"/>
  <c r="JA1351" i="191" s="1"/>
  <c r="RY1350" i="191"/>
  <c r="RY1351" i="191" s="1"/>
  <c r="GP1350" i="191"/>
  <c r="GP1351" i="191" s="1"/>
  <c r="NB1350" i="191"/>
  <c r="NB1351" i="191" s="1"/>
  <c r="DJ1350" i="191"/>
  <c r="DJ1351" i="191" s="1"/>
  <c r="KQ1350" i="191"/>
  <c r="KQ1351" i="191" s="1"/>
  <c r="ZE1350" i="191"/>
  <c r="NO1343" i="191"/>
  <c r="NU1343" i="191" s="1"/>
  <c r="NO1333" i="191"/>
  <c r="NU1333" i="191" s="1"/>
  <c r="NO1332" i="191"/>
  <c r="NU1332" i="191" s="1"/>
  <c r="NO1329" i="191"/>
  <c r="NU1329" i="191" s="1"/>
  <c r="NO1330" i="191"/>
  <c r="NU1330" i="191" s="1"/>
  <c r="NO1323" i="191"/>
  <c r="NU1323" i="191" s="1"/>
  <c r="NO1335" i="191"/>
  <c r="NU1335" i="191" s="1"/>
  <c r="NO1322" i="191"/>
  <c r="NU1322" i="191" s="1"/>
  <c r="NO1345" i="191"/>
  <c r="NU1345" i="191" s="1"/>
  <c r="NO1319" i="191"/>
  <c r="NU1319" i="191" s="1"/>
  <c r="NO1326" i="191"/>
  <c r="NU1326" i="191" s="1"/>
  <c r="NO1336" i="191"/>
  <c r="NU1336" i="191" s="1"/>
  <c r="NO1346" i="191"/>
  <c r="NU1346" i="191" s="1"/>
  <c r="NO1321" i="191"/>
  <c r="NU1321" i="191" s="1"/>
  <c r="NO1324" i="191"/>
  <c r="NU1324" i="191" s="1"/>
  <c r="NO1334" i="191"/>
  <c r="NU1334" i="191" s="1"/>
  <c r="NO1344" i="191"/>
  <c r="NU1344" i="191" s="1"/>
  <c r="RC1350" i="191"/>
  <c r="RC1351" i="191" s="1"/>
  <c r="AZ1350" i="191"/>
  <c r="AZ1351" i="191" s="1"/>
  <c r="QJ1350" i="191"/>
  <c r="QJ1351" i="191" s="1"/>
  <c r="MH1350" i="191"/>
  <c r="MH1351" i="191" s="1"/>
  <c r="NY1350" i="191"/>
  <c r="NY1351" i="191" s="1"/>
  <c r="FB1350" i="191"/>
  <c r="FB1351" i="191" s="1"/>
  <c r="EE1350" i="191"/>
  <c r="EE1351" i="191" s="1"/>
  <c r="EZ1350" i="191"/>
  <c r="EZ1351" i="191" s="1"/>
  <c r="GR1350" i="191"/>
  <c r="GR1351" i="191" s="1"/>
  <c r="VY1350" i="191"/>
  <c r="VY1351" i="191" s="1"/>
  <c r="EG1350" i="191"/>
  <c r="EG1351" i="191" s="1"/>
  <c r="XO1350" i="191"/>
  <c r="XO1351" i="191" s="1"/>
  <c r="TO1350" i="191"/>
  <c r="TO1351" i="191" s="1"/>
  <c r="RX1350" i="191"/>
  <c r="RX1351" i="191" s="1"/>
  <c r="OR1350" i="191"/>
  <c r="OR1351" i="191" s="1"/>
  <c r="WA1350" i="191"/>
  <c r="WA1351" i="191" s="1"/>
  <c r="WV1350" i="191"/>
  <c r="WV1351" i="191" s="1"/>
  <c r="LL1350" i="191"/>
  <c r="LL1351" i="191" s="1"/>
  <c r="WT1350" i="191"/>
  <c r="WT1351" i="191" s="1"/>
  <c r="CO1350" i="191"/>
  <c r="CO1351" i="191" s="1"/>
  <c r="VD1350" i="191"/>
  <c r="VD1351" i="191" s="1"/>
  <c r="NW1350" i="191"/>
  <c r="NW1351" i="191" s="1"/>
  <c r="IG1350" i="191"/>
  <c r="IG1351" i="191" s="1"/>
  <c r="KI1325" i="191"/>
  <c r="KO1325" i="191" s="1"/>
  <c r="KI1341" i="191"/>
  <c r="KO1341" i="191" s="1"/>
  <c r="KI1320" i="191"/>
  <c r="KO1320" i="191" s="1"/>
  <c r="KI1339" i="191"/>
  <c r="KO1339" i="191" s="1"/>
  <c r="KI1342" i="191"/>
  <c r="KO1342" i="191" s="1"/>
  <c r="KI1340" i="191"/>
  <c r="KO1340" i="191" s="1"/>
  <c r="KI1343" i="191"/>
  <c r="KO1343" i="191" s="1"/>
  <c r="KI1333" i="191"/>
  <c r="KO1333" i="191" s="1"/>
  <c r="KI1332" i="191"/>
  <c r="KO1332" i="191" s="1"/>
  <c r="KI1329" i="191"/>
  <c r="KO1329" i="191" s="1"/>
  <c r="KI1330" i="191"/>
  <c r="KO1330" i="191" s="1"/>
  <c r="KI1323" i="191"/>
  <c r="KO1323" i="191" s="1"/>
  <c r="KI1335" i="191"/>
  <c r="KO1335" i="191" s="1"/>
  <c r="KI1322" i="191"/>
  <c r="KO1322" i="191" s="1"/>
  <c r="KI1345" i="191"/>
  <c r="KO1345" i="191" s="1"/>
  <c r="KI1319" i="191"/>
  <c r="KO1319" i="191" s="1"/>
  <c r="KI1326" i="191"/>
  <c r="KO1326" i="191" s="1"/>
  <c r="KI1336" i="191"/>
  <c r="KO1336" i="191" s="1"/>
  <c r="KI1346" i="191"/>
  <c r="KO1346" i="191" s="1"/>
  <c r="KI1321" i="191"/>
  <c r="KO1321" i="191" s="1"/>
  <c r="KI1324" i="191"/>
  <c r="KO1324" i="191" s="1"/>
  <c r="KI1334" i="191"/>
  <c r="KO1334" i="191" s="1"/>
  <c r="KI1344" i="191"/>
  <c r="KO1344" i="191" s="1"/>
  <c r="JX1350" i="191"/>
  <c r="JX1351" i="191" s="1"/>
  <c r="BA1350" i="191"/>
  <c r="BA1351" i="191" s="1"/>
  <c r="FU1350" i="191"/>
  <c r="FU1351" i="191" s="1"/>
  <c r="YJ1350" i="191"/>
  <c r="YJ1351" i="191" s="1"/>
  <c r="BU1350" i="191"/>
  <c r="BU1351" i="191" s="1"/>
  <c r="KR1350" i="191"/>
  <c r="KR1351" i="191" s="1"/>
  <c r="VZ1350" i="191"/>
  <c r="VZ1351" i="191" s="1"/>
  <c r="OS1350" i="191"/>
  <c r="OS1351" i="191" s="1"/>
  <c r="ST1350" i="191"/>
  <c r="ST1351" i="191" s="1"/>
  <c r="JB1350" i="191"/>
  <c r="JB1351" i="191" s="1"/>
  <c r="UK1350" i="191"/>
  <c r="UK1351" i="191" s="1"/>
  <c r="FV1350" i="191"/>
  <c r="FV1351" i="191" s="1"/>
  <c r="IF1350" i="191"/>
  <c r="IF1351" i="191" s="1"/>
  <c r="PO1350" i="191"/>
  <c r="PO1351" i="191" s="1"/>
  <c r="UI1350" i="191"/>
  <c r="UI1351" i="191" s="1"/>
  <c r="YK1350" i="191"/>
  <c r="YK1351" i="191" s="1"/>
  <c r="OT1350" i="191"/>
  <c r="OT1351" i="191" s="1"/>
  <c r="RD1350" i="191"/>
  <c r="RD1351" i="191" s="1"/>
  <c r="TP1350" i="191"/>
  <c r="TP1351" i="191" s="1"/>
  <c r="DL1350" i="191"/>
  <c r="DL1351" i="191" s="1"/>
  <c r="AE1350" i="191"/>
  <c r="AE1351" i="191" s="1"/>
  <c r="WU1350" i="191"/>
  <c r="WU1351" i="191" s="1"/>
  <c r="JW1350" i="191"/>
  <c r="JW1351" i="191" s="1"/>
  <c r="AQ1322" i="191"/>
  <c r="AW1322" i="191" s="1"/>
  <c r="AQ1319" i="191"/>
  <c r="AW1319" i="191" s="1"/>
  <c r="AQ1336" i="191"/>
  <c r="AW1336" i="191" s="1"/>
  <c r="AQ1321" i="191"/>
  <c r="AW1321" i="191" s="1"/>
  <c r="AQ1334" i="191"/>
  <c r="AW1334" i="191" s="1"/>
  <c r="AQ1331" i="191"/>
  <c r="AW1331" i="191" s="1"/>
  <c r="AQ1343" i="191"/>
  <c r="AW1343" i="191" s="1"/>
  <c r="AQ1339" i="191"/>
  <c r="AW1339" i="191" s="1"/>
  <c r="AQ1333" i="191"/>
  <c r="AW1333" i="191" s="1"/>
  <c r="AQ1325" i="191"/>
  <c r="AW1325" i="191" s="1"/>
  <c r="AQ1332" i="191"/>
  <c r="AW1332" i="191" s="1"/>
  <c r="AQ1342" i="191"/>
  <c r="AW1342" i="191" s="1"/>
  <c r="AQ1329" i="191"/>
  <c r="AW1329" i="191" s="1"/>
  <c r="AQ1320" i="191"/>
  <c r="AW1320" i="191" s="1"/>
  <c r="AQ1330" i="191"/>
  <c r="AW1330" i="191" s="1"/>
  <c r="AQ1340" i="191"/>
  <c r="AW1340" i="191" s="1"/>
  <c r="AQ1323" i="191"/>
  <c r="AW1323" i="191" s="1"/>
  <c r="TN1350" i="191"/>
  <c r="TN1351" i="191" s="1"/>
  <c r="ZC1372" i="191"/>
  <c r="ZB1372" i="191"/>
  <c r="UB1336" i="191"/>
  <c r="UH1336" i="191" s="1"/>
  <c r="UB1341" i="191"/>
  <c r="UH1341" i="191" s="1"/>
  <c r="UB1325" i="191"/>
  <c r="UH1325" i="191" s="1"/>
  <c r="UB1342" i="191"/>
  <c r="UH1342" i="191" s="1"/>
  <c r="UB1326" i="191"/>
  <c r="UH1326" i="191" s="1"/>
  <c r="UB1334" i="191"/>
  <c r="UH1334" i="191" s="1"/>
  <c r="UB1329" i="191"/>
  <c r="UH1329" i="191" s="1"/>
  <c r="UB1319" i="191"/>
  <c r="UH1319" i="191" s="1"/>
  <c r="UB1330" i="191"/>
  <c r="UH1330" i="191" s="1"/>
  <c r="UB1345" i="191"/>
  <c r="UH1345" i="191" s="1"/>
  <c r="UB1343" i="191"/>
  <c r="UH1343" i="191" s="1"/>
  <c r="UB1333" i="191"/>
  <c r="UH1333" i="191" s="1"/>
  <c r="UB1346" i="191"/>
  <c r="UH1346" i="191" s="1"/>
  <c r="UB1324" i="191"/>
  <c r="UH1324" i="191" s="1"/>
  <c r="UB1331" i="191"/>
  <c r="UH1331" i="191" s="1"/>
  <c r="UB1321" i="191"/>
  <c r="UH1321" i="191" s="1"/>
  <c r="UB1332" i="191"/>
  <c r="UH1332" i="191" s="1"/>
  <c r="UB1344" i="191"/>
  <c r="UH1344" i="191" s="1"/>
  <c r="UB1320" i="191"/>
  <c r="UH1320" i="191" s="1"/>
  <c r="UB1323" i="191"/>
  <c r="UH1323" i="191" s="1"/>
  <c r="UB1340" i="191"/>
  <c r="UH1340" i="191" s="1"/>
  <c r="UB1322" i="191"/>
  <c r="UH1322" i="191" s="1"/>
  <c r="UB1339" i="191"/>
  <c r="UH1339" i="191" s="1"/>
  <c r="UB1335" i="191"/>
  <c r="UH1335" i="191" s="1"/>
  <c r="NP1336" i="191"/>
  <c r="NV1336" i="191" s="1"/>
  <c r="NP1341" i="191"/>
  <c r="NV1341" i="191" s="1"/>
  <c r="NP1325" i="191"/>
  <c r="NV1325" i="191" s="1"/>
  <c r="NP1342" i="191"/>
  <c r="NV1342" i="191" s="1"/>
  <c r="NP1326" i="191"/>
  <c r="NV1326" i="191" s="1"/>
  <c r="NP1334" i="191"/>
  <c r="NV1334" i="191" s="1"/>
  <c r="NP1329" i="191"/>
  <c r="NV1329" i="191" s="1"/>
  <c r="NP1319" i="191"/>
  <c r="NV1319" i="191" s="1"/>
  <c r="NP1330" i="191"/>
  <c r="NV1330" i="191" s="1"/>
  <c r="NP1339" i="191"/>
  <c r="NV1339" i="191" s="1"/>
  <c r="NP1335" i="191"/>
  <c r="NV1335" i="191" s="1"/>
  <c r="NP1322" i="191"/>
  <c r="NV1322" i="191" s="1"/>
  <c r="NP1346" i="191"/>
  <c r="NV1346" i="191" s="1"/>
  <c r="NP1324" i="191"/>
  <c r="NV1324" i="191" s="1"/>
  <c r="NP1331" i="191"/>
  <c r="NV1331" i="191" s="1"/>
  <c r="NP1321" i="191"/>
  <c r="NV1321" i="191" s="1"/>
  <c r="NP1332" i="191"/>
  <c r="NV1332" i="191" s="1"/>
  <c r="NP1344" i="191"/>
  <c r="NV1344" i="191" s="1"/>
  <c r="NP1320" i="191"/>
  <c r="NV1320" i="191" s="1"/>
  <c r="NP1323" i="191"/>
  <c r="NV1323" i="191" s="1"/>
  <c r="NP1340" i="191"/>
  <c r="NV1340" i="191" s="1"/>
  <c r="NP1345" i="191"/>
  <c r="NV1345" i="191" s="1"/>
  <c r="NP1343" i="191"/>
  <c r="NV1343" i="191" s="1"/>
  <c r="NP1333" i="191"/>
  <c r="NV1333" i="191" s="1"/>
  <c r="HD1336" i="191"/>
  <c r="HJ1336" i="191" s="1"/>
  <c r="HD1341" i="191"/>
  <c r="HJ1341" i="191" s="1"/>
  <c r="HD1325" i="191"/>
  <c r="HJ1325" i="191" s="1"/>
  <c r="HD1342" i="191"/>
  <c r="HJ1342" i="191" s="1"/>
  <c r="HD1326" i="191"/>
  <c r="HJ1326" i="191" s="1"/>
  <c r="HD1334" i="191"/>
  <c r="HJ1334" i="191" s="1"/>
  <c r="HD1329" i="191"/>
  <c r="HJ1329" i="191" s="1"/>
  <c r="HD1319" i="191"/>
  <c r="HJ1319" i="191" s="1"/>
  <c r="HD1330" i="191"/>
  <c r="HJ1330" i="191" s="1"/>
  <c r="HD1345" i="191"/>
  <c r="HJ1345" i="191" s="1"/>
  <c r="HD1343" i="191"/>
  <c r="HJ1343" i="191" s="1"/>
  <c r="HD1333" i="191"/>
  <c r="HJ1333" i="191" s="1"/>
  <c r="HD1346" i="191"/>
  <c r="HJ1346" i="191" s="1"/>
  <c r="HD1324" i="191"/>
  <c r="HJ1324" i="191" s="1"/>
  <c r="HD1331" i="191"/>
  <c r="HJ1331" i="191" s="1"/>
  <c r="HD1321" i="191"/>
  <c r="HJ1321" i="191" s="1"/>
  <c r="HD1332" i="191"/>
  <c r="HJ1332" i="191" s="1"/>
  <c r="HD1344" i="191"/>
  <c r="HJ1344" i="191" s="1"/>
  <c r="HD1320" i="191"/>
  <c r="HJ1320" i="191" s="1"/>
  <c r="HD1323" i="191"/>
  <c r="HJ1323" i="191" s="1"/>
  <c r="HD1340" i="191"/>
  <c r="HJ1340" i="191" s="1"/>
  <c r="HD1322" i="191"/>
  <c r="HJ1322" i="191" s="1"/>
  <c r="HD1339" i="191"/>
  <c r="HJ1339" i="191" s="1"/>
  <c r="HD1335" i="191"/>
  <c r="HJ1335" i="191" s="1"/>
  <c r="AR1336" i="191"/>
  <c r="AX1336" i="191" s="1"/>
  <c r="AR1341" i="191"/>
  <c r="AX1341" i="191" s="1"/>
  <c r="AR1325" i="191"/>
  <c r="AX1325" i="191" s="1"/>
  <c r="AR1342" i="191"/>
  <c r="AX1342" i="191" s="1"/>
  <c r="AR1326" i="191"/>
  <c r="AX1326" i="191" s="1"/>
  <c r="AR1334" i="191"/>
  <c r="AX1334" i="191" s="1"/>
  <c r="AR1329" i="191"/>
  <c r="AX1329" i="191" s="1"/>
  <c r="AR1319" i="191"/>
  <c r="AX1319" i="191" s="1"/>
  <c r="AR1330" i="191"/>
  <c r="AX1330" i="191" s="1"/>
  <c r="AR1339" i="191"/>
  <c r="AX1339" i="191" s="1"/>
  <c r="AR1335" i="191"/>
  <c r="AX1335" i="191" s="1"/>
  <c r="AR1322" i="191"/>
  <c r="AX1322" i="191" s="1"/>
  <c r="AR1346" i="191"/>
  <c r="AX1346" i="191" s="1"/>
  <c r="AR1324" i="191"/>
  <c r="AX1324" i="191" s="1"/>
  <c r="AR1331" i="191"/>
  <c r="AX1331" i="191" s="1"/>
  <c r="AR1321" i="191"/>
  <c r="AX1321" i="191" s="1"/>
  <c r="AR1332" i="191"/>
  <c r="AX1332" i="191" s="1"/>
  <c r="AR1344" i="191"/>
  <c r="AX1344" i="191" s="1"/>
  <c r="AR1320" i="191"/>
  <c r="AX1320" i="191" s="1"/>
  <c r="AR1323" i="191"/>
  <c r="AX1323" i="191" s="1"/>
  <c r="AR1340" i="191"/>
  <c r="AX1340" i="191" s="1"/>
  <c r="AR1345" i="191"/>
  <c r="AX1345" i="191" s="1"/>
  <c r="AR1343" i="191"/>
  <c r="AX1343" i="191" s="1"/>
  <c r="AR1333" i="191"/>
  <c r="AX1333" i="191" s="1"/>
  <c r="TG1336" i="191"/>
  <c r="TM1336" i="191" s="1"/>
  <c r="TG1341" i="191"/>
  <c r="TM1341" i="191" s="1"/>
  <c r="TG1325" i="191"/>
  <c r="TM1325" i="191" s="1"/>
  <c r="TG1342" i="191"/>
  <c r="TM1342" i="191" s="1"/>
  <c r="TG1326" i="191"/>
  <c r="TM1326" i="191" s="1"/>
  <c r="TG1334" i="191"/>
  <c r="TM1334" i="191" s="1"/>
  <c r="TG1329" i="191"/>
  <c r="TM1329" i="191" s="1"/>
  <c r="TG1319" i="191"/>
  <c r="TM1319" i="191" s="1"/>
  <c r="TG1330" i="191"/>
  <c r="TM1330" i="191" s="1"/>
  <c r="TG1339" i="191"/>
  <c r="TM1339" i="191" s="1"/>
  <c r="TG1335" i="191"/>
  <c r="TM1335" i="191" s="1"/>
  <c r="TG1322" i="191"/>
  <c r="TM1322" i="191" s="1"/>
  <c r="TG1346" i="191"/>
  <c r="TM1346" i="191" s="1"/>
  <c r="TG1324" i="191"/>
  <c r="TM1324" i="191" s="1"/>
  <c r="TG1331" i="191"/>
  <c r="TM1331" i="191" s="1"/>
  <c r="TG1321" i="191"/>
  <c r="TM1321" i="191" s="1"/>
  <c r="TG1332" i="191"/>
  <c r="TM1332" i="191" s="1"/>
  <c r="TG1344" i="191"/>
  <c r="TM1344" i="191" s="1"/>
  <c r="TG1320" i="191"/>
  <c r="TM1320" i="191" s="1"/>
  <c r="TG1323" i="191"/>
  <c r="TM1323" i="191" s="1"/>
  <c r="TG1340" i="191"/>
  <c r="TM1340" i="191" s="1"/>
  <c r="TG1345" i="191"/>
  <c r="TM1345" i="191" s="1"/>
  <c r="TG1343" i="191"/>
  <c r="TM1343" i="191" s="1"/>
  <c r="TG1333" i="191"/>
  <c r="TM1333" i="191" s="1"/>
  <c r="MU1336" i="191"/>
  <c r="NA1336" i="191" s="1"/>
  <c r="MU1341" i="191"/>
  <c r="NA1341" i="191" s="1"/>
  <c r="MU1323" i="191"/>
  <c r="NA1323" i="191" s="1"/>
  <c r="MU1340" i="191"/>
  <c r="NA1340" i="191" s="1"/>
  <c r="MU1329" i="191"/>
  <c r="NA1329" i="191" s="1"/>
  <c r="MU1334" i="191"/>
  <c r="NA1334" i="191" s="1"/>
  <c r="MU1325" i="191"/>
  <c r="NA1325" i="191" s="1"/>
  <c r="MU1342" i="191"/>
  <c r="NA1342" i="191" s="1"/>
  <c r="MU1326" i="191"/>
  <c r="NA1326" i="191" s="1"/>
  <c r="MU1339" i="191"/>
  <c r="NA1339" i="191" s="1"/>
  <c r="MU1335" i="191"/>
  <c r="NA1335" i="191" s="1"/>
  <c r="MU1322" i="191"/>
  <c r="NA1322" i="191" s="1"/>
  <c r="MU1346" i="191"/>
  <c r="NA1346" i="191" s="1"/>
  <c r="MU1324" i="191"/>
  <c r="NA1324" i="191" s="1"/>
  <c r="MU1331" i="191"/>
  <c r="NA1331" i="191" s="1"/>
  <c r="MU1319" i="191"/>
  <c r="NA1319" i="191" s="1"/>
  <c r="MU1330" i="191"/>
  <c r="NA1330" i="191" s="1"/>
  <c r="MU1344" i="191"/>
  <c r="NA1344" i="191" s="1"/>
  <c r="MU1320" i="191"/>
  <c r="NA1320" i="191" s="1"/>
  <c r="MU1321" i="191"/>
  <c r="NA1321" i="191" s="1"/>
  <c r="MU1332" i="191"/>
  <c r="NA1332" i="191" s="1"/>
  <c r="MU1345" i="191"/>
  <c r="NA1345" i="191" s="1"/>
  <c r="MU1343" i="191"/>
  <c r="NA1343" i="191" s="1"/>
  <c r="MU1333" i="191"/>
  <c r="NA1333" i="191" s="1"/>
  <c r="GI1334" i="191"/>
  <c r="GO1334" i="191" s="1"/>
  <c r="GI1325" i="191"/>
  <c r="GO1325" i="191" s="1"/>
  <c r="GI1342" i="191"/>
  <c r="GO1342" i="191" s="1"/>
  <c r="GI1326" i="191"/>
  <c r="GO1326" i="191" s="1"/>
  <c r="GI1346" i="191"/>
  <c r="GO1346" i="191" s="1"/>
  <c r="GI1324" i="191"/>
  <c r="GO1324" i="191" s="1"/>
  <c r="GI1331" i="191"/>
  <c r="GO1331" i="191" s="1"/>
  <c r="GI1319" i="191"/>
  <c r="GO1319" i="191" s="1"/>
  <c r="GI1330" i="191"/>
  <c r="GO1330" i="191" s="1"/>
  <c r="GI1335" i="191"/>
  <c r="GO1335" i="191" s="1"/>
  <c r="GI1343" i="191"/>
  <c r="GO1343" i="191" s="1"/>
  <c r="GI1322" i="191"/>
  <c r="GO1322" i="191" s="1"/>
  <c r="GI1344" i="191"/>
  <c r="GO1344" i="191" s="1"/>
  <c r="GI1320" i="191"/>
  <c r="GO1320" i="191" s="1"/>
  <c r="GI1321" i="191"/>
  <c r="GO1321" i="191" s="1"/>
  <c r="GI1332" i="191"/>
  <c r="GO1332" i="191" s="1"/>
  <c r="GI1329" i="191"/>
  <c r="GO1329" i="191" s="1"/>
  <c r="GI1336" i="191"/>
  <c r="GO1336" i="191" s="1"/>
  <c r="GI1341" i="191"/>
  <c r="GO1341" i="191" s="1"/>
  <c r="GI1323" i="191"/>
  <c r="GO1323" i="191" s="1"/>
  <c r="GI1340" i="191"/>
  <c r="GO1340" i="191" s="1"/>
  <c r="GI1345" i="191"/>
  <c r="GO1345" i="191" s="1"/>
  <c r="GI1339" i="191"/>
  <c r="GO1339" i="191" s="1"/>
  <c r="GI1333" i="191"/>
  <c r="GO1333" i="191" s="1"/>
  <c r="W1334" i="191"/>
  <c r="AC1334" i="191" s="1"/>
  <c r="W1325" i="191"/>
  <c r="AC1325" i="191" s="1"/>
  <c r="W1342" i="191"/>
  <c r="AC1342" i="191" s="1"/>
  <c r="W1326" i="191"/>
  <c r="AC1326" i="191" s="1"/>
  <c r="W1346" i="191"/>
  <c r="AC1346" i="191" s="1"/>
  <c r="W1324" i="191"/>
  <c r="AC1324" i="191" s="1"/>
  <c r="W1331" i="191"/>
  <c r="AC1331" i="191" s="1"/>
  <c r="W1319" i="191"/>
  <c r="AC1319" i="191" s="1"/>
  <c r="W1330" i="191"/>
  <c r="AC1330" i="191" s="1"/>
  <c r="W1343" i="191"/>
  <c r="AC1343" i="191" s="1"/>
  <c r="W1322" i="191"/>
  <c r="AC1322" i="191" s="1"/>
  <c r="W1335" i="191"/>
  <c r="AC1335" i="191" s="1"/>
  <c r="W1344" i="191"/>
  <c r="AC1344" i="191" s="1"/>
  <c r="W1320" i="191"/>
  <c r="AC1320" i="191" s="1"/>
  <c r="W1321" i="191"/>
  <c r="AC1321" i="191" s="1"/>
  <c r="W1332" i="191"/>
  <c r="AC1332" i="191" s="1"/>
  <c r="W1329" i="191"/>
  <c r="AC1329" i="191" s="1"/>
  <c r="W1336" i="191"/>
  <c r="AC1336" i="191" s="1"/>
  <c r="W1341" i="191"/>
  <c r="AC1341" i="191" s="1"/>
  <c r="W1323" i="191"/>
  <c r="AC1323" i="191" s="1"/>
  <c r="W1340" i="191"/>
  <c r="AC1340" i="191" s="1"/>
  <c r="W1339" i="191"/>
  <c r="AC1339" i="191" s="1"/>
  <c r="W1333" i="191"/>
  <c r="AC1333" i="191" s="1"/>
  <c r="W1345" i="191"/>
  <c r="AC1345" i="191" s="1"/>
  <c r="VR1336" i="191"/>
  <c r="VX1336" i="191" s="1"/>
  <c r="VR1341" i="191"/>
  <c r="VX1341" i="191" s="1"/>
  <c r="VR1325" i="191"/>
  <c r="VX1325" i="191" s="1"/>
  <c r="VR1342" i="191"/>
  <c r="VX1342" i="191" s="1"/>
  <c r="VR1326" i="191"/>
  <c r="VX1326" i="191" s="1"/>
  <c r="VR1334" i="191"/>
  <c r="VX1334" i="191" s="1"/>
  <c r="VR1329" i="191"/>
  <c r="VX1329" i="191" s="1"/>
  <c r="VR1319" i="191"/>
  <c r="VX1319" i="191" s="1"/>
  <c r="VR1330" i="191"/>
  <c r="VX1330" i="191" s="1"/>
  <c r="VR1345" i="191"/>
  <c r="VX1345" i="191" s="1"/>
  <c r="VR1343" i="191"/>
  <c r="VX1343" i="191" s="1"/>
  <c r="VR1333" i="191"/>
  <c r="VX1333" i="191" s="1"/>
  <c r="VR1346" i="191"/>
  <c r="VX1346" i="191" s="1"/>
  <c r="VR1324" i="191"/>
  <c r="VX1324" i="191" s="1"/>
  <c r="VR1331" i="191"/>
  <c r="VX1331" i="191" s="1"/>
  <c r="VR1321" i="191"/>
  <c r="VX1321" i="191" s="1"/>
  <c r="VR1332" i="191"/>
  <c r="VX1332" i="191" s="1"/>
  <c r="VR1344" i="191"/>
  <c r="VX1344" i="191" s="1"/>
  <c r="VR1320" i="191"/>
  <c r="VX1320" i="191" s="1"/>
  <c r="VR1323" i="191"/>
  <c r="VX1323" i="191" s="1"/>
  <c r="VR1340" i="191"/>
  <c r="VX1340" i="191" s="1"/>
  <c r="VR1322" i="191"/>
  <c r="VX1322" i="191" s="1"/>
  <c r="VR1339" i="191"/>
  <c r="VX1339" i="191" s="1"/>
  <c r="VR1335" i="191"/>
  <c r="VX1335" i="191" s="1"/>
  <c r="PF1336" i="191"/>
  <c r="PL1336" i="191" s="1"/>
  <c r="PF1341" i="191"/>
  <c r="PL1341" i="191" s="1"/>
  <c r="PF1325" i="191"/>
  <c r="PL1325" i="191" s="1"/>
  <c r="PF1342" i="191"/>
  <c r="PL1342" i="191" s="1"/>
  <c r="PF1326" i="191"/>
  <c r="PL1326" i="191" s="1"/>
  <c r="PF1334" i="191"/>
  <c r="PL1334" i="191" s="1"/>
  <c r="PF1329" i="191"/>
  <c r="PL1329" i="191" s="1"/>
  <c r="PF1319" i="191"/>
  <c r="PL1319" i="191" s="1"/>
  <c r="PF1330" i="191"/>
  <c r="PL1330" i="191" s="1"/>
  <c r="PF1339" i="191"/>
  <c r="PL1339" i="191" s="1"/>
  <c r="PF1335" i="191"/>
  <c r="PL1335" i="191" s="1"/>
  <c r="PF1322" i="191"/>
  <c r="PL1322" i="191" s="1"/>
  <c r="PF1346" i="191"/>
  <c r="PL1346" i="191" s="1"/>
  <c r="PF1324" i="191"/>
  <c r="PL1324" i="191" s="1"/>
  <c r="PF1331" i="191"/>
  <c r="PL1331" i="191" s="1"/>
  <c r="PF1321" i="191"/>
  <c r="PL1321" i="191" s="1"/>
  <c r="PF1332" i="191"/>
  <c r="PL1332" i="191" s="1"/>
  <c r="PF1344" i="191"/>
  <c r="PL1344" i="191" s="1"/>
  <c r="PF1320" i="191"/>
  <c r="PL1320" i="191" s="1"/>
  <c r="PF1323" i="191"/>
  <c r="PL1323" i="191" s="1"/>
  <c r="PF1340" i="191"/>
  <c r="PL1340" i="191" s="1"/>
  <c r="PF1345" i="191"/>
  <c r="PL1345" i="191" s="1"/>
  <c r="PF1343" i="191"/>
  <c r="PL1343" i="191" s="1"/>
  <c r="PF1333" i="191"/>
  <c r="PL1333" i="191" s="1"/>
  <c r="IT1336" i="191"/>
  <c r="IZ1336" i="191" s="1"/>
  <c r="IT1341" i="191"/>
  <c r="IZ1341" i="191" s="1"/>
  <c r="IT1325" i="191"/>
  <c r="IZ1325" i="191" s="1"/>
  <c r="IT1342" i="191"/>
  <c r="IZ1342" i="191" s="1"/>
  <c r="IT1326" i="191"/>
  <c r="IZ1326" i="191" s="1"/>
  <c r="IT1334" i="191"/>
  <c r="IZ1334" i="191" s="1"/>
  <c r="IT1329" i="191"/>
  <c r="IZ1329" i="191" s="1"/>
  <c r="IT1319" i="191"/>
  <c r="IZ1319" i="191" s="1"/>
  <c r="IT1330" i="191"/>
  <c r="IZ1330" i="191" s="1"/>
  <c r="IT1345" i="191"/>
  <c r="IZ1345" i="191" s="1"/>
  <c r="IT1343" i="191"/>
  <c r="IZ1343" i="191" s="1"/>
  <c r="IT1333" i="191"/>
  <c r="IZ1333" i="191" s="1"/>
  <c r="IT1346" i="191"/>
  <c r="IZ1346" i="191" s="1"/>
  <c r="IT1324" i="191"/>
  <c r="IZ1324" i="191" s="1"/>
  <c r="IT1331" i="191"/>
  <c r="IZ1331" i="191" s="1"/>
  <c r="IT1321" i="191"/>
  <c r="IZ1321" i="191" s="1"/>
  <c r="IT1332" i="191"/>
  <c r="IZ1332" i="191" s="1"/>
  <c r="IT1344" i="191"/>
  <c r="IZ1344" i="191" s="1"/>
  <c r="IT1320" i="191"/>
  <c r="IZ1320" i="191" s="1"/>
  <c r="IT1323" i="191"/>
  <c r="IZ1323" i="191" s="1"/>
  <c r="IT1340" i="191"/>
  <c r="IZ1340" i="191" s="1"/>
  <c r="IT1322" i="191"/>
  <c r="IZ1322" i="191" s="1"/>
  <c r="IT1339" i="191"/>
  <c r="IZ1339" i="191" s="1"/>
  <c r="IT1335" i="191"/>
  <c r="IZ1335" i="191" s="1"/>
  <c r="CH1336" i="191"/>
  <c r="CN1336" i="191" s="1"/>
  <c r="CH1341" i="191"/>
  <c r="CN1341" i="191" s="1"/>
  <c r="CH1325" i="191"/>
  <c r="CN1325" i="191" s="1"/>
  <c r="CH1342" i="191"/>
  <c r="CN1342" i="191" s="1"/>
  <c r="CH1326" i="191"/>
  <c r="CN1326" i="191" s="1"/>
  <c r="CH1334" i="191"/>
  <c r="CN1334" i="191" s="1"/>
  <c r="CH1329" i="191"/>
  <c r="CN1329" i="191" s="1"/>
  <c r="CH1319" i="191"/>
  <c r="CN1319" i="191" s="1"/>
  <c r="CH1330" i="191"/>
  <c r="CN1330" i="191" s="1"/>
  <c r="CH1339" i="191"/>
  <c r="CN1339" i="191" s="1"/>
  <c r="CH1335" i="191"/>
  <c r="CN1335" i="191" s="1"/>
  <c r="CH1322" i="191"/>
  <c r="CN1322" i="191" s="1"/>
  <c r="CH1346" i="191"/>
  <c r="CN1346" i="191" s="1"/>
  <c r="CH1324" i="191"/>
  <c r="CN1324" i="191" s="1"/>
  <c r="CH1331" i="191"/>
  <c r="CN1331" i="191" s="1"/>
  <c r="CH1321" i="191"/>
  <c r="CN1321" i="191" s="1"/>
  <c r="CH1332" i="191"/>
  <c r="CN1332" i="191" s="1"/>
  <c r="CH1344" i="191"/>
  <c r="CN1344" i="191" s="1"/>
  <c r="CH1320" i="191"/>
  <c r="CN1320" i="191" s="1"/>
  <c r="CH1323" i="191"/>
  <c r="CN1323" i="191" s="1"/>
  <c r="CH1340" i="191"/>
  <c r="CN1340" i="191" s="1"/>
  <c r="CH1345" i="191"/>
  <c r="CN1345" i="191" s="1"/>
  <c r="CH1343" i="191"/>
  <c r="CN1343" i="191" s="1"/>
  <c r="CH1333" i="191"/>
  <c r="CN1333" i="191" s="1"/>
  <c r="UW1336" i="191"/>
  <c r="VC1336" i="191" s="1"/>
  <c r="UW1341" i="191"/>
  <c r="VC1341" i="191" s="1"/>
  <c r="UW1325" i="191"/>
  <c r="VC1325" i="191" s="1"/>
  <c r="UW1342" i="191"/>
  <c r="VC1342" i="191" s="1"/>
  <c r="UW1326" i="191"/>
  <c r="VC1326" i="191" s="1"/>
  <c r="UW1334" i="191"/>
  <c r="VC1334" i="191" s="1"/>
  <c r="UW1329" i="191"/>
  <c r="VC1329" i="191" s="1"/>
  <c r="UW1319" i="191"/>
  <c r="VC1319" i="191" s="1"/>
  <c r="UW1330" i="191"/>
  <c r="VC1330" i="191" s="1"/>
  <c r="UW1343" i="191"/>
  <c r="VC1343" i="191" s="1"/>
  <c r="UW1322" i="191"/>
  <c r="VC1322" i="191" s="1"/>
  <c r="UW1335" i="191"/>
  <c r="VC1335" i="191" s="1"/>
  <c r="UW1346" i="191"/>
  <c r="VC1346" i="191" s="1"/>
  <c r="UW1324" i="191"/>
  <c r="VC1324" i="191" s="1"/>
  <c r="UW1331" i="191"/>
  <c r="VC1331" i="191" s="1"/>
  <c r="UW1321" i="191"/>
  <c r="VC1321" i="191" s="1"/>
  <c r="UW1332" i="191"/>
  <c r="VC1332" i="191" s="1"/>
  <c r="UW1344" i="191"/>
  <c r="VC1344" i="191" s="1"/>
  <c r="UW1320" i="191"/>
  <c r="VC1320" i="191" s="1"/>
  <c r="UW1323" i="191"/>
  <c r="VC1323" i="191" s="1"/>
  <c r="UW1340" i="191"/>
  <c r="VC1340" i="191" s="1"/>
  <c r="UW1339" i="191"/>
  <c r="VC1339" i="191" s="1"/>
  <c r="UW1333" i="191"/>
  <c r="VC1333" i="191" s="1"/>
  <c r="UW1345" i="191"/>
  <c r="VC1345" i="191" s="1"/>
  <c r="OK1336" i="191"/>
  <c r="OQ1336" i="191" s="1"/>
  <c r="OK1341" i="191"/>
  <c r="OQ1341" i="191" s="1"/>
  <c r="OK1325" i="191"/>
  <c r="OQ1325" i="191" s="1"/>
  <c r="OK1342" i="191"/>
  <c r="OQ1342" i="191" s="1"/>
  <c r="OK1326" i="191"/>
  <c r="OQ1326" i="191" s="1"/>
  <c r="OK1334" i="191"/>
  <c r="OQ1334" i="191" s="1"/>
  <c r="OK1329" i="191"/>
  <c r="OQ1329" i="191" s="1"/>
  <c r="OK1319" i="191"/>
  <c r="OQ1319" i="191" s="1"/>
  <c r="OK1330" i="191"/>
  <c r="OQ1330" i="191" s="1"/>
  <c r="OK1339" i="191"/>
  <c r="OQ1339" i="191" s="1"/>
  <c r="OK1335" i="191"/>
  <c r="OQ1335" i="191" s="1"/>
  <c r="OK1322" i="191"/>
  <c r="OQ1322" i="191" s="1"/>
  <c r="OK1346" i="191"/>
  <c r="OQ1346" i="191" s="1"/>
  <c r="OK1324" i="191"/>
  <c r="OQ1324" i="191" s="1"/>
  <c r="OK1331" i="191"/>
  <c r="OQ1331" i="191" s="1"/>
  <c r="OK1321" i="191"/>
  <c r="OQ1321" i="191" s="1"/>
  <c r="OK1332" i="191"/>
  <c r="OQ1332" i="191" s="1"/>
  <c r="OK1344" i="191"/>
  <c r="OQ1344" i="191" s="1"/>
  <c r="OK1320" i="191"/>
  <c r="OQ1320" i="191" s="1"/>
  <c r="OK1323" i="191"/>
  <c r="OQ1323" i="191" s="1"/>
  <c r="OK1340" i="191"/>
  <c r="OQ1340" i="191" s="1"/>
  <c r="OK1345" i="191"/>
  <c r="OQ1345" i="191" s="1"/>
  <c r="OK1343" i="191"/>
  <c r="OQ1343" i="191" s="1"/>
  <c r="OK1333" i="191"/>
  <c r="OQ1333" i="191" s="1"/>
  <c r="HY1344" i="191"/>
  <c r="IE1344" i="191" s="1"/>
  <c r="HY1320" i="191"/>
  <c r="IE1320" i="191" s="1"/>
  <c r="HY1321" i="191"/>
  <c r="IE1321" i="191" s="1"/>
  <c r="HY1332" i="191"/>
  <c r="IE1332" i="191" s="1"/>
  <c r="HY1346" i="191"/>
  <c r="IE1346" i="191" s="1"/>
  <c r="HY1324" i="191"/>
  <c r="IE1324" i="191" s="1"/>
  <c r="HY1331" i="191"/>
  <c r="IE1331" i="191" s="1"/>
  <c r="HY1319" i="191"/>
  <c r="IE1319" i="191" s="1"/>
  <c r="HY1330" i="191"/>
  <c r="IE1330" i="191" s="1"/>
  <c r="HY1343" i="191"/>
  <c r="IE1343" i="191" s="1"/>
  <c r="HY1322" i="191"/>
  <c r="IE1322" i="191" s="1"/>
  <c r="HY1335" i="191"/>
  <c r="IE1335" i="191" s="1"/>
  <c r="HY1329" i="191"/>
  <c r="IE1329" i="191" s="1"/>
  <c r="HY1334" i="191"/>
  <c r="IE1334" i="191" s="1"/>
  <c r="HY1325" i="191"/>
  <c r="IE1325" i="191" s="1"/>
  <c r="HY1342" i="191"/>
  <c r="IE1342" i="191" s="1"/>
  <c r="HY1326" i="191"/>
  <c r="IE1326" i="191" s="1"/>
  <c r="HY1336" i="191"/>
  <c r="IE1336" i="191" s="1"/>
  <c r="HY1341" i="191"/>
  <c r="IE1341" i="191" s="1"/>
  <c r="HY1323" i="191"/>
  <c r="IE1323" i="191" s="1"/>
  <c r="HY1340" i="191"/>
  <c r="IE1340" i="191" s="1"/>
  <c r="HY1339" i="191"/>
  <c r="IE1339" i="191" s="1"/>
  <c r="HY1333" i="191"/>
  <c r="IE1333" i="191" s="1"/>
  <c r="HY1345" i="191"/>
  <c r="IE1345" i="191" s="1"/>
  <c r="BM1344" i="191"/>
  <c r="BS1344" i="191" s="1"/>
  <c r="BM1320" i="191"/>
  <c r="BS1320" i="191" s="1"/>
  <c r="BM1321" i="191"/>
  <c r="BS1321" i="191" s="1"/>
  <c r="BM1332" i="191"/>
  <c r="BS1332" i="191" s="1"/>
  <c r="BM1346" i="191"/>
  <c r="BS1346" i="191" s="1"/>
  <c r="BM1324" i="191"/>
  <c r="BS1324" i="191" s="1"/>
  <c r="BM1331" i="191"/>
  <c r="BS1331" i="191" s="1"/>
  <c r="BM1319" i="191"/>
  <c r="BS1319" i="191" s="1"/>
  <c r="BM1330" i="191"/>
  <c r="BS1330" i="191" s="1"/>
  <c r="BM1335" i="191"/>
  <c r="BS1335" i="191" s="1"/>
  <c r="BM1343" i="191"/>
  <c r="BS1343" i="191" s="1"/>
  <c r="BM1322" i="191"/>
  <c r="BS1322" i="191" s="1"/>
  <c r="BM1329" i="191"/>
  <c r="BS1329" i="191" s="1"/>
  <c r="BM1334" i="191"/>
  <c r="BS1334" i="191" s="1"/>
  <c r="BM1325" i="191"/>
  <c r="BS1325" i="191" s="1"/>
  <c r="BM1342" i="191"/>
  <c r="BS1342" i="191" s="1"/>
  <c r="BM1326" i="191"/>
  <c r="BS1326" i="191" s="1"/>
  <c r="BM1336" i="191"/>
  <c r="BS1336" i="191" s="1"/>
  <c r="BM1341" i="191"/>
  <c r="BS1341" i="191" s="1"/>
  <c r="BM1323" i="191"/>
  <c r="BS1323" i="191" s="1"/>
  <c r="BM1340" i="191"/>
  <c r="BS1340" i="191" s="1"/>
  <c r="BM1345" i="191"/>
  <c r="BS1345" i="191" s="1"/>
  <c r="BM1339" i="191"/>
  <c r="BS1339" i="191" s="1"/>
  <c r="BM1333" i="191"/>
  <c r="BS1333" i="191" s="1"/>
  <c r="XH1334" i="191"/>
  <c r="XN1334" i="191" s="1"/>
  <c r="XH1329" i="191"/>
  <c r="XN1329" i="191" s="1"/>
  <c r="XH1319" i="191"/>
  <c r="XN1319" i="191" s="1"/>
  <c r="XH1330" i="191"/>
  <c r="XN1330" i="191" s="1"/>
  <c r="XH1336" i="191"/>
  <c r="XN1336" i="191" s="1"/>
  <c r="XH1341" i="191"/>
  <c r="XN1341" i="191" s="1"/>
  <c r="XH1325" i="191"/>
  <c r="XN1325" i="191" s="1"/>
  <c r="XH1342" i="191"/>
  <c r="XN1342" i="191" s="1"/>
  <c r="XH1326" i="191"/>
  <c r="XN1326" i="191" s="1"/>
  <c r="XH1343" i="191"/>
  <c r="XN1343" i="191" s="1"/>
  <c r="XH1322" i="191"/>
  <c r="XN1322" i="191" s="1"/>
  <c r="XH1335" i="191"/>
  <c r="XN1335" i="191" s="1"/>
  <c r="XH1344" i="191"/>
  <c r="XN1344" i="191" s="1"/>
  <c r="XH1320" i="191"/>
  <c r="XN1320" i="191" s="1"/>
  <c r="XH1323" i="191"/>
  <c r="XN1323" i="191" s="1"/>
  <c r="XH1340" i="191"/>
  <c r="XN1340" i="191" s="1"/>
  <c r="XH1346" i="191"/>
  <c r="XN1346" i="191" s="1"/>
  <c r="XH1324" i="191"/>
  <c r="XN1324" i="191" s="1"/>
  <c r="XH1331" i="191"/>
  <c r="XN1331" i="191" s="1"/>
  <c r="XH1321" i="191"/>
  <c r="XN1321" i="191" s="1"/>
  <c r="XH1332" i="191"/>
  <c r="XN1332" i="191" s="1"/>
  <c r="XH1339" i="191"/>
  <c r="XN1339" i="191" s="1"/>
  <c r="XH1333" i="191"/>
  <c r="XN1333" i="191" s="1"/>
  <c r="XH1345" i="191"/>
  <c r="XN1345" i="191" s="1"/>
  <c r="QV1336" i="191"/>
  <c r="RB1336" i="191" s="1"/>
  <c r="QV1341" i="191"/>
  <c r="RB1341" i="191" s="1"/>
  <c r="QV1325" i="191"/>
  <c r="RB1325" i="191" s="1"/>
  <c r="QV1342" i="191"/>
  <c r="RB1342" i="191" s="1"/>
  <c r="QV1344" i="191"/>
  <c r="RB1344" i="191" s="1"/>
  <c r="QV1320" i="191"/>
  <c r="RB1320" i="191" s="1"/>
  <c r="QV1323" i="191"/>
  <c r="RB1323" i="191" s="1"/>
  <c r="QV1340" i="191"/>
  <c r="RB1340" i="191" s="1"/>
  <c r="QV1326" i="191"/>
  <c r="RB1326" i="191" s="1"/>
  <c r="QV1339" i="191"/>
  <c r="RB1339" i="191" s="1"/>
  <c r="QV1335" i="191"/>
  <c r="RB1335" i="191" s="1"/>
  <c r="QV1322" i="191"/>
  <c r="RB1322" i="191" s="1"/>
  <c r="QV1346" i="191"/>
  <c r="RB1346" i="191" s="1"/>
  <c r="QV1324" i="191"/>
  <c r="RB1324" i="191" s="1"/>
  <c r="QV1331" i="191"/>
  <c r="RB1331" i="191" s="1"/>
  <c r="QV1321" i="191"/>
  <c r="RB1321" i="191" s="1"/>
  <c r="QV1332" i="191"/>
  <c r="RB1332" i="191" s="1"/>
  <c r="QV1334" i="191"/>
  <c r="RB1334" i="191" s="1"/>
  <c r="QV1329" i="191"/>
  <c r="RB1329" i="191" s="1"/>
  <c r="QV1319" i="191"/>
  <c r="RB1319" i="191" s="1"/>
  <c r="QV1330" i="191"/>
  <c r="RB1330" i="191" s="1"/>
  <c r="QV1345" i="191"/>
  <c r="RB1345" i="191" s="1"/>
  <c r="QV1343" i="191"/>
  <c r="RB1343" i="191" s="1"/>
  <c r="QV1333" i="191"/>
  <c r="RB1333" i="191" s="1"/>
  <c r="KJ1336" i="191"/>
  <c r="KP1336" i="191" s="1"/>
  <c r="KJ1341" i="191"/>
  <c r="KP1341" i="191" s="1"/>
  <c r="KJ1325" i="191"/>
  <c r="KP1325" i="191" s="1"/>
  <c r="KJ1342" i="191"/>
  <c r="KP1342" i="191" s="1"/>
  <c r="KJ1326" i="191"/>
  <c r="KP1326" i="191" s="1"/>
  <c r="KJ1334" i="191"/>
  <c r="KP1334" i="191" s="1"/>
  <c r="KJ1329" i="191"/>
  <c r="KP1329" i="191" s="1"/>
  <c r="KJ1319" i="191"/>
  <c r="KP1319" i="191" s="1"/>
  <c r="KJ1330" i="191"/>
  <c r="KP1330" i="191" s="1"/>
  <c r="KJ1339" i="191"/>
  <c r="KP1339" i="191" s="1"/>
  <c r="KJ1335" i="191"/>
  <c r="KP1335" i="191" s="1"/>
  <c r="KJ1322" i="191"/>
  <c r="KP1322" i="191" s="1"/>
  <c r="KJ1346" i="191"/>
  <c r="KP1346" i="191" s="1"/>
  <c r="KJ1324" i="191"/>
  <c r="KP1324" i="191" s="1"/>
  <c r="KJ1331" i="191"/>
  <c r="KP1331" i="191" s="1"/>
  <c r="KJ1321" i="191"/>
  <c r="KP1321" i="191" s="1"/>
  <c r="KJ1332" i="191"/>
  <c r="KP1332" i="191" s="1"/>
  <c r="KJ1344" i="191"/>
  <c r="KP1344" i="191" s="1"/>
  <c r="KJ1320" i="191"/>
  <c r="KP1320" i="191" s="1"/>
  <c r="KJ1323" i="191"/>
  <c r="KP1323" i="191" s="1"/>
  <c r="KJ1340" i="191"/>
  <c r="KP1340" i="191" s="1"/>
  <c r="KJ1345" i="191"/>
  <c r="KP1345" i="191" s="1"/>
  <c r="KJ1343" i="191"/>
  <c r="KP1343" i="191" s="1"/>
  <c r="KJ1333" i="191"/>
  <c r="KP1333" i="191" s="1"/>
  <c r="DX1336" i="191"/>
  <c r="ED1336" i="191" s="1"/>
  <c r="DX1341" i="191"/>
  <c r="ED1341" i="191" s="1"/>
  <c r="DX1325" i="191"/>
  <c r="ED1325" i="191" s="1"/>
  <c r="DX1342" i="191"/>
  <c r="ED1342" i="191" s="1"/>
  <c r="DX1326" i="191"/>
  <c r="ED1326" i="191" s="1"/>
  <c r="DX1334" i="191"/>
  <c r="ED1334" i="191" s="1"/>
  <c r="DX1329" i="191"/>
  <c r="ED1329" i="191" s="1"/>
  <c r="DX1319" i="191"/>
  <c r="ED1319" i="191" s="1"/>
  <c r="DX1330" i="191"/>
  <c r="ED1330" i="191" s="1"/>
  <c r="DX1339" i="191"/>
  <c r="ED1339" i="191" s="1"/>
  <c r="DX1335" i="191"/>
  <c r="ED1335" i="191" s="1"/>
  <c r="DX1322" i="191"/>
  <c r="ED1322" i="191" s="1"/>
  <c r="DX1346" i="191"/>
  <c r="ED1346" i="191" s="1"/>
  <c r="DX1324" i="191"/>
  <c r="ED1324" i="191" s="1"/>
  <c r="DX1331" i="191"/>
  <c r="ED1331" i="191" s="1"/>
  <c r="DX1321" i="191"/>
  <c r="ED1321" i="191" s="1"/>
  <c r="DX1332" i="191"/>
  <c r="ED1332" i="191" s="1"/>
  <c r="DX1344" i="191"/>
  <c r="ED1344" i="191" s="1"/>
  <c r="DX1320" i="191"/>
  <c r="ED1320" i="191" s="1"/>
  <c r="DX1323" i="191"/>
  <c r="ED1323" i="191" s="1"/>
  <c r="DX1340" i="191"/>
  <c r="ED1340" i="191" s="1"/>
  <c r="DX1345" i="191"/>
  <c r="ED1345" i="191" s="1"/>
  <c r="DX1343" i="191"/>
  <c r="ED1343" i="191" s="1"/>
  <c r="DX1333" i="191"/>
  <c r="ED1333" i="191" s="1"/>
  <c r="WM1334" i="191"/>
  <c r="WS1334" i="191" s="1"/>
  <c r="WM1329" i="191"/>
  <c r="WS1329" i="191" s="1"/>
  <c r="WM1319" i="191"/>
  <c r="WS1319" i="191" s="1"/>
  <c r="WM1330" i="191"/>
  <c r="WS1330" i="191" s="1"/>
  <c r="WM1336" i="191"/>
  <c r="WS1336" i="191" s="1"/>
  <c r="WM1341" i="191"/>
  <c r="WS1341" i="191" s="1"/>
  <c r="WM1325" i="191"/>
  <c r="WS1325" i="191" s="1"/>
  <c r="WM1342" i="191"/>
  <c r="WS1342" i="191" s="1"/>
  <c r="WM1326" i="191"/>
  <c r="WS1326" i="191" s="1"/>
  <c r="WM1335" i="191"/>
  <c r="WS1335" i="191" s="1"/>
  <c r="WM1339" i="191"/>
  <c r="WS1339" i="191" s="1"/>
  <c r="WM1333" i="191"/>
  <c r="WS1333" i="191" s="1"/>
  <c r="WM1344" i="191"/>
  <c r="WS1344" i="191" s="1"/>
  <c r="WM1320" i="191"/>
  <c r="WS1320" i="191" s="1"/>
  <c r="WM1323" i="191"/>
  <c r="WS1323" i="191" s="1"/>
  <c r="WM1340" i="191"/>
  <c r="WS1340" i="191" s="1"/>
  <c r="WM1346" i="191"/>
  <c r="WS1346" i="191" s="1"/>
  <c r="WM1324" i="191"/>
  <c r="WS1324" i="191" s="1"/>
  <c r="WM1331" i="191"/>
  <c r="WS1331" i="191" s="1"/>
  <c r="WM1321" i="191"/>
  <c r="WS1321" i="191" s="1"/>
  <c r="WM1332" i="191"/>
  <c r="WS1332" i="191" s="1"/>
  <c r="WM1345" i="191"/>
  <c r="WS1345" i="191" s="1"/>
  <c r="WM1322" i="191"/>
  <c r="WS1322" i="191" s="1"/>
  <c r="WM1343" i="191"/>
  <c r="WS1343" i="191" s="1"/>
  <c r="QA1336" i="191"/>
  <c r="QG1336" i="191" s="1"/>
  <c r="QA1341" i="191"/>
  <c r="QG1341" i="191" s="1"/>
  <c r="QA1325" i="191"/>
  <c r="QG1325" i="191" s="1"/>
  <c r="QA1342" i="191"/>
  <c r="QG1342" i="191" s="1"/>
  <c r="QA1326" i="191"/>
  <c r="QG1326" i="191" s="1"/>
  <c r="QA1334" i="191"/>
  <c r="QG1334" i="191" s="1"/>
  <c r="QA1329" i="191"/>
  <c r="QG1329" i="191" s="1"/>
  <c r="QA1319" i="191"/>
  <c r="QG1319" i="191" s="1"/>
  <c r="QA1330" i="191"/>
  <c r="QG1330" i="191" s="1"/>
  <c r="QA1345" i="191"/>
  <c r="QG1345" i="191" s="1"/>
  <c r="QA1343" i="191"/>
  <c r="QG1343" i="191" s="1"/>
  <c r="QA1333" i="191"/>
  <c r="QG1333" i="191" s="1"/>
  <c r="QA1346" i="191"/>
  <c r="QG1346" i="191" s="1"/>
  <c r="QA1324" i="191"/>
  <c r="QG1324" i="191" s="1"/>
  <c r="QA1331" i="191"/>
  <c r="QG1331" i="191" s="1"/>
  <c r="QA1321" i="191"/>
  <c r="QG1321" i="191" s="1"/>
  <c r="QA1332" i="191"/>
  <c r="QG1332" i="191" s="1"/>
  <c r="QA1344" i="191"/>
  <c r="QG1344" i="191" s="1"/>
  <c r="QA1320" i="191"/>
  <c r="QG1320" i="191" s="1"/>
  <c r="QA1323" i="191"/>
  <c r="QG1323" i="191" s="1"/>
  <c r="QA1340" i="191"/>
  <c r="QG1340" i="191" s="1"/>
  <c r="QA1322" i="191"/>
  <c r="QG1322" i="191" s="1"/>
  <c r="QA1339" i="191"/>
  <c r="QG1339" i="191" s="1"/>
  <c r="QA1335" i="191"/>
  <c r="QG1335" i="191" s="1"/>
  <c r="JO1336" i="191"/>
  <c r="JU1336" i="191" s="1"/>
  <c r="JO1341" i="191"/>
  <c r="JU1341" i="191" s="1"/>
  <c r="JO1323" i="191"/>
  <c r="JU1323" i="191" s="1"/>
  <c r="JO1340" i="191"/>
  <c r="JU1340" i="191" s="1"/>
  <c r="JO1344" i="191"/>
  <c r="JU1344" i="191" s="1"/>
  <c r="JO1320" i="191"/>
  <c r="JU1320" i="191" s="1"/>
  <c r="JO1321" i="191"/>
  <c r="JU1321" i="191" s="1"/>
  <c r="JO1332" i="191"/>
  <c r="JU1332" i="191" s="1"/>
  <c r="JO1329" i="191"/>
  <c r="JU1329" i="191" s="1"/>
  <c r="JO1339" i="191"/>
  <c r="JU1339" i="191" s="1"/>
  <c r="JO1335" i="191"/>
  <c r="JU1335" i="191" s="1"/>
  <c r="JO1322" i="191"/>
  <c r="JU1322" i="191" s="1"/>
  <c r="JO1346" i="191"/>
  <c r="JU1346" i="191" s="1"/>
  <c r="JO1324" i="191"/>
  <c r="JU1324" i="191" s="1"/>
  <c r="JO1331" i="191"/>
  <c r="JU1331" i="191" s="1"/>
  <c r="JO1319" i="191"/>
  <c r="JU1319" i="191" s="1"/>
  <c r="JO1330" i="191"/>
  <c r="JU1330" i="191" s="1"/>
  <c r="JO1334" i="191"/>
  <c r="JU1334" i="191" s="1"/>
  <c r="JO1325" i="191"/>
  <c r="JU1325" i="191" s="1"/>
  <c r="JO1342" i="191"/>
  <c r="JU1342" i="191" s="1"/>
  <c r="JO1326" i="191"/>
  <c r="JU1326" i="191" s="1"/>
  <c r="JO1345" i="191"/>
  <c r="JU1345" i="191" s="1"/>
  <c r="JO1343" i="191"/>
  <c r="JU1343" i="191" s="1"/>
  <c r="JO1333" i="191"/>
  <c r="JU1333" i="191" s="1"/>
  <c r="DC1336" i="191"/>
  <c r="DI1336" i="191" s="1"/>
  <c r="DC1341" i="191"/>
  <c r="DI1341" i="191" s="1"/>
  <c r="DC1323" i="191"/>
  <c r="DI1323" i="191" s="1"/>
  <c r="DC1340" i="191"/>
  <c r="DI1340" i="191" s="1"/>
  <c r="DC1344" i="191"/>
  <c r="DI1344" i="191" s="1"/>
  <c r="DC1320" i="191"/>
  <c r="DI1320" i="191" s="1"/>
  <c r="DC1321" i="191"/>
  <c r="DI1321" i="191" s="1"/>
  <c r="DC1332" i="191"/>
  <c r="DI1332" i="191" s="1"/>
  <c r="DC1329" i="191"/>
  <c r="DI1329" i="191" s="1"/>
  <c r="DC1343" i="191"/>
  <c r="DI1343" i="191" s="1"/>
  <c r="DC1345" i="191"/>
  <c r="DI1345" i="191" s="1"/>
  <c r="DC1322" i="191"/>
  <c r="DI1322" i="191" s="1"/>
  <c r="DC1346" i="191"/>
  <c r="DI1346" i="191" s="1"/>
  <c r="DC1324" i="191"/>
  <c r="DI1324" i="191" s="1"/>
  <c r="DC1331" i="191"/>
  <c r="DI1331" i="191" s="1"/>
  <c r="DC1319" i="191"/>
  <c r="DI1319" i="191" s="1"/>
  <c r="DC1330" i="191"/>
  <c r="DI1330" i="191" s="1"/>
  <c r="DC1334" i="191"/>
  <c r="DI1334" i="191" s="1"/>
  <c r="DC1325" i="191"/>
  <c r="DI1325" i="191" s="1"/>
  <c r="DC1342" i="191"/>
  <c r="DI1342" i="191" s="1"/>
  <c r="DC1326" i="191"/>
  <c r="DI1326" i="191" s="1"/>
  <c r="DC1339" i="191"/>
  <c r="DI1339" i="191" s="1"/>
  <c r="DC1333" i="191"/>
  <c r="DI1333" i="191" s="1"/>
  <c r="DC1335" i="191"/>
  <c r="DI1335" i="191" s="1"/>
  <c r="YX1336" i="191"/>
  <c r="ZD1336" i="191" s="1"/>
  <c r="YX1341" i="191"/>
  <c r="ZD1341" i="191" s="1"/>
  <c r="YX1325" i="191"/>
  <c r="ZD1325" i="191" s="1"/>
  <c r="YX1342" i="191"/>
  <c r="ZD1342" i="191" s="1"/>
  <c r="YX1326" i="191"/>
  <c r="ZD1326" i="191" s="1"/>
  <c r="YX1334" i="191"/>
  <c r="ZD1334" i="191" s="1"/>
  <c r="YX1329" i="191"/>
  <c r="ZD1329" i="191" s="1"/>
  <c r="YX1319" i="191"/>
  <c r="ZD1319" i="191" s="1"/>
  <c r="YX1330" i="191"/>
  <c r="ZD1330" i="191" s="1"/>
  <c r="YX1345" i="191"/>
  <c r="ZD1345" i="191" s="1"/>
  <c r="YX1343" i="191"/>
  <c r="ZD1343" i="191" s="1"/>
  <c r="YX1333" i="191"/>
  <c r="ZD1333" i="191" s="1"/>
  <c r="YX1346" i="191"/>
  <c r="ZD1346" i="191" s="1"/>
  <c r="YX1324" i="191"/>
  <c r="ZD1324" i="191" s="1"/>
  <c r="YX1331" i="191"/>
  <c r="ZD1331" i="191" s="1"/>
  <c r="YX1321" i="191"/>
  <c r="ZD1321" i="191" s="1"/>
  <c r="YX1332" i="191"/>
  <c r="ZD1332" i="191" s="1"/>
  <c r="YX1344" i="191"/>
  <c r="ZD1344" i="191" s="1"/>
  <c r="YX1320" i="191"/>
  <c r="ZD1320" i="191" s="1"/>
  <c r="YX1323" i="191"/>
  <c r="ZD1323" i="191" s="1"/>
  <c r="YX1340" i="191"/>
  <c r="ZD1340" i="191" s="1"/>
  <c r="YX1322" i="191"/>
  <c r="ZD1322" i="191" s="1"/>
  <c r="YX1339" i="191"/>
  <c r="ZD1339" i="191" s="1"/>
  <c r="YX1335" i="191"/>
  <c r="ZD1335" i="191" s="1"/>
  <c r="SL1336" i="191"/>
  <c r="SR1336" i="191" s="1"/>
  <c r="SL1341" i="191"/>
  <c r="SR1341" i="191" s="1"/>
  <c r="SL1325" i="191"/>
  <c r="SR1325" i="191" s="1"/>
  <c r="SL1342" i="191"/>
  <c r="SR1342" i="191" s="1"/>
  <c r="SL1326" i="191"/>
  <c r="SR1326" i="191" s="1"/>
  <c r="SL1334" i="191"/>
  <c r="SR1334" i="191" s="1"/>
  <c r="SL1329" i="191"/>
  <c r="SR1329" i="191" s="1"/>
  <c r="SL1319" i="191"/>
  <c r="SR1319" i="191" s="1"/>
  <c r="SL1330" i="191"/>
  <c r="SR1330" i="191" s="1"/>
  <c r="SL1339" i="191"/>
  <c r="SR1339" i="191" s="1"/>
  <c r="SL1335" i="191"/>
  <c r="SR1335" i="191" s="1"/>
  <c r="SL1322" i="191"/>
  <c r="SR1322" i="191" s="1"/>
  <c r="SL1346" i="191"/>
  <c r="SR1346" i="191" s="1"/>
  <c r="SL1324" i="191"/>
  <c r="SR1324" i="191" s="1"/>
  <c r="SL1331" i="191"/>
  <c r="SR1331" i="191" s="1"/>
  <c r="SL1321" i="191"/>
  <c r="SR1321" i="191" s="1"/>
  <c r="SL1332" i="191"/>
  <c r="SR1332" i="191" s="1"/>
  <c r="SL1344" i="191"/>
  <c r="SR1344" i="191" s="1"/>
  <c r="SL1320" i="191"/>
  <c r="SR1320" i="191" s="1"/>
  <c r="SL1323" i="191"/>
  <c r="SR1323" i="191" s="1"/>
  <c r="SL1340" i="191"/>
  <c r="SR1340" i="191" s="1"/>
  <c r="SL1345" i="191"/>
  <c r="SR1345" i="191" s="1"/>
  <c r="SL1343" i="191"/>
  <c r="SR1343" i="191" s="1"/>
  <c r="SL1333" i="191"/>
  <c r="SR1333" i="191" s="1"/>
  <c r="LZ1336" i="191"/>
  <c r="MF1336" i="191" s="1"/>
  <c r="LZ1341" i="191"/>
  <c r="MF1341" i="191" s="1"/>
  <c r="LZ1325" i="191"/>
  <c r="MF1325" i="191" s="1"/>
  <c r="LZ1342" i="191"/>
  <c r="MF1342" i="191" s="1"/>
  <c r="LZ1326" i="191"/>
  <c r="MF1326" i="191" s="1"/>
  <c r="LZ1334" i="191"/>
  <c r="MF1334" i="191" s="1"/>
  <c r="LZ1329" i="191"/>
  <c r="MF1329" i="191" s="1"/>
  <c r="LZ1319" i="191"/>
  <c r="MF1319" i="191" s="1"/>
  <c r="LZ1330" i="191"/>
  <c r="MF1330" i="191" s="1"/>
  <c r="LZ1339" i="191"/>
  <c r="MF1339" i="191" s="1"/>
  <c r="LZ1335" i="191"/>
  <c r="MF1335" i="191" s="1"/>
  <c r="LZ1322" i="191"/>
  <c r="MF1322" i="191" s="1"/>
  <c r="LZ1346" i="191"/>
  <c r="MF1346" i="191" s="1"/>
  <c r="LZ1324" i="191"/>
  <c r="MF1324" i="191" s="1"/>
  <c r="LZ1331" i="191"/>
  <c r="MF1331" i="191" s="1"/>
  <c r="LZ1321" i="191"/>
  <c r="MF1321" i="191" s="1"/>
  <c r="LZ1332" i="191"/>
  <c r="MF1332" i="191" s="1"/>
  <c r="LZ1344" i="191"/>
  <c r="MF1344" i="191" s="1"/>
  <c r="LZ1320" i="191"/>
  <c r="MF1320" i="191" s="1"/>
  <c r="LZ1323" i="191"/>
  <c r="MF1323" i="191" s="1"/>
  <c r="LZ1340" i="191"/>
  <c r="MF1340" i="191" s="1"/>
  <c r="LZ1345" i="191"/>
  <c r="MF1345" i="191" s="1"/>
  <c r="LZ1343" i="191"/>
  <c r="MF1343" i="191" s="1"/>
  <c r="LZ1333" i="191"/>
  <c r="MF1333" i="191" s="1"/>
  <c r="FN1336" i="191"/>
  <c r="FT1336" i="191" s="1"/>
  <c r="FN1341" i="191"/>
  <c r="FT1341" i="191" s="1"/>
  <c r="FN1325" i="191"/>
  <c r="FT1325" i="191" s="1"/>
  <c r="FN1342" i="191"/>
  <c r="FT1342" i="191" s="1"/>
  <c r="FN1326" i="191"/>
  <c r="FT1326" i="191" s="1"/>
  <c r="FN1334" i="191"/>
  <c r="FT1334" i="191" s="1"/>
  <c r="FN1329" i="191"/>
  <c r="FT1329" i="191" s="1"/>
  <c r="FN1319" i="191"/>
  <c r="FT1319" i="191" s="1"/>
  <c r="FN1330" i="191"/>
  <c r="FT1330" i="191" s="1"/>
  <c r="FN1339" i="191"/>
  <c r="FT1339" i="191" s="1"/>
  <c r="FN1335" i="191"/>
  <c r="FT1335" i="191" s="1"/>
  <c r="FN1322" i="191"/>
  <c r="FT1322" i="191" s="1"/>
  <c r="FN1346" i="191"/>
  <c r="FT1346" i="191" s="1"/>
  <c r="FN1324" i="191"/>
  <c r="FT1324" i="191" s="1"/>
  <c r="FN1331" i="191"/>
  <c r="FT1331" i="191" s="1"/>
  <c r="FN1321" i="191"/>
  <c r="FT1321" i="191" s="1"/>
  <c r="FN1332" i="191"/>
  <c r="FT1332" i="191" s="1"/>
  <c r="FN1344" i="191"/>
  <c r="FT1344" i="191" s="1"/>
  <c r="FN1320" i="191"/>
  <c r="FT1320" i="191" s="1"/>
  <c r="FN1323" i="191"/>
  <c r="FT1323" i="191" s="1"/>
  <c r="FN1340" i="191"/>
  <c r="FT1340" i="191" s="1"/>
  <c r="FN1345" i="191"/>
  <c r="FT1345" i="191" s="1"/>
  <c r="FN1343" i="191"/>
  <c r="FT1343" i="191" s="1"/>
  <c r="FN1333" i="191"/>
  <c r="FT1333" i="191" s="1"/>
  <c r="YC1336" i="191"/>
  <c r="YI1336" i="191" s="1"/>
  <c r="YC1341" i="191"/>
  <c r="YI1341" i="191" s="1"/>
  <c r="YC1325" i="191"/>
  <c r="YI1325" i="191" s="1"/>
  <c r="YC1342" i="191"/>
  <c r="YI1342" i="191" s="1"/>
  <c r="YC1326" i="191"/>
  <c r="YI1326" i="191" s="1"/>
  <c r="YC1334" i="191"/>
  <c r="YI1334" i="191" s="1"/>
  <c r="YC1329" i="191"/>
  <c r="YI1329" i="191" s="1"/>
  <c r="YC1319" i="191"/>
  <c r="YI1319" i="191" s="1"/>
  <c r="YC1330" i="191"/>
  <c r="YI1330" i="191" s="1"/>
  <c r="YC1335" i="191"/>
  <c r="YI1335" i="191" s="1"/>
  <c r="YC1343" i="191"/>
  <c r="YI1343" i="191" s="1"/>
  <c r="YC1322" i="191"/>
  <c r="YI1322" i="191" s="1"/>
  <c r="YC1346" i="191"/>
  <c r="YI1346" i="191" s="1"/>
  <c r="YC1324" i="191"/>
  <c r="YI1324" i="191" s="1"/>
  <c r="YC1331" i="191"/>
  <c r="YI1331" i="191" s="1"/>
  <c r="YC1321" i="191"/>
  <c r="YI1321" i="191" s="1"/>
  <c r="YC1332" i="191"/>
  <c r="YI1332" i="191" s="1"/>
  <c r="YC1344" i="191"/>
  <c r="YI1344" i="191" s="1"/>
  <c r="YC1320" i="191"/>
  <c r="YI1320" i="191" s="1"/>
  <c r="YC1323" i="191"/>
  <c r="YI1323" i="191" s="1"/>
  <c r="YC1340" i="191"/>
  <c r="YI1340" i="191" s="1"/>
  <c r="YC1345" i="191"/>
  <c r="YI1345" i="191" s="1"/>
  <c r="YC1339" i="191"/>
  <c r="YI1339" i="191" s="1"/>
  <c r="YC1333" i="191"/>
  <c r="YI1333" i="191" s="1"/>
  <c r="RQ1334" i="191"/>
  <c r="RW1334" i="191" s="1"/>
  <c r="RQ1329" i="191"/>
  <c r="RW1329" i="191" s="1"/>
  <c r="RQ1319" i="191"/>
  <c r="RW1319" i="191" s="1"/>
  <c r="RQ1330" i="191"/>
  <c r="RW1330" i="191" s="1"/>
  <c r="RQ1336" i="191"/>
  <c r="RW1336" i="191" s="1"/>
  <c r="RQ1341" i="191"/>
  <c r="RW1341" i="191" s="1"/>
  <c r="RQ1325" i="191"/>
  <c r="RW1325" i="191" s="1"/>
  <c r="RQ1342" i="191"/>
  <c r="RW1342" i="191" s="1"/>
  <c r="RQ1326" i="191"/>
  <c r="RW1326" i="191" s="1"/>
  <c r="RQ1335" i="191"/>
  <c r="RW1335" i="191" s="1"/>
  <c r="RQ1343" i="191"/>
  <c r="RW1343" i="191" s="1"/>
  <c r="RQ1322" i="191"/>
  <c r="RW1322" i="191" s="1"/>
  <c r="RQ1344" i="191"/>
  <c r="RW1344" i="191" s="1"/>
  <c r="RQ1320" i="191"/>
  <c r="RW1320" i="191" s="1"/>
  <c r="RQ1323" i="191"/>
  <c r="RW1323" i="191" s="1"/>
  <c r="RQ1340" i="191"/>
  <c r="RW1340" i="191" s="1"/>
  <c r="RQ1346" i="191"/>
  <c r="RW1346" i="191" s="1"/>
  <c r="RQ1324" i="191"/>
  <c r="RW1324" i="191" s="1"/>
  <c r="RQ1331" i="191"/>
  <c r="RW1331" i="191" s="1"/>
  <c r="RQ1321" i="191"/>
  <c r="RW1321" i="191" s="1"/>
  <c r="RQ1332" i="191"/>
  <c r="RW1332" i="191" s="1"/>
  <c r="RQ1345" i="191"/>
  <c r="RW1345" i="191" s="1"/>
  <c r="RQ1339" i="191"/>
  <c r="RW1339" i="191" s="1"/>
  <c r="RQ1333" i="191"/>
  <c r="RW1333" i="191" s="1"/>
  <c r="LE1336" i="191"/>
  <c r="LK1336" i="191" s="1"/>
  <c r="LE1341" i="191"/>
  <c r="LK1341" i="191" s="1"/>
  <c r="LE1323" i="191"/>
  <c r="LK1323" i="191" s="1"/>
  <c r="LE1340" i="191"/>
  <c r="LK1340" i="191" s="1"/>
  <c r="LE1329" i="191"/>
  <c r="LK1329" i="191" s="1"/>
  <c r="LE1334" i="191"/>
  <c r="LK1334" i="191" s="1"/>
  <c r="LE1325" i="191"/>
  <c r="LK1325" i="191" s="1"/>
  <c r="LE1342" i="191"/>
  <c r="LK1342" i="191" s="1"/>
  <c r="LE1326" i="191"/>
  <c r="LK1326" i="191" s="1"/>
  <c r="LE1345" i="191"/>
  <c r="LK1345" i="191" s="1"/>
  <c r="LE1343" i="191"/>
  <c r="LK1343" i="191" s="1"/>
  <c r="LE1333" i="191"/>
  <c r="LK1333" i="191" s="1"/>
  <c r="LE1346" i="191"/>
  <c r="LK1346" i="191" s="1"/>
  <c r="LE1324" i="191"/>
  <c r="LK1324" i="191" s="1"/>
  <c r="LE1331" i="191"/>
  <c r="LK1331" i="191" s="1"/>
  <c r="LE1319" i="191"/>
  <c r="LK1319" i="191" s="1"/>
  <c r="LE1330" i="191"/>
  <c r="LK1330" i="191" s="1"/>
  <c r="LE1344" i="191"/>
  <c r="LK1344" i="191" s="1"/>
  <c r="LE1320" i="191"/>
  <c r="LK1320" i="191" s="1"/>
  <c r="LE1321" i="191"/>
  <c r="LK1321" i="191" s="1"/>
  <c r="LE1332" i="191"/>
  <c r="LK1332" i="191" s="1"/>
  <c r="LE1322" i="191"/>
  <c r="LK1322" i="191" s="1"/>
  <c r="LE1339" i="191"/>
  <c r="LK1339" i="191" s="1"/>
  <c r="LE1335" i="191"/>
  <c r="LK1335" i="191" s="1"/>
  <c r="ES1336" i="191"/>
  <c r="EY1336" i="191" s="1"/>
  <c r="ES1341" i="191"/>
  <c r="EY1341" i="191" s="1"/>
  <c r="ES1323" i="191"/>
  <c r="EY1323" i="191" s="1"/>
  <c r="ES1340" i="191"/>
  <c r="EY1340" i="191" s="1"/>
  <c r="ES1329" i="191"/>
  <c r="EY1329" i="191" s="1"/>
  <c r="ES1334" i="191"/>
  <c r="EY1334" i="191" s="1"/>
  <c r="ES1325" i="191"/>
  <c r="EY1325" i="191" s="1"/>
  <c r="ES1342" i="191"/>
  <c r="EY1342" i="191" s="1"/>
  <c r="ES1326" i="191"/>
  <c r="EY1326" i="191" s="1"/>
  <c r="ES1339" i="191"/>
  <c r="EY1339" i="191" s="1"/>
  <c r="ES1335" i="191"/>
  <c r="EY1335" i="191" s="1"/>
  <c r="ES1322" i="191"/>
  <c r="EY1322" i="191" s="1"/>
  <c r="ES1346" i="191"/>
  <c r="EY1346" i="191" s="1"/>
  <c r="ES1324" i="191"/>
  <c r="EY1324" i="191" s="1"/>
  <c r="ES1331" i="191"/>
  <c r="EY1331" i="191" s="1"/>
  <c r="ES1319" i="191"/>
  <c r="EY1319" i="191" s="1"/>
  <c r="ES1330" i="191"/>
  <c r="EY1330" i="191" s="1"/>
  <c r="ES1344" i="191"/>
  <c r="EY1344" i="191" s="1"/>
  <c r="ES1320" i="191"/>
  <c r="EY1320" i="191" s="1"/>
  <c r="ES1321" i="191"/>
  <c r="EY1321" i="191" s="1"/>
  <c r="ES1332" i="191"/>
  <c r="EY1332" i="191" s="1"/>
  <c r="ES1345" i="191"/>
  <c r="EY1345" i="191" s="1"/>
  <c r="ES1343" i="191"/>
  <c r="EY1343" i="191" s="1"/>
  <c r="ES1333" i="191"/>
  <c r="EY1333" i="191" s="1"/>
  <c r="SK1331" i="191"/>
  <c r="SQ1331" i="191" s="1"/>
  <c r="SK1344" i="191"/>
  <c r="SQ1344" i="191" s="1"/>
  <c r="SK1334" i="191"/>
  <c r="SQ1334" i="191" s="1"/>
  <c r="SK1324" i="191"/>
  <c r="SQ1324" i="191" s="1"/>
  <c r="SK1321" i="191"/>
  <c r="SQ1321" i="191" s="1"/>
  <c r="SK1346" i="191"/>
  <c r="SQ1346" i="191" s="1"/>
  <c r="SK1336" i="191"/>
  <c r="SQ1336" i="191" s="1"/>
  <c r="SK1326" i="191"/>
  <c r="SQ1326" i="191" s="1"/>
  <c r="SK1319" i="191"/>
  <c r="SQ1319" i="191" s="1"/>
  <c r="SK1345" i="191"/>
  <c r="SQ1345" i="191" s="1"/>
  <c r="SK1322" i="191"/>
  <c r="SQ1322" i="191" s="1"/>
  <c r="SK1335" i="191"/>
  <c r="SQ1335" i="191" s="1"/>
  <c r="SK1341" i="191"/>
  <c r="SQ1341" i="191" s="1"/>
  <c r="SK1323" i="191"/>
  <c r="SQ1323" i="191" s="1"/>
  <c r="SK1340" i="191"/>
  <c r="SQ1340" i="191" s="1"/>
  <c r="SK1330" i="191"/>
  <c r="SQ1330" i="191" s="1"/>
  <c r="SK1320" i="191"/>
  <c r="SQ1320" i="191" s="1"/>
  <c r="SK1329" i="191"/>
  <c r="SQ1329" i="191" s="1"/>
  <c r="SK1342" i="191"/>
  <c r="SQ1342" i="191" s="1"/>
  <c r="SK1332" i="191"/>
  <c r="SQ1332" i="191" s="1"/>
  <c r="SK1325" i="191"/>
  <c r="SQ1325" i="191" s="1"/>
  <c r="SK1333" i="191"/>
  <c r="SQ1333" i="191" s="1"/>
  <c r="SK1339" i="191"/>
  <c r="SQ1339" i="191" s="1"/>
  <c r="SK1343" i="191"/>
  <c r="SQ1343" i="191" s="1"/>
  <c r="LY1331" i="191"/>
  <c r="ME1331" i="191" s="1"/>
  <c r="LY1344" i="191"/>
  <c r="ME1344" i="191" s="1"/>
  <c r="LY1334" i="191"/>
  <c r="ME1334" i="191" s="1"/>
  <c r="LY1324" i="191"/>
  <c r="ME1324" i="191" s="1"/>
  <c r="LY1321" i="191"/>
  <c r="ME1321" i="191" s="1"/>
  <c r="LY1346" i="191"/>
  <c r="ME1346" i="191" s="1"/>
  <c r="LY1336" i="191"/>
  <c r="ME1336" i="191" s="1"/>
  <c r="LY1326" i="191"/>
  <c r="ME1326" i="191" s="1"/>
  <c r="LY1319" i="191"/>
  <c r="ME1319" i="191" s="1"/>
  <c r="LY1345" i="191"/>
  <c r="ME1345" i="191" s="1"/>
  <c r="LY1322" i="191"/>
  <c r="ME1322" i="191" s="1"/>
  <c r="LY1335" i="191"/>
  <c r="ME1335" i="191" s="1"/>
  <c r="LY1341" i="191"/>
  <c r="ME1341" i="191" s="1"/>
  <c r="LY1323" i="191"/>
  <c r="ME1323" i="191" s="1"/>
  <c r="LY1340" i="191"/>
  <c r="ME1340" i="191" s="1"/>
  <c r="LY1330" i="191"/>
  <c r="ME1330" i="191" s="1"/>
  <c r="LY1320" i="191"/>
  <c r="ME1320" i="191" s="1"/>
  <c r="LY1329" i="191"/>
  <c r="ME1329" i="191" s="1"/>
  <c r="LY1342" i="191"/>
  <c r="ME1342" i="191" s="1"/>
  <c r="LY1332" i="191"/>
  <c r="ME1332" i="191" s="1"/>
  <c r="LY1325" i="191"/>
  <c r="ME1325" i="191" s="1"/>
  <c r="LY1333" i="191"/>
  <c r="ME1333" i="191" s="1"/>
  <c r="LY1339" i="191"/>
  <c r="ME1339" i="191" s="1"/>
  <c r="LY1343" i="191"/>
  <c r="ME1343" i="191" s="1"/>
  <c r="FM1331" i="191"/>
  <c r="FS1331" i="191" s="1"/>
  <c r="FM1344" i="191"/>
  <c r="FS1344" i="191" s="1"/>
  <c r="FM1334" i="191"/>
  <c r="FS1334" i="191" s="1"/>
  <c r="FM1324" i="191"/>
  <c r="FS1324" i="191" s="1"/>
  <c r="FM1321" i="191"/>
  <c r="FS1321" i="191" s="1"/>
  <c r="FM1346" i="191"/>
  <c r="FS1346" i="191" s="1"/>
  <c r="FM1336" i="191"/>
  <c r="FS1336" i="191" s="1"/>
  <c r="FM1326" i="191"/>
  <c r="FS1326" i="191" s="1"/>
  <c r="FM1319" i="191"/>
  <c r="FS1319" i="191" s="1"/>
  <c r="FM1345" i="191"/>
  <c r="FS1345" i="191" s="1"/>
  <c r="FM1322" i="191"/>
  <c r="FS1322" i="191" s="1"/>
  <c r="FM1335" i="191"/>
  <c r="FS1335" i="191" s="1"/>
  <c r="FM1341" i="191"/>
  <c r="FS1341" i="191" s="1"/>
  <c r="FM1323" i="191"/>
  <c r="FS1323" i="191" s="1"/>
  <c r="FM1340" i="191"/>
  <c r="FS1340" i="191" s="1"/>
  <c r="FM1330" i="191"/>
  <c r="FS1330" i="191" s="1"/>
  <c r="FM1320" i="191"/>
  <c r="FS1320" i="191" s="1"/>
  <c r="FM1329" i="191"/>
  <c r="FS1329" i="191" s="1"/>
  <c r="FM1342" i="191"/>
  <c r="FS1342" i="191" s="1"/>
  <c r="FM1332" i="191"/>
  <c r="FS1332" i="191" s="1"/>
  <c r="FM1325" i="191"/>
  <c r="FS1325" i="191" s="1"/>
  <c r="FM1333" i="191"/>
  <c r="FS1333" i="191" s="1"/>
  <c r="FM1339" i="191"/>
  <c r="FS1339" i="191" s="1"/>
  <c r="FM1343" i="191"/>
  <c r="FS1343" i="191" s="1"/>
  <c r="YW1341" i="191"/>
  <c r="ZC1341" i="191" s="1"/>
  <c r="YW1346" i="191"/>
  <c r="ZC1346" i="191" s="1"/>
  <c r="YW1334" i="191"/>
  <c r="ZC1334" i="191" s="1"/>
  <c r="YW1324" i="191"/>
  <c r="ZC1324" i="191" s="1"/>
  <c r="YW1321" i="191"/>
  <c r="ZC1321" i="191" s="1"/>
  <c r="YW1323" i="191"/>
  <c r="ZC1323" i="191" s="1"/>
  <c r="YW1336" i="191"/>
  <c r="ZC1336" i="191" s="1"/>
  <c r="YW1326" i="191"/>
  <c r="ZC1326" i="191" s="1"/>
  <c r="YW1319" i="191"/>
  <c r="ZC1319" i="191" s="1"/>
  <c r="YW1345" i="191"/>
  <c r="ZC1345" i="191" s="1"/>
  <c r="YW1322" i="191"/>
  <c r="ZC1322" i="191" s="1"/>
  <c r="YW1335" i="191"/>
  <c r="ZC1335" i="191" s="1"/>
  <c r="YW1329" i="191"/>
  <c r="ZC1329" i="191" s="1"/>
  <c r="YW1331" i="191"/>
  <c r="ZC1331" i="191" s="1"/>
  <c r="YW1340" i="191"/>
  <c r="ZC1340" i="191" s="1"/>
  <c r="YW1330" i="191"/>
  <c r="ZC1330" i="191" s="1"/>
  <c r="YW1320" i="191"/>
  <c r="ZC1320" i="191" s="1"/>
  <c r="YW1344" i="191"/>
  <c r="ZC1344" i="191" s="1"/>
  <c r="YW1342" i="191"/>
  <c r="ZC1342" i="191" s="1"/>
  <c r="YW1332" i="191"/>
  <c r="ZC1332" i="191" s="1"/>
  <c r="YW1325" i="191"/>
  <c r="ZC1325" i="191" s="1"/>
  <c r="YW1333" i="191"/>
  <c r="ZC1333" i="191" s="1"/>
  <c r="YW1339" i="191"/>
  <c r="ZC1339" i="191" s="1"/>
  <c r="YW1343" i="191"/>
  <c r="ZC1343" i="191" s="1"/>
  <c r="TF1331" i="191"/>
  <c r="TL1331" i="191" s="1"/>
  <c r="TF1344" i="191"/>
  <c r="TL1344" i="191" s="1"/>
  <c r="TF1334" i="191"/>
  <c r="TL1334" i="191" s="1"/>
  <c r="TF1324" i="191"/>
  <c r="TL1324" i="191" s="1"/>
  <c r="TF1321" i="191"/>
  <c r="TL1321" i="191" s="1"/>
  <c r="TF1346" i="191"/>
  <c r="TL1346" i="191" s="1"/>
  <c r="TF1336" i="191"/>
  <c r="TL1336" i="191" s="1"/>
  <c r="TF1326" i="191"/>
  <c r="TL1326" i="191" s="1"/>
  <c r="TF1319" i="191"/>
  <c r="TL1319" i="191" s="1"/>
  <c r="TF1345" i="191"/>
  <c r="TL1345" i="191" s="1"/>
  <c r="TF1322" i="191"/>
  <c r="TL1322" i="191" s="1"/>
  <c r="TF1335" i="191"/>
  <c r="TL1335" i="191" s="1"/>
  <c r="TF1341" i="191"/>
  <c r="TL1341" i="191" s="1"/>
  <c r="TF1323" i="191"/>
  <c r="TL1323" i="191" s="1"/>
  <c r="TF1340" i="191"/>
  <c r="TL1340" i="191" s="1"/>
  <c r="TF1330" i="191"/>
  <c r="TL1330" i="191" s="1"/>
  <c r="TF1320" i="191"/>
  <c r="TL1320" i="191" s="1"/>
  <c r="TF1329" i="191"/>
  <c r="TL1329" i="191" s="1"/>
  <c r="TF1342" i="191"/>
  <c r="TL1342" i="191" s="1"/>
  <c r="TF1332" i="191"/>
  <c r="TL1332" i="191" s="1"/>
  <c r="TF1325" i="191"/>
  <c r="TL1325" i="191" s="1"/>
  <c r="TF1333" i="191"/>
  <c r="TL1333" i="191" s="1"/>
  <c r="TF1339" i="191"/>
  <c r="TL1339" i="191" s="1"/>
  <c r="TF1343" i="191"/>
  <c r="TL1343" i="191" s="1"/>
  <c r="MT1331" i="191"/>
  <c r="MZ1331" i="191" s="1"/>
  <c r="MT1344" i="191"/>
  <c r="MZ1344" i="191" s="1"/>
  <c r="MT1334" i="191"/>
  <c r="MZ1334" i="191" s="1"/>
  <c r="MT1324" i="191"/>
  <c r="MZ1324" i="191" s="1"/>
  <c r="MT1321" i="191"/>
  <c r="MZ1321" i="191" s="1"/>
  <c r="MT1346" i="191"/>
  <c r="MZ1346" i="191" s="1"/>
  <c r="MT1336" i="191"/>
  <c r="MZ1336" i="191" s="1"/>
  <c r="MT1326" i="191"/>
  <c r="MZ1326" i="191" s="1"/>
  <c r="MT1319" i="191"/>
  <c r="MZ1319" i="191" s="1"/>
  <c r="MT1345" i="191"/>
  <c r="MZ1345" i="191" s="1"/>
  <c r="MT1322" i="191"/>
  <c r="MZ1322" i="191" s="1"/>
  <c r="MT1335" i="191"/>
  <c r="MZ1335" i="191" s="1"/>
  <c r="MT1341" i="191"/>
  <c r="MZ1341" i="191" s="1"/>
  <c r="MT1323" i="191"/>
  <c r="MZ1323" i="191" s="1"/>
  <c r="MT1340" i="191"/>
  <c r="MZ1340" i="191" s="1"/>
  <c r="MT1330" i="191"/>
  <c r="MZ1330" i="191" s="1"/>
  <c r="MT1320" i="191"/>
  <c r="MZ1320" i="191" s="1"/>
  <c r="MT1329" i="191"/>
  <c r="MZ1329" i="191" s="1"/>
  <c r="MT1342" i="191"/>
  <c r="MZ1342" i="191" s="1"/>
  <c r="MT1332" i="191"/>
  <c r="MZ1332" i="191" s="1"/>
  <c r="MT1325" i="191"/>
  <c r="MZ1325" i="191" s="1"/>
  <c r="MT1333" i="191"/>
  <c r="MZ1333" i="191" s="1"/>
  <c r="MT1339" i="191"/>
  <c r="MZ1339" i="191" s="1"/>
  <c r="MT1343" i="191"/>
  <c r="MZ1343" i="191" s="1"/>
  <c r="GH1331" i="191"/>
  <c r="GN1331" i="191" s="1"/>
  <c r="GH1344" i="191"/>
  <c r="GN1344" i="191" s="1"/>
  <c r="GH1334" i="191"/>
  <c r="GN1334" i="191" s="1"/>
  <c r="GH1324" i="191"/>
  <c r="GN1324" i="191" s="1"/>
  <c r="GH1321" i="191"/>
  <c r="GN1321" i="191" s="1"/>
  <c r="GH1346" i="191"/>
  <c r="GN1346" i="191" s="1"/>
  <c r="GH1336" i="191"/>
  <c r="GN1336" i="191" s="1"/>
  <c r="GH1326" i="191"/>
  <c r="GN1326" i="191" s="1"/>
  <c r="GH1319" i="191"/>
  <c r="GN1319" i="191" s="1"/>
  <c r="GH1345" i="191"/>
  <c r="GN1345" i="191" s="1"/>
  <c r="GH1322" i="191"/>
  <c r="GN1322" i="191" s="1"/>
  <c r="GH1335" i="191"/>
  <c r="GN1335" i="191" s="1"/>
  <c r="GH1341" i="191"/>
  <c r="GN1341" i="191" s="1"/>
  <c r="GH1323" i="191"/>
  <c r="GN1323" i="191" s="1"/>
  <c r="GH1340" i="191"/>
  <c r="GN1340" i="191" s="1"/>
  <c r="GH1330" i="191"/>
  <c r="GN1330" i="191" s="1"/>
  <c r="GH1320" i="191"/>
  <c r="GN1320" i="191" s="1"/>
  <c r="GH1329" i="191"/>
  <c r="GN1329" i="191" s="1"/>
  <c r="GH1342" i="191"/>
  <c r="GN1342" i="191" s="1"/>
  <c r="GH1332" i="191"/>
  <c r="GN1332" i="191" s="1"/>
  <c r="GH1325" i="191"/>
  <c r="GN1325" i="191" s="1"/>
  <c r="GH1333" i="191"/>
  <c r="GN1333" i="191" s="1"/>
  <c r="GH1339" i="191"/>
  <c r="GN1339" i="191" s="1"/>
  <c r="GH1343" i="191"/>
  <c r="GN1343" i="191" s="1"/>
  <c r="V1331" i="191"/>
  <c r="AB1331" i="191" s="1"/>
  <c r="V1344" i="191"/>
  <c r="AB1344" i="191" s="1"/>
  <c r="V1334" i="191"/>
  <c r="AB1334" i="191" s="1"/>
  <c r="V1324" i="191"/>
  <c r="AB1324" i="191" s="1"/>
  <c r="V1321" i="191"/>
  <c r="AB1321" i="191" s="1"/>
  <c r="V1346" i="191"/>
  <c r="AB1346" i="191" s="1"/>
  <c r="V1336" i="191"/>
  <c r="AB1336" i="191" s="1"/>
  <c r="V1326" i="191"/>
  <c r="AB1326" i="191" s="1"/>
  <c r="V1319" i="191"/>
  <c r="AB1319" i="191" s="1"/>
  <c r="V1345" i="191"/>
  <c r="AB1345" i="191" s="1"/>
  <c r="V1322" i="191"/>
  <c r="AB1322" i="191" s="1"/>
  <c r="V1335" i="191"/>
  <c r="AB1335" i="191" s="1"/>
  <c r="V1341" i="191"/>
  <c r="AB1341" i="191" s="1"/>
  <c r="V1323" i="191"/>
  <c r="AB1323" i="191" s="1"/>
  <c r="V1340" i="191"/>
  <c r="AB1340" i="191" s="1"/>
  <c r="V1330" i="191"/>
  <c r="AB1330" i="191" s="1"/>
  <c r="V1320" i="191"/>
  <c r="AB1320" i="191" s="1"/>
  <c r="V1329" i="191"/>
  <c r="AB1329" i="191" s="1"/>
  <c r="V1342" i="191"/>
  <c r="AB1342" i="191" s="1"/>
  <c r="V1332" i="191"/>
  <c r="AB1332" i="191" s="1"/>
  <c r="V1325" i="191"/>
  <c r="AB1325" i="191" s="1"/>
  <c r="V1333" i="191"/>
  <c r="AB1333" i="191" s="1"/>
  <c r="V1339" i="191"/>
  <c r="AB1339" i="191" s="1"/>
  <c r="V1343" i="191"/>
  <c r="AB1343" i="191" s="1"/>
  <c r="UV1331" i="191"/>
  <c r="VB1331" i="191" s="1"/>
  <c r="UV1344" i="191"/>
  <c r="VB1344" i="191" s="1"/>
  <c r="UV1334" i="191"/>
  <c r="VB1334" i="191" s="1"/>
  <c r="UV1324" i="191"/>
  <c r="VB1324" i="191" s="1"/>
  <c r="UV1321" i="191"/>
  <c r="VB1321" i="191" s="1"/>
  <c r="UV1346" i="191"/>
  <c r="VB1346" i="191" s="1"/>
  <c r="UV1336" i="191"/>
  <c r="VB1336" i="191" s="1"/>
  <c r="UV1326" i="191"/>
  <c r="VB1326" i="191" s="1"/>
  <c r="UV1319" i="191"/>
  <c r="VB1319" i="191" s="1"/>
  <c r="UV1345" i="191"/>
  <c r="VB1345" i="191" s="1"/>
  <c r="UV1322" i="191"/>
  <c r="VB1322" i="191" s="1"/>
  <c r="UV1335" i="191"/>
  <c r="VB1335" i="191" s="1"/>
  <c r="UV1341" i="191"/>
  <c r="VB1341" i="191" s="1"/>
  <c r="UV1323" i="191"/>
  <c r="VB1323" i="191" s="1"/>
  <c r="UV1340" i="191"/>
  <c r="VB1340" i="191" s="1"/>
  <c r="UV1330" i="191"/>
  <c r="VB1330" i="191" s="1"/>
  <c r="UV1320" i="191"/>
  <c r="VB1320" i="191" s="1"/>
  <c r="UV1329" i="191"/>
  <c r="VB1329" i="191" s="1"/>
  <c r="UV1342" i="191"/>
  <c r="VB1342" i="191" s="1"/>
  <c r="UV1332" i="191"/>
  <c r="VB1332" i="191" s="1"/>
  <c r="UV1325" i="191"/>
  <c r="VB1325" i="191" s="1"/>
  <c r="UV1333" i="191"/>
  <c r="VB1333" i="191" s="1"/>
  <c r="UV1339" i="191"/>
  <c r="VB1339" i="191" s="1"/>
  <c r="UV1343" i="191"/>
  <c r="VB1343" i="191" s="1"/>
  <c r="OJ1331" i="191"/>
  <c r="OP1331" i="191" s="1"/>
  <c r="OJ1344" i="191"/>
  <c r="OP1344" i="191" s="1"/>
  <c r="OJ1334" i="191"/>
  <c r="OP1334" i="191" s="1"/>
  <c r="OJ1324" i="191"/>
  <c r="OP1324" i="191" s="1"/>
  <c r="OJ1321" i="191"/>
  <c r="OP1321" i="191" s="1"/>
  <c r="OJ1346" i="191"/>
  <c r="OP1346" i="191" s="1"/>
  <c r="OJ1336" i="191"/>
  <c r="OP1336" i="191" s="1"/>
  <c r="OJ1326" i="191"/>
  <c r="OP1326" i="191" s="1"/>
  <c r="OJ1319" i="191"/>
  <c r="OP1319" i="191" s="1"/>
  <c r="OJ1345" i="191"/>
  <c r="OP1345" i="191" s="1"/>
  <c r="OJ1322" i="191"/>
  <c r="OP1322" i="191" s="1"/>
  <c r="OJ1335" i="191"/>
  <c r="OP1335" i="191" s="1"/>
  <c r="OJ1341" i="191"/>
  <c r="OP1341" i="191" s="1"/>
  <c r="OJ1323" i="191"/>
  <c r="OP1323" i="191" s="1"/>
  <c r="OJ1340" i="191"/>
  <c r="OP1340" i="191" s="1"/>
  <c r="OJ1330" i="191"/>
  <c r="OP1330" i="191" s="1"/>
  <c r="OJ1320" i="191"/>
  <c r="OP1320" i="191" s="1"/>
  <c r="OJ1329" i="191"/>
  <c r="OP1329" i="191" s="1"/>
  <c r="OJ1342" i="191"/>
  <c r="OP1342" i="191" s="1"/>
  <c r="OJ1332" i="191"/>
  <c r="OP1332" i="191" s="1"/>
  <c r="OJ1325" i="191"/>
  <c r="OP1325" i="191" s="1"/>
  <c r="OJ1333" i="191"/>
  <c r="OP1333" i="191" s="1"/>
  <c r="OJ1339" i="191"/>
  <c r="OP1339" i="191" s="1"/>
  <c r="OJ1343" i="191"/>
  <c r="OP1343" i="191" s="1"/>
  <c r="HX1331" i="191"/>
  <c r="ID1331" i="191" s="1"/>
  <c r="HX1344" i="191"/>
  <c r="ID1344" i="191" s="1"/>
  <c r="HX1334" i="191"/>
  <c r="ID1334" i="191" s="1"/>
  <c r="HX1324" i="191"/>
  <c r="ID1324" i="191" s="1"/>
  <c r="HX1321" i="191"/>
  <c r="ID1321" i="191" s="1"/>
  <c r="HX1346" i="191"/>
  <c r="ID1346" i="191" s="1"/>
  <c r="HX1336" i="191"/>
  <c r="ID1336" i="191" s="1"/>
  <c r="HX1326" i="191"/>
  <c r="ID1326" i="191" s="1"/>
  <c r="HX1319" i="191"/>
  <c r="ID1319" i="191" s="1"/>
  <c r="HX1345" i="191"/>
  <c r="ID1345" i="191" s="1"/>
  <c r="HX1322" i="191"/>
  <c r="ID1322" i="191" s="1"/>
  <c r="HX1335" i="191"/>
  <c r="ID1335" i="191" s="1"/>
  <c r="HX1341" i="191"/>
  <c r="ID1341" i="191" s="1"/>
  <c r="HX1323" i="191"/>
  <c r="ID1323" i="191" s="1"/>
  <c r="HX1340" i="191"/>
  <c r="ID1340" i="191" s="1"/>
  <c r="HX1330" i="191"/>
  <c r="ID1330" i="191" s="1"/>
  <c r="HX1320" i="191"/>
  <c r="ID1320" i="191" s="1"/>
  <c r="HX1329" i="191"/>
  <c r="ID1329" i="191" s="1"/>
  <c r="HX1342" i="191"/>
  <c r="ID1342" i="191" s="1"/>
  <c r="HX1332" i="191"/>
  <c r="ID1332" i="191" s="1"/>
  <c r="HX1325" i="191"/>
  <c r="ID1325" i="191" s="1"/>
  <c r="HX1333" i="191"/>
  <c r="ID1333" i="191" s="1"/>
  <c r="HX1339" i="191"/>
  <c r="ID1339" i="191" s="1"/>
  <c r="HX1343" i="191"/>
  <c r="ID1343" i="191" s="1"/>
  <c r="BL1331" i="191"/>
  <c r="BR1331" i="191" s="1"/>
  <c r="BL1344" i="191"/>
  <c r="BR1344" i="191" s="1"/>
  <c r="BL1334" i="191"/>
  <c r="BR1334" i="191" s="1"/>
  <c r="BL1324" i="191"/>
  <c r="BR1324" i="191" s="1"/>
  <c r="BL1321" i="191"/>
  <c r="BR1321" i="191" s="1"/>
  <c r="BL1346" i="191"/>
  <c r="BR1346" i="191" s="1"/>
  <c r="BL1336" i="191"/>
  <c r="BR1336" i="191" s="1"/>
  <c r="BL1326" i="191"/>
  <c r="BR1326" i="191" s="1"/>
  <c r="BL1319" i="191"/>
  <c r="BR1319" i="191" s="1"/>
  <c r="BL1345" i="191"/>
  <c r="BR1345" i="191" s="1"/>
  <c r="BL1322" i="191"/>
  <c r="BR1322" i="191" s="1"/>
  <c r="BL1335" i="191"/>
  <c r="BR1335" i="191" s="1"/>
  <c r="BL1341" i="191"/>
  <c r="BR1341" i="191" s="1"/>
  <c r="BL1323" i="191"/>
  <c r="BR1323" i="191" s="1"/>
  <c r="BL1340" i="191"/>
  <c r="BR1340" i="191" s="1"/>
  <c r="BL1330" i="191"/>
  <c r="BR1330" i="191" s="1"/>
  <c r="BL1320" i="191"/>
  <c r="BR1320" i="191" s="1"/>
  <c r="BL1329" i="191"/>
  <c r="BR1329" i="191" s="1"/>
  <c r="BL1342" i="191"/>
  <c r="BR1342" i="191" s="1"/>
  <c r="BL1332" i="191"/>
  <c r="BR1332" i="191" s="1"/>
  <c r="BL1325" i="191"/>
  <c r="BR1325" i="191" s="1"/>
  <c r="BL1333" i="191"/>
  <c r="BR1333" i="191" s="1"/>
  <c r="BL1339" i="191"/>
  <c r="BR1339" i="191" s="1"/>
  <c r="BL1343" i="191"/>
  <c r="BR1343" i="191" s="1"/>
  <c r="VQ1331" i="191"/>
  <c r="VW1331" i="191" s="1"/>
  <c r="VQ1344" i="191"/>
  <c r="VW1344" i="191" s="1"/>
  <c r="VQ1334" i="191"/>
  <c r="VW1334" i="191" s="1"/>
  <c r="VQ1324" i="191"/>
  <c r="VW1324" i="191" s="1"/>
  <c r="VQ1321" i="191"/>
  <c r="VW1321" i="191" s="1"/>
  <c r="VQ1346" i="191"/>
  <c r="VW1346" i="191" s="1"/>
  <c r="VQ1336" i="191"/>
  <c r="VW1336" i="191" s="1"/>
  <c r="VQ1326" i="191"/>
  <c r="VW1326" i="191" s="1"/>
  <c r="VQ1319" i="191"/>
  <c r="VW1319" i="191" s="1"/>
  <c r="VQ1345" i="191"/>
  <c r="VW1345" i="191" s="1"/>
  <c r="VQ1322" i="191"/>
  <c r="VW1322" i="191" s="1"/>
  <c r="VQ1335" i="191"/>
  <c r="VW1335" i="191" s="1"/>
  <c r="VQ1341" i="191"/>
  <c r="VW1341" i="191" s="1"/>
  <c r="VQ1323" i="191"/>
  <c r="VW1323" i="191" s="1"/>
  <c r="VQ1340" i="191"/>
  <c r="VW1340" i="191" s="1"/>
  <c r="VQ1330" i="191"/>
  <c r="VW1330" i="191" s="1"/>
  <c r="VQ1320" i="191"/>
  <c r="VW1320" i="191" s="1"/>
  <c r="VQ1329" i="191"/>
  <c r="VW1329" i="191" s="1"/>
  <c r="VQ1342" i="191"/>
  <c r="VW1342" i="191" s="1"/>
  <c r="VQ1332" i="191"/>
  <c r="VW1332" i="191" s="1"/>
  <c r="VQ1325" i="191"/>
  <c r="VW1325" i="191" s="1"/>
  <c r="VQ1333" i="191"/>
  <c r="VW1333" i="191" s="1"/>
  <c r="VQ1339" i="191"/>
  <c r="VW1339" i="191" s="1"/>
  <c r="VQ1343" i="191"/>
  <c r="VW1343" i="191" s="1"/>
  <c r="PE1331" i="191"/>
  <c r="PK1331" i="191" s="1"/>
  <c r="PE1344" i="191"/>
  <c r="PK1344" i="191" s="1"/>
  <c r="PE1334" i="191"/>
  <c r="PK1334" i="191" s="1"/>
  <c r="PE1324" i="191"/>
  <c r="PK1324" i="191" s="1"/>
  <c r="PE1321" i="191"/>
  <c r="PK1321" i="191" s="1"/>
  <c r="PE1346" i="191"/>
  <c r="PK1346" i="191" s="1"/>
  <c r="PE1336" i="191"/>
  <c r="PK1336" i="191" s="1"/>
  <c r="PE1326" i="191"/>
  <c r="PK1326" i="191" s="1"/>
  <c r="PE1319" i="191"/>
  <c r="PK1319" i="191" s="1"/>
  <c r="PE1345" i="191"/>
  <c r="PK1345" i="191" s="1"/>
  <c r="PE1322" i="191"/>
  <c r="PK1322" i="191" s="1"/>
  <c r="PE1335" i="191"/>
  <c r="PK1335" i="191" s="1"/>
  <c r="PE1341" i="191"/>
  <c r="PK1341" i="191" s="1"/>
  <c r="PE1323" i="191"/>
  <c r="PK1323" i="191" s="1"/>
  <c r="PE1340" i="191"/>
  <c r="PK1340" i="191" s="1"/>
  <c r="PE1330" i="191"/>
  <c r="PK1330" i="191" s="1"/>
  <c r="PE1320" i="191"/>
  <c r="PK1320" i="191" s="1"/>
  <c r="PE1329" i="191"/>
  <c r="PK1329" i="191" s="1"/>
  <c r="PE1342" i="191"/>
  <c r="PK1342" i="191" s="1"/>
  <c r="PE1332" i="191"/>
  <c r="PK1332" i="191" s="1"/>
  <c r="PE1325" i="191"/>
  <c r="PK1325" i="191" s="1"/>
  <c r="PE1333" i="191"/>
  <c r="PK1333" i="191" s="1"/>
  <c r="PE1339" i="191"/>
  <c r="PK1339" i="191" s="1"/>
  <c r="PE1343" i="191"/>
  <c r="PK1343" i="191" s="1"/>
  <c r="IS1331" i="191"/>
  <c r="IY1331" i="191" s="1"/>
  <c r="IS1344" i="191"/>
  <c r="IY1344" i="191" s="1"/>
  <c r="IS1334" i="191"/>
  <c r="IY1334" i="191" s="1"/>
  <c r="IS1324" i="191"/>
  <c r="IY1324" i="191" s="1"/>
  <c r="IS1321" i="191"/>
  <c r="IY1321" i="191" s="1"/>
  <c r="IS1346" i="191"/>
  <c r="IY1346" i="191" s="1"/>
  <c r="IS1336" i="191"/>
  <c r="IY1336" i="191" s="1"/>
  <c r="IS1326" i="191"/>
  <c r="IY1326" i="191" s="1"/>
  <c r="IS1319" i="191"/>
  <c r="IY1319" i="191" s="1"/>
  <c r="IS1345" i="191"/>
  <c r="IY1345" i="191" s="1"/>
  <c r="IS1322" i="191"/>
  <c r="IY1322" i="191" s="1"/>
  <c r="IS1335" i="191"/>
  <c r="IY1335" i="191" s="1"/>
  <c r="IS1341" i="191"/>
  <c r="IY1341" i="191" s="1"/>
  <c r="IS1323" i="191"/>
  <c r="IY1323" i="191" s="1"/>
  <c r="IS1340" i="191"/>
  <c r="IY1340" i="191" s="1"/>
  <c r="IS1330" i="191"/>
  <c r="IY1330" i="191" s="1"/>
  <c r="IS1320" i="191"/>
  <c r="IY1320" i="191" s="1"/>
  <c r="IS1329" i="191"/>
  <c r="IY1329" i="191" s="1"/>
  <c r="IS1342" i="191"/>
  <c r="IY1342" i="191" s="1"/>
  <c r="IS1332" i="191"/>
  <c r="IY1332" i="191" s="1"/>
  <c r="IS1325" i="191"/>
  <c r="IY1325" i="191" s="1"/>
  <c r="IS1333" i="191"/>
  <c r="IY1333" i="191" s="1"/>
  <c r="IS1339" i="191"/>
  <c r="IY1339" i="191" s="1"/>
  <c r="IS1343" i="191"/>
  <c r="IY1343" i="191" s="1"/>
  <c r="CG1331" i="191"/>
  <c r="CM1331" i="191" s="1"/>
  <c r="CG1344" i="191"/>
  <c r="CM1344" i="191" s="1"/>
  <c r="CG1334" i="191"/>
  <c r="CM1334" i="191" s="1"/>
  <c r="CG1324" i="191"/>
  <c r="CM1324" i="191" s="1"/>
  <c r="CG1321" i="191"/>
  <c r="CM1321" i="191" s="1"/>
  <c r="CG1346" i="191"/>
  <c r="CM1346" i="191" s="1"/>
  <c r="CG1336" i="191"/>
  <c r="CM1336" i="191" s="1"/>
  <c r="CG1326" i="191"/>
  <c r="CM1326" i="191" s="1"/>
  <c r="CG1319" i="191"/>
  <c r="CM1319" i="191" s="1"/>
  <c r="CG1345" i="191"/>
  <c r="CM1345" i="191" s="1"/>
  <c r="CG1341" i="191"/>
  <c r="CM1341" i="191" s="1"/>
  <c r="CG1323" i="191"/>
  <c r="CM1323" i="191" s="1"/>
  <c r="CG1340" i="191"/>
  <c r="CM1340" i="191" s="1"/>
  <c r="CG1330" i="191"/>
  <c r="CM1330" i="191" s="1"/>
  <c r="CG1320" i="191"/>
  <c r="CM1320" i="191" s="1"/>
  <c r="CG1329" i="191"/>
  <c r="CM1329" i="191" s="1"/>
  <c r="CG1342" i="191"/>
  <c r="CM1342" i="191" s="1"/>
  <c r="CG1332" i="191"/>
  <c r="CM1332" i="191" s="1"/>
  <c r="CG1325" i="191"/>
  <c r="CM1325" i="191" s="1"/>
  <c r="CG1339" i="191"/>
  <c r="CM1339" i="191" s="1"/>
  <c r="CG1343" i="191"/>
  <c r="CM1343" i="191" s="1"/>
  <c r="CG1333" i="191"/>
  <c r="CM1333" i="191" s="1"/>
  <c r="CG1322" i="191"/>
  <c r="CM1322" i="191" s="1"/>
  <c r="CG1335" i="191"/>
  <c r="CM1335" i="191" s="1"/>
  <c r="WL1331" i="191"/>
  <c r="WR1331" i="191" s="1"/>
  <c r="WL1344" i="191"/>
  <c r="WR1344" i="191" s="1"/>
  <c r="WL1334" i="191"/>
  <c r="WR1334" i="191" s="1"/>
  <c r="WL1324" i="191"/>
  <c r="WR1324" i="191" s="1"/>
  <c r="WL1321" i="191"/>
  <c r="WR1321" i="191" s="1"/>
  <c r="WL1346" i="191"/>
  <c r="WR1346" i="191" s="1"/>
  <c r="WL1336" i="191"/>
  <c r="WR1336" i="191" s="1"/>
  <c r="WL1326" i="191"/>
  <c r="WR1326" i="191" s="1"/>
  <c r="WL1319" i="191"/>
  <c r="WR1319" i="191" s="1"/>
  <c r="WL1345" i="191"/>
  <c r="WR1345" i="191" s="1"/>
  <c r="WL1322" i="191"/>
  <c r="WR1322" i="191" s="1"/>
  <c r="WL1335" i="191"/>
  <c r="WR1335" i="191" s="1"/>
  <c r="WL1341" i="191"/>
  <c r="WR1341" i="191" s="1"/>
  <c r="WL1323" i="191"/>
  <c r="WR1323" i="191" s="1"/>
  <c r="WL1340" i="191"/>
  <c r="WR1340" i="191" s="1"/>
  <c r="WL1330" i="191"/>
  <c r="WR1330" i="191" s="1"/>
  <c r="WL1320" i="191"/>
  <c r="WR1320" i="191" s="1"/>
  <c r="WL1329" i="191"/>
  <c r="WR1329" i="191" s="1"/>
  <c r="WL1342" i="191"/>
  <c r="WR1342" i="191" s="1"/>
  <c r="WL1332" i="191"/>
  <c r="WR1332" i="191" s="1"/>
  <c r="WL1325" i="191"/>
  <c r="WR1325" i="191" s="1"/>
  <c r="WL1333" i="191"/>
  <c r="WR1333" i="191" s="1"/>
  <c r="WL1339" i="191"/>
  <c r="WR1339" i="191" s="1"/>
  <c r="WL1343" i="191"/>
  <c r="WR1343" i="191" s="1"/>
  <c r="PZ1331" i="191"/>
  <c r="QF1331" i="191" s="1"/>
  <c r="PZ1329" i="191"/>
  <c r="QF1329" i="191" s="1"/>
  <c r="PZ1344" i="191"/>
  <c r="QF1344" i="191" s="1"/>
  <c r="PZ1334" i="191"/>
  <c r="QF1334" i="191" s="1"/>
  <c r="PZ1324" i="191"/>
  <c r="QF1324" i="191" s="1"/>
  <c r="PZ1321" i="191"/>
  <c r="QF1321" i="191" s="1"/>
  <c r="PZ1336" i="191"/>
  <c r="QF1336" i="191" s="1"/>
  <c r="PZ1326" i="191"/>
  <c r="QF1326" i="191" s="1"/>
  <c r="PZ1319" i="191"/>
  <c r="QF1319" i="191" s="1"/>
  <c r="PZ1345" i="191"/>
  <c r="QF1345" i="191" s="1"/>
  <c r="PZ1322" i="191"/>
  <c r="QF1322" i="191" s="1"/>
  <c r="PZ1335" i="191"/>
  <c r="QF1335" i="191" s="1"/>
  <c r="PZ1341" i="191"/>
  <c r="QF1341" i="191" s="1"/>
  <c r="PZ1323" i="191"/>
  <c r="QF1323" i="191" s="1"/>
  <c r="PZ1346" i="191"/>
  <c r="QF1346" i="191" s="1"/>
  <c r="PZ1340" i="191"/>
  <c r="QF1340" i="191" s="1"/>
  <c r="PZ1330" i="191"/>
  <c r="QF1330" i="191" s="1"/>
  <c r="PZ1320" i="191"/>
  <c r="QF1320" i="191" s="1"/>
  <c r="PZ1342" i="191"/>
  <c r="QF1342" i="191" s="1"/>
  <c r="PZ1332" i="191"/>
  <c r="QF1332" i="191" s="1"/>
  <c r="PZ1325" i="191"/>
  <c r="QF1325" i="191" s="1"/>
  <c r="PZ1333" i="191"/>
  <c r="QF1333" i="191" s="1"/>
  <c r="PZ1339" i="191"/>
  <c r="QF1339" i="191" s="1"/>
  <c r="PZ1343" i="191"/>
  <c r="QF1343" i="191" s="1"/>
  <c r="JN1331" i="191"/>
  <c r="JT1331" i="191" s="1"/>
  <c r="JN1344" i="191"/>
  <c r="JT1344" i="191" s="1"/>
  <c r="JN1334" i="191"/>
  <c r="JT1334" i="191" s="1"/>
  <c r="JN1324" i="191"/>
  <c r="JT1324" i="191" s="1"/>
  <c r="JN1321" i="191"/>
  <c r="JT1321" i="191" s="1"/>
  <c r="JN1346" i="191"/>
  <c r="JT1346" i="191" s="1"/>
  <c r="JN1336" i="191"/>
  <c r="JT1336" i="191" s="1"/>
  <c r="JN1326" i="191"/>
  <c r="JT1326" i="191" s="1"/>
  <c r="JN1319" i="191"/>
  <c r="JT1319" i="191" s="1"/>
  <c r="JN1345" i="191"/>
  <c r="JT1345" i="191" s="1"/>
  <c r="JN1322" i="191"/>
  <c r="JT1322" i="191" s="1"/>
  <c r="JN1335" i="191"/>
  <c r="JT1335" i="191" s="1"/>
  <c r="JN1341" i="191"/>
  <c r="JT1341" i="191" s="1"/>
  <c r="JN1323" i="191"/>
  <c r="JT1323" i="191" s="1"/>
  <c r="JN1340" i="191"/>
  <c r="JT1340" i="191" s="1"/>
  <c r="JN1330" i="191"/>
  <c r="JT1330" i="191" s="1"/>
  <c r="JN1320" i="191"/>
  <c r="JT1320" i="191" s="1"/>
  <c r="JN1329" i="191"/>
  <c r="JT1329" i="191" s="1"/>
  <c r="JN1342" i="191"/>
  <c r="JT1342" i="191" s="1"/>
  <c r="JN1332" i="191"/>
  <c r="JT1332" i="191" s="1"/>
  <c r="JN1325" i="191"/>
  <c r="JT1325" i="191" s="1"/>
  <c r="JN1333" i="191"/>
  <c r="JT1333" i="191" s="1"/>
  <c r="JN1339" i="191"/>
  <c r="JT1339" i="191" s="1"/>
  <c r="JN1343" i="191"/>
  <c r="JT1343" i="191" s="1"/>
  <c r="DB1331" i="191"/>
  <c r="DH1331" i="191" s="1"/>
  <c r="DB1344" i="191"/>
  <c r="DH1344" i="191" s="1"/>
  <c r="DB1334" i="191"/>
  <c r="DH1334" i="191" s="1"/>
  <c r="DB1324" i="191"/>
  <c r="DH1324" i="191" s="1"/>
  <c r="DB1321" i="191"/>
  <c r="DH1321" i="191" s="1"/>
  <c r="DB1346" i="191"/>
  <c r="DH1346" i="191" s="1"/>
  <c r="DB1336" i="191"/>
  <c r="DH1336" i="191" s="1"/>
  <c r="DB1326" i="191"/>
  <c r="DH1326" i="191" s="1"/>
  <c r="DB1319" i="191"/>
  <c r="DH1319" i="191" s="1"/>
  <c r="DB1345" i="191"/>
  <c r="DH1345" i="191" s="1"/>
  <c r="DB1322" i="191"/>
  <c r="DH1322" i="191" s="1"/>
  <c r="DB1335" i="191"/>
  <c r="DH1335" i="191" s="1"/>
  <c r="DB1341" i="191"/>
  <c r="DH1341" i="191" s="1"/>
  <c r="DB1323" i="191"/>
  <c r="DH1323" i="191" s="1"/>
  <c r="DB1340" i="191"/>
  <c r="DH1340" i="191" s="1"/>
  <c r="DB1330" i="191"/>
  <c r="DH1330" i="191" s="1"/>
  <c r="DB1320" i="191"/>
  <c r="DH1320" i="191" s="1"/>
  <c r="DB1329" i="191"/>
  <c r="DH1329" i="191" s="1"/>
  <c r="DB1342" i="191"/>
  <c r="DH1342" i="191" s="1"/>
  <c r="DB1332" i="191"/>
  <c r="DH1332" i="191" s="1"/>
  <c r="DB1325" i="191"/>
  <c r="DH1325" i="191" s="1"/>
  <c r="DB1333" i="191"/>
  <c r="DH1333" i="191" s="1"/>
  <c r="DB1339" i="191"/>
  <c r="DH1339" i="191" s="1"/>
  <c r="DB1343" i="191"/>
  <c r="DH1343" i="191" s="1"/>
  <c r="YB1341" i="191"/>
  <c r="YH1341" i="191" s="1"/>
  <c r="YB1323" i="191"/>
  <c r="YH1323" i="191" s="1"/>
  <c r="YB1340" i="191"/>
  <c r="YH1340" i="191" s="1"/>
  <c r="YB1330" i="191"/>
  <c r="YH1330" i="191" s="1"/>
  <c r="YB1320" i="191"/>
  <c r="YH1320" i="191" s="1"/>
  <c r="YB1329" i="191"/>
  <c r="YH1329" i="191" s="1"/>
  <c r="YB1342" i="191"/>
  <c r="YH1342" i="191" s="1"/>
  <c r="YB1332" i="191"/>
  <c r="YH1332" i="191" s="1"/>
  <c r="YB1325" i="191"/>
  <c r="YH1325" i="191" s="1"/>
  <c r="YB1333" i="191"/>
  <c r="YH1333" i="191" s="1"/>
  <c r="YB1339" i="191"/>
  <c r="YH1339" i="191" s="1"/>
  <c r="YB1343" i="191"/>
  <c r="YH1343" i="191" s="1"/>
  <c r="YB1331" i="191"/>
  <c r="YH1331" i="191" s="1"/>
  <c r="YB1344" i="191"/>
  <c r="YH1344" i="191" s="1"/>
  <c r="YB1334" i="191"/>
  <c r="YH1334" i="191" s="1"/>
  <c r="YB1324" i="191"/>
  <c r="YH1324" i="191" s="1"/>
  <c r="YB1321" i="191"/>
  <c r="YH1321" i="191" s="1"/>
  <c r="YB1346" i="191"/>
  <c r="YH1346" i="191" s="1"/>
  <c r="YB1336" i="191"/>
  <c r="YH1336" i="191" s="1"/>
  <c r="YB1326" i="191"/>
  <c r="YH1326" i="191" s="1"/>
  <c r="YB1319" i="191"/>
  <c r="YH1319" i="191" s="1"/>
  <c r="YB1345" i="191"/>
  <c r="YH1345" i="191" s="1"/>
  <c r="YB1322" i="191"/>
  <c r="YH1322" i="191" s="1"/>
  <c r="YB1335" i="191"/>
  <c r="YH1335" i="191" s="1"/>
  <c r="RP1341" i="191"/>
  <c r="RV1341" i="191" s="1"/>
  <c r="RP1323" i="191"/>
  <c r="RV1323" i="191" s="1"/>
  <c r="RP1340" i="191"/>
  <c r="RV1340" i="191" s="1"/>
  <c r="RP1330" i="191"/>
  <c r="RV1330" i="191" s="1"/>
  <c r="RP1320" i="191"/>
  <c r="RV1320" i="191" s="1"/>
  <c r="RP1329" i="191"/>
  <c r="RV1329" i="191" s="1"/>
  <c r="RP1342" i="191"/>
  <c r="RV1342" i="191" s="1"/>
  <c r="RP1332" i="191"/>
  <c r="RV1332" i="191" s="1"/>
  <c r="RP1325" i="191"/>
  <c r="RV1325" i="191" s="1"/>
  <c r="RP1333" i="191"/>
  <c r="RV1333" i="191" s="1"/>
  <c r="RP1339" i="191"/>
  <c r="RV1339" i="191" s="1"/>
  <c r="RP1343" i="191"/>
  <c r="RV1343" i="191" s="1"/>
  <c r="RP1331" i="191"/>
  <c r="RV1331" i="191" s="1"/>
  <c r="RP1344" i="191"/>
  <c r="RV1344" i="191" s="1"/>
  <c r="RP1334" i="191"/>
  <c r="RV1334" i="191" s="1"/>
  <c r="RP1324" i="191"/>
  <c r="RV1324" i="191" s="1"/>
  <c r="RP1321" i="191"/>
  <c r="RV1321" i="191" s="1"/>
  <c r="RP1346" i="191"/>
  <c r="RV1346" i="191" s="1"/>
  <c r="RP1336" i="191"/>
  <c r="RV1336" i="191" s="1"/>
  <c r="RP1326" i="191"/>
  <c r="RV1326" i="191" s="1"/>
  <c r="RP1319" i="191"/>
  <c r="RV1319" i="191" s="1"/>
  <c r="RP1345" i="191"/>
  <c r="RV1345" i="191" s="1"/>
  <c r="RP1322" i="191"/>
  <c r="RV1322" i="191" s="1"/>
  <c r="RP1335" i="191"/>
  <c r="RV1335" i="191" s="1"/>
  <c r="LD1341" i="191"/>
  <c r="LJ1341" i="191" s="1"/>
  <c r="LD1323" i="191"/>
  <c r="LJ1323" i="191" s="1"/>
  <c r="LD1340" i="191"/>
  <c r="LJ1340" i="191" s="1"/>
  <c r="LD1330" i="191"/>
  <c r="LJ1330" i="191" s="1"/>
  <c r="LD1320" i="191"/>
  <c r="LJ1320" i="191" s="1"/>
  <c r="LD1329" i="191"/>
  <c r="LJ1329" i="191" s="1"/>
  <c r="LD1342" i="191"/>
  <c r="LJ1342" i="191" s="1"/>
  <c r="LD1332" i="191"/>
  <c r="LJ1332" i="191" s="1"/>
  <c r="LD1325" i="191"/>
  <c r="LJ1325" i="191" s="1"/>
  <c r="LD1333" i="191"/>
  <c r="LJ1333" i="191" s="1"/>
  <c r="LD1339" i="191"/>
  <c r="LJ1339" i="191" s="1"/>
  <c r="LD1343" i="191"/>
  <c r="LJ1343" i="191" s="1"/>
  <c r="LD1331" i="191"/>
  <c r="LJ1331" i="191" s="1"/>
  <c r="LD1344" i="191"/>
  <c r="LJ1344" i="191" s="1"/>
  <c r="LD1334" i="191"/>
  <c r="LJ1334" i="191" s="1"/>
  <c r="LD1324" i="191"/>
  <c r="LJ1324" i="191" s="1"/>
  <c r="LD1321" i="191"/>
  <c r="LJ1321" i="191" s="1"/>
  <c r="LD1346" i="191"/>
  <c r="LJ1346" i="191" s="1"/>
  <c r="LD1336" i="191"/>
  <c r="LJ1336" i="191" s="1"/>
  <c r="LD1326" i="191"/>
  <c r="LJ1326" i="191" s="1"/>
  <c r="LD1319" i="191"/>
  <c r="LJ1319" i="191" s="1"/>
  <c r="LD1345" i="191"/>
  <c r="LJ1345" i="191" s="1"/>
  <c r="LD1322" i="191"/>
  <c r="LJ1322" i="191" s="1"/>
  <c r="LD1335" i="191"/>
  <c r="LJ1335" i="191" s="1"/>
  <c r="ER1341" i="191"/>
  <c r="EX1341" i="191" s="1"/>
  <c r="ER1323" i="191"/>
  <c r="EX1323" i="191" s="1"/>
  <c r="ER1340" i="191"/>
  <c r="EX1340" i="191" s="1"/>
  <c r="ER1330" i="191"/>
  <c r="EX1330" i="191" s="1"/>
  <c r="ER1320" i="191"/>
  <c r="EX1320" i="191" s="1"/>
  <c r="ER1329" i="191"/>
  <c r="EX1329" i="191" s="1"/>
  <c r="ER1342" i="191"/>
  <c r="EX1342" i="191" s="1"/>
  <c r="ER1332" i="191"/>
  <c r="EX1332" i="191" s="1"/>
  <c r="ER1325" i="191"/>
  <c r="EX1325" i="191" s="1"/>
  <c r="ER1333" i="191"/>
  <c r="EX1333" i="191" s="1"/>
  <c r="ER1339" i="191"/>
  <c r="EX1339" i="191" s="1"/>
  <c r="ER1343" i="191"/>
  <c r="EX1343" i="191" s="1"/>
  <c r="ER1331" i="191"/>
  <c r="EX1331" i="191" s="1"/>
  <c r="ER1344" i="191"/>
  <c r="EX1344" i="191" s="1"/>
  <c r="ER1334" i="191"/>
  <c r="EX1334" i="191" s="1"/>
  <c r="ER1324" i="191"/>
  <c r="EX1324" i="191" s="1"/>
  <c r="ER1321" i="191"/>
  <c r="EX1321" i="191" s="1"/>
  <c r="ER1346" i="191"/>
  <c r="EX1346" i="191" s="1"/>
  <c r="ER1336" i="191"/>
  <c r="EX1336" i="191" s="1"/>
  <c r="ER1326" i="191"/>
  <c r="EX1326" i="191" s="1"/>
  <c r="ER1319" i="191"/>
  <c r="EX1319" i="191" s="1"/>
  <c r="ER1345" i="191"/>
  <c r="EX1345" i="191" s="1"/>
  <c r="ER1322" i="191"/>
  <c r="EX1322" i="191" s="1"/>
  <c r="ER1335" i="191"/>
  <c r="EX1335" i="191" s="1"/>
  <c r="CF1343" i="191"/>
  <c r="CL1343" i="191" s="1"/>
  <c r="CF1346" i="191"/>
  <c r="CL1346" i="191" s="1"/>
  <c r="CF1336" i="191"/>
  <c r="CL1336" i="191" s="1"/>
  <c r="CF1345" i="191"/>
  <c r="CL1345" i="191" s="1"/>
  <c r="CF1335" i="191"/>
  <c r="CL1335" i="191" s="1"/>
  <c r="CF1325" i="191"/>
  <c r="CL1325" i="191" s="1"/>
  <c r="CF1334" i="191"/>
  <c r="CL1334" i="191" s="1"/>
  <c r="CF1344" i="191"/>
  <c r="CL1344" i="191" s="1"/>
  <c r="CF1326" i="191"/>
  <c r="CL1326" i="191" s="1"/>
  <c r="CF1339" i="191"/>
  <c r="CL1339" i="191" s="1"/>
  <c r="CF1329" i="191"/>
  <c r="CL1329" i="191" s="1"/>
  <c r="CF1319" i="191"/>
  <c r="CL1319" i="191" s="1"/>
  <c r="CF1342" i="191"/>
  <c r="CL1342" i="191" s="1"/>
  <c r="CF1322" i="191"/>
  <c r="CL1322" i="191" s="1"/>
  <c r="CF1341" i="191"/>
  <c r="CL1341" i="191" s="1"/>
  <c r="CF1331" i="191"/>
  <c r="CL1331" i="191" s="1"/>
  <c r="CF1321" i="191"/>
  <c r="CL1321" i="191" s="1"/>
  <c r="CF1330" i="191"/>
  <c r="CL1330" i="191" s="1"/>
  <c r="CF1340" i="191"/>
  <c r="CL1340" i="191" s="1"/>
  <c r="CF1320" i="191"/>
  <c r="CL1320" i="191" s="1"/>
  <c r="CF1333" i="191"/>
  <c r="CL1333" i="191" s="1"/>
  <c r="CF1323" i="191"/>
  <c r="CL1323" i="191" s="1"/>
  <c r="CF1332" i="191"/>
  <c r="CL1332" i="191" s="1"/>
  <c r="IR1343" i="191"/>
  <c r="IX1343" i="191" s="1"/>
  <c r="IR1346" i="191"/>
  <c r="IX1346" i="191" s="1"/>
  <c r="IR1336" i="191"/>
  <c r="IX1336" i="191" s="1"/>
  <c r="IR1345" i="191"/>
  <c r="IX1345" i="191" s="1"/>
  <c r="IR1335" i="191"/>
  <c r="IX1335" i="191" s="1"/>
  <c r="IR1325" i="191"/>
  <c r="IX1325" i="191" s="1"/>
  <c r="IR1334" i="191"/>
  <c r="IX1334" i="191" s="1"/>
  <c r="IR1344" i="191"/>
  <c r="IX1344" i="191" s="1"/>
  <c r="IR1326" i="191"/>
  <c r="IX1326" i="191" s="1"/>
  <c r="IR1339" i="191"/>
  <c r="IX1339" i="191" s="1"/>
  <c r="IR1329" i="191"/>
  <c r="IX1329" i="191" s="1"/>
  <c r="IR1319" i="191"/>
  <c r="IX1319" i="191" s="1"/>
  <c r="IR1342" i="191"/>
  <c r="IX1342" i="191" s="1"/>
  <c r="IR1322" i="191"/>
  <c r="IX1322" i="191" s="1"/>
  <c r="IR1341" i="191"/>
  <c r="IX1341" i="191" s="1"/>
  <c r="IR1331" i="191"/>
  <c r="IX1331" i="191" s="1"/>
  <c r="IR1321" i="191"/>
  <c r="IX1321" i="191" s="1"/>
  <c r="IR1330" i="191"/>
  <c r="IX1330" i="191" s="1"/>
  <c r="IR1340" i="191"/>
  <c r="IX1340" i="191" s="1"/>
  <c r="IR1320" i="191"/>
  <c r="IX1320" i="191" s="1"/>
  <c r="IR1333" i="191"/>
  <c r="IX1333" i="191" s="1"/>
  <c r="IR1323" i="191"/>
  <c r="IX1323" i="191" s="1"/>
  <c r="IR1332" i="191"/>
  <c r="IX1332" i="191" s="1"/>
  <c r="PD1343" i="191"/>
  <c r="PJ1343" i="191" s="1"/>
  <c r="PD1346" i="191"/>
  <c r="PJ1346" i="191" s="1"/>
  <c r="PD1336" i="191"/>
  <c r="PJ1336" i="191" s="1"/>
  <c r="PD1345" i="191"/>
  <c r="PJ1345" i="191" s="1"/>
  <c r="PD1335" i="191"/>
  <c r="PJ1335" i="191" s="1"/>
  <c r="PD1325" i="191"/>
  <c r="PJ1325" i="191" s="1"/>
  <c r="PD1334" i="191"/>
  <c r="PJ1334" i="191" s="1"/>
  <c r="PD1344" i="191"/>
  <c r="PJ1344" i="191" s="1"/>
  <c r="PD1326" i="191"/>
  <c r="PJ1326" i="191" s="1"/>
  <c r="PD1339" i="191"/>
  <c r="PJ1339" i="191" s="1"/>
  <c r="PD1329" i="191"/>
  <c r="PJ1329" i="191" s="1"/>
  <c r="PD1319" i="191"/>
  <c r="PJ1319" i="191" s="1"/>
  <c r="PD1342" i="191"/>
  <c r="PJ1342" i="191" s="1"/>
  <c r="PD1322" i="191"/>
  <c r="PJ1322" i="191" s="1"/>
  <c r="PD1341" i="191"/>
  <c r="PJ1341" i="191" s="1"/>
  <c r="PD1331" i="191"/>
  <c r="PJ1331" i="191" s="1"/>
  <c r="PD1321" i="191"/>
  <c r="PJ1321" i="191" s="1"/>
  <c r="PD1330" i="191"/>
  <c r="PJ1330" i="191" s="1"/>
  <c r="PD1340" i="191"/>
  <c r="PJ1340" i="191" s="1"/>
  <c r="PD1320" i="191"/>
  <c r="PJ1320" i="191" s="1"/>
  <c r="PD1333" i="191"/>
  <c r="PJ1333" i="191" s="1"/>
  <c r="PD1323" i="191"/>
  <c r="PJ1323" i="191" s="1"/>
  <c r="PD1332" i="191"/>
  <c r="PJ1332" i="191" s="1"/>
  <c r="VP1343" i="191"/>
  <c r="VV1343" i="191" s="1"/>
  <c r="VP1346" i="191"/>
  <c r="VV1346" i="191" s="1"/>
  <c r="VP1336" i="191"/>
  <c r="VV1336" i="191" s="1"/>
  <c r="VP1345" i="191"/>
  <c r="VV1345" i="191" s="1"/>
  <c r="VP1335" i="191"/>
  <c r="VV1335" i="191" s="1"/>
  <c r="VP1325" i="191"/>
  <c r="VV1325" i="191" s="1"/>
  <c r="VP1334" i="191"/>
  <c r="VV1334" i="191" s="1"/>
  <c r="VP1344" i="191"/>
  <c r="VV1344" i="191" s="1"/>
  <c r="VP1326" i="191"/>
  <c r="VV1326" i="191" s="1"/>
  <c r="VP1339" i="191"/>
  <c r="VV1339" i="191" s="1"/>
  <c r="VP1329" i="191"/>
  <c r="VV1329" i="191" s="1"/>
  <c r="VP1319" i="191"/>
  <c r="VV1319" i="191" s="1"/>
  <c r="VP1342" i="191"/>
  <c r="VV1342" i="191" s="1"/>
  <c r="VP1322" i="191"/>
  <c r="VV1322" i="191" s="1"/>
  <c r="VP1341" i="191"/>
  <c r="VV1341" i="191" s="1"/>
  <c r="VP1331" i="191"/>
  <c r="VV1331" i="191" s="1"/>
  <c r="VP1321" i="191"/>
  <c r="VV1321" i="191" s="1"/>
  <c r="VP1330" i="191"/>
  <c r="VV1330" i="191" s="1"/>
  <c r="VP1340" i="191"/>
  <c r="VV1340" i="191" s="1"/>
  <c r="VP1320" i="191"/>
  <c r="VV1320" i="191" s="1"/>
  <c r="VP1333" i="191"/>
  <c r="VV1333" i="191" s="1"/>
  <c r="VP1323" i="191"/>
  <c r="VV1323" i="191" s="1"/>
  <c r="VP1332" i="191"/>
  <c r="VV1332" i="191" s="1"/>
  <c r="BK1343" i="191"/>
  <c r="BQ1343" i="191" s="1"/>
  <c r="BK1322" i="191"/>
  <c r="BQ1322" i="191" s="1"/>
  <c r="BK1331" i="191"/>
  <c r="BQ1331" i="191" s="1"/>
  <c r="BK1330" i="191"/>
  <c r="BQ1330" i="191" s="1"/>
  <c r="BK1320" i="191"/>
  <c r="BQ1320" i="191" s="1"/>
  <c r="BK1323" i="191"/>
  <c r="BQ1323" i="191" s="1"/>
  <c r="BK1346" i="191"/>
  <c r="BQ1346" i="191" s="1"/>
  <c r="BK1345" i="191"/>
  <c r="BQ1345" i="191" s="1"/>
  <c r="BK1325" i="191"/>
  <c r="BQ1325" i="191" s="1"/>
  <c r="BK1344" i="191"/>
  <c r="BQ1344" i="191" s="1"/>
  <c r="BK1339" i="191"/>
  <c r="BQ1339" i="191" s="1"/>
  <c r="BK1319" i="191"/>
  <c r="BQ1319" i="191" s="1"/>
  <c r="BK1342" i="191"/>
  <c r="BQ1342" i="191" s="1"/>
  <c r="BK1341" i="191"/>
  <c r="BQ1341" i="191" s="1"/>
  <c r="BK1321" i="191"/>
  <c r="BQ1321" i="191" s="1"/>
  <c r="BK1340" i="191"/>
  <c r="BQ1340" i="191" s="1"/>
  <c r="BK1333" i="191"/>
  <c r="BQ1333" i="191" s="1"/>
  <c r="BK1332" i="191"/>
  <c r="BQ1332" i="191" s="1"/>
  <c r="BK1336" i="191"/>
  <c r="BQ1336" i="191" s="1"/>
  <c r="BK1335" i="191"/>
  <c r="BQ1335" i="191" s="1"/>
  <c r="BK1334" i="191"/>
  <c r="BQ1334" i="191" s="1"/>
  <c r="BK1326" i="191"/>
  <c r="BQ1326" i="191" s="1"/>
  <c r="BK1329" i="191"/>
  <c r="BQ1329" i="191" s="1"/>
  <c r="BK1324" i="191"/>
  <c r="BQ1324" i="191" s="1"/>
  <c r="EQ1343" i="191"/>
  <c r="EW1343" i="191" s="1"/>
  <c r="EQ1326" i="191"/>
  <c r="EW1326" i="191" s="1"/>
  <c r="EQ1329" i="191"/>
  <c r="EW1329" i="191" s="1"/>
  <c r="EQ1324" i="191"/>
  <c r="EW1324" i="191" s="1"/>
  <c r="EQ1322" i="191"/>
  <c r="EW1322" i="191" s="1"/>
  <c r="EQ1331" i="191"/>
  <c r="EW1331" i="191" s="1"/>
  <c r="EQ1330" i="191"/>
  <c r="EW1330" i="191" s="1"/>
  <c r="EQ1320" i="191"/>
  <c r="EW1320" i="191" s="1"/>
  <c r="EQ1323" i="191"/>
  <c r="EW1323" i="191" s="1"/>
  <c r="EQ1346" i="191"/>
  <c r="EW1346" i="191" s="1"/>
  <c r="EQ1345" i="191"/>
  <c r="EW1345" i="191" s="1"/>
  <c r="EQ1325" i="191"/>
  <c r="EW1325" i="191" s="1"/>
  <c r="EQ1344" i="191"/>
  <c r="EW1344" i="191" s="1"/>
  <c r="EQ1339" i="191"/>
  <c r="EW1339" i="191" s="1"/>
  <c r="EQ1319" i="191"/>
  <c r="EW1319" i="191" s="1"/>
  <c r="EQ1342" i="191"/>
  <c r="EW1342" i="191" s="1"/>
  <c r="EQ1341" i="191"/>
  <c r="EW1341" i="191" s="1"/>
  <c r="EQ1321" i="191"/>
  <c r="EW1321" i="191" s="1"/>
  <c r="EQ1340" i="191"/>
  <c r="EW1340" i="191" s="1"/>
  <c r="EQ1333" i="191"/>
  <c r="EW1333" i="191" s="1"/>
  <c r="EQ1332" i="191"/>
  <c r="EW1332" i="191" s="1"/>
  <c r="EQ1336" i="191"/>
  <c r="EW1336" i="191" s="1"/>
  <c r="EQ1335" i="191"/>
  <c r="EW1335" i="191" s="1"/>
  <c r="EQ1334" i="191"/>
  <c r="EW1334" i="191" s="1"/>
  <c r="HW1343" i="191"/>
  <c r="IC1343" i="191" s="1"/>
  <c r="HW1322" i="191"/>
  <c r="IC1322" i="191" s="1"/>
  <c r="HW1331" i="191"/>
  <c r="IC1331" i="191" s="1"/>
  <c r="HW1330" i="191"/>
  <c r="IC1330" i="191" s="1"/>
  <c r="HW1320" i="191"/>
  <c r="IC1320" i="191" s="1"/>
  <c r="HW1323" i="191"/>
  <c r="IC1323" i="191" s="1"/>
  <c r="HW1346" i="191"/>
  <c r="IC1346" i="191" s="1"/>
  <c r="HW1345" i="191"/>
  <c r="IC1345" i="191" s="1"/>
  <c r="HW1325" i="191"/>
  <c r="IC1325" i="191" s="1"/>
  <c r="HW1344" i="191"/>
  <c r="IC1344" i="191" s="1"/>
  <c r="HW1339" i="191"/>
  <c r="IC1339" i="191" s="1"/>
  <c r="HW1319" i="191"/>
  <c r="IC1319" i="191" s="1"/>
  <c r="HW1342" i="191"/>
  <c r="IC1342" i="191" s="1"/>
  <c r="HW1341" i="191"/>
  <c r="IC1341" i="191" s="1"/>
  <c r="HW1321" i="191"/>
  <c r="IC1321" i="191" s="1"/>
  <c r="HW1340" i="191"/>
  <c r="IC1340" i="191" s="1"/>
  <c r="HW1333" i="191"/>
  <c r="IC1333" i="191" s="1"/>
  <c r="HW1332" i="191"/>
  <c r="IC1332" i="191" s="1"/>
  <c r="HW1336" i="191"/>
  <c r="IC1336" i="191" s="1"/>
  <c r="HW1335" i="191"/>
  <c r="IC1335" i="191" s="1"/>
  <c r="HW1334" i="191"/>
  <c r="IC1334" i="191" s="1"/>
  <c r="HW1326" i="191"/>
  <c r="IC1326" i="191" s="1"/>
  <c r="HW1329" i="191"/>
  <c r="IC1329" i="191" s="1"/>
  <c r="HW1324" i="191"/>
  <c r="IC1324" i="191" s="1"/>
  <c r="LC1343" i="191"/>
  <c r="LI1343" i="191" s="1"/>
  <c r="LC1326" i="191"/>
  <c r="LI1326" i="191" s="1"/>
  <c r="LC1329" i="191"/>
  <c r="LI1329" i="191" s="1"/>
  <c r="LC1324" i="191"/>
  <c r="LI1324" i="191" s="1"/>
  <c r="LC1322" i="191"/>
  <c r="LI1322" i="191" s="1"/>
  <c r="LC1331" i="191"/>
  <c r="LI1331" i="191" s="1"/>
  <c r="LC1330" i="191"/>
  <c r="LI1330" i="191" s="1"/>
  <c r="LC1320" i="191"/>
  <c r="LI1320" i="191" s="1"/>
  <c r="LC1323" i="191"/>
  <c r="LI1323" i="191" s="1"/>
  <c r="LC1346" i="191"/>
  <c r="LI1346" i="191" s="1"/>
  <c r="LC1345" i="191"/>
  <c r="LI1345" i="191" s="1"/>
  <c r="LC1325" i="191"/>
  <c r="LI1325" i="191" s="1"/>
  <c r="LC1344" i="191"/>
  <c r="LI1344" i="191" s="1"/>
  <c r="LC1339" i="191"/>
  <c r="LI1339" i="191" s="1"/>
  <c r="LC1319" i="191"/>
  <c r="LI1319" i="191" s="1"/>
  <c r="LC1342" i="191"/>
  <c r="LI1342" i="191" s="1"/>
  <c r="LC1341" i="191"/>
  <c r="LI1341" i="191" s="1"/>
  <c r="LC1321" i="191"/>
  <c r="LI1321" i="191" s="1"/>
  <c r="LC1340" i="191"/>
  <c r="LI1340" i="191" s="1"/>
  <c r="LC1333" i="191"/>
  <c r="LI1333" i="191" s="1"/>
  <c r="LC1332" i="191"/>
  <c r="LI1332" i="191" s="1"/>
  <c r="LC1336" i="191"/>
  <c r="LI1336" i="191" s="1"/>
  <c r="LC1335" i="191"/>
  <c r="LI1335" i="191" s="1"/>
  <c r="LC1334" i="191"/>
  <c r="LI1334" i="191" s="1"/>
  <c r="OI1343" i="191"/>
  <c r="OO1343" i="191" s="1"/>
  <c r="OI1320" i="191"/>
  <c r="OO1320" i="191" s="1"/>
  <c r="OI1323" i="191"/>
  <c r="OO1323" i="191" s="1"/>
  <c r="OI1346" i="191"/>
  <c r="OO1346" i="191" s="1"/>
  <c r="OI1345" i="191"/>
  <c r="OO1345" i="191" s="1"/>
  <c r="OI1325" i="191"/>
  <c r="OO1325" i="191" s="1"/>
  <c r="OI1344" i="191"/>
  <c r="OO1344" i="191" s="1"/>
  <c r="OI1339" i="191"/>
  <c r="OO1339" i="191" s="1"/>
  <c r="OI1319" i="191"/>
  <c r="OO1319" i="191" s="1"/>
  <c r="OI1342" i="191"/>
  <c r="OO1342" i="191" s="1"/>
  <c r="OI1341" i="191"/>
  <c r="OO1341" i="191" s="1"/>
  <c r="OI1321" i="191"/>
  <c r="OO1321" i="191" s="1"/>
  <c r="OI1340" i="191"/>
  <c r="OO1340" i="191" s="1"/>
  <c r="OI1333" i="191"/>
  <c r="OO1333" i="191" s="1"/>
  <c r="OI1332" i="191"/>
  <c r="OO1332" i="191" s="1"/>
  <c r="OI1336" i="191"/>
  <c r="OO1336" i="191" s="1"/>
  <c r="OI1335" i="191"/>
  <c r="OO1335" i="191" s="1"/>
  <c r="OI1334" i="191"/>
  <c r="OO1334" i="191" s="1"/>
  <c r="OI1326" i="191"/>
  <c r="OO1326" i="191" s="1"/>
  <c r="OI1329" i="191"/>
  <c r="OO1329" i="191" s="1"/>
  <c r="OI1324" i="191"/>
  <c r="OO1324" i="191" s="1"/>
  <c r="OI1322" i="191"/>
  <c r="OO1322" i="191" s="1"/>
  <c r="OI1331" i="191"/>
  <c r="OO1331" i="191" s="1"/>
  <c r="OI1330" i="191"/>
  <c r="OO1330" i="191" s="1"/>
  <c r="RO1343" i="191"/>
  <c r="RU1343" i="191" s="1"/>
  <c r="RO1336" i="191"/>
  <c r="RU1336" i="191" s="1"/>
  <c r="RO1335" i="191"/>
  <c r="RU1335" i="191" s="1"/>
  <c r="RO1334" i="191"/>
  <c r="RU1334" i="191" s="1"/>
  <c r="RO1326" i="191"/>
  <c r="RU1326" i="191" s="1"/>
  <c r="RO1329" i="191"/>
  <c r="RU1329" i="191" s="1"/>
  <c r="RO1324" i="191"/>
  <c r="RU1324" i="191" s="1"/>
  <c r="RO1322" i="191"/>
  <c r="RU1322" i="191" s="1"/>
  <c r="RO1331" i="191"/>
  <c r="RU1331" i="191" s="1"/>
  <c r="RO1330" i="191"/>
  <c r="RU1330" i="191" s="1"/>
  <c r="RO1320" i="191"/>
  <c r="RU1320" i="191" s="1"/>
  <c r="RO1323" i="191"/>
  <c r="RU1323" i="191" s="1"/>
  <c r="RO1346" i="191"/>
  <c r="RU1346" i="191" s="1"/>
  <c r="RO1345" i="191"/>
  <c r="RU1345" i="191" s="1"/>
  <c r="RO1325" i="191"/>
  <c r="RU1325" i="191" s="1"/>
  <c r="RO1344" i="191"/>
  <c r="RU1344" i="191" s="1"/>
  <c r="RO1339" i="191"/>
  <c r="RU1339" i="191" s="1"/>
  <c r="RO1319" i="191"/>
  <c r="RU1319" i="191" s="1"/>
  <c r="RO1342" i="191"/>
  <c r="RU1342" i="191" s="1"/>
  <c r="RO1341" i="191"/>
  <c r="RU1341" i="191" s="1"/>
  <c r="RO1321" i="191"/>
  <c r="RU1321" i="191" s="1"/>
  <c r="RO1340" i="191"/>
  <c r="RU1340" i="191" s="1"/>
  <c r="RO1333" i="191"/>
  <c r="RU1333" i="191" s="1"/>
  <c r="RO1332" i="191"/>
  <c r="RU1332" i="191" s="1"/>
  <c r="UU1343" i="191"/>
  <c r="VA1343" i="191" s="1"/>
  <c r="UU1320" i="191"/>
  <c r="VA1320" i="191" s="1"/>
  <c r="UU1322" i="191"/>
  <c r="VA1322" i="191" s="1"/>
  <c r="UU1323" i="191"/>
  <c r="VA1323" i="191" s="1"/>
  <c r="UU1345" i="191"/>
  <c r="VA1345" i="191" s="1"/>
  <c r="UU1325" i="191"/>
  <c r="VA1325" i="191" s="1"/>
  <c r="UU1344" i="191"/>
  <c r="VA1344" i="191" s="1"/>
  <c r="UU1346" i="191"/>
  <c r="VA1346" i="191" s="1"/>
  <c r="UU1339" i="191"/>
  <c r="VA1339" i="191" s="1"/>
  <c r="UU1319" i="191"/>
  <c r="VA1319" i="191" s="1"/>
  <c r="UU1341" i="191"/>
  <c r="VA1341" i="191" s="1"/>
  <c r="UU1321" i="191"/>
  <c r="VA1321" i="191" s="1"/>
  <c r="UU1340" i="191"/>
  <c r="VA1340" i="191" s="1"/>
  <c r="UU1342" i="191"/>
  <c r="VA1342" i="191" s="1"/>
  <c r="UU1333" i="191"/>
  <c r="VA1333" i="191" s="1"/>
  <c r="UU1332" i="191"/>
  <c r="VA1332" i="191" s="1"/>
  <c r="UU1335" i="191"/>
  <c r="VA1335" i="191" s="1"/>
  <c r="UU1334" i="191"/>
  <c r="VA1334" i="191" s="1"/>
  <c r="UU1326" i="191"/>
  <c r="VA1326" i="191" s="1"/>
  <c r="UU1336" i="191"/>
  <c r="VA1336" i="191" s="1"/>
  <c r="UU1329" i="191"/>
  <c r="VA1329" i="191" s="1"/>
  <c r="UU1324" i="191"/>
  <c r="VA1324" i="191" s="1"/>
  <c r="UU1331" i="191"/>
  <c r="VA1331" i="191" s="1"/>
  <c r="UU1330" i="191"/>
  <c r="VA1330" i="191" s="1"/>
  <c r="YA1343" i="191"/>
  <c r="YG1343" i="191" s="1"/>
  <c r="YA1326" i="191"/>
  <c r="YG1326" i="191" s="1"/>
  <c r="YA1329" i="191"/>
  <c r="YG1329" i="191" s="1"/>
  <c r="YA1324" i="191"/>
  <c r="YG1324" i="191" s="1"/>
  <c r="YA1322" i="191"/>
  <c r="YG1322" i="191" s="1"/>
  <c r="YA1331" i="191"/>
  <c r="YG1331" i="191" s="1"/>
  <c r="YA1330" i="191"/>
  <c r="YG1330" i="191" s="1"/>
  <c r="YA1320" i="191"/>
  <c r="YG1320" i="191" s="1"/>
  <c r="YA1323" i="191"/>
  <c r="YG1323" i="191" s="1"/>
  <c r="YA1346" i="191"/>
  <c r="YG1346" i="191" s="1"/>
  <c r="YA1345" i="191"/>
  <c r="YG1345" i="191" s="1"/>
  <c r="YA1325" i="191"/>
  <c r="YG1325" i="191" s="1"/>
  <c r="YA1344" i="191"/>
  <c r="YG1344" i="191" s="1"/>
  <c r="YA1339" i="191"/>
  <c r="YG1339" i="191" s="1"/>
  <c r="YA1319" i="191"/>
  <c r="YG1319" i="191" s="1"/>
  <c r="YA1342" i="191"/>
  <c r="YG1342" i="191" s="1"/>
  <c r="YA1341" i="191"/>
  <c r="YG1341" i="191" s="1"/>
  <c r="YA1321" i="191"/>
  <c r="YG1321" i="191" s="1"/>
  <c r="YA1340" i="191"/>
  <c r="YG1340" i="191" s="1"/>
  <c r="YA1333" i="191"/>
  <c r="YG1333" i="191" s="1"/>
  <c r="YA1332" i="191"/>
  <c r="YG1332" i="191" s="1"/>
  <c r="YA1336" i="191"/>
  <c r="YG1336" i="191" s="1"/>
  <c r="YA1335" i="191"/>
  <c r="YG1335" i="191" s="1"/>
  <c r="YA1334" i="191"/>
  <c r="YG1334" i="191" s="1"/>
  <c r="DV1343" i="191"/>
  <c r="EB1343" i="191" s="1"/>
  <c r="DV1326" i="191"/>
  <c r="EB1326" i="191" s="1"/>
  <c r="DV1329" i="191"/>
  <c r="EB1329" i="191" s="1"/>
  <c r="DV1324" i="191"/>
  <c r="EB1324" i="191" s="1"/>
  <c r="DV1322" i="191"/>
  <c r="EB1322" i="191" s="1"/>
  <c r="DV1331" i="191"/>
  <c r="EB1331" i="191" s="1"/>
  <c r="DV1330" i="191"/>
  <c r="EB1330" i="191" s="1"/>
  <c r="DV1320" i="191"/>
  <c r="EB1320" i="191" s="1"/>
  <c r="DV1323" i="191"/>
  <c r="EB1323" i="191" s="1"/>
  <c r="DV1346" i="191"/>
  <c r="EB1346" i="191" s="1"/>
  <c r="DV1345" i="191"/>
  <c r="EB1345" i="191" s="1"/>
  <c r="DV1325" i="191"/>
  <c r="EB1325" i="191" s="1"/>
  <c r="DV1344" i="191"/>
  <c r="EB1344" i="191" s="1"/>
  <c r="DV1339" i="191"/>
  <c r="EB1339" i="191" s="1"/>
  <c r="DV1319" i="191"/>
  <c r="EB1319" i="191" s="1"/>
  <c r="DV1342" i="191"/>
  <c r="EB1342" i="191" s="1"/>
  <c r="DV1341" i="191"/>
  <c r="EB1341" i="191" s="1"/>
  <c r="DV1321" i="191"/>
  <c r="EB1321" i="191" s="1"/>
  <c r="DV1340" i="191"/>
  <c r="EB1340" i="191" s="1"/>
  <c r="DV1333" i="191"/>
  <c r="EB1333" i="191" s="1"/>
  <c r="DV1332" i="191"/>
  <c r="EB1332" i="191" s="1"/>
  <c r="DV1336" i="191"/>
  <c r="EB1336" i="191" s="1"/>
  <c r="DV1335" i="191"/>
  <c r="EB1335" i="191" s="1"/>
  <c r="DV1334" i="191"/>
  <c r="EB1334" i="191" s="1"/>
  <c r="KH1343" i="191"/>
  <c r="KN1343" i="191" s="1"/>
  <c r="KH1326" i="191"/>
  <c r="KN1326" i="191" s="1"/>
  <c r="KH1329" i="191"/>
  <c r="KN1329" i="191" s="1"/>
  <c r="KH1324" i="191"/>
  <c r="KN1324" i="191" s="1"/>
  <c r="KH1322" i="191"/>
  <c r="KN1322" i="191" s="1"/>
  <c r="KH1331" i="191"/>
  <c r="KN1331" i="191" s="1"/>
  <c r="KH1330" i="191"/>
  <c r="KN1330" i="191" s="1"/>
  <c r="KH1320" i="191"/>
  <c r="KN1320" i="191" s="1"/>
  <c r="KH1323" i="191"/>
  <c r="KN1323" i="191" s="1"/>
  <c r="KH1346" i="191"/>
  <c r="KN1346" i="191" s="1"/>
  <c r="KH1345" i="191"/>
  <c r="KN1345" i="191" s="1"/>
  <c r="KH1325" i="191"/>
  <c r="KN1325" i="191" s="1"/>
  <c r="KH1344" i="191"/>
  <c r="KN1344" i="191" s="1"/>
  <c r="KH1339" i="191"/>
  <c r="KN1339" i="191" s="1"/>
  <c r="KH1319" i="191"/>
  <c r="KN1319" i="191" s="1"/>
  <c r="KH1342" i="191"/>
  <c r="KN1342" i="191" s="1"/>
  <c r="KH1341" i="191"/>
  <c r="KN1341" i="191" s="1"/>
  <c r="KH1321" i="191"/>
  <c r="KN1321" i="191" s="1"/>
  <c r="KH1340" i="191"/>
  <c r="KN1340" i="191" s="1"/>
  <c r="KH1333" i="191"/>
  <c r="KN1333" i="191" s="1"/>
  <c r="KH1332" i="191"/>
  <c r="KN1332" i="191" s="1"/>
  <c r="KH1336" i="191"/>
  <c r="KN1336" i="191" s="1"/>
  <c r="KH1335" i="191"/>
  <c r="KN1335" i="191" s="1"/>
  <c r="KH1334" i="191"/>
  <c r="KN1334" i="191" s="1"/>
  <c r="QT1343" i="191"/>
  <c r="QZ1343" i="191" s="1"/>
  <c r="QT1326" i="191"/>
  <c r="QZ1326" i="191" s="1"/>
  <c r="QT1329" i="191"/>
  <c r="QZ1329" i="191" s="1"/>
  <c r="QT1324" i="191"/>
  <c r="QZ1324" i="191" s="1"/>
  <c r="QT1322" i="191"/>
  <c r="QZ1322" i="191" s="1"/>
  <c r="QT1331" i="191"/>
  <c r="QZ1331" i="191" s="1"/>
  <c r="QT1330" i="191"/>
  <c r="QZ1330" i="191" s="1"/>
  <c r="QT1320" i="191"/>
  <c r="QZ1320" i="191" s="1"/>
  <c r="QT1323" i="191"/>
  <c r="QZ1323" i="191" s="1"/>
  <c r="QT1346" i="191"/>
  <c r="QZ1346" i="191" s="1"/>
  <c r="QT1345" i="191"/>
  <c r="QZ1345" i="191" s="1"/>
  <c r="QT1325" i="191"/>
  <c r="QZ1325" i="191" s="1"/>
  <c r="QT1344" i="191"/>
  <c r="QZ1344" i="191" s="1"/>
  <c r="QT1339" i="191"/>
  <c r="QZ1339" i="191" s="1"/>
  <c r="QT1319" i="191"/>
  <c r="QZ1319" i="191" s="1"/>
  <c r="QT1342" i="191"/>
  <c r="QZ1342" i="191" s="1"/>
  <c r="QT1341" i="191"/>
  <c r="QZ1341" i="191" s="1"/>
  <c r="QT1321" i="191"/>
  <c r="QZ1321" i="191" s="1"/>
  <c r="QT1340" i="191"/>
  <c r="QZ1340" i="191" s="1"/>
  <c r="QT1333" i="191"/>
  <c r="QZ1333" i="191" s="1"/>
  <c r="QT1332" i="191"/>
  <c r="QZ1332" i="191" s="1"/>
  <c r="QT1336" i="191"/>
  <c r="QZ1336" i="191" s="1"/>
  <c r="QT1335" i="191"/>
  <c r="QZ1335" i="191" s="1"/>
  <c r="QT1334" i="191"/>
  <c r="QZ1334" i="191" s="1"/>
  <c r="XF1343" i="191"/>
  <c r="XL1343" i="191" s="1"/>
  <c r="XF1326" i="191"/>
  <c r="XL1326" i="191" s="1"/>
  <c r="XF1329" i="191"/>
  <c r="XL1329" i="191" s="1"/>
  <c r="XF1324" i="191"/>
  <c r="XL1324" i="191" s="1"/>
  <c r="XF1322" i="191"/>
  <c r="XL1322" i="191" s="1"/>
  <c r="XF1331" i="191"/>
  <c r="XL1331" i="191" s="1"/>
  <c r="XF1330" i="191"/>
  <c r="XL1330" i="191" s="1"/>
  <c r="XF1320" i="191"/>
  <c r="XL1320" i="191" s="1"/>
  <c r="XF1323" i="191"/>
  <c r="XL1323" i="191" s="1"/>
  <c r="XF1346" i="191"/>
  <c r="XL1346" i="191" s="1"/>
  <c r="XF1345" i="191"/>
  <c r="XL1345" i="191" s="1"/>
  <c r="XF1325" i="191"/>
  <c r="XL1325" i="191" s="1"/>
  <c r="XF1344" i="191"/>
  <c r="XL1344" i="191" s="1"/>
  <c r="XF1339" i="191"/>
  <c r="XL1339" i="191" s="1"/>
  <c r="XF1319" i="191"/>
  <c r="XL1319" i="191" s="1"/>
  <c r="XF1342" i="191"/>
  <c r="XL1342" i="191" s="1"/>
  <c r="XF1341" i="191"/>
  <c r="XL1341" i="191" s="1"/>
  <c r="XF1321" i="191"/>
  <c r="XL1321" i="191" s="1"/>
  <c r="XF1340" i="191"/>
  <c r="XL1340" i="191" s="1"/>
  <c r="XF1333" i="191"/>
  <c r="XL1333" i="191" s="1"/>
  <c r="XF1332" i="191"/>
  <c r="XL1332" i="191" s="1"/>
  <c r="XF1336" i="191"/>
  <c r="XL1336" i="191" s="1"/>
  <c r="XF1335" i="191"/>
  <c r="XL1335" i="191" s="1"/>
  <c r="XF1334" i="191"/>
  <c r="XL1334" i="191" s="1"/>
  <c r="YV1343" i="191"/>
  <c r="ZB1343" i="191" s="1"/>
  <c r="YV1342" i="191"/>
  <c r="ZB1342" i="191" s="1"/>
  <c r="YV1322" i="191"/>
  <c r="ZB1322" i="191" s="1"/>
  <c r="YV1341" i="191"/>
  <c r="ZB1341" i="191" s="1"/>
  <c r="YV1331" i="191"/>
  <c r="ZB1331" i="191" s="1"/>
  <c r="YV1321" i="191"/>
  <c r="ZB1321" i="191" s="1"/>
  <c r="YV1330" i="191"/>
  <c r="ZB1330" i="191" s="1"/>
  <c r="YV1340" i="191"/>
  <c r="ZB1340" i="191" s="1"/>
  <c r="YV1320" i="191"/>
  <c r="ZB1320" i="191" s="1"/>
  <c r="YV1333" i="191"/>
  <c r="ZB1333" i="191" s="1"/>
  <c r="YV1323" i="191"/>
  <c r="ZB1323" i="191" s="1"/>
  <c r="YV1332" i="191"/>
  <c r="ZB1332" i="191" s="1"/>
  <c r="YV1346" i="191"/>
  <c r="ZB1346" i="191" s="1"/>
  <c r="YV1336" i="191"/>
  <c r="ZB1336" i="191" s="1"/>
  <c r="YV1345" i="191"/>
  <c r="ZB1345" i="191" s="1"/>
  <c r="YV1335" i="191"/>
  <c r="ZB1335" i="191" s="1"/>
  <c r="YV1325" i="191"/>
  <c r="ZB1325" i="191" s="1"/>
  <c r="YV1334" i="191"/>
  <c r="ZB1334" i="191" s="1"/>
  <c r="YV1344" i="191"/>
  <c r="ZB1344" i="191" s="1"/>
  <c r="YV1326" i="191"/>
  <c r="ZB1326" i="191" s="1"/>
  <c r="YV1339" i="191"/>
  <c r="ZB1339" i="191" s="1"/>
  <c r="YV1329" i="191"/>
  <c r="ZB1329" i="191" s="1"/>
  <c r="YV1319" i="191"/>
  <c r="ZB1319" i="191" s="1"/>
  <c r="FL1343" i="191"/>
  <c r="FR1343" i="191" s="1"/>
  <c r="FL1342" i="191"/>
  <c r="FR1342" i="191" s="1"/>
  <c r="FL1322" i="191"/>
  <c r="FR1322" i="191" s="1"/>
  <c r="FL1341" i="191"/>
  <c r="FR1341" i="191" s="1"/>
  <c r="FL1331" i="191"/>
  <c r="FR1331" i="191" s="1"/>
  <c r="FL1321" i="191"/>
  <c r="FR1321" i="191" s="1"/>
  <c r="FL1330" i="191"/>
  <c r="FR1330" i="191" s="1"/>
  <c r="FL1340" i="191"/>
  <c r="FR1340" i="191" s="1"/>
  <c r="FL1320" i="191"/>
  <c r="FR1320" i="191" s="1"/>
  <c r="FL1333" i="191"/>
  <c r="FR1333" i="191" s="1"/>
  <c r="FL1323" i="191"/>
  <c r="FR1323" i="191" s="1"/>
  <c r="FL1332" i="191"/>
  <c r="FR1332" i="191" s="1"/>
  <c r="FL1346" i="191"/>
  <c r="FR1346" i="191" s="1"/>
  <c r="FL1336" i="191"/>
  <c r="FR1336" i="191" s="1"/>
  <c r="FL1345" i="191"/>
  <c r="FR1345" i="191" s="1"/>
  <c r="FL1335" i="191"/>
  <c r="FR1335" i="191" s="1"/>
  <c r="FL1325" i="191"/>
  <c r="FR1325" i="191" s="1"/>
  <c r="FL1334" i="191"/>
  <c r="FR1334" i="191" s="1"/>
  <c r="FL1344" i="191"/>
  <c r="FR1344" i="191" s="1"/>
  <c r="FL1326" i="191"/>
  <c r="FR1326" i="191" s="1"/>
  <c r="FL1339" i="191"/>
  <c r="FR1339" i="191" s="1"/>
  <c r="FL1329" i="191"/>
  <c r="FR1329" i="191" s="1"/>
  <c r="FL1319" i="191"/>
  <c r="FR1319" i="191" s="1"/>
  <c r="LX1343" i="191"/>
  <c r="MD1343" i="191" s="1"/>
  <c r="LX1340" i="191"/>
  <c r="MD1340" i="191" s="1"/>
  <c r="LX1320" i="191"/>
  <c r="MD1320" i="191" s="1"/>
  <c r="LX1333" i="191"/>
  <c r="MD1333" i="191" s="1"/>
  <c r="LX1323" i="191"/>
  <c r="MD1323" i="191" s="1"/>
  <c r="LX1332" i="191"/>
  <c r="MD1332" i="191" s="1"/>
  <c r="LX1346" i="191"/>
  <c r="MD1346" i="191" s="1"/>
  <c r="LX1336" i="191"/>
  <c r="MD1336" i="191" s="1"/>
  <c r="LX1345" i="191"/>
  <c r="MD1345" i="191" s="1"/>
  <c r="LX1335" i="191"/>
  <c r="MD1335" i="191" s="1"/>
  <c r="LX1325" i="191"/>
  <c r="MD1325" i="191" s="1"/>
  <c r="LX1334" i="191"/>
  <c r="MD1334" i="191" s="1"/>
  <c r="LX1344" i="191"/>
  <c r="MD1344" i="191" s="1"/>
  <c r="LX1326" i="191"/>
  <c r="MD1326" i="191" s="1"/>
  <c r="LX1339" i="191"/>
  <c r="MD1339" i="191" s="1"/>
  <c r="LX1329" i="191"/>
  <c r="MD1329" i="191" s="1"/>
  <c r="LX1319" i="191"/>
  <c r="MD1319" i="191" s="1"/>
  <c r="LX1342" i="191"/>
  <c r="MD1342" i="191" s="1"/>
  <c r="LX1322" i="191"/>
  <c r="MD1322" i="191" s="1"/>
  <c r="LX1341" i="191"/>
  <c r="MD1341" i="191" s="1"/>
  <c r="LX1331" i="191"/>
  <c r="MD1331" i="191" s="1"/>
  <c r="LX1321" i="191"/>
  <c r="MD1321" i="191" s="1"/>
  <c r="LX1330" i="191"/>
  <c r="MD1330" i="191" s="1"/>
  <c r="SJ1343" i="191"/>
  <c r="SP1343" i="191" s="1"/>
  <c r="SJ1342" i="191"/>
  <c r="SP1342" i="191" s="1"/>
  <c r="SJ1322" i="191"/>
  <c r="SP1322" i="191" s="1"/>
  <c r="SJ1341" i="191"/>
  <c r="SP1341" i="191" s="1"/>
  <c r="SJ1331" i="191"/>
  <c r="SP1331" i="191" s="1"/>
  <c r="SJ1321" i="191"/>
  <c r="SP1321" i="191" s="1"/>
  <c r="SJ1330" i="191"/>
  <c r="SP1330" i="191" s="1"/>
  <c r="SJ1340" i="191"/>
  <c r="SP1340" i="191" s="1"/>
  <c r="SJ1320" i="191"/>
  <c r="SP1320" i="191" s="1"/>
  <c r="SJ1333" i="191"/>
  <c r="SP1333" i="191" s="1"/>
  <c r="SJ1323" i="191"/>
  <c r="SP1323" i="191" s="1"/>
  <c r="SJ1332" i="191"/>
  <c r="SP1332" i="191" s="1"/>
  <c r="SJ1346" i="191"/>
  <c r="SP1346" i="191" s="1"/>
  <c r="SJ1336" i="191"/>
  <c r="SP1336" i="191" s="1"/>
  <c r="SJ1345" i="191"/>
  <c r="SP1345" i="191" s="1"/>
  <c r="SJ1335" i="191"/>
  <c r="SP1335" i="191" s="1"/>
  <c r="SJ1325" i="191"/>
  <c r="SP1325" i="191" s="1"/>
  <c r="SJ1334" i="191"/>
  <c r="SP1334" i="191" s="1"/>
  <c r="SJ1344" i="191"/>
  <c r="SP1344" i="191" s="1"/>
  <c r="SJ1326" i="191"/>
  <c r="SP1326" i="191" s="1"/>
  <c r="SJ1339" i="191"/>
  <c r="SP1339" i="191" s="1"/>
  <c r="SJ1329" i="191"/>
  <c r="SP1329" i="191" s="1"/>
  <c r="SJ1319" i="191"/>
  <c r="SP1319" i="191" s="1"/>
  <c r="U1343" i="191"/>
  <c r="AA1343" i="191" s="1"/>
  <c r="U1322" i="191"/>
  <c r="AA1322" i="191" s="1"/>
  <c r="U1331" i="191"/>
  <c r="AA1331" i="191" s="1"/>
  <c r="U1330" i="191"/>
  <c r="AA1330" i="191" s="1"/>
  <c r="U1320" i="191"/>
  <c r="AA1320" i="191" s="1"/>
  <c r="U1323" i="191"/>
  <c r="AA1323" i="191" s="1"/>
  <c r="U1346" i="191"/>
  <c r="AA1346" i="191" s="1"/>
  <c r="U1345" i="191"/>
  <c r="AA1345" i="191" s="1"/>
  <c r="U1325" i="191"/>
  <c r="AA1325" i="191" s="1"/>
  <c r="U1344" i="191"/>
  <c r="AA1344" i="191" s="1"/>
  <c r="U1339" i="191"/>
  <c r="AA1339" i="191" s="1"/>
  <c r="U1319" i="191"/>
  <c r="AA1319" i="191" s="1"/>
  <c r="U1342" i="191"/>
  <c r="AA1342" i="191" s="1"/>
  <c r="U1341" i="191"/>
  <c r="AA1341" i="191" s="1"/>
  <c r="U1321" i="191"/>
  <c r="AA1321" i="191" s="1"/>
  <c r="U1340" i="191"/>
  <c r="AA1340" i="191" s="1"/>
  <c r="U1333" i="191"/>
  <c r="AA1333" i="191" s="1"/>
  <c r="U1332" i="191"/>
  <c r="AA1332" i="191" s="1"/>
  <c r="U1336" i="191"/>
  <c r="AA1336" i="191" s="1"/>
  <c r="U1335" i="191"/>
  <c r="AA1335" i="191" s="1"/>
  <c r="U1334" i="191"/>
  <c r="AA1334" i="191" s="1"/>
  <c r="U1326" i="191"/>
  <c r="AA1326" i="191" s="1"/>
  <c r="U1329" i="191"/>
  <c r="AA1329" i="191" s="1"/>
  <c r="U1324" i="191"/>
  <c r="AA1324" i="191" s="1"/>
  <c r="DA1343" i="191"/>
  <c r="DG1343" i="191" s="1"/>
  <c r="DA1336" i="191"/>
  <c r="DG1336" i="191" s="1"/>
  <c r="DA1335" i="191"/>
  <c r="DG1335" i="191" s="1"/>
  <c r="DA1334" i="191"/>
  <c r="DG1334" i="191" s="1"/>
  <c r="DA1326" i="191"/>
  <c r="DG1326" i="191" s="1"/>
  <c r="DA1329" i="191"/>
  <c r="DG1329" i="191" s="1"/>
  <c r="DA1324" i="191"/>
  <c r="DG1324" i="191" s="1"/>
  <c r="DA1322" i="191"/>
  <c r="DG1322" i="191" s="1"/>
  <c r="DA1331" i="191"/>
  <c r="DG1331" i="191" s="1"/>
  <c r="DA1330" i="191"/>
  <c r="DG1330" i="191" s="1"/>
  <c r="DA1320" i="191"/>
  <c r="DG1320" i="191" s="1"/>
  <c r="DA1323" i="191"/>
  <c r="DG1323" i="191" s="1"/>
  <c r="DA1346" i="191"/>
  <c r="DG1346" i="191" s="1"/>
  <c r="DA1345" i="191"/>
  <c r="DG1345" i="191" s="1"/>
  <c r="DA1325" i="191"/>
  <c r="DG1325" i="191" s="1"/>
  <c r="DA1344" i="191"/>
  <c r="DG1344" i="191" s="1"/>
  <c r="DA1339" i="191"/>
  <c r="DG1339" i="191" s="1"/>
  <c r="DA1319" i="191"/>
  <c r="DG1319" i="191" s="1"/>
  <c r="DA1342" i="191"/>
  <c r="DG1342" i="191" s="1"/>
  <c r="DA1341" i="191"/>
  <c r="DG1341" i="191" s="1"/>
  <c r="DA1321" i="191"/>
  <c r="DG1321" i="191" s="1"/>
  <c r="DA1340" i="191"/>
  <c r="DG1340" i="191" s="1"/>
  <c r="DA1333" i="191"/>
  <c r="DG1333" i="191" s="1"/>
  <c r="DA1332" i="191"/>
  <c r="DG1332" i="191" s="1"/>
  <c r="GG1343" i="191"/>
  <c r="GM1343" i="191" s="1"/>
  <c r="GG1322" i="191"/>
  <c r="GM1322" i="191" s="1"/>
  <c r="GG1331" i="191"/>
  <c r="GM1331" i="191" s="1"/>
  <c r="GG1330" i="191"/>
  <c r="GM1330" i="191" s="1"/>
  <c r="GG1320" i="191"/>
  <c r="GM1320" i="191" s="1"/>
  <c r="GG1323" i="191"/>
  <c r="GM1323" i="191" s="1"/>
  <c r="GG1346" i="191"/>
  <c r="GM1346" i="191" s="1"/>
  <c r="GG1345" i="191"/>
  <c r="GM1345" i="191" s="1"/>
  <c r="GG1325" i="191"/>
  <c r="GM1325" i="191" s="1"/>
  <c r="GG1344" i="191"/>
  <c r="GM1344" i="191" s="1"/>
  <c r="GG1339" i="191"/>
  <c r="GM1339" i="191" s="1"/>
  <c r="GG1319" i="191"/>
  <c r="GM1319" i="191" s="1"/>
  <c r="GG1342" i="191"/>
  <c r="GM1342" i="191" s="1"/>
  <c r="GG1341" i="191"/>
  <c r="GM1341" i="191" s="1"/>
  <c r="GG1321" i="191"/>
  <c r="GM1321" i="191" s="1"/>
  <c r="GG1340" i="191"/>
  <c r="GM1340" i="191" s="1"/>
  <c r="GG1333" i="191"/>
  <c r="GM1333" i="191" s="1"/>
  <c r="GG1332" i="191"/>
  <c r="GM1332" i="191" s="1"/>
  <c r="GG1336" i="191"/>
  <c r="GM1336" i="191" s="1"/>
  <c r="GG1335" i="191"/>
  <c r="GM1335" i="191" s="1"/>
  <c r="GG1334" i="191"/>
  <c r="GM1334" i="191" s="1"/>
  <c r="GG1326" i="191"/>
  <c r="GM1326" i="191" s="1"/>
  <c r="GG1329" i="191"/>
  <c r="GM1329" i="191" s="1"/>
  <c r="GG1324" i="191"/>
  <c r="GM1324" i="191" s="1"/>
  <c r="JM1343" i="191"/>
  <c r="JS1343" i="191" s="1"/>
  <c r="JM1336" i="191"/>
  <c r="JS1336" i="191" s="1"/>
  <c r="JM1335" i="191"/>
  <c r="JS1335" i="191" s="1"/>
  <c r="JM1334" i="191"/>
  <c r="JS1334" i="191" s="1"/>
  <c r="JM1326" i="191"/>
  <c r="JS1326" i="191" s="1"/>
  <c r="JM1329" i="191"/>
  <c r="JS1329" i="191" s="1"/>
  <c r="JM1324" i="191"/>
  <c r="JS1324" i="191" s="1"/>
  <c r="JM1322" i="191"/>
  <c r="JS1322" i="191" s="1"/>
  <c r="JM1331" i="191"/>
  <c r="JS1331" i="191" s="1"/>
  <c r="JM1330" i="191"/>
  <c r="JS1330" i="191" s="1"/>
  <c r="JM1320" i="191"/>
  <c r="JS1320" i="191" s="1"/>
  <c r="JM1323" i="191"/>
  <c r="JS1323" i="191" s="1"/>
  <c r="JM1346" i="191"/>
  <c r="JS1346" i="191" s="1"/>
  <c r="JM1345" i="191"/>
  <c r="JS1345" i="191" s="1"/>
  <c r="JM1325" i="191"/>
  <c r="JS1325" i="191" s="1"/>
  <c r="JM1344" i="191"/>
  <c r="JS1344" i="191" s="1"/>
  <c r="JM1339" i="191"/>
  <c r="JS1339" i="191" s="1"/>
  <c r="JM1319" i="191"/>
  <c r="JS1319" i="191" s="1"/>
  <c r="JM1342" i="191"/>
  <c r="JS1342" i="191" s="1"/>
  <c r="JM1341" i="191"/>
  <c r="JS1341" i="191" s="1"/>
  <c r="JM1321" i="191"/>
  <c r="JS1321" i="191" s="1"/>
  <c r="JM1340" i="191"/>
  <c r="JS1340" i="191" s="1"/>
  <c r="JM1333" i="191"/>
  <c r="JS1333" i="191" s="1"/>
  <c r="JM1332" i="191"/>
  <c r="JS1332" i="191" s="1"/>
  <c r="MS1334" i="191"/>
  <c r="MY1334" i="191" s="1"/>
  <c r="MS1321" i="191"/>
  <c r="MY1321" i="191" s="1"/>
  <c r="MS1330" i="191"/>
  <c r="MY1330" i="191" s="1"/>
  <c r="MS1340" i="191"/>
  <c r="MY1340" i="191" s="1"/>
  <c r="MS1333" i="191"/>
  <c r="MY1333" i="191" s="1"/>
  <c r="MS1332" i="191"/>
  <c r="MY1332" i="191" s="1"/>
  <c r="MS1336" i="191"/>
  <c r="MY1336" i="191" s="1"/>
  <c r="MS1335" i="191"/>
  <c r="MY1335" i="191" s="1"/>
  <c r="MS1344" i="191"/>
  <c r="MY1344" i="191" s="1"/>
  <c r="MS1339" i="191"/>
  <c r="MY1339" i="191" s="1"/>
  <c r="MS1319" i="191"/>
  <c r="MY1319" i="191" s="1"/>
  <c r="MS1342" i="191"/>
  <c r="MY1342" i="191" s="1"/>
  <c r="MS1341" i="191"/>
  <c r="MY1341" i="191" s="1"/>
  <c r="MS1343" i="191"/>
  <c r="MY1343" i="191" s="1"/>
  <c r="MS1320" i="191"/>
  <c r="MY1320" i="191" s="1"/>
  <c r="MS1323" i="191"/>
  <c r="MY1323" i="191" s="1"/>
  <c r="MS1346" i="191"/>
  <c r="MY1346" i="191" s="1"/>
  <c r="MS1345" i="191"/>
  <c r="MY1345" i="191" s="1"/>
  <c r="MS1325" i="191"/>
  <c r="MY1325" i="191" s="1"/>
  <c r="MS1326" i="191"/>
  <c r="MY1326" i="191" s="1"/>
  <c r="MS1329" i="191"/>
  <c r="MY1329" i="191" s="1"/>
  <c r="MS1324" i="191"/>
  <c r="MY1324" i="191" s="1"/>
  <c r="MS1322" i="191"/>
  <c r="MY1322" i="191" s="1"/>
  <c r="MS1331" i="191"/>
  <c r="MY1331" i="191" s="1"/>
  <c r="PY1343" i="191"/>
  <c r="QE1343" i="191" s="1"/>
  <c r="PY1346" i="191"/>
  <c r="QE1346" i="191" s="1"/>
  <c r="PY1336" i="191"/>
  <c r="QE1336" i="191" s="1"/>
  <c r="PY1345" i="191"/>
  <c r="QE1345" i="191" s="1"/>
  <c r="PY1335" i="191"/>
  <c r="QE1335" i="191" s="1"/>
  <c r="PY1325" i="191"/>
  <c r="QE1325" i="191" s="1"/>
  <c r="PY1334" i="191"/>
  <c r="QE1334" i="191" s="1"/>
  <c r="PY1344" i="191"/>
  <c r="QE1344" i="191" s="1"/>
  <c r="PY1326" i="191"/>
  <c r="QE1326" i="191" s="1"/>
  <c r="PY1339" i="191"/>
  <c r="QE1339" i="191" s="1"/>
  <c r="PY1329" i="191"/>
  <c r="QE1329" i="191" s="1"/>
  <c r="PY1319" i="191"/>
  <c r="QE1319" i="191" s="1"/>
  <c r="PY1342" i="191"/>
  <c r="QE1342" i="191" s="1"/>
  <c r="PY1322" i="191"/>
  <c r="QE1322" i="191" s="1"/>
  <c r="PY1341" i="191"/>
  <c r="QE1341" i="191" s="1"/>
  <c r="PY1331" i="191"/>
  <c r="QE1331" i="191" s="1"/>
  <c r="PY1321" i="191"/>
  <c r="QE1321" i="191" s="1"/>
  <c r="PY1330" i="191"/>
  <c r="QE1330" i="191" s="1"/>
  <c r="PY1340" i="191"/>
  <c r="QE1340" i="191" s="1"/>
  <c r="PY1320" i="191"/>
  <c r="QE1320" i="191" s="1"/>
  <c r="PY1333" i="191"/>
  <c r="QE1333" i="191" s="1"/>
  <c r="PY1323" i="191"/>
  <c r="QE1323" i="191" s="1"/>
  <c r="PY1332" i="191"/>
  <c r="QE1332" i="191" s="1"/>
  <c r="TE1343" i="191"/>
  <c r="TK1343" i="191" s="1"/>
  <c r="TE1340" i="191"/>
  <c r="TK1340" i="191" s="1"/>
  <c r="TE1320" i="191"/>
  <c r="TK1320" i="191" s="1"/>
  <c r="TE1333" i="191"/>
  <c r="TK1333" i="191" s="1"/>
  <c r="TE1323" i="191"/>
  <c r="TK1323" i="191" s="1"/>
  <c r="TE1332" i="191"/>
  <c r="TK1332" i="191" s="1"/>
  <c r="TE1346" i="191"/>
  <c r="TK1346" i="191" s="1"/>
  <c r="TE1336" i="191"/>
  <c r="TK1336" i="191" s="1"/>
  <c r="TE1345" i="191"/>
  <c r="TK1345" i="191" s="1"/>
  <c r="TE1335" i="191"/>
  <c r="TK1335" i="191" s="1"/>
  <c r="TE1325" i="191"/>
  <c r="TK1325" i="191" s="1"/>
  <c r="TE1334" i="191"/>
  <c r="TK1334" i="191" s="1"/>
  <c r="TE1344" i="191"/>
  <c r="TK1344" i="191" s="1"/>
  <c r="TE1326" i="191"/>
  <c r="TK1326" i="191" s="1"/>
  <c r="TE1339" i="191"/>
  <c r="TK1339" i="191" s="1"/>
  <c r="TE1329" i="191"/>
  <c r="TK1329" i="191" s="1"/>
  <c r="TE1319" i="191"/>
  <c r="TK1319" i="191" s="1"/>
  <c r="TE1342" i="191"/>
  <c r="TK1342" i="191" s="1"/>
  <c r="TE1322" i="191"/>
  <c r="TK1322" i="191" s="1"/>
  <c r="TE1341" i="191"/>
  <c r="TK1341" i="191" s="1"/>
  <c r="TE1331" i="191"/>
  <c r="TK1331" i="191" s="1"/>
  <c r="TE1321" i="191"/>
  <c r="TK1321" i="191" s="1"/>
  <c r="TE1330" i="191"/>
  <c r="TK1330" i="191" s="1"/>
  <c r="WK1343" i="191"/>
  <c r="WQ1343" i="191" s="1"/>
  <c r="WK1346" i="191"/>
  <c r="WQ1346" i="191" s="1"/>
  <c r="WK1336" i="191"/>
  <c r="WQ1336" i="191" s="1"/>
  <c r="WK1345" i="191"/>
  <c r="WQ1345" i="191" s="1"/>
  <c r="WK1335" i="191"/>
  <c r="WQ1335" i="191" s="1"/>
  <c r="WK1325" i="191"/>
  <c r="WQ1325" i="191" s="1"/>
  <c r="WK1334" i="191"/>
  <c r="WQ1334" i="191" s="1"/>
  <c r="WK1344" i="191"/>
  <c r="WQ1344" i="191" s="1"/>
  <c r="WK1326" i="191"/>
  <c r="WQ1326" i="191" s="1"/>
  <c r="WK1339" i="191"/>
  <c r="WQ1339" i="191" s="1"/>
  <c r="WK1329" i="191"/>
  <c r="WQ1329" i="191" s="1"/>
  <c r="WK1319" i="191"/>
  <c r="WQ1319" i="191" s="1"/>
  <c r="WK1342" i="191"/>
  <c r="WQ1342" i="191" s="1"/>
  <c r="WK1322" i="191"/>
  <c r="WQ1322" i="191" s="1"/>
  <c r="WK1341" i="191"/>
  <c r="WQ1341" i="191" s="1"/>
  <c r="WK1331" i="191"/>
  <c r="WQ1331" i="191" s="1"/>
  <c r="WK1321" i="191"/>
  <c r="WQ1321" i="191" s="1"/>
  <c r="WK1330" i="191"/>
  <c r="WQ1330" i="191" s="1"/>
  <c r="WK1340" i="191"/>
  <c r="WQ1340" i="191" s="1"/>
  <c r="WK1320" i="191"/>
  <c r="WQ1320" i="191" s="1"/>
  <c r="WK1333" i="191"/>
  <c r="WQ1333" i="191" s="1"/>
  <c r="WK1323" i="191"/>
  <c r="WQ1323" i="191" s="1"/>
  <c r="WK1332" i="191"/>
  <c r="WQ1332" i="191" s="1"/>
  <c r="AP1343" i="191"/>
  <c r="AV1343" i="191" s="1"/>
  <c r="AP1322" i="191"/>
  <c r="AV1322" i="191" s="1"/>
  <c r="AP1331" i="191"/>
  <c r="AV1331" i="191" s="1"/>
  <c r="AP1330" i="191"/>
  <c r="AV1330" i="191" s="1"/>
  <c r="AP1320" i="191"/>
  <c r="AV1320" i="191" s="1"/>
  <c r="AP1323" i="191"/>
  <c r="AV1323" i="191" s="1"/>
  <c r="AP1346" i="191"/>
  <c r="AV1346" i="191" s="1"/>
  <c r="AP1345" i="191"/>
  <c r="AV1345" i="191" s="1"/>
  <c r="AP1325" i="191"/>
  <c r="AV1325" i="191" s="1"/>
  <c r="AP1344" i="191"/>
  <c r="AV1344" i="191" s="1"/>
  <c r="AP1339" i="191"/>
  <c r="AV1339" i="191" s="1"/>
  <c r="AP1319" i="191"/>
  <c r="AV1319" i="191" s="1"/>
  <c r="AP1342" i="191"/>
  <c r="AV1342" i="191" s="1"/>
  <c r="AP1341" i="191"/>
  <c r="AV1341" i="191" s="1"/>
  <c r="AP1321" i="191"/>
  <c r="AV1321" i="191" s="1"/>
  <c r="AP1340" i="191"/>
  <c r="AV1340" i="191" s="1"/>
  <c r="AP1333" i="191"/>
  <c r="AV1333" i="191" s="1"/>
  <c r="AP1332" i="191"/>
  <c r="AV1332" i="191" s="1"/>
  <c r="AP1336" i="191"/>
  <c r="AV1336" i="191" s="1"/>
  <c r="AP1335" i="191"/>
  <c r="AV1335" i="191" s="1"/>
  <c r="AP1334" i="191"/>
  <c r="AV1334" i="191" s="1"/>
  <c r="AP1326" i="191"/>
  <c r="AV1326" i="191" s="1"/>
  <c r="AP1329" i="191"/>
  <c r="AV1329" i="191" s="1"/>
  <c r="AP1324" i="191"/>
  <c r="AV1324" i="191" s="1"/>
  <c r="HB1343" i="191"/>
  <c r="HH1343" i="191" s="1"/>
  <c r="HB1322" i="191"/>
  <c r="HH1322" i="191" s="1"/>
  <c r="HB1331" i="191"/>
  <c r="HH1331" i="191" s="1"/>
  <c r="HB1330" i="191"/>
  <c r="HH1330" i="191" s="1"/>
  <c r="HB1320" i="191"/>
  <c r="HH1320" i="191" s="1"/>
  <c r="HB1323" i="191"/>
  <c r="HH1323" i="191" s="1"/>
  <c r="HB1346" i="191"/>
  <c r="HH1346" i="191" s="1"/>
  <c r="HB1345" i="191"/>
  <c r="HH1345" i="191" s="1"/>
  <c r="HB1325" i="191"/>
  <c r="HH1325" i="191" s="1"/>
  <c r="HB1344" i="191"/>
  <c r="HH1344" i="191" s="1"/>
  <c r="HB1339" i="191"/>
  <c r="HH1339" i="191" s="1"/>
  <c r="HB1319" i="191"/>
  <c r="HH1319" i="191" s="1"/>
  <c r="HB1342" i="191"/>
  <c r="HH1342" i="191" s="1"/>
  <c r="HB1341" i="191"/>
  <c r="HH1341" i="191" s="1"/>
  <c r="HB1321" i="191"/>
  <c r="HH1321" i="191" s="1"/>
  <c r="HB1340" i="191"/>
  <c r="HH1340" i="191" s="1"/>
  <c r="HB1333" i="191"/>
  <c r="HH1333" i="191" s="1"/>
  <c r="HB1332" i="191"/>
  <c r="HH1332" i="191" s="1"/>
  <c r="HB1336" i="191"/>
  <c r="HH1336" i="191" s="1"/>
  <c r="HB1335" i="191"/>
  <c r="HH1335" i="191" s="1"/>
  <c r="HB1334" i="191"/>
  <c r="HH1334" i="191" s="1"/>
  <c r="HB1326" i="191"/>
  <c r="HH1326" i="191" s="1"/>
  <c r="HB1329" i="191"/>
  <c r="HH1329" i="191" s="1"/>
  <c r="HB1324" i="191"/>
  <c r="HH1324" i="191" s="1"/>
  <c r="NN1343" i="191"/>
  <c r="NT1343" i="191" s="1"/>
  <c r="NN1322" i="191"/>
  <c r="NT1322" i="191" s="1"/>
  <c r="NN1331" i="191"/>
  <c r="NT1331" i="191" s="1"/>
  <c r="NN1330" i="191"/>
  <c r="NT1330" i="191" s="1"/>
  <c r="NN1320" i="191"/>
  <c r="NT1320" i="191" s="1"/>
  <c r="NN1323" i="191"/>
  <c r="NT1323" i="191" s="1"/>
  <c r="NN1346" i="191"/>
  <c r="NT1346" i="191" s="1"/>
  <c r="NN1345" i="191"/>
  <c r="NT1345" i="191" s="1"/>
  <c r="NN1325" i="191"/>
  <c r="NT1325" i="191" s="1"/>
  <c r="NN1344" i="191"/>
  <c r="NT1344" i="191" s="1"/>
  <c r="NN1339" i="191"/>
  <c r="NT1339" i="191" s="1"/>
  <c r="NN1319" i="191"/>
  <c r="NT1319" i="191" s="1"/>
  <c r="NN1342" i="191"/>
  <c r="NT1342" i="191" s="1"/>
  <c r="NN1341" i="191"/>
  <c r="NT1341" i="191" s="1"/>
  <c r="NN1321" i="191"/>
  <c r="NT1321" i="191" s="1"/>
  <c r="NN1340" i="191"/>
  <c r="NT1340" i="191" s="1"/>
  <c r="NN1333" i="191"/>
  <c r="NT1333" i="191" s="1"/>
  <c r="NN1332" i="191"/>
  <c r="NT1332" i="191" s="1"/>
  <c r="NN1336" i="191"/>
  <c r="NT1336" i="191" s="1"/>
  <c r="NN1335" i="191"/>
  <c r="NT1335" i="191" s="1"/>
  <c r="NN1334" i="191"/>
  <c r="NT1334" i="191" s="1"/>
  <c r="NN1326" i="191"/>
  <c r="NT1326" i="191" s="1"/>
  <c r="NN1329" i="191"/>
  <c r="NT1329" i="191" s="1"/>
  <c r="NN1324" i="191"/>
  <c r="NT1324" i="191" s="1"/>
  <c r="TZ1343" i="191"/>
  <c r="UF1343" i="191" s="1"/>
  <c r="TZ1322" i="191"/>
  <c r="UF1322" i="191" s="1"/>
  <c r="TZ1331" i="191"/>
  <c r="UF1331" i="191" s="1"/>
  <c r="TZ1330" i="191"/>
  <c r="UF1330" i="191" s="1"/>
  <c r="TZ1320" i="191"/>
  <c r="UF1320" i="191" s="1"/>
  <c r="TZ1323" i="191"/>
  <c r="UF1323" i="191" s="1"/>
  <c r="TZ1346" i="191"/>
  <c r="UF1346" i="191" s="1"/>
  <c r="TZ1345" i="191"/>
  <c r="UF1345" i="191" s="1"/>
  <c r="TZ1325" i="191"/>
  <c r="UF1325" i="191" s="1"/>
  <c r="TZ1344" i="191"/>
  <c r="UF1344" i="191" s="1"/>
  <c r="TZ1339" i="191"/>
  <c r="UF1339" i="191" s="1"/>
  <c r="TZ1319" i="191"/>
  <c r="UF1319" i="191" s="1"/>
  <c r="TZ1342" i="191"/>
  <c r="UF1342" i="191" s="1"/>
  <c r="TZ1341" i="191"/>
  <c r="UF1341" i="191" s="1"/>
  <c r="TZ1321" i="191"/>
  <c r="UF1321" i="191" s="1"/>
  <c r="TZ1340" i="191"/>
  <c r="UF1340" i="191" s="1"/>
  <c r="TZ1333" i="191"/>
  <c r="UF1333" i="191" s="1"/>
  <c r="TZ1332" i="191"/>
  <c r="UF1332" i="191" s="1"/>
  <c r="TZ1336" i="191"/>
  <c r="UF1336" i="191" s="1"/>
  <c r="TZ1335" i="191"/>
  <c r="UF1335" i="191" s="1"/>
  <c r="TZ1334" i="191"/>
  <c r="UF1334" i="191" s="1"/>
  <c r="TZ1326" i="191"/>
  <c r="UF1326" i="191" s="1"/>
  <c r="TZ1329" i="191"/>
  <c r="UF1329" i="191" s="1"/>
  <c r="TZ1324" i="191"/>
  <c r="UF1324" i="191" s="1"/>
  <c r="NU1338" i="191"/>
  <c r="EC1328" i="191"/>
  <c r="UG1328" i="191" l="1"/>
  <c r="RA1338" i="191"/>
  <c r="UG1318" i="191"/>
  <c r="KO1338" i="191"/>
  <c r="NU1318" i="191"/>
  <c r="NU1328" i="191"/>
  <c r="UG1338" i="191"/>
  <c r="HI1318" i="191"/>
  <c r="HI1328" i="191"/>
  <c r="AW1328" i="191"/>
  <c r="HI1338" i="191"/>
  <c r="AW1338" i="191"/>
  <c r="XM1328" i="191"/>
  <c r="XM1318" i="191"/>
  <c r="XM1338" i="191"/>
  <c r="EC1318" i="191"/>
  <c r="EC1338" i="191"/>
  <c r="AW1318" i="191"/>
  <c r="ZE1313" i="191"/>
  <c r="KO1318" i="191"/>
  <c r="KO1328" i="191"/>
  <c r="RA1328" i="191"/>
  <c r="RA1318" i="191"/>
  <c r="RB1318" i="191"/>
  <c r="ZE1351" i="191"/>
  <c r="JU1318" i="191"/>
  <c r="ZG1351" i="191"/>
  <c r="ZF1351" i="191"/>
  <c r="DI1338" i="191"/>
  <c r="DI1318" i="191"/>
  <c r="UH1338" i="191"/>
  <c r="EY1328" i="191"/>
  <c r="LK1338" i="191"/>
  <c r="LK1328" i="191"/>
  <c r="RW1338" i="191"/>
  <c r="RW1318" i="191"/>
  <c r="YI1338" i="191"/>
  <c r="YI1328" i="191"/>
  <c r="FT1328" i="191"/>
  <c r="MF1328" i="191"/>
  <c r="SR1328" i="191"/>
  <c r="ZD1338" i="191"/>
  <c r="ZD1328" i="191"/>
  <c r="DI1328" i="191"/>
  <c r="JU1328" i="191"/>
  <c r="QG1338" i="191"/>
  <c r="QG1328" i="191"/>
  <c r="WS1338" i="191"/>
  <c r="WS1318" i="191"/>
  <c r="ED1328" i="191"/>
  <c r="KP1328" i="191"/>
  <c r="RB1328" i="191"/>
  <c r="XN1318" i="191"/>
  <c r="BS1338" i="191"/>
  <c r="BS1328" i="191"/>
  <c r="IE1328" i="191"/>
  <c r="OQ1328" i="191"/>
  <c r="VC1328" i="191"/>
  <c r="CN1328" i="191"/>
  <c r="IZ1338" i="191"/>
  <c r="IZ1328" i="191"/>
  <c r="PL1328" i="191"/>
  <c r="VX1338" i="191"/>
  <c r="VX1328" i="191"/>
  <c r="AC1328" i="191"/>
  <c r="GO1338" i="191"/>
  <c r="GO1328" i="191"/>
  <c r="NA1328" i="191"/>
  <c r="TM1328" i="191"/>
  <c r="AX1328" i="191"/>
  <c r="HJ1338" i="191"/>
  <c r="HJ1328" i="191"/>
  <c r="NV1328" i="191"/>
  <c r="UH1328" i="191"/>
  <c r="EY1318" i="191"/>
  <c r="EY1338" i="191"/>
  <c r="LK1318" i="191"/>
  <c r="RW1328" i="191"/>
  <c r="YI1318" i="191"/>
  <c r="FT1338" i="191"/>
  <c r="FT1318" i="191"/>
  <c r="MF1338" i="191"/>
  <c r="MF1318" i="191"/>
  <c r="SR1338" i="191"/>
  <c r="SR1318" i="191"/>
  <c r="ZD1318" i="191"/>
  <c r="JU1338" i="191"/>
  <c r="QG1318" i="191"/>
  <c r="WS1328" i="191"/>
  <c r="ED1338" i="191"/>
  <c r="ED1318" i="191"/>
  <c r="KP1338" i="191"/>
  <c r="KP1318" i="191"/>
  <c r="RB1338" i="191"/>
  <c r="XN1338" i="191"/>
  <c r="XN1328" i="191"/>
  <c r="BS1318" i="191"/>
  <c r="IE1338" i="191"/>
  <c r="IE1318" i="191"/>
  <c r="OQ1338" i="191"/>
  <c r="OQ1318" i="191"/>
  <c r="VC1338" i="191"/>
  <c r="VC1318" i="191"/>
  <c r="CN1338" i="191"/>
  <c r="CN1318" i="191"/>
  <c r="IZ1318" i="191"/>
  <c r="PL1338" i="191"/>
  <c r="PL1318" i="191"/>
  <c r="VX1318" i="191"/>
  <c r="AC1338" i="191"/>
  <c r="AC1318" i="191"/>
  <c r="GO1318" i="191"/>
  <c r="NA1318" i="191"/>
  <c r="NA1338" i="191"/>
  <c r="TM1338" i="191"/>
  <c r="TM1318" i="191"/>
  <c r="AX1338" i="191"/>
  <c r="AX1318" i="191"/>
  <c r="HJ1318" i="191"/>
  <c r="NV1338" i="191"/>
  <c r="NV1318" i="191"/>
  <c r="UH1318" i="191"/>
  <c r="ME1338" i="191"/>
  <c r="SQ1338" i="191"/>
  <c r="YH1338" i="191"/>
  <c r="DH1338" i="191"/>
  <c r="JT1338" i="191"/>
  <c r="QF1338" i="191"/>
  <c r="WR1338" i="191"/>
  <c r="IY1338" i="191"/>
  <c r="PK1338" i="191"/>
  <c r="VW1338" i="191"/>
  <c r="BR1338" i="191"/>
  <c r="ID1338" i="191"/>
  <c r="OP1338" i="191"/>
  <c r="VB1338" i="191"/>
  <c r="AB1338" i="191"/>
  <c r="GN1338" i="191"/>
  <c r="MZ1338" i="191"/>
  <c r="TL1338" i="191"/>
  <c r="ZC1338" i="191"/>
  <c r="ZC1328" i="191"/>
  <c r="FS1338" i="191"/>
  <c r="RV1338" i="191"/>
  <c r="EX1338" i="191"/>
  <c r="LJ1338" i="191"/>
  <c r="EX1318" i="191"/>
  <c r="LJ1318" i="191"/>
  <c r="RV1318" i="191"/>
  <c r="YH1318" i="191"/>
  <c r="DH1318" i="191"/>
  <c r="JT1318" i="191"/>
  <c r="QF1318" i="191"/>
  <c r="WR1318" i="191"/>
  <c r="CM1318" i="191"/>
  <c r="IY1318" i="191"/>
  <c r="PK1318" i="191"/>
  <c r="VW1318" i="191"/>
  <c r="BR1318" i="191"/>
  <c r="ID1318" i="191"/>
  <c r="OP1318" i="191"/>
  <c r="VB1318" i="191"/>
  <c r="AB1318" i="191"/>
  <c r="GN1318" i="191"/>
  <c r="MZ1318" i="191"/>
  <c r="TL1318" i="191"/>
  <c r="ZC1318" i="191"/>
  <c r="FS1318" i="191"/>
  <c r="ME1318" i="191"/>
  <c r="SQ1318" i="191"/>
  <c r="EX1328" i="191"/>
  <c r="LJ1328" i="191"/>
  <c r="RV1328" i="191"/>
  <c r="YH1328" i="191"/>
  <c r="DH1328" i="191"/>
  <c r="JT1328" i="191"/>
  <c r="QF1328" i="191"/>
  <c r="WR1328" i="191"/>
  <c r="CM1338" i="191"/>
  <c r="CM1328" i="191"/>
  <c r="IY1328" i="191"/>
  <c r="PK1328" i="191"/>
  <c r="VW1328" i="191"/>
  <c r="BR1328" i="191"/>
  <c r="ID1328" i="191"/>
  <c r="OP1328" i="191"/>
  <c r="VB1328" i="191"/>
  <c r="AB1328" i="191"/>
  <c r="GN1328" i="191"/>
  <c r="MZ1328" i="191"/>
  <c r="TL1328" i="191"/>
  <c r="FS1328" i="191"/>
  <c r="ME1328" i="191"/>
  <c r="SQ1328" i="191"/>
  <c r="TK1328" i="191"/>
  <c r="MY1328" i="191"/>
  <c r="GM1328" i="191"/>
  <c r="AA1328" i="191"/>
  <c r="SP1328" i="191"/>
  <c r="MD1338" i="191"/>
  <c r="FR1328" i="191"/>
  <c r="ZB1318" i="191"/>
  <c r="ZB1338" i="191"/>
  <c r="XL1318" i="191"/>
  <c r="QZ1318" i="191"/>
  <c r="KN1318" i="191"/>
  <c r="EB1318" i="191"/>
  <c r="YG1318" i="191"/>
  <c r="LI1318" i="191"/>
  <c r="IC1328" i="191"/>
  <c r="EW1318" i="191"/>
  <c r="BQ1328" i="191"/>
  <c r="UF1318" i="191"/>
  <c r="NT1318" i="191"/>
  <c r="HH1318" i="191"/>
  <c r="AV1318" i="191"/>
  <c r="WQ1328" i="191"/>
  <c r="QE1328" i="191"/>
  <c r="MY1318" i="191"/>
  <c r="JS1338" i="191"/>
  <c r="GM1338" i="191"/>
  <c r="DG1338" i="191"/>
  <c r="AA1338" i="191"/>
  <c r="MD1318" i="191"/>
  <c r="XL1328" i="191"/>
  <c r="QZ1328" i="191"/>
  <c r="KN1328" i="191"/>
  <c r="EB1328" i="191"/>
  <c r="YG1328" i="191"/>
  <c r="VA1328" i="191"/>
  <c r="VA1338" i="191"/>
  <c r="RU1338" i="191"/>
  <c r="OO1318" i="191"/>
  <c r="LI1328" i="191"/>
  <c r="IC1338" i="191"/>
  <c r="EW1328" i="191"/>
  <c r="BQ1338" i="191"/>
  <c r="VV1318" i="191"/>
  <c r="VV1338" i="191"/>
  <c r="PJ1328" i="191"/>
  <c r="IX1318" i="191"/>
  <c r="IX1338" i="191"/>
  <c r="CL1328" i="191"/>
  <c r="UF1328" i="191"/>
  <c r="UF1338" i="191"/>
  <c r="NT1328" i="191"/>
  <c r="NT1338" i="191"/>
  <c r="HH1328" i="191"/>
  <c r="HH1338" i="191"/>
  <c r="AV1328" i="191"/>
  <c r="AV1338" i="191"/>
  <c r="WQ1318" i="191"/>
  <c r="WQ1338" i="191"/>
  <c r="TK1318" i="191"/>
  <c r="TK1338" i="191"/>
  <c r="QE1318" i="191"/>
  <c r="QE1338" i="191"/>
  <c r="MY1338" i="191"/>
  <c r="JS1318" i="191"/>
  <c r="JS1328" i="191"/>
  <c r="GM1318" i="191"/>
  <c r="GM1350" i="191" s="1"/>
  <c r="GM1351" i="191" s="1"/>
  <c r="DG1318" i="191"/>
  <c r="DG1328" i="191"/>
  <c r="AA1318" i="191"/>
  <c r="SP1318" i="191"/>
  <c r="SP1338" i="191"/>
  <c r="MD1328" i="191"/>
  <c r="FR1318" i="191"/>
  <c r="FR1338" i="191"/>
  <c r="ZB1328" i="191"/>
  <c r="XL1338" i="191"/>
  <c r="QZ1338" i="191"/>
  <c r="KN1338" i="191"/>
  <c r="EB1338" i="191"/>
  <c r="YG1338" i="191"/>
  <c r="VA1318" i="191"/>
  <c r="RU1318" i="191"/>
  <c r="RU1328" i="191"/>
  <c r="OO1328" i="191"/>
  <c r="OO1338" i="191"/>
  <c r="LI1338" i="191"/>
  <c r="IC1318" i="191"/>
  <c r="EW1338" i="191"/>
  <c r="BQ1318" i="191"/>
  <c r="VV1328" i="191"/>
  <c r="PJ1318" i="191"/>
  <c r="PJ1338" i="191"/>
  <c r="IX1328" i="191"/>
  <c r="CL1318" i="191"/>
  <c r="CL1338" i="191"/>
  <c r="UG1350" i="191"/>
  <c r="UG1351" i="191" s="1"/>
  <c r="AW1350" i="191" l="1"/>
  <c r="AW1351" i="191" s="1"/>
  <c r="HI1350" i="191"/>
  <c r="HI1351" i="191" s="1"/>
  <c r="NU1350" i="191"/>
  <c r="NU1351" i="191" s="1"/>
  <c r="XM1350" i="191"/>
  <c r="XM1351" i="191" s="1"/>
  <c r="EC1350" i="191"/>
  <c r="EC1351" i="191" s="1"/>
  <c r="KO1350" i="191"/>
  <c r="KO1351" i="191" s="1"/>
  <c r="GO1350" i="191"/>
  <c r="GO1351" i="191" s="1"/>
  <c r="RA1350" i="191"/>
  <c r="RA1351" i="191" s="1"/>
  <c r="YI1350" i="191"/>
  <c r="YI1351" i="191" s="1"/>
  <c r="LK1350" i="191"/>
  <c r="LK1351" i="191" s="1"/>
  <c r="DI1350" i="191"/>
  <c r="DI1351" i="191" s="1"/>
  <c r="BS1350" i="191"/>
  <c r="BS1351" i="191" s="1"/>
  <c r="NV1350" i="191"/>
  <c r="NV1351" i="191" s="1"/>
  <c r="NA1350" i="191"/>
  <c r="NA1351" i="191" s="1"/>
  <c r="AC1350" i="191"/>
  <c r="AC1351" i="191" s="1"/>
  <c r="CN1350" i="191"/>
  <c r="CN1351" i="191" s="1"/>
  <c r="VC1350" i="191"/>
  <c r="VC1351" i="191" s="1"/>
  <c r="OQ1350" i="191"/>
  <c r="OQ1351" i="191" s="1"/>
  <c r="IE1350" i="191"/>
  <c r="IE1351" i="191" s="1"/>
  <c r="KP1350" i="191"/>
  <c r="KP1351" i="191" s="1"/>
  <c r="ED1350" i="191"/>
  <c r="ED1351" i="191" s="1"/>
  <c r="SR1350" i="191"/>
  <c r="SR1351" i="191" s="1"/>
  <c r="MF1350" i="191"/>
  <c r="MF1351" i="191" s="1"/>
  <c r="FT1350" i="191"/>
  <c r="FT1351" i="191" s="1"/>
  <c r="AX1350" i="191"/>
  <c r="AX1351" i="191" s="1"/>
  <c r="TM1350" i="191"/>
  <c r="TM1351" i="191" s="1"/>
  <c r="PL1350" i="191"/>
  <c r="PL1351" i="191" s="1"/>
  <c r="UH1350" i="191"/>
  <c r="UH1351" i="191" s="1"/>
  <c r="HJ1350" i="191"/>
  <c r="HJ1351" i="191" s="1"/>
  <c r="VX1350" i="191"/>
  <c r="VX1351" i="191" s="1"/>
  <c r="RB1350" i="191"/>
  <c r="RB1351" i="191" s="1"/>
  <c r="RW1350" i="191"/>
  <c r="RW1351" i="191" s="1"/>
  <c r="EY1350" i="191"/>
  <c r="EY1351" i="191" s="1"/>
  <c r="IZ1350" i="191"/>
  <c r="IZ1351" i="191" s="1"/>
  <c r="XN1350" i="191"/>
  <c r="XN1351" i="191" s="1"/>
  <c r="WS1350" i="191"/>
  <c r="WS1351" i="191" s="1"/>
  <c r="QG1350" i="191"/>
  <c r="QG1351" i="191" s="1"/>
  <c r="JU1350" i="191"/>
  <c r="JU1351" i="191" s="1"/>
  <c r="ZD1350" i="191"/>
  <c r="ZC1350" i="191"/>
  <c r="ME1350" i="191"/>
  <c r="ME1351" i="191" s="1"/>
  <c r="MZ1350" i="191"/>
  <c r="MZ1351" i="191" s="1"/>
  <c r="AB1350" i="191"/>
  <c r="AB1351" i="191" s="1"/>
  <c r="OP1350" i="191"/>
  <c r="OP1351" i="191" s="1"/>
  <c r="BR1350" i="191"/>
  <c r="BR1351" i="191" s="1"/>
  <c r="PK1350" i="191"/>
  <c r="PK1351" i="191" s="1"/>
  <c r="CM1350" i="191"/>
  <c r="CM1351" i="191" s="1"/>
  <c r="QF1350" i="191"/>
  <c r="QF1351" i="191" s="1"/>
  <c r="DH1350" i="191"/>
  <c r="DH1351" i="191" s="1"/>
  <c r="RV1350" i="191"/>
  <c r="RV1351" i="191" s="1"/>
  <c r="EX1350" i="191"/>
  <c r="EX1351" i="191" s="1"/>
  <c r="SQ1350" i="191"/>
  <c r="SQ1351" i="191" s="1"/>
  <c r="FS1350" i="191"/>
  <c r="FS1351" i="191" s="1"/>
  <c r="TL1350" i="191"/>
  <c r="TL1351" i="191" s="1"/>
  <c r="GN1350" i="191"/>
  <c r="GN1351" i="191" s="1"/>
  <c r="VB1350" i="191"/>
  <c r="VB1351" i="191" s="1"/>
  <c r="ID1350" i="191"/>
  <c r="ID1351" i="191" s="1"/>
  <c r="VW1350" i="191"/>
  <c r="VW1351" i="191" s="1"/>
  <c r="IY1350" i="191"/>
  <c r="IY1351" i="191" s="1"/>
  <c r="WR1350" i="191"/>
  <c r="WR1351" i="191" s="1"/>
  <c r="JT1350" i="191"/>
  <c r="JT1351" i="191" s="1"/>
  <c r="YH1350" i="191"/>
  <c r="YH1351" i="191" s="1"/>
  <c r="LJ1350" i="191"/>
  <c r="LJ1351" i="191" s="1"/>
  <c r="BQ1350" i="191"/>
  <c r="BQ1351" i="191" s="1"/>
  <c r="IC1350" i="191"/>
  <c r="IC1351" i="191" s="1"/>
  <c r="VA1350" i="191"/>
  <c r="VA1351" i="191" s="1"/>
  <c r="ZB1350" i="191"/>
  <c r="AA1350" i="191"/>
  <c r="AA1351" i="191" s="1"/>
  <c r="EW1350" i="191"/>
  <c r="EW1351" i="191" s="1"/>
  <c r="CL1350" i="191"/>
  <c r="CL1351" i="191" s="1"/>
  <c r="RU1350" i="191"/>
  <c r="RU1351" i="191" s="1"/>
  <c r="SP1350" i="191"/>
  <c r="SP1351" i="191" s="1"/>
  <c r="JS1350" i="191"/>
  <c r="JS1351" i="191" s="1"/>
  <c r="YG1350" i="191"/>
  <c r="YG1351" i="191" s="1"/>
  <c r="KN1350" i="191"/>
  <c r="KN1351" i="191" s="1"/>
  <c r="XL1350" i="191"/>
  <c r="XL1351" i="191" s="1"/>
  <c r="LI1350" i="191"/>
  <c r="LI1351" i="191" s="1"/>
  <c r="EB1350" i="191"/>
  <c r="EB1351" i="191" s="1"/>
  <c r="QZ1350" i="191"/>
  <c r="QZ1351" i="191" s="1"/>
  <c r="IX1350" i="191"/>
  <c r="IX1351" i="191" s="1"/>
  <c r="OO1350" i="191"/>
  <c r="OO1351" i="191" s="1"/>
  <c r="MY1350" i="191"/>
  <c r="MY1351" i="191" s="1"/>
  <c r="HH1350" i="191"/>
  <c r="HH1351" i="191" s="1"/>
  <c r="UF1350" i="191"/>
  <c r="UF1351" i="191" s="1"/>
  <c r="PJ1350" i="191"/>
  <c r="PJ1351" i="191" s="1"/>
  <c r="FR1350" i="191"/>
  <c r="FR1351" i="191" s="1"/>
  <c r="QE1350" i="191"/>
  <c r="QE1351" i="191" s="1"/>
  <c r="TK1350" i="191"/>
  <c r="TK1351" i="191" s="1"/>
  <c r="WQ1350" i="191"/>
  <c r="WQ1351" i="191" s="1"/>
  <c r="VV1350" i="191"/>
  <c r="VV1351" i="191" s="1"/>
  <c r="MD1350" i="191"/>
  <c r="MD1351" i="191" s="1"/>
  <c r="DG1350" i="191"/>
  <c r="DG1351" i="191" s="1"/>
  <c r="AV1350" i="191"/>
  <c r="AV1351" i="191" s="1"/>
  <c r="NT1350" i="191"/>
  <c r="NT1351" i="191" s="1"/>
  <c r="ZD1351" i="191" l="1"/>
  <c r="ZC1351" i="191"/>
  <c r="ZB1351" i="1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31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2" authorId="0" shapeId="0" xr:uid="{00000000-0006-0000-09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3" authorId="0" shapeId="0" xr:uid="{00000000-0006-0000-09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5" authorId="0" shapeId="0" xr:uid="{00000000-0006-0000-09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  <comment ref="C36" authorId="0" shapeId="0" xr:uid="{00000000-0006-0000-09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K234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 Ростова электричка 120, маршрутка 140</t>
        </r>
      </text>
    </comment>
    <comment ref="B282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B283" authorId="0" shapeId="0" xr:uid="{00000000-0006-0000-0B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B284" authorId="0" shapeId="0" xr:uid="{00000000-0006-0000-0B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B285" authorId="0" shapeId="0" xr:uid="{00000000-0006-0000-0B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B286" authorId="0" shapeId="0" xr:uid="{00000000-0006-0000-0B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B288" authorId="0" shapeId="0" xr:uid="{00000000-0006-0000-0B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B289" authorId="0" shapeId="0" xr:uid="{00000000-0006-0000-0B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B290" authorId="0" shapeId="0" xr:uid="{00000000-0006-0000-0B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sharedStrings.xml><?xml version="1.0" encoding="utf-8"?>
<sst xmlns="http://schemas.openxmlformats.org/spreadsheetml/2006/main" count="20154" uniqueCount="2239">
  <si>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</si>
  <si>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</si>
  <si>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</si>
  <si>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</si>
  <si>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</si>
  <si>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</si>
  <si>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</si>
  <si>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</si>
  <si>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</si>
  <si>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</si>
  <si>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</si>
  <si>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</si>
  <si>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</si>
  <si>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</si>
  <si>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</si>
  <si>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</si>
  <si>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</si>
  <si>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</si>
  <si>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</si>
  <si>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</si>
  <si>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</si>
  <si>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</si>
  <si>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</si>
  <si>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</si>
  <si>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</si>
  <si>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</si>
  <si>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</si>
  <si>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</si>
  <si>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</si>
  <si>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</si>
  <si>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</si>
  <si>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</si>
  <si>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</si>
  <si>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</si>
  <si>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</si>
  <si>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</si>
  <si>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</si>
  <si>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</si>
  <si>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</si>
  <si>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</si>
  <si>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</si>
  <si>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</si>
  <si>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</si>
  <si>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</si>
  <si>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</si>
  <si>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</si>
  <si>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</si>
  <si>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Нормативы</t>
  </si>
  <si>
    <t>применяемые при определении затрат на финансовое обеспечение образовательного учреждения</t>
  </si>
  <si>
    <t>срок использования, лет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</si>
  <si>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</si>
  <si>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</si>
  <si>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</si>
  <si>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</si>
  <si>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</si>
  <si>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</si>
  <si>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</si>
  <si>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кол-во в год на 1 обучающегося</t>
  </si>
  <si>
    <t>1 в год на устройство</t>
  </si>
  <si>
    <t>Картридж для лазерного монохромного принтера</t>
  </si>
  <si>
    <t>Картридж для МФУ</t>
  </si>
  <si>
    <t>стоимость в год на 1 обучающегося, руб.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</si>
  <si>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</si>
  <si>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</si>
  <si>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</si>
  <si>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</si>
  <si>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</si>
  <si>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</si>
  <si>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</si>
  <si>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</si>
  <si>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</si>
  <si>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</si>
  <si>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</si>
  <si>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</si>
  <si>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</si>
  <si>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</si>
  <si>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</si>
  <si>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</si>
  <si>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</si>
  <si>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</si>
  <si>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</si>
  <si>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</si>
  <si>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</si>
  <si>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</si>
  <si>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</si>
  <si>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</si>
  <si>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</si>
  <si>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</si>
  <si>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</si>
  <si>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</si>
  <si>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</si>
  <si>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</si>
  <si>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</si>
  <si>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</si>
  <si>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</si>
  <si>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</si>
  <si>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</si>
  <si>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</si>
  <si>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</si>
  <si>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</si>
  <si>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</si>
  <si>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</si>
  <si>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</si>
  <si>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</si>
  <si>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</si>
  <si>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</si>
  <si>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</si>
  <si>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</si>
  <si>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</si>
  <si>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</si>
  <si>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</si>
  <si>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</si>
  <si>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</si>
  <si>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</si>
  <si>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</si>
  <si>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</si>
  <si>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</si>
  <si>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</si>
  <si>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</si>
  <si>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</si>
  <si>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</si>
  <si>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</si>
  <si>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</si>
  <si>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</si>
  <si>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</si>
  <si>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</si>
  <si>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</si>
  <si>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Салфетки вискозные (для мытья поверхностей кроме пола)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</si>
  <si>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</si>
  <si>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</si>
  <si>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</si>
  <si>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</si>
  <si>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</si>
  <si>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</si>
  <si>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</si>
  <si>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</si>
  <si>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</si>
  <si>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</si>
  <si>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</si>
  <si>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</si>
  <si>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</si>
  <si>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</si>
  <si>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</si>
  <si>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</si>
  <si>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</si>
  <si>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</si>
  <si>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</si>
  <si>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</si>
  <si>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</si>
  <si>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</si>
  <si>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</si>
  <si>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</si>
  <si>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</si>
  <si>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</si>
  <si>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</si>
  <si>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</si>
  <si>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</si>
  <si>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</si>
  <si>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</si>
  <si>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</si>
  <si>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</si>
  <si>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</si>
  <si>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исследование почвы (песка)</t>
  </si>
  <si>
    <t>Нормы на общехозяйственные нужды</t>
  </si>
  <si>
    <t>услуги связи</t>
  </si>
  <si>
    <t>абонентская плата за интернет</t>
  </si>
  <si>
    <t>городская связь</t>
  </si>
  <si>
    <t>междугородная связь</t>
  </si>
  <si>
    <t>проводное радиовещание</t>
  </si>
  <si>
    <t>на 1 учреждение 12 месяцев (кол-во периодов)</t>
  </si>
  <si>
    <t>1 раз на 1 учреждение (кол-во периодов)</t>
  </si>
  <si>
    <t>содержание в чистоте помещений, зданий, дворов, иного имущества</t>
  </si>
  <si>
    <t>обработка 1 раз в месяц на площадь помещений (кв.м)</t>
  </si>
  <si>
    <t>обработка 1 раз в квартал на площадь помещений (кв.м)</t>
  </si>
  <si>
    <t>дератизация</t>
  </si>
  <si>
    <t>дезинсекция</t>
  </si>
  <si>
    <t>вывоз мусора</t>
  </si>
  <si>
    <t>1 раз в год весь персонал</t>
  </si>
  <si>
    <t>обеспечение поверки УУТЭ</t>
  </si>
  <si>
    <t>ремонт и техническое обслуживание оборудования и техники</t>
  </si>
  <si>
    <t>поверка УУТЭ</t>
  </si>
  <si>
    <t>поверка манометров технических и термометров манометрических</t>
  </si>
  <si>
    <t>техническое обслуживание УУТЭ</t>
  </si>
  <si>
    <t>профилактические испытания электрооборудования</t>
  </si>
  <si>
    <t>заправка тонера</t>
  </si>
  <si>
    <t>замена барабанов</t>
  </si>
  <si>
    <t>заправка катриджей</t>
  </si>
  <si>
    <t>ремонт и техобслуживание компьютеров и оргтехники</t>
  </si>
  <si>
    <t>ежемесячно на 1 учреждение (кол-во периодов)</t>
  </si>
  <si>
    <t>ежеквартально на 1 учреждение (кол-во периодов)</t>
  </si>
  <si>
    <t>услуги в области информационных технологий</t>
  </si>
  <si>
    <t>для сотрудников и учреждение в целом</t>
  </si>
  <si>
    <t>для обучающихся и педагогов</t>
  </si>
  <si>
    <t>1 в год на 5 устройств</t>
  </si>
  <si>
    <t>норма на 1 единицу товара, работы, услуги или расчет по эффективному учреждение</t>
  </si>
  <si>
    <t>прочие услуги (установка телефона, интернет и пр)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</si>
  <si>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</si>
  <si>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</si>
  <si>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</si>
  <si>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</si>
  <si>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</si>
  <si>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</si>
  <si>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</si>
  <si>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</si>
  <si>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</si>
  <si>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</si>
  <si>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</si>
  <si>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</si>
  <si>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</si>
  <si>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</si>
  <si>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</si>
  <si>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</si>
  <si>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</si>
  <si>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</si>
  <si>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</si>
  <si>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</si>
  <si>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</si>
  <si>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</si>
  <si>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</si>
  <si>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</si>
  <si>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</si>
  <si>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</si>
  <si>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</si>
  <si>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</si>
  <si>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</si>
  <si>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</si>
  <si>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</si>
  <si>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</si>
  <si>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вывод сигнала</t>
  </si>
  <si>
    <t>обслуживание</t>
  </si>
  <si>
    <t>перезарядка огнетушителей</t>
  </si>
  <si>
    <t>проверка дымоходов и вентиляции</t>
  </si>
  <si>
    <t>испытание внутреннего пожарного водопровода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</si>
  <si>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</si>
  <si>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</si>
  <si>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</si>
  <si>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</si>
  <si>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 на имущество</t>
  </si>
  <si>
    <t>транспортный налог</t>
  </si>
  <si>
    <t>Налоги</t>
  </si>
  <si>
    <t>оптимальное кол-во обучающихся на 1 учреждение</t>
  </si>
  <si>
    <t>1 раз в квартал на 1 учреждение (кол-во периодов)</t>
  </si>
  <si>
    <t>2.4.</t>
  </si>
  <si>
    <t>2.2.</t>
  </si>
  <si>
    <t>2.3.</t>
  </si>
  <si>
    <t>2.6.</t>
  </si>
  <si>
    <t>1.1.</t>
  </si>
  <si>
    <t>2.5.</t>
  </si>
  <si>
    <t>2.1.</t>
  </si>
  <si>
    <t>отдельный расчет</t>
  </si>
  <si>
    <t>в части товаров, работ и услуг (кроме фонда оплаты труда и коммунальных услуг)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</si>
  <si>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</si>
  <si>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</si>
  <si>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</si>
  <si>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</si>
  <si>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</si>
  <si>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</si>
  <si>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</si>
  <si>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</si>
  <si>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</si>
  <si>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</si>
  <si>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</si>
  <si>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</si>
  <si>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</si>
  <si>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</si>
  <si>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</si>
  <si>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</si>
  <si>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газ</t>
  </si>
  <si>
    <t>Работники, непосредственно связанные с оказанием муниципальной услуги (фонд оплаты труда)</t>
  </si>
  <si>
    <t>1а</t>
  </si>
  <si>
    <t>Уровень общего образования</t>
  </si>
  <si>
    <t>Количество месяцев в календарном году</t>
  </si>
  <si>
    <t>Численность рабочих дней в году при 40-часовой рабочей неделе</t>
  </si>
  <si>
    <t>Коэффициент, учитывающий доплату до МРОТ</t>
  </si>
  <si>
    <t>Коэффициент, учитывающий начисления на выплаты по оплате труда 30,2%</t>
  </si>
  <si>
    <t>Коэффициент, учитывающий соотношение кол-ва дней невыходов (отпуск - 28дн., бол/лист = 3дн) к кол-ву календарных дней в году (365дн.)</t>
  </si>
  <si>
    <t>Размер повременной оплаты труда на 1 ставку в год</t>
  </si>
  <si>
    <t>Размер повременной оплаты труда на 1 ставку в день</t>
  </si>
  <si>
    <t>6=п.2* п.3/ п.4/ п.5</t>
  </si>
  <si>
    <t>10=(п.9- п.7* п.8)/ п.7+ 1</t>
  </si>
  <si>
    <t>16=п.15/ п.2</t>
  </si>
  <si>
    <t>17=п.6* п.16</t>
  </si>
  <si>
    <t>Норма рабочего времени в год на 1 обучающегося (человеко-дни)</t>
  </si>
  <si>
    <t>Норматив ФОТ работников на 1 обучающегося в год</t>
  </si>
  <si>
    <t>зарплата на 1 человеко-день в год, руб.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</si>
  <si>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</si>
  <si>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</si>
  <si>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предрейсовый медицинский осмотр</t>
  </si>
  <si>
    <t>охрана школьных автобусов</t>
  </si>
  <si>
    <t>1 на зам.руководителя, 1 гл.бухгалтера, 1 завхоза, 1 секретаря</t>
  </si>
  <si>
    <t>1 в месяц на 1 уборщика</t>
  </si>
  <si>
    <t>1 в квартал на 1 уборщика</t>
  </si>
  <si>
    <t>1 обработка в год на площадь обработки (кв.м)</t>
  </si>
  <si>
    <t>прочие услуги (оказание телематических услуг связи для обслуживания системы мониторинга
школьных автобусов на базе ГЛОНАСС)</t>
  </si>
  <si>
    <t>расчет примерный, затраты предусмотрены в областном нормативе</t>
  </si>
  <si>
    <t>расчет для местного бюджета</t>
  </si>
  <si>
    <t>ежемесячно 3 на 1 учреждение (кол-во периодов)</t>
  </si>
  <si>
    <t>1 раз в полугодие на 1 учреждение (кол-во периодов)</t>
  </si>
  <si>
    <t>1 раз в год на 1 учреждение (кол-во периодов)</t>
  </si>
  <si>
    <t>профиспытания средств защиты</t>
  </si>
  <si>
    <t>поверка, аттестация, калибровка, техническое обслуживание, испытание на подтверждение метрологических характеристик средств измерения (термометры манометрические, монометры, весы электронные медицинские, тонометры, термометры медицинские и пр.)</t>
  </si>
  <si>
    <t>в месяц на 1 здание (кол-во периодов)</t>
  </si>
  <si>
    <t>проведение  испытаний ограждения кровли</t>
  </si>
  <si>
    <t>на 1 учреждение 1 раз (кол-во периодов)</t>
  </si>
  <si>
    <t>лиц.4</t>
  </si>
  <si>
    <t>услуги по страхованию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</si>
  <si>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 (котельной)</t>
  </si>
  <si>
    <t>Бутылированная питьевая вода</t>
  </si>
  <si>
    <t>Одноразовые пластиковые стаканы для питьевой воды</t>
  </si>
  <si>
    <t>периодический техническое обслуживание</t>
  </si>
  <si>
    <t>дизельное топливо</t>
  </si>
  <si>
    <t>автострахование</t>
  </si>
  <si>
    <t>ИТОГО норматив на 1 обучающегося в год для местного бюджета</t>
  </si>
  <si>
    <t>предоставляется за счет средств областного бюджета</t>
  </si>
  <si>
    <t>главный бухгалтер</t>
  </si>
  <si>
    <t>Начальник Управления образования г.Таганрога</t>
  </si>
  <si>
    <t>Главный бухгалтер</t>
  </si>
  <si>
    <t>среднее количество групп на 1 учреждение = 414 гр / 54 учр = 8 гр</t>
  </si>
  <si>
    <t>Исходные данные (средний расчет на учреждение - ф.85-К за 2014 год):</t>
  </si>
  <si>
    <t>среднее количество детей на 1 учреждение = 10057 детей / 54 учр = 186 дет</t>
  </si>
  <si>
    <t>среднее оптимальное (расчетное) количество ставок основных педагогов на 1 учреждение  = 712 / 54 учр = 13 ед</t>
  </si>
  <si>
    <t>среднее (расчетное) количество групп на 1 ставку основного педагога = 8 гр / 13 чел. = 0,62 гр = 1 гр</t>
  </si>
  <si>
    <t>кол-во основных сотрудников АУП = 1 руководитель, 1 зам.рук-ля, 1 гл.бухгалтер, 1 бухгалтер, 1 завхоз, 1 секретарь (делопроизводитель) = 6 чел.</t>
  </si>
  <si>
    <t>кол-во групповых комнат и залов для занятий = (49+27+1+414)=491 каб / 54 учр = 9 каб</t>
  </si>
  <si>
    <t>средняя площадь 1 учреждения = 78321 кв.м / 54 учр = 1450 кв.м, в том числе без групповых ячеек = 34490 кв.м / 54 учр = 639 кв.м</t>
  </si>
  <si>
    <t>численность не педагогических работников в 1 учреждении = 1395 чел / 54 учр = 26 чел.</t>
  </si>
  <si>
    <t>в т.ч. женщин на 1 учреждение = 1265 чел / 54 учр = 23 чел.</t>
  </si>
  <si>
    <t>в т.ч. мужчин на 1 учреждение = 130 чел / 54 учр = 3 чел.</t>
  </si>
  <si>
    <t>численность педагогических работников в 1 учреждении = 947 чел / 54 учр = 18 чел.</t>
  </si>
  <si>
    <t>в т.ч. женщин на 1 учреждение = 943 чел / 54 учр = 17 чел.</t>
  </si>
  <si>
    <t>в т.ч. мужчин на 1 учреждение = 4 чел / 54 учр = 0,1 = 1 чел. (округление в большую сторону)</t>
  </si>
  <si>
    <t>в т.ч. ставки ПП, АУП, ОП связанные с оказанием мун.услуги = 2197,46 ед. / 54 учр = 40,69 ед</t>
  </si>
  <si>
    <t>в т.ч. ставки ОП не связанные с оказанием мун.услуги = 981,95 ед. / 54 учр = 18,18 ед</t>
  </si>
  <si>
    <t>количество ставок работников на 01.09.15 на 1 учреждение = 3179,41 ед. / 54 учр = 58,87 ед</t>
  </si>
  <si>
    <t>коэффициент соотношения работников, не связанных с оказанием мун.услуг к общему числу работников на 1 учреждение = 18,18 ед /  58,87 ед = 0,31</t>
  </si>
  <si>
    <t>расчетное количество уборщиков на 1 учреждение без групповых ячеек и пищеблоков, убираемых млад.воспитателями и кухонными работниками (1 ставка на 500 кв.м) = 639/ 500 кв.м= 1,28 ст. = 1 чел.</t>
  </si>
  <si>
    <t>Карандаш черно-графитный с ластиком</t>
  </si>
  <si>
    <t>по 1 на 1 работника и на 1 комнату групповую и для занятий</t>
  </si>
  <si>
    <t>хозяйственные товары и инвентарь (кроме присмотра и ухода)</t>
  </si>
  <si>
    <t>2 на санузлы (1 муж. и 1 жен) для служебного персонала</t>
  </si>
  <si>
    <t>по 1 в месяц на 1 работника и на 1 комнату групповую и для занятий,  2 в месяц на санузлы (1 муж. и 1 жен) для служебного персонала</t>
  </si>
  <si>
    <t>прочие товары (кроме присмотра и ухода)</t>
  </si>
  <si>
    <t>2 в год на санузлы (1 муж. и 1 жен) для служебного персонала</t>
  </si>
  <si>
    <t>2 в год на учреждение и по 0,5 в год на комнату групповую и для занятий</t>
  </si>
  <si>
    <t xml:space="preserve">4 в месяц на санузлы (2 муж. и 2 жен) для служебного персонала </t>
  </si>
  <si>
    <t xml:space="preserve">2 в месяц на санузлы (1 муж. и 1 жен) для служебного персонала </t>
  </si>
  <si>
    <t>численность работников на 1 учреждение = 2342 чел / 54 учр = 44 чел</t>
  </si>
  <si>
    <t>медосмотр и санитарно-эпидемиологические услуги и работы</t>
  </si>
  <si>
    <t>дс 63</t>
  </si>
  <si>
    <t>2 обработки в год на площадь обработки (кв.м)</t>
  </si>
  <si>
    <t>6 раз в год (кол-во периодов)</t>
  </si>
  <si>
    <t>2 раза в год (кол-во периодов)</t>
  </si>
  <si>
    <t>ремонт, диагностика и техобслуживание иного оборудования (вентиляционного, холодильного, эл.печи, котлы и т.п.)</t>
  </si>
  <si>
    <t>страхование здания</t>
  </si>
  <si>
    <t>на 1 учреждение 1 раз (кол-во лестниц)</t>
  </si>
  <si>
    <t>Расходы по обслуживанию бассейна</t>
  </si>
  <si>
    <t>тех.обслуживание бассейна</t>
  </si>
  <si>
    <t>1 раз в месяц на 1 учреждение (кол-во периодов)</t>
  </si>
  <si>
    <t>Аренда помещений</t>
  </si>
  <si>
    <t>арендуемое помещение  используется как кладовая для продуктов питания ввиду отсутствия у учреждения  помещения для хранения продуктов</t>
  </si>
  <si>
    <t>Нормативные затраты на оплату труда работников, осуществляющих организацию образовательного процесса, присмотра и ухода, содержание имущества, в части местного бюджета в муниципальных образовательных учреждениях, реализующих программу дошкольного образования</t>
  </si>
  <si>
    <t>муниципальные образовательные учреждения, реализующие программу дошкольного образования</t>
  </si>
  <si>
    <t>оптимальное количество детей на 1 учреждение на 414 гр = 7339 дет / 54 действ. учр = 136 дет</t>
  </si>
  <si>
    <t>по 4 на 1 работника и на 1 обучающегося в год</t>
  </si>
  <si>
    <t>4 на уборщика в год</t>
  </si>
  <si>
    <t>обслуживание в системе "Контур-Экстерн" или Сбис или Орбита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</si>
  <si>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</si>
  <si>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</si>
  <si>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</si>
  <si>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</si>
  <si>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</si>
  <si>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</si>
  <si>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</si>
  <si>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справочник руководителя</t>
  </si>
  <si>
    <t>количество экземпляров в год</t>
  </si>
  <si>
    <t>справочник педагога-психолога</t>
  </si>
  <si>
    <t>Средства обучения и воспитания</t>
  </si>
  <si>
    <t>набор игрушек</t>
  </si>
  <si>
    <t>музыкальный центр</t>
  </si>
  <si>
    <t>телевизор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</si>
  <si>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</si>
  <si>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</si>
  <si>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</si>
  <si>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дошкольная педагогика</t>
  </si>
  <si>
    <t>дошкольное воспитание</t>
  </si>
  <si>
    <t>музыкальный руководитель</t>
  </si>
  <si>
    <t>инструктор по физкультуре</t>
  </si>
  <si>
    <t>воспитание и обучение детей с нарушениями в развитии</t>
  </si>
  <si>
    <t>материалы для детского творчества</t>
  </si>
  <si>
    <t>количество экземпляров на учреждение</t>
  </si>
  <si>
    <t>количество экземпляров на группу</t>
  </si>
  <si>
    <t>набор спортивного инвентаря для занятий</t>
  </si>
  <si>
    <t>сушилка для белья</t>
  </si>
  <si>
    <t>электроплита 4-х конфорочная</t>
  </si>
  <si>
    <t>жарочный шкаф</t>
  </si>
  <si>
    <t>овощепротирочная машина</t>
  </si>
  <si>
    <t>мясорубка</t>
  </si>
  <si>
    <t>электросковорода</t>
  </si>
  <si>
    <t>утюг</t>
  </si>
  <si>
    <t>весы</t>
  </si>
  <si>
    <t>картофелечистка</t>
  </si>
  <si>
    <t>полотеничница 5 секционная</t>
  </si>
  <si>
    <t>холодильник для хранения пищевых продуктов</t>
  </si>
  <si>
    <t>овощерезка</t>
  </si>
  <si>
    <t>стиральная машина</t>
  </si>
  <si>
    <t>пылесос моющий</t>
  </si>
  <si>
    <t>машинка швейная</t>
  </si>
  <si>
    <t>набор развивающих игр</t>
  </si>
  <si>
    <t>набор учебно-наглядного материала для занятий</t>
  </si>
  <si>
    <t xml:space="preserve">расчет для местного бюджета </t>
  </si>
  <si>
    <t>Утверждаю</t>
  </si>
  <si>
    <t>Исп.Воронина О.Ю.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</si>
  <si>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</si>
  <si>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</si>
  <si>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</si>
  <si>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</si>
  <si>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</si>
  <si>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</si>
  <si>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</si>
  <si>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</si>
  <si>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</si>
  <si>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</si>
  <si>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</si>
  <si>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</si>
  <si>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</si>
  <si>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областной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</si>
  <si>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</si>
  <si>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</si>
  <si>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</si>
  <si>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</si>
  <si>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</si>
  <si>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</si>
  <si>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</si>
  <si>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</si>
  <si>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</si>
  <si>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</si>
  <si>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</si>
  <si>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</si>
  <si>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</si>
  <si>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</si>
  <si>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</si>
  <si>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</si>
  <si>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</si>
  <si>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</si>
  <si>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</si>
  <si>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</si>
  <si>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</si>
  <si>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</si>
  <si>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</si>
  <si>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</si>
  <si>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</si>
  <si>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</si>
  <si>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</si>
  <si>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10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</si>
  <si>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</si>
  <si>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</si>
  <si>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техническая направленность</t>
  </si>
  <si>
    <t>естественнонаучная направленность</t>
  </si>
  <si>
    <t>художественная направленность</t>
  </si>
  <si>
    <t>туристско-краеведческая направленность</t>
  </si>
  <si>
    <t>cоциально-педагогическая направленность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</si>
  <si>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</si>
  <si>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</si>
  <si>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</si>
  <si>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</si>
  <si>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</si>
  <si>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</si>
  <si>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</si>
  <si>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</si>
  <si>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</si>
  <si>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корректирующий коэффициент на коммунальные услуги</t>
  </si>
  <si>
    <t>физкультурно-спортивная направленность</t>
  </si>
  <si>
    <t>2.1.6.</t>
  </si>
  <si>
    <t>ИТОГО по коммунальным услугам</t>
  </si>
  <si>
    <t>С УЧЕТОМ КОЭФФИЦИЕНТА ПОСЕЩАЕМОСТИ</t>
  </si>
  <si>
    <t>направление</t>
  </si>
  <si>
    <t>Питание</t>
  </si>
  <si>
    <t>Бутилированная вода</t>
  </si>
  <si>
    <t>Мягкий инвентарь</t>
  </si>
  <si>
    <t>в год</t>
  </si>
  <si>
    <t>в день</t>
  </si>
  <si>
    <t>в месяц</t>
  </si>
  <si>
    <t>6а</t>
  </si>
  <si>
    <t>10=п.2+ п.4+ п.6+ п.8</t>
  </si>
  <si>
    <t>11=п.10/ 12мес</t>
  </si>
  <si>
    <t>12=п.3+ п.5+ п.7+ п.9</t>
  </si>
  <si>
    <t>13=п.2+ п.4+ п.6а</t>
  </si>
  <si>
    <t>14=п.13/ 12мес</t>
  </si>
  <si>
    <t>15=п.3+ п.5+ п.7а</t>
  </si>
  <si>
    <t>Наименование продуктов</t>
  </si>
  <si>
    <t>Средняя рыночная цена за 1 кг, литр, шт. (руб.)</t>
  </si>
  <si>
    <t>Среднесуточная стоимость набора пищевых продуктов на 1 обучающегося (руб.)</t>
  </si>
  <si>
    <t>1-3 года</t>
  </si>
  <si>
    <t>3-7 лет</t>
  </si>
  <si>
    <t>5=п.2* п.4/ 1000</t>
  </si>
  <si>
    <t>6=п.3* п.4/ 1000</t>
  </si>
  <si>
    <t>7=п.5 * 1,0</t>
  </si>
  <si>
    <t>8=п.6* 1,0</t>
  </si>
  <si>
    <t xml:space="preserve">Хлеб пшеничный </t>
  </si>
  <si>
    <t>Мука пшеничная</t>
  </si>
  <si>
    <t xml:space="preserve">Крупы, бобовые                 </t>
  </si>
  <si>
    <t xml:space="preserve">Макаронные изделия             </t>
  </si>
  <si>
    <t xml:space="preserve">Масло растительное             </t>
  </si>
  <si>
    <t xml:space="preserve">Кондитерские изделия           </t>
  </si>
  <si>
    <t>Чай</t>
  </si>
  <si>
    <t xml:space="preserve">Какао-порошок </t>
  </si>
  <si>
    <t>Кофейный напиток</t>
  </si>
  <si>
    <t xml:space="preserve">Дрожжи хлебопекарные           </t>
  </si>
  <si>
    <t>ИТОГО с округлением, руб.</t>
  </si>
  <si>
    <t>ИТОГО на год, руб.</t>
  </si>
  <si>
    <t>Минимальная норма обеспечения мягким инвентарем воспитанников дошкольных образовательных учреждений в 2015 году</t>
  </si>
  <si>
    <t>наименование предмета</t>
  </si>
  <si>
    <t>нормы обеспеченности учреждения</t>
  </si>
  <si>
    <t>норма на одного воспитанника в год</t>
  </si>
  <si>
    <t>среднерыночная стоимость товаров на 01.01.2012 года</t>
  </si>
  <si>
    <t>индекс уровня инфляции за 2012, 2013, 2014 годы</t>
  </si>
  <si>
    <t>среднерыночная стоимость товаров в году, предшествующему плановому (за 1 единицу), руб.</t>
  </si>
  <si>
    <t xml:space="preserve">Наволочка верхняя </t>
  </si>
  <si>
    <t>3 шт. на 2 года</t>
  </si>
  <si>
    <t>Наволочка нижняя</t>
  </si>
  <si>
    <t>1 шт. на 4 года</t>
  </si>
  <si>
    <t xml:space="preserve">Простыня </t>
  </si>
  <si>
    <t>3 шт. на 3 года</t>
  </si>
  <si>
    <t xml:space="preserve">Пододеяльник </t>
  </si>
  <si>
    <t>Наматрасник</t>
  </si>
  <si>
    <t>2 шт. на 5 лет</t>
  </si>
  <si>
    <t xml:space="preserve">Полотенце детское </t>
  </si>
  <si>
    <t>3 шт. на 1 год</t>
  </si>
  <si>
    <t xml:space="preserve">Салфетка обеденная </t>
  </si>
  <si>
    <t>2 шт. на 2 года</t>
  </si>
  <si>
    <t>Подушка</t>
  </si>
  <si>
    <t>1 шт. на 10 лет</t>
  </si>
  <si>
    <t xml:space="preserve">Матрац </t>
  </si>
  <si>
    <t>1 шт. на 5 лет</t>
  </si>
  <si>
    <t xml:space="preserve">Одеяло теплое </t>
  </si>
  <si>
    <t xml:space="preserve">Одеяло байковое </t>
  </si>
  <si>
    <t>Покрывало</t>
  </si>
  <si>
    <t>1 шт. на 6 лет</t>
  </si>
  <si>
    <t xml:space="preserve">Скатерть </t>
  </si>
  <si>
    <t>40 шт. на 100 детей на 3 года</t>
  </si>
  <si>
    <t xml:space="preserve">Полотенце посудное </t>
  </si>
  <si>
    <t>20 шт. на 100 детей на 1 год</t>
  </si>
  <si>
    <t xml:space="preserve">Клеенка настольная </t>
  </si>
  <si>
    <t>30 м на 100 детей на 5 лет</t>
  </si>
  <si>
    <t xml:space="preserve">Ткань хлопчатобумажная </t>
  </si>
  <si>
    <t>250 м на 100 детей на 3 года</t>
  </si>
  <si>
    <t>наименование товара</t>
  </si>
  <si>
    <t>единица измерения</t>
  </si>
  <si>
    <t>потребность на одного воспитанника в день при 12 часовом пребывании</t>
  </si>
  <si>
    <t>количество рабочих дней в году</t>
  </si>
  <si>
    <t>потребность на одного воспитанника в год</t>
  </si>
  <si>
    <t>среднерыночная стоимость товаров в году, предшествующему плановому (за 1 л), руб.</t>
  </si>
  <si>
    <t>бутилированная вода</t>
  </si>
  <si>
    <t>л</t>
  </si>
  <si>
    <t>Минимальная норма приобретения товаров хозяйственно-бытового назначения для обслуживания воспитанников дошкольных образовательных учреждений в 2015 году</t>
  </si>
  <si>
    <t>норма обеспеченности учреждения</t>
  </si>
  <si>
    <t>норма на одного воспитанника в месяц</t>
  </si>
  <si>
    <t>мыло хозяйственное</t>
  </si>
  <si>
    <t>9 кусков на 20 детей в месяц</t>
  </si>
  <si>
    <t>мыло туалетное</t>
  </si>
  <si>
    <t>5 кусков на 20 детей в месяц</t>
  </si>
  <si>
    <t>стиральный порошок</t>
  </si>
  <si>
    <t>10 пачек на 20 детей в месяц</t>
  </si>
  <si>
    <t>сода кальцинированная</t>
  </si>
  <si>
    <t>9 пачек на 20 детей в месяц</t>
  </si>
  <si>
    <t>хлорная известь</t>
  </si>
  <si>
    <t>2 кг на 20 детей в месяц</t>
  </si>
  <si>
    <t xml:space="preserve">сода питьевая </t>
  </si>
  <si>
    <t>1 пачка на 20 детей в месяц</t>
  </si>
  <si>
    <t>горчица порошковая</t>
  </si>
  <si>
    <t>0,5 кг на 20 детей в месяц</t>
  </si>
  <si>
    <t xml:space="preserve">моющие средства </t>
  </si>
  <si>
    <t xml:space="preserve">ткань для пола </t>
  </si>
  <si>
    <t>0,5 метра на 20 детей в месяц</t>
  </si>
  <si>
    <t>щетка с черенком</t>
  </si>
  <si>
    <t>1 шт. на 20 детей на 3 месяца</t>
  </si>
  <si>
    <t xml:space="preserve">веник </t>
  </si>
  <si>
    <t>1 шт. на 20 детей на 1 месяц</t>
  </si>
  <si>
    <t xml:space="preserve">метла </t>
  </si>
  <si>
    <t>электрическая лампа дневного света</t>
  </si>
  <si>
    <t>2 шт. на 20 детей на 1 месяц</t>
  </si>
  <si>
    <t>в  том числе в составе родительской платы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</si>
  <si>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</si>
  <si>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</si>
  <si>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</si>
  <si>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</si>
  <si>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</si>
  <si>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</si>
  <si>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</si>
  <si>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</si>
  <si>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11</t>
  </si>
  <si>
    <t>12</t>
  </si>
  <si>
    <t>13</t>
  </si>
  <si>
    <t>14</t>
  </si>
  <si>
    <t>15</t>
  </si>
  <si>
    <t>16</t>
  </si>
  <si>
    <t>Всего по услуге</t>
  </si>
  <si>
    <t>17</t>
  </si>
  <si>
    <t>18</t>
  </si>
  <si>
    <t>19</t>
  </si>
  <si>
    <t>20</t>
  </si>
  <si>
    <t>Реализация дополнительных общеразвивающих программ, в т.ч.</t>
  </si>
  <si>
    <t>Приложение № 3 к приказу</t>
  </si>
  <si>
    <t>Реализация основных общеобразовательных программ основного общего образования, в т.ч.</t>
  </si>
  <si>
    <t>802111О.99.0.БА96АЮ58001</t>
  </si>
  <si>
    <t>802111О.99.0.БА96АА00001</t>
  </si>
  <si>
    <t>802111О.99.0.БА96АШ83001</t>
  </si>
  <si>
    <t>802111О.99.0.БА96АШ58001</t>
  </si>
  <si>
    <t>очно-заочная форма обучения</t>
  </si>
  <si>
    <t>очная форма обучения</t>
  </si>
  <si>
    <t>очная форма обучения по образовательной программе, обеспечивающей углубленное изучение отдельных учебных предметов, предметных областей (профильное обучение)</t>
  </si>
  <si>
    <t>заочная форма обучения</t>
  </si>
  <si>
    <t>в 1-4 классах</t>
  </si>
  <si>
    <t>в 1-4 классах для обучающихся с ОВЗ</t>
  </si>
  <si>
    <t>в 1-4 классах с инклюзивной формой обучения</t>
  </si>
  <si>
    <t>проходящие обучение по состоянию здоровья на дому (находящиеся в списочном составе 1-4 классов для обучающихся с ОВЗ)</t>
  </si>
  <si>
    <t>проходящие обучение по состоянию здоровья на дому (находящиеся в списочном составе 1-4 классов)</t>
  </si>
  <si>
    <t>801012О.99.0.БА81АЭ92001</t>
  </si>
  <si>
    <t>801012О.99.0.БА81АШ28001</t>
  </si>
  <si>
    <t>801012О.99.0.БА81АШ04001</t>
  </si>
  <si>
    <t>Реализация основных общеобразовательных программ среднего общего образования, в т.ч.</t>
  </si>
  <si>
    <t>802112О.99.0.ББ11АЮ58001</t>
  </si>
  <si>
    <t>802112О.99.0.ББ11АШ58001</t>
  </si>
  <si>
    <t>802112О.99.0.ББ11АЮ62001</t>
  </si>
  <si>
    <t>Реализация основных общеобразовательных программ начального общего образования, в т.ч.</t>
  </si>
  <si>
    <t>очная форма обучения по адаптированной образовательной программе в классах для обучающихся с ОВЗ</t>
  </si>
  <si>
    <t>очная форма обучения по состоянию здоровья на дому</t>
  </si>
  <si>
    <t>очная форма обучения для обучающихся с ОВЗ (в классах с инклюзивной формой обучения)</t>
  </si>
  <si>
    <t>в 1-4 классах с углубленным изучением отдельных учебных предметов, предметных областей (профильным обучением)</t>
  </si>
  <si>
    <t>в 1-4 классах с очно-заочной формой обучения</t>
  </si>
  <si>
    <t>в 1-4 классах с заочной формой обучения</t>
  </si>
  <si>
    <t>в 5-9 классах</t>
  </si>
  <si>
    <t>в 5-9 классах с углубленным изучением отдельных учебных предметов, предметных областей (профильным обучением)</t>
  </si>
  <si>
    <t>в 5-9 классах для обучающихся с ОВЗ</t>
  </si>
  <si>
    <t>проходящие обучение по состоянию здоровья на дому (находящиеся в списочном составе 5-9 классов для обучающихся с ОВЗ)</t>
  </si>
  <si>
    <t>проходящие обучение по состоянию здоровья на дому (находящиеся в списочном составе 5-9 классов)</t>
  </si>
  <si>
    <t>в 5-9 классах с инклюзивной формой обучения</t>
  </si>
  <si>
    <t>в 5-9 классах с очно-заочной формой обучения</t>
  </si>
  <si>
    <t>в 5-9 классах с заочной формой обучения</t>
  </si>
  <si>
    <t>очная форма обучения по адапитированной образовательной программе по состоянию здоровья на дому (находящиеся в списочном составе классов для обучающихся с ОВЗ)</t>
  </si>
  <si>
    <t>в 10-11 классах</t>
  </si>
  <si>
    <t>в 10-11 классах с углубленным изучением отдельных учебных предметов, предметных областей (профильным обучением)</t>
  </si>
  <si>
    <t>в 10-11 классах для обучающихся с ОВЗ</t>
  </si>
  <si>
    <t>проходящие обучение по состоянию здоровья на дому (находящиеся в списочном составе 10-11 классов для обучающихся с ОВЗ)</t>
  </si>
  <si>
    <t>проходящие обучение по состоянию здоровья на дому (находящиеся в списочном составе 10-11 классов)</t>
  </si>
  <si>
    <t>в 10-11 классах с инклюзивной формой обучения</t>
  </si>
  <si>
    <t>в 10-11 классах с очно-заочной формой обучения</t>
  </si>
  <si>
    <t>в 10-11 классах с заочной формой обучения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</si>
  <si>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</si>
  <si>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</si>
  <si>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</si>
  <si>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</si>
  <si>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</si>
  <si>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</si>
  <si>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1г</t>
  </si>
  <si>
    <t>1д</t>
  </si>
  <si>
    <t>1е</t>
  </si>
  <si>
    <t>3г</t>
  </si>
  <si>
    <t>3в</t>
  </si>
  <si>
    <t>3д</t>
  </si>
  <si>
    <t>3е</t>
  </si>
  <si>
    <t>МАОУ гимназия им.А.П.Чехова</t>
  </si>
  <si>
    <t>МОБУ СОШ № 3 им.Ю.А.Гагарина</t>
  </si>
  <si>
    <t>МАОУ лицей № 4 (ТМОЛ)</t>
  </si>
  <si>
    <t>МОБУ СОШ № 5</t>
  </si>
  <si>
    <t>МОБУ СОШ № 6</t>
  </si>
  <si>
    <t>МОБУ лицей № 7</t>
  </si>
  <si>
    <t>МОБУ СОШ № 8</t>
  </si>
  <si>
    <t>МОБУ СОШ № 9</t>
  </si>
  <si>
    <t>МАОУ СОШ № 10</t>
  </si>
  <si>
    <t>МАОУ СОШ № 12</t>
  </si>
  <si>
    <t>МАОУ гимназия "Мариинская"</t>
  </si>
  <si>
    <t>МОБУ СОШ № 16</t>
  </si>
  <si>
    <t>МОБУ СОШ № 20</t>
  </si>
  <si>
    <t>МОБУ СОШ № 21</t>
  </si>
  <si>
    <t>МАОУ СОШ № 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</si>
  <si>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</si>
  <si>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</si>
  <si>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</si>
  <si>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</si>
  <si>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</si>
  <si>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 28</t>
  </si>
  <si>
    <t>МОБУ СОШ № 30</t>
  </si>
  <si>
    <t>МОБУ СОШ № 31</t>
  </si>
  <si>
    <t>МОБУ СОШ № 32</t>
  </si>
  <si>
    <t>МОБУ лицей № 33</t>
  </si>
  <si>
    <t>МОБУ СОШ № 34</t>
  </si>
  <si>
    <t>МОБУ СОШ № 35</t>
  </si>
  <si>
    <t>МОБУ СОШ № 36</t>
  </si>
  <si>
    <t>МАОУ СОШ № 37</t>
  </si>
  <si>
    <t>МОБУ СОШ № 38</t>
  </si>
  <si>
    <t>МАОУ СОШ № 39</t>
  </si>
  <si>
    <t>СВОД</t>
  </si>
  <si>
    <t>за счет средств областного бюджета</t>
  </si>
  <si>
    <t>за счет средств местного бюджета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</si>
  <si>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</si>
  <si>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</si>
  <si>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</si>
  <si>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</si>
  <si>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х</t>
  </si>
  <si>
    <t>группы общеразвивающей направленности, разновозрастные группы, дети от 2 месяцев до 8 лет, группы полного дня</t>
  </si>
  <si>
    <t>Услуга "Присмотр и уход", в т.ч.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</si>
  <si>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</si>
  <si>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</si>
  <si>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</si>
  <si>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</si>
  <si>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</si>
  <si>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</si>
  <si>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</si>
  <si>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за исключением льготных категорий (полная оплата, дети от 3 лет до 8 лет, группа полного дня)</t>
  </si>
  <si>
    <t>Итого по всем услугам в части дошкольного образования (07 01), в т.ч.</t>
  </si>
  <si>
    <t>финансовое обеспечение по базовому нормативу , руб.</t>
  </si>
  <si>
    <t>округление, руб.</t>
  </si>
  <si>
    <t>налоги, в качестве объекта налогообложения по которым признается имущество муниципального учреждения, руб.</t>
  </si>
  <si>
    <t>Услуга "Реализация основных общеобразовательных программ начального общего образования", в т.ч.</t>
  </si>
  <si>
    <t>Итого по всем услугам в части общего образования (07 02), в т.ч.</t>
  </si>
  <si>
    <t>Итого по всем услугам в части дополнительного образования (07 03), в т.ч.</t>
  </si>
  <si>
    <t>21</t>
  </si>
  <si>
    <t>22</t>
  </si>
  <si>
    <t>23</t>
  </si>
  <si>
    <t>24</t>
  </si>
  <si>
    <t>муниципальных дошкольных образовательных учреждений</t>
  </si>
  <si>
    <t>количество детей</t>
  </si>
  <si>
    <t>коэф. направленности по уд.весу кол-ва детей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</si>
  <si>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</si>
  <si>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</si>
  <si>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</si>
  <si>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Образовательная программа (за исключением адаптированной) в группе полного дня, обучающиеся до 3 лет</t>
  </si>
  <si>
    <t>Образовательная программа (за исключением адаптированной) в группе полного дня, обучающиеся от 3 лет до 8 лет</t>
  </si>
  <si>
    <t>Адаптированная образовательная программа в группе полного дня, обучающиеся с ОВЗ от 3 лет до 8 лет</t>
  </si>
  <si>
    <t>Адаптированная образовательная программа в группе полного дня, обучающиеся с ОВЗ, до 3 лет</t>
  </si>
  <si>
    <t xml:space="preserve">Водоотведение </t>
  </si>
  <si>
    <t>расчет норматива коммунальных услуг по МАОУ СОШ гимназия им А.П.Чехова</t>
  </si>
  <si>
    <t>расчет норматива коммунальных услуг по МОБУ СОШ № 3</t>
  </si>
  <si>
    <t>расчет норматива коммунальных услуг по МАОУ лицей № 4 (ТМОЛ)</t>
  </si>
  <si>
    <t>расчет норматива коммунальных услуг по МОБУ СОШ № 5</t>
  </si>
  <si>
    <t>расчет норматива коммунальных услуг по МОБУ СОШ № 6</t>
  </si>
  <si>
    <t>расчет норматива коммунальных услуг по МОБУ лицей № 7</t>
  </si>
  <si>
    <t>расчет норматива коммунальных услуг по МОБУ СОШ № 8</t>
  </si>
  <si>
    <t>расчет норматива коммунальных услуг по МОБУ СОШ № 9</t>
  </si>
  <si>
    <t>расчет норматива коммунальных услуг по МАОУ СОШ № 10</t>
  </si>
  <si>
    <t>расчет норматива коммунальных услуг по МАОУ СОШ № 12</t>
  </si>
  <si>
    <t>расчет норматива коммунальных услуг по МАОУ гимназия "Мариинская"</t>
  </si>
  <si>
    <t>расчет норматива коммунальных услуг по МОБУ СОШ № 16</t>
  </si>
  <si>
    <t>расчет норматива коммунальных услуг по МОБУ СОШ № 20</t>
  </si>
  <si>
    <t>расчет норматива коммунальных услуг по МОБУ СОШ № 21</t>
  </si>
  <si>
    <t>расчет норматива коммунальных услуг по МОБУ СОШ № 23</t>
  </si>
  <si>
    <t>расчет норматива коммунальных услуг по МОБУ СОШ № 24</t>
  </si>
  <si>
    <t>расчет норматива коммунальных услуг по МАОУ СОШ № 22</t>
  </si>
  <si>
    <t>расчет норматива коммунальных услуг по МАОУ СОШ № 25/11</t>
  </si>
  <si>
    <t>расчет норматива коммунальных услуг по МОБУ СОШ № 26</t>
  </si>
  <si>
    <t>расчет норматива коммунальных услуг по МАОУ СОШ № 27</t>
  </si>
  <si>
    <t>расчет норматива коммунальных услуг по МАОУ лицей № 28</t>
  </si>
  <si>
    <t>расчет норматива коммунальных услуг по МОБУ СОШ № 30</t>
  </si>
  <si>
    <t>расчет норматива коммунальных услуг по МОБУ СОШ № 31</t>
  </si>
  <si>
    <t>расчет норматива коммунальных услуг по МОБУ СОШ № 32</t>
  </si>
  <si>
    <t>расчет норматива коммунальных услуг по МОБУ лицей № 33</t>
  </si>
  <si>
    <t>расчет норматива коммунальных услуг по МОБУ СОШ № 34</t>
  </si>
  <si>
    <t>расчет норматива коммунальных услуг по МОБУ СОШ № 35</t>
  </si>
  <si>
    <t>расчет норматива коммунальных услуг по МОБУ СОШ № 36</t>
  </si>
  <si>
    <t>расчет норматива коммунальных услуг по МАОУ СОШ № 37</t>
  </si>
  <si>
    <t>расчет норматива коммунальных услуг по МОБУ СОШ № 38</t>
  </si>
  <si>
    <t>базовый норматив затрат на 1-e услугу, руб.</t>
  </si>
  <si>
    <t>Среднее количество групп в учреждении</t>
  </si>
  <si>
    <t>Среднее количество обучающихся в группе</t>
  </si>
  <si>
    <t>отдельный расчет (оплата коммунальных услуг)</t>
  </si>
  <si>
    <t>отдельный расчет (оплата труда в части местного бюджета)</t>
  </si>
  <si>
    <t>местный</t>
  </si>
  <si>
    <t>Распределение за счет средств местного бюджета^</t>
  </si>
  <si>
    <t>п.2.2</t>
  </si>
  <si>
    <t>п.2.3</t>
  </si>
  <si>
    <t>п.2.5</t>
  </si>
  <si>
    <t>п.2.7</t>
  </si>
  <si>
    <t>Нормативные затраты на оплату труда работников, осуществляющих организацию образовательного процесса, содержание имущества, в части местного бюджета в муниципальных общеобразовательных учреждениях</t>
  </si>
  <si>
    <t>Расчетное количество классов в учреждении</t>
  </si>
  <si>
    <t>Расчетное количество обучающихся в классе</t>
  </si>
  <si>
    <t>муниципальные общеобразовательные учреждения</t>
  </si>
  <si>
    <t>Исходные данные (средний расчет на учреждение):</t>
  </si>
  <si>
    <t>среднее количество классов на 1 учреждение = 962 кл / 32 учр = 30 кл</t>
  </si>
  <si>
    <t>среднее количество учащихся на 1 учреждение по учебному плану = 24715 уч-ся / 32 учр = 772 уч-ся</t>
  </si>
  <si>
    <t>оптимальное количество учащихся на 1 учреждение на 962 кл = (895 кл * 25 уч-ся + 67 кл * 9 уч-ся) = 22978 уч-ся / 32 учр = 718 уч-ся</t>
  </si>
  <si>
    <t>среднее оптимальное (расчетное) количество ставок основных педагогов на 1 учреждение по учебному плану = 30116 (уч.часы в неделю) / 18 ч (норма) / 32 учр = 52 ед</t>
  </si>
  <si>
    <t>среднее (расчетное) количество классов на 1 ставку основного педагога по учебному плану = 30 гр / 52 чел. = 4 гр</t>
  </si>
  <si>
    <t>кол-во основных сотрудников АУП = 1 руководитель, 2 зам.рук-ля, 1 гл.бухгалтер, 1 бухгалтер, 1 завхоз, 1 секретарь (делопроизводитель) = 7 чел.</t>
  </si>
  <si>
    <t>кол-во классных комнат (учебных кабинетов) = 905 каб / 32 учр = 28 каб</t>
  </si>
  <si>
    <t>средняя площадь 1 учреждения = 155100 кв.м / 32 учр = 4847 кв.м</t>
  </si>
  <si>
    <t>расчетное количество уборщиков на 1 учреждение (1 ставка на 500 кв.м) = 4847/ 500 кв.м= 9,69 ст. = 10 чел.</t>
  </si>
  <si>
    <t>численность не педагогических работников в 1 учреждении = 812 чел / 32 учр = 26 чел.</t>
  </si>
  <si>
    <t>в т.ч. мужчин на 1 учреждение = 142 чел / 32 учр = 5 чел.</t>
  </si>
  <si>
    <t>в т.ч. женщин на 1 учреждение = 670 чел / 32 учр = 21 чел.</t>
  </si>
  <si>
    <t>численность педагогических работников в 1 учреждении = 1605 чел / 32 учр = 50 чел.</t>
  </si>
  <si>
    <t>в т.ч. мужчин на 1 учреждение = 156 чел / 32 учр = 5 чел.</t>
  </si>
  <si>
    <t>в т.ч. женщин на 1 учреждение = 1449 чел / 32 учр = 45 чел.</t>
  </si>
  <si>
    <t>численность работников на 1 учреждение = 2417 чел / 32 учр = 76 чел</t>
  </si>
  <si>
    <t>количество ставок работников на 01.09.15 на 1 учреждение = 3463,33 ед. / 32 учр = 108,23 ед</t>
  </si>
  <si>
    <t>в т.ч. ставки ПП, АУП, ОП связанные с оказанием мун.услуги = 3263,93 ед. / 32 учр = 102 ед</t>
  </si>
  <si>
    <t>в т.ч. ставки ОП не связанные с оказанием мун.услуги = 199,4 ед. / 32 учр = 6,23 ед</t>
  </si>
  <si>
    <t>коэффициент соотношения работников, не связанных с оказанием мун.услуг к общему числу работников на 1 учреждение = 6,23 ед /  108,23 ед = 0,06</t>
  </si>
  <si>
    <t>по 1 на рук-ля, 2 зам.рук-ля, 2 бухгалтеров, 1 завхоза, 1 секретаря; 1 на 10-ть осн.педагогов</t>
  </si>
  <si>
    <t>2 на рук-ля и зам.рук.ля в месяц, 4 на бухгалтерию в месяц, 1 на завхоза в месяц, 2 на секретаря в месяц; 2 на 1 осн.педагога в квартал</t>
  </si>
  <si>
    <t>по 4 на 1 работника и на 1 класс в год</t>
  </si>
  <si>
    <t>Карандаш четно-графитный с ластиком</t>
  </si>
  <si>
    <t>хозяйственные товары и инвентарь</t>
  </si>
  <si>
    <t>по 1 на 1 работника и на 1 учебный кабинет</t>
  </si>
  <si>
    <t>2 на санузлы (1 муж. и 1 жен) для служебного персонала и 4 на санузлы (2 муж. и 2 жен) для учащихся</t>
  </si>
  <si>
    <t>по 1 в месяц на 1 работника и на 1 учебный кабинет,  2 в месяц на санузлы (1 муж. и 1 жен) для служебного персонала и 4 в месяц на санузлы (2 муж. и 2 жен)  для учащихся</t>
  </si>
  <si>
    <t>2 в год на санузлы (1 муж. и 1 жен) для служебного персонала и 4 в год на санузлы (2 муж. и 2 жен)  для учащихся</t>
  </si>
  <si>
    <t>2 в год на учреждение и по 0,5 в год на учебный кабинет</t>
  </si>
  <si>
    <t>4 в месяц на санузлы (2 муж. и 2 жен) для служебного персонала и 80 в месяц на санузлы (40 муж. и 40 жен) для учащихся</t>
  </si>
  <si>
    <t>2 в месяц на санузлы (1 муж. и 1 жен) для служебного персонала и 16 в месяц на санузлы (8 муж. и 8 жен) для учащихся</t>
  </si>
  <si>
    <t>прочие товары</t>
  </si>
  <si>
    <t>200 мл на 1 учащегося в день при 167 днях потребления</t>
  </si>
  <si>
    <t>1 стакан на 1 учащегося в день при 167 днях потребления</t>
  </si>
  <si>
    <t>2 ответственных лица (рук-ль + отв.работник)</t>
  </si>
  <si>
    <t>медосмотр</t>
  </si>
  <si>
    <t>шк.22</t>
  </si>
  <si>
    <t>1 раз в квартал (кол-во периодов)</t>
  </si>
  <si>
    <t>серологические исследование крови (лошади)</t>
  </si>
  <si>
    <t>1 раз в год    (кол-во периодов)</t>
  </si>
  <si>
    <t>шк.37</t>
  </si>
  <si>
    <t>ремонт, диагностика и техобслуживание иного оборудования</t>
  </si>
  <si>
    <t>страхование здания школы</t>
  </si>
  <si>
    <t>шк.26</t>
  </si>
  <si>
    <t>шк.36</t>
  </si>
  <si>
    <t>Расходы по обслуживанию автотранспорта</t>
  </si>
  <si>
    <t>предрейсовый технический осмотр</t>
  </si>
  <si>
    <t>3 автобуса по 127 дней (кол-во автобусов)</t>
  </si>
  <si>
    <t>шк.3</t>
  </si>
  <si>
    <t>3 автобуса (кол-во автобусов)</t>
  </si>
  <si>
    <t>литров в год</t>
  </si>
  <si>
    <t>3 автобуса по 365 дней (кол-во автобусов)</t>
  </si>
  <si>
    <t>аренда помещений</t>
  </si>
  <si>
    <t>Аренда нежилого помещения арендуемое помещение  (используется под учебный кабинет, учебную часть, кроме того в стоимость аренды входит использование туалета, водоснабжение)</t>
  </si>
  <si>
    <t>только для шк.22  под МУК</t>
  </si>
  <si>
    <t>из расчета 10 дней командировки и количества человек - руководитель, 2 зам.руководителя, весь педагогический персонал</t>
  </si>
  <si>
    <t>из расчета 2 поездок (туда и обратно) и количества человек - руководитель, 2 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</si>
  <si>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2 заместителя руководителя, весь педагогический персонал</t>
  </si>
  <si>
    <t>нормативные документы образования</t>
  </si>
  <si>
    <t>классный руководитель</t>
  </si>
  <si>
    <t>одаренный ребенок</t>
  </si>
  <si>
    <t>справочник заместителя директора школы</t>
  </si>
  <si>
    <t>учебники 1-4 квассов</t>
  </si>
  <si>
    <t>количество экземпляров для 1-4 классов на всех учашихся</t>
  </si>
  <si>
    <t>учебники 5-9 классов</t>
  </si>
  <si>
    <t>количество экземпляров для 5-9 классов на всех учащихся</t>
  </si>
  <si>
    <t>учебники 10-11 классов</t>
  </si>
  <si>
    <t>количество экземпляров для 10-11 классов на всех учащихся</t>
  </si>
  <si>
    <t>классные маркерные доски 1000 см*3000см,3-х элементные</t>
  </si>
  <si>
    <t>1 на 1 классную комнату</t>
  </si>
  <si>
    <t>видеопроектор</t>
  </si>
  <si>
    <t>руб.</t>
  </si>
  <si>
    <t>Всего</t>
  </si>
  <si>
    <t>Физкультурно-спортивная</t>
  </si>
  <si>
    <t>Реализация основных общеобразовательных программ начального общего образования</t>
  </si>
  <si>
    <t>Реализация основных общеобразовательных программ основного общего образования</t>
  </si>
  <si>
    <t>Реализация основных общеобразовательных программ среднего общего образования</t>
  </si>
  <si>
    <t>э/э</t>
  </si>
  <si>
    <t>т/э</t>
  </si>
  <si>
    <t>х/в</t>
  </si>
  <si>
    <t>в/о</t>
  </si>
  <si>
    <t>Техническая направленность</t>
  </si>
  <si>
    <t>Естественнонаучная</t>
  </si>
  <si>
    <t>Туристско-краеведческая</t>
  </si>
  <si>
    <t>Социально-педагогическая</t>
  </si>
  <si>
    <t>Художественная направленность</t>
  </si>
  <si>
    <t>ФОТ педработников</t>
  </si>
  <si>
    <t>Прочие расходы</t>
  </si>
  <si>
    <t>ФОТ АУП и прочих</t>
  </si>
  <si>
    <t>Приложение № 3/2</t>
  </si>
  <si>
    <t>Приложение № 3/3</t>
  </si>
  <si>
    <t>Приложение № 3/6</t>
  </si>
  <si>
    <t>Приложение № 3/7</t>
  </si>
  <si>
    <t>Приложение № 3/8</t>
  </si>
  <si>
    <t>Корректирующий коэффициент</t>
  </si>
  <si>
    <t xml:space="preserve"> - материальные запасы и особо ценное движимое имущество, потребляемые (используемые) в процессе оказания муниципальной услуги</t>
  </si>
  <si>
    <t xml:space="preserve"> - иные натуральные нормы, непосредственно используемые в процессе оказания муниципальной услуги</t>
  </si>
  <si>
    <t>расчет - приложение №3/2</t>
  </si>
  <si>
    <t>особенности категории потребителей, место обучения и т.п.</t>
  </si>
  <si>
    <t>областной бюджет</t>
  </si>
  <si>
    <t>местный бюджет</t>
  </si>
  <si>
    <t>расчет - приложение №3/1</t>
  </si>
  <si>
    <t>не применяется</t>
  </si>
  <si>
    <t>расчет - приложение №3/7</t>
  </si>
  <si>
    <t>расчет - приложение №3/3</t>
  </si>
  <si>
    <t>расчет - приложение №3/8</t>
  </si>
  <si>
    <t>расчет - приложение №3/6</t>
  </si>
  <si>
    <r>
      <t xml:space="preserve">Матзатраты по расчету согласно приложению </t>
    </r>
    <r>
      <rPr>
        <b/>
        <sz val="10"/>
        <color rgb="FFFF0000"/>
        <rFont val="Times New Roman"/>
        <family val="1"/>
        <charset val="204"/>
      </rPr>
      <t>№3/8</t>
    </r>
  </si>
  <si>
    <t>расчет - приложение №3/5</t>
  </si>
  <si>
    <t>Коэффициент увеличения ФОТ на величину мат.помощи 1% (1+1/100)</t>
  </si>
  <si>
    <t>11а</t>
  </si>
  <si>
    <t>11б</t>
  </si>
  <si>
    <t>15=п.7* п.8* п.10* п.11а* п.11б* п.12* п.13* п.14</t>
  </si>
  <si>
    <t>Главный экономист планово-экономическим отделом</t>
  </si>
  <si>
    <t>Расчет доплаты за работу в ночное время и нерабочие праздничные дни</t>
  </si>
  <si>
    <t>кол-во раб.дней в году при 5-дневной неделе</t>
  </si>
  <si>
    <t>дн.</t>
  </si>
  <si>
    <t>кол-во раб часов в день при 5-дневной неделе</t>
  </si>
  <si>
    <t>час</t>
  </si>
  <si>
    <t>кол-во укороченных дней в году (предпраздничных по 7 часов)</t>
  </si>
  <si>
    <t>расчет количества рабочих часов в году</t>
  </si>
  <si>
    <t>количество месяцев в году</t>
  </si>
  <si>
    <t>мес</t>
  </si>
  <si>
    <t>среднее количество рабочих часов в месяц</t>
  </si>
  <si>
    <t>размер ставки заработной платы сторожа 1 разряда</t>
  </si>
  <si>
    <t>среднегод оклад=</t>
  </si>
  <si>
    <t>расчет стоимости 1 часа</t>
  </si>
  <si>
    <t>доплата за работу в ночные часы</t>
  </si>
  <si>
    <t>%</t>
  </si>
  <si>
    <t>расчет доплаты за 1 час работы в ночное время</t>
  </si>
  <si>
    <t>доплата за работу в нерабочие праздничные дни</t>
  </si>
  <si>
    <t>расчет доплаты за 1 час работы в нерабочие праздничные дни</t>
  </si>
  <si>
    <t>количество календарных дней в году</t>
  </si>
  <si>
    <t>количество ночных часов работы в сутки (с 22.00 до 6.00)</t>
  </si>
  <si>
    <t>количество ночных часов в году</t>
  </si>
  <si>
    <t>в т.ч. в месяц на 1 ставку из 3-х</t>
  </si>
  <si>
    <t>расчет доплаты за работу в ночное время на 1 ставку в месяц</t>
  </si>
  <si>
    <t>количество нерабочих праздничных дней в году</t>
  </si>
  <si>
    <t>количество часов работы в сутки в нерабочий праздничный день</t>
  </si>
  <si>
    <t>количество часов работы в нерабочие праздничные дни в год (14 дн * 24 час)</t>
  </si>
  <si>
    <t>расчет доплаты за работу в праздничные дни на 1 ставку в месяц</t>
  </si>
  <si>
    <t>ИТОГО доплаты на 1 ставку в месяц</t>
  </si>
  <si>
    <t>ИТОГО % доплаты (доплата/ставка зарплаты)</t>
  </si>
  <si>
    <t xml:space="preserve">                или в коэффициенте</t>
  </si>
  <si>
    <t>коэфф</t>
  </si>
  <si>
    <t>на 3 ставки</t>
  </si>
  <si>
    <t>8б</t>
  </si>
  <si>
    <t>8в</t>
  </si>
  <si>
    <t>10=(п.9- п.7* п.8а* п.8б* п.8в)/ п.7+ 1</t>
  </si>
  <si>
    <t>15=п.7* п.8а* п.8б* п.8в п.10* п.11а* п.11б* п.12* п.13* п.14</t>
  </si>
  <si>
    <t>10=(п.9- п.7* п.8а* п.8б)/ п.7+ 1</t>
  </si>
  <si>
    <t>15=п.7* п.8а* п.8б* п.10* п.11а* п.11б* п.12* п.13* п.14</t>
  </si>
  <si>
    <t>Кол-во месяцев в году</t>
  </si>
  <si>
    <r>
      <rPr>
        <b/>
        <sz val="12"/>
        <color rgb="FFC00000"/>
        <rFont val="Times New Roman"/>
        <family val="1"/>
        <charset val="204"/>
      </rPr>
      <t>Объём учебной нагрузки в неделю</t>
    </r>
    <r>
      <rPr>
        <sz val="12"/>
        <color rgb="FFC00000"/>
        <rFont val="Times New Roman"/>
        <family val="1"/>
        <charset val="204"/>
      </rPr>
      <t xml:space="preserve"> 
(приказ минобразования РО от 01.03.2016 № 115 - min кол-во учебных часов - 72 часа, 2 часа в неделю при 36 учебных неделях)</t>
    </r>
  </si>
  <si>
    <r>
      <rPr>
        <b/>
        <sz val="12"/>
        <color rgb="FFC00000"/>
        <rFont val="Times New Roman"/>
        <family val="1"/>
        <charset val="204"/>
      </rPr>
      <t>Нагрузка на ставку педагогога дополнительного образования</t>
    </r>
    <r>
      <rPr>
        <sz val="12"/>
        <color rgb="FFC00000"/>
        <rFont val="Times New Roman"/>
        <family val="1"/>
        <charset val="204"/>
      </rPr>
      <t xml:space="preserve"> 
(приказ Минобрнауки России от 22.12.2014 № 1601)</t>
    </r>
  </si>
  <si>
    <r>
      <rPr>
        <b/>
        <sz val="12"/>
        <color rgb="FFC00000"/>
        <rFont val="Times New Roman"/>
        <family val="1"/>
        <charset val="204"/>
      </rPr>
      <t>Коэффициент, учитывающий отчисления по страховым взносам в государственные внебюджетные фонды,</t>
    </r>
    <r>
      <rPr>
        <sz val="12"/>
        <color rgb="FFC00000"/>
        <rFont val="Times New Roman"/>
        <family val="1"/>
        <charset val="204"/>
      </rPr>
      <t xml:space="preserve"> установленные на плановый финансовый год </t>
    </r>
    <r>
      <rPr>
        <b/>
        <sz val="12"/>
        <color rgb="FFC00000"/>
        <rFont val="Times New Roman"/>
        <family val="1"/>
        <charset val="204"/>
      </rPr>
      <t>= 30,2%</t>
    </r>
  </si>
  <si>
    <r>
      <rPr>
        <b/>
        <sz val="12"/>
        <color rgb="FFC00000"/>
        <rFont val="Times New Roman"/>
        <family val="1"/>
        <charset val="204"/>
      </rPr>
      <t xml:space="preserve">Коэффициент увеличения на компенсационные выплаты: </t>
    </r>
    <r>
      <rPr>
        <sz val="12"/>
        <color rgb="FFC00000"/>
        <rFont val="Times New Roman"/>
        <family val="1"/>
        <charset val="204"/>
      </rPr>
      <t>доплаты за работу в особых условиях труда: работа в сельской местности = 25%</t>
    </r>
  </si>
  <si>
    <r>
      <rPr>
        <b/>
        <sz val="12"/>
        <color rgb="FFC00000"/>
        <rFont val="Times New Roman"/>
        <family val="1"/>
        <charset val="204"/>
      </rPr>
      <t>Рекомендуемая наполняемость групп</t>
    </r>
    <r>
      <rPr>
        <sz val="12"/>
        <color rgb="FFC00000"/>
        <rFont val="Times New Roman"/>
        <family val="1"/>
        <charset val="204"/>
      </rPr>
      <t xml:space="preserve"> 
(приказ минобразования РО от 01.03.2016 № 115)</t>
    </r>
  </si>
  <si>
    <r>
      <t xml:space="preserve">Количество ставок обслуживающего персонала на учреждение из расчета </t>
    </r>
    <r>
      <rPr>
        <sz val="9"/>
        <color rgb="FFC00000"/>
        <rFont val="Times New Roman"/>
        <family val="1"/>
        <charset val="204"/>
      </rPr>
      <t>30 классов</t>
    </r>
    <r>
      <rPr>
        <sz val="9"/>
        <color theme="1"/>
        <rFont val="Times New Roman"/>
        <family val="1"/>
        <charset val="204"/>
      </rPr>
      <t xml:space="preserve"> в учреждении</t>
    </r>
  </si>
  <si>
    <t>а</t>
  </si>
  <si>
    <t>Твердые коммунальные отходы</t>
  </si>
  <si>
    <t>***</t>
  </si>
  <si>
    <t>расчет норматива коммунальных услуг по МАОУ СОШ № 39</t>
  </si>
  <si>
    <t>п.1.1</t>
  </si>
  <si>
    <t>п.1.2</t>
  </si>
  <si>
    <t>п.1.3</t>
  </si>
  <si>
    <t>Коэффициент учитывающий оплату труда прочих педагогических работников</t>
  </si>
  <si>
    <t>Коэффициент, учитывающий увеличение ФОТ на АУП, УВП и обслуживающий персонал</t>
  </si>
  <si>
    <t>группы общеразвивающей направленности, разновозрастные группы, дети от 2 месяцеы до 8 лет, группы полного дня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</si>
  <si>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</si>
  <si>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</si>
  <si>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с 01.10.2020</t>
  </si>
  <si>
    <t>в 2021 году</t>
  </si>
  <si>
    <t>оклад с 01.10.20=</t>
  </si>
  <si>
    <t>оклад с ув на 3% с 01.10.21=</t>
  </si>
  <si>
    <t>Расчет для норматива</t>
  </si>
  <si>
    <t>Приложение № 3/9</t>
  </si>
  <si>
    <t>расчет - приложение №3/4</t>
  </si>
  <si>
    <t>расчет - приложение №3/9</t>
  </si>
  <si>
    <r>
      <t>Коэффициент увеличения ФОТ на величину компенсационных выплат - доплаты за работу в ночное время и нерабочие праздничные дни</t>
    </r>
    <r>
      <rPr>
        <sz val="9"/>
        <rFont val="Times New Roman"/>
        <family val="1"/>
        <charset val="204"/>
      </rPr>
      <t xml:space="preserve"> (было = 1+0,2292)</t>
    </r>
    <r>
      <rPr>
        <sz val="9"/>
        <color rgb="FFC00000"/>
        <rFont val="Times New Roman"/>
        <family val="1"/>
        <charset val="204"/>
      </rPr>
      <t xml:space="preserve"> - с 01.01.2021 = 1,0, т.к. сторожей нет, а охрана осуществляется по договору сторонней организацией</t>
    </r>
  </si>
  <si>
    <t>Коэффициент, учитывающий соотношение кол-ва дней невыходов (1+0,085) = отпуск - 28дн., бол/лист = 3дн. к кол-ву календарных дней в году 365дн.</t>
  </si>
  <si>
    <t>Затраты на оплату труда работников, осуществляющих организацию образовательного процесса, содержание имущества (на 1-го обучающегося в год, руб.) в 2023 году</t>
  </si>
  <si>
    <t>расчет - приложение №3/5инк</t>
  </si>
  <si>
    <t>2023 год величина базового норматива затрат на 1 услугу в год (руб.)</t>
  </si>
  <si>
    <t>2=п.3* 247дн</t>
  </si>
  <si>
    <t>5=п.4/ 247дн</t>
  </si>
  <si>
    <t>7=п.6/ 247дн</t>
  </si>
  <si>
    <t>7а=п.6а/ 247дн</t>
  </si>
  <si>
    <t>9=п.8/ 247дн</t>
  </si>
  <si>
    <t>налоги, в качестве объекта налогообложения по которым признается имущество муниципального учреждения с учетом коэффициента платной деятельности, руб.</t>
  </si>
  <si>
    <t>коэффициент платной деятельности</t>
  </si>
  <si>
    <t>объем доходов от платной деятельности, полученных в отчетном (предыдщем) году, руб.</t>
  </si>
  <si>
    <t>ИТОГО НОРМАТИВ на 1-го учащегося</t>
  </si>
  <si>
    <t>коэффициент перевода стоимости 1 обучающегося в стоимость 1-го человеко-часа (1/72 часа)</t>
  </si>
  <si>
    <t>б</t>
  </si>
  <si>
    <t>с</t>
  </si>
  <si>
    <t>д</t>
  </si>
  <si>
    <t>д*а</t>
  </si>
  <si>
    <t>б/(б+с)</t>
  </si>
  <si>
    <t>801012О.99.0.БА81АА00001</t>
  </si>
  <si>
    <t>802111О.99.0.БА96АЮ62001</t>
  </si>
  <si>
    <t>802112О.99.0.ББ11АШ83001</t>
  </si>
  <si>
    <t>коэффициент выравнивания</t>
  </si>
  <si>
    <t>финансовое обеспечение с учетом коэффициента выравнивания, руб.</t>
  </si>
  <si>
    <t>финансовое обеспечение с учетом коэффициента выравнивания и округления, руб.</t>
  </si>
  <si>
    <t>финансовое обеспечение с учетом коэффициента выравнивания, а также с учетом налогов, в качестве объекта налогообложения по которым признается имущество муниципального учреждения, руб.</t>
  </si>
  <si>
    <t>Количество услуг, расчет финансового обеспечения по базовому нормативу, расчет коэффициентов выравнивания и платной деятельности, а также финансового обеспечения с учетом коэффициентов</t>
  </si>
  <si>
    <t>нормативы затрат с учетом коэффициента выравнивания за счет средств областного бюджета, руб.</t>
  </si>
  <si>
    <t>нормативы затрат с учетом коэффициента выравнивания за счет средств местного бюджета, руб.</t>
  </si>
  <si>
    <t>финансовое обеспечение с учетом коэффициента выравнивания за счет средств областного бюджета, руб.</t>
  </si>
  <si>
    <t>финансовое обеспечение с учетом коэффициента выравнивания за счет средств местного бюджета, руб.</t>
  </si>
  <si>
    <t>2024 год величина базового норматива затрат на 1 услугу в год (руб.)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</si>
  <si>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2023 году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</si>
  <si>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2024 году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</si>
  <si>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1,01</t>
    </r>
  </si>
  <si>
    <t>Расходы на 1-го воспитанника за присмотр и уход за детьми в муниципальных образовательных учреждениях города Таганрога, реализующих образовательную программу дошкольного образования для определения размера платы, взимаемой с родителей (законных представителей)</t>
  </si>
  <si>
    <t>(из расчета 247 рабочих дней в году)</t>
  </si>
  <si>
    <r>
      <t xml:space="preserve">Товары хозяйственно-бытового назначения </t>
    </r>
    <r>
      <rPr>
        <sz val="9"/>
        <color theme="1"/>
        <rFont val="Times New Roman"/>
        <family val="1"/>
        <charset val="204"/>
      </rPr>
      <t>(моющие, чистящие, дезинфицирующие средства, хоз.инвентарь)</t>
    </r>
  </si>
  <si>
    <r>
      <t xml:space="preserve">из них товары хозяйственно-бытового назначения в составе родительской платы </t>
    </r>
    <r>
      <rPr>
        <sz val="9"/>
        <color theme="1"/>
        <rFont val="Times New Roman"/>
        <family val="1"/>
        <charset val="204"/>
      </rPr>
      <t>(моющие, чистящие, дезинфицирующие средства)</t>
    </r>
  </si>
  <si>
    <r>
      <t xml:space="preserve">Нормативные затраты на оказание услуги по </t>
    </r>
    <r>
      <rPr>
        <b/>
        <u/>
        <sz val="11"/>
        <color theme="1"/>
        <rFont val="Times New Roman"/>
        <family val="1"/>
        <charset val="204"/>
      </rPr>
      <t>присмотру и уходу</t>
    </r>
    <r>
      <rPr>
        <b/>
        <sz val="11"/>
        <color theme="1"/>
        <rFont val="Times New Roman"/>
        <family val="1"/>
        <charset val="204"/>
      </rPr>
      <t xml:space="preserve"> за детьми в образовательных организациях, реализующих программу дошкольного образования, руб.</t>
    </r>
  </si>
  <si>
    <r>
      <t xml:space="preserve">из них: нормативные затраты, входящие в состав </t>
    </r>
    <r>
      <rPr>
        <b/>
        <u/>
        <sz val="11"/>
        <color theme="1"/>
        <rFont val="Times New Roman"/>
        <family val="1"/>
        <charset val="204"/>
      </rPr>
      <t>родительской платы</t>
    </r>
    <r>
      <rPr>
        <b/>
        <sz val="11"/>
        <color theme="1"/>
        <rFont val="Times New Roman"/>
        <family val="1"/>
        <charset val="204"/>
      </rPr>
      <t>, в части питания, бутилированной воды, средств хозяйственно-бытового назначения, руб.</t>
    </r>
  </si>
  <si>
    <t>Размер родительской платы в год, руб.</t>
  </si>
  <si>
    <t>Стоимость присмотра ухода за счет местного бюджета, руб.</t>
  </si>
  <si>
    <t>на питание</t>
  </si>
  <si>
    <t>на прочие затраты</t>
  </si>
  <si>
    <t>без льгот</t>
  </si>
  <si>
    <t>со льготой 30%</t>
  </si>
  <si>
    <t>со льготой 100%</t>
  </si>
  <si>
    <t>в день на 1 ребенка</t>
  </si>
  <si>
    <t>завтрак</t>
  </si>
  <si>
    <t>обед</t>
  </si>
  <si>
    <t>в год на 1 ребенка</t>
  </si>
  <si>
    <t>А</t>
  </si>
  <si>
    <t>16= п.17/ п.15</t>
  </si>
  <si>
    <t>17=п.15* п.16</t>
  </si>
  <si>
    <t>18=п.3* п.16</t>
  </si>
  <si>
    <t>19=п.17- п.18</t>
  </si>
  <si>
    <t>20=п.17*247дн</t>
  </si>
  <si>
    <t>21=п.17*247дн-п.17*247дн*0,3</t>
  </si>
  <si>
    <t>22=п.10-п.20</t>
  </si>
  <si>
    <t>23=п.10-п.21</t>
  </si>
  <si>
    <t>24=п.10</t>
  </si>
  <si>
    <t>25=п.22* коэфф. посещ</t>
  </si>
  <si>
    <t>26=п.23* коэфф. посещ</t>
  </si>
  <si>
    <t>27=п.24* коэфф. посещ</t>
  </si>
  <si>
    <t>Расчет для 4 часового пребывания:</t>
  </si>
  <si>
    <t>Размер для воспитанников до 3 лет в группах 4-часового пребывания</t>
  </si>
  <si>
    <t>Размер для воспитанников старше 3 лет в группах 4-часового пребывания</t>
  </si>
  <si>
    <t>Расчет для 12 часового пребывания:</t>
  </si>
  <si>
    <t>Размер для воспитанников до 3 лет в группах 12-часового пребывания</t>
  </si>
  <si>
    <t>Размер для воспитанников старше 3 лет в группах 12-часового пребывания</t>
  </si>
  <si>
    <t>Расчет для 24 часового пребывания:</t>
  </si>
  <si>
    <t>Размер для воспитанников до 3 лет в группах 24-часового пребывания</t>
  </si>
  <si>
    <t>Размер для воспитанников старше 3 лет в группах 24-часового пребывания</t>
  </si>
  <si>
    <t>размер 1 услуги, руб.</t>
  </si>
  <si>
    <t>физические лица за исключением льготных категорий (полная родительская оплата, дети до 3 лет, группа полного дня)</t>
  </si>
  <si>
    <t>физические лица за исключением льготных категорий (полная родительская оплата, дети от 3 лет до 8 лет, группа полного дня)</t>
  </si>
  <si>
    <t>дети с туберкулезной интоксикацией (100% льгота, дети от 3 лет до 8 лет, группы круглосуточного пребывания)</t>
  </si>
  <si>
    <t xml:space="preserve">дети-сироты и дети, оставшиеся без попечения родителей (100% льгота, дети от 3 лет до 8 лет, группы круглосуточного пребывания) </t>
  </si>
  <si>
    <t>дети-инвалиды (100% льгота, дети от 3 лет до 8 лет, группы круглосуточного пребывания)</t>
  </si>
  <si>
    <t>физические лица за исключением льготных категорий (полная родительская оплата, дети от 3 лет до 8 лет, группы круглосуточного пребывания)</t>
  </si>
  <si>
    <t>Количество продуктов в зависимости от возраста обучающихся (прил.7 СанПиН 2.3/2.4.3590-20)</t>
  </si>
  <si>
    <t>в том числе в зависимости от доли распределения калорийности суточной потребности по приемам пищи (табл.3, 4 в прил.10, прил.12  СанПиН 2.3/2.4.3590-20) (руб.)</t>
  </si>
  <si>
    <t>для 8-10 часового пребывания (завтрак, 2 завтрак, обед, полдник) - 75%</t>
  </si>
  <si>
    <t>2023 год</t>
  </si>
  <si>
    <t>2024 год</t>
  </si>
  <si>
    <t>Затраты на оплату труда работников, осуществляющих организацию образовательного процесса, содержание имущества (на 1-го обучающегося в год, руб.) в 2024 году</t>
  </si>
  <si>
    <t>Главный экономист ПЭО</t>
  </si>
  <si>
    <t>объем субсидии, полученной из областного и местного бюджета в отчетном (предыдущем) финансовом году, на финансовое обеспечение выполнения муниципального задания, руб.</t>
  </si>
  <si>
    <t>от 27.12.2022 № 1619</t>
  </si>
  <si>
    <t>а также величина базовых нормативов затрат по муниципальным общеобразовательным учреждениям на 2023 год и плановый период 2024-2025</t>
  </si>
  <si>
    <t>2025 год величина базового норматива затрат на 1 услугу в год (руб.)</t>
  </si>
  <si>
    <t>поправавочный оэффициент, учитывающий количество групп в учреждении</t>
  </si>
  <si>
    <t>ИТОГО в части местного бюджета ФОТ на 1 воспитанника в год</t>
  </si>
  <si>
    <t>ИТОГО в части местного бюджета ФОТ в год = ставки * 6204 руб. (МРОТ) * 1,302 (начисления) * 12мес.</t>
  </si>
  <si>
    <t>в части присмотра и ухода</t>
  </si>
  <si>
    <t>ИТОГО в части местного бюджета</t>
  </si>
  <si>
    <t>местный семейные</t>
  </si>
  <si>
    <t>местный компенсирующие</t>
  </si>
  <si>
    <t>местный комбинированные</t>
  </si>
  <si>
    <t>местный общераз., оздоровит</t>
  </si>
  <si>
    <t xml:space="preserve">                          из них пед.персонал</t>
  </si>
  <si>
    <t>областной семейные</t>
  </si>
  <si>
    <t>областной компенсирующие</t>
  </si>
  <si>
    <t>областной комбинированные</t>
  </si>
  <si>
    <t>областной общераз., оздоровит</t>
  </si>
  <si>
    <t>ИТОГО семейные</t>
  </si>
  <si>
    <t>ИТОГО компенсирующие</t>
  </si>
  <si>
    <t>ИТОГО комбинированные</t>
  </si>
  <si>
    <t>ИТОГО общераз, оздоровит</t>
  </si>
  <si>
    <t>для групп 9-ти часового пребывания</t>
  </si>
  <si>
    <t>для групп 4-х часового пребывания</t>
  </si>
  <si>
    <t>рабочий по комп.обсл.бассейна (0,5 - при бассейне и 4-8гр, 1 - при бассейне и 9 и более гр. посещ.бассейн)</t>
  </si>
  <si>
    <t>об</t>
  </si>
  <si>
    <t>уборщик бассейна (0,5 - до 8гр занимающ,плаванием, 1 - при 9 и более групп)</t>
  </si>
  <si>
    <t>инструктор по фк -по плаванию (0,25 на каждые 2 гр. Св. 3 лет)</t>
  </si>
  <si>
    <t>для МБДОУ дс/2</t>
  </si>
  <si>
    <t>Наличие бассейна</t>
  </si>
  <si>
    <t>для групп 12-ти часового пребывания</t>
  </si>
  <si>
    <t>сторож, вахтер 24 часа (4,5 на 1 здание)</t>
  </si>
  <si>
    <t>мб</t>
  </si>
  <si>
    <r>
      <t xml:space="preserve">техник по ремонту оборудования для </t>
    </r>
    <r>
      <rPr>
        <sz val="10"/>
        <color rgb="FF00B050"/>
        <rFont val="Calibri"/>
        <family val="2"/>
        <charset val="204"/>
        <scheme val="minor"/>
      </rPr>
      <t>групп компенсирующей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00B050"/>
        <rFont val="Calibri"/>
        <family val="2"/>
        <charset val="204"/>
        <scheme val="minor"/>
      </rPr>
      <t>и комбинированной</t>
    </r>
    <r>
      <rPr>
        <sz val="10"/>
        <color theme="1"/>
        <rFont val="Calibri"/>
        <family val="2"/>
        <charset val="204"/>
        <scheme val="minor"/>
      </rPr>
      <t xml:space="preserve"> направленности (0,25 на 2 группы)</t>
    </r>
  </si>
  <si>
    <t xml:space="preserve"> или слесарь-сантехник</t>
  </si>
  <si>
    <t xml:space="preserve"> или слесарь-электрик</t>
  </si>
  <si>
    <t xml:space="preserve"> или электромонтер по ремонту и обслуживанию электрообрудования</t>
  </si>
  <si>
    <t xml:space="preserve"> или плотник</t>
  </si>
  <si>
    <t xml:space="preserve"> или рабочий по комплексному обслуживанию и ремонту зданий</t>
  </si>
  <si>
    <t>рабочие специальности (0,25 - на каждые 2гр.), в т.ч.:</t>
  </si>
  <si>
    <t>грузчик (0,5 - 3гр и свыше, плюс доп.0,5 на кажд 5 гр)</t>
  </si>
  <si>
    <t>машинист по стирке (0,75 - 2гр, 1- 3 гр, 1,25 - 4-5 гр, 1,75 - 6-7 гр, 2 - 8-9 гр, 2,5 - 10-11 гр, 3 - 12 гр. и св)</t>
  </si>
  <si>
    <t>швея (0,5 - от 8 гр)</t>
  </si>
  <si>
    <t>кастелянша (0,5 -2-7гр, 1 - 8-13гр, 1,5 - 14-23гр, 2 - 24гр и свыше; плюс доп. 0,5 - при наличии не менее 2 ясельных групп)</t>
  </si>
  <si>
    <t>кладовщик (0,5 - 4-5 гр, 1 - 6 гр и выше)</t>
  </si>
  <si>
    <t xml:space="preserve"> - кухонный рабочий</t>
  </si>
  <si>
    <t xml:space="preserve"> - повар</t>
  </si>
  <si>
    <r>
      <t>повар, кухонный работник (2 - 30-49 дет, 2,5 - 50-59 дет, 3 - 60-79 дет, 3,5 - 80-99 дет, 4 - 100-109 дет, 4,5 - 110-119 дет, 5 - 120-139 дет, 5,5 - 140-159 дет, 6 - 160-174 дет, 6,5 - 175-189 дет, 7 - 190-209 дет, 7,5 - 210-224 дет, 8 - 225-259 дет, 8,5 - 260-289 дет, 9,5 - 290 и свыше)</t>
    </r>
    <r>
      <rPr>
        <sz val="11"/>
        <color indexed="8"/>
        <rFont val="Calibri"/>
        <family val="2"/>
        <charset val="204"/>
      </rPr>
      <t>:</t>
    </r>
  </si>
  <si>
    <t>шеф-повар (1 - не менее 8 гр)</t>
  </si>
  <si>
    <r>
      <t>мед.сестра (</t>
    </r>
    <r>
      <rPr>
        <sz val="11"/>
        <color indexed="30"/>
        <rFont val="Calibri"/>
        <family val="2"/>
        <charset val="204"/>
      </rPr>
      <t>на 1 семейную гр. - 0,25</t>
    </r>
    <r>
      <rPr>
        <sz val="11"/>
        <color indexed="8"/>
        <rFont val="Calibri"/>
        <family val="2"/>
        <charset val="204"/>
      </rPr>
      <t>)</t>
    </r>
  </si>
  <si>
    <t>мед.сестра (отдельный расчет)</t>
  </si>
  <si>
    <r>
      <t>младшие воспитатели или помощники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- 1,5</t>
    </r>
    <r>
      <rPr>
        <sz val="11"/>
        <color rgb="FF7030A0"/>
        <rFont val="Calibri"/>
        <family val="2"/>
        <charset val="204"/>
        <scheme val="minor"/>
      </rPr>
      <t>)</t>
    </r>
  </si>
  <si>
    <r>
      <t xml:space="preserve">младшие воспитатели или помощники (на 1 гр.: 24 час - ясли 2,5, дошк 1,5; 12час - ясли 1,5, дошк 1,25; </t>
    </r>
    <r>
      <rPr>
        <sz val="11"/>
        <color rgb="FFC00000"/>
        <rFont val="Calibri"/>
        <family val="2"/>
        <charset val="204"/>
        <scheme val="minor"/>
      </rPr>
      <t>остальные - пропорционально времени пребывания от 12 часовых ставок</t>
    </r>
    <r>
      <rPr>
        <sz val="11"/>
        <color theme="1"/>
        <rFont val="Calibri"/>
        <family val="2"/>
        <charset val="204"/>
        <scheme val="minor"/>
      </rPr>
      <t>)</t>
    </r>
  </si>
  <si>
    <r>
      <t>воспитатели</t>
    </r>
    <r>
      <rPr>
        <sz val="11"/>
        <color theme="1"/>
        <rFont val="Calibri"/>
        <family val="2"/>
        <charset val="204"/>
        <scheme val="minor"/>
      </rPr>
      <t xml:space="preserve">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- 1,4)</t>
    </r>
  </si>
  <si>
    <r>
      <t xml:space="preserve">воспитатели </t>
    </r>
    <r>
      <rPr>
        <sz val="11"/>
        <color rgb="FF00B050"/>
        <rFont val="Calibri"/>
        <family val="2"/>
        <charset val="204"/>
        <scheme val="minor"/>
      </rPr>
      <t xml:space="preserve">групп компенсирующего </t>
    </r>
    <r>
      <rPr>
        <sz val="11"/>
        <color theme="1"/>
        <rFont val="Calibri"/>
        <family val="2"/>
        <charset val="204"/>
        <scheme val="minor"/>
      </rPr>
      <t>вида (на 1гр.: 2,4 ед. 12час)</t>
    </r>
  </si>
  <si>
    <t>воспитатели (на 1гр: 1,67 ед для 12час)</t>
  </si>
  <si>
    <r>
      <t>инструктор по фк (</t>
    </r>
    <r>
      <rPr>
        <sz val="11"/>
        <color rgb="FF0070C0"/>
        <rFont val="Calibri"/>
        <family val="2"/>
        <charset val="204"/>
        <scheme val="minor"/>
      </rPr>
      <t>на 1 семейную гр. - 0,12, св.3 лет</t>
    </r>
    <r>
      <rPr>
        <sz val="11"/>
        <color theme="1"/>
        <rFont val="Calibri"/>
        <family val="2"/>
        <charset val="204"/>
        <scheme val="minor"/>
      </rPr>
      <t>)</t>
    </r>
  </si>
  <si>
    <t>инструктор по фк (0,25 на кажд.2 гр св.3 лет)</t>
  </si>
  <si>
    <r>
      <t>учитель-логопед или учитель-дефектолог (1 - на 8 групп</t>
    </r>
    <r>
      <rPr>
        <sz val="11"/>
        <color rgb="FF00B050"/>
        <rFont val="Calibri"/>
        <family val="2"/>
        <charset val="204"/>
        <scheme val="minor"/>
      </rPr>
      <t xml:space="preserve"> комбинированного вида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</si>
  <si>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учитель-логопед или учитель-дефектолог (1 - на каждую</t>
    </r>
    <r>
      <rPr>
        <sz val="11"/>
        <color rgb="FF00B050"/>
        <rFont val="Calibri"/>
        <family val="2"/>
        <charset val="204"/>
        <scheme val="minor"/>
      </rPr>
      <t xml:space="preserve"> компенсирующую группу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</si>
  <si>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муз.рук-ль  (</t>
    </r>
    <r>
      <rPr>
        <sz val="11"/>
        <color rgb="FF0070C0"/>
        <rFont val="Calibri"/>
        <family val="2"/>
        <charset val="204"/>
        <scheme val="minor"/>
      </rPr>
      <t>на 1 семейную гр. - 0,12</t>
    </r>
    <r>
      <rPr>
        <sz val="11"/>
        <color theme="1"/>
        <rFont val="Calibri"/>
        <family val="2"/>
        <charset val="204"/>
        <scheme val="minor"/>
      </rPr>
      <t xml:space="preserve">) </t>
    </r>
  </si>
  <si>
    <t>муз.рук-ль (0,25 на  1гр свыше 1,5 лет)</t>
  </si>
  <si>
    <r>
      <t>педагог-психолог  (</t>
    </r>
    <r>
      <rPr>
        <sz val="11"/>
        <color rgb="FF0070C0"/>
        <rFont val="Calibri"/>
        <family val="2"/>
        <charset val="204"/>
        <scheme val="minor"/>
      </rPr>
      <t>на 1 семейную гр. - 0,12)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</si>
  <si>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педагог-психолог (0,25 на каждые 3гр)</t>
  </si>
  <si>
    <t>дворник (1 - на 4000 кв.м прилег.терр-и)</t>
  </si>
  <si>
    <t>уборщик служебных помещений (0,5 - на кажд.250 кв.м.убир.площ, но не менее 0,25 ед) норма площади служебно-бытовых помещений по СанПиН 2.4.1.3049-13 (таблица 2): до 80 мест (1-4) - 33 кв.м; до 150 мест (5-6 гр) = 36 кв.м; до 240 мест (7-12 кв.м) = 61 кв.м; до 350 мест (13-18 гр) = 83 кв.м</t>
  </si>
  <si>
    <t>делопроизводитель (0,5 - 4-9гр, 1 - 10-24гр и св)</t>
  </si>
  <si>
    <t>кассир (0,25 на каждые 5гр)</t>
  </si>
  <si>
    <t>бухгалтер, экономист (0,5 - 2-7гр, 1 - 8-13гр, 1,5 - 14-23гр, 2 - 24гр и свыше)</t>
  </si>
  <si>
    <t>завхоз (0,5 - 4-5гр, 1 - 6-11гр, 0 - 12-21гр, 1 - 22-24гр и св)</t>
  </si>
  <si>
    <t>зам.завед по АХР (1 - 12-24гр и св)</t>
  </si>
  <si>
    <t>зам.завед по ВМР (0,5 - 6-9 гр, 1 - 10-17гр, 1,5 - 18-21гр, 2 - 22-24гр, св.24гр - плюс 1 за кажд 10 гр)</t>
  </si>
  <si>
    <t>заведующий (директор)</t>
  </si>
  <si>
    <t>обучающиеся в семейных группах</t>
  </si>
  <si>
    <t>обучающиеся компенсир.группах</t>
  </si>
  <si>
    <t>обучающиеся комбинир.группах</t>
  </si>
  <si>
    <t>обучающиеся</t>
  </si>
  <si>
    <t>группы</t>
  </si>
  <si>
    <t>до 3 лет (средняя наполняемость - 15)</t>
  </si>
  <si>
    <t>12-часового пребывания</t>
  </si>
  <si>
    <t>группы общеразвивающего вида</t>
  </si>
  <si>
    <t>должность</t>
  </si>
  <si>
    <t>источник</t>
  </si>
  <si>
    <t>Расчет численности работников по примерным штатам МДОУ</t>
  </si>
  <si>
    <t>Количество штатных единиц медицинских работников (или калькуляторов) образовательных учреждений</t>
  </si>
  <si>
    <t>Наименование учреждения</t>
  </si>
  <si>
    <t>Кол-во групп</t>
  </si>
  <si>
    <t>из них до 3 лет</t>
  </si>
  <si>
    <t xml:space="preserve">Старшая медицинская сестра </t>
  </si>
  <si>
    <t xml:space="preserve">Медицинская сестра </t>
  </si>
  <si>
    <t>Медицинская сестра диетическая</t>
  </si>
  <si>
    <t>Медицинская сестра ортаптистка</t>
  </si>
  <si>
    <t>Медицинская сестра по физиотерапии</t>
  </si>
  <si>
    <t>Медицинская сестра по массажу</t>
  </si>
  <si>
    <t>Инструктор-методист по лечебной физкультуре</t>
  </si>
  <si>
    <t>Инструктор по лечебной физкультуре</t>
  </si>
  <si>
    <t>Врач-педиатр</t>
  </si>
  <si>
    <t>Врач-офтальмолог</t>
  </si>
  <si>
    <t>Врач физиотерапевт</t>
  </si>
  <si>
    <t>Врач по лечебной физкультуре</t>
  </si>
  <si>
    <t>Врач невролог</t>
  </si>
  <si>
    <t>Итого медицинские работники</t>
  </si>
  <si>
    <t>из них врачи и медсестры</t>
  </si>
  <si>
    <t>примерные штаты по медсестрам и калькуляторам</t>
  </si>
  <si>
    <t>дополнительный штат на удаленное здание</t>
  </si>
  <si>
    <t>ИТОГО примерные штаты медсестер</t>
  </si>
  <si>
    <t>ставки врачей и медсестер к сокращению (+)</t>
  </si>
  <si>
    <t>ставки</t>
  </si>
  <si>
    <t>ФЗП в месяц 211, руб.</t>
  </si>
  <si>
    <t>1группа = 0,5, 2группы = 0,75, 3-7 групп = 1</t>
  </si>
  <si>
    <t>8-12 групп = 1,5</t>
  </si>
  <si>
    <t>13-16 групп = 2</t>
  </si>
  <si>
    <t>17 и более групп = 2,5</t>
  </si>
  <si>
    <t>0,5 на 1 здание</t>
  </si>
  <si>
    <t>калькулятор</t>
  </si>
  <si>
    <t>мед.сестра</t>
  </si>
  <si>
    <t>МБДОУ д/с № 2</t>
  </si>
  <si>
    <t>МБДОУ д/с № 5</t>
  </si>
  <si>
    <t>МБДОУ д/с № 7</t>
  </si>
  <si>
    <t>МБДОУ д/с № 9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</si>
  <si>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</si>
  <si>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</si>
  <si>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</si>
  <si>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</si>
  <si>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</si>
  <si>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20</t>
  </si>
  <si>
    <t>МБДОУ д/с № 24</t>
  </si>
  <si>
    <t>МБДОУ д/с № 25</t>
  </si>
  <si>
    <t>МБДОУ д/с № 29</t>
  </si>
  <si>
    <t>МБДОУ д/с № 31</t>
  </si>
  <si>
    <t>МБДОУ д/с № 32</t>
  </si>
  <si>
    <t>МБДОУ д/с № 36</t>
  </si>
  <si>
    <t>МБДОУ д/с № 37</t>
  </si>
  <si>
    <t>МБДОУ д/с № 13/38</t>
  </si>
  <si>
    <t>МБДОУ д/с № 39</t>
  </si>
  <si>
    <t>МБДОУ д/с № 41</t>
  </si>
  <si>
    <t>МБДОУ д/с № 43</t>
  </si>
  <si>
    <t>МБДОУ д/с № 44</t>
  </si>
  <si>
    <t>МБДОУ д/с № 45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</si>
  <si>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</si>
  <si>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</si>
  <si>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</si>
  <si>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</si>
  <si>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</si>
  <si>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</si>
  <si>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</si>
  <si>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62</t>
  </si>
  <si>
    <t>МБДОУ д/с № 63</t>
  </si>
  <si>
    <t>МБДОУ д/с № 64</t>
  </si>
  <si>
    <t>МБДОУ д/с № 65</t>
  </si>
  <si>
    <t>МБДОУ д/с № 66</t>
  </si>
  <si>
    <t>МБДОУ д/с № 67</t>
  </si>
  <si>
    <t>МБДОУ д/с № 68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</si>
  <si>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</si>
  <si>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</si>
  <si>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</si>
  <si>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</si>
  <si>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</si>
  <si>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</si>
  <si>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</si>
  <si>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</si>
  <si>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Здоровый ребенок</t>
  </si>
  <si>
    <t>МБДОУ д/с № 92</t>
  </si>
  <si>
    <t>МБДОУ д/с № 93</t>
  </si>
  <si>
    <t>МБДОУ д/с № 94</t>
  </si>
  <si>
    <t>МБДОУ д/с № 95</t>
  </si>
  <si>
    <t>МБДОУ д/с № 97</t>
  </si>
  <si>
    <t>МБДОУ д/с № 99</t>
  </si>
  <si>
    <t>МБДОУ д/с № 100</t>
  </si>
  <si>
    <t>МБДОУ д/с № 101</t>
  </si>
  <si>
    <t>МБДОУ д/с № 102</t>
  </si>
  <si>
    <t>Итого</t>
  </si>
  <si>
    <t>МОБУ СОШ № 29</t>
  </si>
  <si>
    <t>в 2022 году</t>
  </si>
  <si>
    <t>оклад с ув на 4% с 01.10.22=</t>
  </si>
  <si>
    <t>Расчет коффициента платной деятельности на 2023 год и плановый период 2024-2025 годов</t>
  </si>
  <si>
    <t>Организация</t>
  </si>
  <si>
    <t>объем доходов от платной деятельности, полученных в отчетном (предыдщем) году  "Оказание платных услуг (работ) (131)" за 2021 год, руб.</t>
  </si>
  <si>
    <t>объем субсидии, полученной из бюджета в отчетном (предыдущем) финансовом году, на финансовое обеспечение выполнения муниципального задания за 2021 год, руб.</t>
  </si>
  <si>
    <t>налоги, в качестве объекта налогообложения по которым признается имущество муниципального учреждения - на 2023 год, руб.</t>
  </si>
  <si>
    <t>отклонение по налогу для выплаты за счет платной деятельности, руб.</t>
  </si>
  <si>
    <t>4=п.2/(п.1+п.2)</t>
  </si>
  <si>
    <t>5=п.3*п.4</t>
  </si>
  <si>
    <t>6=п.3-п.5</t>
  </si>
  <si>
    <t>02 МАОУ гимназия им.А.П.Чехова</t>
  </si>
  <si>
    <t>03 МОБУ СОШ № 3 Ю.А.Гагарина</t>
  </si>
  <si>
    <t>04 МАОУ лицей № 4 (ТМОЛ)</t>
  </si>
  <si>
    <t>05 МОБУ СОШ № 5</t>
  </si>
  <si>
    <t>06 МОБУ СОШ № 6</t>
  </si>
  <si>
    <t>07 МОБУ лицей  №7</t>
  </si>
  <si>
    <t>08 МОБУ СОШ № 8 А.Г. Ломакина</t>
  </si>
  <si>
    <t>09 МОБУ СОШ № 9</t>
  </si>
  <si>
    <t>10 МАОУ СОШ № 10</t>
  </si>
  <si>
    <t>12 МАОУ СОШ №12</t>
  </si>
  <si>
    <t>15 МАОУ гимназия Мариинская</t>
  </si>
  <si>
    <t>16 МОБУ СОШ № 16</t>
  </si>
  <si>
    <t>20 МОБУ СОШ № 20</t>
  </si>
  <si>
    <t>21 МОБУ СОШ № 21</t>
  </si>
  <si>
    <t>22 МАОУСОШ№22</t>
  </si>
  <si>
    <t>23 МОБУ СОШ № 23</t>
  </si>
  <si>
    <t>24 МОБУ СОШ № 24</t>
  </si>
  <si>
    <t>25 МАОУ СОШ № 25/11</t>
  </si>
  <si>
    <t>26 МОБУ СОШ № 26</t>
  </si>
  <si>
    <t>27 МАОУ СОШ № 27</t>
  </si>
  <si>
    <t>28 МАОУ лицей № 28</t>
  </si>
  <si>
    <t>30 МОБУ СОШ № 30</t>
  </si>
  <si>
    <t>31 МОБУ СОШ № 31</t>
  </si>
  <si>
    <t>32 МОБУ СОШ № 32</t>
  </si>
  <si>
    <t>33 МОБУ лицей № 33</t>
  </si>
  <si>
    <t>34 МОБУ СОШ №34</t>
  </si>
  <si>
    <t>35 МОБУ СОШ № 35</t>
  </si>
  <si>
    <t>36 МОБУ СОШ №36</t>
  </si>
  <si>
    <t>37 МАОУ СОШ № 37</t>
  </si>
  <si>
    <t>38 МОБУ СОШ № 38</t>
  </si>
  <si>
    <t>39 МАБУ СОШ № 39</t>
  </si>
  <si>
    <t>001 МАДОУ д/с № 1</t>
  </si>
  <si>
    <t>002 МБДОУ  д/с №2</t>
  </si>
  <si>
    <t>003 МБДОУ  д/с № 3</t>
  </si>
  <si>
    <t>004 МАДОУ д/с № 4</t>
  </si>
  <si>
    <t>005 МБДОУ  д/с № 5</t>
  </si>
  <si>
    <t>007 МАДОУ д/с №7</t>
  </si>
  <si>
    <t>010 МБДОУ д/с №10</t>
  </si>
  <si>
    <t>012 МБДОУ д/с № 12</t>
  </si>
  <si>
    <t>013 МБДОУ д/с №13/38</t>
  </si>
  <si>
    <t>015 МБДОУ  д/с № 15</t>
  </si>
  <si>
    <t>017 МБДОУ д/с № 17</t>
  </si>
  <si>
    <t>020 МБДОУ д/с № 20</t>
  </si>
  <si>
    <t>024 МБДОУ д/с № 24</t>
  </si>
  <si>
    <t>025 МБДОУ д/с № 25</t>
  </si>
  <si>
    <t>029 МБДОУ д/с №29 "Маячок"</t>
  </si>
  <si>
    <t>031 МБДОУ  д/с № 31</t>
  </si>
  <si>
    <t>032 МБДОУ д/с № 32</t>
  </si>
  <si>
    <t>036 МБДОУ д/с №36</t>
  </si>
  <si>
    <t>037 МБДОУ д/с № 37</t>
  </si>
  <si>
    <t>039 МБДОУ д/с №39</t>
  </si>
  <si>
    <t>041 МБДОУ д/с №41</t>
  </si>
  <si>
    <t>043 МБДОУ д/с № 43</t>
  </si>
  <si>
    <t>044 МБДОУ д/с №44</t>
  </si>
  <si>
    <t>045 МБДОУ ЦРР "Ромашка"</t>
  </si>
  <si>
    <t>046 МБДОУ д/с № 46</t>
  </si>
  <si>
    <t>048 МБДОУ д/с № 48</t>
  </si>
  <si>
    <t>051 МБДОУ д/с № 51</t>
  </si>
  <si>
    <t>052 МБДОУ д/с № 52</t>
  </si>
  <si>
    <t>055 МБДОУ д/с №55</t>
  </si>
  <si>
    <t>059 МБДОУ д/с № 59</t>
  </si>
  <si>
    <t>062 МБДОУ д/с № 62 "Журавушка"</t>
  </si>
  <si>
    <t>063 МБДОУ д/с № 63</t>
  </si>
  <si>
    <t>064 МБДОУ д/с № 64</t>
  </si>
  <si>
    <t>065 МБДОУ д/с №65 "Буратино"</t>
  </si>
  <si>
    <t>066 МАДОУ ЦРР "Улыбка"</t>
  </si>
  <si>
    <t>067 МБДОУ д/с № 67</t>
  </si>
  <si>
    <t>068 МАДОУ д/с № 68"Светлячок"</t>
  </si>
  <si>
    <t>071 МБДОУ д/с № 71</t>
  </si>
  <si>
    <t>073 МБДОУ д/с № 73</t>
  </si>
  <si>
    <t>076 МБДОУ д/с № 76</t>
  </si>
  <si>
    <t>078 МБДОУ д/с №78</t>
  </si>
  <si>
    <t>080 МБДОУ д/с № 80</t>
  </si>
  <si>
    <t>083 МБДОУ д/с  № 83</t>
  </si>
  <si>
    <t>084 МБДОУ д/с № 84</t>
  </si>
  <si>
    <t>086 МБДОУ д/с Здоровый ребёнок</t>
  </si>
  <si>
    <t xml:space="preserve">091 МБДОУ д/с № 91 </t>
  </si>
  <si>
    <t>092 МБДОУ д/с № 92</t>
  </si>
  <si>
    <t>093 МБДОУ д/с № 93</t>
  </si>
  <si>
    <t>094 МБДОУ д/с № 94</t>
  </si>
  <si>
    <t>095 МБДОУ ДС № 95</t>
  </si>
  <si>
    <t>097 МБДОУ д/с № 97</t>
  </si>
  <si>
    <t>099 МБДОУ д/с №99</t>
  </si>
  <si>
    <t>100 МБДОУ д/с № 100</t>
  </si>
  <si>
    <t>101 МБДОУ д/с № 101</t>
  </si>
  <si>
    <t>102 МБДОУ д/с № 102</t>
  </si>
  <si>
    <t>новый МАДОУ д/с № 6</t>
  </si>
  <si>
    <t>новый МАДОУ д/с № 8</t>
  </si>
  <si>
    <t>Итого сады</t>
  </si>
  <si>
    <t>ДДТ</t>
  </si>
  <si>
    <t>ЦВР</t>
  </si>
  <si>
    <t>ЦТТ</t>
  </si>
  <si>
    <t>СЮН</t>
  </si>
  <si>
    <t>СЮТур</t>
  </si>
  <si>
    <t>МБУ ЦМППС</t>
  </si>
  <si>
    <t>ВСЕГО</t>
  </si>
  <si>
    <t>КОСГУ 291 на 2023 год и плановый период 2024 и 2025 годов</t>
  </si>
  <si>
    <t>2024-2025 год</t>
  </si>
  <si>
    <t>Всего налоги, руб.</t>
  </si>
  <si>
    <t>в т.ч.</t>
  </si>
  <si>
    <t>имущество</t>
  </si>
  <si>
    <t>земля</t>
  </si>
  <si>
    <t>ВСЕГО:</t>
  </si>
  <si>
    <t>бюджетные</t>
  </si>
  <si>
    <t>автономные</t>
  </si>
  <si>
    <t>Расчет среднесуточной стоимости набора пищевых продуктов на 1 обучающегося в муниципальных дошкольных образовательных учреждениях города Таганрога</t>
  </si>
  <si>
    <t>нетто  в г, мл</t>
  </si>
  <si>
    <t>нетто  в руб.</t>
  </si>
  <si>
    <r>
      <rPr>
        <b/>
        <u/>
        <sz val="9"/>
        <color rgb="FFC00000"/>
        <rFont val="Times New Roman"/>
        <family val="1"/>
        <charset val="204"/>
      </rPr>
      <t>для 11-12 и 24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ужин, 2 ужин) - 100%</t>
    </r>
  </si>
  <si>
    <r>
      <rPr>
        <b/>
        <u/>
        <sz val="9"/>
        <color rgb="FFC00000"/>
        <rFont val="Times New Roman"/>
        <family val="1"/>
        <charset val="204"/>
      </rPr>
      <t>для 4 часового</t>
    </r>
    <r>
      <rPr>
        <sz val="9"/>
        <color theme="1"/>
        <rFont val="Times New Roman"/>
        <family val="1"/>
        <charset val="204"/>
      </rPr>
      <t xml:space="preserve"> пребывания - 35%  (2 приема пищи определяются фактическим временем нахождения в организации)</t>
    </r>
  </si>
  <si>
    <t>9=п.5 * 0,75</t>
  </si>
  <si>
    <t>10=п.6* 0,75</t>
  </si>
  <si>
    <t>11=п.5 * 0,35</t>
  </si>
  <si>
    <t>12=п.6* 0,35</t>
  </si>
  <si>
    <t>Хлеб ржаной</t>
  </si>
  <si>
    <t>Картофель</t>
  </si>
  <si>
    <t>Овощи (свежие, замороженные, консервированные), включая 
соленые и квашеные (не более 10% от общего количества овощей) 
в т.ч. томат-пюре, зелень</t>
  </si>
  <si>
    <t xml:space="preserve">Фрукты свежие  </t>
  </si>
  <si>
    <t>Сухофрукты</t>
  </si>
  <si>
    <t>Соки фруктовые и овощные</t>
  </si>
  <si>
    <t>Мясо 1-й категории</t>
  </si>
  <si>
    <t>Птица (куры, цыплята-бройлеры, индейка - потрошенные 1 кат)</t>
  </si>
  <si>
    <t>Субпродукты (печень, язык, сердце)</t>
  </si>
  <si>
    <t xml:space="preserve">Рыба (филе), в т.ч. филе слабо или малосоленое                      </t>
  </si>
  <si>
    <t>Крахмал</t>
  </si>
  <si>
    <t>Молоко, молочная и кисломолочная продукция</t>
  </si>
  <si>
    <t>Напитки витаминизированные</t>
  </si>
  <si>
    <t>Творог (5% - 9% м.д.ж.)</t>
  </si>
  <si>
    <t xml:space="preserve">Сыр </t>
  </si>
  <si>
    <t>Сметана</t>
  </si>
  <si>
    <t xml:space="preserve">Масло сливочное </t>
  </si>
  <si>
    <t>Яйцо (шт.)</t>
  </si>
  <si>
    <t xml:space="preserve">Сахар (в том числе для приготовления блюд и напитков, в случае 
использования пищевой продукции промышленного выпуска, 
содержащих сахар выдача сахара должна быть уменьшена в 
зависимости от его содержания в используемом готовой пищевой 
продукции)
             </t>
  </si>
  <si>
    <t>Соль пищевая поваренная</t>
  </si>
  <si>
    <t>* для расчета норматива используются средние потребительские цены продуктов в городе Таганроге по состоянию на 28.11.2022 согласно данным Ростов стата по ссылке https://rostov.gks.ru/storage/mediabank/Средние%20цены%20на%20ряд%20товаров%20и%20платных%20услуг%20по%20городам%20РО(141).htm; по продуктам, отсутствующим в списке, использовались средние цены по Ростовской области по состоянию на 01.07.2022 (письмо Ростовстата от 07.07.2022 № 714-62-03/211-ГС);  нормы за вес нетто согласно постановлению Главного государственного санитарного врача РФ от 27 октября 2020 г.  № 32 "Санитарно-эпидемиологические требования к организации общественного питания населения"</t>
  </si>
  <si>
    <t>минобразование РО от 29.12.2022 № 1179 весь присмотр и уход</t>
  </si>
  <si>
    <t>была нормативная стоимость питания на 01.03.2022</t>
  </si>
  <si>
    <t>Норма обеспечения бутилированной водой воспитанников дошкольных образовательных учреждений</t>
  </si>
  <si>
    <r>
      <t xml:space="preserve">стоимость всего на одного воспитанника в год для </t>
    </r>
    <r>
      <rPr>
        <b/>
        <u/>
        <sz val="11"/>
        <color rgb="FFC00000"/>
        <rFont val="Times New Roman"/>
        <family val="1"/>
        <charset val="204"/>
      </rPr>
      <t>12 и 24-часового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</si>
  <si>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t>доли распределения суточной потребности по приемам пищи (табл.3, 4 в прил.10, прил.12  СанПиН 2.3/2.4.3590-20) - для 11-12 и 24 часового пребывания, %</t>
  </si>
  <si>
    <t>доли распределения суточной потребности по приемам пищи (табл.3, 4 в прил.10, прил.12  СанПиН 2.3/2.4.3590-20) - для 4-5 часового пребывания, %</t>
  </si>
  <si>
    <r>
      <t xml:space="preserve">стоимость всего на одного воспитанника в год для </t>
    </r>
    <r>
      <rPr>
        <b/>
        <u/>
        <sz val="11"/>
        <color rgb="FFC00000"/>
        <rFont val="Times New Roman"/>
        <family val="1"/>
        <charset val="204"/>
      </rPr>
      <t>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</si>
  <si>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12 и 24-часового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</si>
  <si>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4-часового</t>
    </r>
    <r>
      <rPr>
        <sz val="11"/>
        <color theme="1"/>
        <rFont val="Times New Roman"/>
        <family val="1"/>
        <charset val="204"/>
      </rPr>
      <t xml:space="preserve">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4 часам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</si>
  <si>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r>
      <t xml:space="preserve">количество дней функционирования в </t>
    </r>
    <r>
      <rPr>
        <sz val="11"/>
        <color rgb="FFC00000"/>
        <rFont val="Times New Roman"/>
        <family val="1"/>
        <charset val="204"/>
      </rPr>
      <t>2023</t>
    </r>
    <r>
      <rPr>
        <sz val="11"/>
        <rFont val="Times New Roman"/>
        <family val="1"/>
        <charset val="204"/>
      </rPr>
      <t xml:space="preserve"> году</t>
    </r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</si>
  <si>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4-часовог</t>
    </r>
    <r>
      <rPr>
        <sz val="11"/>
        <color theme="1"/>
        <rFont val="Times New Roman"/>
        <family val="1"/>
        <charset val="204"/>
      </rPr>
      <t xml:space="preserve">о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4 часам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</si>
  <si>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t>Распределение доли по калорийности (потребности в пищевых веществах и энергии) суточной потребности по приемам пищи (табл.3, 4 в прил.10, прил.12  СанПиН 2.3/2.4.3590-20)</t>
  </si>
  <si>
    <t>время приема пищи</t>
  </si>
  <si>
    <r>
      <rPr>
        <b/>
        <u/>
        <sz val="9"/>
        <color rgb="FFC00000"/>
        <rFont val="Times New Roman"/>
        <family val="1"/>
        <charset val="204"/>
      </rPr>
      <t>для 11-12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ужин) - 95%</t>
    </r>
  </si>
  <si>
    <r>
      <rPr>
        <b/>
        <u/>
        <sz val="9"/>
        <color rgb="FFC00000"/>
        <rFont val="Times New Roman"/>
        <family val="1"/>
        <charset val="204"/>
      </rPr>
      <t>для 24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ужин, 2 ужин) - 100%</t>
    </r>
  </si>
  <si>
    <r>
      <rPr>
        <b/>
        <u/>
        <sz val="9"/>
        <color rgb="FFC00000"/>
        <rFont val="Times New Roman"/>
        <family val="1"/>
        <charset val="204"/>
      </rPr>
      <t>для 4 часового</t>
    </r>
    <r>
      <rPr>
        <sz val="9"/>
        <color theme="1"/>
        <rFont val="Times New Roman"/>
        <family val="1"/>
        <charset val="204"/>
      </rPr>
      <t xml:space="preserve"> пребывания (завтрак или уплотненный полдник) - 25%</t>
    </r>
  </si>
  <si>
    <r>
      <t xml:space="preserve">в том числе ваианты питания </t>
    </r>
    <r>
      <rPr>
        <b/>
        <u/>
        <sz val="9"/>
        <color rgb="FFC00000"/>
        <rFont val="Times New Roman"/>
        <family val="1"/>
        <charset val="204"/>
      </rPr>
      <t>для 4 часового</t>
    </r>
    <r>
      <rPr>
        <sz val="9"/>
        <color theme="1"/>
        <rFont val="Times New Roman"/>
        <family val="1"/>
        <charset val="204"/>
      </rPr>
      <t xml:space="preserve"> пребывания в зависимости от времени нахождения в организации</t>
    </r>
  </si>
  <si>
    <t>приемы пищи</t>
  </si>
  <si>
    <t>% калорийности</t>
  </si>
  <si>
    <t>усредненное значение</t>
  </si>
  <si>
    <t xml:space="preserve">1 вариант </t>
  </si>
  <si>
    <t xml:space="preserve">2 вариант </t>
  </si>
  <si>
    <t xml:space="preserve">3 вариант </t>
  </si>
  <si>
    <t xml:space="preserve">4 вариант </t>
  </si>
  <si>
    <t xml:space="preserve">5 вариант </t>
  </si>
  <si>
    <t>8.30-9.00</t>
  </si>
  <si>
    <t>2 приема пищи определяются фактическим временем нахождения в организации</t>
  </si>
  <si>
    <t>10.30-11.00</t>
  </si>
  <si>
    <t>второй завтрак</t>
  </si>
  <si>
    <t>12.00-13.00</t>
  </si>
  <si>
    <t>15.30</t>
  </si>
  <si>
    <t>полдник</t>
  </si>
  <si>
    <t>18.30</t>
  </si>
  <si>
    <t>ужин</t>
  </si>
  <si>
    <t>21.00</t>
  </si>
  <si>
    <t>второй ужин</t>
  </si>
  <si>
    <t xml:space="preserve"> на 2023 год и плановый период 2024 и 2025 годов</t>
  </si>
  <si>
    <r>
      <t xml:space="preserve">Максимальный размер род. платы для 12-часового пребывания, </t>
    </r>
    <r>
      <rPr>
        <b/>
        <sz val="8"/>
        <color theme="1"/>
        <rFont val="Times New Roman"/>
        <family val="1"/>
        <charset val="204"/>
      </rPr>
      <t>утв пост Пр-ва РО № 6 от 10.01.22</t>
    </r>
  </si>
  <si>
    <r>
      <t xml:space="preserve">Коэффициент, </t>
    </r>
    <r>
      <rPr>
        <sz val="9"/>
        <color theme="1"/>
        <rFont val="Times New Roman"/>
        <family val="1"/>
        <charset val="204"/>
      </rPr>
      <t>определяющий соотношение родительской платы к нормативным затратам, входящим в состав род.платы</t>
    </r>
  </si>
  <si>
    <t>Размер родительской платы в постановлении г. Таганрога, руб.</t>
  </si>
  <si>
    <t>О.Л.Морозова</t>
  </si>
  <si>
    <t>Физические лица льготных категорий, определяемых учредителем (100% льгота, дети до 3 лет, группа полного дня -дети участников СВО)</t>
  </si>
  <si>
    <t>Физические лица льготных категорий, определяемых учредителем (% прочая льгота, дети до 3 лет, группа полного дня)</t>
  </si>
  <si>
    <t>Физические лица льготных категорий, определяемых учредителем (100% льгота, дети от 3 лет до 8 лет, группа полного дня - дети участников СВО)</t>
  </si>
  <si>
    <t>Физические лица льготных категорий, определяемых учредителем (% прочая льгота, дети от 3 лет до 8 лет, группа полного дня)</t>
  </si>
  <si>
    <t>Физические лица льготных категорий, определяемых учредителем (100% льгота, дети от 3 лет до 8 лет, группы круглосуточного пребывания - дети участников СВО)</t>
  </si>
  <si>
    <t>Физические лица льготных категорий, определяемых учредителем (% прочая льгота, дети от 3 лет до 8 лет, группы круглосуточного пребывания)</t>
  </si>
  <si>
    <t>Приложение № 3/4</t>
  </si>
  <si>
    <r>
      <t>Коэффициент увеличения ФОТ на величину компенсационных выплат - доплаты за работу в ночное время и нерабочие праздничные дни (1+</t>
    </r>
    <r>
      <rPr>
        <sz val="9"/>
        <color rgb="FFC00000"/>
        <rFont val="Times New Roman"/>
        <family val="1"/>
        <charset val="204"/>
      </rPr>
      <t>0,2293</t>
    </r>
    <r>
      <rPr>
        <sz val="9"/>
        <color theme="1"/>
        <rFont val="Times New Roman"/>
        <family val="1"/>
        <charset val="204"/>
      </rPr>
      <t>)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</si>
  <si>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6,1% с 01.10. 2023 = 1,01525</t>
    </r>
  </si>
  <si>
    <r>
      <t xml:space="preserve">Размер МРОТ </t>
    </r>
    <r>
      <rPr>
        <sz val="9"/>
        <color rgb="FFC00000"/>
        <rFont val="Times New Roman"/>
        <family val="1"/>
        <charset val="204"/>
      </rPr>
      <t>с 01.01.2023 = 16242 руб. в месяц</t>
    </r>
  </si>
  <si>
    <r>
      <t>Размер ставки заработной платы 3 разряда  в месяц</t>
    </r>
    <r>
      <rPr>
        <sz val="9"/>
        <color rgb="FFC00000"/>
        <rFont val="Times New Roman"/>
        <family val="1"/>
        <charset val="204"/>
      </rPr>
      <t xml:space="preserve"> с 01.10.2022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</si>
  <si>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6,1% с 01.10. 2023 = 1,061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</si>
  <si>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1,04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</si>
  <si>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1,01</t>
    </r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</si>
  <si>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2025 году</t>
  </si>
  <si>
    <r>
      <t xml:space="preserve">Размер ставки заработной платы 2-го разряда  в месяц </t>
    </r>
    <r>
      <rPr>
        <sz val="9"/>
        <color rgb="FFC00000"/>
        <rFont val="Times New Roman"/>
        <family val="1"/>
        <charset val="204"/>
      </rPr>
      <t>с 01.10.2022</t>
    </r>
  </si>
  <si>
    <r>
      <t>Коэффициент увеличения ФОТ на величину компенсационных выплат - доплаты за работу в ночное время и нерабочие праздничные дни</t>
    </r>
    <r>
      <rPr>
        <sz val="9"/>
        <rFont val="Times New Roman"/>
        <family val="1"/>
        <charset val="204"/>
      </rPr>
      <t xml:space="preserve"> (было = 1+0,2293)</t>
    </r>
    <r>
      <rPr>
        <sz val="9"/>
        <color rgb="FFC00000"/>
        <rFont val="Times New Roman"/>
        <family val="1"/>
        <charset val="204"/>
      </rPr>
      <t xml:space="preserve"> - с 01.01.2021 = 1,0, т.к. сторожей нет, а охрана осуществляется по договору сторонней организацией</t>
    </r>
  </si>
  <si>
    <t>Затраты на оплату труда работников, осуществляющих организацию образовательного процесса, содержание имущества (на 1-го обучающегося в год, руб.) в 2025 году</t>
  </si>
  <si>
    <t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2023 год</t>
  </si>
  <si>
    <t>ФОТ работников с учетом дополнительных средств на указ</t>
  </si>
  <si>
    <t>ФОТ работников</t>
  </si>
  <si>
    <t>Количество часов пребывания в группе в день</t>
  </si>
  <si>
    <t>Количество часов пребывания в группе в неделю при 5-ти дневной раб.неделе</t>
  </si>
  <si>
    <t xml:space="preserve">Норма часов педагогической работы воспитателя за ставку заработной платы </t>
  </si>
  <si>
    <r>
      <t>Размер должностного оклада воспитателя с</t>
    </r>
    <r>
      <rPr>
        <sz val="12"/>
        <color rgb="FFC00000"/>
        <rFont val="Times New Roman"/>
        <family val="1"/>
        <charset val="204"/>
      </rPr>
      <t xml:space="preserve"> 01.10.2022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</si>
  <si>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6,1% с 01.10. 2023 = 1+ 6,1/ 100/ 12мес* 3мес = 1,01525</t>
    </r>
  </si>
  <si>
    <t>Размер должностного оклада воспитателя с учетом индексации</t>
  </si>
  <si>
    <t>Коэффициент, учитывающий начисления на выплаты по оплате труда</t>
  </si>
  <si>
    <r>
      <t xml:space="preserve">Коэффициент увеличения ФОТ на величину компенсационных и стимулирующих выплат </t>
    </r>
    <r>
      <rPr>
        <sz val="9"/>
        <color theme="1"/>
        <rFont val="Times New Roman"/>
        <family val="1"/>
        <charset val="204"/>
      </rPr>
      <t>(по-среднему: категория (10+25)/2 = 17,5% + выслуга (10+15+20)/3 = 15% - всего 32,5% или 1,325; дополнительно для обучение детей с овз = 15% - всего 32,5+15 = 47,5% или 1,475)</t>
    </r>
  </si>
  <si>
    <t>Наполняемость групп</t>
  </si>
  <si>
    <t>Всего ФОТ воспитателей</t>
  </si>
  <si>
    <t>Всего ФОТ прочих пед работников</t>
  </si>
  <si>
    <t>ФОТ руководителей</t>
  </si>
  <si>
    <t>ФОТ АУП, УВП, ОП</t>
  </si>
  <si>
    <t>За индивидуальное обучение на дому больных детей-хроников и  детей, находящихся на длительном лечении</t>
  </si>
  <si>
    <t>Коэффициент за коррекцию</t>
  </si>
  <si>
    <t>Коэффициент удорожания с округлением</t>
  </si>
  <si>
    <t>Дополнительно</t>
  </si>
  <si>
    <t xml:space="preserve"> кол-во пед.часов на 1 обуч-ся в неделю</t>
  </si>
  <si>
    <t>фот на 1 пед.ставку</t>
  </si>
  <si>
    <t>Педработники с учетом дополнительных средств на указ</t>
  </si>
  <si>
    <t>АУП, УВП и прочие</t>
  </si>
  <si>
    <t>Педработники</t>
  </si>
  <si>
    <t xml:space="preserve">количество ставок руководителей </t>
  </si>
  <si>
    <t>количество ставок АУП, УВП и ОП без руководителей и пед работников</t>
  </si>
  <si>
    <t>количество ставок педагогического персонала с учетом воспитателей</t>
  </si>
  <si>
    <t>из них количество ставок воспитателей</t>
  </si>
  <si>
    <r>
      <t>размер среднемесячной зарплаты 1-го заведующего с</t>
    </r>
    <r>
      <rPr>
        <sz val="12"/>
        <color rgb="FFC00000"/>
        <rFont val="Times New Roman"/>
        <family val="1"/>
        <charset val="204"/>
      </rPr>
      <t xml:space="preserve"> 01.10.2022</t>
    </r>
  </si>
  <si>
    <r>
      <t xml:space="preserve">Всего ФОТ заведующего, заместителей и главного бухгалтера учреждения </t>
    </r>
    <r>
      <rPr>
        <sz val="9"/>
        <color theme="1"/>
        <rFont val="Times New Roman"/>
        <family val="1"/>
        <charset val="204"/>
      </rPr>
      <t xml:space="preserve">(фот рук-ля + фот рук-ля * кол-во ставок зам.рук-лей минус 1 ст * 0,80 среднее снижение между 10-30%) * 1,01 коэфф фонда мат помощи * 1,302 коэфф начислений *  </t>
    </r>
    <r>
      <rPr>
        <sz val="9"/>
        <color theme="5" tint="-0.249977111117893"/>
        <rFont val="Times New Roman"/>
        <family val="1"/>
        <charset val="204"/>
      </rPr>
      <t>коэфф индексации зарплаты</t>
    </r>
    <r>
      <rPr>
        <sz val="9"/>
        <color theme="1"/>
        <rFont val="Times New Roman"/>
        <family val="1"/>
        <charset val="204"/>
      </rPr>
      <t>)</t>
    </r>
  </si>
  <si>
    <r>
      <t xml:space="preserve">размер МРОТ в месяц </t>
    </r>
    <r>
      <rPr>
        <sz val="12"/>
        <color rgb="FFC00000"/>
        <rFont val="Times New Roman"/>
        <family val="1"/>
        <charset val="204"/>
      </rPr>
      <t>с 01.01.2023</t>
    </r>
  </si>
  <si>
    <r>
      <t xml:space="preserve">Всего ФОТ по АУП, УВП, ОП </t>
    </r>
    <r>
      <rPr>
        <sz val="9"/>
        <color theme="1"/>
        <rFont val="Times New Roman"/>
        <family val="1"/>
        <charset val="204"/>
      </rPr>
      <t>(кол-во ставок * мрот * 1,01 коэфф фонда мат помощи * 1,302)</t>
    </r>
  </si>
  <si>
    <t xml:space="preserve">Учитывающий </t>
  </si>
  <si>
    <r>
      <t xml:space="preserve">Учитывающий соотношение кол-ва дней невыходов (отпуск - 42дн. </t>
    </r>
    <r>
      <rPr>
        <sz val="9"/>
        <color indexed="60"/>
        <rFont val="Times New Roman"/>
        <family val="2"/>
        <charset val="204"/>
      </rPr>
      <t>или 56 дн. для компенсир</t>
    </r>
    <r>
      <rPr>
        <sz val="9"/>
        <color indexed="8"/>
        <rFont val="Times New Roman"/>
        <family val="2"/>
        <charset val="204"/>
      </rPr>
      <t>, бол/лист = 3дн) к кол-ву календарных дней в году (365дн.)</t>
    </r>
  </si>
  <si>
    <r>
      <t xml:space="preserve">ожидаемая средняя зарплата пед работников </t>
    </r>
    <r>
      <rPr>
        <sz val="10"/>
        <color theme="5" tint="-0.249977111117893"/>
        <rFont val="Times New Roman"/>
        <family val="1"/>
        <charset val="204"/>
      </rPr>
      <t>в 2023 году</t>
    </r>
    <r>
      <rPr>
        <sz val="10"/>
        <color theme="1"/>
        <rFont val="Times New Roman"/>
        <family val="1"/>
        <charset val="204"/>
      </rPr>
      <t xml:space="preserve"> без интенсивности, руб.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</si>
  <si>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2023 году</t>
    </r>
    <r>
      <rPr>
        <sz val="10"/>
        <color indexed="8"/>
        <rFont val="Times New Roman"/>
        <family val="1"/>
        <charset val="204"/>
      </rPr>
      <t>, руб</t>
    </r>
  </si>
  <si>
    <r>
      <t>дополнительные средства на выполнение указа</t>
    </r>
    <r>
      <rPr>
        <sz val="10"/>
        <color indexed="8"/>
        <rFont val="Times New Roman"/>
        <family val="1"/>
        <charset val="204"/>
      </rPr>
      <t xml:space="preserve"> на 1-го пед.работника в месяц без начислений</t>
    </r>
  </si>
  <si>
    <t>коэффициент соотношения = среднесписочная численность осн пед.работников / кол-во ставок пед.работников)</t>
  </si>
  <si>
    <r>
      <t>дополнительные средства на выполнение указа</t>
    </r>
    <r>
      <rPr>
        <sz val="10"/>
        <color indexed="8"/>
        <rFont val="Times New Roman"/>
        <family val="1"/>
        <charset val="204"/>
      </rPr>
      <t xml:space="preserve"> на 1-го основного пед.работника в месяц без начислений</t>
    </r>
  </si>
  <si>
    <t>Дополнительный норматив на ФОТ педработников на реализацию указа на 1 услугу в год с начислениями, руб.</t>
  </si>
  <si>
    <t>Очная форма обучения</t>
  </si>
  <si>
    <t>1=а.2+а.3</t>
  </si>
  <si>
    <t>2=п.2а+п.37</t>
  </si>
  <si>
    <t>3=п.3п</t>
  </si>
  <si>
    <t>2а</t>
  </si>
  <si>
    <t>32 = п.9*п.11</t>
  </si>
  <si>
    <r>
      <t xml:space="preserve">33 = </t>
    </r>
    <r>
      <rPr>
        <sz val="10"/>
        <color theme="5" tint="-0.249977111117893"/>
        <rFont val="Times New Roman"/>
        <family val="1"/>
        <charset val="204"/>
      </rPr>
      <t>ЗП-образование на 01.12.22 средняя зарплата по работникам муниципальных общеобразовательных учреждений г.Таганрога * 1,00333 коэфф увелич с 01.10.22 на 4% на 1 мес 2022 * 1,01525 коэфф увелич с 01.10.23 на 6,1% на 3 мес 2023</t>
    </r>
  </si>
  <si>
    <t>34=п.33- п.9* п.11</t>
  </si>
  <si>
    <r>
      <t xml:space="preserve">35 = </t>
    </r>
    <r>
      <rPr>
        <sz val="10"/>
        <color theme="5" tint="-0.249977111117893"/>
        <rFont val="Times New Roman"/>
        <family val="1"/>
        <charset val="204"/>
      </rPr>
      <t>1055,4 пед.раб / 1392,98 пед.ставок</t>
    </r>
  </si>
  <si>
    <t>36=п.34* п.35</t>
  </si>
  <si>
    <t>группы общеразвивающей направленности, одновозрастные группы, дети от 3 до 8 лет, группы круглосуточного пребывания</t>
  </si>
  <si>
    <t>24-часового пребывания</t>
  </si>
  <si>
    <t>старше 3 лет (средняя наполняемость - 20)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</si>
  <si>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1+ 4/ 100/ 12мес* 3мес = 1,01</t>
    </r>
  </si>
  <si>
    <t>Коэффициент удорожания</t>
  </si>
  <si>
    <t>количество ставок руководителей</t>
  </si>
  <si>
    <r>
      <t xml:space="preserve">ожидаемая средняя зарплата пед работников </t>
    </r>
    <r>
      <rPr>
        <sz val="10"/>
        <color theme="5" tint="-0.249977111117893"/>
        <rFont val="Times New Roman"/>
        <family val="1"/>
        <charset val="204"/>
      </rPr>
      <t>в 2024 году</t>
    </r>
    <r>
      <rPr>
        <sz val="10"/>
        <color theme="1"/>
        <rFont val="Times New Roman"/>
        <family val="1"/>
        <charset val="204"/>
      </rPr>
      <t xml:space="preserve"> без интенсивности, руб.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</si>
  <si>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2024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</si>
  <si>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33 = </t>
    </r>
    <r>
      <rPr>
        <sz val="10"/>
        <color theme="5" tint="-0.249977111117893"/>
        <rFont val="Times New Roman"/>
        <family val="1"/>
        <charset val="204"/>
      </rPr>
      <t>ЗП-образование на 01.12.22 средняя зарплата по работникам муниципальных общеобразовательных учреждений г.Таганрога * 1,00333 коэфф увелич с 01.10.22 на 4% на 1 мес 2022 * 1,061 коэфф увелич с 01.10.23 на 6,1% на 12 мес 2023 * 1,01 коэфф увелич с 01.10.24 на 4 % на 3 мес 2024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</si>
  <si>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1+ 4/ 100/ 12мес* 3мес = 1,01</t>
    </r>
  </si>
  <si>
    <r>
      <t xml:space="preserve">Всего ФОТ по АУП, УВП, ОП </t>
    </r>
    <r>
      <rPr>
        <sz val="9"/>
        <color theme="1"/>
        <rFont val="Times New Roman"/>
        <family val="1"/>
        <charset val="204"/>
      </rPr>
      <t>(кол-во ставок * мрот * 1,06 коэфф фонда мат помощи * 1,302)</t>
    </r>
  </si>
  <si>
    <r>
      <t xml:space="preserve">ожидаемая средняя зарплата пед работников </t>
    </r>
    <r>
      <rPr>
        <sz val="10"/>
        <color theme="5" tint="-0.249977111117893"/>
        <rFont val="Times New Roman"/>
        <family val="1"/>
        <charset val="204"/>
      </rPr>
      <t>в 2025 году</t>
    </r>
    <r>
      <rPr>
        <sz val="10"/>
        <color theme="1"/>
        <rFont val="Times New Roman"/>
        <family val="1"/>
        <charset val="204"/>
      </rPr>
      <t xml:space="preserve"> без интенсивности, руб.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</si>
  <si>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2025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</si>
  <si>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33 = </t>
    </r>
    <r>
      <rPr>
        <sz val="10"/>
        <color theme="5" tint="-0.249977111117893"/>
        <rFont val="Times New Roman"/>
        <family val="1"/>
        <charset val="204"/>
      </rPr>
      <t>ЗП-образование на 01.12.22 средняя зарплата по работникам муниципальных общеобразовательных учреждений г.Таганрога * 1,00333 коэфф увелич с 01.10.22 на 4% на 1 мес 2022 * 1,061 коэфф увелич с 01.10.23 на 6,1% на 12 мес 2023 * 1,04 коэфф увелич с 01.10.24 на 4 % на 3 мес 2024 * 1,01 коэфф увелич с 01.10.25 на 4 % на 3 мес 2025</t>
    </r>
  </si>
  <si>
    <t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2024 год</t>
  </si>
  <si>
    <t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2025 год</t>
  </si>
  <si>
    <t>оптимальное кол-во обучающихся на 1 учреждение (несколько учреждений)</t>
  </si>
  <si>
    <t>норма на 1 единицу товара, работы, услуги или расчет по эффективному учреждению</t>
  </si>
  <si>
    <t>дс 68</t>
  </si>
  <si>
    <t>дс 95</t>
  </si>
  <si>
    <t xml:space="preserve">дс  7,15, 20,24,25,67 </t>
  </si>
  <si>
    <t>дс 25</t>
  </si>
  <si>
    <t>дс</t>
  </si>
  <si>
    <t>дс 92</t>
  </si>
  <si>
    <t>дс 1, 2</t>
  </si>
  <si>
    <t>дс 64</t>
  </si>
  <si>
    <t>организация питания в доу</t>
  </si>
  <si>
    <t>Распределение за счет средств областного бюджета</t>
  </si>
  <si>
    <t>Распределение за счет средств местного бюджета</t>
  </si>
  <si>
    <t>801011О.99.0.БВ24ДН84000</t>
  </si>
  <si>
    <t>Главный экономист планово-экономического отдела</t>
  </si>
  <si>
    <t>категория персонала</t>
  </si>
  <si>
    <t>алгоритм расчета</t>
  </si>
  <si>
    <t>директор</t>
  </si>
  <si>
    <t>1 ставка на учреждение</t>
  </si>
  <si>
    <t>заведующий хозяйством</t>
  </si>
  <si>
    <t>при ведении самостоятельного бухгалтерского учета</t>
  </si>
  <si>
    <t xml:space="preserve"> - бухгалтер</t>
  </si>
  <si>
    <t xml:space="preserve"> - педагог-библиотекарь</t>
  </si>
  <si>
    <t xml:space="preserve"> - библиотекарь</t>
  </si>
  <si>
    <t>делопроизводитель</t>
  </si>
  <si>
    <t>инспектор по кадрам (или специалист по кадрам)</t>
  </si>
  <si>
    <t>лаборант (в кабинете химии и физики)</t>
  </si>
  <si>
    <t>гардеробщик 1 разряда</t>
  </si>
  <si>
    <t>уборщик служебных помещений 1 разряда</t>
  </si>
  <si>
    <t xml:space="preserve"> - дворник или уборщик территории</t>
  </si>
  <si>
    <t>1 ставка дворника на 4000 кв.м площади убираемой территории (без площади зданий)</t>
  </si>
  <si>
    <t xml:space="preserve"> - садовник</t>
  </si>
  <si>
    <t>педагог-психолог</t>
  </si>
  <si>
    <t>преподаватель-организатор ОБЖ (основ безопасности жизнедеятельности)</t>
  </si>
  <si>
    <t>из расчета учебной нагрузки 35 часов в неделю на класс при 6-дневной неделе и нормы пед.нагрузки учителя 18 часов в неделю; и с учетом деления на классы по 5 часам: 3 часа ин.яз., 1 час информатика и ИКТ, 1 час технология</t>
  </si>
  <si>
    <t>сторож 1 разряда</t>
  </si>
  <si>
    <t>вахтер 1 разряда</t>
  </si>
  <si>
    <t>круглый год</t>
  </si>
  <si>
    <t>фот в прил 3.1</t>
  </si>
  <si>
    <t>Расшифровка к проекту бюджета на 2023 -2025 год в части местного бюджета</t>
  </si>
  <si>
    <t>КОСГУ 291 "Налоги, пошлины и сборы"</t>
  </si>
  <si>
    <t>финансовое обеспечение муниципального задания</t>
  </si>
  <si>
    <t>Расчет земельного налога на очередной финансовый год</t>
  </si>
  <si>
    <t>(рублей)</t>
  </si>
  <si>
    <t>Земельный участок</t>
  </si>
  <si>
    <t>ставка налога, %</t>
  </si>
  <si>
    <t>Сумма налога, уплаченного в отчетном финансовом году (в 2021году), руб.</t>
  </si>
  <si>
    <t>Сумма налога, подлежащего уплате, в текущем финансовом году (за 4 квартал 2021 и за 1,2,3 квартал 2022), руб.</t>
  </si>
  <si>
    <t xml:space="preserve">Сумма исчисленного земельного налога, подлежащего уплате, в очередном финансовом году (в 2023 году), руб. </t>
  </si>
  <si>
    <t xml:space="preserve">Сумма исчисленного земельного налога, подлежащего уплате, в очередном финансовом году (в 2023 году), тыс.руб. </t>
  </si>
  <si>
    <t>Прогнозируемая сумма налога, подлежащего уплате в очередном финансовом 2023 году за счет бюджетных средств  с учетом коэф.платной деятельности, тыс.руб.</t>
  </si>
  <si>
    <t>Прогнозируемая сумма налога, подлежащего уплате в очередном финансовом 2023 году за счет средств от платной деятельности, тыс.руб.</t>
  </si>
  <si>
    <t>кадастровый номер</t>
  </si>
  <si>
    <t>кадастровая стоимость, руб.</t>
  </si>
  <si>
    <t>6=п.2*п.3/100</t>
  </si>
  <si>
    <t>7=п.6/1000</t>
  </si>
  <si>
    <t>10=п.7-п.9</t>
  </si>
  <si>
    <t>МАОУ гимназия имени А.П. Чехова</t>
  </si>
  <si>
    <t>61:58:0001117:1</t>
  </si>
  <si>
    <t>МОБУ СОШ №3 им. Ю.А.Гагарина</t>
  </si>
  <si>
    <t>Кадастровый № 62:58:0005044:2,Ростовкая обл., г.Таганрог, ул.Калинина,109</t>
  </si>
  <si>
    <t>61:58:0001114:113</t>
  </si>
  <si>
    <t>МОБУ СОШ №5</t>
  </si>
  <si>
    <t>61:58:0005016:1</t>
  </si>
  <si>
    <t>61:58:00004339:1</t>
  </si>
  <si>
    <t>МОБУ лицей №7</t>
  </si>
  <si>
    <t>МОБУ СОШ № 8 им.А.Г.Ломакина</t>
  </si>
  <si>
    <t>61:58:0001027:124</t>
  </si>
  <si>
    <t>МОБУ СОШ № 9 с углубленным изучением английского языка</t>
  </si>
  <si>
    <t>61:58:0001140:28</t>
  </si>
  <si>
    <t>61:58:0001130:55</t>
  </si>
  <si>
    <t>61:58:0002285:10</t>
  </si>
  <si>
    <t>61:58:0001140:179</t>
  </si>
  <si>
    <t>МОБУ СОШ №16</t>
  </si>
  <si>
    <t>61:58:0002506:12</t>
  </si>
  <si>
    <t>61:58:0004125:19</t>
  </si>
  <si>
    <t>МОБУ СОШ №21</t>
  </si>
  <si>
    <t>61:58:0003104:36</t>
  </si>
  <si>
    <t>МАОУСОШ№22</t>
  </si>
  <si>
    <t>61:58:0003430:3</t>
  </si>
  <si>
    <t>61:58:0004169:1</t>
  </si>
  <si>
    <t>61:58:0003322:1</t>
  </si>
  <si>
    <t>61:58:0003242:1</t>
  </si>
  <si>
    <t>61:58:0003197:131</t>
  </si>
  <si>
    <t>61:58:0002230:1</t>
  </si>
  <si>
    <t>МАОУ СОШ №27</t>
  </si>
  <si>
    <t>61:58:0002506:18; 61:58:0002506:19</t>
  </si>
  <si>
    <t>61:58:00022551:5</t>
  </si>
  <si>
    <t>61:58:0002260:22</t>
  </si>
  <si>
    <t xml:space="preserve">61:58:0005274:3049 </t>
  </si>
  <si>
    <t>61:58:0003419:16</t>
  </si>
  <si>
    <t>61:58:0002068:14</t>
  </si>
  <si>
    <t>61:58:0004080:7</t>
  </si>
  <si>
    <t>61:58:0004128:1</t>
  </si>
  <si>
    <t>61:58:0004080:8</t>
  </si>
  <si>
    <t>61:58:0004080:331</t>
  </si>
  <si>
    <t>61:58:0004080:332</t>
  </si>
  <si>
    <t>МОБУ СОШ №34</t>
  </si>
  <si>
    <t>61:58:0003490:22</t>
  </si>
  <si>
    <t>61:58:0005272:141</t>
  </si>
  <si>
    <t>61:58:0005271:161</t>
  </si>
  <si>
    <t>61:58:0003490:23</t>
  </si>
  <si>
    <t>61:58:0005138:39</t>
  </si>
  <si>
    <t>61:26:0600024:2962</t>
  </si>
  <si>
    <t>Расчет налога на имущество на очередной финансовый год</t>
  </si>
  <si>
    <t>Расчет на 4 квартала</t>
  </si>
  <si>
    <t>информация по остаточной стоимости, руб.</t>
  </si>
  <si>
    <t xml:space="preserve">Ставка налога, % </t>
  </si>
  <si>
    <t>Сумма налога, уплаченного в отчетном финансовом году (в 2021 году - уплачено за 4 квартал 2019 и 1,2,3 кварталы 2021), руб.</t>
  </si>
  <si>
    <t>Сумма налога, подлежащего уплате, в текущем финансовом году (в 2022 году - за 4 квартал 2021 и за 1,2,3 квартал 2022), руб.</t>
  </si>
  <si>
    <t>Прогнозируемая сумма налога исходя из остаточной стоимости, подлежащего уплате в очередном финансовом 2023 году, руб.</t>
  </si>
  <si>
    <t>Прогнозируемая сумма налога исходя из остаточной стоимости, подлежащего уплате в очередном финансовом 2023 году, тыс.руб.</t>
  </si>
  <si>
    <t>остаточная стоимость недвижимого имущества</t>
  </si>
  <si>
    <t>из него</t>
  </si>
  <si>
    <r>
      <t xml:space="preserve">остаточная стоимость недвижимого имущества, переданного в оперативное управление </t>
    </r>
    <r>
      <rPr>
        <b/>
        <u/>
        <sz val="12"/>
        <color rgb="FFC00000"/>
        <rFont val="Times New Roman"/>
        <family val="1"/>
        <charset val="204"/>
      </rPr>
      <t>начиная с 01.01.2021</t>
    </r>
  </si>
  <si>
    <t>отчетного финансового года на 01.01.2022</t>
  </si>
  <si>
    <r>
      <t xml:space="preserve">текущего финансового года на </t>
    </r>
    <r>
      <rPr>
        <b/>
        <sz val="12"/>
        <color rgb="FF7030A0"/>
        <rFont val="Times New Roman"/>
        <family val="1"/>
        <charset val="204"/>
      </rPr>
      <t>01.07.2022</t>
    </r>
  </si>
  <si>
    <t>очередного финансового года                            (оценка 2023)</t>
  </si>
  <si>
    <t>11=(п.3/ 4кв+ п.4/ 4кв* 3кв)* п.8/100</t>
  </si>
  <si>
    <t>12=11/1000</t>
  </si>
  <si>
    <t>14=гр.12*гр.13</t>
  </si>
  <si>
    <t>15=12-14</t>
  </si>
  <si>
    <t>МОБУ СОШ № 3 ИМ.Ю.А.ГАГАРИНА</t>
  </si>
  <si>
    <t xml:space="preserve">МОБУ СОШ № 8 </t>
  </si>
  <si>
    <t>МАОУ СОШ №12</t>
  </si>
  <si>
    <t>МАОУ гимназия Мариинская</t>
  </si>
  <si>
    <t>МАОУ лицей №28</t>
  </si>
  <si>
    <t>МОБУ СОШ №38</t>
  </si>
  <si>
    <t>Итого:</t>
  </si>
  <si>
    <t>Расшифровка к проекту бюджета на 2023-2025 годы в части местного бюджета</t>
  </si>
  <si>
    <t xml:space="preserve"> КОСГУ 223 "Коммунальные услуги"</t>
  </si>
  <si>
    <t xml:space="preserve">Перечень учреждений </t>
  </si>
  <si>
    <t>223.11</t>
  </si>
  <si>
    <t>223.12</t>
  </si>
  <si>
    <t>223.13</t>
  </si>
  <si>
    <t>223.14</t>
  </si>
  <si>
    <t>223.15</t>
  </si>
  <si>
    <t>сумма уменьшения потребности за счет возмещения коммунальных расходов из внебюджета</t>
  </si>
  <si>
    <t>итого сумма на год по проекту бюджета, руб.</t>
  </si>
  <si>
    <t>коэффициент выравнивания к утвержденому бюджету</t>
  </si>
  <si>
    <t>контрольная сумма в местном бюджете</t>
  </si>
  <si>
    <t>ВСЕГО на год, потребность по лимитам, утвержденным УЖКХ, руб.</t>
  </si>
  <si>
    <t>итого сумма из внебюджета, руб.</t>
  </si>
  <si>
    <t>ВСЕГОпо проекту бюджета на год, за вычетом внебюджета, руб.</t>
  </si>
  <si>
    <t>отклонение утв.суммы от проекта</t>
  </si>
  <si>
    <t>итого потребность по лимитам, руб.</t>
  </si>
  <si>
    <t>итого сумма местного бюджета, руб.</t>
  </si>
  <si>
    <t xml:space="preserve">Средневзвешенный тариф по теплу
</t>
  </si>
  <si>
    <t>объем тепловой энергии на год</t>
  </si>
  <si>
    <t>Бюджет на год по теплоснабжению</t>
  </si>
  <si>
    <t>контрольная сумма, год, руб.</t>
  </si>
  <si>
    <t>контрольная сумма, год, тыс.руб.</t>
  </si>
  <si>
    <t xml:space="preserve">Средневзвешенный тариф по газоснабжению
</t>
  </si>
  <si>
    <t>объем газоснабжения на год</t>
  </si>
  <si>
    <t>Бюджет на год по газоснабжению</t>
  </si>
  <si>
    <t xml:space="preserve">Средневзвешенный тариф по электроэнергии
</t>
  </si>
  <si>
    <t>объем электро энергии на год</t>
  </si>
  <si>
    <t>Бюджет на год по электроснабжению</t>
  </si>
  <si>
    <t xml:space="preserve">Средневзвешенный тариф по водоснабжению
</t>
  </si>
  <si>
    <t>объем водоснабжения на год</t>
  </si>
  <si>
    <t xml:space="preserve">Средневзвешенный тариф по водоотведению
</t>
  </si>
  <si>
    <t>объем водоотведения на год</t>
  </si>
  <si>
    <t xml:space="preserve">Средневзвешенный тариф по негативному воздействию на ЦСВ
</t>
  </si>
  <si>
    <t>Бюджет на год по водоснабжению,водоотведению</t>
  </si>
  <si>
    <t xml:space="preserve"> сумма, год, руб.</t>
  </si>
  <si>
    <t>вывоз мусора (ежемесячно)</t>
  </si>
  <si>
    <t xml:space="preserve"> год, руб.</t>
  </si>
  <si>
    <t xml:space="preserve"> год, тыс.руб.</t>
  </si>
  <si>
    <t>среднемесячное количество куб. метров твердых отходов</t>
  </si>
  <si>
    <t>стоимость (тариф) 1 куб.м в месяц, руб.</t>
  </si>
  <si>
    <t>кол-во месяцев потребления услуги</t>
  </si>
  <si>
    <t>сумма, руб.</t>
  </si>
  <si>
    <t>ИТОГО на 12 месяцев</t>
  </si>
  <si>
    <t>водоснабжение</t>
  </si>
  <si>
    <t>водоотведение</t>
  </si>
  <si>
    <t>негативное воздействие на ЦСВ</t>
  </si>
  <si>
    <t>руб/Гкал</t>
  </si>
  <si>
    <t>руб/м3</t>
  </si>
  <si>
    <t>м3</t>
  </si>
  <si>
    <t>руб/кВт</t>
  </si>
  <si>
    <t>кВт/ч</t>
  </si>
  <si>
    <t>руб./м3</t>
  </si>
  <si>
    <t>4=2*3</t>
  </si>
  <si>
    <t>7=5*6</t>
  </si>
  <si>
    <t>10=8*9</t>
  </si>
  <si>
    <t>15=11*12</t>
  </si>
  <si>
    <t>16=13*14</t>
  </si>
  <si>
    <t>18=15+16+17</t>
  </si>
  <si>
    <t>5=2*3*4</t>
  </si>
  <si>
    <t>19=4+ 7+ 10+ 18</t>
  </si>
  <si>
    <t>МОБУ СОШ №3</t>
  </si>
  <si>
    <t>МАОУ лицей №4</t>
  </si>
  <si>
    <t>МАОУ  гимназия "Мариинская"</t>
  </si>
  <si>
    <t>МОБУ СОШ №36</t>
  </si>
  <si>
    <t>МАОУ СОШ №37</t>
  </si>
  <si>
    <r>
      <t>ул. Маршала Жукова,145 а</t>
    </r>
    <r>
      <rPr>
        <sz val="10"/>
        <rFont val="Arial Cyr"/>
        <charset val="204"/>
      </rPr>
      <t xml:space="preserve"> (МОБУ лицей 33)</t>
    </r>
  </si>
  <si>
    <t>39 школа было</t>
  </si>
  <si>
    <t>Заведующий отделом эксплуатации зданий и материально-технического обеспечения Управления образования г. Таганрога</t>
  </si>
  <si>
    <t>Чебанова С.Г.</t>
  </si>
  <si>
    <t>отклон</t>
  </si>
  <si>
    <t>передвж. на ЦТТ</t>
  </si>
  <si>
    <t>Начальник Управления образования г. Таганрога</t>
  </si>
  <si>
    <t>Морозова О.Л.</t>
  </si>
  <si>
    <t>Исполнитель: Волошина Е.В.</t>
  </si>
  <si>
    <t>в 2023, 2024, 2025 годах</t>
  </si>
  <si>
    <t>с учетом уменьшения потребности за счет возмещения коммунальных расходов из внебюджета</t>
  </si>
  <si>
    <t>Расчет финансового обеспечения выполнения муниципального задания в части областного бюджета по муниципальным общеобразовательным учреждениям на 2023 год  1 чтение</t>
  </si>
  <si>
    <t>учреждения</t>
  </si>
  <si>
    <t>РАСЧЕТ ПОТРЕБНОСТИ ПО ФОНДУ ОПЛАТЫ ТРУДА</t>
  </si>
  <si>
    <t>РАСЧЕТ ПОТРЕБНОСТИ ПО УСЛУГАМ И МАТЕРИАЛЬНЫМ ЗАТРАТАМ</t>
  </si>
  <si>
    <t>ВСЕГО ПОТРЕБНОСТЬ на 2023 год, руб.</t>
  </si>
  <si>
    <t>2023 год полная потребность, тыс.руб.</t>
  </si>
  <si>
    <t>2025 год</t>
  </si>
  <si>
    <t>кол-во ставок</t>
  </si>
  <si>
    <t>воспитатели по типовым штатам (12 час - общ 1,67ст, компенс 2,4ст, комбин 2,4ст, озд 2ст; 24 час - общ 3,33ст)</t>
  </si>
  <si>
    <t>замещение в период отсутствия воспитателей в пересчете на ставки (ставки общ * 0,123288 (3дн б/л+42дн отпуск)/365дн), ставки комп, комб, озд * 0,161644 (3дн б/л+56дн отпуск)/365дн)</t>
  </si>
  <si>
    <t>заработная плата в месяц (211) без качества, интенсивности, премии, мат.помощи и замещений, руб.</t>
  </si>
  <si>
    <t>справочно</t>
  </si>
  <si>
    <t>ИТОГО ФОТ на год (210), руб.</t>
  </si>
  <si>
    <t>коэфф индекса цен на сайте Ростовстата октябрь 2022 к декабрю 2021 = 110,72% или 1,1072</t>
  </si>
  <si>
    <t>Услуги на год (220), руб.</t>
  </si>
  <si>
    <t>Мат затраты на год (340+310), руб.</t>
  </si>
  <si>
    <t>Всего мат затраты и услуги на год (220+310+340) план на 2023 год, руб.</t>
  </si>
  <si>
    <t>Всего субсидия на 2023 год, тыс.руб.</t>
  </si>
  <si>
    <t>Поправочный коэффициент на доведенную сумму субсидии</t>
  </si>
  <si>
    <t>Всего субсидия на 2023 год с поправоч коэффициентом, тыс.руб.</t>
  </si>
  <si>
    <t>из 211 и 213 на указ</t>
  </si>
  <si>
    <t>Всего с учетом ставок воспитателей по нормативу на группу с замещением в период отсутствия</t>
  </si>
  <si>
    <t>штатное расписание на 01.09.22</t>
  </si>
  <si>
    <t>Всего (без руководителя)</t>
  </si>
  <si>
    <t>расчет среднего размера доплаты за особые условия труда</t>
  </si>
  <si>
    <t>кол-во основных пед работников на 01.12.22</t>
  </si>
  <si>
    <t>кол-во пед работников - внешник совместителей на 01.12.22</t>
  </si>
  <si>
    <t>фзп по внебюджету осн пед работников на 01.12.22, тыс.руб.</t>
  </si>
  <si>
    <t>ожиаемый фзп по внебюджету осн пед работников за 2022, тыс.руб.</t>
  </si>
  <si>
    <t>коэффициент совместительства по педработникам в каждом учреждении</t>
  </si>
  <si>
    <t>средний коэффициент совместительства по педработникам для расчета норматива</t>
  </si>
  <si>
    <t>ожидаемая средняя зарплата пед работников в год без интенсивности, руб.</t>
  </si>
  <si>
    <t>норматив по пед работникам на 01.12.22, руб.</t>
  </si>
  <si>
    <t>доп потребность на выполнение целевого показателя по пед работникам (211), руб.</t>
  </si>
  <si>
    <t>надбавка за качество в месяц по руководителю (приказ на 01.10.22), руб.</t>
  </si>
  <si>
    <t>в том числе % качества</t>
  </si>
  <si>
    <t xml:space="preserve">повышение зарплаты с 01.10.2023 - 6,1%, средний за год = 6,1/12*3/100+1 </t>
  </si>
  <si>
    <t>заработная плата в год (211) без качества и интенсивности</t>
  </si>
  <si>
    <t>в год замещение в период отсутствия по увп (211 увп * коэф 0,085 =28+3/365)</t>
  </si>
  <si>
    <t>в год надбавка за качество руководителю, заместителям и гл. бухгалтеру(211)</t>
  </si>
  <si>
    <t>в год надбавка за качество вп = кол-во ставок * оклад вед бух-ра * % (211)</t>
  </si>
  <si>
    <t>в год надбавка за качество увп = кол-во ставок * оклад млад воспит-ля * % (211)</t>
  </si>
  <si>
    <t>в год надбавка за интенсивность осн пед работникам (211)</t>
  </si>
  <si>
    <t>в год премия 5% от фот (211)</t>
  </si>
  <si>
    <t>в год мат помощь 1% от фот (211)</t>
  </si>
  <si>
    <t>Всего 211</t>
  </si>
  <si>
    <t>Всего 213</t>
  </si>
  <si>
    <t>ВСЕГО 211+213</t>
  </si>
  <si>
    <t>количество воспитанников на 01.12.22</t>
  </si>
  <si>
    <t>221 (услуги связи)</t>
  </si>
  <si>
    <t>225.54 (ремонт и техобслуживание оборудования, участвующего в организации образовательного процесса)</t>
  </si>
  <si>
    <t>226.4 (информационные услуги)</t>
  </si>
  <si>
    <t>226.6 (медосмотр пед работников)</t>
  </si>
  <si>
    <t>226.73+226.78+226.80 прочие (обучение, подписка и пр.)</t>
  </si>
  <si>
    <t>211 (заработная плата)</t>
  </si>
  <si>
    <t>213 (начисления на заработную плату)</t>
  </si>
  <si>
    <t>226.73+226.78+226.80 прочие (обучение пед работников, подписка и пр.)</t>
  </si>
  <si>
    <t>310 (основные средства, участвующего в организации образовательного процесса)</t>
  </si>
  <si>
    <t>340 (материальные затраты, участвующего в организации образовательного процесса)</t>
  </si>
  <si>
    <t>Всего по штатному расписанию</t>
  </si>
  <si>
    <t>руководитель (приказ на 01.10.22 без качества)</t>
  </si>
  <si>
    <t>заместители руководителя и главный бухгалтер (кол-во ставок * зпл рук-ля - 10%, без качества)</t>
  </si>
  <si>
    <t>вспомогательный персонал (кол-во * мрот)</t>
  </si>
  <si>
    <t>учебно-вспомогательный персонал (кол-во * мрот)</t>
  </si>
  <si>
    <t>обслуживающий персонал (кол-во * мрот)</t>
  </si>
  <si>
    <t>пед работники (кол-во * ставку воспитателя + по среднему выслуга 15% ((10+15+20)/3)+ по среднему квалификация 12% (0+10+25)/3) + по среднему прочие комп и стим выплаты  20% (вредность, звание, аттест комиссия и эксперт группа ((0+4)+(0+15)+(0+10)+(0+10))/2)+ по среднему особые условия см.расчет</t>
  </si>
  <si>
    <t>всего кол-во групп</t>
  </si>
  <si>
    <t>средний размер доплаты за особые условия, %</t>
  </si>
  <si>
    <t xml:space="preserve">% по руководителю, заместителям и главному бухгалтеру </t>
  </si>
  <si>
    <t>средний % по вп и увп</t>
  </si>
  <si>
    <t>зарплата руководителя, заместителей и главного бухгалтера</t>
  </si>
  <si>
    <t>зарплата вспогательного персонала</t>
  </si>
  <si>
    <t>зарплата учебно-вспогательного персонала</t>
  </si>
  <si>
    <t>зарплата обслуживающего персонала</t>
  </si>
  <si>
    <t>зарплата педагогического персонала</t>
  </si>
  <si>
    <t>фонд на премию и мат помощь</t>
  </si>
  <si>
    <t>руководитель</t>
  </si>
  <si>
    <t>заместители руководителя и главный бухгалтер</t>
  </si>
  <si>
    <t>вспомогательный персонал</t>
  </si>
  <si>
    <t>учебно-вспомогательный персонал</t>
  </si>
  <si>
    <t>обслуживающий персонал</t>
  </si>
  <si>
    <t>пед работники</t>
  </si>
  <si>
    <t>из них</t>
  </si>
  <si>
    <t>общеразвивающие 12 часов</t>
  </si>
  <si>
    <t>общеразвивающие 24 часа</t>
  </si>
  <si>
    <t>компенсирующие 12 часов</t>
  </si>
  <si>
    <t>комбинированные 12 часов</t>
  </si>
  <si>
    <t>оздоровительные 12 часов</t>
  </si>
  <si>
    <t>общеразвивающие 12 часа</t>
  </si>
  <si>
    <t>компенсирующие 12 часа</t>
  </si>
  <si>
    <t>комбинированные 12 часа</t>
  </si>
  <si>
    <t>оздоровительные 12 часа</t>
  </si>
  <si>
    <t>воспитатели, в т.ч. старшие</t>
  </si>
  <si>
    <t>прочие пед работники</t>
  </si>
  <si>
    <t>кол-во групп</t>
  </si>
  <si>
    <t>доплата за особые условия, %</t>
  </si>
  <si>
    <t>2022 год (уточ план на 01.12.22)</t>
  </si>
  <si>
    <t>2023 год план</t>
  </si>
  <si>
    <t>с повыш</t>
  </si>
  <si>
    <t>Гимн. им.Чехова</t>
  </si>
  <si>
    <t>МОБУ СОШ № 3 им. Гагарина</t>
  </si>
  <si>
    <t>МАОУ лицей №4 (ТМОЛ)</t>
  </si>
  <si>
    <t>МОБУ лицей  №7</t>
  </si>
  <si>
    <t>СОШ № 8 им. Ломакина</t>
  </si>
  <si>
    <t>Гим. "Мариинская"</t>
  </si>
  <si>
    <t>как в дс</t>
  </si>
  <si>
    <t>на 1 учр-е</t>
  </si>
  <si>
    <t>на 1 пед раб</t>
  </si>
  <si>
    <t>на 1 воспит</t>
  </si>
  <si>
    <t>утверждено МО РО</t>
  </si>
  <si>
    <t>Расчет бюджета на 2023 год и плановый период 2024 и 2025 годов по финансовому обеспечению исполнения муниципального задания в части областного бюджета (07 02)</t>
  </si>
  <si>
    <t>2023 год полная потребность</t>
  </si>
  <si>
    <t>кол-во ставок (без советников и пдо 0703)</t>
  </si>
  <si>
    <t>ставки по внеурочной деятельности (к-во классов * 10 часов на 1 класс / норма пед часов в неделю 18 часов )</t>
  </si>
  <si>
    <t xml:space="preserve">Всего с учетом ставок по внеурочной деятельности по нормативу на группу </t>
  </si>
  <si>
    <t>штатное расписание на 2022-2023 учебный год</t>
  </si>
  <si>
    <t xml:space="preserve">расчет среднего размера компенсационных и стимулирующих доплаты </t>
  </si>
  <si>
    <t>предварит норматив по пед работникам на 2023 год (сайт Ростовстата янв-сент = 42907,7 руб. * 1,04 с 01.10.22 + 6,1% с 01.10.23), руб.</t>
  </si>
  <si>
    <t xml:space="preserve">повышение зарплаты с 01.10. 2023 - 6,1%, средний за год = 6,1/12*3/100+1 </t>
  </si>
  <si>
    <t>в год надбавка за качество руководителю, заместителям и гл. бухгалтеру (211)</t>
  </si>
  <si>
    <t>в год надбавка за качество увп = кол-во ставок * оклад секретаря * % (211)</t>
  </si>
  <si>
    <t>225.13 (услуги по уборке)</t>
  </si>
  <si>
    <t>225.54 (ремонт и техобслуживание оборудования и техники, участвующих в организации образовательного процесса)</t>
  </si>
  <si>
    <t>226.4 (услуги в области информационных технологий)</t>
  </si>
  <si>
    <t>226.5+226.73+226.78+226.80 прочие (типографские, обучение, подписка, командировочные и пр.)</t>
  </si>
  <si>
    <t>310.1 основные срества для обеспечения образовательного процесса</t>
  </si>
  <si>
    <t>310.2 книжный фонд</t>
  </si>
  <si>
    <t>346.2 материальные запасы</t>
  </si>
  <si>
    <t>349 материальные запасы однократного применения</t>
  </si>
  <si>
    <t>310.1 (основные срества для обеспечения образовательного процесса)</t>
  </si>
  <si>
    <t>310.2 (книжный фонд)</t>
  </si>
  <si>
    <t>346.2 (материальные запасы)</t>
  </si>
  <si>
    <t>349 (материальные запасы однократного применения)</t>
  </si>
  <si>
    <t>пед работники (кол-во * оклад + по среднему компенсационные и стимулирующие выплаты см.расчет)</t>
  </si>
  <si>
    <t>средний размер доплаты за особые условия - коррекция 1-4 классы, %</t>
  </si>
  <si>
    <t>средний размер доплаты за особые условия - коррекция 5-9 классы, %</t>
  </si>
  <si>
    <t>средний размер доплаты за особые условия - коррекция 10-11 классы, %</t>
  </si>
  <si>
    <t>размер доплаты за особые условия - инд обучение, %</t>
  </si>
  <si>
    <t>средний размер доплаты за работу, не вход в круг осн обяз - класс рук-во 1-4 классы, %</t>
  </si>
  <si>
    <t>средний размер доплаты за работу, не вход в круг осн обяз - класс рук-во 5-11 классы, %</t>
  </si>
  <si>
    <t>средний размер доплаты за работу, не вход в круг осн обяз - проверка тетрадей 1-4 классы, %</t>
  </si>
  <si>
    <t>средний размер доплаты за работу, не вход в круг осн обяз - проверка тетрадей 5-11 классы по среднему 15% ((20+15+10)/3), %</t>
  </si>
  <si>
    <t>средний размер надбавки за квалификацию по среднему 12% (0+10+25)/3), %</t>
  </si>
  <si>
    <t>средний размер надбавка за выслугу по среднему 15% ((10+15+20)/3), %</t>
  </si>
  <si>
    <t>средний размер прочих комп и стим выплат по среднему 10% (за инклюзию, обуч-ся без попеч род, завед каб, метод комис, физ воспит, профориент, орг питания, охрана детства, аттест комиссия и эксперт группа, звание ((0+15)/2+(0+15)/2+(0+10)/2+(0+10)/2+(0+10+15)/3+(0+20+40+80)/4+(0+15+25+40)/4+(0+15)/2+(0+10)/2+(0+10)/2+(0+10)/2)/11), %</t>
  </si>
  <si>
    <t>всего кол-во классов и обуч-ся</t>
  </si>
  <si>
    <t xml:space="preserve">руководитель </t>
  </si>
  <si>
    <t>пед работники (без советников и ставок пдо по 07 03)</t>
  </si>
  <si>
    <t>всего классов</t>
  </si>
  <si>
    <t>из классов</t>
  </si>
  <si>
    <t>всего числ-ть обучающихся</t>
  </si>
  <si>
    <t xml:space="preserve">общие </t>
  </si>
  <si>
    <t>коррекционные</t>
  </si>
  <si>
    <t>очно-заочные</t>
  </si>
  <si>
    <t>заочные</t>
  </si>
  <si>
    <t>инклюзия в общих классах</t>
  </si>
  <si>
    <t>индивидуальное обучение в общих классах</t>
  </si>
  <si>
    <t>1 класс</t>
  </si>
  <si>
    <t>2 класс</t>
  </si>
  <si>
    <t>3 класс</t>
  </si>
  <si>
    <t>4 класс</t>
  </si>
  <si>
    <t>5 класс</t>
  </si>
  <si>
    <t>6 класс</t>
  </si>
  <si>
    <t>7 класс</t>
  </si>
  <si>
    <t>8 класс</t>
  </si>
  <si>
    <t>9 класс</t>
  </si>
  <si>
    <t>10 класс</t>
  </si>
  <si>
    <t>11 класс</t>
  </si>
  <si>
    <t>2023 год план (из расчета ст-ти комплекта учебников на 1 учащегося на 5 лет)</t>
  </si>
  <si>
    <t>учителя по учебному плану - 1-4 классы</t>
  </si>
  <si>
    <t>учителя по учебному плану -5-9 классы</t>
  </si>
  <si>
    <t>учителя по учебному плану -10-11 классы</t>
  </si>
  <si>
    <t>индивидуальное обучение 1-4 классы</t>
  </si>
  <si>
    <t>индивидуальное обучение 5-9 классы</t>
  </si>
  <si>
    <t>индивидуальное обучение 10-11 классы</t>
  </si>
  <si>
    <t>внеурочная деятельность 1-4 классы</t>
  </si>
  <si>
    <t>внеурочная деятельность 5-9 классы</t>
  </si>
  <si>
    <t>внеурочная деятельность 10-11 классы</t>
  </si>
  <si>
    <t>замещение в период 3 дней по б/л (зпл * 0,0082192 (3дн б.л/365дн)</t>
  </si>
  <si>
    <t>кол-во 1-4 классов</t>
  </si>
  <si>
    <t>кол-во 5-9 классов</t>
  </si>
  <si>
    <t>кол-во 10-11 классов</t>
  </si>
  <si>
    <t>числ-ть обучающихся</t>
  </si>
  <si>
    <t>числ-ть обучающихся 1-4 классов</t>
  </si>
  <si>
    <t>числ-ть обучающихся 5-9 классов</t>
  </si>
  <si>
    <t>числ-ть обучающихся 10-11 классов</t>
  </si>
  <si>
    <t>числ-ть обучающихся всего</t>
  </si>
  <si>
    <t>к-во уч-ся</t>
  </si>
  <si>
    <t>на 1 уч-ся</t>
  </si>
  <si>
    <t>Норматив на реализацию дополнительных общеобразовательных программ в муниципальных общеобразовательных организациях на 2023 год и плановый период 2024 и 2025 годов (финансовое обеспечение муниципального задания областной бюджет по 07 03)</t>
  </si>
  <si>
    <t>параметры расчета</t>
  </si>
  <si>
    <r>
      <rPr>
        <b/>
        <sz val="12"/>
        <color rgb="FFC00000"/>
        <rFont val="Times New Roman"/>
        <family val="1"/>
        <charset val="204"/>
      </rPr>
      <t>Должностной оклад педагога дополнительного образования</t>
    </r>
    <r>
      <rPr>
        <sz val="12"/>
        <color rgb="FFC00000"/>
        <rFont val="Times New Roman"/>
        <family val="1"/>
        <charset val="204"/>
      </rPr>
      <t xml:space="preserve"> = на 01.10.2022 = 13132 руб, далее с индексацией </t>
    </r>
  </si>
  <si>
    <r>
      <rPr>
        <b/>
        <sz val="12"/>
        <color rgb="FFC00000"/>
        <rFont val="Times New Roman"/>
        <family val="1"/>
        <charset val="204"/>
      </rPr>
      <t>Коэффициент увеличения</t>
    </r>
    <r>
      <rPr>
        <sz val="12"/>
        <color rgb="FFC00000"/>
        <rFont val="Times New Roman"/>
        <family val="1"/>
        <charset val="204"/>
      </rPr>
      <t xml:space="preserve"> </t>
    </r>
    <r>
      <rPr>
        <b/>
        <sz val="12"/>
        <color rgb="FFC00000"/>
        <rFont val="Times New Roman"/>
        <family val="1"/>
        <charset val="204"/>
      </rPr>
      <t>на стимулирующие выплаты</t>
    </r>
    <r>
      <rPr>
        <sz val="12"/>
        <color rgb="FFC00000"/>
        <rFont val="Times New Roman"/>
        <family val="1"/>
        <charset val="204"/>
      </rPr>
      <t xml:space="preserve"> 
(выплаты стимулирующего характера:  надбавка за квалификацию - max значение 25% и надбавка за выслугу лет - max значение 20%)</t>
    </r>
  </si>
  <si>
    <t>Индексация с 01.10.2023 - 6,1%, с 01.10.2024 - 4%, с 01.10.2025 - 4%</t>
  </si>
  <si>
    <t>Прочие расходы 20% от ФОТ</t>
  </si>
  <si>
    <t>ИТОГО НОРМАТИВ на 1 человеко-час, в т.ч.</t>
  </si>
  <si>
    <t>210 (фонд оплаты труда)</t>
  </si>
  <si>
    <t>300 (средства обучения)</t>
  </si>
  <si>
    <t>количество групп без поправочного коэффициента на доведенную сумму бюджета</t>
  </si>
  <si>
    <t>кол-во услуг (человеко-часов) без поправочного коэффициента на доведенную сумму бюджета</t>
  </si>
  <si>
    <t>нормативная стоимость услуг, тыс.руб.</t>
  </si>
  <si>
    <t>кол-во услуг (человеко-часов) с поправочным коэффициентом бюджета - для муниципального задания</t>
  </si>
  <si>
    <t>количество групп с поправочным коэффициентом на доведенную сумму бюджета</t>
  </si>
  <si>
    <t>кол-во ставок ПДО в штатном расписании на 2023 год</t>
  </si>
  <si>
    <t>2023-2025 годы</t>
  </si>
  <si>
    <t>поправочный коэффициент на доведенную сумму бюджета</t>
  </si>
  <si>
    <t>ВСЕГО субвенция с коэффициентом</t>
  </si>
  <si>
    <t>данные учреждения</t>
  </si>
  <si>
    <t>к-во групп * 2 часа в неделю * 36 недель в год * рекомендуемую наполняемость групп (физ-спорт 14, остальные 12)</t>
  </si>
  <si>
    <t>кол-во услуг * стоимость 1 услуги</t>
  </si>
  <si>
    <t>1-3 гр = 1;                                 4-5 гр = 0,8;                                   6-7 гр = 0,6;                               8-12 гр = 0,5;                                 13-16 гр = 0,4;                      17 гр и более = 0,28;                             нац проект "IT-куб" = 0,43690</t>
  </si>
  <si>
    <t>ФОТ (210)</t>
  </si>
  <si>
    <t>Средства обучения (300)</t>
  </si>
  <si>
    <t>1-3 гр = 1;                                 4-5 гр = 0,8;                                   6-7 гр = 0,6;                               8-12 гр = 0,5;                                 13-16 гр = 0,4;                      17 гр и более = 0,28;                             нац проект "IT-куб" = 0,43010</t>
  </si>
  <si>
    <t>1-3 гр = 1;                                 4-5 гр = 0,8;                                   6-7 гр = 0,6;                               8-12 гр = 0,5;                                 13-16 гр = 0,4;                      17 гр и более = 0,28;                             нац проект "IT-куб" = 0,49048</t>
  </si>
  <si>
    <t>к-во групп * 2 часа в неделю * 36 недель в год * рекомендуемая наполняемость групп (физ-спорт 14, остальные 12)</t>
  </si>
  <si>
    <t>ожидаемое кол-во групп * поправочный коэффициент</t>
  </si>
  <si>
    <t>кол-во групп * 2 часа в неделю / норма 18 часов нагрузки ПДО в неделю</t>
  </si>
  <si>
    <t xml:space="preserve"> нац проект "IT-куб" с 01.09.23 - 17 недель</t>
  </si>
  <si>
    <t>утверждено в бюджете минобразование РО</t>
  </si>
  <si>
    <t>прочие расходы</t>
  </si>
  <si>
    <t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общего образования, на 2023 год</t>
  </si>
  <si>
    <t>Приложение 3/5</t>
  </si>
  <si>
    <r>
      <t>Размер должностного оклада учителя с</t>
    </r>
    <r>
      <rPr>
        <sz val="12"/>
        <color rgb="FFC00000"/>
        <rFont val="Times New Roman"/>
        <family val="1"/>
        <charset val="204"/>
      </rPr>
      <t xml:space="preserve"> 01.10.2022</t>
    </r>
  </si>
  <si>
    <t xml:space="preserve">Норма часов педагогической работы учителя за ставку заработной платы </t>
  </si>
  <si>
    <t>количество ставок педагогического персонала с учетом учителей</t>
  </si>
  <si>
    <t>из них количество ставок учителей</t>
  </si>
  <si>
    <t>Наполняемость классов</t>
  </si>
  <si>
    <t>Размер должностного оклада учителя с учетом индексации</t>
  </si>
  <si>
    <t>Всего ФОТ учителей</t>
  </si>
  <si>
    <r>
      <t>размер среднемесячной зарплаты 1-го директора с</t>
    </r>
    <r>
      <rPr>
        <sz val="12"/>
        <color rgb="FFC00000"/>
        <rFont val="Times New Roman"/>
        <family val="1"/>
        <charset val="204"/>
      </rPr>
      <t xml:space="preserve"> 01.10.2022</t>
    </r>
  </si>
  <si>
    <r>
      <t xml:space="preserve">Всего ФОТ директора, заместителей и главного бухгалтера учреждения </t>
    </r>
    <r>
      <rPr>
        <sz val="9"/>
        <color theme="1"/>
        <rFont val="Times New Roman"/>
        <family val="1"/>
        <charset val="204"/>
      </rPr>
      <t xml:space="preserve">(фот рук-ля + фот рук-ля * кол-во ставок зам.рук-лей минус 1 ст * 0,80 среднее снижение между 10-30%) * 1,01 коэфф фонда мат помощи * 1,302 коэфф начислений *  </t>
    </r>
    <r>
      <rPr>
        <sz val="9"/>
        <color theme="5" tint="-0.249977111117893"/>
        <rFont val="Times New Roman"/>
        <family val="1"/>
        <charset val="204"/>
      </rPr>
      <t>коэфф индексации зарплаты</t>
    </r>
    <r>
      <rPr>
        <sz val="9"/>
        <color theme="1"/>
        <rFont val="Times New Roman"/>
        <family val="1"/>
        <charset val="204"/>
      </rPr>
      <t>)</t>
    </r>
  </si>
  <si>
    <t>Количество учебных часов в неделю</t>
  </si>
  <si>
    <t>4а</t>
  </si>
  <si>
    <r>
      <t xml:space="preserve">33 = </t>
    </r>
    <r>
      <rPr>
        <sz val="10"/>
        <color theme="5" tint="-0.249977111117893"/>
        <rFont val="Times New Roman"/>
        <family val="1"/>
        <charset val="204"/>
      </rPr>
      <t>предварит норматив по пед работникам на 2023 год (сайт Ростовстата янв-сент = 42907,7 руб. * 1,04 с 01.10.22 + 6,1% с 01.10.23), руб.</t>
    </r>
  </si>
  <si>
    <r>
      <t xml:space="preserve">35 = </t>
    </r>
    <r>
      <rPr>
        <sz val="10"/>
        <color theme="5" tint="-0.249977111117893"/>
        <rFont val="Times New Roman"/>
        <family val="1"/>
        <charset val="204"/>
      </rPr>
      <t>1493,1 пед.раб / 2698,32 пед.ставок</t>
    </r>
  </si>
  <si>
    <t>Приложение № 3/1</t>
  </si>
  <si>
    <t>Количество часов по примерному учебному плану в неделю</t>
  </si>
  <si>
    <t>Количество часов по внеурочной деятельности в неделю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</si>
  <si>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</si>
  <si>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</si>
  <si>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</si>
  <si>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</si>
  <si>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</si>
  <si>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</si>
  <si>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</si>
  <si>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</si>
  <si>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</si>
  <si>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</si>
  <si>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</si>
  <si>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</si>
  <si>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</si>
  <si>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</si>
  <si>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</si>
  <si>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</si>
  <si>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</si>
  <si>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</si>
  <si>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</si>
  <si>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</si>
  <si>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</si>
  <si>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</si>
  <si>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</si>
  <si>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</si>
  <si>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в зависимости от количества классов - не более:</t>
  </si>
  <si>
    <t xml:space="preserve"> - главный бухгалтер</t>
  </si>
  <si>
    <t xml:space="preserve"> - экономист (планово-экономическая деятельность)</t>
  </si>
  <si>
    <t xml:space="preserve">в зависимости от количества классов - не более: </t>
  </si>
  <si>
    <t>Прочие служащие всего:</t>
  </si>
  <si>
    <t>специалист по охране труда (или инженер по охране труда)</t>
  </si>
  <si>
    <t>Служащие в кабинетах химии и физики:</t>
  </si>
  <si>
    <t>Общий педагогический персонал:</t>
  </si>
  <si>
    <r>
      <t>педагог-организатор (</t>
    </r>
    <r>
      <rPr>
        <sz val="11"/>
        <color rgb="FFC00000"/>
        <rFont val="Calibri"/>
        <family val="2"/>
        <charset val="204"/>
        <scheme val="minor"/>
      </rPr>
      <t>или старший вожатый</t>
    </r>
    <r>
      <rPr>
        <sz val="11"/>
        <color theme="1"/>
        <rFont val="Calibri"/>
        <family val="2"/>
        <charset val="204"/>
        <scheme val="minor"/>
      </rPr>
      <t>)</t>
    </r>
  </si>
  <si>
    <t>Типовые штаты муниципальных общеобразовательных учреждений города Таганрога, финансируемые в части раздела и подраздела бюджетной классификации 07 02 по финансовому обеспечению выполнения муниципального задания</t>
  </si>
  <si>
    <t>должность, профессия</t>
  </si>
  <si>
    <t>типовое количество штатных единиц в зависимости от числа классов</t>
  </si>
  <si>
    <t>все должности устанавливаются в рамках имеющихся бюджетных средств, количество всех ставок устанавливается с учетом значения "не более"</t>
  </si>
  <si>
    <t>до 6 классов включительно</t>
  </si>
  <si>
    <t>7 классов</t>
  </si>
  <si>
    <t>8 классов</t>
  </si>
  <si>
    <t>9 классов</t>
  </si>
  <si>
    <t>10 классов</t>
  </si>
  <si>
    <t>11 классов</t>
  </si>
  <si>
    <t>12 классов</t>
  </si>
  <si>
    <t>13 классов</t>
  </si>
  <si>
    <t>14 классов</t>
  </si>
  <si>
    <t>15 классов</t>
  </si>
  <si>
    <t>16 классов</t>
  </si>
  <si>
    <t>17 классов</t>
  </si>
  <si>
    <t>18 классов</t>
  </si>
  <si>
    <t>19 классов</t>
  </si>
  <si>
    <t>20 классов</t>
  </si>
  <si>
    <t>21 классов</t>
  </si>
  <si>
    <t>22 классов</t>
  </si>
  <si>
    <t>23 классов</t>
  </si>
  <si>
    <t>24 классов</t>
  </si>
  <si>
    <t>25 классов</t>
  </si>
  <si>
    <t>26 классов</t>
  </si>
  <si>
    <t>27 классов</t>
  </si>
  <si>
    <t>28 классов</t>
  </si>
  <si>
    <t>29 классов</t>
  </si>
  <si>
    <t>30 классов</t>
  </si>
  <si>
    <t>31 классов</t>
  </si>
  <si>
    <t>32 классов</t>
  </si>
  <si>
    <t>33 классов</t>
  </si>
  <si>
    <t>34 классов</t>
  </si>
  <si>
    <t>35 классов</t>
  </si>
  <si>
    <t>36 классов</t>
  </si>
  <si>
    <t>37 классов</t>
  </si>
  <si>
    <t>38 классов</t>
  </si>
  <si>
    <t>39 классов</t>
  </si>
  <si>
    <t>40 классов</t>
  </si>
  <si>
    <t>41 классов</t>
  </si>
  <si>
    <t>42 классов</t>
  </si>
  <si>
    <t>43 классов</t>
  </si>
  <si>
    <t>44 классов</t>
  </si>
  <si>
    <t>45 классов</t>
  </si>
  <si>
    <t>46 классов</t>
  </si>
  <si>
    <t>47 классов</t>
  </si>
  <si>
    <t>48 классов</t>
  </si>
  <si>
    <t>49 классов</t>
  </si>
  <si>
    <t>50 и более классов</t>
  </si>
  <si>
    <t>Руководитель</t>
  </si>
  <si>
    <t>Руководящий персонал</t>
  </si>
  <si>
    <t>заместитель директора по учебной (или учебно-воспитательной) работе</t>
  </si>
  <si>
    <r>
      <t xml:space="preserve">в зависимости от количества классов - не более: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дополнительно может устанавливаться не более 1 ставки)</t>
    </r>
  </si>
  <si>
    <r>
      <t xml:space="preserve">заместитель директора по воспитательной работе </t>
    </r>
    <r>
      <rPr>
        <sz val="11"/>
        <color rgb="FFC00000"/>
        <rFont val="Calibri"/>
        <family val="2"/>
        <charset val="204"/>
        <scheme val="minor"/>
      </rPr>
      <t>(вместо заместителя руководителя допускается введение должности старшего педагога-организатора)</t>
    </r>
  </si>
  <si>
    <t xml:space="preserve">в зависимости от количества классов - не более:                                                               </t>
  </si>
  <si>
    <t>Специалисты по хозяйственной части, в том числе:</t>
  </si>
  <si>
    <r>
      <t>заместитель директора по хозяйственной (или административно-хозяйственной) работе  (</t>
    </r>
    <r>
      <rPr>
        <sz val="11"/>
        <color rgb="FFC00000"/>
        <rFont val="Calibri"/>
        <family val="2"/>
        <charset val="204"/>
        <scheme val="minor"/>
      </rPr>
      <t>вместо заместителя руководителя допускается введение должности заведующего хозяйством)</t>
    </r>
  </si>
  <si>
    <t>Вспомогательный персонал</t>
  </si>
  <si>
    <r>
      <t xml:space="preserve">в зависимости от количества классов - не более: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дополнительно может устанавливаться не более 1 ставки)</t>
    </r>
  </si>
  <si>
    <t>специалист по закупкам или экономист, в том числе экономист по договорной и претензионной работе (по выбору учреждения)</t>
  </si>
  <si>
    <t>Работники бухгалтерии, в том числе по выбору учреждения:</t>
  </si>
  <si>
    <t>Работники библиотеки, в том числе по выбору учреждения:</t>
  </si>
  <si>
    <t>Руководители структурных подразделений</t>
  </si>
  <si>
    <r>
      <t xml:space="preserve">заведующий библиотекой </t>
    </r>
    <r>
      <rPr>
        <sz val="11"/>
        <color rgb="FFC00000"/>
        <rFont val="Calibri"/>
        <family val="2"/>
        <charset val="204"/>
        <scheme val="minor"/>
      </rPr>
      <t>(вместо заведующего библиотекой допускается введение должности педагога-библиотекаря или библиотекаря)</t>
    </r>
  </si>
  <si>
    <t>библиотекари всего, в том числе на выбор учреждения:</t>
  </si>
  <si>
    <t>Педагогический персонал</t>
  </si>
  <si>
    <t>Учебно-вспомогательный персонал</t>
  </si>
  <si>
    <t>секретарь учебной части</t>
  </si>
  <si>
    <t>устанавливается при численности работников свыше 50 человек - не более:</t>
  </si>
  <si>
    <r>
      <rPr>
        <sz val="10"/>
        <color rgb="FFC00000"/>
        <rFont val="Calibri"/>
        <family val="2"/>
        <charset val="204"/>
        <scheme val="minor"/>
      </rPr>
      <t>по согласованию с учредителем в случае наличия средств дополнительно может устанавливаться</t>
    </r>
    <r>
      <rPr>
        <sz val="10"/>
        <color theme="1"/>
        <rFont val="Calibri"/>
        <family val="2"/>
        <charset val="204"/>
        <scheme val="minor"/>
      </rPr>
      <t xml:space="preserve"> в зависимости от количества классов - не более:</t>
    </r>
  </si>
  <si>
    <t>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дополнительно может устанавливаться не более 0,5 единицы</t>
  </si>
  <si>
    <t>Специалисты в кабинет информатики и иные кабинеты для обучающихся, в которых используется компьютерное оборудование, в том числе по выбору учреждения:</t>
  </si>
  <si>
    <t>инженер-программист, программист, инженер-электроник, техник, лаборант</t>
  </si>
  <si>
    <r>
      <t xml:space="preserve">при наличии кабинета информатики и иных кабинетов для обучающихся, оборудованных действующими комплектами компьютеров: 0,5 ставки на 9-12 комплектов, 0,75 ставки на 13-19 комплектов, 1 ставка на 20-30 комплектов, 1,5 ставки на 31-40 комплектов, 1,75 ставки на 41-50 комплектов,  2 ставки на свыше 50 комплектов;                                   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есть регулярно используемый в образовательных целях оборудованный кабинет информатики с не менее, чем 20 действующими комплектами компьютеров, может устанавливаться  дополнительно не более 1 ставки)</t>
    </r>
  </si>
  <si>
    <r>
      <t xml:space="preserve">при наличии оборудованных кабинетов химии и физики - в зависимости от количества классов - не более:                                                                                        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котором есть регулярно используемые в образовательных целях оборудованные кабинеты химии и физики, в случае наличия средств дополнительно может устанавливаться не более 0,5 ставки)</t>
    </r>
  </si>
  <si>
    <t>Педагогический персонал и персонал сопровождения для обучающихся с ограниченными возможностями здоровья (классы для учащихся с ОВЗ, в том числе инклюзивное образование):</t>
  </si>
  <si>
    <r>
      <t>на численность детей с ОВЗ</t>
    </r>
    <r>
      <rPr>
        <sz val="10"/>
        <color rgb="FFC00000"/>
        <rFont val="Calibri"/>
        <family val="2"/>
        <charset val="204"/>
        <scheme val="minor"/>
      </rPr>
      <t>, на основании заключения ПМПК</t>
    </r>
  </si>
  <si>
    <r>
      <t xml:space="preserve">учитель-логопед  - </t>
    </r>
    <r>
      <rPr>
        <sz val="11"/>
        <color theme="1"/>
        <rFont val="Calibri"/>
        <family val="2"/>
        <charset val="204"/>
        <scheme val="minor"/>
      </rPr>
      <t>для детей с нарушениями слуха (глухих, слабослышащих, позднооглохших); нарушениями зрения (слепых, слабовидящих, с амблиопией, косоглазием); нарушениями речи; нарушениями опорно-двигательного аппарата; расстройством аутистического спектра; задержкой психического развития; с умственной отсталостью; со сложным дефектом</t>
    </r>
  </si>
  <si>
    <r>
      <t xml:space="preserve">1 ставка на каждые 6-12 обучающихся с ОВЗ </t>
    </r>
    <r>
      <rPr>
        <sz val="10"/>
        <color rgb="FFC00000"/>
        <rFont val="Calibri"/>
        <family val="2"/>
        <charset val="204"/>
        <scheme val="minor"/>
      </rPr>
      <t xml:space="preserve"> с указанными в графе 2 настоящей строки нарушениями</t>
    </r>
  </si>
  <si>
    <t xml:space="preserve">учитель-дефектолог (сурдопедагог - нарушения слуха, тифлопедагог - нарушения зрения, олигофренопедагог - нарушения интеллекта) - для детей с нарушениями слуха (глухих, слабослышащих, позднооглохших); нарушениями зрения (слепых, слабовидящих, с амблиопией, косоглазием); нарушениями опорно-двигательного аппарата; со сложным дефектом;  с умственной отсталостью; с расстройством аутистического спектра </t>
  </si>
  <si>
    <r>
      <t xml:space="preserve">1 ставка на каждые 6-12 обучающихся с ОВЗ </t>
    </r>
    <r>
      <rPr>
        <sz val="10"/>
        <color rgb="FFC00000"/>
        <rFont val="Calibri"/>
        <family val="2"/>
        <charset val="204"/>
        <scheme val="minor"/>
      </rPr>
      <t>с указанными в графе 2 настоящей строки нарушениями</t>
    </r>
  </si>
  <si>
    <t>педагог-психолог (без учета детей с расстройством аутистического спектра) - для детей с нарушениями слуха (глухих, слабослышащих, позднооглохших); нарушениями зрения (слепых, слабовидящих, с амблиопией, косоглазием); нарушениями речи; с нарушениями опорно-двигательного аппарата; задержкой психического развития; с умственной отсталостью; со сложным дефектом</t>
  </si>
  <si>
    <r>
      <t xml:space="preserve">1 ставка на каждые 20 обучающихся с ОВЗ </t>
    </r>
    <r>
      <rPr>
        <sz val="10"/>
        <color rgb="FFC00000"/>
        <rFont val="Calibri"/>
        <family val="2"/>
        <charset val="204"/>
        <scheme val="minor"/>
      </rPr>
      <t>с указанными в графе 2 настоящей строки нарушениями</t>
    </r>
  </si>
  <si>
    <t>педагог-психолог - для детей с расстройством аутистического спектра</t>
  </si>
  <si>
    <r>
      <t>1 ставка на каждые 5-8 обучающихся</t>
    </r>
    <r>
      <rPr>
        <sz val="10"/>
        <color rgb="FFC00000"/>
        <rFont val="Calibri"/>
        <family val="2"/>
        <charset val="204"/>
        <scheme val="minor"/>
      </rPr>
      <t xml:space="preserve"> с указанными в графе 2 настоящей строки нарушениями</t>
    </r>
  </si>
  <si>
    <t>Педагогический персонал или Вспомогательный персонал</t>
  </si>
  <si>
    <t>тьютор или ассистент по оказанию технической помощи (по выбору учреждения) - для детей с расстройством аутистического спектра, для детей с тяжелыми нарушениями зрения (слепых), с нарушениями опорно-двигательного аппарата</t>
  </si>
  <si>
    <r>
      <t>1 ставка на каждые 1-6 обучающихся с ОВЗ</t>
    </r>
    <r>
      <rPr>
        <sz val="10"/>
        <color rgb="FFC00000"/>
        <rFont val="Calibri"/>
        <family val="2"/>
        <charset val="204"/>
        <scheme val="minor"/>
      </rPr>
      <t xml:space="preserve"> с указанными в графе 2 настоящей строки нарушениями</t>
    </r>
  </si>
  <si>
    <r>
      <t xml:space="preserve">в зависимости от количества классов - не более:                                                                   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дополнительно может устанавливаться не более 1 единицы)</t>
    </r>
    <r>
      <rPr>
        <sz val="10"/>
        <rFont val="Calibri"/>
        <family val="2"/>
        <charset val="204"/>
        <scheme val="minor"/>
      </rPr>
      <t xml:space="preserve">
</t>
    </r>
  </si>
  <si>
    <r>
      <t>социальный педагог (</t>
    </r>
    <r>
      <rPr>
        <sz val="11"/>
        <color rgb="FFC00000"/>
        <rFont val="Calibri"/>
        <family val="2"/>
        <charset val="204"/>
        <scheme val="minor"/>
      </rPr>
      <t>по выбору учреждения может устанавливаться за счет части ставки педагога-психолога)</t>
    </r>
  </si>
  <si>
    <t>по согласованию с учредителем устанавливается только при наличии средств, но не более 0,5 ставки на учреждение; для учреждения с заочным, очно-заочным обучением -  дополнительно устанавливается 0,5 ставки</t>
  </si>
  <si>
    <r>
      <t xml:space="preserve">в зависимости от количества классов - не более: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при наличии средств: для учреждения, имеющего только классы для учащихся с ОВЗ и классы с заочным, очно-заочным обучением, может устанавливаться  дополнительно 0,5 ставки)</t>
    </r>
  </si>
  <si>
    <r>
      <t>0,5 ставки при объеме преподавательской работы по курсу ОБЖ менее 5 часов в неделю (180 часов в год) и общей продолжительностью рабочей недели пед.работника 18 часов в неделю;</t>
    </r>
    <r>
      <rPr>
        <sz val="10"/>
        <rFont val="Calibri"/>
        <family val="2"/>
        <charset val="204"/>
        <scheme val="minor"/>
      </rPr>
      <t xml:space="preserve"> от 5 до 9 часов - 0,75 ставки; 1</t>
    </r>
    <r>
      <rPr>
        <sz val="10"/>
        <color theme="1"/>
        <rFont val="Calibri"/>
        <family val="2"/>
        <charset val="204"/>
        <scheme val="minor"/>
      </rPr>
      <t xml:space="preserve"> ставка при объеме преподавательской работы по курсу ОБЖ 9 часов в неделю (360 часов в год) и общей продолжительностью рабочей недели пед.работника 36 часов в неделю;  преподавательская работа сверх 9 часов в неделю (360 часов в год) рассчитывается в порядке, установленном для расчета часов учителей </t>
    </r>
  </si>
  <si>
    <t>Учитель, преподаватель:</t>
  </si>
  <si>
    <r>
      <t>на основании учебного плана из расчета установленной учебной нагрузки в неделю, нормы педагогической нагрузки учителя, преподавателя 18 часов в неделю, требований ФГОС (</t>
    </r>
    <r>
      <rPr>
        <sz val="10"/>
        <color rgb="FFC00000"/>
        <rFont val="Calibri"/>
        <family val="2"/>
        <charset val="204"/>
        <scheme val="minor"/>
      </rPr>
      <t>по согласованию с учредителем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C00000"/>
        <rFont val="Calibri"/>
        <family val="2"/>
        <charset val="204"/>
        <scheme val="minor"/>
      </rPr>
      <t>в случае наличия средств также могут предусматриваться ставки в результате деления на группы)</t>
    </r>
  </si>
  <si>
    <t>учитель по внеурочной деятельности 1-11 классов</t>
  </si>
  <si>
    <t>ставки устанавливаются из расчета 10 часов внеурочной деятельности на каждый класс и нормы педагогической нагрузки 18 часов в неделю</t>
  </si>
  <si>
    <t>Обслуживающий персонал:</t>
  </si>
  <si>
    <t>если по направлению работы обслуживание осуществляется по договору с обслуживающей организацией, ставки не устанавливаются</t>
  </si>
  <si>
    <t>Обслуживающий персонал</t>
  </si>
  <si>
    <r>
      <t>устанавливается на 9 месяцев при наличии оборудованного гардероба в зависимости от количества классов - не более:</t>
    </r>
    <r>
      <rPr>
        <sz val="10"/>
        <color rgb="FFC00000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(по согласованию с учредителем при наличии средств в школах, где занятия проводятся во вторую и третью смены дополнительно могут устанавливаться 0,5 ставки на гардероб; общее количество ставок гардеробщиков не должно превышать 3 ставок)</t>
    </r>
  </si>
  <si>
    <t>1 ставка на каждые 500 кв.м убираемой площади с округлением до значения, кратного пяти: площадь пола классов, кабинетов, лабораторий, залов, мастерских, лестничных клеток, рекреаций и других помещений, требующих уборки. Не учитывается площадь стен, дверей, подоконников, парт, столов,  чердачных и подвальных помещений (кроме случаев, когда в подвальном помещении расположены гардероб, мастерские и другие помещения, используемые для занятий и требующие регулярной уборки).                                                                                                                                               В школах с занятиями во вторую и третью смены дополнительно устанавливается на убираемую площадь,используемую учащимися этих смен, 0,25 ставки на каждые 250 кв.м</t>
  </si>
  <si>
    <t>дворник, уборщик территории или садовник 1 разряда всего, в том числе по выбору учреждения:</t>
  </si>
  <si>
    <t>с округлением до значения, кратного пяти:</t>
  </si>
  <si>
    <r>
      <t xml:space="preserve">при наличии фруктового сада или земельного участка с декоративными насаждениями площадью не менее 1,5 га, </t>
    </r>
    <r>
      <rPr>
        <sz val="10"/>
        <color rgb="FFC00000"/>
        <rFont val="Calibri"/>
        <family val="2"/>
        <charset val="204"/>
        <scheme val="minor"/>
      </rPr>
      <t>вместо должности дворника</t>
    </r>
    <r>
      <rPr>
        <sz val="10"/>
        <color theme="1"/>
        <rFont val="Calibri"/>
        <family val="2"/>
        <charset val="204"/>
        <scheme val="minor"/>
      </rPr>
      <t xml:space="preserve"> может быть установлена должность садовника</t>
    </r>
  </si>
  <si>
    <t>Штаты, финансируемые за счет средств местного бюджета</t>
  </si>
  <si>
    <t>устанавливается из расчета продолжительности рабочего времени и нормы рабочего времени работника</t>
  </si>
  <si>
    <t>устанавливается в летний период (3 месяца), когда не работает гардероб, из расчета продолжительности рабочего времени и нормы рабочего времени работника</t>
  </si>
  <si>
    <t>рабочие специальности по обслуживанию и текущему ремонту зданий, сооружений и оборудования, в том числе по выбору учреждения:</t>
  </si>
  <si>
    <t>если обслуживание и ремонт осуществляется по договору с обслуживающей организацией, по согласованию с учредителем количество ставок уменьшается</t>
  </si>
  <si>
    <t xml:space="preserve"> - рабочий по комплексному обслуживанию и ремонту зданий,слесарь-электрик по ремонту электрооборудования, электромонтер по обслуживанию и ремонту электрооборудования,слесарь-сантехники т.п.</t>
  </si>
  <si>
    <r>
      <t xml:space="preserve"> в зависимости от количества классов - не более:                                                                   </t>
    </r>
    <r>
      <rPr>
        <i/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дополнительно может устанавливаться 0,5 единиц)</t>
    </r>
  </si>
  <si>
    <t>обслуживающий персонал котельной или теплового пункта, в том числе:</t>
  </si>
  <si>
    <r>
      <t xml:space="preserve">при наличии теплового пункта или котельной, если их обслуживание не осуществляется по договору с обслуживающей организацией, для их обслуживания устанавливается (расчет прилагается):                                                                                                                 - при сдаче котельной и теплового пункта в нерабочее время  под охрану предусматривается 1,5 ставки;                                                                                                                                                                - в иных случаях предусматривается: 1 ставка, а при наличии бойлеров, насосов - 1 ставка в смену; при этом должности работников тепловых пунктов и котельных устанавливаются на отопительный сезон; из общего числа этих должностей 0,5 ставки устанавивается на круглый год                                                                                                  </t>
    </r>
    <r>
      <rPr>
        <sz val="10"/>
        <color rgb="FFC00000"/>
        <rFont val="Calibri"/>
        <family val="2"/>
        <charset val="204"/>
        <scheme val="minor"/>
      </rPr>
      <t>(по согласованию с учредителем в случае наличия средств при наличии удаленных зданий по разным адресам, в которых осуществляется образовательный процесс, расчет ставок производится на каждое здание, имеющее тепловой пункт или котельную)</t>
    </r>
  </si>
  <si>
    <t xml:space="preserve"> - рабочий по комплексному обслуживанию и ремонту здания</t>
  </si>
  <si>
    <t xml:space="preserve"> - оператор теплового пункта или оператор котельной</t>
  </si>
  <si>
    <t>сезонный работник - на отопительный период 6 месяцев</t>
  </si>
  <si>
    <t>количество ставок руководителей (с учетом заместителей и главного бухгалтера)</t>
  </si>
  <si>
    <t>Штаты, финансируемые за счет средств областного бюджета:</t>
  </si>
  <si>
    <t xml:space="preserve">       из них учителя</t>
  </si>
  <si>
    <t xml:space="preserve"> - руководители (с учетом заместителей и главного бухгалтера)</t>
  </si>
  <si>
    <t>на примере МОБУ СОШ № 16</t>
  </si>
  <si>
    <t xml:space="preserve"> - АУП, УВП и ОП без руководителей и пед работников</t>
  </si>
  <si>
    <t xml:space="preserve"> - педагогический персонал с учетом учителей</t>
  </si>
  <si>
    <t>для заочного и очного-заочного по-среднему</t>
  </si>
  <si>
    <t>За индивидуальное обучение на дому детей, находящихся на длительном лечении</t>
  </si>
  <si>
    <t>учитель, преподаватель 1-11 классов, в том числе:</t>
  </si>
  <si>
    <t>1-4 классы</t>
  </si>
  <si>
    <t>5-9 классы</t>
  </si>
  <si>
    <t>10-11 классы</t>
  </si>
  <si>
    <t>Количество часов деления на классы в неделю в 5-11 классах и догрузки до нормы 18 часов в 1-4 классах</t>
  </si>
  <si>
    <t>25 уч-ся в классе с инклюзией (не более 3-х таких уч-ся в классе), для овз кол-во уч-ся в зависимости от нарушений (среднее 10+6+12+8+12+10+12+12+8+5=95/10 = 10), в том числе</t>
  </si>
  <si>
    <t>из расчета учебной нагрузки 26 часов в неделю на класс при 6-дневной неделе и нормы пед.нагрузки учителя 18 часов в неделю; и с учетом догрузки до нормы 18 часов по 6 часам, проводимым другими учителями: 2 часа ин.яз., 2 часа искусство, 2 часа физ-ра</t>
  </si>
  <si>
    <t>из расчета учебной нагрузки 37 часов в неделю на класс при 6-дневной неделе и нормы пед.нагрузки учителя 18 часов в неделю; и с учетом деления на классы по 7 часам: 3 часа ин.яз., 1 час информатика и ИКТ, 1 час технология, 2 часа физ-ра</t>
  </si>
  <si>
    <t>заочная из расчета учебной нагрузки 14 часов в неделю на класс при 6-дневной неделе и нормы пед.нагрузки учителя 18 часов в неделю</t>
  </si>
  <si>
    <t>заочная из расчета учебной нагрузки 14 часов в неделю на класс при 6-дневной неделе и нормы пед.нагрузки учителя 18 часов в неделю; очно-заочная - 25 часов в неделю</t>
  </si>
  <si>
    <t>заочная из расчета учебной нагрузки 14 часов в неделю на класс при 6-дневной неделе и нормы пед.нагрузки учителя 18 часов в неделю; очно-заочная - 23 часа в неделю</t>
  </si>
  <si>
    <t>штат на учр-е со средним кол-вом классов 33 (13+17+3)</t>
  </si>
  <si>
    <t>штат на учр-е со средним кол-вом классов 33 (13+17+3) - Инклюзия и ОВЗ - нарушения слуха - слабослыш и позднооглох</t>
  </si>
  <si>
    <t>штат на учр-е со средним кол-вом классов 33 (13+17+3) - Инклюзия и ОВЗ - нарушения слуха - глухие</t>
  </si>
  <si>
    <t>штат на учр-е со средним кол-вом классов 33 (13+17+3) - Инклюзия и ОВЗ - нарушения зрения (кроме слепых)</t>
  </si>
  <si>
    <t>штат на учр-е со средним кол-вом классов 33 (13+17+3) - Инклюзия и ОВЗ - слепые</t>
  </si>
  <si>
    <t>штат на учр-е со средним кол-вом классов 33 (13+17+3) - Инклюзия и ОВЗ - нарушения речи</t>
  </si>
  <si>
    <t>штат на учр-е со средним кол-вом классов 33 (13+17+3) - Инклюзия и ОВЗ - ода</t>
  </si>
  <si>
    <t>штат на учр-е со средним кол-вом классов 33 (13+17+3) - Инклюзия и ОВЗ - зпр</t>
  </si>
  <si>
    <t>штат на учр-е со средним кол-вом классов 33 (13+17+3) - Инклюзия и ОВЗ - аутизм</t>
  </si>
  <si>
    <t>штат на учр-е со средним кол-вом классов 33 (13+17+3) - Инклюзия и ОВЗ - сложный дефект</t>
  </si>
  <si>
    <t>штат на учр-е со средним кол-вом классов 19 (0+17+2) - Заочное</t>
  </si>
  <si>
    <t>штат на учр-е со средним кол-вом классов 19 (0+17+2) - Очно-заочное</t>
  </si>
  <si>
    <t>в среднем для 9 и более часов в неделю</t>
  </si>
  <si>
    <t>Штат всего:</t>
  </si>
  <si>
    <t>норма площади</t>
  </si>
  <si>
    <t>на 1 чел</t>
  </si>
  <si>
    <t>на 1 посадочное или рабочее место</t>
  </si>
  <si>
    <t>учебные помещения</t>
  </si>
  <si>
    <t>лаборантская</t>
  </si>
  <si>
    <t>мастерс кие</t>
  </si>
  <si>
    <t>помещения для самоподготовки</t>
  </si>
  <si>
    <t>рекреация коридорного типа</t>
  </si>
  <si>
    <t>рекреация зального типа</t>
  </si>
  <si>
    <t>актовый зал</t>
  </si>
  <si>
    <t>спортивный зал</t>
  </si>
  <si>
    <t>спортивная раздевалка</t>
  </si>
  <si>
    <t>туалет при спорт зале - мужской</t>
  </si>
  <si>
    <t>душевая при спорт зале - мужской</t>
  </si>
  <si>
    <t>душевая при спорт зале - женская</t>
  </si>
  <si>
    <t>комната гигиены для девочек</t>
  </si>
  <si>
    <t>помещение для хранения вещей</t>
  </si>
  <si>
    <t>помещение для хранения инвентаря, дез средств</t>
  </si>
  <si>
    <t>мед кабинет</t>
  </si>
  <si>
    <t>гардероб</t>
  </si>
  <si>
    <t>раздевальная</t>
  </si>
  <si>
    <t>туалет</t>
  </si>
  <si>
    <t>ИТОГО на 1 чел</t>
  </si>
  <si>
    <t>наполняемость - к-во уч-ся в классе</t>
  </si>
  <si>
    <t>из среднего расчета на одно учреждение = 397084 кв.м / 4000 кв.м = 99,27 ставок / 31 учр-е = 3,2 ед.</t>
  </si>
  <si>
    <t>СанПиН 1.2.3685-21 из табл 6.1</t>
  </si>
  <si>
    <t>учебные помещения при групповых формах работы</t>
  </si>
  <si>
    <t>помещение для коррекционно-развивающих занятий с детьми</t>
  </si>
  <si>
    <t>из расчета 6,75 кв м (из табл. 6.1 СанПиН 1.2.3685-21) на 1-го учащегося * к-во уч-ся в классе * 33 класса / 500 кв.м; для заочного и очно-заочного - 6,75 кв. м * к-во уч-ся * 19 классов / 500 кв.</t>
  </si>
  <si>
    <t>среднее значение по инклюзии и овз</t>
  </si>
  <si>
    <t>штат на учр-е со средним кол-вом классов 33 (13+17+3) - Инклюзия и ОВЗ - умственная отсталость</t>
  </si>
  <si>
    <t>компенсирующие доплаты</t>
  </si>
  <si>
    <t>За работу в образовательных учреждениях, имеющих классы (группы) с обучающимися с ограниченными возможностями здоровья (в том числе при инклюзивном образовании), логопедические классы (группы, пункты):</t>
  </si>
  <si>
    <t>алгоритм</t>
  </si>
  <si>
    <t>Для педагогических рботников</t>
  </si>
  <si>
    <t>(5+15)/2</t>
  </si>
  <si>
    <t>средний процент</t>
  </si>
  <si>
    <t>За работу с обучающимися из числа детей-сирот и детей, оставшихся без попечения родителей, а также лиц из их числа в общеобразовательных учреждениях</t>
  </si>
  <si>
    <t>до 15</t>
  </si>
  <si>
    <t>За обучение на дому и в медицинских организациях обучающихся, осваивающих основные общеобразовательные программы и нуждающихся в длительном лечении, а также детей-инвалидов, которые по состоянию здоровья не могут посещать образовательные организации</t>
  </si>
  <si>
    <t>За классное руководство в 1-4 классах</t>
  </si>
  <si>
    <t>За классное руководство в 5-11 классах</t>
  </si>
  <si>
    <t>до 20</t>
  </si>
  <si>
    <t>до 25</t>
  </si>
  <si>
    <t>За проверку тетрадей в 1-4 классах</t>
  </si>
  <si>
    <t>За проверку письменных работ в 5-11 классах</t>
  </si>
  <si>
    <t>(20+15+10)/3</t>
  </si>
  <si>
    <t>За заведование учебными кабинетами (лабораториями)</t>
  </si>
  <si>
    <t>до 10</t>
  </si>
  <si>
    <t>За организацию питания</t>
  </si>
  <si>
    <t xml:space="preserve">За работу в аттестационной комиссии министерства общего и профессионального образования Ростовской области </t>
  </si>
  <si>
    <t>(5+10)/2</t>
  </si>
  <si>
    <t>доплаты и надбавки</t>
  </si>
  <si>
    <t>стимулирующие надбавки</t>
  </si>
  <si>
    <t>За выслугу лет и надбавку молодым специалистам</t>
  </si>
  <si>
    <t>(10+15+20)/3</t>
  </si>
  <si>
    <t>За квалификацию</t>
  </si>
  <si>
    <t>(10+25)/2</t>
  </si>
  <si>
    <t>(25+15+25+15+10)/5</t>
  </si>
  <si>
    <t>За наличие ученой степени и почетного звания (награды)</t>
  </si>
  <si>
    <t>1-4 классы овз и инклюзия</t>
  </si>
  <si>
    <t>1-4 классы индивид обучение</t>
  </si>
  <si>
    <t>ИТОГО в %</t>
  </si>
  <si>
    <t>ИТОГО коэффициент (% / 100 + 1)</t>
  </si>
  <si>
    <t>1-4 классы индивид обучение овз</t>
  </si>
  <si>
    <t>(20+40+80)/3</t>
  </si>
  <si>
    <t>За проведение внеклассной работы по физическому воспитанию</t>
  </si>
  <si>
    <t>(15+25+40)/3</t>
  </si>
  <si>
    <t>За организацию профориентации</t>
  </si>
  <si>
    <t xml:space="preserve">За организацию работы по охране прав детства, с трудными подростками, с асоциальными семьями </t>
  </si>
  <si>
    <t>коэффициент классного рук-ва</t>
  </si>
  <si>
    <t>коэффициент классного руководства (соотношение классных руководителей к ставкам учителей)</t>
  </si>
  <si>
    <t>1-4 классы заочное</t>
  </si>
  <si>
    <t>5-9 классы заочное</t>
  </si>
  <si>
    <t>1-4 классы очно-заочное</t>
  </si>
  <si>
    <t>5-9 классы очно-заочное</t>
  </si>
  <si>
    <r>
      <t xml:space="preserve">Коэффициент увеличения ФОТ на величину компенсационных и стимулирующих выплат </t>
    </r>
    <r>
      <rPr>
        <sz val="9"/>
        <color theme="1"/>
        <rFont val="Times New Roman"/>
        <family val="1"/>
        <charset val="204"/>
      </rPr>
      <t>(по-среднему)</t>
    </r>
  </si>
  <si>
    <t>5=п.4+ п.4а+ п.4б</t>
  </si>
  <si>
    <t>4б</t>
  </si>
  <si>
    <r>
      <t xml:space="preserve">Количество ставок, финансируемых из средств областного бюджета на учреждение </t>
    </r>
    <r>
      <rPr>
        <sz val="10"/>
        <color theme="1"/>
        <rFont val="Times New Roman"/>
        <family val="1"/>
        <charset val="204"/>
      </rPr>
      <t>из расчета 33 классов в учреждении (для заочного и очно-заяочного - 19 классов)</t>
    </r>
  </si>
  <si>
    <t>штат на учр-е со средним кол-вом классов 1 - Индивидуальное</t>
  </si>
  <si>
    <t>штат на учр-е со средним кол-вом классов 1 с овз - Индивидуальное</t>
  </si>
  <si>
    <t>5-9 классы общие без овз</t>
  </si>
  <si>
    <t>10-11 классы общие без овз</t>
  </si>
  <si>
    <t>5-9 классы овз и инклюзия</t>
  </si>
  <si>
    <t>10-11 классы овз и инклюзия</t>
  </si>
  <si>
    <t>5-9 классы индивид обучение</t>
  </si>
  <si>
    <t>10-11 классы индивид обучение</t>
  </si>
  <si>
    <t>5-9 классы индивид обучение овз</t>
  </si>
  <si>
    <t>10-11 классы индивид обучение овз</t>
  </si>
  <si>
    <t>10-11 классы заочное</t>
  </si>
  <si>
    <t>10-11 классы очно-заочное</t>
  </si>
  <si>
    <t xml:space="preserve">Коэффициент </t>
  </si>
  <si>
    <r>
      <t xml:space="preserve">Учитывающий соотношение кол-ва дней невыходов (отпуск - </t>
    </r>
    <r>
      <rPr>
        <sz val="9"/>
        <color indexed="60"/>
        <rFont val="Times New Roman"/>
        <family val="2"/>
        <charset val="204"/>
      </rPr>
      <t>56 дн.</t>
    </r>
    <r>
      <rPr>
        <sz val="9"/>
        <color indexed="8"/>
        <rFont val="Times New Roman"/>
        <family val="2"/>
        <charset val="204"/>
      </rPr>
      <t>, бол/лист - 3дн) к кол-ву календарных дней в году (365дн.)</t>
    </r>
  </si>
  <si>
    <t>9=п.7*п.8*п.8а</t>
  </si>
  <si>
    <t>9=п.7* п.8* п.8а* п.8б</t>
  </si>
  <si>
    <t>фот в прил 3.5</t>
  </si>
  <si>
    <t>в т.ч. среднегодовой норматив с округлением</t>
  </si>
  <si>
    <t>сумма(к-во уч-ся * ст-ть комплекта учебников на 1-го уч-ся / 5 лет)</t>
  </si>
  <si>
    <t xml:space="preserve">1 класс </t>
  </si>
  <si>
    <t>Количество учебников в 1-11 классах:</t>
  </si>
  <si>
    <t>среднее</t>
  </si>
  <si>
    <t>ст-ть 1-го комплекта на 1-го уч-ся / 5 лет</t>
  </si>
  <si>
    <t>средняя ст-ть 1-го учебника</t>
  </si>
  <si>
    <t>38=п.5/п.14</t>
  </si>
  <si>
    <t>Количество ставок, финансируемых из средств областного бюджета на учреждение из расчета 3 групп в учреждении (без рук-ля и гл.бух)</t>
  </si>
  <si>
    <t>Количество ставок обслуживающего персонала на учреждение из расчета 3 групп в учреждении</t>
  </si>
  <si>
    <t>39=247дн* п.15/ 8кл/ п.14</t>
  </si>
  <si>
    <r>
      <t xml:space="preserve">Количество ставок, финансируемых из средств областного бюджета на учреждение </t>
    </r>
    <r>
      <rPr>
        <sz val="10"/>
        <color theme="1"/>
        <rFont val="Times New Roman"/>
        <family val="1"/>
        <charset val="204"/>
      </rPr>
      <t>из расчета 33 классов в учреждении (для заочного и очно-заочного - 19 классов, инд - 1 класс)</t>
    </r>
  </si>
  <si>
    <t>39=247дн* п.15/ 33кл (для заоч, очн-заоч 9кл., инд 1кл)/ п.14</t>
  </si>
  <si>
    <t>1-4 классы общие без овз</t>
  </si>
  <si>
    <t>247дн* уч.нагр в неделю/ норма пдо в неделю/ наполняемость гр</t>
  </si>
  <si>
    <t>802111О.99.0.БА96АЮ66001</t>
  </si>
  <si>
    <t>ИТОГО финансовое обеспечение с учетом коэффициента выравнивания и округления 0701+0702+0703, руб.</t>
  </si>
  <si>
    <t>областной+местный</t>
  </si>
  <si>
    <t xml:space="preserve"> </t>
  </si>
  <si>
    <t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общего образования, на 2024 год</t>
  </si>
  <si>
    <t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общего образования, на 2025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</si>
</sst>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-* #,##0.00\ _₽_-;\-* #,##0.00\ _₽_-;_-* &quot;-&quot;??\ _₽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.000"/>
    <numFmt numFmtId="169" formatCode="#,##0.0"/>
    <numFmt numFmtId="170" formatCode="0.00000"/>
    <numFmt numFmtId="171" formatCode="0.0"/>
    <numFmt numFmtId="172" formatCode="#,##0.00_ ;[Red]\-#,##0.00\ "/>
    <numFmt numFmtId="173" formatCode="#,##0_ ;[Red]\-#,##0\ "/>
    <numFmt numFmtId="174" formatCode="#,##0.0000000000"/>
    <numFmt numFmtId="175" formatCode="[$-419]General"/>
    <numFmt numFmtId="176" formatCode="#,##0.00000"/>
    <numFmt numFmtId="177" formatCode="0.00000000"/>
    <numFmt numFmtId="178" formatCode="#,##0.0000"/>
    <numFmt numFmtId="179" formatCode="#,##0.0000_ ;[Red]\-#,##0.0000\ "/>
    <numFmt numFmtId="180" formatCode="0.000000"/>
    <numFmt numFmtId="181" formatCode="#,##0.0000000000_ ;[Red]\-#,##0.0000000000\ "/>
    <numFmt numFmtId="182" formatCode="#,##0.000000"/>
    <numFmt numFmtId="183" formatCode="#,##0.0000000000_ ;\-#,##0.0000000000\ "/>
    <numFmt numFmtId="184" formatCode="#,##0.0_ ;[Red]\-#,##0.0\ "/>
    <numFmt numFmtId="185" formatCode="_-* #,##0.0_р_._-;\-* #,##0.0_р_._-;_-* &quot;-&quot;??_р_._-;_-@_-"/>
    <numFmt numFmtId="186" formatCode="_-* #,##0.0\ _₽_-;\-* #,##0.0\ _₽_-;_-* &quot;-&quot;??\ _₽_-;_-@_-"/>
    <numFmt numFmtId="187" formatCode="#,##0.0000000_ ;[Red]\-#,##0.0000000\ "/>
    <numFmt numFmtId="188" formatCode="#,##0.000000_ ;[Red]\-#,##0.000000\ "/>
    <numFmt numFmtId="189" formatCode="0.000"/>
    <numFmt numFmtId="190" formatCode="#,##0.00000_ ;[Red]\-#,##0.00000\ "/>
    <numFmt numFmtId="191" formatCode="#,##0.0000000"/>
  </numFmts>
  <fonts count="2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sz val="7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8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</font>
    <font>
      <i/>
      <sz val="11"/>
      <color rgb="FF7F7F7F"/>
      <name val="Calibri"/>
      <family val="2"/>
      <charset val="204"/>
    </font>
    <font>
      <sz val="11"/>
      <color rgb="FFC00000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0"/>
      <color rgb="FF0070C0"/>
      <name val="Calibri"/>
      <family val="2"/>
      <charset val="204"/>
      <scheme val="minor"/>
    </font>
    <font>
      <b/>
      <sz val="12"/>
      <name val="Arial Cyr"/>
      <charset val="204"/>
    </font>
    <font>
      <sz val="12"/>
      <name val="Arial Cyr"/>
      <charset val="204"/>
    </font>
    <font>
      <b/>
      <sz val="10"/>
      <name val="Arial Cyr"/>
      <charset val="204"/>
    </font>
    <font>
      <b/>
      <sz val="16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2"/>
      <color rgb="FFC00000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4"/>
      <color rgb="FF0070C0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color rgb="FF0070C0"/>
      <name val="Times New Roman"/>
      <family val="1"/>
      <charset val="204"/>
    </font>
    <font>
      <sz val="10"/>
      <color rgb="FF0070C0"/>
      <name val="Arial Cyr"/>
      <charset val="204"/>
    </font>
    <font>
      <b/>
      <i/>
      <sz val="9"/>
      <name val="Calibri"/>
      <family val="2"/>
      <charset val="204"/>
      <scheme val="minor"/>
    </font>
    <font>
      <b/>
      <u/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B05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sz val="11"/>
      <color indexed="30"/>
      <name val="Calibri"/>
      <family val="2"/>
      <charset val="204"/>
    </font>
    <font>
      <sz val="11"/>
      <color rgb="FF7030A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Arial"/>
      <family val="2"/>
      <charset val="204"/>
    </font>
    <font>
      <sz val="8"/>
      <color rgb="FF0070C0"/>
      <name val="Arial"/>
      <family val="2"/>
    </font>
    <font>
      <sz val="11"/>
      <name val="Calibri"/>
      <family val="2"/>
      <charset val="204"/>
    </font>
    <font>
      <b/>
      <u/>
      <sz val="9"/>
      <color rgb="FFC00000"/>
      <name val="Times New Roman"/>
      <family val="1"/>
      <charset val="204"/>
    </font>
    <font>
      <b/>
      <u/>
      <sz val="11"/>
      <color rgb="FFC00000"/>
      <name val="Times New Roman"/>
      <family val="1"/>
      <charset val="204"/>
    </font>
    <font>
      <sz val="9"/>
      <color theme="5" tint="-0.249977111117893"/>
      <name val="Times New Roman"/>
      <family val="1"/>
      <charset val="204"/>
    </font>
    <font>
      <sz val="9"/>
      <color theme="1"/>
      <name val="Times New Roman"/>
      <family val="2"/>
      <charset val="204"/>
    </font>
    <font>
      <sz val="9"/>
      <color indexed="60"/>
      <name val="Times New Roman"/>
      <family val="2"/>
      <charset val="204"/>
    </font>
    <font>
      <sz val="9"/>
      <color indexed="8"/>
      <name val="Times New Roman"/>
      <family val="2"/>
      <charset val="204"/>
    </font>
    <font>
      <sz val="10"/>
      <color theme="5" tint="-0.249977111117893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9"/>
      <color rgb="FF0070C0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7"/>
      <color rgb="FF0070C0"/>
      <name val="Arial"/>
      <family val="2"/>
      <charset val="204"/>
    </font>
    <font>
      <b/>
      <sz val="10"/>
      <color rgb="FF0070C0"/>
      <name val="Times New Roman"/>
      <family val="1"/>
      <charset val="204"/>
    </font>
    <font>
      <b/>
      <sz val="10"/>
      <color rgb="FF0070C0"/>
      <name val="Arial Cyr"/>
      <charset val="204"/>
    </font>
    <font>
      <b/>
      <sz val="10.5"/>
      <color theme="1"/>
      <name val="Times New Roman"/>
      <family val="1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b/>
      <u/>
      <sz val="12"/>
      <color rgb="FFC00000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b/>
      <sz val="10"/>
      <color rgb="FF0070C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</font>
    <font>
      <b/>
      <sz val="10"/>
      <color rgb="FF0070C0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i/>
      <sz val="10"/>
      <name val="Arial Cyr"/>
      <family val="2"/>
      <charset val="204"/>
    </font>
    <font>
      <b/>
      <sz val="18"/>
      <color theme="1"/>
      <name val="Calibri"/>
      <family val="2"/>
      <charset val="204"/>
    </font>
    <font>
      <b/>
      <i/>
      <sz val="18"/>
      <color theme="1"/>
      <name val="Calibri"/>
      <family val="2"/>
      <charset val="204"/>
    </font>
    <font>
      <b/>
      <sz val="10"/>
      <name val="Arial Cyr"/>
      <family val="2"/>
      <charset val="204"/>
    </font>
    <font>
      <b/>
      <sz val="18"/>
      <color rgb="FFFF0000"/>
      <name val="Calibri"/>
      <family val="2"/>
      <charset val="204"/>
    </font>
    <font>
      <b/>
      <i/>
      <sz val="18"/>
      <color rgb="FFFF0000"/>
      <name val="Calibri"/>
      <family val="2"/>
      <charset val="204"/>
    </font>
    <font>
      <b/>
      <i/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1"/>
      <color rgb="FF0070C0"/>
      <name val="Calibri"/>
      <family val="2"/>
      <charset val="204"/>
    </font>
    <font>
      <b/>
      <i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0"/>
      <name val="Calibri"/>
      <family val="2"/>
      <charset val="204"/>
    </font>
    <font>
      <i/>
      <sz val="10"/>
      <name val="Times New Roman"/>
      <family val="1"/>
      <charset val="204"/>
    </font>
    <font>
      <sz val="10"/>
      <color theme="1"/>
      <name val="Calibri"/>
      <family val="2"/>
      <charset val="204"/>
    </font>
    <font>
      <i/>
      <sz val="10"/>
      <color theme="1"/>
      <name val="Calibri"/>
      <family val="2"/>
      <charset val="204"/>
    </font>
    <font>
      <sz val="14"/>
      <color theme="4"/>
      <name val="Times New Roman"/>
      <family val="1"/>
      <charset val="204"/>
    </font>
    <font>
      <b/>
      <i/>
      <sz val="14"/>
      <color rgb="FF0070C0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2"/>
      <color rgb="FF0070C0"/>
      <name val="Calibri"/>
      <family val="2"/>
      <charset val="204"/>
    </font>
    <font>
      <b/>
      <i/>
      <sz val="11"/>
      <color rgb="FF0070C0"/>
      <name val="Times New Roman"/>
      <family val="1"/>
      <charset val="204"/>
    </font>
    <font>
      <b/>
      <i/>
      <sz val="12"/>
      <color rgb="FF0070C0"/>
      <name val="Calibri"/>
      <family val="2"/>
      <charset val="204"/>
    </font>
    <font>
      <sz val="12"/>
      <color rgb="FF0070C0"/>
      <name val="Calibri"/>
      <family val="2"/>
      <charset val="204"/>
    </font>
    <font>
      <i/>
      <sz val="11"/>
      <color rgb="FF0070C0"/>
      <name val="Times New Roman"/>
      <family val="1"/>
      <charset val="204"/>
    </font>
    <font>
      <sz val="13"/>
      <name val="Times New Roman"/>
      <family val="1"/>
      <charset val="204"/>
    </font>
    <font>
      <i/>
      <sz val="14"/>
      <color rgb="FF0070C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1"/>
      <color theme="0"/>
      <name val="Calibri"/>
      <family val="2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Calibri"/>
      <family val="2"/>
      <charset val="204"/>
    </font>
    <font>
      <b/>
      <sz val="24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i/>
      <sz val="24"/>
      <color theme="1"/>
      <name val="Calibri"/>
      <family val="2"/>
      <charset val="204"/>
    </font>
    <font>
      <sz val="24"/>
      <name val="Times New Roman"/>
      <family val="1"/>
      <charset val="204"/>
    </font>
    <font>
      <sz val="24"/>
      <name val="Arial Cyr"/>
      <family val="2"/>
      <charset val="204"/>
    </font>
    <font>
      <b/>
      <sz val="24"/>
      <name val="Arial Cyr"/>
      <family val="2"/>
      <charset val="204"/>
    </font>
    <font>
      <i/>
      <sz val="24"/>
      <name val="Arial Cyr"/>
      <family val="2"/>
      <charset val="204"/>
    </font>
    <font>
      <b/>
      <sz val="14"/>
      <color theme="1"/>
      <name val="Times New Roman"/>
      <family val="1"/>
      <charset val="204"/>
    </font>
    <font>
      <b/>
      <sz val="11"/>
      <color theme="9" tint="-0.249977111117893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1"/>
      <color indexed="30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i/>
      <sz val="10"/>
      <color rgb="FFC00000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i/>
      <sz val="12"/>
      <color rgb="FF0070C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10"/>
      <color rgb="FFC00000"/>
      <name val="Times New Roman"/>
      <family val="1"/>
      <charset val="204"/>
    </font>
    <font>
      <sz val="12"/>
      <color rgb="FF333333"/>
      <name val="Arial"/>
      <family val="2"/>
      <charset val="204"/>
    </font>
  </fonts>
  <fills count="6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5F995"/>
        <bgColor indexed="64"/>
      </patternFill>
    </fill>
    <fill>
      <patternFill patternType="solid">
        <fgColor rgb="FFBBFBBB"/>
        <bgColor indexed="64"/>
      </patternFill>
    </fill>
    <fill>
      <patternFill patternType="solid">
        <fgColor rgb="FFE8EC42"/>
        <bgColor indexed="64"/>
      </patternFill>
    </fill>
    <fill>
      <patternFill patternType="solid">
        <fgColor rgb="FFFBFBA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FFCC00"/>
      </patternFill>
    </fill>
    <fill>
      <patternFill patternType="solid">
        <fgColor rgb="FFFFFF00"/>
        <bgColor rgb="FFFFF200"/>
      </patternFill>
    </fill>
    <fill>
      <patternFill patternType="solid">
        <fgColor rgb="FF92D050"/>
        <bgColor indexed="64"/>
      </patternFill>
    </fill>
    <fill>
      <patternFill patternType="solid">
        <fgColor rgb="FF97FBC4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BB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9FFFF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832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" fillId="0" borderId="0"/>
    <xf numFmtId="0" fontId="5" fillId="0" borderId="0"/>
    <xf numFmtId="0" fontId="31" fillId="0" borderId="0"/>
    <xf numFmtId="0" fontId="31" fillId="0" borderId="0"/>
    <xf numFmtId="0" fontId="32" fillId="0" borderId="0"/>
    <xf numFmtId="0" fontId="40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>
      <alignment vertical="top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0" fillId="0" borderId="0"/>
    <xf numFmtId="0" fontId="4" fillId="0" borderId="0"/>
    <xf numFmtId="0" fontId="4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0" fontId="5" fillId="0" borderId="0">
      <alignment vertical="top"/>
    </xf>
    <xf numFmtId="175" fontId="63" fillId="0" borderId="0"/>
    <xf numFmtId="0" fontId="64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0" fillId="0" borderId="0" applyFont="0" applyFill="0" applyBorder="0" applyAlignment="0" applyProtection="0"/>
    <xf numFmtId="0" fontId="82" fillId="0" borderId="0"/>
    <xf numFmtId="0" fontId="1" fillId="0" borderId="0"/>
    <xf numFmtId="0" fontId="1" fillId="0" borderId="0"/>
    <xf numFmtId="0" fontId="82" fillId="0" borderId="0"/>
    <xf numFmtId="0" fontId="1" fillId="0" borderId="0"/>
    <xf numFmtId="0" fontId="83" fillId="0" borderId="0"/>
    <xf numFmtId="0" fontId="84" fillId="0" borderId="0" applyNumberFormat="0" applyFill="0" applyBorder="0" applyAlignment="0" applyProtection="0"/>
    <xf numFmtId="172" fontId="6" fillId="0" borderId="0" applyFont="0" applyFill="0" applyBorder="0" applyAlignment="0" applyProtection="0"/>
    <xf numFmtId="167" fontId="82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167" fontId="1" fillId="0" borderId="0" applyFont="0" applyFill="0" applyBorder="0" applyAlignment="0" applyProtection="0"/>
    <xf numFmtId="0" fontId="106" fillId="0" borderId="0"/>
    <xf numFmtId="0" fontId="1" fillId="0" borderId="0"/>
    <xf numFmtId="0" fontId="1" fillId="0" borderId="0"/>
    <xf numFmtId="0" fontId="5" fillId="0" borderId="0"/>
    <xf numFmtId="0" fontId="10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107" fillId="0" borderId="0"/>
    <xf numFmtId="0" fontId="107" fillId="0" borderId="0"/>
    <xf numFmtId="0" fontId="106" fillId="0" borderId="0"/>
    <xf numFmtId="0" fontId="10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71" fontId="82" fillId="0" borderId="0" applyFont="0" applyFill="0" applyBorder="0" applyAlignment="0" applyProtection="0"/>
    <xf numFmtId="171" fontId="82" fillId="0" borderId="0" applyFont="0" applyFill="0" applyBorder="0" applyAlignment="0" applyProtection="0"/>
    <xf numFmtId="171" fontId="82" fillId="0" borderId="0" applyFont="0" applyFill="0" applyBorder="0" applyAlignment="0" applyProtection="0"/>
    <xf numFmtId="171" fontId="82" fillId="0" borderId="0" applyFont="0" applyFill="0" applyBorder="0" applyAlignment="0" applyProtection="0"/>
    <xf numFmtId="171" fontId="8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06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" fillId="0" borderId="0" applyFont="0" applyFill="0" applyBorder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5" fillId="12" borderId="77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6" fillId="25" borderId="78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17" fillId="25" borderId="77" applyNumberFormat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21" fillId="0" borderId="7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0" fontId="4" fillId="28" borderId="80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682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5" xfId="0" applyFont="1" applyBorder="1" applyAlignment="1">
      <alignment vertical="top"/>
    </xf>
    <xf numFmtId="3" fontId="10" fillId="0" borderId="5" xfId="0" applyNumberFormat="1" applyFont="1" applyBorder="1" applyAlignment="1">
      <alignment horizontal="center" vertical="top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0" fontId="33" fillId="0" borderId="5" xfId="0" applyFont="1" applyBorder="1" applyAlignment="1">
      <alignment vertical="top" wrapText="1"/>
    </xf>
    <xf numFmtId="49" fontId="33" fillId="4" borderId="5" xfId="0" applyNumberFormat="1" applyFont="1" applyFill="1" applyBorder="1" applyAlignment="1">
      <alignment vertical="top" wrapText="1"/>
    </xf>
    <xf numFmtId="0" fontId="33" fillId="4" borderId="5" xfId="0" applyFont="1" applyFill="1" applyBorder="1" applyAlignment="1">
      <alignment vertical="top" wrapText="1"/>
    </xf>
    <xf numFmtId="49" fontId="33" fillId="0" borderId="5" xfId="0" applyNumberFormat="1" applyFont="1" applyBorder="1" applyAlignment="1">
      <alignment vertical="top" wrapText="1"/>
    </xf>
    <xf numFmtId="3" fontId="7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2" fillId="0" borderId="5" xfId="0" applyFont="1" applyBorder="1" applyAlignment="1">
      <alignment vertical="top" wrapText="1"/>
    </xf>
    <xf numFmtId="1" fontId="2" fillId="0" borderId="5" xfId="0" applyNumberFormat="1" applyFont="1" applyBorder="1" applyAlignment="1">
      <alignment vertical="top"/>
    </xf>
    <xf numFmtId="170" fontId="35" fillId="0" borderId="5" xfId="0" applyNumberFormat="1" applyFont="1" applyBorder="1" applyAlignment="1">
      <alignment vertical="top"/>
    </xf>
    <xf numFmtId="4" fontId="35" fillId="0" borderId="5" xfId="0" applyNumberFormat="1" applyFont="1" applyBorder="1" applyAlignment="1">
      <alignment vertical="top"/>
    </xf>
    <xf numFmtId="1" fontId="37" fillId="0" borderId="5" xfId="0" applyNumberFormat="1" applyFont="1" applyBorder="1" applyAlignment="1">
      <alignment vertical="top"/>
    </xf>
    <xf numFmtId="1" fontId="38" fillId="0" borderId="5" xfId="0" applyNumberFormat="1" applyFont="1" applyBorder="1" applyAlignment="1">
      <alignment vertical="top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/>
    </xf>
    <xf numFmtId="1" fontId="2" fillId="0" borderId="5" xfId="0" applyNumberFormat="1" applyFont="1" applyFill="1" applyBorder="1" applyAlignment="1">
      <alignment vertical="top"/>
    </xf>
    <xf numFmtId="170" fontId="35" fillId="0" borderId="5" xfId="0" applyNumberFormat="1" applyFont="1" applyFill="1" applyBorder="1" applyAlignment="1">
      <alignment vertical="top"/>
    </xf>
    <xf numFmtId="4" fontId="35" fillId="0" borderId="5" xfId="0" applyNumberFormat="1" applyFont="1" applyFill="1" applyBorder="1" applyAlignment="1">
      <alignment vertical="top"/>
    </xf>
    <xf numFmtId="0" fontId="3" fillId="0" borderId="0" xfId="0" applyFont="1" applyAlignment="1">
      <alignment vertical="top"/>
    </xf>
    <xf numFmtId="171" fontId="2" fillId="0" borderId="5" xfId="0" applyNumberFormat="1" applyFont="1" applyBorder="1" applyAlignment="1">
      <alignment vertical="top"/>
    </xf>
    <xf numFmtId="4" fontId="2" fillId="0" borderId="5" xfId="0" applyNumberFormat="1" applyFont="1" applyBorder="1" applyAlignment="1">
      <alignment vertical="top"/>
    </xf>
    <xf numFmtId="0" fontId="3" fillId="0" borderId="0" xfId="0" applyFont="1" applyFill="1" applyAlignment="1">
      <alignment vertical="top"/>
    </xf>
    <xf numFmtId="0" fontId="0" fillId="0" borderId="5" xfId="0" applyFont="1" applyBorder="1" applyAlignment="1">
      <alignment horizontal="center" vertical="top" wrapText="1"/>
    </xf>
    <xf numFmtId="1" fontId="2" fillId="3" borderId="5" xfId="0" applyNumberFormat="1" applyFont="1" applyFill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41" fillId="0" borderId="5" xfId="0" applyFont="1" applyBorder="1" applyAlignment="1">
      <alignment horizontal="center" vertical="top" wrapText="1"/>
    </xf>
    <xf numFmtId="0" fontId="34" fillId="0" borderId="5" xfId="0" applyFont="1" applyBorder="1" applyAlignment="1">
      <alignment vertical="top" wrapText="1"/>
    </xf>
    <xf numFmtId="0" fontId="34" fillId="0" borderId="5" xfId="0" applyFont="1" applyBorder="1" applyAlignment="1">
      <alignment vertical="top"/>
    </xf>
    <xf numFmtId="1" fontId="34" fillId="0" borderId="5" xfId="0" applyNumberFormat="1" applyFont="1" applyBorder="1" applyAlignment="1">
      <alignment vertical="top"/>
    </xf>
    <xf numFmtId="170" fontId="42" fillId="0" borderId="5" xfId="0" applyNumberFormat="1" applyFont="1" applyBorder="1" applyAlignment="1">
      <alignment vertical="top"/>
    </xf>
    <xf numFmtId="4" fontId="42" fillId="0" borderId="5" xfId="0" applyNumberFormat="1" applyFont="1" applyBorder="1" applyAlignment="1">
      <alignment vertical="top"/>
    </xf>
    <xf numFmtId="0" fontId="34" fillId="0" borderId="3" xfId="0" applyFont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0" fillId="2" borderId="5" xfId="0" applyFill="1" applyBorder="1" applyAlignment="1">
      <alignment vertical="top"/>
    </xf>
    <xf numFmtId="0" fontId="2" fillId="2" borderId="5" xfId="0" applyFont="1" applyFill="1" applyBorder="1" applyAlignment="1">
      <alignment vertical="top" wrapText="1"/>
    </xf>
    <xf numFmtId="16" fontId="0" fillId="0" borderId="5" xfId="0" applyNumberFormat="1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0" fillId="4" borderId="5" xfId="0" applyFill="1" applyBorder="1" applyAlignment="1">
      <alignment vertical="top"/>
    </xf>
    <xf numFmtId="0" fontId="2" fillId="4" borderId="5" xfId="0" applyFont="1" applyFill="1" applyBorder="1" applyAlignment="1">
      <alignment vertical="top" wrapText="1"/>
    </xf>
    <xf numFmtId="0" fontId="34" fillId="4" borderId="3" xfId="0" applyFont="1" applyFill="1" applyBorder="1" applyAlignment="1">
      <alignment vertical="top" wrapText="1"/>
    </xf>
    <xf numFmtId="0" fontId="34" fillId="4" borderId="5" xfId="0" applyFont="1" applyFill="1" applyBorder="1" applyAlignment="1">
      <alignment vertical="top"/>
    </xf>
    <xf numFmtId="1" fontId="34" fillId="4" borderId="5" xfId="0" applyNumberFormat="1" applyFont="1" applyFill="1" applyBorder="1" applyAlignment="1">
      <alignment vertical="top"/>
    </xf>
    <xf numFmtId="170" fontId="42" fillId="4" borderId="5" xfId="0" applyNumberFormat="1" applyFont="1" applyFill="1" applyBorder="1" applyAlignment="1">
      <alignment vertical="top"/>
    </xf>
    <xf numFmtId="4" fontId="42" fillId="4" borderId="5" xfId="0" applyNumberFormat="1" applyFont="1" applyFill="1" applyBorder="1" applyAlignment="1">
      <alignment vertical="top"/>
    </xf>
    <xf numFmtId="0" fontId="2" fillId="2" borderId="5" xfId="0" applyFont="1" applyFill="1" applyBorder="1" applyAlignment="1">
      <alignment horizontal="center" vertical="top"/>
    </xf>
    <xf numFmtId="0" fontId="34" fillId="2" borderId="3" xfId="0" applyFont="1" applyFill="1" applyBorder="1" applyAlignment="1">
      <alignment vertical="top" wrapText="1"/>
    </xf>
    <xf numFmtId="0" fontId="34" fillId="2" borderId="5" xfId="0" applyFont="1" applyFill="1" applyBorder="1" applyAlignment="1">
      <alignment vertical="top"/>
    </xf>
    <xf numFmtId="1" fontId="34" fillId="2" borderId="5" xfId="0" applyNumberFormat="1" applyFont="1" applyFill="1" applyBorder="1" applyAlignment="1">
      <alignment vertical="top"/>
    </xf>
    <xf numFmtId="170" fontId="42" fillId="2" borderId="5" xfId="0" applyNumberFormat="1" applyFont="1" applyFill="1" applyBorder="1" applyAlignment="1">
      <alignment vertical="top"/>
    </xf>
    <xf numFmtId="0" fontId="2" fillId="29" borderId="4" xfId="0" applyFont="1" applyFill="1" applyBorder="1" applyAlignment="1">
      <alignment horizontal="center" vertical="top" wrapText="1"/>
    </xf>
    <xf numFmtId="3" fontId="43" fillId="0" borderId="5" xfId="0" applyNumberFormat="1" applyFont="1" applyBorder="1" applyAlignment="1">
      <alignment vertical="top"/>
    </xf>
    <xf numFmtId="3" fontId="42" fillId="0" borderId="5" xfId="0" applyNumberFormat="1" applyFont="1" applyBorder="1" applyAlignment="1">
      <alignment vertical="top"/>
    </xf>
    <xf numFmtId="3" fontId="42" fillId="2" borderId="5" xfId="0" applyNumberFormat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33" fillId="0" borderId="2" xfId="0" applyFont="1" applyFill="1" applyBorder="1" applyAlignment="1">
      <alignment vertical="top" wrapText="1"/>
    </xf>
    <xf numFmtId="0" fontId="3" fillId="31" borderId="5" xfId="0" applyFont="1" applyFill="1" applyBorder="1" applyAlignment="1">
      <alignment vertical="top" wrapText="1"/>
    </xf>
    <xf numFmtId="0" fontId="2" fillId="4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4" fontId="10" fillId="0" borderId="5" xfId="0" applyNumberFormat="1" applyFont="1" applyBorder="1" applyAlignment="1">
      <alignment horizontal="center" vertical="top"/>
    </xf>
    <xf numFmtId="4" fontId="13" fillId="0" borderId="5" xfId="0" applyNumberFormat="1" applyFont="1" applyBorder="1" applyAlignment="1">
      <alignment horizontal="center" vertical="top"/>
    </xf>
    <xf numFmtId="168" fontId="10" fillId="0" borderId="5" xfId="0" applyNumberFormat="1" applyFont="1" applyBorder="1" applyAlignment="1">
      <alignment horizontal="center" vertical="top"/>
    </xf>
    <xf numFmtId="168" fontId="13" fillId="0" borderId="5" xfId="0" applyNumberFormat="1" applyFont="1" applyBorder="1" applyAlignment="1">
      <alignment horizontal="center" vertical="top"/>
    </xf>
    <xf numFmtId="3" fontId="12" fillId="0" borderId="5" xfId="0" applyNumberFormat="1" applyFont="1" applyBorder="1" applyAlignment="1">
      <alignment horizontal="center" vertical="top"/>
    </xf>
    <xf numFmtId="0" fontId="11" fillId="30" borderId="5" xfId="0" applyFont="1" applyFill="1" applyBorder="1" applyAlignment="1">
      <alignment horizontal="center" vertical="top" wrapText="1"/>
    </xf>
    <xf numFmtId="0" fontId="11" fillId="30" borderId="24" xfId="0" applyFont="1" applyFill="1" applyBorder="1" applyAlignment="1">
      <alignment horizontal="center" vertical="top" wrapText="1"/>
    </xf>
    <xf numFmtId="4" fontId="43" fillId="0" borderId="5" xfId="0" applyNumberFormat="1" applyFont="1" applyBorder="1" applyAlignment="1">
      <alignment vertical="top"/>
    </xf>
    <xf numFmtId="0" fontId="0" fillId="0" borderId="5" xfId="0" applyFill="1" applyBorder="1" applyAlignment="1">
      <alignment vertical="top"/>
    </xf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vertical="top"/>
    </xf>
    <xf numFmtId="1" fontId="34" fillId="0" borderId="0" xfId="0" applyNumberFormat="1" applyFont="1" applyBorder="1" applyAlignment="1">
      <alignment vertical="top"/>
    </xf>
    <xf numFmtId="170" fontId="42" fillId="0" borderId="0" xfId="0" applyNumberFormat="1" applyFont="1" applyBorder="1" applyAlignment="1">
      <alignment vertical="top"/>
    </xf>
    <xf numFmtId="4" fontId="4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49" fontId="33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60" fillId="0" borderId="5" xfId="0" applyFont="1" applyFill="1" applyBorder="1" applyAlignment="1">
      <alignment vertical="top" wrapText="1"/>
    </xf>
    <xf numFmtId="0" fontId="60" fillId="31" borderId="5" xfId="0" applyFont="1" applyFill="1" applyBorder="1" applyAlignment="1">
      <alignment vertical="top" wrapText="1"/>
    </xf>
    <xf numFmtId="0" fontId="60" fillId="4" borderId="5" xfId="0" applyFont="1" applyFill="1" applyBorder="1" applyAlignment="1">
      <alignment vertical="top" wrapText="1"/>
    </xf>
    <xf numFmtId="4" fontId="3" fillId="4" borderId="5" xfId="0" applyNumberFormat="1" applyFont="1" applyFill="1" applyBorder="1" applyAlignment="1">
      <alignment vertical="top" wrapText="1"/>
    </xf>
    <xf numFmtId="0" fontId="33" fillId="4" borderId="2" xfId="0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48" fillId="0" borderId="5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/>
    </xf>
    <xf numFmtId="0" fontId="3" fillId="4" borderId="3" xfId="0" applyFont="1" applyFill="1" applyBorder="1" applyAlignment="1">
      <alignment vertical="top"/>
    </xf>
    <xf numFmtId="0" fontId="3" fillId="34" borderId="5" xfId="0" applyFont="1" applyFill="1" applyBorder="1" applyAlignment="1">
      <alignment vertical="top" wrapText="1"/>
    </xf>
    <xf numFmtId="4" fontId="3" fillId="34" borderId="5" xfId="0" applyNumberFormat="1" applyFont="1" applyFill="1" applyBorder="1" applyAlignment="1">
      <alignment vertical="top" wrapText="1"/>
    </xf>
    <xf numFmtId="0" fontId="3" fillId="33" borderId="5" xfId="0" applyFont="1" applyFill="1" applyBorder="1" applyAlignment="1">
      <alignment vertical="top" wrapText="1"/>
    </xf>
    <xf numFmtId="49" fontId="46" fillId="33" borderId="5" xfId="0" applyNumberFormat="1" applyFont="1" applyFill="1" applyBorder="1" applyAlignment="1">
      <alignment vertical="top" wrapText="1"/>
    </xf>
    <xf numFmtId="0" fontId="46" fillId="33" borderId="5" xfId="0" applyFont="1" applyFill="1" applyBorder="1" applyAlignment="1">
      <alignment vertical="top" wrapText="1"/>
    </xf>
    <xf numFmtId="0" fontId="45" fillId="33" borderId="5" xfId="0" applyFont="1" applyFill="1" applyBorder="1" applyAlignment="1">
      <alignment vertical="top" wrapText="1"/>
    </xf>
    <xf numFmtId="4" fontId="45" fillId="33" borderId="5" xfId="0" applyNumberFormat="1" applyFont="1" applyFill="1" applyBorder="1" applyAlignment="1">
      <alignment vertical="top" wrapText="1"/>
    </xf>
    <xf numFmtId="0" fontId="45" fillId="33" borderId="2" xfId="0" applyFont="1" applyFill="1" applyBorder="1" applyAlignment="1">
      <alignment vertical="top"/>
    </xf>
    <xf numFmtId="0" fontId="45" fillId="33" borderId="3" xfId="0" applyFont="1" applyFill="1" applyBorder="1" applyAlignment="1">
      <alignment vertical="top"/>
    </xf>
    <xf numFmtId="4" fontId="7" fillId="0" borderId="5" xfId="0" applyNumberFormat="1" applyFont="1" applyBorder="1" applyAlignment="1">
      <alignment vertical="top" wrapText="1"/>
    </xf>
    <xf numFmtId="0" fontId="3" fillId="0" borderId="2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49" fontId="33" fillId="33" borderId="5" xfId="0" applyNumberFormat="1" applyFont="1" applyFill="1" applyBorder="1" applyAlignment="1">
      <alignment vertical="top" wrapText="1"/>
    </xf>
    <xf numFmtId="0" fontId="33" fillId="33" borderId="5" xfId="0" applyFont="1" applyFill="1" applyBorder="1" applyAlignment="1">
      <alignment vertical="top" wrapText="1"/>
    </xf>
    <xf numFmtId="4" fontId="3" fillId="33" borderId="5" xfId="0" applyNumberFormat="1" applyFont="1" applyFill="1" applyBorder="1" applyAlignment="1">
      <alignment vertical="top" wrapText="1"/>
    </xf>
    <xf numFmtId="0" fontId="3" fillId="33" borderId="2" xfId="0" applyFont="1" applyFill="1" applyBorder="1" applyAlignment="1">
      <alignment vertical="top"/>
    </xf>
    <xf numFmtId="0" fontId="3" fillId="33" borderId="3" xfId="0" applyFont="1" applyFill="1" applyBorder="1" applyAlignment="1">
      <alignment vertical="top"/>
    </xf>
    <xf numFmtId="4" fontId="33" fillId="33" borderId="5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/>
    </xf>
    <xf numFmtId="0" fontId="33" fillId="33" borderId="3" xfId="0" applyFont="1" applyFill="1" applyBorder="1" applyAlignment="1">
      <alignment vertical="top"/>
    </xf>
    <xf numFmtId="0" fontId="33" fillId="33" borderId="1" xfId="0" applyFont="1" applyFill="1" applyBorder="1" applyAlignment="1">
      <alignment vertical="top" wrapText="1"/>
    </xf>
    <xf numFmtId="0" fontId="33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44" fillId="4" borderId="5" xfId="0" applyNumberFormat="1" applyFont="1" applyFill="1" applyBorder="1" applyAlignment="1">
      <alignment vertical="top" wrapText="1"/>
    </xf>
    <xf numFmtId="0" fontId="33" fillId="4" borderId="2" xfId="0" applyFont="1" applyFill="1" applyBorder="1" applyAlignment="1">
      <alignment vertical="top"/>
    </xf>
    <xf numFmtId="0" fontId="33" fillId="4" borderId="3" xfId="0" applyFont="1" applyFill="1" applyBorder="1" applyAlignment="1">
      <alignment vertical="top"/>
    </xf>
    <xf numFmtId="0" fontId="48" fillId="4" borderId="5" xfId="0" applyFont="1" applyFill="1" applyBorder="1" applyAlignment="1">
      <alignment vertical="top" wrapText="1"/>
    </xf>
    <xf numFmtId="0" fontId="0" fillId="35" borderId="0" xfId="0" applyFill="1" applyAlignment="1">
      <alignment vertical="top"/>
    </xf>
    <xf numFmtId="4" fontId="44" fillId="33" borderId="5" xfId="0" applyNumberFormat="1" applyFont="1" applyFill="1" applyBorder="1" applyAlignment="1">
      <alignment vertical="top" wrapText="1"/>
    </xf>
    <xf numFmtId="49" fontId="61" fillId="0" borderId="5" xfId="0" applyNumberFormat="1" applyFont="1" applyBorder="1" applyAlignment="1">
      <alignment vertical="top" wrapText="1"/>
    </xf>
    <xf numFmtId="0" fontId="61" fillId="0" borderId="5" xfId="0" applyFont="1" applyBorder="1" applyAlignment="1">
      <alignment vertical="top" wrapText="1"/>
    </xf>
    <xf numFmtId="0" fontId="62" fillId="0" borderId="0" xfId="0" applyFont="1" applyAlignment="1">
      <alignment vertical="top"/>
    </xf>
    <xf numFmtId="0" fontId="0" fillId="35" borderId="0" xfId="0" applyFill="1" applyAlignment="1">
      <alignment vertical="top" wrapText="1"/>
    </xf>
    <xf numFmtId="0" fontId="67" fillId="2" borderId="5" xfId="0" applyFont="1" applyFill="1" applyBorder="1" applyAlignment="1">
      <alignment horizontal="center" vertical="top" wrapText="1"/>
    </xf>
    <xf numFmtId="3" fontId="61" fillId="4" borderId="5" xfId="0" applyNumberFormat="1" applyFont="1" applyFill="1" applyBorder="1" applyAlignment="1">
      <alignment vertical="top" wrapText="1"/>
    </xf>
    <xf numFmtId="0" fontId="67" fillId="4" borderId="4" xfId="0" applyFont="1" applyFill="1" applyBorder="1" applyAlignment="1">
      <alignment horizontal="center" vertical="top" wrapText="1"/>
    </xf>
    <xf numFmtId="177" fontId="7" fillId="0" borderId="5" xfId="0" applyNumberFormat="1" applyFont="1" applyBorder="1" applyAlignment="1">
      <alignment vertical="top" wrapText="1"/>
    </xf>
    <xf numFmtId="176" fontId="7" fillId="0" borderId="5" xfId="0" applyNumberFormat="1" applyFont="1" applyBorder="1" applyAlignment="1">
      <alignment vertical="top" wrapText="1"/>
    </xf>
    <xf numFmtId="4" fontId="61" fillId="0" borderId="5" xfId="0" applyNumberFormat="1" applyFont="1" applyBorder="1" applyAlignment="1">
      <alignment vertical="top" wrapText="1"/>
    </xf>
    <xf numFmtId="170" fontId="7" fillId="0" borderId="5" xfId="0" applyNumberFormat="1" applyFont="1" applyBorder="1" applyAlignment="1">
      <alignment vertical="top" wrapText="1"/>
    </xf>
    <xf numFmtId="3" fontId="61" fillId="0" borderId="5" xfId="0" applyNumberFormat="1" applyFont="1" applyBorder="1" applyAlignment="1">
      <alignment vertical="top" wrapText="1"/>
    </xf>
    <xf numFmtId="177" fontId="61" fillId="0" borderId="5" xfId="0" applyNumberFormat="1" applyFont="1" applyBorder="1" applyAlignment="1">
      <alignment vertical="top" wrapText="1"/>
    </xf>
    <xf numFmtId="176" fontId="61" fillId="0" borderId="5" xfId="0" applyNumberFormat="1" applyFont="1" applyBorder="1" applyAlignment="1">
      <alignment vertical="top" wrapText="1"/>
    </xf>
    <xf numFmtId="3" fontId="3" fillId="34" borderId="5" xfId="0" applyNumberFormat="1" applyFont="1" applyFill="1" applyBorder="1" applyAlignment="1">
      <alignment vertical="top" wrapText="1"/>
    </xf>
    <xf numFmtId="4" fontId="7" fillId="34" borderId="5" xfId="0" applyNumberFormat="1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49" fontId="3" fillId="33" borderId="5" xfId="0" applyNumberFormat="1" applyFont="1" applyFill="1" applyBorder="1" applyAlignment="1">
      <alignment vertical="top" wrapText="1"/>
    </xf>
    <xf numFmtId="174" fontId="7" fillId="33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33" fillId="33" borderId="1" xfId="0" applyNumberFormat="1" applyFont="1" applyFill="1" applyBorder="1" applyAlignment="1">
      <alignment vertical="top" wrapText="1"/>
    </xf>
    <xf numFmtId="4" fontId="44" fillId="33" borderId="1" xfId="0" applyNumberFormat="1" applyFont="1" applyFill="1" applyBorder="1" applyAlignment="1">
      <alignment vertical="top" wrapText="1"/>
    </xf>
    <xf numFmtId="49" fontId="33" fillId="33" borderId="4" xfId="0" applyNumberFormat="1" applyFont="1" applyFill="1" applyBorder="1" applyAlignment="1">
      <alignment vertical="top" wrapText="1"/>
    </xf>
    <xf numFmtId="4" fontId="44" fillId="33" borderId="4" xfId="0" applyNumberFormat="1" applyFont="1" applyFill="1" applyBorder="1" applyAlignment="1">
      <alignment vertical="top" wrapText="1"/>
    </xf>
    <xf numFmtId="4" fontId="46" fillId="34" borderId="4" xfId="0" applyNumberFormat="1" applyFont="1" applyFill="1" applyBorder="1" applyAlignment="1">
      <alignment vertical="top" wrapText="1"/>
    </xf>
    <xf numFmtId="0" fontId="3" fillId="0" borderId="8" xfId="0" applyFont="1" applyFill="1" applyBorder="1" applyAlignment="1">
      <alignment vertical="top" wrapText="1"/>
    </xf>
    <xf numFmtId="0" fontId="47" fillId="0" borderId="0" xfId="0" applyFont="1" applyAlignment="1">
      <alignment vertical="top"/>
    </xf>
    <xf numFmtId="0" fontId="0" fillId="0" borderId="27" xfId="0" applyBorder="1" applyAlignment="1">
      <alignment vertical="top"/>
    </xf>
    <xf numFmtId="0" fontId="3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" fontId="7" fillId="0" borderId="3" xfId="0" applyNumberFormat="1" applyFont="1" applyBorder="1" applyAlignment="1">
      <alignment vertical="top" wrapText="1"/>
    </xf>
    <xf numFmtId="49" fontId="79" fillId="0" borderId="5" xfId="0" applyNumberFormat="1" applyFont="1" applyFill="1" applyBorder="1" applyAlignment="1">
      <alignment vertical="top" wrapText="1"/>
    </xf>
    <xf numFmtId="0" fontId="79" fillId="0" borderId="2" xfId="0" applyFont="1" applyFill="1" applyBorder="1" applyAlignment="1">
      <alignment vertical="top" wrapText="1"/>
    </xf>
    <xf numFmtId="0" fontId="79" fillId="0" borderId="3" xfId="0" applyFont="1" applyFill="1" applyBorder="1" applyAlignment="1">
      <alignment vertical="top" wrapText="1"/>
    </xf>
    <xf numFmtId="4" fontId="79" fillId="0" borderId="5" xfId="0" applyNumberFormat="1" applyFont="1" applyFill="1" applyBorder="1" applyAlignment="1">
      <alignment vertical="top" wrapText="1"/>
    </xf>
    <xf numFmtId="0" fontId="80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45" fillId="0" borderId="5" xfId="0" applyFont="1" applyFill="1" applyBorder="1" applyAlignment="1">
      <alignment vertical="top" wrapText="1"/>
    </xf>
    <xf numFmtId="0" fontId="58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0" fontId="11" fillId="0" borderId="0" xfId="0" applyNumberFormat="1" applyFont="1" applyFill="1" applyBorder="1" applyAlignment="1">
      <alignment horizontal="left" vertical="top"/>
    </xf>
    <xf numFmtId="0" fontId="11" fillId="0" borderId="0" xfId="0" applyFont="1" applyFill="1" applyBorder="1" applyAlignment="1">
      <alignment vertical="top"/>
    </xf>
    <xf numFmtId="0" fontId="3" fillId="4" borderId="2" xfId="0" applyFont="1" applyFill="1" applyBorder="1" applyAlignment="1">
      <alignment vertical="top" wrapText="1"/>
    </xf>
    <xf numFmtId="0" fontId="3" fillId="4" borderId="3" xfId="0" applyFont="1" applyFill="1" applyBorder="1" applyAlignment="1">
      <alignment vertical="top" wrapText="1"/>
    </xf>
    <xf numFmtId="0" fontId="45" fillId="4" borderId="5" xfId="0" applyFont="1" applyFill="1" applyBorder="1" applyAlignment="1">
      <alignment vertical="top" wrapText="1"/>
    </xf>
    <xf numFmtId="0" fontId="3" fillId="34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69" fillId="3" borderId="5" xfId="0" applyFont="1" applyFill="1" applyBorder="1" applyAlignment="1">
      <alignment vertical="center" wrapText="1"/>
    </xf>
    <xf numFmtId="4" fontId="46" fillId="33" borderId="5" xfId="0" applyNumberFormat="1" applyFont="1" applyFill="1" applyBorder="1" applyAlignment="1">
      <alignment horizontal="center" vertical="top" wrapText="1"/>
    </xf>
    <xf numFmtId="49" fontId="3" fillId="0" borderId="8" xfId="0" applyNumberFormat="1" applyFont="1" applyFill="1" applyBorder="1" applyAlignment="1">
      <alignment vertical="top" wrapText="1"/>
    </xf>
    <xf numFmtId="4" fontId="7" fillId="0" borderId="8" xfId="0" applyNumberFormat="1" applyFont="1" applyFill="1" applyBorder="1" applyAlignment="1">
      <alignment vertical="top" wrapText="1"/>
    </xf>
    <xf numFmtId="4" fontId="3" fillId="0" borderId="8" xfId="0" applyNumberFormat="1" applyFont="1" applyFill="1" applyBorder="1" applyAlignment="1">
      <alignment vertical="top" wrapText="1"/>
    </xf>
    <xf numFmtId="4" fontId="46" fillId="33" borderId="1" xfId="0" applyNumberFormat="1" applyFont="1" applyFill="1" applyBorder="1" applyAlignment="1">
      <alignment vertical="top" wrapText="1"/>
    </xf>
    <xf numFmtId="4" fontId="46" fillId="33" borderId="4" xfId="0" applyNumberFormat="1" applyFont="1" applyFill="1" applyBorder="1" applyAlignment="1">
      <alignment vertical="top" wrapText="1"/>
    </xf>
    <xf numFmtId="4" fontId="44" fillId="34" borderId="4" xfId="0" applyNumberFormat="1" applyFont="1" applyFill="1" applyBorder="1" applyAlignment="1">
      <alignment vertical="top" wrapText="1"/>
    </xf>
    <xf numFmtId="4" fontId="46" fillId="33" borderId="5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2" xfId="0" applyFont="1" applyBorder="1" applyAlignment="1">
      <alignment horizontal="center" vertical="top" wrapText="1"/>
    </xf>
    <xf numFmtId="3" fontId="7" fillId="34" borderId="5" xfId="0" applyNumberFormat="1" applyFont="1" applyFill="1" applyBorder="1" applyAlignment="1">
      <alignment vertical="top" wrapText="1"/>
    </xf>
    <xf numFmtId="3" fontId="48" fillId="34" borderId="5" xfId="0" applyNumberFormat="1" applyFont="1" applyFill="1" applyBorder="1" applyAlignment="1">
      <alignment vertical="top" wrapText="1"/>
    </xf>
    <xf numFmtId="3" fontId="8" fillId="0" borderId="5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horizontal="center" vertical="top"/>
    </xf>
    <xf numFmtId="4" fontId="12" fillId="0" borderId="5" xfId="0" applyNumberFormat="1" applyFont="1" applyFill="1" applyBorder="1" applyAlignment="1">
      <alignment horizontal="center" vertical="top"/>
    </xf>
    <xf numFmtId="168" fontId="12" fillId="0" borderId="5" xfId="0" applyNumberFormat="1" applyFont="1" applyFill="1" applyBorder="1" applyAlignment="1">
      <alignment horizontal="center" vertical="top"/>
    </xf>
    <xf numFmtId="168" fontId="8" fillId="0" borderId="5" xfId="0" applyNumberFormat="1" applyFont="1" applyFill="1" applyBorder="1" applyAlignment="1">
      <alignment horizontal="center" vertical="top"/>
    </xf>
    <xf numFmtId="3" fontId="12" fillId="0" borderId="5" xfId="0" applyNumberFormat="1" applyFont="1" applyFill="1" applyBorder="1" applyAlignment="1">
      <alignment horizontal="center" vertical="top"/>
    </xf>
    <xf numFmtId="3" fontId="66" fillId="0" borderId="5" xfId="0" applyNumberFormat="1" applyFont="1" applyFill="1" applyBorder="1" applyAlignment="1">
      <alignment horizontal="center" vertical="top"/>
    </xf>
    <xf numFmtId="3" fontId="66" fillId="0" borderId="2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0" fontId="86" fillId="0" borderId="5" xfId="0" applyFont="1" applyFill="1" applyBorder="1" applyAlignment="1">
      <alignment vertical="top" wrapText="1"/>
    </xf>
    <xf numFmtId="3" fontId="35" fillId="0" borderId="5" xfId="0" applyNumberFormat="1" applyFont="1" applyBorder="1" applyAlignment="1">
      <alignment vertical="top"/>
    </xf>
    <xf numFmtId="3" fontId="10" fillId="36" borderId="5" xfId="0" applyNumberFormat="1" applyFont="1" applyFill="1" applyBorder="1" applyAlignment="1">
      <alignment horizontal="center" vertical="top"/>
    </xf>
    <xf numFmtId="4" fontId="10" fillId="36" borderId="5" xfId="0" applyNumberFormat="1" applyFont="1" applyFill="1" applyBorder="1" applyAlignment="1">
      <alignment horizontal="center" vertical="top"/>
    </xf>
    <xf numFmtId="4" fontId="13" fillId="36" borderId="5" xfId="0" applyNumberFormat="1" applyFont="1" applyFill="1" applyBorder="1" applyAlignment="1">
      <alignment horizontal="center" vertical="top"/>
    </xf>
    <xf numFmtId="168" fontId="10" fillId="36" borderId="5" xfId="0" applyNumberFormat="1" applyFont="1" applyFill="1" applyBorder="1" applyAlignment="1">
      <alignment horizontal="center" vertical="top"/>
    </xf>
    <xf numFmtId="168" fontId="13" fillId="36" borderId="5" xfId="0" applyNumberFormat="1" applyFont="1" applyFill="1" applyBorder="1" applyAlignment="1">
      <alignment horizontal="center" vertical="top"/>
    </xf>
    <xf numFmtId="3" fontId="12" fillId="36" borderId="5" xfId="0" applyNumberFormat="1" applyFont="1" applyFill="1" applyBorder="1" applyAlignment="1">
      <alignment horizontal="center" vertical="top"/>
    </xf>
    <xf numFmtId="1" fontId="2" fillId="6" borderId="5" xfId="0" applyNumberFormat="1" applyFont="1" applyFill="1" applyBorder="1" applyAlignment="1">
      <alignment vertical="top"/>
    </xf>
    <xf numFmtId="4" fontId="0" fillId="0" borderId="0" xfId="0" applyNumberFormat="1" applyAlignment="1">
      <alignment vertical="top"/>
    </xf>
    <xf numFmtId="4" fontId="12" fillId="32" borderId="5" xfId="0" applyNumberFormat="1" applyFont="1" applyFill="1" applyBorder="1" applyAlignment="1">
      <alignment horizontal="center" vertical="top"/>
    </xf>
    <xf numFmtId="0" fontId="3" fillId="36" borderId="5" xfId="0" applyFont="1" applyFill="1" applyBorder="1" applyAlignment="1">
      <alignment vertical="top" wrapText="1"/>
    </xf>
    <xf numFmtId="0" fontId="60" fillId="36" borderId="5" xfId="0" applyFont="1" applyFill="1" applyBorder="1" applyAlignment="1">
      <alignment vertical="top" wrapText="1"/>
    </xf>
    <xf numFmtId="0" fontId="10" fillId="36" borderId="5" xfId="0" applyFont="1" applyFill="1" applyBorder="1" applyAlignment="1">
      <alignment vertical="top"/>
    </xf>
    <xf numFmtId="0" fontId="45" fillId="36" borderId="5" xfId="0" applyFont="1" applyFill="1" applyBorder="1" applyAlignment="1">
      <alignment vertical="top" wrapText="1"/>
    </xf>
    <xf numFmtId="0" fontId="10" fillId="32" borderId="5" xfId="0" applyFont="1" applyFill="1" applyBorder="1" applyAlignment="1">
      <alignment vertical="top"/>
    </xf>
    <xf numFmtId="170" fontId="48" fillId="0" borderId="5" xfId="0" applyNumberFormat="1" applyFont="1" applyBorder="1" applyAlignment="1">
      <alignment vertical="top" wrapText="1"/>
    </xf>
    <xf numFmtId="4" fontId="48" fillId="0" borderId="5" xfId="0" applyNumberFormat="1" applyFont="1" applyBorder="1" applyAlignment="1">
      <alignment vertical="top" wrapText="1"/>
    </xf>
    <xf numFmtId="4" fontId="48" fillId="0" borderId="5" xfId="0" applyNumberFormat="1" applyFont="1" applyFill="1" applyBorder="1" applyAlignment="1">
      <alignment vertical="top" wrapText="1"/>
    </xf>
    <xf numFmtId="0" fontId="36" fillId="0" borderId="0" xfId="0" applyFont="1" applyAlignment="1">
      <alignment vertical="top"/>
    </xf>
    <xf numFmtId="0" fontId="45" fillId="31" borderId="5" xfId="0" applyFont="1" applyFill="1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3" fillId="0" borderId="3" xfId="0" applyFont="1" applyFill="1" applyBorder="1" applyAlignment="1">
      <alignment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3" fillId="0" borderId="2" xfId="0" applyFont="1" applyFill="1" applyBorder="1" applyAlignment="1">
      <alignment vertical="top"/>
    </xf>
    <xf numFmtId="0" fontId="3" fillId="0" borderId="8" xfId="0" applyFont="1" applyFill="1" applyBorder="1" applyAlignment="1">
      <alignment vertical="top"/>
    </xf>
    <xf numFmtId="0" fontId="10" fillId="0" borderId="0" xfId="583" applyFont="1" applyAlignment="1">
      <alignment horizontal="center" vertical="center" wrapText="1"/>
    </xf>
    <xf numFmtId="4" fontId="10" fillId="33" borderId="5" xfId="583" applyNumberFormat="1" applyFont="1" applyFill="1" applyBorder="1" applyAlignment="1">
      <alignment horizontal="center" vertical="center" wrapText="1"/>
    </xf>
    <xf numFmtId="0" fontId="10" fillId="35" borderId="0" xfId="583" applyFont="1" applyFill="1" applyAlignment="1">
      <alignment horizontal="center" vertical="center" wrapText="1"/>
    </xf>
    <xf numFmtId="0" fontId="10" fillId="33" borderId="5" xfId="583" applyFont="1" applyFill="1" applyBorder="1" applyAlignment="1">
      <alignment horizontal="center" vertical="center" wrapText="1"/>
    </xf>
    <xf numFmtId="0" fontId="99" fillId="35" borderId="0" xfId="583" applyFont="1" applyFill="1" applyAlignment="1">
      <alignment horizontal="center" vertical="center" wrapText="1"/>
    </xf>
    <xf numFmtId="0" fontId="100" fillId="3" borderId="0" xfId="583" applyFont="1" applyFill="1" applyAlignment="1">
      <alignment horizontal="center" vertical="center" wrapText="1"/>
    </xf>
    <xf numFmtId="3" fontId="103" fillId="30" borderId="5" xfId="0" applyNumberFormat="1" applyFont="1" applyFill="1" applyBorder="1"/>
    <xf numFmtId="3" fontId="43" fillId="3" borderId="5" xfId="0" applyNumberFormat="1" applyFont="1" applyFill="1" applyBorder="1" applyAlignment="1">
      <alignment vertical="top"/>
    </xf>
    <xf numFmtId="49" fontId="46" fillId="0" borderId="2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 wrapText="1"/>
    </xf>
    <xf numFmtId="49" fontId="2" fillId="0" borderId="6" xfId="0" applyNumberFormat="1" applyFont="1" applyBorder="1" applyAlignment="1">
      <alignment vertical="top" wrapText="1"/>
    </xf>
    <xf numFmtId="49" fontId="2" fillId="0" borderId="4" xfId="0" applyNumberFormat="1" applyFont="1" applyBorder="1" applyAlignment="1">
      <alignment vertical="top" wrapText="1"/>
    </xf>
    <xf numFmtId="49" fontId="3" fillId="30" borderId="5" xfId="0" applyNumberFormat="1" applyFont="1" applyFill="1" applyBorder="1" applyAlignment="1">
      <alignment vertical="top" wrapText="1"/>
    </xf>
    <xf numFmtId="0" fontId="33" fillId="30" borderId="5" xfId="0" applyFont="1" applyFill="1" applyBorder="1" applyAlignment="1">
      <alignment vertical="top" wrapText="1"/>
    </xf>
    <xf numFmtId="49" fontId="46" fillId="31" borderId="2" xfId="0" applyNumberFormat="1" applyFont="1" applyFill="1" applyBorder="1" applyAlignment="1">
      <alignment vertical="top"/>
    </xf>
    <xf numFmtId="3" fontId="88" fillId="30" borderId="48" xfId="0" applyNumberFormat="1" applyFont="1" applyFill="1" applyBorder="1" applyAlignment="1">
      <alignment wrapText="1"/>
    </xf>
    <xf numFmtId="3" fontId="104" fillId="30" borderId="48" xfId="0" applyNumberFormat="1" applyFont="1" applyFill="1" applyBorder="1" applyAlignment="1">
      <alignment wrapText="1"/>
    </xf>
    <xf numFmtId="3" fontId="101" fillId="30" borderId="48" xfId="0" applyNumberFormat="1" applyFont="1" applyFill="1" applyBorder="1" applyAlignment="1">
      <alignment wrapText="1"/>
    </xf>
    <xf numFmtId="3" fontId="35" fillId="0" borderId="3" xfId="0" applyNumberFormat="1" applyFont="1" applyBorder="1" applyAlignment="1">
      <alignment vertical="top"/>
    </xf>
    <xf numFmtId="0" fontId="3" fillId="4" borderId="8" xfId="0" applyFont="1" applyFill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3" xfId="0" applyBorder="1" applyAlignment="1">
      <alignment vertical="top"/>
    </xf>
    <xf numFmtId="0" fontId="0" fillId="4" borderId="8" xfId="0" applyFill="1" applyBorder="1" applyAlignment="1">
      <alignment vertical="top"/>
    </xf>
    <xf numFmtId="0" fontId="0" fillId="4" borderId="3" xfId="0" applyFill="1" applyBorder="1" applyAlignment="1">
      <alignment vertical="top"/>
    </xf>
    <xf numFmtId="3" fontId="35" fillId="4" borderId="5" xfId="0" applyNumberFormat="1" applyFont="1" applyFill="1" applyBorder="1" applyAlignment="1">
      <alignment vertical="top"/>
    </xf>
    <xf numFmtId="3" fontId="35" fillId="4" borderId="3" xfId="0" applyNumberFormat="1" applyFont="1" applyFill="1" applyBorder="1" applyAlignment="1">
      <alignment vertical="top"/>
    </xf>
    <xf numFmtId="0" fontId="2" fillId="4" borderId="8" xfId="0" applyFont="1" applyFill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0" fontId="0" fillId="0" borderId="8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34" fillId="0" borderId="5" xfId="0" applyFont="1" applyFill="1" applyBorder="1" applyAlignment="1">
      <alignment horizontal="center" vertical="top" wrapText="1"/>
    </xf>
    <xf numFmtId="0" fontId="34" fillId="0" borderId="3" xfId="0" applyFont="1" applyFill="1" applyBorder="1" applyAlignment="1">
      <alignment horizontal="center" vertical="top" wrapText="1"/>
    </xf>
    <xf numFmtId="174" fontId="7" fillId="0" borderId="5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 wrapText="1"/>
    </xf>
    <xf numFmtId="0" fontId="3" fillId="0" borderId="8" xfId="0" applyFont="1" applyFill="1" applyBorder="1" applyAlignment="1">
      <alignment vertical="top" wrapText="1"/>
    </xf>
    <xf numFmtId="0" fontId="0" fillId="0" borderId="0" xfId="0" applyFill="1" applyAlignment="1">
      <alignment vertical="top"/>
    </xf>
    <xf numFmtId="3" fontId="66" fillId="3" borderId="5" xfId="583" applyNumberFormat="1" applyFont="1" applyFill="1" applyBorder="1" applyAlignment="1">
      <alignment horizontal="center" vertical="center" wrapText="1"/>
    </xf>
    <xf numFmtId="3" fontId="56" fillId="0" borderId="5" xfId="583" applyNumberFormat="1" applyFont="1" applyFill="1" applyBorder="1" applyAlignment="1">
      <alignment horizontal="center" vertical="center" wrapText="1"/>
    </xf>
    <xf numFmtId="3" fontId="66" fillId="0" borderId="5" xfId="583" applyNumberFormat="1" applyFont="1" applyFill="1" applyBorder="1" applyAlignment="1">
      <alignment horizontal="center" vertical="center" wrapText="1"/>
    </xf>
    <xf numFmtId="0" fontId="66" fillId="0" borderId="5" xfId="583" applyFont="1" applyFill="1" applyBorder="1" applyAlignment="1">
      <alignment horizontal="center" vertical="center" wrapText="1"/>
    </xf>
    <xf numFmtId="0" fontId="57" fillId="33" borderId="5" xfId="583" applyFont="1" applyFill="1" applyBorder="1" applyAlignment="1">
      <alignment horizontal="center" vertical="center" wrapText="1"/>
    </xf>
    <xf numFmtId="4" fontId="10" fillId="31" borderId="5" xfId="583" applyNumberFormat="1" applyFont="1" applyFill="1" applyBorder="1" applyAlignment="1">
      <alignment horizontal="center" vertical="center" wrapText="1"/>
    </xf>
    <xf numFmtId="0" fontId="10" fillId="31" borderId="5" xfId="583" applyFont="1" applyFill="1" applyBorder="1" applyAlignment="1">
      <alignment horizontal="center" vertical="center" wrapText="1"/>
    </xf>
    <xf numFmtId="0" fontId="57" fillId="31" borderId="5" xfId="583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vertical="top" wrapText="1"/>
    </xf>
    <xf numFmtId="49" fontId="2" fillId="0" borderId="25" xfId="0" applyNumberFormat="1" applyFont="1" applyFill="1" applyBorder="1" applyAlignment="1">
      <alignment vertical="top" wrapText="1"/>
    </xf>
    <xf numFmtId="3" fontId="48" fillId="0" borderId="8" xfId="0" applyNumberFormat="1" applyFont="1" applyFill="1" applyBorder="1" applyAlignment="1">
      <alignment vertical="top" wrapText="1"/>
    </xf>
    <xf numFmtId="170" fontId="7" fillId="0" borderId="8" xfId="0" applyNumberFormat="1" applyFont="1" applyFill="1" applyBorder="1" applyAlignment="1">
      <alignment vertical="top" wrapText="1"/>
    </xf>
    <xf numFmtId="177" fontId="7" fillId="0" borderId="8" xfId="0" applyNumberFormat="1" applyFont="1" applyFill="1" applyBorder="1" applyAlignment="1">
      <alignment vertical="top" wrapText="1"/>
    </xf>
    <xf numFmtId="176" fontId="7" fillId="0" borderId="8" xfId="0" applyNumberFormat="1" applyFont="1" applyFill="1" applyBorder="1" applyAlignment="1">
      <alignment vertical="top" wrapText="1"/>
    </xf>
    <xf numFmtId="4" fontId="61" fillId="0" borderId="8" xfId="0" applyNumberFormat="1" applyFont="1" applyFill="1" applyBorder="1" applyAlignment="1">
      <alignment vertical="top" wrapText="1"/>
    </xf>
    <xf numFmtId="3" fontId="7" fillId="0" borderId="8" xfId="0" applyNumberFormat="1" applyFont="1" applyFill="1" applyBorder="1" applyAlignment="1">
      <alignment vertical="top" wrapText="1"/>
    </xf>
    <xf numFmtId="49" fontId="46" fillId="0" borderId="2" xfId="0" applyNumberFormat="1" applyFont="1" applyFill="1" applyBorder="1" applyAlignment="1">
      <alignment vertical="top"/>
    </xf>
    <xf numFmtId="3" fontId="3" fillId="0" borderId="5" xfId="0" applyNumberFormat="1" applyFont="1" applyFill="1" applyBorder="1" applyAlignment="1">
      <alignment vertical="top" wrapText="1"/>
    </xf>
    <xf numFmtId="170" fontId="48" fillId="0" borderId="5" xfId="0" applyNumberFormat="1" applyFont="1" applyFill="1" applyBorder="1" applyAlignment="1">
      <alignment vertical="top" wrapText="1"/>
    </xf>
    <xf numFmtId="177" fontId="7" fillId="0" borderId="5" xfId="0" applyNumberFormat="1" applyFont="1" applyFill="1" applyBorder="1" applyAlignment="1">
      <alignment vertical="top" wrapText="1"/>
    </xf>
    <xf numFmtId="176" fontId="7" fillId="0" borderId="5" xfId="0" applyNumberFormat="1" applyFont="1" applyFill="1" applyBorder="1" applyAlignment="1">
      <alignment vertical="top" wrapText="1"/>
    </xf>
    <xf numFmtId="4" fontId="61" fillId="0" borderId="5" xfId="0" applyNumberFormat="1" applyFont="1" applyFill="1" applyBorder="1" applyAlignment="1">
      <alignment vertical="top" wrapText="1"/>
    </xf>
    <xf numFmtId="170" fontId="7" fillId="0" borderId="5" xfId="0" applyNumberFormat="1" applyFont="1" applyFill="1" applyBorder="1" applyAlignment="1">
      <alignment vertical="top" wrapText="1"/>
    </xf>
    <xf numFmtId="3" fontId="7" fillId="0" borderId="5" xfId="0" applyNumberFormat="1" applyFont="1" applyFill="1" applyBorder="1" applyAlignment="1">
      <alignment vertical="top" wrapText="1"/>
    </xf>
    <xf numFmtId="4" fontId="33" fillId="0" borderId="0" xfId="0" applyNumberFormat="1" applyFont="1" applyFill="1" applyBorder="1" applyAlignment="1">
      <alignment vertical="center" wrapText="1"/>
    </xf>
    <xf numFmtId="4" fontId="3" fillId="34" borderId="1" xfId="0" applyNumberFormat="1" applyFont="1" applyFill="1" applyBorder="1" applyAlignment="1">
      <alignment vertical="top" wrapText="1"/>
    </xf>
    <xf numFmtId="4" fontId="3" fillId="0" borderId="0" xfId="0" applyNumberFormat="1" applyFont="1" applyAlignment="1">
      <alignment vertical="top"/>
    </xf>
    <xf numFmtId="0" fontId="47" fillId="0" borderId="0" xfId="642" applyFont="1"/>
    <xf numFmtId="0" fontId="1" fillId="0" borderId="0" xfId="642"/>
    <xf numFmtId="0" fontId="1" fillId="34" borderId="0" xfId="642" applyFill="1"/>
    <xf numFmtId="0" fontId="71" fillId="0" borderId="0" xfId="642" applyFont="1"/>
    <xf numFmtId="172" fontId="71" fillId="0" borderId="0" xfId="642" applyNumberFormat="1" applyFont="1"/>
    <xf numFmtId="172" fontId="1" fillId="34" borderId="0" xfId="642" applyNumberFormat="1" applyFill="1"/>
    <xf numFmtId="0" fontId="1" fillId="0" borderId="0" xfId="642" applyFill="1" applyBorder="1" applyAlignment="1">
      <alignment wrapText="1"/>
    </xf>
    <xf numFmtId="0" fontId="1" fillId="4" borderId="0" xfId="642" applyFill="1" applyBorder="1"/>
    <xf numFmtId="0" fontId="1" fillId="0" borderId="0" xfId="642" applyFill="1" applyBorder="1"/>
    <xf numFmtId="172" fontId="71" fillId="0" borderId="0" xfId="642" applyNumberFormat="1" applyFont="1" applyFill="1"/>
    <xf numFmtId="0" fontId="1" fillId="4" borderId="0" xfId="642" applyFill="1" applyBorder="1" applyAlignment="1">
      <alignment wrapText="1"/>
    </xf>
    <xf numFmtId="3" fontId="57" fillId="33" borderId="5" xfId="583" applyNumberFormat="1" applyFont="1" applyFill="1" applyBorder="1" applyAlignment="1">
      <alignment horizontal="center" vertical="center" wrapText="1"/>
    </xf>
    <xf numFmtId="3" fontId="57" fillId="31" borderId="5" xfId="583" applyNumberFormat="1" applyFont="1" applyFill="1" applyBorder="1" applyAlignment="1">
      <alignment horizontal="center" vertical="center" wrapText="1"/>
    </xf>
    <xf numFmtId="3" fontId="89" fillId="30" borderId="5" xfId="0" quotePrefix="1" applyNumberFormat="1" applyFont="1" applyFill="1" applyBorder="1"/>
    <xf numFmtId="0" fontId="97" fillId="31" borderId="50" xfId="3" applyFont="1" applyFill="1" applyBorder="1" applyAlignment="1">
      <alignment horizontal="center" vertical="center"/>
    </xf>
    <xf numFmtId="0" fontId="56" fillId="3" borderId="5" xfId="583" applyFont="1" applyFill="1" applyBorder="1" applyAlignment="1">
      <alignment horizontal="center" vertical="center" wrapText="1"/>
    </xf>
    <xf numFmtId="0" fontId="3" fillId="33" borderId="54" xfId="0" applyFont="1" applyFill="1" applyBorder="1" applyAlignment="1">
      <alignment vertical="top" wrapText="1"/>
    </xf>
    <xf numFmtId="0" fontId="3" fillId="33" borderId="55" xfId="0" applyFont="1" applyFill="1" applyBorder="1" applyAlignment="1">
      <alignment vertical="top" wrapText="1"/>
    </xf>
    <xf numFmtId="49" fontId="3" fillId="33" borderId="4" xfId="0" applyNumberFormat="1" applyFont="1" applyFill="1" applyBorder="1" applyAlignment="1">
      <alignment vertical="top" wrapText="1"/>
    </xf>
    <xf numFmtId="4" fontId="7" fillId="33" borderId="4" xfId="0" applyNumberFormat="1" applyFont="1" applyFill="1" applyBorder="1" applyAlignment="1">
      <alignment vertical="top" wrapText="1"/>
    </xf>
    <xf numFmtId="4" fontId="45" fillId="33" borderId="4" xfId="0" applyNumberFormat="1" applyFont="1" applyFill="1" applyBorder="1" applyAlignment="1">
      <alignment vertical="top" wrapText="1"/>
    </xf>
    <xf numFmtId="4" fontId="45" fillId="33" borderId="52" xfId="0" applyNumberFormat="1" applyFont="1" applyFill="1" applyBorder="1" applyAlignment="1">
      <alignment horizontal="center" vertical="top" wrapText="1"/>
    </xf>
    <xf numFmtId="4" fontId="45" fillId="34" borderId="4" xfId="0" applyNumberFormat="1" applyFont="1" applyFill="1" applyBorder="1" applyAlignment="1">
      <alignment vertical="top" wrapText="1"/>
    </xf>
    <xf numFmtId="4" fontId="7" fillId="34" borderId="4" xfId="0" applyNumberFormat="1" applyFont="1" applyFill="1" applyBorder="1" applyAlignment="1">
      <alignment vertical="top" wrapText="1"/>
    </xf>
    <xf numFmtId="0" fontId="33" fillId="33" borderId="52" xfId="0" applyFont="1" applyFill="1" applyBorder="1" applyAlignment="1">
      <alignment vertical="top" wrapText="1"/>
    </xf>
    <xf numFmtId="0" fontId="3" fillId="33" borderId="52" xfId="0" applyFont="1" applyFill="1" applyBorder="1" applyAlignment="1">
      <alignment vertical="top" wrapText="1"/>
    </xf>
    <xf numFmtId="174" fontId="7" fillId="33" borderId="52" xfId="0" applyNumberFormat="1" applyFont="1" applyFill="1" applyBorder="1" applyAlignment="1">
      <alignment vertical="top" wrapText="1"/>
    </xf>
    <xf numFmtId="4" fontId="48" fillId="34" borderId="5" xfId="0" applyNumberFormat="1" applyFont="1" applyFill="1" applyBorder="1" applyAlignment="1">
      <alignment vertical="top" wrapText="1"/>
    </xf>
    <xf numFmtId="0" fontId="55" fillId="0" borderId="0" xfId="0" applyFont="1" applyAlignment="1">
      <alignment vertical="top"/>
    </xf>
    <xf numFmtId="0" fontId="55" fillId="0" borderId="0" xfId="0" applyFont="1" applyAlignment="1">
      <alignment vertical="top" wrapText="1"/>
    </xf>
    <xf numFmtId="0" fontId="38" fillId="2" borderId="5" xfId="0" applyFont="1" applyFill="1" applyBorder="1" applyAlignment="1">
      <alignment horizontal="center" vertical="top" wrapText="1"/>
    </xf>
    <xf numFmtId="0" fontId="55" fillId="0" borderId="27" xfId="0" applyFont="1" applyBorder="1" applyAlignment="1">
      <alignment vertical="top"/>
    </xf>
    <xf numFmtId="0" fontId="46" fillId="0" borderId="0" xfId="0" applyFont="1" applyFill="1" applyBorder="1" applyAlignment="1">
      <alignment vertical="center" wrapText="1"/>
    </xf>
    <xf numFmtId="0" fontId="45" fillId="0" borderId="8" xfId="0" applyFont="1" applyFill="1" applyBorder="1" applyAlignment="1">
      <alignment vertical="top" wrapText="1"/>
    </xf>
    <xf numFmtId="0" fontId="46" fillId="33" borderId="3" xfId="0" applyFont="1" applyFill="1" applyBorder="1" applyAlignment="1">
      <alignment vertical="top" wrapText="1"/>
    </xf>
    <xf numFmtId="0" fontId="45" fillId="33" borderId="3" xfId="0" applyFont="1" applyFill="1" applyBorder="1" applyAlignment="1">
      <alignment vertical="top" wrapText="1"/>
    </xf>
    <xf numFmtId="0" fontId="116" fillId="0" borderId="5" xfId="0" applyFont="1" applyFill="1" applyBorder="1" applyAlignment="1">
      <alignment vertical="top" wrapText="1"/>
    </xf>
    <xf numFmtId="0" fontId="45" fillId="33" borderId="52" xfId="0" applyFont="1" applyFill="1" applyBorder="1" applyAlignment="1">
      <alignment vertical="top" wrapText="1"/>
    </xf>
    <xf numFmtId="0" fontId="0" fillId="0" borderId="25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0" fillId="0" borderId="27" xfId="0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6" fillId="0" borderId="5" xfId="0" applyFont="1" applyBorder="1" applyAlignment="1">
      <alignment horizontal="center" vertical="top" wrapText="1"/>
    </xf>
    <xf numFmtId="0" fontId="70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33" fillId="33" borderId="2" xfId="0" applyFont="1" applyFill="1" applyBorder="1" applyAlignment="1">
      <alignment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" fillId="0" borderId="8" xfId="0" applyFont="1" applyFill="1" applyBorder="1" applyAlignment="1">
      <alignment vertical="top" wrapText="1"/>
    </xf>
    <xf numFmtId="4" fontId="48" fillId="34" borderId="4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 wrapText="1"/>
    </xf>
    <xf numFmtId="0" fontId="2" fillId="2" borderId="2" xfId="0" applyFont="1" applyFill="1" applyBorder="1" applyAlignment="1">
      <alignment horizontal="center" vertical="top" wrapText="1"/>
    </xf>
    <xf numFmtId="0" fontId="53" fillId="0" borderId="0" xfId="0" applyFont="1" applyAlignment="1">
      <alignment vertical="top"/>
    </xf>
    <xf numFmtId="0" fontId="10" fillId="0" borderId="0" xfId="0" applyFont="1" applyAlignment="1">
      <alignment horizontal="right" vertical="top"/>
    </xf>
    <xf numFmtId="0" fontId="53" fillId="0" borderId="0" xfId="0" applyFont="1" applyAlignment="1">
      <alignment vertical="top" wrapText="1"/>
    </xf>
    <xf numFmtId="0" fontId="65" fillId="0" borderId="12" xfId="0" applyFont="1" applyFill="1" applyBorder="1" applyAlignment="1">
      <alignment horizontal="center" vertical="top" wrapText="1"/>
    </xf>
    <xf numFmtId="0" fontId="65" fillId="0" borderId="48" xfId="0" applyFont="1" applyFill="1" applyBorder="1" applyAlignment="1">
      <alignment horizontal="center" vertical="top" wrapText="1"/>
    </xf>
    <xf numFmtId="0" fontId="65" fillId="0" borderId="35" xfId="0" applyFont="1" applyFill="1" applyBorder="1" applyAlignment="1">
      <alignment horizontal="center" vertical="top" wrapText="1"/>
    </xf>
    <xf numFmtId="0" fontId="53" fillId="0" borderId="13" xfId="0" applyFont="1" applyBorder="1" applyAlignment="1">
      <alignment horizontal="center" vertical="top" wrapText="1"/>
    </xf>
    <xf numFmtId="0" fontId="53" fillId="0" borderId="9" xfId="0" applyFont="1" applyBorder="1" applyAlignment="1">
      <alignment horizontal="center" vertical="top" wrapText="1"/>
    </xf>
    <xf numFmtId="0" fontId="53" fillId="0" borderId="33" xfId="0" applyFont="1" applyBorder="1" applyAlignment="1">
      <alignment horizontal="center" vertical="top" wrapText="1"/>
    </xf>
    <xf numFmtId="0" fontId="53" fillId="3" borderId="33" xfId="0" applyFont="1" applyFill="1" applyBorder="1" applyAlignment="1">
      <alignment horizontal="center" vertical="top" wrapText="1"/>
    </xf>
    <xf numFmtId="0" fontId="53" fillId="3" borderId="37" xfId="0" applyFont="1" applyFill="1" applyBorder="1" applyAlignment="1">
      <alignment horizontal="center" vertical="top" wrapText="1"/>
    </xf>
    <xf numFmtId="0" fontId="53" fillId="0" borderId="67" xfId="0" applyFont="1" applyBorder="1" applyAlignment="1">
      <alignment horizontal="center" vertical="top" wrapText="1"/>
    </xf>
    <xf numFmtId="0" fontId="53" fillId="0" borderId="37" xfId="0" applyFont="1" applyFill="1" applyBorder="1" applyAlignment="1">
      <alignment horizontal="center" vertical="top" wrapText="1"/>
    </xf>
    <xf numFmtId="0" fontId="11" fillId="0" borderId="38" xfId="0" applyFont="1" applyBorder="1" applyAlignment="1">
      <alignment horizontal="center" vertical="top" wrapText="1"/>
    </xf>
    <xf numFmtId="0" fontId="11" fillId="0" borderId="39" xfId="0" applyFont="1" applyBorder="1" applyAlignment="1">
      <alignment horizontal="center" vertical="top" wrapText="1"/>
    </xf>
    <xf numFmtId="0" fontId="11" fillId="0" borderId="40" xfId="0" applyFont="1" applyBorder="1" applyAlignment="1">
      <alignment horizontal="center" vertical="top" wrapText="1"/>
    </xf>
    <xf numFmtId="0" fontId="11" fillId="0" borderId="41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42" xfId="0" applyFont="1" applyBorder="1" applyAlignment="1">
      <alignment horizontal="center" vertical="top" wrapText="1"/>
    </xf>
    <xf numFmtId="0" fontId="11" fillId="0" borderId="47" xfId="0" applyFont="1" applyBorder="1" applyAlignment="1">
      <alignment horizontal="center" vertical="top" wrapText="1"/>
    </xf>
    <xf numFmtId="0" fontId="11" fillId="0" borderId="68" xfId="0" applyFont="1" applyBorder="1" applyAlignment="1">
      <alignment horizontal="center" vertical="top" wrapText="1"/>
    </xf>
    <xf numFmtId="0" fontId="65" fillId="31" borderId="43" xfId="0" applyFont="1" applyFill="1" applyBorder="1" applyAlignment="1">
      <alignment vertical="top" wrapText="1"/>
    </xf>
    <xf numFmtId="4" fontId="73" fillId="31" borderId="39" xfId="0" applyNumberFormat="1" applyFont="1" applyFill="1" applyBorder="1" applyAlignment="1">
      <alignment vertical="top" wrapText="1"/>
    </xf>
    <xf numFmtId="4" fontId="73" fillId="31" borderId="40" xfId="0" applyNumberFormat="1" applyFont="1" applyFill="1" applyBorder="1" applyAlignment="1">
      <alignment vertical="top" wrapText="1"/>
    </xf>
    <xf numFmtId="4" fontId="73" fillId="31" borderId="41" xfId="0" applyNumberFormat="1" applyFont="1" applyFill="1" applyBorder="1" applyAlignment="1">
      <alignment vertical="top" wrapText="1"/>
    </xf>
    <xf numFmtId="4" fontId="92" fillId="31" borderId="41" xfId="0" applyNumberFormat="1" applyFont="1" applyFill="1" applyBorder="1" applyAlignment="1">
      <alignment vertical="top" wrapText="1"/>
    </xf>
    <xf numFmtId="4" fontId="92" fillId="31" borderId="44" xfId="0" applyNumberFormat="1" applyFont="1" applyFill="1" applyBorder="1" applyAlignment="1">
      <alignment vertical="top" wrapText="1"/>
    </xf>
    <xf numFmtId="4" fontId="73" fillId="31" borderId="44" xfId="0" applyNumberFormat="1" applyFont="1" applyFill="1" applyBorder="1" applyAlignment="1">
      <alignment vertical="top" wrapText="1"/>
    </xf>
    <xf numFmtId="172" fontId="92" fillId="31" borderId="39" xfId="0" applyNumberFormat="1" applyFont="1" applyFill="1" applyBorder="1" applyAlignment="1">
      <alignment vertical="top" wrapText="1"/>
    </xf>
    <xf numFmtId="172" fontId="92" fillId="31" borderId="65" xfId="0" applyNumberFormat="1" applyFont="1" applyFill="1" applyBorder="1" applyAlignment="1">
      <alignment vertical="top" wrapText="1"/>
    </xf>
    <xf numFmtId="0" fontId="119" fillId="0" borderId="28" xfId="0" applyFont="1" applyFill="1" applyBorder="1" applyAlignment="1">
      <alignment vertical="top" wrapText="1"/>
    </xf>
    <xf numFmtId="4" fontId="74" fillId="0" borderId="12" xfId="0" applyNumberFormat="1" applyFont="1" applyBorder="1" applyAlignment="1">
      <alignment vertical="top" wrapText="1"/>
    </xf>
    <xf numFmtId="4" fontId="78" fillId="30" borderId="34" xfId="0" applyNumberFormat="1" applyFont="1" applyFill="1" applyBorder="1" applyAlignment="1">
      <alignment vertical="top" wrapText="1"/>
    </xf>
    <xf numFmtId="4" fontId="78" fillId="3" borderId="34" xfId="0" applyNumberFormat="1" applyFont="1" applyFill="1" applyBorder="1" applyAlignment="1">
      <alignment vertical="top" wrapText="1"/>
    </xf>
    <xf numFmtId="172" fontId="78" fillId="0" borderId="32" xfId="0" applyNumberFormat="1" applyFont="1" applyFill="1" applyBorder="1" applyAlignment="1">
      <alignment vertical="top" wrapText="1"/>
    </xf>
    <xf numFmtId="172" fontId="78" fillId="0" borderId="64" xfId="0" applyNumberFormat="1" applyFont="1" applyFill="1" applyBorder="1" applyAlignment="1">
      <alignment vertical="top" wrapText="1"/>
    </xf>
    <xf numFmtId="4" fontId="74" fillId="0" borderId="34" xfId="0" applyNumberFormat="1" applyFont="1" applyFill="1" applyBorder="1" applyAlignment="1">
      <alignment vertical="top" wrapText="1"/>
    </xf>
    <xf numFmtId="4" fontId="74" fillId="34" borderId="34" xfId="0" applyNumberFormat="1" applyFont="1" applyFill="1" applyBorder="1" applyAlignment="1">
      <alignment vertical="top" wrapText="1"/>
    </xf>
    <xf numFmtId="0" fontId="119" fillId="0" borderId="36" xfId="0" applyFont="1" applyFill="1" applyBorder="1" applyAlignment="1">
      <alignment vertical="top" wrapText="1"/>
    </xf>
    <xf numFmtId="4" fontId="78" fillId="30" borderId="37" xfId="0" applyNumberFormat="1" applyFont="1" applyFill="1" applyBorder="1" applyAlignment="1">
      <alignment vertical="top" wrapText="1"/>
    </xf>
    <xf numFmtId="4" fontId="78" fillId="3" borderId="37" xfId="0" applyNumberFormat="1" applyFont="1" applyFill="1" applyBorder="1" applyAlignment="1">
      <alignment vertical="top" wrapText="1"/>
    </xf>
    <xf numFmtId="172" fontId="78" fillId="0" borderId="13" xfId="0" applyNumberFormat="1" applyFont="1" applyFill="1" applyBorder="1" applyAlignment="1">
      <alignment vertical="top" wrapText="1"/>
    </xf>
    <xf numFmtId="172" fontId="78" fillId="0" borderId="67" xfId="0" applyNumberFormat="1" applyFont="1" applyFill="1" applyBorder="1" applyAlignment="1">
      <alignment vertical="top" wrapText="1"/>
    </xf>
    <xf numFmtId="4" fontId="74" fillId="0" borderId="37" xfId="0" applyNumberFormat="1" applyFont="1" applyFill="1" applyBorder="1" applyAlignment="1">
      <alignment vertical="top" wrapText="1"/>
    </xf>
    <xf numFmtId="4" fontId="74" fillId="34" borderId="37" xfId="0" applyNumberFormat="1" applyFont="1" applyFill="1" applyBorder="1" applyAlignment="1">
      <alignment vertical="top" wrapText="1"/>
    </xf>
    <xf numFmtId="0" fontId="119" fillId="0" borderId="28" xfId="0" applyFont="1" applyBorder="1" applyAlignment="1">
      <alignment vertical="top" wrapText="1"/>
    </xf>
    <xf numFmtId="4" fontId="92" fillId="30" borderId="34" xfId="0" applyNumberFormat="1" applyFont="1" applyFill="1" applyBorder="1" applyAlignment="1">
      <alignment vertical="top" wrapText="1"/>
    </xf>
    <xf numFmtId="4" fontId="92" fillId="3" borderId="34" xfId="0" applyNumberFormat="1" applyFont="1" applyFill="1" applyBorder="1" applyAlignment="1">
      <alignment vertical="top" wrapText="1"/>
    </xf>
    <xf numFmtId="0" fontId="119" fillId="0" borderId="36" xfId="0" applyFont="1" applyBorder="1" applyAlignment="1">
      <alignment vertical="top" wrapText="1"/>
    </xf>
    <xf numFmtId="4" fontId="92" fillId="30" borderId="37" xfId="0" applyNumberFormat="1" applyFont="1" applyFill="1" applyBorder="1" applyAlignment="1">
      <alignment vertical="top" wrapText="1"/>
    </xf>
    <xf numFmtId="4" fontId="92" fillId="3" borderId="37" xfId="0" applyNumberFormat="1" applyFont="1" applyFill="1" applyBorder="1" applyAlignment="1">
      <alignment vertical="top" wrapText="1"/>
    </xf>
    <xf numFmtId="0" fontId="65" fillId="0" borderId="0" xfId="0" applyFont="1" applyFill="1" applyBorder="1" applyAlignment="1">
      <alignment vertical="top" wrapText="1"/>
    </xf>
    <xf numFmtId="4" fontId="74" fillId="0" borderId="0" xfId="0" applyNumberFormat="1" applyFont="1" applyFill="1" applyBorder="1" applyAlignment="1">
      <alignment vertical="top" wrapText="1"/>
    </xf>
    <xf numFmtId="4" fontId="78" fillId="0" borderId="0" xfId="0" applyNumberFormat="1" applyFont="1" applyFill="1" applyBorder="1" applyAlignment="1">
      <alignment vertical="top" wrapText="1"/>
    </xf>
    <xf numFmtId="4" fontId="73" fillId="0" borderId="0" xfId="0" applyNumberFormat="1" applyFont="1" applyFill="1" applyBorder="1" applyAlignment="1">
      <alignment vertical="top" wrapText="1"/>
    </xf>
    <xf numFmtId="4" fontId="65" fillId="0" borderId="0" xfId="0" applyNumberFormat="1" applyFont="1" applyFill="1" applyBorder="1" applyAlignment="1">
      <alignment vertical="top" wrapText="1"/>
    </xf>
    <xf numFmtId="0" fontId="53" fillId="0" borderId="0" xfId="0" applyFont="1" applyFill="1" applyAlignment="1">
      <alignment vertical="top" wrapText="1"/>
    </xf>
    <xf numFmtId="0" fontId="109" fillId="0" borderId="0" xfId="0" applyFont="1" applyBorder="1" applyAlignment="1">
      <alignment horizontal="justify" vertical="top" wrapText="1"/>
    </xf>
    <xf numFmtId="0" fontId="53" fillId="0" borderId="0" xfId="617" applyFont="1" applyAlignment="1">
      <alignment vertical="top"/>
    </xf>
    <xf numFmtId="0" fontId="11" fillId="0" borderId="0" xfId="617" applyFont="1" applyAlignment="1">
      <alignment vertical="top" wrapText="1"/>
    </xf>
    <xf numFmtId="0" fontId="53" fillId="5" borderId="53" xfId="0" applyFont="1" applyFill="1" applyBorder="1" applyAlignment="1">
      <alignment horizontal="center" vertical="top" wrapText="1"/>
    </xf>
    <xf numFmtId="0" fontId="53" fillId="0" borderId="53" xfId="0" applyFont="1" applyBorder="1" applyAlignment="1">
      <alignment horizontal="center" vertical="top" wrapText="1"/>
    </xf>
    <xf numFmtId="0" fontId="53" fillId="0" borderId="53" xfId="0" applyFont="1" applyBorder="1" applyAlignment="1">
      <alignment vertical="top" wrapText="1"/>
    </xf>
    <xf numFmtId="0" fontId="3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11" fillId="30" borderId="69" xfId="0" applyFont="1" applyFill="1" applyBorder="1" applyAlignment="1">
      <alignment horizontal="center" vertical="top" wrapText="1"/>
    </xf>
    <xf numFmtId="0" fontId="3" fillId="4" borderId="70" xfId="0" applyFont="1" applyFill="1" applyBorder="1" applyAlignment="1">
      <alignment vertical="top" wrapText="1"/>
    </xf>
    <xf numFmtId="0" fontId="45" fillId="33" borderId="70" xfId="0" applyFont="1" applyFill="1" applyBorder="1" applyAlignment="1">
      <alignment vertical="top" wrapText="1"/>
    </xf>
    <xf numFmtId="0" fontId="3" fillId="33" borderId="71" xfId="0" applyFont="1" applyFill="1" applyBorder="1" applyAlignment="1">
      <alignment vertical="top" wrapText="1"/>
    </xf>
    <xf numFmtId="0" fontId="3" fillId="33" borderId="72" xfId="0" applyFont="1" applyFill="1" applyBorder="1" applyAlignment="1">
      <alignment vertical="top" wrapText="1"/>
    </xf>
    <xf numFmtId="4" fontId="45" fillId="33" borderId="70" xfId="0" applyNumberFormat="1" applyFont="1" applyFill="1" applyBorder="1" applyAlignment="1">
      <alignment horizontal="center" vertical="top" wrapText="1"/>
    </xf>
    <xf numFmtId="0" fontId="3" fillId="33" borderId="70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46" fillId="33" borderId="70" xfId="0" applyFont="1" applyFill="1" applyBorder="1" applyAlignment="1">
      <alignment vertical="top" wrapText="1"/>
    </xf>
    <xf numFmtId="49" fontId="33" fillId="33" borderId="70" xfId="0" applyNumberFormat="1" applyFont="1" applyFill="1" applyBorder="1" applyAlignment="1">
      <alignment vertical="top" wrapText="1"/>
    </xf>
    <xf numFmtId="4" fontId="44" fillId="33" borderId="70" xfId="0" applyNumberFormat="1" applyFont="1" applyFill="1" applyBorder="1" applyAlignment="1">
      <alignment vertical="top" wrapText="1"/>
    </xf>
    <xf numFmtId="4" fontId="46" fillId="33" borderId="70" xfId="0" applyNumberFormat="1" applyFont="1" applyFill="1" applyBorder="1" applyAlignment="1">
      <alignment vertical="top" wrapText="1"/>
    </xf>
    <xf numFmtId="4" fontId="46" fillId="33" borderId="70" xfId="0" applyNumberFormat="1" applyFont="1" applyFill="1" applyBorder="1" applyAlignment="1">
      <alignment horizontal="center" vertical="top" wrapText="1"/>
    </xf>
    <xf numFmtId="0" fontId="33" fillId="33" borderId="73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3" fillId="0" borderId="2" xfId="0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6" fillId="0" borderId="5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vertical="top"/>
    </xf>
    <xf numFmtId="0" fontId="1" fillId="0" borderId="0" xfId="4" applyAlignment="1">
      <alignment vertical="top"/>
    </xf>
    <xf numFmtId="2" fontId="1" fillId="0" borderId="70" xfId="4" applyNumberFormat="1" applyBorder="1" applyAlignment="1">
      <alignment vertical="top"/>
    </xf>
    <xf numFmtId="0" fontId="0" fillId="0" borderId="70" xfId="4" applyFont="1" applyBorder="1" applyAlignment="1">
      <alignment vertical="top" wrapText="1"/>
    </xf>
    <xf numFmtId="4" fontId="72" fillId="2" borderId="70" xfId="4" applyNumberFormat="1" applyFont="1" applyFill="1" applyBorder="1" applyAlignment="1">
      <alignment vertical="top"/>
    </xf>
    <xf numFmtId="4" fontId="72" fillId="0" borderId="70" xfId="4" applyNumberFormat="1" applyFont="1" applyFill="1" applyBorder="1" applyAlignment="1">
      <alignment vertical="top"/>
    </xf>
    <xf numFmtId="0" fontId="47" fillId="2" borderId="70" xfId="4" applyFont="1" applyFill="1" applyBorder="1" applyAlignment="1">
      <alignment vertical="top" wrapText="1"/>
    </xf>
    <xf numFmtId="0" fontId="1" fillId="0" borderId="70" xfId="4" applyBorder="1" applyAlignment="1">
      <alignment vertical="top"/>
    </xf>
    <xf numFmtId="4" fontId="71" fillId="4" borderId="70" xfId="4" applyNumberFormat="1" applyFont="1" applyFill="1" applyBorder="1" applyAlignment="1">
      <alignment vertical="top"/>
    </xf>
    <xf numFmtId="0" fontId="0" fillId="4" borderId="70" xfId="4" applyFont="1" applyFill="1" applyBorder="1" applyAlignment="1">
      <alignment vertical="top"/>
    </xf>
    <xf numFmtId="4" fontId="71" fillId="0" borderId="70" xfId="4" applyNumberFormat="1" applyFont="1" applyBorder="1" applyAlignment="1">
      <alignment vertical="top"/>
    </xf>
    <xf numFmtId="0" fontId="0" fillId="0" borderId="70" xfId="4" applyFont="1" applyBorder="1" applyAlignment="1">
      <alignment vertical="top"/>
    </xf>
    <xf numFmtId="0" fontId="47" fillId="2" borderId="70" xfId="4" applyFont="1" applyFill="1" applyBorder="1" applyAlignment="1">
      <alignment vertical="top"/>
    </xf>
    <xf numFmtId="4" fontId="1" fillId="0" borderId="0" xfId="4" applyNumberFormat="1" applyAlignment="1">
      <alignment vertical="top"/>
    </xf>
    <xf numFmtId="0" fontId="0" fillId="0" borderId="0" xfId="4" applyFont="1" applyAlignment="1">
      <alignment vertical="top"/>
    </xf>
    <xf numFmtId="4" fontId="55" fillId="36" borderId="70" xfId="4" applyNumberFormat="1" applyFont="1" applyFill="1" applyBorder="1" applyAlignment="1">
      <alignment vertical="top"/>
    </xf>
    <xf numFmtId="4" fontId="55" fillId="0" borderId="70" xfId="4" applyNumberFormat="1" applyFont="1" applyFill="1" applyBorder="1" applyAlignment="1">
      <alignment vertical="top"/>
    </xf>
    <xf numFmtId="0" fontId="1" fillId="33" borderId="70" xfId="4" applyFill="1" applyBorder="1" applyAlignment="1">
      <alignment vertical="top" wrapText="1"/>
    </xf>
    <xf numFmtId="0" fontId="1" fillId="0" borderId="70" xfId="4" applyBorder="1" applyAlignment="1">
      <alignment horizontal="center" vertical="top"/>
    </xf>
    <xf numFmtId="4" fontId="55" fillId="36" borderId="70" xfId="387" applyNumberFormat="1" applyFont="1" applyFill="1" applyBorder="1" applyAlignment="1">
      <alignment vertical="top"/>
    </xf>
    <xf numFmtId="4" fontId="55" fillId="0" borderId="70" xfId="387" applyNumberFormat="1" applyFont="1" applyFill="1" applyBorder="1" applyAlignment="1">
      <alignment vertical="top"/>
    </xf>
    <xf numFmtId="0" fontId="0" fillId="33" borderId="70" xfId="387" applyFont="1" applyFill="1" applyBorder="1" applyAlignment="1">
      <alignment vertical="top" wrapText="1"/>
    </xf>
    <xf numFmtId="0" fontId="1" fillId="0" borderId="0" xfId="4" applyFont="1" applyAlignment="1">
      <alignment vertical="top"/>
    </xf>
    <xf numFmtId="0" fontId="0" fillId="0" borderId="70" xfId="4" applyFont="1" applyFill="1" applyBorder="1" applyAlignment="1">
      <alignment vertical="top"/>
    </xf>
    <xf numFmtId="0" fontId="36" fillId="4" borderId="70" xfId="4" applyFont="1" applyFill="1" applyBorder="1" applyAlignment="1">
      <alignment vertical="top" wrapText="1"/>
    </xf>
    <xf numFmtId="4" fontId="122" fillId="36" borderId="70" xfId="4" applyNumberFormat="1" applyFont="1" applyFill="1" applyBorder="1" applyAlignment="1">
      <alignment vertical="top"/>
    </xf>
    <xf numFmtId="4" fontId="122" fillId="0" borderId="70" xfId="4" applyNumberFormat="1" applyFont="1" applyFill="1" applyBorder="1" applyAlignment="1">
      <alignment vertical="top"/>
    </xf>
    <xf numFmtId="0" fontId="123" fillId="0" borderId="70" xfId="4" applyFont="1" applyBorder="1" applyAlignment="1">
      <alignment vertical="top"/>
    </xf>
    <xf numFmtId="4" fontId="124" fillId="36" borderId="70" xfId="4" applyNumberFormat="1" applyFont="1" applyFill="1" applyBorder="1" applyAlignment="1">
      <alignment vertical="top"/>
    </xf>
    <xf numFmtId="4" fontId="124" fillId="0" borderId="70" xfId="4" applyNumberFormat="1" applyFont="1" applyFill="1" applyBorder="1" applyAlignment="1">
      <alignment vertical="top"/>
    </xf>
    <xf numFmtId="0" fontId="123" fillId="0" borderId="70" xfId="4" applyFont="1" applyBorder="1" applyAlignment="1">
      <alignment vertical="top" wrapText="1"/>
    </xf>
    <xf numFmtId="0" fontId="123" fillId="0" borderId="70" xfId="4" applyFont="1" applyFill="1" applyBorder="1" applyAlignment="1">
      <alignment vertical="top" wrapText="1"/>
    </xf>
    <xf numFmtId="0" fontId="1" fillId="4" borderId="70" xfId="4" applyFill="1" applyBorder="1" applyAlignment="1">
      <alignment vertical="top" wrapText="1"/>
    </xf>
    <xf numFmtId="0" fontId="1" fillId="4" borderId="70" xfId="4" applyFill="1" applyBorder="1" applyAlignment="1">
      <alignment vertical="top"/>
    </xf>
    <xf numFmtId="0" fontId="123" fillId="0" borderId="70" xfId="4" applyFont="1" applyFill="1" applyBorder="1" applyAlignment="1">
      <alignment vertical="top"/>
    </xf>
    <xf numFmtId="0" fontId="0" fillId="4" borderId="70" xfId="4" applyFont="1" applyFill="1" applyBorder="1" applyAlignment="1">
      <alignment vertical="top" wrapText="1"/>
    </xf>
    <xf numFmtId="4" fontId="122" fillId="36" borderId="70" xfId="387" applyNumberFormat="1" applyFont="1" applyFill="1" applyBorder="1" applyAlignment="1">
      <alignment vertical="top"/>
    </xf>
    <xf numFmtId="4" fontId="122" fillId="0" borderId="70" xfId="387" applyNumberFormat="1" applyFont="1" applyFill="1" applyBorder="1" applyAlignment="1">
      <alignment vertical="top"/>
    </xf>
    <xf numFmtId="4" fontId="122" fillId="3" borderId="70" xfId="387" applyNumberFormat="1" applyFont="1" applyFill="1" applyBorder="1" applyAlignment="1">
      <alignment vertical="top"/>
    </xf>
    <xf numFmtId="0" fontId="0" fillId="0" borderId="70" xfId="387" applyFont="1" applyFill="1" applyBorder="1" applyAlignment="1">
      <alignment vertical="top" wrapText="1"/>
    </xf>
    <xf numFmtId="0" fontId="1" fillId="0" borderId="70" xfId="387" applyFill="1" applyBorder="1" applyAlignment="1">
      <alignment vertical="top"/>
    </xf>
    <xf numFmtId="4" fontId="85" fillId="36" borderId="70" xfId="4" applyNumberFormat="1" applyFont="1" applyFill="1" applyBorder="1" applyAlignment="1">
      <alignment vertical="top"/>
    </xf>
    <xf numFmtId="4" fontId="85" fillId="0" borderId="70" xfId="4" applyNumberFormat="1" applyFont="1" applyFill="1" applyBorder="1" applyAlignment="1">
      <alignment vertical="top"/>
    </xf>
    <xf numFmtId="0" fontId="1" fillId="0" borderId="70" xfId="4" applyFill="1" applyBorder="1" applyAlignment="1">
      <alignment vertical="top"/>
    </xf>
    <xf numFmtId="0" fontId="1" fillId="0" borderId="70" xfId="4" applyFont="1" applyFill="1" applyBorder="1" applyAlignment="1">
      <alignment vertical="top" wrapText="1"/>
    </xf>
    <xf numFmtId="0" fontId="1" fillId="0" borderId="70" xfId="4" applyFill="1" applyBorder="1" applyAlignment="1">
      <alignment vertical="top" wrapText="1"/>
    </xf>
    <xf numFmtId="0" fontId="2" fillId="0" borderId="0" xfId="4" applyFont="1" applyAlignment="1">
      <alignment vertical="top"/>
    </xf>
    <xf numFmtId="0" fontId="1" fillId="2" borderId="70" xfId="4" applyFill="1" applyBorder="1" applyAlignment="1">
      <alignment horizontal="center" vertical="top"/>
    </xf>
    <xf numFmtId="0" fontId="0" fillId="2" borderId="70" xfId="4" applyFont="1" applyFill="1" applyBorder="1" applyAlignment="1">
      <alignment horizontal="right" vertical="top"/>
    </xf>
    <xf numFmtId="0" fontId="1" fillId="2" borderId="70" xfId="4" applyFill="1" applyBorder="1" applyAlignment="1">
      <alignment vertical="top"/>
    </xf>
    <xf numFmtId="0" fontId="1" fillId="2" borderId="70" xfId="4" applyFont="1" applyFill="1" applyBorder="1" applyAlignment="1">
      <alignment horizontal="right" vertical="top"/>
    </xf>
    <xf numFmtId="0" fontId="3" fillId="36" borderId="70" xfId="4" applyFont="1" applyFill="1" applyBorder="1" applyAlignment="1">
      <alignment horizontal="center" vertical="top" wrapText="1"/>
    </xf>
    <xf numFmtId="0" fontId="3" fillId="0" borderId="70" xfId="4" applyFont="1" applyFill="1" applyBorder="1" applyAlignment="1">
      <alignment horizontal="center" vertical="top" wrapText="1"/>
    </xf>
    <xf numFmtId="0" fontId="1" fillId="0" borderId="4" xfId="4" applyFont="1" applyBorder="1" applyAlignment="1">
      <alignment horizontal="right" vertical="top" wrapText="1"/>
    </xf>
    <xf numFmtId="0" fontId="55" fillId="0" borderId="0" xfId="4" applyFont="1" applyAlignment="1">
      <alignment vertical="top"/>
    </xf>
    <xf numFmtId="0" fontId="129" fillId="0" borderId="0" xfId="0" applyFont="1" applyBorder="1" applyAlignment="1">
      <alignment horizontal="center" vertical="top"/>
    </xf>
    <xf numFmtId="0" fontId="10" fillId="0" borderId="70" xfId="0" applyFont="1" applyBorder="1" applyAlignment="1">
      <alignment horizontal="center" vertical="top" wrapText="1"/>
    </xf>
    <xf numFmtId="0" fontId="10" fillId="4" borderId="70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130" fillId="0" borderId="70" xfId="0" applyFont="1" applyFill="1" applyBorder="1" applyAlignment="1">
      <alignment horizontal="center" vertical="top" wrapText="1"/>
    </xf>
    <xf numFmtId="4" fontId="8" fillId="0" borderId="70" xfId="0" applyNumberFormat="1" applyFont="1" applyFill="1" applyBorder="1" applyAlignment="1">
      <alignment horizontal="center" vertical="top"/>
    </xf>
    <xf numFmtId="4" fontId="10" fillId="39" borderId="70" xfId="0" applyNumberFormat="1" applyFont="1" applyFill="1" applyBorder="1" applyAlignment="1">
      <alignment horizontal="center" vertical="top" wrapText="1"/>
    </xf>
    <xf numFmtId="4" fontId="10" fillId="0" borderId="70" xfId="0" applyNumberFormat="1" applyFont="1" applyBorder="1" applyAlignment="1">
      <alignment horizontal="center" vertical="top"/>
    </xf>
    <xf numFmtId="4" fontId="10" fillId="4" borderId="70" xfId="0" applyNumberFormat="1" applyFont="1" applyFill="1" applyBorder="1" applyAlignment="1">
      <alignment horizontal="center" vertical="top"/>
    </xf>
    <xf numFmtId="4" fontId="12" fillId="0" borderId="70" xfId="0" applyNumberFormat="1" applyFont="1" applyBorder="1" applyAlignment="1">
      <alignment horizontal="center" vertical="top"/>
    </xf>
    <xf numFmtId="172" fontId="10" fillId="4" borderId="70" xfId="0" applyNumberFormat="1" applyFont="1" applyFill="1" applyBorder="1" applyAlignment="1">
      <alignment horizontal="center" vertical="top"/>
    </xf>
    <xf numFmtId="0" fontId="130" fillId="2" borderId="70" xfId="0" applyFont="1" applyFill="1" applyBorder="1" applyAlignment="1">
      <alignment horizontal="center" vertical="top" wrapText="1"/>
    </xf>
    <xf numFmtId="4" fontId="10" fillId="0" borderId="73" xfId="0" applyNumberFormat="1" applyFont="1" applyBorder="1" applyAlignment="1">
      <alignment horizontal="center" vertical="top"/>
    </xf>
    <xf numFmtId="0" fontId="131" fillId="0" borderId="70" xfId="0" applyFont="1" applyFill="1" applyBorder="1" applyAlignment="1">
      <alignment horizontal="center" vertical="top" wrapText="1"/>
    </xf>
    <xf numFmtId="3" fontId="66" fillId="0" borderId="70" xfId="0" applyNumberFormat="1" applyFont="1" applyBorder="1" applyAlignment="1">
      <alignment horizontal="center" vertical="top"/>
    </xf>
    <xf numFmtId="4" fontId="9" fillId="0" borderId="70" xfId="0" applyNumberFormat="1" applyFont="1" applyBorder="1" applyAlignment="1">
      <alignment horizontal="center" vertical="top"/>
    </xf>
    <xf numFmtId="4" fontId="9" fillId="4" borderId="70" xfId="0" applyNumberFormat="1" applyFont="1" applyFill="1" applyBorder="1" applyAlignment="1">
      <alignment horizontal="center" vertical="top"/>
    </xf>
    <xf numFmtId="172" fontId="9" fillId="4" borderId="70" xfId="0" applyNumberFormat="1" applyFont="1" applyFill="1" applyBorder="1" applyAlignment="1">
      <alignment horizontal="center" vertical="top"/>
    </xf>
    <xf numFmtId="171" fontId="0" fillId="0" borderId="0" xfId="0" applyNumberFormat="1" applyAlignment="1">
      <alignment vertical="top"/>
    </xf>
    <xf numFmtId="0" fontId="1" fillId="0" borderId="0" xfId="5106"/>
    <xf numFmtId="0" fontId="1" fillId="34" borderId="0" xfId="5106" applyFill="1"/>
    <xf numFmtId="0" fontId="71" fillId="0" borderId="0" xfId="5106" applyFont="1"/>
    <xf numFmtId="172" fontId="71" fillId="0" borderId="0" xfId="5106" applyNumberFormat="1" applyFont="1"/>
    <xf numFmtId="172" fontId="1" fillId="0" borderId="70" xfId="642" applyNumberFormat="1" applyBorder="1"/>
    <xf numFmtId="172" fontId="71" fillId="0" borderId="70" xfId="642" applyNumberFormat="1" applyFont="1" applyBorder="1"/>
    <xf numFmtId="4" fontId="71" fillId="0" borderId="70" xfId="642" applyNumberFormat="1" applyFont="1" applyBorder="1"/>
    <xf numFmtId="172" fontId="1" fillId="0" borderId="70" xfId="5106" applyNumberFormat="1" applyBorder="1"/>
    <xf numFmtId="172" fontId="71" fillId="40" borderId="70" xfId="5106" applyNumberFormat="1" applyFont="1" applyFill="1" applyBorder="1"/>
    <xf numFmtId="4" fontId="71" fillId="0" borderId="70" xfId="5106" applyNumberFormat="1" applyFont="1" applyBorder="1"/>
    <xf numFmtId="172" fontId="1" fillId="34" borderId="0" xfId="5106" applyNumberFormat="1" applyFill="1"/>
    <xf numFmtId="0" fontId="1" fillId="0" borderId="70" xfId="642" applyBorder="1"/>
    <xf numFmtId="172" fontId="71" fillId="0" borderId="70" xfId="5106" applyNumberFormat="1" applyFont="1" applyBorder="1"/>
    <xf numFmtId="0" fontId="47" fillId="4" borderId="70" xfId="642" applyFont="1" applyFill="1" applyBorder="1"/>
    <xf numFmtId="172" fontId="72" fillId="4" borderId="70" xfId="642" applyNumberFormat="1" applyFont="1" applyFill="1" applyBorder="1"/>
    <xf numFmtId="172" fontId="72" fillId="4" borderId="70" xfId="5106" applyNumberFormat="1" applyFont="1" applyFill="1" applyBorder="1"/>
    <xf numFmtId="172" fontId="112" fillId="4" borderId="70" xfId="642" applyNumberFormat="1" applyFont="1" applyFill="1" applyBorder="1"/>
    <xf numFmtId="172" fontId="112" fillId="6" borderId="70" xfId="5106" applyNumberFormat="1" applyFont="1" applyFill="1" applyBorder="1"/>
    <xf numFmtId="179" fontId="72" fillId="4" borderId="70" xfId="642" applyNumberFormat="1" applyFont="1" applyFill="1" applyBorder="1"/>
    <xf numFmtId="179" fontId="72" fillId="6" borderId="70" xfId="642" applyNumberFormat="1" applyFont="1" applyFill="1" applyBorder="1"/>
    <xf numFmtId="179" fontId="72" fillId="6" borderId="70" xfId="5106" applyNumberFormat="1" applyFont="1" applyFill="1" applyBorder="1"/>
    <xf numFmtId="0" fontId="107" fillId="0" borderId="0" xfId="640" applyAlignment="1">
      <alignment vertical="top"/>
    </xf>
    <xf numFmtId="0" fontId="132" fillId="0" borderId="0" xfId="640" applyNumberFormat="1" applyFont="1" applyAlignment="1">
      <alignment vertical="top"/>
    </xf>
    <xf numFmtId="0" fontId="106" fillId="41" borderId="70" xfId="640" applyNumberFormat="1" applyFont="1" applyFill="1" applyBorder="1" applyAlignment="1">
      <alignment horizontal="center" vertical="top" wrapText="1"/>
    </xf>
    <xf numFmtId="0" fontId="107" fillId="42" borderId="70" xfId="640" applyNumberFormat="1" applyFont="1" applyFill="1" applyBorder="1" applyAlignment="1">
      <alignment vertical="top" wrapText="1"/>
    </xf>
    <xf numFmtId="172" fontId="107" fillId="0" borderId="70" xfId="640" applyNumberFormat="1" applyFont="1" applyBorder="1" applyAlignment="1">
      <alignment horizontal="right" vertical="top"/>
    </xf>
    <xf numFmtId="181" fontId="133" fillId="0" borderId="70" xfId="640" applyNumberFormat="1" applyFont="1" applyBorder="1" applyAlignment="1">
      <alignment horizontal="right" vertical="top"/>
    </xf>
    <xf numFmtId="172" fontId="133" fillId="0" borderId="70" xfId="640" applyNumberFormat="1" applyFont="1" applyBorder="1" applyAlignment="1">
      <alignment horizontal="right" vertical="top"/>
    </xf>
    <xf numFmtId="172" fontId="133" fillId="0" borderId="70" xfId="640" applyNumberFormat="1" applyFont="1" applyFill="1" applyBorder="1" applyAlignment="1">
      <alignment horizontal="right" vertical="top"/>
    </xf>
    <xf numFmtId="0" fontId="107" fillId="0" borderId="70" xfId="640" applyNumberFormat="1" applyFill="1" applyBorder="1" applyAlignment="1">
      <alignment vertical="top" wrapText="1"/>
    </xf>
    <xf numFmtId="0" fontId="5" fillId="41" borderId="70" xfId="640" applyNumberFormat="1" applyFont="1" applyFill="1" applyBorder="1" applyAlignment="1">
      <alignment vertical="top"/>
    </xf>
    <xf numFmtId="172" fontId="5" fillId="41" borderId="70" xfId="640" applyNumberFormat="1" applyFont="1" applyFill="1" applyBorder="1" applyAlignment="1">
      <alignment horizontal="right" vertical="top"/>
    </xf>
    <xf numFmtId="172" fontId="107" fillId="0" borderId="0" xfId="640" applyNumberFormat="1" applyAlignment="1">
      <alignment vertical="top"/>
    </xf>
    <xf numFmtId="181" fontId="133" fillId="0" borderId="0" xfId="640" applyNumberFormat="1" applyFont="1" applyAlignment="1">
      <alignment vertical="top"/>
    </xf>
    <xf numFmtId="172" fontId="133" fillId="0" borderId="0" xfId="640" applyNumberFormat="1" applyFont="1" applyAlignment="1">
      <alignment vertical="top"/>
    </xf>
    <xf numFmtId="0" fontId="107" fillId="0" borderId="70" xfId="640" applyNumberFormat="1" applyFont="1" applyBorder="1" applyAlignment="1">
      <alignment vertical="top" wrapText="1"/>
    </xf>
    <xf numFmtId="0" fontId="107" fillId="0" borderId="70" xfId="640" applyNumberFormat="1" applyBorder="1" applyAlignment="1">
      <alignment vertical="top" wrapText="1"/>
    </xf>
    <xf numFmtId="172" fontId="107" fillId="3" borderId="70" xfId="640" applyNumberFormat="1" applyFont="1" applyFill="1" applyBorder="1" applyAlignment="1">
      <alignment horizontal="right" vertical="top"/>
    </xf>
    <xf numFmtId="0" fontId="8" fillId="0" borderId="70" xfId="5110" applyFont="1" applyBorder="1" applyAlignment="1">
      <alignment horizontal="center" vertical="top"/>
    </xf>
    <xf numFmtId="0" fontId="58" fillId="4" borderId="70" xfId="5110" applyFont="1" applyFill="1" applyBorder="1" applyAlignment="1">
      <alignment horizontal="center" vertical="top" wrapText="1"/>
    </xf>
    <xf numFmtId="172" fontId="72" fillId="0" borderId="53" xfId="5107" applyNumberFormat="1" applyFont="1" applyFill="1" applyBorder="1" applyAlignment="1">
      <alignment vertical="top"/>
    </xf>
    <xf numFmtId="172" fontId="126" fillId="0" borderId="53" xfId="5107" applyNumberFormat="1" applyFont="1" applyFill="1" applyBorder="1" applyAlignment="1">
      <alignment vertical="top"/>
    </xf>
    <xf numFmtId="181" fontId="55" fillId="0" borderId="53" xfId="5107" applyNumberFormat="1" applyFont="1" applyFill="1" applyBorder="1" applyAlignment="1">
      <alignment vertical="top"/>
    </xf>
    <xf numFmtId="0" fontId="3" fillId="0" borderId="70" xfId="5110" applyFont="1" applyBorder="1" applyAlignment="1">
      <alignment vertical="top" wrapText="1"/>
    </xf>
    <xf numFmtId="0" fontId="3" fillId="0" borderId="70" xfId="5110" applyFont="1" applyBorder="1" applyAlignment="1">
      <alignment vertical="top"/>
    </xf>
    <xf numFmtId="0" fontId="3" fillId="31" borderId="70" xfId="5110" applyFont="1" applyFill="1" applyBorder="1" applyAlignment="1">
      <alignment vertical="top"/>
    </xf>
    <xf numFmtId="0" fontId="1" fillId="43" borderId="70" xfId="5110" applyFill="1" applyBorder="1" applyAlignment="1">
      <alignment vertical="top"/>
    </xf>
    <xf numFmtId="172" fontId="72" fillId="43" borderId="70" xfId="5107" applyNumberFormat="1" applyFont="1" applyFill="1" applyBorder="1" applyAlignment="1">
      <alignment vertical="top"/>
    </xf>
    <xf numFmtId="172" fontId="55" fillId="43" borderId="70" xfId="5107" applyNumberFormat="1" applyFont="1" applyFill="1" applyBorder="1" applyAlignment="1">
      <alignment vertical="top"/>
    </xf>
    <xf numFmtId="0" fontId="82" fillId="0" borderId="0" xfId="605" applyAlignment="1">
      <alignment vertical="top"/>
    </xf>
    <xf numFmtId="1" fontId="82" fillId="0" borderId="0" xfId="605" applyNumberFormat="1" applyAlignment="1">
      <alignment vertical="top" wrapText="1"/>
    </xf>
    <xf numFmtId="181" fontId="134" fillId="0" borderId="0" xfId="605" applyNumberFormat="1" applyFont="1" applyAlignment="1">
      <alignment vertical="top" wrapText="1"/>
    </xf>
    <xf numFmtId="0" fontId="53" fillId="0" borderId="70" xfId="617" applyFont="1" applyBorder="1" applyAlignment="1">
      <alignment horizontal="center" vertical="top"/>
    </xf>
    <xf numFmtId="0" fontId="53" fillId="0" borderId="70" xfId="617" applyFont="1" applyFill="1" applyBorder="1" applyAlignment="1">
      <alignment horizontal="center" vertical="top"/>
    </xf>
    <xf numFmtId="0" fontId="53" fillId="0" borderId="70" xfId="0" applyFont="1" applyFill="1" applyBorder="1" applyAlignment="1">
      <alignment horizontal="center" vertical="top"/>
    </xf>
    <xf numFmtId="0" fontId="11" fillId="36" borderId="70" xfId="617" applyFont="1" applyFill="1" applyBorder="1" applyAlignment="1">
      <alignment horizontal="center" vertical="top" wrapText="1"/>
    </xf>
    <xf numFmtId="0" fontId="11" fillId="36" borderId="70" xfId="0" applyFont="1" applyFill="1" applyBorder="1" applyAlignment="1">
      <alignment horizontal="center" vertical="top" wrapText="1"/>
    </xf>
    <xf numFmtId="0" fontId="53" fillId="0" borderId="70" xfId="617" applyFont="1" applyFill="1" applyBorder="1" applyAlignment="1">
      <alignment vertical="top" wrapText="1"/>
    </xf>
    <xf numFmtId="0" fontId="53" fillId="0" borderId="70" xfId="617" applyFont="1" applyFill="1" applyBorder="1" applyAlignment="1">
      <alignment vertical="top"/>
    </xf>
    <xf numFmtId="172" fontId="53" fillId="0" borderId="70" xfId="0" applyNumberFormat="1" applyFont="1" applyFill="1" applyBorder="1" applyAlignment="1">
      <alignment vertical="top"/>
    </xf>
    <xf numFmtId="4" fontId="74" fillId="0" borderId="70" xfId="617" applyNumberFormat="1" applyFont="1" applyBorder="1" applyAlignment="1">
      <alignment vertical="top"/>
    </xf>
    <xf numFmtId="4" fontId="74" fillId="0" borderId="70" xfId="0" applyNumberFormat="1" applyFont="1" applyBorder="1" applyAlignment="1">
      <alignment vertical="top"/>
    </xf>
    <xf numFmtId="1" fontId="53" fillId="0" borderId="70" xfId="617" applyNumberFormat="1" applyFont="1" applyFill="1" applyBorder="1" applyAlignment="1">
      <alignment vertical="top"/>
    </xf>
    <xf numFmtId="4" fontId="111" fillId="0" borderId="70" xfId="617" applyNumberFormat="1" applyFont="1" applyFill="1" applyBorder="1" applyAlignment="1">
      <alignment vertical="top"/>
    </xf>
    <xf numFmtId="169" fontId="53" fillId="0" borderId="70" xfId="617" applyNumberFormat="1" applyFont="1" applyFill="1" applyBorder="1" applyAlignment="1">
      <alignment vertical="top"/>
    </xf>
    <xf numFmtId="0" fontId="53" fillId="0" borderId="70" xfId="0" applyFont="1" applyFill="1" applyBorder="1" applyAlignment="1">
      <alignment vertical="top" wrapText="1"/>
    </xf>
    <xf numFmtId="172" fontId="111" fillId="0" borderId="70" xfId="0" applyNumberFormat="1" applyFont="1" applyFill="1" applyBorder="1" applyAlignment="1">
      <alignment vertical="top"/>
    </xf>
    <xf numFmtId="0" fontId="53" fillId="36" borderId="70" xfId="617" applyFont="1" applyFill="1" applyBorder="1" applyAlignment="1">
      <alignment vertical="top"/>
    </xf>
    <xf numFmtId="4" fontId="74" fillId="36" borderId="70" xfId="617" applyNumberFormat="1" applyFont="1" applyFill="1" applyBorder="1" applyAlignment="1">
      <alignment vertical="top"/>
    </xf>
    <xf numFmtId="0" fontId="53" fillId="0" borderId="70" xfId="617" applyFont="1" applyBorder="1" applyAlignment="1">
      <alignment vertical="top"/>
    </xf>
    <xf numFmtId="3" fontId="74" fillId="0" borderId="70" xfId="617" applyNumberFormat="1" applyFont="1" applyBorder="1" applyAlignment="1">
      <alignment vertical="top"/>
    </xf>
    <xf numFmtId="4" fontId="74" fillId="0" borderId="70" xfId="617" applyNumberFormat="1" applyFont="1" applyFill="1" applyBorder="1" applyAlignment="1">
      <alignment vertical="top"/>
    </xf>
    <xf numFmtId="4" fontId="74" fillId="36" borderId="70" xfId="0" applyNumberFormat="1" applyFont="1" applyFill="1" applyBorder="1" applyAlignment="1">
      <alignment vertical="top"/>
    </xf>
    <xf numFmtId="4" fontId="74" fillId="0" borderId="0" xfId="617" applyNumberFormat="1" applyFont="1" applyAlignment="1">
      <alignment vertical="top"/>
    </xf>
    <xf numFmtId="0" fontId="53" fillId="0" borderId="70" xfId="0" applyFont="1" applyBorder="1" applyAlignment="1">
      <alignment vertical="top" wrapText="1"/>
    </xf>
    <xf numFmtId="0" fontId="53" fillId="0" borderId="70" xfId="0" applyFont="1" applyBorder="1" applyAlignment="1">
      <alignment horizontal="center" vertical="top" wrapText="1"/>
    </xf>
    <xf numFmtId="0" fontId="10" fillId="0" borderId="70" xfId="0" applyFont="1" applyBorder="1"/>
    <xf numFmtId="0" fontId="53" fillId="0" borderId="70" xfId="0" applyFont="1" applyBorder="1" applyAlignment="1">
      <alignment horizontal="center" vertical="top"/>
    </xf>
    <xf numFmtId="4" fontId="53" fillId="0" borderId="70" xfId="0" applyNumberFormat="1" applyFont="1" applyBorder="1" applyAlignment="1">
      <alignment vertical="top"/>
    </xf>
    <xf numFmtId="4" fontId="73" fillId="0" borderId="70" xfId="0" applyNumberFormat="1" applyFont="1" applyBorder="1" applyAlignment="1">
      <alignment vertical="top"/>
    </xf>
    <xf numFmtId="4" fontId="78" fillId="0" borderId="70" xfId="0" applyNumberFormat="1" applyFont="1" applyBorder="1" applyAlignment="1">
      <alignment vertical="top"/>
    </xf>
    <xf numFmtId="0" fontId="77" fillId="0" borderId="70" xfId="0" applyFont="1" applyFill="1" applyBorder="1" applyAlignment="1">
      <alignment vertical="top"/>
    </xf>
    <xf numFmtId="168" fontId="53" fillId="0" borderId="70" xfId="0" applyNumberFormat="1" applyFont="1" applyBorder="1" applyAlignment="1">
      <alignment vertical="top"/>
    </xf>
    <xf numFmtId="0" fontId="77" fillId="0" borderId="70" xfId="0" applyFont="1" applyFill="1" applyBorder="1" applyAlignment="1">
      <alignment vertical="top" wrapText="1"/>
    </xf>
    <xf numFmtId="0" fontId="77" fillId="0" borderId="70" xfId="0" applyFont="1" applyBorder="1" applyAlignment="1">
      <alignment vertical="top" wrapText="1"/>
    </xf>
    <xf numFmtId="0" fontId="77" fillId="0" borderId="70" xfId="0" applyFont="1" applyBorder="1" applyAlignment="1">
      <alignment vertical="top"/>
    </xf>
    <xf numFmtId="3" fontId="73" fillId="3" borderId="70" xfId="605" applyNumberFormat="1" applyFont="1" applyFill="1" applyBorder="1" applyAlignment="1">
      <alignment vertical="top"/>
    </xf>
    <xf numFmtId="4" fontId="74" fillId="0" borderId="70" xfId="605" applyNumberFormat="1" applyFont="1" applyBorder="1" applyAlignment="1">
      <alignment vertical="top"/>
    </xf>
    <xf numFmtId="0" fontId="75" fillId="0" borderId="70" xfId="0" applyFont="1" applyBorder="1" applyAlignment="1">
      <alignment vertical="top"/>
    </xf>
    <xf numFmtId="4" fontId="75" fillId="0" borderId="70" xfId="0" applyNumberFormat="1" applyFont="1" applyBorder="1" applyAlignment="1">
      <alignment vertical="top"/>
    </xf>
    <xf numFmtId="4" fontId="77" fillId="0" borderId="70" xfId="0" applyNumberFormat="1" applyFont="1" applyBorder="1" applyAlignment="1">
      <alignment vertical="top"/>
    </xf>
    <xf numFmtId="0" fontId="75" fillId="0" borderId="70" xfId="0" applyFont="1" applyBorder="1" applyAlignment="1">
      <alignment vertical="top" wrapText="1"/>
    </xf>
    <xf numFmtId="4" fontId="75" fillId="0" borderId="70" xfId="0" applyNumberFormat="1" applyFont="1" applyBorder="1" applyAlignment="1">
      <alignment vertical="top" wrapText="1"/>
    </xf>
    <xf numFmtId="4" fontId="77" fillId="0" borderId="70" xfId="0" applyNumberFormat="1" applyFont="1" applyBorder="1" applyAlignment="1">
      <alignment vertical="top" wrapText="1"/>
    </xf>
    <xf numFmtId="0" fontId="120" fillId="0" borderId="70" xfId="0" applyFont="1" applyBorder="1" applyAlignment="1">
      <alignment vertical="top"/>
    </xf>
    <xf numFmtId="4" fontId="120" fillId="0" borderId="70" xfId="0" applyNumberFormat="1" applyFont="1" applyBorder="1" applyAlignment="1">
      <alignment vertical="top"/>
    </xf>
    <xf numFmtId="4" fontId="65" fillId="0" borderId="70" xfId="0" applyNumberFormat="1" applyFont="1" applyBorder="1" applyAlignment="1">
      <alignment vertical="top"/>
    </xf>
    <xf numFmtId="0" fontId="109" fillId="0" borderId="70" xfId="617" applyFont="1" applyFill="1" applyBorder="1" applyAlignment="1">
      <alignment horizontal="center" vertical="top" wrapText="1"/>
    </xf>
    <xf numFmtId="49" fontId="0" fillId="0" borderId="70" xfId="0" applyNumberFormat="1" applyBorder="1" applyAlignment="1">
      <alignment vertical="top"/>
    </xf>
    <xf numFmtId="0" fontId="2" fillId="0" borderId="70" xfId="0" applyFont="1" applyBorder="1" applyAlignment="1">
      <alignment vertical="top"/>
    </xf>
    <xf numFmtId="0" fontId="0" fillId="0" borderId="70" xfId="0" applyBorder="1" applyAlignment="1">
      <alignment vertical="top"/>
    </xf>
    <xf numFmtId="0" fontId="2" fillId="0" borderId="70" xfId="0" applyFont="1" applyBorder="1" applyAlignment="1">
      <alignment horizontal="center" vertical="top"/>
    </xf>
    <xf numFmtId="0" fontId="2" fillId="0" borderId="70" xfId="0" applyFont="1" applyBorder="1" applyAlignment="1">
      <alignment horizontal="left" vertical="top"/>
    </xf>
    <xf numFmtId="49" fontId="47" fillId="0" borderId="70" xfId="0" applyNumberFormat="1" applyFont="1" applyBorder="1" applyAlignment="1">
      <alignment vertical="top"/>
    </xf>
    <xf numFmtId="0" fontId="47" fillId="0" borderId="70" xfId="0" applyFont="1" applyBorder="1" applyAlignment="1">
      <alignment vertical="top"/>
    </xf>
    <xf numFmtId="0" fontId="72" fillId="0" borderId="70" xfId="0" applyFont="1" applyBorder="1" applyAlignment="1">
      <alignment vertical="top"/>
    </xf>
    <xf numFmtId="1" fontId="72" fillId="0" borderId="70" xfId="0" applyNumberFormat="1" applyFont="1" applyBorder="1" applyAlignment="1">
      <alignment vertical="top"/>
    </xf>
    <xf numFmtId="49" fontId="0" fillId="0" borderId="0" xfId="0" applyNumberFormat="1" applyAlignment="1">
      <alignment vertical="top"/>
    </xf>
    <xf numFmtId="0" fontId="53" fillId="40" borderId="33" xfId="0" applyFont="1" applyFill="1" applyBorder="1" applyAlignment="1">
      <alignment horizontal="center" vertical="top" wrapText="1"/>
    </xf>
    <xf numFmtId="4" fontId="73" fillId="0" borderId="70" xfId="0" applyNumberFormat="1" applyFont="1" applyBorder="1" applyAlignment="1">
      <alignment vertical="top" wrapText="1"/>
    </xf>
    <xf numFmtId="4" fontId="53" fillId="0" borderId="70" xfId="0" applyNumberFormat="1" applyFont="1" applyBorder="1" applyAlignment="1">
      <alignment vertical="top" wrapText="1"/>
    </xf>
    <xf numFmtId="4" fontId="74" fillId="0" borderId="70" xfId="0" applyNumberFormat="1" applyFont="1" applyBorder="1" applyAlignment="1">
      <alignment vertical="top" wrapText="1"/>
    </xf>
    <xf numFmtId="4" fontId="74" fillId="0" borderId="73" xfId="0" applyNumberFormat="1" applyFont="1" applyBorder="1" applyAlignment="1">
      <alignment vertical="top" wrapText="1"/>
    </xf>
    <xf numFmtId="4" fontId="74" fillId="34" borderId="70" xfId="0" applyNumberFormat="1" applyFont="1" applyFill="1" applyBorder="1" applyAlignment="1">
      <alignment vertical="top" wrapText="1"/>
    </xf>
    <xf numFmtId="4" fontId="74" fillId="40" borderId="73" xfId="0" applyNumberFormat="1" applyFont="1" applyFill="1" applyBorder="1" applyAlignment="1">
      <alignment vertical="top" wrapText="1"/>
    </xf>
    <xf numFmtId="4" fontId="78" fillId="3" borderId="73" xfId="0" applyNumberFormat="1" applyFont="1" applyFill="1" applyBorder="1" applyAlignment="1">
      <alignment vertical="top" wrapText="1"/>
    </xf>
    <xf numFmtId="169" fontId="111" fillId="0" borderId="34" xfId="0" applyNumberFormat="1" applyFont="1" applyFill="1" applyBorder="1" applyAlignment="1">
      <alignment vertical="top" wrapText="1"/>
    </xf>
    <xf numFmtId="169" fontId="111" fillId="0" borderId="37" xfId="0" applyNumberFormat="1" applyFont="1" applyFill="1" applyBorder="1" applyAlignment="1">
      <alignment vertical="top" wrapText="1"/>
    </xf>
    <xf numFmtId="169" fontId="73" fillId="31" borderId="44" xfId="0" applyNumberFormat="1" applyFont="1" applyFill="1" applyBorder="1" applyAlignment="1">
      <alignment vertical="top" wrapText="1"/>
    </xf>
    <xf numFmtId="169" fontId="74" fillId="0" borderId="34" xfId="0" applyNumberFormat="1" applyFont="1" applyFill="1" applyBorder="1" applyAlignment="1">
      <alignment vertical="top" wrapText="1"/>
    </xf>
    <xf numFmtId="169" fontId="74" fillId="0" borderId="37" xfId="0" applyNumberFormat="1" applyFont="1" applyFill="1" applyBorder="1" applyAlignment="1">
      <alignment vertical="top" wrapText="1"/>
    </xf>
    <xf numFmtId="0" fontId="86" fillId="0" borderId="70" xfId="0" applyFont="1" applyFill="1" applyBorder="1" applyAlignment="1">
      <alignment vertical="top" wrapText="1"/>
    </xf>
    <xf numFmtId="0" fontId="11" fillId="0" borderId="70" xfId="0" applyFont="1" applyBorder="1" applyAlignment="1">
      <alignment horizontal="center" vertical="top" wrapText="1"/>
    </xf>
    <xf numFmtId="0" fontId="3" fillId="0" borderId="70" xfId="0" applyFont="1" applyFill="1" applyBorder="1" applyAlignment="1">
      <alignment vertical="top" wrapText="1"/>
    </xf>
    <xf numFmtId="4" fontId="45" fillId="34" borderId="70" xfId="0" applyNumberFormat="1" applyFont="1" applyFill="1" applyBorder="1" applyAlignment="1">
      <alignment vertical="top" wrapText="1"/>
    </xf>
    <xf numFmtId="0" fontId="48" fillId="0" borderId="70" xfId="0" applyFont="1" applyFill="1" applyBorder="1" applyAlignment="1">
      <alignment vertical="top" wrapText="1"/>
    </xf>
    <xf numFmtId="0" fontId="45" fillId="0" borderId="70" xfId="0" applyFont="1" applyFill="1" applyBorder="1" applyAlignment="1">
      <alignment vertical="top" wrapText="1"/>
    </xf>
    <xf numFmtId="0" fontId="48" fillId="4" borderId="70" xfId="0" applyFont="1" applyFill="1" applyBorder="1" applyAlignment="1">
      <alignment vertical="top" wrapText="1"/>
    </xf>
    <xf numFmtId="176" fontId="8" fillId="42" borderId="70" xfId="0" applyNumberFormat="1" applyFont="1" applyFill="1" applyBorder="1" applyAlignment="1">
      <alignment horizontal="center" vertical="top"/>
    </xf>
    <xf numFmtId="3" fontId="8" fillId="42" borderId="70" xfId="0" applyNumberFormat="1" applyFont="1" applyFill="1" applyBorder="1" applyAlignment="1">
      <alignment horizontal="center" vertical="top"/>
    </xf>
    <xf numFmtId="178" fontId="8" fillId="42" borderId="70" xfId="0" applyNumberFormat="1" applyFont="1" applyFill="1" applyBorder="1" applyAlignment="1">
      <alignment horizontal="center" vertical="top"/>
    </xf>
    <xf numFmtId="3" fontId="8" fillId="45" borderId="5" xfId="0" applyNumberFormat="1" applyFont="1" applyFill="1" applyBorder="1" applyAlignment="1">
      <alignment horizontal="center" vertical="top"/>
    </xf>
    <xf numFmtId="176" fontId="8" fillId="45" borderId="52" xfId="0" applyNumberFormat="1" applyFont="1" applyFill="1" applyBorder="1" applyAlignment="1">
      <alignment horizontal="center" vertical="top"/>
    </xf>
    <xf numFmtId="172" fontId="8" fillId="45" borderId="69" xfId="0" applyNumberFormat="1" applyFont="1" applyFill="1" applyBorder="1" applyAlignment="1">
      <alignment horizontal="center" vertical="top"/>
    </xf>
    <xf numFmtId="0" fontId="10" fillId="45" borderId="5" xfId="0" applyFont="1" applyFill="1" applyBorder="1" applyAlignment="1">
      <alignment vertical="top"/>
    </xf>
    <xf numFmtId="0" fontId="10" fillId="45" borderId="5" xfId="0" applyNumberFormat="1" applyFont="1" applyFill="1" applyBorder="1" applyAlignment="1">
      <alignment vertical="top"/>
    </xf>
    <xf numFmtId="4" fontId="8" fillId="45" borderId="69" xfId="0" applyNumberFormat="1" applyFont="1" applyFill="1" applyBorder="1" applyAlignment="1">
      <alignment horizontal="center" vertical="top"/>
    </xf>
    <xf numFmtId="3" fontId="10" fillId="45" borderId="5" xfId="0" applyNumberFormat="1" applyFont="1" applyFill="1" applyBorder="1" applyAlignment="1">
      <alignment horizontal="center" vertical="top"/>
    </xf>
    <xf numFmtId="176" fontId="8" fillId="45" borderId="5" xfId="0" applyNumberFormat="1" applyFont="1" applyFill="1" applyBorder="1" applyAlignment="1">
      <alignment horizontal="center" vertical="top"/>
    </xf>
    <xf numFmtId="0" fontId="10" fillId="0" borderId="0" xfId="0" applyFont="1" applyFill="1" applyAlignment="1">
      <alignment vertical="top"/>
    </xf>
    <xf numFmtId="0" fontId="10" fillId="0" borderId="0" xfId="0" applyNumberFormat="1" applyFont="1" applyFill="1" applyAlignment="1">
      <alignment vertical="top"/>
    </xf>
    <xf numFmtId="0" fontId="9" fillId="32" borderId="70" xfId="0" applyFont="1" applyFill="1" applyBorder="1" applyAlignment="1">
      <alignment horizontal="center" vertical="top" wrapText="1"/>
    </xf>
    <xf numFmtId="0" fontId="10" fillId="0" borderId="53" xfId="0" applyFont="1" applyFill="1" applyBorder="1" applyAlignment="1">
      <alignment horizontal="center" vertical="top" wrapText="1"/>
    </xf>
    <xf numFmtId="0" fontId="10" fillId="0" borderId="53" xfId="0" applyFont="1" applyFill="1" applyBorder="1" applyAlignment="1">
      <alignment horizontal="center" wrapText="1"/>
    </xf>
    <xf numFmtId="0" fontId="138" fillId="5" borderId="70" xfId="0" applyFont="1" applyFill="1" applyBorder="1" applyAlignment="1">
      <alignment horizontal="center" vertical="top" wrapText="1"/>
    </xf>
    <xf numFmtId="0" fontId="138" fillId="0" borderId="70" xfId="0" applyFont="1" applyFill="1" applyBorder="1" applyAlignment="1">
      <alignment horizontal="center" vertical="top" wrapText="1"/>
    </xf>
    <xf numFmtId="0" fontId="109" fillId="0" borderId="70" xfId="0" applyFont="1" applyFill="1" applyBorder="1" applyAlignment="1">
      <alignment horizontal="center" vertical="top" wrapText="1"/>
    </xf>
    <xf numFmtId="0" fontId="109" fillId="0" borderId="70" xfId="0" applyFont="1" applyBorder="1" applyAlignment="1">
      <alignment horizontal="center" vertical="top" wrapText="1"/>
    </xf>
    <xf numFmtId="0" fontId="88" fillId="0" borderId="70" xfId="0" applyFont="1" applyBorder="1" applyAlignment="1">
      <alignment horizontal="center" vertical="top" wrapText="1"/>
    </xf>
    <xf numFmtId="0" fontId="65" fillId="30" borderId="70" xfId="0" applyFont="1" applyFill="1" applyBorder="1" applyAlignment="1">
      <alignment horizontal="center" vertical="top" wrapText="1"/>
    </xf>
    <xf numFmtId="4" fontId="10" fillId="30" borderId="73" xfId="0" applyNumberFormat="1" applyFont="1" applyFill="1" applyBorder="1" applyAlignment="1">
      <alignment vertical="top"/>
    </xf>
    <xf numFmtId="0" fontId="109" fillId="30" borderId="70" xfId="0" applyFont="1" applyFill="1" applyBorder="1" applyAlignment="1">
      <alignment horizontal="center" vertical="top" wrapText="1"/>
    </xf>
    <xf numFmtId="0" fontId="11" fillId="30" borderId="70" xfId="0" applyFont="1" applyFill="1" applyBorder="1" applyAlignment="1">
      <alignment horizontal="center" vertical="top" wrapText="1"/>
    </xf>
    <xf numFmtId="1" fontId="109" fillId="4" borderId="70" xfId="0" applyNumberFormat="1" applyFont="1" applyFill="1" applyBorder="1" applyAlignment="1">
      <alignment horizontal="center" vertical="top" wrapText="1"/>
    </xf>
    <xf numFmtId="4" fontId="10" fillId="30" borderId="57" xfId="0" applyNumberFormat="1" applyFont="1" applyFill="1" applyBorder="1" applyAlignment="1">
      <alignment vertical="top"/>
    </xf>
    <xf numFmtId="4" fontId="10" fillId="0" borderId="70" xfId="0" applyNumberFormat="1" applyFont="1" applyFill="1" applyBorder="1" applyAlignment="1">
      <alignment vertical="top"/>
    </xf>
    <xf numFmtId="3" fontId="10" fillId="32" borderId="70" xfId="0" applyNumberFormat="1" applyFont="1" applyFill="1" applyBorder="1" applyAlignment="1">
      <alignment horizontal="center" vertical="top"/>
    </xf>
    <xf numFmtId="3" fontId="10" fillId="0" borderId="70" xfId="0" applyNumberFormat="1" applyFont="1" applyBorder="1" applyAlignment="1">
      <alignment horizontal="center" vertical="top"/>
    </xf>
    <xf numFmtId="176" fontId="8" fillId="0" borderId="70" xfId="0" applyNumberFormat="1" applyFont="1" applyFill="1" applyBorder="1" applyAlignment="1">
      <alignment horizontal="center" vertical="top"/>
    </xf>
    <xf numFmtId="168" fontId="10" fillId="0" borderId="70" xfId="0" applyNumberFormat="1" applyFont="1" applyBorder="1" applyAlignment="1">
      <alignment horizontal="center" vertical="top"/>
    </xf>
    <xf numFmtId="168" fontId="10" fillId="0" borderId="70" xfId="0" applyNumberFormat="1" applyFont="1" applyFill="1" applyBorder="1" applyAlignment="1">
      <alignment horizontal="center" vertical="top"/>
    </xf>
    <xf numFmtId="169" fontId="10" fillId="0" borderId="70" xfId="0" applyNumberFormat="1" applyFont="1" applyBorder="1" applyAlignment="1">
      <alignment horizontal="center" vertical="top"/>
    </xf>
    <xf numFmtId="4" fontId="10" fillId="0" borderId="70" xfId="0" applyNumberFormat="1" applyFont="1" applyFill="1" applyBorder="1" applyAlignment="1">
      <alignment horizontal="center" vertical="top"/>
    </xf>
    <xf numFmtId="169" fontId="56" fillId="0" borderId="4" xfId="0" applyNumberFormat="1" applyFont="1" applyFill="1" applyBorder="1" applyAlignment="1">
      <alignment vertical="top"/>
    </xf>
    <xf numFmtId="4" fontId="9" fillId="0" borderId="4" xfId="0" applyNumberFormat="1" applyFont="1" applyFill="1" applyBorder="1" applyAlignment="1">
      <alignment vertical="top"/>
    </xf>
    <xf numFmtId="182" fontId="9" fillId="0" borderId="4" xfId="0" applyNumberFormat="1" applyFont="1" applyFill="1" applyBorder="1" applyAlignment="1">
      <alignment vertical="top"/>
    </xf>
    <xf numFmtId="3" fontId="119" fillId="0" borderId="4" xfId="0" applyNumberFormat="1" applyFont="1" applyFill="1" applyBorder="1" applyAlignment="1">
      <alignment vertical="top"/>
    </xf>
    <xf numFmtId="3" fontId="119" fillId="30" borderId="4" xfId="0" applyNumberFormat="1" applyFont="1" applyFill="1" applyBorder="1" applyAlignment="1">
      <alignment vertical="top"/>
    </xf>
    <xf numFmtId="0" fontId="9" fillId="0" borderId="0" xfId="0" applyFont="1" applyAlignment="1">
      <alignment vertical="top"/>
    </xf>
    <xf numFmtId="176" fontId="10" fillId="0" borderId="70" xfId="0" applyNumberFormat="1" applyFont="1" applyFill="1" applyBorder="1" applyAlignment="1">
      <alignment horizontal="center" vertical="top"/>
    </xf>
    <xf numFmtId="0" fontId="9" fillId="0" borderId="70" xfId="0" applyFont="1" applyBorder="1" applyAlignment="1">
      <alignment vertical="top"/>
    </xf>
    <xf numFmtId="4" fontId="9" fillId="0" borderId="70" xfId="0" applyNumberFormat="1" applyFont="1" applyBorder="1" applyAlignment="1">
      <alignment vertical="top"/>
    </xf>
    <xf numFmtId="182" fontId="9" fillId="0" borderId="70" xfId="0" applyNumberFormat="1" applyFont="1" applyBorder="1" applyAlignment="1">
      <alignment vertical="top"/>
    </xf>
    <xf numFmtId="0" fontId="9" fillId="30" borderId="70" xfId="0" applyFont="1" applyFill="1" applyBorder="1" applyAlignment="1">
      <alignment vertical="top"/>
    </xf>
    <xf numFmtId="3" fontId="12" fillId="32" borderId="70" xfId="0" applyNumberFormat="1" applyFont="1" applyFill="1" applyBorder="1" applyAlignment="1">
      <alignment horizontal="center" vertical="top"/>
    </xf>
    <xf numFmtId="3" fontId="10" fillId="42" borderId="70" xfId="0" applyNumberFormat="1" applyFont="1" applyFill="1" applyBorder="1" applyAlignment="1">
      <alignment horizontal="center" vertical="top"/>
    </xf>
    <xf numFmtId="3" fontId="12" fillId="0" borderId="70" xfId="0" applyNumberFormat="1" applyFont="1" applyBorder="1" applyAlignment="1">
      <alignment horizontal="center" vertical="top"/>
    </xf>
    <xf numFmtId="168" fontId="8" fillId="0" borderId="70" xfId="0" applyNumberFormat="1" applyFont="1" applyFill="1" applyBorder="1" applyAlignment="1">
      <alignment horizontal="center" vertical="top"/>
    </xf>
    <xf numFmtId="3" fontId="12" fillId="0" borderId="70" xfId="0" applyNumberFormat="1" applyFont="1" applyFill="1" applyBorder="1" applyAlignment="1">
      <alignment horizontal="center" vertical="top"/>
    </xf>
    <xf numFmtId="176" fontId="12" fillId="0" borderId="70" xfId="0" applyNumberFormat="1" applyFont="1" applyBorder="1" applyAlignment="1">
      <alignment horizontal="center" vertical="top"/>
    </xf>
    <xf numFmtId="176" fontId="8" fillId="0" borderId="70" xfId="0" applyNumberFormat="1" applyFont="1" applyBorder="1" applyAlignment="1">
      <alignment horizontal="center" vertical="top"/>
    </xf>
    <xf numFmtId="176" fontId="57" fillId="0" borderId="70" xfId="0" applyNumberFormat="1" applyFont="1" applyBorder="1" applyAlignment="1">
      <alignment horizontal="center" vertical="top"/>
    </xf>
    <xf numFmtId="4" fontId="12" fillId="0" borderId="70" xfId="0" applyNumberFormat="1" applyFont="1" applyFill="1" applyBorder="1" applyAlignment="1">
      <alignment vertical="top"/>
    </xf>
    <xf numFmtId="4" fontId="8" fillId="34" borderId="70" xfId="0" applyNumberFormat="1" applyFont="1" applyFill="1" applyBorder="1" applyAlignment="1">
      <alignment vertical="top"/>
    </xf>
    <xf numFmtId="4" fontId="12" fillId="0" borderId="70" xfId="0" applyNumberFormat="1" applyFont="1" applyBorder="1" applyAlignment="1">
      <alignment vertical="top"/>
    </xf>
    <xf numFmtId="182" fontId="8" fillId="34" borderId="70" xfId="0" applyNumberFormat="1" applyFont="1" applyFill="1" applyBorder="1" applyAlignment="1">
      <alignment vertical="top"/>
    </xf>
    <xf numFmtId="3" fontId="12" fillId="0" borderId="70" xfId="0" applyNumberFormat="1" applyFont="1" applyBorder="1" applyAlignment="1">
      <alignment vertical="top"/>
    </xf>
    <xf numFmtId="4" fontId="66" fillId="30" borderId="70" xfId="0" applyNumberFormat="1" applyFont="1" applyFill="1" applyBorder="1" applyAlignment="1">
      <alignment vertical="top"/>
    </xf>
    <xf numFmtId="182" fontId="57" fillId="0" borderId="70" xfId="0" applyNumberFormat="1" applyFont="1" applyBorder="1" applyAlignment="1">
      <alignment horizontal="center" vertical="top"/>
    </xf>
    <xf numFmtId="4" fontId="57" fillId="0" borderId="70" xfId="0" applyNumberFormat="1" applyFont="1" applyBorder="1" applyAlignment="1">
      <alignment horizontal="center" vertical="top"/>
    </xf>
    <xf numFmtId="0" fontId="60" fillId="0" borderId="70" xfId="0" applyFont="1" applyFill="1" applyBorder="1" applyAlignment="1">
      <alignment vertical="top" wrapText="1"/>
    </xf>
    <xf numFmtId="168" fontId="13" fillId="0" borderId="70" xfId="0" applyNumberFormat="1" applyFont="1" applyFill="1" applyBorder="1" applyAlignment="1">
      <alignment horizontal="center" vertical="top"/>
    </xf>
    <xf numFmtId="176" fontId="13" fillId="0" borderId="70" xfId="0" applyNumberFormat="1" applyFont="1" applyBorder="1" applyAlignment="1">
      <alignment horizontal="center" vertical="top"/>
    </xf>
    <xf numFmtId="0" fontId="0" fillId="0" borderId="70" xfId="4" applyFont="1" applyBorder="1" applyAlignment="1">
      <alignment horizontal="center" vertical="top"/>
    </xf>
    <xf numFmtId="0" fontId="3" fillId="34" borderId="70" xfId="4" applyFont="1" applyFill="1" applyBorder="1" applyAlignment="1">
      <alignment horizontal="center" vertical="top" wrapText="1"/>
    </xf>
    <xf numFmtId="0" fontId="3" fillId="44" borderId="70" xfId="4" applyFont="1" applyFill="1" applyBorder="1" applyAlignment="1">
      <alignment horizontal="center" vertical="top" wrapText="1"/>
    </xf>
    <xf numFmtId="4" fontId="10" fillId="5" borderId="70" xfId="0" applyNumberFormat="1" applyFont="1" applyFill="1" applyBorder="1" applyAlignment="1">
      <alignment horizontal="center" vertical="top"/>
    </xf>
    <xf numFmtId="4" fontId="12" fillId="0" borderId="70" xfId="0" applyNumberFormat="1" applyFont="1" applyFill="1" applyBorder="1" applyAlignment="1">
      <alignment horizontal="center" vertical="top"/>
    </xf>
    <xf numFmtId="0" fontId="41" fillId="0" borderId="70" xfId="0" applyFont="1" applyBorder="1" applyAlignment="1">
      <alignment horizontal="center" vertical="top" wrapText="1"/>
    </xf>
    <xf numFmtId="0" fontId="2" fillId="2" borderId="70" xfId="0" applyFont="1" applyFill="1" applyBorder="1" applyAlignment="1">
      <alignment horizontal="center" vertical="top"/>
    </xf>
    <xf numFmtId="0" fontId="2" fillId="2" borderId="74" xfId="0" applyFont="1" applyFill="1" applyBorder="1" applyAlignment="1">
      <alignment horizontal="center" vertical="top" wrapText="1"/>
    </xf>
    <xf numFmtId="0" fontId="2" fillId="2" borderId="70" xfId="0" applyFont="1" applyFill="1" applyBorder="1" applyAlignment="1">
      <alignment horizontal="center" vertical="top" wrapText="1"/>
    </xf>
    <xf numFmtId="0" fontId="0" fillId="4" borderId="70" xfId="0" applyFill="1" applyBorder="1" applyAlignment="1">
      <alignment vertical="top"/>
    </xf>
    <xf numFmtId="0" fontId="2" fillId="4" borderId="70" xfId="0" applyFont="1" applyFill="1" applyBorder="1" applyAlignment="1">
      <alignment vertical="top" wrapText="1"/>
    </xf>
    <xf numFmtId="0" fontId="2" fillId="0" borderId="74" xfId="0" applyFont="1" applyBorder="1" applyAlignment="1">
      <alignment vertical="top" wrapText="1"/>
    </xf>
    <xf numFmtId="1" fontId="2" fillId="0" borderId="70" xfId="0" applyNumberFormat="1" applyFont="1" applyBorder="1" applyAlignment="1">
      <alignment vertical="top"/>
    </xf>
    <xf numFmtId="1" fontId="38" fillId="0" borderId="70" xfId="0" applyNumberFormat="1" applyFont="1" applyBorder="1" applyAlignment="1">
      <alignment vertical="top"/>
    </xf>
    <xf numFmtId="170" fontId="35" fillId="0" borderId="70" xfId="0" applyNumberFormat="1" applyFont="1" applyBorder="1" applyAlignment="1">
      <alignment vertical="top"/>
    </xf>
    <xf numFmtId="4" fontId="35" fillId="0" borderId="70" xfId="0" applyNumberFormat="1" applyFont="1" applyBorder="1" applyAlignment="1">
      <alignment vertical="top"/>
    </xf>
    <xf numFmtId="0" fontId="2" fillId="0" borderId="70" xfId="0" applyFont="1" applyBorder="1" applyAlignment="1">
      <alignment vertical="top" wrapText="1"/>
    </xf>
    <xf numFmtId="0" fontId="34" fillId="0" borderId="74" xfId="0" applyFont="1" applyBorder="1" applyAlignment="1">
      <alignment vertical="top" wrapText="1"/>
    </xf>
    <xf numFmtId="0" fontId="34" fillId="0" borderId="70" xfId="0" applyFont="1" applyBorder="1" applyAlignment="1">
      <alignment vertical="top"/>
    </xf>
    <xf numFmtId="1" fontId="34" fillId="0" borderId="70" xfId="0" applyNumberFormat="1" applyFont="1" applyBorder="1" applyAlignment="1">
      <alignment vertical="top"/>
    </xf>
    <xf numFmtId="170" fontId="42" fillId="0" borderId="70" xfId="0" applyNumberFormat="1" applyFont="1" applyBorder="1" applyAlignment="1">
      <alignment vertical="top"/>
    </xf>
    <xf numFmtId="4" fontId="42" fillId="0" borderId="70" xfId="0" applyNumberFormat="1" applyFont="1" applyBorder="1" applyAlignment="1">
      <alignment vertical="top"/>
    </xf>
    <xf numFmtId="0" fontId="2" fillId="0" borderId="70" xfId="0" applyFont="1" applyFill="1" applyBorder="1" applyAlignment="1">
      <alignment vertical="top"/>
    </xf>
    <xf numFmtId="0" fontId="2" fillId="0" borderId="70" xfId="0" applyFont="1" applyFill="1" applyBorder="1" applyAlignment="1">
      <alignment vertical="top" wrapText="1"/>
    </xf>
    <xf numFmtId="0" fontId="38" fillId="0" borderId="74" xfId="0" applyFont="1" applyFill="1" applyBorder="1" applyAlignment="1">
      <alignment vertical="top" wrapText="1"/>
    </xf>
    <xf numFmtId="0" fontId="38" fillId="0" borderId="70" xfId="0" applyFont="1" applyBorder="1" applyAlignment="1">
      <alignment vertical="top"/>
    </xf>
    <xf numFmtId="1" fontId="38" fillId="0" borderId="70" xfId="0" applyNumberFormat="1" applyFont="1" applyFill="1" applyBorder="1" applyAlignment="1">
      <alignment vertical="top"/>
    </xf>
    <xf numFmtId="0" fontId="38" fillId="0" borderId="70" xfId="0" applyFont="1" applyFill="1" applyBorder="1" applyAlignment="1">
      <alignment vertical="top"/>
    </xf>
    <xf numFmtId="170" fontId="35" fillId="0" borderId="70" xfId="0" applyNumberFormat="1" applyFont="1" applyFill="1" applyBorder="1" applyAlignment="1">
      <alignment vertical="top"/>
    </xf>
    <xf numFmtId="4" fontId="35" fillId="0" borderId="70" xfId="0" applyNumberFormat="1" applyFont="1" applyFill="1" applyBorder="1" applyAlignment="1">
      <alignment vertical="top"/>
    </xf>
    <xf numFmtId="0" fontId="43" fillId="0" borderId="74" xfId="0" applyFont="1" applyBorder="1" applyAlignment="1">
      <alignment vertical="top" wrapText="1"/>
    </xf>
    <xf numFmtId="0" fontId="43" fillId="0" borderId="70" xfId="0" applyFont="1" applyBorder="1" applyAlignment="1">
      <alignment vertical="top"/>
    </xf>
    <xf numFmtId="1" fontId="43" fillId="0" borderId="70" xfId="0" applyNumberFormat="1" applyFont="1" applyBorder="1" applyAlignment="1">
      <alignment vertical="top"/>
    </xf>
    <xf numFmtId="0" fontId="2" fillId="0" borderId="74" xfId="0" applyFont="1" applyFill="1" applyBorder="1" applyAlignment="1">
      <alignment vertical="top" wrapText="1"/>
    </xf>
    <xf numFmtId="1" fontId="2" fillId="0" borderId="70" xfId="0" applyNumberFormat="1" applyFont="1" applyFill="1" applyBorder="1" applyAlignment="1">
      <alignment vertical="top"/>
    </xf>
    <xf numFmtId="0" fontId="2" fillId="5" borderId="74" xfId="0" applyFont="1" applyFill="1" applyBorder="1" applyAlignment="1">
      <alignment vertical="top" wrapText="1"/>
    </xf>
    <xf numFmtId="1" fontId="37" fillId="0" borderId="70" xfId="0" applyNumberFormat="1" applyFont="1" applyBorder="1" applyAlignment="1">
      <alignment vertical="top"/>
    </xf>
    <xf numFmtId="4" fontId="43" fillId="0" borderId="70" xfId="0" applyNumberFormat="1" applyFont="1" applyBorder="1" applyAlignment="1">
      <alignment vertical="top"/>
    </xf>
    <xf numFmtId="1" fontId="2" fillId="3" borderId="70" xfId="0" applyNumberFormat="1" applyFont="1" applyFill="1" applyBorder="1" applyAlignment="1">
      <alignment vertical="top"/>
    </xf>
    <xf numFmtId="171" fontId="2" fillId="0" borderId="70" xfId="0" applyNumberFormat="1" applyFont="1" applyBorder="1" applyAlignment="1">
      <alignment vertical="top"/>
    </xf>
    <xf numFmtId="4" fontId="2" fillId="0" borderId="70" xfId="0" applyNumberFormat="1" applyFont="1" applyBorder="1" applyAlignment="1">
      <alignment vertical="top"/>
    </xf>
    <xf numFmtId="0" fontId="0" fillId="0" borderId="70" xfId="0" applyFill="1" applyBorder="1" applyAlignment="1">
      <alignment vertical="top"/>
    </xf>
    <xf numFmtId="16" fontId="0" fillId="0" borderId="70" xfId="0" applyNumberFormat="1" applyBorder="1" applyAlignment="1">
      <alignment vertical="top"/>
    </xf>
    <xf numFmtId="0" fontId="34" fillId="4" borderId="74" xfId="0" applyFont="1" applyFill="1" applyBorder="1" applyAlignment="1">
      <alignment vertical="top" wrapText="1"/>
    </xf>
    <xf numFmtId="0" fontId="34" fillId="4" borderId="70" xfId="0" applyFont="1" applyFill="1" applyBorder="1" applyAlignment="1">
      <alignment vertical="top"/>
    </xf>
    <xf numFmtId="1" fontId="34" fillId="4" borderId="70" xfId="0" applyNumberFormat="1" applyFont="1" applyFill="1" applyBorder="1" applyAlignment="1">
      <alignment vertical="top"/>
    </xf>
    <xf numFmtId="170" fontId="42" fillId="4" borderId="70" xfId="0" applyNumberFormat="1" applyFont="1" applyFill="1" applyBorder="1" applyAlignment="1">
      <alignment vertical="top"/>
    </xf>
    <xf numFmtId="4" fontId="42" fillId="4" borderId="70" xfId="0" applyNumberFormat="1" applyFont="1" applyFill="1" applyBorder="1" applyAlignment="1">
      <alignment vertical="top"/>
    </xf>
    <xf numFmtId="3" fontId="43" fillId="0" borderId="70" xfId="0" applyNumberFormat="1" applyFont="1" applyBorder="1" applyAlignment="1">
      <alignment vertical="top"/>
    </xf>
    <xf numFmtId="3" fontId="43" fillId="47" borderId="70" xfId="0" applyNumberFormat="1" applyFont="1" applyFill="1" applyBorder="1" applyAlignment="1">
      <alignment vertical="top"/>
    </xf>
    <xf numFmtId="3" fontId="42" fillId="0" borderId="70" xfId="0" applyNumberFormat="1" applyFont="1" applyBorder="1" applyAlignment="1">
      <alignment vertical="top"/>
    </xf>
    <xf numFmtId="0" fontId="34" fillId="0" borderId="70" xfId="0" applyFont="1" applyBorder="1" applyAlignment="1">
      <alignment vertical="top" wrapText="1"/>
    </xf>
    <xf numFmtId="0" fontId="0" fillId="2" borderId="70" xfId="0" applyFill="1" applyBorder="1" applyAlignment="1">
      <alignment vertical="top"/>
    </xf>
    <xf numFmtId="0" fontId="34" fillId="2" borderId="74" xfId="0" applyFont="1" applyFill="1" applyBorder="1" applyAlignment="1">
      <alignment vertical="top" wrapText="1"/>
    </xf>
    <xf numFmtId="0" fontId="34" fillId="2" borderId="70" xfId="0" applyFont="1" applyFill="1" applyBorder="1" applyAlignment="1">
      <alignment vertical="top"/>
    </xf>
    <xf numFmtId="1" fontId="34" fillId="2" borderId="70" xfId="0" applyNumberFormat="1" applyFont="1" applyFill="1" applyBorder="1" applyAlignment="1">
      <alignment vertical="top"/>
    </xf>
    <xf numFmtId="170" fontId="42" fillId="2" borderId="70" xfId="0" applyNumberFormat="1" applyFont="1" applyFill="1" applyBorder="1" applyAlignment="1">
      <alignment vertical="top"/>
    </xf>
    <xf numFmtId="3" fontId="42" fillId="2" borderId="70" xfId="0" applyNumberFormat="1" applyFont="1" applyFill="1" applyBorder="1" applyAlignment="1">
      <alignment vertical="top"/>
    </xf>
    <xf numFmtId="0" fontId="2" fillId="2" borderId="70" xfId="0" applyFont="1" applyFill="1" applyBorder="1" applyAlignment="1">
      <alignment vertical="top" wrapText="1"/>
    </xf>
    <xf numFmtId="0" fontId="34" fillId="0" borderId="70" xfId="0" applyFont="1" applyBorder="1" applyAlignment="1">
      <alignment horizontal="center" vertical="top" wrapText="1"/>
    </xf>
    <xf numFmtId="0" fontId="38" fillId="0" borderId="70" xfId="0" applyFont="1" applyFill="1" applyBorder="1" applyAlignment="1">
      <alignment vertical="top" wrapText="1"/>
    </xf>
    <xf numFmtId="0" fontId="0" fillId="0" borderId="57" xfId="0" applyBorder="1" applyAlignment="1"/>
    <xf numFmtId="0" fontId="0" fillId="0" borderId="74" xfId="0" applyBorder="1" applyAlignment="1"/>
    <xf numFmtId="3" fontId="38" fillId="0" borderId="70" xfId="0" applyNumberFormat="1" applyFont="1" applyBorder="1" applyAlignment="1">
      <alignment horizontal="center" vertical="top" wrapText="1"/>
    </xf>
    <xf numFmtId="3" fontId="35" fillId="0" borderId="70" xfId="0" applyNumberFormat="1" applyFont="1" applyBorder="1" applyAlignment="1">
      <alignment vertical="top"/>
    </xf>
    <xf numFmtId="0" fontId="87" fillId="0" borderId="70" xfId="0" applyFont="1" applyFill="1" applyBorder="1" applyAlignment="1">
      <alignment vertical="top" wrapText="1"/>
    </xf>
    <xf numFmtId="0" fontId="54" fillId="0" borderId="70" xfId="0" applyFont="1" applyFill="1" applyBorder="1" applyAlignment="1">
      <alignment vertical="top" wrapText="1"/>
    </xf>
    <xf numFmtId="49" fontId="2" fillId="4" borderId="70" xfId="0" applyNumberFormat="1" applyFont="1" applyFill="1" applyBorder="1" applyAlignment="1">
      <alignment horizontal="center" vertical="top" wrapText="1"/>
    </xf>
    <xf numFmtId="0" fontId="123" fillId="0" borderId="0" xfId="0" applyFont="1" applyAlignment="1">
      <alignment vertical="top"/>
    </xf>
    <xf numFmtId="0" fontId="0" fillId="0" borderId="74" xfId="0" applyBorder="1" applyAlignment="1">
      <alignment vertical="top" wrapText="1"/>
    </xf>
    <xf numFmtId="172" fontId="0" fillId="0" borderId="70" xfId="0" applyNumberFormat="1" applyBorder="1" applyAlignment="1">
      <alignment vertical="top"/>
    </xf>
    <xf numFmtId="172" fontId="123" fillId="0" borderId="70" xfId="0" applyNumberFormat="1" applyFont="1" applyBorder="1" applyAlignment="1">
      <alignment vertical="top"/>
    </xf>
    <xf numFmtId="0" fontId="123" fillId="0" borderId="74" xfId="0" applyFont="1" applyFill="1" applyBorder="1" applyAlignment="1">
      <alignment vertical="top" wrapText="1"/>
    </xf>
    <xf numFmtId="172" fontId="0" fillId="0" borderId="70" xfId="0" applyNumberFormat="1" applyFont="1" applyBorder="1" applyAlignment="1">
      <alignment vertical="top"/>
    </xf>
    <xf numFmtId="0" fontId="146" fillId="0" borderId="74" xfId="0" applyFont="1" applyBorder="1" applyAlignment="1">
      <alignment vertical="top" wrapText="1"/>
    </xf>
    <xf numFmtId="172" fontId="146" fillId="0" borderId="70" xfId="0" applyNumberFormat="1" applyFont="1" applyBorder="1" applyAlignment="1">
      <alignment vertical="top"/>
    </xf>
    <xf numFmtId="0" fontId="6" fillId="0" borderId="0" xfId="3" applyAlignment="1">
      <alignment vertical="top"/>
    </xf>
    <xf numFmtId="0" fontId="56" fillId="0" borderId="0" xfId="3" applyFont="1" applyAlignment="1">
      <alignment horizontal="center" vertical="top"/>
    </xf>
    <xf numFmtId="0" fontId="88" fillId="0" borderId="0" xfId="3" applyFont="1" applyAlignment="1">
      <alignment horizontal="right" vertical="top" wrapText="1"/>
    </xf>
    <xf numFmtId="0" fontId="88" fillId="0" borderId="0" xfId="3" applyFont="1" applyAlignment="1">
      <alignment horizontal="right" vertical="top"/>
    </xf>
    <xf numFmtId="0" fontId="65" fillId="0" borderId="0" xfId="605" applyFont="1" applyAlignment="1">
      <alignment horizontal="center" vertical="top"/>
    </xf>
    <xf numFmtId="0" fontId="90" fillId="0" borderId="0" xfId="3" applyFont="1" applyAlignment="1">
      <alignment vertical="top" wrapText="1"/>
    </xf>
    <xf numFmtId="0" fontId="93" fillId="0" borderId="0" xfId="3" applyFont="1" applyAlignment="1">
      <alignment horizontal="right" vertical="top"/>
    </xf>
    <xf numFmtId="0" fontId="93" fillId="0" borderId="0" xfId="3" applyFont="1" applyAlignment="1">
      <alignment vertical="top"/>
    </xf>
    <xf numFmtId="0" fontId="101" fillId="0" borderId="0" xfId="3" applyFont="1" applyAlignment="1">
      <alignment horizontal="center" vertical="top"/>
    </xf>
    <xf numFmtId="0" fontId="58" fillId="0" borderId="70" xfId="3" applyFont="1" applyBorder="1" applyAlignment="1">
      <alignment horizontal="center" vertical="top" wrapText="1"/>
    </xf>
    <xf numFmtId="0" fontId="8" fillId="0" borderId="70" xfId="3" applyFont="1" applyBorder="1" applyAlignment="1">
      <alignment horizontal="left" vertical="top" wrapText="1"/>
    </xf>
    <xf numFmtId="0" fontId="8" fillId="0" borderId="70" xfId="3" applyFont="1" applyBorder="1" applyAlignment="1">
      <alignment vertical="top"/>
    </xf>
    <xf numFmtId="172" fontId="8" fillId="0" borderId="70" xfId="3" applyNumberFormat="1" applyFont="1" applyBorder="1" applyAlignment="1">
      <alignment vertical="top"/>
    </xf>
    <xf numFmtId="172" fontId="12" fillId="0" borderId="70" xfId="3" applyNumberFormat="1" applyFont="1" applyBorder="1" applyAlignment="1">
      <alignment vertical="top"/>
    </xf>
    <xf numFmtId="183" fontId="115" fillId="0" borderId="70" xfId="3" applyNumberFormat="1" applyFont="1" applyBorder="1" applyAlignment="1">
      <alignment vertical="top"/>
    </xf>
    <xf numFmtId="184" fontId="150" fillId="0" borderId="70" xfId="3" applyNumberFormat="1" applyFont="1" applyBorder="1" applyAlignment="1">
      <alignment vertical="top" wrapText="1"/>
    </xf>
    <xf numFmtId="0" fontId="151" fillId="0" borderId="70" xfId="3" applyFont="1" applyBorder="1" applyAlignment="1">
      <alignment vertical="top" wrapText="1"/>
    </xf>
    <xf numFmtId="174" fontId="115" fillId="0" borderId="0" xfId="3" applyNumberFormat="1" applyFont="1" applyAlignment="1">
      <alignment vertical="top"/>
    </xf>
    <xf numFmtId="184" fontId="152" fillId="0" borderId="0" xfId="3" applyNumberFormat="1" applyFont="1" applyAlignment="1">
      <alignment vertical="top"/>
    </xf>
    <xf numFmtId="0" fontId="152" fillId="0" borderId="0" xfId="3" applyFont="1" applyAlignment="1">
      <alignment vertical="top"/>
    </xf>
    <xf numFmtId="0" fontId="8" fillId="48" borderId="70" xfId="3" applyFont="1" applyFill="1" applyBorder="1" applyAlignment="1">
      <alignment horizontal="left" vertical="top"/>
    </xf>
    <xf numFmtId="0" fontId="8" fillId="48" borderId="70" xfId="3" applyFont="1" applyFill="1" applyBorder="1" applyAlignment="1">
      <alignment horizontal="center" vertical="top"/>
    </xf>
    <xf numFmtId="172" fontId="12" fillId="48" borderId="70" xfId="3" applyNumberFormat="1" applyFont="1" applyFill="1" applyBorder="1" applyAlignment="1">
      <alignment vertical="top"/>
    </xf>
    <xf numFmtId="172" fontId="8" fillId="48" borderId="70" xfId="3" applyNumberFormat="1" applyFont="1" applyFill="1" applyBorder="1" applyAlignment="1">
      <alignment vertical="top"/>
    </xf>
    <xf numFmtId="184" fontId="12" fillId="48" borderId="70" xfId="3" applyNumberFormat="1" applyFont="1" applyFill="1" applyBorder="1" applyAlignment="1">
      <alignment vertical="top"/>
    </xf>
    <xf numFmtId="174" fontId="115" fillId="48" borderId="70" xfId="3" applyNumberFormat="1" applyFont="1" applyFill="1" applyBorder="1" applyAlignment="1">
      <alignment vertical="top"/>
    </xf>
    <xf numFmtId="184" fontId="152" fillId="48" borderId="70" xfId="3" applyNumberFormat="1" applyFont="1" applyFill="1" applyBorder="1" applyAlignment="1">
      <alignment vertical="top"/>
    </xf>
    <xf numFmtId="0" fontId="8" fillId="0" borderId="70" xfId="3" applyFont="1" applyBorder="1" applyAlignment="1">
      <alignment vertical="top" wrapText="1"/>
    </xf>
    <xf numFmtId="184" fontId="152" fillId="0" borderId="70" xfId="3" applyNumberFormat="1" applyFont="1" applyBorder="1" applyAlignment="1">
      <alignment vertical="top"/>
    </xf>
    <xf numFmtId="0" fontId="152" fillId="0" borderId="70" xfId="3" applyFont="1" applyBorder="1" applyAlignment="1">
      <alignment vertical="top"/>
    </xf>
    <xf numFmtId="174" fontId="115" fillId="0" borderId="70" xfId="3" applyNumberFormat="1" applyFont="1" applyBorder="1" applyAlignment="1">
      <alignment vertical="top"/>
    </xf>
    <xf numFmtId="0" fontId="8" fillId="0" borderId="76" xfId="3" applyFont="1" applyBorder="1" applyAlignment="1">
      <alignment horizontal="left" vertical="top" wrapText="1"/>
    </xf>
    <xf numFmtId="0" fontId="153" fillId="0" borderId="0" xfId="605" applyFont="1" applyAlignment="1">
      <alignment horizontal="left" vertical="top"/>
    </xf>
    <xf numFmtId="4" fontId="8" fillId="0" borderId="70" xfId="3" applyNumberFormat="1" applyFont="1" applyBorder="1" applyAlignment="1">
      <alignment vertical="top"/>
    </xf>
    <xf numFmtId="0" fontId="58" fillId="0" borderId="70" xfId="3" applyFont="1" applyBorder="1" applyAlignment="1">
      <alignment vertical="top"/>
    </xf>
    <xf numFmtId="172" fontId="8" fillId="0" borderId="75" xfId="3" applyNumberFormat="1" applyFont="1" applyBorder="1" applyAlignment="1">
      <alignment vertical="top"/>
    </xf>
    <xf numFmtId="0" fontId="73" fillId="0" borderId="70" xfId="3" applyFont="1" applyBorder="1" applyAlignment="1">
      <alignment vertical="top"/>
    </xf>
    <xf numFmtId="184" fontId="12" fillId="0" borderId="70" xfId="3" applyNumberFormat="1" applyFont="1" applyBorder="1" applyAlignment="1">
      <alignment vertical="top"/>
    </xf>
    <xf numFmtId="22" fontId="8" fillId="0" borderId="70" xfId="3" applyNumberFormat="1" applyFont="1" applyBorder="1" applyAlignment="1">
      <alignment vertical="top"/>
    </xf>
    <xf numFmtId="0" fontId="8" fillId="0" borderId="70" xfId="3" applyFont="1" applyBorder="1" applyAlignment="1">
      <alignment horizontal="center" vertical="top"/>
    </xf>
    <xf numFmtId="0" fontId="95" fillId="0" borderId="70" xfId="3" applyFont="1" applyBorder="1" applyAlignment="1">
      <alignment horizontal="left" vertical="top"/>
    </xf>
    <xf numFmtId="0" fontId="6" fillId="0" borderId="70" xfId="3" applyBorder="1" applyAlignment="1">
      <alignment vertical="top"/>
    </xf>
    <xf numFmtId="172" fontId="97" fillId="0" borderId="70" xfId="3" applyNumberFormat="1" applyFont="1" applyBorder="1" applyAlignment="1">
      <alignment vertical="top"/>
    </xf>
    <xf numFmtId="184" fontId="97" fillId="0" borderId="70" xfId="3" applyNumberFormat="1" applyFont="1" applyBorder="1" applyAlignment="1">
      <alignment vertical="top"/>
    </xf>
    <xf numFmtId="174" fontId="6" fillId="0" borderId="70" xfId="3" applyNumberFormat="1" applyBorder="1" applyAlignment="1">
      <alignment vertical="top"/>
    </xf>
    <xf numFmtId="0" fontId="96" fillId="0" borderId="0" xfId="3" applyFont="1" applyAlignment="1">
      <alignment horizontal="left" vertical="top"/>
    </xf>
    <xf numFmtId="0" fontId="88" fillId="0" borderId="0" xfId="3" applyFont="1" applyAlignment="1">
      <alignment vertical="top"/>
    </xf>
    <xf numFmtId="0" fontId="93" fillId="0" borderId="0" xfId="3" applyFont="1" applyAlignment="1">
      <alignment horizontal="right" vertical="top" wrapText="1"/>
    </xf>
    <xf numFmtId="0" fontId="154" fillId="0" borderId="0" xfId="3" applyFont="1" applyAlignment="1">
      <alignment vertical="top"/>
    </xf>
    <xf numFmtId="0" fontId="88" fillId="0" borderId="27" xfId="3" applyFont="1" applyBorder="1" applyAlignment="1">
      <alignment vertical="top" wrapText="1"/>
    </xf>
    <xf numFmtId="0" fontId="155" fillId="0" borderId="0" xfId="3" applyFont="1" applyAlignment="1">
      <alignment vertical="top"/>
    </xf>
    <xf numFmtId="0" fontId="8" fillId="0" borderId="70" xfId="3" applyFont="1" applyBorder="1" applyAlignment="1">
      <alignment horizontal="center" vertical="top" wrapText="1"/>
    </xf>
    <xf numFmtId="0" fontId="57" fillId="0" borderId="70" xfId="3" applyFont="1" applyBorder="1" applyAlignment="1">
      <alignment horizontal="center" vertical="top" wrapText="1"/>
    </xf>
    <xf numFmtId="0" fontId="158" fillId="0" borderId="70" xfId="3" applyFont="1" applyBorder="1" applyAlignment="1">
      <alignment horizontal="center" vertical="top" wrapText="1"/>
    </xf>
    <xf numFmtId="0" fontId="58" fillId="4" borderId="70" xfId="3" applyFont="1" applyFill="1" applyBorder="1" applyAlignment="1">
      <alignment horizontal="center" vertical="top"/>
    </xf>
    <xf numFmtId="0" fontId="58" fillId="4" borderId="73" xfId="3" applyFont="1" applyFill="1" applyBorder="1" applyAlignment="1">
      <alignment horizontal="center" vertical="top"/>
    </xf>
    <xf numFmtId="0" fontId="58" fillId="4" borderId="70" xfId="3" applyFont="1" applyFill="1" applyBorder="1" applyAlignment="1">
      <alignment horizontal="center" vertical="top" wrapText="1"/>
    </xf>
    <xf numFmtId="0" fontId="155" fillId="4" borderId="70" xfId="3" applyFont="1" applyFill="1" applyBorder="1" applyAlignment="1">
      <alignment horizontal="center" vertical="top"/>
    </xf>
    <xf numFmtId="0" fontId="159" fillId="35" borderId="70" xfId="641" applyFont="1" applyFill="1" applyBorder="1" applyAlignment="1">
      <alignment vertical="top" wrapText="1"/>
    </xf>
    <xf numFmtId="4" fontId="66" fillId="0" borderId="70" xfId="3" applyNumberFormat="1" applyFont="1" applyBorder="1" applyAlignment="1">
      <alignment vertical="top"/>
    </xf>
    <xf numFmtId="185" fontId="152" fillId="0" borderId="70" xfId="3" applyNumberFormat="1" applyFont="1" applyBorder="1" applyAlignment="1">
      <alignment vertical="top"/>
    </xf>
    <xf numFmtId="183" fontId="6" fillId="0" borderId="70" xfId="3" applyNumberFormat="1" applyBorder="1" applyAlignment="1">
      <alignment vertical="top"/>
    </xf>
    <xf numFmtId="0" fontId="88" fillId="0" borderId="70" xfId="3" applyFont="1" applyBorder="1" applyAlignment="1">
      <alignment vertical="top" wrapText="1"/>
    </xf>
    <xf numFmtId="0" fontId="160" fillId="0" borderId="70" xfId="605" applyFont="1" applyBorder="1" applyAlignment="1">
      <alignment vertical="top" wrapText="1"/>
    </xf>
    <xf numFmtId="0" fontId="161" fillId="0" borderId="73" xfId="605" applyFont="1" applyBorder="1" applyAlignment="1">
      <alignment vertical="top" wrapText="1"/>
    </xf>
    <xf numFmtId="4" fontId="12" fillId="0" borderId="70" xfId="3" applyNumberFormat="1" applyFont="1" applyBorder="1" applyAlignment="1">
      <alignment vertical="top"/>
    </xf>
    <xf numFmtId="0" fontId="1" fillId="0" borderId="70" xfId="5104" applyFont="1" applyBorder="1" applyAlignment="1">
      <alignment vertical="top"/>
    </xf>
    <xf numFmtId="164" fontId="97" fillId="0" borderId="70" xfId="3" applyNumberFormat="1" applyFont="1" applyBorder="1" applyAlignment="1">
      <alignment vertical="top"/>
    </xf>
    <xf numFmtId="186" fontId="97" fillId="0" borderId="70" xfId="3" applyNumberFormat="1" applyFont="1" applyBorder="1" applyAlignment="1">
      <alignment vertical="top"/>
    </xf>
    <xf numFmtId="0" fontId="162" fillId="0" borderId="0" xfId="605" applyFont="1" applyAlignment="1">
      <alignment vertical="top"/>
    </xf>
    <xf numFmtId="0" fontId="163" fillId="0" borderId="0" xfId="605" applyFont="1" applyAlignment="1">
      <alignment vertical="top"/>
    </xf>
    <xf numFmtId="0" fontId="164" fillId="0" borderId="0" xfId="391" applyFont="1" applyAlignment="1">
      <alignment vertical="top" wrapText="1"/>
    </xf>
    <xf numFmtId="0" fontId="32" fillId="0" borderId="0" xfId="391" applyAlignment="1">
      <alignment vertical="top" wrapText="1"/>
    </xf>
    <xf numFmtId="0" fontId="166" fillId="0" borderId="0" xfId="605" applyFont="1" applyAlignment="1">
      <alignment horizontal="center" vertical="top"/>
    </xf>
    <xf numFmtId="0" fontId="167" fillId="0" borderId="0" xfId="391" applyFont="1" applyAlignment="1">
      <alignment vertical="top"/>
    </xf>
    <xf numFmtId="0" fontId="164" fillId="0" borderId="0" xfId="391" applyFont="1" applyAlignment="1">
      <alignment vertical="top"/>
    </xf>
    <xf numFmtId="0" fontId="32" fillId="0" borderId="0" xfId="391" applyAlignment="1">
      <alignment vertical="top"/>
    </xf>
    <xf numFmtId="0" fontId="169" fillId="0" borderId="0" xfId="605" applyFont="1" applyAlignment="1">
      <alignment horizontal="center" vertical="top"/>
    </xf>
    <xf numFmtId="0" fontId="170" fillId="0" borderId="0" xfId="605" applyFont="1" applyAlignment="1">
      <alignment vertical="top"/>
    </xf>
    <xf numFmtId="0" fontId="171" fillId="0" borderId="0" xfId="605" applyFont="1" applyAlignment="1">
      <alignment vertical="top"/>
    </xf>
    <xf numFmtId="0" fontId="101" fillId="0" borderId="0" xfId="391" applyFont="1" applyAlignment="1">
      <alignment vertical="top"/>
    </xf>
    <xf numFmtId="0" fontId="88" fillId="0" borderId="0" xfId="391" applyFont="1" applyAlignment="1">
      <alignment vertical="top"/>
    </xf>
    <xf numFmtId="0" fontId="88" fillId="35" borderId="70" xfId="391" applyFont="1" applyFill="1" applyBorder="1" applyAlignment="1">
      <alignment horizontal="center" vertical="top" wrapText="1"/>
    </xf>
    <xf numFmtId="0" fontId="88" fillId="35" borderId="70" xfId="391" applyFont="1" applyFill="1" applyBorder="1" applyAlignment="1">
      <alignment horizontal="center" vertical="top"/>
    </xf>
    <xf numFmtId="0" fontId="101" fillId="35" borderId="70" xfId="391" applyFont="1" applyFill="1" applyBorder="1" applyAlignment="1">
      <alignment horizontal="center" vertical="top"/>
    </xf>
    <xf numFmtId="0" fontId="88" fillId="0" borderId="70" xfId="391" applyFont="1" applyBorder="1" applyAlignment="1">
      <alignment horizontal="center" vertical="top" wrapText="1"/>
    </xf>
    <xf numFmtId="0" fontId="88" fillId="0" borderId="70" xfId="391" applyFont="1" applyBorder="1" applyAlignment="1">
      <alignment horizontal="center" vertical="top"/>
    </xf>
    <xf numFmtId="0" fontId="88" fillId="35" borderId="4" xfId="391" applyFont="1" applyFill="1" applyBorder="1" applyAlignment="1">
      <alignment horizontal="center" vertical="top"/>
    </xf>
    <xf numFmtId="0" fontId="88" fillId="0" borderId="70" xfId="391" applyFont="1" applyBorder="1" applyAlignment="1">
      <alignment vertical="top"/>
    </xf>
    <xf numFmtId="0" fontId="173" fillId="33" borderId="70" xfId="391" applyFont="1" applyFill="1" applyBorder="1" applyAlignment="1">
      <alignment horizontal="center" vertical="top"/>
    </xf>
    <xf numFmtId="0" fontId="176" fillId="0" borderId="70" xfId="391" applyFont="1" applyBorder="1" applyAlignment="1">
      <alignment vertical="top"/>
    </xf>
    <xf numFmtId="0" fontId="88" fillId="2" borderId="70" xfId="391" applyFont="1" applyFill="1" applyBorder="1" applyAlignment="1">
      <alignment horizontal="center" vertical="top" wrapText="1"/>
    </xf>
    <xf numFmtId="0" fontId="101" fillId="2" borderId="70" xfId="391" applyFont="1" applyFill="1" applyBorder="1" applyAlignment="1">
      <alignment horizontal="center" vertical="top" wrapText="1"/>
    </xf>
    <xf numFmtId="0" fontId="177" fillId="2" borderId="70" xfId="605" applyFont="1" applyFill="1" applyBorder="1" applyAlignment="1">
      <alignment horizontal="center" vertical="top"/>
    </xf>
    <xf numFmtId="0" fontId="178" fillId="2" borderId="70" xfId="605" applyFont="1" applyFill="1" applyBorder="1" applyAlignment="1">
      <alignment horizontal="center" vertical="top"/>
    </xf>
    <xf numFmtId="0" fontId="173" fillId="33" borderId="70" xfId="391" applyFont="1" applyFill="1" applyBorder="1" applyAlignment="1">
      <alignment horizontal="center" vertical="top" wrapText="1"/>
    </xf>
    <xf numFmtId="0" fontId="88" fillId="30" borderId="0" xfId="391" applyFont="1" applyFill="1" applyAlignment="1">
      <alignment vertical="top"/>
    </xf>
    <xf numFmtId="172" fontId="103" fillId="35" borderId="70" xfId="391" applyNumberFormat="1" applyFont="1" applyFill="1" applyBorder="1" applyAlignment="1">
      <alignment horizontal="right" vertical="top"/>
    </xf>
    <xf numFmtId="187" fontId="114" fillId="35" borderId="70" xfId="391" applyNumberFormat="1" applyFont="1" applyFill="1" applyBorder="1" applyAlignment="1">
      <alignment horizontal="right" vertical="top"/>
    </xf>
    <xf numFmtId="172" fontId="66" fillId="35" borderId="70" xfId="391" applyNumberFormat="1" applyFont="1" applyFill="1" applyBorder="1" applyAlignment="1">
      <alignment horizontal="right" vertical="top"/>
    </xf>
    <xf numFmtId="184" fontId="66" fillId="35" borderId="70" xfId="391" applyNumberFormat="1" applyFont="1" applyFill="1" applyBorder="1" applyAlignment="1">
      <alignment horizontal="right" vertical="top"/>
    </xf>
    <xf numFmtId="172" fontId="180" fillId="33" borderId="70" xfId="391" applyNumberFormat="1" applyFont="1" applyFill="1" applyBorder="1" applyAlignment="1">
      <alignment horizontal="right" vertical="top"/>
    </xf>
    <xf numFmtId="172" fontId="74" fillId="35" borderId="70" xfId="391" applyNumberFormat="1" applyFont="1" applyFill="1" applyBorder="1" applyAlignment="1">
      <alignment horizontal="right" vertical="top"/>
    </xf>
    <xf numFmtId="172" fontId="73" fillId="0" borderId="0" xfId="391" applyNumberFormat="1" applyFont="1" applyAlignment="1">
      <alignment vertical="top"/>
    </xf>
    <xf numFmtId="172" fontId="181" fillId="0" borderId="70" xfId="391" applyNumberFormat="1" applyFont="1" applyBorder="1" applyAlignment="1">
      <alignment vertical="top"/>
    </xf>
    <xf numFmtId="172" fontId="73" fillId="6" borderId="0" xfId="391" applyNumberFormat="1" applyFont="1" applyFill="1" applyAlignment="1">
      <alignment vertical="top"/>
    </xf>
    <xf numFmtId="0" fontId="73" fillId="6" borderId="0" xfId="391" applyFont="1" applyFill="1" applyAlignment="1">
      <alignment vertical="top"/>
    </xf>
    <xf numFmtId="0" fontId="73" fillId="0" borderId="0" xfId="391" applyFont="1" applyAlignment="1">
      <alignment vertical="top"/>
    </xf>
    <xf numFmtId="0" fontId="182" fillId="0" borderId="0" xfId="391" applyFont="1" applyAlignment="1">
      <alignment vertical="top"/>
    </xf>
    <xf numFmtId="4" fontId="183" fillId="0" borderId="70" xfId="605" applyNumberFormat="1" applyFont="1" applyBorder="1" applyAlignment="1">
      <alignment vertical="top"/>
    </xf>
    <xf numFmtId="4" fontId="78" fillId="0" borderId="70" xfId="605" applyNumberFormat="1" applyFont="1" applyBorder="1" applyAlignment="1">
      <alignment vertical="top"/>
    </xf>
    <xf numFmtId="4" fontId="184" fillId="0" borderId="70" xfId="605" applyNumberFormat="1" applyFont="1" applyBorder="1" applyAlignment="1">
      <alignment vertical="top"/>
    </xf>
    <xf numFmtId="169" fontId="78" fillId="0" borderId="70" xfId="605" applyNumberFormat="1" applyFont="1" applyBorder="1" applyAlignment="1">
      <alignment vertical="top"/>
    </xf>
    <xf numFmtId="4" fontId="185" fillId="33" borderId="70" xfId="605" applyNumberFormat="1" applyFont="1" applyFill="1" applyBorder="1" applyAlignment="1">
      <alignment vertical="top"/>
    </xf>
    <xf numFmtId="4" fontId="186" fillId="0" borderId="70" xfId="605" applyNumberFormat="1" applyFont="1" applyBorder="1" applyAlignment="1">
      <alignment vertical="top"/>
    </xf>
    <xf numFmtId="4" fontId="187" fillId="0" borderId="70" xfId="605" applyNumberFormat="1" applyFont="1" applyBorder="1" applyAlignment="1">
      <alignment vertical="top"/>
    </xf>
    <xf numFmtId="169" fontId="74" fillId="0" borderId="70" xfId="605" applyNumberFormat="1" applyFont="1" applyBorder="1" applyAlignment="1">
      <alignment vertical="top"/>
    </xf>
    <xf numFmtId="0" fontId="88" fillId="35" borderId="0" xfId="391" applyFont="1" applyFill="1" applyAlignment="1">
      <alignment vertical="top"/>
    </xf>
    <xf numFmtId="0" fontId="8" fillId="35" borderId="0" xfId="391" applyFont="1" applyFill="1" applyAlignment="1">
      <alignment horizontal="center" vertical="top"/>
    </xf>
    <xf numFmtId="0" fontId="56" fillId="35" borderId="0" xfId="391" applyFont="1" applyFill="1" applyAlignment="1">
      <alignment horizontal="center" vertical="top"/>
    </xf>
    <xf numFmtId="0" fontId="10" fillId="0" borderId="0" xfId="605" applyFont="1" applyAlignment="1">
      <alignment vertical="top"/>
    </xf>
    <xf numFmtId="0" fontId="176" fillId="0" borderId="0" xfId="391" applyFont="1" applyAlignment="1">
      <alignment vertical="top"/>
    </xf>
    <xf numFmtId="172" fontId="88" fillId="35" borderId="0" xfId="391" applyNumberFormat="1" applyFont="1" applyFill="1" applyAlignment="1">
      <alignment horizontal="center" vertical="top"/>
    </xf>
    <xf numFmtId="0" fontId="96" fillId="0" borderId="70" xfId="391" applyFont="1" applyBorder="1" applyAlignment="1">
      <alignment horizontal="left" vertical="center" wrapText="1"/>
    </xf>
    <xf numFmtId="172" fontId="89" fillId="3" borderId="70" xfId="391" applyNumberFormat="1" applyFont="1" applyFill="1" applyBorder="1" applyAlignment="1">
      <alignment horizontal="center" vertical="center"/>
    </xf>
    <xf numFmtId="0" fontId="89" fillId="3" borderId="70" xfId="391" applyFont="1" applyFill="1" applyBorder="1" applyAlignment="1">
      <alignment horizontal="center" vertical="center"/>
    </xf>
    <xf numFmtId="172" fontId="91" fillId="35" borderId="70" xfId="391" applyNumberFormat="1" applyFont="1" applyFill="1" applyBorder="1" applyAlignment="1">
      <alignment horizontal="center" vertical="center"/>
    </xf>
    <xf numFmtId="188" fontId="12" fillId="35" borderId="70" xfId="391" applyNumberFormat="1" applyFont="1" applyFill="1" applyBorder="1" applyAlignment="1">
      <alignment horizontal="center" vertical="center"/>
    </xf>
    <xf numFmtId="172" fontId="103" fillId="35" borderId="70" xfId="391" applyNumberFormat="1" applyFont="1" applyFill="1" applyBorder="1" applyAlignment="1">
      <alignment horizontal="center" vertical="center"/>
    </xf>
    <xf numFmtId="184" fontId="103" fillId="35" borderId="70" xfId="391" applyNumberFormat="1" applyFont="1" applyFill="1" applyBorder="1" applyAlignment="1">
      <alignment horizontal="center" vertical="center"/>
    </xf>
    <xf numFmtId="172" fontId="99" fillId="3" borderId="70" xfId="391" applyNumberFormat="1" applyFont="1" applyFill="1" applyBorder="1" applyAlignment="1">
      <alignment horizontal="center" vertical="center"/>
    </xf>
    <xf numFmtId="0" fontId="99" fillId="3" borderId="70" xfId="391" applyFont="1" applyFill="1" applyBorder="1" applyAlignment="1">
      <alignment horizontal="center" vertical="center"/>
    </xf>
    <xf numFmtId="172" fontId="12" fillId="35" borderId="70" xfId="391" applyNumberFormat="1" applyFont="1" applyFill="1" applyBorder="1" applyAlignment="1">
      <alignment horizontal="center" vertical="center"/>
    </xf>
    <xf numFmtId="172" fontId="66" fillId="35" borderId="70" xfId="391" applyNumberFormat="1" applyFont="1" applyFill="1" applyBorder="1" applyAlignment="1">
      <alignment horizontal="center" vertical="center"/>
    </xf>
    <xf numFmtId="2" fontId="89" fillId="3" borderId="70" xfId="391" applyNumberFormat="1" applyFont="1" applyFill="1" applyBorder="1" applyAlignment="1">
      <alignment horizontal="center" vertical="center"/>
    </xf>
    <xf numFmtId="172" fontId="188" fillId="3" borderId="70" xfId="391" applyNumberFormat="1" applyFont="1" applyFill="1" applyBorder="1" applyAlignment="1">
      <alignment horizontal="center" vertical="center"/>
    </xf>
    <xf numFmtId="172" fontId="8" fillId="3" borderId="70" xfId="391" applyNumberFormat="1" applyFont="1" applyFill="1" applyBorder="1" applyAlignment="1">
      <alignment horizontal="center" vertical="center"/>
    </xf>
    <xf numFmtId="172" fontId="179" fillId="35" borderId="70" xfId="391" applyNumberFormat="1" applyFont="1" applyFill="1" applyBorder="1" applyAlignment="1">
      <alignment horizontal="right" vertical="center"/>
    </xf>
    <xf numFmtId="172" fontId="91" fillId="0" borderId="70" xfId="391" applyNumberFormat="1" applyFont="1" applyBorder="1" applyAlignment="1">
      <alignment horizontal="center" vertical="center"/>
    </xf>
    <xf numFmtId="172" fontId="189" fillId="35" borderId="70" xfId="391" applyNumberFormat="1" applyFont="1" applyFill="1" applyBorder="1" applyAlignment="1">
      <alignment horizontal="center" vertical="center"/>
    </xf>
    <xf numFmtId="172" fontId="103" fillId="35" borderId="0" xfId="391" applyNumberFormat="1" applyFont="1" applyFill="1" applyAlignment="1">
      <alignment horizontal="center" vertical="center"/>
    </xf>
    <xf numFmtId="0" fontId="190" fillId="0" borderId="0" xfId="391" applyFont="1" applyAlignment="1">
      <alignment horizontal="center" vertical="center"/>
    </xf>
    <xf numFmtId="0" fontId="191" fillId="0" borderId="0" xfId="391" applyFont="1" applyAlignment="1">
      <alignment horizontal="center" vertical="center"/>
    </xf>
    <xf numFmtId="0" fontId="0" fillId="0" borderId="0" xfId="605" applyFont="1" applyAlignment="1">
      <alignment vertical="top"/>
    </xf>
    <xf numFmtId="0" fontId="82" fillId="0" borderId="0" xfId="605" applyAlignment="1">
      <alignment vertical="top" wrapText="1"/>
    </xf>
    <xf numFmtId="0" fontId="192" fillId="0" borderId="0" xfId="605" applyFont="1" applyAlignment="1">
      <alignment vertical="top"/>
    </xf>
    <xf numFmtId="0" fontId="82" fillId="0" borderId="0" xfId="605"/>
    <xf numFmtId="0" fontId="162" fillId="0" borderId="0" xfId="605" applyFont="1"/>
    <xf numFmtId="0" fontId="163" fillId="0" borderId="0" xfId="605" applyFont="1"/>
    <xf numFmtId="0" fontId="194" fillId="0" borderId="0" xfId="605" applyFont="1"/>
    <xf numFmtId="0" fontId="195" fillId="0" borderId="0" xfId="605" applyFont="1"/>
    <xf numFmtId="0" fontId="196" fillId="0" borderId="0" xfId="605" applyFont="1"/>
    <xf numFmtId="184" fontId="162" fillId="0" borderId="0" xfId="605" applyNumberFormat="1" applyFont="1"/>
    <xf numFmtId="0" fontId="194" fillId="0" borderId="0" xfId="605" applyFont="1" applyAlignment="1">
      <alignment horizontal="center"/>
    </xf>
    <xf numFmtId="0" fontId="197" fillId="0" borderId="0" xfId="605" applyFont="1"/>
    <xf numFmtId="0" fontId="32" fillId="35" borderId="0" xfId="391" applyFill="1" applyAlignment="1">
      <alignment vertical="top"/>
    </xf>
    <xf numFmtId="0" fontId="193" fillId="0" borderId="0" xfId="605" applyFont="1"/>
    <xf numFmtId="0" fontId="193" fillId="0" borderId="0" xfId="605" applyFont="1" applyAlignment="1">
      <alignment wrapText="1"/>
    </xf>
    <xf numFmtId="0" fontId="198" fillId="35" borderId="0" xfId="391" applyFont="1" applyFill="1" applyAlignment="1">
      <alignment horizontal="center"/>
    </xf>
    <xf numFmtId="0" fontId="199" fillId="0" borderId="0" xfId="391" applyFont="1"/>
    <xf numFmtId="0" fontId="199" fillId="35" borderId="0" xfId="391" applyFont="1" applyFill="1"/>
    <xf numFmtId="0" fontId="200" fillId="0" borderId="0" xfId="391" applyFont="1"/>
    <xf numFmtId="0" fontId="201" fillId="0" borderId="0" xfId="391" applyFont="1"/>
    <xf numFmtId="0" fontId="202" fillId="0" borderId="0" xfId="605" applyFont="1"/>
    <xf numFmtId="0" fontId="3" fillId="31" borderId="53" xfId="5110" applyFont="1" applyFill="1" applyBorder="1" applyAlignment="1">
      <alignment vertical="top" wrapText="1"/>
    </xf>
    <xf numFmtId="172" fontId="71" fillId="0" borderId="53" xfId="5107" applyNumberFormat="1" applyFont="1" applyFill="1" applyBorder="1" applyAlignment="1">
      <alignment vertical="top"/>
    </xf>
    <xf numFmtId="0" fontId="3" fillId="0" borderId="70" xfId="5110" applyFont="1" applyFill="1" applyBorder="1" applyAlignment="1">
      <alignment vertical="top"/>
    </xf>
    <xf numFmtId="171" fontId="0" fillId="0" borderId="0" xfId="0" applyNumberFormat="1"/>
    <xf numFmtId="0" fontId="203" fillId="0" borderId="70" xfId="605" applyFont="1" applyBorder="1" applyAlignment="1">
      <alignment vertical="top" wrapText="1"/>
    </xf>
    <xf numFmtId="172" fontId="55" fillId="3" borderId="70" xfId="391" applyNumberFormat="1" applyFont="1" applyFill="1" applyBorder="1" applyAlignment="1">
      <alignment horizontal="right" vertical="top"/>
    </xf>
    <xf numFmtId="172" fontId="71" fillId="35" borderId="70" xfId="391" applyNumberFormat="1" applyFont="1" applyFill="1" applyBorder="1" applyAlignment="1">
      <alignment horizontal="right" vertical="top"/>
    </xf>
    <xf numFmtId="172" fontId="72" fillId="35" borderId="70" xfId="391" applyNumberFormat="1" applyFont="1" applyFill="1" applyBorder="1" applyAlignment="1">
      <alignment horizontal="right" vertical="top"/>
    </xf>
    <xf numFmtId="187" fontId="71" fillId="35" borderId="70" xfId="391" applyNumberFormat="1" applyFont="1" applyFill="1" applyBorder="1" applyAlignment="1">
      <alignment horizontal="right" vertical="top"/>
    </xf>
    <xf numFmtId="184" fontId="72" fillId="35" borderId="70" xfId="391" applyNumberFormat="1" applyFont="1" applyFill="1" applyBorder="1" applyAlignment="1">
      <alignment horizontal="right" vertical="top"/>
    </xf>
    <xf numFmtId="172" fontId="147" fillId="3" borderId="70" xfId="391" applyNumberFormat="1" applyFont="1" applyFill="1" applyBorder="1" applyAlignment="1">
      <alignment horizontal="right" vertical="top"/>
    </xf>
    <xf numFmtId="188" fontId="71" fillId="35" borderId="70" xfId="391" applyNumberFormat="1" applyFont="1" applyFill="1" applyBorder="1" applyAlignment="1">
      <alignment horizontal="right" vertical="top"/>
    </xf>
    <xf numFmtId="2" fontId="55" fillId="3" borderId="70" xfId="391" applyNumberFormat="1" applyFont="1" applyFill="1" applyBorder="1" applyAlignment="1">
      <alignment horizontal="right" vertical="top"/>
    </xf>
    <xf numFmtId="189" fontId="55" fillId="3" borderId="70" xfId="391" applyNumberFormat="1" applyFont="1" applyFill="1" applyBorder="1" applyAlignment="1">
      <alignment horizontal="right" vertical="top"/>
    </xf>
    <xf numFmtId="172" fontId="204" fillId="35" borderId="70" xfId="391" applyNumberFormat="1" applyFont="1" applyFill="1" applyBorder="1" applyAlignment="1">
      <alignment horizontal="right" vertical="top"/>
    </xf>
    <xf numFmtId="172" fontId="71" fillId="0" borderId="70" xfId="391" applyNumberFormat="1" applyFont="1" applyBorder="1" applyAlignment="1">
      <alignment horizontal="right" vertical="top"/>
    </xf>
    <xf numFmtId="4" fontId="55" fillId="3" borderId="70" xfId="605" applyNumberFormat="1" applyFont="1" applyFill="1" applyBorder="1" applyAlignment="1">
      <alignment horizontal="center" vertical="top"/>
    </xf>
    <xf numFmtId="4" fontId="1" fillId="3" borderId="70" xfId="605" applyNumberFormat="1" applyFont="1" applyFill="1" applyBorder="1" applyAlignment="1">
      <alignment horizontal="center" vertical="top"/>
    </xf>
    <xf numFmtId="3" fontId="1" fillId="0" borderId="70" xfId="605" applyNumberFormat="1" applyFont="1" applyBorder="1" applyAlignment="1">
      <alignment horizontal="center" vertical="top"/>
    </xf>
    <xf numFmtId="4" fontId="55" fillId="0" borderId="70" xfId="605" applyNumberFormat="1" applyFont="1" applyBorder="1" applyAlignment="1">
      <alignment vertical="top"/>
    </xf>
    <xf numFmtId="172" fontId="124" fillId="35" borderId="70" xfId="391" applyNumberFormat="1" applyFont="1" applyFill="1" applyBorder="1" applyAlignment="1">
      <alignment horizontal="right" vertical="top"/>
    </xf>
    <xf numFmtId="0" fontId="72" fillId="0" borderId="70" xfId="605" applyFont="1" applyBorder="1" applyAlignment="1">
      <alignment vertical="top" wrapText="1"/>
    </xf>
    <xf numFmtId="3" fontId="55" fillId="35" borderId="70" xfId="605" applyNumberFormat="1" applyFont="1" applyFill="1" applyBorder="1" applyAlignment="1">
      <alignment horizontal="center" vertical="top"/>
    </xf>
    <xf numFmtId="4" fontId="55" fillId="35" borderId="70" xfId="605" applyNumberFormat="1" applyFont="1" applyFill="1" applyBorder="1" applyAlignment="1">
      <alignment vertical="top"/>
    </xf>
    <xf numFmtId="0" fontId="203" fillId="0" borderId="70" xfId="605" applyFont="1" applyBorder="1" applyAlignment="1">
      <alignment horizontal="left" vertical="center" wrapText="1"/>
    </xf>
    <xf numFmtId="0" fontId="72" fillId="0" borderId="73" xfId="605" applyFont="1" applyBorder="1" applyAlignment="1">
      <alignment vertical="top" wrapText="1"/>
    </xf>
    <xf numFmtId="4" fontId="55" fillId="49" borderId="70" xfId="605" applyNumberFormat="1" applyFont="1" applyFill="1" applyBorder="1" applyAlignment="1">
      <alignment horizontal="center" vertical="top"/>
    </xf>
    <xf numFmtId="188" fontId="204" fillId="35" borderId="70" xfId="391" applyNumberFormat="1" applyFont="1" applyFill="1" applyBorder="1" applyAlignment="1">
      <alignment horizontal="right" vertical="top"/>
    </xf>
    <xf numFmtId="172" fontId="204" fillId="0" borderId="70" xfId="391" applyNumberFormat="1" applyFont="1" applyBorder="1" applyAlignment="1">
      <alignment horizontal="right" vertical="top"/>
    </xf>
    <xf numFmtId="4" fontId="55" fillId="50" borderId="70" xfId="605" applyNumberFormat="1" applyFont="1" applyFill="1" applyBorder="1" applyAlignment="1">
      <alignment horizontal="center" vertical="top"/>
    </xf>
    <xf numFmtId="0" fontId="205" fillId="0" borderId="70" xfId="605" applyFont="1" applyBorder="1" applyAlignment="1">
      <alignment vertical="top" wrapText="1"/>
    </xf>
    <xf numFmtId="2" fontId="55" fillId="43" borderId="70" xfId="391" applyNumberFormat="1" applyFont="1" applyFill="1" applyBorder="1" applyAlignment="1">
      <alignment horizontal="right" vertical="top"/>
    </xf>
    <xf numFmtId="172" fontId="71" fillId="0" borderId="70" xfId="391" applyNumberFormat="1" applyFont="1" applyFill="1" applyBorder="1" applyAlignment="1">
      <alignment horizontal="right" vertical="top"/>
    </xf>
    <xf numFmtId="172" fontId="204" fillId="0" borderId="70" xfId="391" applyNumberFormat="1" applyFont="1" applyFill="1" applyBorder="1" applyAlignment="1">
      <alignment horizontal="right" vertical="top"/>
    </xf>
    <xf numFmtId="184" fontId="72" fillId="51" borderId="70" xfId="391" applyNumberFormat="1" applyFont="1" applyFill="1" applyBorder="1" applyAlignment="1">
      <alignment horizontal="right" vertical="top"/>
    </xf>
    <xf numFmtId="4" fontId="55" fillId="3" borderId="70" xfId="605" applyNumberFormat="1" applyFont="1" applyFill="1" applyBorder="1" applyAlignment="1">
      <alignment horizontal="center" vertical="center"/>
    </xf>
    <xf numFmtId="0" fontId="47" fillId="2" borderId="70" xfId="605" applyFont="1" applyFill="1" applyBorder="1" applyAlignment="1">
      <alignment vertical="top"/>
    </xf>
    <xf numFmtId="4" fontId="72" fillId="0" borderId="70" xfId="605" applyNumberFormat="1" applyFont="1" applyBorder="1" applyAlignment="1">
      <alignment vertical="top"/>
    </xf>
    <xf numFmtId="169" fontId="72" fillId="0" borderId="70" xfId="605" applyNumberFormat="1" applyFont="1" applyBorder="1" applyAlignment="1">
      <alignment vertical="top"/>
    </xf>
    <xf numFmtId="4" fontId="206" fillId="0" borderId="70" xfId="605" applyNumberFormat="1" applyFont="1" applyBorder="1" applyAlignment="1">
      <alignment vertical="top"/>
    </xf>
    <xf numFmtId="4" fontId="71" fillId="0" borderId="70" xfId="605" applyNumberFormat="1" applyFont="1" applyBorder="1" applyAlignment="1">
      <alignment vertical="top"/>
    </xf>
    <xf numFmtId="169" fontId="71" fillId="0" borderId="70" xfId="605" applyNumberFormat="1" applyFont="1" applyBorder="1" applyAlignment="1">
      <alignment vertical="top"/>
    </xf>
    <xf numFmtId="4" fontId="124" fillId="0" borderId="70" xfId="605" applyNumberFormat="1" applyFont="1" applyBorder="1" applyAlignment="1">
      <alignment vertical="top"/>
    </xf>
    <xf numFmtId="0" fontId="36" fillId="0" borderId="0" xfId="0" applyFont="1" applyAlignment="1">
      <alignment vertical="top" wrapText="1"/>
    </xf>
    <xf numFmtId="0" fontId="9" fillId="0" borderId="27" xfId="0" applyFont="1" applyBorder="1" applyAlignment="1">
      <alignment horizontal="center" vertical="top" wrapText="1"/>
    </xf>
    <xf numFmtId="0" fontId="208" fillId="0" borderId="0" xfId="0" applyFont="1" applyFill="1" applyAlignment="1">
      <alignment vertical="top"/>
    </xf>
    <xf numFmtId="0" fontId="209" fillId="0" borderId="0" xfId="0" applyFont="1" applyFill="1" applyAlignment="1">
      <alignment vertical="top"/>
    </xf>
    <xf numFmtId="0" fontId="0" fillId="0" borderId="0" xfId="0" applyFont="1" applyFill="1" applyAlignment="1">
      <alignment vertical="top"/>
    </xf>
    <xf numFmtId="2" fontId="88" fillId="0" borderId="70" xfId="0" applyNumberFormat="1" applyFont="1" applyFill="1" applyBorder="1" applyAlignment="1">
      <alignment horizontal="center" vertical="top" wrapText="1"/>
    </xf>
    <xf numFmtId="2" fontId="101" fillId="0" borderId="70" xfId="0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horizontal="center" vertical="top" wrapText="1"/>
    </xf>
    <xf numFmtId="0" fontId="33" fillId="4" borderId="70" xfId="0" applyFont="1" applyFill="1" applyBorder="1" applyAlignment="1">
      <alignment vertical="top" wrapText="1"/>
    </xf>
    <xf numFmtId="3" fontId="210" fillId="54" borderId="70" xfId="0" applyNumberFormat="1" applyFont="1" applyFill="1" applyBorder="1" applyAlignment="1">
      <alignment vertical="top"/>
    </xf>
    <xf numFmtId="3" fontId="210" fillId="54" borderId="70" xfId="0" applyNumberFormat="1" applyFont="1" applyFill="1" applyBorder="1" applyAlignment="1">
      <alignment horizontal="center" vertical="top"/>
    </xf>
    <xf numFmtId="3" fontId="210" fillId="52" borderId="70" xfId="0" applyNumberFormat="1" applyFont="1" applyFill="1" applyBorder="1" applyAlignment="1">
      <alignment horizontal="center" vertical="top"/>
    </xf>
    <xf numFmtId="3" fontId="39" fillId="54" borderId="70" xfId="0" applyNumberFormat="1" applyFont="1" applyFill="1" applyBorder="1" applyAlignment="1">
      <alignment horizontal="center" vertical="top"/>
    </xf>
    <xf numFmtId="3" fontId="39" fillId="0" borderId="0" xfId="0" applyNumberFormat="1" applyFont="1" applyFill="1" applyAlignment="1">
      <alignment vertical="top"/>
    </xf>
    <xf numFmtId="3" fontId="39" fillId="54" borderId="70" xfId="0" applyNumberFormat="1" applyFont="1" applyFill="1" applyBorder="1" applyAlignment="1">
      <alignment vertical="top"/>
    </xf>
    <xf numFmtId="3" fontId="39" fillId="0" borderId="0" xfId="0" applyNumberFormat="1" applyFont="1" applyFill="1" applyAlignment="1">
      <alignment horizontal="center" vertical="top"/>
    </xf>
    <xf numFmtId="0" fontId="36" fillId="0" borderId="70" xfId="0" applyFont="1" applyBorder="1" applyAlignment="1">
      <alignment vertical="top"/>
    </xf>
    <xf numFmtId="172" fontId="66" fillId="0" borderId="70" xfId="0" applyNumberFormat="1" applyFont="1" applyFill="1" applyBorder="1" applyAlignment="1">
      <alignment vertical="top"/>
    </xf>
    <xf numFmtId="172" fontId="130" fillId="52" borderId="70" xfId="0" applyNumberFormat="1" applyFont="1" applyFill="1" applyBorder="1" applyAlignment="1">
      <alignment vertical="top"/>
    </xf>
    <xf numFmtId="172" fontId="12" fillId="52" borderId="70" xfId="0" applyNumberFormat="1" applyFont="1" applyFill="1" applyBorder="1" applyAlignment="1">
      <alignment vertical="top"/>
    </xf>
    <xf numFmtId="172" fontId="12" fillId="0" borderId="70" xfId="0" applyNumberFormat="1" applyFont="1" applyFill="1" applyBorder="1" applyAlignment="1">
      <alignment vertical="top"/>
    </xf>
    <xf numFmtId="172" fontId="13" fillId="0" borderId="70" xfId="0" applyNumberFormat="1" applyFont="1" applyFill="1" applyBorder="1" applyAlignment="1">
      <alignment vertical="top"/>
    </xf>
    <xf numFmtId="172" fontId="130" fillId="0" borderId="70" xfId="0" applyNumberFormat="1" applyFont="1" applyFill="1" applyBorder="1" applyAlignment="1">
      <alignment vertical="top"/>
    </xf>
    <xf numFmtId="184" fontId="130" fillId="52" borderId="70" xfId="0" applyNumberFormat="1" applyFont="1" applyFill="1" applyBorder="1" applyAlignment="1">
      <alignment vertical="top"/>
    </xf>
    <xf numFmtId="184" fontId="12" fillId="0" borderId="70" xfId="0" applyNumberFormat="1" applyFont="1" applyFill="1" applyBorder="1" applyAlignment="1">
      <alignment vertical="top"/>
    </xf>
    <xf numFmtId="184" fontId="8" fillId="0" borderId="70" xfId="0" applyNumberFormat="1" applyFont="1" applyFill="1" applyBorder="1" applyAlignment="1">
      <alignment vertical="top"/>
    </xf>
    <xf numFmtId="172" fontId="8" fillId="52" borderId="70" xfId="0" applyNumberFormat="1" applyFont="1" applyFill="1" applyBorder="1" applyAlignment="1">
      <alignment vertical="top"/>
    </xf>
    <xf numFmtId="190" fontId="8" fillId="52" borderId="70" xfId="0" applyNumberFormat="1" applyFont="1" applyFill="1" applyBorder="1" applyAlignment="1">
      <alignment vertical="top"/>
    </xf>
    <xf numFmtId="173" fontId="8" fillId="52" borderId="70" xfId="0" applyNumberFormat="1" applyFont="1" applyFill="1" applyBorder="1" applyAlignment="1">
      <alignment vertical="top"/>
    </xf>
    <xf numFmtId="172" fontId="8" fillId="0" borderId="70" xfId="0" applyNumberFormat="1" applyFont="1" applyFill="1" applyBorder="1" applyAlignment="1">
      <alignment vertical="top"/>
    </xf>
    <xf numFmtId="172" fontId="57" fillId="0" borderId="70" xfId="0" applyNumberFormat="1" applyFont="1" applyFill="1" applyBorder="1" applyAlignment="1">
      <alignment vertical="top"/>
    </xf>
    <xf numFmtId="184" fontId="208" fillId="0" borderId="0" xfId="0" applyNumberFormat="1" applyFont="1" applyFill="1" applyAlignment="1">
      <alignment vertical="top"/>
    </xf>
    <xf numFmtId="173" fontId="66" fillId="0" borderId="70" xfId="0" applyNumberFormat="1" applyFont="1" applyFill="1" applyBorder="1" applyAlignment="1">
      <alignment vertical="top"/>
    </xf>
    <xf numFmtId="173" fontId="130" fillId="52" borderId="70" xfId="0" applyNumberFormat="1" applyFont="1" applyFill="1" applyBorder="1" applyAlignment="1">
      <alignment vertical="top"/>
    </xf>
    <xf numFmtId="179" fontId="13" fillId="0" borderId="70" xfId="0" applyNumberFormat="1" applyFont="1" applyFill="1" applyBorder="1" applyAlignment="1">
      <alignment vertical="top"/>
    </xf>
    <xf numFmtId="184" fontId="66" fillId="0" borderId="70" xfId="0" applyNumberFormat="1" applyFont="1" applyFill="1" applyBorder="1" applyAlignment="1">
      <alignment vertical="top"/>
    </xf>
    <xf numFmtId="184" fontId="12" fillId="0" borderId="0" xfId="0" applyNumberFormat="1" applyFont="1" applyFill="1" applyAlignment="1">
      <alignment vertical="top"/>
    </xf>
    <xf numFmtId="187" fontId="13" fillId="0" borderId="70" xfId="0" applyNumberFormat="1" applyFont="1" applyFill="1" applyBorder="1" applyAlignment="1">
      <alignment vertical="top"/>
    </xf>
    <xf numFmtId="184" fontId="8" fillId="3" borderId="70" xfId="0" applyNumberFormat="1" applyFont="1" applyFill="1" applyBorder="1" applyAlignment="1">
      <alignment vertical="top"/>
    </xf>
    <xf numFmtId="190" fontId="130" fillId="52" borderId="70" xfId="0" applyNumberFormat="1" applyFont="1" applyFill="1" applyBorder="1" applyAlignment="1">
      <alignment vertical="top"/>
    </xf>
    <xf numFmtId="172" fontId="8" fillId="3" borderId="70" xfId="0" applyNumberFormat="1" applyFont="1" applyFill="1" applyBorder="1" applyAlignment="1">
      <alignment vertical="top"/>
    </xf>
    <xf numFmtId="184" fontId="110" fillId="0" borderId="70" xfId="0" applyNumberFormat="1" applyFont="1" applyFill="1" applyBorder="1" applyAlignment="1">
      <alignment vertical="top"/>
    </xf>
    <xf numFmtId="0" fontId="69" fillId="4" borderId="70" xfId="0" applyFont="1" applyFill="1" applyBorder="1" applyAlignment="1">
      <alignment vertical="top"/>
    </xf>
    <xf numFmtId="172" fontId="131" fillId="54" borderId="75" xfId="0" applyNumberFormat="1" applyFont="1" applyFill="1" applyBorder="1" applyAlignment="1">
      <alignment horizontal="right" vertical="top"/>
    </xf>
    <xf numFmtId="184" fontId="131" fillId="54" borderId="75" xfId="0" applyNumberFormat="1" applyFont="1" applyFill="1" applyBorder="1" applyAlignment="1">
      <alignment horizontal="right" vertical="top"/>
    </xf>
    <xf numFmtId="173" fontId="131" fillId="54" borderId="75" xfId="0" applyNumberFormat="1" applyFont="1" applyFill="1" applyBorder="1" applyAlignment="1">
      <alignment horizontal="right" vertical="top"/>
    </xf>
    <xf numFmtId="184" fontId="91" fillId="0" borderId="0" xfId="0" applyNumberFormat="1" applyFont="1" applyFill="1" applyAlignment="1">
      <alignment vertical="top"/>
    </xf>
    <xf numFmtId="179" fontId="8" fillId="54" borderId="75" xfId="0" applyNumberFormat="1" applyFont="1" applyFill="1" applyBorder="1" applyAlignment="1">
      <alignment horizontal="right" vertical="top"/>
    </xf>
    <xf numFmtId="187" fontId="110" fillId="54" borderId="75" xfId="0" applyNumberFormat="1" applyFont="1" applyFill="1" applyBorder="1" applyAlignment="1">
      <alignment horizontal="right" vertical="top"/>
    </xf>
    <xf numFmtId="172" fontId="131" fillId="0" borderId="70" xfId="0" applyNumberFormat="1" applyFont="1" applyFill="1" applyBorder="1" applyAlignment="1">
      <alignment horizontal="right" vertical="top"/>
    </xf>
    <xf numFmtId="184" fontId="131" fillId="0" borderId="70" xfId="0" applyNumberFormat="1" applyFont="1" applyFill="1" applyBorder="1" applyAlignment="1">
      <alignment horizontal="right" vertical="top"/>
    </xf>
    <xf numFmtId="184" fontId="94" fillId="0" borderId="70" xfId="0" applyNumberFormat="1" applyFont="1" applyBorder="1" applyAlignment="1">
      <alignment vertical="top"/>
    </xf>
    <xf numFmtId="173" fontId="131" fillId="0" borderId="70" xfId="0" applyNumberFormat="1" applyFont="1" applyFill="1" applyBorder="1" applyAlignment="1">
      <alignment horizontal="right" vertical="top"/>
    </xf>
    <xf numFmtId="179" fontId="8" fillId="0" borderId="70" xfId="0" applyNumberFormat="1" applyFont="1" applyFill="1" applyBorder="1" applyAlignment="1">
      <alignment horizontal="right" vertical="top"/>
    </xf>
    <xf numFmtId="184" fontId="130" fillId="0" borderId="0" xfId="0" applyNumberFormat="1" applyFont="1" applyFill="1" applyAlignment="1">
      <alignment vertical="top"/>
    </xf>
    <xf numFmtId="4" fontId="130" fillId="0" borderId="0" xfId="0" applyNumberFormat="1" applyFont="1" applyFill="1" applyAlignment="1">
      <alignment vertical="top"/>
    </xf>
    <xf numFmtId="3" fontId="208" fillId="0" borderId="0" xfId="0" applyNumberFormat="1" applyFont="1" applyFill="1" applyAlignment="1">
      <alignment vertical="top"/>
    </xf>
    <xf numFmtId="3" fontId="130" fillId="0" borderId="0" xfId="0" applyNumberFormat="1" applyFont="1" applyFill="1" applyAlignment="1">
      <alignment vertical="top"/>
    </xf>
    <xf numFmtId="3" fontId="208" fillId="0" borderId="70" xfId="0" applyNumberFormat="1" applyFont="1" applyFill="1" applyBorder="1" applyAlignment="1">
      <alignment vertical="top"/>
    </xf>
    <xf numFmtId="4" fontId="13" fillId="0" borderId="70" xfId="0" applyNumberFormat="1" applyFont="1" applyFill="1" applyBorder="1" applyAlignment="1">
      <alignment vertical="top"/>
    </xf>
    <xf numFmtId="3" fontId="211" fillId="0" borderId="0" xfId="0" applyNumberFormat="1" applyFont="1" applyFill="1" applyAlignment="1">
      <alignment vertical="top"/>
    </xf>
    <xf numFmtId="4" fontId="211" fillId="0" borderId="0" xfId="0" applyNumberFormat="1" applyFont="1" applyFill="1" applyAlignment="1">
      <alignment vertical="top"/>
    </xf>
    <xf numFmtId="191" fontId="208" fillId="0" borderId="0" xfId="0" applyNumberFormat="1" applyFont="1" applyFill="1" applyAlignment="1">
      <alignment vertical="top"/>
    </xf>
    <xf numFmtId="169" fontId="13" fillId="0" borderId="70" xfId="0" applyNumberFormat="1" applyFont="1" applyFill="1" applyBorder="1" applyAlignment="1">
      <alignment vertical="top"/>
    </xf>
    <xf numFmtId="0" fontId="208" fillId="0" borderId="0" xfId="0" applyFont="1" applyAlignment="1">
      <alignment vertical="top"/>
    </xf>
    <xf numFmtId="0" fontId="211" fillId="0" borderId="0" xfId="0" applyFont="1" applyAlignment="1">
      <alignment vertical="top"/>
    </xf>
    <xf numFmtId="0" fontId="207" fillId="0" borderId="0" xfId="0" applyFont="1" applyAlignment="1">
      <alignment vertical="top"/>
    </xf>
    <xf numFmtId="0" fontId="207" fillId="0" borderId="0" xfId="0" applyFont="1" applyFill="1" applyAlignment="1">
      <alignment vertical="top"/>
    </xf>
    <xf numFmtId="169" fontId="92" fillId="52" borderId="70" xfId="0" applyNumberFormat="1" applyFont="1" applyFill="1" applyBorder="1" applyAlignment="1">
      <alignment horizontal="right" vertical="center"/>
    </xf>
    <xf numFmtId="172" fontId="143" fillId="0" borderId="0" xfId="0" applyNumberFormat="1" applyFont="1" applyAlignment="1">
      <alignment vertical="top"/>
    </xf>
    <xf numFmtId="2" fontId="88" fillId="0" borderId="4" xfId="0" applyNumberFormat="1" applyFont="1" applyFill="1" applyBorder="1" applyAlignment="1">
      <alignment horizontal="center" vertical="top" wrapText="1"/>
    </xf>
    <xf numFmtId="2" fontId="101" fillId="0" borderId="74" xfId="0" applyNumberFormat="1" applyFont="1" applyFill="1" applyBorder="1" applyAlignment="1">
      <alignment horizontal="center" vertical="top" wrapText="1"/>
    </xf>
    <xf numFmtId="169" fontId="210" fillId="54" borderId="70" xfId="0" applyNumberFormat="1" applyFont="1" applyFill="1" applyBorder="1" applyAlignment="1">
      <alignment vertical="top"/>
    </xf>
    <xf numFmtId="184" fontId="8" fillId="52" borderId="70" xfId="0" applyNumberFormat="1" applyFont="1" applyFill="1" applyBorder="1" applyAlignment="1">
      <alignment vertical="top"/>
    </xf>
    <xf numFmtId="173" fontId="8" fillId="0" borderId="70" xfId="0" applyNumberFormat="1" applyFont="1" applyFill="1" applyBorder="1" applyAlignment="1">
      <alignment vertical="top"/>
    </xf>
    <xf numFmtId="184" fontId="8" fillId="0" borderId="0" xfId="0" applyNumberFormat="1" applyFont="1" applyFill="1" applyAlignment="1">
      <alignment vertical="top"/>
    </xf>
    <xf numFmtId="0" fontId="39" fillId="0" borderId="0" xfId="0" applyFont="1" applyFill="1" applyAlignment="1">
      <alignment vertical="top"/>
    </xf>
    <xf numFmtId="190" fontId="131" fillId="54" borderId="75" xfId="0" applyNumberFormat="1" applyFont="1" applyFill="1" applyBorder="1" applyAlignment="1">
      <alignment horizontal="right" vertical="top"/>
    </xf>
    <xf numFmtId="169" fontId="208" fillId="0" borderId="0" xfId="0" applyNumberFormat="1" applyFont="1" applyFill="1" applyAlignment="1">
      <alignment vertical="top"/>
    </xf>
    <xf numFmtId="184" fontId="208" fillId="0" borderId="0" xfId="0" applyNumberFormat="1" applyFont="1" applyAlignment="1">
      <alignment vertical="top"/>
    </xf>
    <xf numFmtId="0" fontId="9" fillId="0" borderId="0" xfId="583" applyFont="1" applyFill="1" applyAlignment="1">
      <alignment horizontal="center" vertical="center" wrapText="1"/>
    </xf>
    <xf numFmtId="4" fontId="10" fillId="33" borderId="70" xfId="583" applyNumberFormat="1" applyFont="1" applyFill="1" applyBorder="1" applyAlignment="1">
      <alignment horizontal="center" vertical="center" wrapText="1"/>
    </xf>
    <xf numFmtId="4" fontId="10" fillId="31" borderId="70" xfId="583" applyNumberFormat="1" applyFont="1" applyFill="1" applyBorder="1" applyAlignment="1">
      <alignment horizontal="center" vertical="center" wrapText="1"/>
    </xf>
    <xf numFmtId="0" fontId="13" fillId="33" borderId="70" xfId="583" applyFont="1" applyFill="1" applyBorder="1" applyAlignment="1">
      <alignment vertical="center" wrapText="1"/>
    </xf>
    <xf numFmtId="3" fontId="57" fillId="33" borderId="70" xfId="583" applyNumberFormat="1" applyFont="1" applyFill="1" applyBorder="1" applyAlignment="1">
      <alignment horizontal="center" vertical="center" wrapText="1"/>
    </xf>
    <xf numFmtId="3" fontId="57" fillId="31" borderId="70" xfId="583" applyNumberFormat="1" applyFont="1" applyFill="1" applyBorder="1" applyAlignment="1">
      <alignment horizontal="center" vertical="center" wrapText="1"/>
    </xf>
    <xf numFmtId="0" fontId="10" fillId="33" borderId="70" xfId="583" applyFont="1" applyFill="1" applyBorder="1" applyAlignment="1">
      <alignment horizontal="center" vertical="center" wrapText="1"/>
    </xf>
    <xf numFmtId="0" fontId="10" fillId="31" borderId="70" xfId="583" applyFont="1" applyFill="1" applyBorder="1" applyAlignment="1">
      <alignment horizontal="center" vertical="center" wrapText="1"/>
    </xf>
    <xf numFmtId="0" fontId="110" fillId="33" borderId="70" xfId="583" applyFont="1" applyFill="1" applyBorder="1" applyAlignment="1">
      <alignment vertical="center" wrapText="1"/>
    </xf>
    <xf numFmtId="0" fontId="57" fillId="33" borderId="70" xfId="583" applyFont="1" applyFill="1" applyBorder="1" applyAlignment="1">
      <alignment horizontal="center" vertical="center" wrapText="1"/>
    </xf>
    <xf numFmtId="0" fontId="57" fillId="31" borderId="70" xfId="583" applyFont="1" applyFill="1" applyBorder="1" applyAlignment="1">
      <alignment horizontal="center" vertical="center" wrapText="1"/>
    </xf>
    <xf numFmtId="0" fontId="56" fillId="35" borderId="70" xfId="583" applyFont="1" applyFill="1" applyBorder="1" applyAlignment="1">
      <alignment vertical="center" wrapText="1"/>
    </xf>
    <xf numFmtId="3" fontId="66" fillId="0" borderId="70" xfId="583" applyNumberFormat="1" applyFont="1" applyFill="1" applyBorder="1" applyAlignment="1">
      <alignment horizontal="center" vertical="center" wrapText="1"/>
    </xf>
    <xf numFmtId="0" fontId="100" fillId="0" borderId="0" xfId="583" applyFont="1" applyFill="1" applyAlignment="1">
      <alignment horizontal="center" vertical="center" wrapText="1"/>
    </xf>
    <xf numFmtId="3" fontId="56" fillId="0" borderId="70" xfId="583" applyNumberFormat="1" applyFont="1" applyFill="1" applyBorder="1" applyAlignment="1">
      <alignment horizontal="center" vertical="center" wrapText="1"/>
    </xf>
    <xf numFmtId="0" fontId="66" fillId="0" borderId="70" xfId="583" applyFont="1" applyFill="1" applyBorder="1" applyAlignment="1">
      <alignment horizontal="center" vertical="center" wrapText="1"/>
    </xf>
    <xf numFmtId="0" fontId="56" fillId="3" borderId="70" xfId="583" applyFont="1" applyFill="1" applyBorder="1" applyAlignment="1">
      <alignment horizontal="center" vertical="center" wrapText="1"/>
    </xf>
    <xf numFmtId="3" fontId="66" fillId="3" borderId="70" xfId="583" applyNumberFormat="1" applyFont="1" applyFill="1" applyBorder="1" applyAlignment="1">
      <alignment horizontal="center" vertical="center" wrapText="1"/>
    </xf>
    <xf numFmtId="180" fontId="10" fillId="33" borderId="70" xfId="583" applyNumberFormat="1" applyFont="1" applyFill="1" applyBorder="1" applyAlignment="1">
      <alignment horizontal="center" vertical="center" wrapText="1"/>
    </xf>
    <xf numFmtId="0" fontId="10" fillId="0" borderId="0" xfId="583" applyFont="1" applyFill="1" applyAlignment="1">
      <alignment horizontal="center" vertical="center" wrapText="1"/>
    </xf>
    <xf numFmtId="4" fontId="66" fillId="0" borderId="70" xfId="583" applyNumberFormat="1" applyFont="1" applyFill="1" applyBorder="1" applyAlignment="1">
      <alignment horizontal="center" vertical="center" wrapText="1"/>
    </xf>
    <xf numFmtId="0" fontId="99" fillId="0" borderId="0" xfId="583" applyFont="1" applyFill="1" applyAlignment="1">
      <alignment horizontal="center" vertical="center" wrapText="1"/>
    </xf>
    <xf numFmtId="4" fontId="56" fillId="0" borderId="70" xfId="583" applyNumberFormat="1" applyFont="1" applyFill="1" applyBorder="1" applyAlignment="1">
      <alignment horizontal="center" vertical="center" wrapText="1"/>
    </xf>
    <xf numFmtId="0" fontId="56" fillId="3" borderId="70" xfId="583" applyFont="1" applyFill="1" applyBorder="1" applyAlignment="1">
      <alignment horizontal="right" vertical="center" wrapText="1"/>
    </xf>
    <xf numFmtId="4" fontId="9" fillId="33" borderId="70" xfId="583" applyNumberFormat="1" applyFont="1" applyFill="1" applyBorder="1" applyAlignment="1">
      <alignment horizontal="center" vertical="center" wrapText="1"/>
    </xf>
    <xf numFmtId="4" fontId="9" fillId="31" borderId="70" xfId="583" applyNumberFormat="1" applyFont="1" applyFill="1" applyBorder="1" applyAlignment="1">
      <alignment horizontal="center" vertical="center" wrapText="1"/>
    </xf>
    <xf numFmtId="4" fontId="9" fillId="33" borderId="75" xfId="583" applyNumberFormat="1" applyFont="1" applyFill="1" applyBorder="1" applyAlignment="1">
      <alignment horizontal="center" vertical="top" wrapText="1"/>
    </xf>
    <xf numFmtId="4" fontId="11" fillId="33" borderId="70" xfId="583" applyNumberFormat="1" applyFont="1" applyFill="1" applyBorder="1" applyAlignment="1">
      <alignment horizontal="center" vertical="center" wrapText="1"/>
    </xf>
    <xf numFmtId="4" fontId="9" fillId="31" borderId="75" xfId="583" applyNumberFormat="1" applyFont="1" applyFill="1" applyBorder="1" applyAlignment="1">
      <alignment horizontal="center" vertical="top" wrapText="1"/>
    </xf>
    <xf numFmtId="0" fontId="11" fillId="0" borderId="70" xfId="583" applyFont="1" applyBorder="1" applyAlignment="1">
      <alignment horizontal="center" vertical="center" wrapText="1"/>
    </xf>
    <xf numFmtId="4" fontId="118" fillId="33" borderId="70" xfId="583" applyNumberFormat="1" applyFont="1" applyFill="1" applyBorder="1" applyAlignment="1">
      <alignment horizontal="center" vertical="center" wrapText="1"/>
    </xf>
    <xf numFmtId="4" fontId="118" fillId="31" borderId="70" xfId="583" applyNumberFormat="1" applyFont="1" applyFill="1" applyBorder="1" applyAlignment="1">
      <alignment horizontal="center" vertical="center" wrapText="1"/>
    </xf>
    <xf numFmtId="4" fontId="9" fillId="33" borderId="4" xfId="583" applyNumberFormat="1" applyFont="1" applyFill="1" applyBorder="1" applyAlignment="1">
      <alignment horizontal="center" vertical="top" wrapText="1"/>
    </xf>
    <xf numFmtId="4" fontId="10" fillId="55" borderId="70" xfId="583" applyNumberFormat="1" applyFont="1" applyFill="1" applyBorder="1" applyAlignment="1">
      <alignment horizontal="center" vertical="top" wrapText="1"/>
    </xf>
    <xf numFmtId="4" fontId="9" fillId="31" borderId="4" xfId="583" applyNumberFormat="1" applyFont="1" applyFill="1" applyBorder="1" applyAlignment="1">
      <alignment horizontal="center" vertical="top" wrapText="1"/>
    </xf>
    <xf numFmtId="4" fontId="58" fillId="0" borderId="4" xfId="583" applyNumberFormat="1" applyFont="1" applyFill="1" applyBorder="1" applyAlignment="1">
      <alignment horizontal="center" vertical="top" wrapText="1"/>
    </xf>
    <xf numFmtId="0" fontId="11" fillId="0" borderId="0" xfId="583" applyFont="1" applyAlignment="1">
      <alignment horizontal="center" vertical="center" wrapText="1"/>
    </xf>
    <xf numFmtId="173" fontId="12" fillId="0" borderId="70" xfId="0" applyNumberFormat="1" applyFont="1" applyFill="1" applyBorder="1" applyAlignment="1">
      <alignment vertical="top"/>
    </xf>
    <xf numFmtId="190" fontId="8" fillId="0" borderId="70" xfId="0" applyNumberFormat="1" applyFont="1" applyFill="1" applyBorder="1" applyAlignment="1">
      <alignment vertical="top"/>
    </xf>
    <xf numFmtId="4" fontId="10" fillId="0" borderId="0" xfId="583" applyNumberFormat="1" applyFont="1" applyAlignment="1">
      <alignment horizontal="center" vertical="center" wrapText="1"/>
    </xf>
    <xf numFmtId="190" fontId="12" fillId="0" borderId="70" xfId="0" applyNumberFormat="1" applyFont="1" applyFill="1" applyBorder="1" applyAlignment="1">
      <alignment vertical="top"/>
    </xf>
    <xf numFmtId="190" fontId="57" fillId="0" borderId="70" xfId="0" applyNumberFormat="1" applyFont="1" applyFill="1" applyBorder="1" applyAlignment="1">
      <alignment vertical="top"/>
    </xf>
    <xf numFmtId="190" fontId="158" fillId="0" borderId="70" xfId="0" applyNumberFormat="1" applyFont="1" applyFill="1" applyBorder="1" applyAlignment="1">
      <alignment vertical="top"/>
    </xf>
    <xf numFmtId="190" fontId="13" fillId="0" borderId="70" xfId="0" applyNumberFormat="1" applyFont="1" applyFill="1" applyBorder="1" applyAlignment="1">
      <alignment vertical="top"/>
    </xf>
    <xf numFmtId="173" fontId="58" fillId="0" borderId="70" xfId="0" applyNumberFormat="1" applyFont="1" applyFill="1" applyBorder="1" applyAlignment="1">
      <alignment vertical="top"/>
    </xf>
    <xf numFmtId="0" fontId="69" fillId="54" borderId="70" xfId="0" applyFont="1" applyFill="1" applyBorder="1" applyAlignment="1">
      <alignment vertical="top"/>
    </xf>
    <xf numFmtId="173" fontId="131" fillId="54" borderId="70" xfId="0" applyNumberFormat="1" applyFont="1" applyFill="1" applyBorder="1" applyAlignment="1">
      <alignment horizontal="right" vertical="top"/>
    </xf>
    <xf numFmtId="184" fontId="131" fillId="54" borderId="70" xfId="0" applyNumberFormat="1" applyFont="1" applyFill="1" applyBorder="1" applyAlignment="1">
      <alignment horizontal="right" vertical="top"/>
    </xf>
    <xf numFmtId="190" fontId="12" fillId="54" borderId="70" xfId="0" applyNumberFormat="1" applyFont="1" applyFill="1" applyBorder="1" applyAlignment="1">
      <alignment horizontal="right" vertical="top"/>
    </xf>
    <xf numFmtId="190" fontId="131" fillId="54" borderId="70" xfId="0" applyNumberFormat="1" applyFont="1" applyFill="1" applyBorder="1" applyAlignment="1">
      <alignment horizontal="right" vertical="top"/>
    </xf>
    <xf numFmtId="172" fontId="131" fillId="54" borderId="70" xfId="0" applyNumberFormat="1" applyFont="1" applyFill="1" applyBorder="1" applyAlignment="1">
      <alignment horizontal="right" vertical="top"/>
    </xf>
    <xf numFmtId="190" fontId="131" fillId="0" borderId="70" xfId="0" applyNumberFormat="1" applyFont="1" applyFill="1" applyBorder="1" applyAlignment="1">
      <alignment horizontal="right" vertical="top"/>
    </xf>
    <xf numFmtId="0" fontId="9" fillId="0" borderId="0" xfId="583" applyFont="1" applyAlignment="1">
      <alignment horizontal="center" vertical="center" wrapText="1"/>
    </xf>
    <xf numFmtId="0" fontId="9" fillId="0" borderId="70" xfId="583" applyFont="1" applyBorder="1" applyAlignment="1">
      <alignment horizontal="center" vertical="center" wrapText="1"/>
    </xf>
    <xf numFmtId="169" fontId="10" fillId="0" borderId="70" xfId="583" applyNumberFormat="1" applyFont="1" applyBorder="1" applyAlignment="1">
      <alignment horizontal="center" vertical="center" wrapText="1"/>
    </xf>
    <xf numFmtId="169" fontId="10" fillId="0" borderId="0" xfId="583" applyNumberFormat="1" applyFont="1" applyBorder="1" applyAlignment="1">
      <alignment horizontal="center" vertical="center" wrapText="1"/>
    </xf>
    <xf numFmtId="184" fontId="12" fillId="0" borderId="70" xfId="583" applyNumberFormat="1" applyFont="1" applyBorder="1" applyAlignment="1">
      <alignment horizontal="center" vertical="center" wrapText="1"/>
    </xf>
    <xf numFmtId="190" fontId="10" fillId="0" borderId="0" xfId="583" applyNumberFormat="1" applyFont="1" applyAlignment="1">
      <alignment horizontal="center" vertical="center" wrapText="1"/>
    </xf>
    <xf numFmtId="184" fontId="12" fillId="0" borderId="0" xfId="583" applyNumberFormat="1" applyFont="1" applyBorder="1" applyAlignment="1">
      <alignment horizontal="center" vertical="center" wrapText="1"/>
    </xf>
    <xf numFmtId="184" fontId="10" fillId="0" borderId="0" xfId="583" applyNumberFormat="1" applyFont="1" applyAlignment="1">
      <alignment horizontal="center" vertical="center" wrapText="1"/>
    </xf>
    <xf numFmtId="0" fontId="9" fillId="33" borderId="70" xfId="583" applyFont="1" applyFill="1" applyBorder="1" applyAlignment="1">
      <alignment horizontal="center" vertical="center" wrapText="1"/>
    </xf>
    <xf numFmtId="3" fontId="103" fillId="30" borderId="70" xfId="0" applyNumberFormat="1" applyFont="1" applyFill="1" applyBorder="1"/>
    <xf numFmtId="3" fontId="89" fillId="30" borderId="70" xfId="0" quotePrefix="1" applyNumberFormat="1" applyFont="1" applyFill="1" applyBorder="1"/>
    <xf numFmtId="0" fontId="9" fillId="31" borderId="70" xfId="583" applyFont="1" applyFill="1" applyBorder="1" applyAlignment="1">
      <alignment horizontal="center" vertical="center" wrapText="1"/>
    </xf>
    <xf numFmtId="174" fontId="212" fillId="30" borderId="5" xfId="0" applyNumberFormat="1" applyFont="1" applyFill="1" applyBorder="1"/>
    <xf numFmtId="174" fontId="212" fillId="30" borderId="70" xfId="0" applyNumberFormat="1" applyFont="1" applyFill="1" applyBorder="1"/>
    <xf numFmtId="0" fontId="36" fillId="0" borderId="0" xfId="0" applyFont="1" applyFill="1" applyAlignment="1">
      <alignment vertical="top"/>
    </xf>
    <xf numFmtId="0" fontId="36" fillId="0" borderId="5" xfId="0" applyFont="1" applyFill="1" applyBorder="1" applyAlignment="1">
      <alignment vertical="top"/>
    </xf>
    <xf numFmtId="0" fontId="36" fillId="0" borderId="26" xfId="0" applyFont="1" applyFill="1" applyBorder="1" applyAlignment="1">
      <alignment vertical="top"/>
    </xf>
    <xf numFmtId="172" fontId="36" fillId="0" borderId="5" xfId="0" applyNumberFormat="1" applyFont="1" applyFill="1" applyBorder="1" applyAlignment="1">
      <alignment vertical="top"/>
    </xf>
    <xf numFmtId="172" fontId="36" fillId="0" borderId="26" xfId="0" applyNumberFormat="1" applyFont="1" applyFill="1" applyBorder="1" applyAlignment="1">
      <alignment vertical="top"/>
    </xf>
    <xf numFmtId="172" fontId="10" fillId="0" borderId="0" xfId="583" applyNumberFormat="1" applyFont="1" applyFill="1" applyAlignment="1">
      <alignment horizontal="center" vertical="center" wrapText="1"/>
    </xf>
    <xf numFmtId="172" fontId="66" fillId="3" borderId="70" xfId="583" applyNumberFormat="1" applyFont="1" applyFill="1" applyBorder="1" applyAlignment="1">
      <alignment horizontal="center" vertical="center" wrapText="1"/>
    </xf>
    <xf numFmtId="172" fontId="100" fillId="0" borderId="0" xfId="583" applyNumberFormat="1" applyFont="1" applyFill="1" applyAlignment="1">
      <alignment horizontal="center" vertical="center" wrapText="1"/>
    </xf>
    <xf numFmtId="4" fontId="91" fillId="30" borderId="5" xfId="0" applyNumberFormat="1" applyFont="1" applyFill="1" applyBorder="1"/>
    <xf numFmtId="4" fontId="91" fillId="30" borderId="70" xfId="0" applyNumberFormat="1" applyFont="1" applyFill="1" applyBorder="1"/>
    <xf numFmtId="4" fontId="102" fillId="30" borderId="5" xfId="0" applyNumberFormat="1" applyFont="1" applyFill="1" applyBorder="1"/>
    <xf numFmtId="4" fontId="102" fillId="30" borderId="70" xfId="0" applyNumberFormat="1" applyFont="1" applyFill="1" applyBorder="1"/>
    <xf numFmtId="0" fontId="10" fillId="0" borderId="75" xfId="0" applyFont="1" applyFill="1" applyBorder="1" applyAlignment="1">
      <alignment horizontal="center" vertical="top" wrapText="1"/>
    </xf>
    <xf numFmtId="0" fontId="10" fillId="0" borderId="75" xfId="0" applyFont="1" applyFill="1" applyBorder="1" applyAlignment="1">
      <alignment horizontal="center" wrapText="1"/>
    </xf>
    <xf numFmtId="3" fontId="13" fillId="0" borderId="70" xfId="0" applyNumberFormat="1" applyFont="1" applyBorder="1" applyAlignment="1">
      <alignment horizontal="center" vertical="top"/>
    </xf>
    <xf numFmtId="3" fontId="10" fillId="0" borderId="70" xfId="0" applyNumberFormat="1" applyFont="1" applyFill="1" applyBorder="1" applyAlignment="1">
      <alignment horizontal="center" vertical="top"/>
    </xf>
    <xf numFmtId="169" fontId="10" fillId="0" borderId="70" xfId="0" applyNumberFormat="1" applyFont="1" applyFill="1" applyBorder="1" applyAlignment="1">
      <alignment horizontal="center" vertical="top"/>
    </xf>
    <xf numFmtId="176" fontId="12" fillId="0" borderId="70" xfId="0" applyNumberFormat="1" applyFont="1" applyFill="1" applyBorder="1" applyAlignment="1">
      <alignment horizontal="center" vertical="top"/>
    </xf>
    <xf numFmtId="176" fontId="57" fillId="0" borderId="70" xfId="0" applyNumberFormat="1" applyFont="1" applyFill="1" applyBorder="1" applyAlignment="1">
      <alignment horizontal="center" vertical="top"/>
    </xf>
    <xf numFmtId="4" fontId="8" fillId="0" borderId="70" xfId="0" applyNumberFormat="1" applyFont="1" applyFill="1" applyBorder="1" applyAlignment="1">
      <alignment vertical="top"/>
    </xf>
    <xf numFmtId="182" fontId="8" fillId="0" borderId="70" xfId="0" applyNumberFormat="1" applyFont="1" applyFill="1" applyBorder="1" applyAlignment="1">
      <alignment vertical="top"/>
    </xf>
    <xf numFmtId="3" fontId="12" fillId="0" borderId="70" xfId="0" applyNumberFormat="1" applyFont="1" applyFill="1" applyBorder="1" applyAlignment="1">
      <alignment vertical="top"/>
    </xf>
    <xf numFmtId="4" fontId="66" fillId="0" borderId="70" xfId="0" applyNumberFormat="1" applyFont="1" applyFill="1" applyBorder="1" applyAlignment="1">
      <alignment vertical="top"/>
    </xf>
    <xf numFmtId="0" fontId="9" fillId="0" borderId="0" xfId="0" applyFont="1" applyFill="1" applyAlignment="1">
      <alignment vertical="top"/>
    </xf>
    <xf numFmtId="182" fontId="57" fillId="0" borderId="70" xfId="0" applyNumberFormat="1" applyFont="1" applyFill="1" applyBorder="1" applyAlignment="1">
      <alignment horizontal="center" vertical="top"/>
    </xf>
    <xf numFmtId="3" fontId="8" fillId="0" borderId="70" xfId="0" applyNumberFormat="1" applyFont="1" applyBorder="1" applyAlignment="1">
      <alignment horizontal="center" vertical="top"/>
    </xf>
    <xf numFmtId="3" fontId="8" fillId="0" borderId="70" xfId="0" applyNumberFormat="1" applyFont="1" applyFill="1" applyBorder="1" applyAlignment="1">
      <alignment horizontal="center" vertical="top"/>
    </xf>
    <xf numFmtId="3" fontId="99" fillId="0" borderId="70" xfId="0" applyNumberFormat="1" applyFont="1" applyBorder="1" applyAlignment="1">
      <alignment horizontal="center" vertical="top"/>
    </xf>
    <xf numFmtId="0" fontId="88" fillId="0" borderId="70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3" fontId="99" fillId="3" borderId="70" xfId="0" applyNumberFormat="1" applyFont="1" applyFill="1" applyBorder="1" applyAlignment="1">
      <alignment horizontal="center" vertical="top"/>
    </xf>
    <xf numFmtId="3" fontId="8" fillId="3" borderId="70" xfId="0" applyNumberFormat="1" applyFont="1" applyFill="1" applyBorder="1" applyAlignment="1">
      <alignment horizontal="center" vertical="top"/>
    </xf>
    <xf numFmtId="3" fontId="99" fillId="0" borderId="70" xfId="0" applyNumberFormat="1" applyFont="1" applyFill="1" applyBorder="1" applyAlignment="1">
      <alignment horizontal="center" vertical="top"/>
    </xf>
    <xf numFmtId="3" fontId="13" fillId="0" borderId="70" xfId="0" applyNumberFormat="1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0" fillId="0" borderId="70" xfId="0" applyBorder="1" applyAlignment="1">
      <alignment horizontal="center" vertical="top"/>
    </xf>
    <xf numFmtId="49" fontId="2" fillId="56" borderId="70" xfId="0" applyNumberFormat="1" applyFont="1" applyFill="1" applyBorder="1" applyAlignment="1">
      <alignment horizontal="center" vertical="top" wrapText="1"/>
    </xf>
    <xf numFmtId="0" fontId="3" fillId="57" borderId="11" xfId="0" applyFont="1" applyFill="1" applyBorder="1" applyAlignment="1">
      <alignment horizontal="center" vertical="top" wrapText="1"/>
    </xf>
    <xf numFmtId="0" fontId="3" fillId="57" borderId="11" xfId="0" applyFont="1" applyFill="1" applyBorder="1" applyAlignment="1">
      <alignment horizontal="center" vertical="top"/>
    </xf>
    <xf numFmtId="49" fontId="3" fillId="57" borderId="70" xfId="0" applyNumberFormat="1" applyFont="1" applyFill="1" applyBorder="1" applyAlignment="1">
      <alignment horizontal="center" vertical="top" wrapText="1"/>
    </xf>
    <xf numFmtId="172" fontId="0" fillId="0" borderId="70" xfId="0" applyNumberFormat="1" applyBorder="1" applyAlignment="1">
      <alignment horizontal="center" vertical="top"/>
    </xf>
    <xf numFmtId="0" fontId="0" fillId="0" borderId="74" xfId="0" applyFill="1" applyBorder="1" applyAlignment="1">
      <alignment vertical="top" wrapText="1"/>
    </xf>
    <xf numFmtId="172" fontId="55" fillId="0" borderId="70" xfId="0" applyNumberFormat="1" applyFont="1" applyBorder="1" applyAlignment="1">
      <alignment vertical="top"/>
    </xf>
    <xf numFmtId="172" fontId="0" fillId="0" borderId="70" xfId="0" applyNumberFormat="1" applyFill="1" applyBorder="1" applyAlignment="1">
      <alignment vertical="top"/>
    </xf>
    <xf numFmtId="0" fontId="0" fillId="0" borderId="74" xfId="0" applyFont="1" applyBorder="1" applyAlignment="1">
      <alignment vertical="top" wrapText="1"/>
    </xf>
    <xf numFmtId="0" fontId="0" fillId="0" borderId="74" xfId="0" applyFont="1" applyFill="1" applyBorder="1" applyAlignment="1">
      <alignment vertical="top" wrapText="1"/>
    </xf>
    <xf numFmtId="172" fontId="0" fillId="0" borderId="70" xfId="0" applyNumberFormat="1" applyFont="1" applyFill="1" applyBorder="1" applyAlignment="1">
      <alignment vertical="top"/>
    </xf>
    <xf numFmtId="172" fontId="126" fillId="0" borderId="70" xfId="0" applyNumberFormat="1" applyFont="1" applyBorder="1" applyAlignment="1">
      <alignment vertical="top"/>
    </xf>
    <xf numFmtId="172" fontId="72" fillId="0" borderId="70" xfId="0" applyNumberFormat="1" applyFont="1" applyFill="1" applyBorder="1" applyAlignment="1">
      <alignment vertical="top"/>
    </xf>
    <xf numFmtId="0" fontId="68" fillId="4" borderId="74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0" fontId="0" fillId="0" borderId="0" xfId="0" applyFont="1" applyAlignment="1">
      <alignment vertical="top" wrapText="1"/>
    </xf>
    <xf numFmtId="0" fontId="55" fillId="0" borderId="74" xfId="0" applyFont="1" applyFill="1" applyBorder="1" applyAlignment="1">
      <alignment vertical="top" wrapText="1"/>
    </xf>
    <xf numFmtId="0" fontId="146" fillId="0" borderId="74" xfId="0" applyFont="1" applyFill="1" applyBorder="1" applyAlignment="1">
      <alignment vertical="top" wrapText="1"/>
    </xf>
    <xf numFmtId="0" fontId="0" fillId="0" borderId="70" xfId="0" applyFill="1" applyBorder="1" applyAlignment="1">
      <alignment vertical="top" wrapText="1"/>
    </xf>
    <xf numFmtId="0" fontId="0" fillId="0" borderId="73" xfId="0" applyFont="1" applyFill="1" applyBorder="1" applyAlignment="1">
      <alignment horizontal="center" vertical="top" wrapText="1"/>
    </xf>
    <xf numFmtId="0" fontId="55" fillId="4" borderId="73" xfId="0" applyFont="1" applyFill="1" applyBorder="1" applyAlignment="1">
      <alignment horizontal="center" vertical="top" wrapText="1"/>
    </xf>
    <xf numFmtId="0" fontId="36" fillId="57" borderId="73" xfId="0" applyFont="1" applyFill="1" applyBorder="1" applyAlignment="1">
      <alignment horizontal="center" vertical="top" wrapText="1"/>
    </xf>
    <xf numFmtId="0" fontId="69" fillId="0" borderId="73" xfId="0" applyFont="1" applyFill="1" applyBorder="1" applyAlignment="1">
      <alignment vertical="top" wrapText="1"/>
    </xf>
    <xf numFmtId="0" fontId="36" fillId="0" borderId="73" xfId="0" applyFont="1" applyBorder="1" applyAlignment="1">
      <alignment vertical="top" wrapText="1"/>
    </xf>
    <xf numFmtId="0" fontId="70" fillId="0" borderId="73" xfId="0" applyFont="1" applyBorder="1" applyAlignment="1">
      <alignment vertical="top" wrapText="1"/>
    </xf>
    <xf numFmtId="0" fontId="70" fillId="0" borderId="73" xfId="0" applyFont="1" applyFill="1" applyBorder="1" applyAlignment="1">
      <alignment vertical="top" wrapText="1"/>
    </xf>
    <xf numFmtId="0" fontId="36" fillId="0" borderId="73" xfId="0" applyFont="1" applyFill="1" applyBorder="1" applyAlignment="1">
      <alignment vertical="top" wrapText="1"/>
    </xf>
    <xf numFmtId="0" fontId="146" fillId="0" borderId="73" xfId="0" applyFont="1" applyFill="1" applyBorder="1" applyAlignment="1">
      <alignment vertical="top" wrapText="1"/>
    </xf>
    <xf numFmtId="0" fontId="214" fillId="0" borderId="73" xfId="0" applyFont="1" applyFill="1" applyBorder="1" applyAlignment="1">
      <alignment vertical="top" wrapText="1"/>
    </xf>
    <xf numFmtId="0" fontId="214" fillId="0" borderId="73" xfId="0" applyFont="1" applyBorder="1" applyAlignment="1">
      <alignment vertical="top" wrapText="1"/>
    </xf>
    <xf numFmtId="0" fontId="146" fillId="0" borderId="73" xfId="0" applyFont="1" applyBorder="1" applyAlignment="1">
      <alignment vertical="top" wrapText="1"/>
    </xf>
    <xf numFmtId="0" fontId="0" fillId="0" borderId="70" xfId="0" applyBorder="1" applyAlignment="1">
      <alignment vertical="top" wrapText="1"/>
    </xf>
    <xf numFmtId="172" fontId="72" fillId="38" borderId="70" xfId="0" applyNumberFormat="1" applyFont="1" applyFill="1" applyBorder="1" applyAlignment="1">
      <alignment vertical="top"/>
    </xf>
    <xf numFmtId="0" fontId="47" fillId="38" borderId="74" xfId="0" applyFont="1" applyFill="1" applyBorder="1" applyAlignment="1">
      <alignment vertical="top" wrapText="1"/>
    </xf>
    <xf numFmtId="172" fontId="216" fillId="38" borderId="70" xfId="0" applyNumberFormat="1" applyFont="1" applyFill="1" applyBorder="1" applyAlignment="1">
      <alignment vertical="top"/>
    </xf>
    <xf numFmtId="0" fontId="68" fillId="38" borderId="74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9" fillId="32" borderId="70" xfId="0" applyFont="1" applyFill="1" applyBorder="1" applyAlignment="1">
      <alignment horizontal="center" vertical="top" wrapText="1"/>
    </xf>
    <xf numFmtId="0" fontId="34" fillId="0" borderId="70" xfId="0" applyFont="1" applyBorder="1" applyAlignment="1">
      <alignment horizontal="center" vertical="top" wrapText="1"/>
    </xf>
    <xf numFmtId="0" fontId="0" fillId="0" borderId="70" xfId="0" applyBorder="1" applyAlignment="1">
      <alignment horizontal="center" vertical="top"/>
    </xf>
    <xf numFmtId="0" fontId="10" fillId="0" borderId="75" xfId="0" applyFont="1" applyFill="1" applyBorder="1" applyAlignment="1">
      <alignment horizontal="center" vertical="top" wrapText="1"/>
    </xf>
    <xf numFmtId="172" fontId="0" fillId="0" borderId="70" xfId="0" applyNumberFormat="1" applyBorder="1" applyAlignment="1">
      <alignment vertical="top" wrapText="1"/>
    </xf>
    <xf numFmtId="3" fontId="57" fillId="0" borderId="70" xfId="0" applyNumberFormat="1" applyFont="1" applyFill="1" applyBorder="1" applyAlignment="1">
      <alignment horizontal="center" vertical="top"/>
    </xf>
    <xf numFmtId="172" fontId="0" fillId="3" borderId="70" xfId="0" applyNumberFormat="1" applyFill="1" applyBorder="1" applyAlignment="1">
      <alignment vertical="top"/>
    </xf>
    <xf numFmtId="172" fontId="123" fillId="0" borderId="70" xfId="0" applyNumberFormat="1" applyFont="1" applyFill="1" applyBorder="1" applyAlignment="1">
      <alignment vertical="top"/>
    </xf>
    <xf numFmtId="0" fontId="36" fillId="0" borderId="70" xfId="0" applyFont="1" applyBorder="1" applyAlignment="1">
      <alignment horizontal="center" vertical="top"/>
    </xf>
    <xf numFmtId="0" fontId="47" fillId="0" borderId="70" xfId="0" applyFont="1" applyBorder="1" applyAlignment="1">
      <alignment vertical="top" wrapText="1"/>
    </xf>
    <xf numFmtId="4" fontId="72" fillId="0" borderId="70" xfId="0" applyNumberFormat="1" applyFont="1" applyBorder="1" applyAlignment="1">
      <alignment vertical="top"/>
    </xf>
    <xf numFmtId="0" fontId="69" fillId="0" borderId="70" xfId="0" applyFont="1" applyBorder="1" applyAlignment="1">
      <alignment vertical="top"/>
    </xf>
    <xf numFmtId="172" fontId="123" fillId="0" borderId="70" xfId="0" applyNumberFormat="1" applyFont="1" applyBorder="1" applyAlignment="1">
      <alignment vertical="top" wrapText="1"/>
    </xf>
    <xf numFmtId="172" fontId="126" fillId="0" borderId="70" xfId="0" applyNumberFormat="1" applyFont="1" applyFill="1" applyBorder="1" applyAlignment="1">
      <alignment vertical="top"/>
    </xf>
    <xf numFmtId="2" fontId="101" fillId="0" borderId="70" xfId="0" applyNumberFormat="1" applyFont="1" applyFill="1" applyBorder="1" applyAlignment="1">
      <alignment horizontal="center" vertical="top" wrapText="1"/>
    </xf>
    <xf numFmtId="2" fontId="101" fillId="0" borderId="74" xfId="0" applyNumberFormat="1" applyFont="1" applyFill="1" applyBorder="1" applyAlignment="1">
      <alignment horizontal="center" vertical="top" wrapText="1"/>
    </xf>
    <xf numFmtId="172" fontId="71" fillId="0" borderId="70" xfId="0" applyNumberFormat="1" applyFont="1" applyBorder="1" applyAlignment="1">
      <alignment vertical="top"/>
    </xf>
    <xf numFmtId="172" fontId="216" fillId="43" borderId="70" xfId="0" applyNumberFormat="1" applyFont="1" applyFill="1" applyBorder="1" applyAlignment="1">
      <alignment vertical="top"/>
    </xf>
    <xf numFmtId="172" fontId="216" fillId="58" borderId="70" xfId="0" applyNumberFormat="1" applyFont="1" applyFill="1" applyBorder="1" applyAlignment="1">
      <alignment vertical="top"/>
    </xf>
    <xf numFmtId="0" fontId="0" fillId="0" borderId="0" xfId="0" applyAlignment="1">
      <alignment horizontal="left" wrapText="1"/>
    </xf>
    <xf numFmtId="0" fontId="0" fillId="0" borderId="70" xfId="0" applyBorder="1" applyAlignment="1">
      <alignment horizontal="left" vertical="top" wrapText="1"/>
    </xf>
    <xf numFmtId="0" fontId="47" fillId="0" borderId="70" xfId="0" applyFont="1" applyBorder="1" applyAlignment="1">
      <alignment horizontal="center" vertical="top" wrapText="1"/>
    </xf>
    <xf numFmtId="0" fontId="47" fillId="3" borderId="70" xfId="0" applyFont="1" applyFill="1" applyBorder="1" applyAlignment="1">
      <alignment vertical="top"/>
    </xf>
    <xf numFmtId="0" fontId="0" fillId="3" borderId="70" xfId="0" applyFill="1" applyBorder="1" applyAlignment="1">
      <alignment vertical="top"/>
    </xf>
    <xf numFmtId="0" fontId="0" fillId="5" borderId="70" xfId="0" applyFill="1" applyBorder="1" applyAlignment="1">
      <alignment horizontal="left" vertical="top" wrapText="1"/>
    </xf>
    <xf numFmtId="0" fontId="0" fillId="5" borderId="70" xfId="0" applyFill="1" applyBorder="1" applyAlignment="1">
      <alignment vertical="top"/>
    </xf>
    <xf numFmtId="189" fontId="47" fillId="3" borderId="70" xfId="0" applyNumberFormat="1" applyFont="1" applyFill="1" applyBorder="1" applyAlignment="1">
      <alignment vertical="top"/>
    </xf>
    <xf numFmtId="0" fontId="0" fillId="0" borderId="70" xfId="0" applyFill="1" applyBorder="1" applyAlignment="1">
      <alignment horizontal="left" vertical="top" wrapText="1"/>
    </xf>
    <xf numFmtId="0" fontId="217" fillId="38" borderId="74" xfId="0" applyFont="1" applyFill="1" applyBorder="1" applyAlignment="1">
      <alignment vertical="top" wrapText="1"/>
    </xf>
    <xf numFmtId="0" fontId="218" fillId="0" borderId="73" xfId="0" applyFont="1" applyFill="1" applyBorder="1" applyAlignment="1">
      <alignment vertical="top" wrapText="1"/>
    </xf>
    <xf numFmtId="172" fontId="206" fillId="0" borderId="70" xfId="0" applyNumberFormat="1" applyFont="1" applyFill="1" applyBorder="1" applyAlignment="1">
      <alignment vertical="top"/>
    </xf>
    <xf numFmtId="172" fontId="219" fillId="38" borderId="70" xfId="0" applyNumberFormat="1" applyFont="1" applyFill="1" applyBorder="1" applyAlignment="1">
      <alignment vertical="top"/>
    </xf>
    <xf numFmtId="172" fontId="220" fillId="38" borderId="70" xfId="0" applyNumberFormat="1" applyFont="1" applyFill="1" applyBorder="1" applyAlignment="1">
      <alignment vertical="top"/>
    </xf>
    <xf numFmtId="184" fontId="47" fillId="3" borderId="70" xfId="0" applyNumberFormat="1" applyFont="1" applyFill="1" applyBorder="1" applyAlignment="1">
      <alignment vertical="top"/>
    </xf>
    <xf numFmtId="0" fontId="0" fillId="59" borderId="70" xfId="0" applyFill="1" applyBorder="1" applyAlignment="1">
      <alignment horizontal="center" vertical="top"/>
    </xf>
    <xf numFmtId="49" fontId="33" fillId="57" borderId="70" xfId="0" applyNumberFormat="1" applyFont="1" applyFill="1" applyBorder="1" applyAlignment="1">
      <alignment horizontal="center" vertical="top" wrapText="1"/>
    </xf>
    <xf numFmtId="1" fontId="72" fillId="59" borderId="70" xfId="0" applyNumberFormat="1" applyFont="1" applyFill="1" applyBorder="1" applyAlignment="1">
      <alignment horizontal="center" vertical="top"/>
    </xf>
    <xf numFmtId="172" fontId="216" fillId="5" borderId="70" xfId="0" applyNumberFormat="1" applyFont="1" applyFill="1" applyBorder="1" applyAlignment="1">
      <alignment vertical="top"/>
    </xf>
    <xf numFmtId="3" fontId="143" fillId="0" borderId="0" xfId="0" applyNumberFormat="1" applyFont="1" applyFill="1" applyAlignment="1">
      <alignment vertical="top"/>
    </xf>
    <xf numFmtId="3" fontId="221" fillId="0" borderId="0" xfId="0" applyNumberFormat="1" applyFont="1" applyFill="1" applyAlignment="1">
      <alignment vertical="top"/>
    </xf>
    <xf numFmtId="0" fontId="222" fillId="0" borderId="0" xfId="0" applyFont="1" applyAlignment="1">
      <alignment horizontal="left" wrapText="1" indent="2"/>
    </xf>
    <xf numFmtId="0" fontId="0" fillId="0" borderId="70" xfId="0" applyBorder="1"/>
    <xf numFmtId="173" fontId="208" fillId="0" borderId="0" xfId="0" applyNumberFormat="1" applyFont="1" applyAlignment="1">
      <alignment vertical="top"/>
    </xf>
    <xf numFmtId="173" fontId="143" fillId="0" borderId="0" xfId="0" applyNumberFormat="1" applyFont="1" applyAlignment="1">
      <alignment vertical="top"/>
    </xf>
    <xf numFmtId="173" fontId="143" fillId="0" borderId="70" xfId="0" applyNumberFormat="1" applyFont="1" applyBorder="1" applyAlignment="1">
      <alignment vertical="top"/>
    </xf>
    <xf numFmtId="173" fontId="143" fillId="0" borderId="70" xfId="0" applyNumberFormat="1" applyFont="1" applyFill="1" applyBorder="1" applyAlignment="1">
      <alignment vertical="top"/>
    </xf>
    <xf numFmtId="173" fontId="143" fillId="0" borderId="0" xfId="0" applyNumberFormat="1" applyFont="1" applyFill="1" applyAlignment="1">
      <alignment vertical="top"/>
    </xf>
    <xf numFmtId="173" fontId="207" fillId="0" borderId="0" xfId="0" applyNumberFormat="1" applyFont="1" applyAlignment="1">
      <alignment vertical="top"/>
    </xf>
    <xf numFmtId="4" fontId="10" fillId="30" borderId="70" xfId="0" applyNumberFormat="1" applyFont="1" applyFill="1" applyBorder="1" applyAlignment="1">
      <alignment vertical="top"/>
    </xf>
    <xf numFmtId="4" fontId="109" fillId="30" borderId="70" xfId="0" applyNumberFormat="1" applyFont="1" applyFill="1" applyBorder="1" applyAlignment="1">
      <alignment horizontal="center" vertical="top"/>
    </xf>
    <xf numFmtId="0" fontId="109" fillId="30" borderId="5" xfId="0" applyFont="1" applyFill="1" applyBorder="1" applyAlignment="1">
      <alignment horizontal="center" vertical="top" wrapText="1"/>
    </xf>
    <xf numFmtId="0" fontId="10" fillId="0" borderId="70" xfId="0" applyFont="1" applyBorder="1" applyAlignment="1">
      <alignment vertical="top"/>
    </xf>
    <xf numFmtId="0" fontId="47" fillId="59" borderId="70" xfId="0" applyFont="1" applyFill="1" applyBorder="1" applyAlignment="1">
      <alignment horizontal="center" vertical="top" wrapText="1"/>
    </xf>
    <xf numFmtId="0" fontId="126" fillId="0" borderId="70" xfId="0" applyFont="1" applyBorder="1" applyAlignment="1">
      <alignment vertical="top" wrapText="1"/>
    </xf>
    <xf numFmtId="0" fontId="126" fillId="0" borderId="70" xfId="0" applyFont="1" applyBorder="1" applyAlignment="1">
      <alignment horizontal="left" vertical="top" wrapText="1"/>
    </xf>
    <xf numFmtId="0" fontId="0" fillId="5" borderId="0" xfId="0" applyFill="1"/>
    <xf numFmtId="0" fontId="0" fillId="0" borderId="0" xfId="0" applyAlignment="1">
      <alignment vertical="top"/>
    </xf>
    <xf numFmtId="0" fontId="33" fillId="33" borderId="85" xfId="0" applyFont="1" applyFill="1" applyBorder="1" applyAlignment="1">
      <alignment vertical="top" wrapText="1"/>
    </xf>
    <xf numFmtId="0" fontId="46" fillId="33" borderId="86" xfId="0" applyFont="1" applyFill="1" applyBorder="1" applyAlignment="1">
      <alignment vertical="top" wrapText="1"/>
    </xf>
    <xf numFmtId="49" fontId="33" fillId="33" borderId="86" xfId="0" applyNumberFormat="1" applyFont="1" applyFill="1" applyBorder="1" applyAlignment="1">
      <alignment vertical="top" wrapText="1"/>
    </xf>
    <xf numFmtId="4" fontId="44" fillId="33" borderId="86" xfId="0" applyNumberFormat="1" applyFont="1" applyFill="1" applyBorder="1" applyAlignment="1">
      <alignment vertical="top" wrapText="1"/>
    </xf>
    <xf numFmtId="4" fontId="46" fillId="33" borderId="86" xfId="0" applyNumberFormat="1" applyFont="1" applyFill="1" applyBorder="1" applyAlignment="1">
      <alignment vertical="top" wrapText="1"/>
    </xf>
    <xf numFmtId="4" fontId="46" fillId="33" borderId="86" xfId="0" applyNumberFormat="1" applyFont="1" applyFill="1" applyBorder="1" applyAlignment="1">
      <alignment horizontal="center" vertical="top" wrapText="1"/>
    </xf>
    <xf numFmtId="4" fontId="44" fillId="0" borderId="4" xfId="0" applyNumberFormat="1" applyFont="1" applyBorder="1" applyAlignment="1">
      <alignment vertical="top" wrapText="1"/>
    </xf>
    <xf numFmtId="0" fontId="0" fillId="0" borderId="0" xfId="0" applyAlignment="1">
      <alignment vertical="top"/>
    </xf>
    <xf numFmtId="0" fontId="33" fillId="33" borderId="2" xfId="0" applyFont="1" applyFill="1" applyBorder="1" applyAlignment="1">
      <alignment vertical="top" wrapText="1"/>
    </xf>
    <xf numFmtId="0" fontId="33" fillId="33" borderId="3" xfId="0" applyFont="1" applyFill="1" applyBorder="1" applyAlignment="1">
      <alignment vertical="top" wrapText="1"/>
    </xf>
    <xf numFmtId="0" fontId="3" fillId="33" borderId="2" xfId="0" applyFont="1" applyFill="1" applyBorder="1" applyAlignment="1">
      <alignment vertical="top" wrapText="1"/>
    </xf>
    <xf numFmtId="0" fontId="3" fillId="33" borderId="3" xfId="0" applyFont="1" applyFill="1" applyBorder="1" applyAlignment="1">
      <alignment vertical="top" wrapText="1"/>
    </xf>
    <xf numFmtId="0" fontId="33" fillId="33" borderId="73" xfId="0" applyFont="1" applyFill="1" applyBorder="1" applyAlignment="1">
      <alignment vertical="top" wrapText="1"/>
    </xf>
    <xf numFmtId="0" fontId="33" fillId="33" borderId="74" xfId="0" applyFont="1" applyFill="1" applyBorder="1" applyAlignment="1">
      <alignment vertical="top" wrapText="1"/>
    </xf>
    <xf numFmtId="0" fontId="3" fillId="33" borderId="71" xfId="0" applyFont="1" applyFill="1" applyBorder="1" applyAlignment="1">
      <alignment vertical="top" wrapText="1"/>
    </xf>
    <xf numFmtId="0" fontId="3" fillId="33" borderId="72" xfId="0" applyFont="1" applyFill="1" applyBorder="1" applyAlignment="1">
      <alignment vertical="top" wrapText="1"/>
    </xf>
    <xf numFmtId="0" fontId="36" fillId="0" borderId="2" xfId="0" applyFont="1" applyBorder="1" applyAlignment="1">
      <alignment horizontal="center"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2" fillId="2" borderId="56" xfId="0" applyFont="1" applyFill="1" applyBorder="1" applyAlignment="1">
      <alignment horizontal="center" vertical="top" wrapText="1"/>
    </xf>
    <xf numFmtId="0" fontId="2" fillId="2" borderId="57" xfId="0" applyFont="1" applyFill="1" applyBorder="1" applyAlignment="1">
      <alignment horizontal="center" vertical="top" wrapText="1"/>
    </xf>
    <xf numFmtId="0" fontId="2" fillId="2" borderId="58" xfId="0" applyFont="1" applyFill="1" applyBorder="1" applyAlignment="1">
      <alignment horizontal="center" vertical="top" wrapText="1"/>
    </xf>
    <xf numFmtId="0" fontId="36" fillId="37" borderId="2" xfId="0" applyFont="1" applyFill="1" applyBorder="1" applyAlignment="1">
      <alignment horizontal="center" vertical="top" wrapText="1"/>
    </xf>
    <xf numFmtId="0" fontId="36" fillId="37" borderId="8" xfId="0" applyFont="1" applyFill="1" applyBorder="1" applyAlignment="1">
      <alignment horizontal="center" vertical="top" wrapText="1"/>
    </xf>
    <xf numFmtId="0" fontId="36" fillId="37" borderId="3" xfId="0" applyFont="1" applyFill="1" applyBorder="1" applyAlignment="1">
      <alignment horizontal="center" vertical="top" wrapText="1"/>
    </xf>
    <xf numFmtId="0" fontId="81" fillId="0" borderId="2" xfId="0" applyFont="1" applyFill="1" applyBorder="1" applyAlignment="1">
      <alignment vertical="top" wrapText="1"/>
    </xf>
    <xf numFmtId="0" fontId="81" fillId="0" borderId="8" xfId="0" applyFont="1" applyFill="1" applyBorder="1" applyAlignment="1">
      <alignment vertical="top" wrapText="1"/>
    </xf>
    <xf numFmtId="0" fontId="81" fillId="0" borderId="3" xfId="0" applyFont="1" applyFill="1" applyBorder="1" applyAlignment="1">
      <alignment vertical="top" wrapText="1"/>
    </xf>
    <xf numFmtId="0" fontId="81" fillId="0" borderId="2" xfId="0" applyFont="1" applyBorder="1" applyAlignment="1">
      <alignment vertical="top" wrapText="1"/>
    </xf>
    <xf numFmtId="0" fontId="81" fillId="0" borderId="8" xfId="0" applyFont="1" applyBorder="1" applyAlignment="1">
      <alignment vertical="top" wrapText="1"/>
    </xf>
    <xf numFmtId="0" fontId="81" fillId="0" borderId="3" xfId="0" applyFont="1" applyBorder="1" applyAlignment="1">
      <alignment vertical="top" wrapText="1"/>
    </xf>
    <xf numFmtId="0" fontId="81" fillId="37" borderId="2" xfId="0" applyFont="1" applyFill="1" applyBorder="1" applyAlignment="1">
      <alignment vertical="top" wrapText="1"/>
    </xf>
    <xf numFmtId="0" fontId="81" fillId="37" borderId="8" xfId="0" applyFont="1" applyFill="1" applyBorder="1" applyAlignment="1">
      <alignment vertical="top" wrapText="1"/>
    </xf>
    <xf numFmtId="0" fontId="81" fillId="37" borderId="3" xfId="0" applyFont="1" applyFill="1" applyBorder="1" applyAlignment="1">
      <alignment vertical="top" wrapText="1"/>
    </xf>
    <xf numFmtId="0" fontId="36" fillId="0" borderId="5" xfId="0" applyFont="1" applyBorder="1" applyAlignment="1">
      <alignment horizontal="center" vertical="top" wrapText="1"/>
    </xf>
    <xf numFmtId="0" fontId="70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69" fillId="0" borderId="2" xfId="0" applyFont="1" applyBorder="1" applyAlignment="1">
      <alignment horizontal="center" vertical="top" wrapText="1"/>
    </xf>
    <xf numFmtId="0" fontId="69" fillId="0" borderId="8" xfId="0" applyFont="1" applyBorder="1" applyAlignment="1">
      <alignment horizontal="center" vertical="top" wrapText="1"/>
    </xf>
    <xf numFmtId="0" fontId="69" fillId="0" borderId="3" xfId="0" applyFont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54" xfId="0" applyFont="1" applyFill="1" applyBorder="1" applyAlignment="1">
      <alignment horizontal="center" vertical="top" wrapText="1"/>
    </xf>
    <xf numFmtId="0" fontId="3" fillId="0" borderId="55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55" fillId="0" borderId="1" xfId="0" applyFont="1" applyBorder="1" applyAlignment="1">
      <alignment horizontal="center" vertical="top" wrapText="1"/>
    </xf>
    <xf numFmtId="0" fontId="55" fillId="0" borderId="6" xfId="0" applyFont="1" applyBorder="1" applyAlignment="1">
      <alignment horizontal="center" vertical="top" wrapText="1"/>
    </xf>
    <xf numFmtId="0" fontId="55" fillId="0" borderId="4" xfId="0" applyFont="1" applyBorder="1" applyAlignment="1">
      <alignment horizontal="center" vertical="top" wrapText="1"/>
    </xf>
    <xf numFmtId="0" fontId="0" fillId="0" borderId="4" xfId="0" applyBorder="1"/>
    <xf numFmtId="0" fontId="0" fillId="0" borderId="26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3" fillId="33" borderId="85" xfId="0" applyFont="1" applyFill="1" applyBorder="1" applyAlignment="1">
      <alignment vertical="top" wrapText="1"/>
    </xf>
    <xf numFmtId="0" fontId="33" fillId="33" borderId="87" xfId="0" applyFont="1" applyFill="1" applyBorder="1" applyAlignment="1">
      <alignment vertical="top" wrapText="1"/>
    </xf>
    <xf numFmtId="0" fontId="45" fillId="33" borderId="85" xfId="0" applyFont="1" applyFill="1" applyBorder="1" applyAlignment="1">
      <alignment horizontal="center" vertical="top"/>
    </xf>
    <xf numFmtId="0" fontId="45" fillId="33" borderId="87" xfId="0" applyFont="1" applyFill="1" applyBorder="1" applyAlignment="1">
      <alignment horizontal="center" vertical="top"/>
    </xf>
    <xf numFmtId="0" fontId="3" fillId="4" borderId="85" xfId="0" applyFont="1" applyFill="1" applyBorder="1" applyAlignment="1">
      <alignment horizontal="center" vertical="top"/>
    </xf>
    <xf numFmtId="0" fontId="3" fillId="4" borderId="87" xfId="0" applyFont="1" applyFill="1" applyBorder="1" applyAlignment="1">
      <alignment horizontal="center" vertical="top"/>
    </xf>
    <xf numFmtId="0" fontId="10" fillId="0" borderId="70" xfId="0" applyFont="1" applyFill="1" applyBorder="1" applyAlignment="1">
      <alignment horizontal="center" vertical="top" wrapText="1"/>
    </xf>
    <xf numFmtId="0" fontId="10" fillId="0" borderId="70" xfId="0" applyFont="1" applyBorder="1" applyAlignment="1">
      <alignment horizontal="center" vertical="top" wrapText="1"/>
    </xf>
    <xf numFmtId="0" fontId="9" fillId="32" borderId="70" xfId="0" applyFont="1" applyFill="1" applyBorder="1" applyAlignment="1">
      <alignment horizontal="center" vertical="top" wrapText="1"/>
    </xf>
    <xf numFmtId="0" fontId="10" fillId="32" borderId="70" xfId="0" applyFont="1" applyFill="1" applyBorder="1" applyAlignment="1">
      <alignment horizontal="center" vertical="top"/>
    </xf>
    <xf numFmtId="0" fontId="30" fillId="0" borderId="53" xfId="0" applyFont="1" applyFill="1" applyBorder="1" applyAlignment="1">
      <alignment horizontal="center" vertical="top" wrapText="1"/>
    </xf>
    <xf numFmtId="0" fontId="30" fillId="0" borderId="4" xfId="0" applyFont="1" applyFill="1" applyBorder="1" applyAlignment="1">
      <alignment horizontal="center" vertical="top" wrapText="1"/>
    </xf>
    <xf numFmtId="0" fontId="10" fillId="0" borderId="73" xfId="0" applyFont="1" applyFill="1" applyBorder="1" applyAlignment="1">
      <alignment horizontal="center" vertical="top" wrapText="1"/>
    </xf>
    <xf numFmtId="0" fontId="10" fillId="0" borderId="57" xfId="0" applyFont="1" applyFill="1" applyBorder="1" applyAlignment="1">
      <alignment horizontal="center" vertical="top" wrapText="1"/>
    </xf>
    <xf numFmtId="0" fontId="10" fillId="0" borderId="74" xfId="0" applyFont="1" applyFill="1" applyBorder="1" applyAlignment="1">
      <alignment horizontal="center" vertical="top" wrapText="1"/>
    </xf>
    <xf numFmtId="0" fontId="10" fillId="0" borderId="53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10" fillId="0" borderId="24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49" fillId="4" borderId="1" xfId="0" applyFont="1" applyFill="1" applyBorder="1" applyAlignment="1">
      <alignment horizontal="center" vertical="top" wrapText="1"/>
    </xf>
    <xf numFmtId="0" fontId="49" fillId="4" borderId="4" xfId="0" applyFont="1" applyFill="1" applyBorder="1" applyAlignment="1">
      <alignment horizontal="center" vertical="top" wrapText="1"/>
    </xf>
    <xf numFmtId="0" fontId="10" fillId="5" borderId="70" xfId="0" applyFont="1" applyFill="1" applyBorder="1" applyAlignment="1">
      <alignment horizontal="center" vertical="top" wrapText="1"/>
    </xf>
    <xf numFmtId="0" fontId="10" fillId="0" borderId="70" xfId="0" applyFont="1" applyBorder="1" applyAlignment="1">
      <alignment horizontal="center" vertical="top"/>
    </xf>
    <xf numFmtId="0" fontId="10" fillId="46" borderId="70" xfId="0" applyFont="1" applyFill="1" applyBorder="1" applyAlignment="1">
      <alignment horizontal="center" vertical="top" wrapText="1"/>
    </xf>
    <xf numFmtId="0" fontId="30" fillId="0" borderId="70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30" fillId="0" borderId="70" xfId="0" applyFont="1" applyFill="1" applyBorder="1" applyAlignment="1">
      <alignment horizontal="center" vertical="top" wrapText="1"/>
    </xf>
    <xf numFmtId="0" fontId="30" fillId="0" borderId="5" xfId="0" applyFont="1" applyBorder="1" applyAlignment="1">
      <alignment horizontal="center" vertical="top" wrapText="1"/>
    </xf>
    <xf numFmtId="0" fontId="30" fillId="0" borderId="5" xfId="0" applyFont="1" applyFill="1" applyBorder="1" applyAlignment="1">
      <alignment horizontal="center" vertical="top" wrapText="1"/>
    </xf>
    <xf numFmtId="0" fontId="30" fillId="0" borderId="1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30" fillId="0" borderId="1" xfId="0" applyFont="1" applyFill="1" applyBorder="1" applyAlignment="1">
      <alignment horizontal="center" vertical="top" wrapText="1"/>
    </xf>
    <xf numFmtId="0" fontId="49" fillId="0" borderId="5" xfId="0" applyFont="1" applyFill="1" applyBorder="1" applyAlignment="1">
      <alignment horizontal="center" vertical="top" wrapText="1"/>
    </xf>
    <xf numFmtId="0" fontId="9" fillId="32" borderId="2" xfId="0" applyFont="1" applyFill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30" fillId="0" borderId="5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/>
    </xf>
    <xf numFmtId="0" fontId="1" fillId="0" borderId="53" xfId="4" applyBorder="1" applyAlignment="1">
      <alignment horizontal="center" vertical="top" wrapText="1"/>
    </xf>
    <xf numFmtId="0" fontId="1" fillId="0" borderId="6" xfId="4" applyBorder="1" applyAlignment="1">
      <alignment horizontal="center" vertical="top" wrapText="1"/>
    </xf>
    <xf numFmtId="0" fontId="1" fillId="0" borderId="4" xfId="4" applyBorder="1" applyAlignment="1">
      <alignment horizontal="center" vertical="top" wrapText="1"/>
    </xf>
    <xf numFmtId="0" fontId="36" fillId="0" borderId="70" xfId="4" applyFont="1" applyBorder="1" applyAlignment="1">
      <alignment horizontal="center" vertical="top" wrapText="1"/>
    </xf>
    <xf numFmtId="0" fontId="36" fillId="0" borderId="70" xfId="4" applyFont="1" applyFill="1" applyBorder="1" applyAlignment="1">
      <alignment horizontal="center" vertical="top" wrapText="1"/>
    </xf>
    <xf numFmtId="0" fontId="10" fillId="0" borderId="73" xfId="0" applyFont="1" applyBorder="1" applyAlignment="1">
      <alignment horizontal="center" vertical="top" wrapText="1"/>
    </xf>
    <xf numFmtId="0" fontId="10" fillId="0" borderId="74" xfId="0" applyFont="1" applyBorder="1" applyAlignment="1">
      <alignment horizontal="center" vertical="top" wrapText="1"/>
    </xf>
    <xf numFmtId="0" fontId="128" fillId="0" borderId="0" xfId="0" applyFont="1" applyAlignment="1">
      <alignment horizontal="center" vertical="top" wrapText="1"/>
    </xf>
    <xf numFmtId="0" fontId="129" fillId="0" borderId="27" xfId="0" applyFont="1" applyBorder="1" applyAlignment="1">
      <alignment horizontal="center" vertical="top"/>
    </xf>
    <xf numFmtId="0" fontId="8" fillId="0" borderId="53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10" fillId="4" borderId="73" xfId="0" applyFont="1" applyFill="1" applyBorder="1" applyAlignment="1">
      <alignment horizontal="center" vertical="top" wrapText="1"/>
    </xf>
    <xf numFmtId="0" fontId="10" fillId="4" borderId="74" xfId="0" applyFont="1" applyFill="1" applyBorder="1" applyAlignment="1">
      <alignment horizontal="center" vertical="top" wrapText="1"/>
    </xf>
    <xf numFmtId="0" fontId="0" fillId="0" borderId="73" xfId="0" applyBorder="1" applyAlignment="1">
      <alignment horizontal="center" vertical="top" wrapText="1"/>
    </xf>
    <xf numFmtId="0" fontId="0" fillId="0" borderId="74" xfId="0" applyBorder="1" applyAlignment="1">
      <alignment horizontal="center" vertical="top" wrapText="1"/>
    </xf>
    <xf numFmtId="0" fontId="0" fillId="0" borderId="53" xfId="0" applyBorder="1" applyAlignment="1">
      <alignment horizontal="center" vertical="top" wrapText="1"/>
    </xf>
    <xf numFmtId="0" fontId="0" fillId="0" borderId="57" xfId="0" applyBorder="1" applyAlignment="1">
      <alignment horizontal="center" vertical="top" wrapText="1"/>
    </xf>
    <xf numFmtId="0" fontId="0" fillId="0" borderId="5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36" fillId="0" borderId="53" xfId="0" applyFont="1" applyBorder="1" applyAlignment="1">
      <alignment horizontal="center" vertical="top" wrapText="1"/>
    </xf>
    <xf numFmtId="0" fontId="36" fillId="0" borderId="4" xfId="0" applyFont="1" applyBorder="1" applyAlignment="1">
      <alignment horizontal="center" vertical="top" wrapText="1"/>
    </xf>
    <xf numFmtId="0" fontId="3" fillId="0" borderId="5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73" xfId="0" applyFont="1" applyBorder="1" applyAlignment="1">
      <alignment horizontal="center" vertical="top" wrapText="1"/>
    </xf>
    <xf numFmtId="0" fontId="3" fillId="0" borderId="74" xfId="0" applyFont="1" applyBorder="1" applyAlignment="1">
      <alignment horizontal="center" vertical="top" wrapText="1"/>
    </xf>
    <xf numFmtId="0" fontId="2" fillId="0" borderId="5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34" fillId="4" borderId="57" xfId="0" applyFont="1" applyFill="1" applyBorder="1" applyAlignment="1">
      <alignment horizontal="center" vertical="top" wrapText="1"/>
    </xf>
    <xf numFmtId="0" fontId="34" fillId="4" borderId="74" xfId="0" applyFont="1" applyFill="1" applyBorder="1" applyAlignment="1">
      <alignment horizontal="center" vertical="top" wrapText="1"/>
    </xf>
    <xf numFmtId="0" fontId="36" fillId="0" borderId="24" xfId="0" applyFont="1" applyBorder="1" applyAlignment="1">
      <alignment horizontal="center" vertical="top" wrapText="1"/>
    </xf>
    <xf numFmtId="0" fontId="36" fillId="0" borderId="23" xfId="0" applyFont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34" fillId="0" borderId="57" xfId="0" applyFont="1" applyBorder="1" applyAlignment="1">
      <alignment horizontal="center" vertical="top" wrapText="1"/>
    </xf>
    <xf numFmtId="0" fontId="34" fillId="0" borderId="74" xfId="0" applyFont="1" applyBorder="1" applyAlignment="1">
      <alignment horizontal="center" vertical="top" wrapText="1"/>
    </xf>
    <xf numFmtId="0" fontId="3" fillId="0" borderId="73" xfId="0" applyFont="1" applyFill="1" applyBorder="1" applyAlignment="1">
      <alignment vertical="top"/>
    </xf>
    <xf numFmtId="0" fontId="0" fillId="0" borderId="57" xfId="0" applyBorder="1"/>
    <xf numFmtId="0" fontId="0" fillId="0" borderId="74" xfId="0" applyBorder="1"/>
    <xf numFmtId="0" fontId="34" fillId="0" borderId="73" xfId="0" applyFont="1" applyBorder="1" applyAlignment="1">
      <alignment horizontal="center" vertical="top" wrapText="1"/>
    </xf>
    <xf numFmtId="0" fontId="34" fillId="0" borderId="70" xfId="0" applyFont="1" applyBorder="1" applyAlignment="1">
      <alignment horizontal="center" vertical="top" wrapText="1"/>
    </xf>
    <xf numFmtId="0" fontId="2" fillId="0" borderId="73" xfId="0" applyFont="1" applyBorder="1" applyAlignment="1">
      <alignment vertical="top" wrapText="1"/>
    </xf>
    <xf numFmtId="0" fontId="65" fillId="0" borderId="39" xfId="0" applyFont="1" applyFill="1" applyBorder="1" applyAlignment="1">
      <alignment horizontal="center" vertical="top" wrapText="1"/>
    </xf>
    <xf numFmtId="0" fontId="65" fillId="0" borderId="40" xfId="0" applyFont="1" applyFill="1" applyBorder="1" applyAlignment="1">
      <alignment horizontal="center" vertical="top" wrapText="1"/>
    </xf>
    <xf numFmtId="0" fontId="68" fillId="0" borderId="28" xfId="0" applyFont="1" applyBorder="1" applyAlignment="1">
      <alignment horizontal="center" vertical="top" wrapText="1"/>
    </xf>
    <xf numFmtId="0" fontId="68" fillId="0" borderId="29" xfId="0" applyFont="1" applyBorder="1" applyAlignment="1">
      <alignment horizontal="center" vertical="top" wrapText="1"/>
    </xf>
    <xf numFmtId="0" fontId="68" fillId="0" borderId="30" xfId="0" applyFont="1" applyBorder="1" applyAlignment="1">
      <alignment horizontal="center" vertical="top" wrapText="1"/>
    </xf>
    <xf numFmtId="0" fontId="68" fillId="34" borderId="36" xfId="0" applyFont="1" applyFill="1" applyBorder="1" applyAlignment="1">
      <alignment horizontal="center" vertical="top" wrapText="1"/>
    </xf>
    <xf numFmtId="0" fontId="68" fillId="34" borderId="59" xfId="0" applyFont="1" applyFill="1" applyBorder="1" applyAlignment="1">
      <alignment horizontal="center" vertical="top" wrapText="1"/>
    </xf>
    <xf numFmtId="0" fontId="68" fillId="34" borderId="60" xfId="0" applyFont="1" applyFill="1" applyBorder="1" applyAlignment="1">
      <alignment horizontal="center" vertical="top" wrapText="1"/>
    </xf>
    <xf numFmtId="0" fontId="53" fillId="0" borderId="28" xfId="0" applyFont="1" applyBorder="1" applyAlignment="1">
      <alignment horizontal="center" vertical="top" wrapText="1"/>
    </xf>
    <xf numFmtId="0" fontId="53" fillId="0" borderId="38" xfId="0" applyFont="1" applyBorder="1" applyAlignment="1">
      <alignment horizontal="center" vertical="top" wrapText="1"/>
    </xf>
    <xf numFmtId="0" fontId="53" fillId="0" borderId="36" xfId="0" applyFont="1" applyBorder="1" applyAlignment="1">
      <alignment horizontal="center" vertical="top" wrapText="1"/>
    </xf>
    <xf numFmtId="0" fontId="53" fillId="0" borderId="31" xfId="0" applyFont="1" applyFill="1" applyBorder="1" applyAlignment="1">
      <alignment horizontal="center" vertical="top" wrapText="1"/>
    </xf>
    <xf numFmtId="0" fontId="53" fillId="0" borderId="61" xfId="0" applyFont="1" applyFill="1" applyBorder="1" applyAlignment="1">
      <alignment horizontal="center" vertical="top" wrapText="1"/>
    </xf>
    <xf numFmtId="0" fontId="53" fillId="0" borderId="49" xfId="0" applyFont="1" applyFill="1" applyBorder="1" applyAlignment="1">
      <alignment horizontal="center" vertical="top" wrapText="1"/>
    </xf>
    <xf numFmtId="0" fontId="53" fillId="0" borderId="11" xfId="0" applyFont="1" applyFill="1" applyBorder="1" applyAlignment="1">
      <alignment horizontal="center" vertical="top" wrapText="1"/>
    </xf>
    <xf numFmtId="0" fontId="53" fillId="0" borderId="62" xfId="0" applyFont="1" applyFill="1" applyBorder="1" applyAlignment="1">
      <alignment horizontal="center" vertical="top" wrapText="1"/>
    </xf>
    <xf numFmtId="0" fontId="53" fillId="0" borderId="25" xfId="0" applyFont="1" applyFill="1" applyBorder="1" applyAlignment="1">
      <alignment horizontal="center" vertical="top" wrapText="1"/>
    </xf>
    <xf numFmtId="0" fontId="65" fillId="34" borderId="62" xfId="0" applyFont="1" applyFill="1" applyBorder="1" applyAlignment="1">
      <alignment horizontal="center" vertical="top" wrapText="1"/>
    </xf>
    <xf numFmtId="0" fontId="65" fillId="34" borderId="46" xfId="0" applyFont="1" applyFill="1" applyBorder="1" applyAlignment="1">
      <alignment horizontal="center" vertical="top" wrapText="1"/>
    </xf>
    <xf numFmtId="0" fontId="65" fillId="34" borderId="61" xfId="0" applyFont="1" applyFill="1" applyBorder="1" applyAlignment="1">
      <alignment horizontal="center" vertical="top" wrapText="1"/>
    </xf>
    <xf numFmtId="0" fontId="65" fillId="34" borderId="25" xfId="0" applyFont="1" applyFill="1" applyBorder="1" applyAlignment="1">
      <alignment horizontal="center" vertical="top" wrapText="1"/>
    </xf>
    <xf numFmtId="0" fontId="65" fillId="34" borderId="27" xfId="0" applyFont="1" applyFill="1" applyBorder="1" applyAlignment="1">
      <alignment horizontal="center" vertical="top" wrapText="1"/>
    </xf>
    <xf numFmtId="0" fontId="65" fillId="34" borderId="11" xfId="0" applyFont="1" applyFill="1" applyBorder="1" applyAlignment="1">
      <alignment horizontal="center" vertical="top" wrapText="1"/>
    </xf>
    <xf numFmtId="0" fontId="65" fillId="0" borderId="65" xfId="0" applyFont="1" applyFill="1" applyBorder="1" applyAlignment="1">
      <alignment horizontal="center" vertical="top" wrapText="1"/>
    </xf>
    <xf numFmtId="0" fontId="65" fillId="3" borderId="62" xfId="0" applyFont="1" applyFill="1" applyBorder="1" applyAlignment="1">
      <alignment horizontal="center" vertical="top" wrapText="1"/>
    </xf>
    <xf numFmtId="0" fontId="65" fillId="3" borderId="46" xfId="0" applyFont="1" applyFill="1" applyBorder="1" applyAlignment="1">
      <alignment horizontal="center" vertical="top" wrapText="1"/>
    </xf>
    <xf numFmtId="0" fontId="65" fillId="3" borderId="25" xfId="0" applyFont="1" applyFill="1" applyBorder="1" applyAlignment="1">
      <alignment horizontal="center" vertical="top" wrapText="1"/>
    </xf>
    <xf numFmtId="0" fontId="65" fillId="3" borderId="27" xfId="0" applyFont="1" applyFill="1" applyBorder="1" applyAlignment="1">
      <alignment horizontal="center" vertical="top" wrapText="1"/>
    </xf>
    <xf numFmtId="0" fontId="65" fillId="0" borderId="63" xfId="0" applyFont="1" applyFill="1" applyBorder="1" applyAlignment="1">
      <alignment horizontal="center" vertical="top" wrapText="1"/>
    </xf>
    <xf numFmtId="0" fontId="65" fillId="0" borderId="42" xfId="0" applyFont="1" applyFill="1" applyBorder="1" applyAlignment="1">
      <alignment horizontal="center" vertical="top" wrapText="1"/>
    </xf>
    <xf numFmtId="0" fontId="65" fillId="0" borderId="66" xfId="0" applyFont="1" applyFill="1" applyBorder="1" applyAlignment="1">
      <alignment horizontal="center" vertical="top" wrapText="1"/>
    </xf>
    <xf numFmtId="0" fontId="53" fillId="0" borderId="63" xfId="0" applyFont="1" applyFill="1" applyBorder="1" applyAlignment="1">
      <alignment horizontal="center" vertical="top" wrapText="1"/>
    </xf>
    <xf numFmtId="0" fontId="53" fillId="0" borderId="42" xfId="0" applyFont="1" applyFill="1" applyBorder="1" applyAlignment="1">
      <alignment horizontal="center" vertical="top" wrapText="1"/>
    </xf>
    <xf numFmtId="0" fontId="53" fillId="0" borderId="66" xfId="0" applyFont="1" applyFill="1" applyBorder="1" applyAlignment="1">
      <alignment horizontal="center" vertical="top" wrapText="1"/>
    </xf>
    <xf numFmtId="0" fontId="65" fillId="3" borderId="63" xfId="0" applyFont="1" applyFill="1" applyBorder="1" applyAlignment="1">
      <alignment horizontal="center" vertical="top" wrapText="1"/>
    </xf>
    <xf numFmtId="0" fontId="65" fillId="3" borderId="35" xfId="0" applyFont="1" applyFill="1" applyBorder="1" applyAlignment="1">
      <alignment horizontal="center" vertical="top" wrapText="1"/>
    </xf>
    <xf numFmtId="0" fontId="65" fillId="0" borderId="31" xfId="0" applyFont="1" applyFill="1" applyBorder="1" applyAlignment="1">
      <alignment horizontal="center" vertical="top" wrapText="1"/>
    </xf>
    <xf numFmtId="0" fontId="65" fillId="0" borderId="45" xfId="0" applyFont="1" applyFill="1" applyBorder="1" applyAlignment="1">
      <alignment horizontal="center" vertical="top" wrapText="1"/>
    </xf>
    <xf numFmtId="0" fontId="30" fillId="0" borderId="70" xfId="617" applyFont="1" applyFill="1" applyBorder="1" applyAlignment="1">
      <alignment horizontal="center" vertical="top" wrapText="1"/>
    </xf>
    <xf numFmtId="0" fontId="11" fillId="0" borderId="23" xfId="0" applyFont="1" applyBorder="1" applyAlignment="1">
      <alignment vertical="top" wrapText="1"/>
    </xf>
    <xf numFmtId="0" fontId="53" fillId="0" borderId="0" xfId="617" applyFont="1" applyAlignment="1">
      <alignment horizontal="center" vertical="top" wrapText="1"/>
    </xf>
    <xf numFmtId="0" fontId="53" fillId="0" borderId="70" xfId="617" applyFont="1" applyBorder="1" applyAlignment="1">
      <alignment horizontal="center" vertical="top"/>
    </xf>
    <xf numFmtId="0" fontId="53" fillId="0" borderId="70" xfId="617" applyFont="1" applyBorder="1" applyAlignment="1">
      <alignment horizontal="center" vertical="top" wrapText="1"/>
    </xf>
    <xf numFmtId="0" fontId="53" fillId="0" borderId="73" xfId="617" applyFont="1" applyFill="1" applyBorder="1" applyAlignment="1">
      <alignment horizontal="center" vertical="top" wrapText="1"/>
    </xf>
    <xf numFmtId="0" fontId="53" fillId="0" borderId="57" xfId="617" applyFont="1" applyFill="1" applyBorder="1" applyAlignment="1">
      <alignment horizontal="center" vertical="top" wrapText="1"/>
    </xf>
    <xf numFmtId="0" fontId="53" fillId="0" borderId="70" xfId="617" applyFont="1" applyFill="1" applyBorder="1" applyAlignment="1">
      <alignment horizontal="center" vertical="top" wrapText="1"/>
    </xf>
    <xf numFmtId="0" fontId="53" fillId="0" borderId="70" xfId="617" applyFont="1" applyFill="1" applyBorder="1" applyAlignment="1">
      <alignment horizontal="center" vertical="top"/>
    </xf>
    <xf numFmtId="0" fontId="53" fillId="0" borderId="0" xfId="0" applyFont="1" applyAlignment="1">
      <alignment horizontal="center" vertical="top" wrapText="1"/>
    </xf>
    <xf numFmtId="4" fontId="73" fillId="0" borderId="70" xfId="605" applyNumberFormat="1" applyFont="1" applyBorder="1" applyAlignment="1">
      <alignment vertical="top" wrapText="1"/>
    </xf>
    <xf numFmtId="0" fontId="73" fillId="0" borderId="70" xfId="605" applyFont="1" applyBorder="1" applyAlignment="1">
      <alignment vertical="top" wrapText="1"/>
    </xf>
    <xf numFmtId="0" fontId="30" fillId="0" borderId="73" xfId="617" applyFont="1" applyFill="1" applyBorder="1" applyAlignment="1">
      <alignment horizontal="center" vertical="top" wrapText="1"/>
    </xf>
    <xf numFmtId="0" fontId="30" fillId="0" borderId="57" xfId="617" applyFont="1" applyFill="1" applyBorder="1" applyAlignment="1">
      <alignment horizontal="center" vertical="top" wrapText="1"/>
    </xf>
    <xf numFmtId="0" fontId="30" fillId="0" borderId="74" xfId="617" applyFont="1" applyFill="1" applyBorder="1" applyAlignment="1">
      <alignment horizontal="center" vertical="top" wrapText="1"/>
    </xf>
    <xf numFmtId="0" fontId="109" fillId="0" borderId="53" xfId="617" applyFont="1" applyFill="1" applyBorder="1" applyAlignment="1">
      <alignment horizontal="center" vertical="top" wrapText="1"/>
    </xf>
    <xf numFmtId="0" fontId="109" fillId="0" borderId="4" xfId="617" applyFont="1" applyFill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10" fillId="0" borderId="75" xfId="0" applyFont="1" applyFill="1" applyBorder="1" applyAlignment="1">
      <alignment horizontal="center" vertical="top" wrapText="1"/>
    </xf>
    <xf numFmtId="0" fontId="10" fillId="0" borderId="81" xfId="0" applyFont="1" applyFill="1" applyBorder="1" applyAlignment="1">
      <alignment horizontal="center" vertical="top" wrapText="1"/>
    </xf>
    <xf numFmtId="0" fontId="10" fillId="0" borderId="76" xfId="0" applyFont="1" applyFill="1" applyBorder="1" applyAlignment="1">
      <alignment horizontal="center" vertical="top" wrapText="1"/>
    </xf>
    <xf numFmtId="0" fontId="30" fillId="0" borderId="75" xfId="0" applyFont="1" applyFill="1" applyBorder="1" applyAlignment="1">
      <alignment horizontal="center" vertical="top" wrapText="1"/>
    </xf>
    <xf numFmtId="0" fontId="47" fillId="0" borderId="75" xfId="0" applyFont="1" applyBorder="1" applyAlignment="1">
      <alignment horizontal="center" vertical="top"/>
    </xf>
    <xf numFmtId="0" fontId="47" fillId="0" borderId="4" xfId="0" applyFont="1" applyBorder="1" applyAlignment="1">
      <alignment horizontal="center" vertical="top"/>
    </xf>
    <xf numFmtId="0" fontId="47" fillId="0" borderId="75" xfId="0" applyFont="1" applyBorder="1" applyAlignment="1">
      <alignment horizontal="center" vertical="top" wrapText="1"/>
    </xf>
    <xf numFmtId="0" fontId="47" fillId="0" borderId="4" xfId="0" applyFont="1" applyBorder="1" applyAlignment="1">
      <alignment horizontal="center" vertical="top" wrapText="1"/>
    </xf>
    <xf numFmtId="0" fontId="47" fillId="0" borderId="70" xfId="0" applyFont="1" applyBorder="1" applyAlignment="1">
      <alignment horizontal="center" vertical="top"/>
    </xf>
    <xf numFmtId="49" fontId="2" fillId="56" borderId="83" xfId="0" applyNumberFormat="1" applyFont="1" applyFill="1" applyBorder="1" applyAlignment="1">
      <alignment horizontal="center" vertical="top" wrapText="1"/>
    </xf>
    <xf numFmtId="49" fontId="2" fillId="56" borderId="4" xfId="0" applyNumberFormat="1" applyFont="1" applyFill="1" applyBorder="1" applyAlignment="1">
      <alignment horizontal="center" vertical="top" wrapText="1"/>
    </xf>
    <xf numFmtId="49" fontId="34" fillId="56" borderId="83" xfId="0" applyNumberFormat="1" applyFont="1" applyFill="1" applyBorder="1" applyAlignment="1">
      <alignment horizontal="center" vertical="top" wrapText="1"/>
    </xf>
    <xf numFmtId="49" fontId="34" fillId="56" borderId="4" xfId="0" applyNumberFormat="1" applyFont="1" applyFill="1" applyBorder="1" applyAlignment="1">
      <alignment horizontal="center" vertical="top" wrapText="1"/>
    </xf>
    <xf numFmtId="0" fontId="36" fillId="0" borderId="70" xfId="0" applyFont="1" applyBorder="1" applyAlignment="1">
      <alignment horizontal="center" vertical="top" wrapText="1"/>
    </xf>
    <xf numFmtId="49" fontId="2" fillId="56" borderId="7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213" fillId="0" borderId="0" xfId="0" applyFont="1" applyAlignment="1">
      <alignment horizontal="center" vertical="top" wrapText="1"/>
    </xf>
    <xf numFmtId="0" fontId="213" fillId="0" borderId="27" xfId="0" applyFont="1" applyBorder="1" applyAlignment="1">
      <alignment horizontal="center" vertical="top" wrapText="1"/>
    </xf>
    <xf numFmtId="0" fontId="0" fillId="0" borderId="83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0" fontId="0" fillId="0" borderId="84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70" xfId="0" applyBorder="1" applyAlignment="1">
      <alignment vertical="top" wrapText="1"/>
    </xf>
    <xf numFmtId="49" fontId="3" fillId="56" borderId="70" xfId="0" applyNumberFormat="1" applyFont="1" applyFill="1" applyBorder="1" applyAlignment="1">
      <alignment horizontal="center" vertical="top" wrapText="1"/>
    </xf>
    <xf numFmtId="0" fontId="0" fillId="0" borderId="75" xfId="0" applyBorder="1" applyAlignment="1">
      <alignment horizontal="center" vertical="top" wrapText="1"/>
    </xf>
    <xf numFmtId="0" fontId="10" fillId="33" borderId="5" xfId="583" applyFont="1" applyFill="1" applyBorder="1" applyAlignment="1">
      <alignment horizontal="center" vertical="center" wrapText="1"/>
    </xf>
    <xf numFmtId="0" fontId="98" fillId="0" borderId="0" xfId="583" applyFont="1" applyBorder="1" applyAlignment="1">
      <alignment horizontal="center" vertical="center" wrapText="1"/>
    </xf>
    <xf numFmtId="0" fontId="9" fillId="33" borderId="5" xfId="583" applyFont="1" applyFill="1" applyBorder="1" applyAlignment="1">
      <alignment horizontal="center" vertical="center" wrapText="1"/>
    </xf>
    <xf numFmtId="0" fontId="9" fillId="31" borderId="5" xfId="583" applyFont="1" applyFill="1" applyBorder="1" applyAlignment="1">
      <alignment horizontal="center" vertical="center" wrapText="1"/>
    </xf>
    <xf numFmtId="0" fontId="30" fillId="0" borderId="51" xfId="0" applyFont="1" applyBorder="1" applyAlignment="1">
      <alignment horizontal="center" vertical="top" wrapText="1"/>
    </xf>
    <xf numFmtId="0" fontId="0" fillId="0" borderId="2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0" fontId="0" fillId="0" borderId="3" xfId="0" applyFill="1" applyBorder="1" applyAlignment="1">
      <alignment horizontal="center" vertical="top"/>
    </xf>
    <xf numFmtId="0" fontId="85" fillId="0" borderId="52" xfId="0" applyFont="1" applyBorder="1" applyAlignment="1">
      <alignment horizontal="center" vertical="top" wrapText="1"/>
    </xf>
    <xf numFmtId="0" fontId="47" fillId="0" borderId="2" xfId="0" applyFont="1" applyBorder="1" applyAlignment="1">
      <alignment horizontal="center" vertical="top"/>
    </xf>
    <xf numFmtId="0" fontId="47" fillId="0" borderId="8" xfId="0" applyFont="1" applyBorder="1" applyAlignment="1">
      <alignment horizontal="center" vertical="top"/>
    </xf>
    <xf numFmtId="0" fontId="47" fillId="0" borderId="3" xfId="0" applyFont="1" applyBorder="1" applyAlignment="1">
      <alignment horizontal="center" vertical="top"/>
    </xf>
    <xf numFmtId="0" fontId="0" fillId="0" borderId="0" xfId="605" applyFont="1" applyAlignment="1">
      <alignment horizontal="center" vertical="top" wrapText="1"/>
    </xf>
    <xf numFmtId="0" fontId="193" fillId="0" borderId="0" xfId="605" applyFont="1" applyAlignment="1">
      <alignment horizontal="center"/>
    </xf>
    <xf numFmtId="0" fontId="193" fillId="0" borderId="0" xfId="605" applyFont="1" applyAlignment="1">
      <alignment horizontal="right"/>
    </xf>
    <xf numFmtId="0" fontId="101" fillId="35" borderId="70" xfId="391" applyFont="1" applyFill="1" applyBorder="1" applyAlignment="1">
      <alignment horizontal="center" vertical="top" wrapText="1"/>
    </xf>
    <xf numFmtId="0" fontId="65" fillId="0" borderId="0" xfId="605" applyFont="1" applyAlignment="1">
      <alignment horizontal="left" wrapText="1"/>
    </xf>
    <xf numFmtId="0" fontId="88" fillId="35" borderId="75" xfId="391" applyFont="1" applyFill="1" applyBorder="1" applyAlignment="1">
      <alignment horizontal="center" vertical="top" wrapText="1"/>
    </xf>
    <xf numFmtId="0" fontId="88" fillId="35" borderId="6" xfId="391" applyFont="1" applyFill="1" applyBorder="1" applyAlignment="1">
      <alignment horizontal="center" vertical="top" wrapText="1"/>
    </xf>
    <xf numFmtId="0" fontId="88" fillId="35" borderId="4" xfId="391" applyFont="1" applyFill="1" applyBorder="1" applyAlignment="1">
      <alignment horizontal="center" vertical="top" wrapText="1"/>
    </xf>
    <xf numFmtId="0" fontId="88" fillId="35" borderId="70" xfId="391" applyFont="1" applyFill="1" applyBorder="1" applyAlignment="1">
      <alignment horizontal="center" vertical="top" wrapText="1"/>
    </xf>
    <xf numFmtId="0" fontId="101" fillId="35" borderId="75" xfId="391" applyFont="1" applyFill="1" applyBorder="1" applyAlignment="1">
      <alignment horizontal="center" vertical="top" wrapText="1"/>
    </xf>
    <xf numFmtId="0" fontId="101" fillId="35" borderId="6" xfId="391" applyFont="1" applyFill="1" applyBorder="1" applyAlignment="1">
      <alignment horizontal="center" vertical="top" wrapText="1"/>
    </xf>
    <xf numFmtId="0" fontId="101" fillId="35" borderId="4" xfId="391" applyFont="1" applyFill="1" applyBorder="1" applyAlignment="1">
      <alignment horizontal="center" vertical="top" wrapText="1"/>
    </xf>
    <xf numFmtId="0" fontId="88" fillId="0" borderId="75" xfId="391" applyFont="1" applyBorder="1" applyAlignment="1">
      <alignment horizontal="center" vertical="top" wrapText="1"/>
    </xf>
    <xf numFmtId="0" fontId="88" fillId="0" borderId="6" xfId="391" applyFont="1" applyBorder="1" applyAlignment="1">
      <alignment horizontal="center" vertical="top" wrapText="1"/>
    </xf>
    <xf numFmtId="0" fontId="88" fillId="0" borderId="4" xfId="391" applyFont="1" applyBorder="1" applyAlignment="1">
      <alignment horizontal="center" vertical="top" wrapText="1"/>
    </xf>
    <xf numFmtId="0" fontId="194" fillId="0" borderId="0" xfId="605" applyFont="1" applyAlignment="1">
      <alignment horizontal="center"/>
    </xf>
    <xf numFmtId="0" fontId="82" fillId="0" borderId="70" xfId="605" applyBorder="1" applyAlignment="1">
      <alignment horizontal="center" vertical="top"/>
    </xf>
    <xf numFmtId="0" fontId="175" fillId="0" borderId="70" xfId="605" applyFont="1" applyBorder="1" applyAlignment="1">
      <alignment horizontal="center" vertical="top" wrapText="1"/>
    </xf>
    <xf numFmtId="0" fontId="82" fillId="0" borderId="70" xfId="605" applyBorder="1" applyAlignment="1">
      <alignment horizontal="center" vertical="top" wrapText="1"/>
    </xf>
    <xf numFmtId="0" fontId="56" fillId="0" borderId="75" xfId="391" applyFont="1" applyBorder="1" applyAlignment="1">
      <alignment horizontal="center" vertical="top" wrapText="1"/>
    </xf>
    <xf numFmtId="0" fontId="56" fillId="0" borderId="6" xfId="391" applyFont="1" applyBorder="1" applyAlignment="1">
      <alignment horizontal="center" vertical="top" wrapText="1"/>
    </xf>
    <xf numFmtId="0" fontId="56" fillId="0" borderId="4" xfId="391" applyFont="1" applyBorder="1" applyAlignment="1">
      <alignment horizontal="center" vertical="top" wrapText="1"/>
    </xf>
    <xf numFmtId="0" fontId="56" fillId="0" borderId="70" xfId="391" applyFont="1" applyBorder="1" applyAlignment="1">
      <alignment horizontal="center" vertical="top" wrapText="1"/>
    </xf>
    <xf numFmtId="0" fontId="101" fillId="0" borderId="70" xfId="391" applyFont="1" applyBorder="1" applyAlignment="1">
      <alignment horizontal="center" vertical="top" wrapText="1"/>
    </xf>
    <xf numFmtId="0" fontId="173" fillId="0" borderId="75" xfId="391" applyFont="1" applyBorder="1" applyAlignment="1">
      <alignment horizontal="center" vertical="top" wrapText="1"/>
    </xf>
    <xf numFmtId="0" fontId="173" fillId="0" borderId="6" xfId="391" applyFont="1" applyBorder="1" applyAlignment="1">
      <alignment horizontal="center" vertical="top" wrapText="1"/>
    </xf>
    <xf numFmtId="0" fontId="173" fillId="0" borderId="4" xfId="391" applyFont="1" applyBorder="1" applyAlignment="1">
      <alignment horizontal="center" vertical="top" wrapText="1"/>
    </xf>
    <xf numFmtId="0" fontId="173" fillId="35" borderId="70" xfId="391" applyFont="1" applyFill="1" applyBorder="1" applyAlignment="1">
      <alignment horizontal="center" vertical="top" wrapText="1"/>
    </xf>
    <xf numFmtId="0" fontId="92" fillId="0" borderId="70" xfId="391" applyFont="1" applyBorder="1" applyAlignment="1">
      <alignment horizontal="center" vertical="top" wrapText="1"/>
    </xf>
    <xf numFmtId="0" fontId="174" fillId="33" borderId="75" xfId="391" applyFont="1" applyFill="1" applyBorder="1" applyAlignment="1">
      <alignment horizontal="center" vertical="top" wrapText="1"/>
    </xf>
    <xf numFmtId="0" fontId="174" fillId="33" borderId="6" xfId="391" applyFont="1" applyFill="1" applyBorder="1" applyAlignment="1">
      <alignment horizontal="center" vertical="top" wrapText="1"/>
    </xf>
    <xf numFmtId="0" fontId="174" fillId="33" borderId="4" xfId="391" applyFont="1" applyFill="1" applyBorder="1" applyAlignment="1">
      <alignment horizontal="center" vertical="top" wrapText="1"/>
    </xf>
    <xf numFmtId="0" fontId="165" fillId="0" borderId="0" xfId="605" applyFont="1" applyAlignment="1">
      <alignment horizontal="center" vertical="top"/>
    </xf>
    <xf numFmtId="0" fontId="168" fillId="0" borderId="0" xfId="605" applyFont="1" applyAlignment="1">
      <alignment horizontal="center" vertical="top"/>
    </xf>
    <xf numFmtId="0" fontId="73" fillId="0" borderId="70" xfId="391" applyFont="1" applyBorder="1" applyAlignment="1">
      <alignment horizontal="center" vertical="top" wrapText="1"/>
    </xf>
    <xf numFmtId="0" fontId="92" fillId="35" borderId="73" xfId="391" applyFont="1" applyFill="1" applyBorder="1" applyAlignment="1">
      <alignment horizontal="center" vertical="top" wrapText="1"/>
    </xf>
    <xf numFmtId="0" fontId="92" fillId="35" borderId="57" xfId="391" applyFont="1" applyFill="1" applyBorder="1" applyAlignment="1">
      <alignment horizontal="center" vertical="top" wrapText="1"/>
    </xf>
    <xf numFmtId="0" fontId="92" fillId="35" borderId="74" xfId="391" applyFont="1" applyFill="1" applyBorder="1" applyAlignment="1">
      <alignment horizontal="center" vertical="top" wrapText="1"/>
    </xf>
    <xf numFmtId="0" fontId="92" fillId="0" borderId="73" xfId="391" applyFont="1" applyBorder="1" applyAlignment="1">
      <alignment horizontal="center" vertical="top" wrapText="1"/>
    </xf>
    <xf numFmtId="0" fontId="92" fillId="0" borderId="57" xfId="391" applyFont="1" applyBorder="1" applyAlignment="1">
      <alignment horizontal="center" vertical="top" wrapText="1"/>
    </xf>
    <xf numFmtId="0" fontId="92" fillId="0" borderId="74" xfId="391" applyFont="1" applyBorder="1" applyAlignment="1">
      <alignment horizontal="center" vertical="top" wrapText="1"/>
    </xf>
    <xf numFmtId="0" fontId="172" fillId="0" borderId="70" xfId="605" applyFont="1" applyBorder="1" applyAlignment="1">
      <alignment horizontal="center" vertical="top"/>
    </xf>
    <xf numFmtId="0" fontId="3" fillId="0" borderId="8" xfId="0" applyFont="1" applyFill="1" applyBorder="1" applyAlignment="1">
      <alignment vertical="top" wrapText="1"/>
    </xf>
    <xf numFmtId="0" fontId="34" fillId="4" borderId="8" xfId="0" applyFont="1" applyFill="1" applyBorder="1" applyAlignment="1">
      <alignment horizontal="center" vertical="top" wrapText="1"/>
    </xf>
    <xf numFmtId="0" fontId="34" fillId="4" borderId="3" xfId="0" applyFont="1" applyFill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 wrapText="1"/>
    </xf>
    <xf numFmtId="0" fontId="34" fillId="0" borderId="8" xfId="0" applyFont="1" applyBorder="1" applyAlignment="1">
      <alignment horizontal="center" vertical="top" wrapText="1"/>
    </xf>
    <xf numFmtId="0" fontId="34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8" fillId="0" borderId="70" xfId="5110" applyFont="1" applyBorder="1" applyAlignment="1">
      <alignment horizontal="center" vertical="top" wrapText="1"/>
    </xf>
    <xf numFmtId="0" fontId="47" fillId="0" borderId="73" xfId="0" applyFont="1" applyBorder="1" applyAlignment="1">
      <alignment horizontal="center"/>
    </xf>
    <xf numFmtId="0" fontId="47" fillId="0" borderId="57" xfId="0" applyFont="1" applyBorder="1" applyAlignment="1">
      <alignment horizontal="center"/>
    </xf>
    <xf numFmtId="0" fontId="47" fillId="0" borderId="74" xfId="0" applyFont="1" applyBorder="1" applyAlignment="1">
      <alignment horizontal="center"/>
    </xf>
    <xf numFmtId="0" fontId="8" fillId="0" borderId="74" xfId="5110" applyFont="1" applyBorder="1" applyAlignment="1">
      <alignment horizontal="center" vertical="top" wrapText="1"/>
    </xf>
    <xf numFmtId="0" fontId="88" fillId="0" borderId="70" xfId="3" applyFont="1" applyBorder="1" applyAlignment="1">
      <alignment horizontal="center" vertical="top" wrapText="1"/>
    </xf>
    <xf numFmtId="0" fontId="88" fillId="0" borderId="75" xfId="3" applyFont="1" applyBorder="1" applyAlignment="1">
      <alignment horizontal="center" vertical="top" wrapText="1"/>
    </xf>
    <xf numFmtId="0" fontId="88" fillId="0" borderId="6" xfId="3" applyFont="1" applyBorder="1" applyAlignment="1">
      <alignment horizontal="center" vertical="top" wrapText="1"/>
    </xf>
    <xf numFmtId="0" fontId="88" fillId="0" borderId="4" xfId="3" applyFont="1" applyBorder="1" applyAlignment="1">
      <alignment horizontal="center" vertical="top" wrapText="1"/>
    </xf>
    <xf numFmtId="0" fontId="93" fillId="0" borderId="0" xfId="3" applyFont="1" applyAlignment="1">
      <alignment horizontal="right" vertical="top" wrapText="1"/>
    </xf>
    <xf numFmtId="0" fontId="148" fillId="0" borderId="0" xfId="3" applyFont="1" applyAlignment="1">
      <alignment horizontal="center" vertical="top" wrapText="1"/>
    </xf>
    <xf numFmtId="0" fontId="65" fillId="0" borderId="0" xfId="605" applyFont="1" applyAlignment="1">
      <alignment horizontal="center" vertical="top"/>
    </xf>
    <xf numFmtId="0" fontId="92" fillId="0" borderId="0" xfId="605" applyFont="1" applyAlignment="1">
      <alignment horizontal="center" vertical="top"/>
    </xf>
    <xf numFmtId="0" fontId="149" fillId="0" borderId="0" xfId="3" applyFont="1" applyAlignment="1">
      <alignment horizontal="center" vertical="top"/>
    </xf>
    <xf numFmtId="0" fontId="8" fillId="0" borderId="81" xfId="3" applyFont="1" applyBorder="1" applyAlignment="1">
      <alignment horizontal="center" vertical="top" wrapText="1"/>
    </xf>
    <xf numFmtId="0" fontId="8" fillId="0" borderId="82" xfId="3" applyFont="1" applyBorder="1" applyAlignment="1">
      <alignment horizontal="center" vertical="top" wrapText="1"/>
    </xf>
    <xf numFmtId="0" fontId="8" fillId="0" borderId="76" xfId="3" applyFont="1" applyBorder="1" applyAlignment="1">
      <alignment horizontal="center" vertical="top" wrapText="1"/>
    </xf>
    <xf numFmtId="0" fontId="8" fillId="0" borderId="25" xfId="3" applyFont="1" applyBorder="1" applyAlignment="1">
      <alignment horizontal="center" vertical="top" wrapText="1"/>
    </xf>
    <xf numFmtId="0" fontId="8" fillId="0" borderId="27" xfId="3" applyFont="1" applyBorder="1" applyAlignment="1">
      <alignment horizontal="center" vertical="top" wrapText="1"/>
    </xf>
    <xf numFmtId="0" fontId="8" fillId="0" borderId="11" xfId="3" applyFont="1" applyBorder="1" applyAlignment="1">
      <alignment horizontal="center" vertical="top" wrapText="1"/>
    </xf>
    <xf numFmtId="0" fontId="8" fillId="0" borderId="73" xfId="3" applyFont="1" applyBorder="1" applyAlignment="1">
      <alignment horizontal="center" vertical="top"/>
    </xf>
    <xf numFmtId="0" fontId="8" fillId="0" borderId="57" xfId="3" applyFont="1" applyBorder="1" applyAlignment="1">
      <alignment horizontal="center" vertical="top"/>
    </xf>
    <xf numFmtId="0" fontId="8" fillId="0" borderId="74" xfId="3" applyFont="1" applyBorder="1" applyAlignment="1">
      <alignment horizontal="center" vertical="top"/>
    </xf>
    <xf numFmtId="0" fontId="57" fillId="0" borderId="70" xfId="3" applyFont="1" applyBorder="1" applyAlignment="1">
      <alignment horizontal="center" vertical="top" wrapText="1"/>
    </xf>
    <xf numFmtId="0" fontId="93" fillId="0" borderId="27" xfId="3" applyFont="1" applyBorder="1" applyAlignment="1">
      <alignment horizontal="center" vertical="top"/>
    </xf>
    <xf numFmtId="0" fontId="8" fillId="36" borderId="70" xfId="3" applyFont="1" applyFill="1" applyBorder="1" applyAlignment="1">
      <alignment horizontal="center" vertical="top" wrapText="1"/>
    </xf>
    <xf numFmtId="0" fontId="58" fillId="0" borderId="70" xfId="3" applyFont="1" applyBorder="1" applyAlignment="1">
      <alignment horizontal="center" vertical="top" wrapText="1"/>
    </xf>
    <xf numFmtId="0" fontId="149" fillId="0" borderId="0" xfId="3" applyFont="1" applyAlignment="1">
      <alignment horizontal="center" vertical="top" wrapText="1"/>
    </xf>
    <xf numFmtId="0" fontId="107" fillId="42" borderId="70" xfId="640" applyFill="1" applyBorder="1" applyAlignment="1">
      <alignment horizontal="center" vertical="top" wrapText="1"/>
    </xf>
    <xf numFmtId="0" fontId="5" fillId="41" borderId="70" xfId="640" applyNumberFormat="1" applyFont="1" applyFill="1" applyBorder="1" applyAlignment="1">
      <alignment vertical="top" wrapText="1"/>
    </xf>
    <xf numFmtId="0" fontId="107" fillId="0" borderId="70" xfId="640" applyBorder="1" applyAlignment="1">
      <alignment horizontal="center" vertical="top" wrapText="1"/>
    </xf>
    <xf numFmtId="2" fontId="101" fillId="4" borderId="70" xfId="0" applyNumberFormat="1" applyFont="1" applyFill="1" applyBorder="1" applyAlignment="1">
      <alignment horizontal="center" vertical="top" wrapText="1"/>
    </xf>
    <xf numFmtId="2" fontId="101" fillId="0" borderId="70" xfId="0" applyNumberFormat="1" applyFont="1" applyFill="1" applyBorder="1" applyAlignment="1">
      <alignment horizontal="center" vertical="top" wrapText="1"/>
    </xf>
    <xf numFmtId="2" fontId="88" fillId="0" borderId="75" xfId="0" applyNumberFormat="1" applyFont="1" applyFill="1" applyBorder="1" applyAlignment="1">
      <alignment horizontal="center" vertical="top" wrapText="1"/>
    </xf>
    <xf numFmtId="2" fontId="88" fillId="0" borderId="4" xfId="0" applyNumberFormat="1" applyFont="1" applyFill="1" applyBorder="1" applyAlignment="1">
      <alignment horizontal="center" vertical="top" wrapText="1"/>
    </xf>
    <xf numFmtId="2" fontId="88" fillId="0" borderId="70" xfId="0" applyNumberFormat="1" applyFont="1" applyFill="1" applyBorder="1" applyAlignment="1">
      <alignment horizontal="center" vertical="top" wrapText="1"/>
    </xf>
    <xf numFmtId="2" fontId="101" fillId="0" borderId="75" xfId="0" applyNumberFormat="1" applyFont="1" applyFill="1" applyBorder="1" applyAlignment="1">
      <alignment horizontal="center" vertical="top" wrapText="1"/>
    </xf>
    <xf numFmtId="2" fontId="101" fillId="0" borderId="6" xfId="0" applyNumberFormat="1" applyFont="1" applyFill="1" applyBorder="1" applyAlignment="1">
      <alignment horizontal="center" vertical="top" wrapText="1"/>
    </xf>
    <xf numFmtId="2" fontId="101" fillId="0" borderId="4" xfId="0" applyNumberFormat="1" applyFont="1" applyFill="1" applyBorder="1" applyAlignment="1">
      <alignment horizontal="center" vertical="top" wrapText="1"/>
    </xf>
    <xf numFmtId="2" fontId="90" fillId="0" borderId="4" xfId="0" applyNumberFormat="1" applyFont="1" applyFill="1" applyBorder="1" applyAlignment="1">
      <alignment horizontal="center" vertical="top" wrapText="1"/>
    </xf>
    <xf numFmtId="2" fontId="90" fillId="0" borderId="70" xfId="0" applyNumberFormat="1" applyFont="1" applyFill="1" applyBorder="1" applyAlignment="1">
      <alignment horizontal="center" vertical="top" wrapText="1"/>
    </xf>
    <xf numFmtId="2" fontId="101" fillId="53" borderId="70" xfId="0" applyNumberFormat="1" applyFont="1" applyFill="1" applyBorder="1" applyAlignment="1">
      <alignment horizontal="center" vertical="top" wrapText="1"/>
    </xf>
    <xf numFmtId="2" fontId="101" fillId="4" borderId="75" xfId="0" applyNumberFormat="1" applyFont="1" applyFill="1" applyBorder="1" applyAlignment="1">
      <alignment horizontal="center" vertical="top" wrapText="1"/>
    </xf>
    <xf numFmtId="2" fontId="101" fillId="4" borderId="6" xfId="0" applyNumberFormat="1" applyFont="1" applyFill="1" applyBorder="1" applyAlignment="1">
      <alignment horizontal="center" vertical="top" wrapText="1"/>
    </xf>
    <xf numFmtId="2" fontId="101" fillId="4" borderId="4" xfId="0" applyNumberFormat="1" applyFont="1" applyFill="1" applyBorder="1" applyAlignment="1">
      <alignment horizontal="center" vertical="top" wrapText="1"/>
    </xf>
    <xf numFmtId="49" fontId="101" fillId="0" borderId="70" xfId="0" applyNumberFormat="1" applyFont="1" applyFill="1" applyBorder="1" applyAlignment="1">
      <alignment horizontal="center" vertical="top" wrapText="1"/>
    </xf>
    <xf numFmtId="2" fontId="101" fillId="0" borderId="73" xfId="0" applyNumberFormat="1" applyFont="1" applyFill="1" applyBorder="1" applyAlignment="1">
      <alignment horizontal="center" vertical="top" wrapText="1"/>
    </xf>
    <xf numFmtId="2" fontId="101" fillId="0" borderId="57" xfId="0" applyNumberFormat="1" applyFont="1" applyFill="1" applyBorder="1" applyAlignment="1">
      <alignment horizontal="center" vertical="top" wrapText="1"/>
    </xf>
    <xf numFmtId="2" fontId="101" fillId="0" borderId="74" xfId="0" applyNumberFormat="1" applyFont="1" applyFill="1" applyBorder="1" applyAlignment="1">
      <alignment horizontal="center" vertical="top" wrapText="1"/>
    </xf>
    <xf numFmtId="0" fontId="207" fillId="52" borderId="70" xfId="0" applyFont="1" applyFill="1" applyBorder="1" applyAlignment="1">
      <alignment horizontal="center" vertical="top"/>
    </xf>
    <xf numFmtId="1" fontId="101" fillId="0" borderId="75" xfId="0" applyNumberFormat="1" applyFont="1" applyFill="1" applyBorder="1" applyAlignment="1">
      <alignment horizontal="center" vertical="top" wrapText="1"/>
    </xf>
    <xf numFmtId="0" fontId="0" fillId="0" borderId="6" xfId="0" applyBorder="1"/>
    <xf numFmtId="1" fontId="101" fillId="0" borderId="73" xfId="0" applyNumberFormat="1" applyFont="1" applyFill="1" applyBorder="1" applyAlignment="1">
      <alignment horizontal="center" vertical="top" wrapText="1"/>
    </xf>
    <xf numFmtId="1" fontId="101" fillId="0" borderId="57" xfId="0" applyNumberFormat="1" applyFont="1" applyFill="1" applyBorder="1" applyAlignment="1">
      <alignment horizontal="center" vertical="top" wrapText="1"/>
    </xf>
    <xf numFmtId="1" fontId="101" fillId="0" borderId="74" xfId="0" applyNumberFormat="1" applyFont="1" applyFill="1" applyBorder="1" applyAlignment="1">
      <alignment horizontal="center" vertical="top" wrapText="1"/>
    </xf>
    <xf numFmtId="1" fontId="101" fillId="0" borderId="70" xfId="0" applyNumberFormat="1" applyFont="1" applyFill="1" applyBorder="1" applyAlignment="1">
      <alignment horizontal="center" vertical="top" wrapText="1"/>
    </xf>
    <xf numFmtId="2" fontId="101" fillId="0" borderId="81" xfId="0" applyNumberFormat="1" applyFont="1" applyFill="1" applyBorder="1" applyAlignment="1">
      <alignment horizontal="center" vertical="top" wrapText="1"/>
    </xf>
    <xf numFmtId="2" fontId="101" fillId="0" borderId="26" xfId="0" applyNumberFormat="1" applyFont="1" applyFill="1" applyBorder="1" applyAlignment="1">
      <alignment horizontal="center" vertical="top" wrapText="1"/>
    </xf>
    <xf numFmtId="2" fontId="101" fillId="0" borderId="25" xfId="0" applyNumberFormat="1" applyFont="1" applyFill="1" applyBorder="1" applyAlignment="1">
      <alignment horizontal="center" vertical="top" wrapText="1"/>
    </xf>
    <xf numFmtId="0" fontId="36" fillId="0" borderId="75" xfId="0" applyFont="1" applyBorder="1" applyAlignment="1">
      <alignment horizontal="center" vertical="top" wrapText="1"/>
    </xf>
    <xf numFmtId="0" fontId="36" fillId="0" borderId="6" xfId="0" applyFont="1" applyBorder="1" applyAlignment="1">
      <alignment horizontal="center" vertical="top" wrapText="1"/>
    </xf>
    <xf numFmtId="0" fontId="207" fillId="0" borderId="70" xfId="0" applyFont="1" applyBorder="1" applyAlignment="1">
      <alignment horizontal="center" vertical="top"/>
    </xf>
    <xf numFmtId="0" fontId="207" fillId="0" borderId="70" xfId="0" applyFont="1" applyBorder="1" applyAlignment="1">
      <alignment horizontal="center" vertical="top" wrapText="1"/>
    </xf>
    <xf numFmtId="2" fontId="101" fillId="5" borderId="75" xfId="0" applyNumberFormat="1" applyFont="1" applyFill="1" applyBorder="1" applyAlignment="1">
      <alignment horizontal="center" vertical="top" wrapText="1"/>
    </xf>
    <xf numFmtId="2" fontId="101" fillId="5" borderId="6" xfId="0" applyNumberFormat="1" applyFont="1" applyFill="1" applyBorder="1" applyAlignment="1">
      <alignment horizontal="center" vertical="top" wrapText="1"/>
    </xf>
    <xf numFmtId="2" fontId="101" fillId="5" borderId="4" xfId="0" applyNumberFormat="1" applyFont="1" applyFill="1" applyBorder="1" applyAlignment="1">
      <alignment horizontal="center" vertical="top" wrapText="1"/>
    </xf>
    <xf numFmtId="2" fontId="101" fillId="53" borderId="75" xfId="0" applyNumberFormat="1" applyFont="1" applyFill="1" applyBorder="1" applyAlignment="1">
      <alignment horizontal="center" vertical="top" wrapText="1"/>
    </xf>
    <xf numFmtId="2" fontId="101" fillId="53" borderId="6" xfId="0" applyNumberFormat="1" applyFont="1" applyFill="1" applyBorder="1" applyAlignment="1">
      <alignment horizontal="center" vertical="top" wrapText="1"/>
    </xf>
    <xf numFmtId="2" fontId="101" fillId="53" borderId="4" xfId="0" applyNumberFormat="1" applyFont="1" applyFill="1" applyBorder="1" applyAlignment="1">
      <alignment horizontal="center" vertical="top" wrapText="1"/>
    </xf>
    <xf numFmtId="2" fontId="101" fillId="5" borderId="70" xfId="0" applyNumberFormat="1" applyFont="1" applyFill="1" applyBorder="1" applyAlignment="1">
      <alignment horizontal="center" vertical="top" wrapText="1"/>
    </xf>
    <xf numFmtId="49" fontId="101" fillId="0" borderId="81" xfId="0" applyNumberFormat="1" applyFont="1" applyFill="1" applyBorder="1" applyAlignment="1">
      <alignment horizontal="center" vertical="top" wrapText="1"/>
    </xf>
    <xf numFmtId="49" fontId="101" fillId="0" borderId="76" xfId="0" applyNumberFormat="1" applyFont="1" applyFill="1" applyBorder="1" applyAlignment="1">
      <alignment horizontal="center" vertical="top" wrapText="1"/>
    </xf>
    <xf numFmtId="49" fontId="101" fillId="0" borderId="26" xfId="0" applyNumberFormat="1" applyFont="1" applyFill="1" applyBorder="1" applyAlignment="1">
      <alignment horizontal="center" vertical="top" wrapText="1"/>
    </xf>
    <xf numFmtId="49" fontId="101" fillId="0" borderId="10" xfId="0" applyNumberFormat="1" applyFont="1" applyFill="1" applyBorder="1" applyAlignment="1">
      <alignment horizontal="center" vertical="top" wrapText="1"/>
    </xf>
    <xf numFmtId="1" fontId="101" fillId="5" borderId="75" xfId="0" applyNumberFormat="1" applyFont="1" applyFill="1" applyBorder="1" applyAlignment="1">
      <alignment horizontal="center" vertical="top" wrapText="1"/>
    </xf>
    <xf numFmtId="0" fontId="0" fillId="5" borderId="6" xfId="0" applyFill="1" applyBorder="1"/>
    <xf numFmtId="0" fontId="0" fillId="5" borderId="4" xfId="0" applyFill="1" applyBorder="1"/>
    <xf numFmtId="0" fontId="207" fillId="0" borderId="73" xfId="0" applyFont="1" applyBorder="1" applyAlignment="1">
      <alignment horizontal="center" vertical="top"/>
    </xf>
    <xf numFmtId="0" fontId="207" fillId="0" borderId="57" xfId="0" applyFont="1" applyBorder="1" applyAlignment="1">
      <alignment horizontal="center" vertical="top"/>
    </xf>
    <xf numFmtId="0" fontId="207" fillId="0" borderId="74" xfId="0" applyFont="1" applyBorder="1" applyAlignment="1">
      <alignment horizontal="center" vertical="top"/>
    </xf>
    <xf numFmtId="4" fontId="9" fillId="55" borderId="75" xfId="583" applyNumberFormat="1" applyFont="1" applyFill="1" applyBorder="1" applyAlignment="1">
      <alignment horizontal="center" vertical="top" wrapText="1"/>
    </xf>
    <xf numFmtId="4" fontId="9" fillId="55" borderId="4" xfId="583" applyNumberFormat="1" applyFont="1" applyFill="1" applyBorder="1" applyAlignment="1">
      <alignment horizontal="center" vertical="top" wrapText="1"/>
    </xf>
    <xf numFmtId="4" fontId="11" fillId="33" borderId="73" xfId="583" applyNumberFormat="1" applyFont="1" applyFill="1" applyBorder="1" applyAlignment="1">
      <alignment horizontal="center" vertical="center" wrapText="1"/>
    </xf>
    <xf numFmtId="4" fontId="11" fillId="33" borderId="57" xfId="583" applyNumberFormat="1" applyFont="1" applyFill="1" applyBorder="1" applyAlignment="1">
      <alignment horizontal="center" vertical="center" wrapText="1"/>
    </xf>
    <xf numFmtId="4" fontId="11" fillId="33" borderId="74" xfId="583" applyNumberFormat="1" applyFont="1" applyFill="1" applyBorder="1" applyAlignment="1">
      <alignment horizontal="center" vertical="center" wrapText="1"/>
    </xf>
    <xf numFmtId="4" fontId="11" fillId="31" borderId="73" xfId="583" applyNumberFormat="1" applyFont="1" applyFill="1" applyBorder="1" applyAlignment="1">
      <alignment horizontal="center" vertical="center" wrapText="1"/>
    </xf>
    <xf numFmtId="4" fontId="11" fillId="31" borderId="57" xfId="583" applyNumberFormat="1" applyFont="1" applyFill="1" applyBorder="1" applyAlignment="1">
      <alignment horizontal="center" vertical="center" wrapText="1"/>
    </xf>
    <xf numFmtId="4" fontId="11" fillId="31" borderId="74" xfId="583" applyNumberFormat="1" applyFont="1" applyFill="1" applyBorder="1" applyAlignment="1">
      <alignment horizontal="center" vertical="center" wrapText="1"/>
    </xf>
    <xf numFmtId="0" fontId="0" fillId="31" borderId="57" xfId="0" applyFill="1" applyBorder="1"/>
    <xf numFmtId="0" fontId="0" fillId="31" borderId="74" xfId="0" applyFill="1" applyBorder="1"/>
    <xf numFmtId="0" fontId="9" fillId="55" borderId="70" xfId="583" applyFont="1" applyFill="1" applyBorder="1" applyAlignment="1">
      <alignment horizontal="center" vertical="center" wrapText="1"/>
    </xf>
    <xf numFmtId="4" fontId="9" fillId="0" borderId="70" xfId="583" applyNumberFormat="1" applyFont="1" applyFill="1" applyBorder="1" applyAlignment="1">
      <alignment horizontal="center" vertical="top" wrapText="1"/>
    </xf>
    <xf numFmtId="4" fontId="9" fillId="0" borderId="75" xfId="583" applyNumberFormat="1" applyFont="1" applyFill="1" applyBorder="1" applyAlignment="1">
      <alignment horizontal="center" vertical="top" wrapText="1"/>
    </xf>
    <xf numFmtId="4" fontId="9" fillId="0" borderId="6" xfId="583" applyNumberFormat="1" applyFont="1" applyFill="1" applyBorder="1" applyAlignment="1">
      <alignment horizontal="center" vertical="top" wrapText="1"/>
    </xf>
    <xf numFmtId="4" fontId="9" fillId="0" borderId="4" xfId="583" applyNumberFormat="1" applyFont="1" applyFill="1" applyBorder="1" applyAlignment="1">
      <alignment horizontal="center" vertical="top" wrapText="1"/>
    </xf>
    <xf numFmtId="0" fontId="9" fillId="33" borderId="73" xfId="583" applyFont="1" applyFill="1" applyBorder="1" applyAlignment="1">
      <alignment horizontal="center" vertical="center" wrapText="1"/>
    </xf>
    <xf numFmtId="0" fontId="9" fillId="33" borderId="57" xfId="583" applyFont="1" applyFill="1" applyBorder="1" applyAlignment="1">
      <alignment horizontal="center" vertical="center" wrapText="1"/>
    </xf>
    <xf numFmtId="0" fontId="9" fillId="33" borderId="74" xfId="583" applyFont="1" applyFill="1" applyBorder="1" applyAlignment="1">
      <alignment horizontal="center" vertical="center" wrapText="1"/>
    </xf>
    <xf numFmtId="0" fontId="9" fillId="31" borderId="73" xfId="583" applyFont="1" applyFill="1" applyBorder="1" applyAlignment="1">
      <alignment horizontal="center" vertical="center" wrapText="1"/>
    </xf>
    <xf numFmtId="0" fontId="9" fillId="31" borderId="57" xfId="583" applyFont="1" applyFill="1" applyBorder="1" applyAlignment="1">
      <alignment horizontal="center" vertical="center" wrapText="1"/>
    </xf>
    <xf numFmtId="0" fontId="9" fillId="31" borderId="74" xfId="583" applyFont="1" applyFill="1" applyBorder="1" applyAlignment="1">
      <alignment horizontal="center" vertical="center" wrapText="1"/>
    </xf>
    <xf numFmtId="4" fontId="10" fillId="55" borderId="81" xfId="583" applyNumberFormat="1" applyFont="1" applyFill="1" applyBorder="1" applyAlignment="1">
      <alignment horizontal="center" vertical="top" wrapText="1"/>
    </xf>
    <xf numFmtId="4" fontId="10" fillId="55" borderId="76" xfId="583" applyNumberFormat="1" applyFont="1" applyFill="1" applyBorder="1" applyAlignment="1">
      <alignment horizontal="center" vertical="top" wrapText="1"/>
    </xf>
    <xf numFmtId="0" fontId="10" fillId="0" borderId="70" xfId="583" applyFont="1" applyBorder="1" applyAlignment="1">
      <alignment horizontal="center" vertical="center" wrapText="1"/>
    </xf>
    <xf numFmtId="0" fontId="10" fillId="0" borderId="73" xfId="583" applyFont="1" applyBorder="1" applyAlignment="1">
      <alignment horizontal="center" vertical="center" wrapText="1"/>
    </xf>
    <xf numFmtId="0" fontId="10" fillId="0" borderId="57" xfId="583" applyFont="1" applyBorder="1" applyAlignment="1">
      <alignment horizontal="center" vertical="center" wrapText="1"/>
    </xf>
    <xf numFmtId="0" fontId="10" fillId="0" borderId="74" xfId="583" applyFont="1" applyBorder="1" applyAlignment="1">
      <alignment horizontal="center" vertical="center" wrapText="1"/>
    </xf>
    <xf numFmtId="0" fontId="10" fillId="33" borderId="70" xfId="583" applyFont="1" applyFill="1" applyBorder="1" applyAlignment="1">
      <alignment horizontal="center" vertical="center" wrapText="1"/>
    </xf>
    <xf numFmtId="0" fontId="9" fillId="33" borderId="70" xfId="583" applyFont="1" applyFill="1" applyBorder="1" applyAlignment="1">
      <alignment horizontal="center" vertical="center" wrapText="1"/>
    </xf>
    <xf numFmtId="0" fontId="9" fillId="31" borderId="70" xfId="583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 vertical="center"/>
    </xf>
    <xf numFmtId="1" fontId="0" fillId="0" borderId="70" xfId="0" applyNumberFormat="1" applyBorder="1" applyAlignment="1">
      <alignment horizontal="center" vertical="center"/>
    </xf>
  </cellXfs>
  <cellStyles count="9832">
    <cellStyle name="20% - Акцент1 10" xfId="10" xr:uid="{00000000-0005-0000-0000-000000000000}"/>
    <cellStyle name="20% - Акцент1 2" xfId="11" xr:uid="{00000000-0005-0000-0000-000001000000}"/>
    <cellStyle name="20% - Акцент1 3" xfId="12" xr:uid="{00000000-0005-0000-0000-000002000000}"/>
    <cellStyle name="20% - Акцент1 4" xfId="13" xr:uid="{00000000-0005-0000-0000-000003000000}"/>
    <cellStyle name="20% - Акцент1 5" xfId="14" xr:uid="{00000000-0005-0000-0000-000004000000}"/>
    <cellStyle name="20% - Акцент1 6" xfId="15" xr:uid="{00000000-0005-0000-0000-000005000000}"/>
    <cellStyle name="20% - Акцент1 7" xfId="16" xr:uid="{00000000-0005-0000-0000-000006000000}"/>
    <cellStyle name="20% - Акцент1 8" xfId="17" xr:uid="{00000000-0005-0000-0000-000007000000}"/>
    <cellStyle name="20% - Акцент1 9" xfId="18" xr:uid="{00000000-0005-0000-0000-000008000000}"/>
    <cellStyle name="20% - Акцент2 10" xfId="19" xr:uid="{00000000-0005-0000-0000-000009000000}"/>
    <cellStyle name="20% - Акцент2 2" xfId="20" xr:uid="{00000000-0005-0000-0000-00000A000000}"/>
    <cellStyle name="20% - Акцент2 3" xfId="21" xr:uid="{00000000-0005-0000-0000-00000B000000}"/>
    <cellStyle name="20% - Акцент2 4" xfId="22" xr:uid="{00000000-0005-0000-0000-00000C000000}"/>
    <cellStyle name="20% - Акцент2 5" xfId="23" xr:uid="{00000000-0005-0000-0000-00000D000000}"/>
    <cellStyle name="20% - Акцент2 6" xfId="24" xr:uid="{00000000-0005-0000-0000-00000E000000}"/>
    <cellStyle name="20% - Акцент2 7" xfId="25" xr:uid="{00000000-0005-0000-0000-00000F000000}"/>
    <cellStyle name="20% - Акцент2 8" xfId="26" xr:uid="{00000000-0005-0000-0000-000010000000}"/>
    <cellStyle name="20% - Акцент2 9" xfId="27" xr:uid="{00000000-0005-0000-0000-000011000000}"/>
    <cellStyle name="20% - Акцент3 10" xfId="28" xr:uid="{00000000-0005-0000-0000-000012000000}"/>
    <cellStyle name="20% - Акцент3 2" xfId="29" xr:uid="{00000000-0005-0000-0000-000013000000}"/>
    <cellStyle name="20% - Акцент3 3" xfId="30" xr:uid="{00000000-0005-0000-0000-000014000000}"/>
    <cellStyle name="20% - Акцент3 4" xfId="31" xr:uid="{00000000-0005-0000-0000-000015000000}"/>
    <cellStyle name="20% - Акцент3 5" xfId="32" xr:uid="{00000000-0005-0000-0000-000016000000}"/>
    <cellStyle name="20% - Акцент3 6" xfId="33" xr:uid="{00000000-0005-0000-0000-000017000000}"/>
    <cellStyle name="20% - Акцент3 7" xfId="34" xr:uid="{00000000-0005-0000-0000-000018000000}"/>
    <cellStyle name="20% - Акцент3 8" xfId="35" xr:uid="{00000000-0005-0000-0000-000019000000}"/>
    <cellStyle name="20% - Акцент3 9" xfId="36" xr:uid="{00000000-0005-0000-0000-00001A000000}"/>
    <cellStyle name="20% - Акцент4 10" xfId="37" xr:uid="{00000000-0005-0000-0000-00001B000000}"/>
    <cellStyle name="20% - Акцент4 2" xfId="38" xr:uid="{00000000-0005-0000-0000-00001C000000}"/>
    <cellStyle name="20% - Акцент4 3" xfId="39" xr:uid="{00000000-0005-0000-0000-00001D000000}"/>
    <cellStyle name="20% - Акцент4 4" xfId="40" xr:uid="{00000000-0005-0000-0000-00001E000000}"/>
    <cellStyle name="20% - Акцент4 5" xfId="41" xr:uid="{00000000-0005-0000-0000-00001F000000}"/>
    <cellStyle name="20% - Акцент4 6" xfId="42" xr:uid="{00000000-0005-0000-0000-000020000000}"/>
    <cellStyle name="20% - Акцент4 7" xfId="43" xr:uid="{00000000-0005-0000-0000-000021000000}"/>
    <cellStyle name="20% - Акцент4 8" xfId="44" xr:uid="{00000000-0005-0000-0000-000022000000}"/>
    <cellStyle name="20% - Акцент4 9" xfId="45" xr:uid="{00000000-0005-0000-0000-000023000000}"/>
    <cellStyle name="20% - Акцент5 10" xfId="46" xr:uid="{00000000-0005-0000-0000-000024000000}"/>
    <cellStyle name="20% - Акцент5 2" xfId="47" xr:uid="{00000000-0005-0000-0000-000025000000}"/>
    <cellStyle name="20% - Акцент5 3" xfId="48" xr:uid="{00000000-0005-0000-0000-000026000000}"/>
    <cellStyle name="20% - Акцент5 4" xfId="49" xr:uid="{00000000-0005-0000-0000-000027000000}"/>
    <cellStyle name="20% - Акцент5 5" xfId="50" xr:uid="{00000000-0005-0000-0000-000028000000}"/>
    <cellStyle name="20% - Акцент5 6" xfId="51" xr:uid="{00000000-0005-0000-0000-000029000000}"/>
    <cellStyle name="20% - Акцент5 7" xfId="52" xr:uid="{00000000-0005-0000-0000-00002A000000}"/>
    <cellStyle name="20% - Акцент5 8" xfId="53" xr:uid="{00000000-0005-0000-0000-00002B000000}"/>
    <cellStyle name="20% - Акцент5 9" xfId="54" xr:uid="{00000000-0005-0000-0000-00002C000000}"/>
    <cellStyle name="20% - Акцент6 10" xfId="55" xr:uid="{00000000-0005-0000-0000-00002D000000}"/>
    <cellStyle name="20% - Акцент6 2" xfId="56" xr:uid="{00000000-0005-0000-0000-00002E000000}"/>
    <cellStyle name="20% - Акцент6 3" xfId="57" xr:uid="{00000000-0005-0000-0000-00002F000000}"/>
    <cellStyle name="20% - Акцент6 4" xfId="58" xr:uid="{00000000-0005-0000-0000-000030000000}"/>
    <cellStyle name="20% - Акцент6 5" xfId="59" xr:uid="{00000000-0005-0000-0000-000031000000}"/>
    <cellStyle name="20% - Акцент6 6" xfId="60" xr:uid="{00000000-0005-0000-0000-000032000000}"/>
    <cellStyle name="20% - Акцент6 7" xfId="61" xr:uid="{00000000-0005-0000-0000-000033000000}"/>
    <cellStyle name="20% - Акцент6 8" xfId="62" xr:uid="{00000000-0005-0000-0000-000034000000}"/>
    <cellStyle name="20% - Акцент6 9" xfId="63" xr:uid="{00000000-0005-0000-0000-000035000000}"/>
    <cellStyle name="40% - Акцент1 10" xfId="64" xr:uid="{00000000-0005-0000-0000-000036000000}"/>
    <cellStyle name="40% - Акцент1 2" xfId="65" xr:uid="{00000000-0005-0000-0000-000037000000}"/>
    <cellStyle name="40% - Акцент1 3" xfId="66" xr:uid="{00000000-0005-0000-0000-000038000000}"/>
    <cellStyle name="40% - Акцент1 4" xfId="67" xr:uid="{00000000-0005-0000-0000-000039000000}"/>
    <cellStyle name="40% - Акцент1 5" xfId="68" xr:uid="{00000000-0005-0000-0000-00003A000000}"/>
    <cellStyle name="40% - Акцент1 6" xfId="69" xr:uid="{00000000-0005-0000-0000-00003B000000}"/>
    <cellStyle name="40% - Акцент1 7" xfId="70" xr:uid="{00000000-0005-0000-0000-00003C000000}"/>
    <cellStyle name="40% - Акцент1 8" xfId="71" xr:uid="{00000000-0005-0000-0000-00003D000000}"/>
    <cellStyle name="40% - Акцент1 9" xfId="72" xr:uid="{00000000-0005-0000-0000-00003E000000}"/>
    <cellStyle name="40% - Акцент2 10" xfId="73" xr:uid="{00000000-0005-0000-0000-00003F000000}"/>
    <cellStyle name="40% - Акцент2 2" xfId="74" xr:uid="{00000000-0005-0000-0000-000040000000}"/>
    <cellStyle name="40% - Акцент2 3" xfId="75" xr:uid="{00000000-0005-0000-0000-000041000000}"/>
    <cellStyle name="40% - Акцент2 4" xfId="76" xr:uid="{00000000-0005-0000-0000-000042000000}"/>
    <cellStyle name="40% - Акцент2 5" xfId="77" xr:uid="{00000000-0005-0000-0000-000043000000}"/>
    <cellStyle name="40% - Акцент2 6" xfId="78" xr:uid="{00000000-0005-0000-0000-000044000000}"/>
    <cellStyle name="40% - Акцент2 7" xfId="79" xr:uid="{00000000-0005-0000-0000-000045000000}"/>
    <cellStyle name="40% - Акцент2 8" xfId="80" xr:uid="{00000000-0005-0000-0000-000046000000}"/>
    <cellStyle name="40% - Акцент2 9" xfId="81" xr:uid="{00000000-0005-0000-0000-000047000000}"/>
    <cellStyle name="40% - Акцент3 10" xfId="82" xr:uid="{00000000-0005-0000-0000-000048000000}"/>
    <cellStyle name="40% - Акцент3 2" xfId="83" xr:uid="{00000000-0005-0000-0000-000049000000}"/>
    <cellStyle name="40% - Акцент3 3" xfId="84" xr:uid="{00000000-0005-0000-0000-00004A000000}"/>
    <cellStyle name="40% - Акцент3 4" xfId="85" xr:uid="{00000000-0005-0000-0000-00004B000000}"/>
    <cellStyle name="40% - Акцент3 5" xfId="86" xr:uid="{00000000-0005-0000-0000-00004C000000}"/>
    <cellStyle name="40% - Акцент3 6" xfId="87" xr:uid="{00000000-0005-0000-0000-00004D000000}"/>
    <cellStyle name="40% - Акцент3 7" xfId="88" xr:uid="{00000000-0005-0000-0000-00004E000000}"/>
    <cellStyle name="40% - Акцент3 8" xfId="89" xr:uid="{00000000-0005-0000-0000-00004F000000}"/>
    <cellStyle name="40% - Акцент3 9" xfId="90" xr:uid="{00000000-0005-0000-0000-000050000000}"/>
    <cellStyle name="40% - Акцент4 10" xfId="91" xr:uid="{00000000-0005-0000-0000-000051000000}"/>
    <cellStyle name="40% - Акцент4 2" xfId="92" xr:uid="{00000000-0005-0000-0000-000052000000}"/>
    <cellStyle name="40% - Акцент4 3" xfId="93" xr:uid="{00000000-0005-0000-0000-000053000000}"/>
    <cellStyle name="40% - Акцент4 4" xfId="94" xr:uid="{00000000-0005-0000-0000-000054000000}"/>
    <cellStyle name="40% - Акцент4 5" xfId="95" xr:uid="{00000000-0005-0000-0000-000055000000}"/>
    <cellStyle name="40% - Акцент4 6" xfId="96" xr:uid="{00000000-0005-0000-0000-000056000000}"/>
    <cellStyle name="40% - Акцент4 7" xfId="97" xr:uid="{00000000-0005-0000-0000-000057000000}"/>
    <cellStyle name="40% - Акцент4 8" xfId="98" xr:uid="{00000000-0005-0000-0000-000058000000}"/>
    <cellStyle name="40% - Акцент4 9" xfId="99" xr:uid="{00000000-0005-0000-0000-000059000000}"/>
    <cellStyle name="40% - Акцент5 10" xfId="100" xr:uid="{00000000-0005-0000-0000-00005A000000}"/>
    <cellStyle name="40% - Акцент5 2" xfId="101" xr:uid="{00000000-0005-0000-0000-00005B000000}"/>
    <cellStyle name="40% - Акцент5 3" xfId="102" xr:uid="{00000000-0005-0000-0000-00005C000000}"/>
    <cellStyle name="40% - Акцент5 4" xfId="103" xr:uid="{00000000-0005-0000-0000-00005D000000}"/>
    <cellStyle name="40% - Акцент5 5" xfId="104" xr:uid="{00000000-0005-0000-0000-00005E000000}"/>
    <cellStyle name="40% - Акцент5 6" xfId="105" xr:uid="{00000000-0005-0000-0000-00005F000000}"/>
    <cellStyle name="40% - Акцент5 7" xfId="106" xr:uid="{00000000-0005-0000-0000-000060000000}"/>
    <cellStyle name="40% - Акцент5 8" xfId="107" xr:uid="{00000000-0005-0000-0000-000061000000}"/>
    <cellStyle name="40% - Акцент5 9" xfId="108" xr:uid="{00000000-0005-0000-0000-000062000000}"/>
    <cellStyle name="40% - Акцент6 10" xfId="109" xr:uid="{00000000-0005-0000-0000-000063000000}"/>
    <cellStyle name="40% - Акцент6 2" xfId="110" xr:uid="{00000000-0005-0000-0000-000064000000}"/>
    <cellStyle name="40% - Акцент6 3" xfId="111" xr:uid="{00000000-0005-0000-0000-000065000000}"/>
    <cellStyle name="40% - Акцент6 4" xfId="112" xr:uid="{00000000-0005-0000-0000-000066000000}"/>
    <cellStyle name="40% - Акцент6 5" xfId="113" xr:uid="{00000000-0005-0000-0000-000067000000}"/>
    <cellStyle name="40% - Акцент6 6" xfId="114" xr:uid="{00000000-0005-0000-0000-000068000000}"/>
    <cellStyle name="40% - Акцент6 7" xfId="115" xr:uid="{00000000-0005-0000-0000-000069000000}"/>
    <cellStyle name="40% - Акцент6 8" xfId="116" xr:uid="{00000000-0005-0000-0000-00006A000000}"/>
    <cellStyle name="40% - Акцент6 9" xfId="117" xr:uid="{00000000-0005-0000-0000-00006B000000}"/>
    <cellStyle name="60% - Акцент1 10" xfId="118" xr:uid="{00000000-0005-0000-0000-00006C000000}"/>
    <cellStyle name="60% - Акцент1 2" xfId="119" xr:uid="{00000000-0005-0000-0000-00006D000000}"/>
    <cellStyle name="60% - Акцент1 3" xfId="120" xr:uid="{00000000-0005-0000-0000-00006E000000}"/>
    <cellStyle name="60% - Акцент1 4" xfId="121" xr:uid="{00000000-0005-0000-0000-00006F000000}"/>
    <cellStyle name="60% - Акцент1 5" xfId="122" xr:uid="{00000000-0005-0000-0000-000070000000}"/>
    <cellStyle name="60% - Акцент1 6" xfId="123" xr:uid="{00000000-0005-0000-0000-000071000000}"/>
    <cellStyle name="60% - Акцент1 7" xfId="124" xr:uid="{00000000-0005-0000-0000-000072000000}"/>
    <cellStyle name="60% - Акцент1 8" xfId="125" xr:uid="{00000000-0005-0000-0000-000073000000}"/>
    <cellStyle name="60% - Акцент1 9" xfId="126" xr:uid="{00000000-0005-0000-0000-000074000000}"/>
    <cellStyle name="60% - Акцент2 10" xfId="127" xr:uid="{00000000-0005-0000-0000-000075000000}"/>
    <cellStyle name="60% - Акцент2 2" xfId="128" xr:uid="{00000000-0005-0000-0000-000076000000}"/>
    <cellStyle name="60% - Акцент2 3" xfId="129" xr:uid="{00000000-0005-0000-0000-000077000000}"/>
    <cellStyle name="60% - Акцент2 4" xfId="130" xr:uid="{00000000-0005-0000-0000-000078000000}"/>
    <cellStyle name="60% - Акцент2 5" xfId="131" xr:uid="{00000000-0005-0000-0000-000079000000}"/>
    <cellStyle name="60% - Акцент2 6" xfId="132" xr:uid="{00000000-0005-0000-0000-00007A000000}"/>
    <cellStyle name="60% - Акцент2 7" xfId="133" xr:uid="{00000000-0005-0000-0000-00007B000000}"/>
    <cellStyle name="60% - Акцент2 8" xfId="134" xr:uid="{00000000-0005-0000-0000-00007C000000}"/>
    <cellStyle name="60% - Акцент2 9" xfId="135" xr:uid="{00000000-0005-0000-0000-00007D000000}"/>
    <cellStyle name="60% - Акцент3 10" xfId="136" xr:uid="{00000000-0005-0000-0000-00007E000000}"/>
    <cellStyle name="60% - Акцент3 2" xfId="137" xr:uid="{00000000-0005-0000-0000-00007F000000}"/>
    <cellStyle name="60% - Акцент3 3" xfId="138" xr:uid="{00000000-0005-0000-0000-000080000000}"/>
    <cellStyle name="60% - Акцент3 4" xfId="139" xr:uid="{00000000-0005-0000-0000-000081000000}"/>
    <cellStyle name="60% - Акцент3 5" xfId="140" xr:uid="{00000000-0005-0000-0000-000082000000}"/>
    <cellStyle name="60% - Акцент3 6" xfId="141" xr:uid="{00000000-0005-0000-0000-000083000000}"/>
    <cellStyle name="60% - Акцент3 7" xfId="142" xr:uid="{00000000-0005-0000-0000-000084000000}"/>
    <cellStyle name="60% - Акцент3 8" xfId="143" xr:uid="{00000000-0005-0000-0000-000085000000}"/>
    <cellStyle name="60% - Акцент3 9" xfId="144" xr:uid="{00000000-0005-0000-0000-000086000000}"/>
    <cellStyle name="60% - Акцент4 10" xfId="145" xr:uid="{00000000-0005-0000-0000-000087000000}"/>
    <cellStyle name="60% - Акцент4 2" xfId="146" xr:uid="{00000000-0005-0000-0000-000088000000}"/>
    <cellStyle name="60% - Акцент4 3" xfId="147" xr:uid="{00000000-0005-0000-0000-000089000000}"/>
    <cellStyle name="60% - Акцент4 4" xfId="148" xr:uid="{00000000-0005-0000-0000-00008A000000}"/>
    <cellStyle name="60% - Акцент4 5" xfId="149" xr:uid="{00000000-0005-0000-0000-00008B000000}"/>
    <cellStyle name="60% - Акцент4 6" xfId="150" xr:uid="{00000000-0005-0000-0000-00008C000000}"/>
    <cellStyle name="60% - Акцент4 7" xfId="151" xr:uid="{00000000-0005-0000-0000-00008D000000}"/>
    <cellStyle name="60% - Акцент4 8" xfId="152" xr:uid="{00000000-0005-0000-0000-00008E000000}"/>
    <cellStyle name="60% - Акцент4 9" xfId="153" xr:uid="{00000000-0005-0000-0000-00008F000000}"/>
    <cellStyle name="60% - Акцент5 10" xfId="154" xr:uid="{00000000-0005-0000-0000-000090000000}"/>
    <cellStyle name="60% - Акцент5 2" xfId="155" xr:uid="{00000000-0005-0000-0000-000091000000}"/>
    <cellStyle name="60% - Акцент5 3" xfId="156" xr:uid="{00000000-0005-0000-0000-000092000000}"/>
    <cellStyle name="60% - Акцент5 4" xfId="157" xr:uid="{00000000-0005-0000-0000-000093000000}"/>
    <cellStyle name="60% - Акцент5 5" xfId="158" xr:uid="{00000000-0005-0000-0000-000094000000}"/>
    <cellStyle name="60% - Акцент5 6" xfId="159" xr:uid="{00000000-0005-0000-0000-000095000000}"/>
    <cellStyle name="60% - Акцент5 7" xfId="160" xr:uid="{00000000-0005-0000-0000-000096000000}"/>
    <cellStyle name="60% - Акцент5 8" xfId="161" xr:uid="{00000000-0005-0000-0000-000097000000}"/>
    <cellStyle name="60% - Акцент5 9" xfId="162" xr:uid="{00000000-0005-0000-0000-000098000000}"/>
    <cellStyle name="60% - Акцент6 10" xfId="163" xr:uid="{00000000-0005-0000-0000-000099000000}"/>
    <cellStyle name="60% - Акцент6 2" xfId="164" xr:uid="{00000000-0005-0000-0000-00009A000000}"/>
    <cellStyle name="60% - Акцент6 3" xfId="165" xr:uid="{00000000-0005-0000-0000-00009B000000}"/>
    <cellStyle name="60% - Акцент6 4" xfId="166" xr:uid="{00000000-0005-0000-0000-00009C000000}"/>
    <cellStyle name="60% - Акцент6 5" xfId="167" xr:uid="{00000000-0005-0000-0000-00009D000000}"/>
    <cellStyle name="60% - Акцент6 6" xfId="168" xr:uid="{00000000-0005-0000-0000-00009E000000}"/>
    <cellStyle name="60% - Акцент6 7" xfId="169" xr:uid="{00000000-0005-0000-0000-00009F000000}"/>
    <cellStyle name="60% - Акцент6 8" xfId="170" xr:uid="{00000000-0005-0000-0000-0000A0000000}"/>
    <cellStyle name="60% - Акцент6 9" xfId="171" xr:uid="{00000000-0005-0000-0000-0000A1000000}"/>
    <cellStyle name="Excel Built-in Normal" xfId="1" xr:uid="{00000000-0005-0000-0000-0000A2000000}"/>
    <cellStyle name="Excel Built-in Normal 1" xfId="590" xr:uid="{00000000-0005-0000-0000-0000A3000000}"/>
    <cellStyle name="Excel Built-in Normal 2" xfId="584" xr:uid="{00000000-0005-0000-0000-0000A4000000}"/>
    <cellStyle name="Excel Built-in Normal 3" xfId="585" xr:uid="{00000000-0005-0000-0000-0000A5000000}"/>
    <cellStyle name="Excel Built-in Normal 4" xfId="591" xr:uid="{00000000-0005-0000-0000-0000A6000000}"/>
    <cellStyle name="TableStyleLight1" xfId="592" xr:uid="{00000000-0005-0000-0000-0000A7000000}"/>
    <cellStyle name="Акцент1 10" xfId="172" xr:uid="{00000000-0005-0000-0000-0000A8000000}"/>
    <cellStyle name="Акцент1 2" xfId="173" xr:uid="{00000000-0005-0000-0000-0000A9000000}"/>
    <cellStyle name="Акцент1 3" xfId="174" xr:uid="{00000000-0005-0000-0000-0000AA000000}"/>
    <cellStyle name="Акцент1 4" xfId="175" xr:uid="{00000000-0005-0000-0000-0000AB000000}"/>
    <cellStyle name="Акцент1 5" xfId="176" xr:uid="{00000000-0005-0000-0000-0000AC000000}"/>
    <cellStyle name="Акцент1 6" xfId="177" xr:uid="{00000000-0005-0000-0000-0000AD000000}"/>
    <cellStyle name="Акцент1 7" xfId="178" xr:uid="{00000000-0005-0000-0000-0000AE000000}"/>
    <cellStyle name="Акцент1 8" xfId="179" xr:uid="{00000000-0005-0000-0000-0000AF000000}"/>
    <cellStyle name="Акцент1 9" xfId="180" xr:uid="{00000000-0005-0000-0000-0000B0000000}"/>
    <cellStyle name="Акцент2 10" xfId="181" xr:uid="{00000000-0005-0000-0000-0000B1000000}"/>
    <cellStyle name="Акцент2 2" xfId="182" xr:uid="{00000000-0005-0000-0000-0000B2000000}"/>
    <cellStyle name="Акцент2 3" xfId="183" xr:uid="{00000000-0005-0000-0000-0000B3000000}"/>
    <cellStyle name="Акцент2 4" xfId="184" xr:uid="{00000000-0005-0000-0000-0000B4000000}"/>
    <cellStyle name="Акцент2 5" xfId="185" xr:uid="{00000000-0005-0000-0000-0000B5000000}"/>
    <cellStyle name="Акцент2 6" xfId="186" xr:uid="{00000000-0005-0000-0000-0000B6000000}"/>
    <cellStyle name="Акцент2 7" xfId="187" xr:uid="{00000000-0005-0000-0000-0000B7000000}"/>
    <cellStyle name="Акцент2 8" xfId="188" xr:uid="{00000000-0005-0000-0000-0000B8000000}"/>
    <cellStyle name="Акцент2 9" xfId="189" xr:uid="{00000000-0005-0000-0000-0000B9000000}"/>
    <cellStyle name="Акцент3 10" xfId="190" xr:uid="{00000000-0005-0000-0000-0000BA000000}"/>
    <cellStyle name="Акцент3 2" xfId="191" xr:uid="{00000000-0005-0000-0000-0000BB000000}"/>
    <cellStyle name="Акцент3 3" xfId="192" xr:uid="{00000000-0005-0000-0000-0000BC000000}"/>
    <cellStyle name="Акцент3 4" xfId="193" xr:uid="{00000000-0005-0000-0000-0000BD000000}"/>
    <cellStyle name="Акцент3 5" xfId="194" xr:uid="{00000000-0005-0000-0000-0000BE000000}"/>
    <cellStyle name="Акцент3 6" xfId="195" xr:uid="{00000000-0005-0000-0000-0000BF000000}"/>
    <cellStyle name="Акцент3 7" xfId="196" xr:uid="{00000000-0005-0000-0000-0000C0000000}"/>
    <cellStyle name="Акцент3 8" xfId="197" xr:uid="{00000000-0005-0000-0000-0000C1000000}"/>
    <cellStyle name="Акцент3 9" xfId="198" xr:uid="{00000000-0005-0000-0000-0000C2000000}"/>
    <cellStyle name="Акцент4 10" xfId="199" xr:uid="{00000000-0005-0000-0000-0000C3000000}"/>
    <cellStyle name="Акцент4 2" xfId="200" xr:uid="{00000000-0005-0000-0000-0000C4000000}"/>
    <cellStyle name="Акцент4 3" xfId="201" xr:uid="{00000000-0005-0000-0000-0000C5000000}"/>
    <cellStyle name="Акцент4 4" xfId="202" xr:uid="{00000000-0005-0000-0000-0000C6000000}"/>
    <cellStyle name="Акцент4 5" xfId="203" xr:uid="{00000000-0005-0000-0000-0000C7000000}"/>
    <cellStyle name="Акцент4 6" xfId="204" xr:uid="{00000000-0005-0000-0000-0000C8000000}"/>
    <cellStyle name="Акцент4 7" xfId="205" xr:uid="{00000000-0005-0000-0000-0000C9000000}"/>
    <cellStyle name="Акцент4 8" xfId="206" xr:uid="{00000000-0005-0000-0000-0000CA000000}"/>
    <cellStyle name="Акцент4 9" xfId="207" xr:uid="{00000000-0005-0000-0000-0000CB000000}"/>
    <cellStyle name="Акцент5 10" xfId="208" xr:uid="{00000000-0005-0000-0000-0000CC000000}"/>
    <cellStyle name="Акцент5 2" xfId="209" xr:uid="{00000000-0005-0000-0000-0000CD000000}"/>
    <cellStyle name="Акцент5 3" xfId="210" xr:uid="{00000000-0005-0000-0000-0000CE000000}"/>
    <cellStyle name="Акцент5 4" xfId="211" xr:uid="{00000000-0005-0000-0000-0000CF000000}"/>
    <cellStyle name="Акцент5 5" xfId="212" xr:uid="{00000000-0005-0000-0000-0000D0000000}"/>
    <cellStyle name="Акцент5 6" xfId="213" xr:uid="{00000000-0005-0000-0000-0000D1000000}"/>
    <cellStyle name="Акцент5 7" xfId="214" xr:uid="{00000000-0005-0000-0000-0000D2000000}"/>
    <cellStyle name="Акцент5 8" xfId="215" xr:uid="{00000000-0005-0000-0000-0000D3000000}"/>
    <cellStyle name="Акцент5 9" xfId="216" xr:uid="{00000000-0005-0000-0000-0000D4000000}"/>
    <cellStyle name="Акцент6 10" xfId="217" xr:uid="{00000000-0005-0000-0000-0000D5000000}"/>
    <cellStyle name="Акцент6 2" xfId="218" xr:uid="{00000000-0005-0000-0000-0000D6000000}"/>
    <cellStyle name="Акцент6 3" xfId="219" xr:uid="{00000000-0005-0000-0000-0000D7000000}"/>
    <cellStyle name="Акцент6 4" xfId="220" xr:uid="{00000000-0005-0000-0000-0000D8000000}"/>
    <cellStyle name="Акцент6 5" xfId="221" xr:uid="{00000000-0005-0000-0000-0000D9000000}"/>
    <cellStyle name="Акцент6 6" xfId="222" xr:uid="{00000000-0005-0000-0000-0000DA000000}"/>
    <cellStyle name="Акцент6 7" xfId="223" xr:uid="{00000000-0005-0000-0000-0000DB000000}"/>
    <cellStyle name="Акцент6 8" xfId="224" xr:uid="{00000000-0005-0000-0000-0000DC000000}"/>
    <cellStyle name="Акцент6 9" xfId="225" xr:uid="{00000000-0005-0000-0000-0000DD000000}"/>
    <cellStyle name="Ввод  10" xfId="226" xr:uid="{00000000-0005-0000-0000-0000DE000000}"/>
    <cellStyle name="Ввод  10 10" xfId="647" xr:uid="{00000000-0005-0000-0000-0000DF000000}"/>
    <cellStyle name="Ввод  10 10 2" xfId="5137" xr:uid="{00000000-0005-0000-0000-0000E0000000}"/>
    <cellStyle name="Ввод  10 11" xfId="648" xr:uid="{00000000-0005-0000-0000-0000E1000000}"/>
    <cellStyle name="Ввод  10 11 2" xfId="5138" xr:uid="{00000000-0005-0000-0000-0000E2000000}"/>
    <cellStyle name="Ввод  10 12" xfId="649" xr:uid="{00000000-0005-0000-0000-0000E3000000}"/>
    <cellStyle name="Ввод  10 12 2" xfId="5139" xr:uid="{00000000-0005-0000-0000-0000E4000000}"/>
    <cellStyle name="Ввод  10 13" xfId="650" xr:uid="{00000000-0005-0000-0000-0000E5000000}"/>
    <cellStyle name="Ввод  10 13 2" xfId="5140" xr:uid="{00000000-0005-0000-0000-0000E6000000}"/>
    <cellStyle name="Ввод  10 14" xfId="651" xr:uid="{00000000-0005-0000-0000-0000E7000000}"/>
    <cellStyle name="Ввод  10 14 2" xfId="5141" xr:uid="{00000000-0005-0000-0000-0000E8000000}"/>
    <cellStyle name="Ввод  10 15" xfId="652" xr:uid="{00000000-0005-0000-0000-0000E9000000}"/>
    <cellStyle name="Ввод  10 15 2" xfId="5142" xr:uid="{00000000-0005-0000-0000-0000EA000000}"/>
    <cellStyle name="Ввод  10 16" xfId="653" xr:uid="{00000000-0005-0000-0000-0000EB000000}"/>
    <cellStyle name="Ввод  10 16 2" xfId="5143" xr:uid="{00000000-0005-0000-0000-0000EC000000}"/>
    <cellStyle name="Ввод  10 17" xfId="654" xr:uid="{00000000-0005-0000-0000-0000ED000000}"/>
    <cellStyle name="Ввод  10 17 2" xfId="5144" xr:uid="{00000000-0005-0000-0000-0000EE000000}"/>
    <cellStyle name="Ввод  10 18" xfId="655" xr:uid="{00000000-0005-0000-0000-0000EF000000}"/>
    <cellStyle name="Ввод  10 18 2" xfId="5145" xr:uid="{00000000-0005-0000-0000-0000F0000000}"/>
    <cellStyle name="Ввод  10 19" xfId="656" xr:uid="{00000000-0005-0000-0000-0000F1000000}"/>
    <cellStyle name="Ввод  10 19 2" xfId="5146" xr:uid="{00000000-0005-0000-0000-0000F2000000}"/>
    <cellStyle name="Ввод  10 2" xfId="657" xr:uid="{00000000-0005-0000-0000-0000F3000000}"/>
    <cellStyle name="Ввод  10 2 2" xfId="658" xr:uid="{00000000-0005-0000-0000-0000F4000000}"/>
    <cellStyle name="Ввод  10 2 2 2" xfId="5147" xr:uid="{00000000-0005-0000-0000-0000F5000000}"/>
    <cellStyle name="Ввод  10 2 3" xfId="659" xr:uid="{00000000-0005-0000-0000-0000F6000000}"/>
    <cellStyle name="Ввод  10 2 3 2" xfId="5148" xr:uid="{00000000-0005-0000-0000-0000F7000000}"/>
    <cellStyle name="Ввод  10 2 4" xfId="5149" xr:uid="{00000000-0005-0000-0000-0000F8000000}"/>
    <cellStyle name="Ввод  10 20" xfId="660" xr:uid="{00000000-0005-0000-0000-0000F9000000}"/>
    <cellStyle name="Ввод  10 20 2" xfId="5150" xr:uid="{00000000-0005-0000-0000-0000FA000000}"/>
    <cellStyle name="Ввод  10 21" xfId="661" xr:uid="{00000000-0005-0000-0000-0000FB000000}"/>
    <cellStyle name="Ввод  10 21 2" xfId="5151" xr:uid="{00000000-0005-0000-0000-0000FC000000}"/>
    <cellStyle name="Ввод  10 22" xfId="662" xr:uid="{00000000-0005-0000-0000-0000FD000000}"/>
    <cellStyle name="Ввод  10 22 2" xfId="5152" xr:uid="{00000000-0005-0000-0000-0000FE000000}"/>
    <cellStyle name="Ввод  10 23" xfId="663" xr:uid="{00000000-0005-0000-0000-0000FF000000}"/>
    <cellStyle name="Ввод  10 23 2" xfId="5153" xr:uid="{00000000-0005-0000-0000-000000010000}"/>
    <cellStyle name="Ввод  10 24" xfId="664" xr:uid="{00000000-0005-0000-0000-000001010000}"/>
    <cellStyle name="Ввод  10 24 2" xfId="5154" xr:uid="{00000000-0005-0000-0000-000002010000}"/>
    <cellStyle name="Ввод  10 25" xfId="665" xr:uid="{00000000-0005-0000-0000-000003010000}"/>
    <cellStyle name="Ввод  10 25 2" xfId="5155" xr:uid="{00000000-0005-0000-0000-000004010000}"/>
    <cellStyle name="Ввод  10 26" xfId="666" xr:uid="{00000000-0005-0000-0000-000005010000}"/>
    <cellStyle name="Ввод  10 26 2" xfId="5156" xr:uid="{00000000-0005-0000-0000-000006010000}"/>
    <cellStyle name="Ввод  10 27" xfId="667" xr:uid="{00000000-0005-0000-0000-000007010000}"/>
    <cellStyle name="Ввод  10 27 2" xfId="5157" xr:uid="{00000000-0005-0000-0000-000008010000}"/>
    <cellStyle name="Ввод  10 28" xfId="668" xr:uid="{00000000-0005-0000-0000-000009010000}"/>
    <cellStyle name="Ввод  10 28 2" xfId="5158" xr:uid="{00000000-0005-0000-0000-00000A010000}"/>
    <cellStyle name="Ввод  10 29" xfId="669" xr:uid="{00000000-0005-0000-0000-00000B010000}"/>
    <cellStyle name="Ввод  10 29 2" xfId="5159" xr:uid="{00000000-0005-0000-0000-00000C010000}"/>
    <cellStyle name="Ввод  10 3" xfId="670" xr:uid="{00000000-0005-0000-0000-00000D010000}"/>
    <cellStyle name="Ввод  10 3 2" xfId="671" xr:uid="{00000000-0005-0000-0000-00000E010000}"/>
    <cellStyle name="Ввод  10 3 2 2" xfId="5160" xr:uid="{00000000-0005-0000-0000-00000F010000}"/>
    <cellStyle name="Ввод  10 3 3" xfId="672" xr:uid="{00000000-0005-0000-0000-000010010000}"/>
    <cellStyle name="Ввод  10 3 3 2" xfId="5161" xr:uid="{00000000-0005-0000-0000-000011010000}"/>
    <cellStyle name="Ввод  10 3 4" xfId="5162" xr:uid="{00000000-0005-0000-0000-000012010000}"/>
    <cellStyle name="Ввод  10 30" xfId="673" xr:uid="{00000000-0005-0000-0000-000013010000}"/>
    <cellStyle name="Ввод  10 30 2" xfId="5163" xr:uid="{00000000-0005-0000-0000-000014010000}"/>
    <cellStyle name="Ввод  10 31" xfId="674" xr:uid="{00000000-0005-0000-0000-000015010000}"/>
    <cellStyle name="Ввод  10 31 2" xfId="5164" xr:uid="{00000000-0005-0000-0000-000016010000}"/>
    <cellStyle name="Ввод  10 32" xfId="675" xr:uid="{00000000-0005-0000-0000-000017010000}"/>
    <cellStyle name="Ввод  10 32 2" xfId="5165" xr:uid="{00000000-0005-0000-0000-000018010000}"/>
    <cellStyle name="Ввод  10 33" xfId="676" xr:uid="{00000000-0005-0000-0000-000019010000}"/>
    <cellStyle name="Ввод  10 33 2" xfId="5166" xr:uid="{00000000-0005-0000-0000-00001A010000}"/>
    <cellStyle name="Ввод  10 34" xfId="677" xr:uid="{00000000-0005-0000-0000-00001B010000}"/>
    <cellStyle name="Ввод  10 34 2" xfId="5167" xr:uid="{00000000-0005-0000-0000-00001C010000}"/>
    <cellStyle name="Ввод  10 35" xfId="678" xr:uid="{00000000-0005-0000-0000-00001D010000}"/>
    <cellStyle name="Ввод  10 35 2" xfId="5168" xr:uid="{00000000-0005-0000-0000-00001E010000}"/>
    <cellStyle name="Ввод  10 36" xfId="679" xr:uid="{00000000-0005-0000-0000-00001F010000}"/>
    <cellStyle name="Ввод  10 36 2" xfId="5169" xr:uid="{00000000-0005-0000-0000-000020010000}"/>
    <cellStyle name="Ввод  10 37" xfId="680" xr:uid="{00000000-0005-0000-0000-000021010000}"/>
    <cellStyle name="Ввод  10 37 2" xfId="5170" xr:uid="{00000000-0005-0000-0000-000022010000}"/>
    <cellStyle name="Ввод  10 38" xfId="681" xr:uid="{00000000-0005-0000-0000-000023010000}"/>
    <cellStyle name="Ввод  10 38 2" xfId="5171" xr:uid="{00000000-0005-0000-0000-000024010000}"/>
    <cellStyle name="Ввод  10 39" xfId="682" xr:uid="{00000000-0005-0000-0000-000025010000}"/>
    <cellStyle name="Ввод  10 39 2" xfId="5172" xr:uid="{00000000-0005-0000-0000-000026010000}"/>
    <cellStyle name="Ввод  10 4" xfId="683" xr:uid="{00000000-0005-0000-0000-000027010000}"/>
    <cellStyle name="Ввод  10 4 2" xfId="684" xr:uid="{00000000-0005-0000-0000-000028010000}"/>
    <cellStyle name="Ввод  10 4 2 2" xfId="5173" xr:uid="{00000000-0005-0000-0000-000029010000}"/>
    <cellStyle name="Ввод  10 4 3" xfId="685" xr:uid="{00000000-0005-0000-0000-00002A010000}"/>
    <cellStyle name="Ввод  10 4 3 2" xfId="5174" xr:uid="{00000000-0005-0000-0000-00002B010000}"/>
    <cellStyle name="Ввод  10 4 4" xfId="5175" xr:uid="{00000000-0005-0000-0000-00002C010000}"/>
    <cellStyle name="Ввод  10 40" xfId="686" xr:uid="{00000000-0005-0000-0000-00002D010000}"/>
    <cellStyle name="Ввод  10 40 2" xfId="5176" xr:uid="{00000000-0005-0000-0000-00002E010000}"/>
    <cellStyle name="Ввод  10 41" xfId="687" xr:uid="{00000000-0005-0000-0000-00002F010000}"/>
    <cellStyle name="Ввод  10 41 2" xfId="5177" xr:uid="{00000000-0005-0000-0000-000030010000}"/>
    <cellStyle name="Ввод  10 42" xfId="688" xr:uid="{00000000-0005-0000-0000-000031010000}"/>
    <cellStyle name="Ввод  10 42 2" xfId="5178" xr:uid="{00000000-0005-0000-0000-000032010000}"/>
    <cellStyle name="Ввод  10 43" xfId="689" xr:uid="{00000000-0005-0000-0000-000033010000}"/>
    <cellStyle name="Ввод  10 43 2" xfId="5179" xr:uid="{00000000-0005-0000-0000-000034010000}"/>
    <cellStyle name="Ввод  10 44" xfId="690" xr:uid="{00000000-0005-0000-0000-000035010000}"/>
    <cellStyle name="Ввод  10 44 2" xfId="5180" xr:uid="{00000000-0005-0000-0000-000036010000}"/>
    <cellStyle name="Ввод  10 45" xfId="691" xr:uid="{00000000-0005-0000-0000-000037010000}"/>
    <cellStyle name="Ввод  10 45 2" xfId="5181" xr:uid="{00000000-0005-0000-0000-000038010000}"/>
    <cellStyle name="Ввод  10 46" xfId="692" xr:uid="{00000000-0005-0000-0000-000039010000}"/>
    <cellStyle name="Ввод  10 46 2" xfId="5182" xr:uid="{00000000-0005-0000-0000-00003A010000}"/>
    <cellStyle name="Ввод  10 47" xfId="693" xr:uid="{00000000-0005-0000-0000-00003B010000}"/>
    <cellStyle name="Ввод  10 47 2" xfId="5183" xr:uid="{00000000-0005-0000-0000-00003C010000}"/>
    <cellStyle name="Ввод  10 48" xfId="694" xr:uid="{00000000-0005-0000-0000-00003D010000}"/>
    <cellStyle name="Ввод  10 48 2" xfId="5184" xr:uid="{00000000-0005-0000-0000-00003E010000}"/>
    <cellStyle name="Ввод  10 49" xfId="695" xr:uid="{00000000-0005-0000-0000-00003F010000}"/>
    <cellStyle name="Ввод  10 49 2" xfId="5185" xr:uid="{00000000-0005-0000-0000-000040010000}"/>
    <cellStyle name="Ввод  10 5" xfId="696" xr:uid="{00000000-0005-0000-0000-000041010000}"/>
    <cellStyle name="Ввод  10 5 2" xfId="5186" xr:uid="{00000000-0005-0000-0000-000042010000}"/>
    <cellStyle name="Ввод  10 50" xfId="697" xr:uid="{00000000-0005-0000-0000-000043010000}"/>
    <cellStyle name="Ввод  10 50 2" xfId="5187" xr:uid="{00000000-0005-0000-0000-000044010000}"/>
    <cellStyle name="Ввод  10 51" xfId="698" xr:uid="{00000000-0005-0000-0000-000045010000}"/>
    <cellStyle name="Ввод  10 51 2" xfId="5188" xr:uid="{00000000-0005-0000-0000-000046010000}"/>
    <cellStyle name="Ввод  10 52" xfId="699" xr:uid="{00000000-0005-0000-0000-000047010000}"/>
    <cellStyle name="Ввод  10 52 2" xfId="5189" xr:uid="{00000000-0005-0000-0000-000048010000}"/>
    <cellStyle name="Ввод  10 53" xfId="700" xr:uid="{00000000-0005-0000-0000-000049010000}"/>
    <cellStyle name="Ввод  10 53 2" xfId="5190" xr:uid="{00000000-0005-0000-0000-00004A010000}"/>
    <cellStyle name="Ввод  10 54" xfId="701" xr:uid="{00000000-0005-0000-0000-00004B010000}"/>
    <cellStyle name="Ввод  10 54 2" xfId="5191" xr:uid="{00000000-0005-0000-0000-00004C010000}"/>
    <cellStyle name="Ввод  10 55" xfId="702" xr:uid="{00000000-0005-0000-0000-00004D010000}"/>
    <cellStyle name="Ввод  10 55 2" xfId="5192" xr:uid="{00000000-0005-0000-0000-00004E010000}"/>
    <cellStyle name="Ввод  10 56" xfId="703" xr:uid="{00000000-0005-0000-0000-00004F010000}"/>
    <cellStyle name="Ввод  10 56 2" xfId="5193" xr:uid="{00000000-0005-0000-0000-000050010000}"/>
    <cellStyle name="Ввод  10 57" xfId="704" xr:uid="{00000000-0005-0000-0000-000051010000}"/>
    <cellStyle name="Ввод  10 57 2" xfId="5194" xr:uid="{00000000-0005-0000-0000-000052010000}"/>
    <cellStyle name="Ввод  10 58" xfId="705" xr:uid="{00000000-0005-0000-0000-000053010000}"/>
    <cellStyle name="Ввод  10 58 2" xfId="5195" xr:uid="{00000000-0005-0000-0000-000054010000}"/>
    <cellStyle name="Ввод  10 59" xfId="706" xr:uid="{00000000-0005-0000-0000-000055010000}"/>
    <cellStyle name="Ввод  10 59 2" xfId="5196" xr:uid="{00000000-0005-0000-0000-000056010000}"/>
    <cellStyle name="Ввод  10 6" xfId="707" xr:uid="{00000000-0005-0000-0000-000057010000}"/>
    <cellStyle name="Ввод  10 6 2" xfId="5197" xr:uid="{00000000-0005-0000-0000-000058010000}"/>
    <cellStyle name="Ввод  10 60" xfId="708" xr:uid="{00000000-0005-0000-0000-000059010000}"/>
    <cellStyle name="Ввод  10 60 2" xfId="5198" xr:uid="{00000000-0005-0000-0000-00005A010000}"/>
    <cellStyle name="Ввод  10 61" xfId="709" xr:uid="{00000000-0005-0000-0000-00005B010000}"/>
    <cellStyle name="Ввод  10 61 2" xfId="5199" xr:uid="{00000000-0005-0000-0000-00005C010000}"/>
    <cellStyle name="Ввод  10 62" xfId="710" xr:uid="{00000000-0005-0000-0000-00005D010000}"/>
    <cellStyle name="Ввод  10 62 2" xfId="5200" xr:uid="{00000000-0005-0000-0000-00005E010000}"/>
    <cellStyle name="Ввод  10 63" xfId="711" xr:uid="{00000000-0005-0000-0000-00005F010000}"/>
    <cellStyle name="Ввод  10 63 2" xfId="5201" xr:uid="{00000000-0005-0000-0000-000060010000}"/>
    <cellStyle name="Ввод  10 64" xfId="712" xr:uid="{00000000-0005-0000-0000-000061010000}"/>
    <cellStyle name="Ввод  10 64 2" xfId="5202" xr:uid="{00000000-0005-0000-0000-000062010000}"/>
    <cellStyle name="Ввод  10 65" xfId="713" xr:uid="{00000000-0005-0000-0000-000063010000}"/>
    <cellStyle name="Ввод  10 65 2" xfId="5203" xr:uid="{00000000-0005-0000-0000-000064010000}"/>
    <cellStyle name="Ввод  10 66" xfId="714" xr:uid="{00000000-0005-0000-0000-000065010000}"/>
    <cellStyle name="Ввод  10 66 2" xfId="5204" xr:uid="{00000000-0005-0000-0000-000066010000}"/>
    <cellStyle name="Ввод  10 67" xfId="715" xr:uid="{00000000-0005-0000-0000-000067010000}"/>
    <cellStyle name="Ввод  10 67 2" xfId="5205" xr:uid="{00000000-0005-0000-0000-000068010000}"/>
    <cellStyle name="Ввод  10 68" xfId="716" xr:uid="{00000000-0005-0000-0000-000069010000}"/>
    <cellStyle name="Ввод  10 68 2" xfId="5206" xr:uid="{00000000-0005-0000-0000-00006A010000}"/>
    <cellStyle name="Ввод  10 69" xfId="717" xr:uid="{00000000-0005-0000-0000-00006B010000}"/>
    <cellStyle name="Ввод  10 69 2" xfId="5207" xr:uid="{00000000-0005-0000-0000-00006C010000}"/>
    <cellStyle name="Ввод  10 7" xfId="718" xr:uid="{00000000-0005-0000-0000-00006D010000}"/>
    <cellStyle name="Ввод  10 7 2" xfId="5208" xr:uid="{00000000-0005-0000-0000-00006E010000}"/>
    <cellStyle name="Ввод  10 70" xfId="719" xr:uid="{00000000-0005-0000-0000-00006F010000}"/>
    <cellStyle name="Ввод  10 70 2" xfId="5209" xr:uid="{00000000-0005-0000-0000-000070010000}"/>
    <cellStyle name="Ввод  10 71" xfId="720" xr:uid="{00000000-0005-0000-0000-000071010000}"/>
    <cellStyle name="Ввод  10 71 2" xfId="5210" xr:uid="{00000000-0005-0000-0000-000072010000}"/>
    <cellStyle name="Ввод  10 72" xfId="721" xr:uid="{00000000-0005-0000-0000-000073010000}"/>
    <cellStyle name="Ввод  10 72 2" xfId="5211" xr:uid="{00000000-0005-0000-0000-000074010000}"/>
    <cellStyle name="Ввод  10 73" xfId="722" xr:uid="{00000000-0005-0000-0000-000075010000}"/>
    <cellStyle name="Ввод  10 73 2" xfId="5212" xr:uid="{00000000-0005-0000-0000-000076010000}"/>
    <cellStyle name="Ввод  10 74" xfId="723" xr:uid="{00000000-0005-0000-0000-000077010000}"/>
    <cellStyle name="Ввод  10 74 2" xfId="5213" xr:uid="{00000000-0005-0000-0000-000078010000}"/>
    <cellStyle name="Ввод  10 75" xfId="724" xr:uid="{00000000-0005-0000-0000-000079010000}"/>
    <cellStyle name="Ввод  10 75 2" xfId="5214" xr:uid="{00000000-0005-0000-0000-00007A010000}"/>
    <cellStyle name="Ввод  10 76" xfId="725" xr:uid="{00000000-0005-0000-0000-00007B010000}"/>
    <cellStyle name="Ввод  10 76 2" xfId="5215" xr:uid="{00000000-0005-0000-0000-00007C010000}"/>
    <cellStyle name="Ввод  10 77" xfId="726" xr:uid="{00000000-0005-0000-0000-00007D010000}"/>
    <cellStyle name="Ввод  10 77 2" xfId="5216" xr:uid="{00000000-0005-0000-0000-00007E010000}"/>
    <cellStyle name="Ввод  10 78" xfId="727" xr:uid="{00000000-0005-0000-0000-00007F010000}"/>
    <cellStyle name="Ввод  10 78 2" xfId="5217" xr:uid="{00000000-0005-0000-0000-000080010000}"/>
    <cellStyle name="Ввод  10 79" xfId="728" xr:uid="{00000000-0005-0000-0000-000081010000}"/>
    <cellStyle name="Ввод  10 79 2" xfId="5218" xr:uid="{00000000-0005-0000-0000-000082010000}"/>
    <cellStyle name="Ввод  10 8" xfId="729" xr:uid="{00000000-0005-0000-0000-000083010000}"/>
    <cellStyle name="Ввод  10 8 2" xfId="5219" xr:uid="{00000000-0005-0000-0000-000084010000}"/>
    <cellStyle name="Ввод  10 80" xfId="730" xr:uid="{00000000-0005-0000-0000-000085010000}"/>
    <cellStyle name="Ввод  10 80 2" xfId="5220" xr:uid="{00000000-0005-0000-0000-000086010000}"/>
    <cellStyle name="Ввод  10 81" xfId="731" xr:uid="{00000000-0005-0000-0000-000087010000}"/>
    <cellStyle name="Ввод  10 81 2" xfId="5221" xr:uid="{00000000-0005-0000-0000-000088010000}"/>
    <cellStyle name="Ввод  10 82" xfId="732" xr:uid="{00000000-0005-0000-0000-000089010000}"/>
    <cellStyle name="Ввод  10 82 2" xfId="5222" xr:uid="{00000000-0005-0000-0000-00008A010000}"/>
    <cellStyle name="Ввод  10 83" xfId="733" xr:uid="{00000000-0005-0000-0000-00008B010000}"/>
    <cellStyle name="Ввод  10 83 2" xfId="5223" xr:uid="{00000000-0005-0000-0000-00008C010000}"/>
    <cellStyle name="Ввод  10 84" xfId="734" xr:uid="{00000000-0005-0000-0000-00008D010000}"/>
    <cellStyle name="Ввод  10 84 2" xfId="5224" xr:uid="{00000000-0005-0000-0000-00008E010000}"/>
    <cellStyle name="Ввод  10 85" xfId="735" xr:uid="{00000000-0005-0000-0000-00008F010000}"/>
    <cellStyle name="Ввод  10 85 2" xfId="5225" xr:uid="{00000000-0005-0000-0000-000090010000}"/>
    <cellStyle name="Ввод  10 86" xfId="736" xr:uid="{00000000-0005-0000-0000-000091010000}"/>
    <cellStyle name="Ввод  10 86 2" xfId="5226" xr:uid="{00000000-0005-0000-0000-000092010000}"/>
    <cellStyle name="Ввод  10 87" xfId="737" xr:uid="{00000000-0005-0000-0000-000093010000}"/>
    <cellStyle name="Ввод  10 87 2" xfId="5227" xr:uid="{00000000-0005-0000-0000-000094010000}"/>
    <cellStyle name="Ввод  10 88" xfId="738" xr:uid="{00000000-0005-0000-0000-000095010000}"/>
    <cellStyle name="Ввод  10 88 2" xfId="5228" xr:uid="{00000000-0005-0000-0000-000096010000}"/>
    <cellStyle name="Ввод  10 89" xfId="739" xr:uid="{00000000-0005-0000-0000-000097010000}"/>
    <cellStyle name="Ввод  10 89 2" xfId="5229" xr:uid="{00000000-0005-0000-0000-000098010000}"/>
    <cellStyle name="Ввод  10 9" xfId="740" xr:uid="{00000000-0005-0000-0000-000099010000}"/>
    <cellStyle name="Ввод  10 9 2" xfId="5230" xr:uid="{00000000-0005-0000-0000-00009A010000}"/>
    <cellStyle name="Ввод  10 90" xfId="741" xr:uid="{00000000-0005-0000-0000-00009B010000}"/>
    <cellStyle name="Ввод  10 90 2" xfId="5231" xr:uid="{00000000-0005-0000-0000-00009C010000}"/>
    <cellStyle name="Ввод  10 91" xfId="742" xr:uid="{00000000-0005-0000-0000-00009D010000}"/>
    <cellStyle name="Ввод  10 91 2" xfId="5232" xr:uid="{00000000-0005-0000-0000-00009E010000}"/>
    <cellStyle name="Ввод  10 92" xfId="5233" xr:uid="{00000000-0005-0000-0000-00009F010000}"/>
    <cellStyle name="Ввод  2" xfId="227" xr:uid="{00000000-0005-0000-0000-0000A0010000}"/>
    <cellStyle name="Ввод  2 10" xfId="743" xr:uid="{00000000-0005-0000-0000-0000A1010000}"/>
    <cellStyle name="Ввод  2 10 2" xfId="5234" xr:uid="{00000000-0005-0000-0000-0000A2010000}"/>
    <cellStyle name="Ввод  2 11" xfId="744" xr:uid="{00000000-0005-0000-0000-0000A3010000}"/>
    <cellStyle name="Ввод  2 11 2" xfId="5235" xr:uid="{00000000-0005-0000-0000-0000A4010000}"/>
    <cellStyle name="Ввод  2 12" xfId="745" xr:uid="{00000000-0005-0000-0000-0000A5010000}"/>
    <cellStyle name="Ввод  2 12 2" xfId="5236" xr:uid="{00000000-0005-0000-0000-0000A6010000}"/>
    <cellStyle name="Ввод  2 13" xfId="746" xr:uid="{00000000-0005-0000-0000-0000A7010000}"/>
    <cellStyle name="Ввод  2 13 2" xfId="5237" xr:uid="{00000000-0005-0000-0000-0000A8010000}"/>
    <cellStyle name="Ввод  2 14" xfId="747" xr:uid="{00000000-0005-0000-0000-0000A9010000}"/>
    <cellStyle name="Ввод  2 14 2" xfId="5238" xr:uid="{00000000-0005-0000-0000-0000AA010000}"/>
    <cellStyle name="Ввод  2 15" xfId="748" xr:uid="{00000000-0005-0000-0000-0000AB010000}"/>
    <cellStyle name="Ввод  2 15 2" xfId="5239" xr:uid="{00000000-0005-0000-0000-0000AC010000}"/>
    <cellStyle name="Ввод  2 16" xfId="749" xr:uid="{00000000-0005-0000-0000-0000AD010000}"/>
    <cellStyle name="Ввод  2 16 2" xfId="5240" xr:uid="{00000000-0005-0000-0000-0000AE010000}"/>
    <cellStyle name="Ввод  2 17" xfId="750" xr:uid="{00000000-0005-0000-0000-0000AF010000}"/>
    <cellStyle name="Ввод  2 17 2" xfId="5241" xr:uid="{00000000-0005-0000-0000-0000B0010000}"/>
    <cellStyle name="Ввод  2 18" xfId="751" xr:uid="{00000000-0005-0000-0000-0000B1010000}"/>
    <cellStyle name="Ввод  2 18 2" xfId="5242" xr:uid="{00000000-0005-0000-0000-0000B2010000}"/>
    <cellStyle name="Ввод  2 19" xfId="752" xr:uid="{00000000-0005-0000-0000-0000B3010000}"/>
    <cellStyle name="Ввод  2 19 2" xfId="5243" xr:uid="{00000000-0005-0000-0000-0000B4010000}"/>
    <cellStyle name="Ввод  2 2" xfId="753" xr:uid="{00000000-0005-0000-0000-0000B5010000}"/>
    <cellStyle name="Ввод  2 2 2" xfId="754" xr:uid="{00000000-0005-0000-0000-0000B6010000}"/>
    <cellStyle name="Ввод  2 2 2 2" xfId="5244" xr:uid="{00000000-0005-0000-0000-0000B7010000}"/>
    <cellStyle name="Ввод  2 2 3" xfId="755" xr:uid="{00000000-0005-0000-0000-0000B8010000}"/>
    <cellStyle name="Ввод  2 2 3 2" xfId="5245" xr:uid="{00000000-0005-0000-0000-0000B9010000}"/>
    <cellStyle name="Ввод  2 2 4" xfId="5246" xr:uid="{00000000-0005-0000-0000-0000BA010000}"/>
    <cellStyle name="Ввод  2 20" xfId="756" xr:uid="{00000000-0005-0000-0000-0000BB010000}"/>
    <cellStyle name="Ввод  2 20 2" xfId="5247" xr:uid="{00000000-0005-0000-0000-0000BC010000}"/>
    <cellStyle name="Ввод  2 21" xfId="757" xr:uid="{00000000-0005-0000-0000-0000BD010000}"/>
    <cellStyle name="Ввод  2 21 2" xfId="5248" xr:uid="{00000000-0005-0000-0000-0000BE010000}"/>
    <cellStyle name="Ввод  2 22" xfId="758" xr:uid="{00000000-0005-0000-0000-0000BF010000}"/>
    <cellStyle name="Ввод  2 22 2" xfId="5249" xr:uid="{00000000-0005-0000-0000-0000C0010000}"/>
    <cellStyle name="Ввод  2 23" xfId="759" xr:uid="{00000000-0005-0000-0000-0000C1010000}"/>
    <cellStyle name="Ввод  2 23 2" xfId="5250" xr:uid="{00000000-0005-0000-0000-0000C2010000}"/>
    <cellStyle name="Ввод  2 24" xfId="760" xr:uid="{00000000-0005-0000-0000-0000C3010000}"/>
    <cellStyle name="Ввод  2 24 2" xfId="5251" xr:uid="{00000000-0005-0000-0000-0000C4010000}"/>
    <cellStyle name="Ввод  2 25" xfId="761" xr:uid="{00000000-0005-0000-0000-0000C5010000}"/>
    <cellStyle name="Ввод  2 25 2" xfId="5252" xr:uid="{00000000-0005-0000-0000-0000C6010000}"/>
    <cellStyle name="Ввод  2 26" xfId="762" xr:uid="{00000000-0005-0000-0000-0000C7010000}"/>
    <cellStyle name="Ввод  2 26 2" xfId="5253" xr:uid="{00000000-0005-0000-0000-0000C8010000}"/>
    <cellStyle name="Ввод  2 27" xfId="763" xr:uid="{00000000-0005-0000-0000-0000C9010000}"/>
    <cellStyle name="Ввод  2 27 2" xfId="5254" xr:uid="{00000000-0005-0000-0000-0000CA010000}"/>
    <cellStyle name="Ввод  2 28" xfId="764" xr:uid="{00000000-0005-0000-0000-0000CB010000}"/>
    <cellStyle name="Ввод  2 28 2" xfId="5255" xr:uid="{00000000-0005-0000-0000-0000CC010000}"/>
    <cellStyle name="Ввод  2 29" xfId="765" xr:uid="{00000000-0005-0000-0000-0000CD010000}"/>
    <cellStyle name="Ввод  2 29 2" xfId="5256" xr:uid="{00000000-0005-0000-0000-0000CE010000}"/>
    <cellStyle name="Ввод  2 3" xfId="766" xr:uid="{00000000-0005-0000-0000-0000CF010000}"/>
    <cellStyle name="Ввод  2 3 2" xfId="767" xr:uid="{00000000-0005-0000-0000-0000D0010000}"/>
    <cellStyle name="Ввод  2 3 2 2" xfId="5257" xr:uid="{00000000-0005-0000-0000-0000D1010000}"/>
    <cellStyle name="Ввод  2 3 3" xfId="768" xr:uid="{00000000-0005-0000-0000-0000D2010000}"/>
    <cellStyle name="Ввод  2 3 3 2" xfId="5258" xr:uid="{00000000-0005-0000-0000-0000D3010000}"/>
    <cellStyle name="Ввод  2 3 4" xfId="5259" xr:uid="{00000000-0005-0000-0000-0000D4010000}"/>
    <cellStyle name="Ввод  2 30" xfId="769" xr:uid="{00000000-0005-0000-0000-0000D5010000}"/>
    <cellStyle name="Ввод  2 30 2" xfId="5260" xr:uid="{00000000-0005-0000-0000-0000D6010000}"/>
    <cellStyle name="Ввод  2 31" xfId="770" xr:uid="{00000000-0005-0000-0000-0000D7010000}"/>
    <cellStyle name="Ввод  2 31 2" xfId="5261" xr:uid="{00000000-0005-0000-0000-0000D8010000}"/>
    <cellStyle name="Ввод  2 32" xfId="771" xr:uid="{00000000-0005-0000-0000-0000D9010000}"/>
    <cellStyle name="Ввод  2 32 2" xfId="5262" xr:uid="{00000000-0005-0000-0000-0000DA010000}"/>
    <cellStyle name="Ввод  2 33" xfId="772" xr:uid="{00000000-0005-0000-0000-0000DB010000}"/>
    <cellStyle name="Ввод  2 33 2" xfId="5263" xr:uid="{00000000-0005-0000-0000-0000DC010000}"/>
    <cellStyle name="Ввод  2 34" xfId="773" xr:uid="{00000000-0005-0000-0000-0000DD010000}"/>
    <cellStyle name="Ввод  2 34 2" xfId="5264" xr:uid="{00000000-0005-0000-0000-0000DE010000}"/>
    <cellStyle name="Ввод  2 35" xfId="774" xr:uid="{00000000-0005-0000-0000-0000DF010000}"/>
    <cellStyle name="Ввод  2 35 2" xfId="5265" xr:uid="{00000000-0005-0000-0000-0000E0010000}"/>
    <cellStyle name="Ввод  2 36" xfId="775" xr:uid="{00000000-0005-0000-0000-0000E1010000}"/>
    <cellStyle name="Ввод  2 36 2" xfId="5266" xr:uid="{00000000-0005-0000-0000-0000E2010000}"/>
    <cellStyle name="Ввод  2 37" xfId="776" xr:uid="{00000000-0005-0000-0000-0000E3010000}"/>
    <cellStyle name="Ввод  2 37 2" xfId="5267" xr:uid="{00000000-0005-0000-0000-0000E4010000}"/>
    <cellStyle name="Ввод  2 38" xfId="777" xr:uid="{00000000-0005-0000-0000-0000E5010000}"/>
    <cellStyle name="Ввод  2 38 2" xfId="5268" xr:uid="{00000000-0005-0000-0000-0000E6010000}"/>
    <cellStyle name="Ввод  2 39" xfId="778" xr:uid="{00000000-0005-0000-0000-0000E7010000}"/>
    <cellStyle name="Ввод  2 39 2" xfId="5269" xr:uid="{00000000-0005-0000-0000-0000E8010000}"/>
    <cellStyle name="Ввод  2 4" xfId="779" xr:uid="{00000000-0005-0000-0000-0000E9010000}"/>
    <cellStyle name="Ввод  2 4 2" xfId="780" xr:uid="{00000000-0005-0000-0000-0000EA010000}"/>
    <cellStyle name="Ввод  2 4 2 2" xfId="5270" xr:uid="{00000000-0005-0000-0000-0000EB010000}"/>
    <cellStyle name="Ввод  2 4 3" xfId="781" xr:uid="{00000000-0005-0000-0000-0000EC010000}"/>
    <cellStyle name="Ввод  2 4 3 2" xfId="5271" xr:uid="{00000000-0005-0000-0000-0000ED010000}"/>
    <cellStyle name="Ввод  2 4 4" xfId="5272" xr:uid="{00000000-0005-0000-0000-0000EE010000}"/>
    <cellStyle name="Ввод  2 40" xfId="782" xr:uid="{00000000-0005-0000-0000-0000EF010000}"/>
    <cellStyle name="Ввод  2 40 2" xfId="5273" xr:uid="{00000000-0005-0000-0000-0000F0010000}"/>
    <cellStyle name="Ввод  2 41" xfId="783" xr:uid="{00000000-0005-0000-0000-0000F1010000}"/>
    <cellStyle name="Ввод  2 41 2" xfId="5274" xr:uid="{00000000-0005-0000-0000-0000F2010000}"/>
    <cellStyle name="Ввод  2 42" xfId="784" xr:uid="{00000000-0005-0000-0000-0000F3010000}"/>
    <cellStyle name="Ввод  2 42 2" xfId="5275" xr:uid="{00000000-0005-0000-0000-0000F4010000}"/>
    <cellStyle name="Ввод  2 43" xfId="785" xr:uid="{00000000-0005-0000-0000-0000F5010000}"/>
    <cellStyle name="Ввод  2 43 2" xfId="5276" xr:uid="{00000000-0005-0000-0000-0000F6010000}"/>
    <cellStyle name="Ввод  2 44" xfId="786" xr:uid="{00000000-0005-0000-0000-0000F7010000}"/>
    <cellStyle name="Ввод  2 44 2" xfId="5277" xr:uid="{00000000-0005-0000-0000-0000F8010000}"/>
    <cellStyle name="Ввод  2 45" xfId="787" xr:uid="{00000000-0005-0000-0000-0000F9010000}"/>
    <cellStyle name="Ввод  2 45 2" xfId="5278" xr:uid="{00000000-0005-0000-0000-0000FA010000}"/>
    <cellStyle name="Ввод  2 46" xfId="788" xr:uid="{00000000-0005-0000-0000-0000FB010000}"/>
    <cellStyle name="Ввод  2 46 2" xfId="5279" xr:uid="{00000000-0005-0000-0000-0000FC010000}"/>
    <cellStyle name="Ввод  2 47" xfId="789" xr:uid="{00000000-0005-0000-0000-0000FD010000}"/>
    <cellStyle name="Ввод  2 47 2" xfId="5280" xr:uid="{00000000-0005-0000-0000-0000FE010000}"/>
    <cellStyle name="Ввод  2 48" xfId="790" xr:uid="{00000000-0005-0000-0000-0000FF010000}"/>
    <cellStyle name="Ввод  2 48 2" xfId="5281" xr:uid="{00000000-0005-0000-0000-000000020000}"/>
    <cellStyle name="Ввод  2 49" xfId="791" xr:uid="{00000000-0005-0000-0000-000001020000}"/>
    <cellStyle name="Ввод  2 49 2" xfId="5282" xr:uid="{00000000-0005-0000-0000-000002020000}"/>
    <cellStyle name="Ввод  2 5" xfId="792" xr:uid="{00000000-0005-0000-0000-000003020000}"/>
    <cellStyle name="Ввод  2 5 2" xfId="5283" xr:uid="{00000000-0005-0000-0000-000004020000}"/>
    <cellStyle name="Ввод  2 50" xfId="793" xr:uid="{00000000-0005-0000-0000-000005020000}"/>
    <cellStyle name="Ввод  2 50 2" xfId="5284" xr:uid="{00000000-0005-0000-0000-000006020000}"/>
    <cellStyle name="Ввод  2 51" xfId="794" xr:uid="{00000000-0005-0000-0000-000007020000}"/>
    <cellStyle name="Ввод  2 51 2" xfId="5285" xr:uid="{00000000-0005-0000-0000-000008020000}"/>
    <cellStyle name="Ввод  2 52" xfId="795" xr:uid="{00000000-0005-0000-0000-000009020000}"/>
    <cellStyle name="Ввод  2 52 2" xfId="5286" xr:uid="{00000000-0005-0000-0000-00000A020000}"/>
    <cellStyle name="Ввод  2 53" xfId="796" xr:uid="{00000000-0005-0000-0000-00000B020000}"/>
    <cellStyle name="Ввод  2 53 2" xfId="5287" xr:uid="{00000000-0005-0000-0000-00000C020000}"/>
    <cellStyle name="Ввод  2 54" xfId="797" xr:uid="{00000000-0005-0000-0000-00000D020000}"/>
    <cellStyle name="Ввод  2 54 2" xfId="5288" xr:uid="{00000000-0005-0000-0000-00000E020000}"/>
    <cellStyle name="Ввод  2 55" xfId="798" xr:uid="{00000000-0005-0000-0000-00000F020000}"/>
    <cellStyle name="Ввод  2 55 2" xfId="5289" xr:uid="{00000000-0005-0000-0000-000010020000}"/>
    <cellStyle name="Ввод  2 56" xfId="799" xr:uid="{00000000-0005-0000-0000-000011020000}"/>
    <cellStyle name="Ввод  2 56 2" xfId="5290" xr:uid="{00000000-0005-0000-0000-000012020000}"/>
    <cellStyle name="Ввод  2 57" xfId="800" xr:uid="{00000000-0005-0000-0000-000013020000}"/>
    <cellStyle name="Ввод  2 57 2" xfId="5291" xr:uid="{00000000-0005-0000-0000-000014020000}"/>
    <cellStyle name="Ввод  2 58" xfId="801" xr:uid="{00000000-0005-0000-0000-000015020000}"/>
    <cellStyle name="Ввод  2 58 2" xfId="5292" xr:uid="{00000000-0005-0000-0000-000016020000}"/>
    <cellStyle name="Ввод  2 59" xfId="802" xr:uid="{00000000-0005-0000-0000-000017020000}"/>
    <cellStyle name="Ввод  2 59 2" xfId="5293" xr:uid="{00000000-0005-0000-0000-000018020000}"/>
    <cellStyle name="Ввод  2 6" xfId="803" xr:uid="{00000000-0005-0000-0000-000019020000}"/>
    <cellStyle name="Ввод  2 6 2" xfId="5294" xr:uid="{00000000-0005-0000-0000-00001A020000}"/>
    <cellStyle name="Ввод  2 60" xfId="804" xr:uid="{00000000-0005-0000-0000-00001B020000}"/>
    <cellStyle name="Ввод  2 60 2" xfId="5295" xr:uid="{00000000-0005-0000-0000-00001C020000}"/>
    <cellStyle name="Ввод  2 61" xfId="805" xr:uid="{00000000-0005-0000-0000-00001D020000}"/>
    <cellStyle name="Ввод  2 61 2" xfId="5296" xr:uid="{00000000-0005-0000-0000-00001E020000}"/>
    <cellStyle name="Ввод  2 62" xfId="806" xr:uid="{00000000-0005-0000-0000-00001F020000}"/>
    <cellStyle name="Ввод  2 62 2" xfId="5297" xr:uid="{00000000-0005-0000-0000-000020020000}"/>
    <cellStyle name="Ввод  2 63" xfId="807" xr:uid="{00000000-0005-0000-0000-000021020000}"/>
    <cellStyle name="Ввод  2 63 2" xfId="5298" xr:uid="{00000000-0005-0000-0000-000022020000}"/>
    <cellStyle name="Ввод  2 64" xfId="808" xr:uid="{00000000-0005-0000-0000-000023020000}"/>
    <cellStyle name="Ввод  2 64 2" xfId="5299" xr:uid="{00000000-0005-0000-0000-000024020000}"/>
    <cellStyle name="Ввод  2 65" xfId="809" xr:uid="{00000000-0005-0000-0000-000025020000}"/>
    <cellStyle name="Ввод  2 65 2" xfId="5300" xr:uid="{00000000-0005-0000-0000-000026020000}"/>
    <cellStyle name="Ввод  2 66" xfId="810" xr:uid="{00000000-0005-0000-0000-000027020000}"/>
    <cellStyle name="Ввод  2 66 2" xfId="5301" xr:uid="{00000000-0005-0000-0000-000028020000}"/>
    <cellStyle name="Ввод  2 67" xfId="811" xr:uid="{00000000-0005-0000-0000-000029020000}"/>
    <cellStyle name="Ввод  2 67 2" xfId="5302" xr:uid="{00000000-0005-0000-0000-00002A020000}"/>
    <cellStyle name="Ввод  2 68" xfId="812" xr:uid="{00000000-0005-0000-0000-00002B020000}"/>
    <cellStyle name="Ввод  2 68 2" xfId="5303" xr:uid="{00000000-0005-0000-0000-00002C020000}"/>
    <cellStyle name="Ввод  2 69" xfId="813" xr:uid="{00000000-0005-0000-0000-00002D020000}"/>
    <cellStyle name="Ввод  2 69 2" xfId="5304" xr:uid="{00000000-0005-0000-0000-00002E020000}"/>
    <cellStyle name="Ввод  2 7" xfId="814" xr:uid="{00000000-0005-0000-0000-00002F020000}"/>
    <cellStyle name="Ввод  2 7 2" xfId="5305" xr:uid="{00000000-0005-0000-0000-000030020000}"/>
    <cellStyle name="Ввод  2 70" xfId="815" xr:uid="{00000000-0005-0000-0000-000031020000}"/>
    <cellStyle name="Ввод  2 70 2" xfId="5306" xr:uid="{00000000-0005-0000-0000-000032020000}"/>
    <cellStyle name="Ввод  2 71" xfId="816" xr:uid="{00000000-0005-0000-0000-000033020000}"/>
    <cellStyle name="Ввод  2 71 2" xfId="5307" xr:uid="{00000000-0005-0000-0000-000034020000}"/>
    <cellStyle name="Ввод  2 72" xfId="817" xr:uid="{00000000-0005-0000-0000-000035020000}"/>
    <cellStyle name="Ввод  2 72 2" xfId="5308" xr:uid="{00000000-0005-0000-0000-000036020000}"/>
    <cellStyle name="Ввод  2 73" xfId="818" xr:uid="{00000000-0005-0000-0000-000037020000}"/>
    <cellStyle name="Ввод  2 73 2" xfId="5309" xr:uid="{00000000-0005-0000-0000-000038020000}"/>
    <cellStyle name="Ввод  2 74" xfId="819" xr:uid="{00000000-0005-0000-0000-000039020000}"/>
    <cellStyle name="Ввод  2 74 2" xfId="5310" xr:uid="{00000000-0005-0000-0000-00003A020000}"/>
    <cellStyle name="Ввод  2 75" xfId="820" xr:uid="{00000000-0005-0000-0000-00003B020000}"/>
    <cellStyle name="Ввод  2 75 2" xfId="5311" xr:uid="{00000000-0005-0000-0000-00003C020000}"/>
    <cellStyle name="Ввод  2 76" xfId="821" xr:uid="{00000000-0005-0000-0000-00003D020000}"/>
    <cellStyle name="Ввод  2 76 2" xfId="5312" xr:uid="{00000000-0005-0000-0000-00003E020000}"/>
    <cellStyle name="Ввод  2 77" xfId="822" xr:uid="{00000000-0005-0000-0000-00003F020000}"/>
    <cellStyle name="Ввод  2 77 2" xfId="5313" xr:uid="{00000000-0005-0000-0000-000040020000}"/>
    <cellStyle name="Ввод  2 78" xfId="823" xr:uid="{00000000-0005-0000-0000-000041020000}"/>
    <cellStyle name="Ввод  2 78 2" xfId="5314" xr:uid="{00000000-0005-0000-0000-000042020000}"/>
    <cellStyle name="Ввод  2 79" xfId="824" xr:uid="{00000000-0005-0000-0000-000043020000}"/>
    <cellStyle name="Ввод  2 79 2" xfId="5315" xr:uid="{00000000-0005-0000-0000-000044020000}"/>
    <cellStyle name="Ввод  2 8" xfId="825" xr:uid="{00000000-0005-0000-0000-000045020000}"/>
    <cellStyle name="Ввод  2 8 2" xfId="5316" xr:uid="{00000000-0005-0000-0000-000046020000}"/>
    <cellStyle name="Ввод  2 80" xfId="826" xr:uid="{00000000-0005-0000-0000-000047020000}"/>
    <cellStyle name="Ввод  2 80 2" xfId="5317" xr:uid="{00000000-0005-0000-0000-000048020000}"/>
    <cellStyle name="Ввод  2 81" xfId="827" xr:uid="{00000000-0005-0000-0000-000049020000}"/>
    <cellStyle name="Ввод  2 81 2" xfId="5318" xr:uid="{00000000-0005-0000-0000-00004A020000}"/>
    <cellStyle name="Ввод  2 82" xfId="828" xr:uid="{00000000-0005-0000-0000-00004B020000}"/>
    <cellStyle name="Ввод  2 82 2" xfId="5319" xr:uid="{00000000-0005-0000-0000-00004C020000}"/>
    <cellStyle name="Ввод  2 83" xfId="829" xr:uid="{00000000-0005-0000-0000-00004D020000}"/>
    <cellStyle name="Ввод  2 83 2" xfId="5320" xr:uid="{00000000-0005-0000-0000-00004E020000}"/>
    <cellStyle name="Ввод  2 84" xfId="830" xr:uid="{00000000-0005-0000-0000-00004F020000}"/>
    <cellStyle name="Ввод  2 84 2" xfId="5321" xr:uid="{00000000-0005-0000-0000-000050020000}"/>
    <cellStyle name="Ввод  2 85" xfId="831" xr:uid="{00000000-0005-0000-0000-000051020000}"/>
    <cellStyle name="Ввод  2 85 2" xfId="5322" xr:uid="{00000000-0005-0000-0000-000052020000}"/>
    <cellStyle name="Ввод  2 86" xfId="832" xr:uid="{00000000-0005-0000-0000-000053020000}"/>
    <cellStyle name="Ввод  2 86 2" xfId="5323" xr:uid="{00000000-0005-0000-0000-000054020000}"/>
    <cellStyle name="Ввод  2 87" xfId="833" xr:uid="{00000000-0005-0000-0000-000055020000}"/>
    <cellStyle name="Ввод  2 87 2" xfId="5324" xr:uid="{00000000-0005-0000-0000-000056020000}"/>
    <cellStyle name="Ввод  2 88" xfId="834" xr:uid="{00000000-0005-0000-0000-000057020000}"/>
    <cellStyle name="Ввод  2 88 2" xfId="5325" xr:uid="{00000000-0005-0000-0000-000058020000}"/>
    <cellStyle name="Ввод  2 89" xfId="835" xr:uid="{00000000-0005-0000-0000-000059020000}"/>
    <cellStyle name="Ввод  2 89 2" xfId="5326" xr:uid="{00000000-0005-0000-0000-00005A020000}"/>
    <cellStyle name="Ввод  2 9" xfId="836" xr:uid="{00000000-0005-0000-0000-00005B020000}"/>
    <cellStyle name="Ввод  2 9 2" xfId="5327" xr:uid="{00000000-0005-0000-0000-00005C020000}"/>
    <cellStyle name="Ввод  2 90" xfId="837" xr:uid="{00000000-0005-0000-0000-00005D020000}"/>
    <cellStyle name="Ввод  2 90 2" xfId="5328" xr:uid="{00000000-0005-0000-0000-00005E020000}"/>
    <cellStyle name="Ввод  2 91" xfId="838" xr:uid="{00000000-0005-0000-0000-00005F020000}"/>
    <cellStyle name="Ввод  2 91 2" xfId="5329" xr:uid="{00000000-0005-0000-0000-000060020000}"/>
    <cellStyle name="Ввод  2 92" xfId="5330" xr:uid="{00000000-0005-0000-0000-000061020000}"/>
    <cellStyle name="Ввод  3" xfId="228" xr:uid="{00000000-0005-0000-0000-000062020000}"/>
    <cellStyle name="Ввод  3 10" xfId="839" xr:uid="{00000000-0005-0000-0000-000063020000}"/>
    <cellStyle name="Ввод  3 10 2" xfId="5331" xr:uid="{00000000-0005-0000-0000-000064020000}"/>
    <cellStyle name="Ввод  3 11" xfId="840" xr:uid="{00000000-0005-0000-0000-000065020000}"/>
    <cellStyle name="Ввод  3 11 2" xfId="5332" xr:uid="{00000000-0005-0000-0000-000066020000}"/>
    <cellStyle name="Ввод  3 12" xfId="841" xr:uid="{00000000-0005-0000-0000-000067020000}"/>
    <cellStyle name="Ввод  3 12 2" xfId="5333" xr:uid="{00000000-0005-0000-0000-000068020000}"/>
    <cellStyle name="Ввод  3 13" xfId="842" xr:uid="{00000000-0005-0000-0000-000069020000}"/>
    <cellStyle name="Ввод  3 13 2" xfId="5334" xr:uid="{00000000-0005-0000-0000-00006A020000}"/>
    <cellStyle name="Ввод  3 14" xfId="843" xr:uid="{00000000-0005-0000-0000-00006B020000}"/>
    <cellStyle name="Ввод  3 14 2" xfId="5335" xr:uid="{00000000-0005-0000-0000-00006C020000}"/>
    <cellStyle name="Ввод  3 15" xfId="844" xr:uid="{00000000-0005-0000-0000-00006D020000}"/>
    <cellStyle name="Ввод  3 15 2" xfId="5336" xr:uid="{00000000-0005-0000-0000-00006E020000}"/>
    <cellStyle name="Ввод  3 16" xfId="845" xr:uid="{00000000-0005-0000-0000-00006F020000}"/>
    <cellStyle name="Ввод  3 16 2" xfId="5337" xr:uid="{00000000-0005-0000-0000-000070020000}"/>
    <cellStyle name="Ввод  3 17" xfId="846" xr:uid="{00000000-0005-0000-0000-000071020000}"/>
    <cellStyle name="Ввод  3 17 2" xfId="5338" xr:uid="{00000000-0005-0000-0000-000072020000}"/>
    <cellStyle name="Ввод  3 18" xfId="847" xr:uid="{00000000-0005-0000-0000-000073020000}"/>
    <cellStyle name="Ввод  3 18 2" xfId="5339" xr:uid="{00000000-0005-0000-0000-000074020000}"/>
    <cellStyle name="Ввод  3 19" xfId="848" xr:uid="{00000000-0005-0000-0000-000075020000}"/>
    <cellStyle name="Ввод  3 19 2" xfId="5340" xr:uid="{00000000-0005-0000-0000-000076020000}"/>
    <cellStyle name="Ввод  3 2" xfId="849" xr:uid="{00000000-0005-0000-0000-000077020000}"/>
    <cellStyle name="Ввод  3 2 2" xfId="850" xr:uid="{00000000-0005-0000-0000-000078020000}"/>
    <cellStyle name="Ввод  3 2 2 2" xfId="5341" xr:uid="{00000000-0005-0000-0000-000079020000}"/>
    <cellStyle name="Ввод  3 2 3" xfId="851" xr:uid="{00000000-0005-0000-0000-00007A020000}"/>
    <cellStyle name="Ввод  3 2 3 2" xfId="5342" xr:uid="{00000000-0005-0000-0000-00007B020000}"/>
    <cellStyle name="Ввод  3 2 4" xfId="5343" xr:uid="{00000000-0005-0000-0000-00007C020000}"/>
    <cellStyle name="Ввод  3 20" xfId="852" xr:uid="{00000000-0005-0000-0000-00007D020000}"/>
    <cellStyle name="Ввод  3 20 2" xfId="5344" xr:uid="{00000000-0005-0000-0000-00007E020000}"/>
    <cellStyle name="Ввод  3 21" xfId="853" xr:uid="{00000000-0005-0000-0000-00007F020000}"/>
    <cellStyle name="Ввод  3 21 2" xfId="5345" xr:uid="{00000000-0005-0000-0000-000080020000}"/>
    <cellStyle name="Ввод  3 22" xfId="854" xr:uid="{00000000-0005-0000-0000-000081020000}"/>
    <cellStyle name="Ввод  3 22 2" xfId="5346" xr:uid="{00000000-0005-0000-0000-000082020000}"/>
    <cellStyle name="Ввод  3 23" xfId="855" xr:uid="{00000000-0005-0000-0000-000083020000}"/>
    <cellStyle name="Ввод  3 23 2" xfId="5347" xr:uid="{00000000-0005-0000-0000-000084020000}"/>
    <cellStyle name="Ввод  3 24" xfId="856" xr:uid="{00000000-0005-0000-0000-000085020000}"/>
    <cellStyle name="Ввод  3 24 2" xfId="5348" xr:uid="{00000000-0005-0000-0000-000086020000}"/>
    <cellStyle name="Ввод  3 25" xfId="857" xr:uid="{00000000-0005-0000-0000-000087020000}"/>
    <cellStyle name="Ввод  3 25 2" xfId="5349" xr:uid="{00000000-0005-0000-0000-000088020000}"/>
    <cellStyle name="Ввод  3 26" xfId="858" xr:uid="{00000000-0005-0000-0000-000089020000}"/>
    <cellStyle name="Ввод  3 26 2" xfId="5350" xr:uid="{00000000-0005-0000-0000-00008A020000}"/>
    <cellStyle name="Ввод  3 27" xfId="859" xr:uid="{00000000-0005-0000-0000-00008B020000}"/>
    <cellStyle name="Ввод  3 27 2" xfId="5351" xr:uid="{00000000-0005-0000-0000-00008C020000}"/>
    <cellStyle name="Ввод  3 28" xfId="860" xr:uid="{00000000-0005-0000-0000-00008D020000}"/>
    <cellStyle name="Ввод  3 28 2" xfId="5352" xr:uid="{00000000-0005-0000-0000-00008E020000}"/>
    <cellStyle name="Ввод  3 29" xfId="861" xr:uid="{00000000-0005-0000-0000-00008F020000}"/>
    <cellStyle name="Ввод  3 29 2" xfId="5353" xr:uid="{00000000-0005-0000-0000-000090020000}"/>
    <cellStyle name="Ввод  3 3" xfId="862" xr:uid="{00000000-0005-0000-0000-000091020000}"/>
    <cellStyle name="Ввод  3 3 2" xfId="863" xr:uid="{00000000-0005-0000-0000-000092020000}"/>
    <cellStyle name="Ввод  3 3 2 2" xfId="5354" xr:uid="{00000000-0005-0000-0000-000093020000}"/>
    <cellStyle name="Ввод  3 3 3" xfId="864" xr:uid="{00000000-0005-0000-0000-000094020000}"/>
    <cellStyle name="Ввод  3 3 3 2" xfId="5355" xr:uid="{00000000-0005-0000-0000-000095020000}"/>
    <cellStyle name="Ввод  3 3 4" xfId="5356" xr:uid="{00000000-0005-0000-0000-000096020000}"/>
    <cellStyle name="Ввод  3 30" xfId="865" xr:uid="{00000000-0005-0000-0000-000097020000}"/>
    <cellStyle name="Ввод  3 30 2" xfId="5357" xr:uid="{00000000-0005-0000-0000-000098020000}"/>
    <cellStyle name="Ввод  3 31" xfId="866" xr:uid="{00000000-0005-0000-0000-000099020000}"/>
    <cellStyle name="Ввод  3 31 2" xfId="5358" xr:uid="{00000000-0005-0000-0000-00009A020000}"/>
    <cellStyle name="Ввод  3 32" xfId="867" xr:uid="{00000000-0005-0000-0000-00009B020000}"/>
    <cellStyle name="Ввод  3 32 2" xfId="5359" xr:uid="{00000000-0005-0000-0000-00009C020000}"/>
    <cellStyle name="Ввод  3 33" xfId="868" xr:uid="{00000000-0005-0000-0000-00009D020000}"/>
    <cellStyle name="Ввод  3 33 2" xfId="5360" xr:uid="{00000000-0005-0000-0000-00009E020000}"/>
    <cellStyle name="Ввод  3 34" xfId="869" xr:uid="{00000000-0005-0000-0000-00009F020000}"/>
    <cellStyle name="Ввод  3 34 2" xfId="5361" xr:uid="{00000000-0005-0000-0000-0000A0020000}"/>
    <cellStyle name="Ввод  3 35" xfId="870" xr:uid="{00000000-0005-0000-0000-0000A1020000}"/>
    <cellStyle name="Ввод  3 35 2" xfId="5362" xr:uid="{00000000-0005-0000-0000-0000A2020000}"/>
    <cellStyle name="Ввод  3 36" xfId="871" xr:uid="{00000000-0005-0000-0000-0000A3020000}"/>
    <cellStyle name="Ввод  3 36 2" xfId="5363" xr:uid="{00000000-0005-0000-0000-0000A4020000}"/>
    <cellStyle name="Ввод  3 37" xfId="872" xr:uid="{00000000-0005-0000-0000-0000A5020000}"/>
    <cellStyle name="Ввод  3 37 2" xfId="5364" xr:uid="{00000000-0005-0000-0000-0000A6020000}"/>
    <cellStyle name="Ввод  3 38" xfId="873" xr:uid="{00000000-0005-0000-0000-0000A7020000}"/>
    <cellStyle name="Ввод  3 38 2" xfId="5365" xr:uid="{00000000-0005-0000-0000-0000A8020000}"/>
    <cellStyle name="Ввод  3 39" xfId="874" xr:uid="{00000000-0005-0000-0000-0000A9020000}"/>
    <cellStyle name="Ввод  3 39 2" xfId="5366" xr:uid="{00000000-0005-0000-0000-0000AA020000}"/>
    <cellStyle name="Ввод  3 4" xfId="875" xr:uid="{00000000-0005-0000-0000-0000AB020000}"/>
    <cellStyle name="Ввод  3 4 2" xfId="876" xr:uid="{00000000-0005-0000-0000-0000AC020000}"/>
    <cellStyle name="Ввод  3 4 2 2" xfId="5367" xr:uid="{00000000-0005-0000-0000-0000AD020000}"/>
    <cellStyle name="Ввод  3 4 3" xfId="877" xr:uid="{00000000-0005-0000-0000-0000AE020000}"/>
    <cellStyle name="Ввод  3 4 3 2" xfId="5368" xr:uid="{00000000-0005-0000-0000-0000AF020000}"/>
    <cellStyle name="Ввод  3 4 4" xfId="5369" xr:uid="{00000000-0005-0000-0000-0000B0020000}"/>
    <cellStyle name="Ввод  3 40" xfId="878" xr:uid="{00000000-0005-0000-0000-0000B1020000}"/>
    <cellStyle name="Ввод  3 40 2" xfId="5370" xr:uid="{00000000-0005-0000-0000-0000B2020000}"/>
    <cellStyle name="Ввод  3 41" xfId="879" xr:uid="{00000000-0005-0000-0000-0000B3020000}"/>
    <cellStyle name="Ввод  3 41 2" xfId="5371" xr:uid="{00000000-0005-0000-0000-0000B4020000}"/>
    <cellStyle name="Ввод  3 42" xfId="880" xr:uid="{00000000-0005-0000-0000-0000B5020000}"/>
    <cellStyle name="Ввод  3 42 2" xfId="5372" xr:uid="{00000000-0005-0000-0000-0000B6020000}"/>
    <cellStyle name="Ввод  3 43" xfId="881" xr:uid="{00000000-0005-0000-0000-0000B7020000}"/>
    <cellStyle name="Ввод  3 43 2" xfId="5373" xr:uid="{00000000-0005-0000-0000-0000B8020000}"/>
    <cellStyle name="Ввод  3 44" xfId="882" xr:uid="{00000000-0005-0000-0000-0000B9020000}"/>
    <cellStyle name="Ввод  3 44 2" xfId="5374" xr:uid="{00000000-0005-0000-0000-0000BA020000}"/>
    <cellStyle name="Ввод  3 45" xfId="883" xr:uid="{00000000-0005-0000-0000-0000BB020000}"/>
    <cellStyle name="Ввод  3 45 2" xfId="5375" xr:uid="{00000000-0005-0000-0000-0000BC020000}"/>
    <cellStyle name="Ввод  3 46" xfId="884" xr:uid="{00000000-0005-0000-0000-0000BD020000}"/>
    <cellStyle name="Ввод  3 46 2" xfId="5376" xr:uid="{00000000-0005-0000-0000-0000BE020000}"/>
    <cellStyle name="Ввод  3 47" xfId="885" xr:uid="{00000000-0005-0000-0000-0000BF020000}"/>
    <cellStyle name="Ввод  3 47 2" xfId="5377" xr:uid="{00000000-0005-0000-0000-0000C0020000}"/>
    <cellStyle name="Ввод  3 48" xfId="886" xr:uid="{00000000-0005-0000-0000-0000C1020000}"/>
    <cellStyle name="Ввод  3 48 2" xfId="5378" xr:uid="{00000000-0005-0000-0000-0000C2020000}"/>
    <cellStyle name="Ввод  3 49" xfId="887" xr:uid="{00000000-0005-0000-0000-0000C3020000}"/>
    <cellStyle name="Ввод  3 49 2" xfId="5379" xr:uid="{00000000-0005-0000-0000-0000C4020000}"/>
    <cellStyle name="Ввод  3 5" xfId="888" xr:uid="{00000000-0005-0000-0000-0000C5020000}"/>
    <cellStyle name="Ввод  3 5 2" xfId="5380" xr:uid="{00000000-0005-0000-0000-0000C6020000}"/>
    <cellStyle name="Ввод  3 50" xfId="889" xr:uid="{00000000-0005-0000-0000-0000C7020000}"/>
    <cellStyle name="Ввод  3 50 2" xfId="5381" xr:uid="{00000000-0005-0000-0000-0000C8020000}"/>
    <cellStyle name="Ввод  3 51" xfId="890" xr:uid="{00000000-0005-0000-0000-0000C9020000}"/>
    <cellStyle name="Ввод  3 51 2" xfId="5382" xr:uid="{00000000-0005-0000-0000-0000CA020000}"/>
    <cellStyle name="Ввод  3 52" xfId="891" xr:uid="{00000000-0005-0000-0000-0000CB020000}"/>
    <cellStyle name="Ввод  3 52 2" xfId="5383" xr:uid="{00000000-0005-0000-0000-0000CC020000}"/>
    <cellStyle name="Ввод  3 53" xfId="892" xr:uid="{00000000-0005-0000-0000-0000CD020000}"/>
    <cellStyle name="Ввод  3 53 2" xfId="5384" xr:uid="{00000000-0005-0000-0000-0000CE020000}"/>
    <cellStyle name="Ввод  3 54" xfId="893" xr:uid="{00000000-0005-0000-0000-0000CF020000}"/>
    <cellStyle name="Ввод  3 54 2" xfId="5385" xr:uid="{00000000-0005-0000-0000-0000D0020000}"/>
    <cellStyle name="Ввод  3 55" xfId="894" xr:uid="{00000000-0005-0000-0000-0000D1020000}"/>
    <cellStyle name="Ввод  3 55 2" xfId="5386" xr:uid="{00000000-0005-0000-0000-0000D2020000}"/>
    <cellStyle name="Ввод  3 56" xfId="895" xr:uid="{00000000-0005-0000-0000-0000D3020000}"/>
    <cellStyle name="Ввод  3 56 2" xfId="5387" xr:uid="{00000000-0005-0000-0000-0000D4020000}"/>
    <cellStyle name="Ввод  3 57" xfId="896" xr:uid="{00000000-0005-0000-0000-0000D5020000}"/>
    <cellStyle name="Ввод  3 57 2" xfId="5388" xr:uid="{00000000-0005-0000-0000-0000D6020000}"/>
    <cellStyle name="Ввод  3 58" xfId="897" xr:uid="{00000000-0005-0000-0000-0000D7020000}"/>
    <cellStyle name="Ввод  3 58 2" xfId="5389" xr:uid="{00000000-0005-0000-0000-0000D8020000}"/>
    <cellStyle name="Ввод  3 59" xfId="898" xr:uid="{00000000-0005-0000-0000-0000D9020000}"/>
    <cellStyle name="Ввод  3 59 2" xfId="5390" xr:uid="{00000000-0005-0000-0000-0000DA020000}"/>
    <cellStyle name="Ввод  3 6" xfId="899" xr:uid="{00000000-0005-0000-0000-0000DB020000}"/>
    <cellStyle name="Ввод  3 6 2" xfId="5391" xr:uid="{00000000-0005-0000-0000-0000DC020000}"/>
    <cellStyle name="Ввод  3 60" xfId="900" xr:uid="{00000000-0005-0000-0000-0000DD020000}"/>
    <cellStyle name="Ввод  3 60 2" xfId="5392" xr:uid="{00000000-0005-0000-0000-0000DE020000}"/>
    <cellStyle name="Ввод  3 61" xfId="901" xr:uid="{00000000-0005-0000-0000-0000DF020000}"/>
    <cellStyle name="Ввод  3 61 2" xfId="5393" xr:uid="{00000000-0005-0000-0000-0000E0020000}"/>
    <cellStyle name="Ввод  3 62" xfId="902" xr:uid="{00000000-0005-0000-0000-0000E1020000}"/>
    <cellStyle name="Ввод  3 62 2" xfId="5394" xr:uid="{00000000-0005-0000-0000-0000E2020000}"/>
    <cellStyle name="Ввод  3 63" xfId="903" xr:uid="{00000000-0005-0000-0000-0000E3020000}"/>
    <cellStyle name="Ввод  3 63 2" xfId="5395" xr:uid="{00000000-0005-0000-0000-0000E4020000}"/>
    <cellStyle name="Ввод  3 64" xfId="904" xr:uid="{00000000-0005-0000-0000-0000E5020000}"/>
    <cellStyle name="Ввод  3 64 2" xfId="5396" xr:uid="{00000000-0005-0000-0000-0000E6020000}"/>
    <cellStyle name="Ввод  3 65" xfId="905" xr:uid="{00000000-0005-0000-0000-0000E7020000}"/>
    <cellStyle name="Ввод  3 65 2" xfId="5397" xr:uid="{00000000-0005-0000-0000-0000E8020000}"/>
    <cellStyle name="Ввод  3 66" xfId="906" xr:uid="{00000000-0005-0000-0000-0000E9020000}"/>
    <cellStyle name="Ввод  3 66 2" xfId="5398" xr:uid="{00000000-0005-0000-0000-0000EA020000}"/>
    <cellStyle name="Ввод  3 67" xfId="907" xr:uid="{00000000-0005-0000-0000-0000EB020000}"/>
    <cellStyle name="Ввод  3 67 2" xfId="5399" xr:uid="{00000000-0005-0000-0000-0000EC020000}"/>
    <cellStyle name="Ввод  3 68" xfId="908" xr:uid="{00000000-0005-0000-0000-0000ED020000}"/>
    <cellStyle name="Ввод  3 68 2" xfId="5400" xr:uid="{00000000-0005-0000-0000-0000EE020000}"/>
    <cellStyle name="Ввод  3 69" xfId="909" xr:uid="{00000000-0005-0000-0000-0000EF020000}"/>
    <cellStyle name="Ввод  3 69 2" xfId="5401" xr:uid="{00000000-0005-0000-0000-0000F0020000}"/>
    <cellStyle name="Ввод  3 7" xfId="910" xr:uid="{00000000-0005-0000-0000-0000F1020000}"/>
    <cellStyle name="Ввод  3 7 2" xfId="5402" xr:uid="{00000000-0005-0000-0000-0000F2020000}"/>
    <cellStyle name="Ввод  3 70" xfId="911" xr:uid="{00000000-0005-0000-0000-0000F3020000}"/>
    <cellStyle name="Ввод  3 70 2" xfId="5403" xr:uid="{00000000-0005-0000-0000-0000F4020000}"/>
    <cellStyle name="Ввод  3 71" xfId="912" xr:uid="{00000000-0005-0000-0000-0000F5020000}"/>
    <cellStyle name="Ввод  3 71 2" xfId="5404" xr:uid="{00000000-0005-0000-0000-0000F6020000}"/>
    <cellStyle name="Ввод  3 72" xfId="913" xr:uid="{00000000-0005-0000-0000-0000F7020000}"/>
    <cellStyle name="Ввод  3 72 2" xfId="5405" xr:uid="{00000000-0005-0000-0000-0000F8020000}"/>
    <cellStyle name="Ввод  3 73" xfId="914" xr:uid="{00000000-0005-0000-0000-0000F9020000}"/>
    <cellStyle name="Ввод  3 73 2" xfId="5406" xr:uid="{00000000-0005-0000-0000-0000FA020000}"/>
    <cellStyle name="Ввод  3 74" xfId="915" xr:uid="{00000000-0005-0000-0000-0000FB020000}"/>
    <cellStyle name="Ввод  3 74 2" xfId="5407" xr:uid="{00000000-0005-0000-0000-0000FC020000}"/>
    <cellStyle name="Ввод  3 75" xfId="916" xr:uid="{00000000-0005-0000-0000-0000FD020000}"/>
    <cellStyle name="Ввод  3 75 2" xfId="5408" xr:uid="{00000000-0005-0000-0000-0000FE020000}"/>
    <cellStyle name="Ввод  3 76" xfId="917" xr:uid="{00000000-0005-0000-0000-0000FF020000}"/>
    <cellStyle name="Ввод  3 76 2" xfId="5409" xr:uid="{00000000-0005-0000-0000-000000030000}"/>
    <cellStyle name="Ввод  3 77" xfId="918" xr:uid="{00000000-0005-0000-0000-000001030000}"/>
    <cellStyle name="Ввод  3 77 2" xfId="5410" xr:uid="{00000000-0005-0000-0000-000002030000}"/>
    <cellStyle name="Ввод  3 78" xfId="919" xr:uid="{00000000-0005-0000-0000-000003030000}"/>
    <cellStyle name="Ввод  3 78 2" xfId="5411" xr:uid="{00000000-0005-0000-0000-000004030000}"/>
    <cellStyle name="Ввод  3 79" xfId="920" xr:uid="{00000000-0005-0000-0000-000005030000}"/>
    <cellStyle name="Ввод  3 79 2" xfId="5412" xr:uid="{00000000-0005-0000-0000-000006030000}"/>
    <cellStyle name="Ввод  3 8" xfId="921" xr:uid="{00000000-0005-0000-0000-000007030000}"/>
    <cellStyle name="Ввод  3 8 2" xfId="5413" xr:uid="{00000000-0005-0000-0000-000008030000}"/>
    <cellStyle name="Ввод  3 80" xfId="922" xr:uid="{00000000-0005-0000-0000-000009030000}"/>
    <cellStyle name="Ввод  3 80 2" xfId="5414" xr:uid="{00000000-0005-0000-0000-00000A030000}"/>
    <cellStyle name="Ввод  3 81" xfId="923" xr:uid="{00000000-0005-0000-0000-00000B030000}"/>
    <cellStyle name="Ввод  3 81 2" xfId="5415" xr:uid="{00000000-0005-0000-0000-00000C030000}"/>
    <cellStyle name="Ввод  3 82" xfId="924" xr:uid="{00000000-0005-0000-0000-00000D030000}"/>
    <cellStyle name="Ввод  3 82 2" xfId="5416" xr:uid="{00000000-0005-0000-0000-00000E030000}"/>
    <cellStyle name="Ввод  3 83" xfId="925" xr:uid="{00000000-0005-0000-0000-00000F030000}"/>
    <cellStyle name="Ввод  3 83 2" xfId="5417" xr:uid="{00000000-0005-0000-0000-000010030000}"/>
    <cellStyle name="Ввод  3 84" xfId="926" xr:uid="{00000000-0005-0000-0000-000011030000}"/>
    <cellStyle name="Ввод  3 84 2" xfId="5418" xr:uid="{00000000-0005-0000-0000-000012030000}"/>
    <cellStyle name="Ввод  3 85" xfId="927" xr:uid="{00000000-0005-0000-0000-000013030000}"/>
    <cellStyle name="Ввод  3 85 2" xfId="5419" xr:uid="{00000000-0005-0000-0000-000014030000}"/>
    <cellStyle name="Ввод  3 86" xfId="928" xr:uid="{00000000-0005-0000-0000-000015030000}"/>
    <cellStyle name="Ввод  3 86 2" xfId="5420" xr:uid="{00000000-0005-0000-0000-000016030000}"/>
    <cellStyle name="Ввод  3 87" xfId="929" xr:uid="{00000000-0005-0000-0000-000017030000}"/>
    <cellStyle name="Ввод  3 87 2" xfId="5421" xr:uid="{00000000-0005-0000-0000-000018030000}"/>
    <cellStyle name="Ввод  3 88" xfId="930" xr:uid="{00000000-0005-0000-0000-000019030000}"/>
    <cellStyle name="Ввод  3 88 2" xfId="5422" xr:uid="{00000000-0005-0000-0000-00001A030000}"/>
    <cellStyle name="Ввод  3 89" xfId="931" xr:uid="{00000000-0005-0000-0000-00001B030000}"/>
    <cellStyle name="Ввод  3 89 2" xfId="5423" xr:uid="{00000000-0005-0000-0000-00001C030000}"/>
    <cellStyle name="Ввод  3 9" xfId="932" xr:uid="{00000000-0005-0000-0000-00001D030000}"/>
    <cellStyle name="Ввод  3 9 2" xfId="5424" xr:uid="{00000000-0005-0000-0000-00001E030000}"/>
    <cellStyle name="Ввод  3 90" xfId="933" xr:uid="{00000000-0005-0000-0000-00001F030000}"/>
    <cellStyle name="Ввод  3 90 2" xfId="5425" xr:uid="{00000000-0005-0000-0000-000020030000}"/>
    <cellStyle name="Ввод  3 91" xfId="934" xr:uid="{00000000-0005-0000-0000-000021030000}"/>
    <cellStyle name="Ввод  3 91 2" xfId="5426" xr:uid="{00000000-0005-0000-0000-000022030000}"/>
    <cellStyle name="Ввод  3 92" xfId="5427" xr:uid="{00000000-0005-0000-0000-000023030000}"/>
    <cellStyle name="Ввод  4" xfId="229" xr:uid="{00000000-0005-0000-0000-000024030000}"/>
    <cellStyle name="Ввод  4 10" xfId="935" xr:uid="{00000000-0005-0000-0000-000025030000}"/>
    <cellStyle name="Ввод  4 10 2" xfId="5428" xr:uid="{00000000-0005-0000-0000-000026030000}"/>
    <cellStyle name="Ввод  4 11" xfId="936" xr:uid="{00000000-0005-0000-0000-000027030000}"/>
    <cellStyle name="Ввод  4 11 2" xfId="5429" xr:uid="{00000000-0005-0000-0000-000028030000}"/>
    <cellStyle name="Ввод  4 12" xfId="937" xr:uid="{00000000-0005-0000-0000-000029030000}"/>
    <cellStyle name="Ввод  4 12 2" xfId="5430" xr:uid="{00000000-0005-0000-0000-00002A030000}"/>
    <cellStyle name="Ввод  4 13" xfId="938" xr:uid="{00000000-0005-0000-0000-00002B030000}"/>
    <cellStyle name="Ввод  4 13 2" xfId="5431" xr:uid="{00000000-0005-0000-0000-00002C030000}"/>
    <cellStyle name="Ввод  4 14" xfId="939" xr:uid="{00000000-0005-0000-0000-00002D030000}"/>
    <cellStyle name="Ввод  4 14 2" xfId="5432" xr:uid="{00000000-0005-0000-0000-00002E030000}"/>
    <cellStyle name="Ввод  4 15" xfId="940" xr:uid="{00000000-0005-0000-0000-00002F030000}"/>
    <cellStyle name="Ввод  4 15 2" xfId="5433" xr:uid="{00000000-0005-0000-0000-000030030000}"/>
    <cellStyle name="Ввод  4 16" xfId="941" xr:uid="{00000000-0005-0000-0000-000031030000}"/>
    <cellStyle name="Ввод  4 16 2" xfId="5434" xr:uid="{00000000-0005-0000-0000-000032030000}"/>
    <cellStyle name="Ввод  4 17" xfId="942" xr:uid="{00000000-0005-0000-0000-000033030000}"/>
    <cellStyle name="Ввод  4 17 2" xfId="5435" xr:uid="{00000000-0005-0000-0000-000034030000}"/>
    <cellStyle name="Ввод  4 18" xfId="943" xr:uid="{00000000-0005-0000-0000-000035030000}"/>
    <cellStyle name="Ввод  4 18 2" xfId="5436" xr:uid="{00000000-0005-0000-0000-000036030000}"/>
    <cellStyle name="Ввод  4 19" xfId="944" xr:uid="{00000000-0005-0000-0000-000037030000}"/>
    <cellStyle name="Ввод  4 19 2" xfId="5437" xr:uid="{00000000-0005-0000-0000-000038030000}"/>
    <cellStyle name="Ввод  4 2" xfId="945" xr:uid="{00000000-0005-0000-0000-000039030000}"/>
    <cellStyle name="Ввод  4 2 2" xfId="946" xr:uid="{00000000-0005-0000-0000-00003A030000}"/>
    <cellStyle name="Ввод  4 2 2 2" xfId="5438" xr:uid="{00000000-0005-0000-0000-00003B030000}"/>
    <cellStyle name="Ввод  4 2 3" xfId="947" xr:uid="{00000000-0005-0000-0000-00003C030000}"/>
    <cellStyle name="Ввод  4 2 3 2" xfId="5439" xr:uid="{00000000-0005-0000-0000-00003D030000}"/>
    <cellStyle name="Ввод  4 2 4" xfId="5440" xr:uid="{00000000-0005-0000-0000-00003E030000}"/>
    <cellStyle name="Ввод  4 20" xfId="948" xr:uid="{00000000-0005-0000-0000-00003F030000}"/>
    <cellStyle name="Ввод  4 20 2" xfId="5441" xr:uid="{00000000-0005-0000-0000-000040030000}"/>
    <cellStyle name="Ввод  4 21" xfId="949" xr:uid="{00000000-0005-0000-0000-000041030000}"/>
    <cellStyle name="Ввод  4 21 2" xfId="5442" xr:uid="{00000000-0005-0000-0000-000042030000}"/>
    <cellStyle name="Ввод  4 22" xfId="950" xr:uid="{00000000-0005-0000-0000-000043030000}"/>
    <cellStyle name="Ввод  4 22 2" xfId="5443" xr:uid="{00000000-0005-0000-0000-000044030000}"/>
    <cellStyle name="Ввод  4 23" xfId="951" xr:uid="{00000000-0005-0000-0000-000045030000}"/>
    <cellStyle name="Ввод  4 23 2" xfId="5444" xr:uid="{00000000-0005-0000-0000-000046030000}"/>
    <cellStyle name="Ввод  4 24" xfId="952" xr:uid="{00000000-0005-0000-0000-000047030000}"/>
    <cellStyle name="Ввод  4 24 2" xfId="5445" xr:uid="{00000000-0005-0000-0000-000048030000}"/>
    <cellStyle name="Ввод  4 25" xfId="953" xr:uid="{00000000-0005-0000-0000-000049030000}"/>
    <cellStyle name="Ввод  4 25 2" xfId="5446" xr:uid="{00000000-0005-0000-0000-00004A030000}"/>
    <cellStyle name="Ввод  4 26" xfId="954" xr:uid="{00000000-0005-0000-0000-00004B030000}"/>
    <cellStyle name="Ввод  4 26 2" xfId="5447" xr:uid="{00000000-0005-0000-0000-00004C030000}"/>
    <cellStyle name="Ввод  4 27" xfId="955" xr:uid="{00000000-0005-0000-0000-00004D030000}"/>
    <cellStyle name="Ввод  4 27 2" xfId="5448" xr:uid="{00000000-0005-0000-0000-00004E030000}"/>
    <cellStyle name="Ввод  4 28" xfId="956" xr:uid="{00000000-0005-0000-0000-00004F030000}"/>
    <cellStyle name="Ввод  4 28 2" xfId="5449" xr:uid="{00000000-0005-0000-0000-000050030000}"/>
    <cellStyle name="Ввод  4 29" xfId="957" xr:uid="{00000000-0005-0000-0000-000051030000}"/>
    <cellStyle name="Ввод  4 29 2" xfId="5450" xr:uid="{00000000-0005-0000-0000-000052030000}"/>
    <cellStyle name="Ввод  4 3" xfId="958" xr:uid="{00000000-0005-0000-0000-000053030000}"/>
    <cellStyle name="Ввод  4 3 2" xfId="959" xr:uid="{00000000-0005-0000-0000-000054030000}"/>
    <cellStyle name="Ввод  4 3 2 2" xfId="5451" xr:uid="{00000000-0005-0000-0000-000055030000}"/>
    <cellStyle name="Ввод  4 3 3" xfId="960" xr:uid="{00000000-0005-0000-0000-000056030000}"/>
    <cellStyle name="Ввод  4 3 3 2" xfId="5452" xr:uid="{00000000-0005-0000-0000-000057030000}"/>
    <cellStyle name="Ввод  4 3 4" xfId="5453" xr:uid="{00000000-0005-0000-0000-000058030000}"/>
    <cellStyle name="Ввод  4 30" xfId="961" xr:uid="{00000000-0005-0000-0000-000059030000}"/>
    <cellStyle name="Ввод  4 30 2" xfId="5454" xr:uid="{00000000-0005-0000-0000-00005A030000}"/>
    <cellStyle name="Ввод  4 31" xfId="962" xr:uid="{00000000-0005-0000-0000-00005B030000}"/>
    <cellStyle name="Ввод  4 31 2" xfId="5455" xr:uid="{00000000-0005-0000-0000-00005C030000}"/>
    <cellStyle name="Ввод  4 32" xfId="963" xr:uid="{00000000-0005-0000-0000-00005D030000}"/>
    <cellStyle name="Ввод  4 32 2" xfId="5456" xr:uid="{00000000-0005-0000-0000-00005E030000}"/>
    <cellStyle name="Ввод  4 33" xfId="964" xr:uid="{00000000-0005-0000-0000-00005F030000}"/>
    <cellStyle name="Ввод  4 33 2" xfId="5457" xr:uid="{00000000-0005-0000-0000-000060030000}"/>
    <cellStyle name="Ввод  4 34" xfId="965" xr:uid="{00000000-0005-0000-0000-000061030000}"/>
    <cellStyle name="Ввод  4 34 2" xfId="5458" xr:uid="{00000000-0005-0000-0000-000062030000}"/>
    <cellStyle name="Ввод  4 35" xfId="966" xr:uid="{00000000-0005-0000-0000-000063030000}"/>
    <cellStyle name="Ввод  4 35 2" xfId="5459" xr:uid="{00000000-0005-0000-0000-000064030000}"/>
    <cellStyle name="Ввод  4 36" xfId="967" xr:uid="{00000000-0005-0000-0000-000065030000}"/>
    <cellStyle name="Ввод  4 36 2" xfId="5460" xr:uid="{00000000-0005-0000-0000-000066030000}"/>
    <cellStyle name="Ввод  4 37" xfId="968" xr:uid="{00000000-0005-0000-0000-000067030000}"/>
    <cellStyle name="Ввод  4 37 2" xfId="5461" xr:uid="{00000000-0005-0000-0000-000068030000}"/>
    <cellStyle name="Ввод  4 38" xfId="969" xr:uid="{00000000-0005-0000-0000-000069030000}"/>
    <cellStyle name="Ввод  4 38 2" xfId="5462" xr:uid="{00000000-0005-0000-0000-00006A030000}"/>
    <cellStyle name="Ввод  4 39" xfId="970" xr:uid="{00000000-0005-0000-0000-00006B030000}"/>
    <cellStyle name="Ввод  4 39 2" xfId="5463" xr:uid="{00000000-0005-0000-0000-00006C030000}"/>
    <cellStyle name="Ввод  4 4" xfId="971" xr:uid="{00000000-0005-0000-0000-00006D030000}"/>
    <cellStyle name="Ввод  4 4 2" xfId="972" xr:uid="{00000000-0005-0000-0000-00006E030000}"/>
    <cellStyle name="Ввод  4 4 2 2" xfId="5464" xr:uid="{00000000-0005-0000-0000-00006F030000}"/>
    <cellStyle name="Ввод  4 4 3" xfId="973" xr:uid="{00000000-0005-0000-0000-000070030000}"/>
    <cellStyle name="Ввод  4 4 3 2" xfId="5465" xr:uid="{00000000-0005-0000-0000-000071030000}"/>
    <cellStyle name="Ввод  4 4 4" xfId="5466" xr:uid="{00000000-0005-0000-0000-000072030000}"/>
    <cellStyle name="Ввод  4 40" xfId="974" xr:uid="{00000000-0005-0000-0000-000073030000}"/>
    <cellStyle name="Ввод  4 40 2" xfId="5467" xr:uid="{00000000-0005-0000-0000-000074030000}"/>
    <cellStyle name="Ввод  4 41" xfId="975" xr:uid="{00000000-0005-0000-0000-000075030000}"/>
    <cellStyle name="Ввод  4 41 2" xfId="5468" xr:uid="{00000000-0005-0000-0000-000076030000}"/>
    <cellStyle name="Ввод  4 42" xfId="976" xr:uid="{00000000-0005-0000-0000-000077030000}"/>
    <cellStyle name="Ввод  4 42 2" xfId="5469" xr:uid="{00000000-0005-0000-0000-000078030000}"/>
    <cellStyle name="Ввод  4 43" xfId="977" xr:uid="{00000000-0005-0000-0000-000079030000}"/>
    <cellStyle name="Ввод  4 43 2" xfId="5470" xr:uid="{00000000-0005-0000-0000-00007A030000}"/>
    <cellStyle name="Ввод  4 44" xfId="978" xr:uid="{00000000-0005-0000-0000-00007B030000}"/>
    <cellStyle name="Ввод  4 44 2" xfId="5471" xr:uid="{00000000-0005-0000-0000-00007C030000}"/>
    <cellStyle name="Ввод  4 45" xfId="979" xr:uid="{00000000-0005-0000-0000-00007D030000}"/>
    <cellStyle name="Ввод  4 45 2" xfId="5472" xr:uid="{00000000-0005-0000-0000-00007E030000}"/>
    <cellStyle name="Ввод  4 46" xfId="980" xr:uid="{00000000-0005-0000-0000-00007F030000}"/>
    <cellStyle name="Ввод  4 46 2" xfId="5473" xr:uid="{00000000-0005-0000-0000-000080030000}"/>
    <cellStyle name="Ввод  4 47" xfId="981" xr:uid="{00000000-0005-0000-0000-000081030000}"/>
    <cellStyle name="Ввод  4 47 2" xfId="5474" xr:uid="{00000000-0005-0000-0000-000082030000}"/>
    <cellStyle name="Ввод  4 48" xfId="982" xr:uid="{00000000-0005-0000-0000-000083030000}"/>
    <cellStyle name="Ввод  4 48 2" xfId="5475" xr:uid="{00000000-0005-0000-0000-000084030000}"/>
    <cellStyle name="Ввод  4 49" xfId="983" xr:uid="{00000000-0005-0000-0000-000085030000}"/>
    <cellStyle name="Ввод  4 49 2" xfId="5476" xr:uid="{00000000-0005-0000-0000-000086030000}"/>
    <cellStyle name="Ввод  4 5" xfId="984" xr:uid="{00000000-0005-0000-0000-000087030000}"/>
    <cellStyle name="Ввод  4 5 2" xfId="5477" xr:uid="{00000000-0005-0000-0000-000088030000}"/>
    <cellStyle name="Ввод  4 50" xfId="985" xr:uid="{00000000-0005-0000-0000-000089030000}"/>
    <cellStyle name="Ввод  4 50 2" xfId="5478" xr:uid="{00000000-0005-0000-0000-00008A030000}"/>
    <cellStyle name="Ввод  4 51" xfId="986" xr:uid="{00000000-0005-0000-0000-00008B030000}"/>
    <cellStyle name="Ввод  4 51 2" xfId="5479" xr:uid="{00000000-0005-0000-0000-00008C030000}"/>
    <cellStyle name="Ввод  4 52" xfId="987" xr:uid="{00000000-0005-0000-0000-00008D030000}"/>
    <cellStyle name="Ввод  4 52 2" xfId="5480" xr:uid="{00000000-0005-0000-0000-00008E030000}"/>
    <cellStyle name="Ввод  4 53" xfId="988" xr:uid="{00000000-0005-0000-0000-00008F030000}"/>
    <cellStyle name="Ввод  4 53 2" xfId="5481" xr:uid="{00000000-0005-0000-0000-000090030000}"/>
    <cellStyle name="Ввод  4 54" xfId="989" xr:uid="{00000000-0005-0000-0000-000091030000}"/>
    <cellStyle name="Ввод  4 54 2" xfId="5482" xr:uid="{00000000-0005-0000-0000-000092030000}"/>
    <cellStyle name="Ввод  4 55" xfId="990" xr:uid="{00000000-0005-0000-0000-000093030000}"/>
    <cellStyle name="Ввод  4 55 2" xfId="5483" xr:uid="{00000000-0005-0000-0000-000094030000}"/>
    <cellStyle name="Ввод  4 56" xfId="991" xr:uid="{00000000-0005-0000-0000-000095030000}"/>
    <cellStyle name="Ввод  4 56 2" xfId="5484" xr:uid="{00000000-0005-0000-0000-000096030000}"/>
    <cellStyle name="Ввод  4 57" xfId="992" xr:uid="{00000000-0005-0000-0000-000097030000}"/>
    <cellStyle name="Ввод  4 57 2" xfId="5485" xr:uid="{00000000-0005-0000-0000-000098030000}"/>
    <cellStyle name="Ввод  4 58" xfId="993" xr:uid="{00000000-0005-0000-0000-000099030000}"/>
    <cellStyle name="Ввод  4 58 2" xfId="5486" xr:uid="{00000000-0005-0000-0000-00009A030000}"/>
    <cellStyle name="Ввод  4 59" xfId="994" xr:uid="{00000000-0005-0000-0000-00009B030000}"/>
    <cellStyle name="Ввод  4 59 2" xfId="5487" xr:uid="{00000000-0005-0000-0000-00009C030000}"/>
    <cellStyle name="Ввод  4 6" xfId="995" xr:uid="{00000000-0005-0000-0000-00009D030000}"/>
    <cellStyle name="Ввод  4 6 2" xfId="5488" xr:uid="{00000000-0005-0000-0000-00009E030000}"/>
    <cellStyle name="Ввод  4 60" xfId="996" xr:uid="{00000000-0005-0000-0000-00009F030000}"/>
    <cellStyle name="Ввод  4 60 2" xfId="5489" xr:uid="{00000000-0005-0000-0000-0000A0030000}"/>
    <cellStyle name="Ввод  4 61" xfId="997" xr:uid="{00000000-0005-0000-0000-0000A1030000}"/>
    <cellStyle name="Ввод  4 61 2" xfId="5490" xr:uid="{00000000-0005-0000-0000-0000A2030000}"/>
    <cellStyle name="Ввод  4 62" xfId="998" xr:uid="{00000000-0005-0000-0000-0000A3030000}"/>
    <cellStyle name="Ввод  4 62 2" xfId="5491" xr:uid="{00000000-0005-0000-0000-0000A4030000}"/>
    <cellStyle name="Ввод  4 63" xfId="999" xr:uid="{00000000-0005-0000-0000-0000A5030000}"/>
    <cellStyle name="Ввод  4 63 2" xfId="5492" xr:uid="{00000000-0005-0000-0000-0000A6030000}"/>
    <cellStyle name="Ввод  4 64" xfId="1000" xr:uid="{00000000-0005-0000-0000-0000A7030000}"/>
    <cellStyle name="Ввод  4 64 2" xfId="5493" xr:uid="{00000000-0005-0000-0000-0000A8030000}"/>
    <cellStyle name="Ввод  4 65" xfId="1001" xr:uid="{00000000-0005-0000-0000-0000A9030000}"/>
    <cellStyle name="Ввод  4 65 2" xfId="5494" xr:uid="{00000000-0005-0000-0000-0000AA030000}"/>
    <cellStyle name="Ввод  4 66" xfId="1002" xr:uid="{00000000-0005-0000-0000-0000AB030000}"/>
    <cellStyle name="Ввод  4 66 2" xfId="5495" xr:uid="{00000000-0005-0000-0000-0000AC030000}"/>
    <cellStyle name="Ввод  4 67" xfId="1003" xr:uid="{00000000-0005-0000-0000-0000AD030000}"/>
    <cellStyle name="Ввод  4 67 2" xfId="5496" xr:uid="{00000000-0005-0000-0000-0000AE030000}"/>
    <cellStyle name="Ввод  4 68" xfId="1004" xr:uid="{00000000-0005-0000-0000-0000AF030000}"/>
    <cellStyle name="Ввод  4 68 2" xfId="5497" xr:uid="{00000000-0005-0000-0000-0000B0030000}"/>
    <cellStyle name="Ввод  4 69" xfId="1005" xr:uid="{00000000-0005-0000-0000-0000B1030000}"/>
    <cellStyle name="Ввод  4 69 2" xfId="5498" xr:uid="{00000000-0005-0000-0000-0000B2030000}"/>
    <cellStyle name="Ввод  4 7" xfId="1006" xr:uid="{00000000-0005-0000-0000-0000B3030000}"/>
    <cellStyle name="Ввод  4 7 2" xfId="5499" xr:uid="{00000000-0005-0000-0000-0000B4030000}"/>
    <cellStyle name="Ввод  4 70" xfId="1007" xr:uid="{00000000-0005-0000-0000-0000B5030000}"/>
    <cellStyle name="Ввод  4 70 2" xfId="5500" xr:uid="{00000000-0005-0000-0000-0000B6030000}"/>
    <cellStyle name="Ввод  4 71" xfId="1008" xr:uid="{00000000-0005-0000-0000-0000B7030000}"/>
    <cellStyle name="Ввод  4 71 2" xfId="5501" xr:uid="{00000000-0005-0000-0000-0000B8030000}"/>
    <cellStyle name="Ввод  4 72" xfId="1009" xr:uid="{00000000-0005-0000-0000-0000B9030000}"/>
    <cellStyle name="Ввод  4 72 2" xfId="5502" xr:uid="{00000000-0005-0000-0000-0000BA030000}"/>
    <cellStyle name="Ввод  4 73" xfId="1010" xr:uid="{00000000-0005-0000-0000-0000BB030000}"/>
    <cellStyle name="Ввод  4 73 2" xfId="5503" xr:uid="{00000000-0005-0000-0000-0000BC030000}"/>
    <cellStyle name="Ввод  4 74" xfId="1011" xr:uid="{00000000-0005-0000-0000-0000BD030000}"/>
    <cellStyle name="Ввод  4 74 2" xfId="5504" xr:uid="{00000000-0005-0000-0000-0000BE030000}"/>
    <cellStyle name="Ввод  4 75" xfId="1012" xr:uid="{00000000-0005-0000-0000-0000BF030000}"/>
    <cellStyle name="Ввод  4 75 2" xfId="5505" xr:uid="{00000000-0005-0000-0000-0000C0030000}"/>
    <cellStyle name="Ввод  4 76" xfId="1013" xr:uid="{00000000-0005-0000-0000-0000C1030000}"/>
    <cellStyle name="Ввод  4 76 2" xfId="5506" xr:uid="{00000000-0005-0000-0000-0000C2030000}"/>
    <cellStyle name="Ввод  4 77" xfId="1014" xr:uid="{00000000-0005-0000-0000-0000C3030000}"/>
    <cellStyle name="Ввод  4 77 2" xfId="5507" xr:uid="{00000000-0005-0000-0000-0000C4030000}"/>
    <cellStyle name="Ввод  4 78" xfId="1015" xr:uid="{00000000-0005-0000-0000-0000C5030000}"/>
    <cellStyle name="Ввод  4 78 2" xfId="5508" xr:uid="{00000000-0005-0000-0000-0000C6030000}"/>
    <cellStyle name="Ввод  4 79" xfId="1016" xr:uid="{00000000-0005-0000-0000-0000C7030000}"/>
    <cellStyle name="Ввод  4 79 2" xfId="5509" xr:uid="{00000000-0005-0000-0000-0000C8030000}"/>
    <cellStyle name="Ввод  4 8" xfId="1017" xr:uid="{00000000-0005-0000-0000-0000C9030000}"/>
    <cellStyle name="Ввод  4 8 2" xfId="5510" xr:uid="{00000000-0005-0000-0000-0000CA030000}"/>
    <cellStyle name="Ввод  4 80" xfId="1018" xr:uid="{00000000-0005-0000-0000-0000CB030000}"/>
    <cellStyle name="Ввод  4 80 2" xfId="5511" xr:uid="{00000000-0005-0000-0000-0000CC030000}"/>
    <cellStyle name="Ввод  4 81" xfId="1019" xr:uid="{00000000-0005-0000-0000-0000CD030000}"/>
    <cellStyle name="Ввод  4 81 2" xfId="5512" xr:uid="{00000000-0005-0000-0000-0000CE030000}"/>
    <cellStyle name="Ввод  4 82" xfId="1020" xr:uid="{00000000-0005-0000-0000-0000CF030000}"/>
    <cellStyle name="Ввод  4 82 2" xfId="5513" xr:uid="{00000000-0005-0000-0000-0000D0030000}"/>
    <cellStyle name="Ввод  4 83" xfId="1021" xr:uid="{00000000-0005-0000-0000-0000D1030000}"/>
    <cellStyle name="Ввод  4 83 2" xfId="5514" xr:uid="{00000000-0005-0000-0000-0000D2030000}"/>
    <cellStyle name="Ввод  4 84" xfId="1022" xr:uid="{00000000-0005-0000-0000-0000D3030000}"/>
    <cellStyle name="Ввод  4 84 2" xfId="5515" xr:uid="{00000000-0005-0000-0000-0000D4030000}"/>
    <cellStyle name="Ввод  4 85" xfId="1023" xr:uid="{00000000-0005-0000-0000-0000D5030000}"/>
    <cellStyle name="Ввод  4 85 2" xfId="5516" xr:uid="{00000000-0005-0000-0000-0000D6030000}"/>
    <cellStyle name="Ввод  4 86" xfId="1024" xr:uid="{00000000-0005-0000-0000-0000D7030000}"/>
    <cellStyle name="Ввод  4 86 2" xfId="5517" xr:uid="{00000000-0005-0000-0000-0000D8030000}"/>
    <cellStyle name="Ввод  4 87" xfId="1025" xr:uid="{00000000-0005-0000-0000-0000D9030000}"/>
    <cellStyle name="Ввод  4 87 2" xfId="5518" xr:uid="{00000000-0005-0000-0000-0000DA030000}"/>
    <cellStyle name="Ввод  4 88" xfId="1026" xr:uid="{00000000-0005-0000-0000-0000DB030000}"/>
    <cellStyle name="Ввод  4 88 2" xfId="5519" xr:uid="{00000000-0005-0000-0000-0000DC030000}"/>
    <cellStyle name="Ввод  4 89" xfId="1027" xr:uid="{00000000-0005-0000-0000-0000DD030000}"/>
    <cellStyle name="Ввод  4 89 2" xfId="5520" xr:uid="{00000000-0005-0000-0000-0000DE030000}"/>
    <cellStyle name="Ввод  4 9" xfId="1028" xr:uid="{00000000-0005-0000-0000-0000DF030000}"/>
    <cellStyle name="Ввод  4 9 2" xfId="5521" xr:uid="{00000000-0005-0000-0000-0000E0030000}"/>
    <cellStyle name="Ввод  4 90" xfId="1029" xr:uid="{00000000-0005-0000-0000-0000E1030000}"/>
    <cellStyle name="Ввод  4 90 2" xfId="5522" xr:uid="{00000000-0005-0000-0000-0000E2030000}"/>
    <cellStyle name="Ввод  4 91" xfId="1030" xr:uid="{00000000-0005-0000-0000-0000E3030000}"/>
    <cellStyle name="Ввод  4 91 2" xfId="5523" xr:uid="{00000000-0005-0000-0000-0000E4030000}"/>
    <cellStyle name="Ввод  4 92" xfId="5524" xr:uid="{00000000-0005-0000-0000-0000E5030000}"/>
    <cellStyle name="Ввод  5" xfId="230" xr:uid="{00000000-0005-0000-0000-0000E6030000}"/>
    <cellStyle name="Ввод  5 10" xfId="1031" xr:uid="{00000000-0005-0000-0000-0000E7030000}"/>
    <cellStyle name="Ввод  5 10 2" xfId="5525" xr:uid="{00000000-0005-0000-0000-0000E8030000}"/>
    <cellStyle name="Ввод  5 11" xfId="1032" xr:uid="{00000000-0005-0000-0000-0000E9030000}"/>
    <cellStyle name="Ввод  5 11 2" xfId="5526" xr:uid="{00000000-0005-0000-0000-0000EA030000}"/>
    <cellStyle name="Ввод  5 12" xfId="1033" xr:uid="{00000000-0005-0000-0000-0000EB030000}"/>
    <cellStyle name="Ввод  5 12 2" xfId="5527" xr:uid="{00000000-0005-0000-0000-0000EC030000}"/>
    <cellStyle name="Ввод  5 13" xfId="1034" xr:uid="{00000000-0005-0000-0000-0000ED030000}"/>
    <cellStyle name="Ввод  5 13 2" xfId="5528" xr:uid="{00000000-0005-0000-0000-0000EE030000}"/>
    <cellStyle name="Ввод  5 14" xfId="1035" xr:uid="{00000000-0005-0000-0000-0000EF030000}"/>
    <cellStyle name="Ввод  5 14 2" xfId="5529" xr:uid="{00000000-0005-0000-0000-0000F0030000}"/>
    <cellStyle name="Ввод  5 15" xfId="1036" xr:uid="{00000000-0005-0000-0000-0000F1030000}"/>
    <cellStyle name="Ввод  5 15 2" xfId="5530" xr:uid="{00000000-0005-0000-0000-0000F2030000}"/>
    <cellStyle name="Ввод  5 16" xfId="1037" xr:uid="{00000000-0005-0000-0000-0000F3030000}"/>
    <cellStyle name="Ввод  5 16 2" xfId="5531" xr:uid="{00000000-0005-0000-0000-0000F4030000}"/>
    <cellStyle name="Ввод  5 17" xfId="1038" xr:uid="{00000000-0005-0000-0000-0000F5030000}"/>
    <cellStyle name="Ввод  5 17 2" xfId="5532" xr:uid="{00000000-0005-0000-0000-0000F6030000}"/>
    <cellStyle name="Ввод  5 18" xfId="1039" xr:uid="{00000000-0005-0000-0000-0000F7030000}"/>
    <cellStyle name="Ввод  5 18 2" xfId="5533" xr:uid="{00000000-0005-0000-0000-0000F8030000}"/>
    <cellStyle name="Ввод  5 19" xfId="1040" xr:uid="{00000000-0005-0000-0000-0000F9030000}"/>
    <cellStyle name="Ввод  5 19 2" xfId="5534" xr:uid="{00000000-0005-0000-0000-0000FA030000}"/>
    <cellStyle name="Ввод  5 2" xfId="1041" xr:uid="{00000000-0005-0000-0000-0000FB030000}"/>
    <cellStyle name="Ввод  5 2 2" xfId="1042" xr:uid="{00000000-0005-0000-0000-0000FC030000}"/>
    <cellStyle name="Ввод  5 2 2 2" xfId="5535" xr:uid="{00000000-0005-0000-0000-0000FD030000}"/>
    <cellStyle name="Ввод  5 2 3" xfId="1043" xr:uid="{00000000-0005-0000-0000-0000FE030000}"/>
    <cellStyle name="Ввод  5 2 3 2" xfId="5536" xr:uid="{00000000-0005-0000-0000-0000FF030000}"/>
    <cellStyle name="Ввод  5 2 4" xfId="5537" xr:uid="{00000000-0005-0000-0000-000000040000}"/>
    <cellStyle name="Ввод  5 20" xfId="1044" xr:uid="{00000000-0005-0000-0000-000001040000}"/>
    <cellStyle name="Ввод  5 20 2" xfId="5538" xr:uid="{00000000-0005-0000-0000-000002040000}"/>
    <cellStyle name="Ввод  5 21" xfId="1045" xr:uid="{00000000-0005-0000-0000-000003040000}"/>
    <cellStyle name="Ввод  5 21 2" xfId="5539" xr:uid="{00000000-0005-0000-0000-000004040000}"/>
    <cellStyle name="Ввод  5 22" xfId="1046" xr:uid="{00000000-0005-0000-0000-000005040000}"/>
    <cellStyle name="Ввод  5 22 2" xfId="5540" xr:uid="{00000000-0005-0000-0000-000006040000}"/>
    <cellStyle name="Ввод  5 23" xfId="1047" xr:uid="{00000000-0005-0000-0000-000007040000}"/>
    <cellStyle name="Ввод  5 23 2" xfId="5541" xr:uid="{00000000-0005-0000-0000-000008040000}"/>
    <cellStyle name="Ввод  5 24" xfId="1048" xr:uid="{00000000-0005-0000-0000-000009040000}"/>
    <cellStyle name="Ввод  5 24 2" xfId="5542" xr:uid="{00000000-0005-0000-0000-00000A040000}"/>
    <cellStyle name="Ввод  5 25" xfId="1049" xr:uid="{00000000-0005-0000-0000-00000B040000}"/>
    <cellStyle name="Ввод  5 25 2" xfId="5543" xr:uid="{00000000-0005-0000-0000-00000C040000}"/>
    <cellStyle name="Ввод  5 26" xfId="1050" xr:uid="{00000000-0005-0000-0000-00000D040000}"/>
    <cellStyle name="Ввод  5 26 2" xfId="5544" xr:uid="{00000000-0005-0000-0000-00000E040000}"/>
    <cellStyle name="Ввод  5 27" xfId="1051" xr:uid="{00000000-0005-0000-0000-00000F040000}"/>
    <cellStyle name="Ввод  5 27 2" xfId="5545" xr:uid="{00000000-0005-0000-0000-000010040000}"/>
    <cellStyle name="Ввод  5 28" xfId="1052" xr:uid="{00000000-0005-0000-0000-000011040000}"/>
    <cellStyle name="Ввод  5 28 2" xfId="5546" xr:uid="{00000000-0005-0000-0000-000012040000}"/>
    <cellStyle name="Ввод  5 29" xfId="1053" xr:uid="{00000000-0005-0000-0000-000013040000}"/>
    <cellStyle name="Ввод  5 29 2" xfId="5547" xr:uid="{00000000-0005-0000-0000-000014040000}"/>
    <cellStyle name="Ввод  5 3" xfId="1054" xr:uid="{00000000-0005-0000-0000-000015040000}"/>
    <cellStyle name="Ввод  5 3 2" xfId="1055" xr:uid="{00000000-0005-0000-0000-000016040000}"/>
    <cellStyle name="Ввод  5 3 2 2" xfId="5548" xr:uid="{00000000-0005-0000-0000-000017040000}"/>
    <cellStyle name="Ввод  5 3 3" xfId="1056" xr:uid="{00000000-0005-0000-0000-000018040000}"/>
    <cellStyle name="Ввод  5 3 3 2" xfId="5549" xr:uid="{00000000-0005-0000-0000-000019040000}"/>
    <cellStyle name="Ввод  5 3 4" xfId="5550" xr:uid="{00000000-0005-0000-0000-00001A040000}"/>
    <cellStyle name="Ввод  5 30" xfId="1057" xr:uid="{00000000-0005-0000-0000-00001B040000}"/>
    <cellStyle name="Ввод  5 30 2" xfId="5551" xr:uid="{00000000-0005-0000-0000-00001C040000}"/>
    <cellStyle name="Ввод  5 31" xfId="1058" xr:uid="{00000000-0005-0000-0000-00001D040000}"/>
    <cellStyle name="Ввод  5 31 2" xfId="5552" xr:uid="{00000000-0005-0000-0000-00001E040000}"/>
    <cellStyle name="Ввод  5 32" xfId="1059" xr:uid="{00000000-0005-0000-0000-00001F040000}"/>
    <cellStyle name="Ввод  5 32 2" xfId="5553" xr:uid="{00000000-0005-0000-0000-000020040000}"/>
    <cellStyle name="Ввод  5 33" xfId="1060" xr:uid="{00000000-0005-0000-0000-000021040000}"/>
    <cellStyle name="Ввод  5 33 2" xfId="5554" xr:uid="{00000000-0005-0000-0000-000022040000}"/>
    <cellStyle name="Ввод  5 34" xfId="1061" xr:uid="{00000000-0005-0000-0000-000023040000}"/>
    <cellStyle name="Ввод  5 34 2" xfId="5555" xr:uid="{00000000-0005-0000-0000-000024040000}"/>
    <cellStyle name="Ввод  5 35" xfId="1062" xr:uid="{00000000-0005-0000-0000-000025040000}"/>
    <cellStyle name="Ввод  5 35 2" xfId="5556" xr:uid="{00000000-0005-0000-0000-000026040000}"/>
    <cellStyle name="Ввод  5 36" xfId="1063" xr:uid="{00000000-0005-0000-0000-000027040000}"/>
    <cellStyle name="Ввод  5 36 2" xfId="5557" xr:uid="{00000000-0005-0000-0000-000028040000}"/>
    <cellStyle name="Ввод  5 37" xfId="1064" xr:uid="{00000000-0005-0000-0000-000029040000}"/>
    <cellStyle name="Ввод  5 37 2" xfId="5558" xr:uid="{00000000-0005-0000-0000-00002A040000}"/>
    <cellStyle name="Ввод  5 38" xfId="1065" xr:uid="{00000000-0005-0000-0000-00002B040000}"/>
    <cellStyle name="Ввод  5 38 2" xfId="5559" xr:uid="{00000000-0005-0000-0000-00002C040000}"/>
    <cellStyle name="Ввод  5 39" xfId="1066" xr:uid="{00000000-0005-0000-0000-00002D040000}"/>
    <cellStyle name="Ввод  5 39 2" xfId="5560" xr:uid="{00000000-0005-0000-0000-00002E040000}"/>
    <cellStyle name="Ввод  5 4" xfId="1067" xr:uid="{00000000-0005-0000-0000-00002F040000}"/>
    <cellStyle name="Ввод  5 4 2" xfId="1068" xr:uid="{00000000-0005-0000-0000-000030040000}"/>
    <cellStyle name="Ввод  5 4 2 2" xfId="5561" xr:uid="{00000000-0005-0000-0000-000031040000}"/>
    <cellStyle name="Ввод  5 4 3" xfId="1069" xr:uid="{00000000-0005-0000-0000-000032040000}"/>
    <cellStyle name="Ввод  5 4 3 2" xfId="5562" xr:uid="{00000000-0005-0000-0000-000033040000}"/>
    <cellStyle name="Ввод  5 4 4" xfId="5563" xr:uid="{00000000-0005-0000-0000-000034040000}"/>
    <cellStyle name="Ввод  5 40" xfId="1070" xr:uid="{00000000-0005-0000-0000-000035040000}"/>
    <cellStyle name="Ввод  5 40 2" xfId="5564" xr:uid="{00000000-0005-0000-0000-000036040000}"/>
    <cellStyle name="Ввод  5 41" xfId="1071" xr:uid="{00000000-0005-0000-0000-000037040000}"/>
    <cellStyle name="Ввод  5 41 2" xfId="5565" xr:uid="{00000000-0005-0000-0000-000038040000}"/>
    <cellStyle name="Ввод  5 42" xfId="1072" xr:uid="{00000000-0005-0000-0000-000039040000}"/>
    <cellStyle name="Ввод  5 42 2" xfId="5566" xr:uid="{00000000-0005-0000-0000-00003A040000}"/>
    <cellStyle name="Ввод  5 43" xfId="1073" xr:uid="{00000000-0005-0000-0000-00003B040000}"/>
    <cellStyle name="Ввод  5 43 2" xfId="5567" xr:uid="{00000000-0005-0000-0000-00003C040000}"/>
    <cellStyle name="Ввод  5 44" xfId="1074" xr:uid="{00000000-0005-0000-0000-00003D040000}"/>
    <cellStyle name="Ввод  5 44 2" xfId="5568" xr:uid="{00000000-0005-0000-0000-00003E040000}"/>
    <cellStyle name="Ввод  5 45" xfId="1075" xr:uid="{00000000-0005-0000-0000-00003F040000}"/>
    <cellStyle name="Ввод  5 45 2" xfId="5569" xr:uid="{00000000-0005-0000-0000-000040040000}"/>
    <cellStyle name="Ввод  5 46" xfId="1076" xr:uid="{00000000-0005-0000-0000-000041040000}"/>
    <cellStyle name="Ввод  5 46 2" xfId="5570" xr:uid="{00000000-0005-0000-0000-000042040000}"/>
    <cellStyle name="Ввод  5 47" xfId="1077" xr:uid="{00000000-0005-0000-0000-000043040000}"/>
    <cellStyle name="Ввод  5 47 2" xfId="5571" xr:uid="{00000000-0005-0000-0000-000044040000}"/>
    <cellStyle name="Ввод  5 48" xfId="1078" xr:uid="{00000000-0005-0000-0000-000045040000}"/>
    <cellStyle name="Ввод  5 48 2" xfId="5572" xr:uid="{00000000-0005-0000-0000-000046040000}"/>
    <cellStyle name="Ввод  5 49" xfId="1079" xr:uid="{00000000-0005-0000-0000-000047040000}"/>
    <cellStyle name="Ввод  5 49 2" xfId="5573" xr:uid="{00000000-0005-0000-0000-000048040000}"/>
    <cellStyle name="Ввод  5 5" xfId="1080" xr:uid="{00000000-0005-0000-0000-000049040000}"/>
    <cellStyle name="Ввод  5 5 2" xfId="5574" xr:uid="{00000000-0005-0000-0000-00004A040000}"/>
    <cellStyle name="Ввод  5 50" xfId="1081" xr:uid="{00000000-0005-0000-0000-00004B040000}"/>
    <cellStyle name="Ввод  5 50 2" xfId="5575" xr:uid="{00000000-0005-0000-0000-00004C040000}"/>
    <cellStyle name="Ввод  5 51" xfId="1082" xr:uid="{00000000-0005-0000-0000-00004D040000}"/>
    <cellStyle name="Ввод  5 51 2" xfId="5576" xr:uid="{00000000-0005-0000-0000-00004E040000}"/>
    <cellStyle name="Ввод  5 52" xfId="1083" xr:uid="{00000000-0005-0000-0000-00004F040000}"/>
    <cellStyle name="Ввод  5 52 2" xfId="5577" xr:uid="{00000000-0005-0000-0000-000050040000}"/>
    <cellStyle name="Ввод  5 53" xfId="1084" xr:uid="{00000000-0005-0000-0000-000051040000}"/>
    <cellStyle name="Ввод  5 53 2" xfId="5578" xr:uid="{00000000-0005-0000-0000-000052040000}"/>
    <cellStyle name="Ввод  5 54" xfId="1085" xr:uid="{00000000-0005-0000-0000-000053040000}"/>
    <cellStyle name="Ввод  5 54 2" xfId="5579" xr:uid="{00000000-0005-0000-0000-000054040000}"/>
    <cellStyle name="Ввод  5 55" xfId="1086" xr:uid="{00000000-0005-0000-0000-000055040000}"/>
    <cellStyle name="Ввод  5 55 2" xfId="5580" xr:uid="{00000000-0005-0000-0000-000056040000}"/>
    <cellStyle name="Ввод  5 56" xfId="1087" xr:uid="{00000000-0005-0000-0000-000057040000}"/>
    <cellStyle name="Ввод  5 56 2" xfId="5581" xr:uid="{00000000-0005-0000-0000-000058040000}"/>
    <cellStyle name="Ввод  5 57" xfId="1088" xr:uid="{00000000-0005-0000-0000-000059040000}"/>
    <cellStyle name="Ввод  5 57 2" xfId="5582" xr:uid="{00000000-0005-0000-0000-00005A040000}"/>
    <cellStyle name="Ввод  5 58" xfId="1089" xr:uid="{00000000-0005-0000-0000-00005B040000}"/>
    <cellStyle name="Ввод  5 58 2" xfId="5583" xr:uid="{00000000-0005-0000-0000-00005C040000}"/>
    <cellStyle name="Ввод  5 59" xfId="1090" xr:uid="{00000000-0005-0000-0000-00005D040000}"/>
    <cellStyle name="Ввод  5 59 2" xfId="5584" xr:uid="{00000000-0005-0000-0000-00005E040000}"/>
    <cellStyle name="Ввод  5 6" xfId="1091" xr:uid="{00000000-0005-0000-0000-00005F040000}"/>
    <cellStyle name="Ввод  5 6 2" xfId="5585" xr:uid="{00000000-0005-0000-0000-000060040000}"/>
    <cellStyle name="Ввод  5 60" xfId="1092" xr:uid="{00000000-0005-0000-0000-000061040000}"/>
    <cellStyle name="Ввод  5 60 2" xfId="5586" xr:uid="{00000000-0005-0000-0000-000062040000}"/>
    <cellStyle name="Ввод  5 61" xfId="1093" xr:uid="{00000000-0005-0000-0000-000063040000}"/>
    <cellStyle name="Ввод  5 61 2" xfId="5587" xr:uid="{00000000-0005-0000-0000-000064040000}"/>
    <cellStyle name="Ввод  5 62" xfId="1094" xr:uid="{00000000-0005-0000-0000-000065040000}"/>
    <cellStyle name="Ввод  5 62 2" xfId="5588" xr:uid="{00000000-0005-0000-0000-000066040000}"/>
    <cellStyle name="Ввод  5 63" xfId="1095" xr:uid="{00000000-0005-0000-0000-000067040000}"/>
    <cellStyle name="Ввод  5 63 2" xfId="5589" xr:uid="{00000000-0005-0000-0000-000068040000}"/>
    <cellStyle name="Ввод  5 64" xfId="1096" xr:uid="{00000000-0005-0000-0000-000069040000}"/>
    <cellStyle name="Ввод  5 64 2" xfId="5590" xr:uid="{00000000-0005-0000-0000-00006A040000}"/>
    <cellStyle name="Ввод  5 65" xfId="1097" xr:uid="{00000000-0005-0000-0000-00006B040000}"/>
    <cellStyle name="Ввод  5 65 2" xfId="5591" xr:uid="{00000000-0005-0000-0000-00006C040000}"/>
    <cellStyle name="Ввод  5 66" xfId="1098" xr:uid="{00000000-0005-0000-0000-00006D040000}"/>
    <cellStyle name="Ввод  5 66 2" xfId="5592" xr:uid="{00000000-0005-0000-0000-00006E040000}"/>
    <cellStyle name="Ввод  5 67" xfId="1099" xr:uid="{00000000-0005-0000-0000-00006F040000}"/>
    <cellStyle name="Ввод  5 67 2" xfId="5593" xr:uid="{00000000-0005-0000-0000-000070040000}"/>
    <cellStyle name="Ввод  5 68" xfId="1100" xr:uid="{00000000-0005-0000-0000-000071040000}"/>
    <cellStyle name="Ввод  5 68 2" xfId="5594" xr:uid="{00000000-0005-0000-0000-000072040000}"/>
    <cellStyle name="Ввод  5 69" xfId="1101" xr:uid="{00000000-0005-0000-0000-000073040000}"/>
    <cellStyle name="Ввод  5 69 2" xfId="5595" xr:uid="{00000000-0005-0000-0000-000074040000}"/>
    <cellStyle name="Ввод  5 7" xfId="1102" xr:uid="{00000000-0005-0000-0000-000075040000}"/>
    <cellStyle name="Ввод  5 7 2" xfId="5596" xr:uid="{00000000-0005-0000-0000-000076040000}"/>
    <cellStyle name="Ввод  5 70" xfId="1103" xr:uid="{00000000-0005-0000-0000-000077040000}"/>
    <cellStyle name="Ввод  5 70 2" xfId="5597" xr:uid="{00000000-0005-0000-0000-000078040000}"/>
    <cellStyle name="Ввод  5 71" xfId="1104" xr:uid="{00000000-0005-0000-0000-000079040000}"/>
    <cellStyle name="Ввод  5 71 2" xfId="5598" xr:uid="{00000000-0005-0000-0000-00007A040000}"/>
    <cellStyle name="Ввод  5 72" xfId="1105" xr:uid="{00000000-0005-0000-0000-00007B040000}"/>
    <cellStyle name="Ввод  5 72 2" xfId="5599" xr:uid="{00000000-0005-0000-0000-00007C040000}"/>
    <cellStyle name="Ввод  5 73" xfId="1106" xr:uid="{00000000-0005-0000-0000-00007D040000}"/>
    <cellStyle name="Ввод  5 73 2" xfId="5600" xr:uid="{00000000-0005-0000-0000-00007E040000}"/>
    <cellStyle name="Ввод  5 74" xfId="1107" xr:uid="{00000000-0005-0000-0000-00007F040000}"/>
    <cellStyle name="Ввод  5 74 2" xfId="5601" xr:uid="{00000000-0005-0000-0000-000080040000}"/>
    <cellStyle name="Ввод  5 75" xfId="1108" xr:uid="{00000000-0005-0000-0000-000081040000}"/>
    <cellStyle name="Ввод  5 75 2" xfId="5602" xr:uid="{00000000-0005-0000-0000-000082040000}"/>
    <cellStyle name="Ввод  5 76" xfId="1109" xr:uid="{00000000-0005-0000-0000-000083040000}"/>
    <cellStyle name="Ввод  5 76 2" xfId="5603" xr:uid="{00000000-0005-0000-0000-000084040000}"/>
    <cellStyle name="Ввод  5 77" xfId="1110" xr:uid="{00000000-0005-0000-0000-000085040000}"/>
    <cellStyle name="Ввод  5 77 2" xfId="5604" xr:uid="{00000000-0005-0000-0000-000086040000}"/>
    <cellStyle name="Ввод  5 78" xfId="1111" xr:uid="{00000000-0005-0000-0000-000087040000}"/>
    <cellStyle name="Ввод  5 78 2" xfId="5605" xr:uid="{00000000-0005-0000-0000-000088040000}"/>
    <cellStyle name="Ввод  5 79" xfId="1112" xr:uid="{00000000-0005-0000-0000-000089040000}"/>
    <cellStyle name="Ввод  5 79 2" xfId="5606" xr:uid="{00000000-0005-0000-0000-00008A040000}"/>
    <cellStyle name="Ввод  5 8" xfId="1113" xr:uid="{00000000-0005-0000-0000-00008B040000}"/>
    <cellStyle name="Ввод  5 8 2" xfId="5607" xr:uid="{00000000-0005-0000-0000-00008C040000}"/>
    <cellStyle name="Ввод  5 80" xfId="1114" xr:uid="{00000000-0005-0000-0000-00008D040000}"/>
    <cellStyle name="Ввод  5 80 2" xfId="5608" xr:uid="{00000000-0005-0000-0000-00008E040000}"/>
    <cellStyle name="Ввод  5 81" xfId="1115" xr:uid="{00000000-0005-0000-0000-00008F040000}"/>
    <cellStyle name="Ввод  5 81 2" xfId="5609" xr:uid="{00000000-0005-0000-0000-000090040000}"/>
    <cellStyle name="Ввод  5 82" xfId="1116" xr:uid="{00000000-0005-0000-0000-000091040000}"/>
    <cellStyle name="Ввод  5 82 2" xfId="5610" xr:uid="{00000000-0005-0000-0000-000092040000}"/>
    <cellStyle name="Ввод  5 83" xfId="1117" xr:uid="{00000000-0005-0000-0000-000093040000}"/>
    <cellStyle name="Ввод  5 83 2" xfId="5611" xr:uid="{00000000-0005-0000-0000-000094040000}"/>
    <cellStyle name="Ввод  5 84" xfId="1118" xr:uid="{00000000-0005-0000-0000-000095040000}"/>
    <cellStyle name="Ввод  5 84 2" xfId="5612" xr:uid="{00000000-0005-0000-0000-000096040000}"/>
    <cellStyle name="Ввод  5 85" xfId="1119" xr:uid="{00000000-0005-0000-0000-000097040000}"/>
    <cellStyle name="Ввод  5 85 2" xfId="5613" xr:uid="{00000000-0005-0000-0000-000098040000}"/>
    <cellStyle name="Ввод  5 86" xfId="1120" xr:uid="{00000000-0005-0000-0000-000099040000}"/>
    <cellStyle name="Ввод  5 86 2" xfId="5614" xr:uid="{00000000-0005-0000-0000-00009A040000}"/>
    <cellStyle name="Ввод  5 87" xfId="1121" xr:uid="{00000000-0005-0000-0000-00009B040000}"/>
    <cellStyle name="Ввод  5 87 2" xfId="5615" xr:uid="{00000000-0005-0000-0000-00009C040000}"/>
    <cellStyle name="Ввод  5 88" xfId="1122" xr:uid="{00000000-0005-0000-0000-00009D040000}"/>
    <cellStyle name="Ввод  5 88 2" xfId="5616" xr:uid="{00000000-0005-0000-0000-00009E040000}"/>
    <cellStyle name="Ввод  5 89" xfId="1123" xr:uid="{00000000-0005-0000-0000-00009F040000}"/>
    <cellStyle name="Ввод  5 89 2" xfId="5617" xr:uid="{00000000-0005-0000-0000-0000A0040000}"/>
    <cellStyle name="Ввод  5 9" xfId="1124" xr:uid="{00000000-0005-0000-0000-0000A1040000}"/>
    <cellStyle name="Ввод  5 9 2" xfId="5618" xr:uid="{00000000-0005-0000-0000-0000A2040000}"/>
    <cellStyle name="Ввод  5 90" xfId="1125" xr:uid="{00000000-0005-0000-0000-0000A3040000}"/>
    <cellStyle name="Ввод  5 90 2" xfId="5619" xr:uid="{00000000-0005-0000-0000-0000A4040000}"/>
    <cellStyle name="Ввод  5 91" xfId="1126" xr:uid="{00000000-0005-0000-0000-0000A5040000}"/>
    <cellStyle name="Ввод  5 91 2" xfId="5620" xr:uid="{00000000-0005-0000-0000-0000A6040000}"/>
    <cellStyle name="Ввод  5 92" xfId="5621" xr:uid="{00000000-0005-0000-0000-0000A7040000}"/>
    <cellStyle name="Ввод  6" xfId="231" xr:uid="{00000000-0005-0000-0000-0000A8040000}"/>
    <cellStyle name="Ввод  6 10" xfId="1127" xr:uid="{00000000-0005-0000-0000-0000A9040000}"/>
    <cellStyle name="Ввод  6 10 2" xfId="5622" xr:uid="{00000000-0005-0000-0000-0000AA040000}"/>
    <cellStyle name="Ввод  6 11" xfId="1128" xr:uid="{00000000-0005-0000-0000-0000AB040000}"/>
    <cellStyle name="Ввод  6 11 2" xfId="5623" xr:uid="{00000000-0005-0000-0000-0000AC040000}"/>
    <cellStyle name="Ввод  6 12" xfId="1129" xr:uid="{00000000-0005-0000-0000-0000AD040000}"/>
    <cellStyle name="Ввод  6 12 2" xfId="5624" xr:uid="{00000000-0005-0000-0000-0000AE040000}"/>
    <cellStyle name="Ввод  6 13" xfId="1130" xr:uid="{00000000-0005-0000-0000-0000AF040000}"/>
    <cellStyle name="Ввод  6 13 2" xfId="5625" xr:uid="{00000000-0005-0000-0000-0000B0040000}"/>
    <cellStyle name="Ввод  6 14" xfId="1131" xr:uid="{00000000-0005-0000-0000-0000B1040000}"/>
    <cellStyle name="Ввод  6 14 2" xfId="5626" xr:uid="{00000000-0005-0000-0000-0000B2040000}"/>
    <cellStyle name="Ввод  6 15" xfId="1132" xr:uid="{00000000-0005-0000-0000-0000B3040000}"/>
    <cellStyle name="Ввод  6 15 2" xfId="5627" xr:uid="{00000000-0005-0000-0000-0000B4040000}"/>
    <cellStyle name="Ввод  6 16" xfId="1133" xr:uid="{00000000-0005-0000-0000-0000B5040000}"/>
    <cellStyle name="Ввод  6 16 2" xfId="5628" xr:uid="{00000000-0005-0000-0000-0000B6040000}"/>
    <cellStyle name="Ввод  6 17" xfId="1134" xr:uid="{00000000-0005-0000-0000-0000B7040000}"/>
    <cellStyle name="Ввод  6 17 2" xfId="5629" xr:uid="{00000000-0005-0000-0000-0000B8040000}"/>
    <cellStyle name="Ввод  6 18" xfId="1135" xr:uid="{00000000-0005-0000-0000-0000B9040000}"/>
    <cellStyle name="Ввод  6 18 2" xfId="5630" xr:uid="{00000000-0005-0000-0000-0000BA040000}"/>
    <cellStyle name="Ввод  6 19" xfId="1136" xr:uid="{00000000-0005-0000-0000-0000BB040000}"/>
    <cellStyle name="Ввод  6 19 2" xfId="5631" xr:uid="{00000000-0005-0000-0000-0000BC040000}"/>
    <cellStyle name="Ввод  6 2" xfId="1137" xr:uid="{00000000-0005-0000-0000-0000BD040000}"/>
    <cellStyle name="Ввод  6 2 2" xfId="1138" xr:uid="{00000000-0005-0000-0000-0000BE040000}"/>
    <cellStyle name="Ввод  6 2 2 2" xfId="5632" xr:uid="{00000000-0005-0000-0000-0000BF040000}"/>
    <cellStyle name="Ввод  6 2 3" xfId="1139" xr:uid="{00000000-0005-0000-0000-0000C0040000}"/>
    <cellStyle name="Ввод  6 2 3 2" xfId="5633" xr:uid="{00000000-0005-0000-0000-0000C1040000}"/>
    <cellStyle name="Ввод  6 2 4" xfId="5634" xr:uid="{00000000-0005-0000-0000-0000C2040000}"/>
    <cellStyle name="Ввод  6 20" xfId="1140" xr:uid="{00000000-0005-0000-0000-0000C3040000}"/>
    <cellStyle name="Ввод  6 20 2" xfId="5635" xr:uid="{00000000-0005-0000-0000-0000C4040000}"/>
    <cellStyle name="Ввод  6 21" xfId="1141" xr:uid="{00000000-0005-0000-0000-0000C5040000}"/>
    <cellStyle name="Ввод  6 21 2" xfId="5636" xr:uid="{00000000-0005-0000-0000-0000C6040000}"/>
    <cellStyle name="Ввод  6 22" xfId="1142" xr:uid="{00000000-0005-0000-0000-0000C7040000}"/>
    <cellStyle name="Ввод  6 22 2" xfId="5637" xr:uid="{00000000-0005-0000-0000-0000C8040000}"/>
    <cellStyle name="Ввод  6 23" xfId="1143" xr:uid="{00000000-0005-0000-0000-0000C9040000}"/>
    <cellStyle name="Ввод  6 23 2" xfId="5638" xr:uid="{00000000-0005-0000-0000-0000CA040000}"/>
    <cellStyle name="Ввод  6 24" xfId="1144" xr:uid="{00000000-0005-0000-0000-0000CB040000}"/>
    <cellStyle name="Ввод  6 24 2" xfId="5639" xr:uid="{00000000-0005-0000-0000-0000CC040000}"/>
    <cellStyle name="Ввод  6 25" xfId="1145" xr:uid="{00000000-0005-0000-0000-0000CD040000}"/>
    <cellStyle name="Ввод  6 25 2" xfId="5640" xr:uid="{00000000-0005-0000-0000-0000CE040000}"/>
    <cellStyle name="Ввод  6 26" xfId="1146" xr:uid="{00000000-0005-0000-0000-0000CF040000}"/>
    <cellStyle name="Ввод  6 26 2" xfId="5641" xr:uid="{00000000-0005-0000-0000-0000D0040000}"/>
    <cellStyle name="Ввод  6 27" xfId="1147" xr:uid="{00000000-0005-0000-0000-0000D1040000}"/>
    <cellStyle name="Ввод  6 27 2" xfId="5642" xr:uid="{00000000-0005-0000-0000-0000D2040000}"/>
    <cellStyle name="Ввод  6 28" xfId="1148" xr:uid="{00000000-0005-0000-0000-0000D3040000}"/>
    <cellStyle name="Ввод  6 28 2" xfId="5643" xr:uid="{00000000-0005-0000-0000-0000D4040000}"/>
    <cellStyle name="Ввод  6 29" xfId="1149" xr:uid="{00000000-0005-0000-0000-0000D5040000}"/>
    <cellStyle name="Ввод  6 29 2" xfId="5644" xr:uid="{00000000-0005-0000-0000-0000D6040000}"/>
    <cellStyle name="Ввод  6 3" xfId="1150" xr:uid="{00000000-0005-0000-0000-0000D7040000}"/>
    <cellStyle name="Ввод  6 3 2" xfId="1151" xr:uid="{00000000-0005-0000-0000-0000D8040000}"/>
    <cellStyle name="Ввод  6 3 2 2" xfId="5645" xr:uid="{00000000-0005-0000-0000-0000D9040000}"/>
    <cellStyle name="Ввод  6 3 3" xfId="1152" xr:uid="{00000000-0005-0000-0000-0000DA040000}"/>
    <cellStyle name="Ввод  6 3 3 2" xfId="5646" xr:uid="{00000000-0005-0000-0000-0000DB040000}"/>
    <cellStyle name="Ввод  6 3 4" xfId="5647" xr:uid="{00000000-0005-0000-0000-0000DC040000}"/>
    <cellStyle name="Ввод  6 30" xfId="1153" xr:uid="{00000000-0005-0000-0000-0000DD040000}"/>
    <cellStyle name="Ввод  6 30 2" xfId="5648" xr:uid="{00000000-0005-0000-0000-0000DE040000}"/>
    <cellStyle name="Ввод  6 31" xfId="1154" xr:uid="{00000000-0005-0000-0000-0000DF040000}"/>
    <cellStyle name="Ввод  6 31 2" xfId="5649" xr:uid="{00000000-0005-0000-0000-0000E0040000}"/>
    <cellStyle name="Ввод  6 32" xfId="1155" xr:uid="{00000000-0005-0000-0000-0000E1040000}"/>
    <cellStyle name="Ввод  6 32 2" xfId="5650" xr:uid="{00000000-0005-0000-0000-0000E2040000}"/>
    <cellStyle name="Ввод  6 33" xfId="1156" xr:uid="{00000000-0005-0000-0000-0000E3040000}"/>
    <cellStyle name="Ввод  6 33 2" xfId="5651" xr:uid="{00000000-0005-0000-0000-0000E4040000}"/>
    <cellStyle name="Ввод  6 34" xfId="1157" xr:uid="{00000000-0005-0000-0000-0000E5040000}"/>
    <cellStyle name="Ввод  6 34 2" xfId="5652" xr:uid="{00000000-0005-0000-0000-0000E6040000}"/>
    <cellStyle name="Ввод  6 35" xfId="1158" xr:uid="{00000000-0005-0000-0000-0000E7040000}"/>
    <cellStyle name="Ввод  6 35 2" xfId="5653" xr:uid="{00000000-0005-0000-0000-0000E8040000}"/>
    <cellStyle name="Ввод  6 36" xfId="1159" xr:uid="{00000000-0005-0000-0000-0000E9040000}"/>
    <cellStyle name="Ввод  6 36 2" xfId="5654" xr:uid="{00000000-0005-0000-0000-0000EA040000}"/>
    <cellStyle name="Ввод  6 37" xfId="1160" xr:uid="{00000000-0005-0000-0000-0000EB040000}"/>
    <cellStyle name="Ввод  6 37 2" xfId="5655" xr:uid="{00000000-0005-0000-0000-0000EC040000}"/>
    <cellStyle name="Ввод  6 38" xfId="1161" xr:uid="{00000000-0005-0000-0000-0000ED040000}"/>
    <cellStyle name="Ввод  6 38 2" xfId="5656" xr:uid="{00000000-0005-0000-0000-0000EE040000}"/>
    <cellStyle name="Ввод  6 39" xfId="1162" xr:uid="{00000000-0005-0000-0000-0000EF040000}"/>
    <cellStyle name="Ввод  6 39 2" xfId="5657" xr:uid="{00000000-0005-0000-0000-0000F0040000}"/>
    <cellStyle name="Ввод  6 4" xfId="1163" xr:uid="{00000000-0005-0000-0000-0000F1040000}"/>
    <cellStyle name="Ввод  6 4 2" xfId="1164" xr:uid="{00000000-0005-0000-0000-0000F2040000}"/>
    <cellStyle name="Ввод  6 4 2 2" xfId="5658" xr:uid="{00000000-0005-0000-0000-0000F3040000}"/>
    <cellStyle name="Ввод  6 4 3" xfId="1165" xr:uid="{00000000-0005-0000-0000-0000F4040000}"/>
    <cellStyle name="Ввод  6 4 3 2" xfId="5659" xr:uid="{00000000-0005-0000-0000-0000F5040000}"/>
    <cellStyle name="Ввод  6 4 4" xfId="5660" xr:uid="{00000000-0005-0000-0000-0000F6040000}"/>
    <cellStyle name="Ввод  6 40" xfId="1166" xr:uid="{00000000-0005-0000-0000-0000F7040000}"/>
    <cellStyle name="Ввод  6 40 2" xfId="5661" xr:uid="{00000000-0005-0000-0000-0000F8040000}"/>
    <cellStyle name="Ввод  6 41" xfId="1167" xr:uid="{00000000-0005-0000-0000-0000F9040000}"/>
    <cellStyle name="Ввод  6 41 2" xfId="5662" xr:uid="{00000000-0005-0000-0000-0000FA040000}"/>
    <cellStyle name="Ввод  6 42" xfId="1168" xr:uid="{00000000-0005-0000-0000-0000FB040000}"/>
    <cellStyle name="Ввод  6 42 2" xfId="5663" xr:uid="{00000000-0005-0000-0000-0000FC040000}"/>
    <cellStyle name="Ввод  6 43" xfId="1169" xr:uid="{00000000-0005-0000-0000-0000FD040000}"/>
    <cellStyle name="Ввод  6 43 2" xfId="5664" xr:uid="{00000000-0005-0000-0000-0000FE040000}"/>
    <cellStyle name="Ввод  6 44" xfId="1170" xr:uid="{00000000-0005-0000-0000-0000FF040000}"/>
    <cellStyle name="Ввод  6 44 2" xfId="5665" xr:uid="{00000000-0005-0000-0000-000000050000}"/>
    <cellStyle name="Ввод  6 45" xfId="1171" xr:uid="{00000000-0005-0000-0000-000001050000}"/>
    <cellStyle name="Ввод  6 45 2" xfId="5666" xr:uid="{00000000-0005-0000-0000-000002050000}"/>
    <cellStyle name="Ввод  6 46" xfId="1172" xr:uid="{00000000-0005-0000-0000-000003050000}"/>
    <cellStyle name="Ввод  6 46 2" xfId="5667" xr:uid="{00000000-0005-0000-0000-000004050000}"/>
    <cellStyle name="Ввод  6 47" xfId="1173" xr:uid="{00000000-0005-0000-0000-000005050000}"/>
    <cellStyle name="Ввод  6 47 2" xfId="5668" xr:uid="{00000000-0005-0000-0000-000006050000}"/>
    <cellStyle name="Ввод  6 48" xfId="1174" xr:uid="{00000000-0005-0000-0000-000007050000}"/>
    <cellStyle name="Ввод  6 48 2" xfId="5669" xr:uid="{00000000-0005-0000-0000-000008050000}"/>
    <cellStyle name="Ввод  6 49" xfId="1175" xr:uid="{00000000-0005-0000-0000-000009050000}"/>
    <cellStyle name="Ввод  6 49 2" xfId="5670" xr:uid="{00000000-0005-0000-0000-00000A050000}"/>
    <cellStyle name="Ввод  6 5" xfId="1176" xr:uid="{00000000-0005-0000-0000-00000B050000}"/>
    <cellStyle name="Ввод  6 5 2" xfId="5671" xr:uid="{00000000-0005-0000-0000-00000C050000}"/>
    <cellStyle name="Ввод  6 50" xfId="1177" xr:uid="{00000000-0005-0000-0000-00000D050000}"/>
    <cellStyle name="Ввод  6 50 2" xfId="5672" xr:uid="{00000000-0005-0000-0000-00000E050000}"/>
    <cellStyle name="Ввод  6 51" xfId="1178" xr:uid="{00000000-0005-0000-0000-00000F050000}"/>
    <cellStyle name="Ввод  6 51 2" xfId="5673" xr:uid="{00000000-0005-0000-0000-000010050000}"/>
    <cellStyle name="Ввод  6 52" xfId="1179" xr:uid="{00000000-0005-0000-0000-000011050000}"/>
    <cellStyle name="Ввод  6 52 2" xfId="5674" xr:uid="{00000000-0005-0000-0000-000012050000}"/>
    <cellStyle name="Ввод  6 53" xfId="1180" xr:uid="{00000000-0005-0000-0000-000013050000}"/>
    <cellStyle name="Ввод  6 53 2" xfId="5675" xr:uid="{00000000-0005-0000-0000-000014050000}"/>
    <cellStyle name="Ввод  6 54" xfId="1181" xr:uid="{00000000-0005-0000-0000-000015050000}"/>
    <cellStyle name="Ввод  6 54 2" xfId="5676" xr:uid="{00000000-0005-0000-0000-000016050000}"/>
    <cellStyle name="Ввод  6 55" xfId="1182" xr:uid="{00000000-0005-0000-0000-000017050000}"/>
    <cellStyle name="Ввод  6 55 2" xfId="5677" xr:uid="{00000000-0005-0000-0000-000018050000}"/>
    <cellStyle name="Ввод  6 56" xfId="1183" xr:uid="{00000000-0005-0000-0000-000019050000}"/>
    <cellStyle name="Ввод  6 56 2" xfId="5678" xr:uid="{00000000-0005-0000-0000-00001A050000}"/>
    <cellStyle name="Ввод  6 57" xfId="1184" xr:uid="{00000000-0005-0000-0000-00001B050000}"/>
    <cellStyle name="Ввод  6 57 2" xfId="5679" xr:uid="{00000000-0005-0000-0000-00001C050000}"/>
    <cellStyle name="Ввод  6 58" xfId="1185" xr:uid="{00000000-0005-0000-0000-00001D050000}"/>
    <cellStyle name="Ввод  6 58 2" xfId="5680" xr:uid="{00000000-0005-0000-0000-00001E050000}"/>
    <cellStyle name="Ввод  6 59" xfId="1186" xr:uid="{00000000-0005-0000-0000-00001F050000}"/>
    <cellStyle name="Ввод  6 59 2" xfId="5681" xr:uid="{00000000-0005-0000-0000-000020050000}"/>
    <cellStyle name="Ввод  6 6" xfId="1187" xr:uid="{00000000-0005-0000-0000-000021050000}"/>
    <cellStyle name="Ввод  6 6 2" xfId="5682" xr:uid="{00000000-0005-0000-0000-000022050000}"/>
    <cellStyle name="Ввод  6 60" xfId="1188" xr:uid="{00000000-0005-0000-0000-000023050000}"/>
    <cellStyle name="Ввод  6 60 2" xfId="5683" xr:uid="{00000000-0005-0000-0000-000024050000}"/>
    <cellStyle name="Ввод  6 61" xfId="1189" xr:uid="{00000000-0005-0000-0000-000025050000}"/>
    <cellStyle name="Ввод  6 61 2" xfId="5684" xr:uid="{00000000-0005-0000-0000-000026050000}"/>
    <cellStyle name="Ввод  6 62" xfId="1190" xr:uid="{00000000-0005-0000-0000-000027050000}"/>
    <cellStyle name="Ввод  6 62 2" xfId="5685" xr:uid="{00000000-0005-0000-0000-000028050000}"/>
    <cellStyle name="Ввод  6 63" xfId="1191" xr:uid="{00000000-0005-0000-0000-000029050000}"/>
    <cellStyle name="Ввод  6 63 2" xfId="5686" xr:uid="{00000000-0005-0000-0000-00002A050000}"/>
    <cellStyle name="Ввод  6 64" xfId="1192" xr:uid="{00000000-0005-0000-0000-00002B050000}"/>
    <cellStyle name="Ввод  6 64 2" xfId="5687" xr:uid="{00000000-0005-0000-0000-00002C050000}"/>
    <cellStyle name="Ввод  6 65" xfId="1193" xr:uid="{00000000-0005-0000-0000-00002D050000}"/>
    <cellStyle name="Ввод  6 65 2" xfId="5688" xr:uid="{00000000-0005-0000-0000-00002E050000}"/>
    <cellStyle name="Ввод  6 66" xfId="1194" xr:uid="{00000000-0005-0000-0000-00002F050000}"/>
    <cellStyle name="Ввод  6 66 2" xfId="5689" xr:uid="{00000000-0005-0000-0000-000030050000}"/>
    <cellStyle name="Ввод  6 67" xfId="1195" xr:uid="{00000000-0005-0000-0000-000031050000}"/>
    <cellStyle name="Ввод  6 67 2" xfId="5690" xr:uid="{00000000-0005-0000-0000-000032050000}"/>
    <cellStyle name="Ввод  6 68" xfId="1196" xr:uid="{00000000-0005-0000-0000-000033050000}"/>
    <cellStyle name="Ввод  6 68 2" xfId="5691" xr:uid="{00000000-0005-0000-0000-000034050000}"/>
    <cellStyle name="Ввод  6 69" xfId="1197" xr:uid="{00000000-0005-0000-0000-000035050000}"/>
    <cellStyle name="Ввод  6 69 2" xfId="5692" xr:uid="{00000000-0005-0000-0000-000036050000}"/>
    <cellStyle name="Ввод  6 7" xfId="1198" xr:uid="{00000000-0005-0000-0000-000037050000}"/>
    <cellStyle name="Ввод  6 7 2" xfId="5693" xr:uid="{00000000-0005-0000-0000-000038050000}"/>
    <cellStyle name="Ввод  6 70" xfId="1199" xr:uid="{00000000-0005-0000-0000-000039050000}"/>
    <cellStyle name="Ввод  6 70 2" xfId="5694" xr:uid="{00000000-0005-0000-0000-00003A050000}"/>
    <cellStyle name="Ввод  6 71" xfId="1200" xr:uid="{00000000-0005-0000-0000-00003B050000}"/>
    <cellStyle name="Ввод  6 71 2" xfId="5695" xr:uid="{00000000-0005-0000-0000-00003C050000}"/>
    <cellStyle name="Ввод  6 72" xfId="1201" xr:uid="{00000000-0005-0000-0000-00003D050000}"/>
    <cellStyle name="Ввод  6 72 2" xfId="5696" xr:uid="{00000000-0005-0000-0000-00003E050000}"/>
    <cellStyle name="Ввод  6 73" xfId="1202" xr:uid="{00000000-0005-0000-0000-00003F050000}"/>
    <cellStyle name="Ввод  6 73 2" xfId="5697" xr:uid="{00000000-0005-0000-0000-000040050000}"/>
    <cellStyle name="Ввод  6 74" xfId="1203" xr:uid="{00000000-0005-0000-0000-000041050000}"/>
    <cellStyle name="Ввод  6 74 2" xfId="5698" xr:uid="{00000000-0005-0000-0000-000042050000}"/>
    <cellStyle name="Ввод  6 75" xfId="1204" xr:uid="{00000000-0005-0000-0000-000043050000}"/>
    <cellStyle name="Ввод  6 75 2" xfId="5699" xr:uid="{00000000-0005-0000-0000-000044050000}"/>
    <cellStyle name="Ввод  6 76" xfId="1205" xr:uid="{00000000-0005-0000-0000-000045050000}"/>
    <cellStyle name="Ввод  6 76 2" xfId="5700" xr:uid="{00000000-0005-0000-0000-000046050000}"/>
    <cellStyle name="Ввод  6 77" xfId="1206" xr:uid="{00000000-0005-0000-0000-000047050000}"/>
    <cellStyle name="Ввод  6 77 2" xfId="5701" xr:uid="{00000000-0005-0000-0000-000048050000}"/>
    <cellStyle name="Ввод  6 78" xfId="1207" xr:uid="{00000000-0005-0000-0000-000049050000}"/>
    <cellStyle name="Ввод  6 78 2" xfId="5702" xr:uid="{00000000-0005-0000-0000-00004A050000}"/>
    <cellStyle name="Ввод  6 79" xfId="1208" xr:uid="{00000000-0005-0000-0000-00004B050000}"/>
    <cellStyle name="Ввод  6 79 2" xfId="5703" xr:uid="{00000000-0005-0000-0000-00004C050000}"/>
    <cellStyle name="Ввод  6 8" xfId="1209" xr:uid="{00000000-0005-0000-0000-00004D050000}"/>
    <cellStyle name="Ввод  6 8 2" xfId="5704" xr:uid="{00000000-0005-0000-0000-00004E050000}"/>
    <cellStyle name="Ввод  6 80" xfId="1210" xr:uid="{00000000-0005-0000-0000-00004F050000}"/>
    <cellStyle name="Ввод  6 80 2" xfId="5705" xr:uid="{00000000-0005-0000-0000-000050050000}"/>
    <cellStyle name="Ввод  6 81" xfId="1211" xr:uid="{00000000-0005-0000-0000-000051050000}"/>
    <cellStyle name="Ввод  6 81 2" xfId="5706" xr:uid="{00000000-0005-0000-0000-000052050000}"/>
    <cellStyle name="Ввод  6 82" xfId="1212" xr:uid="{00000000-0005-0000-0000-000053050000}"/>
    <cellStyle name="Ввод  6 82 2" xfId="5707" xr:uid="{00000000-0005-0000-0000-000054050000}"/>
    <cellStyle name="Ввод  6 83" xfId="1213" xr:uid="{00000000-0005-0000-0000-000055050000}"/>
    <cellStyle name="Ввод  6 83 2" xfId="5708" xr:uid="{00000000-0005-0000-0000-000056050000}"/>
    <cellStyle name="Ввод  6 84" xfId="1214" xr:uid="{00000000-0005-0000-0000-000057050000}"/>
    <cellStyle name="Ввод  6 84 2" xfId="5709" xr:uid="{00000000-0005-0000-0000-000058050000}"/>
    <cellStyle name="Ввод  6 85" xfId="1215" xr:uid="{00000000-0005-0000-0000-000059050000}"/>
    <cellStyle name="Ввод  6 85 2" xfId="5710" xr:uid="{00000000-0005-0000-0000-00005A050000}"/>
    <cellStyle name="Ввод  6 86" xfId="1216" xr:uid="{00000000-0005-0000-0000-00005B050000}"/>
    <cellStyle name="Ввод  6 86 2" xfId="5711" xr:uid="{00000000-0005-0000-0000-00005C050000}"/>
    <cellStyle name="Ввод  6 87" xfId="1217" xr:uid="{00000000-0005-0000-0000-00005D050000}"/>
    <cellStyle name="Ввод  6 87 2" xfId="5712" xr:uid="{00000000-0005-0000-0000-00005E050000}"/>
    <cellStyle name="Ввод  6 88" xfId="1218" xr:uid="{00000000-0005-0000-0000-00005F050000}"/>
    <cellStyle name="Ввод  6 88 2" xfId="5713" xr:uid="{00000000-0005-0000-0000-000060050000}"/>
    <cellStyle name="Ввод  6 89" xfId="1219" xr:uid="{00000000-0005-0000-0000-000061050000}"/>
    <cellStyle name="Ввод  6 89 2" xfId="5714" xr:uid="{00000000-0005-0000-0000-000062050000}"/>
    <cellStyle name="Ввод  6 9" xfId="1220" xr:uid="{00000000-0005-0000-0000-000063050000}"/>
    <cellStyle name="Ввод  6 9 2" xfId="5715" xr:uid="{00000000-0005-0000-0000-000064050000}"/>
    <cellStyle name="Ввод  6 90" xfId="1221" xr:uid="{00000000-0005-0000-0000-000065050000}"/>
    <cellStyle name="Ввод  6 90 2" xfId="5716" xr:uid="{00000000-0005-0000-0000-000066050000}"/>
    <cellStyle name="Ввод  6 91" xfId="1222" xr:uid="{00000000-0005-0000-0000-000067050000}"/>
    <cellStyle name="Ввод  6 91 2" xfId="5717" xr:uid="{00000000-0005-0000-0000-000068050000}"/>
    <cellStyle name="Ввод  6 92" xfId="5718" xr:uid="{00000000-0005-0000-0000-000069050000}"/>
    <cellStyle name="Ввод  7" xfId="232" xr:uid="{00000000-0005-0000-0000-00006A050000}"/>
    <cellStyle name="Ввод  7 10" xfId="1223" xr:uid="{00000000-0005-0000-0000-00006B050000}"/>
    <cellStyle name="Ввод  7 10 2" xfId="5719" xr:uid="{00000000-0005-0000-0000-00006C050000}"/>
    <cellStyle name="Ввод  7 11" xfId="1224" xr:uid="{00000000-0005-0000-0000-00006D050000}"/>
    <cellStyle name="Ввод  7 11 2" xfId="5720" xr:uid="{00000000-0005-0000-0000-00006E050000}"/>
    <cellStyle name="Ввод  7 12" xfId="1225" xr:uid="{00000000-0005-0000-0000-00006F050000}"/>
    <cellStyle name="Ввод  7 12 2" xfId="5721" xr:uid="{00000000-0005-0000-0000-000070050000}"/>
    <cellStyle name="Ввод  7 13" xfId="1226" xr:uid="{00000000-0005-0000-0000-000071050000}"/>
    <cellStyle name="Ввод  7 13 2" xfId="5722" xr:uid="{00000000-0005-0000-0000-000072050000}"/>
    <cellStyle name="Ввод  7 14" xfId="1227" xr:uid="{00000000-0005-0000-0000-000073050000}"/>
    <cellStyle name="Ввод  7 14 2" xfId="5723" xr:uid="{00000000-0005-0000-0000-000074050000}"/>
    <cellStyle name="Ввод  7 15" xfId="1228" xr:uid="{00000000-0005-0000-0000-000075050000}"/>
    <cellStyle name="Ввод  7 15 2" xfId="5724" xr:uid="{00000000-0005-0000-0000-000076050000}"/>
    <cellStyle name="Ввод  7 16" xfId="1229" xr:uid="{00000000-0005-0000-0000-000077050000}"/>
    <cellStyle name="Ввод  7 16 2" xfId="5725" xr:uid="{00000000-0005-0000-0000-000078050000}"/>
    <cellStyle name="Ввод  7 17" xfId="1230" xr:uid="{00000000-0005-0000-0000-000079050000}"/>
    <cellStyle name="Ввод  7 17 2" xfId="5726" xr:uid="{00000000-0005-0000-0000-00007A050000}"/>
    <cellStyle name="Ввод  7 18" xfId="1231" xr:uid="{00000000-0005-0000-0000-00007B050000}"/>
    <cellStyle name="Ввод  7 18 2" xfId="5727" xr:uid="{00000000-0005-0000-0000-00007C050000}"/>
    <cellStyle name="Ввод  7 19" xfId="1232" xr:uid="{00000000-0005-0000-0000-00007D050000}"/>
    <cellStyle name="Ввод  7 19 2" xfId="5728" xr:uid="{00000000-0005-0000-0000-00007E050000}"/>
    <cellStyle name="Ввод  7 2" xfId="1233" xr:uid="{00000000-0005-0000-0000-00007F050000}"/>
    <cellStyle name="Ввод  7 2 2" xfId="1234" xr:uid="{00000000-0005-0000-0000-000080050000}"/>
    <cellStyle name="Ввод  7 2 2 2" xfId="5729" xr:uid="{00000000-0005-0000-0000-000081050000}"/>
    <cellStyle name="Ввод  7 2 3" xfId="1235" xr:uid="{00000000-0005-0000-0000-000082050000}"/>
    <cellStyle name="Ввод  7 2 3 2" xfId="5730" xr:uid="{00000000-0005-0000-0000-000083050000}"/>
    <cellStyle name="Ввод  7 2 4" xfId="5731" xr:uid="{00000000-0005-0000-0000-000084050000}"/>
    <cellStyle name="Ввод  7 20" xfId="1236" xr:uid="{00000000-0005-0000-0000-000085050000}"/>
    <cellStyle name="Ввод  7 20 2" xfId="5732" xr:uid="{00000000-0005-0000-0000-000086050000}"/>
    <cellStyle name="Ввод  7 21" xfId="1237" xr:uid="{00000000-0005-0000-0000-000087050000}"/>
    <cellStyle name="Ввод  7 21 2" xfId="5733" xr:uid="{00000000-0005-0000-0000-000088050000}"/>
    <cellStyle name="Ввод  7 22" xfId="1238" xr:uid="{00000000-0005-0000-0000-000089050000}"/>
    <cellStyle name="Ввод  7 22 2" xfId="5734" xr:uid="{00000000-0005-0000-0000-00008A050000}"/>
    <cellStyle name="Ввод  7 23" xfId="1239" xr:uid="{00000000-0005-0000-0000-00008B050000}"/>
    <cellStyle name="Ввод  7 23 2" xfId="5735" xr:uid="{00000000-0005-0000-0000-00008C050000}"/>
    <cellStyle name="Ввод  7 24" xfId="1240" xr:uid="{00000000-0005-0000-0000-00008D050000}"/>
    <cellStyle name="Ввод  7 24 2" xfId="5736" xr:uid="{00000000-0005-0000-0000-00008E050000}"/>
    <cellStyle name="Ввод  7 25" xfId="1241" xr:uid="{00000000-0005-0000-0000-00008F050000}"/>
    <cellStyle name="Ввод  7 25 2" xfId="5737" xr:uid="{00000000-0005-0000-0000-000090050000}"/>
    <cellStyle name="Ввод  7 26" xfId="1242" xr:uid="{00000000-0005-0000-0000-000091050000}"/>
    <cellStyle name="Ввод  7 26 2" xfId="5738" xr:uid="{00000000-0005-0000-0000-000092050000}"/>
    <cellStyle name="Ввод  7 27" xfId="1243" xr:uid="{00000000-0005-0000-0000-000093050000}"/>
    <cellStyle name="Ввод  7 27 2" xfId="5739" xr:uid="{00000000-0005-0000-0000-000094050000}"/>
    <cellStyle name="Ввод  7 28" xfId="1244" xr:uid="{00000000-0005-0000-0000-000095050000}"/>
    <cellStyle name="Ввод  7 28 2" xfId="5740" xr:uid="{00000000-0005-0000-0000-000096050000}"/>
    <cellStyle name="Ввод  7 29" xfId="1245" xr:uid="{00000000-0005-0000-0000-000097050000}"/>
    <cellStyle name="Ввод  7 29 2" xfId="5741" xr:uid="{00000000-0005-0000-0000-000098050000}"/>
    <cellStyle name="Ввод  7 3" xfId="1246" xr:uid="{00000000-0005-0000-0000-000099050000}"/>
    <cellStyle name="Ввод  7 3 2" xfId="1247" xr:uid="{00000000-0005-0000-0000-00009A050000}"/>
    <cellStyle name="Ввод  7 3 2 2" xfId="5742" xr:uid="{00000000-0005-0000-0000-00009B050000}"/>
    <cellStyle name="Ввод  7 3 3" xfId="1248" xr:uid="{00000000-0005-0000-0000-00009C050000}"/>
    <cellStyle name="Ввод  7 3 3 2" xfId="5743" xr:uid="{00000000-0005-0000-0000-00009D050000}"/>
    <cellStyle name="Ввод  7 3 4" xfId="5744" xr:uid="{00000000-0005-0000-0000-00009E050000}"/>
    <cellStyle name="Ввод  7 30" xfId="1249" xr:uid="{00000000-0005-0000-0000-00009F050000}"/>
    <cellStyle name="Ввод  7 30 2" xfId="5745" xr:uid="{00000000-0005-0000-0000-0000A0050000}"/>
    <cellStyle name="Ввод  7 31" xfId="1250" xr:uid="{00000000-0005-0000-0000-0000A1050000}"/>
    <cellStyle name="Ввод  7 31 2" xfId="5746" xr:uid="{00000000-0005-0000-0000-0000A2050000}"/>
    <cellStyle name="Ввод  7 32" xfId="1251" xr:uid="{00000000-0005-0000-0000-0000A3050000}"/>
    <cellStyle name="Ввод  7 32 2" xfId="5747" xr:uid="{00000000-0005-0000-0000-0000A4050000}"/>
    <cellStyle name="Ввод  7 33" xfId="1252" xr:uid="{00000000-0005-0000-0000-0000A5050000}"/>
    <cellStyle name="Ввод  7 33 2" xfId="5748" xr:uid="{00000000-0005-0000-0000-0000A6050000}"/>
    <cellStyle name="Ввод  7 34" xfId="1253" xr:uid="{00000000-0005-0000-0000-0000A7050000}"/>
    <cellStyle name="Ввод  7 34 2" xfId="5749" xr:uid="{00000000-0005-0000-0000-0000A8050000}"/>
    <cellStyle name="Ввод  7 35" xfId="1254" xr:uid="{00000000-0005-0000-0000-0000A9050000}"/>
    <cellStyle name="Ввод  7 35 2" xfId="5750" xr:uid="{00000000-0005-0000-0000-0000AA050000}"/>
    <cellStyle name="Ввод  7 36" xfId="1255" xr:uid="{00000000-0005-0000-0000-0000AB050000}"/>
    <cellStyle name="Ввод  7 36 2" xfId="5751" xr:uid="{00000000-0005-0000-0000-0000AC050000}"/>
    <cellStyle name="Ввод  7 37" xfId="1256" xr:uid="{00000000-0005-0000-0000-0000AD050000}"/>
    <cellStyle name="Ввод  7 37 2" xfId="5752" xr:uid="{00000000-0005-0000-0000-0000AE050000}"/>
    <cellStyle name="Ввод  7 38" xfId="1257" xr:uid="{00000000-0005-0000-0000-0000AF050000}"/>
    <cellStyle name="Ввод  7 38 2" xfId="5753" xr:uid="{00000000-0005-0000-0000-0000B0050000}"/>
    <cellStyle name="Ввод  7 39" xfId="1258" xr:uid="{00000000-0005-0000-0000-0000B1050000}"/>
    <cellStyle name="Ввод  7 39 2" xfId="5754" xr:uid="{00000000-0005-0000-0000-0000B2050000}"/>
    <cellStyle name="Ввод  7 4" xfId="1259" xr:uid="{00000000-0005-0000-0000-0000B3050000}"/>
    <cellStyle name="Ввод  7 4 2" xfId="1260" xr:uid="{00000000-0005-0000-0000-0000B4050000}"/>
    <cellStyle name="Ввод  7 4 2 2" xfId="5755" xr:uid="{00000000-0005-0000-0000-0000B5050000}"/>
    <cellStyle name="Ввод  7 4 3" xfId="1261" xr:uid="{00000000-0005-0000-0000-0000B6050000}"/>
    <cellStyle name="Ввод  7 4 3 2" xfId="5756" xr:uid="{00000000-0005-0000-0000-0000B7050000}"/>
    <cellStyle name="Ввод  7 4 4" xfId="5757" xr:uid="{00000000-0005-0000-0000-0000B8050000}"/>
    <cellStyle name="Ввод  7 40" xfId="1262" xr:uid="{00000000-0005-0000-0000-0000B9050000}"/>
    <cellStyle name="Ввод  7 40 2" xfId="5758" xr:uid="{00000000-0005-0000-0000-0000BA050000}"/>
    <cellStyle name="Ввод  7 41" xfId="1263" xr:uid="{00000000-0005-0000-0000-0000BB050000}"/>
    <cellStyle name="Ввод  7 41 2" xfId="5759" xr:uid="{00000000-0005-0000-0000-0000BC050000}"/>
    <cellStyle name="Ввод  7 42" xfId="1264" xr:uid="{00000000-0005-0000-0000-0000BD050000}"/>
    <cellStyle name="Ввод  7 42 2" xfId="5760" xr:uid="{00000000-0005-0000-0000-0000BE050000}"/>
    <cellStyle name="Ввод  7 43" xfId="1265" xr:uid="{00000000-0005-0000-0000-0000BF050000}"/>
    <cellStyle name="Ввод  7 43 2" xfId="5761" xr:uid="{00000000-0005-0000-0000-0000C0050000}"/>
    <cellStyle name="Ввод  7 44" xfId="1266" xr:uid="{00000000-0005-0000-0000-0000C1050000}"/>
    <cellStyle name="Ввод  7 44 2" xfId="5762" xr:uid="{00000000-0005-0000-0000-0000C2050000}"/>
    <cellStyle name="Ввод  7 45" xfId="1267" xr:uid="{00000000-0005-0000-0000-0000C3050000}"/>
    <cellStyle name="Ввод  7 45 2" xfId="5763" xr:uid="{00000000-0005-0000-0000-0000C4050000}"/>
    <cellStyle name="Ввод  7 46" xfId="1268" xr:uid="{00000000-0005-0000-0000-0000C5050000}"/>
    <cellStyle name="Ввод  7 46 2" xfId="5764" xr:uid="{00000000-0005-0000-0000-0000C6050000}"/>
    <cellStyle name="Ввод  7 47" xfId="1269" xr:uid="{00000000-0005-0000-0000-0000C7050000}"/>
    <cellStyle name="Ввод  7 47 2" xfId="5765" xr:uid="{00000000-0005-0000-0000-0000C8050000}"/>
    <cellStyle name="Ввод  7 48" xfId="1270" xr:uid="{00000000-0005-0000-0000-0000C9050000}"/>
    <cellStyle name="Ввод  7 48 2" xfId="5766" xr:uid="{00000000-0005-0000-0000-0000CA050000}"/>
    <cellStyle name="Ввод  7 49" xfId="1271" xr:uid="{00000000-0005-0000-0000-0000CB050000}"/>
    <cellStyle name="Ввод  7 49 2" xfId="5767" xr:uid="{00000000-0005-0000-0000-0000CC050000}"/>
    <cellStyle name="Ввод  7 5" xfId="1272" xr:uid="{00000000-0005-0000-0000-0000CD050000}"/>
    <cellStyle name="Ввод  7 5 2" xfId="5768" xr:uid="{00000000-0005-0000-0000-0000CE050000}"/>
    <cellStyle name="Ввод  7 50" xfId="1273" xr:uid="{00000000-0005-0000-0000-0000CF050000}"/>
    <cellStyle name="Ввод  7 50 2" xfId="5769" xr:uid="{00000000-0005-0000-0000-0000D0050000}"/>
    <cellStyle name="Ввод  7 51" xfId="1274" xr:uid="{00000000-0005-0000-0000-0000D1050000}"/>
    <cellStyle name="Ввод  7 51 2" xfId="5770" xr:uid="{00000000-0005-0000-0000-0000D2050000}"/>
    <cellStyle name="Ввод  7 52" xfId="1275" xr:uid="{00000000-0005-0000-0000-0000D3050000}"/>
    <cellStyle name="Ввод  7 52 2" xfId="5771" xr:uid="{00000000-0005-0000-0000-0000D4050000}"/>
    <cellStyle name="Ввод  7 53" xfId="1276" xr:uid="{00000000-0005-0000-0000-0000D5050000}"/>
    <cellStyle name="Ввод  7 53 2" xfId="5772" xr:uid="{00000000-0005-0000-0000-0000D6050000}"/>
    <cellStyle name="Ввод  7 54" xfId="1277" xr:uid="{00000000-0005-0000-0000-0000D7050000}"/>
    <cellStyle name="Ввод  7 54 2" xfId="5773" xr:uid="{00000000-0005-0000-0000-0000D8050000}"/>
    <cellStyle name="Ввод  7 55" xfId="1278" xr:uid="{00000000-0005-0000-0000-0000D9050000}"/>
    <cellStyle name="Ввод  7 55 2" xfId="5774" xr:uid="{00000000-0005-0000-0000-0000DA050000}"/>
    <cellStyle name="Ввод  7 56" xfId="1279" xr:uid="{00000000-0005-0000-0000-0000DB050000}"/>
    <cellStyle name="Ввод  7 56 2" xfId="5775" xr:uid="{00000000-0005-0000-0000-0000DC050000}"/>
    <cellStyle name="Ввод  7 57" xfId="1280" xr:uid="{00000000-0005-0000-0000-0000DD050000}"/>
    <cellStyle name="Ввод  7 57 2" xfId="5776" xr:uid="{00000000-0005-0000-0000-0000DE050000}"/>
    <cellStyle name="Ввод  7 58" xfId="1281" xr:uid="{00000000-0005-0000-0000-0000DF050000}"/>
    <cellStyle name="Ввод  7 58 2" xfId="5777" xr:uid="{00000000-0005-0000-0000-0000E0050000}"/>
    <cellStyle name="Ввод  7 59" xfId="1282" xr:uid="{00000000-0005-0000-0000-0000E1050000}"/>
    <cellStyle name="Ввод  7 59 2" xfId="5778" xr:uid="{00000000-0005-0000-0000-0000E2050000}"/>
    <cellStyle name="Ввод  7 6" xfId="1283" xr:uid="{00000000-0005-0000-0000-0000E3050000}"/>
    <cellStyle name="Ввод  7 6 2" xfId="5779" xr:uid="{00000000-0005-0000-0000-0000E4050000}"/>
    <cellStyle name="Ввод  7 60" xfId="1284" xr:uid="{00000000-0005-0000-0000-0000E5050000}"/>
    <cellStyle name="Ввод  7 60 2" xfId="5780" xr:uid="{00000000-0005-0000-0000-0000E6050000}"/>
    <cellStyle name="Ввод  7 61" xfId="1285" xr:uid="{00000000-0005-0000-0000-0000E7050000}"/>
    <cellStyle name="Ввод  7 61 2" xfId="5781" xr:uid="{00000000-0005-0000-0000-0000E8050000}"/>
    <cellStyle name="Ввод  7 62" xfId="1286" xr:uid="{00000000-0005-0000-0000-0000E9050000}"/>
    <cellStyle name="Ввод  7 62 2" xfId="5782" xr:uid="{00000000-0005-0000-0000-0000EA050000}"/>
    <cellStyle name="Ввод  7 63" xfId="1287" xr:uid="{00000000-0005-0000-0000-0000EB050000}"/>
    <cellStyle name="Ввод  7 63 2" xfId="5783" xr:uid="{00000000-0005-0000-0000-0000EC050000}"/>
    <cellStyle name="Ввод  7 64" xfId="1288" xr:uid="{00000000-0005-0000-0000-0000ED050000}"/>
    <cellStyle name="Ввод  7 64 2" xfId="5784" xr:uid="{00000000-0005-0000-0000-0000EE050000}"/>
    <cellStyle name="Ввод  7 65" xfId="1289" xr:uid="{00000000-0005-0000-0000-0000EF050000}"/>
    <cellStyle name="Ввод  7 65 2" xfId="5785" xr:uid="{00000000-0005-0000-0000-0000F0050000}"/>
    <cellStyle name="Ввод  7 66" xfId="1290" xr:uid="{00000000-0005-0000-0000-0000F1050000}"/>
    <cellStyle name="Ввод  7 66 2" xfId="5786" xr:uid="{00000000-0005-0000-0000-0000F2050000}"/>
    <cellStyle name="Ввод  7 67" xfId="1291" xr:uid="{00000000-0005-0000-0000-0000F3050000}"/>
    <cellStyle name="Ввод  7 67 2" xfId="5787" xr:uid="{00000000-0005-0000-0000-0000F4050000}"/>
    <cellStyle name="Ввод  7 68" xfId="1292" xr:uid="{00000000-0005-0000-0000-0000F5050000}"/>
    <cellStyle name="Ввод  7 68 2" xfId="5788" xr:uid="{00000000-0005-0000-0000-0000F6050000}"/>
    <cellStyle name="Ввод  7 69" xfId="1293" xr:uid="{00000000-0005-0000-0000-0000F7050000}"/>
    <cellStyle name="Ввод  7 69 2" xfId="5789" xr:uid="{00000000-0005-0000-0000-0000F8050000}"/>
    <cellStyle name="Ввод  7 7" xfId="1294" xr:uid="{00000000-0005-0000-0000-0000F9050000}"/>
    <cellStyle name="Ввод  7 7 2" xfId="5790" xr:uid="{00000000-0005-0000-0000-0000FA050000}"/>
    <cellStyle name="Ввод  7 70" xfId="1295" xr:uid="{00000000-0005-0000-0000-0000FB050000}"/>
    <cellStyle name="Ввод  7 70 2" xfId="5791" xr:uid="{00000000-0005-0000-0000-0000FC050000}"/>
    <cellStyle name="Ввод  7 71" xfId="1296" xr:uid="{00000000-0005-0000-0000-0000FD050000}"/>
    <cellStyle name="Ввод  7 71 2" xfId="5792" xr:uid="{00000000-0005-0000-0000-0000FE050000}"/>
    <cellStyle name="Ввод  7 72" xfId="1297" xr:uid="{00000000-0005-0000-0000-0000FF050000}"/>
    <cellStyle name="Ввод  7 72 2" xfId="5793" xr:uid="{00000000-0005-0000-0000-000000060000}"/>
    <cellStyle name="Ввод  7 73" xfId="1298" xr:uid="{00000000-0005-0000-0000-000001060000}"/>
    <cellStyle name="Ввод  7 73 2" xfId="5794" xr:uid="{00000000-0005-0000-0000-000002060000}"/>
    <cellStyle name="Ввод  7 74" xfId="1299" xr:uid="{00000000-0005-0000-0000-000003060000}"/>
    <cellStyle name="Ввод  7 74 2" xfId="5795" xr:uid="{00000000-0005-0000-0000-000004060000}"/>
    <cellStyle name="Ввод  7 75" xfId="1300" xr:uid="{00000000-0005-0000-0000-000005060000}"/>
    <cellStyle name="Ввод  7 75 2" xfId="5796" xr:uid="{00000000-0005-0000-0000-000006060000}"/>
    <cellStyle name="Ввод  7 76" xfId="1301" xr:uid="{00000000-0005-0000-0000-000007060000}"/>
    <cellStyle name="Ввод  7 76 2" xfId="5797" xr:uid="{00000000-0005-0000-0000-000008060000}"/>
    <cellStyle name="Ввод  7 77" xfId="1302" xr:uid="{00000000-0005-0000-0000-000009060000}"/>
    <cellStyle name="Ввод  7 77 2" xfId="5798" xr:uid="{00000000-0005-0000-0000-00000A060000}"/>
    <cellStyle name="Ввод  7 78" xfId="1303" xr:uid="{00000000-0005-0000-0000-00000B060000}"/>
    <cellStyle name="Ввод  7 78 2" xfId="5799" xr:uid="{00000000-0005-0000-0000-00000C060000}"/>
    <cellStyle name="Ввод  7 79" xfId="1304" xr:uid="{00000000-0005-0000-0000-00000D060000}"/>
    <cellStyle name="Ввод  7 79 2" xfId="5800" xr:uid="{00000000-0005-0000-0000-00000E060000}"/>
    <cellStyle name="Ввод  7 8" xfId="1305" xr:uid="{00000000-0005-0000-0000-00000F060000}"/>
    <cellStyle name="Ввод  7 8 2" xfId="5801" xr:uid="{00000000-0005-0000-0000-000010060000}"/>
    <cellStyle name="Ввод  7 80" xfId="1306" xr:uid="{00000000-0005-0000-0000-000011060000}"/>
    <cellStyle name="Ввод  7 80 2" xfId="5802" xr:uid="{00000000-0005-0000-0000-000012060000}"/>
    <cellStyle name="Ввод  7 81" xfId="1307" xr:uid="{00000000-0005-0000-0000-000013060000}"/>
    <cellStyle name="Ввод  7 81 2" xfId="5803" xr:uid="{00000000-0005-0000-0000-000014060000}"/>
    <cellStyle name="Ввод  7 82" xfId="1308" xr:uid="{00000000-0005-0000-0000-000015060000}"/>
    <cellStyle name="Ввод  7 82 2" xfId="5804" xr:uid="{00000000-0005-0000-0000-000016060000}"/>
    <cellStyle name="Ввод  7 83" xfId="1309" xr:uid="{00000000-0005-0000-0000-000017060000}"/>
    <cellStyle name="Ввод  7 83 2" xfId="5805" xr:uid="{00000000-0005-0000-0000-000018060000}"/>
    <cellStyle name="Ввод  7 84" xfId="1310" xr:uid="{00000000-0005-0000-0000-000019060000}"/>
    <cellStyle name="Ввод  7 84 2" xfId="5806" xr:uid="{00000000-0005-0000-0000-00001A060000}"/>
    <cellStyle name="Ввод  7 85" xfId="1311" xr:uid="{00000000-0005-0000-0000-00001B060000}"/>
    <cellStyle name="Ввод  7 85 2" xfId="5807" xr:uid="{00000000-0005-0000-0000-00001C060000}"/>
    <cellStyle name="Ввод  7 86" xfId="1312" xr:uid="{00000000-0005-0000-0000-00001D060000}"/>
    <cellStyle name="Ввод  7 86 2" xfId="5808" xr:uid="{00000000-0005-0000-0000-00001E060000}"/>
    <cellStyle name="Ввод  7 87" xfId="1313" xr:uid="{00000000-0005-0000-0000-00001F060000}"/>
    <cellStyle name="Ввод  7 87 2" xfId="5809" xr:uid="{00000000-0005-0000-0000-000020060000}"/>
    <cellStyle name="Ввод  7 88" xfId="1314" xr:uid="{00000000-0005-0000-0000-000021060000}"/>
    <cellStyle name="Ввод  7 88 2" xfId="5810" xr:uid="{00000000-0005-0000-0000-000022060000}"/>
    <cellStyle name="Ввод  7 89" xfId="1315" xr:uid="{00000000-0005-0000-0000-000023060000}"/>
    <cellStyle name="Ввод  7 89 2" xfId="5811" xr:uid="{00000000-0005-0000-0000-000024060000}"/>
    <cellStyle name="Ввод  7 9" xfId="1316" xr:uid="{00000000-0005-0000-0000-000025060000}"/>
    <cellStyle name="Ввод  7 9 2" xfId="5812" xr:uid="{00000000-0005-0000-0000-000026060000}"/>
    <cellStyle name="Ввод  7 90" xfId="1317" xr:uid="{00000000-0005-0000-0000-000027060000}"/>
    <cellStyle name="Ввод  7 90 2" xfId="5813" xr:uid="{00000000-0005-0000-0000-000028060000}"/>
    <cellStyle name="Ввод  7 91" xfId="1318" xr:uid="{00000000-0005-0000-0000-000029060000}"/>
    <cellStyle name="Ввод  7 91 2" xfId="5814" xr:uid="{00000000-0005-0000-0000-00002A060000}"/>
    <cellStyle name="Ввод  7 92" xfId="5815" xr:uid="{00000000-0005-0000-0000-00002B060000}"/>
    <cellStyle name="Ввод  8" xfId="233" xr:uid="{00000000-0005-0000-0000-00002C060000}"/>
    <cellStyle name="Ввод  8 10" xfId="1319" xr:uid="{00000000-0005-0000-0000-00002D060000}"/>
    <cellStyle name="Ввод  8 10 2" xfId="5816" xr:uid="{00000000-0005-0000-0000-00002E060000}"/>
    <cellStyle name="Ввод  8 11" xfId="1320" xr:uid="{00000000-0005-0000-0000-00002F060000}"/>
    <cellStyle name="Ввод  8 11 2" xfId="5817" xr:uid="{00000000-0005-0000-0000-000030060000}"/>
    <cellStyle name="Ввод  8 12" xfId="1321" xr:uid="{00000000-0005-0000-0000-000031060000}"/>
    <cellStyle name="Ввод  8 12 2" xfId="5818" xr:uid="{00000000-0005-0000-0000-000032060000}"/>
    <cellStyle name="Ввод  8 13" xfId="1322" xr:uid="{00000000-0005-0000-0000-000033060000}"/>
    <cellStyle name="Ввод  8 13 2" xfId="5819" xr:uid="{00000000-0005-0000-0000-000034060000}"/>
    <cellStyle name="Ввод  8 14" xfId="1323" xr:uid="{00000000-0005-0000-0000-000035060000}"/>
    <cellStyle name="Ввод  8 14 2" xfId="5820" xr:uid="{00000000-0005-0000-0000-000036060000}"/>
    <cellStyle name="Ввод  8 15" xfId="1324" xr:uid="{00000000-0005-0000-0000-000037060000}"/>
    <cellStyle name="Ввод  8 15 2" xfId="5821" xr:uid="{00000000-0005-0000-0000-000038060000}"/>
    <cellStyle name="Ввод  8 16" xfId="1325" xr:uid="{00000000-0005-0000-0000-000039060000}"/>
    <cellStyle name="Ввод  8 16 2" xfId="5822" xr:uid="{00000000-0005-0000-0000-00003A060000}"/>
    <cellStyle name="Ввод  8 17" xfId="1326" xr:uid="{00000000-0005-0000-0000-00003B060000}"/>
    <cellStyle name="Ввод  8 17 2" xfId="5823" xr:uid="{00000000-0005-0000-0000-00003C060000}"/>
    <cellStyle name="Ввод  8 18" xfId="1327" xr:uid="{00000000-0005-0000-0000-00003D060000}"/>
    <cellStyle name="Ввод  8 18 2" xfId="5824" xr:uid="{00000000-0005-0000-0000-00003E060000}"/>
    <cellStyle name="Ввод  8 19" xfId="1328" xr:uid="{00000000-0005-0000-0000-00003F060000}"/>
    <cellStyle name="Ввод  8 19 2" xfId="5825" xr:uid="{00000000-0005-0000-0000-000040060000}"/>
    <cellStyle name="Ввод  8 2" xfId="1329" xr:uid="{00000000-0005-0000-0000-000041060000}"/>
    <cellStyle name="Ввод  8 2 2" xfId="1330" xr:uid="{00000000-0005-0000-0000-000042060000}"/>
    <cellStyle name="Ввод  8 2 2 2" xfId="5826" xr:uid="{00000000-0005-0000-0000-000043060000}"/>
    <cellStyle name="Ввод  8 2 3" xfId="1331" xr:uid="{00000000-0005-0000-0000-000044060000}"/>
    <cellStyle name="Ввод  8 2 3 2" xfId="5827" xr:uid="{00000000-0005-0000-0000-000045060000}"/>
    <cellStyle name="Ввод  8 2 4" xfId="5828" xr:uid="{00000000-0005-0000-0000-000046060000}"/>
    <cellStyle name="Ввод  8 20" xfId="1332" xr:uid="{00000000-0005-0000-0000-000047060000}"/>
    <cellStyle name="Ввод  8 20 2" xfId="5829" xr:uid="{00000000-0005-0000-0000-000048060000}"/>
    <cellStyle name="Ввод  8 21" xfId="1333" xr:uid="{00000000-0005-0000-0000-000049060000}"/>
    <cellStyle name="Ввод  8 21 2" xfId="5830" xr:uid="{00000000-0005-0000-0000-00004A060000}"/>
    <cellStyle name="Ввод  8 22" xfId="1334" xr:uid="{00000000-0005-0000-0000-00004B060000}"/>
    <cellStyle name="Ввод  8 22 2" xfId="5831" xr:uid="{00000000-0005-0000-0000-00004C060000}"/>
    <cellStyle name="Ввод  8 23" xfId="1335" xr:uid="{00000000-0005-0000-0000-00004D060000}"/>
    <cellStyle name="Ввод  8 23 2" xfId="5832" xr:uid="{00000000-0005-0000-0000-00004E060000}"/>
    <cellStyle name="Ввод  8 24" xfId="1336" xr:uid="{00000000-0005-0000-0000-00004F060000}"/>
    <cellStyle name="Ввод  8 24 2" xfId="5833" xr:uid="{00000000-0005-0000-0000-000050060000}"/>
    <cellStyle name="Ввод  8 25" xfId="1337" xr:uid="{00000000-0005-0000-0000-000051060000}"/>
    <cellStyle name="Ввод  8 25 2" xfId="5834" xr:uid="{00000000-0005-0000-0000-000052060000}"/>
    <cellStyle name="Ввод  8 26" xfId="1338" xr:uid="{00000000-0005-0000-0000-000053060000}"/>
    <cellStyle name="Ввод  8 26 2" xfId="5835" xr:uid="{00000000-0005-0000-0000-000054060000}"/>
    <cellStyle name="Ввод  8 27" xfId="1339" xr:uid="{00000000-0005-0000-0000-000055060000}"/>
    <cellStyle name="Ввод  8 27 2" xfId="5836" xr:uid="{00000000-0005-0000-0000-000056060000}"/>
    <cellStyle name="Ввод  8 28" xfId="1340" xr:uid="{00000000-0005-0000-0000-000057060000}"/>
    <cellStyle name="Ввод  8 28 2" xfId="5837" xr:uid="{00000000-0005-0000-0000-000058060000}"/>
    <cellStyle name="Ввод  8 29" xfId="1341" xr:uid="{00000000-0005-0000-0000-000059060000}"/>
    <cellStyle name="Ввод  8 29 2" xfId="5838" xr:uid="{00000000-0005-0000-0000-00005A060000}"/>
    <cellStyle name="Ввод  8 3" xfId="1342" xr:uid="{00000000-0005-0000-0000-00005B060000}"/>
    <cellStyle name="Ввод  8 3 2" xfId="1343" xr:uid="{00000000-0005-0000-0000-00005C060000}"/>
    <cellStyle name="Ввод  8 3 2 2" xfId="5839" xr:uid="{00000000-0005-0000-0000-00005D060000}"/>
    <cellStyle name="Ввод  8 3 3" xfId="1344" xr:uid="{00000000-0005-0000-0000-00005E060000}"/>
    <cellStyle name="Ввод  8 3 3 2" xfId="5840" xr:uid="{00000000-0005-0000-0000-00005F060000}"/>
    <cellStyle name="Ввод  8 3 4" xfId="5841" xr:uid="{00000000-0005-0000-0000-000060060000}"/>
    <cellStyle name="Ввод  8 30" xfId="1345" xr:uid="{00000000-0005-0000-0000-000061060000}"/>
    <cellStyle name="Ввод  8 30 2" xfId="5842" xr:uid="{00000000-0005-0000-0000-000062060000}"/>
    <cellStyle name="Ввод  8 31" xfId="1346" xr:uid="{00000000-0005-0000-0000-000063060000}"/>
    <cellStyle name="Ввод  8 31 2" xfId="5843" xr:uid="{00000000-0005-0000-0000-000064060000}"/>
    <cellStyle name="Ввод  8 32" xfId="1347" xr:uid="{00000000-0005-0000-0000-000065060000}"/>
    <cellStyle name="Ввод  8 32 2" xfId="5844" xr:uid="{00000000-0005-0000-0000-000066060000}"/>
    <cellStyle name="Ввод  8 33" xfId="1348" xr:uid="{00000000-0005-0000-0000-000067060000}"/>
    <cellStyle name="Ввод  8 33 2" xfId="5845" xr:uid="{00000000-0005-0000-0000-000068060000}"/>
    <cellStyle name="Ввод  8 34" xfId="1349" xr:uid="{00000000-0005-0000-0000-000069060000}"/>
    <cellStyle name="Ввод  8 34 2" xfId="5846" xr:uid="{00000000-0005-0000-0000-00006A060000}"/>
    <cellStyle name="Ввод  8 35" xfId="1350" xr:uid="{00000000-0005-0000-0000-00006B060000}"/>
    <cellStyle name="Ввод  8 35 2" xfId="5847" xr:uid="{00000000-0005-0000-0000-00006C060000}"/>
    <cellStyle name="Ввод  8 36" xfId="1351" xr:uid="{00000000-0005-0000-0000-00006D060000}"/>
    <cellStyle name="Ввод  8 36 2" xfId="5848" xr:uid="{00000000-0005-0000-0000-00006E060000}"/>
    <cellStyle name="Ввод  8 37" xfId="1352" xr:uid="{00000000-0005-0000-0000-00006F060000}"/>
    <cellStyle name="Ввод  8 37 2" xfId="5849" xr:uid="{00000000-0005-0000-0000-000070060000}"/>
    <cellStyle name="Ввод  8 38" xfId="1353" xr:uid="{00000000-0005-0000-0000-000071060000}"/>
    <cellStyle name="Ввод  8 38 2" xfId="5850" xr:uid="{00000000-0005-0000-0000-000072060000}"/>
    <cellStyle name="Ввод  8 39" xfId="1354" xr:uid="{00000000-0005-0000-0000-000073060000}"/>
    <cellStyle name="Ввод  8 39 2" xfId="5851" xr:uid="{00000000-0005-0000-0000-000074060000}"/>
    <cellStyle name="Ввод  8 4" xfId="1355" xr:uid="{00000000-0005-0000-0000-000075060000}"/>
    <cellStyle name="Ввод  8 4 2" xfId="1356" xr:uid="{00000000-0005-0000-0000-000076060000}"/>
    <cellStyle name="Ввод  8 4 2 2" xfId="5852" xr:uid="{00000000-0005-0000-0000-000077060000}"/>
    <cellStyle name="Ввод  8 4 3" xfId="1357" xr:uid="{00000000-0005-0000-0000-000078060000}"/>
    <cellStyle name="Ввод  8 4 3 2" xfId="5853" xr:uid="{00000000-0005-0000-0000-000079060000}"/>
    <cellStyle name="Ввод  8 4 4" xfId="5854" xr:uid="{00000000-0005-0000-0000-00007A060000}"/>
    <cellStyle name="Ввод  8 40" xfId="1358" xr:uid="{00000000-0005-0000-0000-00007B060000}"/>
    <cellStyle name="Ввод  8 40 2" xfId="5855" xr:uid="{00000000-0005-0000-0000-00007C060000}"/>
    <cellStyle name="Ввод  8 41" xfId="1359" xr:uid="{00000000-0005-0000-0000-00007D060000}"/>
    <cellStyle name="Ввод  8 41 2" xfId="5856" xr:uid="{00000000-0005-0000-0000-00007E060000}"/>
    <cellStyle name="Ввод  8 42" xfId="1360" xr:uid="{00000000-0005-0000-0000-00007F060000}"/>
    <cellStyle name="Ввод  8 42 2" xfId="5857" xr:uid="{00000000-0005-0000-0000-000080060000}"/>
    <cellStyle name="Ввод  8 43" xfId="1361" xr:uid="{00000000-0005-0000-0000-000081060000}"/>
    <cellStyle name="Ввод  8 43 2" xfId="5858" xr:uid="{00000000-0005-0000-0000-000082060000}"/>
    <cellStyle name="Ввод  8 44" xfId="1362" xr:uid="{00000000-0005-0000-0000-000083060000}"/>
    <cellStyle name="Ввод  8 44 2" xfId="5859" xr:uid="{00000000-0005-0000-0000-000084060000}"/>
    <cellStyle name="Ввод  8 45" xfId="1363" xr:uid="{00000000-0005-0000-0000-000085060000}"/>
    <cellStyle name="Ввод  8 45 2" xfId="5860" xr:uid="{00000000-0005-0000-0000-000086060000}"/>
    <cellStyle name="Ввод  8 46" xfId="1364" xr:uid="{00000000-0005-0000-0000-000087060000}"/>
    <cellStyle name="Ввод  8 46 2" xfId="5861" xr:uid="{00000000-0005-0000-0000-000088060000}"/>
    <cellStyle name="Ввод  8 47" xfId="1365" xr:uid="{00000000-0005-0000-0000-000089060000}"/>
    <cellStyle name="Ввод  8 47 2" xfId="5862" xr:uid="{00000000-0005-0000-0000-00008A060000}"/>
    <cellStyle name="Ввод  8 48" xfId="1366" xr:uid="{00000000-0005-0000-0000-00008B060000}"/>
    <cellStyle name="Ввод  8 48 2" xfId="5863" xr:uid="{00000000-0005-0000-0000-00008C060000}"/>
    <cellStyle name="Ввод  8 49" xfId="1367" xr:uid="{00000000-0005-0000-0000-00008D060000}"/>
    <cellStyle name="Ввод  8 49 2" xfId="5864" xr:uid="{00000000-0005-0000-0000-00008E060000}"/>
    <cellStyle name="Ввод  8 5" xfId="1368" xr:uid="{00000000-0005-0000-0000-00008F060000}"/>
    <cellStyle name="Ввод  8 5 2" xfId="5865" xr:uid="{00000000-0005-0000-0000-000090060000}"/>
    <cellStyle name="Ввод  8 50" xfId="1369" xr:uid="{00000000-0005-0000-0000-000091060000}"/>
    <cellStyle name="Ввод  8 50 2" xfId="5866" xr:uid="{00000000-0005-0000-0000-000092060000}"/>
    <cellStyle name="Ввод  8 51" xfId="1370" xr:uid="{00000000-0005-0000-0000-000093060000}"/>
    <cellStyle name="Ввод  8 51 2" xfId="5867" xr:uid="{00000000-0005-0000-0000-000094060000}"/>
    <cellStyle name="Ввод  8 52" xfId="1371" xr:uid="{00000000-0005-0000-0000-000095060000}"/>
    <cellStyle name="Ввод  8 52 2" xfId="5868" xr:uid="{00000000-0005-0000-0000-000096060000}"/>
    <cellStyle name="Ввод  8 53" xfId="1372" xr:uid="{00000000-0005-0000-0000-000097060000}"/>
    <cellStyle name="Ввод  8 53 2" xfId="5869" xr:uid="{00000000-0005-0000-0000-000098060000}"/>
    <cellStyle name="Ввод  8 54" xfId="1373" xr:uid="{00000000-0005-0000-0000-000099060000}"/>
    <cellStyle name="Ввод  8 54 2" xfId="5870" xr:uid="{00000000-0005-0000-0000-00009A060000}"/>
    <cellStyle name="Ввод  8 55" xfId="1374" xr:uid="{00000000-0005-0000-0000-00009B060000}"/>
    <cellStyle name="Ввод  8 55 2" xfId="5871" xr:uid="{00000000-0005-0000-0000-00009C060000}"/>
    <cellStyle name="Ввод  8 56" xfId="1375" xr:uid="{00000000-0005-0000-0000-00009D060000}"/>
    <cellStyle name="Ввод  8 56 2" xfId="5872" xr:uid="{00000000-0005-0000-0000-00009E060000}"/>
    <cellStyle name="Ввод  8 57" xfId="1376" xr:uid="{00000000-0005-0000-0000-00009F060000}"/>
    <cellStyle name="Ввод  8 57 2" xfId="5873" xr:uid="{00000000-0005-0000-0000-0000A0060000}"/>
    <cellStyle name="Ввод  8 58" xfId="1377" xr:uid="{00000000-0005-0000-0000-0000A1060000}"/>
    <cellStyle name="Ввод  8 58 2" xfId="5874" xr:uid="{00000000-0005-0000-0000-0000A2060000}"/>
    <cellStyle name="Ввод  8 59" xfId="1378" xr:uid="{00000000-0005-0000-0000-0000A3060000}"/>
    <cellStyle name="Ввод  8 59 2" xfId="5875" xr:uid="{00000000-0005-0000-0000-0000A4060000}"/>
    <cellStyle name="Ввод  8 6" xfId="1379" xr:uid="{00000000-0005-0000-0000-0000A5060000}"/>
    <cellStyle name="Ввод  8 6 2" xfId="5876" xr:uid="{00000000-0005-0000-0000-0000A6060000}"/>
    <cellStyle name="Ввод  8 60" xfId="1380" xr:uid="{00000000-0005-0000-0000-0000A7060000}"/>
    <cellStyle name="Ввод  8 60 2" xfId="5877" xr:uid="{00000000-0005-0000-0000-0000A8060000}"/>
    <cellStyle name="Ввод  8 61" xfId="1381" xr:uid="{00000000-0005-0000-0000-0000A9060000}"/>
    <cellStyle name="Ввод  8 61 2" xfId="5878" xr:uid="{00000000-0005-0000-0000-0000AA060000}"/>
    <cellStyle name="Ввод  8 62" xfId="1382" xr:uid="{00000000-0005-0000-0000-0000AB060000}"/>
    <cellStyle name="Ввод  8 62 2" xfId="5879" xr:uid="{00000000-0005-0000-0000-0000AC060000}"/>
    <cellStyle name="Ввод  8 63" xfId="1383" xr:uid="{00000000-0005-0000-0000-0000AD060000}"/>
    <cellStyle name="Ввод  8 63 2" xfId="5880" xr:uid="{00000000-0005-0000-0000-0000AE060000}"/>
    <cellStyle name="Ввод  8 64" xfId="1384" xr:uid="{00000000-0005-0000-0000-0000AF060000}"/>
    <cellStyle name="Ввод  8 64 2" xfId="5881" xr:uid="{00000000-0005-0000-0000-0000B0060000}"/>
    <cellStyle name="Ввод  8 65" xfId="1385" xr:uid="{00000000-0005-0000-0000-0000B1060000}"/>
    <cellStyle name="Ввод  8 65 2" xfId="5882" xr:uid="{00000000-0005-0000-0000-0000B2060000}"/>
    <cellStyle name="Ввод  8 66" xfId="1386" xr:uid="{00000000-0005-0000-0000-0000B3060000}"/>
    <cellStyle name="Ввод  8 66 2" xfId="5883" xr:uid="{00000000-0005-0000-0000-0000B4060000}"/>
    <cellStyle name="Ввод  8 67" xfId="1387" xr:uid="{00000000-0005-0000-0000-0000B5060000}"/>
    <cellStyle name="Ввод  8 67 2" xfId="5884" xr:uid="{00000000-0005-0000-0000-0000B6060000}"/>
    <cellStyle name="Ввод  8 68" xfId="1388" xr:uid="{00000000-0005-0000-0000-0000B7060000}"/>
    <cellStyle name="Ввод  8 68 2" xfId="5885" xr:uid="{00000000-0005-0000-0000-0000B8060000}"/>
    <cellStyle name="Ввод  8 69" xfId="1389" xr:uid="{00000000-0005-0000-0000-0000B9060000}"/>
    <cellStyle name="Ввод  8 69 2" xfId="5886" xr:uid="{00000000-0005-0000-0000-0000BA060000}"/>
    <cellStyle name="Ввод  8 7" xfId="1390" xr:uid="{00000000-0005-0000-0000-0000BB060000}"/>
    <cellStyle name="Ввод  8 7 2" xfId="5887" xr:uid="{00000000-0005-0000-0000-0000BC060000}"/>
    <cellStyle name="Ввод  8 70" xfId="1391" xr:uid="{00000000-0005-0000-0000-0000BD060000}"/>
    <cellStyle name="Ввод  8 70 2" xfId="5888" xr:uid="{00000000-0005-0000-0000-0000BE060000}"/>
    <cellStyle name="Ввод  8 71" xfId="1392" xr:uid="{00000000-0005-0000-0000-0000BF060000}"/>
    <cellStyle name="Ввод  8 71 2" xfId="5889" xr:uid="{00000000-0005-0000-0000-0000C0060000}"/>
    <cellStyle name="Ввод  8 72" xfId="1393" xr:uid="{00000000-0005-0000-0000-0000C1060000}"/>
    <cellStyle name="Ввод  8 72 2" xfId="5890" xr:uid="{00000000-0005-0000-0000-0000C2060000}"/>
    <cellStyle name="Ввод  8 73" xfId="1394" xr:uid="{00000000-0005-0000-0000-0000C3060000}"/>
    <cellStyle name="Ввод  8 73 2" xfId="5891" xr:uid="{00000000-0005-0000-0000-0000C4060000}"/>
    <cellStyle name="Ввод  8 74" xfId="1395" xr:uid="{00000000-0005-0000-0000-0000C5060000}"/>
    <cellStyle name="Ввод  8 74 2" xfId="5892" xr:uid="{00000000-0005-0000-0000-0000C6060000}"/>
    <cellStyle name="Ввод  8 75" xfId="1396" xr:uid="{00000000-0005-0000-0000-0000C7060000}"/>
    <cellStyle name="Ввод  8 75 2" xfId="5893" xr:uid="{00000000-0005-0000-0000-0000C8060000}"/>
    <cellStyle name="Ввод  8 76" xfId="1397" xr:uid="{00000000-0005-0000-0000-0000C9060000}"/>
    <cellStyle name="Ввод  8 76 2" xfId="5894" xr:uid="{00000000-0005-0000-0000-0000CA060000}"/>
    <cellStyle name="Ввод  8 77" xfId="1398" xr:uid="{00000000-0005-0000-0000-0000CB060000}"/>
    <cellStyle name="Ввод  8 77 2" xfId="5895" xr:uid="{00000000-0005-0000-0000-0000CC060000}"/>
    <cellStyle name="Ввод  8 78" xfId="1399" xr:uid="{00000000-0005-0000-0000-0000CD060000}"/>
    <cellStyle name="Ввод  8 78 2" xfId="5896" xr:uid="{00000000-0005-0000-0000-0000CE060000}"/>
    <cellStyle name="Ввод  8 79" xfId="1400" xr:uid="{00000000-0005-0000-0000-0000CF060000}"/>
    <cellStyle name="Ввод  8 79 2" xfId="5897" xr:uid="{00000000-0005-0000-0000-0000D0060000}"/>
    <cellStyle name="Ввод  8 8" xfId="1401" xr:uid="{00000000-0005-0000-0000-0000D1060000}"/>
    <cellStyle name="Ввод  8 8 2" xfId="5898" xr:uid="{00000000-0005-0000-0000-0000D2060000}"/>
    <cellStyle name="Ввод  8 80" xfId="1402" xr:uid="{00000000-0005-0000-0000-0000D3060000}"/>
    <cellStyle name="Ввод  8 80 2" xfId="5899" xr:uid="{00000000-0005-0000-0000-0000D4060000}"/>
    <cellStyle name="Ввод  8 81" xfId="1403" xr:uid="{00000000-0005-0000-0000-0000D5060000}"/>
    <cellStyle name="Ввод  8 81 2" xfId="5900" xr:uid="{00000000-0005-0000-0000-0000D6060000}"/>
    <cellStyle name="Ввод  8 82" xfId="1404" xr:uid="{00000000-0005-0000-0000-0000D7060000}"/>
    <cellStyle name="Ввод  8 82 2" xfId="5901" xr:uid="{00000000-0005-0000-0000-0000D8060000}"/>
    <cellStyle name="Ввод  8 83" xfId="1405" xr:uid="{00000000-0005-0000-0000-0000D9060000}"/>
    <cellStyle name="Ввод  8 83 2" xfId="5902" xr:uid="{00000000-0005-0000-0000-0000DA060000}"/>
    <cellStyle name="Ввод  8 84" xfId="1406" xr:uid="{00000000-0005-0000-0000-0000DB060000}"/>
    <cellStyle name="Ввод  8 84 2" xfId="5903" xr:uid="{00000000-0005-0000-0000-0000DC060000}"/>
    <cellStyle name="Ввод  8 85" xfId="1407" xr:uid="{00000000-0005-0000-0000-0000DD060000}"/>
    <cellStyle name="Ввод  8 85 2" xfId="5904" xr:uid="{00000000-0005-0000-0000-0000DE060000}"/>
    <cellStyle name="Ввод  8 86" xfId="1408" xr:uid="{00000000-0005-0000-0000-0000DF060000}"/>
    <cellStyle name="Ввод  8 86 2" xfId="5905" xr:uid="{00000000-0005-0000-0000-0000E0060000}"/>
    <cellStyle name="Ввод  8 87" xfId="1409" xr:uid="{00000000-0005-0000-0000-0000E1060000}"/>
    <cellStyle name="Ввод  8 87 2" xfId="5906" xr:uid="{00000000-0005-0000-0000-0000E2060000}"/>
    <cellStyle name="Ввод  8 88" xfId="1410" xr:uid="{00000000-0005-0000-0000-0000E3060000}"/>
    <cellStyle name="Ввод  8 88 2" xfId="5907" xr:uid="{00000000-0005-0000-0000-0000E4060000}"/>
    <cellStyle name="Ввод  8 89" xfId="1411" xr:uid="{00000000-0005-0000-0000-0000E5060000}"/>
    <cellStyle name="Ввод  8 89 2" xfId="5908" xr:uid="{00000000-0005-0000-0000-0000E6060000}"/>
    <cellStyle name="Ввод  8 9" xfId="1412" xr:uid="{00000000-0005-0000-0000-0000E7060000}"/>
    <cellStyle name="Ввод  8 9 2" xfId="5909" xr:uid="{00000000-0005-0000-0000-0000E8060000}"/>
    <cellStyle name="Ввод  8 90" xfId="1413" xr:uid="{00000000-0005-0000-0000-0000E9060000}"/>
    <cellStyle name="Ввод  8 90 2" xfId="5910" xr:uid="{00000000-0005-0000-0000-0000EA060000}"/>
    <cellStyle name="Ввод  8 91" xfId="1414" xr:uid="{00000000-0005-0000-0000-0000EB060000}"/>
    <cellStyle name="Ввод  8 91 2" xfId="5911" xr:uid="{00000000-0005-0000-0000-0000EC060000}"/>
    <cellStyle name="Ввод  8 92" xfId="5912" xr:uid="{00000000-0005-0000-0000-0000ED060000}"/>
    <cellStyle name="Ввод  9" xfId="234" xr:uid="{00000000-0005-0000-0000-0000EE060000}"/>
    <cellStyle name="Ввод  9 10" xfId="1415" xr:uid="{00000000-0005-0000-0000-0000EF060000}"/>
    <cellStyle name="Ввод  9 10 2" xfId="5913" xr:uid="{00000000-0005-0000-0000-0000F0060000}"/>
    <cellStyle name="Ввод  9 11" xfId="1416" xr:uid="{00000000-0005-0000-0000-0000F1060000}"/>
    <cellStyle name="Ввод  9 11 2" xfId="5914" xr:uid="{00000000-0005-0000-0000-0000F2060000}"/>
    <cellStyle name="Ввод  9 12" xfId="1417" xr:uid="{00000000-0005-0000-0000-0000F3060000}"/>
    <cellStyle name="Ввод  9 12 2" xfId="5915" xr:uid="{00000000-0005-0000-0000-0000F4060000}"/>
    <cellStyle name="Ввод  9 13" xfId="1418" xr:uid="{00000000-0005-0000-0000-0000F5060000}"/>
    <cellStyle name="Ввод  9 13 2" xfId="5916" xr:uid="{00000000-0005-0000-0000-0000F6060000}"/>
    <cellStyle name="Ввод  9 14" xfId="1419" xr:uid="{00000000-0005-0000-0000-0000F7060000}"/>
    <cellStyle name="Ввод  9 14 2" xfId="5917" xr:uid="{00000000-0005-0000-0000-0000F8060000}"/>
    <cellStyle name="Ввод  9 15" xfId="1420" xr:uid="{00000000-0005-0000-0000-0000F9060000}"/>
    <cellStyle name="Ввод  9 15 2" xfId="5918" xr:uid="{00000000-0005-0000-0000-0000FA060000}"/>
    <cellStyle name="Ввод  9 16" xfId="1421" xr:uid="{00000000-0005-0000-0000-0000FB060000}"/>
    <cellStyle name="Ввод  9 16 2" xfId="5919" xr:uid="{00000000-0005-0000-0000-0000FC060000}"/>
    <cellStyle name="Ввод  9 17" xfId="1422" xr:uid="{00000000-0005-0000-0000-0000FD060000}"/>
    <cellStyle name="Ввод  9 17 2" xfId="5920" xr:uid="{00000000-0005-0000-0000-0000FE060000}"/>
    <cellStyle name="Ввод  9 18" xfId="1423" xr:uid="{00000000-0005-0000-0000-0000FF060000}"/>
    <cellStyle name="Ввод  9 18 2" xfId="5921" xr:uid="{00000000-0005-0000-0000-000000070000}"/>
    <cellStyle name="Ввод  9 19" xfId="1424" xr:uid="{00000000-0005-0000-0000-000001070000}"/>
    <cellStyle name="Ввод  9 19 2" xfId="5922" xr:uid="{00000000-0005-0000-0000-000002070000}"/>
    <cellStyle name="Ввод  9 2" xfId="1425" xr:uid="{00000000-0005-0000-0000-000003070000}"/>
    <cellStyle name="Ввод  9 2 2" xfId="1426" xr:uid="{00000000-0005-0000-0000-000004070000}"/>
    <cellStyle name="Ввод  9 2 2 2" xfId="5923" xr:uid="{00000000-0005-0000-0000-000005070000}"/>
    <cellStyle name="Ввод  9 2 3" xfId="1427" xr:uid="{00000000-0005-0000-0000-000006070000}"/>
    <cellStyle name="Ввод  9 2 3 2" xfId="5924" xr:uid="{00000000-0005-0000-0000-000007070000}"/>
    <cellStyle name="Ввод  9 2 4" xfId="5925" xr:uid="{00000000-0005-0000-0000-000008070000}"/>
    <cellStyle name="Ввод  9 20" xfId="1428" xr:uid="{00000000-0005-0000-0000-000009070000}"/>
    <cellStyle name="Ввод  9 20 2" xfId="5926" xr:uid="{00000000-0005-0000-0000-00000A070000}"/>
    <cellStyle name="Ввод  9 21" xfId="1429" xr:uid="{00000000-0005-0000-0000-00000B070000}"/>
    <cellStyle name="Ввод  9 21 2" xfId="5927" xr:uid="{00000000-0005-0000-0000-00000C070000}"/>
    <cellStyle name="Ввод  9 22" xfId="1430" xr:uid="{00000000-0005-0000-0000-00000D070000}"/>
    <cellStyle name="Ввод  9 22 2" xfId="5928" xr:uid="{00000000-0005-0000-0000-00000E070000}"/>
    <cellStyle name="Ввод  9 23" xfId="1431" xr:uid="{00000000-0005-0000-0000-00000F070000}"/>
    <cellStyle name="Ввод  9 23 2" xfId="5929" xr:uid="{00000000-0005-0000-0000-000010070000}"/>
    <cellStyle name="Ввод  9 24" xfId="1432" xr:uid="{00000000-0005-0000-0000-000011070000}"/>
    <cellStyle name="Ввод  9 24 2" xfId="5930" xr:uid="{00000000-0005-0000-0000-000012070000}"/>
    <cellStyle name="Ввод  9 25" xfId="1433" xr:uid="{00000000-0005-0000-0000-000013070000}"/>
    <cellStyle name="Ввод  9 25 2" xfId="5931" xr:uid="{00000000-0005-0000-0000-000014070000}"/>
    <cellStyle name="Ввод  9 26" xfId="1434" xr:uid="{00000000-0005-0000-0000-000015070000}"/>
    <cellStyle name="Ввод  9 26 2" xfId="5932" xr:uid="{00000000-0005-0000-0000-000016070000}"/>
    <cellStyle name="Ввод  9 27" xfId="1435" xr:uid="{00000000-0005-0000-0000-000017070000}"/>
    <cellStyle name="Ввод  9 27 2" xfId="5933" xr:uid="{00000000-0005-0000-0000-000018070000}"/>
    <cellStyle name="Ввод  9 28" xfId="1436" xr:uid="{00000000-0005-0000-0000-000019070000}"/>
    <cellStyle name="Ввод  9 28 2" xfId="5934" xr:uid="{00000000-0005-0000-0000-00001A070000}"/>
    <cellStyle name="Ввод  9 29" xfId="1437" xr:uid="{00000000-0005-0000-0000-00001B070000}"/>
    <cellStyle name="Ввод  9 29 2" xfId="5935" xr:uid="{00000000-0005-0000-0000-00001C070000}"/>
    <cellStyle name="Ввод  9 3" xfId="1438" xr:uid="{00000000-0005-0000-0000-00001D070000}"/>
    <cellStyle name="Ввод  9 3 2" xfId="1439" xr:uid="{00000000-0005-0000-0000-00001E070000}"/>
    <cellStyle name="Ввод  9 3 2 2" xfId="5936" xr:uid="{00000000-0005-0000-0000-00001F070000}"/>
    <cellStyle name="Ввод  9 3 3" xfId="1440" xr:uid="{00000000-0005-0000-0000-000020070000}"/>
    <cellStyle name="Ввод  9 3 3 2" xfId="5937" xr:uid="{00000000-0005-0000-0000-000021070000}"/>
    <cellStyle name="Ввод  9 3 4" xfId="5938" xr:uid="{00000000-0005-0000-0000-000022070000}"/>
    <cellStyle name="Ввод  9 30" xfId="1441" xr:uid="{00000000-0005-0000-0000-000023070000}"/>
    <cellStyle name="Ввод  9 30 2" xfId="5939" xr:uid="{00000000-0005-0000-0000-000024070000}"/>
    <cellStyle name="Ввод  9 31" xfId="1442" xr:uid="{00000000-0005-0000-0000-000025070000}"/>
    <cellStyle name="Ввод  9 31 2" xfId="5940" xr:uid="{00000000-0005-0000-0000-000026070000}"/>
    <cellStyle name="Ввод  9 32" xfId="1443" xr:uid="{00000000-0005-0000-0000-000027070000}"/>
    <cellStyle name="Ввод  9 32 2" xfId="5941" xr:uid="{00000000-0005-0000-0000-000028070000}"/>
    <cellStyle name="Ввод  9 33" xfId="1444" xr:uid="{00000000-0005-0000-0000-000029070000}"/>
    <cellStyle name="Ввод  9 33 2" xfId="5942" xr:uid="{00000000-0005-0000-0000-00002A070000}"/>
    <cellStyle name="Ввод  9 34" xfId="1445" xr:uid="{00000000-0005-0000-0000-00002B070000}"/>
    <cellStyle name="Ввод  9 34 2" xfId="5943" xr:uid="{00000000-0005-0000-0000-00002C070000}"/>
    <cellStyle name="Ввод  9 35" xfId="1446" xr:uid="{00000000-0005-0000-0000-00002D070000}"/>
    <cellStyle name="Ввод  9 35 2" xfId="5944" xr:uid="{00000000-0005-0000-0000-00002E070000}"/>
    <cellStyle name="Ввод  9 36" xfId="1447" xr:uid="{00000000-0005-0000-0000-00002F070000}"/>
    <cellStyle name="Ввод  9 36 2" xfId="5945" xr:uid="{00000000-0005-0000-0000-000030070000}"/>
    <cellStyle name="Ввод  9 37" xfId="1448" xr:uid="{00000000-0005-0000-0000-000031070000}"/>
    <cellStyle name="Ввод  9 37 2" xfId="5946" xr:uid="{00000000-0005-0000-0000-000032070000}"/>
    <cellStyle name="Ввод  9 38" xfId="1449" xr:uid="{00000000-0005-0000-0000-000033070000}"/>
    <cellStyle name="Ввод  9 38 2" xfId="5947" xr:uid="{00000000-0005-0000-0000-000034070000}"/>
    <cellStyle name="Ввод  9 39" xfId="1450" xr:uid="{00000000-0005-0000-0000-000035070000}"/>
    <cellStyle name="Ввод  9 39 2" xfId="5948" xr:uid="{00000000-0005-0000-0000-000036070000}"/>
    <cellStyle name="Ввод  9 4" xfId="1451" xr:uid="{00000000-0005-0000-0000-000037070000}"/>
    <cellStyle name="Ввод  9 4 2" xfId="1452" xr:uid="{00000000-0005-0000-0000-000038070000}"/>
    <cellStyle name="Ввод  9 4 2 2" xfId="5949" xr:uid="{00000000-0005-0000-0000-000039070000}"/>
    <cellStyle name="Ввод  9 4 3" xfId="1453" xr:uid="{00000000-0005-0000-0000-00003A070000}"/>
    <cellStyle name="Ввод  9 4 3 2" xfId="5950" xr:uid="{00000000-0005-0000-0000-00003B070000}"/>
    <cellStyle name="Ввод  9 4 4" xfId="5951" xr:uid="{00000000-0005-0000-0000-00003C070000}"/>
    <cellStyle name="Ввод  9 40" xfId="1454" xr:uid="{00000000-0005-0000-0000-00003D070000}"/>
    <cellStyle name="Ввод  9 40 2" xfId="5952" xr:uid="{00000000-0005-0000-0000-00003E070000}"/>
    <cellStyle name="Ввод  9 41" xfId="1455" xr:uid="{00000000-0005-0000-0000-00003F070000}"/>
    <cellStyle name="Ввод  9 41 2" xfId="5953" xr:uid="{00000000-0005-0000-0000-000040070000}"/>
    <cellStyle name="Ввод  9 42" xfId="1456" xr:uid="{00000000-0005-0000-0000-000041070000}"/>
    <cellStyle name="Ввод  9 42 2" xfId="5954" xr:uid="{00000000-0005-0000-0000-000042070000}"/>
    <cellStyle name="Ввод  9 43" xfId="1457" xr:uid="{00000000-0005-0000-0000-000043070000}"/>
    <cellStyle name="Ввод  9 43 2" xfId="5955" xr:uid="{00000000-0005-0000-0000-000044070000}"/>
    <cellStyle name="Ввод  9 44" xfId="1458" xr:uid="{00000000-0005-0000-0000-000045070000}"/>
    <cellStyle name="Ввод  9 44 2" xfId="5956" xr:uid="{00000000-0005-0000-0000-000046070000}"/>
    <cellStyle name="Ввод  9 45" xfId="1459" xr:uid="{00000000-0005-0000-0000-000047070000}"/>
    <cellStyle name="Ввод  9 45 2" xfId="5957" xr:uid="{00000000-0005-0000-0000-000048070000}"/>
    <cellStyle name="Ввод  9 46" xfId="1460" xr:uid="{00000000-0005-0000-0000-000049070000}"/>
    <cellStyle name="Ввод  9 46 2" xfId="5958" xr:uid="{00000000-0005-0000-0000-00004A070000}"/>
    <cellStyle name="Ввод  9 47" xfId="1461" xr:uid="{00000000-0005-0000-0000-00004B070000}"/>
    <cellStyle name="Ввод  9 47 2" xfId="5959" xr:uid="{00000000-0005-0000-0000-00004C070000}"/>
    <cellStyle name="Ввод  9 48" xfId="1462" xr:uid="{00000000-0005-0000-0000-00004D070000}"/>
    <cellStyle name="Ввод  9 48 2" xfId="5960" xr:uid="{00000000-0005-0000-0000-00004E070000}"/>
    <cellStyle name="Ввод  9 49" xfId="1463" xr:uid="{00000000-0005-0000-0000-00004F070000}"/>
    <cellStyle name="Ввод  9 49 2" xfId="5961" xr:uid="{00000000-0005-0000-0000-000050070000}"/>
    <cellStyle name="Ввод  9 5" xfId="1464" xr:uid="{00000000-0005-0000-0000-000051070000}"/>
    <cellStyle name="Ввод  9 5 2" xfId="5962" xr:uid="{00000000-0005-0000-0000-000052070000}"/>
    <cellStyle name="Ввод  9 50" xfId="1465" xr:uid="{00000000-0005-0000-0000-000053070000}"/>
    <cellStyle name="Ввод  9 50 2" xfId="5963" xr:uid="{00000000-0005-0000-0000-000054070000}"/>
    <cellStyle name="Ввод  9 51" xfId="1466" xr:uid="{00000000-0005-0000-0000-000055070000}"/>
    <cellStyle name="Ввод  9 51 2" xfId="5964" xr:uid="{00000000-0005-0000-0000-000056070000}"/>
    <cellStyle name="Ввод  9 52" xfId="1467" xr:uid="{00000000-0005-0000-0000-000057070000}"/>
    <cellStyle name="Ввод  9 52 2" xfId="5965" xr:uid="{00000000-0005-0000-0000-000058070000}"/>
    <cellStyle name="Ввод  9 53" xfId="1468" xr:uid="{00000000-0005-0000-0000-000059070000}"/>
    <cellStyle name="Ввод  9 53 2" xfId="5966" xr:uid="{00000000-0005-0000-0000-00005A070000}"/>
    <cellStyle name="Ввод  9 54" xfId="1469" xr:uid="{00000000-0005-0000-0000-00005B070000}"/>
    <cellStyle name="Ввод  9 54 2" xfId="5967" xr:uid="{00000000-0005-0000-0000-00005C070000}"/>
    <cellStyle name="Ввод  9 55" xfId="1470" xr:uid="{00000000-0005-0000-0000-00005D070000}"/>
    <cellStyle name="Ввод  9 55 2" xfId="5968" xr:uid="{00000000-0005-0000-0000-00005E070000}"/>
    <cellStyle name="Ввод  9 56" xfId="1471" xr:uid="{00000000-0005-0000-0000-00005F070000}"/>
    <cellStyle name="Ввод  9 56 2" xfId="5969" xr:uid="{00000000-0005-0000-0000-000060070000}"/>
    <cellStyle name="Ввод  9 57" xfId="1472" xr:uid="{00000000-0005-0000-0000-000061070000}"/>
    <cellStyle name="Ввод  9 57 2" xfId="5970" xr:uid="{00000000-0005-0000-0000-000062070000}"/>
    <cellStyle name="Ввод  9 58" xfId="1473" xr:uid="{00000000-0005-0000-0000-000063070000}"/>
    <cellStyle name="Ввод  9 58 2" xfId="5971" xr:uid="{00000000-0005-0000-0000-000064070000}"/>
    <cellStyle name="Ввод  9 59" xfId="1474" xr:uid="{00000000-0005-0000-0000-000065070000}"/>
    <cellStyle name="Ввод  9 59 2" xfId="5972" xr:uid="{00000000-0005-0000-0000-000066070000}"/>
    <cellStyle name="Ввод  9 6" xfId="1475" xr:uid="{00000000-0005-0000-0000-000067070000}"/>
    <cellStyle name="Ввод  9 6 2" xfId="5973" xr:uid="{00000000-0005-0000-0000-000068070000}"/>
    <cellStyle name="Ввод  9 60" xfId="1476" xr:uid="{00000000-0005-0000-0000-000069070000}"/>
    <cellStyle name="Ввод  9 60 2" xfId="5974" xr:uid="{00000000-0005-0000-0000-00006A070000}"/>
    <cellStyle name="Ввод  9 61" xfId="1477" xr:uid="{00000000-0005-0000-0000-00006B070000}"/>
    <cellStyle name="Ввод  9 61 2" xfId="5975" xr:uid="{00000000-0005-0000-0000-00006C070000}"/>
    <cellStyle name="Ввод  9 62" xfId="1478" xr:uid="{00000000-0005-0000-0000-00006D070000}"/>
    <cellStyle name="Ввод  9 62 2" xfId="5976" xr:uid="{00000000-0005-0000-0000-00006E070000}"/>
    <cellStyle name="Ввод  9 63" xfId="1479" xr:uid="{00000000-0005-0000-0000-00006F070000}"/>
    <cellStyle name="Ввод  9 63 2" xfId="5977" xr:uid="{00000000-0005-0000-0000-000070070000}"/>
    <cellStyle name="Ввод  9 64" xfId="1480" xr:uid="{00000000-0005-0000-0000-000071070000}"/>
    <cellStyle name="Ввод  9 64 2" xfId="5978" xr:uid="{00000000-0005-0000-0000-000072070000}"/>
    <cellStyle name="Ввод  9 65" xfId="1481" xr:uid="{00000000-0005-0000-0000-000073070000}"/>
    <cellStyle name="Ввод  9 65 2" xfId="5979" xr:uid="{00000000-0005-0000-0000-000074070000}"/>
    <cellStyle name="Ввод  9 66" xfId="1482" xr:uid="{00000000-0005-0000-0000-000075070000}"/>
    <cellStyle name="Ввод  9 66 2" xfId="5980" xr:uid="{00000000-0005-0000-0000-000076070000}"/>
    <cellStyle name="Ввод  9 67" xfId="1483" xr:uid="{00000000-0005-0000-0000-000077070000}"/>
    <cellStyle name="Ввод  9 67 2" xfId="5981" xr:uid="{00000000-0005-0000-0000-000078070000}"/>
    <cellStyle name="Ввод  9 68" xfId="1484" xr:uid="{00000000-0005-0000-0000-000079070000}"/>
    <cellStyle name="Ввод  9 68 2" xfId="5982" xr:uid="{00000000-0005-0000-0000-00007A070000}"/>
    <cellStyle name="Ввод  9 69" xfId="1485" xr:uid="{00000000-0005-0000-0000-00007B070000}"/>
    <cellStyle name="Ввод  9 69 2" xfId="5983" xr:uid="{00000000-0005-0000-0000-00007C070000}"/>
    <cellStyle name="Ввод  9 7" xfId="1486" xr:uid="{00000000-0005-0000-0000-00007D070000}"/>
    <cellStyle name="Ввод  9 7 2" xfId="5984" xr:uid="{00000000-0005-0000-0000-00007E070000}"/>
    <cellStyle name="Ввод  9 70" xfId="1487" xr:uid="{00000000-0005-0000-0000-00007F070000}"/>
    <cellStyle name="Ввод  9 70 2" xfId="5985" xr:uid="{00000000-0005-0000-0000-000080070000}"/>
    <cellStyle name="Ввод  9 71" xfId="1488" xr:uid="{00000000-0005-0000-0000-000081070000}"/>
    <cellStyle name="Ввод  9 71 2" xfId="5986" xr:uid="{00000000-0005-0000-0000-000082070000}"/>
    <cellStyle name="Ввод  9 72" xfId="1489" xr:uid="{00000000-0005-0000-0000-000083070000}"/>
    <cellStyle name="Ввод  9 72 2" xfId="5987" xr:uid="{00000000-0005-0000-0000-000084070000}"/>
    <cellStyle name="Ввод  9 73" xfId="1490" xr:uid="{00000000-0005-0000-0000-000085070000}"/>
    <cellStyle name="Ввод  9 73 2" xfId="5988" xr:uid="{00000000-0005-0000-0000-000086070000}"/>
    <cellStyle name="Ввод  9 74" xfId="1491" xr:uid="{00000000-0005-0000-0000-000087070000}"/>
    <cellStyle name="Ввод  9 74 2" xfId="5989" xr:uid="{00000000-0005-0000-0000-000088070000}"/>
    <cellStyle name="Ввод  9 75" xfId="1492" xr:uid="{00000000-0005-0000-0000-000089070000}"/>
    <cellStyle name="Ввод  9 75 2" xfId="5990" xr:uid="{00000000-0005-0000-0000-00008A070000}"/>
    <cellStyle name="Ввод  9 76" xfId="1493" xr:uid="{00000000-0005-0000-0000-00008B070000}"/>
    <cellStyle name="Ввод  9 76 2" xfId="5991" xr:uid="{00000000-0005-0000-0000-00008C070000}"/>
    <cellStyle name="Ввод  9 77" xfId="1494" xr:uid="{00000000-0005-0000-0000-00008D070000}"/>
    <cellStyle name="Ввод  9 77 2" xfId="5992" xr:uid="{00000000-0005-0000-0000-00008E070000}"/>
    <cellStyle name="Ввод  9 78" xfId="1495" xr:uid="{00000000-0005-0000-0000-00008F070000}"/>
    <cellStyle name="Ввод  9 78 2" xfId="5993" xr:uid="{00000000-0005-0000-0000-000090070000}"/>
    <cellStyle name="Ввод  9 79" xfId="1496" xr:uid="{00000000-0005-0000-0000-000091070000}"/>
    <cellStyle name="Ввод  9 79 2" xfId="5994" xr:uid="{00000000-0005-0000-0000-000092070000}"/>
    <cellStyle name="Ввод  9 8" xfId="1497" xr:uid="{00000000-0005-0000-0000-000093070000}"/>
    <cellStyle name="Ввод  9 8 2" xfId="5995" xr:uid="{00000000-0005-0000-0000-000094070000}"/>
    <cellStyle name="Ввод  9 80" xfId="1498" xr:uid="{00000000-0005-0000-0000-000095070000}"/>
    <cellStyle name="Ввод  9 80 2" xfId="5996" xr:uid="{00000000-0005-0000-0000-000096070000}"/>
    <cellStyle name="Ввод  9 81" xfId="1499" xr:uid="{00000000-0005-0000-0000-000097070000}"/>
    <cellStyle name="Ввод  9 81 2" xfId="5997" xr:uid="{00000000-0005-0000-0000-000098070000}"/>
    <cellStyle name="Ввод  9 82" xfId="1500" xr:uid="{00000000-0005-0000-0000-000099070000}"/>
    <cellStyle name="Ввод  9 82 2" xfId="5998" xr:uid="{00000000-0005-0000-0000-00009A070000}"/>
    <cellStyle name="Ввод  9 83" xfId="1501" xr:uid="{00000000-0005-0000-0000-00009B070000}"/>
    <cellStyle name="Ввод  9 83 2" xfId="5999" xr:uid="{00000000-0005-0000-0000-00009C070000}"/>
    <cellStyle name="Ввод  9 84" xfId="1502" xr:uid="{00000000-0005-0000-0000-00009D070000}"/>
    <cellStyle name="Ввод  9 84 2" xfId="6000" xr:uid="{00000000-0005-0000-0000-00009E070000}"/>
    <cellStyle name="Ввод  9 85" xfId="1503" xr:uid="{00000000-0005-0000-0000-00009F070000}"/>
    <cellStyle name="Ввод  9 85 2" xfId="6001" xr:uid="{00000000-0005-0000-0000-0000A0070000}"/>
    <cellStyle name="Ввод  9 86" xfId="1504" xr:uid="{00000000-0005-0000-0000-0000A1070000}"/>
    <cellStyle name="Ввод  9 86 2" xfId="6002" xr:uid="{00000000-0005-0000-0000-0000A2070000}"/>
    <cellStyle name="Ввод  9 87" xfId="1505" xr:uid="{00000000-0005-0000-0000-0000A3070000}"/>
    <cellStyle name="Ввод  9 87 2" xfId="6003" xr:uid="{00000000-0005-0000-0000-0000A4070000}"/>
    <cellStyle name="Ввод  9 88" xfId="1506" xr:uid="{00000000-0005-0000-0000-0000A5070000}"/>
    <cellStyle name="Ввод  9 88 2" xfId="6004" xr:uid="{00000000-0005-0000-0000-0000A6070000}"/>
    <cellStyle name="Ввод  9 89" xfId="1507" xr:uid="{00000000-0005-0000-0000-0000A7070000}"/>
    <cellStyle name="Ввод  9 89 2" xfId="6005" xr:uid="{00000000-0005-0000-0000-0000A8070000}"/>
    <cellStyle name="Ввод  9 9" xfId="1508" xr:uid="{00000000-0005-0000-0000-0000A9070000}"/>
    <cellStyle name="Ввод  9 9 2" xfId="6006" xr:uid="{00000000-0005-0000-0000-0000AA070000}"/>
    <cellStyle name="Ввод  9 90" xfId="1509" xr:uid="{00000000-0005-0000-0000-0000AB070000}"/>
    <cellStyle name="Ввод  9 90 2" xfId="6007" xr:uid="{00000000-0005-0000-0000-0000AC070000}"/>
    <cellStyle name="Ввод  9 91" xfId="1510" xr:uid="{00000000-0005-0000-0000-0000AD070000}"/>
    <cellStyle name="Ввод  9 91 2" xfId="6008" xr:uid="{00000000-0005-0000-0000-0000AE070000}"/>
    <cellStyle name="Ввод  9 92" xfId="6009" xr:uid="{00000000-0005-0000-0000-0000AF070000}"/>
    <cellStyle name="Вывод 10" xfId="235" xr:uid="{00000000-0005-0000-0000-0000B0070000}"/>
    <cellStyle name="Вывод 10 10" xfId="1511" xr:uid="{00000000-0005-0000-0000-0000B1070000}"/>
    <cellStyle name="Вывод 10 10 2" xfId="6010" xr:uid="{00000000-0005-0000-0000-0000B2070000}"/>
    <cellStyle name="Вывод 10 11" xfId="1512" xr:uid="{00000000-0005-0000-0000-0000B3070000}"/>
    <cellStyle name="Вывод 10 11 2" xfId="6011" xr:uid="{00000000-0005-0000-0000-0000B4070000}"/>
    <cellStyle name="Вывод 10 12" xfId="1513" xr:uid="{00000000-0005-0000-0000-0000B5070000}"/>
    <cellStyle name="Вывод 10 12 2" xfId="6012" xr:uid="{00000000-0005-0000-0000-0000B6070000}"/>
    <cellStyle name="Вывод 10 13" xfId="1514" xr:uid="{00000000-0005-0000-0000-0000B7070000}"/>
    <cellStyle name="Вывод 10 13 2" xfId="6013" xr:uid="{00000000-0005-0000-0000-0000B8070000}"/>
    <cellStyle name="Вывод 10 14" xfId="1515" xr:uid="{00000000-0005-0000-0000-0000B9070000}"/>
    <cellStyle name="Вывод 10 14 2" xfId="6014" xr:uid="{00000000-0005-0000-0000-0000BA070000}"/>
    <cellStyle name="Вывод 10 15" xfId="1516" xr:uid="{00000000-0005-0000-0000-0000BB070000}"/>
    <cellStyle name="Вывод 10 15 2" xfId="6015" xr:uid="{00000000-0005-0000-0000-0000BC070000}"/>
    <cellStyle name="Вывод 10 16" xfId="1517" xr:uid="{00000000-0005-0000-0000-0000BD070000}"/>
    <cellStyle name="Вывод 10 16 2" xfId="6016" xr:uid="{00000000-0005-0000-0000-0000BE070000}"/>
    <cellStyle name="Вывод 10 17" xfId="1518" xr:uid="{00000000-0005-0000-0000-0000BF070000}"/>
    <cellStyle name="Вывод 10 17 2" xfId="6017" xr:uid="{00000000-0005-0000-0000-0000C0070000}"/>
    <cellStyle name="Вывод 10 18" xfId="1519" xr:uid="{00000000-0005-0000-0000-0000C1070000}"/>
    <cellStyle name="Вывод 10 18 2" xfId="6018" xr:uid="{00000000-0005-0000-0000-0000C2070000}"/>
    <cellStyle name="Вывод 10 19" xfId="1520" xr:uid="{00000000-0005-0000-0000-0000C3070000}"/>
    <cellStyle name="Вывод 10 19 2" xfId="6019" xr:uid="{00000000-0005-0000-0000-0000C4070000}"/>
    <cellStyle name="Вывод 10 2" xfId="1521" xr:uid="{00000000-0005-0000-0000-0000C5070000}"/>
    <cellStyle name="Вывод 10 2 2" xfId="1522" xr:uid="{00000000-0005-0000-0000-0000C6070000}"/>
    <cellStyle name="Вывод 10 2 2 2" xfId="6020" xr:uid="{00000000-0005-0000-0000-0000C7070000}"/>
    <cellStyle name="Вывод 10 2 3" xfId="1523" xr:uid="{00000000-0005-0000-0000-0000C8070000}"/>
    <cellStyle name="Вывод 10 2 3 2" xfId="6021" xr:uid="{00000000-0005-0000-0000-0000C9070000}"/>
    <cellStyle name="Вывод 10 2 4" xfId="6022" xr:uid="{00000000-0005-0000-0000-0000CA070000}"/>
    <cellStyle name="Вывод 10 20" xfId="1524" xr:uid="{00000000-0005-0000-0000-0000CB070000}"/>
    <cellStyle name="Вывод 10 20 2" xfId="6023" xr:uid="{00000000-0005-0000-0000-0000CC070000}"/>
    <cellStyle name="Вывод 10 21" xfId="1525" xr:uid="{00000000-0005-0000-0000-0000CD070000}"/>
    <cellStyle name="Вывод 10 21 2" xfId="6024" xr:uid="{00000000-0005-0000-0000-0000CE070000}"/>
    <cellStyle name="Вывод 10 22" xfId="1526" xr:uid="{00000000-0005-0000-0000-0000CF070000}"/>
    <cellStyle name="Вывод 10 22 2" xfId="6025" xr:uid="{00000000-0005-0000-0000-0000D0070000}"/>
    <cellStyle name="Вывод 10 23" xfId="1527" xr:uid="{00000000-0005-0000-0000-0000D1070000}"/>
    <cellStyle name="Вывод 10 23 2" xfId="6026" xr:uid="{00000000-0005-0000-0000-0000D2070000}"/>
    <cellStyle name="Вывод 10 24" xfId="1528" xr:uid="{00000000-0005-0000-0000-0000D3070000}"/>
    <cellStyle name="Вывод 10 24 2" xfId="6027" xr:uid="{00000000-0005-0000-0000-0000D4070000}"/>
    <cellStyle name="Вывод 10 25" xfId="1529" xr:uid="{00000000-0005-0000-0000-0000D5070000}"/>
    <cellStyle name="Вывод 10 25 2" xfId="6028" xr:uid="{00000000-0005-0000-0000-0000D6070000}"/>
    <cellStyle name="Вывод 10 26" xfId="1530" xr:uid="{00000000-0005-0000-0000-0000D7070000}"/>
    <cellStyle name="Вывод 10 26 2" xfId="6029" xr:uid="{00000000-0005-0000-0000-0000D8070000}"/>
    <cellStyle name="Вывод 10 27" xfId="1531" xr:uid="{00000000-0005-0000-0000-0000D9070000}"/>
    <cellStyle name="Вывод 10 27 2" xfId="6030" xr:uid="{00000000-0005-0000-0000-0000DA070000}"/>
    <cellStyle name="Вывод 10 28" xfId="1532" xr:uid="{00000000-0005-0000-0000-0000DB070000}"/>
    <cellStyle name="Вывод 10 28 2" xfId="6031" xr:uid="{00000000-0005-0000-0000-0000DC070000}"/>
    <cellStyle name="Вывод 10 29" xfId="1533" xr:uid="{00000000-0005-0000-0000-0000DD070000}"/>
    <cellStyle name="Вывод 10 29 2" xfId="6032" xr:uid="{00000000-0005-0000-0000-0000DE070000}"/>
    <cellStyle name="Вывод 10 3" xfId="1534" xr:uid="{00000000-0005-0000-0000-0000DF070000}"/>
    <cellStyle name="Вывод 10 3 2" xfId="1535" xr:uid="{00000000-0005-0000-0000-0000E0070000}"/>
    <cellStyle name="Вывод 10 3 2 2" xfId="6033" xr:uid="{00000000-0005-0000-0000-0000E1070000}"/>
    <cellStyle name="Вывод 10 3 3" xfId="1536" xr:uid="{00000000-0005-0000-0000-0000E2070000}"/>
    <cellStyle name="Вывод 10 3 3 2" xfId="6034" xr:uid="{00000000-0005-0000-0000-0000E3070000}"/>
    <cellStyle name="Вывод 10 3 4" xfId="6035" xr:uid="{00000000-0005-0000-0000-0000E4070000}"/>
    <cellStyle name="Вывод 10 30" xfId="1537" xr:uid="{00000000-0005-0000-0000-0000E5070000}"/>
    <cellStyle name="Вывод 10 30 2" xfId="6036" xr:uid="{00000000-0005-0000-0000-0000E6070000}"/>
    <cellStyle name="Вывод 10 31" xfId="1538" xr:uid="{00000000-0005-0000-0000-0000E7070000}"/>
    <cellStyle name="Вывод 10 31 2" xfId="6037" xr:uid="{00000000-0005-0000-0000-0000E8070000}"/>
    <cellStyle name="Вывод 10 32" xfId="1539" xr:uid="{00000000-0005-0000-0000-0000E9070000}"/>
    <cellStyle name="Вывод 10 32 2" xfId="6038" xr:uid="{00000000-0005-0000-0000-0000EA070000}"/>
    <cellStyle name="Вывод 10 33" xfId="1540" xr:uid="{00000000-0005-0000-0000-0000EB070000}"/>
    <cellStyle name="Вывод 10 33 2" xfId="6039" xr:uid="{00000000-0005-0000-0000-0000EC070000}"/>
    <cellStyle name="Вывод 10 34" xfId="1541" xr:uid="{00000000-0005-0000-0000-0000ED070000}"/>
    <cellStyle name="Вывод 10 34 2" xfId="6040" xr:uid="{00000000-0005-0000-0000-0000EE070000}"/>
    <cellStyle name="Вывод 10 35" xfId="1542" xr:uid="{00000000-0005-0000-0000-0000EF070000}"/>
    <cellStyle name="Вывод 10 35 2" xfId="6041" xr:uid="{00000000-0005-0000-0000-0000F0070000}"/>
    <cellStyle name="Вывод 10 36" xfId="1543" xr:uid="{00000000-0005-0000-0000-0000F1070000}"/>
    <cellStyle name="Вывод 10 36 2" xfId="6042" xr:uid="{00000000-0005-0000-0000-0000F2070000}"/>
    <cellStyle name="Вывод 10 37" xfId="1544" xr:uid="{00000000-0005-0000-0000-0000F3070000}"/>
    <cellStyle name="Вывод 10 37 2" xfId="6043" xr:uid="{00000000-0005-0000-0000-0000F4070000}"/>
    <cellStyle name="Вывод 10 38" xfId="1545" xr:uid="{00000000-0005-0000-0000-0000F5070000}"/>
    <cellStyle name="Вывод 10 38 2" xfId="6044" xr:uid="{00000000-0005-0000-0000-0000F6070000}"/>
    <cellStyle name="Вывод 10 39" xfId="1546" xr:uid="{00000000-0005-0000-0000-0000F7070000}"/>
    <cellStyle name="Вывод 10 39 2" xfId="6045" xr:uid="{00000000-0005-0000-0000-0000F8070000}"/>
    <cellStyle name="Вывод 10 4" xfId="1547" xr:uid="{00000000-0005-0000-0000-0000F9070000}"/>
    <cellStyle name="Вывод 10 4 2" xfId="1548" xr:uid="{00000000-0005-0000-0000-0000FA070000}"/>
    <cellStyle name="Вывод 10 4 2 2" xfId="6046" xr:uid="{00000000-0005-0000-0000-0000FB070000}"/>
    <cellStyle name="Вывод 10 4 3" xfId="1549" xr:uid="{00000000-0005-0000-0000-0000FC070000}"/>
    <cellStyle name="Вывод 10 4 3 2" xfId="6047" xr:uid="{00000000-0005-0000-0000-0000FD070000}"/>
    <cellStyle name="Вывод 10 4 4" xfId="6048" xr:uid="{00000000-0005-0000-0000-0000FE070000}"/>
    <cellStyle name="Вывод 10 40" xfId="1550" xr:uid="{00000000-0005-0000-0000-0000FF070000}"/>
    <cellStyle name="Вывод 10 40 2" xfId="6049" xr:uid="{00000000-0005-0000-0000-000000080000}"/>
    <cellStyle name="Вывод 10 41" xfId="1551" xr:uid="{00000000-0005-0000-0000-000001080000}"/>
    <cellStyle name="Вывод 10 41 2" xfId="6050" xr:uid="{00000000-0005-0000-0000-000002080000}"/>
    <cellStyle name="Вывод 10 42" xfId="1552" xr:uid="{00000000-0005-0000-0000-000003080000}"/>
    <cellStyle name="Вывод 10 42 2" xfId="6051" xr:uid="{00000000-0005-0000-0000-000004080000}"/>
    <cellStyle name="Вывод 10 43" xfId="1553" xr:uid="{00000000-0005-0000-0000-000005080000}"/>
    <cellStyle name="Вывод 10 43 2" xfId="6052" xr:uid="{00000000-0005-0000-0000-000006080000}"/>
    <cellStyle name="Вывод 10 44" xfId="1554" xr:uid="{00000000-0005-0000-0000-000007080000}"/>
    <cellStyle name="Вывод 10 44 2" xfId="6053" xr:uid="{00000000-0005-0000-0000-000008080000}"/>
    <cellStyle name="Вывод 10 45" xfId="1555" xr:uid="{00000000-0005-0000-0000-000009080000}"/>
    <cellStyle name="Вывод 10 45 2" xfId="6054" xr:uid="{00000000-0005-0000-0000-00000A080000}"/>
    <cellStyle name="Вывод 10 46" xfId="1556" xr:uid="{00000000-0005-0000-0000-00000B080000}"/>
    <cellStyle name="Вывод 10 46 2" xfId="6055" xr:uid="{00000000-0005-0000-0000-00000C080000}"/>
    <cellStyle name="Вывод 10 47" xfId="1557" xr:uid="{00000000-0005-0000-0000-00000D080000}"/>
    <cellStyle name="Вывод 10 47 2" xfId="6056" xr:uid="{00000000-0005-0000-0000-00000E080000}"/>
    <cellStyle name="Вывод 10 48" xfId="1558" xr:uid="{00000000-0005-0000-0000-00000F080000}"/>
    <cellStyle name="Вывод 10 48 2" xfId="6057" xr:uid="{00000000-0005-0000-0000-000010080000}"/>
    <cellStyle name="Вывод 10 49" xfId="1559" xr:uid="{00000000-0005-0000-0000-000011080000}"/>
    <cellStyle name="Вывод 10 49 2" xfId="6058" xr:uid="{00000000-0005-0000-0000-000012080000}"/>
    <cellStyle name="Вывод 10 5" xfId="1560" xr:uid="{00000000-0005-0000-0000-000013080000}"/>
    <cellStyle name="Вывод 10 5 2" xfId="6059" xr:uid="{00000000-0005-0000-0000-000014080000}"/>
    <cellStyle name="Вывод 10 50" xfId="1561" xr:uid="{00000000-0005-0000-0000-000015080000}"/>
    <cellStyle name="Вывод 10 50 2" xfId="6060" xr:uid="{00000000-0005-0000-0000-000016080000}"/>
    <cellStyle name="Вывод 10 51" xfId="1562" xr:uid="{00000000-0005-0000-0000-000017080000}"/>
    <cellStyle name="Вывод 10 51 2" xfId="6061" xr:uid="{00000000-0005-0000-0000-000018080000}"/>
    <cellStyle name="Вывод 10 52" xfId="1563" xr:uid="{00000000-0005-0000-0000-000019080000}"/>
    <cellStyle name="Вывод 10 52 2" xfId="6062" xr:uid="{00000000-0005-0000-0000-00001A080000}"/>
    <cellStyle name="Вывод 10 53" xfId="1564" xr:uid="{00000000-0005-0000-0000-00001B080000}"/>
    <cellStyle name="Вывод 10 53 2" xfId="6063" xr:uid="{00000000-0005-0000-0000-00001C080000}"/>
    <cellStyle name="Вывод 10 54" xfId="1565" xr:uid="{00000000-0005-0000-0000-00001D080000}"/>
    <cellStyle name="Вывод 10 54 2" xfId="6064" xr:uid="{00000000-0005-0000-0000-00001E080000}"/>
    <cellStyle name="Вывод 10 55" xfId="1566" xr:uid="{00000000-0005-0000-0000-00001F080000}"/>
    <cellStyle name="Вывод 10 55 2" xfId="6065" xr:uid="{00000000-0005-0000-0000-000020080000}"/>
    <cellStyle name="Вывод 10 56" xfId="1567" xr:uid="{00000000-0005-0000-0000-000021080000}"/>
    <cellStyle name="Вывод 10 56 2" xfId="6066" xr:uid="{00000000-0005-0000-0000-000022080000}"/>
    <cellStyle name="Вывод 10 57" xfId="1568" xr:uid="{00000000-0005-0000-0000-000023080000}"/>
    <cellStyle name="Вывод 10 57 2" xfId="6067" xr:uid="{00000000-0005-0000-0000-000024080000}"/>
    <cellStyle name="Вывод 10 58" xfId="1569" xr:uid="{00000000-0005-0000-0000-000025080000}"/>
    <cellStyle name="Вывод 10 58 2" xfId="6068" xr:uid="{00000000-0005-0000-0000-000026080000}"/>
    <cellStyle name="Вывод 10 59" xfId="1570" xr:uid="{00000000-0005-0000-0000-000027080000}"/>
    <cellStyle name="Вывод 10 59 2" xfId="6069" xr:uid="{00000000-0005-0000-0000-000028080000}"/>
    <cellStyle name="Вывод 10 6" xfId="1571" xr:uid="{00000000-0005-0000-0000-000029080000}"/>
    <cellStyle name="Вывод 10 6 2" xfId="6070" xr:uid="{00000000-0005-0000-0000-00002A080000}"/>
    <cellStyle name="Вывод 10 60" xfId="1572" xr:uid="{00000000-0005-0000-0000-00002B080000}"/>
    <cellStyle name="Вывод 10 60 2" xfId="6071" xr:uid="{00000000-0005-0000-0000-00002C080000}"/>
    <cellStyle name="Вывод 10 61" xfId="1573" xr:uid="{00000000-0005-0000-0000-00002D080000}"/>
    <cellStyle name="Вывод 10 61 2" xfId="6072" xr:uid="{00000000-0005-0000-0000-00002E080000}"/>
    <cellStyle name="Вывод 10 62" xfId="1574" xr:uid="{00000000-0005-0000-0000-00002F080000}"/>
    <cellStyle name="Вывод 10 62 2" xfId="6073" xr:uid="{00000000-0005-0000-0000-000030080000}"/>
    <cellStyle name="Вывод 10 63" xfId="1575" xr:uid="{00000000-0005-0000-0000-000031080000}"/>
    <cellStyle name="Вывод 10 63 2" xfId="6074" xr:uid="{00000000-0005-0000-0000-000032080000}"/>
    <cellStyle name="Вывод 10 64" xfId="1576" xr:uid="{00000000-0005-0000-0000-000033080000}"/>
    <cellStyle name="Вывод 10 64 2" xfId="6075" xr:uid="{00000000-0005-0000-0000-000034080000}"/>
    <cellStyle name="Вывод 10 65" xfId="1577" xr:uid="{00000000-0005-0000-0000-000035080000}"/>
    <cellStyle name="Вывод 10 65 2" xfId="6076" xr:uid="{00000000-0005-0000-0000-000036080000}"/>
    <cellStyle name="Вывод 10 66" xfId="1578" xr:uid="{00000000-0005-0000-0000-000037080000}"/>
    <cellStyle name="Вывод 10 66 2" xfId="6077" xr:uid="{00000000-0005-0000-0000-000038080000}"/>
    <cellStyle name="Вывод 10 67" xfId="1579" xr:uid="{00000000-0005-0000-0000-000039080000}"/>
    <cellStyle name="Вывод 10 67 2" xfId="6078" xr:uid="{00000000-0005-0000-0000-00003A080000}"/>
    <cellStyle name="Вывод 10 68" xfId="1580" xr:uid="{00000000-0005-0000-0000-00003B080000}"/>
    <cellStyle name="Вывод 10 68 2" xfId="6079" xr:uid="{00000000-0005-0000-0000-00003C080000}"/>
    <cellStyle name="Вывод 10 69" xfId="1581" xr:uid="{00000000-0005-0000-0000-00003D080000}"/>
    <cellStyle name="Вывод 10 69 2" xfId="6080" xr:uid="{00000000-0005-0000-0000-00003E080000}"/>
    <cellStyle name="Вывод 10 7" xfId="1582" xr:uid="{00000000-0005-0000-0000-00003F080000}"/>
    <cellStyle name="Вывод 10 7 2" xfId="6081" xr:uid="{00000000-0005-0000-0000-000040080000}"/>
    <cellStyle name="Вывод 10 70" xfId="1583" xr:uid="{00000000-0005-0000-0000-000041080000}"/>
    <cellStyle name="Вывод 10 70 2" xfId="6082" xr:uid="{00000000-0005-0000-0000-000042080000}"/>
    <cellStyle name="Вывод 10 71" xfId="1584" xr:uid="{00000000-0005-0000-0000-000043080000}"/>
    <cellStyle name="Вывод 10 71 2" xfId="6083" xr:uid="{00000000-0005-0000-0000-000044080000}"/>
    <cellStyle name="Вывод 10 72" xfId="1585" xr:uid="{00000000-0005-0000-0000-000045080000}"/>
    <cellStyle name="Вывод 10 72 2" xfId="6084" xr:uid="{00000000-0005-0000-0000-000046080000}"/>
    <cellStyle name="Вывод 10 73" xfId="1586" xr:uid="{00000000-0005-0000-0000-000047080000}"/>
    <cellStyle name="Вывод 10 73 2" xfId="6085" xr:uid="{00000000-0005-0000-0000-000048080000}"/>
    <cellStyle name="Вывод 10 74" xfId="1587" xr:uid="{00000000-0005-0000-0000-000049080000}"/>
    <cellStyle name="Вывод 10 74 2" xfId="6086" xr:uid="{00000000-0005-0000-0000-00004A080000}"/>
    <cellStyle name="Вывод 10 75" xfId="1588" xr:uid="{00000000-0005-0000-0000-00004B080000}"/>
    <cellStyle name="Вывод 10 75 2" xfId="6087" xr:uid="{00000000-0005-0000-0000-00004C080000}"/>
    <cellStyle name="Вывод 10 76" xfId="1589" xr:uid="{00000000-0005-0000-0000-00004D080000}"/>
    <cellStyle name="Вывод 10 76 2" xfId="6088" xr:uid="{00000000-0005-0000-0000-00004E080000}"/>
    <cellStyle name="Вывод 10 77" xfId="1590" xr:uid="{00000000-0005-0000-0000-00004F080000}"/>
    <cellStyle name="Вывод 10 77 2" xfId="6089" xr:uid="{00000000-0005-0000-0000-000050080000}"/>
    <cellStyle name="Вывод 10 78" xfId="1591" xr:uid="{00000000-0005-0000-0000-000051080000}"/>
    <cellStyle name="Вывод 10 78 2" xfId="6090" xr:uid="{00000000-0005-0000-0000-000052080000}"/>
    <cellStyle name="Вывод 10 79" xfId="1592" xr:uid="{00000000-0005-0000-0000-000053080000}"/>
    <cellStyle name="Вывод 10 79 2" xfId="6091" xr:uid="{00000000-0005-0000-0000-000054080000}"/>
    <cellStyle name="Вывод 10 8" xfId="1593" xr:uid="{00000000-0005-0000-0000-000055080000}"/>
    <cellStyle name="Вывод 10 8 2" xfId="6092" xr:uid="{00000000-0005-0000-0000-000056080000}"/>
    <cellStyle name="Вывод 10 80" xfId="1594" xr:uid="{00000000-0005-0000-0000-000057080000}"/>
    <cellStyle name="Вывод 10 80 2" xfId="6093" xr:uid="{00000000-0005-0000-0000-000058080000}"/>
    <cellStyle name="Вывод 10 81" xfId="1595" xr:uid="{00000000-0005-0000-0000-000059080000}"/>
    <cellStyle name="Вывод 10 81 2" xfId="6094" xr:uid="{00000000-0005-0000-0000-00005A080000}"/>
    <cellStyle name="Вывод 10 82" xfId="1596" xr:uid="{00000000-0005-0000-0000-00005B080000}"/>
    <cellStyle name="Вывод 10 82 2" xfId="6095" xr:uid="{00000000-0005-0000-0000-00005C080000}"/>
    <cellStyle name="Вывод 10 83" xfId="1597" xr:uid="{00000000-0005-0000-0000-00005D080000}"/>
    <cellStyle name="Вывод 10 83 2" xfId="6096" xr:uid="{00000000-0005-0000-0000-00005E080000}"/>
    <cellStyle name="Вывод 10 84" xfId="1598" xr:uid="{00000000-0005-0000-0000-00005F080000}"/>
    <cellStyle name="Вывод 10 84 2" xfId="6097" xr:uid="{00000000-0005-0000-0000-000060080000}"/>
    <cellStyle name="Вывод 10 85" xfId="1599" xr:uid="{00000000-0005-0000-0000-000061080000}"/>
    <cellStyle name="Вывод 10 85 2" xfId="6098" xr:uid="{00000000-0005-0000-0000-000062080000}"/>
    <cellStyle name="Вывод 10 86" xfId="1600" xr:uid="{00000000-0005-0000-0000-000063080000}"/>
    <cellStyle name="Вывод 10 86 2" xfId="6099" xr:uid="{00000000-0005-0000-0000-000064080000}"/>
    <cellStyle name="Вывод 10 87" xfId="1601" xr:uid="{00000000-0005-0000-0000-000065080000}"/>
    <cellStyle name="Вывод 10 87 2" xfId="6100" xr:uid="{00000000-0005-0000-0000-000066080000}"/>
    <cellStyle name="Вывод 10 88" xfId="1602" xr:uid="{00000000-0005-0000-0000-000067080000}"/>
    <cellStyle name="Вывод 10 88 2" xfId="6101" xr:uid="{00000000-0005-0000-0000-000068080000}"/>
    <cellStyle name="Вывод 10 89" xfId="1603" xr:uid="{00000000-0005-0000-0000-000069080000}"/>
    <cellStyle name="Вывод 10 89 2" xfId="6102" xr:uid="{00000000-0005-0000-0000-00006A080000}"/>
    <cellStyle name="Вывод 10 9" xfId="1604" xr:uid="{00000000-0005-0000-0000-00006B080000}"/>
    <cellStyle name="Вывод 10 9 2" xfId="6103" xr:uid="{00000000-0005-0000-0000-00006C080000}"/>
    <cellStyle name="Вывод 10 90" xfId="1605" xr:uid="{00000000-0005-0000-0000-00006D080000}"/>
    <cellStyle name="Вывод 10 90 2" xfId="6104" xr:uid="{00000000-0005-0000-0000-00006E080000}"/>
    <cellStyle name="Вывод 10 91" xfId="1606" xr:uid="{00000000-0005-0000-0000-00006F080000}"/>
    <cellStyle name="Вывод 10 91 2" xfId="6105" xr:uid="{00000000-0005-0000-0000-000070080000}"/>
    <cellStyle name="Вывод 10 92" xfId="6106" xr:uid="{00000000-0005-0000-0000-000071080000}"/>
    <cellStyle name="Вывод 2" xfId="236" xr:uid="{00000000-0005-0000-0000-000072080000}"/>
    <cellStyle name="Вывод 2 10" xfId="1607" xr:uid="{00000000-0005-0000-0000-000073080000}"/>
    <cellStyle name="Вывод 2 10 2" xfId="6107" xr:uid="{00000000-0005-0000-0000-000074080000}"/>
    <cellStyle name="Вывод 2 11" xfId="1608" xr:uid="{00000000-0005-0000-0000-000075080000}"/>
    <cellStyle name="Вывод 2 11 2" xfId="6108" xr:uid="{00000000-0005-0000-0000-000076080000}"/>
    <cellStyle name="Вывод 2 12" xfId="1609" xr:uid="{00000000-0005-0000-0000-000077080000}"/>
    <cellStyle name="Вывод 2 12 2" xfId="6109" xr:uid="{00000000-0005-0000-0000-000078080000}"/>
    <cellStyle name="Вывод 2 13" xfId="1610" xr:uid="{00000000-0005-0000-0000-000079080000}"/>
    <cellStyle name="Вывод 2 13 2" xfId="6110" xr:uid="{00000000-0005-0000-0000-00007A080000}"/>
    <cellStyle name="Вывод 2 14" xfId="1611" xr:uid="{00000000-0005-0000-0000-00007B080000}"/>
    <cellStyle name="Вывод 2 14 2" xfId="6111" xr:uid="{00000000-0005-0000-0000-00007C080000}"/>
    <cellStyle name="Вывод 2 15" xfId="1612" xr:uid="{00000000-0005-0000-0000-00007D080000}"/>
    <cellStyle name="Вывод 2 15 2" xfId="6112" xr:uid="{00000000-0005-0000-0000-00007E080000}"/>
    <cellStyle name="Вывод 2 16" xfId="1613" xr:uid="{00000000-0005-0000-0000-00007F080000}"/>
    <cellStyle name="Вывод 2 16 2" xfId="6113" xr:uid="{00000000-0005-0000-0000-000080080000}"/>
    <cellStyle name="Вывод 2 17" xfId="1614" xr:uid="{00000000-0005-0000-0000-000081080000}"/>
    <cellStyle name="Вывод 2 17 2" xfId="6114" xr:uid="{00000000-0005-0000-0000-000082080000}"/>
    <cellStyle name="Вывод 2 18" xfId="1615" xr:uid="{00000000-0005-0000-0000-000083080000}"/>
    <cellStyle name="Вывод 2 18 2" xfId="6115" xr:uid="{00000000-0005-0000-0000-000084080000}"/>
    <cellStyle name="Вывод 2 19" xfId="1616" xr:uid="{00000000-0005-0000-0000-000085080000}"/>
    <cellStyle name="Вывод 2 19 2" xfId="6116" xr:uid="{00000000-0005-0000-0000-000086080000}"/>
    <cellStyle name="Вывод 2 2" xfId="1617" xr:uid="{00000000-0005-0000-0000-000087080000}"/>
    <cellStyle name="Вывод 2 2 2" xfId="1618" xr:uid="{00000000-0005-0000-0000-000088080000}"/>
    <cellStyle name="Вывод 2 2 2 2" xfId="6117" xr:uid="{00000000-0005-0000-0000-000089080000}"/>
    <cellStyle name="Вывод 2 2 3" xfId="1619" xr:uid="{00000000-0005-0000-0000-00008A080000}"/>
    <cellStyle name="Вывод 2 2 3 2" xfId="6118" xr:uid="{00000000-0005-0000-0000-00008B080000}"/>
    <cellStyle name="Вывод 2 2 4" xfId="6119" xr:uid="{00000000-0005-0000-0000-00008C080000}"/>
    <cellStyle name="Вывод 2 20" xfId="1620" xr:uid="{00000000-0005-0000-0000-00008D080000}"/>
    <cellStyle name="Вывод 2 20 2" xfId="6120" xr:uid="{00000000-0005-0000-0000-00008E080000}"/>
    <cellStyle name="Вывод 2 21" xfId="1621" xr:uid="{00000000-0005-0000-0000-00008F080000}"/>
    <cellStyle name="Вывод 2 21 2" xfId="6121" xr:uid="{00000000-0005-0000-0000-000090080000}"/>
    <cellStyle name="Вывод 2 22" xfId="1622" xr:uid="{00000000-0005-0000-0000-000091080000}"/>
    <cellStyle name="Вывод 2 22 2" xfId="6122" xr:uid="{00000000-0005-0000-0000-000092080000}"/>
    <cellStyle name="Вывод 2 23" xfId="1623" xr:uid="{00000000-0005-0000-0000-000093080000}"/>
    <cellStyle name="Вывод 2 23 2" xfId="6123" xr:uid="{00000000-0005-0000-0000-000094080000}"/>
    <cellStyle name="Вывод 2 24" xfId="1624" xr:uid="{00000000-0005-0000-0000-000095080000}"/>
    <cellStyle name="Вывод 2 24 2" xfId="6124" xr:uid="{00000000-0005-0000-0000-000096080000}"/>
    <cellStyle name="Вывод 2 25" xfId="1625" xr:uid="{00000000-0005-0000-0000-000097080000}"/>
    <cellStyle name="Вывод 2 25 2" xfId="6125" xr:uid="{00000000-0005-0000-0000-000098080000}"/>
    <cellStyle name="Вывод 2 26" xfId="1626" xr:uid="{00000000-0005-0000-0000-000099080000}"/>
    <cellStyle name="Вывод 2 26 2" xfId="6126" xr:uid="{00000000-0005-0000-0000-00009A080000}"/>
    <cellStyle name="Вывод 2 27" xfId="1627" xr:uid="{00000000-0005-0000-0000-00009B080000}"/>
    <cellStyle name="Вывод 2 27 2" xfId="6127" xr:uid="{00000000-0005-0000-0000-00009C080000}"/>
    <cellStyle name="Вывод 2 28" xfId="1628" xr:uid="{00000000-0005-0000-0000-00009D080000}"/>
    <cellStyle name="Вывод 2 28 2" xfId="6128" xr:uid="{00000000-0005-0000-0000-00009E080000}"/>
    <cellStyle name="Вывод 2 29" xfId="1629" xr:uid="{00000000-0005-0000-0000-00009F080000}"/>
    <cellStyle name="Вывод 2 29 2" xfId="6129" xr:uid="{00000000-0005-0000-0000-0000A0080000}"/>
    <cellStyle name="Вывод 2 3" xfId="1630" xr:uid="{00000000-0005-0000-0000-0000A1080000}"/>
    <cellStyle name="Вывод 2 3 2" xfId="1631" xr:uid="{00000000-0005-0000-0000-0000A2080000}"/>
    <cellStyle name="Вывод 2 3 2 2" xfId="6130" xr:uid="{00000000-0005-0000-0000-0000A3080000}"/>
    <cellStyle name="Вывод 2 3 3" xfId="1632" xr:uid="{00000000-0005-0000-0000-0000A4080000}"/>
    <cellStyle name="Вывод 2 3 3 2" xfId="6131" xr:uid="{00000000-0005-0000-0000-0000A5080000}"/>
    <cellStyle name="Вывод 2 3 4" xfId="6132" xr:uid="{00000000-0005-0000-0000-0000A6080000}"/>
    <cellStyle name="Вывод 2 30" xfId="1633" xr:uid="{00000000-0005-0000-0000-0000A7080000}"/>
    <cellStyle name="Вывод 2 30 2" xfId="6133" xr:uid="{00000000-0005-0000-0000-0000A8080000}"/>
    <cellStyle name="Вывод 2 31" xfId="1634" xr:uid="{00000000-0005-0000-0000-0000A9080000}"/>
    <cellStyle name="Вывод 2 31 2" xfId="6134" xr:uid="{00000000-0005-0000-0000-0000AA080000}"/>
    <cellStyle name="Вывод 2 32" xfId="1635" xr:uid="{00000000-0005-0000-0000-0000AB080000}"/>
    <cellStyle name="Вывод 2 32 2" xfId="6135" xr:uid="{00000000-0005-0000-0000-0000AC080000}"/>
    <cellStyle name="Вывод 2 33" xfId="1636" xr:uid="{00000000-0005-0000-0000-0000AD080000}"/>
    <cellStyle name="Вывод 2 33 2" xfId="6136" xr:uid="{00000000-0005-0000-0000-0000AE080000}"/>
    <cellStyle name="Вывод 2 34" xfId="1637" xr:uid="{00000000-0005-0000-0000-0000AF080000}"/>
    <cellStyle name="Вывод 2 34 2" xfId="6137" xr:uid="{00000000-0005-0000-0000-0000B0080000}"/>
    <cellStyle name="Вывод 2 35" xfId="1638" xr:uid="{00000000-0005-0000-0000-0000B1080000}"/>
    <cellStyle name="Вывод 2 35 2" xfId="6138" xr:uid="{00000000-0005-0000-0000-0000B2080000}"/>
    <cellStyle name="Вывод 2 36" xfId="1639" xr:uid="{00000000-0005-0000-0000-0000B3080000}"/>
    <cellStyle name="Вывод 2 36 2" xfId="6139" xr:uid="{00000000-0005-0000-0000-0000B4080000}"/>
    <cellStyle name="Вывод 2 37" xfId="1640" xr:uid="{00000000-0005-0000-0000-0000B5080000}"/>
    <cellStyle name="Вывод 2 37 2" xfId="6140" xr:uid="{00000000-0005-0000-0000-0000B6080000}"/>
    <cellStyle name="Вывод 2 38" xfId="1641" xr:uid="{00000000-0005-0000-0000-0000B7080000}"/>
    <cellStyle name="Вывод 2 38 2" xfId="6141" xr:uid="{00000000-0005-0000-0000-0000B8080000}"/>
    <cellStyle name="Вывод 2 39" xfId="1642" xr:uid="{00000000-0005-0000-0000-0000B9080000}"/>
    <cellStyle name="Вывод 2 39 2" xfId="6142" xr:uid="{00000000-0005-0000-0000-0000BA080000}"/>
    <cellStyle name="Вывод 2 4" xfId="1643" xr:uid="{00000000-0005-0000-0000-0000BB080000}"/>
    <cellStyle name="Вывод 2 4 2" xfId="1644" xr:uid="{00000000-0005-0000-0000-0000BC080000}"/>
    <cellStyle name="Вывод 2 4 2 2" xfId="6143" xr:uid="{00000000-0005-0000-0000-0000BD080000}"/>
    <cellStyle name="Вывод 2 4 3" xfId="1645" xr:uid="{00000000-0005-0000-0000-0000BE080000}"/>
    <cellStyle name="Вывод 2 4 3 2" xfId="6144" xr:uid="{00000000-0005-0000-0000-0000BF080000}"/>
    <cellStyle name="Вывод 2 4 4" xfId="6145" xr:uid="{00000000-0005-0000-0000-0000C0080000}"/>
    <cellStyle name="Вывод 2 40" xfId="1646" xr:uid="{00000000-0005-0000-0000-0000C1080000}"/>
    <cellStyle name="Вывод 2 40 2" xfId="6146" xr:uid="{00000000-0005-0000-0000-0000C2080000}"/>
    <cellStyle name="Вывод 2 41" xfId="1647" xr:uid="{00000000-0005-0000-0000-0000C3080000}"/>
    <cellStyle name="Вывод 2 41 2" xfId="6147" xr:uid="{00000000-0005-0000-0000-0000C4080000}"/>
    <cellStyle name="Вывод 2 42" xfId="1648" xr:uid="{00000000-0005-0000-0000-0000C5080000}"/>
    <cellStyle name="Вывод 2 42 2" xfId="6148" xr:uid="{00000000-0005-0000-0000-0000C6080000}"/>
    <cellStyle name="Вывод 2 43" xfId="1649" xr:uid="{00000000-0005-0000-0000-0000C7080000}"/>
    <cellStyle name="Вывод 2 43 2" xfId="6149" xr:uid="{00000000-0005-0000-0000-0000C8080000}"/>
    <cellStyle name="Вывод 2 44" xfId="1650" xr:uid="{00000000-0005-0000-0000-0000C9080000}"/>
    <cellStyle name="Вывод 2 44 2" xfId="6150" xr:uid="{00000000-0005-0000-0000-0000CA080000}"/>
    <cellStyle name="Вывод 2 45" xfId="1651" xr:uid="{00000000-0005-0000-0000-0000CB080000}"/>
    <cellStyle name="Вывод 2 45 2" xfId="6151" xr:uid="{00000000-0005-0000-0000-0000CC080000}"/>
    <cellStyle name="Вывод 2 46" xfId="1652" xr:uid="{00000000-0005-0000-0000-0000CD080000}"/>
    <cellStyle name="Вывод 2 46 2" xfId="6152" xr:uid="{00000000-0005-0000-0000-0000CE080000}"/>
    <cellStyle name="Вывод 2 47" xfId="1653" xr:uid="{00000000-0005-0000-0000-0000CF080000}"/>
    <cellStyle name="Вывод 2 47 2" xfId="6153" xr:uid="{00000000-0005-0000-0000-0000D0080000}"/>
    <cellStyle name="Вывод 2 48" xfId="1654" xr:uid="{00000000-0005-0000-0000-0000D1080000}"/>
    <cellStyle name="Вывод 2 48 2" xfId="6154" xr:uid="{00000000-0005-0000-0000-0000D2080000}"/>
    <cellStyle name="Вывод 2 49" xfId="1655" xr:uid="{00000000-0005-0000-0000-0000D3080000}"/>
    <cellStyle name="Вывод 2 49 2" xfId="6155" xr:uid="{00000000-0005-0000-0000-0000D4080000}"/>
    <cellStyle name="Вывод 2 5" xfId="1656" xr:uid="{00000000-0005-0000-0000-0000D5080000}"/>
    <cellStyle name="Вывод 2 5 2" xfId="6156" xr:uid="{00000000-0005-0000-0000-0000D6080000}"/>
    <cellStyle name="Вывод 2 50" xfId="1657" xr:uid="{00000000-0005-0000-0000-0000D7080000}"/>
    <cellStyle name="Вывод 2 50 2" xfId="6157" xr:uid="{00000000-0005-0000-0000-0000D8080000}"/>
    <cellStyle name="Вывод 2 51" xfId="1658" xr:uid="{00000000-0005-0000-0000-0000D9080000}"/>
    <cellStyle name="Вывод 2 51 2" xfId="6158" xr:uid="{00000000-0005-0000-0000-0000DA080000}"/>
    <cellStyle name="Вывод 2 52" xfId="1659" xr:uid="{00000000-0005-0000-0000-0000DB080000}"/>
    <cellStyle name="Вывод 2 52 2" xfId="6159" xr:uid="{00000000-0005-0000-0000-0000DC080000}"/>
    <cellStyle name="Вывод 2 53" xfId="1660" xr:uid="{00000000-0005-0000-0000-0000DD080000}"/>
    <cellStyle name="Вывод 2 53 2" xfId="6160" xr:uid="{00000000-0005-0000-0000-0000DE080000}"/>
    <cellStyle name="Вывод 2 54" xfId="1661" xr:uid="{00000000-0005-0000-0000-0000DF080000}"/>
    <cellStyle name="Вывод 2 54 2" xfId="6161" xr:uid="{00000000-0005-0000-0000-0000E0080000}"/>
    <cellStyle name="Вывод 2 55" xfId="1662" xr:uid="{00000000-0005-0000-0000-0000E1080000}"/>
    <cellStyle name="Вывод 2 55 2" xfId="6162" xr:uid="{00000000-0005-0000-0000-0000E2080000}"/>
    <cellStyle name="Вывод 2 56" xfId="1663" xr:uid="{00000000-0005-0000-0000-0000E3080000}"/>
    <cellStyle name="Вывод 2 56 2" xfId="6163" xr:uid="{00000000-0005-0000-0000-0000E4080000}"/>
    <cellStyle name="Вывод 2 57" xfId="1664" xr:uid="{00000000-0005-0000-0000-0000E5080000}"/>
    <cellStyle name="Вывод 2 57 2" xfId="6164" xr:uid="{00000000-0005-0000-0000-0000E6080000}"/>
    <cellStyle name="Вывод 2 58" xfId="1665" xr:uid="{00000000-0005-0000-0000-0000E7080000}"/>
    <cellStyle name="Вывод 2 58 2" xfId="6165" xr:uid="{00000000-0005-0000-0000-0000E8080000}"/>
    <cellStyle name="Вывод 2 59" xfId="1666" xr:uid="{00000000-0005-0000-0000-0000E9080000}"/>
    <cellStyle name="Вывод 2 59 2" xfId="6166" xr:uid="{00000000-0005-0000-0000-0000EA080000}"/>
    <cellStyle name="Вывод 2 6" xfId="1667" xr:uid="{00000000-0005-0000-0000-0000EB080000}"/>
    <cellStyle name="Вывод 2 6 2" xfId="6167" xr:uid="{00000000-0005-0000-0000-0000EC080000}"/>
    <cellStyle name="Вывод 2 60" xfId="1668" xr:uid="{00000000-0005-0000-0000-0000ED080000}"/>
    <cellStyle name="Вывод 2 60 2" xfId="6168" xr:uid="{00000000-0005-0000-0000-0000EE080000}"/>
    <cellStyle name="Вывод 2 61" xfId="1669" xr:uid="{00000000-0005-0000-0000-0000EF080000}"/>
    <cellStyle name="Вывод 2 61 2" xfId="6169" xr:uid="{00000000-0005-0000-0000-0000F0080000}"/>
    <cellStyle name="Вывод 2 62" xfId="1670" xr:uid="{00000000-0005-0000-0000-0000F1080000}"/>
    <cellStyle name="Вывод 2 62 2" xfId="6170" xr:uid="{00000000-0005-0000-0000-0000F2080000}"/>
    <cellStyle name="Вывод 2 63" xfId="1671" xr:uid="{00000000-0005-0000-0000-0000F3080000}"/>
    <cellStyle name="Вывод 2 63 2" xfId="6171" xr:uid="{00000000-0005-0000-0000-0000F4080000}"/>
    <cellStyle name="Вывод 2 64" xfId="1672" xr:uid="{00000000-0005-0000-0000-0000F5080000}"/>
    <cellStyle name="Вывод 2 64 2" xfId="6172" xr:uid="{00000000-0005-0000-0000-0000F6080000}"/>
    <cellStyle name="Вывод 2 65" xfId="1673" xr:uid="{00000000-0005-0000-0000-0000F7080000}"/>
    <cellStyle name="Вывод 2 65 2" xfId="6173" xr:uid="{00000000-0005-0000-0000-0000F8080000}"/>
    <cellStyle name="Вывод 2 66" xfId="1674" xr:uid="{00000000-0005-0000-0000-0000F9080000}"/>
    <cellStyle name="Вывод 2 66 2" xfId="6174" xr:uid="{00000000-0005-0000-0000-0000FA080000}"/>
    <cellStyle name="Вывод 2 67" xfId="1675" xr:uid="{00000000-0005-0000-0000-0000FB080000}"/>
    <cellStyle name="Вывод 2 67 2" xfId="6175" xr:uid="{00000000-0005-0000-0000-0000FC080000}"/>
    <cellStyle name="Вывод 2 68" xfId="1676" xr:uid="{00000000-0005-0000-0000-0000FD080000}"/>
    <cellStyle name="Вывод 2 68 2" xfId="6176" xr:uid="{00000000-0005-0000-0000-0000FE080000}"/>
    <cellStyle name="Вывод 2 69" xfId="1677" xr:uid="{00000000-0005-0000-0000-0000FF080000}"/>
    <cellStyle name="Вывод 2 69 2" xfId="6177" xr:uid="{00000000-0005-0000-0000-000000090000}"/>
    <cellStyle name="Вывод 2 7" xfId="1678" xr:uid="{00000000-0005-0000-0000-000001090000}"/>
    <cellStyle name="Вывод 2 7 2" xfId="6178" xr:uid="{00000000-0005-0000-0000-000002090000}"/>
    <cellStyle name="Вывод 2 70" xfId="1679" xr:uid="{00000000-0005-0000-0000-000003090000}"/>
    <cellStyle name="Вывод 2 70 2" xfId="6179" xr:uid="{00000000-0005-0000-0000-000004090000}"/>
    <cellStyle name="Вывод 2 71" xfId="1680" xr:uid="{00000000-0005-0000-0000-000005090000}"/>
    <cellStyle name="Вывод 2 71 2" xfId="6180" xr:uid="{00000000-0005-0000-0000-000006090000}"/>
    <cellStyle name="Вывод 2 72" xfId="1681" xr:uid="{00000000-0005-0000-0000-000007090000}"/>
    <cellStyle name="Вывод 2 72 2" xfId="6181" xr:uid="{00000000-0005-0000-0000-000008090000}"/>
    <cellStyle name="Вывод 2 73" xfId="1682" xr:uid="{00000000-0005-0000-0000-000009090000}"/>
    <cellStyle name="Вывод 2 73 2" xfId="6182" xr:uid="{00000000-0005-0000-0000-00000A090000}"/>
    <cellStyle name="Вывод 2 74" xfId="1683" xr:uid="{00000000-0005-0000-0000-00000B090000}"/>
    <cellStyle name="Вывод 2 74 2" xfId="6183" xr:uid="{00000000-0005-0000-0000-00000C090000}"/>
    <cellStyle name="Вывод 2 75" xfId="1684" xr:uid="{00000000-0005-0000-0000-00000D090000}"/>
    <cellStyle name="Вывод 2 75 2" xfId="6184" xr:uid="{00000000-0005-0000-0000-00000E090000}"/>
    <cellStyle name="Вывод 2 76" xfId="1685" xr:uid="{00000000-0005-0000-0000-00000F090000}"/>
    <cellStyle name="Вывод 2 76 2" xfId="6185" xr:uid="{00000000-0005-0000-0000-000010090000}"/>
    <cellStyle name="Вывод 2 77" xfId="1686" xr:uid="{00000000-0005-0000-0000-000011090000}"/>
    <cellStyle name="Вывод 2 77 2" xfId="6186" xr:uid="{00000000-0005-0000-0000-000012090000}"/>
    <cellStyle name="Вывод 2 78" xfId="1687" xr:uid="{00000000-0005-0000-0000-000013090000}"/>
    <cellStyle name="Вывод 2 78 2" xfId="6187" xr:uid="{00000000-0005-0000-0000-000014090000}"/>
    <cellStyle name="Вывод 2 79" xfId="1688" xr:uid="{00000000-0005-0000-0000-000015090000}"/>
    <cellStyle name="Вывод 2 79 2" xfId="6188" xr:uid="{00000000-0005-0000-0000-000016090000}"/>
    <cellStyle name="Вывод 2 8" xfId="1689" xr:uid="{00000000-0005-0000-0000-000017090000}"/>
    <cellStyle name="Вывод 2 8 2" xfId="6189" xr:uid="{00000000-0005-0000-0000-000018090000}"/>
    <cellStyle name="Вывод 2 80" xfId="1690" xr:uid="{00000000-0005-0000-0000-000019090000}"/>
    <cellStyle name="Вывод 2 80 2" xfId="6190" xr:uid="{00000000-0005-0000-0000-00001A090000}"/>
    <cellStyle name="Вывод 2 81" xfId="1691" xr:uid="{00000000-0005-0000-0000-00001B090000}"/>
    <cellStyle name="Вывод 2 81 2" xfId="6191" xr:uid="{00000000-0005-0000-0000-00001C090000}"/>
    <cellStyle name="Вывод 2 82" xfId="1692" xr:uid="{00000000-0005-0000-0000-00001D090000}"/>
    <cellStyle name="Вывод 2 82 2" xfId="6192" xr:uid="{00000000-0005-0000-0000-00001E090000}"/>
    <cellStyle name="Вывод 2 83" xfId="1693" xr:uid="{00000000-0005-0000-0000-00001F090000}"/>
    <cellStyle name="Вывод 2 83 2" xfId="6193" xr:uid="{00000000-0005-0000-0000-000020090000}"/>
    <cellStyle name="Вывод 2 84" xfId="1694" xr:uid="{00000000-0005-0000-0000-000021090000}"/>
    <cellStyle name="Вывод 2 84 2" xfId="6194" xr:uid="{00000000-0005-0000-0000-000022090000}"/>
    <cellStyle name="Вывод 2 85" xfId="1695" xr:uid="{00000000-0005-0000-0000-000023090000}"/>
    <cellStyle name="Вывод 2 85 2" xfId="6195" xr:uid="{00000000-0005-0000-0000-000024090000}"/>
    <cellStyle name="Вывод 2 86" xfId="1696" xr:uid="{00000000-0005-0000-0000-000025090000}"/>
    <cellStyle name="Вывод 2 86 2" xfId="6196" xr:uid="{00000000-0005-0000-0000-000026090000}"/>
    <cellStyle name="Вывод 2 87" xfId="1697" xr:uid="{00000000-0005-0000-0000-000027090000}"/>
    <cellStyle name="Вывод 2 87 2" xfId="6197" xr:uid="{00000000-0005-0000-0000-000028090000}"/>
    <cellStyle name="Вывод 2 88" xfId="1698" xr:uid="{00000000-0005-0000-0000-000029090000}"/>
    <cellStyle name="Вывод 2 88 2" xfId="6198" xr:uid="{00000000-0005-0000-0000-00002A090000}"/>
    <cellStyle name="Вывод 2 89" xfId="1699" xr:uid="{00000000-0005-0000-0000-00002B090000}"/>
    <cellStyle name="Вывод 2 89 2" xfId="6199" xr:uid="{00000000-0005-0000-0000-00002C090000}"/>
    <cellStyle name="Вывод 2 9" xfId="1700" xr:uid="{00000000-0005-0000-0000-00002D090000}"/>
    <cellStyle name="Вывод 2 9 2" xfId="6200" xr:uid="{00000000-0005-0000-0000-00002E090000}"/>
    <cellStyle name="Вывод 2 90" xfId="1701" xr:uid="{00000000-0005-0000-0000-00002F090000}"/>
    <cellStyle name="Вывод 2 90 2" xfId="6201" xr:uid="{00000000-0005-0000-0000-000030090000}"/>
    <cellStyle name="Вывод 2 91" xfId="1702" xr:uid="{00000000-0005-0000-0000-000031090000}"/>
    <cellStyle name="Вывод 2 91 2" xfId="6202" xr:uid="{00000000-0005-0000-0000-000032090000}"/>
    <cellStyle name="Вывод 2 92" xfId="6203" xr:uid="{00000000-0005-0000-0000-000033090000}"/>
    <cellStyle name="Вывод 3" xfId="237" xr:uid="{00000000-0005-0000-0000-000034090000}"/>
    <cellStyle name="Вывод 3 10" xfId="1703" xr:uid="{00000000-0005-0000-0000-000035090000}"/>
    <cellStyle name="Вывод 3 10 2" xfId="6204" xr:uid="{00000000-0005-0000-0000-000036090000}"/>
    <cellStyle name="Вывод 3 11" xfId="1704" xr:uid="{00000000-0005-0000-0000-000037090000}"/>
    <cellStyle name="Вывод 3 11 2" xfId="6205" xr:uid="{00000000-0005-0000-0000-000038090000}"/>
    <cellStyle name="Вывод 3 12" xfId="1705" xr:uid="{00000000-0005-0000-0000-000039090000}"/>
    <cellStyle name="Вывод 3 12 2" xfId="6206" xr:uid="{00000000-0005-0000-0000-00003A090000}"/>
    <cellStyle name="Вывод 3 13" xfId="1706" xr:uid="{00000000-0005-0000-0000-00003B090000}"/>
    <cellStyle name="Вывод 3 13 2" xfId="6207" xr:uid="{00000000-0005-0000-0000-00003C090000}"/>
    <cellStyle name="Вывод 3 14" xfId="1707" xr:uid="{00000000-0005-0000-0000-00003D090000}"/>
    <cellStyle name="Вывод 3 14 2" xfId="6208" xr:uid="{00000000-0005-0000-0000-00003E090000}"/>
    <cellStyle name="Вывод 3 15" xfId="1708" xr:uid="{00000000-0005-0000-0000-00003F090000}"/>
    <cellStyle name="Вывод 3 15 2" xfId="6209" xr:uid="{00000000-0005-0000-0000-000040090000}"/>
    <cellStyle name="Вывод 3 16" xfId="1709" xr:uid="{00000000-0005-0000-0000-000041090000}"/>
    <cellStyle name="Вывод 3 16 2" xfId="6210" xr:uid="{00000000-0005-0000-0000-000042090000}"/>
    <cellStyle name="Вывод 3 17" xfId="1710" xr:uid="{00000000-0005-0000-0000-000043090000}"/>
    <cellStyle name="Вывод 3 17 2" xfId="6211" xr:uid="{00000000-0005-0000-0000-000044090000}"/>
    <cellStyle name="Вывод 3 18" xfId="1711" xr:uid="{00000000-0005-0000-0000-000045090000}"/>
    <cellStyle name="Вывод 3 18 2" xfId="6212" xr:uid="{00000000-0005-0000-0000-000046090000}"/>
    <cellStyle name="Вывод 3 19" xfId="1712" xr:uid="{00000000-0005-0000-0000-000047090000}"/>
    <cellStyle name="Вывод 3 19 2" xfId="6213" xr:uid="{00000000-0005-0000-0000-000048090000}"/>
    <cellStyle name="Вывод 3 2" xfId="1713" xr:uid="{00000000-0005-0000-0000-000049090000}"/>
    <cellStyle name="Вывод 3 2 2" xfId="1714" xr:uid="{00000000-0005-0000-0000-00004A090000}"/>
    <cellStyle name="Вывод 3 2 2 2" xfId="6214" xr:uid="{00000000-0005-0000-0000-00004B090000}"/>
    <cellStyle name="Вывод 3 2 3" xfId="1715" xr:uid="{00000000-0005-0000-0000-00004C090000}"/>
    <cellStyle name="Вывод 3 2 3 2" xfId="6215" xr:uid="{00000000-0005-0000-0000-00004D090000}"/>
    <cellStyle name="Вывод 3 2 4" xfId="6216" xr:uid="{00000000-0005-0000-0000-00004E090000}"/>
    <cellStyle name="Вывод 3 20" xfId="1716" xr:uid="{00000000-0005-0000-0000-00004F090000}"/>
    <cellStyle name="Вывод 3 20 2" xfId="6217" xr:uid="{00000000-0005-0000-0000-000050090000}"/>
    <cellStyle name="Вывод 3 21" xfId="1717" xr:uid="{00000000-0005-0000-0000-000051090000}"/>
    <cellStyle name="Вывод 3 21 2" xfId="6218" xr:uid="{00000000-0005-0000-0000-000052090000}"/>
    <cellStyle name="Вывод 3 22" xfId="1718" xr:uid="{00000000-0005-0000-0000-000053090000}"/>
    <cellStyle name="Вывод 3 22 2" xfId="6219" xr:uid="{00000000-0005-0000-0000-000054090000}"/>
    <cellStyle name="Вывод 3 23" xfId="1719" xr:uid="{00000000-0005-0000-0000-000055090000}"/>
    <cellStyle name="Вывод 3 23 2" xfId="6220" xr:uid="{00000000-0005-0000-0000-000056090000}"/>
    <cellStyle name="Вывод 3 24" xfId="1720" xr:uid="{00000000-0005-0000-0000-000057090000}"/>
    <cellStyle name="Вывод 3 24 2" xfId="6221" xr:uid="{00000000-0005-0000-0000-000058090000}"/>
    <cellStyle name="Вывод 3 25" xfId="1721" xr:uid="{00000000-0005-0000-0000-000059090000}"/>
    <cellStyle name="Вывод 3 25 2" xfId="6222" xr:uid="{00000000-0005-0000-0000-00005A090000}"/>
    <cellStyle name="Вывод 3 26" xfId="1722" xr:uid="{00000000-0005-0000-0000-00005B090000}"/>
    <cellStyle name="Вывод 3 26 2" xfId="6223" xr:uid="{00000000-0005-0000-0000-00005C090000}"/>
    <cellStyle name="Вывод 3 27" xfId="1723" xr:uid="{00000000-0005-0000-0000-00005D090000}"/>
    <cellStyle name="Вывод 3 27 2" xfId="6224" xr:uid="{00000000-0005-0000-0000-00005E090000}"/>
    <cellStyle name="Вывод 3 28" xfId="1724" xr:uid="{00000000-0005-0000-0000-00005F090000}"/>
    <cellStyle name="Вывод 3 28 2" xfId="6225" xr:uid="{00000000-0005-0000-0000-000060090000}"/>
    <cellStyle name="Вывод 3 29" xfId="1725" xr:uid="{00000000-0005-0000-0000-000061090000}"/>
    <cellStyle name="Вывод 3 29 2" xfId="6226" xr:uid="{00000000-0005-0000-0000-000062090000}"/>
    <cellStyle name="Вывод 3 3" xfId="1726" xr:uid="{00000000-0005-0000-0000-000063090000}"/>
    <cellStyle name="Вывод 3 3 2" xfId="1727" xr:uid="{00000000-0005-0000-0000-000064090000}"/>
    <cellStyle name="Вывод 3 3 2 2" xfId="6227" xr:uid="{00000000-0005-0000-0000-000065090000}"/>
    <cellStyle name="Вывод 3 3 3" xfId="1728" xr:uid="{00000000-0005-0000-0000-000066090000}"/>
    <cellStyle name="Вывод 3 3 3 2" xfId="6228" xr:uid="{00000000-0005-0000-0000-000067090000}"/>
    <cellStyle name="Вывод 3 3 4" xfId="6229" xr:uid="{00000000-0005-0000-0000-000068090000}"/>
    <cellStyle name="Вывод 3 30" xfId="1729" xr:uid="{00000000-0005-0000-0000-000069090000}"/>
    <cellStyle name="Вывод 3 30 2" xfId="6230" xr:uid="{00000000-0005-0000-0000-00006A090000}"/>
    <cellStyle name="Вывод 3 31" xfId="1730" xr:uid="{00000000-0005-0000-0000-00006B090000}"/>
    <cellStyle name="Вывод 3 31 2" xfId="6231" xr:uid="{00000000-0005-0000-0000-00006C090000}"/>
    <cellStyle name="Вывод 3 32" xfId="1731" xr:uid="{00000000-0005-0000-0000-00006D090000}"/>
    <cellStyle name="Вывод 3 32 2" xfId="6232" xr:uid="{00000000-0005-0000-0000-00006E090000}"/>
    <cellStyle name="Вывод 3 33" xfId="1732" xr:uid="{00000000-0005-0000-0000-00006F090000}"/>
    <cellStyle name="Вывод 3 33 2" xfId="6233" xr:uid="{00000000-0005-0000-0000-000070090000}"/>
    <cellStyle name="Вывод 3 34" xfId="1733" xr:uid="{00000000-0005-0000-0000-000071090000}"/>
    <cellStyle name="Вывод 3 34 2" xfId="6234" xr:uid="{00000000-0005-0000-0000-000072090000}"/>
    <cellStyle name="Вывод 3 35" xfId="1734" xr:uid="{00000000-0005-0000-0000-000073090000}"/>
    <cellStyle name="Вывод 3 35 2" xfId="6235" xr:uid="{00000000-0005-0000-0000-000074090000}"/>
    <cellStyle name="Вывод 3 36" xfId="1735" xr:uid="{00000000-0005-0000-0000-000075090000}"/>
    <cellStyle name="Вывод 3 36 2" xfId="6236" xr:uid="{00000000-0005-0000-0000-000076090000}"/>
    <cellStyle name="Вывод 3 37" xfId="1736" xr:uid="{00000000-0005-0000-0000-000077090000}"/>
    <cellStyle name="Вывод 3 37 2" xfId="6237" xr:uid="{00000000-0005-0000-0000-000078090000}"/>
    <cellStyle name="Вывод 3 38" xfId="1737" xr:uid="{00000000-0005-0000-0000-000079090000}"/>
    <cellStyle name="Вывод 3 38 2" xfId="6238" xr:uid="{00000000-0005-0000-0000-00007A090000}"/>
    <cellStyle name="Вывод 3 39" xfId="1738" xr:uid="{00000000-0005-0000-0000-00007B090000}"/>
    <cellStyle name="Вывод 3 39 2" xfId="6239" xr:uid="{00000000-0005-0000-0000-00007C090000}"/>
    <cellStyle name="Вывод 3 4" xfId="1739" xr:uid="{00000000-0005-0000-0000-00007D090000}"/>
    <cellStyle name="Вывод 3 4 2" xfId="1740" xr:uid="{00000000-0005-0000-0000-00007E090000}"/>
    <cellStyle name="Вывод 3 4 2 2" xfId="6240" xr:uid="{00000000-0005-0000-0000-00007F090000}"/>
    <cellStyle name="Вывод 3 4 3" xfId="1741" xr:uid="{00000000-0005-0000-0000-000080090000}"/>
    <cellStyle name="Вывод 3 4 3 2" xfId="6241" xr:uid="{00000000-0005-0000-0000-000081090000}"/>
    <cellStyle name="Вывод 3 4 4" xfId="6242" xr:uid="{00000000-0005-0000-0000-000082090000}"/>
    <cellStyle name="Вывод 3 40" xfId="1742" xr:uid="{00000000-0005-0000-0000-000083090000}"/>
    <cellStyle name="Вывод 3 40 2" xfId="6243" xr:uid="{00000000-0005-0000-0000-000084090000}"/>
    <cellStyle name="Вывод 3 41" xfId="1743" xr:uid="{00000000-0005-0000-0000-000085090000}"/>
    <cellStyle name="Вывод 3 41 2" xfId="6244" xr:uid="{00000000-0005-0000-0000-000086090000}"/>
    <cellStyle name="Вывод 3 42" xfId="1744" xr:uid="{00000000-0005-0000-0000-000087090000}"/>
    <cellStyle name="Вывод 3 42 2" xfId="6245" xr:uid="{00000000-0005-0000-0000-000088090000}"/>
    <cellStyle name="Вывод 3 43" xfId="1745" xr:uid="{00000000-0005-0000-0000-000089090000}"/>
    <cellStyle name="Вывод 3 43 2" xfId="6246" xr:uid="{00000000-0005-0000-0000-00008A090000}"/>
    <cellStyle name="Вывод 3 44" xfId="1746" xr:uid="{00000000-0005-0000-0000-00008B090000}"/>
    <cellStyle name="Вывод 3 44 2" xfId="6247" xr:uid="{00000000-0005-0000-0000-00008C090000}"/>
    <cellStyle name="Вывод 3 45" xfId="1747" xr:uid="{00000000-0005-0000-0000-00008D090000}"/>
    <cellStyle name="Вывод 3 45 2" xfId="6248" xr:uid="{00000000-0005-0000-0000-00008E090000}"/>
    <cellStyle name="Вывод 3 46" xfId="1748" xr:uid="{00000000-0005-0000-0000-00008F090000}"/>
    <cellStyle name="Вывод 3 46 2" xfId="6249" xr:uid="{00000000-0005-0000-0000-000090090000}"/>
    <cellStyle name="Вывод 3 47" xfId="1749" xr:uid="{00000000-0005-0000-0000-000091090000}"/>
    <cellStyle name="Вывод 3 47 2" xfId="6250" xr:uid="{00000000-0005-0000-0000-000092090000}"/>
    <cellStyle name="Вывод 3 48" xfId="1750" xr:uid="{00000000-0005-0000-0000-000093090000}"/>
    <cellStyle name="Вывод 3 48 2" xfId="6251" xr:uid="{00000000-0005-0000-0000-000094090000}"/>
    <cellStyle name="Вывод 3 49" xfId="1751" xr:uid="{00000000-0005-0000-0000-000095090000}"/>
    <cellStyle name="Вывод 3 49 2" xfId="6252" xr:uid="{00000000-0005-0000-0000-000096090000}"/>
    <cellStyle name="Вывод 3 5" xfId="1752" xr:uid="{00000000-0005-0000-0000-000097090000}"/>
    <cellStyle name="Вывод 3 5 2" xfId="6253" xr:uid="{00000000-0005-0000-0000-000098090000}"/>
    <cellStyle name="Вывод 3 50" xfId="1753" xr:uid="{00000000-0005-0000-0000-000099090000}"/>
    <cellStyle name="Вывод 3 50 2" xfId="6254" xr:uid="{00000000-0005-0000-0000-00009A090000}"/>
    <cellStyle name="Вывод 3 51" xfId="1754" xr:uid="{00000000-0005-0000-0000-00009B090000}"/>
    <cellStyle name="Вывод 3 51 2" xfId="6255" xr:uid="{00000000-0005-0000-0000-00009C090000}"/>
    <cellStyle name="Вывод 3 52" xfId="1755" xr:uid="{00000000-0005-0000-0000-00009D090000}"/>
    <cellStyle name="Вывод 3 52 2" xfId="6256" xr:uid="{00000000-0005-0000-0000-00009E090000}"/>
    <cellStyle name="Вывод 3 53" xfId="1756" xr:uid="{00000000-0005-0000-0000-00009F090000}"/>
    <cellStyle name="Вывод 3 53 2" xfId="6257" xr:uid="{00000000-0005-0000-0000-0000A0090000}"/>
    <cellStyle name="Вывод 3 54" xfId="1757" xr:uid="{00000000-0005-0000-0000-0000A1090000}"/>
    <cellStyle name="Вывод 3 54 2" xfId="6258" xr:uid="{00000000-0005-0000-0000-0000A2090000}"/>
    <cellStyle name="Вывод 3 55" xfId="1758" xr:uid="{00000000-0005-0000-0000-0000A3090000}"/>
    <cellStyle name="Вывод 3 55 2" xfId="6259" xr:uid="{00000000-0005-0000-0000-0000A4090000}"/>
    <cellStyle name="Вывод 3 56" xfId="1759" xr:uid="{00000000-0005-0000-0000-0000A5090000}"/>
    <cellStyle name="Вывод 3 56 2" xfId="6260" xr:uid="{00000000-0005-0000-0000-0000A6090000}"/>
    <cellStyle name="Вывод 3 57" xfId="1760" xr:uid="{00000000-0005-0000-0000-0000A7090000}"/>
    <cellStyle name="Вывод 3 57 2" xfId="6261" xr:uid="{00000000-0005-0000-0000-0000A8090000}"/>
    <cellStyle name="Вывод 3 58" xfId="1761" xr:uid="{00000000-0005-0000-0000-0000A9090000}"/>
    <cellStyle name="Вывод 3 58 2" xfId="6262" xr:uid="{00000000-0005-0000-0000-0000AA090000}"/>
    <cellStyle name="Вывод 3 59" xfId="1762" xr:uid="{00000000-0005-0000-0000-0000AB090000}"/>
    <cellStyle name="Вывод 3 59 2" xfId="6263" xr:uid="{00000000-0005-0000-0000-0000AC090000}"/>
    <cellStyle name="Вывод 3 6" xfId="1763" xr:uid="{00000000-0005-0000-0000-0000AD090000}"/>
    <cellStyle name="Вывод 3 6 2" xfId="6264" xr:uid="{00000000-0005-0000-0000-0000AE090000}"/>
    <cellStyle name="Вывод 3 60" xfId="1764" xr:uid="{00000000-0005-0000-0000-0000AF090000}"/>
    <cellStyle name="Вывод 3 60 2" xfId="6265" xr:uid="{00000000-0005-0000-0000-0000B0090000}"/>
    <cellStyle name="Вывод 3 61" xfId="1765" xr:uid="{00000000-0005-0000-0000-0000B1090000}"/>
    <cellStyle name="Вывод 3 61 2" xfId="6266" xr:uid="{00000000-0005-0000-0000-0000B2090000}"/>
    <cellStyle name="Вывод 3 62" xfId="1766" xr:uid="{00000000-0005-0000-0000-0000B3090000}"/>
    <cellStyle name="Вывод 3 62 2" xfId="6267" xr:uid="{00000000-0005-0000-0000-0000B4090000}"/>
    <cellStyle name="Вывод 3 63" xfId="1767" xr:uid="{00000000-0005-0000-0000-0000B5090000}"/>
    <cellStyle name="Вывод 3 63 2" xfId="6268" xr:uid="{00000000-0005-0000-0000-0000B6090000}"/>
    <cellStyle name="Вывод 3 64" xfId="1768" xr:uid="{00000000-0005-0000-0000-0000B7090000}"/>
    <cellStyle name="Вывод 3 64 2" xfId="6269" xr:uid="{00000000-0005-0000-0000-0000B8090000}"/>
    <cellStyle name="Вывод 3 65" xfId="1769" xr:uid="{00000000-0005-0000-0000-0000B9090000}"/>
    <cellStyle name="Вывод 3 65 2" xfId="6270" xr:uid="{00000000-0005-0000-0000-0000BA090000}"/>
    <cellStyle name="Вывод 3 66" xfId="1770" xr:uid="{00000000-0005-0000-0000-0000BB090000}"/>
    <cellStyle name="Вывод 3 66 2" xfId="6271" xr:uid="{00000000-0005-0000-0000-0000BC090000}"/>
    <cellStyle name="Вывод 3 67" xfId="1771" xr:uid="{00000000-0005-0000-0000-0000BD090000}"/>
    <cellStyle name="Вывод 3 67 2" xfId="6272" xr:uid="{00000000-0005-0000-0000-0000BE090000}"/>
    <cellStyle name="Вывод 3 68" xfId="1772" xr:uid="{00000000-0005-0000-0000-0000BF090000}"/>
    <cellStyle name="Вывод 3 68 2" xfId="6273" xr:uid="{00000000-0005-0000-0000-0000C0090000}"/>
    <cellStyle name="Вывод 3 69" xfId="1773" xr:uid="{00000000-0005-0000-0000-0000C1090000}"/>
    <cellStyle name="Вывод 3 69 2" xfId="6274" xr:uid="{00000000-0005-0000-0000-0000C2090000}"/>
    <cellStyle name="Вывод 3 7" xfId="1774" xr:uid="{00000000-0005-0000-0000-0000C3090000}"/>
    <cellStyle name="Вывод 3 7 2" xfId="6275" xr:uid="{00000000-0005-0000-0000-0000C4090000}"/>
    <cellStyle name="Вывод 3 70" xfId="1775" xr:uid="{00000000-0005-0000-0000-0000C5090000}"/>
    <cellStyle name="Вывод 3 70 2" xfId="6276" xr:uid="{00000000-0005-0000-0000-0000C6090000}"/>
    <cellStyle name="Вывод 3 71" xfId="1776" xr:uid="{00000000-0005-0000-0000-0000C7090000}"/>
    <cellStyle name="Вывод 3 71 2" xfId="6277" xr:uid="{00000000-0005-0000-0000-0000C8090000}"/>
    <cellStyle name="Вывод 3 72" xfId="1777" xr:uid="{00000000-0005-0000-0000-0000C9090000}"/>
    <cellStyle name="Вывод 3 72 2" xfId="6278" xr:uid="{00000000-0005-0000-0000-0000CA090000}"/>
    <cellStyle name="Вывод 3 73" xfId="1778" xr:uid="{00000000-0005-0000-0000-0000CB090000}"/>
    <cellStyle name="Вывод 3 73 2" xfId="6279" xr:uid="{00000000-0005-0000-0000-0000CC090000}"/>
    <cellStyle name="Вывод 3 74" xfId="1779" xr:uid="{00000000-0005-0000-0000-0000CD090000}"/>
    <cellStyle name="Вывод 3 74 2" xfId="6280" xr:uid="{00000000-0005-0000-0000-0000CE090000}"/>
    <cellStyle name="Вывод 3 75" xfId="1780" xr:uid="{00000000-0005-0000-0000-0000CF090000}"/>
    <cellStyle name="Вывод 3 75 2" xfId="6281" xr:uid="{00000000-0005-0000-0000-0000D0090000}"/>
    <cellStyle name="Вывод 3 76" xfId="1781" xr:uid="{00000000-0005-0000-0000-0000D1090000}"/>
    <cellStyle name="Вывод 3 76 2" xfId="6282" xr:uid="{00000000-0005-0000-0000-0000D2090000}"/>
    <cellStyle name="Вывод 3 77" xfId="1782" xr:uid="{00000000-0005-0000-0000-0000D3090000}"/>
    <cellStyle name="Вывод 3 77 2" xfId="6283" xr:uid="{00000000-0005-0000-0000-0000D4090000}"/>
    <cellStyle name="Вывод 3 78" xfId="1783" xr:uid="{00000000-0005-0000-0000-0000D5090000}"/>
    <cellStyle name="Вывод 3 78 2" xfId="6284" xr:uid="{00000000-0005-0000-0000-0000D6090000}"/>
    <cellStyle name="Вывод 3 79" xfId="1784" xr:uid="{00000000-0005-0000-0000-0000D7090000}"/>
    <cellStyle name="Вывод 3 79 2" xfId="6285" xr:uid="{00000000-0005-0000-0000-0000D8090000}"/>
    <cellStyle name="Вывод 3 8" xfId="1785" xr:uid="{00000000-0005-0000-0000-0000D9090000}"/>
    <cellStyle name="Вывод 3 8 2" xfId="6286" xr:uid="{00000000-0005-0000-0000-0000DA090000}"/>
    <cellStyle name="Вывод 3 80" xfId="1786" xr:uid="{00000000-0005-0000-0000-0000DB090000}"/>
    <cellStyle name="Вывод 3 80 2" xfId="6287" xr:uid="{00000000-0005-0000-0000-0000DC090000}"/>
    <cellStyle name="Вывод 3 81" xfId="1787" xr:uid="{00000000-0005-0000-0000-0000DD090000}"/>
    <cellStyle name="Вывод 3 81 2" xfId="6288" xr:uid="{00000000-0005-0000-0000-0000DE090000}"/>
    <cellStyle name="Вывод 3 82" xfId="1788" xr:uid="{00000000-0005-0000-0000-0000DF090000}"/>
    <cellStyle name="Вывод 3 82 2" xfId="6289" xr:uid="{00000000-0005-0000-0000-0000E0090000}"/>
    <cellStyle name="Вывод 3 83" xfId="1789" xr:uid="{00000000-0005-0000-0000-0000E1090000}"/>
    <cellStyle name="Вывод 3 83 2" xfId="6290" xr:uid="{00000000-0005-0000-0000-0000E2090000}"/>
    <cellStyle name="Вывод 3 84" xfId="1790" xr:uid="{00000000-0005-0000-0000-0000E3090000}"/>
    <cellStyle name="Вывод 3 84 2" xfId="6291" xr:uid="{00000000-0005-0000-0000-0000E4090000}"/>
    <cellStyle name="Вывод 3 85" xfId="1791" xr:uid="{00000000-0005-0000-0000-0000E5090000}"/>
    <cellStyle name="Вывод 3 85 2" xfId="6292" xr:uid="{00000000-0005-0000-0000-0000E6090000}"/>
    <cellStyle name="Вывод 3 86" xfId="1792" xr:uid="{00000000-0005-0000-0000-0000E7090000}"/>
    <cellStyle name="Вывод 3 86 2" xfId="6293" xr:uid="{00000000-0005-0000-0000-0000E8090000}"/>
    <cellStyle name="Вывод 3 87" xfId="1793" xr:uid="{00000000-0005-0000-0000-0000E9090000}"/>
    <cellStyle name="Вывод 3 87 2" xfId="6294" xr:uid="{00000000-0005-0000-0000-0000EA090000}"/>
    <cellStyle name="Вывод 3 88" xfId="1794" xr:uid="{00000000-0005-0000-0000-0000EB090000}"/>
    <cellStyle name="Вывод 3 88 2" xfId="6295" xr:uid="{00000000-0005-0000-0000-0000EC090000}"/>
    <cellStyle name="Вывод 3 89" xfId="1795" xr:uid="{00000000-0005-0000-0000-0000ED090000}"/>
    <cellStyle name="Вывод 3 89 2" xfId="6296" xr:uid="{00000000-0005-0000-0000-0000EE090000}"/>
    <cellStyle name="Вывод 3 9" xfId="1796" xr:uid="{00000000-0005-0000-0000-0000EF090000}"/>
    <cellStyle name="Вывод 3 9 2" xfId="6297" xr:uid="{00000000-0005-0000-0000-0000F0090000}"/>
    <cellStyle name="Вывод 3 90" xfId="1797" xr:uid="{00000000-0005-0000-0000-0000F1090000}"/>
    <cellStyle name="Вывод 3 90 2" xfId="6298" xr:uid="{00000000-0005-0000-0000-0000F2090000}"/>
    <cellStyle name="Вывод 3 91" xfId="1798" xr:uid="{00000000-0005-0000-0000-0000F3090000}"/>
    <cellStyle name="Вывод 3 91 2" xfId="6299" xr:uid="{00000000-0005-0000-0000-0000F4090000}"/>
    <cellStyle name="Вывод 3 92" xfId="6300" xr:uid="{00000000-0005-0000-0000-0000F5090000}"/>
    <cellStyle name="Вывод 4" xfId="238" xr:uid="{00000000-0005-0000-0000-0000F6090000}"/>
    <cellStyle name="Вывод 4 10" xfId="1799" xr:uid="{00000000-0005-0000-0000-0000F7090000}"/>
    <cellStyle name="Вывод 4 10 2" xfId="6301" xr:uid="{00000000-0005-0000-0000-0000F8090000}"/>
    <cellStyle name="Вывод 4 11" xfId="1800" xr:uid="{00000000-0005-0000-0000-0000F9090000}"/>
    <cellStyle name="Вывод 4 11 2" xfId="6302" xr:uid="{00000000-0005-0000-0000-0000FA090000}"/>
    <cellStyle name="Вывод 4 12" xfId="1801" xr:uid="{00000000-0005-0000-0000-0000FB090000}"/>
    <cellStyle name="Вывод 4 12 2" xfId="6303" xr:uid="{00000000-0005-0000-0000-0000FC090000}"/>
    <cellStyle name="Вывод 4 13" xfId="1802" xr:uid="{00000000-0005-0000-0000-0000FD090000}"/>
    <cellStyle name="Вывод 4 13 2" xfId="6304" xr:uid="{00000000-0005-0000-0000-0000FE090000}"/>
    <cellStyle name="Вывод 4 14" xfId="1803" xr:uid="{00000000-0005-0000-0000-0000FF090000}"/>
    <cellStyle name="Вывод 4 14 2" xfId="6305" xr:uid="{00000000-0005-0000-0000-0000000A0000}"/>
    <cellStyle name="Вывод 4 15" xfId="1804" xr:uid="{00000000-0005-0000-0000-0000010A0000}"/>
    <cellStyle name="Вывод 4 15 2" xfId="6306" xr:uid="{00000000-0005-0000-0000-0000020A0000}"/>
    <cellStyle name="Вывод 4 16" xfId="1805" xr:uid="{00000000-0005-0000-0000-0000030A0000}"/>
    <cellStyle name="Вывод 4 16 2" xfId="6307" xr:uid="{00000000-0005-0000-0000-0000040A0000}"/>
    <cellStyle name="Вывод 4 17" xfId="1806" xr:uid="{00000000-0005-0000-0000-0000050A0000}"/>
    <cellStyle name="Вывод 4 17 2" xfId="6308" xr:uid="{00000000-0005-0000-0000-0000060A0000}"/>
    <cellStyle name="Вывод 4 18" xfId="1807" xr:uid="{00000000-0005-0000-0000-0000070A0000}"/>
    <cellStyle name="Вывод 4 18 2" xfId="6309" xr:uid="{00000000-0005-0000-0000-0000080A0000}"/>
    <cellStyle name="Вывод 4 19" xfId="1808" xr:uid="{00000000-0005-0000-0000-0000090A0000}"/>
    <cellStyle name="Вывод 4 19 2" xfId="6310" xr:uid="{00000000-0005-0000-0000-00000A0A0000}"/>
    <cellStyle name="Вывод 4 2" xfId="1809" xr:uid="{00000000-0005-0000-0000-00000B0A0000}"/>
    <cellStyle name="Вывод 4 2 2" xfId="1810" xr:uid="{00000000-0005-0000-0000-00000C0A0000}"/>
    <cellStyle name="Вывод 4 2 2 2" xfId="6311" xr:uid="{00000000-0005-0000-0000-00000D0A0000}"/>
    <cellStyle name="Вывод 4 2 3" xfId="1811" xr:uid="{00000000-0005-0000-0000-00000E0A0000}"/>
    <cellStyle name="Вывод 4 2 3 2" xfId="6312" xr:uid="{00000000-0005-0000-0000-00000F0A0000}"/>
    <cellStyle name="Вывод 4 2 4" xfId="6313" xr:uid="{00000000-0005-0000-0000-0000100A0000}"/>
    <cellStyle name="Вывод 4 20" xfId="1812" xr:uid="{00000000-0005-0000-0000-0000110A0000}"/>
    <cellStyle name="Вывод 4 20 2" xfId="6314" xr:uid="{00000000-0005-0000-0000-0000120A0000}"/>
    <cellStyle name="Вывод 4 21" xfId="1813" xr:uid="{00000000-0005-0000-0000-0000130A0000}"/>
    <cellStyle name="Вывод 4 21 2" xfId="6315" xr:uid="{00000000-0005-0000-0000-0000140A0000}"/>
    <cellStyle name="Вывод 4 22" xfId="1814" xr:uid="{00000000-0005-0000-0000-0000150A0000}"/>
    <cellStyle name="Вывод 4 22 2" xfId="6316" xr:uid="{00000000-0005-0000-0000-0000160A0000}"/>
    <cellStyle name="Вывод 4 23" xfId="1815" xr:uid="{00000000-0005-0000-0000-0000170A0000}"/>
    <cellStyle name="Вывод 4 23 2" xfId="6317" xr:uid="{00000000-0005-0000-0000-0000180A0000}"/>
    <cellStyle name="Вывод 4 24" xfId="1816" xr:uid="{00000000-0005-0000-0000-0000190A0000}"/>
    <cellStyle name="Вывод 4 24 2" xfId="6318" xr:uid="{00000000-0005-0000-0000-00001A0A0000}"/>
    <cellStyle name="Вывод 4 25" xfId="1817" xr:uid="{00000000-0005-0000-0000-00001B0A0000}"/>
    <cellStyle name="Вывод 4 25 2" xfId="6319" xr:uid="{00000000-0005-0000-0000-00001C0A0000}"/>
    <cellStyle name="Вывод 4 26" xfId="1818" xr:uid="{00000000-0005-0000-0000-00001D0A0000}"/>
    <cellStyle name="Вывод 4 26 2" xfId="6320" xr:uid="{00000000-0005-0000-0000-00001E0A0000}"/>
    <cellStyle name="Вывод 4 27" xfId="1819" xr:uid="{00000000-0005-0000-0000-00001F0A0000}"/>
    <cellStyle name="Вывод 4 27 2" xfId="6321" xr:uid="{00000000-0005-0000-0000-0000200A0000}"/>
    <cellStyle name="Вывод 4 28" xfId="1820" xr:uid="{00000000-0005-0000-0000-0000210A0000}"/>
    <cellStyle name="Вывод 4 28 2" xfId="6322" xr:uid="{00000000-0005-0000-0000-0000220A0000}"/>
    <cellStyle name="Вывод 4 29" xfId="1821" xr:uid="{00000000-0005-0000-0000-0000230A0000}"/>
    <cellStyle name="Вывод 4 29 2" xfId="6323" xr:uid="{00000000-0005-0000-0000-0000240A0000}"/>
    <cellStyle name="Вывод 4 3" xfId="1822" xr:uid="{00000000-0005-0000-0000-0000250A0000}"/>
    <cellStyle name="Вывод 4 3 2" xfId="1823" xr:uid="{00000000-0005-0000-0000-0000260A0000}"/>
    <cellStyle name="Вывод 4 3 2 2" xfId="6324" xr:uid="{00000000-0005-0000-0000-0000270A0000}"/>
    <cellStyle name="Вывод 4 3 3" xfId="1824" xr:uid="{00000000-0005-0000-0000-0000280A0000}"/>
    <cellStyle name="Вывод 4 3 3 2" xfId="6325" xr:uid="{00000000-0005-0000-0000-0000290A0000}"/>
    <cellStyle name="Вывод 4 3 4" xfId="6326" xr:uid="{00000000-0005-0000-0000-00002A0A0000}"/>
    <cellStyle name="Вывод 4 30" xfId="1825" xr:uid="{00000000-0005-0000-0000-00002B0A0000}"/>
    <cellStyle name="Вывод 4 30 2" xfId="6327" xr:uid="{00000000-0005-0000-0000-00002C0A0000}"/>
    <cellStyle name="Вывод 4 31" xfId="1826" xr:uid="{00000000-0005-0000-0000-00002D0A0000}"/>
    <cellStyle name="Вывод 4 31 2" xfId="6328" xr:uid="{00000000-0005-0000-0000-00002E0A0000}"/>
    <cellStyle name="Вывод 4 32" xfId="1827" xr:uid="{00000000-0005-0000-0000-00002F0A0000}"/>
    <cellStyle name="Вывод 4 32 2" xfId="6329" xr:uid="{00000000-0005-0000-0000-0000300A0000}"/>
    <cellStyle name="Вывод 4 33" xfId="1828" xr:uid="{00000000-0005-0000-0000-0000310A0000}"/>
    <cellStyle name="Вывод 4 33 2" xfId="6330" xr:uid="{00000000-0005-0000-0000-0000320A0000}"/>
    <cellStyle name="Вывод 4 34" xfId="1829" xr:uid="{00000000-0005-0000-0000-0000330A0000}"/>
    <cellStyle name="Вывод 4 34 2" xfId="6331" xr:uid="{00000000-0005-0000-0000-0000340A0000}"/>
    <cellStyle name="Вывод 4 35" xfId="1830" xr:uid="{00000000-0005-0000-0000-0000350A0000}"/>
    <cellStyle name="Вывод 4 35 2" xfId="6332" xr:uid="{00000000-0005-0000-0000-0000360A0000}"/>
    <cellStyle name="Вывод 4 36" xfId="1831" xr:uid="{00000000-0005-0000-0000-0000370A0000}"/>
    <cellStyle name="Вывод 4 36 2" xfId="6333" xr:uid="{00000000-0005-0000-0000-0000380A0000}"/>
    <cellStyle name="Вывод 4 37" xfId="1832" xr:uid="{00000000-0005-0000-0000-0000390A0000}"/>
    <cellStyle name="Вывод 4 37 2" xfId="6334" xr:uid="{00000000-0005-0000-0000-00003A0A0000}"/>
    <cellStyle name="Вывод 4 38" xfId="1833" xr:uid="{00000000-0005-0000-0000-00003B0A0000}"/>
    <cellStyle name="Вывод 4 38 2" xfId="6335" xr:uid="{00000000-0005-0000-0000-00003C0A0000}"/>
    <cellStyle name="Вывод 4 39" xfId="1834" xr:uid="{00000000-0005-0000-0000-00003D0A0000}"/>
    <cellStyle name="Вывод 4 39 2" xfId="6336" xr:uid="{00000000-0005-0000-0000-00003E0A0000}"/>
    <cellStyle name="Вывод 4 4" xfId="1835" xr:uid="{00000000-0005-0000-0000-00003F0A0000}"/>
    <cellStyle name="Вывод 4 4 2" xfId="1836" xr:uid="{00000000-0005-0000-0000-0000400A0000}"/>
    <cellStyle name="Вывод 4 4 2 2" xfId="6337" xr:uid="{00000000-0005-0000-0000-0000410A0000}"/>
    <cellStyle name="Вывод 4 4 3" xfId="1837" xr:uid="{00000000-0005-0000-0000-0000420A0000}"/>
    <cellStyle name="Вывод 4 4 3 2" xfId="6338" xr:uid="{00000000-0005-0000-0000-0000430A0000}"/>
    <cellStyle name="Вывод 4 4 4" xfId="6339" xr:uid="{00000000-0005-0000-0000-0000440A0000}"/>
    <cellStyle name="Вывод 4 40" xfId="1838" xr:uid="{00000000-0005-0000-0000-0000450A0000}"/>
    <cellStyle name="Вывод 4 40 2" xfId="6340" xr:uid="{00000000-0005-0000-0000-0000460A0000}"/>
    <cellStyle name="Вывод 4 41" xfId="1839" xr:uid="{00000000-0005-0000-0000-0000470A0000}"/>
    <cellStyle name="Вывод 4 41 2" xfId="6341" xr:uid="{00000000-0005-0000-0000-0000480A0000}"/>
    <cellStyle name="Вывод 4 42" xfId="1840" xr:uid="{00000000-0005-0000-0000-0000490A0000}"/>
    <cellStyle name="Вывод 4 42 2" xfId="6342" xr:uid="{00000000-0005-0000-0000-00004A0A0000}"/>
    <cellStyle name="Вывод 4 43" xfId="1841" xr:uid="{00000000-0005-0000-0000-00004B0A0000}"/>
    <cellStyle name="Вывод 4 43 2" xfId="6343" xr:uid="{00000000-0005-0000-0000-00004C0A0000}"/>
    <cellStyle name="Вывод 4 44" xfId="1842" xr:uid="{00000000-0005-0000-0000-00004D0A0000}"/>
    <cellStyle name="Вывод 4 44 2" xfId="6344" xr:uid="{00000000-0005-0000-0000-00004E0A0000}"/>
    <cellStyle name="Вывод 4 45" xfId="1843" xr:uid="{00000000-0005-0000-0000-00004F0A0000}"/>
    <cellStyle name="Вывод 4 45 2" xfId="6345" xr:uid="{00000000-0005-0000-0000-0000500A0000}"/>
    <cellStyle name="Вывод 4 46" xfId="1844" xr:uid="{00000000-0005-0000-0000-0000510A0000}"/>
    <cellStyle name="Вывод 4 46 2" xfId="6346" xr:uid="{00000000-0005-0000-0000-0000520A0000}"/>
    <cellStyle name="Вывод 4 47" xfId="1845" xr:uid="{00000000-0005-0000-0000-0000530A0000}"/>
    <cellStyle name="Вывод 4 47 2" xfId="6347" xr:uid="{00000000-0005-0000-0000-0000540A0000}"/>
    <cellStyle name="Вывод 4 48" xfId="1846" xr:uid="{00000000-0005-0000-0000-0000550A0000}"/>
    <cellStyle name="Вывод 4 48 2" xfId="6348" xr:uid="{00000000-0005-0000-0000-0000560A0000}"/>
    <cellStyle name="Вывод 4 49" xfId="1847" xr:uid="{00000000-0005-0000-0000-0000570A0000}"/>
    <cellStyle name="Вывод 4 49 2" xfId="6349" xr:uid="{00000000-0005-0000-0000-0000580A0000}"/>
    <cellStyle name="Вывод 4 5" xfId="1848" xr:uid="{00000000-0005-0000-0000-0000590A0000}"/>
    <cellStyle name="Вывод 4 5 2" xfId="6350" xr:uid="{00000000-0005-0000-0000-00005A0A0000}"/>
    <cellStyle name="Вывод 4 50" xfId="1849" xr:uid="{00000000-0005-0000-0000-00005B0A0000}"/>
    <cellStyle name="Вывод 4 50 2" xfId="6351" xr:uid="{00000000-0005-0000-0000-00005C0A0000}"/>
    <cellStyle name="Вывод 4 51" xfId="1850" xr:uid="{00000000-0005-0000-0000-00005D0A0000}"/>
    <cellStyle name="Вывод 4 51 2" xfId="6352" xr:uid="{00000000-0005-0000-0000-00005E0A0000}"/>
    <cellStyle name="Вывод 4 52" xfId="1851" xr:uid="{00000000-0005-0000-0000-00005F0A0000}"/>
    <cellStyle name="Вывод 4 52 2" xfId="6353" xr:uid="{00000000-0005-0000-0000-0000600A0000}"/>
    <cellStyle name="Вывод 4 53" xfId="1852" xr:uid="{00000000-0005-0000-0000-0000610A0000}"/>
    <cellStyle name="Вывод 4 53 2" xfId="6354" xr:uid="{00000000-0005-0000-0000-0000620A0000}"/>
    <cellStyle name="Вывод 4 54" xfId="1853" xr:uid="{00000000-0005-0000-0000-0000630A0000}"/>
    <cellStyle name="Вывод 4 54 2" xfId="6355" xr:uid="{00000000-0005-0000-0000-0000640A0000}"/>
    <cellStyle name="Вывод 4 55" xfId="1854" xr:uid="{00000000-0005-0000-0000-0000650A0000}"/>
    <cellStyle name="Вывод 4 55 2" xfId="6356" xr:uid="{00000000-0005-0000-0000-0000660A0000}"/>
    <cellStyle name="Вывод 4 56" xfId="1855" xr:uid="{00000000-0005-0000-0000-0000670A0000}"/>
    <cellStyle name="Вывод 4 56 2" xfId="6357" xr:uid="{00000000-0005-0000-0000-0000680A0000}"/>
    <cellStyle name="Вывод 4 57" xfId="1856" xr:uid="{00000000-0005-0000-0000-0000690A0000}"/>
    <cellStyle name="Вывод 4 57 2" xfId="6358" xr:uid="{00000000-0005-0000-0000-00006A0A0000}"/>
    <cellStyle name="Вывод 4 58" xfId="1857" xr:uid="{00000000-0005-0000-0000-00006B0A0000}"/>
    <cellStyle name="Вывод 4 58 2" xfId="6359" xr:uid="{00000000-0005-0000-0000-00006C0A0000}"/>
    <cellStyle name="Вывод 4 59" xfId="1858" xr:uid="{00000000-0005-0000-0000-00006D0A0000}"/>
    <cellStyle name="Вывод 4 59 2" xfId="6360" xr:uid="{00000000-0005-0000-0000-00006E0A0000}"/>
    <cellStyle name="Вывод 4 6" xfId="1859" xr:uid="{00000000-0005-0000-0000-00006F0A0000}"/>
    <cellStyle name="Вывод 4 6 2" xfId="6361" xr:uid="{00000000-0005-0000-0000-0000700A0000}"/>
    <cellStyle name="Вывод 4 60" xfId="1860" xr:uid="{00000000-0005-0000-0000-0000710A0000}"/>
    <cellStyle name="Вывод 4 60 2" xfId="6362" xr:uid="{00000000-0005-0000-0000-0000720A0000}"/>
    <cellStyle name="Вывод 4 61" xfId="1861" xr:uid="{00000000-0005-0000-0000-0000730A0000}"/>
    <cellStyle name="Вывод 4 61 2" xfId="6363" xr:uid="{00000000-0005-0000-0000-0000740A0000}"/>
    <cellStyle name="Вывод 4 62" xfId="1862" xr:uid="{00000000-0005-0000-0000-0000750A0000}"/>
    <cellStyle name="Вывод 4 62 2" xfId="6364" xr:uid="{00000000-0005-0000-0000-0000760A0000}"/>
    <cellStyle name="Вывод 4 63" xfId="1863" xr:uid="{00000000-0005-0000-0000-0000770A0000}"/>
    <cellStyle name="Вывод 4 63 2" xfId="6365" xr:uid="{00000000-0005-0000-0000-0000780A0000}"/>
    <cellStyle name="Вывод 4 64" xfId="1864" xr:uid="{00000000-0005-0000-0000-0000790A0000}"/>
    <cellStyle name="Вывод 4 64 2" xfId="6366" xr:uid="{00000000-0005-0000-0000-00007A0A0000}"/>
    <cellStyle name="Вывод 4 65" xfId="1865" xr:uid="{00000000-0005-0000-0000-00007B0A0000}"/>
    <cellStyle name="Вывод 4 65 2" xfId="6367" xr:uid="{00000000-0005-0000-0000-00007C0A0000}"/>
    <cellStyle name="Вывод 4 66" xfId="1866" xr:uid="{00000000-0005-0000-0000-00007D0A0000}"/>
    <cellStyle name="Вывод 4 66 2" xfId="6368" xr:uid="{00000000-0005-0000-0000-00007E0A0000}"/>
    <cellStyle name="Вывод 4 67" xfId="1867" xr:uid="{00000000-0005-0000-0000-00007F0A0000}"/>
    <cellStyle name="Вывод 4 67 2" xfId="6369" xr:uid="{00000000-0005-0000-0000-0000800A0000}"/>
    <cellStyle name="Вывод 4 68" xfId="1868" xr:uid="{00000000-0005-0000-0000-0000810A0000}"/>
    <cellStyle name="Вывод 4 68 2" xfId="6370" xr:uid="{00000000-0005-0000-0000-0000820A0000}"/>
    <cellStyle name="Вывод 4 69" xfId="1869" xr:uid="{00000000-0005-0000-0000-0000830A0000}"/>
    <cellStyle name="Вывод 4 69 2" xfId="6371" xr:uid="{00000000-0005-0000-0000-0000840A0000}"/>
    <cellStyle name="Вывод 4 7" xfId="1870" xr:uid="{00000000-0005-0000-0000-0000850A0000}"/>
    <cellStyle name="Вывод 4 7 2" xfId="6372" xr:uid="{00000000-0005-0000-0000-0000860A0000}"/>
    <cellStyle name="Вывод 4 70" xfId="1871" xr:uid="{00000000-0005-0000-0000-0000870A0000}"/>
    <cellStyle name="Вывод 4 70 2" xfId="6373" xr:uid="{00000000-0005-0000-0000-0000880A0000}"/>
    <cellStyle name="Вывод 4 71" xfId="1872" xr:uid="{00000000-0005-0000-0000-0000890A0000}"/>
    <cellStyle name="Вывод 4 71 2" xfId="6374" xr:uid="{00000000-0005-0000-0000-00008A0A0000}"/>
    <cellStyle name="Вывод 4 72" xfId="1873" xr:uid="{00000000-0005-0000-0000-00008B0A0000}"/>
    <cellStyle name="Вывод 4 72 2" xfId="6375" xr:uid="{00000000-0005-0000-0000-00008C0A0000}"/>
    <cellStyle name="Вывод 4 73" xfId="1874" xr:uid="{00000000-0005-0000-0000-00008D0A0000}"/>
    <cellStyle name="Вывод 4 73 2" xfId="6376" xr:uid="{00000000-0005-0000-0000-00008E0A0000}"/>
    <cellStyle name="Вывод 4 74" xfId="1875" xr:uid="{00000000-0005-0000-0000-00008F0A0000}"/>
    <cellStyle name="Вывод 4 74 2" xfId="6377" xr:uid="{00000000-0005-0000-0000-0000900A0000}"/>
    <cellStyle name="Вывод 4 75" xfId="1876" xr:uid="{00000000-0005-0000-0000-0000910A0000}"/>
    <cellStyle name="Вывод 4 75 2" xfId="6378" xr:uid="{00000000-0005-0000-0000-0000920A0000}"/>
    <cellStyle name="Вывод 4 76" xfId="1877" xr:uid="{00000000-0005-0000-0000-0000930A0000}"/>
    <cellStyle name="Вывод 4 76 2" xfId="6379" xr:uid="{00000000-0005-0000-0000-0000940A0000}"/>
    <cellStyle name="Вывод 4 77" xfId="1878" xr:uid="{00000000-0005-0000-0000-0000950A0000}"/>
    <cellStyle name="Вывод 4 77 2" xfId="6380" xr:uid="{00000000-0005-0000-0000-0000960A0000}"/>
    <cellStyle name="Вывод 4 78" xfId="1879" xr:uid="{00000000-0005-0000-0000-0000970A0000}"/>
    <cellStyle name="Вывод 4 78 2" xfId="6381" xr:uid="{00000000-0005-0000-0000-0000980A0000}"/>
    <cellStyle name="Вывод 4 79" xfId="1880" xr:uid="{00000000-0005-0000-0000-0000990A0000}"/>
    <cellStyle name="Вывод 4 79 2" xfId="6382" xr:uid="{00000000-0005-0000-0000-00009A0A0000}"/>
    <cellStyle name="Вывод 4 8" xfId="1881" xr:uid="{00000000-0005-0000-0000-00009B0A0000}"/>
    <cellStyle name="Вывод 4 8 2" xfId="6383" xr:uid="{00000000-0005-0000-0000-00009C0A0000}"/>
    <cellStyle name="Вывод 4 80" xfId="1882" xr:uid="{00000000-0005-0000-0000-00009D0A0000}"/>
    <cellStyle name="Вывод 4 80 2" xfId="6384" xr:uid="{00000000-0005-0000-0000-00009E0A0000}"/>
    <cellStyle name="Вывод 4 81" xfId="1883" xr:uid="{00000000-0005-0000-0000-00009F0A0000}"/>
    <cellStyle name="Вывод 4 81 2" xfId="6385" xr:uid="{00000000-0005-0000-0000-0000A00A0000}"/>
    <cellStyle name="Вывод 4 82" xfId="1884" xr:uid="{00000000-0005-0000-0000-0000A10A0000}"/>
    <cellStyle name="Вывод 4 82 2" xfId="6386" xr:uid="{00000000-0005-0000-0000-0000A20A0000}"/>
    <cellStyle name="Вывод 4 83" xfId="1885" xr:uid="{00000000-0005-0000-0000-0000A30A0000}"/>
    <cellStyle name="Вывод 4 83 2" xfId="6387" xr:uid="{00000000-0005-0000-0000-0000A40A0000}"/>
    <cellStyle name="Вывод 4 84" xfId="1886" xr:uid="{00000000-0005-0000-0000-0000A50A0000}"/>
    <cellStyle name="Вывод 4 84 2" xfId="6388" xr:uid="{00000000-0005-0000-0000-0000A60A0000}"/>
    <cellStyle name="Вывод 4 85" xfId="1887" xr:uid="{00000000-0005-0000-0000-0000A70A0000}"/>
    <cellStyle name="Вывод 4 85 2" xfId="6389" xr:uid="{00000000-0005-0000-0000-0000A80A0000}"/>
    <cellStyle name="Вывод 4 86" xfId="1888" xr:uid="{00000000-0005-0000-0000-0000A90A0000}"/>
    <cellStyle name="Вывод 4 86 2" xfId="6390" xr:uid="{00000000-0005-0000-0000-0000AA0A0000}"/>
    <cellStyle name="Вывод 4 87" xfId="1889" xr:uid="{00000000-0005-0000-0000-0000AB0A0000}"/>
    <cellStyle name="Вывод 4 87 2" xfId="6391" xr:uid="{00000000-0005-0000-0000-0000AC0A0000}"/>
    <cellStyle name="Вывод 4 88" xfId="1890" xr:uid="{00000000-0005-0000-0000-0000AD0A0000}"/>
    <cellStyle name="Вывод 4 88 2" xfId="6392" xr:uid="{00000000-0005-0000-0000-0000AE0A0000}"/>
    <cellStyle name="Вывод 4 89" xfId="1891" xr:uid="{00000000-0005-0000-0000-0000AF0A0000}"/>
    <cellStyle name="Вывод 4 89 2" xfId="6393" xr:uid="{00000000-0005-0000-0000-0000B00A0000}"/>
    <cellStyle name="Вывод 4 9" xfId="1892" xr:uid="{00000000-0005-0000-0000-0000B10A0000}"/>
    <cellStyle name="Вывод 4 9 2" xfId="6394" xr:uid="{00000000-0005-0000-0000-0000B20A0000}"/>
    <cellStyle name="Вывод 4 90" xfId="1893" xr:uid="{00000000-0005-0000-0000-0000B30A0000}"/>
    <cellStyle name="Вывод 4 90 2" xfId="6395" xr:uid="{00000000-0005-0000-0000-0000B40A0000}"/>
    <cellStyle name="Вывод 4 91" xfId="1894" xr:uid="{00000000-0005-0000-0000-0000B50A0000}"/>
    <cellStyle name="Вывод 4 91 2" xfId="6396" xr:uid="{00000000-0005-0000-0000-0000B60A0000}"/>
    <cellStyle name="Вывод 4 92" xfId="6397" xr:uid="{00000000-0005-0000-0000-0000B70A0000}"/>
    <cellStyle name="Вывод 5" xfId="239" xr:uid="{00000000-0005-0000-0000-0000B80A0000}"/>
    <cellStyle name="Вывод 5 10" xfId="1895" xr:uid="{00000000-0005-0000-0000-0000B90A0000}"/>
    <cellStyle name="Вывод 5 10 2" xfId="6398" xr:uid="{00000000-0005-0000-0000-0000BA0A0000}"/>
    <cellStyle name="Вывод 5 11" xfId="1896" xr:uid="{00000000-0005-0000-0000-0000BB0A0000}"/>
    <cellStyle name="Вывод 5 11 2" xfId="6399" xr:uid="{00000000-0005-0000-0000-0000BC0A0000}"/>
    <cellStyle name="Вывод 5 12" xfId="1897" xr:uid="{00000000-0005-0000-0000-0000BD0A0000}"/>
    <cellStyle name="Вывод 5 12 2" xfId="6400" xr:uid="{00000000-0005-0000-0000-0000BE0A0000}"/>
    <cellStyle name="Вывод 5 13" xfId="1898" xr:uid="{00000000-0005-0000-0000-0000BF0A0000}"/>
    <cellStyle name="Вывод 5 13 2" xfId="6401" xr:uid="{00000000-0005-0000-0000-0000C00A0000}"/>
    <cellStyle name="Вывод 5 14" xfId="1899" xr:uid="{00000000-0005-0000-0000-0000C10A0000}"/>
    <cellStyle name="Вывод 5 14 2" xfId="6402" xr:uid="{00000000-0005-0000-0000-0000C20A0000}"/>
    <cellStyle name="Вывод 5 15" xfId="1900" xr:uid="{00000000-0005-0000-0000-0000C30A0000}"/>
    <cellStyle name="Вывод 5 15 2" xfId="6403" xr:uid="{00000000-0005-0000-0000-0000C40A0000}"/>
    <cellStyle name="Вывод 5 16" xfId="1901" xr:uid="{00000000-0005-0000-0000-0000C50A0000}"/>
    <cellStyle name="Вывод 5 16 2" xfId="6404" xr:uid="{00000000-0005-0000-0000-0000C60A0000}"/>
    <cellStyle name="Вывод 5 17" xfId="1902" xr:uid="{00000000-0005-0000-0000-0000C70A0000}"/>
    <cellStyle name="Вывод 5 17 2" xfId="6405" xr:uid="{00000000-0005-0000-0000-0000C80A0000}"/>
    <cellStyle name="Вывод 5 18" xfId="1903" xr:uid="{00000000-0005-0000-0000-0000C90A0000}"/>
    <cellStyle name="Вывод 5 18 2" xfId="6406" xr:uid="{00000000-0005-0000-0000-0000CA0A0000}"/>
    <cellStyle name="Вывод 5 19" xfId="1904" xr:uid="{00000000-0005-0000-0000-0000CB0A0000}"/>
    <cellStyle name="Вывод 5 19 2" xfId="6407" xr:uid="{00000000-0005-0000-0000-0000CC0A0000}"/>
    <cellStyle name="Вывод 5 2" xfId="1905" xr:uid="{00000000-0005-0000-0000-0000CD0A0000}"/>
    <cellStyle name="Вывод 5 2 2" xfId="1906" xr:uid="{00000000-0005-0000-0000-0000CE0A0000}"/>
    <cellStyle name="Вывод 5 2 2 2" xfId="6408" xr:uid="{00000000-0005-0000-0000-0000CF0A0000}"/>
    <cellStyle name="Вывод 5 2 3" xfId="1907" xr:uid="{00000000-0005-0000-0000-0000D00A0000}"/>
    <cellStyle name="Вывод 5 2 3 2" xfId="6409" xr:uid="{00000000-0005-0000-0000-0000D10A0000}"/>
    <cellStyle name="Вывод 5 2 4" xfId="6410" xr:uid="{00000000-0005-0000-0000-0000D20A0000}"/>
    <cellStyle name="Вывод 5 20" xfId="1908" xr:uid="{00000000-0005-0000-0000-0000D30A0000}"/>
    <cellStyle name="Вывод 5 20 2" xfId="6411" xr:uid="{00000000-0005-0000-0000-0000D40A0000}"/>
    <cellStyle name="Вывод 5 21" xfId="1909" xr:uid="{00000000-0005-0000-0000-0000D50A0000}"/>
    <cellStyle name="Вывод 5 21 2" xfId="6412" xr:uid="{00000000-0005-0000-0000-0000D60A0000}"/>
    <cellStyle name="Вывод 5 22" xfId="1910" xr:uid="{00000000-0005-0000-0000-0000D70A0000}"/>
    <cellStyle name="Вывод 5 22 2" xfId="6413" xr:uid="{00000000-0005-0000-0000-0000D80A0000}"/>
    <cellStyle name="Вывод 5 23" xfId="1911" xr:uid="{00000000-0005-0000-0000-0000D90A0000}"/>
    <cellStyle name="Вывод 5 23 2" xfId="6414" xr:uid="{00000000-0005-0000-0000-0000DA0A0000}"/>
    <cellStyle name="Вывод 5 24" xfId="1912" xr:uid="{00000000-0005-0000-0000-0000DB0A0000}"/>
    <cellStyle name="Вывод 5 24 2" xfId="6415" xr:uid="{00000000-0005-0000-0000-0000DC0A0000}"/>
    <cellStyle name="Вывод 5 25" xfId="1913" xr:uid="{00000000-0005-0000-0000-0000DD0A0000}"/>
    <cellStyle name="Вывод 5 25 2" xfId="6416" xr:uid="{00000000-0005-0000-0000-0000DE0A0000}"/>
    <cellStyle name="Вывод 5 26" xfId="1914" xr:uid="{00000000-0005-0000-0000-0000DF0A0000}"/>
    <cellStyle name="Вывод 5 26 2" xfId="6417" xr:uid="{00000000-0005-0000-0000-0000E00A0000}"/>
    <cellStyle name="Вывод 5 27" xfId="1915" xr:uid="{00000000-0005-0000-0000-0000E10A0000}"/>
    <cellStyle name="Вывод 5 27 2" xfId="6418" xr:uid="{00000000-0005-0000-0000-0000E20A0000}"/>
    <cellStyle name="Вывод 5 28" xfId="1916" xr:uid="{00000000-0005-0000-0000-0000E30A0000}"/>
    <cellStyle name="Вывод 5 28 2" xfId="6419" xr:uid="{00000000-0005-0000-0000-0000E40A0000}"/>
    <cellStyle name="Вывод 5 29" xfId="1917" xr:uid="{00000000-0005-0000-0000-0000E50A0000}"/>
    <cellStyle name="Вывод 5 29 2" xfId="6420" xr:uid="{00000000-0005-0000-0000-0000E60A0000}"/>
    <cellStyle name="Вывод 5 3" xfId="1918" xr:uid="{00000000-0005-0000-0000-0000E70A0000}"/>
    <cellStyle name="Вывод 5 3 2" xfId="1919" xr:uid="{00000000-0005-0000-0000-0000E80A0000}"/>
    <cellStyle name="Вывод 5 3 2 2" xfId="6421" xr:uid="{00000000-0005-0000-0000-0000E90A0000}"/>
    <cellStyle name="Вывод 5 3 3" xfId="1920" xr:uid="{00000000-0005-0000-0000-0000EA0A0000}"/>
    <cellStyle name="Вывод 5 3 3 2" xfId="6422" xr:uid="{00000000-0005-0000-0000-0000EB0A0000}"/>
    <cellStyle name="Вывод 5 3 4" xfId="6423" xr:uid="{00000000-0005-0000-0000-0000EC0A0000}"/>
    <cellStyle name="Вывод 5 30" xfId="1921" xr:uid="{00000000-0005-0000-0000-0000ED0A0000}"/>
    <cellStyle name="Вывод 5 30 2" xfId="6424" xr:uid="{00000000-0005-0000-0000-0000EE0A0000}"/>
    <cellStyle name="Вывод 5 31" xfId="1922" xr:uid="{00000000-0005-0000-0000-0000EF0A0000}"/>
    <cellStyle name="Вывод 5 31 2" xfId="6425" xr:uid="{00000000-0005-0000-0000-0000F00A0000}"/>
    <cellStyle name="Вывод 5 32" xfId="1923" xr:uid="{00000000-0005-0000-0000-0000F10A0000}"/>
    <cellStyle name="Вывод 5 32 2" xfId="6426" xr:uid="{00000000-0005-0000-0000-0000F20A0000}"/>
    <cellStyle name="Вывод 5 33" xfId="1924" xr:uid="{00000000-0005-0000-0000-0000F30A0000}"/>
    <cellStyle name="Вывод 5 33 2" xfId="6427" xr:uid="{00000000-0005-0000-0000-0000F40A0000}"/>
    <cellStyle name="Вывод 5 34" xfId="1925" xr:uid="{00000000-0005-0000-0000-0000F50A0000}"/>
    <cellStyle name="Вывод 5 34 2" xfId="6428" xr:uid="{00000000-0005-0000-0000-0000F60A0000}"/>
    <cellStyle name="Вывод 5 35" xfId="1926" xr:uid="{00000000-0005-0000-0000-0000F70A0000}"/>
    <cellStyle name="Вывод 5 35 2" xfId="6429" xr:uid="{00000000-0005-0000-0000-0000F80A0000}"/>
    <cellStyle name="Вывод 5 36" xfId="1927" xr:uid="{00000000-0005-0000-0000-0000F90A0000}"/>
    <cellStyle name="Вывод 5 36 2" xfId="6430" xr:uid="{00000000-0005-0000-0000-0000FA0A0000}"/>
    <cellStyle name="Вывод 5 37" xfId="1928" xr:uid="{00000000-0005-0000-0000-0000FB0A0000}"/>
    <cellStyle name="Вывод 5 37 2" xfId="6431" xr:uid="{00000000-0005-0000-0000-0000FC0A0000}"/>
    <cellStyle name="Вывод 5 38" xfId="1929" xr:uid="{00000000-0005-0000-0000-0000FD0A0000}"/>
    <cellStyle name="Вывод 5 38 2" xfId="6432" xr:uid="{00000000-0005-0000-0000-0000FE0A0000}"/>
    <cellStyle name="Вывод 5 39" xfId="1930" xr:uid="{00000000-0005-0000-0000-0000FF0A0000}"/>
    <cellStyle name="Вывод 5 39 2" xfId="6433" xr:uid="{00000000-0005-0000-0000-0000000B0000}"/>
    <cellStyle name="Вывод 5 4" xfId="1931" xr:uid="{00000000-0005-0000-0000-0000010B0000}"/>
    <cellStyle name="Вывод 5 4 2" xfId="1932" xr:uid="{00000000-0005-0000-0000-0000020B0000}"/>
    <cellStyle name="Вывод 5 4 2 2" xfId="6434" xr:uid="{00000000-0005-0000-0000-0000030B0000}"/>
    <cellStyle name="Вывод 5 4 3" xfId="1933" xr:uid="{00000000-0005-0000-0000-0000040B0000}"/>
    <cellStyle name="Вывод 5 4 3 2" xfId="6435" xr:uid="{00000000-0005-0000-0000-0000050B0000}"/>
    <cellStyle name="Вывод 5 4 4" xfId="6436" xr:uid="{00000000-0005-0000-0000-0000060B0000}"/>
    <cellStyle name="Вывод 5 40" xfId="1934" xr:uid="{00000000-0005-0000-0000-0000070B0000}"/>
    <cellStyle name="Вывод 5 40 2" xfId="6437" xr:uid="{00000000-0005-0000-0000-0000080B0000}"/>
    <cellStyle name="Вывод 5 41" xfId="1935" xr:uid="{00000000-0005-0000-0000-0000090B0000}"/>
    <cellStyle name="Вывод 5 41 2" xfId="6438" xr:uid="{00000000-0005-0000-0000-00000A0B0000}"/>
    <cellStyle name="Вывод 5 42" xfId="1936" xr:uid="{00000000-0005-0000-0000-00000B0B0000}"/>
    <cellStyle name="Вывод 5 42 2" xfId="6439" xr:uid="{00000000-0005-0000-0000-00000C0B0000}"/>
    <cellStyle name="Вывод 5 43" xfId="1937" xr:uid="{00000000-0005-0000-0000-00000D0B0000}"/>
    <cellStyle name="Вывод 5 43 2" xfId="6440" xr:uid="{00000000-0005-0000-0000-00000E0B0000}"/>
    <cellStyle name="Вывод 5 44" xfId="1938" xr:uid="{00000000-0005-0000-0000-00000F0B0000}"/>
    <cellStyle name="Вывод 5 44 2" xfId="6441" xr:uid="{00000000-0005-0000-0000-0000100B0000}"/>
    <cellStyle name="Вывод 5 45" xfId="1939" xr:uid="{00000000-0005-0000-0000-0000110B0000}"/>
    <cellStyle name="Вывод 5 45 2" xfId="6442" xr:uid="{00000000-0005-0000-0000-0000120B0000}"/>
    <cellStyle name="Вывод 5 46" xfId="1940" xr:uid="{00000000-0005-0000-0000-0000130B0000}"/>
    <cellStyle name="Вывод 5 46 2" xfId="6443" xr:uid="{00000000-0005-0000-0000-0000140B0000}"/>
    <cellStyle name="Вывод 5 47" xfId="1941" xr:uid="{00000000-0005-0000-0000-0000150B0000}"/>
    <cellStyle name="Вывод 5 47 2" xfId="6444" xr:uid="{00000000-0005-0000-0000-0000160B0000}"/>
    <cellStyle name="Вывод 5 48" xfId="1942" xr:uid="{00000000-0005-0000-0000-0000170B0000}"/>
    <cellStyle name="Вывод 5 48 2" xfId="6445" xr:uid="{00000000-0005-0000-0000-0000180B0000}"/>
    <cellStyle name="Вывод 5 49" xfId="1943" xr:uid="{00000000-0005-0000-0000-0000190B0000}"/>
    <cellStyle name="Вывод 5 49 2" xfId="6446" xr:uid="{00000000-0005-0000-0000-00001A0B0000}"/>
    <cellStyle name="Вывод 5 5" xfId="1944" xr:uid="{00000000-0005-0000-0000-00001B0B0000}"/>
    <cellStyle name="Вывод 5 5 2" xfId="6447" xr:uid="{00000000-0005-0000-0000-00001C0B0000}"/>
    <cellStyle name="Вывод 5 50" xfId="1945" xr:uid="{00000000-0005-0000-0000-00001D0B0000}"/>
    <cellStyle name="Вывод 5 50 2" xfId="6448" xr:uid="{00000000-0005-0000-0000-00001E0B0000}"/>
    <cellStyle name="Вывод 5 51" xfId="1946" xr:uid="{00000000-0005-0000-0000-00001F0B0000}"/>
    <cellStyle name="Вывод 5 51 2" xfId="6449" xr:uid="{00000000-0005-0000-0000-0000200B0000}"/>
    <cellStyle name="Вывод 5 52" xfId="1947" xr:uid="{00000000-0005-0000-0000-0000210B0000}"/>
    <cellStyle name="Вывод 5 52 2" xfId="6450" xr:uid="{00000000-0005-0000-0000-0000220B0000}"/>
    <cellStyle name="Вывод 5 53" xfId="1948" xr:uid="{00000000-0005-0000-0000-0000230B0000}"/>
    <cellStyle name="Вывод 5 53 2" xfId="6451" xr:uid="{00000000-0005-0000-0000-0000240B0000}"/>
    <cellStyle name="Вывод 5 54" xfId="1949" xr:uid="{00000000-0005-0000-0000-0000250B0000}"/>
    <cellStyle name="Вывод 5 54 2" xfId="6452" xr:uid="{00000000-0005-0000-0000-0000260B0000}"/>
    <cellStyle name="Вывод 5 55" xfId="1950" xr:uid="{00000000-0005-0000-0000-0000270B0000}"/>
    <cellStyle name="Вывод 5 55 2" xfId="6453" xr:uid="{00000000-0005-0000-0000-0000280B0000}"/>
    <cellStyle name="Вывод 5 56" xfId="1951" xr:uid="{00000000-0005-0000-0000-0000290B0000}"/>
    <cellStyle name="Вывод 5 56 2" xfId="6454" xr:uid="{00000000-0005-0000-0000-00002A0B0000}"/>
    <cellStyle name="Вывод 5 57" xfId="1952" xr:uid="{00000000-0005-0000-0000-00002B0B0000}"/>
    <cellStyle name="Вывод 5 57 2" xfId="6455" xr:uid="{00000000-0005-0000-0000-00002C0B0000}"/>
    <cellStyle name="Вывод 5 58" xfId="1953" xr:uid="{00000000-0005-0000-0000-00002D0B0000}"/>
    <cellStyle name="Вывод 5 58 2" xfId="6456" xr:uid="{00000000-0005-0000-0000-00002E0B0000}"/>
    <cellStyle name="Вывод 5 59" xfId="1954" xr:uid="{00000000-0005-0000-0000-00002F0B0000}"/>
    <cellStyle name="Вывод 5 59 2" xfId="6457" xr:uid="{00000000-0005-0000-0000-0000300B0000}"/>
    <cellStyle name="Вывод 5 6" xfId="1955" xr:uid="{00000000-0005-0000-0000-0000310B0000}"/>
    <cellStyle name="Вывод 5 6 2" xfId="6458" xr:uid="{00000000-0005-0000-0000-0000320B0000}"/>
    <cellStyle name="Вывод 5 60" xfId="1956" xr:uid="{00000000-0005-0000-0000-0000330B0000}"/>
    <cellStyle name="Вывод 5 60 2" xfId="6459" xr:uid="{00000000-0005-0000-0000-0000340B0000}"/>
    <cellStyle name="Вывод 5 61" xfId="1957" xr:uid="{00000000-0005-0000-0000-0000350B0000}"/>
    <cellStyle name="Вывод 5 61 2" xfId="6460" xr:uid="{00000000-0005-0000-0000-0000360B0000}"/>
    <cellStyle name="Вывод 5 62" xfId="1958" xr:uid="{00000000-0005-0000-0000-0000370B0000}"/>
    <cellStyle name="Вывод 5 62 2" xfId="6461" xr:uid="{00000000-0005-0000-0000-0000380B0000}"/>
    <cellStyle name="Вывод 5 63" xfId="1959" xr:uid="{00000000-0005-0000-0000-0000390B0000}"/>
    <cellStyle name="Вывод 5 63 2" xfId="6462" xr:uid="{00000000-0005-0000-0000-00003A0B0000}"/>
    <cellStyle name="Вывод 5 64" xfId="1960" xr:uid="{00000000-0005-0000-0000-00003B0B0000}"/>
    <cellStyle name="Вывод 5 64 2" xfId="6463" xr:uid="{00000000-0005-0000-0000-00003C0B0000}"/>
    <cellStyle name="Вывод 5 65" xfId="1961" xr:uid="{00000000-0005-0000-0000-00003D0B0000}"/>
    <cellStyle name="Вывод 5 65 2" xfId="6464" xr:uid="{00000000-0005-0000-0000-00003E0B0000}"/>
    <cellStyle name="Вывод 5 66" xfId="1962" xr:uid="{00000000-0005-0000-0000-00003F0B0000}"/>
    <cellStyle name="Вывод 5 66 2" xfId="6465" xr:uid="{00000000-0005-0000-0000-0000400B0000}"/>
    <cellStyle name="Вывод 5 67" xfId="1963" xr:uid="{00000000-0005-0000-0000-0000410B0000}"/>
    <cellStyle name="Вывод 5 67 2" xfId="6466" xr:uid="{00000000-0005-0000-0000-0000420B0000}"/>
    <cellStyle name="Вывод 5 68" xfId="1964" xr:uid="{00000000-0005-0000-0000-0000430B0000}"/>
    <cellStyle name="Вывод 5 68 2" xfId="6467" xr:uid="{00000000-0005-0000-0000-0000440B0000}"/>
    <cellStyle name="Вывод 5 69" xfId="1965" xr:uid="{00000000-0005-0000-0000-0000450B0000}"/>
    <cellStyle name="Вывод 5 69 2" xfId="6468" xr:uid="{00000000-0005-0000-0000-0000460B0000}"/>
    <cellStyle name="Вывод 5 7" xfId="1966" xr:uid="{00000000-0005-0000-0000-0000470B0000}"/>
    <cellStyle name="Вывод 5 7 2" xfId="6469" xr:uid="{00000000-0005-0000-0000-0000480B0000}"/>
    <cellStyle name="Вывод 5 70" xfId="1967" xr:uid="{00000000-0005-0000-0000-0000490B0000}"/>
    <cellStyle name="Вывод 5 70 2" xfId="6470" xr:uid="{00000000-0005-0000-0000-00004A0B0000}"/>
    <cellStyle name="Вывод 5 71" xfId="1968" xr:uid="{00000000-0005-0000-0000-00004B0B0000}"/>
    <cellStyle name="Вывод 5 71 2" xfId="6471" xr:uid="{00000000-0005-0000-0000-00004C0B0000}"/>
    <cellStyle name="Вывод 5 72" xfId="1969" xr:uid="{00000000-0005-0000-0000-00004D0B0000}"/>
    <cellStyle name="Вывод 5 72 2" xfId="6472" xr:uid="{00000000-0005-0000-0000-00004E0B0000}"/>
    <cellStyle name="Вывод 5 73" xfId="1970" xr:uid="{00000000-0005-0000-0000-00004F0B0000}"/>
    <cellStyle name="Вывод 5 73 2" xfId="6473" xr:uid="{00000000-0005-0000-0000-0000500B0000}"/>
    <cellStyle name="Вывод 5 74" xfId="1971" xr:uid="{00000000-0005-0000-0000-0000510B0000}"/>
    <cellStyle name="Вывод 5 74 2" xfId="6474" xr:uid="{00000000-0005-0000-0000-0000520B0000}"/>
    <cellStyle name="Вывод 5 75" xfId="1972" xr:uid="{00000000-0005-0000-0000-0000530B0000}"/>
    <cellStyle name="Вывод 5 75 2" xfId="6475" xr:uid="{00000000-0005-0000-0000-0000540B0000}"/>
    <cellStyle name="Вывод 5 76" xfId="1973" xr:uid="{00000000-0005-0000-0000-0000550B0000}"/>
    <cellStyle name="Вывод 5 76 2" xfId="6476" xr:uid="{00000000-0005-0000-0000-0000560B0000}"/>
    <cellStyle name="Вывод 5 77" xfId="1974" xr:uid="{00000000-0005-0000-0000-0000570B0000}"/>
    <cellStyle name="Вывод 5 77 2" xfId="6477" xr:uid="{00000000-0005-0000-0000-0000580B0000}"/>
    <cellStyle name="Вывод 5 78" xfId="1975" xr:uid="{00000000-0005-0000-0000-0000590B0000}"/>
    <cellStyle name="Вывод 5 78 2" xfId="6478" xr:uid="{00000000-0005-0000-0000-00005A0B0000}"/>
    <cellStyle name="Вывод 5 79" xfId="1976" xr:uid="{00000000-0005-0000-0000-00005B0B0000}"/>
    <cellStyle name="Вывод 5 79 2" xfId="6479" xr:uid="{00000000-0005-0000-0000-00005C0B0000}"/>
    <cellStyle name="Вывод 5 8" xfId="1977" xr:uid="{00000000-0005-0000-0000-00005D0B0000}"/>
    <cellStyle name="Вывод 5 8 2" xfId="6480" xr:uid="{00000000-0005-0000-0000-00005E0B0000}"/>
    <cellStyle name="Вывод 5 80" xfId="1978" xr:uid="{00000000-0005-0000-0000-00005F0B0000}"/>
    <cellStyle name="Вывод 5 80 2" xfId="6481" xr:uid="{00000000-0005-0000-0000-0000600B0000}"/>
    <cellStyle name="Вывод 5 81" xfId="1979" xr:uid="{00000000-0005-0000-0000-0000610B0000}"/>
    <cellStyle name="Вывод 5 81 2" xfId="6482" xr:uid="{00000000-0005-0000-0000-0000620B0000}"/>
    <cellStyle name="Вывод 5 82" xfId="1980" xr:uid="{00000000-0005-0000-0000-0000630B0000}"/>
    <cellStyle name="Вывод 5 82 2" xfId="6483" xr:uid="{00000000-0005-0000-0000-0000640B0000}"/>
    <cellStyle name="Вывод 5 83" xfId="1981" xr:uid="{00000000-0005-0000-0000-0000650B0000}"/>
    <cellStyle name="Вывод 5 83 2" xfId="6484" xr:uid="{00000000-0005-0000-0000-0000660B0000}"/>
    <cellStyle name="Вывод 5 84" xfId="1982" xr:uid="{00000000-0005-0000-0000-0000670B0000}"/>
    <cellStyle name="Вывод 5 84 2" xfId="6485" xr:uid="{00000000-0005-0000-0000-0000680B0000}"/>
    <cellStyle name="Вывод 5 85" xfId="1983" xr:uid="{00000000-0005-0000-0000-0000690B0000}"/>
    <cellStyle name="Вывод 5 85 2" xfId="6486" xr:uid="{00000000-0005-0000-0000-00006A0B0000}"/>
    <cellStyle name="Вывод 5 86" xfId="1984" xr:uid="{00000000-0005-0000-0000-00006B0B0000}"/>
    <cellStyle name="Вывод 5 86 2" xfId="6487" xr:uid="{00000000-0005-0000-0000-00006C0B0000}"/>
    <cellStyle name="Вывод 5 87" xfId="1985" xr:uid="{00000000-0005-0000-0000-00006D0B0000}"/>
    <cellStyle name="Вывод 5 87 2" xfId="6488" xr:uid="{00000000-0005-0000-0000-00006E0B0000}"/>
    <cellStyle name="Вывод 5 88" xfId="1986" xr:uid="{00000000-0005-0000-0000-00006F0B0000}"/>
    <cellStyle name="Вывод 5 88 2" xfId="6489" xr:uid="{00000000-0005-0000-0000-0000700B0000}"/>
    <cellStyle name="Вывод 5 89" xfId="1987" xr:uid="{00000000-0005-0000-0000-0000710B0000}"/>
    <cellStyle name="Вывод 5 89 2" xfId="6490" xr:uid="{00000000-0005-0000-0000-0000720B0000}"/>
    <cellStyle name="Вывод 5 9" xfId="1988" xr:uid="{00000000-0005-0000-0000-0000730B0000}"/>
    <cellStyle name="Вывод 5 9 2" xfId="6491" xr:uid="{00000000-0005-0000-0000-0000740B0000}"/>
    <cellStyle name="Вывод 5 90" xfId="1989" xr:uid="{00000000-0005-0000-0000-0000750B0000}"/>
    <cellStyle name="Вывод 5 90 2" xfId="6492" xr:uid="{00000000-0005-0000-0000-0000760B0000}"/>
    <cellStyle name="Вывод 5 91" xfId="1990" xr:uid="{00000000-0005-0000-0000-0000770B0000}"/>
    <cellStyle name="Вывод 5 91 2" xfId="6493" xr:uid="{00000000-0005-0000-0000-0000780B0000}"/>
    <cellStyle name="Вывод 5 92" xfId="6494" xr:uid="{00000000-0005-0000-0000-0000790B0000}"/>
    <cellStyle name="Вывод 6" xfId="240" xr:uid="{00000000-0005-0000-0000-00007A0B0000}"/>
    <cellStyle name="Вывод 6 10" xfId="1991" xr:uid="{00000000-0005-0000-0000-00007B0B0000}"/>
    <cellStyle name="Вывод 6 10 2" xfId="6495" xr:uid="{00000000-0005-0000-0000-00007C0B0000}"/>
    <cellStyle name="Вывод 6 11" xfId="1992" xr:uid="{00000000-0005-0000-0000-00007D0B0000}"/>
    <cellStyle name="Вывод 6 11 2" xfId="6496" xr:uid="{00000000-0005-0000-0000-00007E0B0000}"/>
    <cellStyle name="Вывод 6 12" xfId="1993" xr:uid="{00000000-0005-0000-0000-00007F0B0000}"/>
    <cellStyle name="Вывод 6 12 2" xfId="6497" xr:uid="{00000000-0005-0000-0000-0000800B0000}"/>
    <cellStyle name="Вывод 6 13" xfId="1994" xr:uid="{00000000-0005-0000-0000-0000810B0000}"/>
    <cellStyle name="Вывод 6 13 2" xfId="6498" xr:uid="{00000000-0005-0000-0000-0000820B0000}"/>
    <cellStyle name="Вывод 6 14" xfId="1995" xr:uid="{00000000-0005-0000-0000-0000830B0000}"/>
    <cellStyle name="Вывод 6 14 2" xfId="6499" xr:uid="{00000000-0005-0000-0000-0000840B0000}"/>
    <cellStyle name="Вывод 6 15" xfId="1996" xr:uid="{00000000-0005-0000-0000-0000850B0000}"/>
    <cellStyle name="Вывод 6 15 2" xfId="6500" xr:uid="{00000000-0005-0000-0000-0000860B0000}"/>
    <cellStyle name="Вывод 6 16" xfId="1997" xr:uid="{00000000-0005-0000-0000-0000870B0000}"/>
    <cellStyle name="Вывод 6 16 2" xfId="6501" xr:uid="{00000000-0005-0000-0000-0000880B0000}"/>
    <cellStyle name="Вывод 6 17" xfId="1998" xr:uid="{00000000-0005-0000-0000-0000890B0000}"/>
    <cellStyle name="Вывод 6 17 2" xfId="6502" xr:uid="{00000000-0005-0000-0000-00008A0B0000}"/>
    <cellStyle name="Вывод 6 18" xfId="1999" xr:uid="{00000000-0005-0000-0000-00008B0B0000}"/>
    <cellStyle name="Вывод 6 18 2" xfId="6503" xr:uid="{00000000-0005-0000-0000-00008C0B0000}"/>
    <cellStyle name="Вывод 6 19" xfId="2000" xr:uid="{00000000-0005-0000-0000-00008D0B0000}"/>
    <cellStyle name="Вывод 6 19 2" xfId="6504" xr:uid="{00000000-0005-0000-0000-00008E0B0000}"/>
    <cellStyle name="Вывод 6 2" xfId="2001" xr:uid="{00000000-0005-0000-0000-00008F0B0000}"/>
    <cellStyle name="Вывод 6 2 2" xfId="2002" xr:uid="{00000000-0005-0000-0000-0000900B0000}"/>
    <cellStyle name="Вывод 6 2 2 2" xfId="6505" xr:uid="{00000000-0005-0000-0000-0000910B0000}"/>
    <cellStyle name="Вывод 6 2 3" xfId="2003" xr:uid="{00000000-0005-0000-0000-0000920B0000}"/>
    <cellStyle name="Вывод 6 2 3 2" xfId="6506" xr:uid="{00000000-0005-0000-0000-0000930B0000}"/>
    <cellStyle name="Вывод 6 2 4" xfId="6507" xr:uid="{00000000-0005-0000-0000-0000940B0000}"/>
    <cellStyle name="Вывод 6 20" xfId="2004" xr:uid="{00000000-0005-0000-0000-0000950B0000}"/>
    <cellStyle name="Вывод 6 20 2" xfId="6508" xr:uid="{00000000-0005-0000-0000-0000960B0000}"/>
    <cellStyle name="Вывод 6 21" xfId="2005" xr:uid="{00000000-0005-0000-0000-0000970B0000}"/>
    <cellStyle name="Вывод 6 21 2" xfId="6509" xr:uid="{00000000-0005-0000-0000-0000980B0000}"/>
    <cellStyle name="Вывод 6 22" xfId="2006" xr:uid="{00000000-0005-0000-0000-0000990B0000}"/>
    <cellStyle name="Вывод 6 22 2" xfId="6510" xr:uid="{00000000-0005-0000-0000-00009A0B0000}"/>
    <cellStyle name="Вывод 6 23" xfId="2007" xr:uid="{00000000-0005-0000-0000-00009B0B0000}"/>
    <cellStyle name="Вывод 6 23 2" xfId="6511" xr:uid="{00000000-0005-0000-0000-00009C0B0000}"/>
    <cellStyle name="Вывод 6 24" xfId="2008" xr:uid="{00000000-0005-0000-0000-00009D0B0000}"/>
    <cellStyle name="Вывод 6 24 2" xfId="6512" xr:uid="{00000000-0005-0000-0000-00009E0B0000}"/>
    <cellStyle name="Вывод 6 25" xfId="2009" xr:uid="{00000000-0005-0000-0000-00009F0B0000}"/>
    <cellStyle name="Вывод 6 25 2" xfId="6513" xr:uid="{00000000-0005-0000-0000-0000A00B0000}"/>
    <cellStyle name="Вывод 6 26" xfId="2010" xr:uid="{00000000-0005-0000-0000-0000A10B0000}"/>
    <cellStyle name="Вывод 6 26 2" xfId="6514" xr:uid="{00000000-0005-0000-0000-0000A20B0000}"/>
    <cellStyle name="Вывод 6 27" xfId="2011" xr:uid="{00000000-0005-0000-0000-0000A30B0000}"/>
    <cellStyle name="Вывод 6 27 2" xfId="6515" xr:uid="{00000000-0005-0000-0000-0000A40B0000}"/>
    <cellStyle name="Вывод 6 28" xfId="2012" xr:uid="{00000000-0005-0000-0000-0000A50B0000}"/>
    <cellStyle name="Вывод 6 28 2" xfId="6516" xr:uid="{00000000-0005-0000-0000-0000A60B0000}"/>
    <cellStyle name="Вывод 6 29" xfId="2013" xr:uid="{00000000-0005-0000-0000-0000A70B0000}"/>
    <cellStyle name="Вывод 6 29 2" xfId="6517" xr:uid="{00000000-0005-0000-0000-0000A80B0000}"/>
    <cellStyle name="Вывод 6 3" xfId="2014" xr:uid="{00000000-0005-0000-0000-0000A90B0000}"/>
    <cellStyle name="Вывод 6 3 2" xfId="2015" xr:uid="{00000000-0005-0000-0000-0000AA0B0000}"/>
    <cellStyle name="Вывод 6 3 2 2" xfId="6518" xr:uid="{00000000-0005-0000-0000-0000AB0B0000}"/>
    <cellStyle name="Вывод 6 3 3" xfId="2016" xr:uid="{00000000-0005-0000-0000-0000AC0B0000}"/>
    <cellStyle name="Вывод 6 3 3 2" xfId="6519" xr:uid="{00000000-0005-0000-0000-0000AD0B0000}"/>
    <cellStyle name="Вывод 6 3 4" xfId="6520" xr:uid="{00000000-0005-0000-0000-0000AE0B0000}"/>
    <cellStyle name="Вывод 6 30" xfId="2017" xr:uid="{00000000-0005-0000-0000-0000AF0B0000}"/>
    <cellStyle name="Вывод 6 30 2" xfId="6521" xr:uid="{00000000-0005-0000-0000-0000B00B0000}"/>
    <cellStyle name="Вывод 6 31" xfId="2018" xr:uid="{00000000-0005-0000-0000-0000B10B0000}"/>
    <cellStyle name="Вывод 6 31 2" xfId="6522" xr:uid="{00000000-0005-0000-0000-0000B20B0000}"/>
    <cellStyle name="Вывод 6 32" xfId="2019" xr:uid="{00000000-0005-0000-0000-0000B30B0000}"/>
    <cellStyle name="Вывод 6 32 2" xfId="6523" xr:uid="{00000000-0005-0000-0000-0000B40B0000}"/>
    <cellStyle name="Вывод 6 33" xfId="2020" xr:uid="{00000000-0005-0000-0000-0000B50B0000}"/>
    <cellStyle name="Вывод 6 33 2" xfId="6524" xr:uid="{00000000-0005-0000-0000-0000B60B0000}"/>
    <cellStyle name="Вывод 6 34" xfId="2021" xr:uid="{00000000-0005-0000-0000-0000B70B0000}"/>
    <cellStyle name="Вывод 6 34 2" xfId="6525" xr:uid="{00000000-0005-0000-0000-0000B80B0000}"/>
    <cellStyle name="Вывод 6 35" xfId="2022" xr:uid="{00000000-0005-0000-0000-0000B90B0000}"/>
    <cellStyle name="Вывод 6 35 2" xfId="6526" xr:uid="{00000000-0005-0000-0000-0000BA0B0000}"/>
    <cellStyle name="Вывод 6 36" xfId="2023" xr:uid="{00000000-0005-0000-0000-0000BB0B0000}"/>
    <cellStyle name="Вывод 6 36 2" xfId="6527" xr:uid="{00000000-0005-0000-0000-0000BC0B0000}"/>
    <cellStyle name="Вывод 6 37" xfId="2024" xr:uid="{00000000-0005-0000-0000-0000BD0B0000}"/>
    <cellStyle name="Вывод 6 37 2" xfId="6528" xr:uid="{00000000-0005-0000-0000-0000BE0B0000}"/>
    <cellStyle name="Вывод 6 38" xfId="2025" xr:uid="{00000000-0005-0000-0000-0000BF0B0000}"/>
    <cellStyle name="Вывод 6 38 2" xfId="6529" xr:uid="{00000000-0005-0000-0000-0000C00B0000}"/>
    <cellStyle name="Вывод 6 39" xfId="2026" xr:uid="{00000000-0005-0000-0000-0000C10B0000}"/>
    <cellStyle name="Вывод 6 39 2" xfId="6530" xr:uid="{00000000-0005-0000-0000-0000C20B0000}"/>
    <cellStyle name="Вывод 6 4" xfId="2027" xr:uid="{00000000-0005-0000-0000-0000C30B0000}"/>
    <cellStyle name="Вывод 6 4 2" xfId="2028" xr:uid="{00000000-0005-0000-0000-0000C40B0000}"/>
    <cellStyle name="Вывод 6 4 2 2" xfId="6531" xr:uid="{00000000-0005-0000-0000-0000C50B0000}"/>
    <cellStyle name="Вывод 6 4 3" xfId="2029" xr:uid="{00000000-0005-0000-0000-0000C60B0000}"/>
    <cellStyle name="Вывод 6 4 3 2" xfId="6532" xr:uid="{00000000-0005-0000-0000-0000C70B0000}"/>
    <cellStyle name="Вывод 6 4 4" xfId="6533" xr:uid="{00000000-0005-0000-0000-0000C80B0000}"/>
    <cellStyle name="Вывод 6 40" xfId="2030" xr:uid="{00000000-0005-0000-0000-0000C90B0000}"/>
    <cellStyle name="Вывод 6 40 2" xfId="6534" xr:uid="{00000000-0005-0000-0000-0000CA0B0000}"/>
    <cellStyle name="Вывод 6 41" xfId="2031" xr:uid="{00000000-0005-0000-0000-0000CB0B0000}"/>
    <cellStyle name="Вывод 6 41 2" xfId="6535" xr:uid="{00000000-0005-0000-0000-0000CC0B0000}"/>
    <cellStyle name="Вывод 6 42" xfId="2032" xr:uid="{00000000-0005-0000-0000-0000CD0B0000}"/>
    <cellStyle name="Вывод 6 42 2" xfId="6536" xr:uid="{00000000-0005-0000-0000-0000CE0B0000}"/>
    <cellStyle name="Вывод 6 43" xfId="2033" xr:uid="{00000000-0005-0000-0000-0000CF0B0000}"/>
    <cellStyle name="Вывод 6 43 2" xfId="6537" xr:uid="{00000000-0005-0000-0000-0000D00B0000}"/>
    <cellStyle name="Вывод 6 44" xfId="2034" xr:uid="{00000000-0005-0000-0000-0000D10B0000}"/>
    <cellStyle name="Вывод 6 44 2" xfId="6538" xr:uid="{00000000-0005-0000-0000-0000D20B0000}"/>
    <cellStyle name="Вывод 6 45" xfId="2035" xr:uid="{00000000-0005-0000-0000-0000D30B0000}"/>
    <cellStyle name="Вывод 6 45 2" xfId="6539" xr:uid="{00000000-0005-0000-0000-0000D40B0000}"/>
    <cellStyle name="Вывод 6 46" xfId="2036" xr:uid="{00000000-0005-0000-0000-0000D50B0000}"/>
    <cellStyle name="Вывод 6 46 2" xfId="6540" xr:uid="{00000000-0005-0000-0000-0000D60B0000}"/>
    <cellStyle name="Вывод 6 47" xfId="2037" xr:uid="{00000000-0005-0000-0000-0000D70B0000}"/>
    <cellStyle name="Вывод 6 47 2" xfId="6541" xr:uid="{00000000-0005-0000-0000-0000D80B0000}"/>
    <cellStyle name="Вывод 6 48" xfId="2038" xr:uid="{00000000-0005-0000-0000-0000D90B0000}"/>
    <cellStyle name="Вывод 6 48 2" xfId="6542" xr:uid="{00000000-0005-0000-0000-0000DA0B0000}"/>
    <cellStyle name="Вывод 6 49" xfId="2039" xr:uid="{00000000-0005-0000-0000-0000DB0B0000}"/>
    <cellStyle name="Вывод 6 49 2" xfId="6543" xr:uid="{00000000-0005-0000-0000-0000DC0B0000}"/>
    <cellStyle name="Вывод 6 5" xfId="2040" xr:uid="{00000000-0005-0000-0000-0000DD0B0000}"/>
    <cellStyle name="Вывод 6 5 2" xfId="6544" xr:uid="{00000000-0005-0000-0000-0000DE0B0000}"/>
    <cellStyle name="Вывод 6 50" xfId="2041" xr:uid="{00000000-0005-0000-0000-0000DF0B0000}"/>
    <cellStyle name="Вывод 6 50 2" xfId="6545" xr:uid="{00000000-0005-0000-0000-0000E00B0000}"/>
    <cellStyle name="Вывод 6 51" xfId="2042" xr:uid="{00000000-0005-0000-0000-0000E10B0000}"/>
    <cellStyle name="Вывод 6 51 2" xfId="6546" xr:uid="{00000000-0005-0000-0000-0000E20B0000}"/>
    <cellStyle name="Вывод 6 52" xfId="2043" xr:uid="{00000000-0005-0000-0000-0000E30B0000}"/>
    <cellStyle name="Вывод 6 52 2" xfId="6547" xr:uid="{00000000-0005-0000-0000-0000E40B0000}"/>
    <cellStyle name="Вывод 6 53" xfId="2044" xr:uid="{00000000-0005-0000-0000-0000E50B0000}"/>
    <cellStyle name="Вывод 6 53 2" xfId="6548" xr:uid="{00000000-0005-0000-0000-0000E60B0000}"/>
    <cellStyle name="Вывод 6 54" xfId="2045" xr:uid="{00000000-0005-0000-0000-0000E70B0000}"/>
    <cellStyle name="Вывод 6 54 2" xfId="6549" xr:uid="{00000000-0005-0000-0000-0000E80B0000}"/>
    <cellStyle name="Вывод 6 55" xfId="2046" xr:uid="{00000000-0005-0000-0000-0000E90B0000}"/>
    <cellStyle name="Вывод 6 55 2" xfId="6550" xr:uid="{00000000-0005-0000-0000-0000EA0B0000}"/>
    <cellStyle name="Вывод 6 56" xfId="2047" xr:uid="{00000000-0005-0000-0000-0000EB0B0000}"/>
    <cellStyle name="Вывод 6 56 2" xfId="6551" xr:uid="{00000000-0005-0000-0000-0000EC0B0000}"/>
    <cellStyle name="Вывод 6 57" xfId="2048" xr:uid="{00000000-0005-0000-0000-0000ED0B0000}"/>
    <cellStyle name="Вывод 6 57 2" xfId="6552" xr:uid="{00000000-0005-0000-0000-0000EE0B0000}"/>
    <cellStyle name="Вывод 6 58" xfId="2049" xr:uid="{00000000-0005-0000-0000-0000EF0B0000}"/>
    <cellStyle name="Вывод 6 58 2" xfId="6553" xr:uid="{00000000-0005-0000-0000-0000F00B0000}"/>
    <cellStyle name="Вывод 6 59" xfId="2050" xr:uid="{00000000-0005-0000-0000-0000F10B0000}"/>
    <cellStyle name="Вывод 6 59 2" xfId="6554" xr:uid="{00000000-0005-0000-0000-0000F20B0000}"/>
    <cellStyle name="Вывод 6 6" xfId="2051" xr:uid="{00000000-0005-0000-0000-0000F30B0000}"/>
    <cellStyle name="Вывод 6 6 2" xfId="6555" xr:uid="{00000000-0005-0000-0000-0000F40B0000}"/>
    <cellStyle name="Вывод 6 60" xfId="2052" xr:uid="{00000000-0005-0000-0000-0000F50B0000}"/>
    <cellStyle name="Вывод 6 60 2" xfId="6556" xr:uid="{00000000-0005-0000-0000-0000F60B0000}"/>
    <cellStyle name="Вывод 6 61" xfId="2053" xr:uid="{00000000-0005-0000-0000-0000F70B0000}"/>
    <cellStyle name="Вывод 6 61 2" xfId="6557" xr:uid="{00000000-0005-0000-0000-0000F80B0000}"/>
    <cellStyle name="Вывод 6 62" xfId="2054" xr:uid="{00000000-0005-0000-0000-0000F90B0000}"/>
    <cellStyle name="Вывод 6 62 2" xfId="6558" xr:uid="{00000000-0005-0000-0000-0000FA0B0000}"/>
    <cellStyle name="Вывод 6 63" xfId="2055" xr:uid="{00000000-0005-0000-0000-0000FB0B0000}"/>
    <cellStyle name="Вывод 6 63 2" xfId="6559" xr:uid="{00000000-0005-0000-0000-0000FC0B0000}"/>
    <cellStyle name="Вывод 6 64" xfId="2056" xr:uid="{00000000-0005-0000-0000-0000FD0B0000}"/>
    <cellStyle name="Вывод 6 64 2" xfId="6560" xr:uid="{00000000-0005-0000-0000-0000FE0B0000}"/>
    <cellStyle name="Вывод 6 65" xfId="2057" xr:uid="{00000000-0005-0000-0000-0000FF0B0000}"/>
    <cellStyle name="Вывод 6 65 2" xfId="6561" xr:uid="{00000000-0005-0000-0000-0000000C0000}"/>
    <cellStyle name="Вывод 6 66" xfId="2058" xr:uid="{00000000-0005-0000-0000-0000010C0000}"/>
    <cellStyle name="Вывод 6 66 2" xfId="6562" xr:uid="{00000000-0005-0000-0000-0000020C0000}"/>
    <cellStyle name="Вывод 6 67" xfId="2059" xr:uid="{00000000-0005-0000-0000-0000030C0000}"/>
    <cellStyle name="Вывод 6 67 2" xfId="6563" xr:uid="{00000000-0005-0000-0000-0000040C0000}"/>
    <cellStyle name="Вывод 6 68" xfId="2060" xr:uid="{00000000-0005-0000-0000-0000050C0000}"/>
    <cellStyle name="Вывод 6 68 2" xfId="6564" xr:uid="{00000000-0005-0000-0000-0000060C0000}"/>
    <cellStyle name="Вывод 6 69" xfId="2061" xr:uid="{00000000-0005-0000-0000-0000070C0000}"/>
    <cellStyle name="Вывод 6 69 2" xfId="6565" xr:uid="{00000000-0005-0000-0000-0000080C0000}"/>
    <cellStyle name="Вывод 6 7" xfId="2062" xr:uid="{00000000-0005-0000-0000-0000090C0000}"/>
    <cellStyle name="Вывод 6 7 2" xfId="6566" xr:uid="{00000000-0005-0000-0000-00000A0C0000}"/>
    <cellStyle name="Вывод 6 70" xfId="2063" xr:uid="{00000000-0005-0000-0000-00000B0C0000}"/>
    <cellStyle name="Вывод 6 70 2" xfId="6567" xr:uid="{00000000-0005-0000-0000-00000C0C0000}"/>
    <cellStyle name="Вывод 6 71" xfId="2064" xr:uid="{00000000-0005-0000-0000-00000D0C0000}"/>
    <cellStyle name="Вывод 6 71 2" xfId="6568" xr:uid="{00000000-0005-0000-0000-00000E0C0000}"/>
    <cellStyle name="Вывод 6 72" xfId="2065" xr:uid="{00000000-0005-0000-0000-00000F0C0000}"/>
    <cellStyle name="Вывод 6 72 2" xfId="6569" xr:uid="{00000000-0005-0000-0000-0000100C0000}"/>
    <cellStyle name="Вывод 6 73" xfId="2066" xr:uid="{00000000-0005-0000-0000-0000110C0000}"/>
    <cellStyle name="Вывод 6 73 2" xfId="6570" xr:uid="{00000000-0005-0000-0000-0000120C0000}"/>
    <cellStyle name="Вывод 6 74" xfId="2067" xr:uid="{00000000-0005-0000-0000-0000130C0000}"/>
    <cellStyle name="Вывод 6 74 2" xfId="6571" xr:uid="{00000000-0005-0000-0000-0000140C0000}"/>
    <cellStyle name="Вывод 6 75" xfId="2068" xr:uid="{00000000-0005-0000-0000-0000150C0000}"/>
    <cellStyle name="Вывод 6 75 2" xfId="6572" xr:uid="{00000000-0005-0000-0000-0000160C0000}"/>
    <cellStyle name="Вывод 6 76" xfId="2069" xr:uid="{00000000-0005-0000-0000-0000170C0000}"/>
    <cellStyle name="Вывод 6 76 2" xfId="6573" xr:uid="{00000000-0005-0000-0000-0000180C0000}"/>
    <cellStyle name="Вывод 6 77" xfId="2070" xr:uid="{00000000-0005-0000-0000-0000190C0000}"/>
    <cellStyle name="Вывод 6 77 2" xfId="6574" xr:uid="{00000000-0005-0000-0000-00001A0C0000}"/>
    <cellStyle name="Вывод 6 78" xfId="2071" xr:uid="{00000000-0005-0000-0000-00001B0C0000}"/>
    <cellStyle name="Вывод 6 78 2" xfId="6575" xr:uid="{00000000-0005-0000-0000-00001C0C0000}"/>
    <cellStyle name="Вывод 6 79" xfId="2072" xr:uid="{00000000-0005-0000-0000-00001D0C0000}"/>
    <cellStyle name="Вывод 6 79 2" xfId="6576" xr:uid="{00000000-0005-0000-0000-00001E0C0000}"/>
    <cellStyle name="Вывод 6 8" xfId="2073" xr:uid="{00000000-0005-0000-0000-00001F0C0000}"/>
    <cellStyle name="Вывод 6 8 2" xfId="6577" xr:uid="{00000000-0005-0000-0000-0000200C0000}"/>
    <cellStyle name="Вывод 6 80" xfId="2074" xr:uid="{00000000-0005-0000-0000-0000210C0000}"/>
    <cellStyle name="Вывод 6 80 2" xfId="6578" xr:uid="{00000000-0005-0000-0000-0000220C0000}"/>
    <cellStyle name="Вывод 6 81" xfId="2075" xr:uid="{00000000-0005-0000-0000-0000230C0000}"/>
    <cellStyle name="Вывод 6 81 2" xfId="6579" xr:uid="{00000000-0005-0000-0000-0000240C0000}"/>
    <cellStyle name="Вывод 6 82" xfId="2076" xr:uid="{00000000-0005-0000-0000-0000250C0000}"/>
    <cellStyle name="Вывод 6 82 2" xfId="6580" xr:uid="{00000000-0005-0000-0000-0000260C0000}"/>
    <cellStyle name="Вывод 6 83" xfId="2077" xr:uid="{00000000-0005-0000-0000-0000270C0000}"/>
    <cellStyle name="Вывод 6 83 2" xfId="6581" xr:uid="{00000000-0005-0000-0000-0000280C0000}"/>
    <cellStyle name="Вывод 6 84" xfId="2078" xr:uid="{00000000-0005-0000-0000-0000290C0000}"/>
    <cellStyle name="Вывод 6 84 2" xfId="6582" xr:uid="{00000000-0005-0000-0000-00002A0C0000}"/>
    <cellStyle name="Вывод 6 85" xfId="2079" xr:uid="{00000000-0005-0000-0000-00002B0C0000}"/>
    <cellStyle name="Вывод 6 85 2" xfId="6583" xr:uid="{00000000-0005-0000-0000-00002C0C0000}"/>
    <cellStyle name="Вывод 6 86" xfId="2080" xr:uid="{00000000-0005-0000-0000-00002D0C0000}"/>
    <cellStyle name="Вывод 6 86 2" xfId="6584" xr:uid="{00000000-0005-0000-0000-00002E0C0000}"/>
    <cellStyle name="Вывод 6 87" xfId="2081" xr:uid="{00000000-0005-0000-0000-00002F0C0000}"/>
    <cellStyle name="Вывод 6 87 2" xfId="6585" xr:uid="{00000000-0005-0000-0000-0000300C0000}"/>
    <cellStyle name="Вывод 6 88" xfId="2082" xr:uid="{00000000-0005-0000-0000-0000310C0000}"/>
    <cellStyle name="Вывод 6 88 2" xfId="6586" xr:uid="{00000000-0005-0000-0000-0000320C0000}"/>
    <cellStyle name="Вывод 6 89" xfId="2083" xr:uid="{00000000-0005-0000-0000-0000330C0000}"/>
    <cellStyle name="Вывод 6 89 2" xfId="6587" xr:uid="{00000000-0005-0000-0000-0000340C0000}"/>
    <cellStyle name="Вывод 6 9" xfId="2084" xr:uid="{00000000-0005-0000-0000-0000350C0000}"/>
    <cellStyle name="Вывод 6 9 2" xfId="6588" xr:uid="{00000000-0005-0000-0000-0000360C0000}"/>
    <cellStyle name="Вывод 6 90" xfId="2085" xr:uid="{00000000-0005-0000-0000-0000370C0000}"/>
    <cellStyle name="Вывод 6 90 2" xfId="6589" xr:uid="{00000000-0005-0000-0000-0000380C0000}"/>
    <cellStyle name="Вывод 6 91" xfId="2086" xr:uid="{00000000-0005-0000-0000-0000390C0000}"/>
    <cellStyle name="Вывод 6 91 2" xfId="6590" xr:uid="{00000000-0005-0000-0000-00003A0C0000}"/>
    <cellStyle name="Вывод 6 92" xfId="6591" xr:uid="{00000000-0005-0000-0000-00003B0C0000}"/>
    <cellStyle name="Вывод 7" xfId="241" xr:uid="{00000000-0005-0000-0000-00003C0C0000}"/>
    <cellStyle name="Вывод 7 10" xfId="2087" xr:uid="{00000000-0005-0000-0000-00003D0C0000}"/>
    <cellStyle name="Вывод 7 10 2" xfId="6592" xr:uid="{00000000-0005-0000-0000-00003E0C0000}"/>
    <cellStyle name="Вывод 7 11" xfId="2088" xr:uid="{00000000-0005-0000-0000-00003F0C0000}"/>
    <cellStyle name="Вывод 7 11 2" xfId="6593" xr:uid="{00000000-0005-0000-0000-0000400C0000}"/>
    <cellStyle name="Вывод 7 12" xfId="2089" xr:uid="{00000000-0005-0000-0000-0000410C0000}"/>
    <cellStyle name="Вывод 7 12 2" xfId="6594" xr:uid="{00000000-0005-0000-0000-0000420C0000}"/>
    <cellStyle name="Вывод 7 13" xfId="2090" xr:uid="{00000000-0005-0000-0000-0000430C0000}"/>
    <cellStyle name="Вывод 7 13 2" xfId="6595" xr:uid="{00000000-0005-0000-0000-0000440C0000}"/>
    <cellStyle name="Вывод 7 14" xfId="2091" xr:uid="{00000000-0005-0000-0000-0000450C0000}"/>
    <cellStyle name="Вывод 7 14 2" xfId="6596" xr:uid="{00000000-0005-0000-0000-0000460C0000}"/>
    <cellStyle name="Вывод 7 15" xfId="2092" xr:uid="{00000000-0005-0000-0000-0000470C0000}"/>
    <cellStyle name="Вывод 7 15 2" xfId="6597" xr:uid="{00000000-0005-0000-0000-0000480C0000}"/>
    <cellStyle name="Вывод 7 16" xfId="2093" xr:uid="{00000000-0005-0000-0000-0000490C0000}"/>
    <cellStyle name="Вывод 7 16 2" xfId="6598" xr:uid="{00000000-0005-0000-0000-00004A0C0000}"/>
    <cellStyle name="Вывод 7 17" xfId="2094" xr:uid="{00000000-0005-0000-0000-00004B0C0000}"/>
    <cellStyle name="Вывод 7 17 2" xfId="6599" xr:uid="{00000000-0005-0000-0000-00004C0C0000}"/>
    <cellStyle name="Вывод 7 18" xfId="2095" xr:uid="{00000000-0005-0000-0000-00004D0C0000}"/>
    <cellStyle name="Вывод 7 18 2" xfId="6600" xr:uid="{00000000-0005-0000-0000-00004E0C0000}"/>
    <cellStyle name="Вывод 7 19" xfId="2096" xr:uid="{00000000-0005-0000-0000-00004F0C0000}"/>
    <cellStyle name="Вывод 7 19 2" xfId="6601" xr:uid="{00000000-0005-0000-0000-0000500C0000}"/>
    <cellStyle name="Вывод 7 2" xfId="2097" xr:uid="{00000000-0005-0000-0000-0000510C0000}"/>
    <cellStyle name="Вывод 7 2 2" xfId="2098" xr:uid="{00000000-0005-0000-0000-0000520C0000}"/>
    <cellStyle name="Вывод 7 2 2 2" xfId="6602" xr:uid="{00000000-0005-0000-0000-0000530C0000}"/>
    <cellStyle name="Вывод 7 2 3" xfId="2099" xr:uid="{00000000-0005-0000-0000-0000540C0000}"/>
    <cellStyle name="Вывод 7 2 3 2" xfId="6603" xr:uid="{00000000-0005-0000-0000-0000550C0000}"/>
    <cellStyle name="Вывод 7 2 4" xfId="6604" xr:uid="{00000000-0005-0000-0000-0000560C0000}"/>
    <cellStyle name="Вывод 7 20" xfId="2100" xr:uid="{00000000-0005-0000-0000-0000570C0000}"/>
    <cellStyle name="Вывод 7 20 2" xfId="6605" xr:uid="{00000000-0005-0000-0000-0000580C0000}"/>
    <cellStyle name="Вывод 7 21" xfId="2101" xr:uid="{00000000-0005-0000-0000-0000590C0000}"/>
    <cellStyle name="Вывод 7 21 2" xfId="6606" xr:uid="{00000000-0005-0000-0000-00005A0C0000}"/>
    <cellStyle name="Вывод 7 22" xfId="2102" xr:uid="{00000000-0005-0000-0000-00005B0C0000}"/>
    <cellStyle name="Вывод 7 22 2" xfId="6607" xr:uid="{00000000-0005-0000-0000-00005C0C0000}"/>
    <cellStyle name="Вывод 7 23" xfId="2103" xr:uid="{00000000-0005-0000-0000-00005D0C0000}"/>
    <cellStyle name="Вывод 7 23 2" xfId="6608" xr:uid="{00000000-0005-0000-0000-00005E0C0000}"/>
    <cellStyle name="Вывод 7 24" xfId="2104" xr:uid="{00000000-0005-0000-0000-00005F0C0000}"/>
    <cellStyle name="Вывод 7 24 2" xfId="6609" xr:uid="{00000000-0005-0000-0000-0000600C0000}"/>
    <cellStyle name="Вывод 7 25" xfId="2105" xr:uid="{00000000-0005-0000-0000-0000610C0000}"/>
    <cellStyle name="Вывод 7 25 2" xfId="6610" xr:uid="{00000000-0005-0000-0000-0000620C0000}"/>
    <cellStyle name="Вывод 7 26" xfId="2106" xr:uid="{00000000-0005-0000-0000-0000630C0000}"/>
    <cellStyle name="Вывод 7 26 2" xfId="6611" xr:uid="{00000000-0005-0000-0000-0000640C0000}"/>
    <cellStyle name="Вывод 7 27" xfId="2107" xr:uid="{00000000-0005-0000-0000-0000650C0000}"/>
    <cellStyle name="Вывод 7 27 2" xfId="6612" xr:uid="{00000000-0005-0000-0000-0000660C0000}"/>
    <cellStyle name="Вывод 7 28" xfId="2108" xr:uid="{00000000-0005-0000-0000-0000670C0000}"/>
    <cellStyle name="Вывод 7 28 2" xfId="6613" xr:uid="{00000000-0005-0000-0000-0000680C0000}"/>
    <cellStyle name="Вывод 7 29" xfId="2109" xr:uid="{00000000-0005-0000-0000-0000690C0000}"/>
    <cellStyle name="Вывод 7 29 2" xfId="6614" xr:uid="{00000000-0005-0000-0000-00006A0C0000}"/>
    <cellStyle name="Вывод 7 3" xfId="2110" xr:uid="{00000000-0005-0000-0000-00006B0C0000}"/>
    <cellStyle name="Вывод 7 3 2" xfId="2111" xr:uid="{00000000-0005-0000-0000-00006C0C0000}"/>
    <cellStyle name="Вывод 7 3 2 2" xfId="6615" xr:uid="{00000000-0005-0000-0000-00006D0C0000}"/>
    <cellStyle name="Вывод 7 3 3" xfId="2112" xr:uid="{00000000-0005-0000-0000-00006E0C0000}"/>
    <cellStyle name="Вывод 7 3 3 2" xfId="6616" xr:uid="{00000000-0005-0000-0000-00006F0C0000}"/>
    <cellStyle name="Вывод 7 3 4" xfId="6617" xr:uid="{00000000-0005-0000-0000-0000700C0000}"/>
    <cellStyle name="Вывод 7 30" xfId="2113" xr:uid="{00000000-0005-0000-0000-0000710C0000}"/>
    <cellStyle name="Вывод 7 30 2" xfId="6618" xr:uid="{00000000-0005-0000-0000-0000720C0000}"/>
    <cellStyle name="Вывод 7 31" xfId="2114" xr:uid="{00000000-0005-0000-0000-0000730C0000}"/>
    <cellStyle name="Вывод 7 31 2" xfId="6619" xr:uid="{00000000-0005-0000-0000-0000740C0000}"/>
    <cellStyle name="Вывод 7 32" xfId="2115" xr:uid="{00000000-0005-0000-0000-0000750C0000}"/>
    <cellStyle name="Вывод 7 32 2" xfId="6620" xr:uid="{00000000-0005-0000-0000-0000760C0000}"/>
    <cellStyle name="Вывод 7 33" xfId="2116" xr:uid="{00000000-0005-0000-0000-0000770C0000}"/>
    <cellStyle name="Вывод 7 33 2" xfId="6621" xr:uid="{00000000-0005-0000-0000-0000780C0000}"/>
    <cellStyle name="Вывод 7 34" xfId="2117" xr:uid="{00000000-0005-0000-0000-0000790C0000}"/>
    <cellStyle name="Вывод 7 34 2" xfId="6622" xr:uid="{00000000-0005-0000-0000-00007A0C0000}"/>
    <cellStyle name="Вывод 7 35" xfId="2118" xr:uid="{00000000-0005-0000-0000-00007B0C0000}"/>
    <cellStyle name="Вывод 7 35 2" xfId="6623" xr:uid="{00000000-0005-0000-0000-00007C0C0000}"/>
    <cellStyle name="Вывод 7 36" xfId="2119" xr:uid="{00000000-0005-0000-0000-00007D0C0000}"/>
    <cellStyle name="Вывод 7 36 2" xfId="6624" xr:uid="{00000000-0005-0000-0000-00007E0C0000}"/>
    <cellStyle name="Вывод 7 37" xfId="2120" xr:uid="{00000000-0005-0000-0000-00007F0C0000}"/>
    <cellStyle name="Вывод 7 37 2" xfId="6625" xr:uid="{00000000-0005-0000-0000-0000800C0000}"/>
    <cellStyle name="Вывод 7 38" xfId="2121" xr:uid="{00000000-0005-0000-0000-0000810C0000}"/>
    <cellStyle name="Вывод 7 38 2" xfId="6626" xr:uid="{00000000-0005-0000-0000-0000820C0000}"/>
    <cellStyle name="Вывод 7 39" xfId="2122" xr:uid="{00000000-0005-0000-0000-0000830C0000}"/>
    <cellStyle name="Вывод 7 39 2" xfId="6627" xr:uid="{00000000-0005-0000-0000-0000840C0000}"/>
    <cellStyle name="Вывод 7 4" xfId="2123" xr:uid="{00000000-0005-0000-0000-0000850C0000}"/>
    <cellStyle name="Вывод 7 4 2" xfId="2124" xr:uid="{00000000-0005-0000-0000-0000860C0000}"/>
    <cellStyle name="Вывод 7 4 2 2" xfId="6628" xr:uid="{00000000-0005-0000-0000-0000870C0000}"/>
    <cellStyle name="Вывод 7 4 3" xfId="2125" xr:uid="{00000000-0005-0000-0000-0000880C0000}"/>
    <cellStyle name="Вывод 7 4 3 2" xfId="6629" xr:uid="{00000000-0005-0000-0000-0000890C0000}"/>
    <cellStyle name="Вывод 7 4 4" xfId="6630" xr:uid="{00000000-0005-0000-0000-00008A0C0000}"/>
    <cellStyle name="Вывод 7 40" xfId="2126" xr:uid="{00000000-0005-0000-0000-00008B0C0000}"/>
    <cellStyle name="Вывод 7 40 2" xfId="6631" xr:uid="{00000000-0005-0000-0000-00008C0C0000}"/>
    <cellStyle name="Вывод 7 41" xfId="2127" xr:uid="{00000000-0005-0000-0000-00008D0C0000}"/>
    <cellStyle name="Вывод 7 41 2" xfId="6632" xr:uid="{00000000-0005-0000-0000-00008E0C0000}"/>
    <cellStyle name="Вывод 7 42" xfId="2128" xr:uid="{00000000-0005-0000-0000-00008F0C0000}"/>
    <cellStyle name="Вывод 7 42 2" xfId="6633" xr:uid="{00000000-0005-0000-0000-0000900C0000}"/>
    <cellStyle name="Вывод 7 43" xfId="2129" xr:uid="{00000000-0005-0000-0000-0000910C0000}"/>
    <cellStyle name="Вывод 7 43 2" xfId="6634" xr:uid="{00000000-0005-0000-0000-0000920C0000}"/>
    <cellStyle name="Вывод 7 44" xfId="2130" xr:uid="{00000000-0005-0000-0000-0000930C0000}"/>
    <cellStyle name="Вывод 7 44 2" xfId="6635" xr:uid="{00000000-0005-0000-0000-0000940C0000}"/>
    <cellStyle name="Вывод 7 45" xfId="2131" xr:uid="{00000000-0005-0000-0000-0000950C0000}"/>
    <cellStyle name="Вывод 7 45 2" xfId="6636" xr:uid="{00000000-0005-0000-0000-0000960C0000}"/>
    <cellStyle name="Вывод 7 46" xfId="2132" xr:uid="{00000000-0005-0000-0000-0000970C0000}"/>
    <cellStyle name="Вывод 7 46 2" xfId="6637" xr:uid="{00000000-0005-0000-0000-0000980C0000}"/>
    <cellStyle name="Вывод 7 47" xfId="2133" xr:uid="{00000000-0005-0000-0000-0000990C0000}"/>
    <cellStyle name="Вывод 7 47 2" xfId="6638" xr:uid="{00000000-0005-0000-0000-00009A0C0000}"/>
    <cellStyle name="Вывод 7 48" xfId="2134" xr:uid="{00000000-0005-0000-0000-00009B0C0000}"/>
    <cellStyle name="Вывод 7 48 2" xfId="6639" xr:uid="{00000000-0005-0000-0000-00009C0C0000}"/>
    <cellStyle name="Вывод 7 49" xfId="2135" xr:uid="{00000000-0005-0000-0000-00009D0C0000}"/>
    <cellStyle name="Вывод 7 49 2" xfId="6640" xr:uid="{00000000-0005-0000-0000-00009E0C0000}"/>
    <cellStyle name="Вывод 7 5" xfId="2136" xr:uid="{00000000-0005-0000-0000-00009F0C0000}"/>
    <cellStyle name="Вывод 7 5 2" xfId="6641" xr:uid="{00000000-0005-0000-0000-0000A00C0000}"/>
    <cellStyle name="Вывод 7 50" xfId="2137" xr:uid="{00000000-0005-0000-0000-0000A10C0000}"/>
    <cellStyle name="Вывод 7 50 2" xfId="6642" xr:uid="{00000000-0005-0000-0000-0000A20C0000}"/>
    <cellStyle name="Вывод 7 51" xfId="2138" xr:uid="{00000000-0005-0000-0000-0000A30C0000}"/>
    <cellStyle name="Вывод 7 51 2" xfId="6643" xr:uid="{00000000-0005-0000-0000-0000A40C0000}"/>
    <cellStyle name="Вывод 7 52" xfId="2139" xr:uid="{00000000-0005-0000-0000-0000A50C0000}"/>
    <cellStyle name="Вывод 7 52 2" xfId="6644" xr:uid="{00000000-0005-0000-0000-0000A60C0000}"/>
    <cellStyle name="Вывод 7 53" xfId="2140" xr:uid="{00000000-0005-0000-0000-0000A70C0000}"/>
    <cellStyle name="Вывод 7 53 2" xfId="6645" xr:uid="{00000000-0005-0000-0000-0000A80C0000}"/>
    <cellStyle name="Вывод 7 54" xfId="2141" xr:uid="{00000000-0005-0000-0000-0000A90C0000}"/>
    <cellStyle name="Вывод 7 54 2" xfId="6646" xr:uid="{00000000-0005-0000-0000-0000AA0C0000}"/>
    <cellStyle name="Вывод 7 55" xfId="2142" xr:uid="{00000000-0005-0000-0000-0000AB0C0000}"/>
    <cellStyle name="Вывод 7 55 2" xfId="6647" xr:uid="{00000000-0005-0000-0000-0000AC0C0000}"/>
    <cellStyle name="Вывод 7 56" xfId="2143" xr:uid="{00000000-0005-0000-0000-0000AD0C0000}"/>
    <cellStyle name="Вывод 7 56 2" xfId="6648" xr:uid="{00000000-0005-0000-0000-0000AE0C0000}"/>
    <cellStyle name="Вывод 7 57" xfId="2144" xr:uid="{00000000-0005-0000-0000-0000AF0C0000}"/>
    <cellStyle name="Вывод 7 57 2" xfId="6649" xr:uid="{00000000-0005-0000-0000-0000B00C0000}"/>
    <cellStyle name="Вывод 7 58" xfId="2145" xr:uid="{00000000-0005-0000-0000-0000B10C0000}"/>
    <cellStyle name="Вывод 7 58 2" xfId="6650" xr:uid="{00000000-0005-0000-0000-0000B20C0000}"/>
    <cellStyle name="Вывод 7 59" xfId="2146" xr:uid="{00000000-0005-0000-0000-0000B30C0000}"/>
    <cellStyle name="Вывод 7 59 2" xfId="6651" xr:uid="{00000000-0005-0000-0000-0000B40C0000}"/>
    <cellStyle name="Вывод 7 6" xfId="2147" xr:uid="{00000000-0005-0000-0000-0000B50C0000}"/>
    <cellStyle name="Вывод 7 6 2" xfId="6652" xr:uid="{00000000-0005-0000-0000-0000B60C0000}"/>
    <cellStyle name="Вывод 7 60" xfId="2148" xr:uid="{00000000-0005-0000-0000-0000B70C0000}"/>
    <cellStyle name="Вывод 7 60 2" xfId="6653" xr:uid="{00000000-0005-0000-0000-0000B80C0000}"/>
    <cellStyle name="Вывод 7 61" xfId="2149" xr:uid="{00000000-0005-0000-0000-0000B90C0000}"/>
    <cellStyle name="Вывод 7 61 2" xfId="6654" xr:uid="{00000000-0005-0000-0000-0000BA0C0000}"/>
    <cellStyle name="Вывод 7 62" xfId="2150" xr:uid="{00000000-0005-0000-0000-0000BB0C0000}"/>
    <cellStyle name="Вывод 7 62 2" xfId="6655" xr:uid="{00000000-0005-0000-0000-0000BC0C0000}"/>
    <cellStyle name="Вывод 7 63" xfId="2151" xr:uid="{00000000-0005-0000-0000-0000BD0C0000}"/>
    <cellStyle name="Вывод 7 63 2" xfId="6656" xr:uid="{00000000-0005-0000-0000-0000BE0C0000}"/>
    <cellStyle name="Вывод 7 64" xfId="2152" xr:uid="{00000000-0005-0000-0000-0000BF0C0000}"/>
    <cellStyle name="Вывод 7 64 2" xfId="6657" xr:uid="{00000000-0005-0000-0000-0000C00C0000}"/>
    <cellStyle name="Вывод 7 65" xfId="2153" xr:uid="{00000000-0005-0000-0000-0000C10C0000}"/>
    <cellStyle name="Вывод 7 65 2" xfId="6658" xr:uid="{00000000-0005-0000-0000-0000C20C0000}"/>
    <cellStyle name="Вывод 7 66" xfId="2154" xr:uid="{00000000-0005-0000-0000-0000C30C0000}"/>
    <cellStyle name="Вывод 7 66 2" xfId="6659" xr:uid="{00000000-0005-0000-0000-0000C40C0000}"/>
    <cellStyle name="Вывод 7 67" xfId="2155" xr:uid="{00000000-0005-0000-0000-0000C50C0000}"/>
    <cellStyle name="Вывод 7 67 2" xfId="6660" xr:uid="{00000000-0005-0000-0000-0000C60C0000}"/>
    <cellStyle name="Вывод 7 68" xfId="2156" xr:uid="{00000000-0005-0000-0000-0000C70C0000}"/>
    <cellStyle name="Вывод 7 68 2" xfId="6661" xr:uid="{00000000-0005-0000-0000-0000C80C0000}"/>
    <cellStyle name="Вывод 7 69" xfId="2157" xr:uid="{00000000-0005-0000-0000-0000C90C0000}"/>
    <cellStyle name="Вывод 7 69 2" xfId="6662" xr:uid="{00000000-0005-0000-0000-0000CA0C0000}"/>
    <cellStyle name="Вывод 7 7" xfId="2158" xr:uid="{00000000-0005-0000-0000-0000CB0C0000}"/>
    <cellStyle name="Вывод 7 7 2" xfId="6663" xr:uid="{00000000-0005-0000-0000-0000CC0C0000}"/>
    <cellStyle name="Вывод 7 70" xfId="2159" xr:uid="{00000000-0005-0000-0000-0000CD0C0000}"/>
    <cellStyle name="Вывод 7 70 2" xfId="6664" xr:uid="{00000000-0005-0000-0000-0000CE0C0000}"/>
    <cellStyle name="Вывод 7 71" xfId="2160" xr:uid="{00000000-0005-0000-0000-0000CF0C0000}"/>
    <cellStyle name="Вывод 7 71 2" xfId="6665" xr:uid="{00000000-0005-0000-0000-0000D00C0000}"/>
    <cellStyle name="Вывод 7 72" xfId="2161" xr:uid="{00000000-0005-0000-0000-0000D10C0000}"/>
    <cellStyle name="Вывод 7 72 2" xfId="6666" xr:uid="{00000000-0005-0000-0000-0000D20C0000}"/>
    <cellStyle name="Вывод 7 73" xfId="2162" xr:uid="{00000000-0005-0000-0000-0000D30C0000}"/>
    <cellStyle name="Вывод 7 73 2" xfId="6667" xr:uid="{00000000-0005-0000-0000-0000D40C0000}"/>
    <cellStyle name="Вывод 7 74" xfId="2163" xr:uid="{00000000-0005-0000-0000-0000D50C0000}"/>
    <cellStyle name="Вывод 7 74 2" xfId="6668" xr:uid="{00000000-0005-0000-0000-0000D60C0000}"/>
    <cellStyle name="Вывод 7 75" xfId="2164" xr:uid="{00000000-0005-0000-0000-0000D70C0000}"/>
    <cellStyle name="Вывод 7 75 2" xfId="6669" xr:uid="{00000000-0005-0000-0000-0000D80C0000}"/>
    <cellStyle name="Вывод 7 76" xfId="2165" xr:uid="{00000000-0005-0000-0000-0000D90C0000}"/>
    <cellStyle name="Вывод 7 76 2" xfId="6670" xr:uid="{00000000-0005-0000-0000-0000DA0C0000}"/>
    <cellStyle name="Вывод 7 77" xfId="2166" xr:uid="{00000000-0005-0000-0000-0000DB0C0000}"/>
    <cellStyle name="Вывод 7 77 2" xfId="6671" xr:uid="{00000000-0005-0000-0000-0000DC0C0000}"/>
    <cellStyle name="Вывод 7 78" xfId="2167" xr:uid="{00000000-0005-0000-0000-0000DD0C0000}"/>
    <cellStyle name="Вывод 7 78 2" xfId="6672" xr:uid="{00000000-0005-0000-0000-0000DE0C0000}"/>
    <cellStyle name="Вывод 7 79" xfId="2168" xr:uid="{00000000-0005-0000-0000-0000DF0C0000}"/>
    <cellStyle name="Вывод 7 79 2" xfId="6673" xr:uid="{00000000-0005-0000-0000-0000E00C0000}"/>
    <cellStyle name="Вывод 7 8" xfId="2169" xr:uid="{00000000-0005-0000-0000-0000E10C0000}"/>
    <cellStyle name="Вывод 7 8 2" xfId="6674" xr:uid="{00000000-0005-0000-0000-0000E20C0000}"/>
    <cellStyle name="Вывод 7 80" xfId="2170" xr:uid="{00000000-0005-0000-0000-0000E30C0000}"/>
    <cellStyle name="Вывод 7 80 2" xfId="6675" xr:uid="{00000000-0005-0000-0000-0000E40C0000}"/>
    <cellStyle name="Вывод 7 81" xfId="2171" xr:uid="{00000000-0005-0000-0000-0000E50C0000}"/>
    <cellStyle name="Вывод 7 81 2" xfId="6676" xr:uid="{00000000-0005-0000-0000-0000E60C0000}"/>
    <cellStyle name="Вывод 7 82" xfId="2172" xr:uid="{00000000-0005-0000-0000-0000E70C0000}"/>
    <cellStyle name="Вывод 7 82 2" xfId="6677" xr:uid="{00000000-0005-0000-0000-0000E80C0000}"/>
    <cellStyle name="Вывод 7 83" xfId="2173" xr:uid="{00000000-0005-0000-0000-0000E90C0000}"/>
    <cellStyle name="Вывод 7 83 2" xfId="6678" xr:uid="{00000000-0005-0000-0000-0000EA0C0000}"/>
    <cellStyle name="Вывод 7 84" xfId="2174" xr:uid="{00000000-0005-0000-0000-0000EB0C0000}"/>
    <cellStyle name="Вывод 7 84 2" xfId="6679" xr:uid="{00000000-0005-0000-0000-0000EC0C0000}"/>
    <cellStyle name="Вывод 7 85" xfId="2175" xr:uid="{00000000-0005-0000-0000-0000ED0C0000}"/>
    <cellStyle name="Вывод 7 85 2" xfId="6680" xr:uid="{00000000-0005-0000-0000-0000EE0C0000}"/>
    <cellStyle name="Вывод 7 86" xfId="2176" xr:uid="{00000000-0005-0000-0000-0000EF0C0000}"/>
    <cellStyle name="Вывод 7 86 2" xfId="6681" xr:uid="{00000000-0005-0000-0000-0000F00C0000}"/>
    <cellStyle name="Вывод 7 87" xfId="2177" xr:uid="{00000000-0005-0000-0000-0000F10C0000}"/>
    <cellStyle name="Вывод 7 87 2" xfId="6682" xr:uid="{00000000-0005-0000-0000-0000F20C0000}"/>
    <cellStyle name="Вывод 7 88" xfId="2178" xr:uid="{00000000-0005-0000-0000-0000F30C0000}"/>
    <cellStyle name="Вывод 7 88 2" xfId="6683" xr:uid="{00000000-0005-0000-0000-0000F40C0000}"/>
    <cellStyle name="Вывод 7 89" xfId="2179" xr:uid="{00000000-0005-0000-0000-0000F50C0000}"/>
    <cellStyle name="Вывод 7 89 2" xfId="6684" xr:uid="{00000000-0005-0000-0000-0000F60C0000}"/>
    <cellStyle name="Вывод 7 9" xfId="2180" xr:uid="{00000000-0005-0000-0000-0000F70C0000}"/>
    <cellStyle name="Вывод 7 9 2" xfId="6685" xr:uid="{00000000-0005-0000-0000-0000F80C0000}"/>
    <cellStyle name="Вывод 7 90" xfId="2181" xr:uid="{00000000-0005-0000-0000-0000F90C0000}"/>
    <cellStyle name="Вывод 7 90 2" xfId="6686" xr:uid="{00000000-0005-0000-0000-0000FA0C0000}"/>
    <cellStyle name="Вывод 7 91" xfId="2182" xr:uid="{00000000-0005-0000-0000-0000FB0C0000}"/>
    <cellStyle name="Вывод 7 91 2" xfId="6687" xr:uid="{00000000-0005-0000-0000-0000FC0C0000}"/>
    <cellStyle name="Вывод 7 92" xfId="6688" xr:uid="{00000000-0005-0000-0000-0000FD0C0000}"/>
    <cellStyle name="Вывод 8" xfId="242" xr:uid="{00000000-0005-0000-0000-0000FE0C0000}"/>
    <cellStyle name="Вывод 8 10" xfId="2183" xr:uid="{00000000-0005-0000-0000-0000FF0C0000}"/>
    <cellStyle name="Вывод 8 10 2" xfId="6689" xr:uid="{00000000-0005-0000-0000-0000000D0000}"/>
    <cellStyle name="Вывод 8 11" xfId="2184" xr:uid="{00000000-0005-0000-0000-0000010D0000}"/>
    <cellStyle name="Вывод 8 11 2" xfId="6690" xr:uid="{00000000-0005-0000-0000-0000020D0000}"/>
    <cellStyle name="Вывод 8 12" xfId="2185" xr:uid="{00000000-0005-0000-0000-0000030D0000}"/>
    <cellStyle name="Вывод 8 12 2" xfId="6691" xr:uid="{00000000-0005-0000-0000-0000040D0000}"/>
    <cellStyle name="Вывод 8 13" xfId="2186" xr:uid="{00000000-0005-0000-0000-0000050D0000}"/>
    <cellStyle name="Вывод 8 13 2" xfId="6692" xr:uid="{00000000-0005-0000-0000-0000060D0000}"/>
    <cellStyle name="Вывод 8 14" xfId="2187" xr:uid="{00000000-0005-0000-0000-0000070D0000}"/>
    <cellStyle name="Вывод 8 14 2" xfId="6693" xr:uid="{00000000-0005-0000-0000-0000080D0000}"/>
    <cellStyle name="Вывод 8 15" xfId="2188" xr:uid="{00000000-0005-0000-0000-0000090D0000}"/>
    <cellStyle name="Вывод 8 15 2" xfId="6694" xr:uid="{00000000-0005-0000-0000-00000A0D0000}"/>
    <cellStyle name="Вывод 8 16" xfId="2189" xr:uid="{00000000-0005-0000-0000-00000B0D0000}"/>
    <cellStyle name="Вывод 8 16 2" xfId="6695" xr:uid="{00000000-0005-0000-0000-00000C0D0000}"/>
    <cellStyle name="Вывод 8 17" xfId="2190" xr:uid="{00000000-0005-0000-0000-00000D0D0000}"/>
    <cellStyle name="Вывод 8 17 2" xfId="6696" xr:uid="{00000000-0005-0000-0000-00000E0D0000}"/>
    <cellStyle name="Вывод 8 18" xfId="2191" xr:uid="{00000000-0005-0000-0000-00000F0D0000}"/>
    <cellStyle name="Вывод 8 18 2" xfId="6697" xr:uid="{00000000-0005-0000-0000-0000100D0000}"/>
    <cellStyle name="Вывод 8 19" xfId="2192" xr:uid="{00000000-0005-0000-0000-0000110D0000}"/>
    <cellStyle name="Вывод 8 19 2" xfId="6698" xr:uid="{00000000-0005-0000-0000-0000120D0000}"/>
    <cellStyle name="Вывод 8 2" xfId="2193" xr:uid="{00000000-0005-0000-0000-0000130D0000}"/>
    <cellStyle name="Вывод 8 2 2" xfId="2194" xr:uid="{00000000-0005-0000-0000-0000140D0000}"/>
    <cellStyle name="Вывод 8 2 2 2" xfId="6699" xr:uid="{00000000-0005-0000-0000-0000150D0000}"/>
    <cellStyle name="Вывод 8 2 3" xfId="2195" xr:uid="{00000000-0005-0000-0000-0000160D0000}"/>
    <cellStyle name="Вывод 8 2 3 2" xfId="6700" xr:uid="{00000000-0005-0000-0000-0000170D0000}"/>
    <cellStyle name="Вывод 8 2 4" xfId="6701" xr:uid="{00000000-0005-0000-0000-0000180D0000}"/>
    <cellStyle name="Вывод 8 20" xfId="2196" xr:uid="{00000000-0005-0000-0000-0000190D0000}"/>
    <cellStyle name="Вывод 8 20 2" xfId="6702" xr:uid="{00000000-0005-0000-0000-00001A0D0000}"/>
    <cellStyle name="Вывод 8 21" xfId="2197" xr:uid="{00000000-0005-0000-0000-00001B0D0000}"/>
    <cellStyle name="Вывод 8 21 2" xfId="6703" xr:uid="{00000000-0005-0000-0000-00001C0D0000}"/>
    <cellStyle name="Вывод 8 22" xfId="2198" xr:uid="{00000000-0005-0000-0000-00001D0D0000}"/>
    <cellStyle name="Вывод 8 22 2" xfId="6704" xr:uid="{00000000-0005-0000-0000-00001E0D0000}"/>
    <cellStyle name="Вывод 8 23" xfId="2199" xr:uid="{00000000-0005-0000-0000-00001F0D0000}"/>
    <cellStyle name="Вывод 8 23 2" xfId="6705" xr:uid="{00000000-0005-0000-0000-0000200D0000}"/>
    <cellStyle name="Вывод 8 24" xfId="2200" xr:uid="{00000000-0005-0000-0000-0000210D0000}"/>
    <cellStyle name="Вывод 8 24 2" xfId="6706" xr:uid="{00000000-0005-0000-0000-0000220D0000}"/>
    <cellStyle name="Вывод 8 25" xfId="2201" xr:uid="{00000000-0005-0000-0000-0000230D0000}"/>
    <cellStyle name="Вывод 8 25 2" xfId="6707" xr:uid="{00000000-0005-0000-0000-0000240D0000}"/>
    <cellStyle name="Вывод 8 26" xfId="2202" xr:uid="{00000000-0005-0000-0000-0000250D0000}"/>
    <cellStyle name="Вывод 8 26 2" xfId="6708" xr:uid="{00000000-0005-0000-0000-0000260D0000}"/>
    <cellStyle name="Вывод 8 27" xfId="2203" xr:uid="{00000000-0005-0000-0000-0000270D0000}"/>
    <cellStyle name="Вывод 8 27 2" xfId="6709" xr:uid="{00000000-0005-0000-0000-0000280D0000}"/>
    <cellStyle name="Вывод 8 28" xfId="2204" xr:uid="{00000000-0005-0000-0000-0000290D0000}"/>
    <cellStyle name="Вывод 8 28 2" xfId="6710" xr:uid="{00000000-0005-0000-0000-00002A0D0000}"/>
    <cellStyle name="Вывод 8 29" xfId="2205" xr:uid="{00000000-0005-0000-0000-00002B0D0000}"/>
    <cellStyle name="Вывод 8 29 2" xfId="6711" xr:uid="{00000000-0005-0000-0000-00002C0D0000}"/>
    <cellStyle name="Вывод 8 3" xfId="2206" xr:uid="{00000000-0005-0000-0000-00002D0D0000}"/>
    <cellStyle name="Вывод 8 3 2" xfId="2207" xr:uid="{00000000-0005-0000-0000-00002E0D0000}"/>
    <cellStyle name="Вывод 8 3 2 2" xfId="6712" xr:uid="{00000000-0005-0000-0000-00002F0D0000}"/>
    <cellStyle name="Вывод 8 3 3" xfId="2208" xr:uid="{00000000-0005-0000-0000-0000300D0000}"/>
    <cellStyle name="Вывод 8 3 3 2" xfId="6713" xr:uid="{00000000-0005-0000-0000-0000310D0000}"/>
    <cellStyle name="Вывод 8 3 4" xfId="6714" xr:uid="{00000000-0005-0000-0000-0000320D0000}"/>
    <cellStyle name="Вывод 8 30" xfId="2209" xr:uid="{00000000-0005-0000-0000-0000330D0000}"/>
    <cellStyle name="Вывод 8 30 2" xfId="6715" xr:uid="{00000000-0005-0000-0000-0000340D0000}"/>
    <cellStyle name="Вывод 8 31" xfId="2210" xr:uid="{00000000-0005-0000-0000-0000350D0000}"/>
    <cellStyle name="Вывод 8 31 2" xfId="6716" xr:uid="{00000000-0005-0000-0000-0000360D0000}"/>
    <cellStyle name="Вывод 8 32" xfId="2211" xr:uid="{00000000-0005-0000-0000-0000370D0000}"/>
    <cellStyle name="Вывод 8 32 2" xfId="6717" xr:uid="{00000000-0005-0000-0000-0000380D0000}"/>
    <cellStyle name="Вывод 8 33" xfId="2212" xr:uid="{00000000-0005-0000-0000-0000390D0000}"/>
    <cellStyle name="Вывод 8 33 2" xfId="6718" xr:uid="{00000000-0005-0000-0000-00003A0D0000}"/>
    <cellStyle name="Вывод 8 34" xfId="2213" xr:uid="{00000000-0005-0000-0000-00003B0D0000}"/>
    <cellStyle name="Вывод 8 34 2" xfId="6719" xr:uid="{00000000-0005-0000-0000-00003C0D0000}"/>
    <cellStyle name="Вывод 8 35" xfId="2214" xr:uid="{00000000-0005-0000-0000-00003D0D0000}"/>
    <cellStyle name="Вывод 8 35 2" xfId="6720" xr:uid="{00000000-0005-0000-0000-00003E0D0000}"/>
    <cellStyle name="Вывод 8 36" xfId="2215" xr:uid="{00000000-0005-0000-0000-00003F0D0000}"/>
    <cellStyle name="Вывод 8 36 2" xfId="6721" xr:uid="{00000000-0005-0000-0000-0000400D0000}"/>
    <cellStyle name="Вывод 8 37" xfId="2216" xr:uid="{00000000-0005-0000-0000-0000410D0000}"/>
    <cellStyle name="Вывод 8 37 2" xfId="6722" xr:uid="{00000000-0005-0000-0000-0000420D0000}"/>
    <cellStyle name="Вывод 8 38" xfId="2217" xr:uid="{00000000-0005-0000-0000-0000430D0000}"/>
    <cellStyle name="Вывод 8 38 2" xfId="6723" xr:uid="{00000000-0005-0000-0000-0000440D0000}"/>
    <cellStyle name="Вывод 8 39" xfId="2218" xr:uid="{00000000-0005-0000-0000-0000450D0000}"/>
    <cellStyle name="Вывод 8 39 2" xfId="6724" xr:uid="{00000000-0005-0000-0000-0000460D0000}"/>
    <cellStyle name="Вывод 8 4" xfId="2219" xr:uid="{00000000-0005-0000-0000-0000470D0000}"/>
    <cellStyle name="Вывод 8 4 2" xfId="2220" xr:uid="{00000000-0005-0000-0000-0000480D0000}"/>
    <cellStyle name="Вывод 8 4 2 2" xfId="6725" xr:uid="{00000000-0005-0000-0000-0000490D0000}"/>
    <cellStyle name="Вывод 8 4 3" xfId="2221" xr:uid="{00000000-0005-0000-0000-00004A0D0000}"/>
    <cellStyle name="Вывод 8 4 3 2" xfId="6726" xr:uid="{00000000-0005-0000-0000-00004B0D0000}"/>
    <cellStyle name="Вывод 8 4 4" xfId="6727" xr:uid="{00000000-0005-0000-0000-00004C0D0000}"/>
    <cellStyle name="Вывод 8 40" xfId="2222" xr:uid="{00000000-0005-0000-0000-00004D0D0000}"/>
    <cellStyle name="Вывод 8 40 2" xfId="6728" xr:uid="{00000000-0005-0000-0000-00004E0D0000}"/>
    <cellStyle name="Вывод 8 41" xfId="2223" xr:uid="{00000000-0005-0000-0000-00004F0D0000}"/>
    <cellStyle name="Вывод 8 41 2" xfId="6729" xr:uid="{00000000-0005-0000-0000-0000500D0000}"/>
    <cellStyle name="Вывод 8 42" xfId="2224" xr:uid="{00000000-0005-0000-0000-0000510D0000}"/>
    <cellStyle name="Вывод 8 42 2" xfId="6730" xr:uid="{00000000-0005-0000-0000-0000520D0000}"/>
    <cellStyle name="Вывод 8 43" xfId="2225" xr:uid="{00000000-0005-0000-0000-0000530D0000}"/>
    <cellStyle name="Вывод 8 43 2" xfId="6731" xr:uid="{00000000-0005-0000-0000-0000540D0000}"/>
    <cellStyle name="Вывод 8 44" xfId="2226" xr:uid="{00000000-0005-0000-0000-0000550D0000}"/>
    <cellStyle name="Вывод 8 44 2" xfId="6732" xr:uid="{00000000-0005-0000-0000-0000560D0000}"/>
    <cellStyle name="Вывод 8 45" xfId="2227" xr:uid="{00000000-0005-0000-0000-0000570D0000}"/>
    <cellStyle name="Вывод 8 45 2" xfId="6733" xr:uid="{00000000-0005-0000-0000-0000580D0000}"/>
    <cellStyle name="Вывод 8 46" xfId="2228" xr:uid="{00000000-0005-0000-0000-0000590D0000}"/>
    <cellStyle name="Вывод 8 46 2" xfId="6734" xr:uid="{00000000-0005-0000-0000-00005A0D0000}"/>
    <cellStyle name="Вывод 8 47" xfId="2229" xr:uid="{00000000-0005-0000-0000-00005B0D0000}"/>
    <cellStyle name="Вывод 8 47 2" xfId="6735" xr:uid="{00000000-0005-0000-0000-00005C0D0000}"/>
    <cellStyle name="Вывод 8 48" xfId="2230" xr:uid="{00000000-0005-0000-0000-00005D0D0000}"/>
    <cellStyle name="Вывод 8 48 2" xfId="6736" xr:uid="{00000000-0005-0000-0000-00005E0D0000}"/>
    <cellStyle name="Вывод 8 49" xfId="2231" xr:uid="{00000000-0005-0000-0000-00005F0D0000}"/>
    <cellStyle name="Вывод 8 49 2" xfId="6737" xr:uid="{00000000-0005-0000-0000-0000600D0000}"/>
    <cellStyle name="Вывод 8 5" xfId="2232" xr:uid="{00000000-0005-0000-0000-0000610D0000}"/>
    <cellStyle name="Вывод 8 5 2" xfId="6738" xr:uid="{00000000-0005-0000-0000-0000620D0000}"/>
    <cellStyle name="Вывод 8 50" xfId="2233" xr:uid="{00000000-0005-0000-0000-0000630D0000}"/>
    <cellStyle name="Вывод 8 50 2" xfId="6739" xr:uid="{00000000-0005-0000-0000-0000640D0000}"/>
    <cellStyle name="Вывод 8 51" xfId="2234" xr:uid="{00000000-0005-0000-0000-0000650D0000}"/>
    <cellStyle name="Вывод 8 51 2" xfId="6740" xr:uid="{00000000-0005-0000-0000-0000660D0000}"/>
    <cellStyle name="Вывод 8 52" xfId="2235" xr:uid="{00000000-0005-0000-0000-0000670D0000}"/>
    <cellStyle name="Вывод 8 52 2" xfId="6741" xr:uid="{00000000-0005-0000-0000-0000680D0000}"/>
    <cellStyle name="Вывод 8 53" xfId="2236" xr:uid="{00000000-0005-0000-0000-0000690D0000}"/>
    <cellStyle name="Вывод 8 53 2" xfId="6742" xr:uid="{00000000-0005-0000-0000-00006A0D0000}"/>
    <cellStyle name="Вывод 8 54" xfId="2237" xr:uid="{00000000-0005-0000-0000-00006B0D0000}"/>
    <cellStyle name="Вывод 8 54 2" xfId="6743" xr:uid="{00000000-0005-0000-0000-00006C0D0000}"/>
    <cellStyle name="Вывод 8 55" xfId="2238" xr:uid="{00000000-0005-0000-0000-00006D0D0000}"/>
    <cellStyle name="Вывод 8 55 2" xfId="6744" xr:uid="{00000000-0005-0000-0000-00006E0D0000}"/>
    <cellStyle name="Вывод 8 56" xfId="2239" xr:uid="{00000000-0005-0000-0000-00006F0D0000}"/>
    <cellStyle name="Вывод 8 56 2" xfId="6745" xr:uid="{00000000-0005-0000-0000-0000700D0000}"/>
    <cellStyle name="Вывод 8 57" xfId="2240" xr:uid="{00000000-0005-0000-0000-0000710D0000}"/>
    <cellStyle name="Вывод 8 57 2" xfId="6746" xr:uid="{00000000-0005-0000-0000-0000720D0000}"/>
    <cellStyle name="Вывод 8 58" xfId="2241" xr:uid="{00000000-0005-0000-0000-0000730D0000}"/>
    <cellStyle name="Вывод 8 58 2" xfId="6747" xr:uid="{00000000-0005-0000-0000-0000740D0000}"/>
    <cellStyle name="Вывод 8 59" xfId="2242" xr:uid="{00000000-0005-0000-0000-0000750D0000}"/>
    <cellStyle name="Вывод 8 59 2" xfId="6748" xr:uid="{00000000-0005-0000-0000-0000760D0000}"/>
    <cellStyle name="Вывод 8 6" xfId="2243" xr:uid="{00000000-0005-0000-0000-0000770D0000}"/>
    <cellStyle name="Вывод 8 6 2" xfId="6749" xr:uid="{00000000-0005-0000-0000-0000780D0000}"/>
    <cellStyle name="Вывод 8 60" xfId="2244" xr:uid="{00000000-0005-0000-0000-0000790D0000}"/>
    <cellStyle name="Вывод 8 60 2" xfId="6750" xr:uid="{00000000-0005-0000-0000-00007A0D0000}"/>
    <cellStyle name="Вывод 8 61" xfId="2245" xr:uid="{00000000-0005-0000-0000-00007B0D0000}"/>
    <cellStyle name="Вывод 8 61 2" xfId="6751" xr:uid="{00000000-0005-0000-0000-00007C0D0000}"/>
    <cellStyle name="Вывод 8 62" xfId="2246" xr:uid="{00000000-0005-0000-0000-00007D0D0000}"/>
    <cellStyle name="Вывод 8 62 2" xfId="6752" xr:uid="{00000000-0005-0000-0000-00007E0D0000}"/>
    <cellStyle name="Вывод 8 63" xfId="2247" xr:uid="{00000000-0005-0000-0000-00007F0D0000}"/>
    <cellStyle name="Вывод 8 63 2" xfId="6753" xr:uid="{00000000-0005-0000-0000-0000800D0000}"/>
    <cellStyle name="Вывод 8 64" xfId="2248" xr:uid="{00000000-0005-0000-0000-0000810D0000}"/>
    <cellStyle name="Вывод 8 64 2" xfId="6754" xr:uid="{00000000-0005-0000-0000-0000820D0000}"/>
    <cellStyle name="Вывод 8 65" xfId="2249" xr:uid="{00000000-0005-0000-0000-0000830D0000}"/>
    <cellStyle name="Вывод 8 65 2" xfId="6755" xr:uid="{00000000-0005-0000-0000-0000840D0000}"/>
    <cellStyle name="Вывод 8 66" xfId="2250" xr:uid="{00000000-0005-0000-0000-0000850D0000}"/>
    <cellStyle name="Вывод 8 66 2" xfId="6756" xr:uid="{00000000-0005-0000-0000-0000860D0000}"/>
    <cellStyle name="Вывод 8 67" xfId="2251" xr:uid="{00000000-0005-0000-0000-0000870D0000}"/>
    <cellStyle name="Вывод 8 67 2" xfId="6757" xr:uid="{00000000-0005-0000-0000-0000880D0000}"/>
    <cellStyle name="Вывод 8 68" xfId="2252" xr:uid="{00000000-0005-0000-0000-0000890D0000}"/>
    <cellStyle name="Вывод 8 68 2" xfId="6758" xr:uid="{00000000-0005-0000-0000-00008A0D0000}"/>
    <cellStyle name="Вывод 8 69" xfId="2253" xr:uid="{00000000-0005-0000-0000-00008B0D0000}"/>
    <cellStyle name="Вывод 8 69 2" xfId="6759" xr:uid="{00000000-0005-0000-0000-00008C0D0000}"/>
    <cellStyle name="Вывод 8 7" xfId="2254" xr:uid="{00000000-0005-0000-0000-00008D0D0000}"/>
    <cellStyle name="Вывод 8 7 2" xfId="6760" xr:uid="{00000000-0005-0000-0000-00008E0D0000}"/>
    <cellStyle name="Вывод 8 70" xfId="2255" xr:uid="{00000000-0005-0000-0000-00008F0D0000}"/>
    <cellStyle name="Вывод 8 70 2" xfId="6761" xr:uid="{00000000-0005-0000-0000-0000900D0000}"/>
    <cellStyle name="Вывод 8 71" xfId="2256" xr:uid="{00000000-0005-0000-0000-0000910D0000}"/>
    <cellStyle name="Вывод 8 71 2" xfId="6762" xr:uid="{00000000-0005-0000-0000-0000920D0000}"/>
    <cellStyle name="Вывод 8 72" xfId="2257" xr:uid="{00000000-0005-0000-0000-0000930D0000}"/>
    <cellStyle name="Вывод 8 72 2" xfId="6763" xr:uid="{00000000-0005-0000-0000-0000940D0000}"/>
    <cellStyle name="Вывод 8 73" xfId="2258" xr:uid="{00000000-0005-0000-0000-0000950D0000}"/>
    <cellStyle name="Вывод 8 73 2" xfId="6764" xr:uid="{00000000-0005-0000-0000-0000960D0000}"/>
    <cellStyle name="Вывод 8 74" xfId="2259" xr:uid="{00000000-0005-0000-0000-0000970D0000}"/>
    <cellStyle name="Вывод 8 74 2" xfId="6765" xr:uid="{00000000-0005-0000-0000-0000980D0000}"/>
    <cellStyle name="Вывод 8 75" xfId="2260" xr:uid="{00000000-0005-0000-0000-0000990D0000}"/>
    <cellStyle name="Вывод 8 75 2" xfId="6766" xr:uid="{00000000-0005-0000-0000-00009A0D0000}"/>
    <cellStyle name="Вывод 8 76" xfId="2261" xr:uid="{00000000-0005-0000-0000-00009B0D0000}"/>
    <cellStyle name="Вывод 8 76 2" xfId="6767" xr:uid="{00000000-0005-0000-0000-00009C0D0000}"/>
    <cellStyle name="Вывод 8 77" xfId="2262" xr:uid="{00000000-0005-0000-0000-00009D0D0000}"/>
    <cellStyle name="Вывод 8 77 2" xfId="6768" xr:uid="{00000000-0005-0000-0000-00009E0D0000}"/>
    <cellStyle name="Вывод 8 78" xfId="2263" xr:uid="{00000000-0005-0000-0000-00009F0D0000}"/>
    <cellStyle name="Вывод 8 78 2" xfId="6769" xr:uid="{00000000-0005-0000-0000-0000A00D0000}"/>
    <cellStyle name="Вывод 8 79" xfId="2264" xr:uid="{00000000-0005-0000-0000-0000A10D0000}"/>
    <cellStyle name="Вывод 8 79 2" xfId="6770" xr:uid="{00000000-0005-0000-0000-0000A20D0000}"/>
    <cellStyle name="Вывод 8 8" xfId="2265" xr:uid="{00000000-0005-0000-0000-0000A30D0000}"/>
    <cellStyle name="Вывод 8 8 2" xfId="6771" xr:uid="{00000000-0005-0000-0000-0000A40D0000}"/>
    <cellStyle name="Вывод 8 80" xfId="2266" xr:uid="{00000000-0005-0000-0000-0000A50D0000}"/>
    <cellStyle name="Вывод 8 80 2" xfId="6772" xr:uid="{00000000-0005-0000-0000-0000A60D0000}"/>
    <cellStyle name="Вывод 8 81" xfId="2267" xr:uid="{00000000-0005-0000-0000-0000A70D0000}"/>
    <cellStyle name="Вывод 8 81 2" xfId="6773" xr:uid="{00000000-0005-0000-0000-0000A80D0000}"/>
    <cellStyle name="Вывод 8 82" xfId="2268" xr:uid="{00000000-0005-0000-0000-0000A90D0000}"/>
    <cellStyle name="Вывод 8 82 2" xfId="6774" xr:uid="{00000000-0005-0000-0000-0000AA0D0000}"/>
    <cellStyle name="Вывод 8 83" xfId="2269" xr:uid="{00000000-0005-0000-0000-0000AB0D0000}"/>
    <cellStyle name="Вывод 8 83 2" xfId="6775" xr:uid="{00000000-0005-0000-0000-0000AC0D0000}"/>
    <cellStyle name="Вывод 8 84" xfId="2270" xr:uid="{00000000-0005-0000-0000-0000AD0D0000}"/>
    <cellStyle name="Вывод 8 84 2" xfId="6776" xr:uid="{00000000-0005-0000-0000-0000AE0D0000}"/>
    <cellStyle name="Вывод 8 85" xfId="2271" xr:uid="{00000000-0005-0000-0000-0000AF0D0000}"/>
    <cellStyle name="Вывод 8 85 2" xfId="6777" xr:uid="{00000000-0005-0000-0000-0000B00D0000}"/>
    <cellStyle name="Вывод 8 86" xfId="2272" xr:uid="{00000000-0005-0000-0000-0000B10D0000}"/>
    <cellStyle name="Вывод 8 86 2" xfId="6778" xr:uid="{00000000-0005-0000-0000-0000B20D0000}"/>
    <cellStyle name="Вывод 8 87" xfId="2273" xr:uid="{00000000-0005-0000-0000-0000B30D0000}"/>
    <cellStyle name="Вывод 8 87 2" xfId="6779" xr:uid="{00000000-0005-0000-0000-0000B40D0000}"/>
    <cellStyle name="Вывод 8 88" xfId="2274" xr:uid="{00000000-0005-0000-0000-0000B50D0000}"/>
    <cellStyle name="Вывод 8 88 2" xfId="6780" xr:uid="{00000000-0005-0000-0000-0000B60D0000}"/>
    <cellStyle name="Вывод 8 89" xfId="2275" xr:uid="{00000000-0005-0000-0000-0000B70D0000}"/>
    <cellStyle name="Вывод 8 89 2" xfId="6781" xr:uid="{00000000-0005-0000-0000-0000B80D0000}"/>
    <cellStyle name="Вывод 8 9" xfId="2276" xr:uid="{00000000-0005-0000-0000-0000B90D0000}"/>
    <cellStyle name="Вывод 8 9 2" xfId="6782" xr:uid="{00000000-0005-0000-0000-0000BA0D0000}"/>
    <cellStyle name="Вывод 8 90" xfId="2277" xr:uid="{00000000-0005-0000-0000-0000BB0D0000}"/>
    <cellStyle name="Вывод 8 90 2" xfId="6783" xr:uid="{00000000-0005-0000-0000-0000BC0D0000}"/>
    <cellStyle name="Вывод 8 91" xfId="2278" xr:uid="{00000000-0005-0000-0000-0000BD0D0000}"/>
    <cellStyle name="Вывод 8 91 2" xfId="6784" xr:uid="{00000000-0005-0000-0000-0000BE0D0000}"/>
    <cellStyle name="Вывод 8 92" xfId="6785" xr:uid="{00000000-0005-0000-0000-0000BF0D0000}"/>
    <cellStyle name="Вывод 9" xfId="243" xr:uid="{00000000-0005-0000-0000-0000C00D0000}"/>
    <cellStyle name="Вывод 9 10" xfId="2279" xr:uid="{00000000-0005-0000-0000-0000C10D0000}"/>
    <cellStyle name="Вывод 9 10 2" xfId="6786" xr:uid="{00000000-0005-0000-0000-0000C20D0000}"/>
    <cellStyle name="Вывод 9 11" xfId="2280" xr:uid="{00000000-0005-0000-0000-0000C30D0000}"/>
    <cellStyle name="Вывод 9 11 2" xfId="6787" xr:uid="{00000000-0005-0000-0000-0000C40D0000}"/>
    <cellStyle name="Вывод 9 12" xfId="2281" xr:uid="{00000000-0005-0000-0000-0000C50D0000}"/>
    <cellStyle name="Вывод 9 12 2" xfId="6788" xr:uid="{00000000-0005-0000-0000-0000C60D0000}"/>
    <cellStyle name="Вывод 9 13" xfId="2282" xr:uid="{00000000-0005-0000-0000-0000C70D0000}"/>
    <cellStyle name="Вывод 9 13 2" xfId="6789" xr:uid="{00000000-0005-0000-0000-0000C80D0000}"/>
    <cellStyle name="Вывод 9 14" xfId="2283" xr:uid="{00000000-0005-0000-0000-0000C90D0000}"/>
    <cellStyle name="Вывод 9 14 2" xfId="6790" xr:uid="{00000000-0005-0000-0000-0000CA0D0000}"/>
    <cellStyle name="Вывод 9 15" xfId="2284" xr:uid="{00000000-0005-0000-0000-0000CB0D0000}"/>
    <cellStyle name="Вывод 9 15 2" xfId="6791" xr:uid="{00000000-0005-0000-0000-0000CC0D0000}"/>
    <cellStyle name="Вывод 9 16" xfId="2285" xr:uid="{00000000-0005-0000-0000-0000CD0D0000}"/>
    <cellStyle name="Вывод 9 16 2" xfId="6792" xr:uid="{00000000-0005-0000-0000-0000CE0D0000}"/>
    <cellStyle name="Вывод 9 17" xfId="2286" xr:uid="{00000000-0005-0000-0000-0000CF0D0000}"/>
    <cellStyle name="Вывод 9 17 2" xfId="6793" xr:uid="{00000000-0005-0000-0000-0000D00D0000}"/>
    <cellStyle name="Вывод 9 18" xfId="2287" xr:uid="{00000000-0005-0000-0000-0000D10D0000}"/>
    <cellStyle name="Вывод 9 18 2" xfId="6794" xr:uid="{00000000-0005-0000-0000-0000D20D0000}"/>
    <cellStyle name="Вывод 9 19" xfId="2288" xr:uid="{00000000-0005-0000-0000-0000D30D0000}"/>
    <cellStyle name="Вывод 9 19 2" xfId="6795" xr:uid="{00000000-0005-0000-0000-0000D40D0000}"/>
    <cellStyle name="Вывод 9 2" xfId="2289" xr:uid="{00000000-0005-0000-0000-0000D50D0000}"/>
    <cellStyle name="Вывод 9 2 2" xfId="2290" xr:uid="{00000000-0005-0000-0000-0000D60D0000}"/>
    <cellStyle name="Вывод 9 2 2 2" xfId="6796" xr:uid="{00000000-0005-0000-0000-0000D70D0000}"/>
    <cellStyle name="Вывод 9 2 3" xfId="2291" xr:uid="{00000000-0005-0000-0000-0000D80D0000}"/>
    <cellStyle name="Вывод 9 2 3 2" xfId="6797" xr:uid="{00000000-0005-0000-0000-0000D90D0000}"/>
    <cellStyle name="Вывод 9 2 4" xfId="6798" xr:uid="{00000000-0005-0000-0000-0000DA0D0000}"/>
    <cellStyle name="Вывод 9 20" xfId="2292" xr:uid="{00000000-0005-0000-0000-0000DB0D0000}"/>
    <cellStyle name="Вывод 9 20 2" xfId="6799" xr:uid="{00000000-0005-0000-0000-0000DC0D0000}"/>
    <cellStyle name="Вывод 9 21" xfId="2293" xr:uid="{00000000-0005-0000-0000-0000DD0D0000}"/>
    <cellStyle name="Вывод 9 21 2" xfId="6800" xr:uid="{00000000-0005-0000-0000-0000DE0D0000}"/>
    <cellStyle name="Вывод 9 22" xfId="2294" xr:uid="{00000000-0005-0000-0000-0000DF0D0000}"/>
    <cellStyle name="Вывод 9 22 2" xfId="6801" xr:uid="{00000000-0005-0000-0000-0000E00D0000}"/>
    <cellStyle name="Вывод 9 23" xfId="2295" xr:uid="{00000000-0005-0000-0000-0000E10D0000}"/>
    <cellStyle name="Вывод 9 23 2" xfId="6802" xr:uid="{00000000-0005-0000-0000-0000E20D0000}"/>
    <cellStyle name="Вывод 9 24" xfId="2296" xr:uid="{00000000-0005-0000-0000-0000E30D0000}"/>
    <cellStyle name="Вывод 9 24 2" xfId="6803" xr:uid="{00000000-0005-0000-0000-0000E40D0000}"/>
    <cellStyle name="Вывод 9 25" xfId="2297" xr:uid="{00000000-0005-0000-0000-0000E50D0000}"/>
    <cellStyle name="Вывод 9 25 2" xfId="6804" xr:uid="{00000000-0005-0000-0000-0000E60D0000}"/>
    <cellStyle name="Вывод 9 26" xfId="2298" xr:uid="{00000000-0005-0000-0000-0000E70D0000}"/>
    <cellStyle name="Вывод 9 26 2" xfId="6805" xr:uid="{00000000-0005-0000-0000-0000E80D0000}"/>
    <cellStyle name="Вывод 9 27" xfId="2299" xr:uid="{00000000-0005-0000-0000-0000E90D0000}"/>
    <cellStyle name="Вывод 9 27 2" xfId="6806" xr:uid="{00000000-0005-0000-0000-0000EA0D0000}"/>
    <cellStyle name="Вывод 9 28" xfId="2300" xr:uid="{00000000-0005-0000-0000-0000EB0D0000}"/>
    <cellStyle name="Вывод 9 28 2" xfId="6807" xr:uid="{00000000-0005-0000-0000-0000EC0D0000}"/>
    <cellStyle name="Вывод 9 29" xfId="2301" xr:uid="{00000000-0005-0000-0000-0000ED0D0000}"/>
    <cellStyle name="Вывод 9 29 2" xfId="6808" xr:uid="{00000000-0005-0000-0000-0000EE0D0000}"/>
    <cellStyle name="Вывод 9 3" xfId="2302" xr:uid="{00000000-0005-0000-0000-0000EF0D0000}"/>
    <cellStyle name="Вывод 9 3 2" xfId="2303" xr:uid="{00000000-0005-0000-0000-0000F00D0000}"/>
    <cellStyle name="Вывод 9 3 2 2" xfId="6809" xr:uid="{00000000-0005-0000-0000-0000F10D0000}"/>
    <cellStyle name="Вывод 9 3 3" xfId="2304" xr:uid="{00000000-0005-0000-0000-0000F20D0000}"/>
    <cellStyle name="Вывод 9 3 3 2" xfId="6810" xr:uid="{00000000-0005-0000-0000-0000F30D0000}"/>
    <cellStyle name="Вывод 9 3 4" xfId="6811" xr:uid="{00000000-0005-0000-0000-0000F40D0000}"/>
    <cellStyle name="Вывод 9 30" xfId="2305" xr:uid="{00000000-0005-0000-0000-0000F50D0000}"/>
    <cellStyle name="Вывод 9 30 2" xfId="6812" xr:uid="{00000000-0005-0000-0000-0000F60D0000}"/>
    <cellStyle name="Вывод 9 31" xfId="2306" xr:uid="{00000000-0005-0000-0000-0000F70D0000}"/>
    <cellStyle name="Вывод 9 31 2" xfId="6813" xr:uid="{00000000-0005-0000-0000-0000F80D0000}"/>
    <cellStyle name="Вывод 9 32" xfId="2307" xr:uid="{00000000-0005-0000-0000-0000F90D0000}"/>
    <cellStyle name="Вывод 9 32 2" xfId="6814" xr:uid="{00000000-0005-0000-0000-0000FA0D0000}"/>
    <cellStyle name="Вывод 9 33" xfId="2308" xr:uid="{00000000-0005-0000-0000-0000FB0D0000}"/>
    <cellStyle name="Вывод 9 33 2" xfId="6815" xr:uid="{00000000-0005-0000-0000-0000FC0D0000}"/>
    <cellStyle name="Вывод 9 34" xfId="2309" xr:uid="{00000000-0005-0000-0000-0000FD0D0000}"/>
    <cellStyle name="Вывод 9 34 2" xfId="6816" xr:uid="{00000000-0005-0000-0000-0000FE0D0000}"/>
    <cellStyle name="Вывод 9 35" xfId="2310" xr:uid="{00000000-0005-0000-0000-0000FF0D0000}"/>
    <cellStyle name="Вывод 9 35 2" xfId="6817" xr:uid="{00000000-0005-0000-0000-0000000E0000}"/>
    <cellStyle name="Вывод 9 36" xfId="2311" xr:uid="{00000000-0005-0000-0000-0000010E0000}"/>
    <cellStyle name="Вывод 9 36 2" xfId="6818" xr:uid="{00000000-0005-0000-0000-0000020E0000}"/>
    <cellStyle name="Вывод 9 37" xfId="2312" xr:uid="{00000000-0005-0000-0000-0000030E0000}"/>
    <cellStyle name="Вывод 9 37 2" xfId="6819" xr:uid="{00000000-0005-0000-0000-0000040E0000}"/>
    <cellStyle name="Вывод 9 38" xfId="2313" xr:uid="{00000000-0005-0000-0000-0000050E0000}"/>
    <cellStyle name="Вывод 9 38 2" xfId="6820" xr:uid="{00000000-0005-0000-0000-0000060E0000}"/>
    <cellStyle name="Вывод 9 39" xfId="2314" xr:uid="{00000000-0005-0000-0000-0000070E0000}"/>
    <cellStyle name="Вывод 9 39 2" xfId="6821" xr:uid="{00000000-0005-0000-0000-0000080E0000}"/>
    <cellStyle name="Вывод 9 4" xfId="2315" xr:uid="{00000000-0005-0000-0000-0000090E0000}"/>
    <cellStyle name="Вывод 9 4 2" xfId="2316" xr:uid="{00000000-0005-0000-0000-00000A0E0000}"/>
    <cellStyle name="Вывод 9 4 2 2" xfId="6822" xr:uid="{00000000-0005-0000-0000-00000B0E0000}"/>
    <cellStyle name="Вывод 9 4 3" xfId="2317" xr:uid="{00000000-0005-0000-0000-00000C0E0000}"/>
    <cellStyle name="Вывод 9 4 3 2" xfId="6823" xr:uid="{00000000-0005-0000-0000-00000D0E0000}"/>
    <cellStyle name="Вывод 9 4 4" xfId="6824" xr:uid="{00000000-0005-0000-0000-00000E0E0000}"/>
    <cellStyle name="Вывод 9 40" xfId="2318" xr:uid="{00000000-0005-0000-0000-00000F0E0000}"/>
    <cellStyle name="Вывод 9 40 2" xfId="6825" xr:uid="{00000000-0005-0000-0000-0000100E0000}"/>
    <cellStyle name="Вывод 9 41" xfId="2319" xr:uid="{00000000-0005-0000-0000-0000110E0000}"/>
    <cellStyle name="Вывод 9 41 2" xfId="6826" xr:uid="{00000000-0005-0000-0000-0000120E0000}"/>
    <cellStyle name="Вывод 9 42" xfId="2320" xr:uid="{00000000-0005-0000-0000-0000130E0000}"/>
    <cellStyle name="Вывод 9 42 2" xfId="6827" xr:uid="{00000000-0005-0000-0000-0000140E0000}"/>
    <cellStyle name="Вывод 9 43" xfId="2321" xr:uid="{00000000-0005-0000-0000-0000150E0000}"/>
    <cellStyle name="Вывод 9 43 2" xfId="6828" xr:uid="{00000000-0005-0000-0000-0000160E0000}"/>
    <cellStyle name="Вывод 9 44" xfId="2322" xr:uid="{00000000-0005-0000-0000-0000170E0000}"/>
    <cellStyle name="Вывод 9 44 2" xfId="6829" xr:uid="{00000000-0005-0000-0000-0000180E0000}"/>
    <cellStyle name="Вывод 9 45" xfId="2323" xr:uid="{00000000-0005-0000-0000-0000190E0000}"/>
    <cellStyle name="Вывод 9 45 2" xfId="6830" xr:uid="{00000000-0005-0000-0000-00001A0E0000}"/>
    <cellStyle name="Вывод 9 46" xfId="2324" xr:uid="{00000000-0005-0000-0000-00001B0E0000}"/>
    <cellStyle name="Вывод 9 46 2" xfId="6831" xr:uid="{00000000-0005-0000-0000-00001C0E0000}"/>
    <cellStyle name="Вывод 9 47" xfId="2325" xr:uid="{00000000-0005-0000-0000-00001D0E0000}"/>
    <cellStyle name="Вывод 9 47 2" xfId="6832" xr:uid="{00000000-0005-0000-0000-00001E0E0000}"/>
    <cellStyle name="Вывод 9 48" xfId="2326" xr:uid="{00000000-0005-0000-0000-00001F0E0000}"/>
    <cellStyle name="Вывод 9 48 2" xfId="6833" xr:uid="{00000000-0005-0000-0000-0000200E0000}"/>
    <cellStyle name="Вывод 9 49" xfId="2327" xr:uid="{00000000-0005-0000-0000-0000210E0000}"/>
    <cellStyle name="Вывод 9 49 2" xfId="6834" xr:uid="{00000000-0005-0000-0000-0000220E0000}"/>
    <cellStyle name="Вывод 9 5" xfId="2328" xr:uid="{00000000-0005-0000-0000-0000230E0000}"/>
    <cellStyle name="Вывод 9 5 2" xfId="6835" xr:uid="{00000000-0005-0000-0000-0000240E0000}"/>
    <cellStyle name="Вывод 9 50" xfId="2329" xr:uid="{00000000-0005-0000-0000-0000250E0000}"/>
    <cellStyle name="Вывод 9 50 2" xfId="6836" xr:uid="{00000000-0005-0000-0000-0000260E0000}"/>
    <cellStyle name="Вывод 9 51" xfId="2330" xr:uid="{00000000-0005-0000-0000-0000270E0000}"/>
    <cellStyle name="Вывод 9 51 2" xfId="6837" xr:uid="{00000000-0005-0000-0000-0000280E0000}"/>
    <cellStyle name="Вывод 9 52" xfId="2331" xr:uid="{00000000-0005-0000-0000-0000290E0000}"/>
    <cellStyle name="Вывод 9 52 2" xfId="6838" xr:uid="{00000000-0005-0000-0000-00002A0E0000}"/>
    <cellStyle name="Вывод 9 53" xfId="2332" xr:uid="{00000000-0005-0000-0000-00002B0E0000}"/>
    <cellStyle name="Вывод 9 53 2" xfId="6839" xr:uid="{00000000-0005-0000-0000-00002C0E0000}"/>
    <cellStyle name="Вывод 9 54" xfId="2333" xr:uid="{00000000-0005-0000-0000-00002D0E0000}"/>
    <cellStyle name="Вывод 9 54 2" xfId="6840" xr:uid="{00000000-0005-0000-0000-00002E0E0000}"/>
    <cellStyle name="Вывод 9 55" xfId="2334" xr:uid="{00000000-0005-0000-0000-00002F0E0000}"/>
    <cellStyle name="Вывод 9 55 2" xfId="6841" xr:uid="{00000000-0005-0000-0000-0000300E0000}"/>
    <cellStyle name="Вывод 9 56" xfId="2335" xr:uid="{00000000-0005-0000-0000-0000310E0000}"/>
    <cellStyle name="Вывод 9 56 2" xfId="6842" xr:uid="{00000000-0005-0000-0000-0000320E0000}"/>
    <cellStyle name="Вывод 9 57" xfId="2336" xr:uid="{00000000-0005-0000-0000-0000330E0000}"/>
    <cellStyle name="Вывод 9 57 2" xfId="6843" xr:uid="{00000000-0005-0000-0000-0000340E0000}"/>
    <cellStyle name="Вывод 9 58" xfId="2337" xr:uid="{00000000-0005-0000-0000-0000350E0000}"/>
    <cellStyle name="Вывод 9 58 2" xfId="6844" xr:uid="{00000000-0005-0000-0000-0000360E0000}"/>
    <cellStyle name="Вывод 9 59" xfId="2338" xr:uid="{00000000-0005-0000-0000-0000370E0000}"/>
    <cellStyle name="Вывод 9 59 2" xfId="6845" xr:uid="{00000000-0005-0000-0000-0000380E0000}"/>
    <cellStyle name="Вывод 9 6" xfId="2339" xr:uid="{00000000-0005-0000-0000-0000390E0000}"/>
    <cellStyle name="Вывод 9 6 2" xfId="6846" xr:uid="{00000000-0005-0000-0000-00003A0E0000}"/>
    <cellStyle name="Вывод 9 60" xfId="2340" xr:uid="{00000000-0005-0000-0000-00003B0E0000}"/>
    <cellStyle name="Вывод 9 60 2" xfId="6847" xr:uid="{00000000-0005-0000-0000-00003C0E0000}"/>
    <cellStyle name="Вывод 9 61" xfId="2341" xr:uid="{00000000-0005-0000-0000-00003D0E0000}"/>
    <cellStyle name="Вывод 9 61 2" xfId="6848" xr:uid="{00000000-0005-0000-0000-00003E0E0000}"/>
    <cellStyle name="Вывод 9 62" xfId="2342" xr:uid="{00000000-0005-0000-0000-00003F0E0000}"/>
    <cellStyle name="Вывод 9 62 2" xfId="6849" xr:uid="{00000000-0005-0000-0000-0000400E0000}"/>
    <cellStyle name="Вывод 9 63" xfId="2343" xr:uid="{00000000-0005-0000-0000-0000410E0000}"/>
    <cellStyle name="Вывод 9 63 2" xfId="6850" xr:uid="{00000000-0005-0000-0000-0000420E0000}"/>
    <cellStyle name="Вывод 9 64" xfId="2344" xr:uid="{00000000-0005-0000-0000-0000430E0000}"/>
    <cellStyle name="Вывод 9 64 2" xfId="6851" xr:uid="{00000000-0005-0000-0000-0000440E0000}"/>
    <cellStyle name="Вывод 9 65" xfId="2345" xr:uid="{00000000-0005-0000-0000-0000450E0000}"/>
    <cellStyle name="Вывод 9 65 2" xfId="6852" xr:uid="{00000000-0005-0000-0000-0000460E0000}"/>
    <cellStyle name="Вывод 9 66" xfId="2346" xr:uid="{00000000-0005-0000-0000-0000470E0000}"/>
    <cellStyle name="Вывод 9 66 2" xfId="6853" xr:uid="{00000000-0005-0000-0000-0000480E0000}"/>
    <cellStyle name="Вывод 9 67" xfId="2347" xr:uid="{00000000-0005-0000-0000-0000490E0000}"/>
    <cellStyle name="Вывод 9 67 2" xfId="6854" xr:uid="{00000000-0005-0000-0000-00004A0E0000}"/>
    <cellStyle name="Вывод 9 68" xfId="2348" xr:uid="{00000000-0005-0000-0000-00004B0E0000}"/>
    <cellStyle name="Вывод 9 68 2" xfId="6855" xr:uid="{00000000-0005-0000-0000-00004C0E0000}"/>
    <cellStyle name="Вывод 9 69" xfId="2349" xr:uid="{00000000-0005-0000-0000-00004D0E0000}"/>
    <cellStyle name="Вывод 9 69 2" xfId="6856" xr:uid="{00000000-0005-0000-0000-00004E0E0000}"/>
    <cellStyle name="Вывод 9 7" xfId="2350" xr:uid="{00000000-0005-0000-0000-00004F0E0000}"/>
    <cellStyle name="Вывод 9 7 2" xfId="6857" xr:uid="{00000000-0005-0000-0000-0000500E0000}"/>
    <cellStyle name="Вывод 9 70" xfId="2351" xr:uid="{00000000-0005-0000-0000-0000510E0000}"/>
    <cellStyle name="Вывод 9 70 2" xfId="6858" xr:uid="{00000000-0005-0000-0000-0000520E0000}"/>
    <cellStyle name="Вывод 9 71" xfId="2352" xr:uid="{00000000-0005-0000-0000-0000530E0000}"/>
    <cellStyle name="Вывод 9 71 2" xfId="6859" xr:uid="{00000000-0005-0000-0000-0000540E0000}"/>
    <cellStyle name="Вывод 9 72" xfId="2353" xr:uid="{00000000-0005-0000-0000-0000550E0000}"/>
    <cellStyle name="Вывод 9 72 2" xfId="6860" xr:uid="{00000000-0005-0000-0000-0000560E0000}"/>
    <cellStyle name="Вывод 9 73" xfId="2354" xr:uid="{00000000-0005-0000-0000-0000570E0000}"/>
    <cellStyle name="Вывод 9 73 2" xfId="6861" xr:uid="{00000000-0005-0000-0000-0000580E0000}"/>
    <cellStyle name="Вывод 9 74" xfId="2355" xr:uid="{00000000-0005-0000-0000-0000590E0000}"/>
    <cellStyle name="Вывод 9 74 2" xfId="6862" xr:uid="{00000000-0005-0000-0000-00005A0E0000}"/>
    <cellStyle name="Вывод 9 75" xfId="2356" xr:uid="{00000000-0005-0000-0000-00005B0E0000}"/>
    <cellStyle name="Вывод 9 75 2" xfId="6863" xr:uid="{00000000-0005-0000-0000-00005C0E0000}"/>
    <cellStyle name="Вывод 9 76" xfId="2357" xr:uid="{00000000-0005-0000-0000-00005D0E0000}"/>
    <cellStyle name="Вывод 9 76 2" xfId="6864" xr:uid="{00000000-0005-0000-0000-00005E0E0000}"/>
    <cellStyle name="Вывод 9 77" xfId="2358" xr:uid="{00000000-0005-0000-0000-00005F0E0000}"/>
    <cellStyle name="Вывод 9 77 2" xfId="6865" xr:uid="{00000000-0005-0000-0000-0000600E0000}"/>
    <cellStyle name="Вывод 9 78" xfId="2359" xr:uid="{00000000-0005-0000-0000-0000610E0000}"/>
    <cellStyle name="Вывод 9 78 2" xfId="6866" xr:uid="{00000000-0005-0000-0000-0000620E0000}"/>
    <cellStyle name="Вывод 9 79" xfId="2360" xr:uid="{00000000-0005-0000-0000-0000630E0000}"/>
    <cellStyle name="Вывод 9 79 2" xfId="6867" xr:uid="{00000000-0005-0000-0000-0000640E0000}"/>
    <cellStyle name="Вывод 9 8" xfId="2361" xr:uid="{00000000-0005-0000-0000-0000650E0000}"/>
    <cellStyle name="Вывод 9 8 2" xfId="6868" xr:uid="{00000000-0005-0000-0000-0000660E0000}"/>
    <cellStyle name="Вывод 9 80" xfId="2362" xr:uid="{00000000-0005-0000-0000-0000670E0000}"/>
    <cellStyle name="Вывод 9 80 2" xfId="6869" xr:uid="{00000000-0005-0000-0000-0000680E0000}"/>
    <cellStyle name="Вывод 9 81" xfId="2363" xr:uid="{00000000-0005-0000-0000-0000690E0000}"/>
    <cellStyle name="Вывод 9 81 2" xfId="6870" xr:uid="{00000000-0005-0000-0000-00006A0E0000}"/>
    <cellStyle name="Вывод 9 82" xfId="2364" xr:uid="{00000000-0005-0000-0000-00006B0E0000}"/>
    <cellStyle name="Вывод 9 82 2" xfId="6871" xr:uid="{00000000-0005-0000-0000-00006C0E0000}"/>
    <cellStyle name="Вывод 9 83" xfId="2365" xr:uid="{00000000-0005-0000-0000-00006D0E0000}"/>
    <cellStyle name="Вывод 9 83 2" xfId="6872" xr:uid="{00000000-0005-0000-0000-00006E0E0000}"/>
    <cellStyle name="Вывод 9 84" xfId="2366" xr:uid="{00000000-0005-0000-0000-00006F0E0000}"/>
    <cellStyle name="Вывод 9 84 2" xfId="6873" xr:uid="{00000000-0005-0000-0000-0000700E0000}"/>
    <cellStyle name="Вывод 9 85" xfId="2367" xr:uid="{00000000-0005-0000-0000-0000710E0000}"/>
    <cellStyle name="Вывод 9 85 2" xfId="6874" xr:uid="{00000000-0005-0000-0000-0000720E0000}"/>
    <cellStyle name="Вывод 9 86" xfId="2368" xr:uid="{00000000-0005-0000-0000-0000730E0000}"/>
    <cellStyle name="Вывод 9 86 2" xfId="6875" xr:uid="{00000000-0005-0000-0000-0000740E0000}"/>
    <cellStyle name="Вывод 9 87" xfId="2369" xr:uid="{00000000-0005-0000-0000-0000750E0000}"/>
    <cellStyle name="Вывод 9 87 2" xfId="6876" xr:uid="{00000000-0005-0000-0000-0000760E0000}"/>
    <cellStyle name="Вывод 9 88" xfId="2370" xr:uid="{00000000-0005-0000-0000-0000770E0000}"/>
    <cellStyle name="Вывод 9 88 2" xfId="6877" xr:uid="{00000000-0005-0000-0000-0000780E0000}"/>
    <cellStyle name="Вывод 9 89" xfId="2371" xr:uid="{00000000-0005-0000-0000-0000790E0000}"/>
    <cellStyle name="Вывод 9 89 2" xfId="6878" xr:uid="{00000000-0005-0000-0000-00007A0E0000}"/>
    <cellStyle name="Вывод 9 9" xfId="2372" xr:uid="{00000000-0005-0000-0000-00007B0E0000}"/>
    <cellStyle name="Вывод 9 9 2" xfId="6879" xr:uid="{00000000-0005-0000-0000-00007C0E0000}"/>
    <cellStyle name="Вывод 9 90" xfId="2373" xr:uid="{00000000-0005-0000-0000-00007D0E0000}"/>
    <cellStyle name="Вывод 9 90 2" xfId="6880" xr:uid="{00000000-0005-0000-0000-00007E0E0000}"/>
    <cellStyle name="Вывод 9 91" xfId="2374" xr:uid="{00000000-0005-0000-0000-00007F0E0000}"/>
    <cellStyle name="Вывод 9 91 2" xfId="6881" xr:uid="{00000000-0005-0000-0000-0000800E0000}"/>
    <cellStyle name="Вывод 9 92" xfId="6882" xr:uid="{00000000-0005-0000-0000-0000810E0000}"/>
    <cellStyle name="Вычисление 10" xfId="244" xr:uid="{00000000-0005-0000-0000-0000820E0000}"/>
    <cellStyle name="Вычисление 10 10" xfId="2375" xr:uid="{00000000-0005-0000-0000-0000830E0000}"/>
    <cellStyle name="Вычисление 10 10 2" xfId="6883" xr:uid="{00000000-0005-0000-0000-0000840E0000}"/>
    <cellStyle name="Вычисление 10 11" xfId="2376" xr:uid="{00000000-0005-0000-0000-0000850E0000}"/>
    <cellStyle name="Вычисление 10 11 2" xfId="6884" xr:uid="{00000000-0005-0000-0000-0000860E0000}"/>
    <cellStyle name="Вычисление 10 12" xfId="2377" xr:uid="{00000000-0005-0000-0000-0000870E0000}"/>
    <cellStyle name="Вычисление 10 12 2" xfId="6885" xr:uid="{00000000-0005-0000-0000-0000880E0000}"/>
    <cellStyle name="Вычисление 10 13" xfId="2378" xr:uid="{00000000-0005-0000-0000-0000890E0000}"/>
    <cellStyle name="Вычисление 10 13 2" xfId="6886" xr:uid="{00000000-0005-0000-0000-00008A0E0000}"/>
    <cellStyle name="Вычисление 10 14" xfId="2379" xr:uid="{00000000-0005-0000-0000-00008B0E0000}"/>
    <cellStyle name="Вычисление 10 14 2" xfId="6887" xr:uid="{00000000-0005-0000-0000-00008C0E0000}"/>
    <cellStyle name="Вычисление 10 15" xfId="2380" xr:uid="{00000000-0005-0000-0000-00008D0E0000}"/>
    <cellStyle name="Вычисление 10 15 2" xfId="6888" xr:uid="{00000000-0005-0000-0000-00008E0E0000}"/>
    <cellStyle name="Вычисление 10 16" xfId="2381" xr:uid="{00000000-0005-0000-0000-00008F0E0000}"/>
    <cellStyle name="Вычисление 10 16 2" xfId="6889" xr:uid="{00000000-0005-0000-0000-0000900E0000}"/>
    <cellStyle name="Вычисление 10 17" xfId="2382" xr:uid="{00000000-0005-0000-0000-0000910E0000}"/>
    <cellStyle name="Вычисление 10 17 2" xfId="6890" xr:uid="{00000000-0005-0000-0000-0000920E0000}"/>
    <cellStyle name="Вычисление 10 18" xfId="2383" xr:uid="{00000000-0005-0000-0000-0000930E0000}"/>
    <cellStyle name="Вычисление 10 18 2" xfId="6891" xr:uid="{00000000-0005-0000-0000-0000940E0000}"/>
    <cellStyle name="Вычисление 10 19" xfId="2384" xr:uid="{00000000-0005-0000-0000-0000950E0000}"/>
    <cellStyle name="Вычисление 10 19 2" xfId="6892" xr:uid="{00000000-0005-0000-0000-0000960E0000}"/>
    <cellStyle name="Вычисление 10 2" xfId="2385" xr:uid="{00000000-0005-0000-0000-0000970E0000}"/>
    <cellStyle name="Вычисление 10 2 2" xfId="2386" xr:uid="{00000000-0005-0000-0000-0000980E0000}"/>
    <cellStyle name="Вычисление 10 2 2 2" xfId="6893" xr:uid="{00000000-0005-0000-0000-0000990E0000}"/>
    <cellStyle name="Вычисление 10 2 3" xfId="2387" xr:uid="{00000000-0005-0000-0000-00009A0E0000}"/>
    <cellStyle name="Вычисление 10 2 3 2" xfId="6894" xr:uid="{00000000-0005-0000-0000-00009B0E0000}"/>
    <cellStyle name="Вычисление 10 2 4" xfId="6895" xr:uid="{00000000-0005-0000-0000-00009C0E0000}"/>
    <cellStyle name="Вычисление 10 20" xfId="2388" xr:uid="{00000000-0005-0000-0000-00009D0E0000}"/>
    <cellStyle name="Вычисление 10 20 2" xfId="6896" xr:uid="{00000000-0005-0000-0000-00009E0E0000}"/>
    <cellStyle name="Вычисление 10 21" xfId="2389" xr:uid="{00000000-0005-0000-0000-00009F0E0000}"/>
    <cellStyle name="Вычисление 10 21 2" xfId="6897" xr:uid="{00000000-0005-0000-0000-0000A00E0000}"/>
    <cellStyle name="Вычисление 10 22" xfId="2390" xr:uid="{00000000-0005-0000-0000-0000A10E0000}"/>
    <cellStyle name="Вычисление 10 22 2" xfId="6898" xr:uid="{00000000-0005-0000-0000-0000A20E0000}"/>
    <cellStyle name="Вычисление 10 23" xfId="2391" xr:uid="{00000000-0005-0000-0000-0000A30E0000}"/>
    <cellStyle name="Вычисление 10 23 2" xfId="6899" xr:uid="{00000000-0005-0000-0000-0000A40E0000}"/>
    <cellStyle name="Вычисление 10 24" xfId="2392" xr:uid="{00000000-0005-0000-0000-0000A50E0000}"/>
    <cellStyle name="Вычисление 10 24 2" xfId="6900" xr:uid="{00000000-0005-0000-0000-0000A60E0000}"/>
    <cellStyle name="Вычисление 10 25" xfId="2393" xr:uid="{00000000-0005-0000-0000-0000A70E0000}"/>
    <cellStyle name="Вычисление 10 25 2" xfId="6901" xr:uid="{00000000-0005-0000-0000-0000A80E0000}"/>
    <cellStyle name="Вычисление 10 26" xfId="2394" xr:uid="{00000000-0005-0000-0000-0000A90E0000}"/>
    <cellStyle name="Вычисление 10 26 2" xfId="6902" xr:uid="{00000000-0005-0000-0000-0000AA0E0000}"/>
    <cellStyle name="Вычисление 10 27" xfId="2395" xr:uid="{00000000-0005-0000-0000-0000AB0E0000}"/>
    <cellStyle name="Вычисление 10 27 2" xfId="6903" xr:uid="{00000000-0005-0000-0000-0000AC0E0000}"/>
    <cellStyle name="Вычисление 10 28" xfId="2396" xr:uid="{00000000-0005-0000-0000-0000AD0E0000}"/>
    <cellStyle name="Вычисление 10 28 2" xfId="6904" xr:uid="{00000000-0005-0000-0000-0000AE0E0000}"/>
    <cellStyle name="Вычисление 10 29" xfId="2397" xr:uid="{00000000-0005-0000-0000-0000AF0E0000}"/>
    <cellStyle name="Вычисление 10 29 2" xfId="6905" xr:uid="{00000000-0005-0000-0000-0000B00E0000}"/>
    <cellStyle name="Вычисление 10 3" xfId="2398" xr:uid="{00000000-0005-0000-0000-0000B10E0000}"/>
    <cellStyle name="Вычисление 10 3 2" xfId="2399" xr:uid="{00000000-0005-0000-0000-0000B20E0000}"/>
    <cellStyle name="Вычисление 10 3 2 2" xfId="6906" xr:uid="{00000000-0005-0000-0000-0000B30E0000}"/>
    <cellStyle name="Вычисление 10 3 3" xfId="2400" xr:uid="{00000000-0005-0000-0000-0000B40E0000}"/>
    <cellStyle name="Вычисление 10 3 3 2" xfId="6907" xr:uid="{00000000-0005-0000-0000-0000B50E0000}"/>
    <cellStyle name="Вычисление 10 3 4" xfId="6908" xr:uid="{00000000-0005-0000-0000-0000B60E0000}"/>
    <cellStyle name="Вычисление 10 30" xfId="2401" xr:uid="{00000000-0005-0000-0000-0000B70E0000}"/>
    <cellStyle name="Вычисление 10 30 2" xfId="6909" xr:uid="{00000000-0005-0000-0000-0000B80E0000}"/>
    <cellStyle name="Вычисление 10 31" xfId="2402" xr:uid="{00000000-0005-0000-0000-0000B90E0000}"/>
    <cellStyle name="Вычисление 10 31 2" xfId="6910" xr:uid="{00000000-0005-0000-0000-0000BA0E0000}"/>
    <cellStyle name="Вычисление 10 32" xfId="2403" xr:uid="{00000000-0005-0000-0000-0000BB0E0000}"/>
    <cellStyle name="Вычисление 10 32 2" xfId="6911" xr:uid="{00000000-0005-0000-0000-0000BC0E0000}"/>
    <cellStyle name="Вычисление 10 33" xfId="2404" xr:uid="{00000000-0005-0000-0000-0000BD0E0000}"/>
    <cellStyle name="Вычисление 10 33 2" xfId="6912" xr:uid="{00000000-0005-0000-0000-0000BE0E0000}"/>
    <cellStyle name="Вычисление 10 34" xfId="2405" xr:uid="{00000000-0005-0000-0000-0000BF0E0000}"/>
    <cellStyle name="Вычисление 10 34 2" xfId="6913" xr:uid="{00000000-0005-0000-0000-0000C00E0000}"/>
    <cellStyle name="Вычисление 10 35" xfId="2406" xr:uid="{00000000-0005-0000-0000-0000C10E0000}"/>
    <cellStyle name="Вычисление 10 35 2" xfId="6914" xr:uid="{00000000-0005-0000-0000-0000C20E0000}"/>
    <cellStyle name="Вычисление 10 36" xfId="2407" xr:uid="{00000000-0005-0000-0000-0000C30E0000}"/>
    <cellStyle name="Вычисление 10 36 2" xfId="6915" xr:uid="{00000000-0005-0000-0000-0000C40E0000}"/>
    <cellStyle name="Вычисление 10 37" xfId="2408" xr:uid="{00000000-0005-0000-0000-0000C50E0000}"/>
    <cellStyle name="Вычисление 10 37 2" xfId="6916" xr:uid="{00000000-0005-0000-0000-0000C60E0000}"/>
    <cellStyle name="Вычисление 10 38" xfId="2409" xr:uid="{00000000-0005-0000-0000-0000C70E0000}"/>
    <cellStyle name="Вычисление 10 38 2" xfId="6917" xr:uid="{00000000-0005-0000-0000-0000C80E0000}"/>
    <cellStyle name="Вычисление 10 39" xfId="2410" xr:uid="{00000000-0005-0000-0000-0000C90E0000}"/>
    <cellStyle name="Вычисление 10 39 2" xfId="6918" xr:uid="{00000000-0005-0000-0000-0000CA0E0000}"/>
    <cellStyle name="Вычисление 10 4" xfId="2411" xr:uid="{00000000-0005-0000-0000-0000CB0E0000}"/>
    <cellStyle name="Вычисление 10 4 2" xfId="2412" xr:uid="{00000000-0005-0000-0000-0000CC0E0000}"/>
    <cellStyle name="Вычисление 10 4 2 2" xfId="6919" xr:uid="{00000000-0005-0000-0000-0000CD0E0000}"/>
    <cellStyle name="Вычисление 10 4 3" xfId="2413" xr:uid="{00000000-0005-0000-0000-0000CE0E0000}"/>
    <cellStyle name="Вычисление 10 4 3 2" xfId="6920" xr:uid="{00000000-0005-0000-0000-0000CF0E0000}"/>
    <cellStyle name="Вычисление 10 4 4" xfId="6921" xr:uid="{00000000-0005-0000-0000-0000D00E0000}"/>
    <cellStyle name="Вычисление 10 40" xfId="2414" xr:uid="{00000000-0005-0000-0000-0000D10E0000}"/>
    <cellStyle name="Вычисление 10 40 2" xfId="6922" xr:uid="{00000000-0005-0000-0000-0000D20E0000}"/>
    <cellStyle name="Вычисление 10 41" xfId="2415" xr:uid="{00000000-0005-0000-0000-0000D30E0000}"/>
    <cellStyle name="Вычисление 10 41 2" xfId="6923" xr:uid="{00000000-0005-0000-0000-0000D40E0000}"/>
    <cellStyle name="Вычисление 10 42" xfId="2416" xr:uid="{00000000-0005-0000-0000-0000D50E0000}"/>
    <cellStyle name="Вычисление 10 42 2" xfId="6924" xr:uid="{00000000-0005-0000-0000-0000D60E0000}"/>
    <cellStyle name="Вычисление 10 43" xfId="2417" xr:uid="{00000000-0005-0000-0000-0000D70E0000}"/>
    <cellStyle name="Вычисление 10 43 2" xfId="6925" xr:uid="{00000000-0005-0000-0000-0000D80E0000}"/>
    <cellStyle name="Вычисление 10 44" xfId="2418" xr:uid="{00000000-0005-0000-0000-0000D90E0000}"/>
    <cellStyle name="Вычисление 10 44 2" xfId="6926" xr:uid="{00000000-0005-0000-0000-0000DA0E0000}"/>
    <cellStyle name="Вычисление 10 45" xfId="2419" xr:uid="{00000000-0005-0000-0000-0000DB0E0000}"/>
    <cellStyle name="Вычисление 10 45 2" xfId="6927" xr:uid="{00000000-0005-0000-0000-0000DC0E0000}"/>
    <cellStyle name="Вычисление 10 46" xfId="2420" xr:uid="{00000000-0005-0000-0000-0000DD0E0000}"/>
    <cellStyle name="Вычисление 10 46 2" xfId="6928" xr:uid="{00000000-0005-0000-0000-0000DE0E0000}"/>
    <cellStyle name="Вычисление 10 47" xfId="2421" xr:uid="{00000000-0005-0000-0000-0000DF0E0000}"/>
    <cellStyle name="Вычисление 10 47 2" xfId="6929" xr:uid="{00000000-0005-0000-0000-0000E00E0000}"/>
    <cellStyle name="Вычисление 10 48" xfId="2422" xr:uid="{00000000-0005-0000-0000-0000E10E0000}"/>
    <cellStyle name="Вычисление 10 48 2" xfId="6930" xr:uid="{00000000-0005-0000-0000-0000E20E0000}"/>
    <cellStyle name="Вычисление 10 49" xfId="2423" xr:uid="{00000000-0005-0000-0000-0000E30E0000}"/>
    <cellStyle name="Вычисление 10 49 2" xfId="6931" xr:uid="{00000000-0005-0000-0000-0000E40E0000}"/>
    <cellStyle name="Вычисление 10 5" xfId="2424" xr:uid="{00000000-0005-0000-0000-0000E50E0000}"/>
    <cellStyle name="Вычисление 10 5 2" xfId="6932" xr:uid="{00000000-0005-0000-0000-0000E60E0000}"/>
    <cellStyle name="Вычисление 10 50" xfId="2425" xr:uid="{00000000-0005-0000-0000-0000E70E0000}"/>
    <cellStyle name="Вычисление 10 50 2" xfId="6933" xr:uid="{00000000-0005-0000-0000-0000E80E0000}"/>
    <cellStyle name="Вычисление 10 51" xfId="2426" xr:uid="{00000000-0005-0000-0000-0000E90E0000}"/>
    <cellStyle name="Вычисление 10 51 2" xfId="6934" xr:uid="{00000000-0005-0000-0000-0000EA0E0000}"/>
    <cellStyle name="Вычисление 10 52" xfId="2427" xr:uid="{00000000-0005-0000-0000-0000EB0E0000}"/>
    <cellStyle name="Вычисление 10 52 2" xfId="6935" xr:uid="{00000000-0005-0000-0000-0000EC0E0000}"/>
    <cellStyle name="Вычисление 10 53" xfId="2428" xr:uid="{00000000-0005-0000-0000-0000ED0E0000}"/>
    <cellStyle name="Вычисление 10 53 2" xfId="6936" xr:uid="{00000000-0005-0000-0000-0000EE0E0000}"/>
    <cellStyle name="Вычисление 10 54" xfId="2429" xr:uid="{00000000-0005-0000-0000-0000EF0E0000}"/>
    <cellStyle name="Вычисление 10 54 2" xfId="6937" xr:uid="{00000000-0005-0000-0000-0000F00E0000}"/>
    <cellStyle name="Вычисление 10 55" xfId="2430" xr:uid="{00000000-0005-0000-0000-0000F10E0000}"/>
    <cellStyle name="Вычисление 10 55 2" xfId="6938" xr:uid="{00000000-0005-0000-0000-0000F20E0000}"/>
    <cellStyle name="Вычисление 10 56" xfId="2431" xr:uid="{00000000-0005-0000-0000-0000F30E0000}"/>
    <cellStyle name="Вычисление 10 56 2" xfId="6939" xr:uid="{00000000-0005-0000-0000-0000F40E0000}"/>
    <cellStyle name="Вычисление 10 57" xfId="2432" xr:uid="{00000000-0005-0000-0000-0000F50E0000}"/>
    <cellStyle name="Вычисление 10 57 2" xfId="6940" xr:uid="{00000000-0005-0000-0000-0000F60E0000}"/>
    <cellStyle name="Вычисление 10 58" xfId="2433" xr:uid="{00000000-0005-0000-0000-0000F70E0000}"/>
    <cellStyle name="Вычисление 10 58 2" xfId="6941" xr:uid="{00000000-0005-0000-0000-0000F80E0000}"/>
    <cellStyle name="Вычисление 10 59" xfId="2434" xr:uid="{00000000-0005-0000-0000-0000F90E0000}"/>
    <cellStyle name="Вычисление 10 59 2" xfId="6942" xr:uid="{00000000-0005-0000-0000-0000FA0E0000}"/>
    <cellStyle name="Вычисление 10 6" xfId="2435" xr:uid="{00000000-0005-0000-0000-0000FB0E0000}"/>
    <cellStyle name="Вычисление 10 6 2" xfId="6943" xr:uid="{00000000-0005-0000-0000-0000FC0E0000}"/>
    <cellStyle name="Вычисление 10 60" xfId="2436" xr:uid="{00000000-0005-0000-0000-0000FD0E0000}"/>
    <cellStyle name="Вычисление 10 60 2" xfId="6944" xr:uid="{00000000-0005-0000-0000-0000FE0E0000}"/>
    <cellStyle name="Вычисление 10 61" xfId="2437" xr:uid="{00000000-0005-0000-0000-0000FF0E0000}"/>
    <cellStyle name="Вычисление 10 61 2" xfId="6945" xr:uid="{00000000-0005-0000-0000-0000000F0000}"/>
    <cellStyle name="Вычисление 10 62" xfId="2438" xr:uid="{00000000-0005-0000-0000-0000010F0000}"/>
    <cellStyle name="Вычисление 10 62 2" xfId="6946" xr:uid="{00000000-0005-0000-0000-0000020F0000}"/>
    <cellStyle name="Вычисление 10 63" xfId="2439" xr:uid="{00000000-0005-0000-0000-0000030F0000}"/>
    <cellStyle name="Вычисление 10 63 2" xfId="6947" xr:uid="{00000000-0005-0000-0000-0000040F0000}"/>
    <cellStyle name="Вычисление 10 64" xfId="2440" xr:uid="{00000000-0005-0000-0000-0000050F0000}"/>
    <cellStyle name="Вычисление 10 64 2" xfId="6948" xr:uid="{00000000-0005-0000-0000-0000060F0000}"/>
    <cellStyle name="Вычисление 10 65" xfId="2441" xr:uid="{00000000-0005-0000-0000-0000070F0000}"/>
    <cellStyle name="Вычисление 10 65 2" xfId="6949" xr:uid="{00000000-0005-0000-0000-0000080F0000}"/>
    <cellStyle name="Вычисление 10 66" xfId="2442" xr:uid="{00000000-0005-0000-0000-0000090F0000}"/>
    <cellStyle name="Вычисление 10 66 2" xfId="6950" xr:uid="{00000000-0005-0000-0000-00000A0F0000}"/>
    <cellStyle name="Вычисление 10 67" xfId="2443" xr:uid="{00000000-0005-0000-0000-00000B0F0000}"/>
    <cellStyle name="Вычисление 10 67 2" xfId="6951" xr:uid="{00000000-0005-0000-0000-00000C0F0000}"/>
    <cellStyle name="Вычисление 10 68" xfId="2444" xr:uid="{00000000-0005-0000-0000-00000D0F0000}"/>
    <cellStyle name="Вычисление 10 68 2" xfId="6952" xr:uid="{00000000-0005-0000-0000-00000E0F0000}"/>
    <cellStyle name="Вычисление 10 69" xfId="2445" xr:uid="{00000000-0005-0000-0000-00000F0F0000}"/>
    <cellStyle name="Вычисление 10 69 2" xfId="6953" xr:uid="{00000000-0005-0000-0000-0000100F0000}"/>
    <cellStyle name="Вычисление 10 7" xfId="2446" xr:uid="{00000000-0005-0000-0000-0000110F0000}"/>
    <cellStyle name="Вычисление 10 7 2" xfId="6954" xr:uid="{00000000-0005-0000-0000-0000120F0000}"/>
    <cellStyle name="Вычисление 10 70" xfId="2447" xr:uid="{00000000-0005-0000-0000-0000130F0000}"/>
    <cellStyle name="Вычисление 10 70 2" xfId="6955" xr:uid="{00000000-0005-0000-0000-0000140F0000}"/>
    <cellStyle name="Вычисление 10 71" xfId="2448" xr:uid="{00000000-0005-0000-0000-0000150F0000}"/>
    <cellStyle name="Вычисление 10 71 2" xfId="6956" xr:uid="{00000000-0005-0000-0000-0000160F0000}"/>
    <cellStyle name="Вычисление 10 72" xfId="2449" xr:uid="{00000000-0005-0000-0000-0000170F0000}"/>
    <cellStyle name="Вычисление 10 72 2" xfId="6957" xr:uid="{00000000-0005-0000-0000-0000180F0000}"/>
    <cellStyle name="Вычисление 10 73" xfId="2450" xr:uid="{00000000-0005-0000-0000-0000190F0000}"/>
    <cellStyle name="Вычисление 10 73 2" xfId="6958" xr:uid="{00000000-0005-0000-0000-00001A0F0000}"/>
    <cellStyle name="Вычисление 10 74" xfId="2451" xr:uid="{00000000-0005-0000-0000-00001B0F0000}"/>
    <cellStyle name="Вычисление 10 74 2" xfId="6959" xr:uid="{00000000-0005-0000-0000-00001C0F0000}"/>
    <cellStyle name="Вычисление 10 75" xfId="2452" xr:uid="{00000000-0005-0000-0000-00001D0F0000}"/>
    <cellStyle name="Вычисление 10 75 2" xfId="6960" xr:uid="{00000000-0005-0000-0000-00001E0F0000}"/>
    <cellStyle name="Вычисление 10 76" xfId="2453" xr:uid="{00000000-0005-0000-0000-00001F0F0000}"/>
    <cellStyle name="Вычисление 10 76 2" xfId="6961" xr:uid="{00000000-0005-0000-0000-0000200F0000}"/>
    <cellStyle name="Вычисление 10 77" xfId="2454" xr:uid="{00000000-0005-0000-0000-0000210F0000}"/>
    <cellStyle name="Вычисление 10 77 2" xfId="6962" xr:uid="{00000000-0005-0000-0000-0000220F0000}"/>
    <cellStyle name="Вычисление 10 78" xfId="2455" xr:uid="{00000000-0005-0000-0000-0000230F0000}"/>
    <cellStyle name="Вычисление 10 78 2" xfId="6963" xr:uid="{00000000-0005-0000-0000-0000240F0000}"/>
    <cellStyle name="Вычисление 10 79" xfId="2456" xr:uid="{00000000-0005-0000-0000-0000250F0000}"/>
    <cellStyle name="Вычисление 10 79 2" xfId="6964" xr:uid="{00000000-0005-0000-0000-0000260F0000}"/>
    <cellStyle name="Вычисление 10 8" xfId="2457" xr:uid="{00000000-0005-0000-0000-0000270F0000}"/>
    <cellStyle name="Вычисление 10 8 2" xfId="6965" xr:uid="{00000000-0005-0000-0000-0000280F0000}"/>
    <cellStyle name="Вычисление 10 80" xfId="2458" xr:uid="{00000000-0005-0000-0000-0000290F0000}"/>
    <cellStyle name="Вычисление 10 80 2" xfId="6966" xr:uid="{00000000-0005-0000-0000-00002A0F0000}"/>
    <cellStyle name="Вычисление 10 81" xfId="2459" xr:uid="{00000000-0005-0000-0000-00002B0F0000}"/>
    <cellStyle name="Вычисление 10 81 2" xfId="6967" xr:uid="{00000000-0005-0000-0000-00002C0F0000}"/>
    <cellStyle name="Вычисление 10 82" xfId="2460" xr:uid="{00000000-0005-0000-0000-00002D0F0000}"/>
    <cellStyle name="Вычисление 10 82 2" xfId="6968" xr:uid="{00000000-0005-0000-0000-00002E0F0000}"/>
    <cellStyle name="Вычисление 10 83" xfId="2461" xr:uid="{00000000-0005-0000-0000-00002F0F0000}"/>
    <cellStyle name="Вычисление 10 83 2" xfId="6969" xr:uid="{00000000-0005-0000-0000-0000300F0000}"/>
    <cellStyle name="Вычисление 10 84" xfId="2462" xr:uid="{00000000-0005-0000-0000-0000310F0000}"/>
    <cellStyle name="Вычисление 10 84 2" xfId="6970" xr:uid="{00000000-0005-0000-0000-0000320F0000}"/>
    <cellStyle name="Вычисление 10 85" xfId="2463" xr:uid="{00000000-0005-0000-0000-0000330F0000}"/>
    <cellStyle name="Вычисление 10 85 2" xfId="6971" xr:uid="{00000000-0005-0000-0000-0000340F0000}"/>
    <cellStyle name="Вычисление 10 86" xfId="2464" xr:uid="{00000000-0005-0000-0000-0000350F0000}"/>
    <cellStyle name="Вычисление 10 86 2" xfId="6972" xr:uid="{00000000-0005-0000-0000-0000360F0000}"/>
    <cellStyle name="Вычисление 10 87" xfId="2465" xr:uid="{00000000-0005-0000-0000-0000370F0000}"/>
    <cellStyle name="Вычисление 10 87 2" xfId="6973" xr:uid="{00000000-0005-0000-0000-0000380F0000}"/>
    <cellStyle name="Вычисление 10 88" xfId="2466" xr:uid="{00000000-0005-0000-0000-0000390F0000}"/>
    <cellStyle name="Вычисление 10 88 2" xfId="6974" xr:uid="{00000000-0005-0000-0000-00003A0F0000}"/>
    <cellStyle name="Вычисление 10 89" xfId="2467" xr:uid="{00000000-0005-0000-0000-00003B0F0000}"/>
    <cellStyle name="Вычисление 10 89 2" xfId="6975" xr:uid="{00000000-0005-0000-0000-00003C0F0000}"/>
    <cellStyle name="Вычисление 10 9" xfId="2468" xr:uid="{00000000-0005-0000-0000-00003D0F0000}"/>
    <cellStyle name="Вычисление 10 9 2" xfId="6976" xr:uid="{00000000-0005-0000-0000-00003E0F0000}"/>
    <cellStyle name="Вычисление 10 90" xfId="2469" xr:uid="{00000000-0005-0000-0000-00003F0F0000}"/>
    <cellStyle name="Вычисление 10 90 2" xfId="6977" xr:uid="{00000000-0005-0000-0000-0000400F0000}"/>
    <cellStyle name="Вычисление 10 91" xfId="2470" xr:uid="{00000000-0005-0000-0000-0000410F0000}"/>
    <cellStyle name="Вычисление 10 91 2" xfId="6978" xr:uid="{00000000-0005-0000-0000-0000420F0000}"/>
    <cellStyle name="Вычисление 10 92" xfId="6979" xr:uid="{00000000-0005-0000-0000-0000430F0000}"/>
    <cellStyle name="Вычисление 2" xfId="245" xr:uid="{00000000-0005-0000-0000-0000440F0000}"/>
    <cellStyle name="Вычисление 2 10" xfId="2471" xr:uid="{00000000-0005-0000-0000-0000450F0000}"/>
    <cellStyle name="Вычисление 2 10 2" xfId="6980" xr:uid="{00000000-0005-0000-0000-0000460F0000}"/>
    <cellStyle name="Вычисление 2 11" xfId="2472" xr:uid="{00000000-0005-0000-0000-0000470F0000}"/>
    <cellStyle name="Вычисление 2 11 2" xfId="6981" xr:uid="{00000000-0005-0000-0000-0000480F0000}"/>
    <cellStyle name="Вычисление 2 12" xfId="2473" xr:uid="{00000000-0005-0000-0000-0000490F0000}"/>
    <cellStyle name="Вычисление 2 12 2" xfId="6982" xr:uid="{00000000-0005-0000-0000-00004A0F0000}"/>
    <cellStyle name="Вычисление 2 13" xfId="2474" xr:uid="{00000000-0005-0000-0000-00004B0F0000}"/>
    <cellStyle name="Вычисление 2 13 2" xfId="6983" xr:uid="{00000000-0005-0000-0000-00004C0F0000}"/>
    <cellStyle name="Вычисление 2 14" xfId="2475" xr:uid="{00000000-0005-0000-0000-00004D0F0000}"/>
    <cellStyle name="Вычисление 2 14 2" xfId="6984" xr:uid="{00000000-0005-0000-0000-00004E0F0000}"/>
    <cellStyle name="Вычисление 2 15" xfId="2476" xr:uid="{00000000-0005-0000-0000-00004F0F0000}"/>
    <cellStyle name="Вычисление 2 15 2" xfId="6985" xr:uid="{00000000-0005-0000-0000-0000500F0000}"/>
    <cellStyle name="Вычисление 2 16" xfId="2477" xr:uid="{00000000-0005-0000-0000-0000510F0000}"/>
    <cellStyle name="Вычисление 2 16 2" xfId="6986" xr:uid="{00000000-0005-0000-0000-0000520F0000}"/>
    <cellStyle name="Вычисление 2 17" xfId="2478" xr:uid="{00000000-0005-0000-0000-0000530F0000}"/>
    <cellStyle name="Вычисление 2 17 2" xfId="6987" xr:uid="{00000000-0005-0000-0000-0000540F0000}"/>
    <cellStyle name="Вычисление 2 18" xfId="2479" xr:uid="{00000000-0005-0000-0000-0000550F0000}"/>
    <cellStyle name="Вычисление 2 18 2" xfId="6988" xr:uid="{00000000-0005-0000-0000-0000560F0000}"/>
    <cellStyle name="Вычисление 2 19" xfId="2480" xr:uid="{00000000-0005-0000-0000-0000570F0000}"/>
    <cellStyle name="Вычисление 2 19 2" xfId="6989" xr:uid="{00000000-0005-0000-0000-0000580F0000}"/>
    <cellStyle name="Вычисление 2 2" xfId="2481" xr:uid="{00000000-0005-0000-0000-0000590F0000}"/>
    <cellStyle name="Вычисление 2 2 2" xfId="2482" xr:uid="{00000000-0005-0000-0000-00005A0F0000}"/>
    <cellStyle name="Вычисление 2 2 2 2" xfId="6990" xr:uid="{00000000-0005-0000-0000-00005B0F0000}"/>
    <cellStyle name="Вычисление 2 2 3" xfId="2483" xr:uid="{00000000-0005-0000-0000-00005C0F0000}"/>
    <cellStyle name="Вычисление 2 2 3 2" xfId="6991" xr:uid="{00000000-0005-0000-0000-00005D0F0000}"/>
    <cellStyle name="Вычисление 2 2 4" xfId="6992" xr:uid="{00000000-0005-0000-0000-00005E0F0000}"/>
    <cellStyle name="Вычисление 2 20" xfId="2484" xr:uid="{00000000-0005-0000-0000-00005F0F0000}"/>
    <cellStyle name="Вычисление 2 20 2" xfId="6993" xr:uid="{00000000-0005-0000-0000-0000600F0000}"/>
    <cellStyle name="Вычисление 2 21" xfId="2485" xr:uid="{00000000-0005-0000-0000-0000610F0000}"/>
    <cellStyle name="Вычисление 2 21 2" xfId="6994" xr:uid="{00000000-0005-0000-0000-0000620F0000}"/>
    <cellStyle name="Вычисление 2 22" xfId="2486" xr:uid="{00000000-0005-0000-0000-0000630F0000}"/>
    <cellStyle name="Вычисление 2 22 2" xfId="6995" xr:uid="{00000000-0005-0000-0000-0000640F0000}"/>
    <cellStyle name="Вычисление 2 23" xfId="2487" xr:uid="{00000000-0005-0000-0000-0000650F0000}"/>
    <cellStyle name="Вычисление 2 23 2" xfId="6996" xr:uid="{00000000-0005-0000-0000-0000660F0000}"/>
    <cellStyle name="Вычисление 2 24" xfId="2488" xr:uid="{00000000-0005-0000-0000-0000670F0000}"/>
    <cellStyle name="Вычисление 2 24 2" xfId="6997" xr:uid="{00000000-0005-0000-0000-0000680F0000}"/>
    <cellStyle name="Вычисление 2 25" xfId="2489" xr:uid="{00000000-0005-0000-0000-0000690F0000}"/>
    <cellStyle name="Вычисление 2 25 2" xfId="6998" xr:uid="{00000000-0005-0000-0000-00006A0F0000}"/>
    <cellStyle name="Вычисление 2 26" xfId="2490" xr:uid="{00000000-0005-0000-0000-00006B0F0000}"/>
    <cellStyle name="Вычисление 2 26 2" xfId="6999" xr:uid="{00000000-0005-0000-0000-00006C0F0000}"/>
    <cellStyle name="Вычисление 2 27" xfId="2491" xr:uid="{00000000-0005-0000-0000-00006D0F0000}"/>
    <cellStyle name="Вычисление 2 27 2" xfId="7000" xr:uid="{00000000-0005-0000-0000-00006E0F0000}"/>
    <cellStyle name="Вычисление 2 28" xfId="2492" xr:uid="{00000000-0005-0000-0000-00006F0F0000}"/>
    <cellStyle name="Вычисление 2 28 2" xfId="7001" xr:uid="{00000000-0005-0000-0000-0000700F0000}"/>
    <cellStyle name="Вычисление 2 29" xfId="2493" xr:uid="{00000000-0005-0000-0000-0000710F0000}"/>
    <cellStyle name="Вычисление 2 29 2" xfId="7002" xr:uid="{00000000-0005-0000-0000-0000720F0000}"/>
    <cellStyle name="Вычисление 2 3" xfId="2494" xr:uid="{00000000-0005-0000-0000-0000730F0000}"/>
    <cellStyle name="Вычисление 2 3 2" xfId="2495" xr:uid="{00000000-0005-0000-0000-0000740F0000}"/>
    <cellStyle name="Вычисление 2 3 2 2" xfId="7003" xr:uid="{00000000-0005-0000-0000-0000750F0000}"/>
    <cellStyle name="Вычисление 2 3 3" xfId="2496" xr:uid="{00000000-0005-0000-0000-0000760F0000}"/>
    <cellStyle name="Вычисление 2 3 3 2" xfId="7004" xr:uid="{00000000-0005-0000-0000-0000770F0000}"/>
    <cellStyle name="Вычисление 2 3 4" xfId="7005" xr:uid="{00000000-0005-0000-0000-0000780F0000}"/>
    <cellStyle name="Вычисление 2 30" xfId="2497" xr:uid="{00000000-0005-0000-0000-0000790F0000}"/>
    <cellStyle name="Вычисление 2 30 2" xfId="7006" xr:uid="{00000000-0005-0000-0000-00007A0F0000}"/>
    <cellStyle name="Вычисление 2 31" xfId="2498" xr:uid="{00000000-0005-0000-0000-00007B0F0000}"/>
    <cellStyle name="Вычисление 2 31 2" xfId="7007" xr:uid="{00000000-0005-0000-0000-00007C0F0000}"/>
    <cellStyle name="Вычисление 2 32" xfId="2499" xr:uid="{00000000-0005-0000-0000-00007D0F0000}"/>
    <cellStyle name="Вычисление 2 32 2" xfId="7008" xr:uid="{00000000-0005-0000-0000-00007E0F0000}"/>
    <cellStyle name="Вычисление 2 33" xfId="2500" xr:uid="{00000000-0005-0000-0000-00007F0F0000}"/>
    <cellStyle name="Вычисление 2 33 2" xfId="7009" xr:uid="{00000000-0005-0000-0000-0000800F0000}"/>
    <cellStyle name="Вычисление 2 34" xfId="2501" xr:uid="{00000000-0005-0000-0000-0000810F0000}"/>
    <cellStyle name="Вычисление 2 34 2" xfId="7010" xr:uid="{00000000-0005-0000-0000-0000820F0000}"/>
    <cellStyle name="Вычисление 2 35" xfId="2502" xr:uid="{00000000-0005-0000-0000-0000830F0000}"/>
    <cellStyle name="Вычисление 2 35 2" xfId="7011" xr:uid="{00000000-0005-0000-0000-0000840F0000}"/>
    <cellStyle name="Вычисление 2 36" xfId="2503" xr:uid="{00000000-0005-0000-0000-0000850F0000}"/>
    <cellStyle name="Вычисление 2 36 2" xfId="7012" xr:uid="{00000000-0005-0000-0000-0000860F0000}"/>
    <cellStyle name="Вычисление 2 37" xfId="2504" xr:uid="{00000000-0005-0000-0000-0000870F0000}"/>
    <cellStyle name="Вычисление 2 37 2" xfId="7013" xr:uid="{00000000-0005-0000-0000-0000880F0000}"/>
    <cellStyle name="Вычисление 2 38" xfId="2505" xr:uid="{00000000-0005-0000-0000-0000890F0000}"/>
    <cellStyle name="Вычисление 2 38 2" xfId="7014" xr:uid="{00000000-0005-0000-0000-00008A0F0000}"/>
    <cellStyle name="Вычисление 2 39" xfId="2506" xr:uid="{00000000-0005-0000-0000-00008B0F0000}"/>
    <cellStyle name="Вычисление 2 39 2" xfId="7015" xr:uid="{00000000-0005-0000-0000-00008C0F0000}"/>
    <cellStyle name="Вычисление 2 4" xfId="2507" xr:uid="{00000000-0005-0000-0000-00008D0F0000}"/>
    <cellStyle name="Вычисление 2 4 2" xfId="2508" xr:uid="{00000000-0005-0000-0000-00008E0F0000}"/>
    <cellStyle name="Вычисление 2 4 2 2" xfId="7016" xr:uid="{00000000-0005-0000-0000-00008F0F0000}"/>
    <cellStyle name="Вычисление 2 4 3" xfId="2509" xr:uid="{00000000-0005-0000-0000-0000900F0000}"/>
    <cellStyle name="Вычисление 2 4 3 2" xfId="7017" xr:uid="{00000000-0005-0000-0000-0000910F0000}"/>
    <cellStyle name="Вычисление 2 4 4" xfId="7018" xr:uid="{00000000-0005-0000-0000-0000920F0000}"/>
    <cellStyle name="Вычисление 2 40" xfId="2510" xr:uid="{00000000-0005-0000-0000-0000930F0000}"/>
    <cellStyle name="Вычисление 2 40 2" xfId="7019" xr:uid="{00000000-0005-0000-0000-0000940F0000}"/>
    <cellStyle name="Вычисление 2 41" xfId="2511" xr:uid="{00000000-0005-0000-0000-0000950F0000}"/>
    <cellStyle name="Вычисление 2 41 2" xfId="7020" xr:uid="{00000000-0005-0000-0000-0000960F0000}"/>
    <cellStyle name="Вычисление 2 42" xfId="2512" xr:uid="{00000000-0005-0000-0000-0000970F0000}"/>
    <cellStyle name="Вычисление 2 42 2" xfId="7021" xr:uid="{00000000-0005-0000-0000-0000980F0000}"/>
    <cellStyle name="Вычисление 2 43" xfId="2513" xr:uid="{00000000-0005-0000-0000-0000990F0000}"/>
    <cellStyle name="Вычисление 2 43 2" xfId="7022" xr:uid="{00000000-0005-0000-0000-00009A0F0000}"/>
    <cellStyle name="Вычисление 2 44" xfId="2514" xr:uid="{00000000-0005-0000-0000-00009B0F0000}"/>
    <cellStyle name="Вычисление 2 44 2" xfId="7023" xr:uid="{00000000-0005-0000-0000-00009C0F0000}"/>
    <cellStyle name="Вычисление 2 45" xfId="2515" xr:uid="{00000000-0005-0000-0000-00009D0F0000}"/>
    <cellStyle name="Вычисление 2 45 2" xfId="7024" xr:uid="{00000000-0005-0000-0000-00009E0F0000}"/>
    <cellStyle name="Вычисление 2 46" xfId="2516" xr:uid="{00000000-0005-0000-0000-00009F0F0000}"/>
    <cellStyle name="Вычисление 2 46 2" xfId="7025" xr:uid="{00000000-0005-0000-0000-0000A00F0000}"/>
    <cellStyle name="Вычисление 2 47" xfId="2517" xr:uid="{00000000-0005-0000-0000-0000A10F0000}"/>
    <cellStyle name="Вычисление 2 47 2" xfId="7026" xr:uid="{00000000-0005-0000-0000-0000A20F0000}"/>
    <cellStyle name="Вычисление 2 48" xfId="2518" xr:uid="{00000000-0005-0000-0000-0000A30F0000}"/>
    <cellStyle name="Вычисление 2 48 2" xfId="7027" xr:uid="{00000000-0005-0000-0000-0000A40F0000}"/>
    <cellStyle name="Вычисление 2 49" xfId="2519" xr:uid="{00000000-0005-0000-0000-0000A50F0000}"/>
    <cellStyle name="Вычисление 2 49 2" xfId="7028" xr:uid="{00000000-0005-0000-0000-0000A60F0000}"/>
    <cellStyle name="Вычисление 2 5" xfId="2520" xr:uid="{00000000-0005-0000-0000-0000A70F0000}"/>
    <cellStyle name="Вычисление 2 5 2" xfId="7029" xr:uid="{00000000-0005-0000-0000-0000A80F0000}"/>
    <cellStyle name="Вычисление 2 50" xfId="2521" xr:uid="{00000000-0005-0000-0000-0000A90F0000}"/>
    <cellStyle name="Вычисление 2 50 2" xfId="7030" xr:uid="{00000000-0005-0000-0000-0000AA0F0000}"/>
    <cellStyle name="Вычисление 2 51" xfId="2522" xr:uid="{00000000-0005-0000-0000-0000AB0F0000}"/>
    <cellStyle name="Вычисление 2 51 2" xfId="7031" xr:uid="{00000000-0005-0000-0000-0000AC0F0000}"/>
    <cellStyle name="Вычисление 2 52" xfId="2523" xr:uid="{00000000-0005-0000-0000-0000AD0F0000}"/>
    <cellStyle name="Вычисление 2 52 2" xfId="7032" xr:uid="{00000000-0005-0000-0000-0000AE0F0000}"/>
    <cellStyle name="Вычисление 2 53" xfId="2524" xr:uid="{00000000-0005-0000-0000-0000AF0F0000}"/>
    <cellStyle name="Вычисление 2 53 2" xfId="7033" xr:uid="{00000000-0005-0000-0000-0000B00F0000}"/>
    <cellStyle name="Вычисление 2 54" xfId="2525" xr:uid="{00000000-0005-0000-0000-0000B10F0000}"/>
    <cellStyle name="Вычисление 2 54 2" xfId="7034" xr:uid="{00000000-0005-0000-0000-0000B20F0000}"/>
    <cellStyle name="Вычисление 2 55" xfId="2526" xr:uid="{00000000-0005-0000-0000-0000B30F0000}"/>
    <cellStyle name="Вычисление 2 55 2" xfId="7035" xr:uid="{00000000-0005-0000-0000-0000B40F0000}"/>
    <cellStyle name="Вычисление 2 56" xfId="2527" xr:uid="{00000000-0005-0000-0000-0000B50F0000}"/>
    <cellStyle name="Вычисление 2 56 2" xfId="7036" xr:uid="{00000000-0005-0000-0000-0000B60F0000}"/>
    <cellStyle name="Вычисление 2 57" xfId="2528" xr:uid="{00000000-0005-0000-0000-0000B70F0000}"/>
    <cellStyle name="Вычисление 2 57 2" xfId="7037" xr:uid="{00000000-0005-0000-0000-0000B80F0000}"/>
    <cellStyle name="Вычисление 2 58" xfId="2529" xr:uid="{00000000-0005-0000-0000-0000B90F0000}"/>
    <cellStyle name="Вычисление 2 58 2" xfId="7038" xr:uid="{00000000-0005-0000-0000-0000BA0F0000}"/>
    <cellStyle name="Вычисление 2 59" xfId="2530" xr:uid="{00000000-0005-0000-0000-0000BB0F0000}"/>
    <cellStyle name="Вычисление 2 59 2" xfId="7039" xr:uid="{00000000-0005-0000-0000-0000BC0F0000}"/>
    <cellStyle name="Вычисление 2 6" xfId="2531" xr:uid="{00000000-0005-0000-0000-0000BD0F0000}"/>
    <cellStyle name="Вычисление 2 6 2" xfId="7040" xr:uid="{00000000-0005-0000-0000-0000BE0F0000}"/>
    <cellStyle name="Вычисление 2 60" xfId="2532" xr:uid="{00000000-0005-0000-0000-0000BF0F0000}"/>
    <cellStyle name="Вычисление 2 60 2" xfId="7041" xr:uid="{00000000-0005-0000-0000-0000C00F0000}"/>
    <cellStyle name="Вычисление 2 61" xfId="2533" xr:uid="{00000000-0005-0000-0000-0000C10F0000}"/>
    <cellStyle name="Вычисление 2 61 2" xfId="7042" xr:uid="{00000000-0005-0000-0000-0000C20F0000}"/>
    <cellStyle name="Вычисление 2 62" xfId="2534" xr:uid="{00000000-0005-0000-0000-0000C30F0000}"/>
    <cellStyle name="Вычисление 2 62 2" xfId="7043" xr:uid="{00000000-0005-0000-0000-0000C40F0000}"/>
    <cellStyle name="Вычисление 2 63" xfId="2535" xr:uid="{00000000-0005-0000-0000-0000C50F0000}"/>
    <cellStyle name="Вычисление 2 63 2" xfId="7044" xr:uid="{00000000-0005-0000-0000-0000C60F0000}"/>
    <cellStyle name="Вычисление 2 64" xfId="2536" xr:uid="{00000000-0005-0000-0000-0000C70F0000}"/>
    <cellStyle name="Вычисление 2 64 2" xfId="7045" xr:uid="{00000000-0005-0000-0000-0000C80F0000}"/>
    <cellStyle name="Вычисление 2 65" xfId="2537" xr:uid="{00000000-0005-0000-0000-0000C90F0000}"/>
    <cellStyle name="Вычисление 2 65 2" xfId="7046" xr:uid="{00000000-0005-0000-0000-0000CA0F0000}"/>
    <cellStyle name="Вычисление 2 66" xfId="2538" xr:uid="{00000000-0005-0000-0000-0000CB0F0000}"/>
    <cellStyle name="Вычисление 2 66 2" xfId="7047" xr:uid="{00000000-0005-0000-0000-0000CC0F0000}"/>
    <cellStyle name="Вычисление 2 67" xfId="2539" xr:uid="{00000000-0005-0000-0000-0000CD0F0000}"/>
    <cellStyle name="Вычисление 2 67 2" xfId="7048" xr:uid="{00000000-0005-0000-0000-0000CE0F0000}"/>
    <cellStyle name="Вычисление 2 68" xfId="2540" xr:uid="{00000000-0005-0000-0000-0000CF0F0000}"/>
    <cellStyle name="Вычисление 2 68 2" xfId="7049" xr:uid="{00000000-0005-0000-0000-0000D00F0000}"/>
    <cellStyle name="Вычисление 2 69" xfId="2541" xr:uid="{00000000-0005-0000-0000-0000D10F0000}"/>
    <cellStyle name="Вычисление 2 69 2" xfId="7050" xr:uid="{00000000-0005-0000-0000-0000D20F0000}"/>
    <cellStyle name="Вычисление 2 7" xfId="2542" xr:uid="{00000000-0005-0000-0000-0000D30F0000}"/>
    <cellStyle name="Вычисление 2 7 2" xfId="7051" xr:uid="{00000000-0005-0000-0000-0000D40F0000}"/>
    <cellStyle name="Вычисление 2 70" xfId="2543" xr:uid="{00000000-0005-0000-0000-0000D50F0000}"/>
    <cellStyle name="Вычисление 2 70 2" xfId="7052" xr:uid="{00000000-0005-0000-0000-0000D60F0000}"/>
    <cellStyle name="Вычисление 2 71" xfId="2544" xr:uid="{00000000-0005-0000-0000-0000D70F0000}"/>
    <cellStyle name="Вычисление 2 71 2" xfId="7053" xr:uid="{00000000-0005-0000-0000-0000D80F0000}"/>
    <cellStyle name="Вычисление 2 72" xfId="2545" xr:uid="{00000000-0005-0000-0000-0000D90F0000}"/>
    <cellStyle name="Вычисление 2 72 2" xfId="7054" xr:uid="{00000000-0005-0000-0000-0000DA0F0000}"/>
    <cellStyle name="Вычисление 2 73" xfId="2546" xr:uid="{00000000-0005-0000-0000-0000DB0F0000}"/>
    <cellStyle name="Вычисление 2 73 2" xfId="7055" xr:uid="{00000000-0005-0000-0000-0000DC0F0000}"/>
    <cellStyle name="Вычисление 2 74" xfId="2547" xr:uid="{00000000-0005-0000-0000-0000DD0F0000}"/>
    <cellStyle name="Вычисление 2 74 2" xfId="7056" xr:uid="{00000000-0005-0000-0000-0000DE0F0000}"/>
    <cellStyle name="Вычисление 2 75" xfId="2548" xr:uid="{00000000-0005-0000-0000-0000DF0F0000}"/>
    <cellStyle name="Вычисление 2 75 2" xfId="7057" xr:uid="{00000000-0005-0000-0000-0000E00F0000}"/>
    <cellStyle name="Вычисление 2 76" xfId="2549" xr:uid="{00000000-0005-0000-0000-0000E10F0000}"/>
    <cellStyle name="Вычисление 2 76 2" xfId="7058" xr:uid="{00000000-0005-0000-0000-0000E20F0000}"/>
    <cellStyle name="Вычисление 2 77" xfId="2550" xr:uid="{00000000-0005-0000-0000-0000E30F0000}"/>
    <cellStyle name="Вычисление 2 77 2" xfId="7059" xr:uid="{00000000-0005-0000-0000-0000E40F0000}"/>
    <cellStyle name="Вычисление 2 78" xfId="2551" xr:uid="{00000000-0005-0000-0000-0000E50F0000}"/>
    <cellStyle name="Вычисление 2 78 2" xfId="7060" xr:uid="{00000000-0005-0000-0000-0000E60F0000}"/>
    <cellStyle name="Вычисление 2 79" xfId="2552" xr:uid="{00000000-0005-0000-0000-0000E70F0000}"/>
    <cellStyle name="Вычисление 2 79 2" xfId="7061" xr:uid="{00000000-0005-0000-0000-0000E80F0000}"/>
    <cellStyle name="Вычисление 2 8" xfId="2553" xr:uid="{00000000-0005-0000-0000-0000E90F0000}"/>
    <cellStyle name="Вычисление 2 8 2" xfId="7062" xr:uid="{00000000-0005-0000-0000-0000EA0F0000}"/>
    <cellStyle name="Вычисление 2 80" xfId="2554" xr:uid="{00000000-0005-0000-0000-0000EB0F0000}"/>
    <cellStyle name="Вычисление 2 80 2" xfId="7063" xr:uid="{00000000-0005-0000-0000-0000EC0F0000}"/>
    <cellStyle name="Вычисление 2 81" xfId="2555" xr:uid="{00000000-0005-0000-0000-0000ED0F0000}"/>
    <cellStyle name="Вычисление 2 81 2" xfId="7064" xr:uid="{00000000-0005-0000-0000-0000EE0F0000}"/>
    <cellStyle name="Вычисление 2 82" xfId="2556" xr:uid="{00000000-0005-0000-0000-0000EF0F0000}"/>
    <cellStyle name="Вычисление 2 82 2" xfId="7065" xr:uid="{00000000-0005-0000-0000-0000F00F0000}"/>
    <cellStyle name="Вычисление 2 83" xfId="2557" xr:uid="{00000000-0005-0000-0000-0000F10F0000}"/>
    <cellStyle name="Вычисление 2 83 2" xfId="7066" xr:uid="{00000000-0005-0000-0000-0000F20F0000}"/>
    <cellStyle name="Вычисление 2 84" xfId="2558" xr:uid="{00000000-0005-0000-0000-0000F30F0000}"/>
    <cellStyle name="Вычисление 2 84 2" xfId="7067" xr:uid="{00000000-0005-0000-0000-0000F40F0000}"/>
    <cellStyle name="Вычисление 2 85" xfId="2559" xr:uid="{00000000-0005-0000-0000-0000F50F0000}"/>
    <cellStyle name="Вычисление 2 85 2" xfId="7068" xr:uid="{00000000-0005-0000-0000-0000F60F0000}"/>
    <cellStyle name="Вычисление 2 86" xfId="2560" xr:uid="{00000000-0005-0000-0000-0000F70F0000}"/>
    <cellStyle name="Вычисление 2 86 2" xfId="7069" xr:uid="{00000000-0005-0000-0000-0000F80F0000}"/>
    <cellStyle name="Вычисление 2 87" xfId="2561" xr:uid="{00000000-0005-0000-0000-0000F90F0000}"/>
    <cellStyle name="Вычисление 2 87 2" xfId="7070" xr:uid="{00000000-0005-0000-0000-0000FA0F0000}"/>
    <cellStyle name="Вычисление 2 88" xfId="2562" xr:uid="{00000000-0005-0000-0000-0000FB0F0000}"/>
    <cellStyle name="Вычисление 2 88 2" xfId="7071" xr:uid="{00000000-0005-0000-0000-0000FC0F0000}"/>
    <cellStyle name="Вычисление 2 89" xfId="2563" xr:uid="{00000000-0005-0000-0000-0000FD0F0000}"/>
    <cellStyle name="Вычисление 2 89 2" xfId="7072" xr:uid="{00000000-0005-0000-0000-0000FE0F0000}"/>
    <cellStyle name="Вычисление 2 9" xfId="2564" xr:uid="{00000000-0005-0000-0000-0000FF0F0000}"/>
    <cellStyle name="Вычисление 2 9 2" xfId="7073" xr:uid="{00000000-0005-0000-0000-000000100000}"/>
    <cellStyle name="Вычисление 2 90" xfId="2565" xr:uid="{00000000-0005-0000-0000-000001100000}"/>
    <cellStyle name="Вычисление 2 90 2" xfId="7074" xr:uid="{00000000-0005-0000-0000-000002100000}"/>
    <cellStyle name="Вычисление 2 91" xfId="2566" xr:uid="{00000000-0005-0000-0000-000003100000}"/>
    <cellStyle name="Вычисление 2 91 2" xfId="7075" xr:uid="{00000000-0005-0000-0000-000004100000}"/>
    <cellStyle name="Вычисление 2 92" xfId="7076" xr:uid="{00000000-0005-0000-0000-000005100000}"/>
    <cellStyle name="Вычисление 3" xfId="246" xr:uid="{00000000-0005-0000-0000-000006100000}"/>
    <cellStyle name="Вычисление 3 10" xfId="2567" xr:uid="{00000000-0005-0000-0000-000007100000}"/>
    <cellStyle name="Вычисление 3 10 2" xfId="7077" xr:uid="{00000000-0005-0000-0000-000008100000}"/>
    <cellStyle name="Вычисление 3 11" xfId="2568" xr:uid="{00000000-0005-0000-0000-000009100000}"/>
    <cellStyle name="Вычисление 3 11 2" xfId="7078" xr:uid="{00000000-0005-0000-0000-00000A100000}"/>
    <cellStyle name="Вычисление 3 12" xfId="2569" xr:uid="{00000000-0005-0000-0000-00000B100000}"/>
    <cellStyle name="Вычисление 3 12 2" xfId="7079" xr:uid="{00000000-0005-0000-0000-00000C100000}"/>
    <cellStyle name="Вычисление 3 13" xfId="2570" xr:uid="{00000000-0005-0000-0000-00000D100000}"/>
    <cellStyle name="Вычисление 3 13 2" xfId="7080" xr:uid="{00000000-0005-0000-0000-00000E100000}"/>
    <cellStyle name="Вычисление 3 14" xfId="2571" xr:uid="{00000000-0005-0000-0000-00000F100000}"/>
    <cellStyle name="Вычисление 3 14 2" xfId="7081" xr:uid="{00000000-0005-0000-0000-000010100000}"/>
    <cellStyle name="Вычисление 3 15" xfId="2572" xr:uid="{00000000-0005-0000-0000-000011100000}"/>
    <cellStyle name="Вычисление 3 15 2" xfId="7082" xr:uid="{00000000-0005-0000-0000-000012100000}"/>
    <cellStyle name="Вычисление 3 16" xfId="2573" xr:uid="{00000000-0005-0000-0000-000013100000}"/>
    <cellStyle name="Вычисление 3 16 2" xfId="7083" xr:uid="{00000000-0005-0000-0000-000014100000}"/>
    <cellStyle name="Вычисление 3 17" xfId="2574" xr:uid="{00000000-0005-0000-0000-000015100000}"/>
    <cellStyle name="Вычисление 3 17 2" xfId="7084" xr:uid="{00000000-0005-0000-0000-000016100000}"/>
    <cellStyle name="Вычисление 3 18" xfId="2575" xr:uid="{00000000-0005-0000-0000-000017100000}"/>
    <cellStyle name="Вычисление 3 18 2" xfId="7085" xr:uid="{00000000-0005-0000-0000-000018100000}"/>
    <cellStyle name="Вычисление 3 19" xfId="2576" xr:uid="{00000000-0005-0000-0000-000019100000}"/>
    <cellStyle name="Вычисление 3 19 2" xfId="7086" xr:uid="{00000000-0005-0000-0000-00001A100000}"/>
    <cellStyle name="Вычисление 3 2" xfId="2577" xr:uid="{00000000-0005-0000-0000-00001B100000}"/>
    <cellStyle name="Вычисление 3 2 2" xfId="2578" xr:uid="{00000000-0005-0000-0000-00001C100000}"/>
    <cellStyle name="Вычисление 3 2 2 2" xfId="7087" xr:uid="{00000000-0005-0000-0000-00001D100000}"/>
    <cellStyle name="Вычисление 3 2 3" xfId="2579" xr:uid="{00000000-0005-0000-0000-00001E100000}"/>
    <cellStyle name="Вычисление 3 2 3 2" xfId="7088" xr:uid="{00000000-0005-0000-0000-00001F100000}"/>
    <cellStyle name="Вычисление 3 2 4" xfId="7089" xr:uid="{00000000-0005-0000-0000-000020100000}"/>
    <cellStyle name="Вычисление 3 20" xfId="2580" xr:uid="{00000000-0005-0000-0000-000021100000}"/>
    <cellStyle name="Вычисление 3 20 2" xfId="7090" xr:uid="{00000000-0005-0000-0000-000022100000}"/>
    <cellStyle name="Вычисление 3 21" xfId="2581" xr:uid="{00000000-0005-0000-0000-000023100000}"/>
    <cellStyle name="Вычисление 3 21 2" xfId="7091" xr:uid="{00000000-0005-0000-0000-000024100000}"/>
    <cellStyle name="Вычисление 3 22" xfId="2582" xr:uid="{00000000-0005-0000-0000-000025100000}"/>
    <cellStyle name="Вычисление 3 22 2" xfId="7092" xr:uid="{00000000-0005-0000-0000-000026100000}"/>
    <cellStyle name="Вычисление 3 23" xfId="2583" xr:uid="{00000000-0005-0000-0000-000027100000}"/>
    <cellStyle name="Вычисление 3 23 2" xfId="7093" xr:uid="{00000000-0005-0000-0000-000028100000}"/>
    <cellStyle name="Вычисление 3 24" xfId="2584" xr:uid="{00000000-0005-0000-0000-000029100000}"/>
    <cellStyle name="Вычисление 3 24 2" xfId="7094" xr:uid="{00000000-0005-0000-0000-00002A100000}"/>
    <cellStyle name="Вычисление 3 25" xfId="2585" xr:uid="{00000000-0005-0000-0000-00002B100000}"/>
    <cellStyle name="Вычисление 3 25 2" xfId="7095" xr:uid="{00000000-0005-0000-0000-00002C100000}"/>
    <cellStyle name="Вычисление 3 26" xfId="2586" xr:uid="{00000000-0005-0000-0000-00002D100000}"/>
    <cellStyle name="Вычисление 3 26 2" xfId="7096" xr:uid="{00000000-0005-0000-0000-00002E100000}"/>
    <cellStyle name="Вычисление 3 27" xfId="2587" xr:uid="{00000000-0005-0000-0000-00002F100000}"/>
    <cellStyle name="Вычисление 3 27 2" xfId="7097" xr:uid="{00000000-0005-0000-0000-000030100000}"/>
    <cellStyle name="Вычисление 3 28" xfId="2588" xr:uid="{00000000-0005-0000-0000-000031100000}"/>
    <cellStyle name="Вычисление 3 28 2" xfId="7098" xr:uid="{00000000-0005-0000-0000-000032100000}"/>
    <cellStyle name="Вычисление 3 29" xfId="2589" xr:uid="{00000000-0005-0000-0000-000033100000}"/>
    <cellStyle name="Вычисление 3 29 2" xfId="7099" xr:uid="{00000000-0005-0000-0000-000034100000}"/>
    <cellStyle name="Вычисление 3 3" xfId="2590" xr:uid="{00000000-0005-0000-0000-000035100000}"/>
    <cellStyle name="Вычисление 3 3 2" xfId="2591" xr:uid="{00000000-0005-0000-0000-000036100000}"/>
    <cellStyle name="Вычисление 3 3 2 2" xfId="7100" xr:uid="{00000000-0005-0000-0000-000037100000}"/>
    <cellStyle name="Вычисление 3 3 3" xfId="2592" xr:uid="{00000000-0005-0000-0000-000038100000}"/>
    <cellStyle name="Вычисление 3 3 3 2" xfId="7101" xr:uid="{00000000-0005-0000-0000-000039100000}"/>
    <cellStyle name="Вычисление 3 3 4" xfId="7102" xr:uid="{00000000-0005-0000-0000-00003A100000}"/>
    <cellStyle name="Вычисление 3 30" xfId="2593" xr:uid="{00000000-0005-0000-0000-00003B100000}"/>
    <cellStyle name="Вычисление 3 30 2" xfId="7103" xr:uid="{00000000-0005-0000-0000-00003C100000}"/>
    <cellStyle name="Вычисление 3 31" xfId="2594" xr:uid="{00000000-0005-0000-0000-00003D100000}"/>
    <cellStyle name="Вычисление 3 31 2" xfId="7104" xr:uid="{00000000-0005-0000-0000-00003E100000}"/>
    <cellStyle name="Вычисление 3 32" xfId="2595" xr:uid="{00000000-0005-0000-0000-00003F100000}"/>
    <cellStyle name="Вычисление 3 32 2" xfId="7105" xr:uid="{00000000-0005-0000-0000-000040100000}"/>
    <cellStyle name="Вычисление 3 33" xfId="2596" xr:uid="{00000000-0005-0000-0000-000041100000}"/>
    <cellStyle name="Вычисление 3 33 2" xfId="7106" xr:uid="{00000000-0005-0000-0000-000042100000}"/>
    <cellStyle name="Вычисление 3 34" xfId="2597" xr:uid="{00000000-0005-0000-0000-000043100000}"/>
    <cellStyle name="Вычисление 3 34 2" xfId="7107" xr:uid="{00000000-0005-0000-0000-000044100000}"/>
    <cellStyle name="Вычисление 3 35" xfId="2598" xr:uid="{00000000-0005-0000-0000-000045100000}"/>
    <cellStyle name="Вычисление 3 35 2" xfId="7108" xr:uid="{00000000-0005-0000-0000-000046100000}"/>
    <cellStyle name="Вычисление 3 36" xfId="2599" xr:uid="{00000000-0005-0000-0000-000047100000}"/>
    <cellStyle name="Вычисление 3 36 2" xfId="7109" xr:uid="{00000000-0005-0000-0000-000048100000}"/>
    <cellStyle name="Вычисление 3 37" xfId="2600" xr:uid="{00000000-0005-0000-0000-000049100000}"/>
    <cellStyle name="Вычисление 3 37 2" xfId="7110" xr:uid="{00000000-0005-0000-0000-00004A100000}"/>
    <cellStyle name="Вычисление 3 38" xfId="2601" xr:uid="{00000000-0005-0000-0000-00004B100000}"/>
    <cellStyle name="Вычисление 3 38 2" xfId="7111" xr:uid="{00000000-0005-0000-0000-00004C100000}"/>
    <cellStyle name="Вычисление 3 39" xfId="2602" xr:uid="{00000000-0005-0000-0000-00004D100000}"/>
    <cellStyle name="Вычисление 3 39 2" xfId="7112" xr:uid="{00000000-0005-0000-0000-00004E100000}"/>
    <cellStyle name="Вычисление 3 4" xfId="2603" xr:uid="{00000000-0005-0000-0000-00004F100000}"/>
    <cellStyle name="Вычисление 3 4 2" xfId="2604" xr:uid="{00000000-0005-0000-0000-000050100000}"/>
    <cellStyle name="Вычисление 3 4 2 2" xfId="7113" xr:uid="{00000000-0005-0000-0000-000051100000}"/>
    <cellStyle name="Вычисление 3 4 3" xfId="2605" xr:uid="{00000000-0005-0000-0000-000052100000}"/>
    <cellStyle name="Вычисление 3 4 3 2" xfId="7114" xr:uid="{00000000-0005-0000-0000-000053100000}"/>
    <cellStyle name="Вычисление 3 4 4" xfId="7115" xr:uid="{00000000-0005-0000-0000-000054100000}"/>
    <cellStyle name="Вычисление 3 40" xfId="2606" xr:uid="{00000000-0005-0000-0000-000055100000}"/>
    <cellStyle name="Вычисление 3 40 2" xfId="7116" xr:uid="{00000000-0005-0000-0000-000056100000}"/>
    <cellStyle name="Вычисление 3 41" xfId="2607" xr:uid="{00000000-0005-0000-0000-000057100000}"/>
    <cellStyle name="Вычисление 3 41 2" xfId="7117" xr:uid="{00000000-0005-0000-0000-000058100000}"/>
    <cellStyle name="Вычисление 3 42" xfId="2608" xr:uid="{00000000-0005-0000-0000-000059100000}"/>
    <cellStyle name="Вычисление 3 42 2" xfId="7118" xr:uid="{00000000-0005-0000-0000-00005A100000}"/>
    <cellStyle name="Вычисление 3 43" xfId="2609" xr:uid="{00000000-0005-0000-0000-00005B100000}"/>
    <cellStyle name="Вычисление 3 43 2" xfId="7119" xr:uid="{00000000-0005-0000-0000-00005C100000}"/>
    <cellStyle name="Вычисление 3 44" xfId="2610" xr:uid="{00000000-0005-0000-0000-00005D100000}"/>
    <cellStyle name="Вычисление 3 44 2" xfId="7120" xr:uid="{00000000-0005-0000-0000-00005E100000}"/>
    <cellStyle name="Вычисление 3 45" xfId="2611" xr:uid="{00000000-0005-0000-0000-00005F100000}"/>
    <cellStyle name="Вычисление 3 45 2" xfId="7121" xr:uid="{00000000-0005-0000-0000-000060100000}"/>
    <cellStyle name="Вычисление 3 46" xfId="2612" xr:uid="{00000000-0005-0000-0000-000061100000}"/>
    <cellStyle name="Вычисление 3 46 2" xfId="7122" xr:uid="{00000000-0005-0000-0000-000062100000}"/>
    <cellStyle name="Вычисление 3 47" xfId="2613" xr:uid="{00000000-0005-0000-0000-000063100000}"/>
    <cellStyle name="Вычисление 3 47 2" xfId="7123" xr:uid="{00000000-0005-0000-0000-000064100000}"/>
    <cellStyle name="Вычисление 3 48" xfId="2614" xr:uid="{00000000-0005-0000-0000-000065100000}"/>
    <cellStyle name="Вычисление 3 48 2" xfId="7124" xr:uid="{00000000-0005-0000-0000-000066100000}"/>
    <cellStyle name="Вычисление 3 49" xfId="2615" xr:uid="{00000000-0005-0000-0000-000067100000}"/>
    <cellStyle name="Вычисление 3 49 2" xfId="7125" xr:uid="{00000000-0005-0000-0000-000068100000}"/>
    <cellStyle name="Вычисление 3 5" xfId="2616" xr:uid="{00000000-0005-0000-0000-000069100000}"/>
    <cellStyle name="Вычисление 3 5 2" xfId="7126" xr:uid="{00000000-0005-0000-0000-00006A100000}"/>
    <cellStyle name="Вычисление 3 50" xfId="2617" xr:uid="{00000000-0005-0000-0000-00006B100000}"/>
    <cellStyle name="Вычисление 3 50 2" xfId="7127" xr:uid="{00000000-0005-0000-0000-00006C100000}"/>
    <cellStyle name="Вычисление 3 51" xfId="2618" xr:uid="{00000000-0005-0000-0000-00006D100000}"/>
    <cellStyle name="Вычисление 3 51 2" xfId="7128" xr:uid="{00000000-0005-0000-0000-00006E100000}"/>
    <cellStyle name="Вычисление 3 52" xfId="2619" xr:uid="{00000000-0005-0000-0000-00006F100000}"/>
    <cellStyle name="Вычисление 3 52 2" xfId="7129" xr:uid="{00000000-0005-0000-0000-000070100000}"/>
    <cellStyle name="Вычисление 3 53" xfId="2620" xr:uid="{00000000-0005-0000-0000-000071100000}"/>
    <cellStyle name="Вычисление 3 53 2" xfId="7130" xr:uid="{00000000-0005-0000-0000-000072100000}"/>
    <cellStyle name="Вычисление 3 54" xfId="2621" xr:uid="{00000000-0005-0000-0000-000073100000}"/>
    <cellStyle name="Вычисление 3 54 2" xfId="7131" xr:uid="{00000000-0005-0000-0000-000074100000}"/>
    <cellStyle name="Вычисление 3 55" xfId="2622" xr:uid="{00000000-0005-0000-0000-000075100000}"/>
    <cellStyle name="Вычисление 3 55 2" xfId="7132" xr:uid="{00000000-0005-0000-0000-000076100000}"/>
    <cellStyle name="Вычисление 3 56" xfId="2623" xr:uid="{00000000-0005-0000-0000-000077100000}"/>
    <cellStyle name="Вычисление 3 56 2" xfId="7133" xr:uid="{00000000-0005-0000-0000-000078100000}"/>
    <cellStyle name="Вычисление 3 57" xfId="2624" xr:uid="{00000000-0005-0000-0000-000079100000}"/>
    <cellStyle name="Вычисление 3 57 2" xfId="7134" xr:uid="{00000000-0005-0000-0000-00007A100000}"/>
    <cellStyle name="Вычисление 3 58" xfId="2625" xr:uid="{00000000-0005-0000-0000-00007B100000}"/>
    <cellStyle name="Вычисление 3 58 2" xfId="7135" xr:uid="{00000000-0005-0000-0000-00007C100000}"/>
    <cellStyle name="Вычисление 3 59" xfId="2626" xr:uid="{00000000-0005-0000-0000-00007D100000}"/>
    <cellStyle name="Вычисление 3 59 2" xfId="7136" xr:uid="{00000000-0005-0000-0000-00007E100000}"/>
    <cellStyle name="Вычисление 3 6" xfId="2627" xr:uid="{00000000-0005-0000-0000-00007F100000}"/>
    <cellStyle name="Вычисление 3 6 2" xfId="7137" xr:uid="{00000000-0005-0000-0000-000080100000}"/>
    <cellStyle name="Вычисление 3 60" xfId="2628" xr:uid="{00000000-0005-0000-0000-000081100000}"/>
    <cellStyle name="Вычисление 3 60 2" xfId="7138" xr:uid="{00000000-0005-0000-0000-000082100000}"/>
    <cellStyle name="Вычисление 3 61" xfId="2629" xr:uid="{00000000-0005-0000-0000-000083100000}"/>
    <cellStyle name="Вычисление 3 61 2" xfId="7139" xr:uid="{00000000-0005-0000-0000-000084100000}"/>
    <cellStyle name="Вычисление 3 62" xfId="2630" xr:uid="{00000000-0005-0000-0000-000085100000}"/>
    <cellStyle name="Вычисление 3 62 2" xfId="7140" xr:uid="{00000000-0005-0000-0000-000086100000}"/>
    <cellStyle name="Вычисление 3 63" xfId="2631" xr:uid="{00000000-0005-0000-0000-000087100000}"/>
    <cellStyle name="Вычисление 3 63 2" xfId="7141" xr:uid="{00000000-0005-0000-0000-000088100000}"/>
    <cellStyle name="Вычисление 3 64" xfId="2632" xr:uid="{00000000-0005-0000-0000-000089100000}"/>
    <cellStyle name="Вычисление 3 64 2" xfId="7142" xr:uid="{00000000-0005-0000-0000-00008A100000}"/>
    <cellStyle name="Вычисление 3 65" xfId="2633" xr:uid="{00000000-0005-0000-0000-00008B100000}"/>
    <cellStyle name="Вычисление 3 65 2" xfId="7143" xr:uid="{00000000-0005-0000-0000-00008C100000}"/>
    <cellStyle name="Вычисление 3 66" xfId="2634" xr:uid="{00000000-0005-0000-0000-00008D100000}"/>
    <cellStyle name="Вычисление 3 66 2" xfId="7144" xr:uid="{00000000-0005-0000-0000-00008E100000}"/>
    <cellStyle name="Вычисление 3 67" xfId="2635" xr:uid="{00000000-0005-0000-0000-00008F100000}"/>
    <cellStyle name="Вычисление 3 67 2" xfId="7145" xr:uid="{00000000-0005-0000-0000-000090100000}"/>
    <cellStyle name="Вычисление 3 68" xfId="2636" xr:uid="{00000000-0005-0000-0000-000091100000}"/>
    <cellStyle name="Вычисление 3 68 2" xfId="7146" xr:uid="{00000000-0005-0000-0000-000092100000}"/>
    <cellStyle name="Вычисление 3 69" xfId="2637" xr:uid="{00000000-0005-0000-0000-000093100000}"/>
    <cellStyle name="Вычисление 3 69 2" xfId="7147" xr:uid="{00000000-0005-0000-0000-000094100000}"/>
    <cellStyle name="Вычисление 3 7" xfId="2638" xr:uid="{00000000-0005-0000-0000-000095100000}"/>
    <cellStyle name="Вычисление 3 7 2" xfId="7148" xr:uid="{00000000-0005-0000-0000-000096100000}"/>
    <cellStyle name="Вычисление 3 70" xfId="2639" xr:uid="{00000000-0005-0000-0000-000097100000}"/>
    <cellStyle name="Вычисление 3 70 2" xfId="7149" xr:uid="{00000000-0005-0000-0000-000098100000}"/>
    <cellStyle name="Вычисление 3 71" xfId="2640" xr:uid="{00000000-0005-0000-0000-000099100000}"/>
    <cellStyle name="Вычисление 3 71 2" xfId="7150" xr:uid="{00000000-0005-0000-0000-00009A100000}"/>
    <cellStyle name="Вычисление 3 72" xfId="2641" xr:uid="{00000000-0005-0000-0000-00009B100000}"/>
    <cellStyle name="Вычисление 3 72 2" xfId="7151" xr:uid="{00000000-0005-0000-0000-00009C100000}"/>
    <cellStyle name="Вычисление 3 73" xfId="2642" xr:uid="{00000000-0005-0000-0000-00009D100000}"/>
    <cellStyle name="Вычисление 3 73 2" xfId="7152" xr:uid="{00000000-0005-0000-0000-00009E100000}"/>
    <cellStyle name="Вычисление 3 74" xfId="2643" xr:uid="{00000000-0005-0000-0000-00009F100000}"/>
    <cellStyle name="Вычисление 3 74 2" xfId="7153" xr:uid="{00000000-0005-0000-0000-0000A0100000}"/>
    <cellStyle name="Вычисление 3 75" xfId="2644" xr:uid="{00000000-0005-0000-0000-0000A1100000}"/>
    <cellStyle name="Вычисление 3 75 2" xfId="7154" xr:uid="{00000000-0005-0000-0000-0000A2100000}"/>
    <cellStyle name="Вычисление 3 76" xfId="2645" xr:uid="{00000000-0005-0000-0000-0000A3100000}"/>
    <cellStyle name="Вычисление 3 76 2" xfId="7155" xr:uid="{00000000-0005-0000-0000-0000A4100000}"/>
    <cellStyle name="Вычисление 3 77" xfId="2646" xr:uid="{00000000-0005-0000-0000-0000A5100000}"/>
    <cellStyle name="Вычисление 3 77 2" xfId="7156" xr:uid="{00000000-0005-0000-0000-0000A6100000}"/>
    <cellStyle name="Вычисление 3 78" xfId="2647" xr:uid="{00000000-0005-0000-0000-0000A7100000}"/>
    <cellStyle name="Вычисление 3 78 2" xfId="7157" xr:uid="{00000000-0005-0000-0000-0000A8100000}"/>
    <cellStyle name="Вычисление 3 79" xfId="2648" xr:uid="{00000000-0005-0000-0000-0000A9100000}"/>
    <cellStyle name="Вычисление 3 79 2" xfId="7158" xr:uid="{00000000-0005-0000-0000-0000AA100000}"/>
    <cellStyle name="Вычисление 3 8" xfId="2649" xr:uid="{00000000-0005-0000-0000-0000AB100000}"/>
    <cellStyle name="Вычисление 3 8 2" xfId="7159" xr:uid="{00000000-0005-0000-0000-0000AC100000}"/>
    <cellStyle name="Вычисление 3 80" xfId="2650" xr:uid="{00000000-0005-0000-0000-0000AD100000}"/>
    <cellStyle name="Вычисление 3 80 2" xfId="7160" xr:uid="{00000000-0005-0000-0000-0000AE100000}"/>
    <cellStyle name="Вычисление 3 81" xfId="2651" xr:uid="{00000000-0005-0000-0000-0000AF100000}"/>
    <cellStyle name="Вычисление 3 81 2" xfId="7161" xr:uid="{00000000-0005-0000-0000-0000B0100000}"/>
    <cellStyle name="Вычисление 3 82" xfId="2652" xr:uid="{00000000-0005-0000-0000-0000B1100000}"/>
    <cellStyle name="Вычисление 3 82 2" xfId="7162" xr:uid="{00000000-0005-0000-0000-0000B2100000}"/>
    <cellStyle name="Вычисление 3 83" xfId="2653" xr:uid="{00000000-0005-0000-0000-0000B3100000}"/>
    <cellStyle name="Вычисление 3 83 2" xfId="7163" xr:uid="{00000000-0005-0000-0000-0000B4100000}"/>
    <cellStyle name="Вычисление 3 84" xfId="2654" xr:uid="{00000000-0005-0000-0000-0000B5100000}"/>
    <cellStyle name="Вычисление 3 84 2" xfId="7164" xr:uid="{00000000-0005-0000-0000-0000B6100000}"/>
    <cellStyle name="Вычисление 3 85" xfId="2655" xr:uid="{00000000-0005-0000-0000-0000B7100000}"/>
    <cellStyle name="Вычисление 3 85 2" xfId="7165" xr:uid="{00000000-0005-0000-0000-0000B8100000}"/>
    <cellStyle name="Вычисление 3 86" xfId="2656" xr:uid="{00000000-0005-0000-0000-0000B9100000}"/>
    <cellStyle name="Вычисление 3 86 2" xfId="7166" xr:uid="{00000000-0005-0000-0000-0000BA100000}"/>
    <cellStyle name="Вычисление 3 87" xfId="2657" xr:uid="{00000000-0005-0000-0000-0000BB100000}"/>
    <cellStyle name="Вычисление 3 87 2" xfId="7167" xr:uid="{00000000-0005-0000-0000-0000BC100000}"/>
    <cellStyle name="Вычисление 3 88" xfId="2658" xr:uid="{00000000-0005-0000-0000-0000BD100000}"/>
    <cellStyle name="Вычисление 3 88 2" xfId="7168" xr:uid="{00000000-0005-0000-0000-0000BE100000}"/>
    <cellStyle name="Вычисление 3 89" xfId="2659" xr:uid="{00000000-0005-0000-0000-0000BF100000}"/>
    <cellStyle name="Вычисление 3 89 2" xfId="7169" xr:uid="{00000000-0005-0000-0000-0000C0100000}"/>
    <cellStyle name="Вычисление 3 9" xfId="2660" xr:uid="{00000000-0005-0000-0000-0000C1100000}"/>
    <cellStyle name="Вычисление 3 9 2" xfId="7170" xr:uid="{00000000-0005-0000-0000-0000C2100000}"/>
    <cellStyle name="Вычисление 3 90" xfId="2661" xr:uid="{00000000-0005-0000-0000-0000C3100000}"/>
    <cellStyle name="Вычисление 3 90 2" xfId="7171" xr:uid="{00000000-0005-0000-0000-0000C4100000}"/>
    <cellStyle name="Вычисление 3 91" xfId="2662" xr:uid="{00000000-0005-0000-0000-0000C5100000}"/>
    <cellStyle name="Вычисление 3 91 2" xfId="7172" xr:uid="{00000000-0005-0000-0000-0000C6100000}"/>
    <cellStyle name="Вычисление 3 92" xfId="7173" xr:uid="{00000000-0005-0000-0000-0000C7100000}"/>
    <cellStyle name="Вычисление 4" xfId="247" xr:uid="{00000000-0005-0000-0000-0000C8100000}"/>
    <cellStyle name="Вычисление 4 10" xfId="2663" xr:uid="{00000000-0005-0000-0000-0000C9100000}"/>
    <cellStyle name="Вычисление 4 10 2" xfId="7174" xr:uid="{00000000-0005-0000-0000-0000CA100000}"/>
    <cellStyle name="Вычисление 4 11" xfId="2664" xr:uid="{00000000-0005-0000-0000-0000CB100000}"/>
    <cellStyle name="Вычисление 4 11 2" xfId="7175" xr:uid="{00000000-0005-0000-0000-0000CC100000}"/>
    <cellStyle name="Вычисление 4 12" xfId="2665" xr:uid="{00000000-0005-0000-0000-0000CD100000}"/>
    <cellStyle name="Вычисление 4 12 2" xfId="7176" xr:uid="{00000000-0005-0000-0000-0000CE100000}"/>
    <cellStyle name="Вычисление 4 13" xfId="2666" xr:uid="{00000000-0005-0000-0000-0000CF100000}"/>
    <cellStyle name="Вычисление 4 13 2" xfId="7177" xr:uid="{00000000-0005-0000-0000-0000D0100000}"/>
    <cellStyle name="Вычисление 4 14" xfId="2667" xr:uid="{00000000-0005-0000-0000-0000D1100000}"/>
    <cellStyle name="Вычисление 4 14 2" xfId="7178" xr:uid="{00000000-0005-0000-0000-0000D2100000}"/>
    <cellStyle name="Вычисление 4 15" xfId="2668" xr:uid="{00000000-0005-0000-0000-0000D3100000}"/>
    <cellStyle name="Вычисление 4 15 2" xfId="7179" xr:uid="{00000000-0005-0000-0000-0000D4100000}"/>
    <cellStyle name="Вычисление 4 16" xfId="2669" xr:uid="{00000000-0005-0000-0000-0000D5100000}"/>
    <cellStyle name="Вычисление 4 16 2" xfId="7180" xr:uid="{00000000-0005-0000-0000-0000D6100000}"/>
    <cellStyle name="Вычисление 4 17" xfId="2670" xr:uid="{00000000-0005-0000-0000-0000D7100000}"/>
    <cellStyle name="Вычисление 4 17 2" xfId="7181" xr:uid="{00000000-0005-0000-0000-0000D8100000}"/>
    <cellStyle name="Вычисление 4 18" xfId="2671" xr:uid="{00000000-0005-0000-0000-0000D9100000}"/>
    <cellStyle name="Вычисление 4 18 2" xfId="7182" xr:uid="{00000000-0005-0000-0000-0000DA100000}"/>
    <cellStyle name="Вычисление 4 19" xfId="2672" xr:uid="{00000000-0005-0000-0000-0000DB100000}"/>
    <cellStyle name="Вычисление 4 19 2" xfId="7183" xr:uid="{00000000-0005-0000-0000-0000DC100000}"/>
    <cellStyle name="Вычисление 4 2" xfId="2673" xr:uid="{00000000-0005-0000-0000-0000DD100000}"/>
    <cellStyle name="Вычисление 4 2 2" xfId="2674" xr:uid="{00000000-0005-0000-0000-0000DE100000}"/>
    <cellStyle name="Вычисление 4 2 2 2" xfId="7184" xr:uid="{00000000-0005-0000-0000-0000DF100000}"/>
    <cellStyle name="Вычисление 4 2 3" xfId="2675" xr:uid="{00000000-0005-0000-0000-0000E0100000}"/>
    <cellStyle name="Вычисление 4 2 3 2" xfId="7185" xr:uid="{00000000-0005-0000-0000-0000E1100000}"/>
    <cellStyle name="Вычисление 4 2 4" xfId="7186" xr:uid="{00000000-0005-0000-0000-0000E2100000}"/>
    <cellStyle name="Вычисление 4 20" xfId="2676" xr:uid="{00000000-0005-0000-0000-0000E3100000}"/>
    <cellStyle name="Вычисление 4 20 2" xfId="7187" xr:uid="{00000000-0005-0000-0000-0000E4100000}"/>
    <cellStyle name="Вычисление 4 21" xfId="2677" xr:uid="{00000000-0005-0000-0000-0000E5100000}"/>
    <cellStyle name="Вычисление 4 21 2" xfId="7188" xr:uid="{00000000-0005-0000-0000-0000E6100000}"/>
    <cellStyle name="Вычисление 4 22" xfId="2678" xr:uid="{00000000-0005-0000-0000-0000E7100000}"/>
    <cellStyle name="Вычисление 4 22 2" xfId="7189" xr:uid="{00000000-0005-0000-0000-0000E8100000}"/>
    <cellStyle name="Вычисление 4 23" xfId="2679" xr:uid="{00000000-0005-0000-0000-0000E9100000}"/>
    <cellStyle name="Вычисление 4 23 2" xfId="7190" xr:uid="{00000000-0005-0000-0000-0000EA100000}"/>
    <cellStyle name="Вычисление 4 24" xfId="2680" xr:uid="{00000000-0005-0000-0000-0000EB100000}"/>
    <cellStyle name="Вычисление 4 24 2" xfId="7191" xr:uid="{00000000-0005-0000-0000-0000EC100000}"/>
    <cellStyle name="Вычисление 4 25" xfId="2681" xr:uid="{00000000-0005-0000-0000-0000ED100000}"/>
    <cellStyle name="Вычисление 4 25 2" xfId="7192" xr:uid="{00000000-0005-0000-0000-0000EE100000}"/>
    <cellStyle name="Вычисление 4 26" xfId="2682" xr:uid="{00000000-0005-0000-0000-0000EF100000}"/>
    <cellStyle name="Вычисление 4 26 2" xfId="7193" xr:uid="{00000000-0005-0000-0000-0000F0100000}"/>
    <cellStyle name="Вычисление 4 27" xfId="2683" xr:uid="{00000000-0005-0000-0000-0000F1100000}"/>
    <cellStyle name="Вычисление 4 27 2" xfId="7194" xr:uid="{00000000-0005-0000-0000-0000F2100000}"/>
    <cellStyle name="Вычисление 4 28" xfId="2684" xr:uid="{00000000-0005-0000-0000-0000F3100000}"/>
    <cellStyle name="Вычисление 4 28 2" xfId="7195" xr:uid="{00000000-0005-0000-0000-0000F4100000}"/>
    <cellStyle name="Вычисление 4 29" xfId="2685" xr:uid="{00000000-0005-0000-0000-0000F5100000}"/>
    <cellStyle name="Вычисление 4 29 2" xfId="7196" xr:uid="{00000000-0005-0000-0000-0000F6100000}"/>
    <cellStyle name="Вычисление 4 3" xfId="2686" xr:uid="{00000000-0005-0000-0000-0000F7100000}"/>
    <cellStyle name="Вычисление 4 3 2" xfId="2687" xr:uid="{00000000-0005-0000-0000-0000F8100000}"/>
    <cellStyle name="Вычисление 4 3 2 2" xfId="7197" xr:uid="{00000000-0005-0000-0000-0000F9100000}"/>
    <cellStyle name="Вычисление 4 3 3" xfId="2688" xr:uid="{00000000-0005-0000-0000-0000FA100000}"/>
    <cellStyle name="Вычисление 4 3 3 2" xfId="7198" xr:uid="{00000000-0005-0000-0000-0000FB100000}"/>
    <cellStyle name="Вычисление 4 3 4" xfId="7199" xr:uid="{00000000-0005-0000-0000-0000FC100000}"/>
    <cellStyle name="Вычисление 4 30" xfId="2689" xr:uid="{00000000-0005-0000-0000-0000FD100000}"/>
    <cellStyle name="Вычисление 4 30 2" xfId="7200" xr:uid="{00000000-0005-0000-0000-0000FE100000}"/>
    <cellStyle name="Вычисление 4 31" xfId="2690" xr:uid="{00000000-0005-0000-0000-0000FF100000}"/>
    <cellStyle name="Вычисление 4 31 2" xfId="7201" xr:uid="{00000000-0005-0000-0000-000000110000}"/>
    <cellStyle name="Вычисление 4 32" xfId="2691" xr:uid="{00000000-0005-0000-0000-000001110000}"/>
    <cellStyle name="Вычисление 4 32 2" xfId="7202" xr:uid="{00000000-0005-0000-0000-000002110000}"/>
    <cellStyle name="Вычисление 4 33" xfId="2692" xr:uid="{00000000-0005-0000-0000-000003110000}"/>
    <cellStyle name="Вычисление 4 33 2" xfId="7203" xr:uid="{00000000-0005-0000-0000-000004110000}"/>
    <cellStyle name="Вычисление 4 34" xfId="2693" xr:uid="{00000000-0005-0000-0000-000005110000}"/>
    <cellStyle name="Вычисление 4 34 2" xfId="7204" xr:uid="{00000000-0005-0000-0000-000006110000}"/>
    <cellStyle name="Вычисление 4 35" xfId="2694" xr:uid="{00000000-0005-0000-0000-000007110000}"/>
    <cellStyle name="Вычисление 4 35 2" xfId="7205" xr:uid="{00000000-0005-0000-0000-000008110000}"/>
    <cellStyle name="Вычисление 4 36" xfId="2695" xr:uid="{00000000-0005-0000-0000-000009110000}"/>
    <cellStyle name="Вычисление 4 36 2" xfId="7206" xr:uid="{00000000-0005-0000-0000-00000A110000}"/>
    <cellStyle name="Вычисление 4 37" xfId="2696" xr:uid="{00000000-0005-0000-0000-00000B110000}"/>
    <cellStyle name="Вычисление 4 37 2" xfId="7207" xr:uid="{00000000-0005-0000-0000-00000C110000}"/>
    <cellStyle name="Вычисление 4 38" xfId="2697" xr:uid="{00000000-0005-0000-0000-00000D110000}"/>
    <cellStyle name="Вычисление 4 38 2" xfId="7208" xr:uid="{00000000-0005-0000-0000-00000E110000}"/>
    <cellStyle name="Вычисление 4 39" xfId="2698" xr:uid="{00000000-0005-0000-0000-00000F110000}"/>
    <cellStyle name="Вычисление 4 39 2" xfId="7209" xr:uid="{00000000-0005-0000-0000-000010110000}"/>
    <cellStyle name="Вычисление 4 4" xfId="2699" xr:uid="{00000000-0005-0000-0000-000011110000}"/>
    <cellStyle name="Вычисление 4 4 2" xfId="2700" xr:uid="{00000000-0005-0000-0000-000012110000}"/>
    <cellStyle name="Вычисление 4 4 2 2" xfId="7210" xr:uid="{00000000-0005-0000-0000-000013110000}"/>
    <cellStyle name="Вычисление 4 4 3" xfId="2701" xr:uid="{00000000-0005-0000-0000-000014110000}"/>
    <cellStyle name="Вычисление 4 4 3 2" xfId="7211" xr:uid="{00000000-0005-0000-0000-000015110000}"/>
    <cellStyle name="Вычисление 4 4 4" xfId="7212" xr:uid="{00000000-0005-0000-0000-000016110000}"/>
    <cellStyle name="Вычисление 4 40" xfId="2702" xr:uid="{00000000-0005-0000-0000-000017110000}"/>
    <cellStyle name="Вычисление 4 40 2" xfId="7213" xr:uid="{00000000-0005-0000-0000-000018110000}"/>
    <cellStyle name="Вычисление 4 41" xfId="2703" xr:uid="{00000000-0005-0000-0000-000019110000}"/>
    <cellStyle name="Вычисление 4 41 2" xfId="7214" xr:uid="{00000000-0005-0000-0000-00001A110000}"/>
    <cellStyle name="Вычисление 4 42" xfId="2704" xr:uid="{00000000-0005-0000-0000-00001B110000}"/>
    <cellStyle name="Вычисление 4 42 2" xfId="7215" xr:uid="{00000000-0005-0000-0000-00001C110000}"/>
    <cellStyle name="Вычисление 4 43" xfId="2705" xr:uid="{00000000-0005-0000-0000-00001D110000}"/>
    <cellStyle name="Вычисление 4 43 2" xfId="7216" xr:uid="{00000000-0005-0000-0000-00001E110000}"/>
    <cellStyle name="Вычисление 4 44" xfId="2706" xr:uid="{00000000-0005-0000-0000-00001F110000}"/>
    <cellStyle name="Вычисление 4 44 2" xfId="7217" xr:uid="{00000000-0005-0000-0000-000020110000}"/>
    <cellStyle name="Вычисление 4 45" xfId="2707" xr:uid="{00000000-0005-0000-0000-000021110000}"/>
    <cellStyle name="Вычисление 4 45 2" xfId="7218" xr:uid="{00000000-0005-0000-0000-000022110000}"/>
    <cellStyle name="Вычисление 4 46" xfId="2708" xr:uid="{00000000-0005-0000-0000-000023110000}"/>
    <cellStyle name="Вычисление 4 46 2" xfId="7219" xr:uid="{00000000-0005-0000-0000-000024110000}"/>
    <cellStyle name="Вычисление 4 47" xfId="2709" xr:uid="{00000000-0005-0000-0000-000025110000}"/>
    <cellStyle name="Вычисление 4 47 2" xfId="7220" xr:uid="{00000000-0005-0000-0000-000026110000}"/>
    <cellStyle name="Вычисление 4 48" xfId="2710" xr:uid="{00000000-0005-0000-0000-000027110000}"/>
    <cellStyle name="Вычисление 4 48 2" xfId="7221" xr:uid="{00000000-0005-0000-0000-000028110000}"/>
    <cellStyle name="Вычисление 4 49" xfId="2711" xr:uid="{00000000-0005-0000-0000-000029110000}"/>
    <cellStyle name="Вычисление 4 49 2" xfId="7222" xr:uid="{00000000-0005-0000-0000-00002A110000}"/>
    <cellStyle name="Вычисление 4 5" xfId="2712" xr:uid="{00000000-0005-0000-0000-00002B110000}"/>
    <cellStyle name="Вычисление 4 5 2" xfId="7223" xr:uid="{00000000-0005-0000-0000-00002C110000}"/>
    <cellStyle name="Вычисление 4 50" xfId="2713" xr:uid="{00000000-0005-0000-0000-00002D110000}"/>
    <cellStyle name="Вычисление 4 50 2" xfId="7224" xr:uid="{00000000-0005-0000-0000-00002E110000}"/>
    <cellStyle name="Вычисление 4 51" xfId="2714" xr:uid="{00000000-0005-0000-0000-00002F110000}"/>
    <cellStyle name="Вычисление 4 51 2" xfId="7225" xr:uid="{00000000-0005-0000-0000-000030110000}"/>
    <cellStyle name="Вычисление 4 52" xfId="2715" xr:uid="{00000000-0005-0000-0000-000031110000}"/>
    <cellStyle name="Вычисление 4 52 2" xfId="7226" xr:uid="{00000000-0005-0000-0000-000032110000}"/>
    <cellStyle name="Вычисление 4 53" xfId="2716" xr:uid="{00000000-0005-0000-0000-000033110000}"/>
    <cellStyle name="Вычисление 4 53 2" xfId="7227" xr:uid="{00000000-0005-0000-0000-000034110000}"/>
    <cellStyle name="Вычисление 4 54" xfId="2717" xr:uid="{00000000-0005-0000-0000-000035110000}"/>
    <cellStyle name="Вычисление 4 54 2" xfId="7228" xr:uid="{00000000-0005-0000-0000-000036110000}"/>
    <cellStyle name="Вычисление 4 55" xfId="2718" xr:uid="{00000000-0005-0000-0000-000037110000}"/>
    <cellStyle name="Вычисление 4 55 2" xfId="7229" xr:uid="{00000000-0005-0000-0000-000038110000}"/>
    <cellStyle name="Вычисление 4 56" xfId="2719" xr:uid="{00000000-0005-0000-0000-000039110000}"/>
    <cellStyle name="Вычисление 4 56 2" xfId="7230" xr:uid="{00000000-0005-0000-0000-00003A110000}"/>
    <cellStyle name="Вычисление 4 57" xfId="2720" xr:uid="{00000000-0005-0000-0000-00003B110000}"/>
    <cellStyle name="Вычисление 4 57 2" xfId="7231" xr:uid="{00000000-0005-0000-0000-00003C110000}"/>
    <cellStyle name="Вычисление 4 58" xfId="2721" xr:uid="{00000000-0005-0000-0000-00003D110000}"/>
    <cellStyle name="Вычисление 4 58 2" xfId="7232" xr:uid="{00000000-0005-0000-0000-00003E110000}"/>
    <cellStyle name="Вычисление 4 59" xfId="2722" xr:uid="{00000000-0005-0000-0000-00003F110000}"/>
    <cellStyle name="Вычисление 4 59 2" xfId="7233" xr:uid="{00000000-0005-0000-0000-000040110000}"/>
    <cellStyle name="Вычисление 4 6" xfId="2723" xr:uid="{00000000-0005-0000-0000-000041110000}"/>
    <cellStyle name="Вычисление 4 6 2" xfId="7234" xr:uid="{00000000-0005-0000-0000-000042110000}"/>
    <cellStyle name="Вычисление 4 60" xfId="2724" xr:uid="{00000000-0005-0000-0000-000043110000}"/>
    <cellStyle name="Вычисление 4 60 2" xfId="7235" xr:uid="{00000000-0005-0000-0000-000044110000}"/>
    <cellStyle name="Вычисление 4 61" xfId="2725" xr:uid="{00000000-0005-0000-0000-000045110000}"/>
    <cellStyle name="Вычисление 4 61 2" xfId="7236" xr:uid="{00000000-0005-0000-0000-000046110000}"/>
    <cellStyle name="Вычисление 4 62" xfId="2726" xr:uid="{00000000-0005-0000-0000-000047110000}"/>
    <cellStyle name="Вычисление 4 62 2" xfId="7237" xr:uid="{00000000-0005-0000-0000-000048110000}"/>
    <cellStyle name="Вычисление 4 63" xfId="2727" xr:uid="{00000000-0005-0000-0000-000049110000}"/>
    <cellStyle name="Вычисление 4 63 2" xfId="7238" xr:uid="{00000000-0005-0000-0000-00004A110000}"/>
    <cellStyle name="Вычисление 4 64" xfId="2728" xr:uid="{00000000-0005-0000-0000-00004B110000}"/>
    <cellStyle name="Вычисление 4 64 2" xfId="7239" xr:uid="{00000000-0005-0000-0000-00004C110000}"/>
    <cellStyle name="Вычисление 4 65" xfId="2729" xr:uid="{00000000-0005-0000-0000-00004D110000}"/>
    <cellStyle name="Вычисление 4 65 2" xfId="7240" xr:uid="{00000000-0005-0000-0000-00004E110000}"/>
    <cellStyle name="Вычисление 4 66" xfId="2730" xr:uid="{00000000-0005-0000-0000-00004F110000}"/>
    <cellStyle name="Вычисление 4 66 2" xfId="7241" xr:uid="{00000000-0005-0000-0000-000050110000}"/>
    <cellStyle name="Вычисление 4 67" xfId="2731" xr:uid="{00000000-0005-0000-0000-000051110000}"/>
    <cellStyle name="Вычисление 4 67 2" xfId="7242" xr:uid="{00000000-0005-0000-0000-000052110000}"/>
    <cellStyle name="Вычисление 4 68" xfId="2732" xr:uid="{00000000-0005-0000-0000-000053110000}"/>
    <cellStyle name="Вычисление 4 68 2" xfId="7243" xr:uid="{00000000-0005-0000-0000-000054110000}"/>
    <cellStyle name="Вычисление 4 69" xfId="2733" xr:uid="{00000000-0005-0000-0000-000055110000}"/>
    <cellStyle name="Вычисление 4 69 2" xfId="7244" xr:uid="{00000000-0005-0000-0000-000056110000}"/>
    <cellStyle name="Вычисление 4 7" xfId="2734" xr:uid="{00000000-0005-0000-0000-000057110000}"/>
    <cellStyle name="Вычисление 4 7 2" xfId="7245" xr:uid="{00000000-0005-0000-0000-000058110000}"/>
    <cellStyle name="Вычисление 4 70" xfId="2735" xr:uid="{00000000-0005-0000-0000-000059110000}"/>
    <cellStyle name="Вычисление 4 70 2" xfId="7246" xr:uid="{00000000-0005-0000-0000-00005A110000}"/>
    <cellStyle name="Вычисление 4 71" xfId="2736" xr:uid="{00000000-0005-0000-0000-00005B110000}"/>
    <cellStyle name="Вычисление 4 71 2" xfId="7247" xr:uid="{00000000-0005-0000-0000-00005C110000}"/>
    <cellStyle name="Вычисление 4 72" xfId="2737" xr:uid="{00000000-0005-0000-0000-00005D110000}"/>
    <cellStyle name="Вычисление 4 72 2" xfId="7248" xr:uid="{00000000-0005-0000-0000-00005E110000}"/>
    <cellStyle name="Вычисление 4 73" xfId="2738" xr:uid="{00000000-0005-0000-0000-00005F110000}"/>
    <cellStyle name="Вычисление 4 73 2" xfId="7249" xr:uid="{00000000-0005-0000-0000-000060110000}"/>
    <cellStyle name="Вычисление 4 74" xfId="2739" xr:uid="{00000000-0005-0000-0000-000061110000}"/>
    <cellStyle name="Вычисление 4 74 2" xfId="7250" xr:uid="{00000000-0005-0000-0000-000062110000}"/>
    <cellStyle name="Вычисление 4 75" xfId="2740" xr:uid="{00000000-0005-0000-0000-000063110000}"/>
    <cellStyle name="Вычисление 4 75 2" xfId="7251" xr:uid="{00000000-0005-0000-0000-000064110000}"/>
    <cellStyle name="Вычисление 4 76" xfId="2741" xr:uid="{00000000-0005-0000-0000-000065110000}"/>
    <cellStyle name="Вычисление 4 76 2" xfId="7252" xr:uid="{00000000-0005-0000-0000-000066110000}"/>
    <cellStyle name="Вычисление 4 77" xfId="2742" xr:uid="{00000000-0005-0000-0000-000067110000}"/>
    <cellStyle name="Вычисление 4 77 2" xfId="7253" xr:uid="{00000000-0005-0000-0000-000068110000}"/>
    <cellStyle name="Вычисление 4 78" xfId="2743" xr:uid="{00000000-0005-0000-0000-000069110000}"/>
    <cellStyle name="Вычисление 4 78 2" xfId="7254" xr:uid="{00000000-0005-0000-0000-00006A110000}"/>
    <cellStyle name="Вычисление 4 79" xfId="2744" xr:uid="{00000000-0005-0000-0000-00006B110000}"/>
    <cellStyle name="Вычисление 4 79 2" xfId="7255" xr:uid="{00000000-0005-0000-0000-00006C110000}"/>
    <cellStyle name="Вычисление 4 8" xfId="2745" xr:uid="{00000000-0005-0000-0000-00006D110000}"/>
    <cellStyle name="Вычисление 4 8 2" xfId="7256" xr:uid="{00000000-0005-0000-0000-00006E110000}"/>
    <cellStyle name="Вычисление 4 80" xfId="2746" xr:uid="{00000000-0005-0000-0000-00006F110000}"/>
    <cellStyle name="Вычисление 4 80 2" xfId="7257" xr:uid="{00000000-0005-0000-0000-000070110000}"/>
    <cellStyle name="Вычисление 4 81" xfId="2747" xr:uid="{00000000-0005-0000-0000-000071110000}"/>
    <cellStyle name="Вычисление 4 81 2" xfId="7258" xr:uid="{00000000-0005-0000-0000-000072110000}"/>
    <cellStyle name="Вычисление 4 82" xfId="2748" xr:uid="{00000000-0005-0000-0000-000073110000}"/>
    <cellStyle name="Вычисление 4 82 2" xfId="7259" xr:uid="{00000000-0005-0000-0000-000074110000}"/>
    <cellStyle name="Вычисление 4 83" xfId="2749" xr:uid="{00000000-0005-0000-0000-000075110000}"/>
    <cellStyle name="Вычисление 4 83 2" xfId="7260" xr:uid="{00000000-0005-0000-0000-000076110000}"/>
    <cellStyle name="Вычисление 4 84" xfId="2750" xr:uid="{00000000-0005-0000-0000-000077110000}"/>
    <cellStyle name="Вычисление 4 84 2" xfId="7261" xr:uid="{00000000-0005-0000-0000-000078110000}"/>
    <cellStyle name="Вычисление 4 85" xfId="2751" xr:uid="{00000000-0005-0000-0000-000079110000}"/>
    <cellStyle name="Вычисление 4 85 2" xfId="7262" xr:uid="{00000000-0005-0000-0000-00007A110000}"/>
    <cellStyle name="Вычисление 4 86" xfId="2752" xr:uid="{00000000-0005-0000-0000-00007B110000}"/>
    <cellStyle name="Вычисление 4 86 2" xfId="7263" xr:uid="{00000000-0005-0000-0000-00007C110000}"/>
    <cellStyle name="Вычисление 4 87" xfId="2753" xr:uid="{00000000-0005-0000-0000-00007D110000}"/>
    <cellStyle name="Вычисление 4 87 2" xfId="7264" xr:uid="{00000000-0005-0000-0000-00007E110000}"/>
    <cellStyle name="Вычисление 4 88" xfId="2754" xr:uid="{00000000-0005-0000-0000-00007F110000}"/>
    <cellStyle name="Вычисление 4 88 2" xfId="7265" xr:uid="{00000000-0005-0000-0000-000080110000}"/>
    <cellStyle name="Вычисление 4 89" xfId="2755" xr:uid="{00000000-0005-0000-0000-000081110000}"/>
    <cellStyle name="Вычисление 4 89 2" xfId="7266" xr:uid="{00000000-0005-0000-0000-000082110000}"/>
    <cellStyle name="Вычисление 4 9" xfId="2756" xr:uid="{00000000-0005-0000-0000-000083110000}"/>
    <cellStyle name="Вычисление 4 9 2" xfId="7267" xr:uid="{00000000-0005-0000-0000-000084110000}"/>
    <cellStyle name="Вычисление 4 90" xfId="2757" xr:uid="{00000000-0005-0000-0000-000085110000}"/>
    <cellStyle name="Вычисление 4 90 2" xfId="7268" xr:uid="{00000000-0005-0000-0000-000086110000}"/>
    <cellStyle name="Вычисление 4 91" xfId="2758" xr:uid="{00000000-0005-0000-0000-000087110000}"/>
    <cellStyle name="Вычисление 4 91 2" xfId="7269" xr:uid="{00000000-0005-0000-0000-000088110000}"/>
    <cellStyle name="Вычисление 4 92" xfId="7270" xr:uid="{00000000-0005-0000-0000-000089110000}"/>
    <cellStyle name="Вычисление 5" xfId="248" xr:uid="{00000000-0005-0000-0000-00008A110000}"/>
    <cellStyle name="Вычисление 5 10" xfId="2759" xr:uid="{00000000-0005-0000-0000-00008B110000}"/>
    <cellStyle name="Вычисление 5 10 2" xfId="7271" xr:uid="{00000000-0005-0000-0000-00008C110000}"/>
    <cellStyle name="Вычисление 5 11" xfId="2760" xr:uid="{00000000-0005-0000-0000-00008D110000}"/>
    <cellStyle name="Вычисление 5 11 2" xfId="7272" xr:uid="{00000000-0005-0000-0000-00008E110000}"/>
    <cellStyle name="Вычисление 5 12" xfId="2761" xr:uid="{00000000-0005-0000-0000-00008F110000}"/>
    <cellStyle name="Вычисление 5 12 2" xfId="7273" xr:uid="{00000000-0005-0000-0000-000090110000}"/>
    <cellStyle name="Вычисление 5 13" xfId="2762" xr:uid="{00000000-0005-0000-0000-000091110000}"/>
    <cellStyle name="Вычисление 5 13 2" xfId="7274" xr:uid="{00000000-0005-0000-0000-000092110000}"/>
    <cellStyle name="Вычисление 5 14" xfId="2763" xr:uid="{00000000-0005-0000-0000-000093110000}"/>
    <cellStyle name="Вычисление 5 14 2" xfId="7275" xr:uid="{00000000-0005-0000-0000-000094110000}"/>
    <cellStyle name="Вычисление 5 15" xfId="2764" xr:uid="{00000000-0005-0000-0000-000095110000}"/>
    <cellStyle name="Вычисление 5 15 2" xfId="7276" xr:uid="{00000000-0005-0000-0000-000096110000}"/>
    <cellStyle name="Вычисление 5 16" xfId="2765" xr:uid="{00000000-0005-0000-0000-000097110000}"/>
    <cellStyle name="Вычисление 5 16 2" xfId="7277" xr:uid="{00000000-0005-0000-0000-000098110000}"/>
    <cellStyle name="Вычисление 5 17" xfId="2766" xr:uid="{00000000-0005-0000-0000-000099110000}"/>
    <cellStyle name="Вычисление 5 17 2" xfId="7278" xr:uid="{00000000-0005-0000-0000-00009A110000}"/>
    <cellStyle name="Вычисление 5 18" xfId="2767" xr:uid="{00000000-0005-0000-0000-00009B110000}"/>
    <cellStyle name="Вычисление 5 18 2" xfId="7279" xr:uid="{00000000-0005-0000-0000-00009C110000}"/>
    <cellStyle name="Вычисление 5 19" xfId="2768" xr:uid="{00000000-0005-0000-0000-00009D110000}"/>
    <cellStyle name="Вычисление 5 19 2" xfId="7280" xr:uid="{00000000-0005-0000-0000-00009E110000}"/>
    <cellStyle name="Вычисление 5 2" xfId="2769" xr:uid="{00000000-0005-0000-0000-00009F110000}"/>
    <cellStyle name="Вычисление 5 2 2" xfId="2770" xr:uid="{00000000-0005-0000-0000-0000A0110000}"/>
    <cellStyle name="Вычисление 5 2 2 2" xfId="7281" xr:uid="{00000000-0005-0000-0000-0000A1110000}"/>
    <cellStyle name="Вычисление 5 2 3" xfId="2771" xr:uid="{00000000-0005-0000-0000-0000A2110000}"/>
    <cellStyle name="Вычисление 5 2 3 2" xfId="7282" xr:uid="{00000000-0005-0000-0000-0000A3110000}"/>
    <cellStyle name="Вычисление 5 2 4" xfId="7283" xr:uid="{00000000-0005-0000-0000-0000A4110000}"/>
    <cellStyle name="Вычисление 5 20" xfId="2772" xr:uid="{00000000-0005-0000-0000-0000A5110000}"/>
    <cellStyle name="Вычисление 5 20 2" xfId="7284" xr:uid="{00000000-0005-0000-0000-0000A6110000}"/>
    <cellStyle name="Вычисление 5 21" xfId="2773" xr:uid="{00000000-0005-0000-0000-0000A7110000}"/>
    <cellStyle name="Вычисление 5 21 2" xfId="7285" xr:uid="{00000000-0005-0000-0000-0000A8110000}"/>
    <cellStyle name="Вычисление 5 22" xfId="2774" xr:uid="{00000000-0005-0000-0000-0000A9110000}"/>
    <cellStyle name="Вычисление 5 22 2" xfId="7286" xr:uid="{00000000-0005-0000-0000-0000AA110000}"/>
    <cellStyle name="Вычисление 5 23" xfId="2775" xr:uid="{00000000-0005-0000-0000-0000AB110000}"/>
    <cellStyle name="Вычисление 5 23 2" xfId="7287" xr:uid="{00000000-0005-0000-0000-0000AC110000}"/>
    <cellStyle name="Вычисление 5 24" xfId="2776" xr:uid="{00000000-0005-0000-0000-0000AD110000}"/>
    <cellStyle name="Вычисление 5 24 2" xfId="7288" xr:uid="{00000000-0005-0000-0000-0000AE110000}"/>
    <cellStyle name="Вычисление 5 25" xfId="2777" xr:uid="{00000000-0005-0000-0000-0000AF110000}"/>
    <cellStyle name="Вычисление 5 25 2" xfId="7289" xr:uid="{00000000-0005-0000-0000-0000B0110000}"/>
    <cellStyle name="Вычисление 5 26" xfId="2778" xr:uid="{00000000-0005-0000-0000-0000B1110000}"/>
    <cellStyle name="Вычисление 5 26 2" xfId="7290" xr:uid="{00000000-0005-0000-0000-0000B2110000}"/>
    <cellStyle name="Вычисление 5 27" xfId="2779" xr:uid="{00000000-0005-0000-0000-0000B3110000}"/>
    <cellStyle name="Вычисление 5 27 2" xfId="7291" xr:uid="{00000000-0005-0000-0000-0000B4110000}"/>
    <cellStyle name="Вычисление 5 28" xfId="2780" xr:uid="{00000000-0005-0000-0000-0000B5110000}"/>
    <cellStyle name="Вычисление 5 28 2" xfId="7292" xr:uid="{00000000-0005-0000-0000-0000B6110000}"/>
    <cellStyle name="Вычисление 5 29" xfId="2781" xr:uid="{00000000-0005-0000-0000-0000B7110000}"/>
    <cellStyle name="Вычисление 5 29 2" xfId="7293" xr:uid="{00000000-0005-0000-0000-0000B8110000}"/>
    <cellStyle name="Вычисление 5 3" xfId="2782" xr:uid="{00000000-0005-0000-0000-0000B9110000}"/>
    <cellStyle name="Вычисление 5 3 2" xfId="2783" xr:uid="{00000000-0005-0000-0000-0000BA110000}"/>
    <cellStyle name="Вычисление 5 3 2 2" xfId="7294" xr:uid="{00000000-0005-0000-0000-0000BB110000}"/>
    <cellStyle name="Вычисление 5 3 3" xfId="2784" xr:uid="{00000000-0005-0000-0000-0000BC110000}"/>
    <cellStyle name="Вычисление 5 3 3 2" xfId="7295" xr:uid="{00000000-0005-0000-0000-0000BD110000}"/>
    <cellStyle name="Вычисление 5 3 4" xfId="7296" xr:uid="{00000000-0005-0000-0000-0000BE110000}"/>
    <cellStyle name="Вычисление 5 30" xfId="2785" xr:uid="{00000000-0005-0000-0000-0000BF110000}"/>
    <cellStyle name="Вычисление 5 30 2" xfId="7297" xr:uid="{00000000-0005-0000-0000-0000C0110000}"/>
    <cellStyle name="Вычисление 5 31" xfId="2786" xr:uid="{00000000-0005-0000-0000-0000C1110000}"/>
    <cellStyle name="Вычисление 5 31 2" xfId="7298" xr:uid="{00000000-0005-0000-0000-0000C2110000}"/>
    <cellStyle name="Вычисление 5 32" xfId="2787" xr:uid="{00000000-0005-0000-0000-0000C3110000}"/>
    <cellStyle name="Вычисление 5 32 2" xfId="7299" xr:uid="{00000000-0005-0000-0000-0000C4110000}"/>
    <cellStyle name="Вычисление 5 33" xfId="2788" xr:uid="{00000000-0005-0000-0000-0000C5110000}"/>
    <cellStyle name="Вычисление 5 33 2" xfId="7300" xr:uid="{00000000-0005-0000-0000-0000C6110000}"/>
    <cellStyle name="Вычисление 5 34" xfId="2789" xr:uid="{00000000-0005-0000-0000-0000C7110000}"/>
    <cellStyle name="Вычисление 5 34 2" xfId="7301" xr:uid="{00000000-0005-0000-0000-0000C8110000}"/>
    <cellStyle name="Вычисление 5 35" xfId="2790" xr:uid="{00000000-0005-0000-0000-0000C9110000}"/>
    <cellStyle name="Вычисление 5 35 2" xfId="7302" xr:uid="{00000000-0005-0000-0000-0000CA110000}"/>
    <cellStyle name="Вычисление 5 36" xfId="2791" xr:uid="{00000000-0005-0000-0000-0000CB110000}"/>
    <cellStyle name="Вычисление 5 36 2" xfId="7303" xr:uid="{00000000-0005-0000-0000-0000CC110000}"/>
    <cellStyle name="Вычисление 5 37" xfId="2792" xr:uid="{00000000-0005-0000-0000-0000CD110000}"/>
    <cellStyle name="Вычисление 5 37 2" xfId="7304" xr:uid="{00000000-0005-0000-0000-0000CE110000}"/>
    <cellStyle name="Вычисление 5 38" xfId="2793" xr:uid="{00000000-0005-0000-0000-0000CF110000}"/>
    <cellStyle name="Вычисление 5 38 2" xfId="7305" xr:uid="{00000000-0005-0000-0000-0000D0110000}"/>
    <cellStyle name="Вычисление 5 39" xfId="2794" xr:uid="{00000000-0005-0000-0000-0000D1110000}"/>
    <cellStyle name="Вычисление 5 39 2" xfId="7306" xr:uid="{00000000-0005-0000-0000-0000D2110000}"/>
    <cellStyle name="Вычисление 5 4" xfId="2795" xr:uid="{00000000-0005-0000-0000-0000D3110000}"/>
    <cellStyle name="Вычисление 5 4 2" xfId="2796" xr:uid="{00000000-0005-0000-0000-0000D4110000}"/>
    <cellStyle name="Вычисление 5 4 2 2" xfId="7307" xr:uid="{00000000-0005-0000-0000-0000D5110000}"/>
    <cellStyle name="Вычисление 5 4 3" xfId="2797" xr:uid="{00000000-0005-0000-0000-0000D6110000}"/>
    <cellStyle name="Вычисление 5 4 3 2" xfId="7308" xr:uid="{00000000-0005-0000-0000-0000D7110000}"/>
    <cellStyle name="Вычисление 5 4 4" xfId="7309" xr:uid="{00000000-0005-0000-0000-0000D8110000}"/>
    <cellStyle name="Вычисление 5 40" xfId="2798" xr:uid="{00000000-0005-0000-0000-0000D9110000}"/>
    <cellStyle name="Вычисление 5 40 2" xfId="7310" xr:uid="{00000000-0005-0000-0000-0000DA110000}"/>
    <cellStyle name="Вычисление 5 41" xfId="2799" xr:uid="{00000000-0005-0000-0000-0000DB110000}"/>
    <cellStyle name="Вычисление 5 41 2" xfId="7311" xr:uid="{00000000-0005-0000-0000-0000DC110000}"/>
    <cellStyle name="Вычисление 5 42" xfId="2800" xr:uid="{00000000-0005-0000-0000-0000DD110000}"/>
    <cellStyle name="Вычисление 5 42 2" xfId="7312" xr:uid="{00000000-0005-0000-0000-0000DE110000}"/>
    <cellStyle name="Вычисление 5 43" xfId="2801" xr:uid="{00000000-0005-0000-0000-0000DF110000}"/>
    <cellStyle name="Вычисление 5 43 2" xfId="7313" xr:uid="{00000000-0005-0000-0000-0000E0110000}"/>
    <cellStyle name="Вычисление 5 44" xfId="2802" xr:uid="{00000000-0005-0000-0000-0000E1110000}"/>
    <cellStyle name="Вычисление 5 44 2" xfId="7314" xr:uid="{00000000-0005-0000-0000-0000E2110000}"/>
    <cellStyle name="Вычисление 5 45" xfId="2803" xr:uid="{00000000-0005-0000-0000-0000E3110000}"/>
    <cellStyle name="Вычисление 5 45 2" xfId="7315" xr:uid="{00000000-0005-0000-0000-0000E4110000}"/>
    <cellStyle name="Вычисление 5 46" xfId="2804" xr:uid="{00000000-0005-0000-0000-0000E5110000}"/>
    <cellStyle name="Вычисление 5 46 2" xfId="7316" xr:uid="{00000000-0005-0000-0000-0000E6110000}"/>
    <cellStyle name="Вычисление 5 47" xfId="2805" xr:uid="{00000000-0005-0000-0000-0000E7110000}"/>
    <cellStyle name="Вычисление 5 47 2" xfId="7317" xr:uid="{00000000-0005-0000-0000-0000E8110000}"/>
    <cellStyle name="Вычисление 5 48" xfId="2806" xr:uid="{00000000-0005-0000-0000-0000E9110000}"/>
    <cellStyle name="Вычисление 5 48 2" xfId="7318" xr:uid="{00000000-0005-0000-0000-0000EA110000}"/>
    <cellStyle name="Вычисление 5 49" xfId="2807" xr:uid="{00000000-0005-0000-0000-0000EB110000}"/>
    <cellStyle name="Вычисление 5 49 2" xfId="7319" xr:uid="{00000000-0005-0000-0000-0000EC110000}"/>
    <cellStyle name="Вычисление 5 5" xfId="2808" xr:uid="{00000000-0005-0000-0000-0000ED110000}"/>
    <cellStyle name="Вычисление 5 5 2" xfId="7320" xr:uid="{00000000-0005-0000-0000-0000EE110000}"/>
    <cellStyle name="Вычисление 5 50" xfId="2809" xr:uid="{00000000-0005-0000-0000-0000EF110000}"/>
    <cellStyle name="Вычисление 5 50 2" xfId="7321" xr:uid="{00000000-0005-0000-0000-0000F0110000}"/>
    <cellStyle name="Вычисление 5 51" xfId="2810" xr:uid="{00000000-0005-0000-0000-0000F1110000}"/>
    <cellStyle name="Вычисление 5 51 2" xfId="7322" xr:uid="{00000000-0005-0000-0000-0000F2110000}"/>
    <cellStyle name="Вычисление 5 52" xfId="2811" xr:uid="{00000000-0005-0000-0000-0000F3110000}"/>
    <cellStyle name="Вычисление 5 52 2" xfId="7323" xr:uid="{00000000-0005-0000-0000-0000F4110000}"/>
    <cellStyle name="Вычисление 5 53" xfId="2812" xr:uid="{00000000-0005-0000-0000-0000F5110000}"/>
    <cellStyle name="Вычисление 5 53 2" xfId="7324" xr:uid="{00000000-0005-0000-0000-0000F6110000}"/>
    <cellStyle name="Вычисление 5 54" xfId="2813" xr:uid="{00000000-0005-0000-0000-0000F7110000}"/>
    <cellStyle name="Вычисление 5 54 2" xfId="7325" xr:uid="{00000000-0005-0000-0000-0000F8110000}"/>
    <cellStyle name="Вычисление 5 55" xfId="2814" xr:uid="{00000000-0005-0000-0000-0000F9110000}"/>
    <cellStyle name="Вычисление 5 55 2" xfId="7326" xr:uid="{00000000-0005-0000-0000-0000FA110000}"/>
    <cellStyle name="Вычисление 5 56" xfId="2815" xr:uid="{00000000-0005-0000-0000-0000FB110000}"/>
    <cellStyle name="Вычисление 5 56 2" xfId="7327" xr:uid="{00000000-0005-0000-0000-0000FC110000}"/>
    <cellStyle name="Вычисление 5 57" xfId="2816" xr:uid="{00000000-0005-0000-0000-0000FD110000}"/>
    <cellStyle name="Вычисление 5 57 2" xfId="7328" xr:uid="{00000000-0005-0000-0000-0000FE110000}"/>
    <cellStyle name="Вычисление 5 58" xfId="2817" xr:uid="{00000000-0005-0000-0000-0000FF110000}"/>
    <cellStyle name="Вычисление 5 58 2" xfId="7329" xr:uid="{00000000-0005-0000-0000-000000120000}"/>
    <cellStyle name="Вычисление 5 59" xfId="2818" xr:uid="{00000000-0005-0000-0000-000001120000}"/>
    <cellStyle name="Вычисление 5 59 2" xfId="7330" xr:uid="{00000000-0005-0000-0000-000002120000}"/>
    <cellStyle name="Вычисление 5 6" xfId="2819" xr:uid="{00000000-0005-0000-0000-000003120000}"/>
    <cellStyle name="Вычисление 5 6 2" xfId="7331" xr:uid="{00000000-0005-0000-0000-000004120000}"/>
    <cellStyle name="Вычисление 5 60" xfId="2820" xr:uid="{00000000-0005-0000-0000-000005120000}"/>
    <cellStyle name="Вычисление 5 60 2" xfId="7332" xr:uid="{00000000-0005-0000-0000-000006120000}"/>
    <cellStyle name="Вычисление 5 61" xfId="2821" xr:uid="{00000000-0005-0000-0000-000007120000}"/>
    <cellStyle name="Вычисление 5 61 2" xfId="7333" xr:uid="{00000000-0005-0000-0000-000008120000}"/>
    <cellStyle name="Вычисление 5 62" xfId="2822" xr:uid="{00000000-0005-0000-0000-000009120000}"/>
    <cellStyle name="Вычисление 5 62 2" xfId="7334" xr:uid="{00000000-0005-0000-0000-00000A120000}"/>
    <cellStyle name="Вычисление 5 63" xfId="2823" xr:uid="{00000000-0005-0000-0000-00000B120000}"/>
    <cellStyle name="Вычисление 5 63 2" xfId="7335" xr:uid="{00000000-0005-0000-0000-00000C120000}"/>
    <cellStyle name="Вычисление 5 64" xfId="2824" xr:uid="{00000000-0005-0000-0000-00000D120000}"/>
    <cellStyle name="Вычисление 5 64 2" xfId="7336" xr:uid="{00000000-0005-0000-0000-00000E120000}"/>
    <cellStyle name="Вычисление 5 65" xfId="2825" xr:uid="{00000000-0005-0000-0000-00000F120000}"/>
    <cellStyle name="Вычисление 5 65 2" xfId="7337" xr:uid="{00000000-0005-0000-0000-000010120000}"/>
    <cellStyle name="Вычисление 5 66" xfId="2826" xr:uid="{00000000-0005-0000-0000-000011120000}"/>
    <cellStyle name="Вычисление 5 66 2" xfId="7338" xr:uid="{00000000-0005-0000-0000-000012120000}"/>
    <cellStyle name="Вычисление 5 67" xfId="2827" xr:uid="{00000000-0005-0000-0000-000013120000}"/>
    <cellStyle name="Вычисление 5 67 2" xfId="7339" xr:uid="{00000000-0005-0000-0000-000014120000}"/>
    <cellStyle name="Вычисление 5 68" xfId="2828" xr:uid="{00000000-0005-0000-0000-000015120000}"/>
    <cellStyle name="Вычисление 5 68 2" xfId="7340" xr:uid="{00000000-0005-0000-0000-000016120000}"/>
    <cellStyle name="Вычисление 5 69" xfId="2829" xr:uid="{00000000-0005-0000-0000-000017120000}"/>
    <cellStyle name="Вычисление 5 69 2" xfId="7341" xr:uid="{00000000-0005-0000-0000-000018120000}"/>
    <cellStyle name="Вычисление 5 7" xfId="2830" xr:uid="{00000000-0005-0000-0000-000019120000}"/>
    <cellStyle name="Вычисление 5 7 2" xfId="7342" xr:uid="{00000000-0005-0000-0000-00001A120000}"/>
    <cellStyle name="Вычисление 5 70" xfId="2831" xr:uid="{00000000-0005-0000-0000-00001B120000}"/>
    <cellStyle name="Вычисление 5 70 2" xfId="7343" xr:uid="{00000000-0005-0000-0000-00001C120000}"/>
    <cellStyle name="Вычисление 5 71" xfId="2832" xr:uid="{00000000-0005-0000-0000-00001D120000}"/>
    <cellStyle name="Вычисление 5 71 2" xfId="7344" xr:uid="{00000000-0005-0000-0000-00001E120000}"/>
    <cellStyle name="Вычисление 5 72" xfId="2833" xr:uid="{00000000-0005-0000-0000-00001F120000}"/>
    <cellStyle name="Вычисление 5 72 2" xfId="7345" xr:uid="{00000000-0005-0000-0000-000020120000}"/>
    <cellStyle name="Вычисление 5 73" xfId="2834" xr:uid="{00000000-0005-0000-0000-000021120000}"/>
    <cellStyle name="Вычисление 5 73 2" xfId="7346" xr:uid="{00000000-0005-0000-0000-000022120000}"/>
    <cellStyle name="Вычисление 5 74" xfId="2835" xr:uid="{00000000-0005-0000-0000-000023120000}"/>
    <cellStyle name="Вычисление 5 74 2" xfId="7347" xr:uid="{00000000-0005-0000-0000-000024120000}"/>
    <cellStyle name="Вычисление 5 75" xfId="2836" xr:uid="{00000000-0005-0000-0000-000025120000}"/>
    <cellStyle name="Вычисление 5 75 2" xfId="7348" xr:uid="{00000000-0005-0000-0000-000026120000}"/>
    <cellStyle name="Вычисление 5 76" xfId="2837" xr:uid="{00000000-0005-0000-0000-000027120000}"/>
    <cellStyle name="Вычисление 5 76 2" xfId="7349" xr:uid="{00000000-0005-0000-0000-000028120000}"/>
    <cellStyle name="Вычисление 5 77" xfId="2838" xr:uid="{00000000-0005-0000-0000-000029120000}"/>
    <cellStyle name="Вычисление 5 77 2" xfId="7350" xr:uid="{00000000-0005-0000-0000-00002A120000}"/>
    <cellStyle name="Вычисление 5 78" xfId="2839" xr:uid="{00000000-0005-0000-0000-00002B120000}"/>
    <cellStyle name="Вычисление 5 78 2" xfId="7351" xr:uid="{00000000-0005-0000-0000-00002C120000}"/>
    <cellStyle name="Вычисление 5 79" xfId="2840" xr:uid="{00000000-0005-0000-0000-00002D120000}"/>
    <cellStyle name="Вычисление 5 79 2" xfId="7352" xr:uid="{00000000-0005-0000-0000-00002E120000}"/>
    <cellStyle name="Вычисление 5 8" xfId="2841" xr:uid="{00000000-0005-0000-0000-00002F120000}"/>
    <cellStyle name="Вычисление 5 8 2" xfId="7353" xr:uid="{00000000-0005-0000-0000-000030120000}"/>
    <cellStyle name="Вычисление 5 80" xfId="2842" xr:uid="{00000000-0005-0000-0000-000031120000}"/>
    <cellStyle name="Вычисление 5 80 2" xfId="7354" xr:uid="{00000000-0005-0000-0000-000032120000}"/>
    <cellStyle name="Вычисление 5 81" xfId="2843" xr:uid="{00000000-0005-0000-0000-000033120000}"/>
    <cellStyle name="Вычисление 5 81 2" xfId="7355" xr:uid="{00000000-0005-0000-0000-000034120000}"/>
    <cellStyle name="Вычисление 5 82" xfId="2844" xr:uid="{00000000-0005-0000-0000-000035120000}"/>
    <cellStyle name="Вычисление 5 82 2" xfId="7356" xr:uid="{00000000-0005-0000-0000-000036120000}"/>
    <cellStyle name="Вычисление 5 83" xfId="2845" xr:uid="{00000000-0005-0000-0000-000037120000}"/>
    <cellStyle name="Вычисление 5 83 2" xfId="7357" xr:uid="{00000000-0005-0000-0000-000038120000}"/>
    <cellStyle name="Вычисление 5 84" xfId="2846" xr:uid="{00000000-0005-0000-0000-000039120000}"/>
    <cellStyle name="Вычисление 5 84 2" xfId="7358" xr:uid="{00000000-0005-0000-0000-00003A120000}"/>
    <cellStyle name="Вычисление 5 85" xfId="2847" xr:uid="{00000000-0005-0000-0000-00003B120000}"/>
    <cellStyle name="Вычисление 5 85 2" xfId="7359" xr:uid="{00000000-0005-0000-0000-00003C120000}"/>
    <cellStyle name="Вычисление 5 86" xfId="2848" xr:uid="{00000000-0005-0000-0000-00003D120000}"/>
    <cellStyle name="Вычисление 5 86 2" xfId="7360" xr:uid="{00000000-0005-0000-0000-00003E120000}"/>
    <cellStyle name="Вычисление 5 87" xfId="2849" xr:uid="{00000000-0005-0000-0000-00003F120000}"/>
    <cellStyle name="Вычисление 5 87 2" xfId="7361" xr:uid="{00000000-0005-0000-0000-000040120000}"/>
    <cellStyle name="Вычисление 5 88" xfId="2850" xr:uid="{00000000-0005-0000-0000-000041120000}"/>
    <cellStyle name="Вычисление 5 88 2" xfId="7362" xr:uid="{00000000-0005-0000-0000-000042120000}"/>
    <cellStyle name="Вычисление 5 89" xfId="2851" xr:uid="{00000000-0005-0000-0000-000043120000}"/>
    <cellStyle name="Вычисление 5 89 2" xfId="7363" xr:uid="{00000000-0005-0000-0000-000044120000}"/>
    <cellStyle name="Вычисление 5 9" xfId="2852" xr:uid="{00000000-0005-0000-0000-000045120000}"/>
    <cellStyle name="Вычисление 5 9 2" xfId="7364" xr:uid="{00000000-0005-0000-0000-000046120000}"/>
    <cellStyle name="Вычисление 5 90" xfId="2853" xr:uid="{00000000-0005-0000-0000-000047120000}"/>
    <cellStyle name="Вычисление 5 90 2" xfId="7365" xr:uid="{00000000-0005-0000-0000-000048120000}"/>
    <cellStyle name="Вычисление 5 91" xfId="2854" xr:uid="{00000000-0005-0000-0000-000049120000}"/>
    <cellStyle name="Вычисление 5 91 2" xfId="7366" xr:uid="{00000000-0005-0000-0000-00004A120000}"/>
    <cellStyle name="Вычисление 5 92" xfId="7367" xr:uid="{00000000-0005-0000-0000-00004B120000}"/>
    <cellStyle name="Вычисление 6" xfId="249" xr:uid="{00000000-0005-0000-0000-00004C120000}"/>
    <cellStyle name="Вычисление 6 10" xfId="2855" xr:uid="{00000000-0005-0000-0000-00004D120000}"/>
    <cellStyle name="Вычисление 6 10 2" xfId="7368" xr:uid="{00000000-0005-0000-0000-00004E120000}"/>
    <cellStyle name="Вычисление 6 11" xfId="2856" xr:uid="{00000000-0005-0000-0000-00004F120000}"/>
    <cellStyle name="Вычисление 6 11 2" xfId="7369" xr:uid="{00000000-0005-0000-0000-000050120000}"/>
    <cellStyle name="Вычисление 6 12" xfId="2857" xr:uid="{00000000-0005-0000-0000-000051120000}"/>
    <cellStyle name="Вычисление 6 12 2" xfId="7370" xr:uid="{00000000-0005-0000-0000-000052120000}"/>
    <cellStyle name="Вычисление 6 13" xfId="2858" xr:uid="{00000000-0005-0000-0000-000053120000}"/>
    <cellStyle name="Вычисление 6 13 2" xfId="7371" xr:uid="{00000000-0005-0000-0000-000054120000}"/>
    <cellStyle name="Вычисление 6 14" xfId="2859" xr:uid="{00000000-0005-0000-0000-000055120000}"/>
    <cellStyle name="Вычисление 6 14 2" xfId="7372" xr:uid="{00000000-0005-0000-0000-000056120000}"/>
    <cellStyle name="Вычисление 6 15" xfId="2860" xr:uid="{00000000-0005-0000-0000-000057120000}"/>
    <cellStyle name="Вычисление 6 15 2" xfId="7373" xr:uid="{00000000-0005-0000-0000-000058120000}"/>
    <cellStyle name="Вычисление 6 16" xfId="2861" xr:uid="{00000000-0005-0000-0000-000059120000}"/>
    <cellStyle name="Вычисление 6 16 2" xfId="7374" xr:uid="{00000000-0005-0000-0000-00005A120000}"/>
    <cellStyle name="Вычисление 6 17" xfId="2862" xr:uid="{00000000-0005-0000-0000-00005B120000}"/>
    <cellStyle name="Вычисление 6 17 2" xfId="7375" xr:uid="{00000000-0005-0000-0000-00005C120000}"/>
    <cellStyle name="Вычисление 6 18" xfId="2863" xr:uid="{00000000-0005-0000-0000-00005D120000}"/>
    <cellStyle name="Вычисление 6 18 2" xfId="7376" xr:uid="{00000000-0005-0000-0000-00005E120000}"/>
    <cellStyle name="Вычисление 6 19" xfId="2864" xr:uid="{00000000-0005-0000-0000-00005F120000}"/>
    <cellStyle name="Вычисление 6 19 2" xfId="7377" xr:uid="{00000000-0005-0000-0000-000060120000}"/>
    <cellStyle name="Вычисление 6 2" xfId="2865" xr:uid="{00000000-0005-0000-0000-000061120000}"/>
    <cellStyle name="Вычисление 6 2 2" xfId="2866" xr:uid="{00000000-0005-0000-0000-000062120000}"/>
    <cellStyle name="Вычисление 6 2 2 2" xfId="7378" xr:uid="{00000000-0005-0000-0000-000063120000}"/>
    <cellStyle name="Вычисление 6 2 3" xfId="2867" xr:uid="{00000000-0005-0000-0000-000064120000}"/>
    <cellStyle name="Вычисление 6 2 3 2" xfId="7379" xr:uid="{00000000-0005-0000-0000-000065120000}"/>
    <cellStyle name="Вычисление 6 2 4" xfId="7380" xr:uid="{00000000-0005-0000-0000-000066120000}"/>
    <cellStyle name="Вычисление 6 20" xfId="2868" xr:uid="{00000000-0005-0000-0000-000067120000}"/>
    <cellStyle name="Вычисление 6 20 2" xfId="7381" xr:uid="{00000000-0005-0000-0000-000068120000}"/>
    <cellStyle name="Вычисление 6 21" xfId="2869" xr:uid="{00000000-0005-0000-0000-000069120000}"/>
    <cellStyle name="Вычисление 6 21 2" xfId="7382" xr:uid="{00000000-0005-0000-0000-00006A120000}"/>
    <cellStyle name="Вычисление 6 22" xfId="2870" xr:uid="{00000000-0005-0000-0000-00006B120000}"/>
    <cellStyle name="Вычисление 6 22 2" xfId="7383" xr:uid="{00000000-0005-0000-0000-00006C120000}"/>
    <cellStyle name="Вычисление 6 23" xfId="2871" xr:uid="{00000000-0005-0000-0000-00006D120000}"/>
    <cellStyle name="Вычисление 6 23 2" xfId="7384" xr:uid="{00000000-0005-0000-0000-00006E120000}"/>
    <cellStyle name="Вычисление 6 24" xfId="2872" xr:uid="{00000000-0005-0000-0000-00006F120000}"/>
    <cellStyle name="Вычисление 6 24 2" xfId="7385" xr:uid="{00000000-0005-0000-0000-000070120000}"/>
    <cellStyle name="Вычисление 6 25" xfId="2873" xr:uid="{00000000-0005-0000-0000-000071120000}"/>
    <cellStyle name="Вычисление 6 25 2" xfId="7386" xr:uid="{00000000-0005-0000-0000-000072120000}"/>
    <cellStyle name="Вычисление 6 26" xfId="2874" xr:uid="{00000000-0005-0000-0000-000073120000}"/>
    <cellStyle name="Вычисление 6 26 2" xfId="7387" xr:uid="{00000000-0005-0000-0000-000074120000}"/>
    <cellStyle name="Вычисление 6 27" xfId="2875" xr:uid="{00000000-0005-0000-0000-000075120000}"/>
    <cellStyle name="Вычисление 6 27 2" xfId="7388" xr:uid="{00000000-0005-0000-0000-000076120000}"/>
    <cellStyle name="Вычисление 6 28" xfId="2876" xr:uid="{00000000-0005-0000-0000-000077120000}"/>
    <cellStyle name="Вычисление 6 28 2" xfId="7389" xr:uid="{00000000-0005-0000-0000-000078120000}"/>
    <cellStyle name="Вычисление 6 29" xfId="2877" xr:uid="{00000000-0005-0000-0000-000079120000}"/>
    <cellStyle name="Вычисление 6 29 2" xfId="7390" xr:uid="{00000000-0005-0000-0000-00007A120000}"/>
    <cellStyle name="Вычисление 6 3" xfId="2878" xr:uid="{00000000-0005-0000-0000-00007B120000}"/>
    <cellStyle name="Вычисление 6 3 2" xfId="2879" xr:uid="{00000000-0005-0000-0000-00007C120000}"/>
    <cellStyle name="Вычисление 6 3 2 2" xfId="7391" xr:uid="{00000000-0005-0000-0000-00007D120000}"/>
    <cellStyle name="Вычисление 6 3 3" xfId="2880" xr:uid="{00000000-0005-0000-0000-00007E120000}"/>
    <cellStyle name="Вычисление 6 3 3 2" xfId="7392" xr:uid="{00000000-0005-0000-0000-00007F120000}"/>
    <cellStyle name="Вычисление 6 3 4" xfId="7393" xr:uid="{00000000-0005-0000-0000-000080120000}"/>
    <cellStyle name="Вычисление 6 30" xfId="2881" xr:uid="{00000000-0005-0000-0000-000081120000}"/>
    <cellStyle name="Вычисление 6 30 2" xfId="7394" xr:uid="{00000000-0005-0000-0000-000082120000}"/>
    <cellStyle name="Вычисление 6 31" xfId="2882" xr:uid="{00000000-0005-0000-0000-000083120000}"/>
    <cellStyle name="Вычисление 6 31 2" xfId="7395" xr:uid="{00000000-0005-0000-0000-000084120000}"/>
    <cellStyle name="Вычисление 6 32" xfId="2883" xr:uid="{00000000-0005-0000-0000-000085120000}"/>
    <cellStyle name="Вычисление 6 32 2" xfId="7396" xr:uid="{00000000-0005-0000-0000-000086120000}"/>
    <cellStyle name="Вычисление 6 33" xfId="2884" xr:uid="{00000000-0005-0000-0000-000087120000}"/>
    <cellStyle name="Вычисление 6 33 2" xfId="7397" xr:uid="{00000000-0005-0000-0000-000088120000}"/>
    <cellStyle name="Вычисление 6 34" xfId="2885" xr:uid="{00000000-0005-0000-0000-000089120000}"/>
    <cellStyle name="Вычисление 6 34 2" xfId="7398" xr:uid="{00000000-0005-0000-0000-00008A120000}"/>
    <cellStyle name="Вычисление 6 35" xfId="2886" xr:uid="{00000000-0005-0000-0000-00008B120000}"/>
    <cellStyle name="Вычисление 6 35 2" xfId="7399" xr:uid="{00000000-0005-0000-0000-00008C120000}"/>
    <cellStyle name="Вычисление 6 36" xfId="2887" xr:uid="{00000000-0005-0000-0000-00008D120000}"/>
    <cellStyle name="Вычисление 6 36 2" xfId="7400" xr:uid="{00000000-0005-0000-0000-00008E120000}"/>
    <cellStyle name="Вычисление 6 37" xfId="2888" xr:uid="{00000000-0005-0000-0000-00008F120000}"/>
    <cellStyle name="Вычисление 6 37 2" xfId="7401" xr:uid="{00000000-0005-0000-0000-000090120000}"/>
    <cellStyle name="Вычисление 6 38" xfId="2889" xr:uid="{00000000-0005-0000-0000-000091120000}"/>
    <cellStyle name="Вычисление 6 38 2" xfId="7402" xr:uid="{00000000-0005-0000-0000-000092120000}"/>
    <cellStyle name="Вычисление 6 39" xfId="2890" xr:uid="{00000000-0005-0000-0000-000093120000}"/>
    <cellStyle name="Вычисление 6 39 2" xfId="7403" xr:uid="{00000000-0005-0000-0000-000094120000}"/>
    <cellStyle name="Вычисление 6 4" xfId="2891" xr:uid="{00000000-0005-0000-0000-000095120000}"/>
    <cellStyle name="Вычисление 6 4 2" xfId="2892" xr:uid="{00000000-0005-0000-0000-000096120000}"/>
    <cellStyle name="Вычисление 6 4 2 2" xfId="7404" xr:uid="{00000000-0005-0000-0000-000097120000}"/>
    <cellStyle name="Вычисление 6 4 3" xfId="2893" xr:uid="{00000000-0005-0000-0000-000098120000}"/>
    <cellStyle name="Вычисление 6 4 3 2" xfId="7405" xr:uid="{00000000-0005-0000-0000-000099120000}"/>
    <cellStyle name="Вычисление 6 4 4" xfId="7406" xr:uid="{00000000-0005-0000-0000-00009A120000}"/>
    <cellStyle name="Вычисление 6 40" xfId="2894" xr:uid="{00000000-0005-0000-0000-00009B120000}"/>
    <cellStyle name="Вычисление 6 40 2" xfId="7407" xr:uid="{00000000-0005-0000-0000-00009C120000}"/>
    <cellStyle name="Вычисление 6 41" xfId="2895" xr:uid="{00000000-0005-0000-0000-00009D120000}"/>
    <cellStyle name="Вычисление 6 41 2" xfId="7408" xr:uid="{00000000-0005-0000-0000-00009E120000}"/>
    <cellStyle name="Вычисление 6 42" xfId="2896" xr:uid="{00000000-0005-0000-0000-00009F120000}"/>
    <cellStyle name="Вычисление 6 42 2" xfId="7409" xr:uid="{00000000-0005-0000-0000-0000A0120000}"/>
    <cellStyle name="Вычисление 6 43" xfId="2897" xr:uid="{00000000-0005-0000-0000-0000A1120000}"/>
    <cellStyle name="Вычисление 6 43 2" xfId="7410" xr:uid="{00000000-0005-0000-0000-0000A2120000}"/>
    <cellStyle name="Вычисление 6 44" xfId="2898" xr:uid="{00000000-0005-0000-0000-0000A3120000}"/>
    <cellStyle name="Вычисление 6 44 2" xfId="7411" xr:uid="{00000000-0005-0000-0000-0000A4120000}"/>
    <cellStyle name="Вычисление 6 45" xfId="2899" xr:uid="{00000000-0005-0000-0000-0000A5120000}"/>
    <cellStyle name="Вычисление 6 45 2" xfId="7412" xr:uid="{00000000-0005-0000-0000-0000A6120000}"/>
    <cellStyle name="Вычисление 6 46" xfId="2900" xr:uid="{00000000-0005-0000-0000-0000A7120000}"/>
    <cellStyle name="Вычисление 6 46 2" xfId="7413" xr:uid="{00000000-0005-0000-0000-0000A8120000}"/>
    <cellStyle name="Вычисление 6 47" xfId="2901" xr:uid="{00000000-0005-0000-0000-0000A9120000}"/>
    <cellStyle name="Вычисление 6 47 2" xfId="7414" xr:uid="{00000000-0005-0000-0000-0000AA120000}"/>
    <cellStyle name="Вычисление 6 48" xfId="2902" xr:uid="{00000000-0005-0000-0000-0000AB120000}"/>
    <cellStyle name="Вычисление 6 48 2" xfId="7415" xr:uid="{00000000-0005-0000-0000-0000AC120000}"/>
    <cellStyle name="Вычисление 6 49" xfId="2903" xr:uid="{00000000-0005-0000-0000-0000AD120000}"/>
    <cellStyle name="Вычисление 6 49 2" xfId="7416" xr:uid="{00000000-0005-0000-0000-0000AE120000}"/>
    <cellStyle name="Вычисление 6 5" xfId="2904" xr:uid="{00000000-0005-0000-0000-0000AF120000}"/>
    <cellStyle name="Вычисление 6 5 2" xfId="7417" xr:uid="{00000000-0005-0000-0000-0000B0120000}"/>
    <cellStyle name="Вычисление 6 50" xfId="2905" xr:uid="{00000000-0005-0000-0000-0000B1120000}"/>
    <cellStyle name="Вычисление 6 50 2" xfId="7418" xr:uid="{00000000-0005-0000-0000-0000B2120000}"/>
    <cellStyle name="Вычисление 6 51" xfId="2906" xr:uid="{00000000-0005-0000-0000-0000B3120000}"/>
    <cellStyle name="Вычисление 6 51 2" xfId="7419" xr:uid="{00000000-0005-0000-0000-0000B4120000}"/>
    <cellStyle name="Вычисление 6 52" xfId="2907" xr:uid="{00000000-0005-0000-0000-0000B5120000}"/>
    <cellStyle name="Вычисление 6 52 2" xfId="7420" xr:uid="{00000000-0005-0000-0000-0000B6120000}"/>
    <cellStyle name="Вычисление 6 53" xfId="2908" xr:uid="{00000000-0005-0000-0000-0000B7120000}"/>
    <cellStyle name="Вычисление 6 53 2" xfId="7421" xr:uid="{00000000-0005-0000-0000-0000B8120000}"/>
    <cellStyle name="Вычисление 6 54" xfId="2909" xr:uid="{00000000-0005-0000-0000-0000B9120000}"/>
    <cellStyle name="Вычисление 6 54 2" xfId="7422" xr:uid="{00000000-0005-0000-0000-0000BA120000}"/>
    <cellStyle name="Вычисление 6 55" xfId="2910" xr:uid="{00000000-0005-0000-0000-0000BB120000}"/>
    <cellStyle name="Вычисление 6 55 2" xfId="7423" xr:uid="{00000000-0005-0000-0000-0000BC120000}"/>
    <cellStyle name="Вычисление 6 56" xfId="2911" xr:uid="{00000000-0005-0000-0000-0000BD120000}"/>
    <cellStyle name="Вычисление 6 56 2" xfId="7424" xr:uid="{00000000-0005-0000-0000-0000BE120000}"/>
    <cellStyle name="Вычисление 6 57" xfId="2912" xr:uid="{00000000-0005-0000-0000-0000BF120000}"/>
    <cellStyle name="Вычисление 6 57 2" xfId="7425" xr:uid="{00000000-0005-0000-0000-0000C0120000}"/>
    <cellStyle name="Вычисление 6 58" xfId="2913" xr:uid="{00000000-0005-0000-0000-0000C1120000}"/>
    <cellStyle name="Вычисление 6 58 2" xfId="7426" xr:uid="{00000000-0005-0000-0000-0000C2120000}"/>
    <cellStyle name="Вычисление 6 59" xfId="2914" xr:uid="{00000000-0005-0000-0000-0000C3120000}"/>
    <cellStyle name="Вычисление 6 59 2" xfId="7427" xr:uid="{00000000-0005-0000-0000-0000C4120000}"/>
    <cellStyle name="Вычисление 6 6" xfId="2915" xr:uid="{00000000-0005-0000-0000-0000C5120000}"/>
    <cellStyle name="Вычисление 6 6 2" xfId="7428" xr:uid="{00000000-0005-0000-0000-0000C6120000}"/>
    <cellStyle name="Вычисление 6 60" xfId="2916" xr:uid="{00000000-0005-0000-0000-0000C7120000}"/>
    <cellStyle name="Вычисление 6 60 2" xfId="7429" xr:uid="{00000000-0005-0000-0000-0000C8120000}"/>
    <cellStyle name="Вычисление 6 61" xfId="2917" xr:uid="{00000000-0005-0000-0000-0000C9120000}"/>
    <cellStyle name="Вычисление 6 61 2" xfId="7430" xr:uid="{00000000-0005-0000-0000-0000CA120000}"/>
    <cellStyle name="Вычисление 6 62" xfId="2918" xr:uid="{00000000-0005-0000-0000-0000CB120000}"/>
    <cellStyle name="Вычисление 6 62 2" xfId="7431" xr:uid="{00000000-0005-0000-0000-0000CC120000}"/>
    <cellStyle name="Вычисление 6 63" xfId="2919" xr:uid="{00000000-0005-0000-0000-0000CD120000}"/>
    <cellStyle name="Вычисление 6 63 2" xfId="7432" xr:uid="{00000000-0005-0000-0000-0000CE120000}"/>
    <cellStyle name="Вычисление 6 64" xfId="2920" xr:uid="{00000000-0005-0000-0000-0000CF120000}"/>
    <cellStyle name="Вычисление 6 64 2" xfId="7433" xr:uid="{00000000-0005-0000-0000-0000D0120000}"/>
    <cellStyle name="Вычисление 6 65" xfId="2921" xr:uid="{00000000-0005-0000-0000-0000D1120000}"/>
    <cellStyle name="Вычисление 6 65 2" xfId="7434" xr:uid="{00000000-0005-0000-0000-0000D2120000}"/>
    <cellStyle name="Вычисление 6 66" xfId="2922" xr:uid="{00000000-0005-0000-0000-0000D3120000}"/>
    <cellStyle name="Вычисление 6 66 2" xfId="7435" xr:uid="{00000000-0005-0000-0000-0000D4120000}"/>
    <cellStyle name="Вычисление 6 67" xfId="2923" xr:uid="{00000000-0005-0000-0000-0000D5120000}"/>
    <cellStyle name="Вычисление 6 67 2" xfId="7436" xr:uid="{00000000-0005-0000-0000-0000D6120000}"/>
    <cellStyle name="Вычисление 6 68" xfId="2924" xr:uid="{00000000-0005-0000-0000-0000D7120000}"/>
    <cellStyle name="Вычисление 6 68 2" xfId="7437" xr:uid="{00000000-0005-0000-0000-0000D8120000}"/>
    <cellStyle name="Вычисление 6 69" xfId="2925" xr:uid="{00000000-0005-0000-0000-0000D9120000}"/>
    <cellStyle name="Вычисление 6 69 2" xfId="7438" xr:uid="{00000000-0005-0000-0000-0000DA120000}"/>
    <cellStyle name="Вычисление 6 7" xfId="2926" xr:uid="{00000000-0005-0000-0000-0000DB120000}"/>
    <cellStyle name="Вычисление 6 7 2" xfId="7439" xr:uid="{00000000-0005-0000-0000-0000DC120000}"/>
    <cellStyle name="Вычисление 6 70" xfId="2927" xr:uid="{00000000-0005-0000-0000-0000DD120000}"/>
    <cellStyle name="Вычисление 6 70 2" xfId="7440" xr:uid="{00000000-0005-0000-0000-0000DE120000}"/>
    <cellStyle name="Вычисление 6 71" xfId="2928" xr:uid="{00000000-0005-0000-0000-0000DF120000}"/>
    <cellStyle name="Вычисление 6 71 2" xfId="7441" xr:uid="{00000000-0005-0000-0000-0000E0120000}"/>
    <cellStyle name="Вычисление 6 72" xfId="2929" xr:uid="{00000000-0005-0000-0000-0000E1120000}"/>
    <cellStyle name="Вычисление 6 72 2" xfId="7442" xr:uid="{00000000-0005-0000-0000-0000E2120000}"/>
    <cellStyle name="Вычисление 6 73" xfId="2930" xr:uid="{00000000-0005-0000-0000-0000E3120000}"/>
    <cellStyle name="Вычисление 6 73 2" xfId="7443" xr:uid="{00000000-0005-0000-0000-0000E4120000}"/>
    <cellStyle name="Вычисление 6 74" xfId="2931" xr:uid="{00000000-0005-0000-0000-0000E5120000}"/>
    <cellStyle name="Вычисление 6 74 2" xfId="7444" xr:uid="{00000000-0005-0000-0000-0000E6120000}"/>
    <cellStyle name="Вычисление 6 75" xfId="2932" xr:uid="{00000000-0005-0000-0000-0000E7120000}"/>
    <cellStyle name="Вычисление 6 75 2" xfId="7445" xr:uid="{00000000-0005-0000-0000-0000E8120000}"/>
    <cellStyle name="Вычисление 6 76" xfId="2933" xr:uid="{00000000-0005-0000-0000-0000E9120000}"/>
    <cellStyle name="Вычисление 6 76 2" xfId="7446" xr:uid="{00000000-0005-0000-0000-0000EA120000}"/>
    <cellStyle name="Вычисление 6 77" xfId="2934" xr:uid="{00000000-0005-0000-0000-0000EB120000}"/>
    <cellStyle name="Вычисление 6 77 2" xfId="7447" xr:uid="{00000000-0005-0000-0000-0000EC120000}"/>
    <cellStyle name="Вычисление 6 78" xfId="2935" xr:uid="{00000000-0005-0000-0000-0000ED120000}"/>
    <cellStyle name="Вычисление 6 78 2" xfId="7448" xr:uid="{00000000-0005-0000-0000-0000EE120000}"/>
    <cellStyle name="Вычисление 6 79" xfId="2936" xr:uid="{00000000-0005-0000-0000-0000EF120000}"/>
    <cellStyle name="Вычисление 6 79 2" xfId="7449" xr:uid="{00000000-0005-0000-0000-0000F0120000}"/>
    <cellStyle name="Вычисление 6 8" xfId="2937" xr:uid="{00000000-0005-0000-0000-0000F1120000}"/>
    <cellStyle name="Вычисление 6 8 2" xfId="7450" xr:uid="{00000000-0005-0000-0000-0000F2120000}"/>
    <cellStyle name="Вычисление 6 80" xfId="2938" xr:uid="{00000000-0005-0000-0000-0000F3120000}"/>
    <cellStyle name="Вычисление 6 80 2" xfId="7451" xr:uid="{00000000-0005-0000-0000-0000F4120000}"/>
    <cellStyle name="Вычисление 6 81" xfId="2939" xr:uid="{00000000-0005-0000-0000-0000F5120000}"/>
    <cellStyle name="Вычисление 6 81 2" xfId="7452" xr:uid="{00000000-0005-0000-0000-0000F6120000}"/>
    <cellStyle name="Вычисление 6 82" xfId="2940" xr:uid="{00000000-0005-0000-0000-0000F7120000}"/>
    <cellStyle name="Вычисление 6 82 2" xfId="7453" xr:uid="{00000000-0005-0000-0000-0000F8120000}"/>
    <cellStyle name="Вычисление 6 83" xfId="2941" xr:uid="{00000000-0005-0000-0000-0000F9120000}"/>
    <cellStyle name="Вычисление 6 83 2" xfId="7454" xr:uid="{00000000-0005-0000-0000-0000FA120000}"/>
    <cellStyle name="Вычисление 6 84" xfId="2942" xr:uid="{00000000-0005-0000-0000-0000FB120000}"/>
    <cellStyle name="Вычисление 6 84 2" xfId="7455" xr:uid="{00000000-0005-0000-0000-0000FC120000}"/>
    <cellStyle name="Вычисление 6 85" xfId="2943" xr:uid="{00000000-0005-0000-0000-0000FD120000}"/>
    <cellStyle name="Вычисление 6 85 2" xfId="7456" xr:uid="{00000000-0005-0000-0000-0000FE120000}"/>
    <cellStyle name="Вычисление 6 86" xfId="2944" xr:uid="{00000000-0005-0000-0000-0000FF120000}"/>
    <cellStyle name="Вычисление 6 86 2" xfId="7457" xr:uid="{00000000-0005-0000-0000-000000130000}"/>
    <cellStyle name="Вычисление 6 87" xfId="2945" xr:uid="{00000000-0005-0000-0000-000001130000}"/>
    <cellStyle name="Вычисление 6 87 2" xfId="7458" xr:uid="{00000000-0005-0000-0000-000002130000}"/>
    <cellStyle name="Вычисление 6 88" xfId="2946" xr:uid="{00000000-0005-0000-0000-000003130000}"/>
    <cellStyle name="Вычисление 6 88 2" xfId="7459" xr:uid="{00000000-0005-0000-0000-000004130000}"/>
    <cellStyle name="Вычисление 6 89" xfId="2947" xr:uid="{00000000-0005-0000-0000-000005130000}"/>
    <cellStyle name="Вычисление 6 89 2" xfId="7460" xr:uid="{00000000-0005-0000-0000-000006130000}"/>
    <cellStyle name="Вычисление 6 9" xfId="2948" xr:uid="{00000000-0005-0000-0000-000007130000}"/>
    <cellStyle name="Вычисление 6 9 2" xfId="7461" xr:uid="{00000000-0005-0000-0000-000008130000}"/>
    <cellStyle name="Вычисление 6 90" xfId="2949" xr:uid="{00000000-0005-0000-0000-000009130000}"/>
    <cellStyle name="Вычисление 6 90 2" xfId="7462" xr:uid="{00000000-0005-0000-0000-00000A130000}"/>
    <cellStyle name="Вычисление 6 91" xfId="2950" xr:uid="{00000000-0005-0000-0000-00000B130000}"/>
    <cellStyle name="Вычисление 6 91 2" xfId="7463" xr:uid="{00000000-0005-0000-0000-00000C130000}"/>
    <cellStyle name="Вычисление 6 92" xfId="7464" xr:uid="{00000000-0005-0000-0000-00000D130000}"/>
    <cellStyle name="Вычисление 7" xfId="250" xr:uid="{00000000-0005-0000-0000-00000E130000}"/>
    <cellStyle name="Вычисление 7 10" xfId="2951" xr:uid="{00000000-0005-0000-0000-00000F130000}"/>
    <cellStyle name="Вычисление 7 10 2" xfId="7465" xr:uid="{00000000-0005-0000-0000-000010130000}"/>
    <cellStyle name="Вычисление 7 11" xfId="2952" xr:uid="{00000000-0005-0000-0000-000011130000}"/>
    <cellStyle name="Вычисление 7 11 2" xfId="7466" xr:uid="{00000000-0005-0000-0000-000012130000}"/>
    <cellStyle name="Вычисление 7 12" xfId="2953" xr:uid="{00000000-0005-0000-0000-000013130000}"/>
    <cellStyle name="Вычисление 7 12 2" xfId="7467" xr:uid="{00000000-0005-0000-0000-000014130000}"/>
    <cellStyle name="Вычисление 7 13" xfId="2954" xr:uid="{00000000-0005-0000-0000-000015130000}"/>
    <cellStyle name="Вычисление 7 13 2" xfId="7468" xr:uid="{00000000-0005-0000-0000-000016130000}"/>
    <cellStyle name="Вычисление 7 14" xfId="2955" xr:uid="{00000000-0005-0000-0000-000017130000}"/>
    <cellStyle name="Вычисление 7 14 2" xfId="7469" xr:uid="{00000000-0005-0000-0000-000018130000}"/>
    <cellStyle name="Вычисление 7 15" xfId="2956" xr:uid="{00000000-0005-0000-0000-000019130000}"/>
    <cellStyle name="Вычисление 7 15 2" xfId="7470" xr:uid="{00000000-0005-0000-0000-00001A130000}"/>
    <cellStyle name="Вычисление 7 16" xfId="2957" xr:uid="{00000000-0005-0000-0000-00001B130000}"/>
    <cellStyle name="Вычисление 7 16 2" xfId="7471" xr:uid="{00000000-0005-0000-0000-00001C130000}"/>
    <cellStyle name="Вычисление 7 17" xfId="2958" xr:uid="{00000000-0005-0000-0000-00001D130000}"/>
    <cellStyle name="Вычисление 7 17 2" xfId="7472" xr:uid="{00000000-0005-0000-0000-00001E130000}"/>
    <cellStyle name="Вычисление 7 18" xfId="2959" xr:uid="{00000000-0005-0000-0000-00001F130000}"/>
    <cellStyle name="Вычисление 7 18 2" xfId="7473" xr:uid="{00000000-0005-0000-0000-000020130000}"/>
    <cellStyle name="Вычисление 7 19" xfId="2960" xr:uid="{00000000-0005-0000-0000-000021130000}"/>
    <cellStyle name="Вычисление 7 19 2" xfId="7474" xr:uid="{00000000-0005-0000-0000-000022130000}"/>
    <cellStyle name="Вычисление 7 2" xfId="2961" xr:uid="{00000000-0005-0000-0000-000023130000}"/>
    <cellStyle name="Вычисление 7 2 2" xfId="2962" xr:uid="{00000000-0005-0000-0000-000024130000}"/>
    <cellStyle name="Вычисление 7 2 2 2" xfId="7475" xr:uid="{00000000-0005-0000-0000-000025130000}"/>
    <cellStyle name="Вычисление 7 2 3" xfId="2963" xr:uid="{00000000-0005-0000-0000-000026130000}"/>
    <cellStyle name="Вычисление 7 2 3 2" xfId="7476" xr:uid="{00000000-0005-0000-0000-000027130000}"/>
    <cellStyle name="Вычисление 7 2 4" xfId="7477" xr:uid="{00000000-0005-0000-0000-000028130000}"/>
    <cellStyle name="Вычисление 7 20" xfId="2964" xr:uid="{00000000-0005-0000-0000-000029130000}"/>
    <cellStyle name="Вычисление 7 20 2" xfId="7478" xr:uid="{00000000-0005-0000-0000-00002A130000}"/>
    <cellStyle name="Вычисление 7 21" xfId="2965" xr:uid="{00000000-0005-0000-0000-00002B130000}"/>
    <cellStyle name="Вычисление 7 21 2" xfId="7479" xr:uid="{00000000-0005-0000-0000-00002C130000}"/>
    <cellStyle name="Вычисление 7 22" xfId="2966" xr:uid="{00000000-0005-0000-0000-00002D130000}"/>
    <cellStyle name="Вычисление 7 22 2" xfId="7480" xr:uid="{00000000-0005-0000-0000-00002E130000}"/>
    <cellStyle name="Вычисление 7 23" xfId="2967" xr:uid="{00000000-0005-0000-0000-00002F130000}"/>
    <cellStyle name="Вычисление 7 23 2" xfId="7481" xr:uid="{00000000-0005-0000-0000-000030130000}"/>
    <cellStyle name="Вычисление 7 24" xfId="2968" xr:uid="{00000000-0005-0000-0000-000031130000}"/>
    <cellStyle name="Вычисление 7 24 2" xfId="7482" xr:uid="{00000000-0005-0000-0000-000032130000}"/>
    <cellStyle name="Вычисление 7 25" xfId="2969" xr:uid="{00000000-0005-0000-0000-000033130000}"/>
    <cellStyle name="Вычисление 7 25 2" xfId="7483" xr:uid="{00000000-0005-0000-0000-000034130000}"/>
    <cellStyle name="Вычисление 7 26" xfId="2970" xr:uid="{00000000-0005-0000-0000-000035130000}"/>
    <cellStyle name="Вычисление 7 26 2" xfId="7484" xr:uid="{00000000-0005-0000-0000-000036130000}"/>
    <cellStyle name="Вычисление 7 27" xfId="2971" xr:uid="{00000000-0005-0000-0000-000037130000}"/>
    <cellStyle name="Вычисление 7 27 2" xfId="7485" xr:uid="{00000000-0005-0000-0000-000038130000}"/>
    <cellStyle name="Вычисление 7 28" xfId="2972" xr:uid="{00000000-0005-0000-0000-000039130000}"/>
    <cellStyle name="Вычисление 7 28 2" xfId="7486" xr:uid="{00000000-0005-0000-0000-00003A130000}"/>
    <cellStyle name="Вычисление 7 29" xfId="2973" xr:uid="{00000000-0005-0000-0000-00003B130000}"/>
    <cellStyle name="Вычисление 7 29 2" xfId="7487" xr:uid="{00000000-0005-0000-0000-00003C130000}"/>
    <cellStyle name="Вычисление 7 3" xfId="2974" xr:uid="{00000000-0005-0000-0000-00003D130000}"/>
    <cellStyle name="Вычисление 7 3 2" xfId="2975" xr:uid="{00000000-0005-0000-0000-00003E130000}"/>
    <cellStyle name="Вычисление 7 3 2 2" xfId="7488" xr:uid="{00000000-0005-0000-0000-00003F130000}"/>
    <cellStyle name="Вычисление 7 3 3" xfId="2976" xr:uid="{00000000-0005-0000-0000-000040130000}"/>
    <cellStyle name="Вычисление 7 3 3 2" xfId="7489" xr:uid="{00000000-0005-0000-0000-000041130000}"/>
    <cellStyle name="Вычисление 7 3 4" xfId="7490" xr:uid="{00000000-0005-0000-0000-000042130000}"/>
    <cellStyle name="Вычисление 7 30" xfId="2977" xr:uid="{00000000-0005-0000-0000-000043130000}"/>
    <cellStyle name="Вычисление 7 30 2" xfId="7491" xr:uid="{00000000-0005-0000-0000-000044130000}"/>
    <cellStyle name="Вычисление 7 31" xfId="2978" xr:uid="{00000000-0005-0000-0000-000045130000}"/>
    <cellStyle name="Вычисление 7 31 2" xfId="7492" xr:uid="{00000000-0005-0000-0000-000046130000}"/>
    <cellStyle name="Вычисление 7 32" xfId="2979" xr:uid="{00000000-0005-0000-0000-000047130000}"/>
    <cellStyle name="Вычисление 7 32 2" xfId="7493" xr:uid="{00000000-0005-0000-0000-000048130000}"/>
    <cellStyle name="Вычисление 7 33" xfId="2980" xr:uid="{00000000-0005-0000-0000-000049130000}"/>
    <cellStyle name="Вычисление 7 33 2" xfId="7494" xr:uid="{00000000-0005-0000-0000-00004A130000}"/>
    <cellStyle name="Вычисление 7 34" xfId="2981" xr:uid="{00000000-0005-0000-0000-00004B130000}"/>
    <cellStyle name="Вычисление 7 34 2" xfId="7495" xr:uid="{00000000-0005-0000-0000-00004C130000}"/>
    <cellStyle name="Вычисление 7 35" xfId="2982" xr:uid="{00000000-0005-0000-0000-00004D130000}"/>
    <cellStyle name="Вычисление 7 35 2" xfId="7496" xr:uid="{00000000-0005-0000-0000-00004E130000}"/>
    <cellStyle name="Вычисление 7 36" xfId="2983" xr:uid="{00000000-0005-0000-0000-00004F130000}"/>
    <cellStyle name="Вычисление 7 36 2" xfId="7497" xr:uid="{00000000-0005-0000-0000-000050130000}"/>
    <cellStyle name="Вычисление 7 37" xfId="2984" xr:uid="{00000000-0005-0000-0000-000051130000}"/>
    <cellStyle name="Вычисление 7 37 2" xfId="7498" xr:uid="{00000000-0005-0000-0000-000052130000}"/>
    <cellStyle name="Вычисление 7 38" xfId="2985" xr:uid="{00000000-0005-0000-0000-000053130000}"/>
    <cellStyle name="Вычисление 7 38 2" xfId="7499" xr:uid="{00000000-0005-0000-0000-000054130000}"/>
    <cellStyle name="Вычисление 7 39" xfId="2986" xr:uid="{00000000-0005-0000-0000-000055130000}"/>
    <cellStyle name="Вычисление 7 39 2" xfId="7500" xr:uid="{00000000-0005-0000-0000-000056130000}"/>
    <cellStyle name="Вычисление 7 4" xfId="2987" xr:uid="{00000000-0005-0000-0000-000057130000}"/>
    <cellStyle name="Вычисление 7 4 2" xfId="2988" xr:uid="{00000000-0005-0000-0000-000058130000}"/>
    <cellStyle name="Вычисление 7 4 2 2" xfId="7501" xr:uid="{00000000-0005-0000-0000-000059130000}"/>
    <cellStyle name="Вычисление 7 4 3" xfId="2989" xr:uid="{00000000-0005-0000-0000-00005A130000}"/>
    <cellStyle name="Вычисление 7 4 3 2" xfId="7502" xr:uid="{00000000-0005-0000-0000-00005B130000}"/>
    <cellStyle name="Вычисление 7 4 4" xfId="7503" xr:uid="{00000000-0005-0000-0000-00005C130000}"/>
    <cellStyle name="Вычисление 7 40" xfId="2990" xr:uid="{00000000-0005-0000-0000-00005D130000}"/>
    <cellStyle name="Вычисление 7 40 2" xfId="7504" xr:uid="{00000000-0005-0000-0000-00005E130000}"/>
    <cellStyle name="Вычисление 7 41" xfId="2991" xr:uid="{00000000-0005-0000-0000-00005F130000}"/>
    <cellStyle name="Вычисление 7 41 2" xfId="7505" xr:uid="{00000000-0005-0000-0000-000060130000}"/>
    <cellStyle name="Вычисление 7 42" xfId="2992" xr:uid="{00000000-0005-0000-0000-000061130000}"/>
    <cellStyle name="Вычисление 7 42 2" xfId="7506" xr:uid="{00000000-0005-0000-0000-000062130000}"/>
    <cellStyle name="Вычисление 7 43" xfId="2993" xr:uid="{00000000-0005-0000-0000-000063130000}"/>
    <cellStyle name="Вычисление 7 43 2" xfId="7507" xr:uid="{00000000-0005-0000-0000-000064130000}"/>
    <cellStyle name="Вычисление 7 44" xfId="2994" xr:uid="{00000000-0005-0000-0000-000065130000}"/>
    <cellStyle name="Вычисление 7 44 2" xfId="7508" xr:uid="{00000000-0005-0000-0000-000066130000}"/>
    <cellStyle name="Вычисление 7 45" xfId="2995" xr:uid="{00000000-0005-0000-0000-000067130000}"/>
    <cellStyle name="Вычисление 7 45 2" xfId="7509" xr:uid="{00000000-0005-0000-0000-000068130000}"/>
    <cellStyle name="Вычисление 7 46" xfId="2996" xr:uid="{00000000-0005-0000-0000-000069130000}"/>
    <cellStyle name="Вычисление 7 46 2" xfId="7510" xr:uid="{00000000-0005-0000-0000-00006A130000}"/>
    <cellStyle name="Вычисление 7 47" xfId="2997" xr:uid="{00000000-0005-0000-0000-00006B130000}"/>
    <cellStyle name="Вычисление 7 47 2" xfId="7511" xr:uid="{00000000-0005-0000-0000-00006C130000}"/>
    <cellStyle name="Вычисление 7 48" xfId="2998" xr:uid="{00000000-0005-0000-0000-00006D130000}"/>
    <cellStyle name="Вычисление 7 48 2" xfId="7512" xr:uid="{00000000-0005-0000-0000-00006E130000}"/>
    <cellStyle name="Вычисление 7 49" xfId="2999" xr:uid="{00000000-0005-0000-0000-00006F130000}"/>
    <cellStyle name="Вычисление 7 49 2" xfId="7513" xr:uid="{00000000-0005-0000-0000-000070130000}"/>
    <cellStyle name="Вычисление 7 5" xfId="3000" xr:uid="{00000000-0005-0000-0000-000071130000}"/>
    <cellStyle name="Вычисление 7 5 2" xfId="7514" xr:uid="{00000000-0005-0000-0000-000072130000}"/>
    <cellStyle name="Вычисление 7 50" xfId="3001" xr:uid="{00000000-0005-0000-0000-000073130000}"/>
    <cellStyle name="Вычисление 7 50 2" xfId="7515" xr:uid="{00000000-0005-0000-0000-000074130000}"/>
    <cellStyle name="Вычисление 7 51" xfId="3002" xr:uid="{00000000-0005-0000-0000-000075130000}"/>
    <cellStyle name="Вычисление 7 51 2" xfId="7516" xr:uid="{00000000-0005-0000-0000-000076130000}"/>
    <cellStyle name="Вычисление 7 52" xfId="3003" xr:uid="{00000000-0005-0000-0000-000077130000}"/>
    <cellStyle name="Вычисление 7 52 2" xfId="7517" xr:uid="{00000000-0005-0000-0000-000078130000}"/>
    <cellStyle name="Вычисление 7 53" xfId="3004" xr:uid="{00000000-0005-0000-0000-000079130000}"/>
    <cellStyle name="Вычисление 7 53 2" xfId="7518" xr:uid="{00000000-0005-0000-0000-00007A130000}"/>
    <cellStyle name="Вычисление 7 54" xfId="3005" xr:uid="{00000000-0005-0000-0000-00007B130000}"/>
    <cellStyle name="Вычисление 7 54 2" xfId="7519" xr:uid="{00000000-0005-0000-0000-00007C130000}"/>
    <cellStyle name="Вычисление 7 55" xfId="3006" xr:uid="{00000000-0005-0000-0000-00007D130000}"/>
    <cellStyle name="Вычисление 7 55 2" xfId="7520" xr:uid="{00000000-0005-0000-0000-00007E130000}"/>
    <cellStyle name="Вычисление 7 56" xfId="3007" xr:uid="{00000000-0005-0000-0000-00007F130000}"/>
    <cellStyle name="Вычисление 7 56 2" xfId="7521" xr:uid="{00000000-0005-0000-0000-000080130000}"/>
    <cellStyle name="Вычисление 7 57" xfId="3008" xr:uid="{00000000-0005-0000-0000-000081130000}"/>
    <cellStyle name="Вычисление 7 57 2" xfId="7522" xr:uid="{00000000-0005-0000-0000-000082130000}"/>
    <cellStyle name="Вычисление 7 58" xfId="3009" xr:uid="{00000000-0005-0000-0000-000083130000}"/>
    <cellStyle name="Вычисление 7 58 2" xfId="7523" xr:uid="{00000000-0005-0000-0000-000084130000}"/>
    <cellStyle name="Вычисление 7 59" xfId="3010" xr:uid="{00000000-0005-0000-0000-000085130000}"/>
    <cellStyle name="Вычисление 7 59 2" xfId="7524" xr:uid="{00000000-0005-0000-0000-000086130000}"/>
    <cellStyle name="Вычисление 7 6" xfId="3011" xr:uid="{00000000-0005-0000-0000-000087130000}"/>
    <cellStyle name="Вычисление 7 6 2" xfId="7525" xr:uid="{00000000-0005-0000-0000-000088130000}"/>
    <cellStyle name="Вычисление 7 60" xfId="3012" xr:uid="{00000000-0005-0000-0000-000089130000}"/>
    <cellStyle name="Вычисление 7 60 2" xfId="7526" xr:uid="{00000000-0005-0000-0000-00008A130000}"/>
    <cellStyle name="Вычисление 7 61" xfId="3013" xr:uid="{00000000-0005-0000-0000-00008B130000}"/>
    <cellStyle name="Вычисление 7 61 2" xfId="7527" xr:uid="{00000000-0005-0000-0000-00008C130000}"/>
    <cellStyle name="Вычисление 7 62" xfId="3014" xr:uid="{00000000-0005-0000-0000-00008D130000}"/>
    <cellStyle name="Вычисление 7 62 2" xfId="7528" xr:uid="{00000000-0005-0000-0000-00008E130000}"/>
    <cellStyle name="Вычисление 7 63" xfId="3015" xr:uid="{00000000-0005-0000-0000-00008F130000}"/>
    <cellStyle name="Вычисление 7 63 2" xfId="7529" xr:uid="{00000000-0005-0000-0000-000090130000}"/>
    <cellStyle name="Вычисление 7 64" xfId="3016" xr:uid="{00000000-0005-0000-0000-000091130000}"/>
    <cellStyle name="Вычисление 7 64 2" xfId="7530" xr:uid="{00000000-0005-0000-0000-000092130000}"/>
    <cellStyle name="Вычисление 7 65" xfId="3017" xr:uid="{00000000-0005-0000-0000-000093130000}"/>
    <cellStyle name="Вычисление 7 65 2" xfId="7531" xr:uid="{00000000-0005-0000-0000-000094130000}"/>
    <cellStyle name="Вычисление 7 66" xfId="3018" xr:uid="{00000000-0005-0000-0000-000095130000}"/>
    <cellStyle name="Вычисление 7 66 2" xfId="7532" xr:uid="{00000000-0005-0000-0000-000096130000}"/>
    <cellStyle name="Вычисление 7 67" xfId="3019" xr:uid="{00000000-0005-0000-0000-000097130000}"/>
    <cellStyle name="Вычисление 7 67 2" xfId="7533" xr:uid="{00000000-0005-0000-0000-000098130000}"/>
    <cellStyle name="Вычисление 7 68" xfId="3020" xr:uid="{00000000-0005-0000-0000-000099130000}"/>
    <cellStyle name="Вычисление 7 68 2" xfId="7534" xr:uid="{00000000-0005-0000-0000-00009A130000}"/>
    <cellStyle name="Вычисление 7 69" xfId="3021" xr:uid="{00000000-0005-0000-0000-00009B130000}"/>
    <cellStyle name="Вычисление 7 69 2" xfId="7535" xr:uid="{00000000-0005-0000-0000-00009C130000}"/>
    <cellStyle name="Вычисление 7 7" xfId="3022" xr:uid="{00000000-0005-0000-0000-00009D130000}"/>
    <cellStyle name="Вычисление 7 7 2" xfId="7536" xr:uid="{00000000-0005-0000-0000-00009E130000}"/>
    <cellStyle name="Вычисление 7 70" xfId="3023" xr:uid="{00000000-0005-0000-0000-00009F130000}"/>
    <cellStyle name="Вычисление 7 70 2" xfId="7537" xr:uid="{00000000-0005-0000-0000-0000A0130000}"/>
    <cellStyle name="Вычисление 7 71" xfId="3024" xr:uid="{00000000-0005-0000-0000-0000A1130000}"/>
    <cellStyle name="Вычисление 7 71 2" xfId="7538" xr:uid="{00000000-0005-0000-0000-0000A2130000}"/>
    <cellStyle name="Вычисление 7 72" xfId="3025" xr:uid="{00000000-0005-0000-0000-0000A3130000}"/>
    <cellStyle name="Вычисление 7 72 2" xfId="7539" xr:uid="{00000000-0005-0000-0000-0000A4130000}"/>
    <cellStyle name="Вычисление 7 73" xfId="3026" xr:uid="{00000000-0005-0000-0000-0000A5130000}"/>
    <cellStyle name="Вычисление 7 73 2" xfId="7540" xr:uid="{00000000-0005-0000-0000-0000A6130000}"/>
    <cellStyle name="Вычисление 7 74" xfId="3027" xr:uid="{00000000-0005-0000-0000-0000A7130000}"/>
    <cellStyle name="Вычисление 7 74 2" xfId="7541" xr:uid="{00000000-0005-0000-0000-0000A8130000}"/>
    <cellStyle name="Вычисление 7 75" xfId="3028" xr:uid="{00000000-0005-0000-0000-0000A9130000}"/>
    <cellStyle name="Вычисление 7 75 2" xfId="7542" xr:uid="{00000000-0005-0000-0000-0000AA130000}"/>
    <cellStyle name="Вычисление 7 76" xfId="3029" xr:uid="{00000000-0005-0000-0000-0000AB130000}"/>
    <cellStyle name="Вычисление 7 76 2" xfId="7543" xr:uid="{00000000-0005-0000-0000-0000AC130000}"/>
    <cellStyle name="Вычисление 7 77" xfId="3030" xr:uid="{00000000-0005-0000-0000-0000AD130000}"/>
    <cellStyle name="Вычисление 7 77 2" xfId="7544" xr:uid="{00000000-0005-0000-0000-0000AE130000}"/>
    <cellStyle name="Вычисление 7 78" xfId="3031" xr:uid="{00000000-0005-0000-0000-0000AF130000}"/>
    <cellStyle name="Вычисление 7 78 2" xfId="7545" xr:uid="{00000000-0005-0000-0000-0000B0130000}"/>
    <cellStyle name="Вычисление 7 79" xfId="3032" xr:uid="{00000000-0005-0000-0000-0000B1130000}"/>
    <cellStyle name="Вычисление 7 79 2" xfId="7546" xr:uid="{00000000-0005-0000-0000-0000B2130000}"/>
    <cellStyle name="Вычисление 7 8" xfId="3033" xr:uid="{00000000-0005-0000-0000-0000B3130000}"/>
    <cellStyle name="Вычисление 7 8 2" xfId="7547" xr:uid="{00000000-0005-0000-0000-0000B4130000}"/>
    <cellStyle name="Вычисление 7 80" xfId="3034" xr:uid="{00000000-0005-0000-0000-0000B5130000}"/>
    <cellStyle name="Вычисление 7 80 2" xfId="7548" xr:uid="{00000000-0005-0000-0000-0000B6130000}"/>
    <cellStyle name="Вычисление 7 81" xfId="3035" xr:uid="{00000000-0005-0000-0000-0000B7130000}"/>
    <cellStyle name="Вычисление 7 81 2" xfId="7549" xr:uid="{00000000-0005-0000-0000-0000B8130000}"/>
    <cellStyle name="Вычисление 7 82" xfId="3036" xr:uid="{00000000-0005-0000-0000-0000B9130000}"/>
    <cellStyle name="Вычисление 7 82 2" xfId="7550" xr:uid="{00000000-0005-0000-0000-0000BA130000}"/>
    <cellStyle name="Вычисление 7 83" xfId="3037" xr:uid="{00000000-0005-0000-0000-0000BB130000}"/>
    <cellStyle name="Вычисление 7 83 2" xfId="7551" xr:uid="{00000000-0005-0000-0000-0000BC130000}"/>
    <cellStyle name="Вычисление 7 84" xfId="3038" xr:uid="{00000000-0005-0000-0000-0000BD130000}"/>
    <cellStyle name="Вычисление 7 84 2" xfId="7552" xr:uid="{00000000-0005-0000-0000-0000BE130000}"/>
    <cellStyle name="Вычисление 7 85" xfId="3039" xr:uid="{00000000-0005-0000-0000-0000BF130000}"/>
    <cellStyle name="Вычисление 7 85 2" xfId="7553" xr:uid="{00000000-0005-0000-0000-0000C0130000}"/>
    <cellStyle name="Вычисление 7 86" xfId="3040" xr:uid="{00000000-0005-0000-0000-0000C1130000}"/>
    <cellStyle name="Вычисление 7 86 2" xfId="7554" xr:uid="{00000000-0005-0000-0000-0000C2130000}"/>
    <cellStyle name="Вычисление 7 87" xfId="3041" xr:uid="{00000000-0005-0000-0000-0000C3130000}"/>
    <cellStyle name="Вычисление 7 87 2" xfId="7555" xr:uid="{00000000-0005-0000-0000-0000C4130000}"/>
    <cellStyle name="Вычисление 7 88" xfId="3042" xr:uid="{00000000-0005-0000-0000-0000C5130000}"/>
    <cellStyle name="Вычисление 7 88 2" xfId="7556" xr:uid="{00000000-0005-0000-0000-0000C6130000}"/>
    <cellStyle name="Вычисление 7 89" xfId="3043" xr:uid="{00000000-0005-0000-0000-0000C7130000}"/>
    <cellStyle name="Вычисление 7 89 2" xfId="7557" xr:uid="{00000000-0005-0000-0000-0000C8130000}"/>
    <cellStyle name="Вычисление 7 9" xfId="3044" xr:uid="{00000000-0005-0000-0000-0000C9130000}"/>
    <cellStyle name="Вычисление 7 9 2" xfId="7558" xr:uid="{00000000-0005-0000-0000-0000CA130000}"/>
    <cellStyle name="Вычисление 7 90" xfId="3045" xr:uid="{00000000-0005-0000-0000-0000CB130000}"/>
    <cellStyle name="Вычисление 7 90 2" xfId="7559" xr:uid="{00000000-0005-0000-0000-0000CC130000}"/>
    <cellStyle name="Вычисление 7 91" xfId="3046" xr:uid="{00000000-0005-0000-0000-0000CD130000}"/>
    <cellStyle name="Вычисление 7 91 2" xfId="7560" xr:uid="{00000000-0005-0000-0000-0000CE130000}"/>
    <cellStyle name="Вычисление 7 92" xfId="7561" xr:uid="{00000000-0005-0000-0000-0000CF130000}"/>
    <cellStyle name="Вычисление 8" xfId="251" xr:uid="{00000000-0005-0000-0000-0000D0130000}"/>
    <cellStyle name="Вычисление 8 10" xfId="3047" xr:uid="{00000000-0005-0000-0000-0000D1130000}"/>
    <cellStyle name="Вычисление 8 10 2" xfId="7562" xr:uid="{00000000-0005-0000-0000-0000D2130000}"/>
    <cellStyle name="Вычисление 8 11" xfId="3048" xr:uid="{00000000-0005-0000-0000-0000D3130000}"/>
    <cellStyle name="Вычисление 8 11 2" xfId="7563" xr:uid="{00000000-0005-0000-0000-0000D4130000}"/>
    <cellStyle name="Вычисление 8 12" xfId="3049" xr:uid="{00000000-0005-0000-0000-0000D5130000}"/>
    <cellStyle name="Вычисление 8 12 2" xfId="7564" xr:uid="{00000000-0005-0000-0000-0000D6130000}"/>
    <cellStyle name="Вычисление 8 13" xfId="3050" xr:uid="{00000000-0005-0000-0000-0000D7130000}"/>
    <cellStyle name="Вычисление 8 13 2" xfId="7565" xr:uid="{00000000-0005-0000-0000-0000D8130000}"/>
    <cellStyle name="Вычисление 8 14" xfId="3051" xr:uid="{00000000-0005-0000-0000-0000D9130000}"/>
    <cellStyle name="Вычисление 8 14 2" xfId="7566" xr:uid="{00000000-0005-0000-0000-0000DA130000}"/>
    <cellStyle name="Вычисление 8 15" xfId="3052" xr:uid="{00000000-0005-0000-0000-0000DB130000}"/>
    <cellStyle name="Вычисление 8 15 2" xfId="7567" xr:uid="{00000000-0005-0000-0000-0000DC130000}"/>
    <cellStyle name="Вычисление 8 16" xfId="3053" xr:uid="{00000000-0005-0000-0000-0000DD130000}"/>
    <cellStyle name="Вычисление 8 16 2" xfId="7568" xr:uid="{00000000-0005-0000-0000-0000DE130000}"/>
    <cellStyle name="Вычисление 8 17" xfId="3054" xr:uid="{00000000-0005-0000-0000-0000DF130000}"/>
    <cellStyle name="Вычисление 8 17 2" xfId="7569" xr:uid="{00000000-0005-0000-0000-0000E0130000}"/>
    <cellStyle name="Вычисление 8 18" xfId="3055" xr:uid="{00000000-0005-0000-0000-0000E1130000}"/>
    <cellStyle name="Вычисление 8 18 2" xfId="7570" xr:uid="{00000000-0005-0000-0000-0000E2130000}"/>
    <cellStyle name="Вычисление 8 19" xfId="3056" xr:uid="{00000000-0005-0000-0000-0000E3130000}"/>
    <cellStyle name="Вычисление 8 19 2" xfId="7571" xr:uid="{00000000-0005-0000-0000-0000E4130000}"/>
    <cellStyle name="Вычисление 8 2" xfId="3057" xr:uid="{00000000-0005-0000-0000-0000E5130000}"/>
    <cellStyle name="Вычисление 8 2 2" xfId="3058" xr:uid="{00000000-0005-0000-0000-0000E6130000}"/>
    <cellStyle name="Вычисление 8 2 2 2" xfId="7572" xr:uid="{00000000-0005-0000-0000-0000E7130000}"/>
    <cellStyle name="Вычисление 8 2 3" xfId="3059" xr:uid="{00000000-0005-0000-0000-0000E8130000}"/>
    <cellStyle name="Вычисление 8 2 3 2" xfId="7573" xr:uid="{00000000-0005-0000-0000-0000E9130000}"/>
    <cellStyle name="Вычисление 8 2 4" xfId="7574" xr:uid="{00000000-0005-0000-0000-0000EA130000}"/>
    <cellStyle name="Вычисление 8 20" xfId="3060" xr:uid="{00000000-0005-0000-0000-0000EB130000}"/>
    <cellStyle name="Вычисление 8 20 2" xfId="7575" xr:uid="{00000000-0005-0000-0000-0000EC130000}"/>
    <cellStyle name="Вычисление 8 21" xfId="3061" xr:uid="{00000000-0005-0000-0000-0000ED130000}"/>
    <cellStyle name="Вычисление 8 21 2" xfId="7576" xr:uid="{00000000-0005-0000-0000-0000EE130000}"/>
    <cellStyle name="Вычисление 8 22" xfId="3062" xr:uid="{00000000-0005-0000-0000-0000EF130000}"/>
    <cellStyle name="Вычисление 8 22 2" xfId="7577" xr:uid="{00000000-0005-0000-0000-0000F0130000}"/>
    <cellStyle name="Вычисление 8 23" xfId="3063" xr:uid="{00000000-0005-0000-0000-0000F1130000}"/>
    <cellStyle name="Вычисление 8 23 2" xfId="7578" xr:uid="{00000000-0005-0000-0000-0000F2130000}"/>
    <cellStyle name="Вычисление 8 24" xfId="3064" xr:uid="{00000000-0005-0000-0000-0000F3130000}"/>
    <cellStyle name="Вычисление 8 24 2" xfId="7579" xr:uid="{00000000-0005-0000-0000-0000F4130000}"/>
    <cellStyle name="Вычисление 8 25" xfId="3065" xr:uid="{00000000-0005-0000-0000-0000F5130000}"/>
    <cellStyle name="Вычисление 8 25 2" xfId="7580" xr:uid="{00000000-0005-0000-0000-0000F6130000}"/>
    <cellStyle name="Вычисление 8 26" xfId="3066" xr:uid="{00000000-0005-0000-0000-0000F7130000}"/>
    <cellStyle name="Вычисление 8 26 2" xfId="7581" xr:uid="{00000000-0005-0000-0000-0000F8130000}"/>
    <cellStyle name="Вычисление 8 27" xfId="3067" xr:uid="{00000000-0005-0000-0000-0000F9130000}"/>
    <cellStyle name="Вычисление 8 27 2" xfId="7582" xr:uid="{00000000-0005-0000-0000-0000FA130000}"/>
    <cellStyle name="Вычисление 8 28" xfId="3068" xr:uid="{00000000-0005-0000-0000-0000FB130000}"/>
    <cellStyle name="Вычисление 8 28 2" xfId="7583" xr:uid="{00000000-0005-0000-0000-0000FC130000}"/>
    <cellStyle name="Вычисление 8 29" xfId="3069" xr:uid="{00000000-0005-0000-0000-0000FD130000}"/>
    <cellStyle name="Вычисление 8 29 2" xfId="7584" xr:uid="{00000000-0005-0000-0000-0000FE130000}"/>
    <cellStyle name="Вычисление 8 3" xfId="3070" xr:uid="{00000000-0005-0000-0000-0000FF130000}"/>
    <cellStyle name="Вычисление 8 3 2" xfId="3071" xr:uid="{00000000-0005-0000-0000-000000140000}"/>
    <cellStyle name="Вычисление 8 3 2 2" xfId="7585" xr:uid="{00000000-0005-0000-0000-000001140000}"/>
    <cellStyle name="Вычисление 8 3 3" xfId="3072" xr:uid="{00000000-0005-0000-0000-000002140000}"/>
    <cellStyle name="Вычисление 8 3 3 2" xfId="7586" xr:uid="{00000000-0005-0000-0000-000003140000}"/>
    <cellStyle name="Вычисление 8 3 4" xfId="7587" xr:uid="{00000000-0005-0000-0000-000004140000}"/>
    <cellStyle name="Вычисление 8 30" xfId="3073" xr:uid="{00000000-0005-0000-0000-000005140000}"/>
    <cellStyle name="Вычисление 8 30 2" xfId="7588" xr:uid="{00000000-0005-0000-0000-000006140000}"/>
    <cellStyle name="Вычисление 8 31" xfId="3074" xr:uid="{00000000-0005-0000-0000-000007140000}"/>
    <cellStyle name="Вычисление 8 31 2" xfId="7589" xr:uid="{00000000-0005-0000-0000-000008140000}"/>
    <cellStyle name="Вычисление 8 32" xfId="3075" xr:uid="{00000000-0005-0000-0000-000009140000}"/>
    <cellStyle name="Вычисление 8 32 2" xfId="7590" xr:uid="{00000000-0005-0000-0000-00000A140000}"/>
    <cellStyle name="Вычисление 8 33" xfId="3076" xr:uid="{00000000-0005-0000-0000-00000B140000}"/>
    <cellStyle name="Вычисление 8 33 2" xfId="7591" xr:uid="{00000000-0005-0000-0000-00000C140000}"/>
    <cellStyle name="Вычисление 8 34" xfId="3077" xr:uid="{00000000-0005-0000-0000-00000D140000}"/>
    <cellStyle name="Вычисление 8 34 2" xfId="7592" xr:uid="{00000000-0005-0000-0000-00000E140000}"/>
    <cellStyle name="Вычисление 8 35" xfId="3078" xr:uid="{00000000-0005-0000-0000-00000F140000}"/>
    <cellStyle name="Вычисление 8 35 2" xfId="7593" xr:uid="{00000000-0005-0000-0000-000010140000}"/>
    <cellStyle name="Вычисление 8 36" xfId="3079" xr:uid="{00000000-0005-0000-0000-000011140000}"/>
    <cellStyle name="Вычисление 8 36 2" xfId="7594" xr:uid="{00000000-0005-0000-0000-000012140000}"/>
    <cellStyle name="Вычисление 8 37" xfId="3080" xr:uid="{00000000-0005-0000-0000-000013140000}"/>
    <cellStyle name="Вычисление 8 37 2" xfId="7595" xr:uid="{00000000-0005-0000-0000-000014140000}"/>
    <cellStyle name="Вычисление 8 38" xfId="3081" xr:uid="{00000000-0005-0000-0000-000015140000}"/>
    <cellStyle name="Вычисление 8 38 2" xfId="7596" xr:uid="{00000000-0005-0000-0000-000016140000}"/>
    <cellStyle name="Вычисление 8 39" xfId="3082" xr:uid="{00000000-0005-0000-0000-000017140000}"/>
    <cellStyle name="Вычисление 8 39 2" xfId="7597" xr:uid="{00000000-0005-0000-0000-000018140000}"/>
    <cellStyle name="Вычисление 8 4" xfId="3083" xr:uid="{00000000-0005-0000-0000-000019140000}"/>
    <cellStyle name="Вычисление 8 4 2" xfId="3084" xr:uid="{00000000-0005-0000-0000-00001A140000}"/>
    <cellStyle name="Вычисление 8 4 2 2" xfId="7598" xr:uid="{00000000-0005-0000-0000-00001B140000}"/>
    <cellStyle name="Вычисление 8 4 3" xfId="3085" xr:uid="{00000000-0005-0000-0000-00001C140000}"/>
    <cellStyle name="Вычисление 8 4 3 2" xfId="7599" xr:uid="{00000000-0005-0000-0000-00001D140000}"/>
    <cellStyle name="Вычисление 8 4 4" xfId="7600" xr:uid="{00000000-0005-0000-0000-00001E140000}"/>
    <cellStyle name="Вычисление 8 40" xfId="3086" xr:uid="{00000000-0005-0000-0000-00001F140000}"/>
    <cellStyle name="Вычисление 8 40 2" xfId="7601" xr:uid="{00000000-0005-0000-0000-000020140000}"/>
    <cellStyle name="Вычисление 8 41" xfId="3087" xr:uid="{00000000-0005-0000-0000-000021140000}"/>
    <cellStyle name="Вычисление 8 41 2" xfId="7602" xr:uid="{00000000-0005-0000-0000-000022140000}"/>
    <cellStyle name="Вычисление 8 42" xfId="3088" xr:uid="{00000000-0005-0000-0000-000023140000}"/>
    <cellStyle name="Вычисление 8 42 2" xfId="7603" xr:uid="{00000000-0005-0000-0000-000024140000}"/>
    <cellStyle name="Вычисление 8 43" xfId="3089" xr:uid="{00000000-0005-0000-0000-000025140000}"/>
    <cellStyle name="Вычисление 8 43 2" xfId="7604" xr:uid="{00000000-0005-0000-0000-000026140000}"/>
    <cellStyle name="Вычисление 8 44" xfId="3090" xr:uid="{00000000-0005-0000-0000-000027140000}"/>
    <cellStyle name="Вычисление 8 44 2" xfId="7605" xr:uid="{00000000-0005-0000-0000-000028140000}"/>
    <cellStyle name="Вычисление 8 45" xfId="3091" xr:uid="{00000000-0005-0000-0000-000029140000}"/>
    <cellStyle name="Вычисление 8 45 2" xfId="7606" xr:uid="{00000000-0005-0000-0000-00002A140000}"/>
    <cellStyle name="Вычисление 8 46" xfId="3092" xr:uid="{00000000-0005-0000-0000-00002B140000}"/>
    <cellStyle name="Вычисление 8 46 2" xfId="7607" xr:uid="{00000000-0005-0000-0000-00002C140000}"/>
    <cellStyle name="Вычисление 8 47" xfId="3093" xr:uid="{00000000-0005-0000-0000-00002D140000}"/>
    <cellStyle name="Вычисление 8 47 2" xfId="7608" xr:uid="{00000000-0005-0000-0000-00002E140000}"/>
    <cellStyle name="Вычисление 8 48" xfId="3094" xr:uid="{00000000-0005-0000-0000-00002F140000}"/>
    <cellStyle name="Вычисление 8 48 2" xfId="7609" xr:uid="{00000000-0005-0000-0000-000030140000}"/>
    <cellStyle name="Вычисление 8 49" xfId="3095" xr:uid="{00000000-0005-0000-0000-000031140000}"/>
    <cellStyle name="Вычисление 8 49 2" xfId="7610" xr:uid="{00000000-0005-0000-0000-000032140000}"/>
    <cellStyle name="Вычисление 8 5" xfId="3096" xr:uid="{00000000-0005-0000-0000-000033140000}"/>
    <cellStyle name="Вычисление 8 5 2" xfId="7611" xr:uid="{00000000-0005-0000-0000-000034140000}"/>
    <cellStyle name="Вычисление 8 50" xfId="3097" xr:uid="{00000000-0005-0000-0000-000035140000}"/>
    <cellStyle name="Вычисление 8 50 2" xfId="7612" xr:uid="{00000000-0005-0000-0000-000036140000}"/>
    <cellStyle name="Вычисление 8 51" xfId="3098" xr:uid="{00000000-0005-0000-0000-000037140000}"/>
    <cellStyle name="Вычисление 8 51 2" xfId="7613" xr:uid="{00000000-0005-0000-0000-000038140000}"/>
    <cellStyle name="Вычисление 8 52" xfId="3099" xr:uid="{00000000-0005-0000-0000-000039140000}"/>
    <cellStyle name="Вычисление 8 52 2" xfId="7614" xr:uid="{00000000-0005-0000-0000-00003A140000}"/>
    <cellStyle name="Вычисление 8 53" xfId="3100" xr:uid="{00000000-0005-0000-0000-00003B140000}"/>
    <cellStyle name="Вычисление 8 53 2" xfId="7615" xr:uid="{00000000-0005-0000-0000-00003C140000}"/>
    <cellStyle name="Вычисление 8 54" xfId="3101" xr:uid="{00000000-0005-0000-0000-00003D140000}"/>
    <cellStyle name="Вычисление 8 54 2" xfId="7616" xr:uid="{00000000-0005-0000-0000-00003E140000}"/>
    <cellStyle name="Вычисление 8 55" xfId="3102" xr:uid="{00000000-0005-0000-0000-00003F140000}"/>
    <cellStyle name="Вычисление 8 55 2" xfId="7617" xr:uid="{00000000-0005-0000-0000-000040140000}"/>
    <cellStyle name="Вычисление 8 56" xfId="3103" xr:uid="{00000000-0005-0000-0000-000041140000}"/>
    <cellStyle name="Вычисление 8 56 2" xfId="7618" xr:uid="{00000000-0005-0000-0000-000042140000}"/>
    <cellStyle name="Вычисление 8 57" xfId="3104" xr:uid="{00000000-0005-0000-0000-000043140000}"/>
    <cellStyle name="Вычисление 8 57 2" xfId="7619" xr:uid="{00000000-0005-0000-0000-000044140000}"/>
    <cellStyle name="Вычисление 8 58" xfId="3105" xr:uid="{00000000-0005-0000-0000-000045140000}"/>
    <cellStyle name="Вычисление 8 58 2" xfId="7620" xr:uid="{00000000-0005-0000-0000-000046140000}"/>
    <cellStyle name="Вычисление 8 59" xfId="3106" xr:uid="{00000000-0005-0000-0000-000047140000}"/>
    <cellStyle name="Вычисление 8 59 2" xfId="7621" xr:uid="{00000000-0005-0000-0000-000048140000}"/>
    <cellStyle name="Вычисление 8 6" xfId="3107" xr:uid="{00000000-0005-0000-0000-000049140000}"/>
    <cellStyle name="Вычисление 8 6 2" xfId="7622" xr:uid="{00000000-0005-0000-0000-00004A140000}"/>
    <cellStyle name="Вычисление 8 60" xfId="3108" xr:uid="{00000000-0005-0000-0000-00004B140000}"/>
    <cellStyle name="Вычисление 8 60 2" xfId="7623" xr:uid="{00000000-0005-0000-0000-00004C140000}"/>
    <cellStyle name="Вычисление 8 61" xfId="3109" xr:uid="{00000000-0005-0000-0000-00004D140000}"/>
    <cellStyle name="Вычисление 8 61 2" xfId="7624" xr:uid="{00000000-0005-0000-0000-00004E140000}"/>
    <cellStyle name="Вычисление 8 62" xfId="3110" xr:uid="{00000000-0005-0000-0000-00004F140000}"/>
    <cellStyle name="Вычисление 8 62 2" xfId="7625" xr:uid="{00000000-0005-0000-0000-000050140000}"/>
    <cellStyle name="Вычисление 8 63" xfId="3111" xr:uid="{00000000-0005-0000-0000-000051140000}"/>
    <cellStyle name="Вычисление 8 63 2" xfId="7626" xr:uid="{00000000-0005-0000-0000-000052140000}"/>
    <cellStyle name="Вычисление 8 64" xfId="3112" xr:uid="{00000000-0005-0000-0000-000053140000}"/>
    <cellStyle name="Вычисление 8 64 2" xfId="7627" xr:uid="{00000000-0005-0000-0000-000054140000}"/>
    <cellStyle name="Вычисление 8 65" xfId="3113" xr:uid="{00000000-0005-0000-0000-000055140000}"/>
    <cellStyle name="Вычисление 8 65 2" xfId="7628" xr:uid="{00000000-0005-0000-0000-000056140000}"/>
    <cellStyle name="Вычисление 8 66" xfId="3114" xr:uid="{00000000-0005-0000-0000-000057140000}"/>
    <cellStyle name="Вычисление 8 66 2" xfId="7629" xr:uid="{00000000-0005-0000-0000-000058140000}"/>
    <cellStyle name="Вычисление 8 67" xfId="3115" xr:uid="{00000000-0005-0000-0000-000059140000}"/>
    <cellStyle name="Вычисление 8 67 2" xfId="7630" xr:uid="{00000000-0005-0000-0000-00005A140000}"/>
    <cellStyle name="Вычисление 8 68" xfId="3116" xr:uid="{00000000-0005-0000-0000-00005B140000}"/>
    <cellStyle name="Вычисление 8 68 2" xfId="7631" xr:uid="{00000000-0005-0000-0000-00005C140000}"/>
    <cellStyle name="Вычисление 8 69" xfId="3117" xr:uid="{00000000-0005-0000-0000-00005D140000}"/>
    <cellStyle name="Вычисление 8 69 2" xfId="7632" xr:uid="{00000000-0005-0000-0000-00005E140000}"/>
    <cellStyle name="Вычисление 8 7" xfId="3118" xr:uid="{00000000-0005-0000-0000-00005F140000}"/>
    <cellStyle name="Вычисление 8 7 2" xfId="7633" xr:uid="{00000000-0005-0000-0000-000060140000}"/>
    <cellStyle name="Вычисление 8 70" xfId="3119" xr:uid="{00000000-0005-0000-0000-000061140000}"/>
    <cellStyle name="Вычисление 8 70 2" xfId="7634" xr:uid="{00000000-0005-0000-0000-000062140000}"/>
    <cellStyle name="Вычисление 8 71" xfId="3120" xr:uid="{00000000-0005-0000-0000-000063140000}"/>
    <cellStyle name="Вычисление 8 71 2" xfId="7635" xr:uid="{00000000-0005-0000-0000-000064140000}"/>
    <cellStyle name="Вычисление 8 72" xfId="3121" xr:uid="{00000000-0005-0000-0000-000065140000}"/>
    <cellStyle name="Вычисление 8 72 2" xfId="7636" xr:uid="{00000000-0005-0000-0000-000066140000}"/>
    <cellStyle name="Вычисление 8 73" xfId="3122" xr:uid="{00000000-0005-0000-0000-000067140000}"/>
    <cellStyle name="Вычисление 8 73 2" xfId="7637" xr:uid="{00000000-0005-0000-0000-000068140000}"/>
    <cellStyle name="Вычисление 8 74" xfId="3123" xr:uid="{00000000-0005-0000-0000-000069140000}"/>
    <cellStyle name="Вычисление 8 74 2" xfId="7638" xr:uid="{00000000-0005-0000-0000-00006A140000}"/>
    <cellStyle name="Вычисление 8 75" xfId="3124" xr:uid="{00000000-0005-0000-0000-00006B140000}"/>
    <cellStyle name="Вычисление 8 75 2" xfId="7639" xr:uid="{00000000-0005-0000-0000-00006C140000}"/>
    <cellStyle name="Вычисление 8 76" xfId="3125" xr:uid="{00000000-0005-0000-0000-00006D140000}"/>
    <cellStyle name="Вычисление 8 76 2" xfId="7640" xr:uid="{00000000-0005-0000-0000-00006E140000}"/>
    <cellStyle name="Вычисление 8 77" xfId="3126" xr:uid="{00000000-0005-0000-0000-00006F140000}"/>
    <cellStyle name="Вычисление 8 77 2" xfId="7641" xr:uid="{00000000-0005-0000-0000-000070140000}"/>
    <cellStyle name="Вычисление 8 78" xfId="3127" xr:uid="{00000000-0005-0000-0000-000071140000}"/>
    <cellStyle name="Вычисление 8 78 2" xfId="7642" xr:uid="{00000000-0005-0000-0000-000072140000}"/>
    <cellStyle name="Вычисление 8 79" xfId="3128" xr:uid="{00000000-0005-0000-0000-000073140000}"/>
    <cellStyle name="Вычисление 8 79 2" xfId="7643" xr:uid="{00000000-0005-0000-0000-000074140000}"/>
    <cellStyle name="Вычисление 8 8" xfId="3129" xr:uid="{00000000-0005-0000-0000-000075140000}"/>
    <cellStyle name="Вычисление 8 8 2" xfId="7644" xr:uid="{00000000-0005-0000-0000-000076140000}"/>
    <cellStyle name="Вычисление 8 80" xfId="3130" xr:uid="{00000000-0005-0000-0000-000077140000}"/>
    <cellStyle name="Вычисление 8 80 2" xfId="7645" xr:uid="{00000000-0005-0000-0000-000078140000}"/>
    <cellStyle name="Вычисление 8 81" xfId="3131" xr:uid="{00000000-0005-0000-0000-000079140000}"/>
    <cellStyle name="Вычисление 8 81 2" xfId="7646" xr:uid="{00000000-0005-0000-0000-00007A140000}"/>
    <cellStyle name="Вычисление 8 82" xfId="3132" xr:uid="{00000000-0005-0000-0000-00007B140000}"/>
    <cellStyle name="Вычисление 8 82 2" xfId="7647" xr:uid="{00000000-0005-0000-0000-00007C140000}"/>
    <cellStyle name="Вычисление 8 83" xfId="3133" xr:uid="{00000000-0005-0000-0000-00007D140000}"/>
    <cellStyle name="Вычисление 8 83 2" xfId="7648" xr:uid="{00000000-0005-0000-0000-00007E140000}"/>
    <cellStyle name="Вычисление 8 84" xfId="3134" xr:uid="{00000000-0005-0000-0000-00007F140000}"/>
    <cellStyle name="Вычисление 8 84 2" xfId="7649" xr:uid="{00000000-0005-0000-0000-000080140000}"/>
    <cellStyle name="Вычисление 8 85" xfId="3135" xr:uid="{00000000-0005-0000-0000-000081140000}"/>
    <cellStyle name="Вычисление 8 85 2" xfId="7650" xr:uid="{00000000-0005-0000-0000-000082140000}"/>
    <cellStyle name="Вычисление 8 86" xfId="3136" xr:uid="{00000000-0005-0000-0000-000083140000}"/>
    <cellStyle name="Вычисление 8 86 2" xfId="7651" xr:uid="{00000000-0005-0000-0000-000084140000}"/>
    <cellStyle name="Вычисление 8 87" xfId="3137" xr:uid="{00000000-0005-0000-0000-000085140000}"/>
    <cellStyle name="Вычисление 8 87 2" xfId="7652" xr:uid="{00000000-0005-0000-0000-000086140000}"/>
    <cellStyle name="Вычисление 8 88" xfId="3138" xr:uid="{00000000-0005-0000-0000-000087140000}"/>
    <cellStyle name="Вычисление 8 88 2" xfId="7653" xr:uid="{00000000-0005-0000-0000-000088140000}"/>
    <cellStyle name="Вычисление 8 89" xfId="3139" xr:uid="{00000000-0005-0000-0000-000089140000}"/>
    <cellStyle name="Вычисление 8 89 2" xfId="7654" xr:uid="{00000000-0005-0000-0000-00008A140000}"/>
    <cellStyle name="Вычисление 8 9" xfId="3140" xr:uid="{00000000-0005-0000-0000-00008B140000}"/>
    <cellStyle name="Вычисление 8 9 2" xfId="7655" xr:uid="{00000000-0005-0000-0000-00008C140000}"/>
    <cellStyle name="Вычисление 8 90" xfId="3141" xr:uid="{00000000-0005-0000-0000-00008D140000}"/>
    <cellStyle name="Вычисление 8 90 2" xfId="7656" xr:uid="{00000000-0005-0000-0000-00008E140000}"/>
    <cellStyle name="Вычисление 8 91" xfId="3142" xr:uid="{00000000-0005-0000-0000-00008F140000}"/>
    <cellStyle name="Вычисление 8 91 2" xfId="7657" xr:uid="{00000000-0005-0000-0000-000090140000}"/>
    <cellStyle name="Вычисление 8 92" xfId="7658" xr:uid="{00000000-0005-0000-0000-000091140000}"/>
    <cellStyle name="Вычисление 9" xfId="252" xr:uid="{00000000-0005-0000-0000-000092140000}"/>
    <cellStyle name="Вычисление 9 10" xfId="3143" xr:uid="{00000000-0005-0000-0000-000093140000}"/>
    <cellStyle name="Вычисление 9 10 2" xfId="7659" xr:uid="{00000000-0005-0000-0000-000094140000}"/>
    <cellStyle name="Вычисление 9 11" xfId="3144" xr:uid="{00000000-0005-0000-0000-000095140000}"/>
    <cellStyle name="Вычисление 9 11 2" xfId="7660" xr:uid="{00000000-0005-0000-0000-000096140000}"/>
    <cellStyle name="Вычисление 9 12" xfId="3145" xr:uid="{00000000-0005-0000-0000-000097140000}"/>
    <cellStyle name="Вычисление 9 12 2" xfId="7661" xr:uid="{00000000-0005-0000-0000-000098140000}"/>
    <cellStyle name="Вычисление 9 13" xfId="3146" xr:uid="{00000000-0005-0000-0000-000099140000}"/>
    <cellStyle name="Вычисление 9 13 2" xfId="7662" xr:uid="{00000000-0005-0000-0000-00009A140000}"/>
    <cellStyle name="Вычисление 9 14" xfId="3147" xr:uid="{00000000-0005-0000-0000-00009B140000}"/>
    <cellStyle name="Вычисление 9 14 2" xfId="7663" xr:uid="{00000000-0005-0000-0000-00009C140000}"/>
    <cellStyle name="Вычисление 9 15" xfId="3148" xr:uid="{00000000-0005-0000-0000-00009D140000}"/>
    <cellStyle name="Вычисление 9 15 2" xfId="7664" xr:uid="{00000000-0005-0000-0000-00009E140000}"/>
    <cellStyle name="Вычисление 9 16" xfId="3149" xr:uid="{00000000-0005-0000-0000-00009F140000}"/>
    <cellStyle name="Вычисление 9 16 2" xfId="7665" xr:uid="{00000000-0005-0000-0000-0000A0140000}"/>
    <cellStyle name="Вычисление 9 17" xfId="3150" xr:uid="{00000000-0005-0000-0000-0000A1140000}"/>
    <cellStyle name="Вычисление 9 17 2" xfId="7666" xr:uid="{00000000-0005-0000-0000-0000A2140000}"/>
    <cellStyle name="Вычисление 9 18" xfId="3151" xr:uid="{00000000-0005-0000-0000-0000A3140000}"/>
    <cellStyle name="Вычисление 9 18 2" xfId="7667" xr:uid="{00000000-0005-0000-0000-0000A4140000}"/>
    <cellStyle name="Вычисление 9 19" xfId="3152" xr:uid="{00000000-0005-0000-0000-0000A5140000}"/>
    <cellStyle name="Вычисление 9 19 2" xfId="7668" xr:uid="{00000000-0005-0000-0000-0000A6140000}"/>
    <cellStyle name="Вычисление 9 2" xfId="3153" xr:uid="{00000000-0005-0000-0000-0000A7140000}"/>
    <cellStyle name="Вычисление 9 2 2" xfId="3154" xr:uid="{00000000-0005-0000-0000-0000A8140000}"/>
    <cellStyle name="Вычисление 9 2 2 2" xfId="7669" xr:uid="{00000000-0005-0000-0000-0000A9140000}"/>
    <cellStyle name="Вычисление 9 2 3" xfId="3155" xr:uid="{00000000-0005-0000-0000-0000AA140000}"/>
    <cellStyle name="Вычисление 9 2 3 2" xfId="7670" xr:uid="{00000000-0005-0000-0000-0000AB140000}"/>
    <cellStyle name="Вычисление 9 2 4" xfId="7671" xr:uid="{00000000-0005-0000-0000-0000AC140000}"/>
    <cellStyle name="Вычисление 9 20" xfId="3156" xr:uid="{00000000-0005-0000-0000-0000AD140000}"/>
    <cellStyle name="Вычисление 9 20 2" xfId="7672" xr:uid="{00000000-0005-0000-0000-0000AE140000}"/>
    <cellStyle name="Вычисление 9 21" xfId="3157" xr:uid="{00000000-0005-0000-0000-0000AF140000}"/>
    <cellStyle name="Вычисление 9 21 2" xfId="7673" xr:uid="{00000000-0005-0000-0000-0000B0140000}"/>
    <cellStyle name="Вычисление 9 22" xfId="3158" xr:uid="{00000000-0005-0000-0000-0000B1140000}"/>
    <cellStyle name="Вычисление 9 22 2" xfId="7674" xr:uid="{00000000-0005-0000-0000-0000B2140000}"/>
    <cellStyle name="Вычисление 9 23" xfId="3159" xr:uid="{00000000-0005-0000-0000-0000B3140000}"/>
    <cellStyle name="Вычисление 9 23 2" xfId="7675" xr:uid="{00000000-0005-0000-0000-0000B4140000}"/>
    <cellStyle name="Вычисление 9 24" xfId="3160" xr:uid="{00000000-0005-0000-0000-0000B5140000}"/>
    <cellStyle name="Вычисление 9 24 2" xfId="7676" xr:uid="{00000000-0005-0000-0000-0000B6140000}"/>
    <cellStyle name="Вычисление 9 25" xfId="3161" xr:uid="{00000000-0005-0000-0000-0000B7140000}"/>
    <cellStyle name="Вычисление 9 25 2" xfId="7677" xr:uid="{00000000-0005-0000-0000-0000B8140000}"/>
    <cellStyle name="Вычисление 9 26" xfId="3162" xr:uid="{00000000-0005-0000-0000-0000B9140000}"/>
    <cellStyle name="Вычисление 9 26 2" xfId="7678" xr:uid="{00000000-0005-0000-0000-0000BA140000}"/>
    <cellStyle name="Вычисление 9 27" xfId="3163" xr:uid="{00000000-0005-0000-0000-0000BB140000}"/>
    <cellStyle name="Вычисление 9 27 2" xfId="7679" xr:uid="{00000000-0005-0000-0000-0000BC140000}"/>
    <cellStyle name="Вычисление 9 28" xfId="3164" xr:uid="{00000000-0005-0000-0000-0000BD140000}"/>
    <cellStyle name="Вычисление 9 28 2" xfId="7680" xr:uid="{00000000-0005-0000-0000-0000BE140000}"/>
    <cellStyle name="Вычисление 9 29" xfId="3165" xr:uid="{00000000-0005-0000-0000-0000BF140000}"/>
    <cellStyle name="Вычисление 9 29 2" xfId="7681" xr:uid="{00000000-0005-0000-0000-0000C0140000}"/>
    <cellStyle name="Вычисление 9 3" xfId="3166" xr:uid="{00000000-0005-0000-0000-0000C1140000}"/>
    <cellStyle name="Вычисление 9 3 2" xfId="3167" xr:uid="{00000000-0005-0000-0000-0000C2140000}"/>
    <cellStyle name="Вычисление 9 3 2 2" xfId="7682" xr:uid="{00000000-0005-0000-0000-0000C3140000}"/>
    <cellStyle name="Вычисление 9 3 3" xfId="3168" xr:uid="{00000000-0005-0000-0000-0000C4140000}"/>
    <cellStyle name="Вычисление 9 3 3 2" xfId="7683" xr:uid="{00000000-0005-0000-0000-0000C5140000}"/>
    <cellStyle name="Вычисление 9 3 4" xfId="7684" xr:uid="{00000000-0005-0000-0000-0000C6140000}"/>
    <cellStyle name="Вычисление 9 30" xfId="3169" xr:uid="{00000000-0005-0000-0000-0000C7140000}"/>
    <cellStyle name="Вычисление 9 30 2" xfId="7685" xr:uid="{00000000-0005-0000-0000-0000C8140000}"/>
    <cellStyle name="Вычисление 9 31" xfId="3170" xr:uid="{00000000-0005-0000-0000-0000C9140000}"/>
    <cellStyle name="Вычисление 9 31 2" xfId="7686" xr:uid="{00000000-0005-0000-0000-0000CA140000}"/>
    <cellStyle name="Вычисление 9 32" xfId="3171" xr:uid="{00000000-0005-0000-0000-0000CB140000}"/>
    <cellStyle name="Вычисление 9 32 2" xfId="7687" xr:uid="{00000000-0005-0000-0000-0000CC140000}"/>
    <cellStyle name="Вычисление 9 33" xfId="3172" xr:uid="{00000000-0005-0000-0000-0000CD140000}"/>
    <cellStyle name="Вычисление 9 33 2" xfId="7688" xr:uid="{00000000-0005-0000-0000-0000CE140000}"/>
    <cellStyle name="Вычисление 9 34" xfId="3173" xr:uid="{00000000-0005-0000-0000-0000CF140000}"/>
    <cellStyle name="Вычисление 9 34 2" xfId="7689" xr:uid="{00000000-0005-0000-0000-0000D0140000}"/>
    <cellStyle name="Вычисление 9 35" xfId="3174" xr:uid="{00000000-0005-0000-0000-0000D1140000}"/>
    <cellStyle name="Вычисление 9 35 2" xfId="7690" xr:uid="{00000000-0005-0000-0000-0000D2140000}"/>
    <cellStyle name="Вычисление 9 36" xfId="3175" xr:uid="{00000000-0005-0000-0000-0000D3140000}"/>
    <cellStyle name="Вычисление 9 36 2" xfId="7691" xr:uid="{00000000-0005-0000-0000-0000D4140000}"/>
    <cellStyle name="Вычисление 9 37" xfId="3176" xr:uid="{00000000-0005-0000-0000-0000D5140000}"/>
    <cellStyle name="Вычисление 9 37 2" xfId="7692" xr:uid="{00000000-0005-0000-0000-0000D6140000}"/>
    <cellStyle name="Вычисление 9 38" xfId="3177" xr:uid="{00000000-0005-0000-0000-0000D7140000}"/>
    <cellStyle name="Вычисление 9 38 2" xfId="7693" xr:uid="{00000000-0005-0000-0000-0000D8140000}"/>
    <cellStyle name="Вычисление 9 39" xfId="3178" xr:uid="{00000000-0005-0000-0000-0000D9140000}"/>
    <cellStyle name="Вычисление 9 39 2" xfId="7694" xr:uid="{00000000-0005-0000-0000-0000DA140000}"/>
    <cellStyle name="Вычисление 9 4" xfId="3179" xr:uid="{00000000-0005-0000-0000-0000DB140000}"/>
    <cellStyle name="Вычисление 9 4 2" xfId="3180" xr:uid="{00000000-0005-0000-0000-0000DC140000}"/>
    <cellStyle name="Вычисление 9 4 2 2" xfId="7695" xr:uid="{00000000-0005-0000-0000-0000DD140000}"/>
    <cellStyle name="Вычисление 9 4 3" xfId="3181" xr:uid="{00000000-0005-0000-0000-0000DE140000}"/>
    <cellStyle name="Вычисление 9 4 3 2" xfId="7696" xr:uid="{00000000-0005-0000-0000-0000DF140000}"/>
    <cellStyle name="Вычисление 9 4 4" xfId="7697" xr:uid="{00000000-0005-0000-0000-0000E0140000}"/>
    <cellStyle name="Вычисление 9 40" xfId="3182" xr:uid="{00000000-0005-0000-0000-0000E1140000}"/>
    <cellStyle name="Вычисление 9 40 2" xfId="7698" xr:uid="{00000000-0005-0000-0000-0000E2140000}"/>
    <cellStyle name="Вычисление 9 41" xfId="3183" xr:uid="{00000000-0005-0000-0000-0000E3140000}"/>
    <cellStyle name="Вычисление 9 41 2" xfId="7699" xr:uid="{00000000-0005-0000-0000-0000E4140000}"/>
    <cellStyle name="Вычисление 9 42" xfId="3184" xr:uid="{00000000-0005-0000-0000-0000E5140000}"/>
    <cellStyle name="Вычисление 9 42 2" xfId="7700" xr:uid="{00000000-0005-0000-0000-0000E6140000}"/>
    <cellStyle name="Вычисление 9 43" xfId="3185" xr:uid="{00000000-0005-0000-0000-0000E7140000}"/>
    <cellStyle name="Вычисление 9 43 2" xfId="7701" xr:uid="{00000000-0005-0000-0000-0000E8140000}"/>
    <cellStyle name="Вычисление 9 44" xfId="3186" xr:uid="{00000000-0005-0000-0000-0000E9140000}"/>
    <cellStyle name="Вычисление 9 44 2" xfId="7702" xr:uid="{00000000-0005-0000-0000-0000EA140000}"/>
    <cellStyle name="Вычисление 9 45" xfId="3187" xr:uid="{00000000-0005-0000-0000-0000EB140000}"/>
    <cellStyle name="Вычисление 9 45 2" xfId="7703" xr:uid="{00000000-0005-0000-0000-0000EC140000}"/>
    <cellStyle name="Вычисление 9 46" xfId="3188" xr:uid="{00000000-0005-0000-0000-0000ED140000}"/>
    <cellStyle name="Вычисление 9 46 2" xfId="7704" xr:uid="{00000000-0005-0000-0000-0000EE140000}"/>
    <cellStyle name="Вычисление 9 47" xfId="3189" xr:uid="{00000000-0005-0000-0000-0000EF140000}"/>
    <cellStyle name="Вычисление 9 47 2" xfId="7705" xr:uid="{00000000-0005-0000-0000-0000F0140000}"/>
    <cellStyle name="Вычисление 9 48" xfId="3190" xr:uid="{00000000-0005-0000-0000-0000F1140000}"/>
    <cellStyle name="Вычисление 9 48 2" xfId="7706" xr:uid="{00000000-0005-0000-0000-0000F2140000}"/>
    <cellStyle name="Вычисление 9 49" xfId="3191" xr:uid="{00000000-0005-0000-0000-0000F3140000}"/>
    <cellStyle name="Вычисление 9 49 2" xfId="7707" xr:uid="{00000000-0005-0000-0000-0000F4140000}"/>
    <cellStyle name="Вычисление 9 5" xfId="3192" xr:uid="{00000000-0005-0000-0000-0000F5140000}"/>
    <cellStyle name="Вычисление 9 5 2" xfId="7708" xr:uid="{00000000-0005-0000-0000-0000F6140000}"/>
    <cellStyle name="Вычисление 9 50" xfId="3193" xr:uid="{00000000-0005-0000-0000-0000F7140000}"/>
    <cellStyle name="Вычисление 9 50 2" xfId="7709" xr:uid="{00000000-0005-0000-0000-0000F8140000}"/>
    <cellStyle name="Вычисление 9 51" xfId="3194" xr:uid="{00000000-0005-0000-0000-0000F9140000}"/>
    <cellStyle name="Вычисление 9 51 2" xfId="7710" xr:uid="{00000000-0005-0000-0000-0000FA140000}"/>
    <cellStyle name="Вычисление 9 52" xfId="3195" xr:uid="{00000000-0005-0000-0000-0000FB140000}"/>
    <cellStyle name="Вычисление 9 52 2" xfId="7711" xr:uid="{00000000-0005-0000-0000-0000FC140000}"/>
    <cellStyle name="Вычисление 9 53" xfId="3196" xr:uid="{00000000-0005-0000-0000-0000FD140000}"/>
    <cellStyle name="Вычисление 9 53 2" xfId="7712" xr:uid="{00000000-0005-0000-0000-0000FE140000}"/>
    <cellStyle name="Вычисление 9 54" xfId="3197" xr:uid="{00000000-0005-0000-0000-0000FF140000}"/>
    <cellStyle name="Вычисление 9 54 2" xfId="7713" xr:uid="{00000000-0005-0000-0000-000000150000}"/>
    <cellStyle name="Вычисление 9 55" xfId="3198" xr:uid="{00000000-0005-0000-0000-000001150000}"/>
    <cellStyle name="Вычисление 9 55 2" xfId="7714" xr:uid="{00000000-0005-0000-0000-000002150000}"/>
    <cellStyle name="Вычисление 9 56" xfId="3199" xr:uid="{00000000-0005-0000-0000-000003150000}"/>
    <cellStyle name="Вычисление 9 56 2" xfId="7715" xr:uid="{00000000-0005-0000-0000-000004150000}"/>
    <cellStyle name="Вычисление 9 57" xfId="3200" xr:uid="{00000000-0005-0000-0000-000005150000}"/>
    <cellStyle name="Вычисление 9 57 2" xfId="7716" xr:uid="{00000000-0005-0000-0000-000006150000}"/>
    <cellStyle name="Вычисление 9 58" xfId="3201" xr:uid="{00000000-0005-0000-0000-000007150000}"/>
    <cellStyle name="Вычисление 9 58 2" xfId="7717" xr:uid="{00000000-0005-0000-0000-000008150000}"/>
    <cellStyle name="Вычисление 9 59" xfId="3202" xr:uid="{00000000-0005-0000-0000-000009150000}"/>
    <cellStyle name="Вычисление 9 59 2" xfId="7718" xr:uid="{00000000-0005-0000-0000-00000A150000}"/>
    <cellStyle name="Вычисление 9 6" xfId="3203" xr:uid="{00000000-0005-0000-0000-00000B150000}"/>
    <cellStyle name="Вычисление 9 6 2" xfId="7719" xr:uid="{00000000-0005-0000-0000-00000C150000}"/>
    <cellStyle name="Вычисление 9 60" xfId="3204" xr:uid="{00000000-0005-0000-0000-00000D150000}"/>
    <cellStyle name="Вычисление 9 60 2" xfId="7720" xr:uid="{00000000-0005-0000-0000-00000E150000}"/>
    <cellStyle name="Вычисление 9 61" xfId="3205" xr:uid="{00000000-0005-0000-0000-00000F150000}"/>
    <cellStyle name="Вычисление 9 61 2" xfId="7721" xr:uid="{00000000-0005-0000-0000-000010150000}"/>
    <cellStyle name="Вычисление 9 62" xfId="3206" xr:uid="{00000000-0005-0000-0000-000011150000}"/>
    <cellStyle name="Вычисление 9 62 2" xfId="7722" xr:uid="{00000000-0005-0000-0000-000012150000}"/>
    <cellStyle name="Вычисление 9 63" xfId="3207" xr:uid="{00000000-0005-0000-0000-000013150000}"/>
    <cellStyle name="Вычисление 9 63 2" xfId="7723" xr:uid="{00000000-0005-0000-0000-000014150000}"/>
    <cellStyle name="Вычисление 9 64" xfId="3208" xr:uid="{00000000-0005-0000-0000-000015150000}"/>
    <cellStyle name="Вычисление 9 64 2" xfId="7724" xr:uid="{00000000-0005-0000-0000-000016150000}"/>
    <cellStyle name="Вычисление 9 65" xfId="3209" xr:uid="{00000000-0005-0000-0000-000017150000}"/>
    <cellStyle name="Вычисление 9 65 2" xfId="7725" xr:uid="{00000000-0005-0000-0000-000018150000}"/>
    <cellStyle name="Вычисление 9 66" xfId="3210" xr:uid="{00000000-0005-0000-0000-000019150000}"/>
    <cellStyle name="Вычисление 9 66 2" xfId="7726" xr:uid="{00000000-0005-0000-0000-00001A150000}"/>
    <cellStyle name="Вычисление 9 67" xfId="3211" xr:uid="{00000000-0005-0000-0000-00001B150000}"/>
    <cellStyle name="Вычисление 9 67 2" xfId="7727" xr:uid="{00000000-0005-0000-0000-00001C150000}"/>
    <cellStyle name="Вычисление 9 68" xfId="3212" xr:uid="{00000000-0005-0000-0000-00001D150000}"/>
    <cellStyle name="Вычисление 9 68 2" xfId="7728" xr:uid="{00000000-0005-0000-0000-00001E150000}"/>
    <cellStyle name="Вычисление 9 69" xfId="3213" xr:uid="{00000000-0005-0000-0000-00001F150000}"/>
    <cellStyle name="Вычисление 9 69 2" xfId="7729" xr:uid="{00000000-0005-0000-0000-000020150000}"/>
    <cellStyle name="Вычисление 9 7" xfId="3214" xr:uid="{00000000-0005-0000-0000-000021150000}"/>
    <cellStyle name="Вычисление 9 7 2" xfId="7730" xr:uid="{00000000-0005-0000-0000-000022150000}"/>
    <cellStyle name="Вычисление 9 70" xfId="3215" xr:uid="{00000000-0005-0000-0000-000023150000}"/>
    <cellStyle name="Вычисление 9 70 2" xfId="7731" xr:uid="{00000000-0005-0000-0000-000024150000}"/>
    <cellStyle name="Вычисление 9 71" xfId="3216" xr:uid="{00000000-0005-0000-0000-000025150000}"/>
    <cellStyle name="Вычисление 9 71 2" xfId="7732" xr:uid="{00000000-0005-0000-0000-000026150000}"/>
    <cellStyle name="Вычисление 9 72" xfId="3217" xr:uid="{00000000-0005-0000-0000-000027150000}"/>
    <cellStyle name="Вычисление 9 72 2" xfId="7733" xr:uid="{00000000-0005-0000-0000-000028150000}"/>
    <cellStyle name="Вычисление 9 73" xfId="3218" xr:uid="{00000000-0005-0000-0000-000029150000}"/>
    <cellStyle name="Вычисление 9 73 2" xfId="7734" xr:uid="{00000000-0005-0000-0000-00002A150000}"/>
    <cellStyle name="Вычисление 9 74" xfId="3219" xr:uid="{00000000-0005-0000-0000-00002B150000}"/>
    <cellStyle name="Вычисление 9 74 2" xfId="7735" xr:uid="{00000000-0005-0000-0000-00002C150000}"/>
    <cellStyle name="Вычисление 9 75" xfId="3220" xr:uid="{00000000-0005-0000-0000-00002D150000}"/>
    <cellStyle name="Вычисление 9 75 2" xfId="7736" xr:uid="{00000000-0005-0000-0000-00002E150000}"/>
    <cellStyle name="Вычисление 9 76" xfId="3221" xr:uid="{00000000-0005-0000-0000-00002F150000}"/>
    <cellStyle name="Вычисление 9 76 2" xfId="7737" xr:uid="{00000000-0005-0000-0000-000030150000}"/>
    <cellStyle name="Вычисление 9 77" xfId="3222" xr:uid="{00000000-0005-0000-0000-000031150000}"/>
    <cellStyle name="Вычисление 9 77 2" xfId="7738" xr:uid="{00000000-0005-0000-0000-000032150000}"/>
    <cellStyle name="Вычисление 9 78" xfId="3223" xr:uid="{00000000-0005-0000-0000-000033150000}"/>
    <cellStyle name="Вычисление 9 78 2" xfId="7739" xr:uid="{00000000-0005-0000-0000-000034150000}"/>
    <cellStyle name="Вычисление 9 79" xfId="3224" xr:uid="{00000000-0005-0000-0000-000035150000}"/>
    <cellStyle name="Вычисление 9 79 2" xfId="7740" xr:uid="{00000000-0005-0000-0000-000036150000}"/>
    <cellStyle name="Вычисление 9 8" xfId="3225" xr:uid="{00000000-0005-0000-0000-000037150000}"/>
    <cellStyle name="Вычисление 9 8 2" xfId="7741" xr:uid="{00000000-0005-0000-0000-000038150000}"/>
    <cellStyle name="Вычисление 9 80" xfId="3226" xr:uid="{00000000-0005-0000-0000-000039150000}"/>
    <cellStyle name="Вычисление 9 80 2" xfId="7742" xr:uid="{00000000-0005-0000-0000-00003A150000}"/>
    <cellStyle name="Вычисление 9 81" xfId="3227" xr:uid="{00000000-0005-0000-0000-00003B150000}"/>
    <cellStyle name="Вычисление 9 81 2" xfId="7743" xr:uid="{00000000-0005-0000-0000-00003C150000}"/>
    <cellStyle name="Вычисление 9 82" xfId="3228" xr:uid="{00000000-0005-0000-0000-00003D150000}"/>
    <cellStyle name="Вычисление 9 82 2" xfId="7744" xr:uid="{00000000-0005-0000-0000-00003E150000}"/>
    <cellStyle name="Вычисление 9 83" xfId="3229" xr:uid="{00000000-0005-0000-0000-00003F150000}"/>
    <cellStyle name="Вычисление 9 83 2" xfId="7745" xr:uid="{00000000-0005-0000-0000-000040150000}"/>
    <cellStyle name="Вычисление 9 84" xfId="3230" xr:uid="{00000000-0005-0000-0000-000041150000}"/>
    <cellStyle name="Вычисление 9 84 2" xfId="7746" xr:uid="{00000000-0005-0000-0000-000042150000}"/>
    <cellStyle name="Вычисление 9 85" xfId="3231" xr:uid="{00000000-0005-0000-0000-000043150000}"/>
    <cellStyle name="Вычисление 9 85 2" xfId="7747" xr:uid="{00000000-0005-0000-0000-000044150000}"/>
    <cellStyle name="Вычисление 9 86" xfId="3232" xr:uid="{00000000-0005-0000-0000-000045150000}"/>
    <cellStyle name="Вычисление 9 86 2" xfId="7748" xr:uid="{00000000-0005-0000-0000-000046150000}"/>
    <cellStyle name="Вычисление 9 87" xfId="3233" xr:uid="{00000000-0005-0000-0000-000047150000}"/>
    <cellStyle name="Вычисление 9 87 2" xfId="7749" xr:uid="{00000000-0005-0000-0000-000048150000}"/>
    <cellStyle name="Вычисление 9 88" xfId="3234" xr:uid="{00000000-0005-0000-0000-000049150000}"/>
    <cellStyle name="Вычисление 9 88 2" xfId="7750" xr:uid="{00000000-0005-0000-0000-00004A150000}"/>
    <cellStyle name="Вычисление 9 89" xfId="3235" xr:uid="{00000000-0005-0000-0000-00004B150000}"/>
    <cellStyle name="Вычисление 9 89 2" xfId="7751" xr:uid="{00000000-0005-0000-0000-00004C150000}"/>
    <cellStyle name="Вычисление 9 9" xfId="3236" xr:uid="{00000000-0005-0000-0000-00004D150000}"/>
    <cellStyle name="Вычисление 9 9 2" xfId="7752" xr:uid="{00000000-0005-0000-0000-00004E150000}"/>
    <cellStyle name="Вычисление 9 90" xfId="3237" xr:uid="{00000000-0005-0000-0000-00004F150000}"/>
    <cellStyle name="Вычисление 9 90 2" xfId="7753" xr:uid="{00000000-0005-0000-0000-000050150000}"/>
    <cellStyle name="Вычисление 9 91" xfId="3238" xr:uid="{00000000-0005-0000-0000-000051150000}"/>
    <cellStyle name="Вычисление 9 91 2" xfId="7754" xr:uid="{00000000-0005-0000-0000-000052150000}"/>
    <cellStyle name="Вычисление 9 92" xfId="7755" xr:uid="{00000000-0005-0000-0000-000053150000}"/>
    <cellStyle name="Гиперссылка 2" xfId="586" xr:uid="{00000000-0005-0000-0000-000054150000}"/>
    <cellStyle name="Гиперссылка 3" xfId="587" xr:uid="{00000000-0005-0000-0000-000055150000}"/>
    <cellStyle name="Денежный 2" xfId="588" xr:uid="{00000000-0005-0000-0000-000056150000}"/>
    <cellStyle name="Заголовок 1 10" xfId="253" xr:uid="{00000000-0005-0000-0000-000057150000}"/>
    <cellStyle name="Заголовок 1 2" xfId="254" xr:uid="{00000000-0005-0000-0000-000058150000}"/>
    <cellStyle name="Заголовок 1 3" xfId="255" xr:uid="{00000000-0005-0000-0000-000059150000}"/>
    <cellStyle name="Заголовок 1 4" xfId="256" xr:uid="{00000000-0005-0000-0000-00005A150000}"/>
    <cellStyle name="Заголовок 1 5" xfId="257" xr:uid="{00000000-0005-0000-0000-00005B150000}"/>
    <cellStyle name="Заголовок 1 6" xfId="258" xr:uid="{00000000-0005-0000-0000-00005C150000}"/>
    <cellStyle name="Заголовок 1 7" xfId="259" xr:uid="{00000000-0005-0000-0000-00005D150000}"/>
    <cellStyle name="Заголовок 1 8" xfId="260" xr:uid="{00000000-0005-0000-0000-00005E150000}"/>
    <cellStyle name="Заголовок 1 9" xfId="261" xr:uid="{00000000-0005-0000-0000-00005F150000}"/>
    <cellStyle name="Заголовок 2 10" xfId="262" xr:uid="{00000000-0005-0000-0000-000060150000}"/>
    <cellStyle name="Заголовок 2 2" xfId="263" xr:uid="{00000000-0005-0000-0000-000061150000}"/>
    <cellStyle name="Заголовок 2 3" xfId="264" xr:uid="{00000000-0005-0000-0000-000062150000}"/>
    <cellStyle name="Заголовок 2 4" xfId="265" xr:uid="{00000000-0005-0000-0000-000063150000}"/>
    <cellStyle name="Заголовок 2 5" xfId="266" xr:uid="{00000000-0005-0000-0000-000064150000}"/>
    <cellStyle name="Заголовок 2 6" xfId="267" xr:uid="{00000000-0005-0000-0000-000065150000}"/>
    <cellStyle name="Заголовок 2 7" xfId="268" xr:uid="{00000000-0005-0000-0000-000066150000}"/>
    <cellStyle name="Заголовок 2 8" xfId="269" xr:uid="{00000000-0005-0000-0000-000067150000}"/>
    <cellStyle name="Заголовок 2 9" xfId="270" xr:uid="{00000000-0005-0000-0000-000068150000}"/>
    <cellStyle name="Заголовок 3 10" xfId="271" xr:uid="{00000000-0005-0000-0000-000069150000}"/>
    <cellStyle name="Заголовок 3 2" xfId="272" xr:uid="{00000000-0005-0000-0000-00006A150000}"/>
    <cellStyle name="Заголовок 3 3" xfId="273" xr:uid="{00000000-0005-0000-0000-00006B150000}"/>
    <cellStyle name="Заголовок 3 4" xfId="274" xr:uid="{00000000-0005-0000-0000-00006C150000}"/>
    <cellStyle name="Заголовок 3 5" xfId="275" xr:uid="{00000000-0005-0000-0000-00006D150000}"/>
    <cellStyle name="Заголовок 3 6" xfId="276" xr:uid="{00000000-0005-0000-0000-00006E150000}"/>
    <cellStyle name="Заголовок 3 7" xfId="277" xr:uid="{00000000-0005-0000-0000-00006F150000}"/>
    <cellStyle name="Заголовок 3 8" xfId="278" xr:uid="{00000000-0005-0000-0000-000070150000}"/>
    <cellStyle name="Заголовок 3 9" xfId="279" xr:uid="{00000000-0005-0000-0000-000071150000}"/>
    <cellStyle name="Заголовок 4 10" xfId="280" xr:uid="{00000000-0005-0000-0000-000072150000}"/>
    <cellStyle name="Заголовок 4 2" xfId="281" xr:uid="{00000000-0005-0000-0000-000073150000}"/>
    <cellStyle name="Заголовок 4 3" xfId="282" xr:uid="{00000000-0005-0000-0000-000074150000}"/>
    <cellStyle name="Заголовок 4 4" xfId="283" xr:uid="{00000000-0005-0000-0000-000075150000}"/>
    <cellStyle name="Заголовок 4 5" xfId="284" xr:uid="{00000000-0005-0000-0000-000076150000}"/>
    <cellStyle name="Заголовок 4 6" xfId="285" xr:uid="{00000000-0005-0000-0000-000077150000}"/>
    <cellStyle name="Заголовок 4 7" xfId="286" xr:uid="{00000000-0005-0000-0000-000078150000}"/>
    <cellStyle name="Заголовок 4 8" xfId="287" xr:uid="{00000000-0005-0000-0000-000079150000}"/>
    <cellStyle name="Заголовок 4 9" xfId="288" xr:uid="{00000000-0005-0000-0000-00007A150000}"/>
    <cellStyle name="Итог 10" xfId="289" xr:uid="{00000000-0005-0000-0000-00007B150000}"/>
    <cellStyle name="Итог 10 10" xfId="3239" xr:uid="{00000000-0005-0000-0000-00007C150000}"/>
    <cellStyle name="Итог 10 10 2" xfId="7756" xr:uid="{00000000-0005-0000-0000-00007D150000}"/>
    <cellStyle name="Итог 10 11" xfId="3240" xr:uid="{00000000-0005-0000-0000-00007E150000}"/>
    <cellStyle name="Итог 10 11 2" xfId="7757" xr:uid="{00000000-0005-0000-0000-00007F150000}"/>
    <cellStyle name="Итог 10 12" xfId="3241" xr:uid="{00000000-0005-0000-0000-000080150000}"/>
    <cellStyle name="Итог 10 12 2" xfId="7758" xr:uid="{00000000-0005-0000-0000-000081150000}"/>
    <cellStyle name="Итог 10 13" xfId="3242" xr:uid="{00000000-0005-0000-0000-000082150000}"/>
    <cellStyle name="Итог 10 13 2" xfId="7759" xr:uid="{00000000-0005-0000-0000-000083150000}"/>
    <cellStyle name="Итог 10 14" xfId="3243" xr:uid="{00000000-0005-0000-0000-000084150000}"/>
    <cellStyle name="Итог 10 14 2" xfId="7760" xr:uid="{00000000-0005-0000-0000-000085150000}"/>
    <cellStyle name="Итог 10 15" xfId="3244" xr:uid="{00000000-0005-0000-0000-000086150000}"/>
    <cellStyle name="Итог 10 15 2" xfId="7761" xr:uid="{00000000-0005-0000-0000-000087150000}"/>
    <cellStyle name="Итог 10 16" xfId="3245" xr:uid="{00000000-0005-0000-0000-000088150000}"/>
    <cellStyle name="Итог 10 16 2" xfId="7762" xr:uid="{00000000-0005-0000-0000-000089150000}"/>
    <cellStyle name="Итог 10 17" xfId="3246" xr:uid="{00000000-0005-0000-0000-00008A150000}"/>
    <cellStyle name="Итог 10 17 2" xfId="7763" xr:uid="{00000000-0005-0000-0000-00008B150000}"/>
    <cellStyle name="Итог 10 18" xfId="3247" xr:uid="{00000000-0005-0000-0000-00008C150000}"/>
    <cellStyle name="Итог 10 18 2" xfId="7764" xr:uid="{00000000-0005-0000-0000-00008D150000}"/>
    <cellStyle name="Итог 10 19" xfId="3248" xr:uid="{00000000-0005-0000-0000-00008E150000}"/>
    <cellStyle name="Итог 10 19 2" xfId="7765" xr:uid="{00000000-0005-0000-0000-00008F150000}"/>
    <cellStyle name="Итог 10 2" xfId="3249" xr:uid="{00000000-0005-0000-0000-000090150000}"/>
    <cellStyle name="Итог 10 2 2" xfId="3250" xr:uid="{00000000-0005-0000-0000-000091150000}"/>
    <cellStyle name="Итог 10 2 2 2" xfId="7766" xr:uid="{00000000-0005-0000-0000-000092150000}"/>
    <cellStyle name="Итог 10 2 3" xfId="3251" xr:uid="{00000000-0005-0000-0000-000093150000}"/>
    <cellStyle name="Итог 10 2 3 2" xfId="7767" xr:uid="{00000000-0005-0000-0000-000094150000}"/>
    <cellStyle name="Итог 10 2 4" xfId="7768" xr:uid="{00000000-0005-0000-0000-000095150000}"/>
    <cellStyle name="Итог 10 20" xfId="3252" xr:uid="{00000000-0005-0000-0000-000096150000}"/>
    <cellStyle name="Итог 10 20 2" xfId="7769" xr:uid="{00000000-0005-0000-0000-000097150000}"/>
    <cellStyle name="Итог 10 21" xfId="3253" xr:uid="{00000000-0005-0000-0000-000098150000}"/>
    <cellStyle name="Итог 10 21 2" xfId="7770" xr:uid="{00000000-0005-0000-0000-000099150000}"/>
    <cellStyle name="Итог 10 22" xfId="3254" xr:uid="{00000000-0005-0000-0000-00009A150000}"/>
    <cellStyle name="Итог 10 22 2" xfId="7771" xr:uid="{00000000-0005-0000-0000-00009B150000}"/>
    <cellStyle name="Итог 10 23" xfId="3255" xr:uid="{00000000-0005-0000-0000-00009C150000}"/>
    <cellStyle name="Итог 10 23 2" xfId="7772" xr:uid="{00000000-0005-0000-0000-00009D150000}"/>
    <cellStyle name="Итог 10 24" xfId="3256" xr:uid="{00000000-0005-0000-0000-00009E150000}"/>
    <cellStyle name="Итог 10 24 2" xfId="7773" xr:uid="{00000000-0005-0000-0000-00009F150000}"/>
    <cellStyle name="Итог 10 25" xfId="3257" xr:uid="{00000000-0005-0000-0000-0000A0150000}"/>
    <cellStyle name="Итог 10 25 2" xfId="7774" xr:uid="{00000000-0005-0000-0000-0000A1150000}"/>
    <cellStyle name="Итог 10 26" xfId="3258" xr:uid="{00000000-0005-0000-0000-0000A2150000}"/>
    <cellStyle name="Итог 10 26 2" xfId="7775" xr:uid="{00000000-0005-0000-0000-0000A3150000}"/>
    <cellStyle name="Итог 10 27" xfId="3259" xr:uid="{00000000-0005-0000-0000-0000A4150000}"/>
    <cellStyle name="Итог 10 27 2" xfId="7776" xr:uid="{00000000-0005-0000-0000-0000A5150000}"/>
    <cellStyle name="Итог 10 28" xfId="3260" xr:uid="{00000000-0005-0000-0000-0000A6150000}"/>
    <cellStyle name="Итог 10 28 2" xfId="7777" xr:uid="{00000000-0005-0000-0000-0000A7150000}"/>
    <cellStyle name="Итог 10 29" xfId="3261" xr:uid="{00000000-0005-0000-0000-0000A8150000}"/>
    <cellStyle name="Итог 10 29 2" xfId="7778" xr:uid="{00000000-0005-0000-0000-0000A9150000}"/>
    <cellStyle name="Итог 10 3" xfId="3262" xr:uid="{00000000-0005-0000-0000-0000AA150000}"/>
    <cellStyle name="Итог 10 3 2" xfId="3263" xr:uid="{00000000-0005-0000-0000-0000AB150000}"/>
    <cellStyle name="Итог 10 3 2 2" xfId="7779" xr:uid="{00000000-0005-0000-0000-0000AC150000}"/>
    <cellStyle name="Итог 10 3 3" xfId="3264" xr:uid="{00000000-0005-0000-0000-0000AD150000}"/>
    <cellStyle name="Итог 10 3 3 2" xfId="7780" xr:uid="{00000000-0005-0000-0000-0000AE150000}"/>
    <cellStyle name="Итог 10 3 4" xfId="7781" xr:uid="{00000000-0005-0000-0000-0000AF150000}"/>
    <cellStyle name="Итог 10 30" xfId="3265" xr:uid="{00000000-0005-0000-0000-0000B0150000}"/>
    <cellStyle name="Итог 10 30 2" xfId="7782" xr:uid="{00000000-0005-0000-0000-0000B1150000}"/>
    <cellStyle name="Итог 10 31" xfId="3266" xr:uid="{00000000-0005-0000-0000-0000B2150000}"/>
    <cellStyle name="Итог 10 31 2" xfId="7783" xr:uid="{00000000-0005-0000-0000-0000B3150000}"/>
    <cellStyle name="Итог 10 32" xfId="3267" xr:uid="{00000000-0005-0000-0000-0000B4150000}"/>
    <cellStyle name="Итог 10 32 2" xfId="7784" xr:uid="{00000000-0005-0000-0000-0000B5150000}"/>
    <cellStyle name="Итог 10 33" xfId="3268" xr:uid="{00000000-0005-0000-0000-0000B6150000}"/>
    <cellStyle name="Итог 10 33 2" xfId="7785" xr:uid="{00000000-0005-0000-0000-0000B7150000}"/>
    <cellStyle name="Итог 10 34" xfId="3269" xr:uid="{00000000-0005-0000-0000-0000B8150000}"/>
    <cellStyle name="Итог 10 34 2" xfId="7786" xr:uid="{00000000-0005-0000-0000-0000B9150000}"/>
    <cellStyle name="Итог 10 35" xfId="3270" xr:uid="{00000000-0005-0000-0000-0000BA150000}"/>
    <cellStyle name="Итог 10 35 2" xfId="7787" xr:uid="{00000000-0005-0000-0000-0000BB150000}"/>
    <cellStyle name="Итог 10 36" xfId="3271" xr:uid="{00000000-0005-0000-0000-0000BC150000}"/>
    <cellStyle name="Итог 10 36 2" xfId="7788" xr:uid="{00000000-0005-0000-0000-0000BD150000}"/>
    <cellStyle name="Итог 10 37" xfId="3272" xr:uid="{00000000-0005-0000-0000-0000BE150000}"/>
    <cellStyle name="Итог 10 37 2" xfId="7789" xr:uid="{00000000-0005-0000-0000-0000BF150000}"/>
    <cellStyle name="Итог 10 38" xfId="3273" xr:uid="{00000000-0005-0000-0000-0000C0150000}"/>
    <cellStyle name="Итог 10 38 2" xfId="7790" xr:uid="{00000000-0005-0000-0000-0000C1150000}"/>
    <cellStyle name="Итог 10 39" xfId="3274" xr:uid="{00000000-0005-0000-0000-0000C2150000}"/>
    <cellStyle name="Итог 10 39 2" xfId="7791" xr:uid="{00000000-0005-0000-0000-0000C3150000}"/>
    <cellStyle name="Итог 10 4" xfId="3275" xr:uid="{00000000-0005-0000-0000-0000C4150000}"/>
    <cellStyle name="Итог 10 4 2" xfId="3276" xr:uid="{00000000-0005-0000-0000-0000C5150000}"/>
    <cellStyle name="Итог 10 4 2 2" xfId="7792" xr:uid="{00000000-0005-0000-0000-0000C6150000}"/>
    <cellStyle name="Итог 10 4 3" xfId="3277" xr:uid="{00000000-0005-0000-0000-0000C7150000}"/>
    <cellStyle name="Итог 10 4 3 2" xfId="7793" xr:uid="{00000000-0005-0000-0000-0000C8150000}"/>
    <cellStyle name="Итог 10 4 4" xfId="7794" xr:uid="{00000000-0005-0000-0000-0000C9150000}"/>
    <cellStyle name="Итог 10 40" xfId="3278" xr:uid="{00000000-0005-0000-0000-0000CA150000}"/>
    <cellStyle name="Итог 10 40 2" xfId="7795" xr:uid="{00000000-0005-0000-0000-0000CB150000}"/>
    <cellStyle name="Итог 10 41" xfId="3279" xr:uid="{00000000-0005-0000-0000-0000CC150000}"/>
    <cellStyle name="Итог 10 41 2" xfId="7796" xr:uid="{00000000-0005-0000-0000-0000CD150000}"/>
    <cellStyle name="Итог 10 42" xfId="3280" xr:uid="{00000000-0005-0000-0000-0000CE150000}"/>
    <cellStyle name="Итог 10 42 2" xfId="7797" xr:uid="{00000000-0005-0000-0000-0000CF150000}"/>
    <cellStyle name="Итог 10 43" xfId="3281" xr:uid="{00000000-0005-0000-0000-0000D0150000}"/>
    <cellStyle name="Итог 10 43 2" xfId="7798" xr:uid="{00000000-0005-0000-0000-0000D1150000}"/>
    <cellStyle name="Итог 10 44" xfId="3282" xr:uid="{00000000-0005-0000-0000-0000D2150000}"/>
    <cellStyle name="Итог 10 44 2" xfId="7799" xr:uid="{00000000-0005-0000-0000-0000D3150000}"/>
    <cellStyle name="Итог 10 45" xfId="3283" xr:uid="{00000000-0005-0000-0000-0000D4150000}"/>
    <cellStyle name="Итог 10 45 2" xfId="7800" xr:uid="{00000000-0005-0000-0000-0000D5150000}"/>
    <cellStyle name="Итог 10 46" xfId="3284" xr:uid="{00000000-0005-0000-0000-0000D6150000}"/>
    <cellStyle name="Итог 10 46 2" xfId="7801" xr:uid="{00000000-0005-0000-0000-0000D7150000}"/>
    <cellStyle name="Итог 10 47" xfId="3285" xr:uid="{00000000-0005-0000-0000-0000D8150000}"/>
    <cellStyle name="Итог 10 47 2" xfId="7802" xr:uid="{00000000-0005-0000-0000-0000D9150000}"/>
    <cellStyle name="Итог 10 48" xfId="3286" xr:uid="{00000000-0005-0000-0000-0000DA150000}"/>
    <cellStyle name="Итог 10 48 2" xfId="7803" xr:uid="{00000000-0005-0000-0000-0000DB150000}"/>
    <cellStyle name="Итог 10 49" xfId="3287" xr:uid="{00000000-0005-0000-0000-0000DC150000}"/>
    <cellStyle name="Итог 10 49 2" xfId="7804" xr:uid="{00000000-0005-0000-0000-0000DD150000}"/>
    <cellStyle name="Итог 10 5" xfId="3288" xr:uid="{00000000-0005-0000-0000-0000DE150000}"/>
    <cellStyle name="Итог 10 5 2" xfId="7805" xr:uid="{00000000-0005-0000-0000-0000DF150000}"/>
    <cellStyle name="Итог 10 50" xfId="3289" xr:uid="{00000000-0005-0000-0000-0000E0150000}"/>
    <cellStyle name="Итог 10 50 2" xfId="7806" xr:uid="{00000000-0005-0000-0000-0000E1150000}"/>
    <cellStyle name="Итог 10 51" xfId="3290" xr:uid="{00000000-0005-0000-0000-0000E2150000}"/>
    <cellStyle name="Итог 10 51 2" xfId="7807" xr:uid="{00000000-0005-0000-0000-0000E3150000}"/>
    <cellStyle name="Итог 10 52" xfId="3291" xr:uid="{00000000-0005-0000-0000-0000E4150000}"/>
    <cellStyle name="Итог 10 52 2" xfId="7808" xr:uid="{00000000-0005-0000-0000-0000E5150000}"/>
    <cellStyle name="Итог 10 53" xfId="3292" xr:uid="{00000000-0005-0000-0000-0000E6150000}"/>
    <cellStyle name="Итог 10 53 2" xfId="7809" xr:uid="{00000000-0005-0000-0000-0000E7150000}"/>
    <cellStyle name="Итог 10 54" xfId="3293" xr:uid="{00000000-0005-0000-0000-0000E8150000}"/>
    <cellStyle name="Итог 10 54 2" xfId="7810" xr:uid="{00000000-0005-0000-0000-0000E9150000}"/>
    <cellStyle name="Итог 10 55" xfId="3294" xr:uid="{00000000-0005-0000-0000-0000EA150000}"/>
    <cellStyle name="Итог 10 55 2" xfId="7811" xr:uid="{00000000-0005-0000-0000-0000EB150000}"/>
    <cellStyle name="Итог 10 56" xfId="3295" xr:uid="{00000000-0005-0000-0000-0000EC150000}"/>
    <cellStyle name="Итог 10 56 2" xfId="7812" xr:uid="{00000000-0005-0000-0000-0000ED150000}"/>
    <cellStyle name="Итог 10 57" xfId="3296" xr:uid="{00000000-0005-0000-0000-0000EE150000}"/>
    <cellStyle name="Итог 10 57 2" xfId="7813" xr:uid="{00000000-0005-0000-0000-0000EF150000}"/>
    <cellStyle name="Итог 10 58" xfId="3297" xr:uid="{00000000-0005-0000-0000-0000F0150000}"/>
    <cellStyle name="Итог 10 58 2" xfId="7814" xr:uid="{00000000-0005-0000-0000-0000F1150000}"/>
    <cellStyle name="Итог 10 59" xfId="3298" xr:uid="{00000000-0005-0000-0000-0000F2150000}"/>
    <cellStyle name="Итог 10 59 2" xfId="7815" xr:uid="{00000000-0005-0000-0000-0000F3150000}"/>
    <cellStyle name="Итог 10 6" xfId="3299" xr:uid="{00000000-0005-0000-0000-0000F4150000}"/>
    <cellStyle name="Итог 10 6 2" xfId="7816" xr:uid="{00000000-0005-0000-0000-0000F5150000}"/>
    <cellStyle name="Итог 10 60" xfId="3300" xr:uid="{00000000-0005-0000-0000-0000F6150000}"/>
    <cellStyle name="Итог 10 60 2" xfId="7817" xr:uid="{00000000-0005-0000-0000-0000F7150000}"/>
    <cellStyle name="Итог 10 61" xfId="3301" xr:uid="{00000000-0005-0000-0000-0000F8150000}"/>
    <cellStyle name="Итог 10 61 2" xfId="7818" xr:uid="{00000000-0005-0000-0000-0000F9150000}"/>
    <cellStyle name="Итог 10 62" xfId="3302" xr:uid="{00000000-0005-0000-0000-0000FA150000}"/>
    <cellStyle name="Итог 10 62 2" xfId="7819" xr:uid="{00000000-0005-0000-0000-0000FB150000}"/>
    <cellStyle name="Итог 10 63" xfId="3303" xr:uid="{00000000-0005-0000-0000-0000FC150000}"/>
    <cellStyle name="Итог 10 63 2" xfId="7820" xr:uid="{00000000-0005-0000-0000-0000FD150000}"/>
    <cellStyle name="Итог 10 64" xfId="3304" xr:uid="{00000000-0005-0000-0000-0000FE150000}"/>
    <cellStyle name="Итог 10 64 2" xfId="7821" xr:uid="{00000000-0005-0000-0000-0000FF150000}"/>
    <cellStyle name="Итог 10 65" xfId="3305" xr:uid="{00000000-0005-0000-0000-000000160000}"/>
    <cellStyle name="Итог 10 65 2" xfId="7822" xr:uid="{00000000-0005-0000-0000-000001160000}"/>
    <cellStyle name="Итог 10 66" xfId="3306" xr:uid="{00000000-0005-0000-0000-000002160000}"/>
    <cellStyle name="Итог 10 66 2" xfId="7823" xr:uid="{00000000-0005-0000-0000-000003160000}"/>
    <cellStyle name="Итог 10 67" xfId="3307" xr:uid="{00000000-0005-0000-0000-000004160000}"/>
    <cellStyle name="Итог 10 67 2" xfId="7824" xr:uid="{00000000-0005-0000-0000-000005160000}"/>
    <cellStyle name="Итог 10 68" xfId="3308" xr:uid="{00000000-0005-0000-0000-000006160000}"/>
    <cellStyle name="Итог 10 68 2" xfId="7825" xr:uid="{00000000-0005-0000-0000-000007160000}"/>
    <cellStyle name="Итог 10 69" xfId="3309" xr:uid="{00000000-0005-0000-0000-000008160000}"/>
    <cellStyle name="Итог 10 69 2" xfId="7826" xr:uid="{00000000-0005-0000-0000-000009160000}"/>
    <cellStyle name="Итог 10 7" xfId="3310" xr:uid="{00000000-0005-0000-0000-00000A160000}"/>
    <cellStyle name="Итог 10 7 2" xfId="7827" xr:uid="{00000000-0005-0000-0000-00000B160000}"/>
    <cellStyle name="Итог 10 70" xfId="3311" xr:uid="{00000000-0005-0000-0000-00000C160000}"/>
    <cellStyle name="Итог 10 70 2" xfId="7828" xr:uid="{00000000-0005-0000-0000-00000D160000}"/>
    <cellStyle name="Итог 10 71" xfId="3312" xr:uid="{00000000-0005-0000-0000-00000E160000}"/>
    <cellStyle name="Итог 10 71 2" xfId="7829" xr:uid="{00000000-0005-0000-0000-00000F160000}"/>
    <cellStyle name="Итог 10 72" xfId="3313" xr:uid="{00000000-0005-0000-0000-000010160000}"/>
    <cellStyle name="Итог 10 72 2" xfId="7830" xr:uid="{00000000-0005-0000-0000-000011160000}"/>
    <cellStyle name="Итог 10 73" xfId="3314" xr:uid="{00000000-0005-0000-0000-000012160000}"/>
    <cellStyle name="Итог 10 73 2" xfId="7831" xr:uid="{00000000-0005-0000-0000-000013160000}"/>
    <cellStyle name="Итог 10 74" xfId="3315" xr:uid="{00000000-0005-0000-0000-000014160000}"/>
    <cellStyle name="Итог 10 74 2" xfId="7832" xr:uid="{00000000-0005-0000-0000-000015160000}"/>
    <cellStyle name="Итог 10 75" xfId="3316" xr:uid="{00000000-0005-0000-0000-000016160000}"/>
    <cellStyle name="Итог 10 75 2" xfId="7833" xr:uid="{00000000-0005-0000-0000-000017160000}"/>
    <cellStyle name="Итог 10 76" xfId="3317" xr:uid="{00000000-0005-0000-0000-000018160000}"/>
    <cellStyle name="Итог 10 76 2" xfId="7834" xr:uid="{00000000-0005-0000-0000-000019160000}"/>
    <cellStyle name="Итог 10 77" xfId="3318" xr:uid="{00000000-0005-0000-0000-00001A160000}"/>
    <cellStyle name="Итог 10 77 2" xfId="7835" xr:uid="{00000000-0005-0000-0000-00001B160000}"/>
    <cellStyle name="Итог 10 78" xfId="3319" xr:uid="{00000000-0005-0000-0000-00001C160000}"/>
    <cellStyle name="Итог 10 78 2" xfId="7836" xr:uid="{00000000-0005-0000-0000-00001D160000}"/>
    <cellStyle name="Итог 10 79" xfId="3320" xr:uid="{00000000-0005-0000-0000-00001E160000}"/>
    <cellStyle name="Итог 10 79 2" xfId="7837" xr:uid="{00000000-0005-0000-0000-00001F160000}"/>
    <cellStyle name="Итог 10 8" xfId="3321" xr:uid="{00000000-0005-0000-0000-000020160000}"/>
    <cellStyle name="Итог 10 8 2" xfId="7838" xr:uid="{00000000-0005-0000-0000-000021160000}"/>
    <cellStyle name="Итог 10 80" xfId="3322" xr:uid="{00000000-0005-0000-0000-000022160000}"/>
    <cellStyle name="Итог 10 80 2" xfId="7839" xr:uid="{00000000-0005-0000-0000-000023160000}"/>
    <cellStyle name="Итог 10 81" xfId="3323" xr:uid="{00000000-0005-0000-0000-000024160000}"/>
    <cellStyle name="Итог 10 81 2" xfId="7840" xr:uid="{00000000-0005-0000-0000-000025160000}"/>
    <cellStyle name="Итог 10 82" xfId="3324" xr:uid="{00000000-0005-0000-0000-000026160000}"/>
    <cellStyle name="Итог 10 82 2" xfId="7841" xr:uid="{00000000-0005-0000-0000-000027160000}"/>
    <cellStyle name="Итог 10 83" xfId="3325" xr:uid="{00000000-0005-0000-0000-000028160000}"/>
    <cellStyle name="Итог 10 83 2" xfId="7842" xr:uid="{00000000-0005-0000-0000-000029160000}"/>
    <cellStyle name="Итог 10 84" xfId="3326" xr:uid="{00000000-0005-0000-0000-00002A160000}"/>
    <cellStyle name="Итог 10 84 2" xfId="7843" xr:uid="{00000000-0005-0000-0000-00002B160000}"/>
    <cellStyle name="Итог 10 85" xfId="3327" xr:uid="{00000000-0005-0000-0000-00002C160000}"/>
    <cellStyle name="Итог 10 85 2" xfId="7844" xr:uid="{00000000-0005-0000-0000-00002D160000}"/>
    <cellStyle name="Итог 10 86" xfId="3328" xr:uid="{00000000-0005-0000-0000-00002E160000}"/>
    <cellStyle name="Итог 10 86 2" xfId="7845" xr:uid="{00000000-0005-0000-0000-00002F160000}"/>
    <cellStyle name="Итог 10 87" xfId="3329" xr:uid="{00000000-0005-0000-0000-000030160000}"/>
    <cellStyle name="Итог 10 87 2" xfId="7846" xr:uid="{00000000-0005-0000-0000-000031160000}"/>
    <cellStyle name="Итог 10 88" xfId="3330" xr:uid="{00000000-0005-0000-0000-000032160000}"/>
    <cellStyle name="Итог 10 88 2" xfId="7847" xr:uid="{00000000-0005-0000-0000-000033160000}"/>
    <cellStyle name="Итог 10 89" xfId="3331" xr:uid="{00000000-0005-0000-0000-000034160000}"/>
    <cellStyle name="Итог 10 89 2" xfId="7848" xr:uid="{00000000-0005-0000-0000-000035160000}"/>
    <cellStyle name="Итог 10 9" xfId="3332" xr:uid="{00000000-0005-0000-0000-000036160000}"/>
    <cellStyle name="Итог 10 9 2" xfId="7849" xr:uid="{00000000-0005-0000-0000-000037160000}"/>
    <cellStyle name="Итог 10 90" xfId="3333" xr:uid="{00000000-0005-0000-0000-000038160000}"/>
    <cellStyle name="Итог 10 90 2" xfId="7850" xr:uid="{00000000-0005-0000-0000-000039160000}"/>
    <cellStyle name="Итог 10 91" xfId="3334" xr:uid="{00000000-0005-0000-0000-00003A160000}"/>
    <cellStyle name="Итог 10 91 2" xfId="7851" xr:uid="{00000000-0005-0000-0000-00003B160000}"/>
    <cellStyle name="Итог 10 92" xfId="7852" xr:uid="{00000000-0005-0000-0000-00003C160000}"/>
    <cellStyle name="Итог 2" xfId="290" xr:uid="{00000000-0005-0000-0000-00003D160000}"/>
    <cellStyle name="Итог 2 10" xfId="3335" xr:uid="{00000000-0005-0000-0000-00003E160000}"/>
    <cellStyle name="Итог 2 10 2" xfId="7853" xr:uid="{00000000-0005-0000-0000-00003F160000}"/>
    <cellStyle name="Итог 2 11" xfId="3336" xr:uid="{00000000-0005-0000-0000-000040160000}"/>
    <cellStyle name="Итог 2 11 2" xfId="7854" xr:uid="{00000000-0005-0000-0000-000041160000}"/>
    <cellStyle name="Итог 2 12" xfId="3337" xr:uid="{00000000-0005-0000-0000-000042160000}"/>
    <cellStyle name="Итог 2 12 2" xfId="7855" xr:uid="{00000000-0005-0000-0000-000043160000}"/>
    <cellStyle name="Итог 2 13" xfId="3338" xr:uid="{00000000-0005-0000-0000-000044160000}"/>
    <cellStyle name="Итог 2 13 2" xfId="7856" xr:uid="{00000000-0005-0000-0000-000045160000}"/>
    <cellStyle name="Итог 2 14" xfId="3339" xr:uid="{00000000-0005-0000-0000-000046160000}"/>
    <cellStyle name="Итог 2 14 2" xfId="7857" xr:uid="{00000000-0005-0000-0000-000047160000}"/>
    <cellStyle name="Итог 2 15" xfId="3340" xr:uid="{00000000-0005-0000-0000-000048160000}"/>
    <cellStyle name="Итог 2 15 2" xfId="7858" xr:uid="{00000000-0005-0000-0000-000049160000}"/>
    <cellStyle name="Итог 2 16" xfId="3341" xr:uid="{00000000-0005-0000-0000-00004A160000}"/>
    <cellStyle name="Итог 2 16 2" xfId="7859" xr:uid="{00000000-0005-0000-0000-00004B160000}"/>
    <cellStyle name="Итог 2 17" xfId="3342" xr:uid="{00000000-0005-0000-0000-00004C160000}"/>
    <cellStyle name="Итог 2 17 2" xfId="7860" xr:uid="{00000000-0005-0000-0000-00004D160000}"/>
    <cellStyle name="Итог 2 18" xfId="3343" xr:uid="{00000000-0005-0000-0000-00004E160000}"/>
    <cellStyle name="Итог 2 18 2" xfId="7861" xr:uid="{00000000-0005-0000-0000-00004F160000}"/>
    <cellStyle name="Итог 2 19" xfId="3344" xr:uid="{00000000-0005-0000-0000-000050160000}"/>
    <cellStyle name="Итог 2 19 2" xfId="7862" xr:uid="{00000000-0005-0000-0000-000051160000}"/>
    <cellStyle name="Итог 2 2" xfId="3345" xr:uid="{00000000-0005-0000-0000-000052160000}"/>
    <cellStyle name="Итог 2 2 2" xfId="3346" xr:uid="{00000000-0005-0000-0000-000053160000}"/>
    <cellStyle name="Итог 2 2 2 2" xfId="7863" xr:uid="{00000000-0005-0000-0000-000054160000}"/>
    <cellStyle name="Итог 2 2 3" xfId="3347" xr:uid="{00000000-0005-0000-0000-000055160000}"/>
    <cellStyle name="Итог 2 2 3 2" xfId="7864" xr:uid="{00000000-0005-0000-0000-000056160000}"/>
    <cellStyle name="Итог 2 2 4" xfId="7865" xr:uid="{00000000-0005-0000-0000-000057160000}"/>
    <cellStyle name="Итог 2 20" xfId="3348" xr:uid="{00000000-0005-0000-0000-000058160000}"/>
    <cellStyle name="Итог 2 20 2" xfId="7866" xr:uid="{00000000-0005-0000-0000-000059160000}"/>
    <cellStyle name="Итог 2 21" xfId="3349" xr:uid="{00000000-0005-0000-0000-00005A160000}"/>
    <cellStyle name="Итог 2 21 2" xfId="7867" xr:uid="{00000000-0005-0000-0000-00005B160000}"/>
    <cellStyle name="Итог 2 22" xfId="3350" xr:uid="{00000000-0005-0000-0000-00005C160000}"/>
    <cellStyle name="Итог 2 22 2" xfId="7868" xr:uid="{00000000-0005-0000-0000-00005D160000}"/>
    <cellStyle name="Итог 2 23" xfId="3351" xr:uid="{00000000-0005-0000-0000-00005E160000}"/>
    <cellStyle name="Итог 2 23 2" xfId="7869" xr:uid="{00000000-0005-0000-0000-00005F160000}"/>
    <cellStyle name="Итог 2 24" xfId="3352" xr:uid="{00000000-0005-0000-0000-000060160000}"/>
    <cellStyle name="Итог 2 24 2" xfId="7870" xr:uid="{00000000-0005-0000-0000-000061160000}"/>
    <cellStyle name="Итог 2 25" xfId="3353" xr:uid="{00000000-0005-0000-0000-000062160000}"/>
    <cellStyle name="Итог 2 25 2" xfId="7871" xr:uid="{00000000-0005-0000-0000-000063160000}"/>
    <cellStyle name="Итог 2 26" xfId="3354" xr:uid="{00000000-0005-0000-0000-000064160000}"/>
    <cellStyle name="Итог 2 26 2" xfId="7872" xr:uid="{00000000-0005-0000-0000-000065160000}"/>
    <cellStyle name="Итог 2 27" xfId="3355" xr:uid="{00000000-0005-0000-0000-000066160000}"/>
    <cellStyle name="Итог 2 27 2" xfId="7873" xr:uid="{00000000-0005-0000-0000-000067160000}"/>
    <cellStyle name="Итог 2 28" xfId="3356" xr:uid="{00000000-0005-0000-0000-000068160000}"/>
    <cellStyle name="Итог 2 28 2" xfId="7874" xr:uid="{00000000-0005-0000-0000-000069160000}"/>
    <cellStyle name="Итог 2 29" xfId="3357" xr:uid="{00000000-0005-0000-0000-00006A160000}"/>
    <cellStyle name="Итог 2 29 2" xfId="7875" xr:uid="{00000000-0005-0000-0000-00006B160000}"/>
    <cellStyle name="Итог 2 3" xfId="3358" xr:uid="{00000000-0005-0000-0000-00006C160000}"/>
    <cellStyle name="Итог 2 3 2" xfId="3359" xr:uid="{00000000-0005-0000-0000-00006D160000}"/>
    <cellStyle name="Итог 2 3 2 2" xfId="7876" xr:uid="{00000000-0005-0000-0000-00006E160000}"/>
    <cellStyle name="Итог 2 3 3" xfId="3360" xr:uid="{00000000-0005-0000-0000-00006F160000}"/>
    <cellStyle name="Итог 2 3 3 2" xfId="7877" xr:uid="{00000000-0005-0000-0000-000070160000}"/>
    <cellStyle name="Итог 2 3 4" xfId="7878" xr:uid="{00000000-0005-0000-0000-000071160000}"/>
    <cellStyle name="Итог 2 30" xfId="3361" xr:uid="{00000000-0005-0000-0000-000072160000}"/>
    <cellStyle name="Итог 2 30 2" xfId="7879" xr:uid="{00000000-0005-0000-0000-000073160000}"/>
    <cellStyle name="Итог 2 31" xfId="3362" xr:uid="{00000000-0005-0000-0000-000074160000}"/>
    <cellStyle name="Итог 2 31 2" xfId="7880" xr:uid="{00000000-0005-0000-0000-000075160000}"/>
    <cellStyle name="Итог 2 32" xfId="3363" xr:uid="{00000000-0005-0000-0000-000076160000}"/>
    <cellStyle name="Итог 2 32 2" xfId="7881" xr:uid="{00000000-0005-0000-0000-000077160000}"/>
    <cellStyle name="Итог 2 33" xfId="3364" xr:uid="{00000000-0005-0000-0000-000078160000}"/>
    <cellStyle name="Итог 2 33 2" xfId="7882" xr:uid="{00000000-0005-0000-0000-000079160000}"/>
    <cellStyle name="Итог 2 34" xfId="3365" xr:uid="{00000000-0005-0000-0000-00007A160000}"/>
    <cellStyle name="Итог 2 34 2" xfId="7883" xr:uid="{00000000-0005-0000-0000-00007B160000}"/>
    <cellStyle name="Итог 2 35" xfId="3366" xr:uid="{00000000-0005-0000-0000-00007C160000}"/>
    <cellStyle name="Итог 2 35 2" xfId="7884" xr:uid="{00000000-0005-0000-0000-00007D160000}"/>
    <cellStyle name="Итог 2 36" xfId="3367" xr:uid="{00000000-0005-0000-0000-00007E160000}"/>
    <cellStyle name="Итог 2 36 2" xfId="7885" xr:uid="{00000000-0005-0000-0000-00007F160000}"/>
    <cellStyle name="Итог 2 37" xfId="3368" xr:uid="{00000000-0005-0000-0000-000080160000}"/>
    <cellStyle name="Итог 2 37 2" xfId="7886" xr:uid="{00000000-0005-0000-0000-000081160000}"/>
    <cellStyle name="Итог 2 38" xfId="3369" xr:uid="{00000000-0005-0000-0000-000082160000}"/>
    <cellStyle name="Итог 2 38 2" xfId="7887" xr:uid="{00000000-0005-0000-0000-000083160000}"/>
    <cellStyle name="Итог 2 39" xfId="3370" xr:uid="{00000000-0005-0000-0000-000084160000}"/>
    <cellStyle name="Итог 2 39 2" xfId="7888" xr:uid="{00000000-0005-0000-0000-000085160000}"/>
    <cellStyle name="Итог 2 4" xfId="3371" xr:uid="{00000000-0005-0000-0000-000086160000}"/>
    <cellStyle name="Итог 2 4 2" xfId="3372" xr:uid="{00000000-0005-0000-0000-000087160000}"/>
    <cellStyle name="Итог 2 4 2 2" xfId="7889" xr:uid="{00000000-0005-0000-0000-000088160000}"/>
    <cellStyle name="Итог 2 4 3" xfId="3373" xr:uid="{00000000-0005-0000-0000-000089160000}"/>
    <cellStyle name="Итог 2 4 3 2" xfId="7890" xr:uid="{00000000-0005-0000-0000-00008A160000}"/>
    <cellStyle name="Итог 2 4 4" xfId="7891" xr:uid="{00000000-0005-0000-0000-00008B160000}"/>
    <cellStyle name="Итог 2 40" xfId="3374" xr:uid="{00000000-0005-0000-0000-00008C160000}"/>
    <cellStyle name="Итог 2 40 2" xfId="7892" xr:uid="{00000000-0005-0000-0000-00008D160000}"/>
    <cellStyle name="Итог 2 41" xfId="3375" xr:uid="{00000000-0005-0000-0000-00008E160000}"/>
    <cellStyle name="Итог 2 41 2" xfId="7893" xr:uid="{00000000-0005-0000-0000-00008F160000}"/>
    <cellStyle name="Итог 2 42" xfId="3376" xr:uid="{00000000-0005-0000-0000-000090160000}"/>
    <cellStyle name="Итог 2 42 2" xfId="7894" xr:uid="{00000000-0005-0000-0000-000091160000}"/>
    <cellStyle name="Итог 2 43" xfId="3377" xr:uid="{00000000-0005-0000-0000-000092160000}"/>
    <cellStyle name="Итог 2 43 2" xfId="7895" xr:uid="{00000000-0005-0000-0000-000093160000}"/>
    <cellStyle name="Итог 2 44" xfId="3378" xr:uid="{00000000-0005-0000-0000-000094160000}"/>
    <cellStyle name="Итог 2 44 2" xfId="7896" xr:uid="{00000000-0005-0000-0000-000095160000}"/>
    <cellStyle name="Итог 2 45" xfId="3379" xr:uid="{00000000-0005-0000-0000-000096160000}"/>
    <cellStyle name="Итог 2 45 2" xfId="7897" xr:uid="{00000000-0005-0000-0000-000097160000}"/>
    <cellStyle name="Итог 2 46" xfId="3380" xr:uid="{00000000-0005-0000-0000-000098160000}"/>
    <cellStyle name="Итог 2 46 2" xfId="7898" xr:uid="{00000000-0005-0000-0000-000099160000}"/>
    <cellStyle name="Итог 2 47" xfId="3381" xr:uid="{00000000-0005-0000-0000-00009A160000}"/>
    <cellStyle name="Итог 2 47 2" xfId="7899" xr:uid="{00000000-0005-0000-0000-00009B160000}"/>
    <cellStyle name="Итог 2 48" xfId="3382" xr:uid="{00000000-0005-0000-0000-00009C160000}"/>
    <cellStyle name="Итог 2 48 2" xfId="7900" xr:uid="{00000000-0005-0000-0000-00009D160000}"/>
    <cellStyle name="Итог 2 49" xfId="3383" xr:uid="{00000000-0005-0000-0000-00009E160000}"/>
    <cellStyle name="Итог 2 49 2" xfId="7901" xr:uid="{00000000-0005-0000-0000-00009F160000}"/>
    <cellStyle name="Итог 2 5" xfId="3384" xr:uid="{00000000-0005-0000-0000-0000A0160000}"/>
    <cellStyle name="Итог 2 5 2" xfId="7902" xr:uid="{00000000-0005-0000-0000-0000A1160000}"/>
    <cellStyle name="Итог 2 50" xfId="3385" xr:uid="{00000000-0005-0000-0000-0000A2160000}"/>
    <cellStyle name="Итог 2 50 2" xfId="7903" xr:uid="{00000000-0005-0000-0000-0000A3160000}"/>
    <cellStyle name="Итог 2 51" xfId="3386" xr:uid="{00000000-0005-0000-0000-0000A4160000}"/>
    <cellStyle name="Итог 2 51 2" xfId="7904" xr:uid="{00000000-0005-0000-0000-0000A5160000}"/>
    <cellStyle name="Итог 2 52" xfId="3387" xr:uid="{00000000-0005-0000-0000-0000A6160000}"/>
    <cellStyle name="Итог 2 52 2" xfId="7905" xr:uid="{00000000-0005-0000-0000-0000A7160000}"/>
    <cellStyle name="Итог 2 53" xfId="3388" xr:uid="{00000000-0005-0000-0000-0000A8160000}"/>
    <cellStyle name="Итог 2 53 2" xfId="7906" xr:uid="{00000000-0005-0000-0000-0000A9160000}"/>
    <cellStyle name="Итог 2 54" xfId="3389" xr:uid="{00000000-0005-0000-0000-0000AA160000}"/>
    <cellStyle name="Итог 2 54 2" xfId="7907" xr:uid="{00000000-0005-0000-0000-0000AB160000}"/>
    <cellStyle name="Итог 2 55" xfId="3390" xr:uid="{00000000-0005-0000-0000-0000AC160000}"/>
    <cellStyle name="Итог 2 55 2" xfId="7908" xr:uid="{00000000-0005-0000-0000-0000AD160000}"/>
    <cellStyle name="Итог 2 56" xfId="3391" xr:uid="{00000000-0005-0000-0000-0000AE160000}"/>
    <cellStyle name="Итог 2 56 2" xfId="7909" xr:uid="{00000000-0005-0000-0000-0000AF160000}"/>
    <cellStyle name="Итог 2 57" xfId="3392" xr:uid="{00000000-0005-0000-0000-0000B0160000}"/>
    <cellStyle name="Итог 2 57 2" xfId="7910" xr:uid="{00000000-0005-0000-0000-0000B1160000}"/>
    <cellStyle name="Итог 2 58" xfId="3393" xr:uid="{00000000-0005-0000-0000-0000B2160000}"/>
    <cellStyle name="Итог 2 58 2" xfId="7911" xr:uid="{00000000-0005-0000-0000-0000B3160000}"/>
    <cellStyle name="Итог 2 59" xfId="3394" xr:uid="{00000000-0005-0000-0000-0000B4160000}"/>
    <cellStyle name="Итог 2 59 2" xfId="7912" xr:uid="{00000000-0005-0000-0000-0000B5160000}"/>
    <cellStyle name="Итог 2 6" xfId="3395" xr:uid="{00000000-0005-0000-0000-0000B6160000}"/>
    <cellStyle name="Итог 2 6 2" xfId="7913" xr:uid="{00000000-0005-0000-0000-0000B7160000}"/>
    <cellStyle name="Итог 2 60" xfId="3396" xr:uid="{00000000-0005-0000-0000-0000B8160000}"/>
    <cellStyle name="Итог 2 60 2" xfId="7914" xr:uid="{00000000-0005-0000-0000-0000B9160000}"/>
    <cellStyle name="Итог 2 61" xfId="3397" xr:uid="{00000000-0005-0000-0000-0000BA160000}"/>
    <cellStyle name="Итог 2 61 2" xfId="7915" xr:uid="{00000000-0005-0000-0000-0000BB160000}"/>
    <cellStyle name="Итог 2 62" xfId="3398" xr:uid="{00000000-0005-0000-0000-0000BC160000}"/>
    <cellStyle name="Итог 2 62 2" xfId="7916" xr:uid="{00000000-0005-0000-0000-0000BD160000}"/>
    <cellStyle name="Итог 2 63" xfId="3399" xr:uid="{00000000-0005-0000-0000-0000BE160000}"/>
    <cellStyle name="Итог 2 63 2" xfId="7917" xr:uid="{00000000-0005-0000-0000-0000BF160000}"/>
    <cellStyle name="Итог 2 64" xfId="3400" xr:uid="{00000000-0005-0000-0000-0000C0160000}"/>
    <cellStyle name="Итог 2 64 2" xfId="7918" xr:uid="{00000000-0005-0000-0000-0000C1160000}"/>
    <cellStyle name="Итог 2 65" xfId="3401" xr:uid="{00000000-0005-0000-0000-0000C2160000}"/>
    <cellStyle name="Итог 2 65 2" xfId="7919" xr:uid="{00000000-0005-0000-0000-0000C3160000}"/>
    <cellStyle name="Итог 2 66" xfId="3402" xr:uid="{00000000-0005-0000-0000-0000C4160000}"/>
    <cellStyle name="Итог 2 66 2" xfId="7920" xr:uid="{00000000-0005-0000-0000-0000C5160000}"/>
    <cellStyle name="Итог 2 67" xfId="3403" xr:uid="{00000000-0005-0000-0000-0000C6160000}"/>
    <cellStyle name="Итог 2 67 2" xfId="7921" xr:uid="{00000000-0005-0000-0000-0000C7160000}"/>
    <cellStyle name="Итог 2 68" xfId="3404" xr:uid="{00000000-0005-0000-0000-0000C8160000}"/>
    <cellStyle name="Итог 2 68 2" xfId="7922" xr:uid="{00000000-0005-0000-0000-0000C9160000}"/>
    <cellStyle name="Итог 2 69" xfId="3405" xr:uid="{00000000-0005-0000-0000-0000CA160000}"/>
    <cellStyle name="Итог 2 69 2" xfId="7923" xr:uid="{00000000-0005-0000-0000-0000CB160000}"/>
    <cellStyle name="Итог 2 7" xfId="3406" xr:uid="{00000000-0005-0000-0000-0000CC160000}"/>
    <cellStyle name="Итог 2 7 2" xfId="7924" xr:uid="{00000000-0005-0000-0000-0000CD160000}"/>
    <cellStyle name="Итог 2 70" xfId="3407" xr:uid="{00000000-0005-0000-0000-0000CE160000}"/>
    <cellStyle name="Итог 2 70 2" xfId="7925" xr:uid="{00000000-0005-0000-0000-0000CF160000}"/>
    <cellStyle name="Итог 2 71" xfId="3408" xr:uid="{00000000-0005-0000-0000-0000D0160000}"/>
    <cellStyle name="Итог 2 71 2" xfId="7926" xr:uid="{00000000-0005-0000-0000-0000D1160000}"/>
    <cellStyle name="Итог 2 72" xfId="3409" xr:uid="{00000000-0005-0000-0000-0000D2160000}"/>
    <cellStyle name="Итог 2 72 2" xfId="7927" xr:uid="{00000000-0005-0000-0000-0000D3160000}"/>
    <cellStyle name="Итог 2 73" xfId="3410" xr:uid="{00000000-0005-0000-0000-0000D4160000}"/>
    <cellStyle name="Итог 2 73 2" xfId="7928" xr:uid="{00000000-0005-0000-0000-0000D5160000}"/>
    <cellStyle name="Итог 2 74" xfId="3411" xr:uid="{00000000-0005-0000-0000-0000D6160000}"/>
    <cellStyle name="Итог 2 74 2" xfId="7929" xr:uid="{00000000-0005-0000-0000-0000D7160000}"/>
    <cellStyle name="Итог 2 75" xfId="3412" xr:uid="{00000000-0005-0000-0000-0000D8160000}"/>
    <cellStyle name="Итог 2 75 2" xfId="7930" xr:uid="{00000000-0005-0000-0000-0000D9160000}"/>
    <cellStyle name="Итог 2 76" xfId="3413" xr:uid="{00000000-0005-0000-0000-0000DA160000}"/>
    <cellStyle name="Итог 2 76 2" xfId="7931" xr:uid="{00000000-0005-0000-0000-0000DB160000}"/>
    <cellStyle name="Итог 2 77" xfId="3414" xr:uid="{00000000-0005-0000-0000-0000DC160000}"/>
    <cellStyle name="Итог 2 77 2" xfId="7932" xr:uid="{00000000-0005-0000-0000-0000DD160000}"/>
    <cellStyle name="Итог 2 78" xfId="3415" xr:uid="{00000000-0005-0000-0000-0000DE160000}"/>
    <cellStyle name="Итог 2 78 2" xfId="7933" xr:uid="{00000000-0005-0000-0000-0000DF160000}"/>
    <cellStyle name="Итог 2 79" xfId="3416" xr:uid="{00000000-0005-0000-0000-0000E0160000}"/>
    <cellStyle name="Итог 2 79 2" xfId="7934" xr:uid="{00000000-0005-0000-0000-0000E1160000}"/>
    <cellStyle name="Итог 2 8" xfId="3417" xr:uid="{00000000-0005-0000-0000-0000E2160000}"/>
    <cellStyle name="Итог 2 8 2" xfId="7935" xr:uid="{00000000-0005-0000-0000-0000E3160000}"/>
    <cellStyle name="Итог 2 80" xfId="3418" xr:uid="{00000000-0005-0000-0000-0000E4160000}"/>
    <cellStyle name="Итог 2 80 2" xfId="7936" xr:uid="{00000000-0005-0000-0000-0000E5160000}"/>
    <cellStyle name="Итог 2 81" xfId="3419" xr:uid="{00000000-0005-0000-0000-0000E6160000}"/>
    <cellStyle name="Итог 2 81 2" xfId="7937" xr:uid="{00000000-0005-0000-0000-0000E7160000}"/>
    <cellStyle name="Итог 2 82" xfId="3420" xr:uid="{00000000-0005-0000-0000-0000E8160000}"/>
    <cellStyle name="Итог 2 82 2" xfId="7938" xr:uid="{00000000-0005-0000-0000-0000E9160000}"/>
    <cellStyle name="Итог 2 83" xfId="3421" xr:uid="{00000000-0005-0000-0000-0000EA160000}"/>
    <cellStyle name="Итог 2 83 2" xfId="7939" xr:uid="{00000000-0005-0000-0000-0000EB160000}"/>
    <cellStyle name="Итог 2 84" xfId="3422" xr:uid="{00000000-0005-0000-0000-0000EC160000}"/>
    <cellStyle name="Итог 2 84 2" xfId="7940" xr:uid="{00000000-0005-0000-0000-0000ED160000}"/>
    <cellStyle name="Итог 2 85" xfId="3423" xr:uid="{00000000-0005-0000-0000-0000EE160000}"/>
    <cellStyle name="Итог 2 85 2" xfId="7941" xr:uid="{00000000-0005-0000-0000-0000EF160000}"/>
    <cellStyle name="Итог 2 86" xfId="3424" xr:uid="{00000000-0005-0000-0000-0000F0160000}"/>
    <cellStyle name="Итог 2 86 2" xfId="7942" xr:uid="{00000000-0005-0000-0000-0000F1160000}"/>
    <cellStyle name="Итог 2 87" xfId="3425" xr:uid="{00000000-0005-0000-0000-0000F2160000}"/>
    <cellStyle name="Итог 2 87 2" xfId="7943" xr:uid="{00000000-0005-0000-0000-0000F3160000}"/>
    <cellStyle name="Итог 2 88" xfId="3426" xr:uid="{00000000-0005-0000-0000-0000F4160000}"/>
    <cellStyle name="Итог 2 88 2" xfId="7944" xr:uid="{00000000-0005-0000-0000-0000F5160000}"/>
    <cellStyle name="Итог 2 89" xfId="3427" xr:uid="{00000000-0005-0000-0000-0000F6160000}"/>
    <cellStyle name="Итог 2 89 2" xfId="7945" xr:uid="{00000000-0005-0000-0000-0000F7160000}"/>
    <cellStyle name="Итог 2 9" xfId="3428" xr:uid="{00000000-0005-0000-0000-0000F8160000}"/>
    <cellStyle name="Итог 2 9 2" xfId="7946" xr:uid="{00000000-0005-0000-0000-0000F9160000}"/>
    <cellStyle name="Итог 2 90" xfId="3429" xr:uid="{00000000-0005-0000-0000-0000FA160000}"/>
    <cellStyle name="Итог 2 90 2" xfId="7947" xr:uid="{00000000-0005-0000-0000-0000FB160000}"/>
    <cellStyle name="Итог 2 91" xfId="3430" xr:uid="{00000000-0005-0000-0000-0000FC160000}"/>
    <cellStyle name="Итог 2 91 2" xfId="7948" xr:uid="{00000000-0005-0000-0000-0000FD160000}"/>
    <cellStyle name="Итог 2 92" xfId="7949" xr:uid="{00000000-0005-0000-0000-0000FE160000}"/>
    <cellStyle name="Итог 3" xfId="291" xr:uid="{00000000-0005-0000-0000-0000FF160000}"/>
    <cellStyle name="Итог 3 10" xfId="3431" xr:uid="{00000000-0005-0000-0000-000000170000}"/>
    <cellStyle name="Итог 3 10 2" xfId="7950" xr:uid="{00000000-0005-0000-0000-000001170000}"/>
    <cellStyle name="Итог 3 11" xfId="3432" xr:uid="{00000000-0005-0000-0000-000002170000}"/>
    <cellStyle name="Итог 3 11 2" xfId="7951" xr:uid="{00000000-0005-0000-0000-000003170000}"/>
    <cellStyle name="Итог 3 12" xfId="3433" xr:uid="{00000000-0005-0000-0000-000004170000}"/>
    <cellStyle name="Итог 3 12 2" xfId="7952" xr:uid="{00000000-0005-0000-0000-000005170000}"/>
    <cellStyle name="Итог 3 13" xfId="3434" xr:uid="{00000000-0005-0000-0000-000006170000}"/>
    <cellStyle name="Итог 3 13 2" xfId="7953" xr:uid="{00000000-0005-0000-0000-000007170000}"/>
    <cellStyle name="Итог 3 14" xfId="3435" xr:uid="{00000000-0005-0000-0000-000008170000}"/>
    <cellStyle name="Итог 3 14 2" xfId="7954" xr:uid="{00000000-0005-0000-0000-000009170000}"/>
    <cellStyle name="Итог 3 15" xfId="3436" xr:uid="{00000000-0005-0000-0000-00000A170000}"/>
    <cellStyle name="Итог 3 15 2" xfId="7955" xr:uid="{00000000-0005-0000-0000-00000B170000}"/>
    <cellStyle name="Итог 3 16" xfId="3437" xr:uid="{00000000-0005-0000-0000-00000C170000}"/>
    <cellStyle name="Итог 3 16 2" xfId="7956" xr:uid="{00000000-0005-0000-0000-00000D170000}"/>
    <cellStyle name="Итог 3 17" xfId="3438" xr:uid="{00000000-0005-0000-0000-00000E170000}"/>
    <cellStyle name="Итог 3 17 2" xfId="7957" xr:uid="{00000000-0005-0000-0000-00000F170000}"/>
    <cellStyle name="Итог 3 18" xfId="3439" xr:uid="{00000000-0005-0000-0000-000010170000}"/>
    <cellStyle name="Итог 3 18 2" xfId="7958" xr:uid="{00000000-0005-0000-0000-000011170000}"/>
    <cellStyle name="Итог 3 19" xfId="3440" xr:uid="{00000000-0005-0000-0000-000012170000}"/>
    <cellStyle name="Итог 3 19 2" xfId="7959" xr:uid="{00000000-0005-0000-0000-000013170000}"/>
    <cellStyle name="Итог 3 2" xfId="3441" xr:uid="{00000000-0005-0000-0000-000014170000}"/>
    <cellStyle name="Итог 3 2 2" xfId="3442" xr:uid="{00000000-0005-0000-0000-000015170000}"/>
    <cellStyle name="Итог 3 2 2 2" xfId="7960" xr:uid="{00000000-0005-0000-0000-000016170000}"/>
    <cellStyle name="Итог 3 2 3" xfId="3443" xr:uid="{00000000-0005-0000-0000-000017170000}"/>
    <cellStyle name="Итог 3 2 3 2" xfId="7961" xr:uid="{00000000-0005-0000-0000-000018170000}"/>
    <cellStyle name="Итог 3 2 4" xfId="7962" xr:uid="{00000000-0005-0000-0000-000019170000}"/>
    <cellStyle name="Итог 3 20" xfId="3444" xr:uid="{00000000-0005-0000-0000-00001A170000}"/>
    <cellStyle name="Итог 3 20 2" xfId="7963" xr:uid="{00000000-0005-0000-0000-00001B170000}"/>
    <cellStyle name="Итог 3 21" xfId="3445" xr:uid="{00000000-0005-0000-0000-00001C170000}"/>
    <cellStyle name="Итог 3 21 2" xfId="7964" xr:uid="{00000000-0005-0000-0000-00001D170000}"/>
    <cellStyle name="Итог 3 22" xfId="3446" xr:uid="{00000000-0005-0000-0000-00001E170000}"/>
    <cellStyle name="Итог 3 22 2" xfId="7965" xr:uid="{00000000-0005-0000-0000-00001F170000}"/>
    <cellStyle name="Итог 3 23" xfId="3447" xr:uid="{00000000-0005-0000-0000-000020170000}"/>
    <cellStyle name="Итог 3 23 2" xfId="7966" xr:uid="{00000000-0005-0000-0000-000021170000}"/>
    <cellStyle name="Итог 3 24" xfId="3448" xr:uid="{00000000-0005-0000-0000-000022170000}"/>
    <cellStyle name="Итог 3 24 2" xfId="7967" xr:uid="{00000000-0005-0000-0000-000023170000}"/>
    <cellStyle name="Итог 3 25" xfId="3449" xr:uid="{00000000-0005-0000-0000-000024170000}"/>
    <cellStyle name="Итог 3 25 2" xfId="7968" xr:uid="{00000000-0005-0000-0000-000025170000}"/>
    <cellStyle name="Итог 3 26" xfId="3450" xr:uid="{00000000-0005-0000-0000-000026170000}"/>
    <cellStyle name="Итог 3 26 2" xfId="7969" xr:uid="{00000000-0005-0000-0000-000027170000}"/>
    <cellStyle name="Итог 3 27" xfId="3451" xr:uid="{00000000-0005-0000-0000-000028170000}"/>
    <cellStyle name="Итог 3 27 2" xfId="7970" xr:uid="{00000000-0005-0000-0000-000029170000}"/>
    <cellStyle name="Итог 3 28" xfId="3452" xr:uid="{00000000-0005-0000-0000-00002A170000}"/>
    <cellStyle name="Итог 3 28 2" xfId="7971" xr:uid="{00000000-0005-0000-0000-00002B170000}"/>
    <cellStyle name="Итог 3 29" xfId="3453" xr:uid="{00000000-0005-0000-0000-00002C170000}"/>
    <cellStyle name="Итог 3 29 2" xfId="7972" xr:uid="{00000000-0005-0000-0000-00002D170000}"/>
    <cellStyle name="Итог 3 3" xfId="3454" xr:uid="{00000000-0005-0000-0000-00002E170000}"/>
    <cellStyle name="Итог 3 3 2" xfId="3455" xr:uid="{00000000-0005-0000-0000-00002F170000}"/>
    <cellStyle name="Итог 3 3 2 2" xfId="7973" xr:uid="{00000000-0005-0000-0000-000030170000}"/>
    <cellStyle name="Итог 3 3 3" xfId="3456" xr:uid="{00000000-0005-0000-0000-000031170000}"/>
    <cellStyle name="Итог 3 3 3 2" xfId="7974" xr:uid="{00000000-0005-0000-0000-000032170000}"/>
    <cellStyle name="Итог 3 3 4" xfId="7975" xr:uid="{00000000-0005-0000-0000-000033170000}"/>
    <cellStyle name="Итог 3 30" xfId="3457" xr:uid="{00000000-0005-0000-0000-000034170000}"/>
    <cellStyle name="Итог 3 30 2" xfId="7976" xr:uid="{00000000-0005-0000-0000-000035170000}"/>
    <cellStyle name="Итог 3 31" xfId="3458" xr:uid="{00000000-0005-0000-0000-000036170000}"/>
    <cellStyle name="Итог 3 31 2" xfId="7977" xr:uid="{00000000-0005-0000-0000-000037170000}"/>
    <cellStyle name="Итог 3 32" xfId="3459" xr:uid="{00000000-0005-0000-0000-000038170000}"/>
    <cellStyle name="Итог 3 32 2" xfId="7978" xr:uid="{00000000-0005-0000-0000-000039170000}"/>
    <cellStyle name="Итог 3 33" xfId="3460" xr:uid="{00000000-0005-0000-0000-00003A170000}"/>
    <cellStyle name="Итог 3 33 2" xfId="7979" xr:uid="{00000000-0005-0000-0000-00003B170000}"/>
    <cellStyle name="Итог 3 34" xfId="3461" xr:uid="{00000000-0005-0000-0000-00003C170000}"/>
    <cellStyle name="Итог 3 34 2" xfId="7980" xr:uid="{00000000-0005-0000-0000-00003D170000}"/>
    <cellStyle name="Итог 3 35" xfId="3462" xr:uid="{00000000-0005-0000-0000-00003E170000}"/>
    <cellStyle name="Итог 3 35 2" xfId="7981" xr:uid="{00000000-0005-0000-0000-00003F170000}"/>
    <cellStyle name="Итог 3 36" xfId="3463" xr:uid="{00000000-0005-0000-0000-000040170000}"/>
    <cellStyle name="Итог 3 36 2" xfId="7982" xr:uid="{00000000-0005-0000-0000-000041170000}"/>
    <cellStyle name="Итог 3 37" xfId="3464" xr:uid="{00000000-0005-0000-0000-000042170000}"/>
    <cellStyle name="Итог 3 37 2" xfId="7983" xr:uid="{00000000-0005-0000-0000-000043170000}"/>
    <cellStyle name="Итог 3 38" xfId="3465" xr:uid="{00000000-0005-0000-0000-000044170000}"/>
    <cellStyle name="Итог 3 38 2" xfId="7984" xr:uid="{00000000-0005-0000-0000-000045170000}"/>
    <cellStyle name="Итог 3 39" xfId="3466" xr:uid="{00000000-0005-0000-0000-000046170000}"/>
    <cellStyle name="Итог 3 39 2" xfId="7985" xr:uid="{00000000-0005-0000-0000-000047170000}"/>
    <cellStyle name="Итог 3 4" xfId="3467" xr:uid="{00000000-0005-0000-0000-000048170000}"/>
    <cellStyle name="Итог 3 4 2" xfId="3468" xr:uid="{00000000-0005-0000-0000-000049170000}"/>
    <cellStyle name="Итог 3 4 2 2" xfId="7986" xr:uid="{00000000-0005-0000-0000-00004A170000}"/>
    <cellStyle name="Итог 3 4 3" xfId="3469" xr:uid="{00000000-0005-0000-0000-00004B170000}"/>
    <cellStyle name="Итог 3 4 3 2" xfId="7987" xr:uid="{00000000-0005-0000-0000-00004C170000}"/>
    <cellStyle name="Итог 3 4 4" xfId="7988" xr:uid="{00000000-0005-0000-0000-00004D170000}"/>
    <cellStyle name="Итог 3 40" xfId="3470" xr:uid="{00000000-0005-0000-0000-00004E170000}"/>
    <cellStyle name="Итог 3 40 2" xfId="7989" xr:uid="{00000000-0005-0000-0000-00004F170000}"/>
    <cellStyle name="Итог 3 41" xfId="3471" xr:uid="{00000000-0005-0000-0000-000050170000}"/>
    <cellStyle name="Итог 3 41 2" xfId="7990" xr:uid="{00000000-0005-0000-0000-000051170000}"/>
    <cellStyle name="Итог 3 42" xfId="3472" xr:uid="{00000000-0005-0000-0000-000052170000}"/>
    <cellStyle name="Итог 3 42 2" xfId="7991" xr:uid="{00000000-0005-0000-0000-000053170000}"/>
    <cellStyle name="Итог 3 43" xfId="3473" xr:uid="{00000000-0005-0000-0000-000054170000}"/>
    <cellStyle name="Итог 3 43 2" xfId="7992" xr:uid="{00000000-0005-0000-0000-000055170000}"/>
    <cellStyle name="Итог 3 44" xfId="3474" xr:uid="{00000000-0005-0000-0000-000056170000}"/>
    <cellStyle name="Итог 3 44 2" xfId="7993" xr:uid="{00000000-0005-0000-0000-000057170000}"/>
    <cellStyle name="Итог 3 45" xfId="3475" xr:uid="{00000000-0005-0000-0000-000058170000}"/>
    <cellStyle name="Итог 3 45 2" xfId="7994" xr:uid="{00000000-0005-0000-0000-000059170000}"/>
    <cellStyle name="Итог 3 46" xfId="3476" xr:uid="{00000000-0005-0000-0000-00005A170000}"/>
    <cellStyle name="Итог 3 46 2" xfId="7995" xr:uid="{00000000-0005-0000-0000-00005B170000}"/>
    <cellStyle name="Итог 3 47" xfId="3477" xr:uid="{00000000-0005-0000-0000-00005C170000}"/>
    <cellStyle name="Итог 3 47 2" xfId="7996" xr:uid="{00000000-0005-0000-0000-00005D170000}"/>
    <cellStyle name="Итог 3 48" xfId="3478" xr:uid="{00000000-0005-0000-0000-00005E170000}"/>
    <cellStyle name="Итог 3 48 2" xfId="7997" xr:uid="{00000000-0005-0000-0000-00005F170000}"/>
    <cellStyle name="Итог 3 49" xfId="3479" xr:uid="{00000000-0005-0000-0000-000060170000}"/>
    <cellStyle name="Итог 3 49 2" xfId="7998" xr:uid="{00000000-0005-0000-0000-000061170000}"/>
    <cellStyle name="Итог 3 5" xfId="3480" xr:uid="{00000000-0005-0000-0000-000062170000}"/>
    <cellStyle name="Итог 3 5 2" xfId="7999" xr:uid="{00000000-0005-0000-0000-000063170000}"/>
    <cellStyle name="Итог 3 50" xfId="3481" xr:uid="{00000000-0005-0000-0000-000064170000}"/>
    <cellStyle name="Итог 3 50 2" xfId="8000" xr:uid="{00000000-0005-0000-0000-000065170000}"/>
    <cellStyle name="Итог 3 51" xfId="3482" xr:uid="{00000000-0005-0000-0000-000066170000}"/>
    <cellStyle name="Итог 3 51 2" xfId="8001" xr:uid="{00000000-0005-0000-0000-000067170000}"/>
    <cellStyle name="Итог 3 52" xfId="3483" xr:uid="{00000000-0005-0000-0000-000068170000}"/>
    <cellStyle name="Итог 3 52 2" xfId="8002" xr:uid="{00000000-0005-0000-0000-000069170000}"/>
    <cellStyle name="Итог 3 53" xfId="3484" xr:uid="{00000000-0005-0000-0000-00006A170000}"/>
    <cellStyle name="Итог 3 53 2" xfId="8003" xr:uid="{00000000-0005-0000-0000-00006B170000}"/>
    <cellStyle name="Итог 3 54" xfId="3485" xr:uid="{00000000-0005-0000-0000-00006C170000}"/>
    <cellStyle name="Итог 3 54 2" xfId="8004" xr:uid="{00000000-0005-0000-0000-00006D170000}"/>
    <cellStyle name="Итог 3 55" xfId="3486" xr:uid="{00000000-0005-0000-0000-00006E170000}"/>
    <cellStyle name="Итог 3 55 2" xfId="8005" xr:uid="{00000000-0005-0000-0000-00006F170000}"/>
    <cellStyle name="Итог 3 56" xfId="3487" xr:uid="{00000000-0005-0000-0000-000070170000}"/>
    <cellStyle name="Итог 3 56 2" xfId="8006" xr:uid="{00000000-0005-0000-0000-000071170000}"/>
    <cellStyle name="Итог 3 57" xfId="3488" xr:uid="{00000000-0005-0000-0000-000072170000}"/>
    <cellStyle name="Итог 3 57 2" xfId="8007" xr:uid="{00000000-0005-0000-0000-000073170000}"/>
    <cellStyle name="Итог 3 58" xfId="3489" xr:uid="{00000000-0005-0000-0000-000074170000}"/>
    <cellStyle name="Итог 3 58 2" xfId="8008" xr:uid="{00000000-0005-0000-0000-000075170000}"/>
    <cellStyle name="Итог 3 59" xfId="3490" xr:uid="{00000000-0005-0000-0000-000076170000}"/>
    <cellStyle name="Итог 3 59 2" xfId="8009" xr:uid="{00000000-0005-0000-0000-000077170000}"/>
    <cellStyle name="Итог 3 6" xfId="3491" xr:uid="{00000000-0005-0000-0000-000078170000}"/>
    <cellStyle name="Итог 3 6 2" xfId="8010" xr:uid="{00000000-0005-0000-0000-000079170000}"/>
    <cellStyle name="Итог 3 60" xfId="3492" xr:uid="{00000000-0005-0000-0000-00007A170000}"/>
    <cellStyle name="Итог 3 60 2" xfId="8011" xr:uid="{00000000-0005-0000-0000-00007B170000}"/>
    <cellStyle name="Итог 3 61" xfId="3493" xr:uid="{00000000-0005-0000-0000-00007C170000}"/>
    <cellStyle name="Итог 3 61 2" xfId="8012" xr:uid="{00000000-0005-0000-0000-00007D170000}"/>
    <cellStyle name="Итог 3 62" xfId="3494" xr:uid="{00000000-0005-0000-0000-00007E170000}"/>
    <cellStyle name="Итог 3 62 2" xfId="8013" xr:uid="{00000000-0005-0000-0000-00007F170000}"/>
    <cellStyle name="Итог 3 63" xfId="3495" xr:uid="{00000000-0005-0000-0000-000080170000}"/>
    <cellStyle name="Итог 3 63 2" xfId="8014" xr:uid="{00000000-0005-0000-0000-000081170000}"/>
    <cellStyle name="Итог 3 64" xfId="3496" xr:uid="{00000000-0005-0000-0000-000082170000}"/>
    <cellStyle name="Итог 3 64 2" xfId="8015" xr:uid="{00000000-0005-0000-0000-000083170000}"/>
    <cellStyle name="Итог 3 65" xfId="3497" xr:uid="{00000000-0005-0000-0000-000084170000}"/>
    <cellStyle name="Итог 3 65 2" xfId="8016" xr:uid="{00000000-0005-0000-0000-000085170000}"/>
    <cellStyle name="Итог 3 66" xfId="3498" xr:uid="{00000000-0005-0000-0000-000086170000}"/>
    <cellStyle name="Итог 3 66 2" xfId="8017" xr:uid="{00000000-0005-0000-0000-000087170000}"/>
    <cellStyle name="Итог 3 67" xfId="3499" xr:uid="{00000000-0005-0000-0000-000088170000}"/>
    <cellStyle name="Итог 3 67 2" xfId="8018" xr:uid="{00000000-0005-0000-0000-000089170000}"/>
    <cellStyle name="Итог 3 68" xfId="3500" xr:uid="{00000000-0005-0000-0000-00008A170000}"/>
    <cellStyle name="Итог 3 68 2" xfId="8019" xr:uid="{00000000-0005-0000-0000-00008B170000}"/>
    <cellStyle name="Итог 3 69" xfId="3501" xr:uid="{00000000-0005-0000-0000-00008C170000}"/>
    <cellStyle name="Итог 3 69 2" xfId="8020" xr:uid="{00000000-0005-0000-0000-00008D170000}"/>
    <cellStyle name="Итог 3 7" xfId="3502" xr:uid="{00000000-0005-0000-0000-00008E170000}"/>
    <cellStyle name="Итог 3 7 2" xfId="8021" xr:uid="{00000000-0005-0000-0000-00008F170000}"/>
    <cellStyle name="Итог 3 70" xfId="3503" xr:uid="{00000000-0005-0000-0000-000090170000}"/>
    <cellStyle name="Итог 3 70 2" xfId="8022" xr:uid="{00000000-0005-0000-0000-000091170000}"/>
    <cellStyle name="Итог 3 71" xfId="3504" xr:uid="{00000000-0005-0000-0000-000092170000}"/>
    <cellStyle name="Итог 3 71 2" xfId="8023" xr:uid="{00000000-0005-0000-0000-000093170000}"/>
    <cellStyle name="Итог 3 72" xfId="3505" xr:uid="{00000000-0005-0000-0000-000094170000}"/>
    <cellStyle name="Итог 3 72 2" xfId="8024" xr:uid="{00000000-0005-0000-0000-000095170000}"/>
    <cellStyle name="Итог 3 73" xfId="3506" xr:uid="{00000000-0005-0000-0000-000096170000}"/>
    <cellStyle name="Итог 3 73 2" xfId="8025" xr:uid="{00000000-0005-0000-0000-000097170000}"/>
    <cellStyle name="Итог 3 74" xfId="3507" xr:uid="{00000000-0005-0000-0000-000098170000}"/>
    <cellStyle name="Итог 3 74 2" xfId="8026" xr:uid="{00000000-0005-0000-0000-000099170000}"/>
    <cellStyle name="Итог 3 75" xfId="3508" xr:uid="{00000000-0005-0000-0000-00009A170000}"/>
    <cellStyle name="Итог 3 75 2" xfId="8027" xr:uid="{00000000-0005-0000-0000-00009B170000}"/>
    <cellStyle name="Итог 3 76" xfId="3509" xr:uid="{00000000-0005-0000-0000-00009C170000}"/>
    <cellStyle name="Итог 3 76 2" xfId="8028" xr:uid="{00000000-0005-0000-0000-00009D170000}"/>
    <cellStyle name="Итог 3 77" xfId="3510" xr:uid="{00000000-0005-0000-0000-00009E170000}"/>
    <cellStyle name="Итог 3 77 2" xfId="8029" xr:uid="{00000000-0005-0000-0000-00009F170000}"/>
    <cellStyle name="Итог 3 78" xfId="3511" xr:uid="{00000000-0005-0000-0000-0000A0170000}"/>
    <cellStyle name="Итог 3 78 2" xfId="8030" xr:uid="{00000000-0005-0000-0000-0000A1170000}"/>
    <cellStyle name="Итог 3 79" xfId="3512" xr:uid="{00000000-0005-0000-0000-0000A2170000}"/>
    <cellStyle name="Итог 3 79 2" xfId="8031" xr:uid="{00000000-0005-0000-0000-0000A3170000}"/>
    <cellStyle name="Итог 3 8" xfId="3513" xr:uid="{00000000-0005-0000-0000-0000A4170000}"/>
    <cellStyle name="Итог 3 8 2" xfId="8032" xr:uid="{00000000-0005-0000-0000-0000A5170000}"/>
    <cellStyle name="Итог 3 80" xfId="3514" xr:uid="{00000000-0005-0000-0000-0000A6170000}"/>
    <cellStyle name="Итог 3 80 2" xfId="8033" xr:uid="{00000000-0005-0000-0000-0000A7170000}"/>
    <cellStyle name="Итог 3 81" xfId="3515" xr:uid="{00000000-0005-0000-0000-0000A8170000}"/>
    <cellStyle name="Итог 3 81 2" xfId="8034" xr:uid="{00000000-0005-0000-0000-0000A9170000}"/>
    <cellStyle name="Итог 3 82" xfId="3516" xr:uid="{00000000-0005-0000-0000-0000AA170000}"/>
    <cellStyle name="Итог 3 82 2" xfId="8035" xr:uid="{00000000-0005-0000-0000-0000AB170000}"/>
    <cellStyle name="Итог 3 83" xfId="3517" xr:uid="{00000000-0005-0000-0000-0000AC170000}"/>
    <cellStyle name="Итог 3 83 2" xfId="8036" xr:uid="{00000000-0005-0000-0000-0000AD170000}"/>
    <cellStyle name="Итог 3 84" xfId="3518" xr:uid="{00000000-0005-0000-0000-0000AE170000}"/>
    <cellStyle name="Итог 3 84 2" xfId="8037" xr:uid="{00000000-0005-0000-0000-0000AF170000}"/>
    <cellStyle name="Итог 3 85" xfId="3519" xr:uid="{00000000-0005-0000-0000-0000B0170000}"/>
    <cellStyle name="Итог 3 85 2" xfId="8038" xr:uid="{00000000-0005-0000-0000-0000B1170000}"/>
    <cellStyle name="Итог 3 86" xfId="3520" xr:uid="{00000000-0005-0000-0000-0000B2170000}"/>
    <cellStyle name="Итог 3 86 2" xfId="8039" xr:uid="{00000000-0005-0000-0000-0000B3170000}"/>
    <cellStyle name="Итог 3 87" xfId="3521" xr:uid="{00000000-0005-0000-0000-0000B4170000}"/>
    <cellStyle name="Итог 3 87 2" xfId="8040" xr:uid="{00000000-0005-0000-0000-0000B5170000}"/>
    <cellStyle name="Итог 3 88" xfId="3522" xr:uid="{00000000-0005-0000-0000-0000B6170000}"/>
    <cellStyle name="Итог 3 88 2" xfId="8041" xr:uid="{00000000-0005-0000-0000-0000B7170000}"/>
    <cellStyle name="Итог 3 89" xfId="3523" xr:uid="{00000000-0005-0000-0000-0000B8170000}"/>
    <cellStyle name="Итог 3 89 2" xfId="8042" xr:uid="{00000000-0005-0000-0000-0000B9170000}"/>
    <cellStyle name="Итог 3 9" xfId="3524" xr:uid="{00000000-0005-0000-0000-0000BA170000}"/>
    <cellStyle name="Итог 3 9 2" xfId="8043" xr:uid="{00000000-0005-0000-0000-0000BB170000}"/>
    <cellStyle name="Итог 3 90" xfId="3525" xr:uid="{00000000-0005-0000-0000-0000BC170000}"/>
    <cellStyle name="Итог 3 90 2" xfId="8044" xr:uid="{00000000-0005-0000-0000-0000BD170000}"/>
    <cellStyle name="Итог 3 91" xfId="3526" xr:uid="{00000000-0005-0000-0000-0000BE170000}"/>
    <cellStyle name="Итог 3 91 2" xfId="8045" xr:uid="{00000000-0005-0000-0000-0000BF170000}"/>
    <cellStyle name="Итог 3 92" xfId="8046" xr:uid="{00000000-0005-0000-0000-0000C0170000}"/>
    <cellStyle name="Итог 4" xfId="292" xr:uid="{00000000-0005-0000-0000-0000C1170000}"/>
    <cellStyle name="Итог 4 10" xfId="3527" xr:uid="{00000000-0005-0000-0000-0000C2170000}"/>
    <cellStyle name="Итог 4 10 2" xfId="8047" xr:uid="{00000000-0005-0000-0000-0000C3170000}"/>
    <cellStyle name="Итог 4 11" xfId="3528" xr:uid="{00000000-0005-0000-0000-0000C4170000}"/>
    <cellStyle name="Итог 4 11 2" xfId="8048" xr:uid="{00000000-0005-0000-0000-0000C5170000}"/>
    <cellStyle name="Итог 4 12" xfId="3529" xr:uid="{00000000-0005-0000-0000-0000C6170000}"/>
    <cellStyle name="Итог 4 12 2" xfId="8049" xr:uid="{00000000-0005-0000-0000-0000C7170000}"/>
    <cellStyle name="Итог 4 13" xfId="3530" xr:uid="{00000000-0005-0000-0000-0000C8170000}"/>
    <cellStyle name="Итог 4 13 2" xfId="8050" xr:uid="{00000000-0005-0000-0000-0000C9170000}"/>
    <cellStyle name="Итог 4 14" xfId="3531" xr:uid="{00000000-0005-0000-0000-0000CA170000}"/>
    <cellStyle name="Итог 4 14 2" xfId="8051" xr:uid="{00000000-0005-0000-0000-0000CB170000}"/>
    <cellStyle name="Итог 4 15" xfId="3532" xr:uid="{00000000-0005-0000-0000-0000CC170000}"/>
    <cellStyle name="Итог 4 15 2" xfId="8052" xr:uid="{00000000-0005-0000-0000-0000CD170000}"/>
    <cellStyle name="Итог 4 16" xfId="3533" xr:uid="{00000000-0005-0000-0000-0000CE170000}"/>
    <cellStyle name="Итог 4 16 2" xfId="8053" xr:uid="{00000000-0005-0000-0000-0000CF170000}"/>
    <cellStyle name="Итог 4 17" xfId="3534" xr:uid="{00000000-0005-0000-0000-0000D0170000}"/>
    <cellStyle name="Итог 4 17 2" xfId="8054" xr:uid="{00000000-0005-0000-0000-0000D1170000}"/>
    <cellStyle name="Итог 4 18" xfId="3535" xr:uid="{00000000-0005-0000-0000-0000D2170000}"/>
    <cellStyle name="Итог 4 18 2" xfId="8055" xr:uid="{00000000-0005-0000-0000-0000D3170000}"/>
    <cellStyle name="Итог 4 19" xfId="3536" xr:uid="{00000000-0005-0000-0000-0000D4170000}"/>
    <cellStyle name="Итог 4 19 2" xfId="8056" xr:uid="{00000000-0005-0000-0000-0000D5170000}"/>
    <cellStyle name="Итог 4 2" xfId="3537" xr:uid="{00000000-0005-0000-0000-0000D6170000}"/>
    <cellStyle name="Итог 4 2 2" xfId="3538" xr:uid="{00000000-0005-0000-0000-0000D7170000}"/>
    <cellStyle name="Итог 4 2 2 2" xfId="8057" xr:uid="{00000000-0005-0000-0000-0000D8170000}"/>
    <cellStyle name="Итог 4 2 3" xfId="3539" xr:uid="{00000000-0005-0000-0000-0000D9170000}"/>
    <cellStyle name="Итог 4 2 3 2" xfId="8058" xr:uid="{00000000-0005-0000-0000-0000DA170000}"/>
    <cellStyle name="Итог 4 2 4" xfId="8059" xr:uid="{00000000-0005-0000-0000-0000DB170000}"/>
    <cellStyle name="Итог 4 20" xfId="3540" xr:uid="{00000000-0005-0000-0000-0000DC170000}"/>
    <cellStyle name="Итог 4 20 2" xfId="8060" xr:uid="{00000000-0005-0000-0000-0000DD170000}"/>
    <cellStyle name="Итог 4 21" xfId="3541" xr:uid="{00000000-0005-0000-0000-0000DE170000}"/>
    <cellStyle name="Итог 4 21 2" xfId="8061" xr:uid="{00000000-0005-0000-0000-0000DF170000}"/>
    <cellStyle name="Итог 4 22" xfId="3542" xr:uid="{00000000-0005-0000-0000-0000E0170000}"/>
    <cellStyle name="Итог 4 22 2" xfId="8062" xr:uid="{00000000-0005-0000-0000-0000E1170000}"/>
    <cellStyle name="Итог 4 23" xfId="3543" xr:uid="{00000000-0005-0000-0000-0000E2170000}"/>
    <cellStyle name="Итог 4 23 2" xfId="8063" xr:uid="{00000000-0005-0000-0000-0000E3170000}"/>
    <cellStyle name="Итог 4 24" xfId="3544" xr:uid="{00000000-0005-0000-0000-0000E4170000}"/>
    <cellStyle name="Итог 4 24 2" xfId="8064" xr:uid="{00000000-0005-0000-0000-0000E5170000}"/>
    <cellStyle name="Итог 4 25" xfId="3545" xr:uid="{00000000-0005-0000-0000-0000E6170000}"/>
    <cellStyle name="Итог 4 25 2" xfId="8065" xr:uid="{00000000-0005-0000-0000-0000E7170000}"/>
    <cellStyle name="Итог 4 26" xfId="3546" xr:uid="{00000000-0005-0000-0000-0000E8170000}"/>
    <cellStyle name="Итог 4 26 2" xfId="8066" xr:uid="{00000000-0005-0000-0000-0000E9170000}"/>
    <cellStyle name="Итог 4 27" xfId="3547" xr:uid="{00000000-0005-0000-0000-0000EA170000}"/>
    <cellStyle name="Итог 4 27 2" xfId="8067" xr:uid="{00000000-0005-0000-0000-0000EB170000}"/>
    <cellStyle name="Итог 4 28" xfId="3548" xr:uid="{00000000-0005-0000-0000-0000EC170000}"/>
    <cellStyle name="Итог 4 28 2" xfId="8068" xr:uid="{00000000-0005-0000-0000-0000ED170000}"/>
    <cellStyle name="Итог 4 29" xfId="3549" xr:uid="{00000000-0005-0000-0000-0000EE170000}"/>
    <cellStyle name="Итог 4 29 2" xfId="8069" xr:uid="{00000000-0005-0000-0000-0000EF170000}"/>
    <cellStyle name="Итог 4 3" xfId="3550" xr:uid="{00000000-0005-0000-0000-0000F0170000}"/>
    <cellStyle name="Итог 4 3 2" xfId="3551" xr:uid="{00000000-0005-0000-0000-0000F1170000}"/>
    <cellStyle name="Итог 4 3 2 2" xfId="8070" xr:uid="{00000000-0005-0000-0000-0000F2170000}"/>
    <cellStyle name="Итог 4 3 3" xfId="3552" xr:uid="{00000000-0005-0000-0000-0000F3170000}"/>
    <cellStyle name="Итог 4 3 3 2" xfId="8071" xr:uid="{00000000-0005-0000-0000-0000F4170000}"/>
    <cellStyle name="Итог 4 3 4" xfId="8072" xr:uid="{00000000-0005-0000-0000-0000F5170000}"/>
    <cellStyle name="Итог 4 30" xfId="3553" xr:uid="{00000000-0005-0000-0000-0000F6170000}"/>
    <cellStyle name="Итог 4 30 2" xfId="8073" xr:uid="{00000000-0005-0000-0000-0000F7170000}"/>
    <cellStyle name="Итог 4 31" xfId="3554" xr:uid="{00000000-0005-0000-0000-0000F8170000}"/>
    <cellStyle name="Итог 4 31 2" xfId="8074" xr:uid="{00000000-0005-0000-0000-0000F9170000}"/>
    <cellStyle name="Итог 4 32" xfId="3555" xr:uid="{00000000-0005-0000-0000-0000FA170000}"/>
    <cellStyle name="Итог 4 32 2" xfId="8075" xr:uid="{00000000-0005-0000-0000-0000FB170000}"/>
    <cellStyle name="Итог 4 33" xfId="3556" xr:uid="{00000000-0005-0000-0000-0000FC170000}"/>
    <cellStyle name="Итог 4 33 2" xfId="8076" xr:uid="{00000000-0005-0000-0000-0000FD170000}"/>
    <cellStyle name="Итог 4 34" xfId="3557" xr:uid="{00000000-0005-0000-0000-0000FE170000}"/>
    <cellStyle name="Итог 4 34 2" xfId="8077" xr:uid="{00000000-0005-0000-0000-0000FF170000}"/>
    <cellStyle name="Итог 4 35" xfId="3558" xr:uid="{00000000-0005-0000-0000-000000180000}"/>
    <cellStyle name="Итог 4 35 2" xfId="8078" xr:uid="{00000000-0005-0000-0000-000001180000}"/>
    <cellStyle name="Итог 4 36" xfId="3559" xr:uid="{00000000-0005-0000-0000-000002180000}"/>
    <cellStyle name="Итог 4 36 2" xfId="8079" xr:uid="{00000000-0005-0000-0000-000003180000}"/>
    <cellStyle name="Итог 4 37" xfId="3560" xr:uid="{00000000-0005-0000-0000-000004180000}"/>
    <cellStyle name="Итог 4 37 2" xfId="8080" xr:uid="{00000000-0005-0000-0000-000005180000}"/>
    <cellStyle name="Итог 4 38" xfId="3561" xr:uid="{00000000-0005-0000-0000-000006180000}"/>
    <cellStyle name="Итог 4 38 2" xfId="8081" xr:uid="{00000000-0005-0000-0000-000007180000}"/>
    <cellStyle name="Итог 4 39" xfId="3562" xr:uid="{00000000-0005-0000-0000-000008180000}"/>
    <cellStyle name="Итог 4 39 2" xfId="8082" xr:uid="{00000000-0005-0000-0000-000009180000}"/>
    <cellStyle name="Итог 4 4" xfId="3563" xr:uid="{00000000-0005-0000-0000-00000A180000}"/>
    <cellStyle name="Итог 4 4 2" xfId="3564" xr:uid="{00000000-0005-0000-0000-00000B180000}"/>
    <cellStyle name="Итог 4 4 2 2" xfId="8083" xr:uid="{00000000-0005-0000-0000-00000C180000}"/>
    <cellStyle name="Итог 4 4 3" xfId="3565" xr:uid="{00000000-0005-0000-0000-00000D180000}"/>
    <cellStyle name="Итог 4 4 3 2" xfId="8084" xr:uid="{00000000-0005-0000-0000-00000E180000}"/>
    <cellStyle name="Итог 4 4 4" xfId="8085" xr:uid="{00000000-0005-0000-0000-00000F180000}"/>
    <cellStyle name="Итог 4 40" xfId="3566" xr:uid="{00000000-0005-0000-0000-000010180000}"/>
    <cellStyle name="Итог 4 40 2" xfId="8086" xr:uid="{00000000-0005-0000-0000-000011180000}"/>
    <cellStyle name="Итог 4 41" xfId="3567" xr:uid="{00000000-0005-0000-0000-000012180000}"/>
    <cellStyle name="Итог 4 41 2" xfId="8087" xr:uid="{00000000-0005-0000-0000-000013180000}"/>
    <cellStyle name="Итог 4 42" xfId="3568" xr:uid="{00000000-0005-0000-0000-000014180000}"/>
    <cellStyle name="Итог 4 42 2" xfId="8088" xr:uid="{00000000-0005-0000-0000-000015180000}"/>
    <cellStyle name="Итог 4 43" xfId="3569" xr:uid="{00000000-0005-0000-0000-000016180000}"/>
    <cellStyle name="Итог 4 43 2" xfId="8089" xr:uid="{00000000-0005-0000-0000-000017180000}"/>
    <cellStyle name="Итог 4 44" xfId="3570" xr:uid="{00000000-0005-0000-0000-000018180000}"/>
    <cellStyle name="Итог 4 44 2" xfId="8090" xr:uid="{00000000-0005-0000-0000-000019180000}"/>
    <cellStyle name="Итог 4 45" xfId="3571" xr:uid="{00000000-0005-0000-0000-00001A180000}"/>
    <cellStyle name="Итог 4 45 2" xfId="8091" xr:uid="{00000000-0005-0000-0000-00001B180000}"/>
    <cellStyle name="Итог 4 46" xfId="3572" xr:uid="{00000000-0005-0000-0000-00001C180000}"/>
    <cellStyle name="Итог 4 46 2" xfId="8092" xr:uid="{00000000-0005-0000-0000-00001D180000}"/>
    <cellStyle name="Итог 4 47" xfId="3573" xr:uid="{00000000-0005-0000-0000-00001E180000}"/>
    <cellStyle name="Итог 4 47 2" xfId="8093" xr:uid="{00000000-0005-0000-0000-00001F180000}"/>
    <cellStyle name="Итог 4 48" xfId="3574" xr:uid="{00000000-0005-0000-0000-000020180000}"/>
    <cellStyle name="Итог 4 48 2" xfId="8094" xr:uid="{00000000-0005-0000-0000-000021180000}"/>
    <cellStyle name="Итог 4 49" xfId="3575" xr:uid="{00000000-0005-0000-0000-000022180000}"/>
    <cellStyle name="Итог 4 49 2" xfId="8095" xr:uid="{00000000-0005-0000-0000-000023180000}"/>
    <cellStyle name="Итог 4 5" xfId="3576" xr:uid="{00000000-0005-0000-0000-000024180000}"/>
    <cellStyle name="Итог 4 5 2" xfId="8096" xr:uid="{00000000-0005-0000-0000-000025180000}"/>
    <cellStyle name="Итог 4 50" xfId="3577" xr:uid="{00000000-0005-0000-0000-000026180000}"/>
    <cellStyle name="Итог 4 50 2" xfId="8097" xr:uid="{00000000-0005-0000-0000-000027180000}"/>
    <cellStyle name="Итог 4 51" xfId="3578" xr:uid="{00000000-0005-0000-0000-000028180000}"/>
    <cellStyle name="Итог 4 51 2" xfId="8098" xr:uid="{00000000-0005-0000-0000-000029180000}"/>
    <cellStyle name="Итог 4 52" xfId="3579" xr:uid="{00000000-0005-0000-0000-00002A180000}"/>
    <cellStyle name="Итог 4 52 2" xfId="8099" xr:uid="{00000000-0005-0000-0000-00002B180000}"/>
    <cellStyle name="Итог 4 53" xfId="3580" xr:uid="{00000000-0005-0000-0000-00002C180000}"/>
    <cellStyle name="Итог 4 53 2" xfId="8100" xr:uid="{00000000-0005-0000-0000-00002D180000}"/>
    <cellStyle name="Итог 4 54" xfId="3581" xr:uid="{00000000-0005-0000-0000-00002E180000}"/>
    <cellStyle name="Итог 4 54 2" xfId="8101" xr:uid="{00000000-0005-0000-0000-00002F180000}"/>
    <cellStyle name="Итог 4 55" xfId="3582" xr:uid="{00000000-0005-0000-0000-000030180000}"/>
    <cellStyle name="Итог 4 55 2" xfId="8102" xr:uid="{00000000-0005-0000-0000-000031180000}"/>
    <cellStyle name="Итог 4 56" xfId="3583" xr:uid="{00000000-0005-0000-0000-000032180000}"/>
    <cellStyle name="Итог 4 56 2" xfId="8103" xr:uid="{00000000-0005-0000-0000-000033180000}"/>
    <cellStyle name="Итог 4 57" xfId="3584" xr:uid="{00000000-0005-0000-0000-000034180000}"/>
    <cellStyle name="Итог 4 57 2" xfId="8104" xr:uid="{00000000-0005-0000-0000-000035180000}"/>
    <cellStyle name="Итог 4 58" xfId="3585" xr:uid="{00000000-0005-0000-0000-000036180000}"/>
    <cellStyle name="Итог 4 58 2" xfId="8105" xr:uid="{00000000-0005-0000-0000-000037180000}"/>
    <cellStyle name="Итог 4 59" xfId="3586" xr:uid="{00000000-0005-0000-0000-000038180000}"/>
    <cellStyle name="Итог 4 59 2" xfId="8106" xr:uid="{00000000-0005-0000-0000-000039180000}"/>
    <cellStyle name="Итог 4 6" xfId="3587" xr:uid="{00000000-0005-0000-0000-00003A180000}"/>
    <cellStyle name="Итог 4 6 2" xfId="8107" xr:uid="{00000000-0005-0000-0000-00003B180000}"/>
    <cellStyle name="Итог 4 60" xfId="3588" xr:uid="{00000000-0005-0000-0000-00003C180000}"/>
    <cellStyle name="Итог 4 60 2" xfId="8108" xr:uid="{00000000-0005-0000-0000-00003D180000}"/>
    <cellStyle name="Итог 4 61" xfId="3589" xr:uid="{00000000-0005-0000-0000-00003E180000}"/>
    <cellStyle name="Итог 4 61 2" xfId="8109" xr:uid="{00000000-0005-0000-0000-00003F180000}"/>
    <cellStyle name="Итог 4 62" xfId="3590" xr:uid="{00000000-0005-0000-0000-000040180000}"/>
    <cellStyle name="Итог 4 62 2" xfId="8110" xr:uid="{00000000-0005-0000-0000-000041180000}"/>
    <cellStyle name="Итог 4 63" xfId="3591" xr:uid="{00000000-0005-0000-0000-000042180000}"/>
    <cellStyle name="Итог 4 63 2" xfId="8111" xr:uid="{00000000-0005-0000-0000-000043180000}"/>
    <cellStyle name="Итог 4 64" xfId="3592" xr:uid="{00000000-0005-0000-0000-000044180000}"/>
    <cellStyle name="Итог 4 64 2" xfId="8112" xr:uid="{00000000-0005-0000-0000-000045180000}"/>
    <cellStyle name="Итог 4 65" xfId="3593" xr:uid="{00000000-0005-0000-0000-000046180000}"/>
    <cellStyle name="Итог 4 65 2" xfId="8113" xr:uid="{00000000-0005-0000-0000-000047180000}"/>
    <cellStyle name="Итог 4 66" xfId="3594" xr:uid="{00000000-0005-0000-0000-000048180000}"/>
    <cellStyle name="Итог 4 66 2" xfId="8114" xr:uid="{00000000-0005-0000-0000-000049180000}"/>
    <cellStyle name="Итог 4 67" xfId="3595" xr:uid="{00000000-0005-0000-0000-00004A180000}"/>
    <cellStyle name="Итог 4 67 2" xfId="8115" xr:uid="{00000000-0005-0000-0000-00004B180000}"/>
    <cellStyle name="Итог 4 68" xfId="3596" xr:uid="{00000000-0005-0000-0000-00004C180000}"/>
    <cellStyle name="Итог 4 68 2" xfId="8116" xr:uid="{00000000-0005-0000-0000-00004D180000}"/>
    <cellStyle name="Итог 4 69" xfId="3597" xr:uid="{00000000-0005-0000-0000-00004E180000}"/>
    <cellStyle name="Итог 4 69 2" xfId="8117" xr:uid="{00000000-0005-0000-0000-00004F180000}"/>
    <cellStyle name="Итог 4 7" xfId="3598" xr:uid="{00000000-0005-0000-0000-000050180000}"/>
    <cellStyle name="Итог 4 7 2" xfId="8118" xr:uid="{00000000-0005-0000-0000-000051180000}"/>
    <cellStyle name="Итог 4 70" xfId="3599" xr:uid="{00000000-0005-0000-0000-000052180000}"/>
    <cellStyle name="Итог 4 70 2" xfId="8119" xr:uid="{00000000-0005-0000-0000-000053180000}"/>
    <cellStyle name="Итог 4 71" xfId="3600" xr:uid="{00000000-0005-0000-0000-000054180000}"/>
    <cellStyle name="Итог 4 71 2" xfId="8120" xr:uid="{00000000-0005-0000-0000-000055180000}"/>
    <cellStyle name="Итог 4 72" xfId="3601" xr:uid="{00000000-0005-0000-0000-000056180000}"/>
    <cellStyle name="Итог 4 72 2" xfId="8121" xr:uid="{00000000-0005-0000-0000-000057180000}"/>
    <cellStyle name="Итог 4 73" xfId="3602" xr:uid="{00000000-0005-0000-0000-000058180000}"/>
    <cellStyle name="Итог 4 73 2" xfId="8122" xr:uid="{00000000-0005-0000-0000-000059180000}"/>
    <cellStyle name="Итог 4 74" xfId="3603" xr:uid="{00000000-0005-0000-0000-00005A180000}"/>
    <cellStyle name="Итог 4 74 2" xfId="8123" xr:uid="{00000000-0005-0000-0000-00005B180000}"/>
    <cellStyle name="Итог 4 75" xfId="3604" xr:uid="{00000000-0005-0000-0000-00005C180000}"/>
    <cellStyle name="Итог 4 75 2" xfId="8124" xr:uid="{00000000-0005-0000-0000-00005D180000}"/>
    <cellStyle name="Итог 4 76" xfId="3605" xr:uid="{00000000-0005-0000-0000-00005E180000}"/>
    <cellStyle name="Итог 4 76 2" xfId="8125" xr:uid="{00000000-0005-0000-0000-00005F180000}"/>
    <cellStyle name="Итог 4 77" xfId="3606" xr:uid="{00000000-0005-0000-0000-000060180000}"/>
    <cellStyle name="Итог 4 77 2" xfId="8126" xr:uid="{00000000-0005-0000-0000-000061180000}"/>
    <cellStyle name="Итог 4 78" xfId="3607" xr:uid="{00000000-0005-0000-0000-000062180000}"/>
    <cellStyle name="Итог 4 78 2" xfId="8127" xr:uid="{00000000-0005-0000-0000-000063180000}"/>
    <cellStyle name="Итог 4 79" xfId="3608" xr:uid="{00000000-0005-0000-0000-000064180000}"/>
    <cellStyle name="Итог 4 79 2" xfId="8128" xr:uid="{00000000-0005-0000-0000-000065180000}"/>
    <cellStyle name="Итог 4 8" xfId="3609" xr:uid="{00000000-0005-0000-0000-000066180000}"/>
    <cellStyle name="Итог 4 8 2" xfId="8129" xr:uid="{00000000-0005-0000-0000-000067180000}"/>
    <cellStyle name="Итог 4 80" xfId="3610" xr:uid="{00000000-0005-0000-0000-000068180000}"/>
    <cellStyle name="Итог 4 80 2" xfId="8130" xr:uid="{00000000-0005-0000-0000-000069180000}"/>
    <cellStyle name="Итог 4 81" xfId="3611" xr:uid="{00000000-0005-0000-0000-00006A180000}"/>
    <cellStyle name="Итог 4 81 2" xfId="8131" xr:uid="{00000000-0005-0000-0000-00006B180000}"/>
    <cellStyle name="Итог 4 82" xfId="3612" xr:uid="{00000000-0005-0000-0000-00006C180000}"/>
    <cellStyle name="Итог 4 82 2" xfId="8132" xr:uid="{00000000-0005-0000-0000-00006D180000}"/>
    <cellStyle name="Итог 4 83" xfId="3613" xr:uid="{00000000-0005-0000-0000-00006E180000}"/>
    <cellStyle name="Итог 4 83 2" xfId="8133" xr:uid="{00000000-0005-0000-0000-00006F180000}"/>
    <cellStyle name="Итог 4 84" xfId="3614" xr:uid="{00000000-0005-0000-0000-000070180000}"/>
    <cellStyle name="Итог 4 84 2" xfId="8134" xr:uid="{00000000-0005-0000-0000-000071180000}"/>
    <cellStyle name="Итог 4 85" xfId="3615" xr:uid="{00000000-0005-0000-0000-000072180000}"/>
    <cellStyle name="Итог 4 85 2" xfId="8135" xr:uid="{00000000-0005-0000-0000-000073180000}"/>
    <cellStyle name="Итог 4 86" xfId="3616" xr:uid="{00000000-0005-0000-0000-000074180000}"/>
    <cellStyle name="Итог 4 86 2" xfId="8136" xr:uid="{00000000-0005-0000-0000-000075180000}"/>
    <cellStyle name="Итог 4 87" xfId="3617" xr:uid="{00000000-0005-0000-0000-000076180000}"/>
    <cellStyle name="Итог 4 87 2" xfId="8137" xr:uid="{00000000-0005-0000-0000-000077180000}"/>
    <cellStyle name="Итог 4 88" xfId="3618" xr:uid="{00000000-0005-0000-0000-000078180000}"/>
    <cellStyle name="Итог 4 88 2" xfId="8138" xr:uid="{00000000-0005-0000-0000-000079180000}"/>
    <cellStyle name="Итог 4 89" xfId="3619" xr:uid="{00000000-0005-0000-0000-00007A180000}"/>
    <cellStyle name="Итог 4 89 2" xfId="8139" xr:uid="{00000000-0005-0000-0000-00007B180000}"/>
    <cellStyle name="Итог 4 9" xfId="3620" xr:uid="{00000000-0005-0000-0000-00007C180000}"/>
    <cellStyle name="Итог 4 9 2" xfId="8140" xr:uid="{00000000-0005-0000-0000-00007D180000}"/>
    <cellStyle name="Итог 4 90" xfId="3621" xr:uid="{00000000-0005-0000-0000-00007E180000}"/>
    <cellStyle name="Итог 4 90 2" xfId="8141" xr:uid="{00000000-0005-0000-0000-00007F180000}"/>
    <cellStyle name="Итог 4 91" xfId="3622" xr:uid="{00000000-0005-0000-0000-000080180000}"/>
    <cellStyle name="Итог 4 91 2" xfId="8142" xr:uid="{00000000-0005-0000-0000-000081180000}"/>
    <cellStyle name="Итог 4 92" xfId="8143" xr:uid="{00000000-0005-0000-0000-000082180000}"/>
    <cellStyle name="Итог 5" xfId="293" xr:uid="{00000000-0005-0000-0000-000083180000}"/>
    <cellStyle name="Итог 5 10" xfId="3623" xr:uid="{00000000-0005-0000-0000-000084180000}"/>
    <cellStyle name="Итог 5 10 2" xfId="8144" xr:uid="{00000000-0005-0000-0000-000085180000}"/>
    <cellStyle name="Итог 5 11" xfId="3624" xr:uid="{00000000-0005-0000-0000-000086180000}"/>
    <cellStyle name="Итог 5 11 2" xfId="8145" xr:uid="{00000000-0005-0000-0000-000087180000}"/>
    <cellStyle name="Итог 5 12" xfId="3625" xr:uid="{00000000-0005-0000-0000-000088180000}"/>
    <cellStyle name="Итог 5 12 2" xfId="8146" xr:uid="{00000000-0005-0000-0000-000089180000}"/>
    <cellStyle name="Итог 5 13" xfId="3626" xr:uid="{00000000-0005-0000-0000-00008A180000}"/>
    <cellStyle name="Итог 5 13 2" xfId="8147" xr:uid="{00000000-0005-0000-0000-00008B180000}"/>
    <cellStyle name="Итог 5 14" xfId="3627" xr:uid="{00000000-0005-0000-0000-00008C180000}"/>
    <cellStyle name="Итог 5 14 2" xfId="8148" xr:uid="{00000000-0005-0000-0000-00008D180000}"/>
    <cellStyle name="Итог 5 15" xfId="3628" xr:uid="{00000000-0005-0000-0000-00008E180000}"/>
    <cellStyle name="Итог 5 15 2" xfId="8149" xr:uid="{00000000-0005-0000-0000-00008F180000}"/>
    <cellStyle name="Итог 5 16" xfId="3629" xr:uid="{00000000-0005-0000-0000-000090180000}"/>
    <cellStyle name="Итог 5 16 2" xfId="8150" xr:uid="{00000000-0005-0000-0000-000091180000}"/>
    <cellStyle name="Итог 5 17" xfId="3630" xr:uid="{00000000-0005-0000-0000-000092180000}"/>
    <cellStyle name="Итог 5 17 2" xfId="8151" xr:uid="{00000000-0005-0000-0000-000093180000}"/>
    <cellStyle name="Итог 5 18" xfId="3631" xr:uid="{00000000-0005-0000-0000-000094180000}"/>
    <cellStyle name="Итог 5 18 2" xfId="8152" xr:uid="{00000000-0005-0000-0000-000095180000}"/>
    <cellStyle name="Итог 5 19" xfId="3632" xr:uid="{00000000-0005-0000-0000-000096180000}"/>
    <cellStyle name="Итог 5 19 2" xfId="8153" xr:uid="{00000000-0005-0000-0000-000097180000}"/>
    <cellStyle name="Итог 5 2" xfId="3633" xr:uid="{00000000-0005-0000-0000-000098180000}"/>
    <cellStyle name="Итог 5 2 2" xfId="3634" xr:uid="{00000000-0005-0000-0000-000099180000}"/>
    <cellStyle name="Итог 5 2 2 2" xfId="8154" xr:uid="{00000000-0005-0000-0000-00009A180000}"/>
    <cellStyle name="Итог 5 2 3" xfId="3635" xr:uid="{00000000-0005-0000-0000-00009B180000}"/>
    <cellStyle name="Итог 5 2 3 2" xfId="8155" xr:uid="{00000000-0005-0000-0000-00009C180000}"/>
    <cellStyle name="Итог 5 2 4" xfId="8156" xr:uid="{00000000-0005-0000-0000-00009D180000}"/>
    <cellStyle name="Итог 5 20" xfId="3636" xr:uid="{00000000-0005-0000-0000-00009E180000}"/>
    <cellStyle name="Итог 5 20 2" xfId="8157" xr:uid="{00000000-0005-0000-0000-00009F180000}"/>
    <cellStyle name="Итог 5 21" xfId="3637" xr:uid="{00000000-0005-0000-0000-0000A0180000}"/>
    <cellStyle name="Итог 5 21 2" xfId="8158" xr:uid="{00000000-0005-0000-0000-0000A1180000}"/>
    <cellStyle name="Итог 5 22" xfId="3638" xr:uid="{00000000-0005-0000-0000-0000A2180000}"/>
    <cellStyle name="Итог 5 22 2" xfId="8159" xr:uid="{00000000-0005-0000-0000-0000A3180000}"/>
    <cellStyle name="Итог 5 23" xfId="3639" xr:uid="{00000000-0005-0000-0000-0000A4180000}"/>
    <cellStyle name="Итог 5 23 2" xfId="8160" xr:uid="{00000000-0005-0000-0000-0000A5180000}"/>
    <cellStyle name="Итог 5 24" xfId="3640" xr:uid="{00000000-0005-0000-0000-0000A6180000}"/>
    <cellStyle name="Итог 5 24 2" xfId="8161" xr:uid="{00000000-0005-0000-0000-0000A7180000}"/>
    <cellStyle name="Итог 5 25" xfId="3641" xr:uid="{00000000-0005-0000-0000-0000A8180000}"/>
    <cellStyle name="Итог 5 25 2" xfId="8162" xr:uid="{00000000-0005-0000-0000-0000A9180000}"/>
    <cellStyle name="Итог 5 26" xfId="3642" xr:uid="{00000000-0005-0000-0000-0000AA180000}"/>
    <cellStyle name="Итог 5 26 2" xfId="8163" xr:uid="{00000000-0005-0000-0000-0000AB180000}"/>
    <cellStyle name="Итог 5 27" xfId="3643" xr:uid="{00000000-0005-0000-0000-0000AC180000}"/>
    <cellStyle name="Итог 5 27 2" xfId="8164" xr:uid="{00000000-0005-0000-0000-0000AD180000}"/>
    <cellStyle name="Итог 5 28" xfId="3644" xr:uid="{00000000-0005-0000-0000-0000AE180000}"/>
    <cellStyle name="Итог 5 28 2" xfId="8165" xr:uid="{00000000-0005-0000-0000-0000AF180000}"/>
    <cellStyle name="Итог 5 29" xfId="3645" xr:uid="{00000000-0005-0000-0000-0000B0180000}"/>
    <cellStyle name="Итог 5 29 2" xfId="8166" xr:uid="{00000000-0005-0000-0000-0000B1180000}"/>
    <cellStyle name="Итог 5 3" xfId="3646" xr:uid="{00000000-0005-0000-0000-0000B2180000}"/>
    <cellStyle name="Итог 5 3 2" xfId="3647" xr:uid="{00000000-0005-0000-0000-0000B3180000}"/>
    <cellStyle name="Итог 5 3 2 2" xfId="8167" xr:uid="{00000000-0005-0000-0000-0000B4180000}"/>
    <cellStyle name="Итог 5 3 3" xfId="3648" xr:uid="{00000000-0005-0000-0000-0000B5180000}"/>
    <cellStyle name="Итог 5 3 3 2" xfId="8168" xr:uid="{00000000-0005-0000-0000-0000B6180000}"/>
    <cellStyle name="Итог 5 3 4" xfId="8169" xr:uid="{00000000-0005-0000-0000-0000B7180000}"/>
    <cellStyle name="Итог 5 30" xfId="3649" xr:uid="{00000000-0005-0000-0000-0000B8180000}"/>
    <cellStyle name="Итог 5 30 2" xfId="8170" xr:uid="{00000000-0005-0000-0000-0000B9180000}"/>
    <cellStyle name="Итог 5 31" xfId="3650" xr:uid="{00000000-0005-0000-0000-0000BA180000}"/>
    <cellStyle name="Итог 5 31 2" xfId="8171" xr:uid="{00000000-0005-0000-0000-0000BB180000}"/>
    <cellStyle name="Итог 5 32" xfId="3651" xr:uid="{00000000-0005-0000-0000-0000BC180000}"/>
    <cellStyle name="Итог 5 32 2" xfId="8172" xr:uid="{00000000-0005-0000-0000-0000BD180000}"/>
    <cellStyle name="Итог 5 33" xfId="3652" xr:uid="{00000000-0005-0000-0000-0000BE180000}"/>
    <cellStyle name="Итог 5 33 2" xfId="8173" xr:uid="{00000000-0005-0000-0000-0000BF180000}"/>
    <cellStyle name="Итог 5 34" xfId="3653" xr:uid="{00000000-0005-0000-0000-0000C0180000}"/>
    <cellStyle name="Итог 5 34 2" xfId="8174" xr:uid="{00000000-0005-0000-0000-0000C1180000}"/>
    <cellStyle name="Итог 5 35" xfId="3654" xr:uid="{00000000-0005-0000-0000-0000C2180000}"/>
    <cellStyle name="Итог 5 35 2" xfId="8175" xr:uid="{00000000-0005-0000-0000-0000C3180000}"/>
    <cellStyle name="Итог 5 36" xfId="3655" xr:uid="{00000000-0005-0000-0000-0000C4180000}"/>
    <cellStyle name="Итог 5 36 2" xfId="8176" xr:uid="{00000000-0005-0000-0000-0000C5180000}"/>
    <cellStyle name="Итог 5 37" xfId="3656" xr:uid="{00000000-0005-0000-0000-0000C6180000}"/>
    <cellStyle name="Итог 5 37 2" xfId="8177" xr:uid="{00000000-0005-0000-0000-0000C7180000}"/>
    <cellStyle name="Итог 5 38" xfId="3657" xr:uid="{00000000-0005-0000-0000-0000C8180000}"/>
    <cellStyle name="Итог 5 38 2" xfId="8178" xr:uid="{00000000-0005-0000-0000-0000C9180000}"/>
    <cellStyle name="Итог 5 39" xfId="3658" xr:uid="{00000000-0005-0000-0000-0000CA180000}"/>
    <cellStyle name="Итог 5 39 2" xfId="8179" xr:uid="{00000000-0005-0000-0000-0000CB180000}"/>
    <cellStyle name="Итог 5 4" xfId="3659" xr:uid="{00000000-0005-0000-0000-0000CC180000}"/>
    <cellStyle name="Итог 5 4 2" xfId="3660" xr:uid="{00000000-0005-0000-0000-0000CD180000}"/>
    <cellStyle name="Итог 5 4 2 2" xfId="8180" xr:uid="{00000000-0005-0000-0000-0000CE180000}"/>
    <cellStyle name="Итог 5 4 3" xfId="3661" xr:uid="{00000000-0005-0000-0000-0000CF180000}"/>
    <cellStyle name="Итог 5 4 3 2" xfId="8181" xr:uid="{00000000-0005-0000-0000-0000D0180000}"/>
    <cellStyle name="Итог 5 4 4" xfId="8182" xr:uid="{00000000-0005-0000-0000-0000D1180000}"/>
    <cellStyle name="Итог 5 40" xfId="3662" xr:uid="{00000000-0005-0000-0000-0000D2180000}"/>
    <cellStyle name="Итог 5 40 2" xfId="8183" xr:uid="{00000000-0005-0000-0000-0000D3180000}"/>
    <cellStyle name="Итог 5 41" xfId="3663" xr:uid="{00000000-0005-0000-0000-0000D4180000}"/>
    <cellStyle name="Итог 5 41 2" xfId="8184" xr:uid="{00000000-0005-0000-0000-0000D5180000}"/>
    <cellStyle name="Итог 5 42" xfId="3664" xr:uid="{00000000-0005-0000-0000-0000D6180000}"/>
    <cellStyle name="Итог 5 42 2" xfId="8185" xr:uid="{00000000-0005-0000-0000-0000D7180000}"/>
    <cellStyle name="Итог 5 43" xfId="3665" xr:uid="{00000000-0005-0000-0000-0000D8180000}"/>
    <cellStyle name="Итог 5 43 2" xfId="8186" xr:uid="{00000000-0005-0000-0000-0000D9180000}"/>
    <cellStyle name="Итог 5 44" xfId="3666" xr:uid="{00000000-0005-0000-0000-0000DA180000}"/>
    <cellStyle name="Итог 5 44 2" xfId="8187" xr:uid="{00000000-0005-0000-0000-0000DB180000}"/>
    <cellStyle name="Итог 5 45" xfId="3667" xr:uid="{00000000-0005-0000-0000-0000DC180000}"/>
    <cellStyle name="Итог 5 45 2" xfId="8188" xr:uid="{00000000-0005-0000-0000-0000DD180000}"/>
    <cellStyle name="Итог 5 46" xfId="3668" xr:uid="{00000000-0005-0000-0000-0000DE180000}"/>
    <cellStyle name="Итог 5 46 2" xfId="8189" xr:uid="{00000000-0005-0000-0000-0000DF180000}"/>
    <cellStyle name="Итог 5 47" xfId="3669" xr:uid="{00000000-0005-0000-0000-0000E0180000}"/>
    <cellStyle name="Итог 5 47 2" xfId="8190" xr:uid="{00000000-0005-0000-0000-0000E1180000}"/>
    <cellStyle name="Итог 5 48" xfId="3670" xr:uid="{00000000-0005-0000-0000-0000E2180000}"/>
    <cellStyle name="Итог 5 48 2" xfId="8191" xr:uid="{00000000-0005-0000-0000-0000E3180000}"/>
    <cellStyle name="Итог 5 49" xfId="3671" xr:uid="{00000000-0005-0000-0000-0000E4180000}"/>
    <cellStyle name="Итог 5 49 2" xfId="8192" xr:uid="{00000000-0005-0000-0000-0000E5180000}"/>
    <cellStyle name="Итог 5 5" xfId="3672" xr:uid="{00000000-0005-0000-0000-0000E6180000}"/>
    <cellStyle name="Итог 5 5 2" xfId="8193" xr:uid="{00000000-0005-0000-0000-0000E7180000}"/>
    <cellStyle name="Итог 5 50" xfId="3673" xr:uid="{00000000-0005-0000-0000-0000E8180000}"/>
    <cellStyle name="Итог 5 50 2" xfId="8194" xr:uid="{00000000-0005-0000-0000-0000E9180000}"/>
    <cellStyle name="Итог 5 51" xfId="3674" xr:uid="{00000000-0005-0000-0000-0000EA180000}"/>
    <cellStyle name="Итог 5 51 2" xfId="8195" xr:uid="{00000000-0005-0000-0000-0000EB180000}"/>
    <cellStyle name="Итог 5 52" xfId="3675" xr:uid="{00000000-0005-0000-0000-0000EC180000}"/>
    <cellStyle name="Итог 5 52 2" xfId="8196" xr:uid="{00000000-0005-0000-0000-0000ED180000}"/>
    <cellStyle name="Итог 5 53" xfId="3676" xr:uid="{00000000-0005-0000-0000-0000EE180000}"/>
    <cellStyle name="Итог 5 53 2" xfId="8197" xr:uid="{00000000-0005-0000-0000-0000EF180000}"/>
    <cellStyle name="Итог 5 54" xfId="3677" xr:uid="{00000000-0005-0000-0000-0000F0180000}"/>
    <cellStyle name="Итог 5 54 2" xfId="8198" xr:uid="{00000000-0005-0000-0000-0000F1180000}"/>
    <cellStyle name="Итог 5 55" xfId="3678" xr:uid="{00000000-0005-0000-0000-0000F2180000}"/>
    <cellStyle name="Итог 5 55 2" xfId="8199" xr:uid="{00000000-0005-0000-0000-0000F3180000}"/>
    <cellStyle name="Итог 5 56" xfId="3679" xr:uid="{00000000-0005-0000-0000-0000F4180000}"/>
    <cellStyle name="Итог 5 56 2" xfId="8200" xr:uid="{00000000-0005-0000-0000-0000F5180000}"/>
    <cellStyle name="Итог 5 57" xfId="3680" xr:uid="{00000000-0005-0000-0000-0000F6180000}"/>
    <cellStyle name="Итог 5 57 2" xfId="8201" xr:uid="{00000000-0005-0000-0000-0000F7180000}"/>
    <cellStyle name="Итог 5 58" xfId="3681" xr:uid="{00000000-0005-0000-0000-0000F8180000}"/>
    <cellStyle name="Итог 5 58 2" xfId="8202" xr:uid="{00000000-0005-0000-0000-0000F9180000}"/>
    <cellStyle name="Итог 5 59" xfId="3682" xr:uid="{00000000-0005-0000-0000-0000FA180000}"/>
    <cellStyle name="Итог 5 59 2" xfId="8203" xr:uid="{00000000-0005-0000-0000-0000FB180000}"/>
    <cellStyle name="Итог 5 6" xfId="3683" xr:uid="{00000000-0005-0000-0000-0000FC180000}"/>
    <cellStyle name="Итог 5 6 2" xfId="8204" xr:uid="{00000000-0005-0000-0000-0000FD180000}"/>
    <cellStyle name="Итог 5 60" xfId="3684" xr:uid="{00000000-0005-0000-0000-0000FE180000}"/>
    <cellStyle name="Итог 5 60 2" xfId="8205" xr:uid="{00000000-0005-0000-0000-0000FF180000}"/>
    <cellStyle name="Итог 5 61" xfId="3685" xr:uid="{00000000-0005-0000-0000-000000190000}"/>
    <cellStyle name="Итог 5 61 2" xfId="8206" xr:uid="{00000000-0005-0000-0000-000001190000}"/>
    <cellStyle name="Итог 5 62" xfId="3686" xr:uid="{00000000-0005-0000-0000-000002190000}"/>
    <cellStyle name="Итог 5 62 2" xfId="8207" xr:uid="{00000000-0005-0000-0000-000003190000}"/>
    <cellStyle name="Итог 5 63" xfId="3687" xr:uid="{00000000-0005-0000-0000-000004190000}"/>
    <cellStyle name="Итог 5 63 2" xfId="8208" xr:uid="{00000000-0005-0000-0000-000005190000}"/>
    <cellStyle name="Итог 5 64" xfId="3688" xr:uid="{00000000-0005-0000-0000-000006190000}"/>
    <cellStyle name="Итог 5 64 2" xfId="8209" xr:uid="{00000000-0005-0000-0000-000007190000}"/>
    <cellStyle name="Итог 5 65" xfId="3689" xr:uid="{00000000-0005-0000-0000-000008190000}"/>
    <cellStyle name="Итог 5 65 2" xfId="8210" xr:uid="{00000000-0005-0000-0000-000009190000}"/>
    <cellStyle name="Итог 5 66" xfId="3690" xr:uid="{00000000-0005-0000-0000-00000A190000}"/>
    <cellStyle name="Итог 5 66 2" xfId="8211" xr:uid="{00000000-0005-0000-0000-00000B190000}"/>
    <cellStyle name="Итог 5 67" xfId="3691" xr:uid="{00000000-0005-0000-0000-00000C190000}"/>
    <cellStyle name="Итог 5 67 2" xfId="8212" xr:uid="{00000000-0005-0000-0000-00000D190000}"/>
    <cellStyle name="Итог 5 68" xfId="3692" xr:uid="{00000000-0005-0000-0000-00000E190000}"/>
    <cellStyle name="Итог 5 68 2" xfId="8213" xr:uid="{00000000-0005-0000-0000-00000F190000}"/>
    <cellStyle name="Итог 5 69" xfId="3693" xr:uid="{00000000-0005-0000-0000-000010190000}"/>
    <cellStyle name="Итог 5 69 2" xfId="8214" xr:uid="{00000000-0005-0000-0000-000011190000}"/>
    <cellStyle name="Итог 5 7" xfId="3694" xr:uid="{00000000-0005-0000-0000-000012190000}"/>
    <cellStyle name="Итог 5 7 2" xfId="8215" xr:uid="{00000000-0005-0000-0000-000013190000}"/>
    <cellStyle name="Итог 5 70" xfId="3695" xr:uid="{00000000-0005-0000-0000-000014190000}"/>
    <cellStyle name="Итог 5 70 2" xfId="8216" xr:uid="{00000000-0005-0000-0000-000015190000}"/>
    <cellStyle name="Итог 5 71" xfId="3696" xr:uid="{00000000-0005-0000-0000-000016190000}"/>
    <cellStyle name="Итог 5 71 2" xfId="8217" xr:uid="{00000000-0005-0000-0000-000017190000}"/>
    <cellStyle name="Итог 5 72" xfId="3697" xr:uid="{00000000-0005-0000-0000-000018190000}"/>
    <cellStyle name="Итог 5 72 2" xfId="8218" xr:uid="{00000000-0005-0000-0000-000019190000}"/>
    <cellStyle name="Итог 5 73" xfId="3698" xr:uid="{00000000-0005-0000-0000-00001A190000}"/>
    <cellStyle name="Итог 5 73 2" xfId="8219" xr:uid="{00000000-0005-0000-0000-00001B190000}"/>
    <cellStyle name="Итог 5 74" xfId="3699" xr:uid="{00000000-0005-0000-0000-00001C190000}"/>
    <cellStyle name="Итог 5 74 2" xfId="8220" xr:uid="{00000000-0005-0000-0000-00001D190000}"/>
    <cellStyle name="Итог 5 75" xfId="3700" xr:uid="{00000000-0005-0000-0000-00001E190000}"/>
    <cellStyle name="Итог 5 75 2" xfId="8221" xr:uid="{00000000-0005-0000-0000-00001F190000}"/>
    <cellStyle name="Итог 5 76" xfId="3701" xr:uid="{00000000-0005-0000-0000-000020190000}"/>
    <cellStyle name="Итог 5 76 2" xfId="8222" xr:uid="{00000000-0005-0000-0000-000021190000}"/>
    <cellStyle name="Итог 5 77" xfId="3702" xr:uid="{00000000-0005-0000-0000-000022190000}"/>
    <cellStyle name="Итог 5 77 2" xfId="8223" xr:uid="{00000000-0005-0000-0000-000023190000}"/>
    <cellStyle name="Итог 5 78" xfId="3703" xr:uid="{00000000-0005-0000-0000-000024190000}"/>
    <cellStyle name="Итог 5 78 2" xfId="8224" xr:uid="{00000000-0005-0000-0000-000025190000}"/>
    <cellStyle name="Итог 5 79" xfId="3704" xr:uid="{00000000-0005-0000-0000-000026190000}"/>
    <cellStyle name="Итог 5 79 2" xfId="8225" xr:uid="{00000000-0005-0000-0000-000027190000}"/>
    <cellStyle name="Итог 5 8" xfId="3705" xr:uid="{00000000-0005-0000-0000-000028190000}"/>
    <cellStyle name="Итог 5 8 2" xfId="8226" xr:uid="{00000000-0005-0000-0000-000029190000}"/>
    <cellStyle name="Итог 5 80" xfId="3706" xr:uid="{00000000-0005-0000-0000-00002A190000}"/>
    <cellStyle name="Итог 5 80 2" xfId="8227" xr:uid="{00000000-0005-0000-0000-00002B190000}"/>
    <cellStyle name="Итог 5 81" xfId="3707" xr:uid="{00000000-0005-0000-0000-00002C190000}"/>
    <cellStyle name="Итог 5 81 2" xfId="8228" xr:uid="{00000000-0005-0000-0000-00002D190000}"/>
    <cellStyle name="Итог 5 82" xfId="3708" xr:uid="{00000000-0005-0000-0000-00002E190000}"/>
    <cellStyle name="Итог 5 82 2" xfId="8229" xr:uid="{00000000-0005-0000-0000-00002F190000}"/>
    <cellStyle name="Итог 5 83" xfId="3709" xr:uid="{00000000-0005-0000-0000-000030190000}"/>
    <cellStyle name="Итог 5 83 2" xfId="8230" xr:uid="{00000000-0005-0000-0000-000031190000}"/>
    <cellStyle name="Итог 5 84" xfId="3710" xr:uid="{00000000-0005-0000-0000-000032190000}"/>
    <cellStyle name="Итог 5 84 2" xfId="8231" xr:uid="{00000000-0005-0000-0000-000033190000}"/>
    <cellStyle name="Итог 5 85" xfId="3711" xr:uid="{00000000-0005-0000-0000-000034190000}"/>
    <cellStyle name="Итог 5 85 2" xfId="8232" xr:uid="{00000000-0005-0000-0000-000035190000}"/>
    <cellStyle name="Итог 5 86" xfId="3712" xr:uid="{00000000-0005-0000-0000-000036190000}"/>
    <cellStyle name="Итог 5 86 2" xfId="8233" xr:uid="{00000000-0005-0000-0000-000037190000}"/>
    <cellStyle name="Итог 5 87" xfId="3713" xr:uid="{00000000-0005-0000-0000-000038190000}"/>
    <cellStyle name="Итог 5 87 2" xfId="8234" xr:uid="{00000000-0005-0000-0000-000039190000}"/>
    <cellStyle name="Итог 5 88" xfId="3714" xr:uid="{00000000-0005-0000-0000-00003A190000}"/>
    <cellStyle name="Итог 5 88 2" xfId="8235" xr:uid="{00000000-0005-0000-0000-00003B190000}"/>
    <cellStyle name="Итог 5 89" xfId="3715" xr:uid="{00000000-0005-0000-0000-00003C190000}"/>
    <cellStyle name="Итог 5 89 2" xfId="8236" xr:uid="{00000000-0005-0000-0000-00003D190000}"/>
    <cellStyle name="Итог 5 9" xfId="3716" xr:uid="{00000000-0005-0000-0000-00003E190000}"/>
    <cellStyle name="Итог 5 9 2" xfId="8237" xr:uid="{00000000-0005-0000-0000-00003F190000}"/>
    <cellStyle name="Итог 5 90" xfId="3717" xr:uid="{00000000-0005-0000-0000-000040190000}"/>
    <cellStyle name="Итог 5 90 2" xfId="8238" xr:uid="{00000000-0005-0000-0000-000041190000}"/>
    <cellStyle name="Итог 5 91" xfId="3718" xr:uid="{00000000-0005-0000-0000-000042190000}"/>
    <cellStyle name="Итог 5 91 2" xfId="8239" xr:uid="{00000000-0005-0000-0000-000043190000}"/>
    <cellStyle name="Итог 5 92" xfId="8240" xr:uid="{00000000-0005-0000-0000-000044190000}"/>
    <cellStyle name="Итог 6" xfId="294" xr:uid="{00000000-0005-0000-0000-000045190000}"/>
    <cellStyle name="Итог 6 10" xfId="3719" xr:uid="{00000000-0005-0000-0000-000046190000}"/>
    <cellStyle name="Итог 6 10 2" xfId="8241" xr:uid="{00000000-0005-0000-0000-000047190000}"/>
    <cellStyle name="Итог 6 11" xfId="3720" xr:uid="{00000000-0005-0000-0000-000048190000}"/>
    <cellStyle name="Итог 6 11 2" xfId="8242" xr:uid="{00000000-0005-0000-0000-000049190000}"/>
    <cellStyle name="Итог 6 12" xfId="3721" xr:uid="{00000000-0005-0000-0000-00004A190000}"/>
    <cellStyle name="Итог 6 12 2" xfId="8243" xr:uid="{00000000-0005-0000-0000-00004B190000}"/>
    <cellStyle name="Итог 6 13" xfId="3722" xr:uid="{00000000-0005-0000-0000-00004C190000}"/>
    <cellStyle name="Итог 6 13 2" xfId="8244" xr:uid="{00000000-0005-0000-0000-00004D190000}"/>
    <cellStyle name="Итог 6 14" xfId="3723" xr:uid="{00000000-0005-0000-0000-00004E190000}"/>
    <cellStyle name="Итог 6 14 2" xfId="8245" xr:uid="{00000000-0005-0000-0000-00004F190000}"/>
    <cellStyle name="Итог 6 15" xfId="3724" xr:uid="{00000000-0005-0000-0000-000050190000}"/>
    <cellStyle name="Итог 6 15 2" xfId="8246" xr:uid="{00000000-0005-0000-0000-000051190000}"/>
    <cellStyle name="Итог 6 16" xfId="3725" xr:uid="{00000000-0005-0000-0000-000052190000}"/>
    <cellStyle name="Итог 6 16 2" xfId="8247" xr:uid="{00000000-0005-0000-0000-000053190000}"/>
    <cellStyle name="Итог 6 17" xfId="3726" xr:uid="{00000000-0005-0000-0000-000054190000}"/>
    <cellStyle name="Итог 6 17 2" xfId="8248" xr:uid="{00000000-0005-0000-0000-000055190000}"/>
    <cellStyle name="Итог 6 18" xfId="3727" xr:uid="{00000000-0005-0000-0000-000056190000}"/>
    <cellStyle name="Итог 6 18 2" xfId="8249" xr:uid="{00000000-0005-0000-0000-000057190000}"/>
    <cellStyle name="Итог 6 19" xfId="3728" xr:uid="{00000000-0005-0000-0000-000058190000}"/>
    <cellStyle name="Итог 6 19 2" xfId="8250" xr:uid="{00000000-0005-0000-0000-000059190000}"/>
    <cellStyle name="Итог 6 2" xfId="3729" xr:uid="{00000000-0005-0000-0000-00005A190000}"/>
    <cellStyle name="Итог 6 2 2" xfId="3730" xr:uid="{00000000-0005-0000-0000-00005B190000}"/>
    <cellStyle name="Итог 6 2 2 2" xfId="8251" xr:uid="{00000000-0005-0000-0000-00005C190000}"/>
    <cellStyle name="Итог 6 2 3" xfId="3731" xr:uid="{00000000-0005-0000-0000-00005D190000}"/>
    <cellStyle name="Итог 6 2 3 2" xfId="8252" xr:uid="{00000000-0005-0000-0000-00005E190000}"/>
    <cellStyle name="Итог 6 2 4" xfId="8253" xr:uid="{00000000-0005-0000-0000-00005F190000}"/>
    <cellStyle name="Итог 6 20" xfId="3732" xr:uid="{00000000-0005-0000-0000-000060190000}"/>
    <cellStyle name="Итог 6 20 2" xfId="8254" xr:uid="{00000000-0005-0000-0000-000061190000}"/>
    <cellStyle name="Итог 6 21" xfId="3733" xr:uid="{00000000-0005-0000-0000-000062190000}"/>
    <cellStyle name="Итог 6 21 2" xfId="8255" xr:uid="{00000000-0005-0000-0000-000063190000}"/>
    <cellStyle name="Итог 6 22" xfId="3734" xr:uid="{00000000-0005-0000-0000-000064190000}"/>
    <cellStyle name="Итог 6 22 2" xfId="8256" xr:uid="{00000000-0005-0000-0000-000065190000}"/>
    <cellStyle name="Итог 6 23" xfId="3735" xr:uid="{00000000-0005-0000-0000-000066190000}"/>
    <cellStyle name="Итог 6 23 2" xfId="8257" xr:uid="{00000000-0005-0000-0000-000067190000}"/>
    <cellStyle name="Итог 6 24" xfId="3736" xr:uid="{00000000-0005-0000-0000-000068190000}"/>
    <cellStyle name="Итог 6 24 2" xfId="8258" xr:uid="{00000000-0005-0000-0000-000069190000}"/>
    <cellStyle name="Итог 6 25" xfId="3737" xr:uid="{00000000-0005-0000-0000-00006A190000}"/>
    <cellStyle name="Итог 6 25 2" xfId="8259" xr:uid="{00000000-0005-0000-0000-00006B190000}"/>
    <cellStyle name="Итог 6 26" xfId="3738" xr:uid="{00000000-0005-0000-0000-00006C190000}"/>
    <cellStyle name="Итог 6 26 2" xfId="8260" xr:uid="{00000000-0005-0000-0000-00006D190000}"/>
    <cellStyle name="Итог 6 27" xfId="3739" xr:uid="{00000000-0005-0000-0000-00006E190000}"/>
    <cellStyle name="Итог 6 27 2" xfId="8261" xr:uid="{00000000-0005-0000-0000-00006F190000}"/>
    <cellStyle name="Итог 6 28" xfId="3740" xr:uid="{00000000-0005-0000-0000-000070190000}"/>
    <cellStyle name="Итог 6 28 2" xfId="8262" xr:uid="{00000000-0005-0000-0000-000071190000}"/>
    <cellStyle name="Итог 6 29" xfId="3741" xr:uid="{00000000-0005-0000-0000-000072190000}"/>
    <cellStyle name="Итог 6 29 2" xfId="8263" xr:uid="{00000000-0005-0000-0000-000073190000}"/>
    <cellStyle name="Итог 6 3" xfId="3742" xr:uid="{00000000-0005-0000-0000-000074190000}"/>
    <cellStyle name="Итог 6 3 2" xfId="3743" xr:uid="{00000000-0005-0000-0000-000075190000}"/>
    <cellStyle name="Итог 6 3 2 2" xfId="8264" xr:uid="{00000000-0005-0000-0000-000076190000}"/>
    <cellStyle name="Итог 6 3 3" xfId="3744" xr:uid="{00000000-0005-0000-0000-000077190000}"/>
    <cellStyle name="Итог 6 3 3 2" xfId="8265" xr:uid="{00000000-0005-0000-0000-000078190000}"/>
    <cellStyle name="Итог 6 3 4" xfId="8266" xr:uid="{00000000-0005-0000-0000-000079190000}"/>
    <cellStyle name="Итог 6 30" xfId="3745" xr:uid="{00000000-0005-0000-0000-00007A190000}"/>
    <cellStyle name="Итог 6 30 2" xfId="8267" xr:uid="{00000000-0005-0000-0000-00007B190000}"/>
    <cellStyle name="Итог 6 31" xfId="3746" xr:uid="{00000000-0005-0000-0000-00007C190000}"/>
    <cellStyle name="Итог 6 31 2" xfId="8268" xr:uid="{00000000-0005-0000-0000-00007D190000}"/>
    <cellStyle name="Итог 6 32" xfId="3747" xr:uid="{00000000-0005-0000-0000-00007E190000}"/>
    <cellStyle name="Итог 6 32 2" xfId="8269" xr:uid="{00000000-0005-0000-0000-00007F190000}"/>
    <cellStyle name="Итог 6 33" xfId="3748" xr:uid="{00000000-0005-0000-0000-000080190000}"/>
    <cellStyle name="Итог 6 33 2" xfId="8270" xr:uid="{00000000-0005-0000-0000-000081190000}"/>
    <cellStyle name="Итог 6 34" xfId="3749" xr:uid="{00000000-0005-0000-0000-000082190000}"/>
    <cellStyle name="Итог 6 34 2" xfId="8271" xr:uid="{00000000-0005-0000-0000-000083190000}"/>
    <cellStyle name="Итог 6 35" xfId="3750" xr:uid="{00000000-0005-0000-0000-000084190000}"/>
    <cellStyle name="Итог 6 35 2" xfId="8272" xr:uid="{00000000-0005-0000-0000-000085190000}"/>
    <cellStyle name="Итог 6 36" xfId="3751" xr:uid="{00000000-0005-0000-0000-000086190000}"/>
    <cellStyle name="Итог 6 36 2" xfId="8273" xr:uid="{00000000-0005-0000-0000-000087190000}"/>
    <cellStyle name="Итог 6 37" xfId="3752" xr:uid="{00000000-0005-0000-0000-000088190000}"/>
    <cellStyle name="Итог 6 37 2" xfId="8274" xr:uid="{00000000-0005-0000-0000-000089190000}"/>
    <cellStyle name="Итог 6 38" xfId="3753" xr:uid="{00000000-0005-0000-0000-00008A190000}"/>
    <cellStyle name="Итог 6 38 2" xfId="8275" xr:uid="{00000000-0005-0000-0000-00008B190000}"/>
    <cellStyle name="Итог 6 39" xfId="3754" xr:uid="{00000000-0005-0000-0000-00008C190000}"/>
    <cellStyle name="Итог 6 39 2" xfId="8276" xr:uid="{00000000-0005-0000-0000-00008D190000}"/>
    <cellStyle name="Итог 6 4" xfId="3755" xr:uid="{00000000-0005-0000-0000-00008E190000}"/>
    <cellStyle name="Итог 6 4 2" xfId="3756" xr:uid="{00000000-0005-0000-0000-00008F190000}"/>
    <cellStyle name="Итог 6 4 2 2" xfId="8277" xr:uid="{00000000-0005-0000-0000-000090190000}"/>
    <cellStyle name="Итог 6 4 3" xfId="3757" xr:uid="{00000000-0005-0000-0000-000091190000}"/>
    <cellStyle name="Итог 6 4 3 2" xfId="8278" xr:uid="{00000000-0005-0000-0000-000092190000}"/>
    <cellStyle name="Итог 6 4 4" xfId="8279" xr:uid="{00000000-0005-0000-0000-000093190000}"/>
    <cellStyle name="Итог 6 40" xfId="3758" xr:uid="{00000000-0005-0000-0000-000094190000}"/>
    <cellStyle name="Итог 6 40 2" xfId="8280" xr:uid="{00000000-0005-0000-0000-000095190000}"/>
    <cellStyle name="Итог 6 41" xfId="3759" xr:uid="{00000000-0005-0000-0000-000096190000}"/>
    <cellStyle name="Итог 6 41 2" xfId="8281" xr:uid="{00000000-0005-0000-0000-000097190000}"/>
    <cellStyle name="Итог 6 42" xfId="3760" xr:uid="{00000000-0005-0000-0000-000098190000}"/>
    <cellStyle name="Итог 6 42 2" xfId="8282" xr:uid="{00000000-0005-0000-0000-000099190000}"/>
    <cellStyle name="Итог 6 43" xfId="3761" xr:uid="{00000000-0005-0000-0000-00009A190000}"/>
    <cellStyle name="Итог 6 43 2" xfId="8283" xr:uid="{00000000-0005-0000-0000-00009B190000}"/>
    <cellStyle name="Итог 6 44" xfId="3762" xr:uid="{00000000-0005-0000-0000-00009C190000}"/>
    <cellStyle name="Итог 6 44 2" xfId="8284" xr:uid="{00000000-0005-0000-0000-00009D190000}"/>
    <cellStyle name="Итог 6 45" xfId="3763" xr:uid="{00000000-0005-0000-0000-00009E190000}"/>
    <cellStyle name="Итог 6 45 2" xfId="8285" xr:uid="{00000000-0005-0000-0000-00009F190000}"/>
    <cellStyle name="Итог 6 46" xfId="3764" xr:uid="{00000000-0005-0000-0000-0000A0190000}"/>
    <cellStyle name="Итог 6 46 2" xfId="8286" xr:uid="{00000000-0005-0000-0000-0000A1190000}"/>
    <cellStyle name="Итог 6 47" xfId="3765" xr:uid="{00000000-0005-0000-0000-0000A2190000}"/>
    <cellStyle name="Итог 6 47 2" xfId="8287" xr:uid="{00000000-0005-0000-0000-0000A3190000}"/>
    <cellStyle name="Итог 6 48" xfId="3766" xr:uid="{00000000-0005-0000-0000-0000A4190000}"/>
    <cellStyle name="Итог 6 48 2" xfId="8288" xr:uid="{00000000-0005-0000-0000-0000A5190000}"/>
    <cellStyle name="Итог 6 49" xfId="3767" xr:uid="{00000000-0005-0000-0000-0000A6190000}"/>
    <cellStyle name="Итог 6 49 2" xfId="8289" xr:uid="{00000000-0005-0000-0000-0000A7190000}"/>
    <cellStyle name="Итог 6 5" xfId="3768" xr:uid="{00000000-0005-0000-0000-0000A8190000}"/>
    <cellStyle name="Итог 6 5 2" xfId="8290" xr:uid="{00000000-0005-0000-0000-0000A9190000}"/>
    <cellStyle name="Итог 6 50" xfId="3769" xr:uid="{00000000-0005-0000-0000-0000AA190000}"/>
    <cellStyle name="Итог 6 50 2" xfId="8291" xr:uid="{00000000-0005-0000-0000-0000AB190000}"/>
    <cellStyle name="Итог 6 51" xfId="3770" xr:uid="{00000000-0005-0000-0000-0000AC190000}"/>
    <cellStyle name="Итог 6 51 2" xfId="8292" xr:uid="{00000000-0005-0000-0000-0000AD190000}"/>
    <cellStyle name="Итог 6 52" xfId="3771" xr:uid="{00000000-0005-0000-0000-0000AE190000}"/>
    <cellStyle name="Итог 6 52 2" xfId="8293" xr:uid="{00000000-0005-0000-0000-0000AF190000}"/>
    <cellStyle name="Итог 6 53" xfId="3772" xr:uid="{00000000-0005-0000-0000-0000B0190000}"/>
    <cellStyle name="Итог 6 53 2" xfId="8294" xr:uid="{00000000-0005-0000-0000-0000B1190000}"/>
    <cellStyle name="Итог 6 54" xfId="3773" xr:uid="{00000000-0005-0000-0000-0000B2190000}"/>
    <cellStyle name="Итог 6 54 2" xfId="8295" xr:uid="{00000000-0005-0000-0000-0000B3190000}"/>
    <cellStyle name="Итог 6 55" xfId="3774" xr:uid="{00000000-0005-0000-0000-0000B4190000}"/>
    <cellStyle name="Итог 6 55 2" xfId="8296" xr:uid="{00000000-0005-0000-0000-0000B5190000}"/>
    <cellStyle name="Итог 6 56" xfId="3775" xr:uid="{00000000-0005-0000-0000-0000B6190000}"/>
    <cellStyle name="Итог 6 56 2" xfId="8297" xr:uid="{00000000-0005-0000-0000-0000B7190000}"/>
    <cellStyle name="Итог 6 57" xfId="3776" xr:uid="{00000000-0005-0000-0000-0000B8190000}"/>
    <cellStyle name="Итог 6 57 2" xfId="8298" xr:uid="{00000000-0005-0000-0000-0000B9190000}"/>
    <cellStyle name="Итог 6 58" xfId="3777" xr:uid="{00000000-0005-0000-0000-0000BA190000}"/>
    <cellStyle name="Итог 6 58 2" xfId="8299" xr:uid="{00000000-0005-0000-0000-0000BB190000}"/>
    <cellStyle name="Итог 6 59" xfId="3778" xr:uid="{00000000-0005-0000-0000-0000BC190000}"/>
    <cellStyle name="Итог 6 59 2" xfId="8300" xr:uid="{00000000-0005-0000-0000-0000BD190000}"/>
    <cellStyle name="Итог 6 6" xfId="3779" xr:uid="{00000000-0005-0000-0000-0000BE190000}"/>
    <cellStyle name="Итог 6 6 2" xfId="8301" xr:uid="{00000000-0005-0000-0000-0000BF190000}"/>
    <cellStyle name="Итог 6 60" xfId="3780" xr:uid="{00000000-0005-0000-0000-0000C0190000}"/>
    <cellStyle name="Итог 6 60 2" xfId="8302" xr:uid="{00000000-0005-0000-0000-0000C1190000}"/>
    <cellStyle name="Итог 6 61" xfId="3781" xr:uid="{00000000-0005-0000-0000-0000C2190000}"/>
    <cellStyle name="Итог 6 61 2" xfId="8303" xr:uid="{00000000-0005-0000-0000-0000C3190000}"/>
    <cellStyle name="Итог 6 62" xfId="3782" xr:uid="{00000000-0005-0000-0000-0000C4190000}"/>
    <cellStyle name="Итог 6 62 2" xfId="8304" xr:uid="{00000000-0005-0000-0000-0000C5190000}"/>
    <cellStyle name="Итог 6 63" xfId="3783" xr:uid="{00000000-0005-0000-0000-0000C6190000}"/>
    <cellStyle name="Итог 6 63 2" xfId="8305" xr:uid="{00000000-0005-0000-0000-0000C7190000}"/>
    <cellStyle name="Итог 6 64" xfId="3784" xr:uid="{00000000-0005-0000-0000-0000C8190000}"/>
    <cellStyle name="Итог 6 64 2" xfId="8306" xr:uid="{00000000-0005-0000-0000-0000C9190000}"/>
    <cellStyle name="Итог 6 65" xfId="3785" xr:uid="{00000000-0005-0000-0000-0000CA190000}"/>
    <cellStyle name="Итог 6 65 2" xfId="8307" xr:uid="{00000000-0005-0000-0000-0000CB190000}"/>
    <cellStyle name="Итог 6 66" xfId="3786" xr:uid="{00000000-0005-0000-0000-0000CC190000}"/>
    <cellStyle name="Итог 6 66 2" xfId="8308" xr:uid="{00000000-0005-0000-0000-0000CD190000}"/>
    <cellStyle name="Итог 6 67" xfId="3787" xr:uid="{00000000-0005-0000-0000-0000CE190000}"/>
    <cellStyle name="Итог 6 67 2" xfId="8309" xr:uid="{00000000-0005-0000-0000-0000CF190000}"/>
    <cellStyle name="Итог 6 68" xfId="3788" xr:uid="{00000000-0005-0000-0000-0000D0190000}"/>
    <cellStyle name="Итог 6 68 2" xfId="8310" xr:uid="{00000000-0005-0000-0000-0000D1190000}"/>
    <cellStyle name="Итог 6 69" xfId="3789" xr:uid="{00000000-0005-0000-0000-0000D2190000}"/>
    <cellStyle name="Итог 6 69 2" xfId="8311" xr:uid="{00000000-0005-0000-0000-0000D3190000}"/>
    <cellStyle name="Итог 6 7" xfId="3790" xr:uid="{00000000-0005-0000-0000-0000D4190000}"/>
    <cellStyle name="Итог 6 7 2" xfId="8312" xr:uid="{00000000-0005-0000-0000-0000D5190000}"/>
    <cellStyle name="Итог 6 70" xfId="3791" xr:uid="{00000000-0005-0000-0000-0000D6190000}"/>
    <cellStyle name="Итог 6 70 2" xfId="8313" xr:uid="{00000000-0005-0000-0000-0000D7190000}"/>
    <cellStyle name="Итог 6 71" xfId="3792" xr:uid="{00000000-0005-0000-0000-0000D8190000}"/>
    <cellStyle name="Итог 6 71 2" xfId="8314" xr:uid="{00000000-0005-0000-0000-0000D9190000}"/>
    <cellStyle name="Итог 6 72" xfId="3793" xr:uid="{00000000-0005-0000-0000-0000DA190000}"/>
    <cellStyle name="Итог 6 72 2" xfId="8315" xr:uid="{00000000-0005-0000-0000-0000DB190000}"/>
    <cellStyle name="Итог 6 73" xfId="3794" xr:uid="{00000000-0005-0000-0000-0000DC190000}"/>
    <cellStyle name="Итог 6 73 2" xfId="8316" xr:uid="{00000000-0005-0000-0000-0000DD190000}"/>
    <cellStyle name="Итог 6 74" xfId="3795" xr:uid="{00000000-0005-0000-0000-0000DE190000}"/>
    <cellStyle name="Итог 6 74 2" xfId="8317" xr:uid="{00000000-0005-0000-0000-0000DF190000}"/>
    <cellStyle name="Итог 6 75" xfId="3796" xr:uid="{00000000-0005-0000-0000-0000E0190000}"/>
    <cellStyle name="Итог 6 75 2" xfId="8318" xr:uid="{00000000-0005-0000-0000-0000E1190000}"/>
    <cellStyle name="Итог 6 76" xfId="3797" xr:uid="{00000000-0005-0000-0000-0000E2190000}"/>
    <cellStyle name="Итог 6 76 2" xfId="8319" xr:uid="{00000000-0005-0000-0000-0000E3190000}"/>
    <cellStyle name="Итог 6 77" xfId="3798" xr:uid="{00000000-0005-0000-0000-0000E4190000}"/>
    <cellStyle name="Итог 6 77 2" xfId="8320" xr:uid="{00000000-0005-0000-0000-0000E5190000}"/>
    <cellStyle name="Итог 6 78" xfId="3799" xr:uid="{00000000-0005-0000-0000-0000E6190000}"/>
    <cellStyle name="Итог 6 78 2" xfId="8321" xr:uid="{00000000-0005-0000-0000-0000E7190000}"/>
    <cellStyle name="Итог 6 79" xfId="3800" xr:uid="{00000000-0005-0000-0000-0000E8190000}"/>
    <cellStyle name="Итог 6 79 2" xfId="8322" xr:uid="{00000000-0005-0000-0000-0000E9190000}"/>
    <cellStyle name="Итог 6 8" xfId="3801" xr:uid="{00000000-0005-0000-0000-0000EA190000}"/>
    <cellStyle name="Итог 6 8 2" xfId="8323" xr:uid="{00000000-0005-0000-0000-0000EB190000}"/>
    <cellStyle name="Итог 6 80" xfId="3802" xr:uid="{00000000-0005-0000-0000-0000EC190000}"/>
    <cellStyle name="Итог 6 80 2" xfId="8324" xr:uid="{00000000-0005-0000-0000-0000ED190000}"/>
    <cellStyle name="Итог 6 81" xfId="3803" xr:uid="{00000000-0005-0000-0000-0000EE190000}"/>
    <cellStyle name="Итог 6 81 2" xfId="8325" xr:uid="{00000000-0005-0000-0000-0000EF190000}"/>
    <cellStyle name="Итог 6 82" xfId="3804" xr:uid="{00000000-0005-0000-0000-0000F0190000}"/>
    <cellStyle name="Итог 6 82 2" xfId="8326" xr:uid="{00000000-0005-0000-0000-0000F1190000}"/>
    <cellStyle name="Итог 6 83" xfId="3805" xr:uid="{00000000-0005-0000-0000-0000F2190000}"/>
    <cellStyle name="Итог 6 83 2" xfId="8327" xr:uid="{00000000-0005-0000-0000-0000F3190000}"/>
    <cellStyle name="Итог 6 84" xfId="3806" xr:uid="{00000000-0005-0000-0000-0000F4190000}"/>
    <cellStyle name="Итог 6 84 2" xfId="8328" xr:uid="{00000000-0005-0000-0000-0000F5190000}"/>
    <cellStyle name="Итог 6 85" xfId="3807" xr:uid="{00000000-0005-0000-0000-0000F6190000}"/>
    <cellStyle name="Итог 6 85 2" xfId="8329" xr:uid="{00000000-0005-0000-0000-0000F7190000}"/>
    <cellStyle name="Итог 6 86" xfId="3808" xr:uid="{00000000-0005-0000-0000-0000F8190000}"/>
    <cellStyle name="Итог 6 86 2" xfId="8330" xr:uid="{00000000-0005-0000-0000-0000F9190000}"/>
    <cellStyle name="Итог 6 87" xfId="3809" xr:uid="{00000000-0005-0000-0000-0000FA190000}"/>
    <cellStyle name="Итог 6 87 2" xfId="8331" xr:uid="{00000000-0005-0000-0000-0000FB190000}"/>
    <cellStyle name="Итог 6 88" xfId="3810" xr:uid="{00000000-0005-0000-0000-0000FC190000}"/>
    <cellStyle name="Итог 6 88 2" xfId="8332" xr:uid="{00000000-0005-0000-0000-0000FD190000}"/>
    <cellStyle name="Итог 6 89" xfId="3811" xr:uid="{00000000-0005-0000-0000-0000FE190000}"/>
    <cellStyle name="Итог 6 89 2" xfId="8333" xr:uid="{00000000-0005-0000-0000-0000FF190000}"/>
    <cellStyle name="Итог 6 9" xfId="3812" xr:uid="{00000000-0005-0000-0000-0000001A0000}"/>
    <cellStyle name="Итог 6 9 2" xfId="8334" xr:uid="{00000000-0005-0000-0000-0000011A0000}"/>
    <cellStyle name="Итог 6 90" xfId="3813" xr:uid="{00000000-0005-0000-0000-0000021A0000}"/>
    <cellStyle name="Итог 6 90 2" xfId="8335" xr:uid="{00000000-0005-0000-0000-0000031A0000}"/>
    <cellStyle name="Итог 6 91" xfId="3814" xr:uid="{00000000-0005-0000-0000-0000041A0000}"/>
    <cellStyle name="Итог 6 91 2" xfId="8336" xr:uid="{00000000-0005-0000-0000-0000051A0000}"/>
    <cellStyle name="Итог 6 92" xfId="8337" xr:uid="{00000000-0005-0000-0000-0000061A0000}"/>
    <cellStyle name="Итог 7" xfId="295" xr:uid="{00000000-0005-0000-0000-0000071A0000}"/>
    <cellStyle name="Итог 7 10" xfId="3815" xr:uid="{00000000-0005-0000-0000-0000081A0000}"/>
    <cellStyle name="Итог 7 10 2" xfId="8338" xr:uid="{00000000-0005-0000-0000-0000091A0000}"/>
    <cellStyle name="Итог 7 11" xfId="3816" xr:uid="{00000000-0005-0000-0000-00000A1A0000}"/>
    <cellStyle name="Итог 7 11 2" xfId="8339" xr:uid="{00000000-0005-0000-0000-00000B1A0000}"/>
    <cellStyle name="Итог 7 12" xfId="3817" xr:uid="{00000000-0005-0000-0000-00000C1A0000}"/>
    <cellStyle name="Итог 7 12 2" xfId="8340" xr:uid="{00000000-0005-0000-0000-00000D1A0000}"/>
    <cellStyle name="Итог 7 13" xfId="3818" xr:uid="{00000000-0005-0000-0000-00000E1A0000}"/>
    <cellStyle name="Итог 7 13 2" xfId="8341" xr:uid="{00000000-0005-0000-0000-00000F1A0000}"/>
    <cellStyle name="Итог 7 14" xfId="3819" xr:uid="{00000000-0005-0000-0000-0000101A0000}"/>
    <cellStyle name="Итог 7 14 2" xfId="8342" xr:uid="{00000000-0005-0000-0000-0000111A0000}"/>
    <cellStyle name="Итог 7 15" xfId="3820" xr:uid="{00000000-0005-0000-0000-0000121A0000}"/>
    <cellStyle name="Итог 7 15 2" xfId="8343" xr:uid="{00000000-0005-0000-0000-0000131A0000}"/>
    <cellStyle name="Итог 7 16" xfId="3821" xr:uid="{00000000-0005-0000-0000-0000141A0000}"/>
    <cellStyle name="Итог 7 16 2" xfId="8344" xr:uid="{00000000-0005-0000-0000-0000151A0000}"/>
    <cellStyle name="Итог 7 17" xfId="3822" xr:uid="{00000000-0005-0000-0000-0000161A0000}"/>
    <cellStyle name="Итог 7 17 2" xfId="8345" xr:uid="{00000000-0005-0000-0000-0000171A0000}"/>
    <cellStyle name="Итог 7 18" xfId="3823" xr:uid="{00000000-0005-0000-0000-0000181A0000}"/>
    <cellStyle name="Итог 7 18 2" xfId="8346" xr:uid="{00000000-0005-0000-0000-0000191A0000}"/>
    <cellStyle name="Итог 7 19" xfId="3824" xr:uid="{00000000-0005-0000-0000-00001A1A0000}"/>
    <cellStyle name="Итог 7 19 2" xfId="8347" xr:uid="{00000000-0005-0000-0000-00001B1A0000}"/>
    <cellStyle name="Итог 7 2" xfId="3825" xr:uid="{00000000-0005-0000-0000-00001C1A0000}"/>
    <cellStyle name="Итог 7 2 2" xfId="3826" xr:uid="{00000000-0005-0000-0000-00001D1A0000}"/>
    <cellStyle name="Итог 7 2 2 2" xfId="8348" xr:uid="{00000000-0005-0000-0000-00001E1A0000}"/>
    <cellStyle name="Итог 7 2 3" xfId="3827" xr:uid="{00000000-0005-0000-0000-00001F1A0000}"/>
    <cellStyle name="Итог 7 2 3 2" xfId="8349" xr:uid="{00000000-0005-0000-0000-0000201A0000}"/>
    <cellStyle name="Итог 7 2 4" xfId="8350" xr:uid="{00000000-0005-0000-0000-0000211A0000}"/>
    <cellStyle name="Итог 7 20" xfId="3828" xr:uid="{00000000-0005-0000-0000-0000221A0000}"/>
    <cellStyle name="Итог 7 20 2" xfId="8351" xr:uid="{00000000-0005-0000-0000-0000231A0000}"/>
    <cellStyle name="Итог 7 21" xfId="3829" xr:uid="{00000000-0005-0000-0000-0000241A0000}"/>
    <cellStyle name="Итог 7 21 2" xfId="8352" xr:uid="{00000000-0005-0000-0000-0000251A0000}"/>
    <cellStyle name="Итог 7 22" xfId="3830" xr:uid="{00000000-0005-0000-0000-0000261A0000}"/>
    <cellStyle name="Итог 7 22 2" xfId="8353" xr:uid="{00000000-0005-0000-0000-0000271A0000}"/>
    <cellStyle name="Итог 7 23" xfId="3831" xr:uid="{00000000-0005-0000-0000-0000281A0000}"/>
    <cellStyle name="Итог 7 23 2" xfId="8354" xr:uid="{00000000-0005-0000-0000-0000291A0000}"/>
    <cellStyle name="Итог 7 24" xfId="3832" xr:uid="{00000000-0005-0000-0000-00002A1A0000}"/>
    <cellStyle name="Итог 7 24 2" xfId="8355" xr:uid="{00000000-0005-0000-0000-00002B1A0000}"/>
    <cellStyle name="Итог 7 25" xfId="3833" xr:uid="{00000000-0005-0000-0000-00002C1A0000}"/>
    <cellStyle name="Итог 7 25 2" xfId="8356" xr:uid="{00000000-0005-0000-0000-00002D1A0000}"/>
    <cellStyle name="Итог 7 26" xfId="3834" xr:uid="{00000000-0005-0000-0000-00002E1A0000}"/>
    <cellStyle name="Итог 7 26 2" xfId="8357" xr:uid="{00000000-0005-0000-0000-00002F1A0000}"/>
    <cellStyle name="Итог 7 27" xfId="3835" xr:uid="{00000000-0005-0000-0000-0000301A0000}"/>
    <cellStyle name="Итог 7 27 2" xfId="8358" xr:uid="{00000000-0005-0000-0000-0000311A0000}"/>
    <cellStyle name="Итог 7 28" xfId="3836" xr:uid="{00000000-0005-0000-0000-0000321A0000}"/>
    <cellStyle name="Итог 7 28 2" xfId="8359" xr:uid="{00000000-0005-0000-0000-0000331A0000}"/>
    <cellStyle name="Итог 7 29" xfId="3837" xr:uid="{00000000-0005-0000-0000-0000341A0000}"/>
    <cellStyle name="Итог 7 29 2" xfId="8360" xr:uid="{00000000-0005-0000-0000-0000351A0000}"/>
    <cellStyle name="Итог 7 3" xfId="3838" xr:uid="{00000000-0005-0000-0000-0000361A0000}"/>
    <cellStyle name="Итог 7 3 2" xfId="3839" xr:uid="{00000000-0005-0000-0000-0000371A0000}"/>
    <cellStyle name="Итог 7 3 2 2" xfId="8361" xr:uid="{00000000-0005-0000-0000-0000381A0000}"/>
    <cellStyle name="Итог 7 3 3" xfId="3840" xr:uid="{00000000-0005-0000-0000-0000391A0000}"/>
    <cellStyle name="Итог 7 3 3 2" xfId="8362" xr:uid="{00000000-0005-0000-0000-00003A1A0000}"/>
    <cellStyle name="Итог 7 3 4" xfId="8363" xr:uid="{00000000-0005-0000-0000-00003B1A0000}"/>
    <cellStyle name="Итог 7 30" xfId="3841" xr:uid="{00000000-0005-0000-0000-00003C1A0000}"/>
    <cellStyle name="Итог 7 30 2" xfId="8364" xr:uid="{00000000-0005-0000-0000-00003D1A0000}"/>
    <cellStyle name="Итог 7 31" xfId="3842" xr:uid="{00000000-0005-0000-0000-00003E1A0000}"/>
    <cellStyle name="Итог 7 31 2" xfId="8365" xr:uid="{00000000-0005-0000-0000-00003F1A0000}"/>
    <cellStyle name="Итог 7 32" xfId="3843" xr:uid="{00000000-0005-0000-0000-0000401A0000}"/>
    <cellStyle name="Итог 7 32 2" xfId="8366" xr:uid="{00000000-0005-0000-0000-0000411A0000}"/>
    <cellStyle name="Итог 7 33" xfId="3844" xr:uid="{00000000-0005-0000-0000-0000421A0000}"/>
    <cellStyle name="Итог 7 33 2" xfId="8367" xr:uid="{00000000-0005-0000-0000-0000431A0000}"/>
    <cellStyle name="Итог 7 34" xfId="3845" xr:uid="{00000000-0005-0000-0000-0000441A0000}"/>
    <cellStyle name="Итог 7 34 2" xfId="8368" xr:uid="{00000000-0005-0000-0000-0000451A0000}"/>
    <cellStyle name="Итог 7 35" xfId="3846" xr:uid="{00000000-0005-0000-0000-0000461A0000}"/>
    <cellStyle name="Итог 7 35 2" xfId="8369" xr:uid="{00000000-0005-0000-0000-0000471A0000}"/>
    <cellStyle name="Итог 7 36" xfId="3847" xr:uid="{00000000-0005-0000-0000-0000481A0000}"/>
    <cellStyle name="Итог 7 36 2" xfId="8370" xr:uid="{00000000-0005-0000-0000-0000491A0000}"/>
    <cellStyle name="Итог 7 37" xfId="3848" xr:uid="{00000000-0005-0000-0000-00004A1A0000}"/>
    <cellStyle name="Итог 7 37 2" xfId="8371" xr:uid="{00000000-0005-0000-0000-00004B1A0000}"/>
    <cellStyle name="Итог 7 38" xfId="3849" xr:uid="{00000000-0005-0000-0000-00004C1A0000}"/>
    <cellStyle name="Итог 7 38 2" xfId="8372" xr:uid="{00000000-0005-0000-0000-00004D1A0000}"/>
    <cellStyle name="Итог 7 39" xfId="3850" xr:uid="{00000000-0005-0000-0000-00004E1A0000}"/>
    <cellStyle name="Итог 7 39 2" xfId="8373" xr:uid="{00000000-0005-0000-0000-00004F1A0000}"/>
    <cellStyle name="Итог 7 4" xfId="3851" xr:uid="{00000000-0005-0000-0000-0000501A0000}"/>
    <cellStyle name="Итог 7 4 2" xfId="3852" xr:uid="{00000000-0005-0000-0000-0000511A0000}"/>
    <cellStyle name="Итог 7 4 2 2" xfId="8374" xr:uid="{00000000-0005-0000-0000-0000521A0000}"/>
    <cellStyle name="Итог 7 4 3" xfId="3853" xr:uid="{00000000-0005-0000-0000-0000531A0000}"/>
    <cellStyle name="Итог 7 4 3 2" xfId="8375" xr:uid="{00000000-0005-0000-0000-0000541A0000}"/>
    <cellStyle name="Итог 7 4 4" xfId="8376" xr:uid="{00000000-0005-0000-0000-0000551A0000}"/>
    <cellStyle name="Итог 7 40" xfId="3854" xr:uid="{00000000-0005-0000-0000-0000561A0000}"/>
    <cellStyle name="Итог 7 40 2" xfId="8377" xr:uid="{00000000-0005-0000-0000-0000571A0000}"/>
    <cellStyle name="Итог 7 41" xfId="3855" xr:uid="{00000000-0005-0000-0000-0000581A0000}"/>
    <cellStyle name="Итог 7 41 2" xfId="8378" xr:uid="{00000000-0005-0000-0000-0000591A0000}"/>
    <cellStyle name="Итог 7 42" xfId="3856" xr:uid="{00000000-0005-0000-0000-00005A1A0000}"/>
    <cellStyle name="Итог 7 42 2" xfId="8379" xr:uid="{00000000-0005-0000-0000-00005B1A0000}"/>
    <cellStyle name="Итог 7 43" xfId="3857" xr:uid="{00000000-0005-0000-0000-00005C1A0000}"/>
    <cellStyle name="Итог 7 43 2" xfId="8380" xr:uid="{00000000-0005-0000-0000-00005D1A0000}"/>
    <cellStyle name="Итог 7 44" xfId="3858" xr:uid="{00000000-0005-0000-0000-00005E1A0000}"/>
    <cellStyle name="Итог 7 44 2" xfId="8381" xr:uid="{00000000-0005-0000-0000-00005F1A0000}"/>
    <cellStyle name="Итог 7 45" xfId="3859" xr:uid="{00000000-0005-0000-0000-0000601A0000}"/>
    <cellStyle name="Итог 7 45 2" xfId="8382" xr:uid="{00000000-0005-0000-0000-0000611A0000}"/>
    <cellStyle name="Итог 7 46" xfId="3860" xr:uid="{00000000-0005-0000-0000-0000621A0000}"/>
    <cellStyle name="Итог 7 46 2" xfId="8383" xr:uid="{00000000-0005-0000-0000-0000631A0000}"/>
    <cellStyle name="Итог 7 47" xfId="3861" xr:uid="{00000000-0005-0000-0000-0000641A0000}"/>
    <cellStyle name="Итог 7 47 2" xfId="8384" xr:uid="{00000000-0005-0000-0000-0000651A0000}"/>
    <cellStyle name="Итог 7 48" xfId="3862" xr:uid="{00000000-0005-0000-0000-0000661A0000}"/>
    <cellStyle name="Итог 7 48 2" xfId="8385" xr:uid="{00000000-0005-0000-0000-0000671A0000}"/>
    <cellStyle name="Итог 7 49" xfId="3863" xr:uid="{00000000-0005-0000-0000-0000681A0000}"/>
    <cellStyle name="Итог 7 49 2" xfId="8386" xr:uid="{00000000-0005-0000-0000-0000691A0000}"/>
    <cellStyle name="Итог 7 5" xfId="3864" xr:uid="{00000000-0005-0000-0000-00006A1A0000}"/>
    <cellStyle name="Итог 7 5 2" xfId="8387" xr:uid="{00000000-0005-0000-0000-00006B1A0000}"/>
    <cellStyle name="Итог 7 50" xfId="3865" xr:uid="{00000000-0005-0000-0000-00006C1A0000}"/>
    <cellStyle name="Итог 7 50 2" xfId="8388" xr:uid="{00000000-0005-0000-0000-00006D1A0000}"/>
    <cellStyle name="Итог 7 51" xfId="3866" xr:uid="{00000000-0005-0000-0000-00006E1A0000}"/>
    <cellStyle name="Итог 7 51 2" xfId="8389" xr:uid="{00000000-0005-0000-0000-00006F1A0000}"/>
    <cellStyle name="Итог 7 52" xfId="3867" xr:uid="{00000000-0005-0000-0000-0000701A0000}"/>
    <cellStyle name="Итог 7 52 2" xfId="8390" xr:uid="{00000000-0005-0000-0000-0000711A0000}"/>
    <cellStyle name="Итог 7 53" xfId="3868" xr:uid="{00000000-0005-0000-0000-0000721A0000}"/>
    <cellStyle name="Итог 7 53 2" xfId="8391" xr:uid="{00000000-0005-0000-0000-0000731A0000}"/>
    <cellStyle name="Итог 7 54" xfId="3869" xr:uid="{00000000-0005-0000-0000-0000741A0000}"/>
    <cellStyle name="Итог 7 54 2" xfId="8392" xr:uid="{00000000-0005-0000-0000-0000751A0000}"/>
    <cellStyle name="Итог 7 55" xfId="3870" xr:uid="{00000000-0005-0000-0000-0000761A0000}"/>
    <cellStyle name="Итог 7 55 2" xfId="8393" xr:uid="{00000000-0005-0000-0000-0000771A0000}"/>
    <cellStyle name="Итог 7 56" xfId="3871" xr:uid="{00000000-0005-0000-0000-0000781A0000}"/>
    <cellStyle name="Итог 7 56 2" xfId="8394" xr:uid="{00000000-0005-0000-0000-0000791A0000}"/>
    <cellStyle name="Итог 7 57" xfId="3872" xr:uid="{00000000-0005-0000-0000-00007A1A0000}"/>
    <cellStyle name="Итог 7 57 2" xfId="8395" xr:uid="{00000000-0005-0000-0000-00007B1A0000}"/>
    <cellStyle name="Итог 7 58" xfId="3873" xr:uid="{00000000-0005-0000-0000-00007C1A0000}"/>
    <cellStyle name="Итог 7 58 2" xfId="8396" xr:uid="{00000000-0005-0000-0000-00007D1A0000}"/>
    <cellStyle name="Итог 7 59" xfId="3874" xr:uid="{00000000-0005-0000-0000-00007E1A0000}"/>
    <cellStyle name="Итог 7 59 2" xfId="8397" xr:uid="{00000000-0005-0000-0000-00007F1A0000}"/>
    <cellStyle name="Итог 7 6" xfId="3875" xr:uid="{00000000-0005-0000-0000-0000801A0000}"/>
    <cellStyle name="Итог 7 6 2" xfId="8398" xr:uid="{00000000-0005-0000-0000-0000811A0000}"/>
    <cellStyle name="Итог 7 60" xfId="3876" xr:uid="{00000000-0005-0000-0000-0000821A0000}"/>
    <cellStyle name="Итог 7 60 2" xfId="8399" xr:uid="{00000000-0005-0000-0000-0000831A0000}"/>
    <cellStyle name="Итог 7 61" xfId="3877" xr:uid="{00000000-0005-0000-0000-0000841A0000}"/>
    <cellStyle name="Итог 7 61 2" xfId="8400" xr:uid="{00000000-0005-0000-0000-0000851A0000}"/>
    <cellStyle name="Итог 7 62" xfId="3878" xr:uid="{00000000-0005-0000-0000-0000861A0000}"/>
    <cellStyle name="Итог 7 62 2" xfId="8401" xr:uid="{00000000-0005-0000-0000-0000871A0000}"/>
    <cellStyle name="Итог 7 63" xfId="3879" xr:uid="{00000000-0005-0000-0000-0000881A0000}"/>
    <cellStyle name="Итог 7 63 2" xfId="8402" xr:uid="{00000000-0005-0000-0000-0000891A0000}"/>
    <cellStyle name="Итог 7 64" xfId="3880" xr:uid="{00000000-0005-0000-0000-00008A1A0000}"/>
    <cellStyle name="Итог 7 64 2" xfId="8403" xr:uid="{00000000-0005-0000-0000-00008B1A0000}"/>
    <cellStyle name="Итог 7 65" xfId="3881" xr:uid="{00000000-0005-0000-0000-00008C1A0000}"/>
    <cellStyle name="Итог 7 65 2" xfId="8404" xr:uid="{00000000-0005-0000-0000-00008D1A0000}"/>
    <cellStyle name="Итог 7 66" xfId="3882" xr:uid="{00000000-0005-0000-0000-00008E1A0000}"/>
    <cellStyle name="Итог 7 66 2" xfId="8405" xr:uid="{00000000-0005-0000-0000-00008F1A0000}"/>
    <cellStyle name="Итог 7 67" xfId="3883" xr:uid="{00000000-0005-0000-0000-0000901A0000}"/>
    <cellStyle name="Итог 7 67 2" xfId="8406" xr:uid="{00000000-0005-0000-0000-0000911A0000}"/>
    <cellStyle name="Итог 7 68" xfId="3884" xr:uid="{00000000-0005-0000-0000-0000921A0000}"/>
    <cellStyle name="Итог 7 68 2" xfId="8407" xr:uid="{00000000-0005-0000-0000-0000931A0000}"/>
    <cellStyle name="Итог 7 69" xfId="3885" xr:uid="{00000000-0005-0000-0000-0000941A0000}"/>
    <cellStyle name="Итог 7 69 2" xfId="8408" xr:uid="{00000000-0005-0000-0000-0000951A0000}"/>
    <cellStyle name="Итог 7 7" xfId="3886" xr:uid="{00000000-0005-0000-0000-0000961A0000}"/>
    <cellStyle name="Итог 7 7 2" xfId="8409" xr:uid="{00000000-0005-0000-0000-0000971A0000}"/>
    <cellStyle name="Итог 7 70" xfId="3887" xr:uid="{00000000-0005-0000-0000-0000981A0000}"/>
    <cellStyle name="Итог 7 70 2" xfId="8410" xr:uid="{00000000-0005-0000-0000-0000991A0000}"/>
    <cellStyle name="Итог 7 71" xfId="3888" xr:uid="{00000000-0005-0000-0000-00009A1A0000}"/>
    <cellStyle name="Итог 7 71 2" xfId="8411" xr:uid="{00000000-0005-0000-0000-00009B1A0000}"/>
    <cellStyle name="Итог 7 72" xfId="3889" xr:uid="{00000000-0005-0000-0000-00009C1A0000}"/>
    <cellStyle name="Итог 7 72 2" xfId="8412" xr:uid="{00000000-0005-0000-0000-00009D1A0000}"/>
    <cellStyle name="Итог 7 73" xfId="3890" xr:uid="{00000000-0005-0000-0000-00009E1A0000}"/>
    <cellStyle name="Итог 7 73 2" xfId="8413" xr:uid="{00000000-0005-0000-0000-00009F1A0000}"/>
    <cellStyle name="Итог 7 74" xfId="3891" xr:uid="{00000000-0005-0000-0000-0000A01A0000}"/>
    <cellStyle name="Итог 7 74 2" xfId="8414" xr:uid="{00000000-0005-0000-0000-0000A11A0000}"/>
    <cellStyle name="Итог 7 75" xfId="3892" xr:uid="{00000000-0005-0000-0000-0000A21A0000}"/>
    <cellStyle name="Итог 7 75 2" xfId="8415" xr:uid="{00000000-0005-0000-0000-0000A31A0000}"/>
    <cellStyle name="Итог 7 76" xfId="3893" xr:uid="{00000000-0005-0000-0000-0000A41A0000}"/>
    <cellStyle name="Итог 7 76 2" xfId="8416" xr:uid="{00000000-0005-0000-0000-0000A51A0000}"/>
    <cellStyle name="Итог 7 77" xfId="3894" xr:uid="{00000000-0005-0000-0000-0000A61A0000}"/>
    <cellStyle name="Итог 7 77 2" xfId="8417" xr:uid="{00000000-0005-0000-0000-0000A71A0000}"/>
    <cellStyle name="Итог 7 78" xfId="3895" xr:uid="{00000000-0005-0000-0000-0000A81A0000}"/>
    <cellStyle name="Итог 7 78 2" xfId="8418" xr:uid="{00000000-0005-0000-0000-0000A91A0000}"/>
    <cellStyle name="Итог 7 79" xfId="3896" xr:uid="{00000000-0005-0000-0000-0000AA1A0000}"/>
    <cellStyle name="Итог 7 79 2" xfId="8419" xr:uid="{00000000-0005-0000-0000-0000AB1A0000}"/>
    <cellStyle name="Итог 7 8" xfId="3897" xr:uid="{00000000-0005-0000-0000-0000AC1A0000}"/>
    <cellStyle name="Итог 7 8 2" xfId="8420" xr:uid="{00000000-0005-0000-0000-0000AD1A0000}"/>
    <cellStyle name="Итог 7 80" xfId="3898" xr:uid="{00000000-0005-0000-0000-0000AE1A0000}"/>
    <cellStyle name="Итог 7 80 2" xfId="8421" xr:uid="{00000000-0005-0000-0000-0000AF1A0000}"/>
    <cellStyle name="Итог 7 81" xfId="3899" xr:uid="{00000000-0005-0000-0000-0000B01A0000}"/>
    <cellStyle name="Итог 7 81 2" xfId="8422" xr:uid="{00000000-0005-0000-0000-0000B11A0000}"/>
    <cellStyle name="Итог 7 82" xfId="3900" xr:uid="{00000000-0005-0000-0000-0000B21A0000}"/>
    <cellStyle name="Итог 7 82 2" xfId="8423" xr:uid="{00000000-0005-0000-0000-0000B31A0000}"/>
    <cellStyle name="Итог 7 83" xfId="3901" xr:uid="{00000000-0005-0000-0000-0000B41A0000}"/>
    <cellStyle name="Итог 7 83 2" xfId="8424" xr:uid="{00000000-0005-0000-0000-0000B51A0000}"/>
    <cellStyle name="Итог 7 84" xfId="3902" xr:uid="{00000000-0005-0000-0000-0000B61A0000}"/>
    <cellStyle name="Итог 7 84 2" xfId="8425" xr:uid="{00000000-0005-0000-0000-0000B71A0000}"/>
    <cellStyle name="Итог 7 85" xfId="3903" xr:uid="{00000000-0005-0000-0000-0000B81A0000}"/>
    <cellStyle name="Итог 7 85 2" xfId="8426" xr:uid="{00000000-0005-0000-0000-0000B91A0000}"/>
    <cellStyle name="Итог 7 86" xfId="3904" xr:uid="{00000000-0005-0000-0000-0000BA1A0000}"/>
    <cellStyle name="Итог 7 86 2" xfId="8427" xr:uid="{00000000-0005-0000-0000-0000BB1A0000}"/>
    <cellStyle name="Итог 7 87" xfId="3905" xr:uid="{00000000-0005-0000-0000-0000BC1A0000}"/>
    <cellStyle name="Итог 7 87 2" xfId="8428" xr:uid="{00000000-0005-0000-0000-0000BD1A0000}"/>
    <cellStyle name="Итог 7 88" xfId="3906" xr:uid="{00000000-0005-0000-0000-0000BE1A0000}"/>
    <cellStyle name="Итог 7 88 2" xfId="8429" xr:uid="{00000000-0005-0000-0000-0000BF1A0000}"/>
    <cellStyle name="Итог 7 89" xfId="3907" xr:uid="{00000000-0005-0000-0000-0000C01A0000}"/>
    <cellStyle name="Итог 7 89 2" xfId="8430" xr:uid="{00000000-0005-0000-0000-0000C11A0000}"/>
    <cellStyle name="Итог 7 9" xfId="3908" xr:uid="{00000000-0005-0000-0000-0000C21A0000}"/>
    <cellStyle name="Итог 7 9 2" xfId="8431" xr:uid="{00000000-0005-0000-0000-0000C31A0000}"/>
    <cellStyle name="Итог 7 90" xfId="3909" xr:uid="{00000000-0005-0000-0000-0000C41A0000}"/>
    <cellStyle name="Итог 7 90 2" xfId="8432" xr:uid="{00000000-0005-0000-0000-0000C51A0000}"/>
    <cellStyle name="Итог 7 91" xfId="3910" xr:uid="{00000000-0005-0000-0000-0000C61A0000}"/>
    <cellStyle name="Итог 7 91 2" xfId="8433" xr:uid="{00000000-0005-0000-0000-0000C71A0000}"/>
    <cellStyle name="Итог 7 92" xfId="8434" xr:uid="{00000000-0005-0000-0000-0000C81A0000}"/>
    <cellStyle name="Итог 8" xfId="296" xr:uid="{00000000-0005-0000-0000-0000C91A0000}"/>
    <cellStyle name="Итог 8 10" xfId="3911" xr:uid="{00000000-0005-0000-0000-0000CA1A0000}"/>
    <cellStyle name="Итог 8 10 2" xfId="8435" xr:uid="{00000000-0005-0000-0000-0000CB1A0000}"/>
    <cellStyle name="Итог 8 11" xfId="3912" xr:uid="{00000000-0005-0000-0000-0000CC1A0000}"/>
    <cellStyle name="Итог 8 11 2" xfId="8436" xr:uid="{00000000-0005-0000-0000-0000CD1A0000}"/>
    <cellStyle name="Итог 8 12" xfId="3913" xr:uid="{00000000-0005-0000-0000-0000CE1A0000}"/>
    <cellStyle name="Итог 8 12 2" xfId="8437" xr:uid="{00000000-0005-0000-0000-0000CF1A0000}"/>
    <cellStyle name="Итог 8 13" xfId="3914" xr:uid="{00000000-0005-0000-0000-0000D01A0000}"/>
    <cellStyle name="Итог 8 13 2" xfId="8438" xr:uid="{00000000-0005-0000-0000-0000D11A0000}"/>
    <cellStyle name="Итог 8 14" xfId="3915" xr:uid="{00000000-0005-0000-0000-0000D21A0000}"/>
    <cellStyle name="Итог 8 14 2" xfId="8439" xr:uid="{00000000-0005-0000-0000-0000D31A0000}"/>
    <cellStyle name="Итог 8 15" xfId="3916" xr:uid="{00000000-0005-0000-0000-0000D41A0000}"/>
    <cellStyle name="Итог 8 15 2" xfId="8440" xr:uid="{00000000-0005-0000-0000-0000D51A0000}"/>
    <cellStyle name="Итог 8 16" xfId="3917" xr:uid="{00000000-0005-0000-0000-0000D61A0000}"/>
    <cellStyle name="Итог 8 16 2" xfId="8441" xr:uid="{00000000-0005-0000-0000-0000D71A0000}"/>
    <cellStyle name="Итог 8 17" xfId="3918" xr:uid="{00000000-0005-0000-0000-0000D81A0000}"/>
    <cellStyle name="Итог 8 17 2" xfId="8442" xr:uid="{00000000-0005-0000-0000-0000D91A0000}"/>
    <cellStyle name="Итог 8 18" xfId="3919" xr:uid="{00000000-0005-0000-0000-0000DA1A0000}"/>
    <cellStyle name="Итог 8 18 2" xfId="8443" xr:uid="{00000000-0005-0000-0000-0000DB1A0000}"/>
    <cellStyle name="Итог 8 19" xfId="3920" xr:uid="{00000000-0005-0000-0000-0000DC1A0000}"/>
    <cellStyle name="Итог 8 19 2" xfId="8444" xr:uid="{00000000-0005-0000-0000-0000DD1A0000}"/>
    <cellStyle name="Итог 8 2" xfId="3921" xr:uid="{00000000-0005-0000-0000-0000DE1A0000}"/>
    <cellStyle name="Итог 8 2 2" xfId="3922" xr:uid="{00000000-0005-0000-0000-0000DF1A0000}"/>
    <cellStyle name="Итог 8 2 2 2" xfId="8445" xr:uid="{00000000-0005-0000-0000-0000E01A0000}"/>
    <cellStyle name="Итог 8 2 3" xfId="3923" xr:uid="{00000000-0005-0000-0000-0000E11A0000}"/>
    <cellStyle name="Итог 8 2 3 2" xfId="8446" xr:uid="{00000000-0005-0000-0000-0000E21A0000}"/>
    <cellStyle name="Итог 8 2 4" xfId="8447" xr:uid="{00000000-0005-0000-0000-0000E31A0000}"/>
    <cellStyle name="Итог 8 20" xfId="3924" xr:uid="{00000000-0005-0000-0000-0000E41A0000}"/>
    <cellStyle name="Итог 8 20 2" xfId="8448" xr:uid="{00000000-0005-0000-0000-0000E51A0000}"/>
    <cellStyle name="Итог 8 21" xfId="3925" xr:uid="{00000000-0005-0000-0000-0000E61A0000}"/>
    <cellStyle name="Итог 8 21 2" xfId="8449" xr:uid="{00000000-0005-0000-0000-0000E71A0000}"/>
    <cellStyle name="Итог 8 22" xfId="3926" xr:uid="{00000000-0005-0000-0000-0000E81A0000}"/>
    <cellStyle name="Итог 8 22 2" xfId="8450" xr:uid="{00000000-0005-0000-0000-0000E91A0000}"/>
    <cellStyle name="Итог 8 23" xfId="3927" xr:uid="{00000000-0005-0000-0000-0000EA1A0000}"/>
    <cellStyle name="Итог 8 23 2" xfId="8451" xr:uid="{00000000-0005-0000-0000-0000EB1A0000}"/>
    <cellStyle name="Итог 8 24" xfId="3928" xr:uid="{00000000-0005-0000-0000-0000EC1A0000}"/>
    <cellStyle name="Итог 8 24 2" xfId="8452" xr:uid="{00000000-0005-0000-0000-0000ED1A0000}"/>
    <cellStyle name="Итог 8 25" xfId="3929" xr:uid="{00000000-0005-0000-0000-0000EE1A0000}"/>
    <cellStyle name="Итог 8 25 2" xfId="8453" xr:uid="{00000000-0005-0000-0000-0000EF1A0000}"/>
    <cellStyle name="Итог 8 26" xfId="3930" xr:uid="{00000000-0005-0000-0000-0000F01A0000}"/>
    <cellStyle name="Итог 8 26 2" xfId="8454" xr:uid="{00000000-0005-0000-0000-0000F11A0000}"/>
    <cellStyle name="Итог 8 27" xfId="3931" xr:uid="{00000000-0005-0000-0000-0000F21A0000}"/>
    <cellStyle name="Итог 8 27 2" xfId="8455" xr:uid="{00000000-0005-0000-0000-0000F31A0000}"/>
    <cellStyle name="Итог 8 28" xfId="3932" xr:uid="{00000000-0005-0000-0000-0000F41A0000}"/>
    <cellStyle name="Итог 8 28 2" xfId="8456" xr:uid="{00000000-0005-0000-0000-0000F51A0000}"/>
    <cellStyle name="Итог 8 29" xfId="3933" xr:uid="{00000000-0005-0000-0000-0000F61A0000}"/>
    <cellStyle name="Итог 8 29 2" xfId="8457" xr:uid="{00000000-0005-0000-0000-0000F71A0000}"/>
    <cellStyle name="Итог 8 3" xfId="3934" xr:uid="{00000000-0005-0000-0000-0000F81A0000}"/>
    <cellStyle name="Итог 8 3 2" xfId="3935" xr:uid="{00000000-0005-0000-0000-0000F91A0000}"/>
    <cellStyle name="Итог 8 3 2 2" xfId="8458" xr:uid="{00000000-0005-0000-0000-0000FA1A0000}"/>
    <cellStyle name="Итог 8 3 3" xfId="3936" xr:uid="{00000000-0005-0000-0000-0000FB1A0000}"/>
    <cellStyle name="Итог 8 3 3 2" xfId="8459" xr:uid="{00000000-0005-0000-0000-0000FC1A0000}"/>
    <cellStyle name="Итог 8 3 4" xfId="8460" xr:uid="{00000000-0005-0000-0000-0000FD1A0000}"/>
    <cellStyle name="Итог 8 30" xfId="3937" xr:uid="{00000000-0005-0000-0000-0000FE1A0000}"/>
    <cellStyle name="Итог 8 30 2" xfId="8461" xr:uid="{00000000-0005-0000-0000-0000FF1A0000}"/>
    <cellStyle name="Итог 8 31" xfId="3938" xr:uid="{00000000-0005-0000-0000-0000001B0000}"/>
    <cellStyle name="Итог 8 31 2" xfId="8462" xr:uid="{00000000-0005-0000-0000-0000011B0000}"/>
    <cellStyle name="Итог 8 32" xfId="3939" xr:uid="{00000000-0005-0000-0000-0000021B0000}"/>
    <cellStyle name="Итог 8 32 2" xfId="8463" xr:uid="{00000000-0005-0000-0000-0000031B0000}"/>
    <cellStyle name="Итог 8 33" xfId="3940" xr:uid="{00000000-0005-0000-0000-0000041B0000}"/>
    <cellStyle name="Итог 8 33 2" xfId="8464" xr:uid="{00000000-0005-0000-0000-0000051B0000}"/>
    <cellStyle name="Итог 8 34" xfId="3941" xr:uid="{00000000-0005-0000-0000-0000061B0000}"/>
    <cellStyle name="Итог 8 34 2" xfId="8465" xr:uid="{00000000-0005-0000-0000-0000071B0000}"/>
    <cellStyle name="Итог 8 35" xfId="3942" xr:uid="{00000000-0005-0000-0000-0000081B0000}"/>
    <cellStyle name="Итог 8 35 2" xfId="8466" xr:uid="{00000000-0005-0000-0000-0000091B0000}"/>
    <cellStyle name="Итог 8 36" xfId="3943" xr:uid="{00000000-0005-0000-0000-00000A1B0000}"/>
    <cellStyle name="Итог 8 36 2" xfId="8467" xr:uid="{00000000-0005-0000-0000-00000B1B0000}"/>
    <cellStyle name="Итог 8 37" xfId="3944" xr:uid="{00000000-0005-0000-0000-00000C1B0000}"/>
    <cellStyle name="Итог 8 37 2" xfId="8468" xr:uid="{00000000-0005-0000-0000-00000D1B0000}"/>
    <cellStyle name="Итог 8 38" xfId="3945" xr:uid="{00000000-0005-0000-0000-00000E1B0000}"/>
    <cellStyle name="Итог 8 38 2" xfId="8469" xr:uid="{00000000-0005-0000-0000-00000F1B0000}"/>
    <cellStyle name="Итог 8 39" xfId="3946" xr:uid="{00000000-0005-0000-0000-0000101B0000}"/>
    <cellStyle name="Итог 8 39 2" xfId="8470" xr:uid="{00000000-0005-0000-0000-0000111B0000}"/>
    <cellStyle name="Итог 8 4" xfId="3947" xr:uid="{00000000-0005-0000-0000-0000121B0000}"/>
    <cellStyle name="Итог 8 4 2" xfId="3948" xr:uid="{00000000-0005-0000-0000-0000131B0000}"/>
    <cellStyle name="Итог 8 4 2 2" xfId="8471" xr:uid="{00000000-0005-0000-0000-0000141B0000}"/>
    <cellStyle name="Итог 8 4 3" xfId="3949" xr:uid="{00000000-0005-0000-0000-0000151B0000}"/>
    <cellStyle name="Итог 8 4 3 2" xfId="8472" xr:uid="{00000000-0005-0000-0000-0000161B0000}"/>
    <cellStyle name="Итог 8 4 4" xfId="8473" xr:uid="{00000000-0005-0000-0000-0000171B0000}"/>
    <cellStyle name="Итог 8 40" xfId="3950" xr:uid="{00000000-0005-0000-0000-0000181B0000}"/>
    <cellStyle name="Итог 8 40 2" xfId="8474" xr:uid="{00000000-0005-0000-0000-0000191B0000}"/>
    <cellStyle name="Итог 8 41" xfId="3951" xr:uid="{00000000-0005-0000-0000-00001A1B0000}"/>
    <cellStyle name="Итог 8 41 2" xfId="8475" xr:uid="{00000000-0005-0000-0000-00001B1B0000}"/>
    <cellStyle name="Итог 8 42" xfId="3952" xr:uid="{00000000-0005-0000-0000-00001C1B0000}"/>
    <cellStyle name="Итог 8 42 2" xfId="8476" xr:uid="{00000000-0005-0000-0000-00001D1B0000}"/>
    <cellStyle name="Итог 8 43" xfId="3953" xr:uid="{00000000-0005-0000-0000-00001E1B0000}"/>
    <cellStyle name="Итог 8 43 2" xfId="8477" xr:uid="{00000000-0005-0000-0000-00001F1B0000}"/>
    <cellStyle name="Итог 8 44" xfId="3954" xr:uid="{00000000-0005-0000-0000-0000201B0000}"/>
    <cellStyle name="Итог 8 44 2" xfId="8478" xr:uid="{00000000-0005-0000-0000-0000211B0000}"/>
    <cellStyle name="Итог 8 45" xfId="3955" xr:uid="{00000000-0005-0000-0000-0000221B0000}"/>
    <cellStyle name="Итог 8 45 2" xfId="8479" xr:uid="{00000000-0005-0000-0000-0000231B0000}"/>
    <cellStyle name="Итог 8 46" xfId="3956" xr:uid="{00000000-0005-0000-0000-0000241B0000}"/>
    <cellStyle name="Итог 8 46 2" xfId="8480" xr:uid="{00000000-0005-0000-0000-0000251B0000}"/>
    <cellStyle name="Итог 8 47" xfId="3957" xr:uid="{00000000-0005-0000-0000-0000261B0000}"/>
    <cellStyle name="Итог 8 47 2" xfId="8481" xr:uid="{00000000-0005-0000-0000-0000271B0000}"/>
    <cellStyle name="Итог 8 48" xfId="3958" xr:uid="{00000000-0005-0000-0000-0000281B0000}"/>
    <cellStyle name="Итог 8 48 2" xfId="8482" xr:uid="{00000000-0005-0000-0000-0000291B0000}"/>
    <cellStyle name="Итог 8 49" xfId="3959" xr:uid="{00000000-0005-0000-0000-00002A1B0000}"/>
    <cellStyle name="Итог 8 49 2" xfId="8483" xr:uid="{00000000-0005-0000-0000-00002B1B0000}"/>
    <cellStyle name="Итог 8 5" xfId="3960" xr:uid="{00000000-0005-0000-0000-00002C1B0000}"/>
    <cellStyle name="Итог 8 5 2" xfId="8484" xr:uid="{00000000-0005-0000-0000-00002D1B0000}"/>
    <cellStyle name="Итог 8 50" xfId="3961" xr:uid="{00000000-0005-0000-0000-00002E1B0000}"/>
    <cellStyle name="Итог 8 50 2" xfId="8485" xr:uid="{00000000-0005-0000-0000-00002F1B0000}"/>
    <cellStyle name="Итог 8 51" xfId="3962" xr:uid="{00000000-0005-0000-0000-0000301B0000}"/>
    <cellStyle name="Итог 8 51 2" xfId="8486" xr:uid="{00000000-0005-0000-0000-0000311B0000}"/>
    <cellStyle name="Итог 8 52" xfId="3963" xr:uid="{00000000-0005-0000-0000-0000321B0000}"/>
    <cellStyle name="Итог 8 52 2" xfId="8487" xr:uid="{00000000-0005-0000-0000-0000331B0000}"/>
    <cellStyle name="Итог 8 53" xfId="3964" xr:uid="{00000000-0005-0000-0000-0000341B0000}"/>
    <cellStyle name="Итог 8 53 2" xfId="8488" xr:uid="{00000000-0005-0000-0000-0000351B0000}"/>
    <cellStyle name="Итог 8 54" xfId="3965" xr:uid="{00000000-0005-0000-0000-0000361B0000}"/>
    <cellStyle name="Итог 8 54 2" xfId="8489" xr:uid="{00000000-0005-0000-0000-0000371B0000}"/>
    <cellStyle name="Итог 8 55" xfId="3966" xr:uid="{00000000-0005-0000-0000-0000381B0000}"/>
    <cellStyle name="Итог 8 55 2" xfId="8490" xr:uid="{00000000-0005-0000-0000-0000391B0000}"/>
    <cellStyle name="Итог 8 56" xfId="3967" xr:uid="{00000000-0005-0000-0000-00003A1B0000}"/>
    <cellStyle name="Итог 8 56 2" xfId="8491" xr:uid="{00000000-0005-0000-0000-00003B1B0000}"/>
    <cellStyle name="Итог 8 57" xfId="3968" xr:uid="{00000000-0005-0000-0000-00003C1B0000}"/>
    <cellStyle name="Итог 8 57 2" xfId="8492" xr:uid="{00000000-0005-0000-0000-00003D1B0000}"/>
    <cellStyle name="Итог 8 58" xfId="3969" xr:uid="{00000000-0005-0000-0000-00003E1B0000}"/>
    <cellStyle name="Итог 8 58 2" xfId="8493" xr:uid="{00000000-0005-0000-0000-00003F1B0000}"/>
    <cellStyle name="Итог 8 59" xfId="3970" xr:uid="{00000000-0005-0000-0000-0000401B0000}"/>
    <cellStyle name="Итог 8 59 2" xfId="8494" xr:uid="{00000000-0005-0000-0000-0000411B0000}"/>
    <cellStyle name="Итог 8 6" xfId="3971" xr:uid="{00000000-0005-0000-0000-0000421B0000}"/>
    <cellStyle name="Итог 8 6 2" xfId="8495" xr:uid="{00000000-0005-0000-0000-0000431B0000}"/>
    <cellStyle name="Итог 8 60" xfId="3972" xr:uid="{00000000-0005-0000-0000-0000441B0000}"/>
    <cellStyle name="Итог 8 60 2" xfId="8496" xr:uid="{00000000-0005-0000-0000-0000451B0000}"/>
    <cellStyle name="Итог 8 61" xfId="3973" xr:uid="{00000000-0005-0000-0000-0000461B0000}"/>
    <cellStyle name="Итог 8 61 2" xfId="8497" xr:uid="{00000000-0005-0000-0000-0000471B0000}"/>
    <cellStyle name="Итог 8 62" xfId="3974" xr:uid="{00000000-0005-0000-0000-0000481B0000}"/>
    <cellStyle name="Итог 8 62 2" xfId="8498" xr:uid="{00000000-0005-0000-0000-0000491B0000}"/>
    <cellStyle name="Итог 8 63" xfId="3975" xr:uid="{00000000-0005-0000-0000-00004A1B0000}"/>
    <cellStyle name="Итог 8 63 2" xfId="8499" xr:uid="{00000000-0005-0000-0000-00004B1B0000}"/>
    <cellStyle name="Итог 8 64" xfId="3976" xr:uid="{00000000-0005-0000-0000-00004C1B0000}"/>
    <cellStyle name="Итог 8 64 2" xfId="8500" xr:uid="{00000000-0005-0000-0000-00004D1B0000}"/>
    <cellStyle name="Итог 8 65" xfId="3977" xr:uid="{00000000-0005-0000-0000-00004E1B0000}"/>
    <cellStyle name="Итог 8 65 2" xfId="8501" xr:uid="{00000000-0005-0000-0000-00004F1B0000}"/>
    <cellStyle name="Итог 8 66" xfId="3978" xr:uid="{00000000-0005-0000-0000-0000501B0000}"/>
    <cellStyle name="Итог 8 66 2" xfId="8502" xr:uid="{00000000-0005-0000-0000-0000511B0000}"/>
    <cellStyle name="Итог 8 67" xfId="3979" xr:uid="{00000000-0005-0000-0000-0000521B0000}"/>
    <cellStyle name="Итог 8 67 2" xfId="8503" xr:uid="{00000000-0005-0000-0000-0000531B0000}"/>
    <cellStyle name="Итог 8 68" xfId="3980" xr:uid="{00000000-0005-0000-0000-0000541B0000}"/>
    <cellStyle name="Итог 8 68 2" xfId="8504" xr:uid="{00000000-0005-0000-0000-0000551B0000}"/>
    <cellStyle name="Итог 8 69" xfId="3981" xr:uid="{00000000-0005-0000-0000-0000561B0000}"/>
    <cellStyle name="Итог 8 69 2" xfId="8505" xr:uid="{00000000-0005-0000-0000-0000571B0000}"/>
    <cellStyle name="Итог 8 7" xfId="3982" xr:uid="{00000000-0005-0000-0000-0000581B0000}"/>
    <cellStyle name="Итог 8 7 2" xfId="8506" xr:uid="{00000000-0005-0000-0000-0000591B0000}"/>
    <cellStyle name="Итог 8 70" xfId="3983" xr:uid="{00000000-0005-0000-0000-00005A1B0000}"/>
    <cellStyle name="Итог 8 70 2" xfId="8507" xr:uid="{00000000-0005-0000-0000-00005B1B0000}"/>
    <cellStyle name="Итог 8 71" xfId="3984" xr:uid="{00000000-0005-0000-0000-00005C1B0000}"/>
    <cellStyle name="Итог 8 71 2" xfId="8508" xr:uid="{00000000-0005-0000-0000-00005D1B0000}"/>
    <cellStyle name="Итог 8 72" xfId="3985" xr:uid="{00000000-0005-0000-0000-00005E1B0000}"/>
    <cellStyle name="Итог 8 72 2" xfId="8509" xr:uid="{00000000-0005-0000-0000-00005F1B0000}"/>
    <cellStyle name="Итог 8 73" xfId="3986" xr:uid="{00000000-0005-0000-0000-0000601B0000}"/>
    <cellStyle name="Итог 8 73 2" xfId="8510" xr:uid="{00000000-0005-0000-0000-0000611B0000}"/>
    <cellStyle name="Итог 8 74" xfId="3987" xr:uid="{00000000-0005-0000-0000-0000621B0000}"/>
    <cellStyle name="Итог 8 74 2" xfId="8511" xr:uid="{00000000-0005-0000-0000-0000631B0000}"/>
    <cellStyle name="Итог 8 75" xfId="3988" xr:uid="{00000000-0005-0000-0000-0000641B0000}"/>
    <cellStyle name="Итог 8 75 2" xfId="8512" xr:uid="{00000000-0005-0000-0000-0000651B0000}"/>
    <cellStyle name="Итог 8 76" xfId="3989" xr:uid="{00000000-0005-0000-0000-0000661B0000}"/>
    <cellStyle name="Итог 8 76 2" xfId="8513" xr:uid="{00000000-0005-0000-0000-0000671B0000}"/>
    <cellStyle name="Итог 8 77" xfId="3990" xr:uid="{00000000-0005-0000-0000-0000681B0000}"/>
    <cellStyle name="Итог 8 77 2" xfId="8514" xr:uid="{00000000-0005-0000-0000-0000691B0000}"/>
    <cellStyle name="Итог 8 78" xfId="3991" xr:uid="{00000000-0005-0000-0000-00006A1B0000}"/>
    <cellStyle name="Итог 8 78 2" xfId="8515" xr:uid="{00000000-0005-0000-0000-00006B1B0000}"/>
    <cellStyle name="Итог 8 79" xfId="3992" xr:uid="{00000000-0005-0000-0000-00006C1B0000}"/>
    <cellStyle name="Итог 8 79 2" xfId="8516" xr:uid="{00000000-0005-0000-0000-00006D1B0000}"/>
    <cellStyle name="Итог 8 8" xfId="3993" xr:uid="{00000000-0005-0000-0000-00006E1B0000}"/>
    <cellStyle name="Итог 8 8 2" xfId="8517" xr:uid="{00000000-0005-0000-0000-00006F1B0000}"/>
    <cellStyle name="Итог 8 80" xfId="3994" xr:uid="{00000000-0005-0000-0000-0000701B0000}"/>
    <cellStyle name="Итог 8 80 2" xfId="8518" xr:uid="{00000000-0005-0000-0000-0000711B0000}"/>
    <cellStyle name="Итог 8 81" xfId="3995" xr:uid="{00000000-0005-0000-0000-0000721B0000}"/>
    <cellStyle name="Итог 8 81 2" xfId="8519" xr:uid="{00000000-0005-0000-0000-0000731B0000}"/>
    <cellStyle name="Итог 8 82" xfId="3996" xr:uid="{00000000-0005-0000-0000-0000741B0000}"/>
    <cellStyle name="Итог 8 82 2" xfId="8520" xr:uid="{00000000-0005-0000-0000-0000751B0000}"/>
    <cellStyle name="Итог 8 83" xfId="3997" xr:uid="{00000000-0005-0000-0000-0000761B0000}"/>
    <cellStyle name="Итог 8 83 2" xfId="8521" xr:uid="{00000000-0005-0000-0000-0000771B0000}"/>
    <cellStyle name="Итог 8 84" xfId="3998" xr:uid="{00000000-0005-0000-0000-0000781B0000}"/>
    <cellStyle name="Итог 8 84 2" xfId="8522" xr:uid="{00000000-0005-0000-0000-0000791B0000}"/>
    <cellStyle name="Итог 8 85" xfId="3999" xr:uid="{00000000-0005-0000-0000-00007A1B0000}"/>
    <cellStyle name="Итог 8 85 2" xfId="8523" xr:uid="{00000000-0005-0000-0000-00007B1B0000}"/>
    <cellStyle name="Итог 8 86" xfId="4000" xr:uid="{00000000-0005-0000-0000-00007C1B0000}"/>
    <cellStyle name="Итог 8 86 2" xfId="8524" xr:uid="{00000000-0005-0000-0000-00007D1B0000}"/>
    <cellStyle name="Итог 8 87" xfId="4001" xr:uid="{00000000-0005-0000-0000-00007E1B0000}"/>
    <cellStyle name="Итог 8 87 2" xfId="8525" xr:uid="{00000000-0005-0000-0000-00007F1B0000}"/>
    <cellStyle name="Итог 8 88" xfId="4002" xr:uid="{00000000-0005-0000-0000-0000801B0000}"/>
    <cellStyle name="Итог 8 88 2" xfId="8526" xr:uid="{00000000-0005-0000-0000-0000811B0000}"/>
    <cellStyle name="Итог 8 89" xfId="4003" xr:uid="{00000000-0005-0000-0000-0000821B0000}"/>
    <cellStyle name="Итог 8 89 2" xfId="8527" xr:uid="{00000000-0005-0000-0000-0000831B0000}"/>
    <cellStyle name="Итог 8 9" xfId="4004" xr:uid="{00000000-0005-0000-0000-0000841B0000}"/>
    <cellStyle name="Итог 8 9 2" xfId="8528" xr:uid="{00000000-0005-0000-0000-0000851B0000}"/>
    <cellStyle name="Итог 8 90" xfId="4005" xr:uid="{00000000-0005-0000-0000-0000861B0000}"/>
    <cellStyle name="Итог 8 90 2" xfId="8529" xr:uid="{00000000-0005-0000-0000-0000871B0000}"/>
    <cellStyle name="Итог 8 91" xfId="4006" xr:uid="{00000000-0005-0000-0000-0000881B0000}"/>
    <cellStyle name="Итог 8 91 2" xfId="8530" xr:uid="{00000000-0005-0000-0000-0000891B0000}"/>
    <cellStyle name="Итог 8 92" xfId="8531" xr:uid="{00000000-0005-0000-0000-00008A1B0000}"/>
    <cellStyle name="Итог 9" xfId="297" xr:uid="{00000000-0005-0000-0000-00008B1B0000}"/>
    <cellStyle name="Итог 9 10" xfId="4007" xr:uid="{00000000-0005-0000-0000-00008C1B0000}"/>
    <cellStyle name="Итог 9 10 2" xfId="8532" xr:uid="{00000000-0005-0000-0000-00008D1B0000}"/>
    <cellStyle name="Итог 9 11" xfId="4008" xr:uid="{00000000-0005-0000-0000-00008E1B0000}"/>
    <cellStyle name="Итог 9 11 2" xfId="8533" xr:uid="{00000000-0005-0000-0000-00008F1B0000}"/>
    <cellStyle name="Итог 9 12" xfId="4009" xr:uid="{00000000-0005-0000-0000-0000901B0000}"/>
    <cellStyle name="Итог 9 12 2" xfId="8534" xr:uid="{00000000-0005-0000-0000-0000911B0000}"/>
    <cellStyle name="Итог 9 13" xfId="4010" xr:uid="{00000000-0005-0000-0000-0000921B0000}"/>
    <cellStyle name="Итог 9 13 2" xfId="8535" xr:uid="{00000000-0005-0000-0000-0000931B0000}"/>
    <cellStyle name="Итог 9 14" xfId="4011" xr:uid="{00000000-0005-0000-0000-0000941B0000}"/>
    <cellStyle name="Итог 9 14 2" xfId="8536" xr:uid="{00000000-0005-0000-0000-0000951B0000}"/>
    <cellStyle name="Итог 9 15" xfId="4012" xr:uid="{00000000-0005-0000-0000-0000961B0000}"/>
    <cellStyle name="Итог 9 15 2" xfId="8537" xr:uid="{00000000-0005-0000-0000-0000971B0000}"/>
    <cellStyle name="Итог 9 16" xfId="4013" xr:uid="{00000000-0005-0000-0000-0000981B0000}"/>
    <cellStyle name="Итог 9 16 2" xfId="8538" xr:uid="{00000000-0005-0000-0000-0000991B0000}"/>
    <cellStyle name="Итог 9 17" xfId="4014" xr:uid="{00000000-0005-0000-0000-00009A1B0000}"/>
    <cellStyle name="Итог 9 17 2" xfId="8539" xr:uid="{00000000-0005-0000-0000-00009B1B0000}"/>
    <cellStyle name="Итог 9 18" xfId="4015" xr:uid="{00000000-0005-0000-0000-00009C1B0000}"/>
    <cellStyle name="Итог 9 18 2" xfId="8540" xr:uid="{00000000-0005-0000-0000-00009D1B0000}"/>
    <cellStyle name="Итог 9 19" xfId="4016" xr:uid="{00000000-0005-0000-0000-00009E1B0000}"/>
    <cellStyle name="Итог 9 19 2" xfId="8541" xr:uid="{00000000-0005-0000-0000-00009F1B0000}"/>
    <cellStyle name="Итог 9 2" xfId="4017" xr:uid="{00000000-0005-0000-0000-0000A01B0000}"/>
    <cellStyle name="Итог 9 2 2" xfId="4018" xr:uid="{00000000-0005-0000-0000-0000A11B0000}"/>
    <cellStyle name="Итог 9 2 2 2" xfId="8542" xr:uid="{00000000-0005-0000-0000-0000A21B0000}"/>
    <cellStyle name="Итог 9 2 3" xfId="4019" xr:uid="{00000000-0005-0000-0000-0000A31B0000}"/>
    <cellStyle name="Итог 9 2 3 2" xfId="8543" xr:uid="{00000000-0005-0000-0000-0000A41B0000}"/>
    <cellStyle name="Итог 9 2 4" xfId="8544" xr:uid="{00000000-0005-0000-0000-0000A51B0000}"/>
    <cellStyle name="Итог 9 20" xfId="4020" xr:uid="{00000000-0005-0000-0000-0000A61B0000}"/>
    <cellStyle name="Итог 9 20 2" xfId="8545" xr:uid="{00000000-0005-0000-0000-0000A71B0000}"/>
    <cellStyle name="Итог 9 21" xfId="4021" xr:uid="{00000000-0005-0000-0000-0000A81B0000}"/>
    <cellStyle name="Итог 9 21 2" xfId="8546" xr:uid="{00000000-0005-0000-0000-0000A91B0000}"/>
    <cellStyle name="Итог 9 22" xfId="4022" xr:uid="{00000000-0005-0000-0000-0000AA1B0000}"/>
    <cellStyle name="Итог 9 22 2" xfId="8547" xr:uid="{00000000-0005-0000-0000-0000AB1B0000}"/>
    <cellStyle name="Итог 9 23" xfId="4023" xr:uid="{00000000-0005-0000-0000-0000AC1B0000}"/>
    <cellStyle name="Итог 9 23 2" xfId="8548" xr:uid="{00000000-0005-0000-0000-0000AD1B0000}"/>
    <cellStyle name="Итог 9 24" xfId="4024" xr:uid="{00000000-0005-0000-0000-0000AE1B0000}"/>
    <cellStyle name="Итог 9 24 2" xfId="8549" xr:uid="{00000000-0005-0000-0000-0000AF1B0000}"/>
    <cellStyle name="Итог 9 25" xfId="4025" xr:uid="{00000000-0005-0000-0000-0000B01B0000}"/>
    <cellStyle name="Итог 9 25 2" xfId="8550" xr:uid="{00000000-0005-0000-0000-0000B11B0000}"/>
    <cellStyle name="Итог 9 26" xfId="4026" xr:uid="{00000000-0005-0000-0000-0000B21B0000}"/>
    <cellStyle name="Итог 9 26 2" xfId="8551" xr:uid="{00000000-0005-0000-0000-0000B31B0000}"/>
    <cellStyle name="Итог 9 27" xfId="4027" xr:uid="{00000000-0005-0000-0000-0000B41B0000}"/>
    <cellStyle name="Итог 9 27 2" xfId="8552" xr:uid="{00000000-0005-0000-0000-0000B51B0000}"/>
    <cellStyle name="Итог 9 28" xfId="4028" xr:uid="{00000000-0005-0000-0000-0000B61B0000}"/>
    <cellStyle name="Итог 9 28 2" xfId="8553" xr:uid="{00000000-0005-0000-0000-0000B71B0000}"/>
    <cellStyle name="Итог 9 29" xfId="4029" xr:uid="{00000000-0005-0000-0000-0000B81B0000}"/>
    <cellStyle name="Итог 9 29 2" xfId="8554" xr:uid="{00000000-0005-0000-0000-0000B91B0000}"/>
    <cellStyle name="Итог 9 3" xfId="4030" xr:uid="{00000000-0005-0000-0000-0000BA1B0000}"/>
    <cellStyle name="Итог 9 3 2" xfId="4031" xr:uid="{00000000-0005-0000-0000-0000BB1B0000}"/>
    <cellStyle name="Итог 9 3 2 2" xfId="8555" xr:uid="{00000000-0005-0000-0000-0000BC1B0000}"/>
    <cellStyle name="Итог 9 3 3" xfId="4032" xr:uid="{00000000-0005-0000-0000-0000BD1B0000}"/>
    <cellStyle name="Итог 9 3 3 2" xfId="8556" xr:uid="{00000000-0005-0000-0000-0000BE1B0000}"/>
    <cellStyle name="Итог 9 3 4" xfId="8557" xr:uid="{00000000-0005-0000-0000-0000BF1B0000}"/>
    <cellStyle name="Итог 9 30" xfId="4033" xr:uid="{00000000-0005-0000-0000-0000C01B0000}"/>
    <cellStyle name="Итог 9 30 2" xfId="8558" xr:uid="{00000000-0005-0000-0000-0000C11B0000}"/>
    <cellStyle name="Итог 9 31" xfId="4034" xr:uid="{00000000-0005-0000-0000-0000C21B0000}"/>
    <cellStyle name="Итог 9 31 2" xfId="8559" xr:uid="{00000000-0005-0000-0000-0000C31B0000}"/>
    <cellStyle name="Итог 9 32" xfId="4035" xr:uid="{00000000-0005-0000-0000-0000C41B0000}"/>
    <cellStyle name="Итог 9 32 2" xfId="8560" xr:uid="{00000000-0005-0000-0000-0000C51B0000}"/>
    <cellStyle name="Итог 9 33" xfId="4036" xr:uid="{00000000-0005-0000-0000-0000C61B0000}"/>
    <cellStyle name="Итог 9 33 2" xfId="8561" xr:uid="{00000000-0005-0000-0000-0000C71B0000}"/>
    <cellStyle name="Итог 9 34" xfId="4037" xr:uid="{00000000-0005-0000-0000-0000C81B0000}"/>
    <cellStyle name="Итог 9 34 2" xfId="8562" xr:uid="{00000000-0005-0000-0000-0000C91B0000}"/>
    <cellStyle name="Итог 9 35" xfId="4038" xr:uid="{00000000-0005-0000-0000-0000CA1B0000}"/>
    <cellStyle name="Итог 9 35 2" xfId="8563" xr:uid="{00000000-0005-0000-0000-0000CB1B0000}"/>
    <cellStyle name="Итог 9 36" xfId="4039" xr:uid="{00000000-0005-0000-0000-0000CC1B0000}"/>
    <cellStyle name="Итог 9 36 2" xfId="8564" xr:uid="{00000000-0005-0000-0000-0000CD1B0000}"/>
    <cellStyle name="Итог 9 37" xfId="4040" xr:uid="{00000000-0005-0000-0000-0000CE1B0000}"/>
    <cellStyle name="Итог 9 37 2" xfId="8565" xr:uid="{00000000-0005-0000-0000-0000CF1B0000}"/>
    <cellStyle name="Итог 9 38" xfId="4041" xr:uid="{00000000-0005-0000-0000-0000D01B0000}"/>
    <cellStyle name="Итог 9 38 2" xfId="8566" xr:uid="{00000000-0005-0000-0000-0000D11B0000}"/>
    <cellStyle name="Итог 9 39" xfId="4042" xr:uid="{00000000-0005-0000-0000-0000D21B0000}"/>
    <cellStyle name="Итог 9 39 2" xfId="8567" xr:uid="{00000000-0005-0000-0000-0000D31B0000}"/>
    <cellStyle name="Итог 9 4" xfId="4043" xr:uid="{00000000-0005-0000-0000-0000D41B0000}"/>
    <cellStyle name="Итог 9 4 2" xfId="4044" xr:uid="{00000000-0005-0000-0000-0000D51B0000}"/>
    <cellStyle name="Итог 9 4 2 2" xfId="8568" xr:uid="{00000000-0005-0000-0000-0000D61B0000}"/>
    <cellStyle name="Итог 9 4 3" xfId="4045" xr:uid="{00000000-0005-0000-0000-0000D71B0000}"/>
    <cellStyle name="Итог 9 4 3 2" xfId="8569" xr:uid="{00000000-0005-0000-0000-0000D81B0000}"/>
    <cellStyle name="Итог 9 4 4" xfId="8570" xr:uid="{00000000-0005-0000-0000-0000D91B0000}"/>
    <cellStyle name="Итог 9 40" xfId="4046" xr:uid="{00000000-0005-0000-0000-0000DA1B0000}"/>
    <cellStyle name="Итог 9 40 2" xfId="8571" xr:uid="{00000000-0005-0000-0000-0000DB1B0000}"/>
    <cellStyle name="Итог 9 41" xfId="4047" xr:uid="{00000000-0005-0000-0000-0000DC1B0000}"/>
    <cellStyle name="Итог 9 41 2" xfId="8572" xr:uid="{00000000-0005-0000-0000-0000DD1B0000}"/>
    <cellStyle name="Итог 9 42" xfId="4048" xr:uid="{00000000-0005-0000-0000-0000DE1B0000}"/>
    <cellStyle name="Итог 9 42 2" xfId="8573" xr:uid="{00000000-0005-0000-0000-0000DF1B0000}"/>
    <cellStyle name="Итог 9 43" xfId="4049" xr:uid="{00000000-0005-0000-0000-0000E01B0000}"/>
    <cellStyle name="Итог 9 43 2" xfId="8574" xr:uid="{00000000-0005-0000-0000-0000E11B0000}"/>
    <cellStyle name="Итог 9 44" xfId="4050" xr:uid="{00000000-0005-0000-0000-0000E21B0000}"/>
    <cellStyle name="Итог 9 44 2" xfId="8575" xr:uid="{00000000-0005-0000-0000-0000E31B0000}"/>
    <cellStyle name="Итог 9 45" xfId="4051" xr:uid="{00000000-0005-0000-0000-0000E41B0000}"/>
    <cellStyle name="Итог 9 45 2" xfId="8576" xr:uid="{00000000-0005-0000-0000-0000E51B0000}"/>
    <cellStyle name="Итог 9 46" xfId="4052" xr:uid="{00000000-0005-0000-0000-0000E61B0000}"/>
    <cellStyle name="Итог 9 46 2" xfId="8577" xr:uid="{00000000-0005-0000-0000-0000E71B0000}"/>
    <cellStyle name="Итог 9 47" xfId="4053" xr:uid="{00000000-0005-0000-0000-0000E81B0000}"/>
    <cellStyle name="Итог 9 47 2" xfId="8578" xr:uid="{00000000-0005-0000-0000-0000E91B0000}"/>
    <cellStyle name="Итог 9 48" xfId="4054" xr:uid="{00000000-0005-0000-0000-0000EA1B0000}"/>
    <cellStyle name="Итог 9 48 2" xfId="8579" xr:uid="{00000000-0005-0000-0000-0000EB1B0000}"/>
    <cellStyle name="Итог 9 49" xfId="4055" xr:uid="{00000000-0005-0000-0000-0000EC1B0000}"/>
    <cellStyle name="Итог 9 49 2" xfId="8580" xr:uid="{00000000-0005-0000-0000-0000ED1B0000}"/>
    <cellStyle name="Итог 9 5" xfId="4056" xr:uid="{00000000-0005-0000-0000-0000EE1B0000}"/>
    <cellStyle name="Итог 9 5 2" xfId="8581" xr:uid="{00000000-0005-0000-0000-0000EF1B0000}"/>
    <cellStyle name="Итог 9 50" xfId="4057" xr:uid="{00000000-0005-0000-0000-0000F01B0000}"/>
    <cellStyle name="Итог 9 50 2" xfId="8582" xr:uid="{00000000-0005-0000-0000-0000F11B0000}"/>
    <cellStyle name="Итог 9 51" xfId="4058" xr:uid="{00000000-0005-0000-0000-0000F21B0000}"/>
    <cellStyle name="Итог 9 51 2" xfId="8583" xr:uid="{00000000-0005-0000-0000-0000F31B0000}"/>
    <cellStyle name="Итог 9 52" xfId="4059" xr:uid="{00000000-0005-0000-0000-0000F41B0000}"/>
    <cellStyle name="Итог 9 52 2" xfId="8584" xr:uid="{00000000-0005-0000-0000-0000F51B0000}"/>
    <cellStyle name="Итог 9 53" xfId="4060" xr:uid="{00000000-0005-0000-0000-0000F61B0000}"/>
    <cellStyle name="Итог 9 53 2" xfId="8585" xr:uid="{00000000-0005-0000-0000-0000F71B0000}"/>
    <cellStyle name="Итог 9 54" xfId="4061" xr:uid="{00000000-0005-0000-0000-0000F81B0000}"/>
    <cellStyle name="Итог 9 54 2" xfId="8586" xr:uid="{00000000-0005-0000-0000-0000F91B0000}"/>
    <cellStyle name="Итог 9 55" xfId="4062" xr:uid="{00000000-0005-0000-0000-0000FA1B0000}"/>
    <cellStyle name="Итог 9 55 2" xfId="8587" xr:uid="{00000000-0005-0000-0000-0000FB1B0000}"/>
    <cellStyle name="Итог 9 56" xfId="4063" xr:uid="{00000000-0005-0000-0000-0000FC1B0000}"/>
    <cellStyle name="Итог 9 56 2" xfId="8588" xr:uid="{00000000-0005-0000-0000-0000FD1B0000}"/>
    <cellStyle name="Итог 9 57" xfId="4064" xr:uid="{00000000-0005-0000-0000-0000FE1B0000}"/>
    <cellStyle name="Итог 9 57 2" xfId="8589" xr:uid="{00000000-0005-0000-0000-0000FF1B0000}"/>
    <cellStyle name="Итог 9 58" xfId="4065" xr:uid="{00000000-0005-0000-0000-0000001C0000}"/>
    <cellStyle name="Итог 9 58 2" xfId="8590" xr:uid="{00000000-0005-0000-0000-0000011C0000}"/>
    <cellStyle name="Итог 9 59" xfId="4066" xr:uid="{00000000-0005-0000-0000-0000021C0000}"/>
    <cellStyle name="Итог 9 59 2" xfId="8591" xr:uid="{00000000-0005-0000-0000-0000031C0000}"/>
    <cellStyle name="Итог 9 6" xfId="4067" xr:uid="{00000000-0005-0000-0000-0000041C0000}"/>
    <cellStyle name="Итог 9 6 2" xfId="8592" xr:uid="{00000000-0005-0000-0000-0000051C0000}"/>
    <cellStyle name="Итог 9 60" xfId="4068" xr:uid="{00000000-0005-0000-0000-0000061C0000}"/>
    <cellStyle name="Итог 9 60 2" xfId="8593" xr:uid="{00000000-0005-0000-0000-0000071C0000}"/>
    <cellStyle name="Итог 9 61" xfId="4069" xr:uid="{00000000-0005-0000-0000-0000081C0000}"/>
    <cellStyle name="Итог 9 61 2" xfId="8594" xr:uid="{00000000-0005-0000-0000-0000091C0000}"/>
    <cellStyle name="Итог 9 62" xfId="4070" xr:uid="{00000000-0005-0000-0000-00000A1C0000}"/>
    <cellStyle name="Итог 9 62 2" xfId="8595" xr:uid="{00000000-0005-0000-0000-00000B1C0000}"/>
    <cellStyle name="Итог 9 63" xfId="4071" xr:uid="{00000000-0005-0000-0000-00000C1C0000}"/>
    <cellStyle name="Итог 9 63 2" xfId="8596" xr:uid="{00000000-0005-0000-0000-00000D1C0000}"/>
    <cellStyle name="Итог 9 64" xfId="4072" xr:uid="{00000000-0005-0000-0000-00000E1C0000}"/>
    <cellStyle name="Итог 9 64 2" xfId="8597" xr:uid="{00000000-0005-0000-0000-00000F1C0000}"/>
    <cellStyle name="Итог 9 65" xfId="4073" xr:uid="{00000000-0005-0000-0000-0000101C0000}"/>
    <cellStyle name="Итог 9 65 2" xfId="8598" xr:uid="{00000000-0005-0000-0000-0000111C0000}"/>
    <cellStyle name="Итог 9 66" xfId="4074" xr:uid="{00000000-0005-0000-0000-0000121C0000}"/>
    <cellStyle name="Итог 9 66 2" xfId="8599" xr:uid="{00000000-0005-0000-0000-0000131C0000}"/>
    <cellStyle name="Итог 9 67" xfId="4075" xr:uid="{00000000-0005-0000-0000-0000141C0000}"/>
    <cellStyle name="Итог 9 67 2" xfId="8600" xr:uid="{00000000-0005-0000-0000-0000151C0000}"/>
    <cellStyle name="Итог 9 68" xfId="4076" xr:uid="{00000000-0005-0000-0000-0000161C0000}"/>
    <cellStyle name="Итог 9 68 2" xfId="8601" xr:uid="{00000000-0005-0000-0000-0000171C0000}"/>
    <cellStyle name="Итог 9 69" xfId="4077" xr:uid="{00000000-0005-0000-0000-0000181C0000}"/>
    <cellStyle name="Итог 9 69 2" xfId="8602" xr:uid="{00000000-0005-0000-0000-0000191C0000}"/>
    <cellStyle name="Итог 9 7" xfId="4078" xr:uid="{00000000-0005-0000-0000-00001A1C0000}"/>
    <cellStyle name="Итог 9 7 2" xfId="8603" xr:uid="{00000000-0005-0000-0000-00001B1C0000}"/>
    <cellStyle name="Итог 9 70" xfId="4079" xr:uid="{00000000-0005-0000-0000-00001C1C0000}"/>
    <cellStyle name="Итог 9 70 2" xfId="8604" xr:uid="{00000000-0005-0000-0000-00001D1C0000}"/>
    <cellStyle name="Итог 9 71" xfId="4080" xr:uid="{00000000-0005-0000-0000-00001E1C0000}"/>
    <cellStyle name="Итог 9 71 2" xfId="8605" xr:uid="{00000000-0005-0000-0000-00001F1C0000}"/>
    <cellStyle name="Итог 9 72" xfId="4081" xr:uid="{00000000-0005-0000-0000-0000201C0000}"/>
    <cellStyle name="Итог 9 72 2" xfId="8606" xr:uid="{00000000-0005-0000-0000-0000211C0000}"/>
    <cellStyle name="Итог 9 73" xfId="4082" xr:uid="{00000000-0005-0000-0000-0000221C0000}"/>
    <cellStyle name="Итог 9 73 2" xfId="8607" xr:uid="{00000000-0005-0000-0000-0000231C0000}"/>
    <cellStyle name="Итог 9 74" xfId="4083" xr:uid="{00000000-0005-0000-0000-0000241C0000}"/>
    <cellStyle name="Итог 9 74 2" xfId="8608" xr:uid="{00000000-0005-0000-0000-0000251C0000}"/>
    <cellStyle name="Итог 9 75" xfId="4084" xr:uid="{00000000-0005-0000-0000-0000261C0000}"/>
    <cellStyle name="Итог 9 75 2" xfId="8609" xr:uid="{00000000-0005-0000-0000-0000271C0000}"/>
    <cellStyle name="Итог 9 76" xfId="4085" xr:uid="{00000000-0005-0000-0000-0000281C0000}"/>
    <cellStyle name="Итог 9 76 2" xfId="8610" xr:uid="{00000000-0005-0000-0000-0000291C0000}"/>
    <cellStyle name="Итог 9 77" xfId="4086" xr:uid="{00000000-0005-0000-0000-00002A1C0000}"/>
    <cellStyle name="Итог 9 77 2" xfId="8611" xr:uid="{00000000-0005-0000-0000-00002B1C0000}"/>
    <cellStyle name="Итог 9 78" xfId="4087" xr:uid="{00000000-0005-0000-0000-00002C1C0000}"/>
    <cellStyle name="Итог 9 78 2" xfId="8612" xr:uid="{00000000-0005-0000-0000-00002D1C0000}"/>
    <cellStyle name="Итог 9 79" xfId="4088" xr:uid="{00000000-0005-0000-0000-00002E1C0000}"/>
    <cellStyle name="Итог 9 79 2" xfId="8613" xr:uid="{00000000-0005-0000-0000-00002F1C0000}"/>
    <cellStyle name="Итог 9 8" xfId="4089" xr:uid="{00000000-0005-0000-0000-0000301C0000}"/>
    <cellStyle name="Итог 9 8 2" xfId="8614" xr:uid="{00000000-0005-0000-0000-0000311C0000}"/>
    <cellStyle name="Итог 9 80" xfId="4090" xr:uid="{00000000-0005-0000-0000-0000321C0000}"/>
    <cellStyle name="Итог 9 80 2" xfId="8615" xr:uid="{00000000-0005-0000-0000-0000331C0000}"/>
    <cellStyle name="Итог 9 81" xfId="4091" xr:uid="{00000000-0005-0000-0000-0000341C0000}"/>
    <cellStyle name="Итог 9 81 2" xfId="8616" xr:uid="{00000000-0005-0000-0000-0000351C0000}"/>
    <cellStyle name="Итог 9 82" xfId="4092" xr:uid="{00000000-0005-0000-0000-0000361C0000}"/>
    <cellStyle name="Итог 9 82 2" xfId="8617" xr:uid="{00000000-0005-0000-0000-0000371C0000}"/>
    <cellStyle name="Итог 9 83" xfId="4093" xr:uid="{00000000-0005-0000-0000-0000381C0000}"/>
    <cellStyle name="Итог 9 83 2" xfId="8618" xr:uid="{00000000-0005-0000-0000-0000391C0000}"/>
    <cellStyle name="Итог 9 84" xfId="4094" xr:uid="{00000000-0005-0000-0000-00003A1C0000}"/>
    <cellStyle name="Итог 9 84 2" xfId="8619" xr:uid="{00000000-0005-0000-0000-00003B1C0000}"/>
    <cellStyle name="Итог 9 85" xfId="4095" xr:uid="{00000000-0005-0000-0000-00003C1C0000}"/>
    <cellStyle name="Итог 9 85 2" xfId="8620" xr:uid="{00000000-0005-0000-0000-00003D1C0000}"/>
    <cellStyle name="Итог 9 86" xfId="4096" xr:uid="{00000000-0005-0000-0000-00003E1C0000}"/>
    <cellStyle name="Итог 9 86 2" xfId="8621" xr:uid="{00000000-0005-0000-0000-00003F1C0000}"/>
    <cellStyle name="Итог 9 87" xfId="4097" xr:uid="{00000000-0005-0000-0000-0000401C0000}"/>
    <cellStyle name="Итог 9 87 2" xfId="8622" xr:uid="{00000000-0005-0000-0000-0000411C0000}"/>
    <cellStyle name="Итог 9 88" xfId="4098" xr:uid="{00000000-0005-0000-0000-0000421C0000}"/>
    <cellStyle name="Итог 9 88 2" xfId="8623" xr:uid="{00000000-0005-0000-0000-0000431C0000}"/>
    <cellStyle name="Итог 9 89" xfId="4099" xr:uid="{00000000-0005-0000-0000-0000441C0000}"/>
    <cellStyle name="Итог 9 89 2" xfId="8624" xr:uid="{00000000-0005-0000-0000-0000451C0000}"/>
    <cellStyle name="Итог 9 9" xfId="4100" xr:uid="{00000000-0005-0000-0000-0000461C0000}"/>
    <cellStyle name="Итог 9 9 2" xfId="8625" xr:uid="{00000000-0005-0000-0000-0000471C0000}"/>
    <cellStyle name="Итог 9 90" xfId="4101" xr:uid="{00000000-0005-0000-0000-0000481C0000}"/>
    <cellStyle name="Итог 9 90 2" xfId="8626" xr:uid="{00000000-0005-0000-0000-0000491C0000}"/>
    <cellStyle name="Итог 9 91" xfId="4102" xr:uid="{00000000-0005-0000-0000-00004A1C0000}"/>
    <cellStyle name="Итог 9 91 2" xfId="8627" xr:uid="{00000000-0005-0000-0000-00004B1C0000}"/>
    <cellStyle name="Итог 9 92" xfId="8628" xr:uid="{00000000-0005-0000-0000-00004C1C0000}"/>
    <cellStyle name="Контрольная ячейка 10" xfId="298" xr:uid="{00000000-0005-0000-0000-00004D1C0000}"/>
    <cellStyle name="Контрольная ячейка 2" xfId="299" xr:uid="{00000000-0005-0000-0000-00004E1C0000}"/>
    <cellStyle name="Контрольная ячейка 3" xfId="300" xr:uid="{00000000-0005-0000-0000-00004F1C0000}"/>
    <cellStyle name="Контрольная ячейка 4" xfId="301" xr:uid="{00000000-0005-0000-0000-0000501C0000}"/>
    <cellStyle name="Контрольная ячейка 5" xfId="302" xr:uid="{00000000-0005-0000-0000-0000511C0000}"/>
    <cellStyle name="Контрольная ячейка 6" xfId="303" xr:uid="{00000000-0005-0000-0000-0000521C0000}"/>
    <cellStyle name="Контрольная ячейка 7" xfId="304" xr:uid="{00000000-0005-0000-0000-0000531C0000}"/>
    <cellStyle name="Контрольная ячейка 8" xfId="305" xr:uid="{00000000-0005-0000-0000-0000541C0000}"/>
    <cellStyle name="Контрольная ячейка 9" xfId="306" xr:uid="{00000000-0005-0000-0000-0000551C0000}"/>
    <cellStyle name="Название 10" xfId="307" xr:uid="{00000000-0005-0000-0000-0000561C0000}"/>
    <cellStyle name="Название 2" xfId="308" xr:uid="{00000000-0005-0000-0000-0000571C0000}"/>
    <cellStyle name="Название 3" xfId="309" xr:uid="{00000000-0005-0000-0000-0000581C0000}"/>
    <cellStyle name="Название 4" xfId="310" xr:uid="{00000000-0005-0000-0000-0000591C0000}"/>
    <cellStyle name="Название 5" xfId="311" xr:uid="{00000000-0005-0000-0000-00005A1C0000}"/>
    <cellStyle name="Название 6" xfId="312" xr:uid="{00000000-0005-0000-0000-00005B1C0000}"/>
    <cellStyle name="Название 7" xfId="313" xr:uid="{00000000-0005-0000-0000-00005C1C0000}"/>
    <cellStyle name="Название 8" xfId="314" xr:uid="{00000000-0005-0000-0000-00005D1C0000}"/>
    <cellStyle name="Название 9" xfId="315" xr:uid="{00000000-0005-0000-0000-00005E1C0000}"/>
    <cellStyle name="Нейтральный 10" xfId="316" xr:uid="{00000000-0005-0000-0000-00005F1C0000}"/>
    <cellStyle name="Нейтральный 2" xfId="317" xr:uid="{00000000-0005-0000-0000-0000601C0000}"/>
    <cellStyle name="Нейтральный 3" xfId="318" xr:uid="{00000000-0005-0000-0000-0000611C0000}"/>
    <cellStyle name="Нейтральный 4" xfId="319" xr:uid="{00000000-0005-0000-0000-0000621C0000}"/>
    <cellStyle name="Нейтральный 5" xfId="320" xr:uid="{00000000-0005-0000-0000-0000631C0000}"/>
    <cellStyle name="Нейтральный 6" xfId="321" xr:uid="{00000000-0005-0000-0000-0000641C0000}"/>
    <cellStyle name="Нейтральный 7" xfId="322" xr:uid="{00000000-0005-0000-0000-0000651C0000}"/>
    <cellStyle name="Нейтральный 8" xfId="323" xr:uid="{00000000-0005-0000-0000-0000661C0000}"/>
    <cellStyle name="Нейтральный 9" xfId="324" xr:uid="{00000000-0005-0000-0000-0000671C0000}"/>
    <cellStyle name="Обычный" xfId="0" builtinId="0"/>
    <cellStyle name="Обычный 10" xfId="2" xr:uid="{00000000-0005-0000-0000-0000691C0000}"/>
    <cellStyle name="Обычный 10 2" xfId="593" xr:uid="{00000000-0005-0000-0000-00006A1C0000}"/>
    <cellStyle name="Обычный 11" xfId="392" xr:uid="{00000000-0005-0000-0000-00006B1C0000}"/>
    <cellStyle name="Обычный 12" xfId="589" xr:uid="{00000000-0005-0000-0000-00006C1C0000}"/>
    <cellStyle name="Обычный 12 2" xfId="627" xr:uid="{00000000-0005-0000-0000-00006D1C0000}"/>
    <cellStyle name="Обычный 12 3" xfId="5107" xr:uid="{00000000-0005-0000-0000-00006E1C0000}"/>
    <cellStyle name="Обычный 13" xfId="594" xr:uid="{00000000-0005-0000-0000-00006F1C0000}"/>
    <cellStyle name="Обычный 14" xfId="595" xr:uid="{00000000-0005-0000-0000-0000701C0000}"/>
    <cellStyle name="Обычный 15" xfId="596" xr:uid="{00000000-0005-0000-0000-0000711C0000}"/>
    <cellStyle name="Обычный 16" xfId="597" xr:uid="{00000000-0005-0000-0000-0000721C0000}"/>
    <cellStyle name="Обычный 17" xfId="605" xr:uid="{00000000-0005-0000-0000-0000731C0000}"/>
    <cellStyle name="Обычный 18" xfId="606" xr:uid="{00000000-0005-0000-0000-0000741C0000}"/>
    <cellStyle name="Обычный 18 2" xfId="640" xr:uid="{00000000-0005-0000-0000-0000751C0000}"/>
    <cellStyle name="Обычный 18 2 2" xfId="4103" xr:uid="{00000000-0005-0000-0000-0000761C0000}"/>
    <cellStyle name="Обычный 18 2 2 2" xfId="8629" xr:uid="{00000000-0005-0000-0000-0000771C0000}"/>
    <cellStyle name="Обычный 18 2 2 3" xfId="8630" xr:uid="{00000000-0005-0000-0000-0000781C0000}"/>
    <cellStyle name="Обычный 18 2 3" xfId="8631" xr:uid="{00000000-0005-0000-0000-0000791C0000}"/>
    <cellStyle name="Обычный 18 2 4" xfId="8632" xr:uid="{00000000-0005-0000-0000-00007A1C0000}"/>
    <cellStyle name="Обычный 18 3" xfId="4104" xr:uid="{00000000-0005-0000-0000-00007B1C0000}"/>
    <cellStyle name="Обычный 18 3 2" xfId="8633" xr:uid="{00000000-0005-0000-0000-00007C1C0000}"/>
    <cellStyle name="Обычный 18 3 3" xfId="8634" xr:uid="{00000000-0005-0000-0000-00007D1C0000}"/>
    <cellStyle name="Обычный 18 4" xfId="4105" xr:uid="{00000000-0005-0000-0000-00007E1C0000}"/>
    <cellStyle name="Обычный 18 4 2" xfId="8635" xr:uid="{00000000-0005-0000-0000-00007F1C0000}"/>
    <cellStyle name="Обычный 18 4 3" xfId="8636" xr:uid="{00000000-0005-0000-0000-0000801C0000}"/>
    <cellStyle name="Обычный 18 5" xfId="4106" xr:uid="{00000000-0005-0000-0000-0000811C0000}"/>
    <cellStyle name="Обычный 18 5 2" xfId="8637" xr:uid="{00000000-0005-0000-0000-0000821C0000}"/>
    <cellStyle name="Обычный 18 5 3" xfId="8638" xr:uid="{00000000-0005-0000-0000-0000831C0000}"/>
    <cellStyle name="Обычный 18 6" xfId="4107" xr:uid="{00000000-0005-0000-0000-0000841C0000}"/>
    <cellStyle name="Обычный 18 6 2" xfId="8639" xr:uid="{00000000-0005-0000-0000-0000851C0000}"/>
    <cellStyle name="Обычный 18 6 3" xfId="8640" xr:uid="{00000000-0005-0000-0000-0000861C0000}"/>
    <cellStyle name="Обычный 18 7" xfId="8641" xr:uid="{00000000-0005-0000-0000-0000871C0000}"/>
    <cellStyle name="Обычный 18 8" xfId="8642" xr:uid="{00000000-0005-0000-0000-0000881C0000}"/>
    <cellStyle name="Обычный 19" xfId="607" xr:uid="{00000000-0005-0000-0000-0000891C0000}"/>
    <cellStyle name="Обычный 19 10" xfId="8643" xr:uid="{00000000-0005-0000-0000-00008A1C0000}"/>
    <cellStyle name="Обычный 19 2" xfId="616" xr:uid="{00000000-0005-0000-0000-00008B1C0000}"/>
    <cellStyle name="Обычный 19 2 2" xfId="628" xr:uid="{00000000-0005-0000-0000-00008C1C0000}"/>
    <cellStyle name="Обычный 19 2 2 2" xfId="4108" xr:uid="{00000000-0005-0000-0000-00008D1C0000}"/>
    <cellStyle name="Обычный 19 2 2 2 2" xfId="8644" xr:uid="{00000000-0005-0000-0000-00008E1C0000}"/>
    <cellStyle name="Обычный 19 2 2 2 3" xfId="8645" xr:uid="{00000000-0005-0000-0000-00008F1C0000}"/>
    <cellStyle name="Обычный 19 2 2 23" xfId="641" xr:uid="{00000000-0005-0000-0000-0000901C0000}"/>
    <cellStyle name="Обычный 19 2 2 23 2" xfId="8646" xr:uid="{00000000-0005-0000-0000-0000911C0000}"/>
    <cellStyle name="Обычный 19 2 2 23 3" xfId="8647" xr:uid="{00000000-0005-0000-0000-0000921C0000}"/>
    <cellStyle name="Обычный 19 2 2 3" xfId="4109" xr:uid="{00000000-0005-0000-0000-0000931C0000}"/>
    <cellStyle name="Обычный 19 2 2 3 2" xfId="4110" xr:uid="{00000000-0005-0000-0000-0000941C0000}"/>
    <cellStyle name="Обычный 19 2 2 3 2 2" xfId="5086" xr:uid="{00000000-0005-0000-0000-0000951C0000}"/>
    <cellStyle name="Обычный 19 2 2 3 2 2 2" xfId="8648" xr:uid="{00000000-0005-0000-0000-0000961C0000}"/>
    <cellStyle name="Обычный 19 2 2 3 2 2 3" xfId="8649" xr:uid="{00000000-0005-0000-0000-0000971C0000}"/>
    <cellStyle name="Обычный 19 2 2 3 2 3" xfId="8650" xr:uid="{00000000-0005-0000-0000-0000981C0000}"/>
    <cellStyle name="Обычный 19 2 2 3 2 4" xfId="8651" xr:uid="{00000000-0005-0000-0000-0000991C0000}"/>
    <cellStyle name="Обычный 19 2 2 3 3" xfId="8652" xr:uid="{00000000-0005-0000-0000-00009A1C0000}"/>
    <cellStyle name="Обычный 19 2 2 3 4" xfId="8653" xr:uid="{00000000-0005-0000-0000-00009B1C0000}"/>
    <cellStyle name="Обычный 19 2 2 4" xfId="4111" xr:uid="{00000000-0005-0000-0000-00009C1C0000}"/>
    <cellStyle name="Обычный 19 2 2 4 2" xfId="4112" xr:uid="{00000000-0005-0000-0000-00009D1C0000}"/>
    <cellStyle name="Обычный 19 2 2 4 2 2" xfId="5087" xr:uid="{00000000-0005-0000-0000-00009E1C0000}"/>
    <cellStyle name="Обычный 19 2 2 4 2 2 2" xfId="8654" xr:uid="{00000000-0005-0000-0000-00009F1C0000}"/>
    <cellStyle name="Обычный 19 2 2 4 2 2 3" xfId="8655" xr:uid="{00000000-0005-0000-0000-0000A01C0000}"/>
    <cellStyle name="Обычный 19 2 2 4 2 3" xfId="8656" xr:uid="{00000000-0005-0000-0000-0000A11C0000}"/>
    <cellStyle name="Обычный 19 2 2 4 2 4" xfId="8657" xr:uid="{00000000-0005-0000-0000-0000A21C0000}"/>
    <cellStyle name="Обычный 19 2 2 4 3" xfId="8658" xr:uid="{00000000-0005-0000-0000-0000A31C0000}"/>
    <cellStyle name="Обычный 19 2 2 4 4" xfId="8659" xr:uid="{00000000-0005-0000-0000-0000A41C0000}"/>
    <cellStyle name="Обычный 19 2 2 5" xfId="4113" xr:uid="{00000000-0005-0000-0000-0000A51C0000}"/>
    <cellStyle name="Обычный 19 2 2 5 2" xfId="4114" xr:uid="{00000000-0005-0000-0000-0000A61C0000}"/>
    <cellStyle name="Обычный 19 2 2 5 2 2" xfId="5088" xr:uid="{00000000-0005-0000-0000-0000A71C0000}"/>
    <cellStyle name="Обычный 19 2 2 5 2 2 2" xfId="8660" xr:uid="{00000000-0005-0000-0000-0000A81C0000}"/>
    <cellStyle name="Обычный 19 2 2 5 2 2 3" xfId="8661" xr:uid="{00000000-0005-0000-0000-0000A91C0000}"/>
    <cellStyle name="Обычный 19 2 2 5 2 3" xfId="8662" xr:uid="{00000000-0005-0000-0000-0000AA1C0000}"/>
    <cellStyle name="Обычный 19 2 2 5 2 4" xfId="8663" xr:uid="{00000000-0005-0000-0000-0000AB1C0000}"/>
    <cellStyle name="Обычный 19 2 2 5 3" xfId="8664" xr:uid="{00000000-0005-0000-0000-0000AC1C0000}"/>
    <cellStyle name="Обычный 19 2 2 5 4" xfId="8665" xr:uid="{00000000-0005-0000-0000-0000AD1C0000}"/>
    <cellStyle name="Обычный 19 2 2 6" xfId="4115" xr:uid="{00000000-0005-0000-0000-0000AE1C0000}"/>
    <cellStyle name="Обычный 19 2 2 6 2" xfId="8666" xr:uid="{00000000-0005-0000-0000-0000AF1C0000}"/>
    <cellStyle name="Обычный 19 2 2 6 3" xfId="8667" xr:uid="{00000000-0005-0000-0000-0000B01C0000}"/>
    <cellStyle name="Обычный 19 2 2 7" xfId="8668" xr:uid="{00000000-0005-0000-0000-0000B11C0000}"/>
    <cellStyle name="Обычный 19 2 2 8" xfId="8669" xr:uid="{00000000-0005-0000-0000-0000B21C0000}"/>
    <cellStyle name="Обычный 19 2 3" xfId="4116" xr:uid="{00000000-0005-0000-0000-0000B31C0000}"/>
    <cellStyle name="Обычный 19 2 3 2" xfId="8670" xr:uid="{00000000-0005-0000-0000-0000B41C0000}"/>
    <cellStyle name="Обычный 19 2 3 3" xfId="8671" xr:uid="{00000000-0005-0000-0000-0000B51C0000}"/>
    <cellStyle name="Обычный 19 2 4" xfId="4117" xr:uid="{00000000-0005-0000-0000-0000B61C0000}"/>
    <cellStyle name="Обычный 19 2 4 2" xfId="8672" xr:uid="{00000000-0005-0000-0000-0000B71C0000}"/>
    <cellStyle name="Обычный 19 2 4 3" xfId="8673" xr:uid="{00000000-0005-0000-0000-0000B81C0000}"/>
    <cellStyle name="Обычный 19 2 5" xfId="4118" xr:uid="{00000000-0005-0000-0000-0000B91C0000}"/>
    <cellStyle name="Обычный 19 2 5 2" xfId="8674" xr:uid="{00000000-0005-0000-0000-0000BA1C0000}"/>
    <cellStyle name="Обычный 19 2 5 3" xfId="8675" xr:uid="{00000000-0005-0000-0000-0000BB1C0000}"/>
    <cellStyle name="Обычный 19 2 6" xfId="4119" xr:uid="{00000000-0005-0000-0000-0000BC1C0000}"/>
    <cellStyle name="Обычный 19 2 6 2" xfId="8676" xr:uid="{00000000-0005-0000-0000-0000BD1C0000}"/>
    <cellStyle name="Обычный 19 2 6 3" xfId="8677" xr:uid="{00000000-0005-0000-0000-0000BE1C0000}"/>
    <cellStyle name="Обычный 19 2 7" xfId="4120" xr:uid="{00000000-0005-0000-0000-0000BF1C0000}"/>
    <cellStyle name="Обычный 19 2 7 2" xfId="5089" xr:uid="{00000000-0005-0000-0000-0000C01C0000}"/>
    <cellStyle name="Обычный 19 2 7 2 2" xfId="8678" xr:uid="{00000000-0005-0000-0000-0000C11C0000}"/>
    <cellStyle name="Обычный 19 2 7 2 3" xfId="8679" xr:uid="{00000000-0005-0000-0000-0000C21C0000}"/>
    <cellStyle name="Обычный 19 2 7 3" xfId="8680" xr:uid="{00000000-0005-0000-0000-0000C31C0000}"/>
    <cellStyle name="Обычный 19 2 7 4" xfId="8681" xr:uid="{00000000-0005-0000-0000-0000C41C0000}"/>
    <cellStyle name="Обычный 19 2 8" xfId="8682" xr:uid="{00000000-0005-0000-0000-0000C51C0000}"/>
    <cellStyle name="Обычный 19 2 9" xfId="8683" xr:uid="{00000000-0005-0000-0000-0000C61C0000}"/>
    <cellStyle name="Обычный 19 3" xfId="629" xr:uid="{00000000-0005-0000-0000-0000C71C0000}"/>
    <cellStyle name="Обычный 19 3 2" xfId="4121" xr:uid="{00000000-0005-0000-0000-0000C81C0000}"/>
    <cellStyle name="Обычный 19 3 2 2" xfId="8684" xr:uid="{00000000-0005-0000-0000-0000C91C0000}"/>
    <cellStyle name="Обычный 19 3 2 3" xfId="8685" xr:uid="{00000000-0005-0000-0000-0000CA1C0000}"/>
    <cellStyle name="Обычный 19 3 3" xfId="4122" xr:uid="{00000000-0005-0000-0000-0000CB1C0000}"/>
    <cellStyle name="Обычный 19 3 3 2" xfId="8686" xr:uid="{00000000-0005-0000-0000-0000CC1C0000}"/>
    <cellStyle name="Обычный 19 3 3 3" xfId="8687" xr:uid="{00000000-0005-0000-0000-0000CD1C0000}"/>
    <cellStyle name="Обычный 19 3 4" xfId="4123" xr:uid="{00000000-0005-0000-0000-0000CE1C0000}"/>
    <cellStyle name="Обычный 19 3 4 2" xfId="8688" xr:uid="{00000000-0005-0000-0000-0000CF1C0000}"/>
    <cellStyle name="Обычный 19 3 4 3" xfId="8689" xr:uid="{00000000-0005-0000-0000-0000D01C0000}"/>
    <cellStyle name="Обычный 19 3 5" xfId="4124" xr:uid="{00000000-0005-0000-0000-0000D11C0000}"/>
    <cellStyle name="Обычный 19 3 5 2" xfId="8690" xr:uid="{00000000-0005-0000-0000-0000D21C0000}"/>
    <cellStyle name="Обычный 19 3 5 3" xfId="8691" xr:uid="{00000000-0005-0000-0000-0000D31C0000}"/>
    <cellStyle name="Обычный 19 3 6" xfId="4125" xr:uid="{00000000-0005-0000-0000-0000D41C0000}"/>
    <cellStyle name="Обычный 19 3 6 2" xfId="8692" xr:uid="{00000000-0005-0000-0000-0000D51C0000}"/>
    <cellStyle name="Обычный 19 3 6 3" xfId="8693" xr:uid="{00000000-0005-0000-0000-0000D61C0000}"/>
    <cellStyle name="Обычный 19 3 7" xfId="8694" xr:uid="{00000000-0005-0000-0000-0000D71C0000}"/>
    <cellStyle name="Обычный 19 3 8" xfId="8695" xr:uid="{00000000-0005-0000-0000-0000D81C0000}"/>
    <cellStyle name="Обычный 19 4" xfId="4126" xr:uid="{00000000-0005-0000-0000-0000D91C0000}"/>
    <cellStyle name="Обычный 19 4 2" xfId="4127" xr:uid="{00000000-0005-0000-0000-0000DA1C0000}"/>
    <cellStyle name="Обычный 19 4 2 2" xfId="8696" xr:uid="{00000000-0005-0000-0000-0000DB1C0000}"/>
    <cellStyle name="Обычный 19 4 2 3" xfId="8697" xr:uid="{00000000-0005-0000-0000-0000DC1C0000}"/>
    <cellStyle name="Обычный 19 4 3" xfId="8698" xr:uid="{00000000-0005-0000-0000-0000DD1C0000}"/>
    <cellStyle name="Обычный 19 4 4" xfId="8699" xr:uid="{00000000-0005-0000-0000-0000DE1C0000}"/>
    <cellStyle name="Обычный 19 5" xfId="4128" xr:uid="{00000000-0005-0000-0000-0000DF1C0000}"/>
    <cellStyle name="Обычный 19 5 2" xfId="8700" xr:uid="{00000000-0005-0000-0000-0000E01C0000}"/>
    <cellStyle name="Обычный 19 5 3" xfId="8701" xr:uid="{00000000-0005-0000-0000-0000E11C0000}"/>
    <cellStyle name="Обычный 19 6" xfId="4129" xr:uid="{00000000-0005-0000-0000-0000E21C0000}"/>
    <cellStyle name="Обычный 19 6 2" xfId="8702" xr:uid="{00000000-0005-0000-0000-0000E31C0000}"/>
    <cellStyle name="Обычный 19 6 3" xfId="8703" xr:uid="{00000000-0005-0000-0000-0000E41C0000}"/>
    <cellStyle name="Обычный 19 7" xfId="4130" xr:uid="{00000000-0005-0000-0000-0000E51C0000}"/>
    <cellStyle name="Обычный 19 7 2" xfId="8704" xr:uid="{00000000-0005-0000-0000-0000E61C0000}"/>
    <cellStyle name="Обычный 19 7 3" xfId="8705" xr:uid="{00000000-0005-0000-0000-0000E71C0000}"/>
    <cellStyle name="Обычный 19 8" xfId="4131" xr:uid="{00000000-0005-0000-0000-0000E81C0000}"/>
    <cellStyle name="Обычный 19 8 2" xfId="8706" xr:uid="{00000000-0005-0000-0000-0000E91C0000}"/>
    <cellStyle name="Обычный 19 8 3" xfId="8707" xr:uid="{00000000-0005-0000-0000-0000EA1C0000}"/>
    <cellStyle name="Обычный 19 9" xfId="8708" xr:uid="{00000000-0005-0000-0000-0000EB1C0000}"/>
    <cellStyle name="Обычный 2" xfId="3" xr:uid="{00000000-0005-0000-0000-0000EC1C0000}"/>
    <cellStyle name="Обычный 2 10" xfId="325" xr:uid="{00000000-0005-0000-0000-0000ED1C0000}"/>
    <cellStyle name="Обычный 2 11" xfId="387" xr:uid="{00000000-0005-0000-0000-0000EE1C0000}"/>
    <cellStyle name="Обычный 2 11 2" xfId="4132" xr:uid="{00000000-0005-0000-0000-0000EF1C0000}"/>
    <cellStyle name="Обычный 2 11 3" xfId="9831" xr:uid="{00000000-0005-0000-0000-0000F01C0000}"/>
    <cellStyle name="Обычный 2 12" xfId="583" xr:uid="{00000000-0005-0000-0000-0000F11C0000}"/>
    <cellStyle name="Обычный 2 13" xfId="608" xr:uid="{00000000-0005-0000-0000-0000F21C0000}"/>
    <cellStyle name="Обычный 2 14" xfId="639" xr:uid="{00000000-0005-0000-0000-0000F31C0000}"/>
    <cellStyle name="Обычный 2 2" xfId="4" xr:uid="{00000000-0005-0000-0000-0000F41C0000}"/>
    <cellStyle name="Обычный 2 2 2" xfId="388" xr:uid="{00000000-0005-0000-0000-0000F51C0000}"/>
    <cellStyle name="Обычный 2 2 2 2" xfId="630" xr:uid="{00000000-0005-0000-0000-0000F61C0000}"/>
    <cellStyle name="Обычный 2 2 3" xfId="393" xr:uid="{00000000-0005-0000-0000-0000F71C0000}"/>
    <cellStyle name="Обычный 2 2 4" xfId="394" xr:uid="{00000000-0005-0000-0000-0000F81C0000}"/>
    <cellStyle name="Обычный 2 2 5" xfId="395" xr:uid="{00000000-0005-0000-0000-0000F91C0000}"/>
    <cellStyle name="Обычный 2 2 6" xfId="598" xr:uid="{00000000-0005-0000-0000-0000FA1C0000}"/>
    <cellStyle name="Обычный 2 2 7" xfId="614" xr:uid="{00000000-0005-0000-0000-0000FB1C0000}"/>
    <cellStyle name="Обычный 2 2 8" xfId="631" xr:uid="{00000000-0005-0000-0000-0000FC1C0000}"/>
    <cellStyle name="Обычный 2 3" xfId="9" xr:uid="{00000000-0005-0000-0000-0000FD1C0000}"/>
    <cellStyle name="Обычный 2 3 2" xfId="396" xr:uid="{00000000-0005-0000-0000-0000FE1C0000}"/>
    <cellStyle name="Обычный 2 3 3" xfId="609" xr:uid="{00000000-0005-0000-0000-0000FF1C0000}"/>
    <cellStyle name="Обычный 2 3 3 2" xfId="617" xr:uid="{00000000-0005-0000-0000-0000001D0000}"/>
    <cellStyle name="Обычный 2 3 3 2 10" xfId="8709" xr:uid="{00000000-0005-0000-0000-0000011D0000}"/>
    <cellStyle name="Обычный 2 3 3 2 2" xfId="632" xr:uid="{00000000-0005-0000-0000-0000021D0000}"/>
    <cellStyle name="Обычный 2 3 3 2 2 10" xfId="8710" xr:uid="{00000000-0005-0000-0000-0000031D0000}"/>
    <cellStyle name="Обычный 2 3 3 2 2 2" xfId="642" xr:uid="{00000000-0005-0000-0000-0000041D0000}"/>
    <cellStyle name="Обычный 2 3 3 2 2 2 2" xfId="4133" xr:uid="{00000000-0005-0000-0000-0000051D0000}"/>
    <cellStyle name="Обычный 2 3 3 2 2 2 2 2" xfId="8711" xr:uid="{00000000-0005-0000-0000-0000061D0000}"/>
    <cellStyle name="Обычный 2 3 3 2 2 2 2 3" xfId="8712" xr:uid="{00000000-0005-0000-0000-0000071D0000}"/>
    <cellStyle name="Обычный 2 3 3 2 2 2 3" xfId="4134" xr:uid="{00000000-0005-0000-0000-0000081D0000}"/>
    <cellStyle name="Обычный 2 3 3 2 2 2 3 2" xfId="8713" xr:uid="{00000000-0005-0000-0000-0000091D0000}"/>
    <cellStyle name="Обычный 2 3 3 2 2 2 3 3" xfId="8714" xr:uid="{00000000-0005-0000-0000-00000A1D0000}"/>
    <cellStyle name="Обычный 2 3 3 2 2 2 4" xfId="4135" xr:uid="{00000000-0005-0000-0000-00000B1D0000}"/>
    <cellStyle name="Обычный 2 3 3 2 2 2 4 2" xfId="8715" xr:uid="{00000000-0005-0000-0000-00000C1D0000}"/>
    <cellStyle name="Обычный 2 3 3 2 2 2 4 3" xfId="8716" xr:uid="{00000000-0005-0000-0000-00000D1D0000}"/>
    <cellStyle name="Обычный 2 3 3 2 2 2 5" xfId="4136" xr:uid="{00000000-0005-0000-0000-00000E1D0000}"/>
    <cellStyle name="Обычный 2 3 3 2 2 2 5 2" xfId="8717" xr:uid="{00000000-0005-0000-0000-00000F1D0000}"/>
    <cellStyle name="Обычный 2 3 3 2 2 2 5 3" xfId="8718" xr:uid="{00000000-0005-0000-0000-0000101D0000}"/>
    <cellStyle name="Обычный 2 3 3 2 2 2 6" xfId="4137" xr:uid="{00000000-0005-0000-0000-0000111D0000}"/>
    <cellStyle name="Обычный 2 3 3 2 2 2 6 2" xfId="5108" xr:uid="{00000000-0005-0000-0000-0000121D0000}"/>
    <cellStyle name="Обычный 2 3 3 2 2 2 6 2 2" xfId="5106" xr:uid="{00000000-0005-0000-0000-0000131D0000}"/>
    <cellStyle name="Обычный 2 3 3 2 2 2 6 2 3" xfId="8719" xr:uid="{00000000-0005-0000-0000-0000141D0000}"/>
    <cellStyle name="Обычный 2 3 3 2 2 2 6 3" xfId="8720" xr:uid="{00000000-0005-0000-0000-0000151D0000}"/>
    <cellStyle name="Обычный 2 3 3 2 2 2 6 4" xfId="8721" xr:uid="{00000000-0005-0000-0000-0000161D0000}"/>
    <cellStyle name="Обычный 2 3 3 2 2 2 7" xfId="5109" xr:uid="{00000000-0005-0000-0000-0000171D0000}"/>
    <cellStyle name="Обычный 2 3 3 2 2 2 7 2" xfId="8722" xr:uid="{00000000-0005-0000-0000-0000181D0000}"/>
    <cellStyle name="Обычный 2 3 3 2 2 2 7 3" xfId="8723" xr:uid="{00000000-0005-0000-0000-0000191D0000}"/>
    <cellStyle name="Обычный 2 3 3 2 2 2 8" xfId="8724" xr:uid="{00000000-0005-0000-0000-00001A1D0000}"/>
    <cellStyle name="Обычный 2 3 3 2 2 2 9" xfId="8725" xr:uid="{00000000-0005-0000-0000-00001B1D0000}"/>
    <cellStyle name="Обычный 2 3 3 2 2 3" xfId="643" xr:uid="{00000000-0005-0000-0000-00001C1D0000}"/>
    <cellStyle name="Обычный 2 3 3 2 2 3 2" xfId="8726" xr:uid="{00000000-0005-0000-0000-00001D1D0000}"/>
    <cellStyle name="Обычный 2 3 3 2 2 3 3" xfId="8727" xr:uid="{00000000-0005-0000-0000-00001E1D0000}"/>
    <cellStyle name="Обычный 2 3 3 2 2 4" xfId="4138" xr:uid="{00000000-0005-0000-0000-00001F1D0000}"/>
    <cellStyle name="Обычный 2 3 3 2 2 4 2" xfId="8728" xr:uid="{00000000-0005-0000-0000-0000201D0000}"/>
    <cellStyle name="Обычный 2 3 3 2 2 4 3" xfId="8729" xr:uid="{00000000-0005-0000-0000-0000211D0000}"/>
    <cellStyle name="Обычный 2 3 3 2 2 5" xfId="4139" xr:uid="{00000000-0005-0000-0000-0000221D0000}"/>
    <cellStyle name="Обычный 2 3 3 2 2 5 2" xfId="8730" xr:uid="{00000000-0005-0000-0000-0000231D0000}"/>
    <cellStyle name="Обычный 2 3 3 2 2 5 3" xfId="8731" xr:uid="{00000000-0005-0000-0000-0000241D0000}"/>
    <cellStyle name="Обычный 2 3 3 2 2 6" xfId="4140" xr:uid="{00000000-0005-0000-0000-0000251D0000}"/>
    <cellStyle name="Обычный 2 3 3 2 2 6 2" xfId="8732" xr:uid="{00000000-0005-0000-0000-0000261D0000}"/>
    <cellStyle name="Обычный 2 3 3 2 2 6 3" xfId="8733" xr:uid="{00000000-0005-0000-0000-0000271D0000}"/>
    <cellStyle name="Обычный 2 3 3 2 2 7" xfId="4141" xr:uid="{00000000-0005-0000-0000-0000281D0000}"/>
    <cellStyle name="Обычный 2 3 3 2 2 7 2" xfId="8734" xr:uid="{00000000-0005-0000-0000-0000291D0000}"/>
    <cellStyle name="Обычный 2 3 3 2 2 7 3" xfId="8735" xr:uid="{00000000-0005-0000-0000-00002A1D0000}"/>
    <cellStyle name="Обычный 2 3 3 2 2 8" xfId="5090" xr:uid="{00000000-0005-0000-0000-00002B1D0000}"/>
    <cellStyle name="Обычный 2 3 3 2 2 8 2" xfId="8736" xr:uid="{00000000-0005-0000-0000-00002C1D0000}"/>
    <cellStyle name="Обычный 2 3 3 2 2 8 3" xfId="8737" xr:uid="{00000000-0005-0000-0000-00002D1D0000}"/>
    <cellStyle name="Обычный 2 3 3 2 2 9" xfId="5110" xr:uid="{00000000-0005-0000-0000-00002E1D0000}"/>
    <cellStyle name="Обычный 2 3 3 2 3" xfId="633" xr:uid="{00000000-0005-0000-0000-00002F1D0000}"/>
    <cellStyle name="Обычный 2 3 3 2 3 2" xfId="4142" xr:uid="{00000000-0005-0000-0000-0000301D0000}"/>
    <cellStyle name="Обычный 2 3 3 2 3 2 2" xfId="8738" xr:uid="{00000000-0005-0000-0000-0000311D0000}"/>
    <cellStyle name="Обычный 2 3 3 2 3 2 3" xfId="8739" xr:uid="{00000000-0005-0000-0000-0000321D0000}"/>
    <cellStyle name="Обычный 2 3 3 2 3 3" xfId="4143" xr:uid="{00000000-0005-0000-0000-0000331D0000}"/>
    <cellStyle name="Обычный 2 3 3 2 3 3 2" xfId="8740" xr:uid="{00000000-0005-0000-0000-0000341D0000}"/>
    <cellStyle name="Обычный 2 3 3 2 3 3 3" xfId="8741" xr:uid="{00000000-0005-0000-0000-0000351D0000}"/>
    <cellStyle name="Обычный 2 3 3 2 3 4" xfId="4144" xr:uid="{00000000-0005-0000-0000-0000361D0000}"/>
    <cellStyle name="Обычный 2 3 3 2 3 4 2" xfId="8742" xr:uid="{00000000-0005-0000-0000-0000371D0000}"/>
    <cellStyle name="Обычный 2 3 3 2 3 4 3" xfId="8743" xr:uid="{00000000-0005-0000-0000-0000381D0000}"/>
    <cellStyle name="Обычный 2 3 3 2 3 5" xfId="4145" xr:uid="{00000000-0005-0000-0000-0000391D0000}"/>
    <cellStyle name="Обычный 2 3 3 2 3 5 2" xfId="8744" xr:uid="{00000000-0005-0000-0000-00003A1D0000}"/>
    <cellStyle name="Обычный 2 3 3 2 3 5 3" xfId="8745" xr:uid="{00000000-0005-0000-0000-00003B1D0000}"/>
    <cellStyle name="Обычный 2 3 3 2 3 6" xfId="4146" xr:uid="{00000000-0005-0000-0000-00003C1D0000}"/>
    <cellStyle name="Обычный 2 3 3 2 3 6 2" xfId="8746" xr:uid="{00000000-0005-0000-0000-00003D1D0000}"/>
    <cellStyle name="Обычный 2 3 3 2 3 6 3" xfId="8747" xr:uid="{00000000-0005-0000-0000-00003E1D0000}"/>
    <cellStyle name="Обычный 2 3 3 2 3 7" xfId="8748" xr:uid="{00000000-0005-0000-0000-00003F1D0000}"/>
    <cellStyle name="Обычный 2 3 3 2 3 8" xfId="8749" xr:uid="{00000000-0005-0000-0000-0000401D0000}"/>
    <cellStyle name="Обычный 2 3 3 2 4" xfId="4147" xr:uid="{00000000-0005-0000-0000-0000411D0000}"/>
    <cellStyle name="Обычный 2 3 3 2 4 2" xfId="4148" xr:uid="{00000000-0005-0000-0000-0000421D0000}"/>
    <cellStyle name="Обычный 2 3 3 2 4 2 2" xfId="8750" xr:uid="{00000000-0005-0000-0000-0000431D0000}"/>
    <cellStyle name="Обычный 2 3 3 2 4 2 3" xfId="8751" xr:uid="{00000000-0005-0000-0000-0000441D0000}"/>
    <cellStyle name="Обычный 2 3 3 2 4 3" xfId="8752" xr:uid="{00000000-0005-0000-0000-0000451D0000}"/>
    <cellStyle name="Обычный 2 3 3 2 4 4" xfId="8753" xr:uid="{00000000-0005-0000-0000-0000461D0000}"/>
    <cellStyle name="Обычный 2 3 3 2 5" xfId="4149" xr:uid="{00000000-0005-0000-0000-0000471D0000}"/>
    <cellStyle name="Обычный 2 3 3 2 5 2" xfId="8754" xr:uid="{00000000-0005-0000-0000-0000481D0000}"/>
    <cellStyle name="Обычный 2 3 3 2 5 3" xfId="8755" xr:uid="{00000000-0005-0000-0000-0000491D0000}"/>
    <cellStyle name="Обычный 2 3 3 2 6" xfId="4150" xr:uid="{00000000-0005-0000-0000-00004A1D0000}"/>
    <cellStyle name="Обычный 2 3 3 2 6 2" xfId="8756" xr:uid="{00000000-0005-0000-0000-00004B1D0000}"/>
    <cellStyle name="Обычный 2 3 3 2 6 3" xfId="8757" xr:uid="{00000000-0005-0000-0000-00004C1D0000}"/>
    <cellStyle name="Обычный 2 3 3 2 7" xfId="4151" xr:uid="{00000000-0005-0000-0000-00004D1D0000}"/>
    <cellStyle name="Обычный 2 3 3 2 7 2" xfId="8758" xr:uid="{00000000-0005-0000-0000-00004E1D0000}"/>
    <cellStyle name="Обычный 2 3 3 2 7 3" xfId="8759" xr:uid="{00000000-0005-0000-0000-00004F1D0000}"/>
    <cellStyle name="Обычный 2 3 3 2 8" xfId="4152" xr:uid="{00000000-0005-0000-0000-0000501D0000}"/>
    <cellStyle name="Обычный 2 3 3 2 8 2" xfId="8760" xr:uid="{00000000-0005-0000-0000-0000511D0000}"/>
    <cellStyle name="Обычный 2 3 3 2 8 3" xfId="8761" xr:uid="{00000000-0005-0000-0000-0000521D0000}"/>
    <cellStyle name="Обычный 2 3 3 2 9" xfId="8762" xr:uid="{00000000-0005-0000-0000-0000531D0000}"/>
    <cellStyle name="Обычный 2 3 3 3" xfId="4153" xr:uid="{00000000-0005-0000-0000-0000541D0000}"/>
    <cellStyle name="Обычный 2 3 3 3 2" xfId="4154" xr:uid="{00000000-0005-0000-0000-0000551D0000}"/>
    <cellStyle name="Обычный 2 3 3 3 2 2" xfId="8763" xr:uid="{00000000-0005-0000-0000-0000561D0000}"/>
    <cellStyle name="Обычный 2 3 3 3 2 3" xfId="8764" xr:uid="{00000000-0005-0000-0000-0000571D0000}"/>
    <cellStyle name="Обычный 2 3 3 3 3" xfId="8765" xr:uid="{00000000-0005-0000-0000-0000581D0000}"/>
    <cellStyle name="Обычный 2 3 3 3 4" xfId="8766" xr:uid="{00000000-0005-0000-0000-0000591D0000}"/>
    <cellStyle name="Обычный 2 3 3 4" xfId="4155" xr:uid="{00000000-0005-0000-0000-00005A1D0000}"/>
    <cellStyle name="Обычный 2 3 3 4 2" xfId="8767" xr:uid="{00000000-0005-0000-0000-00005B1D0000}"/>
    <cellStyle name="Обычный 2 3 3 4 3" xfId="8768" xr:uid="{00000000-0005-0000-0000-00005C1D0000}"/>
    <cellStyle name="Обычный 2 3 3 5" xfId="4156" xr:uid="{00000000-0005-0000-0000-00005D1D0000}"/>
    <cellStyle name="Обычный 2 3 3 5 2" xfId="8769" xr:uid="{00000000-0005-0000-0000-00005E1D0000}"/>
    <cellStyle name="Обычный 2 3 3 5 3" xfId="8770" xr:uid="{00000000-0005-0000-0000-00005F1D0000}"/>
    <cellStyle name="Обычный 2 3 3 6" xfId="4157" xr:uid="{00000000-0005-0000-0000-0000601D0000}"/>
    <cellStyle name="Обычный 2 3 3 6 2" xfId="8771" xr:uid="{00000000-0005-0000-0000-0000611D0000}"/>
    <cellStyle name="Обычный 2 3 3 6 3" xfId="8772" xr:uid="{00000000-0005-0000-0000-0000621D0000}"/>
    <cellStyle name="Обычный 2 3 3 7" xfId="4158" xr:uid="{00000000-0005-0000-0000-0000631D0000}"/>
    <cellStyle name="Обычный 2 3 3 7 2" xfId="8773" xr:uid="{00000000-0005-0000-0000-0000641D0000}"/>
    <cellStyle name="Обычный 2 3 3 7 3" xfId="8774" xr:uid="{00000000-0005-0000-0000-0000651D0000}"/>
    <cellStyle name="Обычный 2 3 3 8" xfId="8775" xr:uid="{00000000-0005-0000-0000-0000661D0000}"/>
    <cellStyle name="Обычный 2 3 3 9" xfId="8776" xr:uid="{00000000-0005-0000-0000-0000671D0000}"/>
    <cellStyle name="Обычный 2 4" xfId="326" xr:uid="{00000000-0005-0000-0000-0000681D0000}"/>
    <cellStyle name="Обычный 2 4 2" xfId="5111" xr:uid="{00000000-0005-0000-0000-0000691D0000}"/>
    <cellStyle name="Обычный 2 4 3" xfId="5112" xr:uid="{00000000-0005-0000-0000-00006A1D0000}"/>
    <cellStyle name="Обычный 2 5" xfId="327" xr:uid="{00000000-0005-0000-0000-00006B1D0000}"/>
    <cellStyle name="Обычный 2 5 2" xfId="5113" xr:uid="{00000000-0005-0000-0000-00006C1D0000}"/>
    <cellStyle name="Обычный 2 5 3" xfId="5114" xr:uid="{00000000-0005-0000-0000-00006D1D0000}"/>
    <cellStyle name="Обычный 2 6" xfId="328" xr:uid="{00000000-0005-0000-0000-00006E1D0000}"/>
    <cellStyle name="Обычный 2 7" xfId="329" xr:uid="{00000000-0005-0000-0000-00006F1D0000}"/>
    <cellStyle name="Обычный 2 8" xfId="330" xr:uid="{00000000-0005-0000-0000-0000701D0000}"/>
    <cellStyle name="Обычный 2 9" xfId="331" xr:uid="{00000000-0005-0000-0000-0000711D0000}"/>
    <cellStyle name="Обычный 20" xfId="618" xr:uid="{00000000-0005-0000-0000-0000721D0000}"/>
    <cellStyle name="Обычный 20 2" xfId="4159" xr:uid="{00000000-0005-0000-0000-0000731D0000}"/>
    <cellStyle name="Обычный 20 2 2" xfId="4160" xr:uid="{00000000-0005-0000-0000-0000741D0000}"/>
    <cellStyle name="Обычный 20 2 2 2" xfId="8777" xr:uid="{00000000-0005-0000-0000-0000751D0000}"/>
    <cellStyle name="Обычный 20 2 2 3" xfId="8778" xr:uid="{00000000-0005-0000-0000-0000761D0000}"/>
    <cellStyle name="Обычный 20 2 3" xfId="8779" xr:uid="{00000000-0005-0000-0000-0000771D0000}"/>
    <cellStyle name="Обычный 20 2 4" xfId="8780" xr:uid="{00000000-0005-0000-0000-0000781D0000}"/>
    <cellStyle name="Обычный 20 3" xfId="4161" xr:uid="{00000000-0005-0000-0000-0000791D0000}"/>
    <cellStyle name="Обычный 20 3 2" xfId="8781" xr:uid="{00000000-0005-0000-0000-00007A1D0000}"/>
    <cellStyle name="Обычный 20 3 3" xfId="8782" xr:uid="{00000000-0005-0000-0000-00007B1D0000}"/>
    <cellStyle name="Обычный 20 4" xfId="4162" xr:uid="{00000000-0005-0000-0000-00007C1D0000}"/>
    <cellStyle name="Обычный 20 4 2" xfId="8783" xr:uid="{00000000-0005-0000-0000-00007D1D0000}"/>
    <cellStyle name="Обычный 20 4 3" xfId="8784" xr:uid="{00000000-0005-0000-0000-00007E1D0000}"/>
    <cellStyle name="Обычный 20 5" xfId="4163" xr:uid="{00000000-0005-0000-0000-00007F1D0000}"/>
    <cellStyle name="Обычный 20 5 2" xfId="8785" xr:uid="{00000000-0005-0000-0000-0000801D0000}"/>
    <cellStyle name="Обычный 20 5 3" xfId="8786" xr:uid="{00000000-0005-0000-0000-0000811D0000}"/>
    <cellStyle name="Обычный 20 6" xfId="4164" xr:uid="{00000000-0005-0000-0000-0000821D0000}"/>
    <cellStyle name="Обычный 20 6 2" xfId="8787" xr:uid="{00000000-0005-0000-0000-0000831D0000}"/>
    <cellStyle name="Обычный 20 6 3" xfId="8788" xr:uid="{00000000-0005-0000-0000-0000841D0000}"/>
    <cellStyle name="Обычный 20 7" xfId="8789" xr:uid="{00000000-0005-0000-0000-0000851D0000}"/>
    <cellStyle name="Обычный 20 8" xfId="8790" xr:uid="{00000000-0005-0000-0000-0000861D0000}"/>
    <cellStyle name="Обычный 21" xfId="619" xr:uid="{00000000-0005-0000-0000-0000871D0000}"/>
    <cellStyle name="Обычный 21 2" xfId="4165" xr:uid="{00000000-0005-0000-0000-0000881D0000}"/>
    <cellStyle name="Обычный 21 2 2" xfId="4166" xr:uid="{00000000-0005-0000-0000-0000891D0000}"/>
    <cellStyle name="Обычный 21 2 2 2" xfId="8791" xr:uid="{00000000-0005-0000-0000-00008A1D0000}"/>
    <cellStyle name="Обычный 21 2 2 3" xfId="8792" xr:uid="{00000000-0005-0000-0000-00008B1D0000}"/>
    <cellStyle name="Обычный 21 2 3" xfId="8793" xr:uid="{00000000-0005-0000-0000-00008C1D0000}"/>
    <cellStyle name="Обычный 21 2 4" xfId="8794" xr:uid="{00000000-0005-0000-0000-00008D1D0000}"/>
    <cellStyle name="Обычный 21 3" xfId="4167" xr:uid="{00000000-0005-0000-0000-00008E1D0000}"/>
    <cellStyle name="Обычный 21 3 2" xfId="8795" xr:uid="{00000000-0005-0000-0000-00008F1D0000}"/>
    <cellStyle name="Обычный 21 3 3" xfId="8796" xr:uid="{00000000-0005-0000-0000-0000901D0000}"/>
    <cellStyle name="Обычный 21 4" xfId="4168" xr:uid="{00000000-0005-0000-0000-0000911D0000}"/>
    <cellStyle name="Обычный 21 4 2" xfId="8797" xr:uid="{00000000-0005-0000-0000-0000921D0000}"/>
    <cellStyle name="Обычный 21 4 3" xfId="8798" xr:uid="{00000000-0005-0000-0000-0000931D0000}"/>
    <cellStyle name="Обычный 21 5" xfId="4169" xr:uid="{00000000-0005-0000-0000-0000941D0000}"/>
    <cellStyle name="Обычный 21 5 2" xfId="8799" xr:uid="{00000000-0005-0000-0000-0000951D0000}"/>
    <cellStyle name="Обычный 21 5 3" xfId="8800" xr:uid="{00000000-0005-0000-0000-0000961D0000}"/>
    <cellStyle name="Обычный 21 6" xfId="4170" xr:uid="{00000000-0005-0000-0000-0000971D0000}"/>
    <cellStyle name="Обычный 21 6 2" xfId="5091" xr:uid="{00000000-0005-0000-0000-0000981D0000}"/>
    <cellStyle name="Обычный 21 6 2 2" xfId="8801" xr:uid="{00000000-0005-0000-0000-0000991D0000}"/>
    <cellStyle name="Обычный 21 6 2 3" xfId="8802" xr:uid="{00000000-0005-0000-0000-00009A1D0000}"/>
    <cellStyle name="Обычный 21 6 3" xfId="8803" xr:uid="{00000000-0005-0000-0000-00009B1D0000}"/>
    <cellStyle name="Обычный 21 6 4" xfId="8804" xr:uid="{00000000-0005-0000-0000-00009C1D0000}"/>
    <cellStyle name="Обычный 21 7" xfId="5092" xr:uid="{00000000-0005-0000-0000-00009D1D0000}"/>
    <cellStyle name="Обычный 21 7 2" xfId="8805" xr:uid="{00000000-0005-0000-0000-00009E1D0000}"/>
    <cellStyle name="Обычный 21 7 3" xfId="8806" xr:uid="{00000000-0005-0000-0000-00009F1D0000}"/>
    <cellStyle name="Обычный 21 8" xfId="8807" xr:uid="{00000000-0005-0000-0000-0000A01D0000}"/>
    <cellStyle name="Обычный 21 9" xfId="8808" xr:uid="{00000000-0005-0000-0000-0000A11D0000}"/>
    <cellStyle name="Обычный 22" xfId="599" xr:uid="{00000000-0005-0000-0000-0000A21D0000}"/>
    <cellStyle name="Обычный 222" xfId="620" xr:uid="{00000000-0005-0000-0000-0000A31D0000}"/>
    <cellStyle name="Обычный 222 2" xfId="4171" xr:uid="{00000000-0005-0000-0000-0000A41D0000}"/>
    <cellStyle name="Обычный 222 2 2" xfId="4172" xr:uid="{00000000-0005-0000-0000-0000A51D0000}"/>
    <cellStyle name="Обычный 222 2 2 2" xfId="8809" xr:uid="{00000000-0005-0000-0000-0000A61D0000}"/>
    <cellStyle name="Обычный 222 2 2 3" xfId="8810" xr:uid="{00000000-0005-0000-0000-0000A71D0000}"/>
    <cellStyle name="Обычный 222 2 3" xfId="8811" xr:uid="{00000000-0005-0000-0000-0000A81D0000}"/>
    <cellStyle name="Обычный 222 2 4" xfId="8812" xr:uid="{00000000-0005-0000-0000-0000A91D0000}"/>
    <cellStyle name="Обычный 222 3" xfId="4173" xr:uid="{00000000-0005-0000-0000-0000AA1D0000}"/>
    <cellStyle name="Обычный 222 3 2" xfId="8813" xr:uid="{00000000-0005-0000-0000-0000AB1D0000}"/>
    <cellStyle name="Обычный 222 3 3" xfId="8814" xr:uid="{00000000-0005-0000-0000-0000AC1D0000}"/>
    <cellStyle name="Обычный 222 4" xfId="4174" xr:uid="{00000000-0005-0000-0000-0000AD1D0000}"/>
    <cellStyle name="Обычный 222 4 2" xfId="8815" xr:uid="{00000000-0005-0000-0000-0000AE1D0000}"/>
    <cellStyle name="Обычный 222 4 3" xfId="8816" xr:uid="{00000000-0005-0000-0000-0000AF1D0000}"/>
    <cellStyle name="Обычный 222 5" xfId="4175" xr:uid="{00000000-0005-0000-0000-0000B01D0000}"/>
    <cellStyle name="Обычный 222 5 2" xfId="8817" xr:uid="{00000000-0005-0000-0000-0000B11D0000}"/>
    <cellStyle name="Обычный 222 5 3" xfId="8818" xr:uid="{00000000-0005-0000-0000-0000B21D0000}"/>
    <cellStyle name="Обычный 222 6" xfId="4176" xr:uid="{00000000-0005-0000-0000-0000B31D0000}"/>
    <cellStyle name="Обычный 222 6 2" xfId="8819" xr:uid="{00000000-0005-0000-0000-0000B41D0000}"/>
    <cellStyle name="Обычный 222 6 3" xfId="8820" xr:uid="{00000000-0005-0000-0000-0000B51D0000}"/>
    <cellStyle name="Обычный 222 7" xfId="8821" xr:uid="{00000000-0005-0000-0000-0000B61D0000}"/>
    <cellStyle name="Обычный 222 8" xfId="8822" xr:uid="{00000000-0005-0000-0000-0000B71D0000}"/>
    <cellStyle name="Обычный 223" xfId="621" xr:uid="{00000000-0005-0000-0000-0000B81D0000}"/>
    <cellStyle name="Обычный 223 2" xfId="4177" xr:uid="{00000000-0005-0000-0000-0000B91D0000}"/>
    <cellStyle name="Обычный 223 2 2" xfId="4178" xr:uid="{00000000-0005-0000-0000-0000BA1D0000}"/>
    <cellStyle name="Обычный 223 2 2 2" xfId="8823" xr:uid="{00000000-0005-0000-0000-0000BB1D0000}"/>
    <cellStyle name="Обычный 223 2 2 3" xfId="8824" xr:uid="{00000000-0005-0000-0000-0000BC1D0000}"/>
    <cellStyle name="Обычный 223 2 3" xfId="8825" xr:uid="{00000000-0005-0000-0000-0000BD1D0000}"/>
    <cellStyle name="Обычный 223 2 4" xfId="8826" xr:uid="{00000000-0005-0000-0000-0000BE1D0000}"/>
    <cellStyle name="Обычный 223 3" xfId="4179" xr:uid="{00000000-0005-0000-0000-0000BF1D0000}"/>
    <cellStyle name="Обычный 223 3 2" xfId="8827" xr:uid="{00000000-0005-0000-0000-0000C01D0000}"/>
    <cellStyle name="Обычный 223 3 3" xfId="8828" xr:uid="{00000000-0005-0000-0000-0000C11D0000}"/>
    <cellStyle name="Обычный 223 4" xfId="4180" xr:uid="{00000000-0005-0000-0000-0000C21D0000}"/>
    <cellStyle name="Обычный 223 4 2" xfId="8829" xr:uid="{00000000-0005-0000-0000-0000C31D0000}"/>
    <cellStyle name="Обычный 223 4 3" xfId="8830" xr:uid="{00000000-0005-0000-0000-0000C41D0000}"/>
    <cellStyle name="Обычный 223 5" xfId="4181" xr:uid="{00000000-0005-0000-0000-0000C51D0000}"/>
    <cellStyle name="Обычный 223 5 2" xfId="8831" xr:uid="{00000000-0005-0000-0000-0000C61D0000}"/>
    <cellStyle name="Обычный 223 5 3" xfId="8832" xr:uid="{00000000-0005-0000-0000-0000C71D0000}"/>
    <cellStyle name="Обычный 223 6" xfId="4182" xr:uid="{00000000-0005-0000-0000-0000C81D0000}"/>
    <cellStyle name="Обычный 223 6 2" xfId="8833" xr:uid="{00000000-0005-0000-0000-0000C91D0000}"/>
    <cellStyle name="Обычный 223 6 3" xfId="8834" xr:uid="{00000000-0005-0000-0000-0000CA1D0000}"/>
    <cellStyle name="Обычный 223 7" xfId="8835" xr:uid="{00000000-0005-0000-0000-0000CB1D0000}"/>
    <cellStyle name="Обычный 223 8" xfId="8836" xr:uid="{00000000-0005-0000-0000-0000CC1D0000}"/>
    <cellStyle name="Обычный 23" xfId="622" xr:uid="{00000000-0005-0000-0000-0000CD1D0000}"/>
    <cellStyle name="Обычный 23 2" xfId="4183" xr:uid="{00000000-0005-0000-0000-0000CE1D0000}"/>
    <cellStyle name="Обычный 23 2 2" xfId="4184" xr:uid="{00000000-0005-0000-0000-0000CF1D0000}"/>
    <cellStyle name="Обычный 23 2 2 2" xfId="8837" xr:uid="{00000000-0005-0000-0000-0000D01D0000}"/>
    <cellStyle name="Обычный 23 2 2 3" xfId="8838" xr:uid="{00000000-0005-0000-0000-0000D11D0000}"/>
    <cellStyle name="Обычный 23 2 3" xfId="8839" xr:uid="{00000000-0005-0000-0000-0000D21D0000}"/>
    <cellStyle name="Обычный 23 2 4" xfId="8840" xr:uid="{00000000-0005-0000-0000-0000D31D0000}"/>
    <cellStyle name="Обычный 23 3" xfId="4185" xr:uid="{00000000-0005-0000-0000-0000D41D0000}"/>
    <cellStyle name="Обычный 23 3 2" xfId="8841" xr:uid="{00000000-0005-0000-0000-0000D51D0000}"/>
    <cellStyle name="Обычный 23 3 3" xfId="8842" xr:uid="{00000000-0005-0000-0000-0000D61D0000}"/>
    <cellStyle name="Обычный 23 4" xfId="4186" xr:uid="{00000000-0005-0000-0000-0000D71D0000}"/>
    <cellStyle name="Обычный 23 4 2" xfId="8843" xr:uid="{00000000-0005-0000-0000-0000D81D0000}"/>
    <cellStyle name="Обычный 23 4 3" xfId="8844" xr:uid="{00000000-0005-0000-0000-0000D91D0000}"/>
    <cellStyle name="Обычный 23 5" xfId="4187" xr:uid="{00000000-0005-0000-0000-0000DA1D0000}"/>
    <cellStyle name="Обычный 23 5 2" xfId="8845" xr:uid="{00000000-0005-0000-0000-0000DB1D0000}"/>
    <cellStyle name="Обычный 23 5 3" xfId="8846" xr:uid="{00000000-0005-0000-0000-0000DC1D0000}"/>
    <cellStyle name="Обычный 23 6" xfId="4188" xr:uid="{00000000-0005-0000-0000-0000DD1D0000}"/>
    <cellStyle name="Обычный 23 6 2" xfId="8847" xr:uid="{00000000-0005-0000-0000-0000DE1D0000}"/>
    <cellStyle name="Обычный 23 6 3" xfId="8848" xr:uid="{00000000-0005-0000-0000-0000DF1D0000}"/>
    <cellStyle name="Обычный 23 7" xfId="8849" xr:uid="{00000000-0005-0000-0000-0000E01D0000}"/>
    <cellStyle name="Обычный 23 8" xfId="8850" xr:uid="{00000000-0005-0000-0000-0000E11D0000}"/>
    <cellStyle name="Обычный 24" xfId="615" xr:uid="{00000000-0005-0000-0000-0000E21D0000}"/>
    <cellStyle name="Обычный 24 2" xfId="4189" xr:uid="{00000000-0005-0000-0000-0000E31D0000}"/>
    <cellStyle name="Обычный 24 2 2" xfId="4190" xr:uid="{00000000-0005-0000-0000-0000E41D0000}"/>
    <cellStyle name="Обычный 24 2 2 2" xfId="8851" xr:uid="{00000000-0005-0000-0000-0000E51D0000}"/>
    <cellStyle name="Обычный 24 2 2 3" xfId="8852" xr:uid="{00000000-0005-0000-0000-0000E61D0000}"/>
    <cellStyle name="Обычный 24 2 3" xfId="8853" xr:uid="{00000000-0005-0000-0000-0000E71D0000}"/>
    <cellStyle name="Обычный 24 2 4" xfId="8854" xr:uid="{00000000-0005-0000-0000-0000E81D0000}"/>
    <cellStyle name="Обычный 24 3" xfId="4191" xr:uid="{00000000-0005-0000-0000-0000E91D0000}"/>
    <cellStyle name="Обычный 24 3 2" xfId="8855" xr:uid="{00000000-0005-0000-0000-0000EA1D0000}"/>
    <cellStyle name="Обычный 24 3 3" xfId="8856" xr:uid="{00000000-0005-0000-0000-0000EB1D0000}"/>
    <cellStyle name="Обычный 24 4" xfId="4192" xr:uid="{00000000-0005-0000-0000-0000EC1D0000}"/>
    <cellStyle name="Обычный 24 4 2" xfId="8857" xr:uid="{00000000-0005-0000-0000-0000ED1D0000}"/>
    <cellStyle name="Обычный 24 4 3" xfId="8858" xr:uid="{00000000-0005-0000-0000-0000EE1D0000}"/>
    <cellStyle name="Обычный 24 5" xfId="4193" xr:uid="{00000000-0005-0000-0000-0000EF1D0000}"/>
    <cellStyle name="Обычный 24 5 2" xfId="8859" xr:uid="{00000000-0005-0000-0000-0000F01D0000}"/>
    <cellStyle name="Обычный 24 5 3" xfId="8860" xr:uid="{00000000-0005-0000-0000-0000F11D0000}"/>
    <cellStyle name="Обычный 24 6" xfId="4194" xr:uid="{00000000-0005-0000-0000-0000F21D0000}"/>
    <cellStyle name="Обычный 24 6 2" xfId="8861" xr:uid="{00000000-0005-0000-0000-0000F31D0000}"/>
    <cellStyle name="Обычный 24 6 3" xfId="8862" xr:uid="{00000000-0005-0000-0000-0000F41D0000}"/>
    <cellStyle name="Обычный 24 7" xfId="8863" xr:uid="{00000000-0005-0000-0000-0000F51D0000}"/>
    <cellStyle name="Обычный 24 8" xfId="8864" xr:uid="{00000000-0005-0000-0000-0000F61D0000}"/>
    <cellStyle name="Обычный 25" xfId="623" xr:uid="{00000000-0005-0000-0000-0000F71D0000}"/>
    <cellStyle name="Обычный 25 10" xfId="8865" xr:uid="{00000000-0005-0000-0000-0000F81D0000}"/>
    <cellStyle name="Обычный 25 11" xfId="8866" xr:uid="{00000000-0005-0000-0000-0000F91D0000}"/>
    <cellStyle name="Обычный 25 2" xfId="634" xr:uid="{00000000-0005-0000-0000-0000FA1D0000}"/>
    <cellStyle name="Обычный 25 2 2" xfId="8867" xr:uid="{00000000-0005-0000-0000-0000FB1D0000}"/>
    <cellStyle name="Обычный 25 2 3" xfId="8868" xr:uid="{00000000-0005-0000-0000-0000FC1D0000}"/>
    <cellStyle name="Обычный 25 3" xfId="635" xr:uid="{00000000-0005-0000-0000-0000FD1D0000}"/>
    <cellStyle name="Обычный 25 3 2" xfId="4195" xr:uid="{00000000-0005-0000-0000-0000FE1D0000}"/>
    <cellStyle name="Обычный 25 3 2 2" xfId="8869" xr:uid="{00000000-0005-0000-0000-0000FF1D0000}"/>
    <cellStyle name="Обычный 25 3 2 3" xfId="8870" xr:uid="{00000000-0005-0000-0000-0000001E0000}"/>
    <cellStyle name="Обычный 25 3 3" xfId="4196" xr:uid="{00000000-0005-0000-0000-0000011E0000}"/>
    <cellStyle name="Обычный 25 3 3 2" xfId="8871" xr:uid="{00000000-0005-0000-0000-0000021E0000}"/>
    <cellStyle name="Обычный 25 3 3 3" xfId="8872" xr:uid="{00000000-0005-0000-0000-0000031E0000}"/>
    <cellStyle name="Обычный 25 3 4" xfId="4197" xr:uid="{00000000-0005-0000-0000-0000041E0000}"/>
    <cellStyle name="Обычный 25 3 4 2" xfId="8873" xr:uid="{00000000-0005-0000-0000-0000051E0000}"/>
    <cellStyle name="Обычный 25 3 4 3" xfId="8874" xr:uid="{00000000-0005-0000-0000-0000061E0000}"/>
    <cellStyle name="Обычный 25 3 5" xfId="4198" xr:uid="{00000000-0005-0000-0000-0000071E0000}"/>
    <cellStyle name="Обычный 25 3 5 2" xfId="8875" xr:uid="{00000000-0005-0000-0000-0000081E0000}"/>
    <cellStyle name="Обычный 25 3 5 3" xfId="8876" xr:uid="{00000000-0005-0000-0000-0000091E0000}"/>
    <cellStyle name="Обычный 25 3 6" xfId="4199" xr:uid="{00000000-0005-0000-0000-00000A1E0000}"/>
    <cellStyle name="Обычный 25 3 6 2" xfId="8877" xr:uid="{00000000-0005-0000-0000-00000B1E0000}"/>
    <cellStyle name="Обычный 25 3 6 3" xfId="8878" xr:uid="{00000000-0005-0000-0000-00000C1E0000}"/>
    <cellStyle name="Обычный 25 3 7" xfId="8879" xr:uid="{00000000-0005-0000-0000-00000D1E0000}"/>
    <cellStyle name="Обычный 25 3 8" xfId="5093" xr:uid="{00000000-0005-0000-0000-00000E1E0000}"/>
    <cellStyle name="Обычный 25 3 8 2" xfId="5115" xr:uid="{00000000-0005-0000-0000-00000F1E0000}"/>
    <cellStyle name="Обычный 25 3 8 2 2" xfId="8880" xr:uid="{00000000-0005-0000-0000-0000101E0000}"/>
    <cellStyle name="Обычный 25 3 8 2 3" xfId="8881" xr:uid="{00000000-0005-0000-0000-0000111E0000}"/>
    <cellStyle name="Обычный 25 3 8 3" xfId="8882" xr:uid="{00000000-0005-0000-0000-0000121E0000}"/>
    <cellStyle name="Обычный 25 3 8 4" xfId="8883" xr:uid="{00000000-0005-0000-0000-0000131E0000}"/>
    <cellStyle name="Обычный 25 3 9" xfId="8884" xr:uid="{00000000-0005-0000-0000-0000141E0000}"/>
    <cellStyle name="Обычный 25 4" xfId="4200" xr:uid="{00000000-0005-0000-0000-0000151E0000}"/>
    <cellStyle name="Обычный 25 4 2" xfId="8885" xr:uid="{00000000-0005-0000-0000-0000161E0000}"/>
    <cellStyle name="Обычный 25 4 3" xfId="8886" xr:uid="{00000000-0005-0000-0000-0000171E0000}"/>
    <cellStyle name="Обычный 25 5" xfId="4201" xr:uid="{00000000-0005-0000-0000-0000181E0000}"/>
    <cellStyle name="Обычный 25 5 2" xfId="8887" xr:uid="{00000000-0005-0000-0000-0000191E0000}"/>
    <cellStyle name="Обычный 25 5 3" xfId="8888" xr:uid="{00000000-0005-0000-0000-00001A1E0000}"/>
    <cellStyle name="Обычный 25 6" xfId="4202" xr:uid="{00000000-0005-0000-0000-00001B1E0000}"/>
    <cellStyle name="Обычный 25 6 2" xfId="8889" xr:uid="{00000000-0005-0000-0000-00001C1E0000}"/>
    <cellStyle name="Обычный 25 6 3" xfId="8890" xr:uid="{00000000-0005-0000-0000-00001D1E0000}"/>
    <cellStyle name="Обычный 25 7" xfId="4203" xr:uid="{00000000-0005-0000-0000-00001E1E0000}"/>
    <cellStyle name="Обычный 25 7 2" xfId="8891" xr:uid="{00000000-0005-0000-0000-00001F1E0000}"/>
    <cellStyle name="Обычный 25 7 3" xfId="8892" xr:uid="{00000000-0005-0000-0000-0000201E0000}"/>
    <cellStyle name="Обычный 25 8" xfId="4204" xr:uid="{00000000-0005-0000-0000-0000211E0000}"/>
    <cellStyle name="Обычный 25 8 2" xfId="8893" xr:uid="{00000000-0005-0000-0000-0000221E0000}"/>
    <cellStyle name="Обычный 25 8 3" xfId="8894" xr:uid="{00000000-0005-0000-0000-0000231E0000}"/>
    <cellStyle name="Обычный 25 9" xfId="4205" xr:uid="{00000000-0005-0000-0000-0000241E0000}"/>
    <cellStyle name="Обычный 25 9 2" xfId="5116" xr:uid="{00000000-0005-0000-0000-0000251E0000}"/>
    <cellStyle name="Обычный 25 9 2 2" xfId="8895" xr:uid="{00000000-0005-0000-0000-0000261E0000}"/>
    <cellStyle name="Обычный 25 9 2 3" xfId="8896" xr:uid="{00000000-0005-0000-0000-0000271E0000}"/>
    <cellStyle name="Обычный 25 9 3" xfId="5117" xr:uid="{00000000-0005-0000-0000-0000281E0000}"/>
    <cellStyle name="Обычный 25 9 4" xfId="5118" xr:uid="{00000000-0005-0000-0000-0000291E0000}"/>
    <cellStyle name="Обычный 25 9 4 2" xfId="5119" xr:uid="{00000000-0005-0000-0000-00002A1E0000}"/>
    <cellStyle name="Обычный 25 9 4 3" xfId="5120" xr:uid="{00000000-0005-0000-0000-00002B1E0000}"/>
    <cellStyle name="Обычный 26" xfId="636" xr:uid="{00000000-0005-0000-0000-00002C1E0000}"/>
    <cellStyle name="Обычный 26 2" xfId="4206" xr:uid="{00000000-0005-0000-0000-00002D1E0000}"/>
    <cellStyle name="Обычный 26 2 2" xfId="8897" xr:uid="{00000000-0005-0000-0000-00002E1E0000}"/>
    <cellStyle name="Обычный 26 2 3" xfId="8898" xr:uid="{00000000-0005-0000-0000-00002F1E0000}"/>
    <cellStyle name="Обычный 26 3" xfId="4207" xr:uid="{00000000-0005-0000-0000-0000301E0000}"/>
    <cellStyle name="Обычный 26 3 2" xfId="8899" xr:uid="{00000000-0005-0000-0000-0000311E0000}"/>
    <cellStyle name="Обычный 26 3 3" xfId="8900" xr:uid="{00000000-0005-0000-0000-0000321E0000}"/>
    <cellStyle name="Обычный 26 4" xfId="4208" xr:uid="{00000000-0005-0000-0000-0000331E0000}"/>
    <cellStyle name="Обычный 26 4 2" xfId="8901" xr:uid="{00000000-0005-0000-0000-0000341E0000}"/>
    <cellStyle name="Обычный 26 4 3" xfId="8902" xr:uid="{00000000-0005-0000-0000-0000351E0000}"/>
    <cellStyle name="Обычный 26 5" xfId="4209" xr:uid="{00000000-0005-0000-0000-0000361E0000}"/>
    <cellStyle name="Обычный 26 5 2" xfId="8903" xr:uid="{00000000-0005-0000-0000-0000371E0000}"/>
    <cellStyle name="Обычный 26 5 3" xfId="8904" xr:uid="{00000000-0005-0000-0000-0000381E0000}"/>
    <cellStyle name="Обычный 26 6" xfId="4210" xr:uid="{00000000-0005-0000-0000-0000391E0000}"/>
    <cellStyle name="Обычный 26 6 2" xfId="8905" xr:uid="{00000000-0005-0000-0000-00003A1E0000}"/>
    <cellStyle name="Обычный 26 6 3" xfId="8906" xr:uid="{00000000-0005-0000-0000-00003B1E0000}"/>
    <cellStyle name="Обычный 26 7" xfId="8907" xr:uid="{00000000-0005-0000-0000-00003C1E0000}"/>
    <cellStyle name="Обычный 26 8" xfId="8908" xr:uid="{00000000-0005-0000-0000-00003D1E0000}"/>
    <cellStyle name="Обычный 27" xfId="637" xr:uid="{00000000-0005-0000-0000-00003E1E0000}"/>
    <cellStyle name="Обычный 27 2" xfId="4211" xr:uid="{00000000-0005-0000-0000-00003F1E0000}"/>
    <cellStyle name="Обычный 27 2 2" xfId="8909" xr:uid="{00000000-0005-0000-0000-0000401E0000}"/>
    <cellStyle name="Обычный 27 2 3" xfId="8910" xr:uid="{00000000-0005-0000-0000-0000411E0000}"/>
    <cellStyle name="Обычный 27 3" xfId="4212" xr:uid="{00000000-0005-0000-0000-0000421E0000}"/>
    <cellStyle name="Обычный 27 3 2" xfId="8911" xr:uid="{00000000-0005-0000-0000-0000431E0000}"/>
    <cellStyle name="Обычный 27 3 3" xfId="8912" xr:uid="{00000000-0005-0000-0000-0000441E0000}"/>
    <cellStyle name="Обычный 27 4" xfId="4213" xr:uid="{00000000-0005-0000-0000-0000451E0000}"/>
    <cellStyle name="Обычный 27 4 2" xfId="8913" xr:uid="{00000000-0005-0000-0000-0000461E0000}"/>
    <cellStyle name="Обычный 27 4 3" xfId="8914" xr:uid="{00000000-0005-0000-0000-0000471E0000}"/>
    <cellStyle name="Обычный 27 5" xfId="4214" xr:uid="{00000000-0005-0000-0000-0000481E0000}"/>
    <cellStyle name="Обычный 27 5 2" xfId="8915" xr:uid="{00000000-0005-0000-0000-0000491E0000}"/>
    <cellStyle name="Обычный 27 5 3" xfId="8916" xr:uid="{00000000-0005-0000-0000-00004A1E0000}"/>
    <cellStyle name="Обычный 27 6" xfId="4215" xr:uid="{00000000-0005-0000-0000-00004B1E0000}"/>
    <cellStyle name="Обычный 27 6 2" xfId="8917" xr:uid="{00000000-0005-0000-0000-00004C1E0000}"/>
    <cellStyle name="Обычный 27 6 3" xfId="8918" xr:uid="{00000000-0005-0000-0000-00004D1E0000}"/>
    <cellStyle name="Обычный 27 7" xfId="8919" xr:uid="{00000000-0005-0000-0000-00004E1E0000}"/>
    <cellStyle name="Обычный 27 8" xfId="8920" xr:uid="{00000000-0005-0000-0000-00004F1E0000}"/>
    <cellStyle name="Обычный 28" xfId="644" xr:uid="{00000000-0005-0000-0000-0000501E0000}"/>
    <cellStyle name="Обычный 28 2" xfId="4216" xr:uid="{00000000-0005-0000-0000-0000511E0000}"/>
    <cellStyle name="Обычный 28 2 2" xfId="8921" xr:uid="{00000000-0005-0000-0000-0000521E0000}"/>
    <cellStyle name="Обычный 28 2 3" xfId="8922" xr:uid="{00000000-0005-0000-0000-0000531E0000}"/>
    <cellStyle name="Обычный 28 3" xfId="4217" xr:uid="{00000000-0005-0000-0000-0000541E0000}"/>
    <cellStyle name="Обычный 28 3 2" xfId="8923" xr:uid="{00000000-0005-0000-0000-0000551E0000}"/>
    <cellStyle name="Обычный 28 3 3" xfId="8924" xr:uid="{00000000-0005-0000-0000-0000561E0000}"/>
    <cellStyle name="Обычный 28 4" xfId="4218" xr:uid="{00000000-0005-0000-0000-0000571E0000}"/>
    <cellStyle name="Обычный 28 4 2" xfId="8925" xr:uid="{00000000-0005-0000-0000-0000581E0000}"/>
    <cellStyle name="Обычный 28 4 3" xfId="8926" xr:uid="{00000000-0005-0000-0000-0000591E0000}"/>
    <cellStyle name="Обычный 28 5" xfId="4219" xr:uid="{00000000-0005-0000-0000-00005A1E0000}"/>
    <cellStyle name="Обычный 28 5 2" xfId="8927" xr:uid="{00000000-0005-0000-0000-00005B1E0000}"/>
    <cellStyle name="Обычный 28 5 3" xfId="8928" xr:uid="{00000000-0005-0000-0000-00005C1E0000}"/>
    <cellStyle name="Обычный 28 6" xfId="4220" xr:uid="{00000000-0005-0000-0000-00005D1E0000}"/>
    <cellStyle name="Обычный 28 6 2" xfId="8929" xr:uid="{00000000-0005-0000-0000-00005E1E0000}"/>
    <cellStyle name="Обычный 28 6 3" xfId="8930" xr:uid="{00000000-0005-0000-0000-00005F1E0000}"/>
    <cellStyle name="Обычный 28 7" xfId="8931" xr:uid="{00000000-0005-0000-0000-0000601E0000}"/>
    <cellStyle name="Обычный 28 8" xfId="8932" xr:uid="{00000000-0005-0000-0000-0000611E0000}"/>
    <cellStyle name="Обычный 29" xfId="645" xr:uid="{00000000-0005-0000-0000-0000621E0000}"/>
    <cellStyle name="Обычный 29 2" xfId="4221" xr:uid="{00000000-0005-0000-0000-0000631E0000}"/>
    <cellStyle name="Обычный 29 2 2" xfId="8933" xr:uid="{00000000-0005-0000-0000-0000641E0000}"/>
    <cellStyle name="Обычный 29 2 3" xfId="8934" xr:uid="{00000000-0005-0000-0000-0000651E0000}"/>
    <cellStyle name="Обычный 29 3" xfId="5094" xr:uid="{00000000-0005-0000-0000-0000661E0000}"/>
    <cellStyle name="Обычный 29 3 2" xfId="8935" xr:uid="{00000000-0005-0000-0000-0000671E0000}"/>
    <cellStyle name="Обычный 29 3 3" xfId="8936" xr:uid="{00000000-0005-0000-0000-0000681E0000}"/>
    <cellStyle name="Обычный 3" xfId="5" xr:uid="{00000000-0005-0000-0000-0000691E0000}"/>
    <cellStyle name="Обычный 3 10" xfId="397" xr:uid="{00000000-0005-0000-0000-00006A1E0000}"/>
    <cellStyle name="Обычный 3 11" xfId="398" xr:uid="{00000000-0005-0000-0000-00006B1E0000}"/>
    <cellStyle name="Обычный 3 12" xfId="399" xr:uid="{00000000-0005-0000-0000-00006C1E0000}"/>
    <cellStyle name="Обычный 3 13" xfId="400" xr:uid="{00000000-0005-0000-0000-00006D1E0000}"/>
    <cellStyle name="Обычный 3 14" xfId="401" xr:uid="{00000000-0005-0000-0000-00006E1E0000}"/>
    <cellStyle name="Обычный 3 15" xfId="402" xr:uid="{00000000-0005-0000-0000-00006F1E0000}"/>
    <cellStyle name="Обычный 3 16" xfId="403" xr:uid="{00000000-0005-0000-0000-0000701E0000}"/>
    <cellStyle name="Обычный 3 17" xfId="404" xr:uid="{00000000-0005-0000-0000-0000711E0000}"/>
    <cellStyle name="Обычный 3 18" xfId="405" xr:uid="{00000000-0005-0000-0000-0000721E0000}"/>
    <cellStyle name="Обычный 3 19" xfId="406" xr:uid="{00000000-0005-0000-0000-0000731E0000}"/>
    <cellStyle name="Обычный 3 2" xfId="389" xr:uid="{00000000-0005-0000-0000-0000741E0000}"/>
    <cellStyle name="Обычный 3 2 2" xfId="610" xr:uid="{00000000-0005-0000-0000-0000751E0000}"/>
    <cellStyle name="Обычный 3 2 3" xfId="5121" xr:uid="{00000000-0005-0000-0000-0000761E0000}"/>
    <cellStyle name="Обычный 3 20" xfId="407" xr:uid="{00000000-0005-0000-0000-0000771E0000}"/>
    <cellStyle name="Обычный 3 21" xfId="408" xr:uid="{00000000-0005-0000-0000-0000781E0000}"/>
    <cellStyle name="Обычный 3 22" xfId="409" xr:uid="{00000000-0005-0000-0000-0000791E0000}"/>
    <cellStyle name="Обычный 3 23" xfId="624" xr:uid="{00000000-0005-0000-0000-00007A1E0000}"/>
    <cellStyle name="Обычный 3 3" xfId="390" xr:uid="{00000000-0005-0000-0000-00007B1E0000}"/>
    <cellStyle name="Обычный 3 3 2" xfId="5122" xr:uid="{00000000-0005-0000-0000-00007C1E0000}"/>
    <cellStyle name="Обычный 3 3 3" xfId="5123" xr:uid="{00000000-0005-0000-0000-00007D1E0000}"/>
    <cellStyle name="Обычный 3 4" xfId="410" xr:uid="{00000000-0005-0000-0000-00007E1E0000}"/>
    <cellStyle name="Обычный 3 5" xfId="411" xr:uid="{00000000-0005-0000-0000-00007F1E0000}"/>
    <cellStyle name="Обычный 3 6" xfId="412" xr:uid="{00000000-0005-0000-0000-0000801E0000}"/>
    <cellStyle name="Обычный 3 7" xfId="413" xr:uid="{00000000-0005-0000-0000-0000811E0000}"/>
    <cellStyle name="Обычный 3 8" xfId="414" xr:uid="{00000000-0005-0000-0000-0000821E0000}"/>
    <cellStyle name="Обычный 3 9" xfId="415" xr:uid="{00000000-0005-0000-0000-0000831E0000}"/>
    <cellStyle name="Обычный 30" xfId="646" xr:uid="{00000000-0005-0000-0000-0000841E0000}"/>
    <cellStyle name="Обычный 30 2" xfId="8937" xr:uid="{00000000-0005-0000-0000-0000851E0000}"/>
    <cellStyle name="Обычный 30 3" xfId="8938" xr:uid="{00000000-0005-0000-0000-0000861E0000}"/>
    <cellStyle name="Обычный 31" xfId="5095" xr:uid="{00000000-0005-0000-0000-0000871E0000}"/>
    <cellStyle name="Обычный 31 2" xfId="5096" xr:uid="{00000000-0005-0000-0000-0000881E0000}"/>
    <cellStyle name="Обычный 31 2 2" xfId="8939" xr:uid="{00000000-0005-0000-0000-0000891E0000}"/>
    <cellStyle name="Обычный 31 2 3" xfId="8940" xr:uid="{00000000-0005-0000-0000-00008A1E0000}"/>
    <cellStyle name="Обычный 31 3" xfId="5097" xr:uid="{00000000-0005-0000-0000-00008B1E0000}"/>
    <cellStyle name="Обычный 31 3 2" xfId="8941" xr:uid="{00000000-0005-0000-0000-00008C1E0000}"/>
    <cellStyle name="Обычный 31 3 3" xfId="8942" xr:uid="{00000000-0005-0000-0000-00008D1E0000}"/>
    <cellStyle name="Обычный 31 4" xfId="5104" xr:uid="{00000000-0005-0000-0000-00008E1E0000}"/>
    <cellStyle name="Обычный 31 4 2" xfId="5124" xr:uid="{00000000-0005-0000-0000-00008F1E0000}"/>
    <cellStyle name="Обычный 31 4 3" xfId="5125" xr:uid="{00000000-0005-0000-0000-0000901E0000}"/>
    <cellStyle name="Обычный 31 4 3 2" xfId="5126" xr:uid="{00000000-0005-0000-0000-0000911E0000}"/>
    <cellStyle name="Обычный 31 4 3 3" xfId="5127" xr:uid="{00000000-0005-0000-0000-0000921E0000}"/>
    <cellStyle name="Обычный 31 4 4" xfId="5128" xr:uid="{00000000-0005-0000-0000-0000931E0000}"/>
    <cellStyle name="Обычный 31 5" xfId="8943" xr:uid="{00000000-0005-0000-0000-0000941E0000}"/>
    <cellStyle name="Обычный 31 6" xfId="8944" xr:uid="{00000000-0005-0000-0000-0000951E0000}"/>
    <cellStyle name="Обычный 32" xfId="5129" xr:uid="{00000000-0005-0000-0000-0000961E0000}"/>
    <cellStyle name="Обычный 32 2" xfId="8945" xr:uid="{00000000-0005-0000-0000-0000971E0000}"/>
    <cellStyle name="Обычный 32 3" xfId="8946" xr:uid="{00000000-0005-0000-0000-0000981E0000}"/>
    <cellStyle name="Обычный 4" xfId="6" xr:uid="{00000000-0005-0000-0000-0000991E0000}"/>
    <cellStyle name="Обычный 4 2" xfId="416" xr:uid="{00000000-0005-0000-0000-00009A1E0000}"/>
    <cellStyle name="Обычный 4 2 2" xfId="5130" xr:uid="{00000000-0005-0000-0000-00009B1E0000}"/>
    <cellStyle name="Обычный 4 2 3" xfId="5131" xr:uid="{00000000-0005-0000-0000-00009C1E0000}"/>
    <cellStyle name="Обычный 4 3" xfId="417" xr:uid="{00000000-0005-0000-0000-00009D1E0000}"/>
    <cellStyle name="Обычный 4 3 2" xfId="5132" xr:uid="{00000000-0005-0000-0000-00009E1E0000}"/>
    <cellStyle name="Обычный 4 3 3" xfId="5133" xr:uid="{00000000-0005-0000-0000-00009F1E0000}"/>
    <cellStyle name="Обычный 5" xfId="7" xr:uid="{00000000-0005-0000-0000-0000A01E0000}"/>
    <cellStyle name="Обычный 5 10" xfId="418" xr:uid="{00000000-0005-0000-0000-0000A11E0000}"/>
    <cellStyle name="Обычный 5 11" xfId="419" xr:uid="{00000000-0005-0000-0000-0000A21E0000}"/>
    <cellStyle name="Обычный 5 12" xfId="420" xr:uid="{00000000-0005-0000-0000-0000A31E0000}"/>
    <cellStyle name="Обычный 5 13" xfId="421" xr:uid="{00000000-0005-0000-0000-0000A41E0000}"/>
    <cellStyle name="Обычный 5 14" xfId="422" xr:uid="{00000000-0005-0000-0000-0000A51E0000}"/>
    <cellStyle name="Обычный 5 15" xfId="423" xr:uid="{00000000-0005-0000-0000-0000A61E0000}"/>
    <cellStyle name="Обычный 5 16" xfId="424" xr:uid="{00000000-0005-0000-0000-0000A71E0000}"/>
    <cellStyle name="Обычный 5 17" xfId="425" xr:uid="{00000000-0005-0000-0000-0000A81E0000}"/>
    <cellStyle name="Обычный 5 18" xfId="426" xr:uid="{00000000-0005-0000-0000-0000A91E0000}"/>
    <cellStyle name="Обычный 5 19" xfId="427" xr:uid="{00000000-0005-0000-0000-0000AA1E0000}"/>
    <cellStyle name="Обычный 5 2" xfId="428" xr:uid="{00000000-0005-0000-0000-0000AB1E0000}"/>
    <cellStyle name="Обычный 5 2 2" xfId="5134" xr:uid="{00000000-0005-0000-0000-0000AC1E0000}"/>
    <cellStyle name="Обычный 5 2 3" xfId="5135" xr:uid="{00000000-0005-0000-0000-0000AD1E0000}"/>
    <cellStyle name="Обычный 5 20" xfId="429" xr:uid="{00000000-0005-0000-0000-0000AE1E0000}"/>
    <cellStyle name="Обычный 5 21" xfId="430" xr:uid="{00000000-0005-0000-0000-0000AF1E0000}"/>
    <cellStyle name="Обычный 5 22" xfId="638" xr:uid="{00000000-0005-0000-0000-0000B01E0000}"/>
    <cellStyle name="Обычный 5 3" xfId="431" xr:uid="{00000000-0005-0000-0000-0000B11E0000}"/>
    <cellStyle name="Обычный 5 4" xfId="432" xr:uid="{00000000-0005-0000-0000-0000B21E0000}"/>
    <cellStyle name="Обычный 5 5" xfId="433" xr:uid="{00000000-0005-0000-0000-0000B31E0000}"/>
    <cellStyle name="Обычный 5 6" xfId="434" xr:uid="{00000000-0005-0000-0000-0000B41E0000}"/>
    <cellStyle name="Обычный 5 7" xfId="435" xr:uid="{00000000-0005-0000-0000-0000B51E0000}"/>
    <cellStyle name="Обычный 5 8" xfId="436" xr:uid="{00000000-0005-0000-0000-0000B61E0000}"/>
    <cellStyle name="Обычный 5 9" xfId="437" xr:uid="{00000000-0005-0000-0000-0000B71E0000}"/>
    <cellStyle name="Обычный 6" xfId="8" xr:uid="{00000000-0005-0000-0000-0000B81E0000}"/>
    <cellStyle name="Обычный 7" xfId="391" xr:uid="{00000000-0005-0000-0000-0000B91E0000}"/>
    <cellStyle name="Обычный 72" xfId="625" xr:uid="{00000000-0005-0000-0000-0000BA1E0000}"/>
    <cellStyle name="Обычный 72 2" xfId="4222" xr:uid="{00000000-0005-0000-0000-0000BB1E0000}"/>
    <cellStyle name="Обычный 72 2 2" xfId="4223" xr:uid="{00000000-0005-0000-0000-0000BC1E0000}"/>
    <cellStyle name="Обычный 72 2 2 2" xfId="8947" xr:uid="{00000000-0005-0000-0000-0000BD1E0000}"/>
    <cellStyle name="Обычный 72 2 2 3" xfId="8948" xr:uid="{00000000-0005-0000-0000-0000BE1E0000}"/>
    <cellStyle name="Обычный 72 2 3" xfId="8949" xr:uid="{00000000-0005-0000-0000-0000BF1E0000}"/>
    <cellStyle name="Обычный 72 2 4" xfId="8950" xr:uid="{00000000-0005-0000-0000-0000C01E0000}"/>
    <cellStyle name="Обычный 72 3" xfId="4224" xr:uid="{00000000-0005-0000-0000-0000C11E0000}"/>
    <cellStyle name="Обычный 72 3 2" xfId="8951" xr:uid="{00000000-0005-0000-0000-0000C21E0000}"/>
    <cellStyle name="Обычный 72 3 3" xfId="8952" xr:uid="{00000000-0005-0000-0000-0000C31E0000}"/>
    <cellStyle name="Обычный 72 4" xfId="4225" xr:uid="{00000000-0005-0000-0000-0000C41E0000}"/>
    <cellStyle name="Обычный 72 4 2" xfId="8953" xr:uid="{00000000-0005-0000-0000-0000C51E0000}"/>
    <cellStyle name="Обычный 72 4 3" xfId="8954" xr:uid="{00000000-0005-0000-0000-0000C61E0000}"/>
    <cellStyle name="Обычный 72 5" xfId="4226" xr:uid="{00000000-0005-0000-0000-0000C71E0000}"/>
    <cellStyle name="Обычный 72 5 2" xfId="8955" xr:uid="{00000000-0005-0000-0000-0000C81E0000}"/>
    <cellStyle name="Обычный 72 5 3" xfId="8956" xr:uid="{00000000-0005-0000-0000-0000C91E0000}"/>
    <cellStyle name="Обычный 72 6" xfId="4227" xr:uid="{00000000-0005-0000-0000-0000CA1E0000}"/>
    <cellStyle name="Обычный 72 6 2" xfId="8957" xr:uid="{00000000-0005-0000-0000-0000CB1E0000}"/>
    <cellStyle name="Обычный 72 6 3" xfId="8958" xr:uid="{00000000-0005-0000-0000-0000CC1E0000}"/>
    <cellStyle name="Обычный 72 7" xfId="8959" xr:uid="{00000000-0005-0000-0000-0000CD1E0000}"/>
    <cellStyle name="Обычный 72 8" xfId="8960" xr:uid="{00000000-0005-0000-0000-0000CE1E0000}"/>
    <cellStyle name="Обычный 8" xfId="438" xr:uid="{00000000-0005-0000-0000-0000CF1E0000}"/>
    <cellStyle name="Обычный 9" xfId="332" xr:uid="{00000000-0005-0000-0000-0000D01E0000}"/>
    <cellStyle name="Плохой 10" xfId="333" xr:uid="{00000000-0005-0000-0000-0000D11E0000}"/>
    <cellStyle name="Плохой 2" xfId="334" xr:uid="{00000000-0005-0000-0000-0000D21E0000}"/>
    <cellStyle name="Плохой 3" xfId="335" xr:uid="{00000000-0005-0000-0000-0000D31E0000}"/>
    <cellStyle name="Плохой 4" xfId="336" xr:uid="{00000000-0005-0000-0000-0000D41E0000}"/>
    <cellStyle name="Плохой 5" xfId="337" xr:uid="{00000000-0005-0000-0000-0000D51E0000}"/>
    <cellStyle name="Плохой 6" xfId="338" xr:uid="{00000000-0005-0000-0000-0000D61E0000}"/>
    <cellStyle name="Плохой 7" xfId="339" xr:uid="{00000000-0005-0000-0000-0000D71E0000}"/>
    <cellStyle name="Плохой 8" xfId="340" xr:uid="{00000000-0005-0000-0000-0000D81E0000}"/>
    <cellStyle name="Плохой 9" xfId="341" xr:uid="{00000000-0005-0000-0000-0000D91E0000}"/>
    <cellStyle name="Пояснение 10" xfId="342" xr:uid="{00000000-0005-0000-0000-0000DA1E0000}"/>
    <cellStyle name="Пояснение 11" xfId="611" xr:uid="{00000000-0005-0000-0000-0000DB1E0000}"/>
    <cellStyle name="Пояснение 2" xfId="343" xr:uid="{00000000-0005-0000-0000-0000DC1E0000}"/>
    <cellStyle name="Пояснение 3" xfId="344" xr:uid="{00000000-0005-0000-0000-0000DD1E0000}"/>
    <cellStyle name="Пояснение 4" xfId="345" xr:uid="{00000000-0005-0000-0000-0000DE1E0000}"/>
    <cellStyle name="Пояснение 5" xfId="346" xr:uid="{00000000-0005-0000-0000-0000DF1E0000}"/>
    <cellStyle name="Пояснение 6" xfId="347" xr:uid="{00000000-0005-0000-0000-0000E01E0000}"/>
    <cellStyle name="Пояснение 7" xfId="348" xr:uid="{00000000-0005-0000-0000-0000E11E0000}"/>
    <cellStyle name="Пояснение 8" xfId="349" xr:uid="{00000000-0005-0000-0000-0000E21E0000}"/>
    <cellStyle name="Пояснение 9" xfId="350" xr:uid="{00000000-0005-0000-0000-0000E31E0000}"/>
    <cellStyle name="Примечание 10" xfId="351" xr:uid="{00000000-0005-0000-0000-0000E41E0000}"/>
    <cellStyle name="Примечание 10 10" xfId="4228" xr:uid="{00000000-0005-0000-0000-0000E51E0000}"/>
    <cellStyle name="Примечание 10 10 2" xfId="8961" xr:uid="{00000000-0005-0000-0000-0000E61E0000}"/>
    <cellStyle name="Примечание 10 11" xfId="4229" xr:uid="{00000000-0005-0000-0000-0000E71E0000}"/>
    <cellStyle name="Примечание 10 11 2" xfId="8962" xr:uid="{00000000-0005-0000-0000-0000E81E0000}"/>
    <cellStyle name="Примечание 10 12" xfId="4230" xr:uid="{00000000-0005-0000-0000-0000E91E0000}"/>
    <cellStyle name="Примечание 10 12 2" xfId="8963" xr:uid="{00000000-0005-0000-0000-0000EA1E0000}"/>
    <cellStyle name="Примечание 10 13" xfId="4231" xr:uid="{00000000-0005-0000-0000-0000EB1E0000}"/>
    <cellStyle name="Примечание 10 13 2" xfId="8964" xr:uid="{00000000-0005-0000-0000-0000EC1E0000}"/>
    <cellStyle name="Примечание 10 14" xfId="4232" xr:uid="{00000000-0005-0000-0000-0000ED1E0000}"/>
    <cellStyle name="Примечание 10 14 2" xfId="8965" xr:uid="{00000000-0005-0000-0000-0000EE1E0000}"/>
    <cellStyle name="Примечание 10 15" xfId="4233" xr:uid="{00000000-0005-0000-0000-0000EF1E0000}"/>
    <cellStyle name="Примечание 10 15 2" xfId="8966" xr:uid="{00000000-0005-0000-0000-0000F01E0000}"/>
    <cellStyle name="Примечание 10 16" xfId="4234" xr:uid="{00000000-0005-0000-0000-0000F11E0000}"/>
    <cellStyle name="Примечание 10 16 2" xfId="8967" xr:uid="{00000000-0005-0000-0000-0000F21E0000}"/>
    <cellStyle name="Примечание 10 17" xfId="4235" xr:uid="{00000000-0005-0000-0000-0000F31E0000}"/>
    <cellStyle name="Примечание 10 17 2" xfId="8968" xr:uid="{00000000-0005-0000-0000-0000F41E0000}"/>
    <cellStyle name="Примечание 10 18" xfId="4236" xr:uid="{00000000-0005-0000-0000-0000F51E0000}"/>
    <cellStyle name="Примечание 10 18 2" xfId="8969" xr:uid="{00000000-0005-0000-0000-0000F61E0000}"/>
    <cellStyle name="Примечание 10 19" xfId="4237" xr:uid="{00000000-0005-0000-0000-0000F71E0000}"/>
    <cellStyle name="Примечание 10 19 2" xfId="8970" xr:uid="{00000000-0005-0000-0000-0000F81E0000}"/>
    <cellStyle name="Примечание 10 2" xfId="4238" xr:uid="{00000000-0005-0000-0000-0000F91E0000}"/>
    <cellStyle name="Примечание 10 2 2" xfId="4239" xr:uid="{00000000-0005-0000-0000-0000FA1E0000}"/>
    <cellStyle name="Примечание 10 2 2 2" xfId="8971" xr:uid="{00000000-0005-0000-0000-0000FB1E0000}"/>
    <cellStyle name="Примечание 10 2 3" xfId="4240" xr:uid="{00000000-0005-0000-0000-0000FC1E0000}"/>
    <cellStyle name="Примечание 10 2 3 2" xfId="8972" xr:uid="{00000000-0005-0000-0000-0000FD1E0000}"/>
    <cellStyle name="Примечание 10 2 4" xfId="8973" xr:uid="{00000000-0005-0000-0000-0000FE1E0000}"/>
    <cellStyle name="Примечание 10 20" xfId="4241" xr:uid="{00000000-0005-0000-0000-0000FF1E0000}"/>
    <cellStyle name="Примечание 10 20 2" xfId="8974" xr:uid="{00000000-0005-0000-0000-0000001F0000}"/>
    <cellStyle name="Примечание 10 21" xfId="4242" xr:uid="{00000000-0005-0000-0000-0000011F0000}"/>
    <cellStyle name="Примечание 10 21 2" xfId="8975" xr:uid="{00000000-0005-0000-0000-0000021F0000}"/>
    <cellStyle name="Примечание 10 22" xfId="4243" xr:uid="{00000000-0005-0000-0000-0000031F0000}"/>
    <cellStyle name="Примечание 10 22 2" xfId="8976" xr:uid="{00000000-0005-0000-0000-0000041F0000}"/>
    <cellStyle name="Примечание 10 23" xfId="4244" xr:uid="{00000000-0005-0000-0000-0000051F0000}"/>
    <cellStyle name="Примечание 10 23 2" xfId="8977" xr:uid="{00000000-0005-0000-0000-0000061F0000}"/>
    <cellStyle name="Примечание 10 24" xfId="4245" xr:uid="{00000000-0005-0000-0000-0000071F0000}"/>
    <cellStyle name="Примечание 10 24 2" xfId="8978" xr:uid="{00000000-0005-0000-0000-0000081F0000}"/>
    <cellStyle name="Примечание 10 25" xfId="4246" xr:uid="{00000000-0005-0000-0000-0000091F0000}"/>
    <cellStyle name="Примечание 10 25 2" xfId="8979" xr:uid="{00000000-0005-0000-0000-00000A1F0000}"/>
    <cellStyle name="Примечание 10 26" xfId="4247" xr:uid="{00000000-0005-0000-0000-00000B1F0000}"/>
    <cellStyle name="Примечание 10 26 2" xfId="8980" xr:uid="{00000000-0005-0000-0000-00000C1F0000}"/>
    <cellStyle name="Примечание 10 27" xfId="4248" xr:uid="{00000000-0005-0000-0000-00000D1F0000}"/>
    <cellStyle name="Примечание 10 27 2" xfId="8981" xr:uid="{00000000-0005-0000-0000-00000E1F0000}"/>
    <cellStyle name="Примечание 10 28" xfId="4249" xr:uid="{00000000-0005-0000-0000-00000F1F0000}"/>
    <cellStyle name="Примечание 10 28 2" xfId="8982" xr:uid="{00000000-0005-0000-0000-0000101F0000}"/>
    <cellStyle name="Примечание 10 29" xfId="4250" xr:uid="{00000000-0005-0000-0000-0000111F0000}"/>
    <cellStyle name="Примечание 10 29 2" xfId="8983" xr:uid="{00000000-0005-0000-0000-0000121F0000}"/>
    <cellStyle name="Примечание 10 3" xfId="4251" xr:uid="{00000000-0005-0000-0000-0000131F0000}"/>
    <cellStyle name="Примечание 10 3 2" xfId="4252" xr:uid="{00000000-0005-0000-0000-0000141F0000}"/>
    <cellStyle name="Примечание 10 3 2 2" xfId="8984" xr:uid="{00000000-0005-0000-0000-0000151F0000}"/>
    <cellStyle name="Примечание 10 3 3" xfId="4253" xr:uid="{00000000-0005-0000-0000-0000161F0000}"/>
    <cellStyle name="Примечание 10 3 3 2" xfId="8985" xr:uid="{00000000-0005-0000-0000-0000171F0000}"/>
    <cellStyle name="Примечание 10 3 4" xfId="8986" xr:uid="{00000000-0005-0000-0000-0000181F0000}"/>
    <cellStyle name="Примечание 10 30" xfId="4254" xr:uid="{00000000-0005-0000-0000-0000191F0000}"/>
    <cellStyle name="Примечание 10 30 2" xfId="8987" xr:uid="{00000000-0005-0000-0000-00001A1F0000}"/>
    <cellStyle name="Примечание 10 31" xfId="4255" xr:uid="{00000000-0005-0000-0000-00001B1F0000}"/>
    <cellStyle name="Примечание 10 31 2" xfId="8988" xr:uid="{00000000-0005-0000-0000-00001C1F0000}"/>
    <cellStyle name="Примечание 10 32" xfId="4256" xr:uid="{00000000-0005-0000-0000-00001D1F0000}"/>
    <cellStyle name="Примечание 10 32 2" xfId="8989" xr:uid="{00000000-0005-0000-0000-00001E1F0000}"/>
    <cellStyle name="Примечание 10 33" xfId="4257" xr:uid="{00000000-0005-0000-0000-00001F1F0000}"/>
    <cellStyle name="Примечание 10 33 2" xfId="8990" xr:uid="{00000000-0005-0000-0000-0000201F0000}"/>
    <cellStyle name="Примечание 10 34" xfId="4258" xr:uid="{00000000-0005-0000-0000-0000211F0000}"/>
    <cellStyle name="Примечание 10 34 2" xfId="8991" xr:uid="{00000000-0005-0000-0000-0000221F0000}"/>
    <cellStyle name="Примечание 10 35" xfId="4259" xr:uid="{00000000-0005-0000-0000-0000231F0000}"/>
    <cellStyle name="Примечание 10 35 2" xfId="8992" xr:uid="{00000000-0005-0000-0000-0000241F0000}"/>
    <cellStyle name="Примечание 10 36" xfId="4260" xr:uid="{00000000-0005-0000-0000-0000251F0000}"/>
    <cellStyle name="Примечание 10 36 2" xfId="8993" xr:uid="{00000000-0005-0000-0000-0000261F0000}"/>
    <cellStyle name="Примечание 10 37" xfId="4261" xr:uid="{00000000-0005-0000-0000-0000271F0000}"/>
    <cellStyle name="Примечание 10 37 2" xfId="8994" xr:uid="{00000000-0005-0000-0000-0000281F0000}"/>
    <cellStyle name="Примечание 10 38" xfId="4262" xr:uid="{00000000-0005-0000-0000-0000291F0000}"/>
    <cellStyle name="Примечание 10 38 2" xfId="8995" xr:uid="{00000000-0005-0000-0000-00002A1F0000}"/>
    <cellStyle name="Примечание 10 39" xfId="4263" xr:uid="{00000000-0005-0000-0000-00002B1F0000}"/>
    <cellStyle name="Примечание 10 39 2" xfId="8996" xr:uid="{00000000-0005-0000-0000-00002C1F0000}"/>
    <cellStyle name="Примечание 10 4" xfId="4264" xr:uid="{00000000-0005-0000-0000-00002D1F0000}"/>
    <cellStyle name="Примечание 10 4 2" xfId="4265" xr:uid="{00000000-0005-0000-0000-00002E1F0000}"/>
    <cellStyle name="Примечание 10 4 2 2" xfId="8997" xr:uid="{00000000-0005-0000-0000-00002F1F0000}"/>
    <cellStyle name="Примечание 10 4 3" xfId="4266" xr:uid="{00000000-0005-0000-0000-0000301F0000}"/>
    <cellStyle name="Примечание 10 4 3 2" xfId="8998" xr:uid="{00000000-0005-0000-0000-0000311F0000}"/>
    <cellStyle name="Примечание 10 4 4" xfId="8999" xr:uid="{00000000-0005-0000-0000-0000321F0000}"/>
    <cellStyle name="Примечание 10 40" xfId="4267" xr:uid="{00000000-0005-0000-0000-0000331F0000}"/>
    <cellStyle name="Примечание 10 40 2" xfId="9000" xr:uid="{00000000-0005-0000-0000-0000341F0000}"/>
    <cellStyle name="Примечание 10 41" xfId="4268" xr:uid="{00000000-0005-0000-0000-0000351F0000}"/>
    <cellStyle name="Примечание 10 41 2" xfId="9001" xr:uid="{00000000-0005-0000-0000-0000361F0000}"/>
    <cellStyle name="Примечание 10 42" xfId="4269" xr:uid="{00000000-0005-0000-0000-0000371F0000}"/>
    <cellStyle name="Примечание 10 42 2" xfId="9002" xr:uid="{00000000-0005-0000-0000-0000381F0000}"/>
    <cellStyle name="Примечание 10 43" xfId="4270" xr:uid="{00000000-0005-0000-0000-0000391F0000}"/>
    <cellStyle name="Примечание 10 43 2" xfId="9003" xr:uid="{00000000-0005-0000-0000-00003A1F0000}"/>
    <cellStyle name="Примечание 10 44" xfId="4271" xr:uid="{00000000-0005-0000-0000-00003B1F0000}"/>
    <cellStyle name="Примечание 10 44 2" xfId="9004" xr:uid="{00000000-0005-0000-0000-00003C1F0000}"/>
    <cellStyle name="Примечание 10 45" xfId="4272" xr:uid="{00000000-0005-0000-0000-00003D1F0000}"/>
    <cellStyle name="Примечание 10 45 2" xfId="9005" xr:uid="{00000000-0005-0000-0000-00003E1F0000}"/>
    <cellStyle name="Примечание 10 46" xfId="4273" xr:uid="{00000000-0005-0000-0000-00003F1F0000}"/>
    <cellStyle name="Примечание 10 46 2" xfId="9006" xr:uid="{00000000-0005-0000-0000-0000401F0000}"/>
    <cellStyle name="Примечание 10 47" xfId="4274" xr:uid="{00000000-0005-0000-0000-0000411F0000}"/>
    <cellStyle name="Примечание 10 47 2" xfId="9007" xr:uid="{00000000-0005-0000-0000-0000421F0000}"/>
    <cellStyle name="Примечание 10 48" xfId="4275" xr:uid="{00000000-0005-0000-0000-0000431F0000}"/>
    <cellStyle name="Примечание 10 48 2" xfId="9008" xr:uid="{00000000-0005-0000-0000-0000441F0000}"/>
    <cellStyle name="Примечание 10 49" xfId="4276" xr:uid="{00000000-0005-0000-0000-0000451F0000}"/>
    <cellStyle name="Примечание 10 49 2" xfId="9009" xr:uid="{00000000-0005-0000-0000-0000461F0000}"/>
    <cellStyle name="Примечание 10 5" xfId="4277" xr:uid="{00000000-0005-0000-0000-0000471F0000}"/>
    <cellStyle name="Примечание 10 5 2" xfId="9010" xr:uid="{00000000-0005-0000-0000-0000481F0000}"/>
    <cellStyle name="Примечание 10 50" xfId="4278" xr:uid="{00000000-0005-0000-0000-0000491F0000}"/>
    <cellStyle name="Примечание 10 50 2" xfId="9011" xr:uid="{00000000-0005-0000-0000-00004A1F0000}"/>
    <cellStyle name="Примечание 10 51" xfId="4279" xr:uid="{00000000-0005-0000-0000-00004B1F0000}"/>
    <cellStyle name="Примечание 10 51 2" xfId="9012" xr:uid="{00000000-0005-0000-0000-00004C1F0000}"/>
    <cellStyle name="Примечание 10 52" xfId="4280" xr:uid="{00000000-0005-0000-0000-00004D1F0000}"/>
    <cellStyle name="Примечание 10 52 2" xfId="9013" xr:uid="{00000000-0005-0000-0000-00004E1F0000}"/>
    <cellStyle name="Примечание 10 53" xfId="4281" xr:uid="{00000000-0005-0000-0000-00004F1F0000}"/>
    <cellStyle name="Примечание 10 53 2" xfId="9014" xr:uid="{00000000-0005-0000-0000-0000501F0000}"/>
    <cellStyle name="Примечание 10 54" xfId="4282" xr:uid="{00000000-0005-0000-0000-0000511F0000}"/>
    <cellStyle name="Примечание 10 54 2" xfId="9015" xr:uid="{00000000-0005-0000-0000-0000521F0000}"/>
    <cellStyle name="Примечание 10 55" xfId="4283" xr:uid="{00000000-0005-0000-0000-0000531F0000}"/>
    <cellStyle name="Примечание 10 55 2" xfId="9016" xr:uid="{00000000-0005-0000-0000-0000541F0000}"/>
    <cellStyle name="Примечание 10 56" xfId="4284" xr:uid="{00000000-0005-0000-0000-0000551F0000}"/>
    <cellStyle name="Примечание 10 56 2" xfId="9017" xr:uid="{00000000-0005-0000-0000-0000561F0000}"/>
    <cellStyle name="Примечание 10 57" xfId="4285" xr:uid="{00000000-0005-0000-0000-0000571F0000}"/>
    <cellStyle name="Примечание 10 57 2" xfId="9018" xr:uid="{00000000-0005-0000-0000-0000581F0000}"/>
    <cellStyle name="Примечание 10 58" xfId="4286" xr:uid="{00000000-0005-0000-0000-0000591F0000}"/>
    <cellStyle name="Примечание 10 58 2" xfId="9019" xr:uid="{00000000-0005-0000-0000-00005A1F0000}"/>
    <cellStyle name="Примечание 10 59" xfId="4287" xr:uid="{00000000-0005-0000-0000-00005B1F0000}"/>
    <cellStyle name="Примечание 10 59 2" xfId="9020" xr:uid="{00000000-0005-0000-0000-00005C1F0000}"/>
    <cellStyle name="Примечание 10 6" xfId="4288" xr:uid="{00000000-0005-0000-0000-00005D1F0000}"/>
    <cellStyle name="Примечание 10 6 2" xfId="9021" xr:uid="{00000000-0005-0000-0000-00005E1F0000}"/>
    <cellStyle name="Примечание 10 60" xfId="4289" xr:uid="{00000000-0005-0000-0000-00005F1F0000}"/>
    <cellStyle name="Примечание 10 60 2" xfId="9022" xr:uid="{00000000-0005-0000-0000-0000601F0000}"/>
    <cellStyle name="Примечание 10 61" xfId="4290" xr:uid="{00000000-0005-0000-0000-0000611F0000}"/>
    <cellStyle name="Примечание 10 61 2" xfId="9023" xr:uid="{00000000-0005-0000-0000-0000621F0000}"/>
    <cellStyle name="Примечание 10 62" xfId="4291" xr:uid="{00000000-0005-0000-0000-0000631F0000}"/>
    <cellStyle name="Примечание 10 62 2" xfId="9024" xr:uid="{00000000-0005-0000-0000-0000641F0000}"/>
    <cellStyle name="Примечание 10 63" xfId="4292" xr:uid="{00000000-0005-0000-0000-0000651F0000}"/>
    <cellStyle name="Примечание 10 63 2" xfId="9025" xr:uid="{00000000-0005-0000-0000-0000661F0000}"/>
    <cellStyle name="Примечание 10 64" xfId="4293" xr:uid="{00000000-0005-0000-0000-0000671F0000}"/>
    <cellStyle name="Примечание 10 64 2" xfId="9026" xr:uid="{00000000-0005-0000-0000-0000681F0000}"/>
    <cellStyle name="Примечание 10 65" xfId="4294" xr:uid="{00000000-0005-0000-0000-0000691F0000}"/>
    <cellStyle name="Примечание 10 65 2" xfId="9027" xr:uid="{00000000-0005-0000-0000-00006A1F0000}"/>
    <cellStyle name="Примечание 10 66" xfId="4295" xr:uid="{00000000-0005-0000-0000-00006B1F0000}"/>
    <cellStyle name="Примечание 10 66 2" xfId="9028" xr:uid="{00000000-0005-0000-0000-00006C1F0000}"/>
    <cellStyle name="Примечание 10 67" xfId="4296" xr:uid="{00000000-0005-0000-0000-00006D1F0000}"/>
    <cellStyle name="Примечание 10 67 2" xfId="9029" xr:uid="{00000000-0005-0000-0000-00006E1F0000}"/>
    <cellStyle name="Примечание 10 68" xfId="4297" xr:uid="{00000000-0005-0000-0000-00006F1F0000}"/>
    <cellStyle name="Примечание 10 68 2" xfId="9030" xr:uid="{00000000-0005-0000-0000-0000701F0000}"/>
    <cellStyle name="Примечание 10 69" xfId="4298" xr:uid="{00000000-0005-0000-0000-0000711F0000}"/>
    <cellStyle name="Примечание 10 69 2" xfId="9031" xr:uid="{00000000-0005-0000-0000-0000721F0000}"/>
    <cellStyle name="Примечание 10 7" xfId="4299" xr:uid="{00000000-0005-0000-0000-0000731F0000}"/>
    <cellStyle name="Примечание 10 7 2" xfId="9032" xr:uid="{00000000-0005-0000-0000-0000741F0000}"/>
    <cellStyle name="Примечание 10 70" xfId="4300" xr:uid="{00000000-0005-0000-0000-0000751F0000}"/>
    <cellStyle name="Примечание 10 70 2" xfId="9033" xr:uid="{00000000-0005-0000-0000-0000761F0000}"/>
    <cellStyle name="Примечание 10 71" xfId="4301" xr:uid="{00000000-0005-0000-0000-0000771F0000}"/>
    <cellStyle name="Примечание 10 71 2" xfId="9034" xr:uid="{00000000-0005-0000-0000-0000781F0000}"/>
    <cellStyle name="Примечание 10 72" xfId="4302" xr:uid="{00000000-0005-0000-0000-0000791F0000}"/>
    <cellStyle name="Примечание 10 72 2" xfId="9035" xr:uid="{00000000-0005-0000-0000-00007A1F0000}"/>
    <cellStyle name="Примечание 10 73" xfId="4303" xr:uid="{00000000-0005-0000-0000-00007B1F0000}"/>
    <cellStyle name="Примечание 10 73 2" xfId="9036" xr:uid="{00000000-0005-0000-0000-00007C1F0000}"/>
    <cellStyle name="Примечание 10 74" xfId="4304" xr:uid="{00000000-0005-0000-0000-00007D1F0000}"/>
    <cellStyle name="Примечание 10 74 2" xfId="9037" xr:uid="{00000000-0005-0000-0000-00007E1F0000}"/>
    <cellStyle name="Примечание 10 75" xfId="4305" xr:uid="{00000000-0005-0000-0000-00007F1F0000}"/>
    <cellStyle name="Примечание 10 75 2" xfId="9038" xr:uid="{00000000-0005-0000-0000-0000801F0000}"/>
    <cellStyle name="Примечание 10 76" xfId="4306" xr:uid="{00000000-0005-0000-0000-0000811F0000}"/>
    <cellStyle name="Примечание 10 76 2" xfId="9039" xr:uid="{00000000-0005-0000-0000-0000821F0000}"/>
    <cellStyle name="Примечание 10 77" xfId="4307" xr:uid="{00000000-0005-0000-0000-0000831F0000}"/>
    <cellStyle name="Примечание 10 77 2" xfId="9040" xr:uid="{00000000-0005-0000-0000-0000841F0000}"/>
    <cellStyle name="Примечание 10 78" xfId="4308" xr:uid="{00000000-0005-0000-0000-0000851F0000}"/>
    <cellStyle name="Примечание 10 78 2" xfId="9041" xr:uid="{00000000-0005-0000-0000-0000861F0000}"/>
    <cellStyle name="Примечание 10 79" xfId="4309" xr:uid="{00000000-0005-0000-0000-0000871F0000}"/>
    <cellStyle name="Примечание 10 79 2" xfId="9042" xr:uid="{00000000-0005-0000-0000-0000881F0000}"/>
    <cellStyle name="Примечание 10 8" xfId="4310" xr:uid="{00000000-0005-0000-0000-0000891F0000}"/>
    <cellStyle name="Примечание 10 8 2" xfId="9043" xr:uid="{00000000-0005-0000-0000-00008A1F0000}"/>
    <cellStyle name="Примечание 10 80" xfId="4311" xr:uid="{00000000-0005-0000-0000-00008B1F0000}"/>
    <cellStyle name="Примечание 10 80 2" xfId="9044" xr:uid="{00000000-0005-0000-0000-00008C1F0000}"/>
    <cellStyle name="Примечание 10 81" xfId="4312" xr:uid="{00000000-0005-0000-0000-00008D1F0000}"/>
    <cellStyle name="Примечание 10 81 2" xfId="9045" xr:uid="{00000000-0005-0000-0000-00008E1F0000}"/>
    <cellStyle name="Примечание 10 82" xfId="4313" xr:uid="{00000000-0005-0000-0000-00008F1F0000}"/>
    <cellStyle name="Примечание 10 82 2" xfId="9046" xr:uid="{00000000-0005-0000-0000-0000901F0000}"/>
    <cellStyle name="Примечание 10 83" xfId="4314" xr:uid="{00000000-0005-0000-0000-0000911F0000}"/>
    <cellStyle name="Примечание 10 83 2" xfId="9047" xr:uid="{00000000-0005-0000-0000-0000921F0000}"/>
    <cellStyle name="Примечание 10 84" xfId="4315" xr:uid="{00000000-0005-0000-0000-0000931F0000}"/>
    <cellStyle name="Примечание 10 84 2" xfId="9048" xr:uid="{00000000-0005-0000-0000-0000941F0000}"/>
    <cellStyle name="Примечание 10 85" xfId="4316" xr:uid="{00000000-0005-0000-0000-0000951F0000}"/>
    <cellStyle name="Примечание 10 85 2" xfId="9049" xr:uid="{00000000-0005-0000-0000-0000961F0000}"/>
    <cellStyle name="Примечание 10 86" xfId="4317" xr:uid="{00000000-0005-0000-0000-0000971F0000}"/>
    <cellStyle name="Примечание 10 86 2" xfId="9050" xr:uid="{00000000-0005-0000-0000-0000981F0000}"/>
    <cellStyle name="Примечание 10 87" xfId="4318" xr:uid="{00000000-0005-0000-0000-0000991F0000}"/>
    <cellStyle name="Примечание 10 87 2" xfId="9051" xr:uid="{00000000-0005-0000-0000-00009A1F0000}"/>
    <cellStyle name="Примечание 10 88" xfId="4319" xr:uid="{00000000-0005-0000-0000-00009B1F0000}"/>
    <cellStyle name="Примечание 10 88 2" xfId="9052" xr:uid="{00000000-0005-0000-0000-00009C1F0000}"/>
    <cellStyle name="Примечание 10 89" xfId="4320" xr:uid="{00000000-0005-0000-0000-00009D1F0000}"/>
    <cellStyle name="Примечание 10 89 2" xfId="9053" xr:uid="{00000000-0005-0000-0000-00009E1F0000}"/>
    <cellStyle name="Примечание 10 9" xfId="4321" xr:uid="{00000000-0005-0000-0000-00009F1F0000}"/>
    <cellStyle name="Примечание 10 9 2" xfId="9054" xr:uid="{00000000-0005-0000-0000-0000A01F0000}"/>
    <cellStyle name="Примечание 10 90" xfId="9055" xr:uid="{00000000-0005-0000-0000-0000A11F0000}"/>
    <cellStyle name="Примечание 2" xfId="352" xr:uid="{00000000-0005-0000-0000-0000A21F0000}"/>
    <cellStyle name="Примечание 2 10" xfId="4322" xr:uid="{00000000-0005-0000-0000-0000A31F0000}"/>
    <cellStyle name="Примечание 2 10 2" xfId="9056" xr:uid="{00000000-0005-0000-0000-0000A41F0000}"/>
    <cellStyle name="Примечание 2 11" xfId="4323" xr:uid="{00000000-0005-0000-0000-0000A51F0000}"/>
    <cellStyle name="Примечание 2 11 2" xfId="9057" xr:uid="{00000000-0005-0000-0000-0000A61F0000}"/>
    <cellStyle name="Примечание 2 12" xfId="4324" xr:uid="{00000000-0005-0000-0000-0000A71F0000}"/>
    <cellStyle name="Примечание 2 12 2" xfId="9058" xr:uid="{00000000-0005-0000-0000-0000A81F0000}"/>
    <cellStyle name="Примечание 2 13" xfId="4325" xr:uid="{00000000-0005-0000-0000-0000A91F0000}"/>
    <cellStyle name="Примечание 2 13 2" xfId="9059" xr:uid="{00000000-0005-0000-0000-0000AA1F0000}"/>
    <cellStyle name="Примечание 2 14" xfId="4326" xr:uid="{00000000-0005-0000-0000-0000AB1F0000}"/>
    <cellStyle name="Примечание 2 14 2" xfId="9060" xr:uid="{00000000-0005-0000-0000-0000AC1F0000}"/>
    <cellStyle name="Примечание 2 15" xfId="4327" xr:uid="{00000000-0005-0000-0000-0000AD1F0000}"/>
    <cellStyle name="Примечание 2 15 2" xfId="9061" xr:uid="{00000000-0005-0000-0000-0000AE1F0000}"/>
    <cellStyle name="Примечание 2 16" xfId="4328" xr:uid="{00000000-0005-0000-0000-0000AF1F0000}"/>
    <cellStyle name="Примечание 2 16 2" xfId="9062" xr:uid="{00000000-0005-0000-0000-0000B01F0000}"/>
    <cellStyle name="Примечание 2 17" xfId="4329" xr:uid="{00000000-0005-0000-0000-0000B11F0000}"/>
    <cellStyle name="Примечание 2 17 2" xfId="9063" xr:uid="{00000000-0005-0000-0000-0000B21F0000}"/>
    <cellStyle name="Примечание 2 18" xfId="4330" xr:uid="{00000000-0005-0000-0000-0000B31F0000}"/>
    <cellStyle name="Примечание 2 18 2" xfId="9064" xr:uid="{00000000-0005-0000-0000-0000B41F0000}"/>
    <cellStyle name="Примечание 2 19" xfId="4331" xr:uid="{00000000-0005-0000-0000-0000B51F0000}"/>
    <cellStyle name="Примечание 2 19 2" xfId="9065" xr:uid="{00000000-0005-0000-0000-0000B61F0000}"/>
    <cellStyle name="Примечание 2 2" xfId="4332" xr:uid="{00000000-0005-0000-0000-0000B71F0000}"/>
    <cellStyle name="Примечание 2 2 2" xfId="4333" xr:uid="{00000000-0005-0000-0000-0000B81F0000}"/>
    <cellStyle name="Примечание 2 2 2 2" xfId="9066" xr:uid="{00000000-0005-0000-0000-0000B91F0000}"/>
    <cellStyle name="Примечание 2 2 3" xfId="4334" xr:uid="{00000000-0005-0000-0000-0000BA1F0000}"/>
    <cellStyle name="Примечание 2 2 3 2" xfId="9067" xr:uid="{00000000-0005-0000-0000-0000BB1F0000}"/>
    <cellStyle name="Примечание 2 2 4" xfId="9068" xr:uid="{00000000-0005-0000-0000-0000BC1F0000}"/>
    <cellStyle name="Примечание 2 20" xfId="4335" xr:uid="{00000000-0005-0000-0000-0000BD1F0000}"/>
    <cellStyle name="Примечание 2 20 2" xfId="9069" xr:uid="{00000000-0005-0000-0000-0000BE1F0000}"/>
    <cellStyle name="Примечание 2 21" xfId="4336" xr:uid="{00000000-0005-0000-0000-0000BF1F0000}"/>
    <cellStyle name="Примечание 2 21 2" xfId="9070" xr:uid="{00000000-0005-0000-0000-0000C01F0000}"/>
    <cellStyle name="Примечание 2 22" xfId="4337" xr:uid="{00000000-0005-0000-0000-0000C11F0000}"/>
    <cellStyle name="Примечание 2 22 2" xfId="9071" xr:uid="{00000000-0005-0000-0000-0000C21F0000}"/>
    <cellStyle name="Примечание 2 23" xfId="4338" xr:uid="{00000000-0005-0000-0000-0000C31F0000}"/>
    <cellStyle name="Примечание 2 23 2" xfId="9072" xr:uid="{00000000-0005-0000-0000-0000C41F0000}"/>
    <cellStyle name="Примечание 2 24" xfId="4339" xr:uid="{00000000-0005-0000-0000-0000C51F0000}"/>
    <cellStyle name="Примечание 2 24 2" xfId="9073" xr:uid="{00000000-0005-0000-0000-0000C61F0000}"/>
    <cellStyle name="Примечание 2 25" xfId="4340" xr:uid="{00000000-0005-0000-0000-0000C71F0000}"/>
    <cellStyle name="Примечание 2 25 2" xfId="9074" xr:uid="{00000000-0005-0000-0000-0000C81F0000}"/>
    <cellStyle name="Примечание 2 26" xfId="4341" xr:uid="{00000000-0005-0000-0000-0000C91F0000}"/>
    <cellStyle name="Примечание 2 26 2" xfId="9075" xr:uid="{00000000-0005-0000-0000-0000CA1F0000}"/>
    <cellStyle name="Примечание 2 27" xfId="4342" xr:uid="{00000000-0005-0000-0000-0000CB1F0000}"/>
    <cellStyle name="Примечание 2 27 2" xfId="9076" xr:uid="{00000000-0005-0000-0000-0000CC1F0000}"/>
    <cellStyle name="Примечание 2 28" xfId="4343" xr:uid="{00000000-0005-0000-0000-0000CD1F0000}"/>
    <cellStyle name="Примечание 2 28 2" xfId="9077" xr:uid="{00000000-0005-0000-0000-0000CE1F0000}"/>
    <cellStyle name="Примечание 2 29" xfId="4344" xr:uid="{00000000-0005-0000-0000-0000CF1F0000}"/>
    <cellStyle name="Примечание 2 29 2" xfId="9078" xr:uid="{00000000-0005-0000-0000-0000D01F0000}"/>
    <cellStyle name="Примечание 2 3" xfId="4345" xr:uid="{00000000-0005-0000-0000-0000D11F0000}"/>
    <cellStyle name="Примечание 2 3 2" xfId="4346" xr:uid="{00000000-0005-0000-0000-0000D21F0000}"/>
    <cellStyle name="Примечание 2 3 2 2" xfId="9079" xr:uid="{00000000-0005-0000-0000-0000D31F0000}"/>
    <cellStyle name="Примечание 2 3 3" xfId="4347" xr:uid="{00000000-0005-0000-0000-0000D41F0000}"/>
    <cellStyle name="Примечание 2 3 3 2" xfId="9080" xr:uid="{00000000-0005-0000-0000-0000D51F0000}"/>
    <cellStyle name="Примечание 2 3 4" xfId="9081" xr:uid="{00000000-0005-0000-0000-0000D61F0000}"/>
    <cellStyle name="Примечание 2 30" xfId="4348" xr:uid="{00000000-0005-0000-0000-0000D71F0000}"/>
    <cellStyle name="Примечание 2 30 2" xfId="9082" xr:uid="{00000000-0005-0000-0000-0000D81F0000}"/>
    <cellStyle name="Примечание 2 31" xfId="4349" xr:uid="{00000000-0005-0000-0000-0000D91F0000}"/>
    <cellStyle name="Примечание 2 31 2" xfId="9083" xr:uid="{00000000-0005-0000-0000-0000DA1F0000}"/>
    <cellStyle name="Примечание 2 32" xfId="4350" xr:uid="{00000000-0005-0000-0000-0000DB1F0000}"/>
    <cellStyle name="Примечание 2 32 2" xfId="9084" xr:uid="{00000000-0005-0000-0000-0000DC1F0000}"/>
    <cellStyle name="Примечание 2 33" xfId="4351" xr:uid="{00000000-0005-0000-0000-0000DD1F0000}"/>
    <cellStyle name="Примечание 2 33 2" xfId="9085" xr:uid="{00000000-0005-0000-0000-0000DE1F0000}"/>
    <cellStyle name="Примечание 2 34" xfId="4352" xr:uid="{00000000-0005-0000-0000-0000DF1F0000}"/>
    <cellStyle name="Примечание 2 34 2" xfId="9086" xr:uid="{00000000-0005-0000-0000-0000E01F0000}"/>
    <cellStyle name="Примечание 2 35" xfId="4353" xr:uid="{00000000-0005-0000-0000-0000E11F0000}"/>
    <cellStyle name="Примечание 2 35 2" xfId="9087" xr:uid="{00000000-0005-0000-0000-0000E21F0000}"/>
    <cellStyle name="Примечание 2 36" xfId="4354" xr:uid="{00000000-0005-0000-0000-0000E31F0000}"/>
    <cellStyle name="Примечание 2 36 2" xfId="9088" xr:uid="{00000000-0005-0000-0000-0000E41F0000}"/>
    <cellStyle name="Примечание 2 37" xfId="4355" xr:uid="{00000000-0005-0000-0000-0000E51F0000}"/>
    <cellStyle name="Примечание 2 37 2" xfId="9089" xr:uid="{00000000-0005-0000-0000-0000E61F0000}"/>
    <cellStyle name="Примечание 2 38" xfId="4356" xr:uid="{00000000-0005-0000-0000-0000E71F0000}"/>
    <cellStyle name="Примечание 2 38 2" xfId="9090" xr:uid="{00000000-0005-0000-0000-0000E81F0000}"/>
    <cellStyle name="Примечание 2 39" xfId="4357" xr:uid="{00000000-0005-0000-0000-0000E91F0000}"/>
    <cellStyle name="Примечание 2 39 2" xfId="9091" xr:uid="{00000000-0005-0000-0000-0000EA1F0000}"/>
    <cellStyle name="Примечание 2 4" xfId="4358" xr:uid="{00000000-0005-0000-0000-0000EB1F0000}"/>
    <cellStyle name="Примечание 2 4 2" xfId="4359" xr:uid="{00000000-0005-0000-0000-0000EC1F0000}"/>
    <cellStyle name="Примечание 2 4 2 2" xfId="9092" xr:uid="{00000000-0005-0000-0000-0000ED1F0000}"/>
    <cellStyle name="Примечание 2 4 3" xfId="4360" xr:uid="{00000000-0005-0000-0000-0000EE1F0000}"/>
    <cellStyle name="Примечание 2 4 3 2" xfId="9093" xr:uid="{00000000-0005-0000-0000-0000EF1F0000}"/>
    <cellStyle name="Примечание 2 4 4" xfId="9094" xr:uid="{00000000-0005-0000-0000-0000F01F0000}"/>
    <cellStyle name="Примечание 2 40" xfId="4361" xr:uid="{00000000-0005-0000-0000-0000F11F0000}"/>
    <cellStyle name="Примечание 2 40 2" xfId="9095" xr:uid="{00000000-0005-0000-0000-0000F21F0000}"/>
    <cellStyle name="Примечание 2 41" xfId="4362" xr:uid="{00000000-0005-0000-0000-0000F31F0000}"/>
    <cellStyle name="Примечание 2 41 2" xfId="9096" xr:uid="{00000000-0005-0000-0000-0000F41F0000}"/>
    <cellStyle name="Примечание 2 42" xfId="4363" xr:uid="{00000000-0005-0000-0000-0000F51F0000}"/>
    <cellStyle name="Примечание 2 42 2" xfId="9097" xr:uid="{00000000-0005-0000-0000-0000F61F0000}"/>
    <cellStyle name="Примечание 2 43" xfId="4364" xr:uid="{00000000-0005-0000-0000-0000F71F0000}"/>
    <cellStyle name="Примечание 2 43 2" xfId="9098" xr:uid="{00000000-0005-0000-0000-0000F81F0000}"/>
    <cellStyle name="Примечание 2 44" xfId="4365" xr:uid="{00000000-0005-0000-0000-0000F91F0000}"/>
    <cellStyle name="Примечание 2 44 2" xfId="9099" xr:uid="{00000000-0005-0000-0000-0000FA1F0000}"/>
    <cellStyle name="Примечание 2 45" xfId="4366" xr:uid="{00000000-0005-0000-0000-0000FB1F0000}"/>
    <cellStyle name="Примечание 2 45 2" xfId="9100" xr:uid="{00000000-0005-0000-0000-0000FC1F0000}"/>
    <cellStyle name="Примечание 2 46" xfId="4367" xr:uid="{00000000-0005-0000-0000-0000FD1F0000}"/>
    <cellStyle name="Примечание 2 46 2" xfId="9101" xr:uid="{00000000-0005-0000-0000-0000FE1F0000}"/>
    <cellStyle name="Примечание 2 47" xfId="4368" xr:uid="{00000000-0005-0000-0000-0000FF1F0000}"/>
    <cellStyle name="Примечание 2 47 2" xfId="9102" xr:uid="{00000000-0005-0000-0000-000000200000}"/>
    <cellStyle name="Примечание 2 48" xfId="4369" xr:uid="{00000000-0005-0000-0000-000001200000}"/>
    <cellStyle name="Примечание 2 48 2" xfId="9103" xr:uid="{00000000-0005-0000-0000-000002200000}"/>
    <cellStyle name="Примечание 2 49" xfId="4370" xr:uid="{00000000-0005-0000-0000-000003200000}"/>
    <cellStyle name="Примечание 2 49 2" xfId="9104" xr:uid="{00000000-0005-0000-0000-000004200000}"/>
    <cellStyle name="Примечание 2 5" xfId="4371" xr:uid="{00000000-0005-0000-0000-000005200000}"/>
    <cellStyle name="Примечание 2 5 2" xfId="9105" xr:uid="{00000000-0005-0000-0000-000006200000}"/>
    <cellStyle name="Примечание 2 50" xfId="4372" xr:uid="{00000000-0005-0000-0000-000007200000}"/>
    <cellStyle name="Примечание 2 50 2" xfId="9106" xr:uid="{00000000-0005-0000-0000-000008200000}"/>
    <cellStyle name="Примечание 2 51" xfId="4373" xr:uid="{00000000-0005-0000-0000-000009200000}"/>
    <cellStyle name="Примечание 2 51 2" xfId="9107" xr:uid="{00000000-0005-0000-0000-00000A200000}"/>
    <cellStyle name="Примечание 2 52" xfId="4374" xr:uid="{00000000-0005-0000-0000-00000B200000}"/>
    <cellStyle name="Примечание 2 52 2" xfId="9108" xr:uid="{00000000-0005-0000-0000-00000C200000}"/>
    <cellStyle name="Примечание 2 53" xfId="4375" xr:uid="{00000000-0005-0000-0000-00000D200000}"/>
    <cellStyle name="Примечание 2 53 2" xfId="9109" xr:uid="{00000000-0005-0000-0000-00000E200000}"/>
    <cellStyle name="Примечание 2 54" xfId="4376" xr:uid="{00000000-0005-0000-0000-00000F200000}"/>
    <cellStyle name="Примечание 2 54 2" xfId="9110" xr:uid="{00000000-0005-0000-0000-000010200000}"/>
    <cellStyle name="Примечание 2 55" xfId="4377" xr:uid="{00000000-0005-0000-0000-000011200000}"/>
    <cellStyle name="Примечание 2 55 2" xfId="9111" xr:uid="{00000000-0005-0000-0000-000012200000}"/>
    <cellStyle name="Примечание 2 56" xfId="4378" xr:uid="{00000000-0005-0000-0000-000013200000}"/>
    <cellStyle name="Примечание 2 56 2" xfId="9112" xr:uid="{00000000-0005-0000-0000-000014200000}"/>
    <cellStyle name="Примечание 2 57" xfId="4379" xr:uid="{00000000-0005-0000-0000-000015200000}"/>
    <cellStyle name="Примечание 2 57 2" xfId="9113" xr:uid="{00000000-0005-0000-0000-000016200000}"/>
    <cellStyle name="Примечание 2 58" xfId="4380" xr:uid="{00000000-0005-0000-0000-000017200000}"/>
    <cellStyle name="Примечание 2 58 2" xfId="9114" xr:uid="{00000000-0005-0000-0000-000018200000}"/>
    <cellStyle name="Примечание 2 59" xfId="4381" xr:uid="{00000000-0005-0000-0000-000019200000}"/>
    <cellStyle name="Примечание 2 59 2" xfId="9115" xr:uid="{00000000-0005-0000-0000-00001A200000}"/>
    <cellStyle name="Примечание 2 6" xfId="4382" xr:uid="{00000000-0005-0000-0000-00001B200000}"/>
    <cellStyle name="Примечание 2 6 2" xfId="9116" xr:uid="{00000000-0005-0000-0000-00001C200000}"/>
    <cellStyle name="Примечание 2 60" xfId="4383" xr:uid="{00000000-0005-0000-0000-00001D200000}"/>
    <cellStyle name="Примечание 2 60 2" xfId="9117" xr:uid="{00000000-0005-0000-0000-00001E200000}"/>
    <cellStyle name="Примечание 2 61" xfId="4384" xr:uid="{00000000-0005-0000-0000-00001F200000}"/>
    <cellStyle name="Примечание 2 61 2" xfId="9118" xr:uid="{00000000-0005-0000-0000-000020200000}"/>
    <cellStyle name="Примечание 2 62" xfId="4385" xr:uid="{00000000-0005-0000-0000-000021200000}"/>
    <cellStyle name="Примечание 2 62 2" xfId="9119" xr:uid="{00000000-0005-0000-0000-000022200000}"/>
    <cellStyle name="Примечание 2 63" xfId="4386" xr:uid="{00000000-0005-0000-0000-000023200000}"/>
    <cellStyle name="Примечание 2 63 2" xfId="9120" xr:uid="{00000000-0005-0000-0000-000024200000}"/>
    <cellStyle name="Примечание 2 64" xfId="4387" xr:uid="{00000000-0005-0000-0000-000025200000}"/>
    <cellStyle name="Примечание 2 64 2" xfId="9121" xr:uid="{00000000-0005-0000-0000-000026200000}"/>
    <cellStyle name="Примечание 2 65" xfId="4388" xr:uid="{00000000-0005-0000-0000-000027200000}"/>
    <cellStyle name="Примечание 2 65 2" xfId="9122" xr:uid="{00000000-0005-0000-0000-000028200000}"/>
    <cellStyle name="Примечание 2 66" xfId="4389" xr:uid="{00000000-0005-0000-0000-000029200000}"/>
    <cellStyle name="Примечание 2 66 2" xfId="9123" xr:uid="{00000000-0005-0000-0000-00002A200000}"/>
    <cellStyle name="Примечание 2 67" xfId="4390" xr:uid="{00000000-0005-0000-0000-00002B200000}"/>
    <cellStyle name="Примечание 2 67 2" xfId="9124" xr:uid="{00000000-0005-0000-0000-00002C200000}"/>
    <cellStyle name="Примечание 2 68" xfId="4391" xr:uid="{00000000-0005-0000-0000-00002D200000}"/>
    <cellStyle name="Примечание 2 68 2" xfId="9125" xr:uid="{00000000-0005-0000-0000-00002E200000}"/>
    <cellStyle name="Примечание 2 69" xfId="4392" xr:uid="{00000000-0005-0000-0000-00002F200000}"/>
    <cellStyle name="Примечание 2 69 2" xfId="9126" xr:uid="{00000000-0005-0000-0000-000030200000}"/>
    <cellStyle name="Примечание 2 7" xfId="4393" xr:uid="{00000000-0005-0000-0000-000031200000}"/>
    <cellStyle name="Примечание 2 7 2" xfId="9127" xr:uid="{00000000-0005-0000-0000-000032200000}"/>
    <cellStyle name="Примечание 2 70" xfId="4394" xr:uid="{00000000-0005-0000-0000-000033200000}"/>
    <cellStyle name="Примечание 2 70 2" xfId="9128" xr:uid="{00000000-0005-0000-0000-000034200000}"/>
    <cellStyle name="Примечание 2 71" xfId="4395" xr:uid="{00000000-0005-0000-0000-000035200000}"/>
    <cellStyle name="Примечание 2 71 2" xfId="9129" xr:uid="{00000000-0005-0000-0000-000036200000}"/>
    <cellStyle name="Примечание 2 72" xfId="4396" xr:uid="{00000000-0005-0000-0000-000037200000}"/>
    <cellStyle name="Примечание 2 72 2" xfId="9130" xr:uid="{00000000-0005-0000-0000-000038200000}"/>
    <cellStyle name="Примечание 2 73" xfId="4397" xr:uid="{00000000-0005-0000-0000-000039200000}"/>
    <cellStyle name="Примечание 2 73 2" xfId="9131" xr:uid="{00000000-0005-0000-0000-00003A200000}"/>
    <cellStyle name="Примечание 2 74" xfId="4398" xr:uid="{00000000-0005-0000-0000-00003B200000}"/>
    <cellStyle name="Примечание 2 74 2" xfId="9132" xr:uid="{00000000-0005-0000-0000-00003C200000}"/>
    <cellStyle name="Примечание 2 75" xfId="4399" xr:uid="{00000000-0005-0000-0000-00003D200000}"/>
    <cellStyle name="Примечание 2 75 2" xfId="9133" xr:uid="{00000000-0005-0000-0000-00003E200000}"/>
    <cellStyle name="Примечание 2 76" xfId="4400" xr:uid="{00000000-0005-0000-0000-00003F200000}"/>
    <cellStyle name="Примечание 2 76 2" xfId="9134" xr:uid="{00000000-0005-0000-0000-000040200000}"/>
    <cellStyle name="Примечание 2 77" xfId="4401" xr:uid="{00000000-0005-0000-0000-000041200000}"/>
    <cellStyle name="Примечание 2 77 2" xfId="9135" xr:uid="{00000000-0005-0000-0000-000042200000}"/>
    <cellStyle name="Примечание 2 78" xfId="4402" xr:uid="{00000000-0005-0000-0000-000043200000}"/>
    <cellStyle name="Примечание 2 78 2" xfId="9136" xr:uid="{00000000-0005-0000-0000-000044200000}"/>
    <cellStyle name="Примечание 2 79" xfId="4403" xr:uid="{00000000-0005-0000-0000-000045200000}"/>
    <cellStyle name="Примечание 2 79 2" xfId="9137" xr:uid="{00000000-0005-0000-0000-000046200000}"/>
    <cellStyle name="Примечание 2 8" xfId="4404" xr:uid="{00000000-0005-0000-0000-000047200000}"/>
    <cellStyle name="Примечание 2 8 2" xfId="9138" xr:uid="{00000000-0005-0000-0000-000048200000}"/>
    <cellStyle name="Примечание 2 80" xfId="4405" xr:uid="{00000000-0005-0000-0000-000049200000}"/>
    <cellStyle name="Примечание 2 80 2" xfId="9139" xr:uid="{00000000-0005-0000-0000-00004A200000}"/>
    <cellStyle name="Примечание 2 81" xfId="4406" xr:uid="{00000000-0005-0000-0000-00004B200000}"/>
    <cellStyle name="Примечание 2 81 2" xfId="9140" xr:uid="{00000000-0005-0000-0000-00004C200000}"/>
    <cellStyle name="Примечание 2 82" xfId="4407" xr:uid="{00000000-0005-0000-0000-00004D200000}"/>
    <cellStyle name="Примечание 2 82 2" xfId="9141" xr:uid="{00000000-0005-0000-0000-00004E200000}"/>
    <cellStyle name="Примечание 2 83" xfId="4408" xr:uid="{00000000-0005-0000-0000-00004F200000}"/>
    <cellStyle name="Примечание 2 83 2" xfId="9142" xr:uid="{00000000-0005-0000-0000-000050200000}"/>
    <cellStyle name="Примечание 2 84" xfId="4409" xr:uid="{00000000-0005-0000-0000-000051200000}"/>
    <cellStyle name="Примечание 2 84 2" xfId="9143" xr:uid="{00000000-0005-0000-0000-000052200000}"/>
    <cellStyle name="Примечание 2 85" xfId="4410" xr:uid="{00000000-0005-0000-0000-000053200000}"/>
    <cellStyle name="Примечание 2 85 2" xfId="9144" xr:uid="{00000000-0005-0000-0000-000054200000}"/>
    <cellStyle name="Примечание 2 86" xfId="4411" xr:uid="{00000000-0005-0000-0000-000055200000}"/>
    <cellStyle name="Примечание 2 86 2" xfId="9145" xr:uid="{00000000-0005-0000-0000-000056200000}"/>
    <cellStyle name="Примечание 2 87" xfId="4412" xr:uid="{00000000-0005-0000-0000-000057200000}"/>
    <cellStyle name="Примечание 2 87 2" xfId="9146" xr:uid="{00000000-0005-0000-0000-000058200000}"/>
    <cellStyle name="Примечание 2 88" xfId="4413" xr:uid="{00000000-0005-0000-0000-000059200000}"/>
    <cellStyle name="Примечание 2 88 2" xfId="9147" xr:uid="{00000000-0005-0000-0000-00005A200000}"/>
    <cellStyle name="Примечание 2 89" xfId="4414" xr:uid="{00000000-0005-0000-0000-00005B200000}"/>
    <cellStyle name="Примечание 2 89 2" xfId="9148" xr:uid="{00000000-0005-0000-0000-00005C200000}"/>
    <cellStyle name="Примечание 2 9" xfId="4415" xr:uid="{00000000-0005-0000-0000-00005D200000}"/>
    <cellStyle name="Примечание 2 9 2" xfId="9149" xr:uid="{00000000-0005-0000-0000-00005E200000}"/>
    <cellStyle name="Примечание 2 90" xfId="9150" xr:uid="{00000000-0005-0000-0000-00005F200000}"/>
    <cellStyle name="Примечание 3" xfId="353" xr:uid="{00000000-0005-0000-0000-000060200000}"/>
    <cellStyle name="Примечание 3 10" xfId="4416" xr:uid="{00000000-0005-0000-0000-000061200000}"/>
    <cellStyle name="Примечание 3 10 2" xfId="9151" xr:uid="{00000000-0005-0000-0000-000062200000}"/>
    <cellStyle name="Примечание 3 11" xfId="4417" xr:uid="{00000000-0005-0000-0000-000063200000}"/>
    <cellStyle name="Примечание 3 11 2" xfId="9152" xr:uid="{00000000-0005-0000-0000-000064200000}"/>
    <cellStyle name="Примечание 3 12" xfId="4418" xr:uid="{00000000-0005-0000-0000-000065200000}"/>
    <cellStyle name="Примечание 3 12 2" xfId="9153" xr:uid="{00000000-0005-0000-0000-000066200000}"/>
    <cellStyle name="Примечание 3 13" xfId="4419" xr:uid="{00000000-0005-0000-0000-000067200000}"/>
    <cellStyle name="Примечание 3 13 2" xfId="9154" xr:uid="{00000000-0005-0000-0000-000068200000}"/>
    <cellStyle name="Примечание 3 14" xfId="4420" xr:uid="{00000000-0005-0000-0000-000069200000}"/>
    <cellStyle name="Примечание 3 14 2" xfId="9155" xr:uid="{00000000-0005-0000-0000-00006A200000}"/>
    <cellStyle name="Примечание 3 15" xfId="4421" xr:uid="{00000000-0005-0000-0000-00006B200000}"/>
    <cellStyle name="Примечание 3 15 2" xfId="9156" xr:uid="{00000000-0005-0000-0000-00006C200000}"/>
    <cellStyle name="Примечание 3 16" xfId="4422" xr:uid="{00000000-0005-0000-0000-00006D200000}"/>
    <cellStyle name="Примечание 3 16 2" xfId="9157" xr:uid="{00000000-0005-0000-0000-00006E200000}"/>
    <cellStyle name="Примечание 3 17" xfId="4423" xr:uid="{00000000-0005-0000-0000-00006F200000}"/>
    <cellStyle name="Примечание 3 17 2" xfId="9158" xr:uid="{00000000-0005-0000-0000-000070200000}"/>
    <cellStyle name="Примечание 3 18" xfId="4424" xr:uid="{00000000-0005-0000-0000-000071200000}"/>
    <cellStyle name="Примечание 3 18 2" xfId="9159" xr:uid="{00000000-0005-0000-0000-000072200000}"/>
    <cellStyle name="Примечание 3 19" xfId="4425" xr:uid="{00000000-0005-0000-0000-000073200000}"/>
    <cellStyle name="Примечание 3 19 2" xfId="9160" xr:uid="{00000000-0005-0000-0000-000074200000}"/>
    <cellStyle name="Примечание 3 2" xfId="4426" xr:uid="{00000000-0005-0000-0000-000075200000}"/>
    <cellStyle name="Примечание 3 2 2" xfId="4427" xr:uid="{00000000-0005-0000-0000-000076200000}"/>
    <cellStyle name="Примечание 3 2 2 2" xfId="9161" xr:uid="{00000000-0005-0000-0000-000077200000}"/>
    <cellStyle name="Примечание 3 2 3" xfId="4428" xr:uid="{00000000-0005-0000-0000-000078200000}"/>
    <cellStyle name="Примечание 3 2 3 2" xfId="9162" xr:uid="{00000000-0005-0000-0000-000079200000}"/>
    <cellStyle name="Примечание 3 2 4" xfId="9163" xr:uid="{00000000-0005-0000-0000-00007A200000}"/>
    <cellStyle name="Примечание 3 20" xfId="4429" xr:uid="{00000000-0005-0000-0000-00007B200000}"/>
    <cellStyle name="Примечание 3 20 2" xfId="9164" xr:uid="{00000000-0005-0000-0000-00007C200000}"/>
    <cellStyle name="Примечание 3 21" xfId="4430" xr:uid="{00000000-0005-0000-0000-00007D200000}"/>
    <cellStyle name="Примечание 3 21 2" xfId="9165" xr:uid="{00000000-0005-0000-0000-00007E200000}"/>
    <cellStyle name="Примечание 3 22" xfId="4431" xr:uid="{00000000-0005-0000-0000-00007F200000}"/>
    <cellStyle name="Примечание 3 22 2" xfId="9166" xr:uid="{00000000-0005-0000-0000-000080200000}"/>
    <cellStyle name="Примечание 3 23" xfId="4432" xr:uid="{00000000-0005-0000-0000-000081200000}"/>
    <cellStyle name="Примечание 3 23 2" xfId="9167" xr:uid="{00000000-0005-0000-0000-000082200000}"/>
    <cellStyle name="Примечание 3 24" xfId="4433" xr:uid="{00000000-0005-0000-0000-000083200000}"/>
    <cellStyle name="Примечание 3 24 2" xfId="9168" xr:uid="{00000000-0005-0000-0000-000084200000}"/>
    <cellStyle name="Примечание 3 25" xfId="4434" xr:uid="{00000000-0005-0000-0000-000085200000}"/>
    <cellStyle name="Примечание 3 25 2" xfId="9169" xr:uid="{00000000-0005-0000-0000-000086200000}"/>
    <cellStyle name="Примечание 3 26" xfId="4435" xr:uid="{00000000-0005-0000-0000-000087200000}"/>
    <cellStyle name="Примечание 3 26 2" xfId="9170" xr:uid="{00000000-0005-0000-0000-000088200000}"/>
    <cellStyle name="Примечание 3 27" xfId="4436" xr:uid="{00000000-0005-0000-0000-000089200000}"/>
    <cellStyle name="Примечание 3 27 2" xfId="9171" xr:uid="{00000000-0005-0000-0000-00008A200000}"/>
    <cellStyle name="Примечание 3 28" xfId="4437" xr:uid="{00000000-0005-0000-0000-00008B200000}"/>
    <cellStyle name="Примечание 3 28 2" xfId="9172" xr:uid="{00000000-0005-0000-0000-00008C200000}"/>
    <cellStyle name="Примечание 3 29" xfId="4438" xr:uid="{00000000-0005-0000-0000-00008D200000}"/>
    <cellStyle name="Примечание 3 29 2" xfId="9173" xr:uid="{00000000-0005-0000-0000-00008E200000}"/>
    <cellStyle name="Примечание 3 3" xfId="4439" xr:uid="{00000000-0005-0000-0000-00008F200000}"/>
    <cellStyle name="Примечание 3 3 2" xfId="4440" xr:uid="{00000000-0005-0000-0000-000090200000}"/>
    <cellStyle name="Примечание 3 3 2 2" xfId="9174" xr:uid="{00000000-0005-0000-0000-000091200000}"/>
    <cellStyle name="Примечание 3 3 3" xfId="4441" xr:uid="{00000000-0005-0000-0000-000092200000}"/>
    <cellStyle name="Примечание 3 3 3 2" xfId="9175" xr:uid="{00000000-0005-0000-0000-000093200000}"/>
    <cellStyle name="Примечание 3 3 4" xfId="9176" xr:uid="{00000000-0005-0000-0000-000094200000}"/>
    <cellStyle name="Примечание 3 30" xfId="4442" xr:uid="{00000000-0005-0000-0000-000095200000}"/>
    <cellStyle name="Примечание 3 30 2" xfId="9177" xr:uid="{00000000-0005-0000-0000-000096200000}"/>
    <cellStyle name="Примечание 3 31" xfId="4443" xr:uid="{00000000-0005-0000-0000-000097200000}"/>
    <cellStyle name="Примечание 3 31 2" xfId="9178" xr:uid="{00000000-0005-0000-0000-000098200000}"/>
    <cellStyle name="Примечание 3 32" xfId="4444" xr:uid="{00000000-0005-0000-0000-000099200000}"/>
    <cellStyle name="Примечание 3 32 2" xfId="9179" xr:uid="{00000000-0005-0000-0000-00009A200000}"/>
    <cellStyle name="Примечание 3 33" xfId="4445" xr:uid="{00000000-0005-0000-0000-00009B200000}"/>
    <cellStyle name="Примечание 3 33 2" xfId="9180" xr:uid="{00000000-0005-0000-0000-00009C200000}"/>
    <cellStyle name="Примечание 3 34" xfId="4446" xr:uid="{00000000-0005-0000-0000-00009D200000}"/>
    <cellStyle name="Примечание 3 34 2" xfId="9181" xr:uid="{00000000-0005-0000-0000-00009E200000}"/>
    <cellStyle name="Примечание 3 35" xfId="4447" xr:uid="{00000000-0005-0000-0000-00009F200000}"/>
    <cellStyle name="Примечание 3 35 2" xfId="9182" xr:uid="{00000000-0005-0000-0000-0000A0200000}"/>
    <cellStyle name="Примечание 3 36" xfId="4448" xr:uid="{00000000-0005-0000-0000-0000A1200000}"/>
    <cellStyle name="Примечание 3 36 2" xfId="9183" xr:uid="{00000000-0005-0000-0000-0000A2200000}"/>
    <cellStyle name="Примечание 3 37" xfId="4449" xr:uid="{00000000-0005-0000-0000-0000A3200000}"/>
    <cellStyle name="Примечание 3 37 2" xfId="9184" xr:uid="{00000000-0005-0000-0000-0000A4200000}"/>
    <cellStyle name="Примечание 3 38" xfId="4450" xr:uid="{00000000-0005-0000-0000-0000A5200000}"/>
    <cellStyle name="Примечание 3 38 2" xfId="9185" xr:uid="{00000000-0005-0000-0000-0000A6200000}"/>
    <cellStyle name="Примечание 3 39" xfId="4451" xr:uid="{00000000-0005-0000-0000-0000A7200000}"/>
    <cellStyle name="Примечание 3 39 2" xfId="9186" xr:uid="{00000000-0005-0000-0000-0000A8200000}"/>
    <cellStyle name="Примечание 3 4" xfId="4452" xr:uid="{00000000-0005-0000-0000-0000A9200000}"/>
    <cellStyle name="Примечание 3 4 2" xfId="4453" xr:uid="{00000000-0005-0000-0000-0000AA200000}"/>
    <cellStyle name="Примечание 3 4 2 2" xfId="9187" xr:uid="{00000000-0005-0000-0000-0000AB200000}"/>
    <cellStyle name="Примечание 3 4 3" xfId="4454" xr:uid="{00000000-0005-0000-0000-0000AC200000}"/>
    <cellStyle name="Примечание 3 4 3 2" xfId="9188" xr:uid="{00000000-0005-0000-0000-0000AD200000}"/>
    <cellStyle name="Примечание 3 4 4" xfId="9189" xr:uid="{00000000-0005-0000-0000-0000AE200000}"/>
    <cellStyle name="Примечание 3 40" xfId="4455" xr:uid="{00000000-0005-0000-0000-0000AF200000}"/>
    <cellStyle name="Примечание 3 40 2" xfId="9190" xr:uid="{00000000-0005-0000-0000-0000B0200000}"/>
    <cellStyle name="Примечание 3 41" xfId="4456" xr:uid="{00000000-0005-0000-0000-0000B1200000}"/>
    <cellStyle name="Примечание 3 41 2" xfId="9191" xr:uid="{00000000-0005-0000-0000-0000B2200000}"/>
    <cellStyle name="Примечание 3 42" xfId="4457" xr:uid="{00000000-0005-0000-0000-0000B3200000}"/>
    <cellStyle name="Примечание 3 42 2" xfId="9192" xr:uid="{00000000-0005-0000-0000-0000B4200000}"/>
    <cellStyle name="Примечание 3 43" xfId="4458" xr:uid="{00000000-0005-0000-0000-0000B5200000}"/>
    <cellStyle name="Примечание 3 43 2" xfId="9193" xr:uid="{00000000-0005-0000-0000-0000B6200000}"/>
    <cellStyle name="Примечание 3 44" xfId="4459" xr:uid="{00000000-0005-0000-0000-0000B7200000}"/>
    <cellStyle name="Примечание 3 44 2" xfId="9194" xr:uid="{00000000-0005-0000-0000-0000B8200000}"/>
    <cellStyle name="Примечание 3 45" xfId="4460" xr:uid="{00000000-0005-0000-0000-0000B9200000}"/>
    <cellStyle name="Примечание 3 45 2" xfId="9195" xr:uid="{00000000-0005-0000-0000-0000BA200000}"/>
    <cellStyle name="Примечание 3 46" xfId="4461" xr:uid="{00000000-0005-0000-0000-0000BB200000}"/>
    <cellStyle name="Примечание 3 46 2" xfId="9196" xr:uid="{00000000-0005-0000-0000-0000BC200000}"/>
    <cellStyle name="Примечание 3 47" xfId="4462" xr:uid="{00000000-0005-0000-0000-0000BD200000}"/>
    <cellStyle name="Примечание 3 47 2" xfId="9197" xr:uid="{00000000-0005-0000-0000-0000BE200000}"/>
    <cellStyle name="Примечание 3 48" xfId="4463" xr:uid="{00000000-0005-0000-0000-0000BF200000}"/>
    <cellStyle name="Примечание 3 48 2" xfId="9198" xr:uid="{00000000-0005-0000-0000-0000C0200000}"/>
    <cellStyle name="Примечание 3 49" xfId="4464" xr:uid="{00000000-0005-0000-0000-0000C1200000}"/>
    <cellStyle name="Примечание 3 49 2" xfId="9199" xr:uid="{00000000-0005-0000-0000-0000C2200000}"/>
    <cellStyle name="Примечание 3 5" xfId="4465" xr:uid="{00000000-0005-0000-0000-0000C3200000}"/>
    <cellStyle name="Примечание 3 5 2" xfId="9200" xr:uid="{00000000-0005-0000-0000-0000C4200000}"/>
    <cellStyle name="Примечание 3 50" xfId="4466" xr:uid="{00000000-0005-0000-0000-0000C5200000}"/>
    <cellStyle name="Примечание 3 50 2" xfId="9201" xr:uid="{00000000-0005-0000-0000-0000C6200000}"/>
    <cellStyle name="Примечание 3 51" xfId="4467" xr:uid="{00000000-0005-0000-0000-0000C7200000}"/>
    <cellStyle name="Примечание 3 51 2" xfId="9202" xr:uid="{00000000-0005-0000-0000-0000C8200000}"/>
    <cellStyle name="Примечание 3 52" xfId="4468" xr:uid="{00000000-0005-0000-0000-0000C9200000}"/>
    <cellStyle name="Примечание 3 52 2" xfId="9203" xr:uid="{00000000-0005-0000-0000-0000CA200000}"/>
    <cellStyle name="Примечание 3 53" xfId="4469" xr:uid="{00000000-0005-0000-0000-0000CB200000}"/>
    <cellStyle name="Примечание 3 53 2" xfId="9204" xr:uid="{00000000-0005-0000-0000-0000CC200000}"/>
    <cellStyle name="Примечание 3 54" xfId="4470" xr:uid="{00000000-0005-0000-0000-0000CD200000}"/>
    <cellStyle name="Примечание 3 54 2" xfId="9205" xr:uid="{00000000-0005-0000-0000-0000CE200000}"/>
    <cellStyle name="Примечание 3 55" xfId="4471" xr:uid="{00000000-0005-0000-0000-0000CF200000}"/>
    <cellStyle name="Примечание 3 55 2" xfId="9206" xr:uid="{00000000-0005-0000-0000-0000D0200000}"/>
    <cellStyle name="Примечание 3 56" xfId="4472" xr:uid="{00000000-0005-0000-0000-0000D1200000}"/>
    <cellStyle name="Примечание 3 56 2" xfId="9207" xr:uid="{00000000-0005-0000-0000-0000D2200000}"/>
    <cellStyle name="Примечание 3 57" xfId="4473" xr:uid="{00000000-0005-0000-0000-0000D3200000}"/>
    <cellStyle name="Примечание 3 57 2" xfId="9208" xr:uid="{00000000-0005-0000-0000-0000D4200000}"/>
    <cellStyle name="Примечание 3 58" xfId="4474" xr:uid="{00000000-0005-0000-0000-0000D5200000}"/>
    <cellStyle name="Примечание 3 58 2" xfId="9209" xr:uid="{00000000-0005-0000-0000-0000D6200000}"/>
    <cellStyle name="Примечание 3 59" xfId="4475" xr:uid="{00000000-0005-0000-0000-0000D7200000}"/>
    <cellStyle name="Примечание 3 59 2" xfId="9210" xr:uid="{00000000-0005-0000-0000-0000D8200000}"/>
    <cellStyle name="Примечание 3 6" xfId="4476" xr:uid="{00000000-0005-0000-0000-0000D9200000}"/>
    <cellStyle name="Примечание 3 6 2" xfId="9211" xr:uid="{00000000-0005-0000-0000-0000DA200000}"/>
    <cellStyle name="Примечание 3 60" xfId="4477" xr:uid="{00000000-0005-0000-0000-0000DB200000}"/>
    <cellStyle name="Примечание 3 60 2" xfId="9212" xr:uid="{00000000-0005-0000-0000-0000DC200000}"/>
    <cellStyle name="Примечание 3 61" xfId="4478" xr:uid="{00000000-0005-0000-0000-0000DD200000}"/>
    <cellStyle name="Примечание 3 61 2" xfId="9213" xr:uid="{00000000-0005-0000-0000-0000DE200000}"/>
    <cellStyle name="Примечание 3 62" xfId="4479" xr:uid="{00000000-0005-0000-0000-0000DF200000}"/>
    <cellStyle name="Примечание 3 62 2" xfId="9214" xr:uid="{00000000-0005-0000-0000-0000E0200000}"/>
    <cellStyle name="Примечание 3 63" xfId="4480" xr:uid="{00000000-0005-0000-0000-0000E1200000}"/>
    <cellStyle name="Примечание 3 63 2" xfId="9215" xr:uid="{00000000-0005-0000-0000-0000E2200000}"/>
    <cellStyle name="Примечание 3 64" xfId="4481" xr:uid="{00000000-0005-0000-0000-0000E3200000}"/>
    <cellStyle name="Примечание 3 64 2" xfId="9216" xr:uid="{00000000-0005-0000-0000-0000E4200000}"/>
    <cellStyle name="Примечание 3 65" xfId="4482" xr:uid="{00000000-0005-0000-0000-0000E5200000}"/>
    <cellStyle name="Примечание 3 65 2" xfId="9217" xr:uid="{00000000-0005-0000-0000-0000E6200000}"/>
    <cellStyle name="Примечание 3 66" xfId="4483" xr:uid="{00000000-0005-0000-0000-0000E7200000}"/>
    <cellStyle name="Примечание 3 66 2" xfId="9218" xr:uid="{00000000-0005-0000-0000-0000E8200000}"/>
    <cellStyle name="Примечание 3 67" xfId="4484" xr:uid="{00000000-0005-0000-0000-0000E9200000}"/>
    <cellStyle name="Примечание 3 67 2" xfId="9219" xr:uid="{00000000-0005-0000-0000-0000EA200000}"/>
    <cellStyle name="Примечание 3 68" xfId="4485" xr:uid="{00000000-0005-0000-0000-0000EB200000}"/>
    <cellStyle name="Примечание 3 68 2" xfId="9220" xr:uid="{00000000-0005-0000-0000-0000EC200000}"/>
    <cellStyle name="Примечание 3 69" xfId="4486" xr:uid="{00000000-0005-0000-0000-0000ED200000}"/>
    <cellStyle name="Примечание 3 69 2" xfId="9221" xr:uid="{00000000-0005-0000-0000-0000EE200000}"/>
    <cellStyle name="Примечание 3 7" xfId="4487" xr:uid="{00000000-0005-0000-0000-0000EF200000}"/>
    <cellStyle name="Примечание 3 7 2" xfId="9222" xr:uid="{00000000-0005-0000-0000-0000F0200000}"/>
    <cellStyle name="Примечание 3 70" xfId="4488" xr:uid="{00000000-0005-0000-0000-0000F1200000}"/>
    <cellStyle name="Примечание 3 70 2" xfId="9223" xr:uid="{00000000-0005-0000-0000-0000F2200000}"/>
    <cellStyle name="Примечание 3 71" xfId="4489" xr:uid="{00000000-0005-0000-0000-0000F3200000}"/>
    <cellStyle name="Примечание 3 71 2" xfId="9224" xr:uid="{00000000-0005-0000-0000-0000F4200000}"/>
    <cellStyle name="Примечание 3 72" xfId="4490" xr:uid="{00000000-0005-0000-0000-0000F5200000}"/>
    <cellStyle name="Примечание 3 72 2" xfId="9225" xr:uid="{00000000-0005-0000-0000-0000F6200000}"/>
    <cellStyle name="Примечание 3 73" xfId="4491" xr:uid="{00000000-0005-0000-0000-0000F7200000}"/>
    <cellStyle name="Примечание 3 73 2" xfId="9226" xr:uid="{00000000-0005-0000-0000-0000F8200000}"/>
    <cellStyle name="Примечание 3 74" xfId="4492" xr:uid="{00000000-0005-0000-0000-0000F9200000}"/>
    <cellStyle name="Примечание 3 74 2" xfId="9227" xr:uid="{00000000-0005-0000-0000-0000FA200000}"/>
    <cellStyle name="Примечание 3 75" xfId="4493" xr:uid="{00000000-0005-0000-0000-0000FB200000}"/>
    <cellStyle name="Примечание 3 75 2" xfId="9228" xr:uid="{00000000-0005-0000-0000-0000FC200000}"/>
    <cellStyle name="Примечание 3 76" xfId="4494" xr:uid="{00000000-0005-0000-0000-0000FD200000}"/>
    <cellStyle name="Примечание 3 76 2" xfId="9229" xr:uid="{00000000-0005-0000-0000-0000FE200000}"/>
    <cellStyle name="Примечание 3 77" xfId="4495" xr:uid="{00000000-0005-0000-0000-0000FF200000}"/>
    <cellStyle name="Примечание 3 77 2" xfId="9230" xr:uid="{00000000-0005-0000-0000-000000210000}"/>
    <cellStyle name="Примечание 3 78" xfId="4496" xr:uid="{00000000-0005-0000-0000-000001210000}"/>
    <cellStyle name="Примечание 3 78 2" xfId="9231" xr:uid="{00000000-0005-0000-0000-000002210000}"/>
    <cellStyle name="Примечание 3 79" xfId="4497" xr:uid="{00000000-0005-0000-0000-000003210000}"/>
    <cellStyle name="Примечание 3 79 2" xfId="9232" xr:uid="{00000000-0005-0000-0000-000004210000}"/>
    <cellStyle name="Примечание 3 8" xfId="4498" xr:uid="{00000000-0005-0000-0000-000005210000}"/>
    <cellStyle name="Примечание 3 8 2" xfId="9233" xr:uid="{00000000-0005-0000-0000-000006210000}"/>
    <cellStyle name="Примечание 3 80" xfId="4499" xr:uid="{00000000-0005-0000-0000-000007210000}"/>
    <cellStyle name="Примечание 3 80 2" xfId="9234" xr:uid="{00000000-0005-0000-0000-000008210000}"/>
    <cellStyle name="Примечание 3 81" xfId="4500" xr:uid="{00000000-0005-0000-0000-000009210000}"/>
    <cellStyle name="Примечание 3 81 2" xfId="9235" xr:uid="{00000000-0005-0000-0000-00000A210000}"/>
    <cellStyle name="Примечание 3 82" xfId="4501" xr:uid="{00000000-0005-0000-0000-00000B210000}"/>
    <cellStyle name="Примечание 3 82 2" xfId="9236" xr:uid="{00000000-0005-0000-0000-00000C210000}"/>
    <cellStyle name="Примечание 3 83" xfId="4502" xr:uid="{00000000-0005-0000-0000-00000D210000}"/>
    <cellStyle name="Примечание 3 83 2" xfId="9237" xr:uid="{00000000-0005-0000-0000-00000E210000}"/>
    <cellStyle name="Примечание 3 84" xfId="4503" xr:uid="{00000000-0005-0000-0000-00000F210000}"/>
    <cellStyle name="Примечание 3 84 2" xfId="9238" xr:uid="{00000000-0005-0000-0000-000010210000}"/>
    <cellStyle name="Примечание 3 85" xfId="4504" xr:uid="{00000000-0005-0000-0000-000011210000}"/>
    <cellStyle name="Примечание 3 85 2" xfId="9239" xr:uid="{00000000-0005-0000-0000-000012210000}"/>
    <cellStyle name="Примечание 3 86" xfId="4505" xr:uid="{00000000-0005-0000-0000-000013210000}"/>
    <cellStyle name="Примечание 3 86 2" xfId="9240" xr:uid="{00000000-0005-0000-0000-000014210000}"/>
    <cellStyle name="Примечание 3 87" xfId="4506" xr:uid="{00000000-0005-0000-0000-000015210000}"/>
    <cellStyle name="Примечание 3 87 2" xfId="9241" xr:uid="{00000000-0005-0000-0000-000016210000}"/>
    <cellStyle name="Примечание 3 88" xfId="4507" xr:uid="{00000000-0005-0000-0000-000017210000}"/>
    <cellStyle name="Примечание 3 88 2" xfId="9242" xr:uid="{00000000-0005-0000-0000-000018210000}"/>
    <cellStyle name="Примечание 3 89" xfId="4508" xr:uid="{00000000-0005-0000-0000-000019210000}"/>
    <cellStyle name="Примечание 3 89 2" xfId="9243" xr:uid="{00000000-0005-0000-0000-00001A210000}"/>
    <cellStyle name="Примечание 3 9" xfId="4509" xr:uid="{00000000-0005-0000-0000-00001B210000}"/>
    <cellStyle name="Примечание 3 9 2" xfId="9244" xr:uid="{00000000-0005-0000-0000-00001C210000}"/>
    <cellStyle name="Примечание 3 90" xfId="9245" xr:uid="{00000000-0005-0000-0000-00001D210000}"/>
    <cellStyle name="Примечание 4" xfId="354" xr:uid="{00000000-0005-0000-0000-00001E210000}"/>
    <cellStyle name="Примечание 4 10" xfId="4510" xr:uid="{00000000-0005-0000-0000-00001F210000}"/>
    <cellStyle name="Примечание 4 10 2" xfId="9246" xr:uid="{00000000-0005-0000-0000-000020210000}"/>
    <cellStyle name="Примечание 4 11" xfId="4511" xr:uid="{00000000-0005-0000-0000-000021210000}"/>
    <cellStyle name="Примечание 4 11 2" xfId="9247" xr:uid="{00000000-0005-0000-0000-000022210000}"/>
    <cellStyle name="Примечание 4 12" xfId="4512" xr:uid="{00000000-0005-0000-0000-000023210000}"/>
    <cellStyle name="Примечание 4 12 2" xfId="9248" xr:uid="{00000000-0005-0000-0000-000024210000}"/>
    <cellStyle name="Примечание 4 13" xfId="4513" xr:uid="{00000000-0005-0000-0000-000025210000}"/>
    <cellStyle name="Примечание 4 13 2" xfId="9249" xr:uid="{00000000-0005-0000-0000-000026210000}"/>
    <cellStyle name="Примечание 4 14" xfId="4514" xr:uid="{00000000-0005-0000-0000-000027210000}"/>
    <cellStyle name="Примечание 4 14 2" xfId="9250" xr:uid="{00000000-0005-0000-0000-000028210000}"/>
    <cellStyle name="Примечание 4 15" xfId="4515" xr:uid="{00000000-0005-0000-0000-000029210000}"/>
    <cellStyle name="Примечание 4 15 2" xfId="9251" xr:uid="{00000000-0005-0000-0000-00002A210000}"/>
    <cellStyle name="Примечание 4 16" xfId="4516" xr:uid="{00000000-0005-0000-0000-00002B210000}"/>
    <cellStyle name="Примечание 4 16 2" xfId="9252" xr:uid="{00000000-0005-0000-0000-00002C210000}"/>
    <cellStyle name="Примечание 4 17" xfId="4517" xr:uid="{00000000-0005-0000-0000-00002D210000}"/>
    <cellStyle name="Примечание 4 17 2" xfId="9253" xr:uid="{00000000-0005-0000-0000-00002E210000}"/>
    <cellStyle name="Примечание 4 18" xfId="4518" xr:uid="{00000000-0005-0000-0000-00002F210000}"/>
    <cellStyle name="Примечание 4 18 2" xfId="9254" xr:uid="{00000000-0005-0000-0000-000030210000}"/>
    <cellStyle name="Примечание 4 19" xfId="4519" xr:uid="{00000000-0005-0000-0000-000031210000}"/>
    <cellStyle name="Примечание 4 19 2" xfId="9255" xr:uid="{00000000-0005-0000-0000-000032210000}"/>
    <cellStyle name="Примечание 4 2" xfId="4520" xr:uid="{00000000-0005-0000-0000-000033210000}"/>
    <cellStyle name="Примечание 4 2 2" xfId="4521" xr:uid="{00000000-0005-0000-0000-000034210000}"/>
    <cellStyle name="Примечание 4 2 2 2" xfId="9256" xr:uid="{00000000-0005-0000-0000-000035210000}"/>
    <cellStyle name="Примечание 4 2 3" xfId="4522" xr:uid="{00000000-0005-0000-0000-000036210000}"/>
    <cellStyle name="Примечание 4 2 3 2" xfId="9257" xr:uid="{00000000-0005-0000-0000-000037210000}"/>
    <cellStyle name="Примечание 4 2 4" xfId="9258" xr:uid="{00000000-0005-0000-0000-000038210000}"/>
    <cellStyle name="Примечание 4 20" xfId="4523" xr:uid="{00000000-0005-0000-0000-000039210000}"/>
    <cellStyle name="Примечание 4 20 2" xfId="9259" xr:uid="{00000000-0005-0000-0000-00003A210000}"/>
    <cellStyle name="Примечание 4 21" xfId="4524" xr:uid="{00000000-0005-0000-0000-00003B210000}"/>
    <cellStyle name="Примечание 4 21 2" xfId="9260" xr:uid="{00000000-0005-0000-0000-00003C210000}"/>
    <cellStyle name="Примечание 4 22" xfId="4525" xr:uid="{00000000-0005-0000-0000-00003D210000}"/>
    <cellStyle name="Примечание 4 22 2" xfId="9261" xr:uid="{00000000-0005-0000-0000-00003E210000}"/>
    <cellStyle name="Примечание 4 23" xfId="4526" xr:uid="{00000000-0005-0000-0000-00003F210000}"/>
    <cellStyle name="Примечание 4 23 2" xfId="9262" xr:uid="{00000000-0005-0000-0000-000040210000}"/>
    <cellStyle name="Примечание 4 24" xfId="4527" xr:uid="{00000000-0005-0000-0000-000041210000}"/>
    <cellStyle name="Примечание 4 24 2" xfId="9263" xr:uid="{00000000-0005-0000-0000-000042210000}"/>
    <cellStyle name="Примечание 4 25" xfId="4528" xr:uid="{00000000-0005-0000-0000-000043210000}"/>
    <cellStyle name="Примечание 4 25 2" xfId="9264" xr:uid="{00000000-0005-0000-0000-000044210000}"/>
    <cellStyle name="Примечание 4 26" xfId="4529" xr:uid="{00000000-0005-0000-0000-000045210000}"/>
    <cellStyle name="Примечание 4 26 2" xfId="9265" xr:uid="{00000000-0005-0000-0000-000046210000}"/>
    <cellStyle name="Примечание 4 27" xfId="4530" xr:uid="{00000000-0005-0000-0000-000047210000}"/>
    <cellStyle name="Примечание 4 27 2" xfId="9266" xr:uid="{00000000-0005-0000-0000-000048210000}"/>
    <cellStyle name="Примечание 4 28" xfId="4531" xr:uid="{00000000-0005-0000-0000-000049210000}"/>
    <cellStyle name="Примечание 4 28 2" xfId="9267" xr:uid="{00000000-0005-0000-0000-00004A210000}"/>
    <cellStyle name="Примечание 4 29" xfId="4532" xr:uid="{00000000-0005-0000-0000-00004B210000}"/>
    <cellStyle name="Примечание 4 29 2" xfId="9268" xr:uid="{00000000-0005-0000-0000-00004C210000}"/>
    <cellStyle name="Примечание 4 3" xfId="4533" xr:uid="{00000000-0005-0000-0000-00004D210000}"/>
    <cellStyle name="Примечание 4 3 2" xfId="4534" xr:uid="{00000000-0005-0000-0000-00004E210000}"/>
    <cellStyle name="Примечание 4 3 2 2" xfId="9269" xr:uid="{00000000-0005-0000-0000-00004F210000}"/>
    <cellStyle name="Примечание 4 3 3" xfId="4535" xr:uid="{00000000-0005-0000-0000-000050210000}"/>
    <cellStyle name="Примечание 4 3 3 2" xfId="9270" xr:uid="{00000000-0005-0000-0000-000051210000}"/>
    <cellStyle name="Примечание 4 3 4" xfId="9271" xr:uid="{00000000-0005-0000-0000-000052210000}"/>
    <cellStyle name="Примечание 4 30" xfId="4536" xr:uid="{00000000-0005-0000-0000-000053210000}"/>
    <cellStyle name="Примечание 4 30 2" xfId="9272" xr:uid="{00000000-0005-0000-0000-000054210000}"/>
    <cellStyle name="Примечание 4 31" xfId="4537" xr:uid="{00000000-0005-0000-0000-000055210000}"/>
    <cellStyle name="Примечание 4 31 2" xfId="9273" xr:uid="{00000000-0005-0000-0000-000056210000}"/>
    <cellStyle name="Примечание 4 32" xfId="4538" xr:uid="{00000000-0005-0000-0000-000057210000}"/>
    <cellStyle name="Примечание 4 32 2" xfId="9274" xr:uid="{00000000-0005-0000-0000-000058210000}"/>
    <cellStyle name="Примечание 4 33" xfId="4539" xr:uid="{00000000-0005-0000-0000-000059210000}"/>
    <cellStyle name="Примечание 4 33 2" xfId="9275" xr:uid="{00000000-0005-0000-0000-00005A210000}"/>
    <cellStyle name="Примечание 4 34" xfId="4540" xr:uid="{00000000-0005-0000-0000-00005B210000}"/>
    <cellStyle name="Примечание 4 34 2" xfId="9276" xr:uid="{00000000-0005-0000-0000-00005C210000}"/>
    <cellStyle name="Примечание 4 35" xfId="4541" xr:uid="{00000000-0005-0000-0000-00005D210000}"/>
    <cellStyle name="Примечание 4 35 2" xfId="9277" xr:uid="{00000000-0005-0000-0000-00005E210000}"/>
    <cellStyle name="Примечание 4 36" xfId="4542" xr:uid="{00000000-0005-0000-0000-00005F210000}"/>
    <cellStyle name="Примечание 4 36 2" xfId="9278" xr:uid="{00000000-0005-0000-0000-000060210000}"/>
    <cellStyle name="Примечание 4 37" xfId="4543" xr:uid="{00000000-0005-0000-0000-000061210000}"/>
    <cellStyle name="Примечание 4 37 2" xfId="9279" xr:uid="{00000000-0005-0000-0000-000062210000}"/>
    <cellStyle name="Примечание 4 38" xfId="4544" xr:uid="{00000000-0005-0000-0000-000063210000}"/>
    <cellStyle name="Примечание 4 38 2" xfId="9280" xr:uid="{00000000-0005-0000-0000-000064210000}"/>
    <cellStyle name="Примечание 4 39" xfId="4545" xr:uid="{00000000-0005-0000-0000-000065210000}"/>
    <cellStyle name="Примечание 4 39 2" xfId="9281" xr:uid="{00000000-0005-0000-0000-000066210000}"/>
    <cellStyle name="Примечание 4 4" xfId="4546" xr:uid="{00000000-0005-0000-0000-000067210000}"/>
    <cellStyle name="Примечание 4 4 2" xfId="4547" xr:uid="{00000000-0005-0000-0000-000068210000}"/>
    <cellStyle name="Примечание 4 4 2 2" xfId="9282" xr:uid="{00000000-0005-0000-0000-000069210000}"/>
    <cellStyle name="Примечание 4 4 3" xfId="4548" xr:uid="{00000000-0005-0000-0000-00006A210000}"/>
    <cellStyle name="Примечание 4 4 3 2" xfId="9283" xr:uid="{00000000-0005-0000-0000-00006B210000}"/>
    <cellStyle name="Примечание 4 4 4" xfId="9284" xr:uid="{00000000-0005-0000-0000-00006C210000}"/>
    <cellStyle name="Примечание 4 40" xfId="4549" xr:uid="{00000000-0005-0000-0000-00006D210000}"/>
    <cellStyle name="Примечание 4 40 2" xfId="9285" xr:uid="{00000000-0005-0000-0000-00006E210000}"/>
    <cellStyle name="Примечание 4 41" xfId="4550" xr:uid="{00000000-0005-0000-0000-00006F210000}"/>
    <cellStyle name="Примечание 4 41 2" xfId="9286" xr:uid="{00000000-0005-0000-0000-000070210000}"/>
    <cellStyle name="Примечание 4 42" xfId="4551" xr:uid="{00000000-0005-0000-0000-000071210000}"/>
    <cellStyle name="Примечание 4 42 2" xfId="9287" xr:uid="{00000000-0005-0000-0000-000072210000}"/>
    <cellStyle name="Примечание 4 43" xfId="4552" xr:uid="{00000000-0005-0000-0000-000073210000}"/>
    <cellStyle name="Примечание 4 43 2" xfId="9288" xr:uid="{00000000-0005-0000-0000-000074210000}"/>
    <cellStyle name="Примечание 4 44" xfId="4553" xr:uid="{00000000-0005-0000-0000-000075210000}"/>
    <cellStyle name="Примечание 4 44 2" xfId="9289" xr:uid="{00000000-0005-0000-0000-000076210000}"/>
    <cellStyle name="Примечание 4 45" xfId="4554" xr:uid="{00000000-0005-0000-0000-000077210000}"/>
    <cellStyle name="Примечание 4 45 2" xfId="9290" xr:uid="{00000000-0005-0000-0000-000078210000}"/>
    <cellStyle name="Примечание 4 46" xfId="4555" xr:uid="{00000000-0005-0000-0000-000079210000}"/>
    <cellStyle name="Примечание 4 46 2" xfId="9291" xr:uid="{00000000-0005-0000-0000-00007A210000}"/>
    <cellStyle name="Примечание 4 47" xfId="4556" xr:uid="{00000000-0005-0000-0000-00007B210000}"/>
    <cellStyle name="Примечание 4 47 2" xfId="9292" xr:uid="{00000000-0005-0000-0000-00007C210000}"/>
    <cellStyle name="Примечание 4 48" xfId="4557" xr:uid="{00000000-0005-0000-0000-00007D210000}"/>
    <cellStyle name="Примечание 4 48 2" xfId="9293" xr:uid="{00000000-0005-0000-0000-00007E210000}"/>
    <cellStyle name="Примечание 4 49" xfId="4558" xr:uid="{00000000-0005-0000-0000-00007F210000}"/>
    <cellStyle name="Примечание 4 49 2" xfId="9294" xr:uid="{00000000-0005-0000-0000-000080210000}"/>
    <cellStyle name="Примечание 4 5" xfId="4559" xr:uid="{00000000-0005-0000-0000-000081210000}"/>
    <cellStyle name="Примечание 4 5 2" xfId="9295" xr:uid="{00000000-0005-0000-0000-000082210000}"/>
    <cellStyle name="Примечание 4 50" xfId="4560" xr:uid="{00000000-0005-0000-0000-000083210000}"/>
    <cellStyle name="Примечание 4 50 2" xfId="9296" xr:uid="{00000000-0005-0000-0000-000084210000}"/>
    <cellStyle name="Примечание 4 51" xfId="4561" xr:uid="{00000000-0005-0000-0000-000085210000}"/>
    <cellStyle name="Примечание 4 51 2" xfId="9297" xr:uid="{00000000-0005-0000-0000-000086210000}"/>
    <cellStyle name="Примечание 4 52" xfId="4562" xr:uid="{00000000-0005-0000-0000-000087210000}"/>
    <cellStyle name="Примечание 4 52 2" xfId="9298" xr:uid="{00000000-0005-0000-0000-000088210000}"/>
    <cellStyle name="Примечание 4 53" xfId="4563" xr:uid="{00000000-0005-0000-0000-000089210000}"/>
    <cellStyle name="Примечание 4 53 2" xfId="9299" xr:uid="{00000000-0005-0000-0000-00008A210000}"/>
    <cellStyle name="Примечание 4 54" xfId="4564" xr:uid="{00000000-0005-0000-0000-00008B210000}"/>
    <cellStyle name="Примечание 4 54 2" xfId="9300" xr:uid="{00000000-0005-0000-0000-00008C210000}"/>
    <cellStyle name="Примечание 4 55" xfId="4565" xr:uid="{00000000-0005-0000-0000-00008D210000}"/>
    <cellStyle name="Примечание 4 55 2" xfId="9301" xr:uid="{00000000-0005-0000-0000-00008E210000}"/>
    <cellStyle name="Примечание 4 56" xfId="4566" xr:uid="{00000000-0005-0000-0000-00008F210000}"/>
    <cellStyle name="Примечание 4 56 2" xfId="9302" xr:uid="{00000000-0005-0000-0000-000090210000}"/>
    <cellStyle name="Примечание 4 57" xfId="4567" xr:uid="{00000000-0005-0000-0000-000091210000}"/>
    <cellStyle name="Примечание 4 57 2" xfId="9303" xr:uid="{00000000-0005-0000-0000-000092210000}"/>
    <cellStyle name="Примечание 4 58" xfId="4568" xr:uid="{00000000-0005-0000-0000-000093210000}"/>
    <cellStyle name="Примечание 4 58 2" xfId="9304" xr:uid="{00000000-0005-0000-0000-000094210000}"/>
    <cellStyle name="Примечание 4 59" xfId="4569" xr:uid="{00000000-0005-0000-0000-000095210000}"/>
    <cellStyle name="Примечание 4 59 2" xfId="9305" xr:uid="{00000000-0005-0000-0000-000096210000}"/>
    <cellStyle name="Примечание 4 6" xfId="4570" xr:uid="{00000000-0005-0000-0000-000097210000}"/>
    <cellStyle name="Примечание 4 6 2" xfId="9306" xr:uid="{00000000-0005-0000-0000-000098210000}"/>
    <cellStyle name="Примечание 4 60" xfId="4571" xr:uid="{00000000-0005-0000-0000-000099210000}"/>
    <cellStyle name="Примечание 4 60 2" xfId="9307" xr:uid="{00000000-0005-0000-0000-00009A210000}"/>
    <cellStyle name="Примечание 4 61" xfId="4572" xr:uid="{00000000-0005-0000-0000-00009B210000}"/>
    <cellStyle name="Примечание 4 61 2" xfId="9308" xr:uid="{00000000-0005-0000-0000-00009C210000}"/>
    <cellStyle name="Примечание 4 62" xfId="4573" xr:uid="{00000000-0005-0000-0000-00009D210000}"/>
    <cellStyle name="Примечание 4 62 2" xfId="9309" xr:uid="{00000000-0005-0000-0000-00009E210000}"/>
    <cellStyle name="Примечание 4 63" xfId="4574" xr:uid="{00000000-0005-0000-0000-00009F210000}"/>
    <cellStyle name="Примечание 4 63 2" xfId="9310" xr:uid="{00000000-0005-0000-0000-0000A0210000}"/>
    <cellStyle name="Примечание 4 64" xfId="4575" xr:uid="{00000000-0005-0000-0000-0000A1210000}"/>
    <cellStyle name="Примечание 4 64 2" xfId="9311" xr:uid="{00000000-0005-0000-0000-0000A2210000}"/>
    <cellStyle name="Примечание 4 65" xfId="4576" xr:uid="{00000000-0005-0000-0000-0000A3210000}"/>
    <cellStyle name="Примечание 4 65 2" xfId="9312" xr:uid="{00000000-0005-0000-0000-0000A4210000}"/>
    <cellStyle name="Примечание 4 66" xfId="4577" xr:uid="{00000000-0005-0000-0000-0000A5210000}"/>
    <cellStyle name="Примечание 4 66 2" xfId="9313" xr:uid="{00000000-0005-0000-0000-0000A6210000}"/>
    <cellStyle name="Примечание 4 67" xfId="4578" xr:uid="{00000000-0005-0000-0000-0000A7210000}"/>
    <cellStyle name="Примечание 4 67 2" xfId="9314" xr:uid="{00000000-0005-0000-0000-0000A8210000}"/>
    <cellStyle name="Примечание 4 68" xfId="4579" xr:uid="{00000000-0005-0000-0000-0000A9210000}"/>
    <cellStyle name="Примечание 4 68 2" xfId="9315" xr:uid="{00000000-0005-0000-0000-0000AA210000}"/>
    <cellStyle name="Примечание 4 69" xfId="4580" xr:uid="{00000000-0005-0000-0000-0000AB210000}"/>
    <cellStyle name="Примечание 4 69 2" xfId="9316" xr:uid="{00000000-0005-0000-0000-0000AC210000}"/>
    <cellStyle name="Примечание 4 7" xfId="4581" xr:uid="{00000000-0005-0000-0000-0000AD210000}"/>
    <cellStyle name="Примечание 4 7 2" xfId="9317" xr:uid="{00000000-0005-0000-0000-0000AE210000}"/>
    <cellStyle name="Примечание 4 70" xfId="4582" xr:uid="{00000000-0005-0000-0000-0000AF210000}"/>
    <cellStyle name="Примечание 4 70 2" xfId="9318" xr:uid="{00000000-0005-0000-0000-0000B0210000}"/>
    <cellStyle name="Примечание 4 71" xfId="4583" xr:uid="{00000000-0005-0000-0000-0000B1210000}"/>
    <cellStyle name="Примечание 4 71 2" xfId="9319" xr:uid="{00000000-0005-0000-0000-0000B2210000}"/>
    <cellStyle name="Примечание 4 72" xfId="4584" xr:uid="{00000000-0005-0000-0000-0000B3210000}"/>
    <cellStyle name="Примечание 4 72 2" xfId="9320" xr:uid="{00000000-0005-0000-0000-0000B4210000}"/>
    <cellStyle name="Примечание 4 73" xfId="4585" xr:uid="{00000000-0005-0000-0000-0000B5210000}"/>
    <cellStyle name="Примечание 4 73 2" xfId="9321" xr:uid="{00000000-0005-0000-0000-0000B6210000}"/>
    <cellStyle name="Примечание 4 74" xfId="4586" xr:uid="{00000000-0005-0000-0000-0000B7210000}"/>
    <cellStyle name="Примечание 4 74 2" xfId="9322" xr:uid="{00000000-0005-0000-0000-0000B8210000}"/>
    <cellStyle name="Примечание 4 75" xfId="4587" xr:uid="{00000000-0005-0000-0000-0000B9210000}"/>
    <cellStyle name="Примечание 4 75 2" xfId="9323" xr:uid="{00000000-0005-0000-0000-0000BA210000}"/>
    <cellStyle name="Примечание 4 76" xfId="4588" xr:uid="{00000000-0005-0000-0000-0000BB210000}"/>
    <cellStyle name="Примечание 4 76 2" xfId="9324" xr:uid="{00000000-0005-0000-0000-0000BC210000}"/>
    <cellStyle name="Примечание 4 77" xfId="4589" xr:uid="{00000000-0005-0000-0000-0000BD210000}"/>
    <cellStyle name="Примечание 4 77 2" xfId="9325" xr:uid="{00000000-0005-0000-0000-0000BE210000}"/>
    <cellStyle name="Примечание 4 78" xfId="4590" xr:uid="{00000000-0005-0000-0000-0000BF210000}"/>
    <cellStyle name="Примечание 4 78 2" xfId="9326" xr:uid="{00000000-0005-0000-0000-0000C0210000}"/>
    <cellStyle name="Примечание 4 79" xfId="4591" xr:uid="{00000000-0005-0000-0000-0000C1210000}"/>
    <cellStyle name="Примечание 4 79 2" xfId="9327" xr:uid="{00000000-0005-0000-0000-0000C2210000}"/>
    <cellStyle name="Примечание 4 8" xfId="4592" xr:uid="{00000000-0005-0000-0000-0000C3210000}"/>
    <cellStyle name="Примечание 4 8 2" xfId="9328" xr:uid="{00000000-0005-0000-0000-0000C4210000}"/>
    <cellStyle name="Примечание 4 80" xfId="4593" xr:uid="{00000000-0005-0000-0000-0000C5210000}"/>
    <cellStyle name="Примечание 4 80 2" xfId="9329" xr:uid="{00000000-0005-0000-0000-0000C6210000}"/>
    <cellStyle name="Примечание 4 81" xfId="4594" xr:uid="{00000000-0005-0000-0000-0000C7210000}"/>
    <cellStyle name="Примечание 4 81 2" xfId="9330" xr:uid="{00000000-0005-0000-0000-0000C8210000}"/>
    <cellStyle name="Примечание 4 82" xfId="4595" xr:uid="{00000000-0005-0000-0000-0000C9210000}"/>
    <cellStyle name="Примечание 4 82 2" xfId="9331" xr:uid="{00000000-0005-0000-0000-0000CA210000}"/>
    <cellStyle name="Примечание 4 83" xfId="4596" xr:uid="{00000000-0005-0000-0000-0000CB210000}"/>
    <cellStyle name="Примечание 4 83 2" xfId="9332" xr:uid="{00000000-0005-0000-0000-0000CC210000}"/>
    <cellStyle name="Примечание 4 84" xfId="4597" xr:uid="{00000000-0005-0000-0000-0000CD210000}"/>
    <cellStyle name="Примечание 4 84 2" xfId="9333" xr:uid="{00000000-0005-0000-0000-0000CE210000}"/>
    <cellStyle name="Примечание 4 85" xfId="4598" xr:uid="{00000000-0005-0000-0000-0000CF210000}"/>
    <cellStyle name="Примечание 4 85 2" xfId="9334" xr:uid="{00000000-0005-0000-0000-0000D0210000}"/>
    <cellStyle name="Примечание 4 86" xfId="4599" xr:uid="{00000000-0005-0000-0000-0000D1210000}"/>
    <cellStyle name="Примечание 4 86 2" xfId="9335" xr:uid="{00000000-0005-0000-0000-0000D2210000}"/>
    <cellStyle name="Примечание 4 87" xfId="4600" xr:uid="{00000000-0005-0000-0000-0000D3210000}"/>
    <cellStyle name="Примечание 4 87 2" xfId="9336" xr:uid="{00000000-0005-0000-0000-0000D4210000}"/>
    <cellStyle name="Примечание 4 88" xfId="4601" xr:uid="{00000000-0005-0000-0000-0000D5210000}"/>
    <cellStyle name="Примечание 4 88 2" xfId="9337" xr:uid="{00000000-0005-0000-0000-0000D6210000}"/>
    <cellStyle name="Примечание 4 89" xfId="4602" xr:uid="{00000000-0005-0000-0000-0000D7210000}"/>
    <cellStyle name="Примечание 4 89 2" xfId="9338" xr:uid="{00000000-0005-0000-0000-0000D8210000}"/>
    <cellStyle name="Примечание 4 9" xfId="4603" xr:uid="{00000000-0005-0000-0000-0000D9210000}"/>
    <cellStyle name="Примечание 4 9 2" xfId="9339" xr:uid="{00000000-0005-0000-0000-0000DA210000}"/>
    <cellStyle name="Примечание 4 90" xfId="9340" xr:uid="{00000000-0005-0000-0000-0000DB210000}"/>
    <cellStyle name="Примечание 5" xfId="355" xr:uid="{00000000-0005-0000-0000-0000DC210000}"/>
    <cellStyle name="Примечание 5 10" xfId="4604" xr:uid="{00000000-0005-0000-0000-0000DD210000}"/>
    <cellStyle name="Примечание 5 10 2" xfId="9341" xr:uid="{00000000-0005-0000-0000-0000DE210000}"/>
    <cellStyle name="Примечание 5 11" xfId="4605" xr:uid="{00000000-0005-0000-0000-0000DF210000}"/>
    <cellStyle name="Примечание 5 11 2" xfId="9342" xr:uid="{00000000-0005-0000-0000-0000E0210000}"/>
    <cellStyle name="Примечание 5 12" xfId="4606" xr:uid="{00000000-0005-0000-0000-0000E1210000}"/>
    <cellStyle name="Примечание 5 12 2" xfId="9343" xr:uid="{00000000-0005-0000-0000-0000E2210000}"/>
    <cellStyle name="Примечание 5 13" xfId="4607" xr:uid="{00000000-0005-0000-0000-0000E3210000}"/>
    <cellStyle name="Примечание 5 13 2" xfId="9344" xr:uid="{00000000-0005-0000-0000-0000E4210000}"/>
    <cellStyle name="Примечание 5 14" xfId="4608" xr:uid="{00000000-0005-0000-0000-0000E5210000}"/>
    <cellStyle name="Примечание 5 14 2" xfId="9345" xr:uid="{00000000-0005-0000-0000-0000E6210000}"/>
    <cellStyle name="Примечание 5 15" xfId="4609" xr:uid="{00000000-0005-0000-0000-0000E7210000}"/>
    <cellStyle name="Примечание 5 15 2" xfId="9346" xr:uid="{00000000-0005-0000-0000-0000E8210000}"/>
    <cellStyle name="Примечание 5 16" xfId="4610" xr:uid="{00000000-0005-0000-0000-0000E9210000}"/>
    <cellStyle name="Примечание 5 16 2" xfId="9347" xr:uid="{00000000-0005-0000-0000-0000EA210000}"/>
    <cellStyle name="Примечание 5 17" xfId="4611" xr:uid="{00000000-0005-0000-0000-0000EB210000}"/>
    <cellStyle name="Примечание 5 17 2" xfId="9348" xr:uid="{00000000-0005-0000-0000-0000EC210000}"/>
    <cellStyle name="Примечание 5 18" xfId="4612" xr:uid="{00000000-0005-0000-0000-0000ED210000}"/>
    <cellStyle name="Примечание 5 18 2" xfId="9349" xr:uid="{00000000-0005-0000-0000-0000EE210000}"/>
    <cellStyle name="Примечание 5 19" xfId="4613" xr:uid="{00000000-0005-0000-0000-0000EF210000}"/>
    <cellStyle name="Примечание 5 19 2" xfId="9350" xr:uid="{00000000-0005-0000-0000-0000F0210000}"/>
    <cellStyle name="Примечание 5 2" xfId="4614" xr:uid="{00000000-0005-0000-0000-0000F1210000}"/>
    <cellStyle name="Примечание 5 2 2" xfId="4615" xr:uid="{00000000-0005-0000-0000-0000F2210000}"/>
    <cellStyle name="Примечание 5 2 2 2" xfId="9351" xr:uid="{00000000-0005-0000-0000-0000F3210000}"/>
    <cellStyle name="Примечание 5 2 3" xfId="4616" xr:uid="{00000000-0005-0000-0000-0000F4210000}"/>
    <cellStyle name="Примечание 5 2 3 2" xfId="9352" xr:uid="{00000000-0005-0000-0000-0000F5210000}"/>
    <cellStyle name="Примечание 5 2 4" xfId="9353" xr:uid="{00000000-0005-0000-0000-0000F6210000}"/>
    <cellStyle name="Примечание 5 20" xfId="4617" xr:uid="{00000000-0005-0000-0000-0000F7210000}"/>
    <cellStyle name="Примечание 5 20 2" xfId="9354" xr:uid="{00000000-0005-0000-0000-0000F8210000}"/>
    <cellStyle name="Примечание 5 21" xfId="4618" xr:uid="{00000000-0005-0000-0000-0000F9210000}"/>
    <cellStyle name="Примечание 5 21 2" xfId="9355" xr:uid="{00000000-0005-0000-0000-0000FA210000}"/>
    <cellStyle name="Примечание 5 22" xfId="4619" xr:uid="{00000000-0005-0000-0000-0000FB210000}"/>
    <cellStyle name="Примечание 5 22 2" xfId="9356" xr:uid="{00000000-0005-0000-0000-0000FC210000}"/>
    <cellStyle name="Примечание 5 23" xfId="4620" xr:uid="{00000000-0005-0000-0000-0000FD210000}"/>
    <cellStyle name="Примечание 5 23 2" xfId="9357" xr:uid="{00000000-0005-0000-0000-0000FE210000}"/>
    <cellStyle name="Примечание 5 24" xfId="4621" xr:uid="{00000000-0005-0000-0000-0000FF210000}"/>
    <cellStyle name="Примечание 5 24 2" xfId="9358" xr:uid="{00000000-0005-0000-0000-000000220000}"/>
    <cellStyle name="Примечание 5 25" xfId="4622" xr:uid="{00000000-0005-0000-0000-000001220000}"/>
    <cellStyle name="Примечание 5 25 2" xfId="9359" xr:uid="{00000000-0005-0000-0000-000002220000}"/>
    <cellStyle name="Примечание 5 26" xfId="4623" xr:uid="{00000000-0005-0000-0000-000003220000}"/>
    <cellStyle name="Примечание 5 26 2" xfId="9360" xr:uid="{00000000-0005-0000-0000-000004220000}"/>
    <cellStyle name="Примечание 5 27" xfId="4624" xr:uid="{00000000-0005-0000-0000-000005220000}"/>
    <cellStyle name="Примечание 5 27 2" xfId="9361" xr:uid="{00000000-0005-0000-0000-000006220000}"/>
    <cellStyle name="Примечание 5 28" xfId="4625" xr:uid="{00000000-0005-0000-0000-000007220000}"/>
    <cellStyle name="Примечание 5 28 2" xfId="9362" xr:uid="{00000000-0005-0000-0000-000008220000}"/>
    <cellStyle name="Примечание 5 29" xfId="4626" xr:uid="{00000000-0005-0000-0000-000009220000}"/>
    <cellStyle name="Примечание 5 29 2" xfId="9363" xr:uid="{00000000-0005-0000-0000-00000A220000}"/>
    <cellStyle name="Примечание 5 3" xfId="4627" xr:uid="{00000000-0005-0000-0000-00000B220000}"/>
    <cellStyle name="Примечание 5 3 2" xfId="4628" xr:uid="{00000000-0005-0000-0000-00000C220000}"/>
    <cellStyle name="Примечание 5 3 2 2" xfId="9364" xr:uid="{00000000-0005-0000-0000-00000D220000}"/>
    <cellStyle name="Примечание 5 3 3" xfId="4629" xr:uid="{00000000-0005-0000-0000-00000E220000}"/>
    <cellStyle name="Примечание 5 3 3 2" xfId="9365" xr:uid="{00000000-0005-0000-0000-00000F220000}"/>
    <cellStyle name="Примечание 5 3 4" xfId="9366" xr:uid="{00000000-0005-0000-0000-000010220000}"/>
    <cellStyle name="Примечание 5 30" xfId="4630" xr:uid="{00000000-0005-0000-0000-000011220000}"/>
    <cellStyle name="Примечание 5 30 2" xfId="9367" xr:uid="{00000000-0005-0000-0000-000012220000}"/>
    <cellStyle name="Примечание 5 31" xfId="4631" xr:uid="{00000000-0005-0000-0000-000013220000}"/>
    <cellStyle name="Примечание 5 31 2" xfId="9368" xr:uid="{00000000-0005-0000-0000-000014220000}"/>
    <cellStyle name="Примечание 5 32" xfId="4632" xr:uid="{00000000-0005-0000-0000-000015220000}"/>
    <cellStyle name="Примечание 5 32 2" xfId="9369" xr:uid="{00000000-0005-0000-0000-000016220000}"/>
    <cellStyle name="Примечание 5 33" xfId="4633" xr:uid="{00000000-0005-0000-0000-000017220000}"/>
    <cellStyle name="Примечание 5 33 2" xfId="9370" xr:uid="{00000000-0005-0000-0000-000018220000}"/>
    <cellStyle name="Примечание 5 34" xfId="4634" xr:uid="{00000000-0005-0000-0000-000019220000}"/>
    <cellStyle name="Примечание 5 34 2" xfId="9371" xr:uid="{00000000-0005-0000-0000-00001A220000}"/>
    <cellStyle name="Примечание 5 35" xfId="4635" xr:uid="{00000000-0005-0000-0000-00001B220000}"/>
    <cellStyle name="Примечание 5 35 2" xfId="9372" xr:uid="{00000000-0005-0000-0000-00001C220000}"/>
    <cellStyle name="Примечание 5 36" xfId="4636" xr:uid="{00000000-0005-0000-0000-00001D220000}"/>
    <cellStyle name="Примечание 5 36 2" xfId="9373" xr:uid="{00000000-0005-0000-0000-00001E220000}"/>
    <cellStyle name="Примечание 5 37" xfId="4637" xr:uid="{00000000-0005-0000-0000-00001F220000}"/>
    <cellStyle name="Примечание 5 37 2" xfId="9374" xr:uid="{00000000-0005-0000-0000-000020220000}"/>
    <cellStyle name="Примечание 5 38" xfId="4638" xr:uid="{00000000-0005-0000-0000-000021220000}"/>
    <cellStyle name="Примечание 5 38 2" xfId="9375" xr:uid="{00000000-0005-0000-0000-000022220000}"/>
    <cellStyle name="Примечание 5 39" xfId="4639" xr:uid="{00000000-0005-0000-0000-000023220000}"/>
    <cellStyle name="Примечание 5 39 2" xfId="9376" xr:uid="{00000000-0005-0000-0000-000024220000}"/>
    <cellStyle name="Примечание 5 4" xfId="4640" xr:uid="{00000000-0005-0000-0000-000025220000}"/>
    <cellStyle name="Примечание 5 4 2" xfId="4641" xr:uid="{00000000-0005-0000-0000-000026220000}"/>
    <cellStyle name="Примечание 5 4 2 2" xfId="9377" xr:uid="{00000000-0005-0000-0000-000027220000}"/>
    <cellStyle name="Примечание 5 4 3" xfId="4642" xr:uid="{00000000-0005-0000-0000-000028220000}"/>
    <cellStyle name="Примечание 5 4 3 2" xfId="9378" xr:uid="{00000000-0005-0000-0000-000029220000}"/>
    <cellStyle name="Примечание 5 4 4" xfId="9379" xr:uid="{00000000-0005-0000-0000-00002A220000}"/>
    <cellStyle name="Примечание 5 40" xfId="4643" xr:uid="{00000000-0005-0000-0000-00002B220000}"/>
    <cellStyle name="Примечание 5 40 2" xfId="9380" xr:uid="{00000000-0005-0000-0000-00002C220000}"/>
    <cellStyle name="Примечание 5 41" xfId="4644" xr:uid="{00000000-0005-0000-0000-00002D220000}"/>
    <cellStyle name="Примечание 5 41 2" xfId="9381" xr:uid="{00000000-0005-0000-0000-00002E220000}"/>
    <cellStyle name="Примечание 5 42" xfId="4645" xr:uid="{00000000-0005-0000-0000-00002F220000}"/>
    <cellStyle name="Примечание 5 42 2" xfId="9382" xr:uid="{00000000-0005-0000-0000-000030220000}"/>
    <cellStyle name="Примечание 5 43" xfId="4646" xr:uid="{00000000-0005-0000-0000-000031220000}"/>
    <cellStyle name="Примечание 5 43 2" xfId="9383" xr:uid="{00000000-0005-0000-0000-000032220000}"/>
    <cellStyle name="Примечание 5 44" xfId="4647" xr:uid="{00000000-0005-0000-0000-000033220000}"/>
    <cellStyle name="Примечание 5 44 2" xfId="9384" xr:uid="{00000000-0005-0000-0000-000034220000}"/>
    <cellStyle name="Примечание 5 45" xfId="4648" xr:uid="{00000000-0005-0000-0000-000035220000}"/>
    <cellStyle name="Примечание 5 45 2" xfId="9385" xr:uid="{00000000-0005-0000-0000-000036220000}"/>
    <cellStyle name="Примечание 5 46" xfId="4649" xr:uid="{00000000-0005-0000-0000-000037220000}"/>
    <cellStyle name="Примечание 5 46 2" xfId="9386" xr:uid="{00000000-0005-0000-0000-000038220000}"/>
    <cellStyle name="Примечание 5 47" xfId="4650" xr:uid="{00000000-0005-0000-0000-000039220000}"/>
    <cellStyle name="Примечание 5 47 2" xfId="9387" xr:uid="{00000000-0005-0000-0000-00003A220000}"/>
    <cellStyle name="Примечание 5 48" xfId="4651" xr:uid="{00000000-0005-0000-0000-00003B220000}"/>
    <cellStyle name="Примечание 5 48 2" xfId="9388" xr:uid="{00000000-0005-0000-0000-00003C220000}"/>
    <cellStyle name="Примечание 5 49" xfId="4652" xr:uid="{00000000-0005-0000-0000-00003D220000}"/>
    <cellStyle name="Примечание 5 49 2" xfId="9389" xr:uid="{00000000-0005-0000-0000-00003E220000}"/>
    <cellStyle name="Примечание 5 5" xfId="4653" xr:uid="{00000000-0005-0000-0000-00003F220000}"/>
    <cellStyle name="Примечание 5 5 2" xfId="9390" xr:uid="{00000000-0005-0000-0000-000040220000}"/>
    <cellStyle name="Примечание 5 50" xfId="4654" xr:uid="{00000000-0005-0000-0000-000041220000}"/>
    <cellStyle name="Примечание 5 50 2" xfId="9391" xr:uid="{00000000-0005-0000-0000-000042220000}"/>
    <cellStyle name="Примечание 5 51" xfId="4655" xr:uid="{00000000-0005-0000-0000-000043220000}"/>
    <cellStyle name="Примечание 5 51 2" xfId="9392" xr:uid="{00000000-0005-0000-0000-000044220000}"/>
    <cellStyle name="Примечание 5 52" xfId="4656" xr:uid="{00000000-0005-0000-0000-000045220000}"/>
    <cellStyle name="Примечание 5 52 2" xfId="9393" xr:uid="{00000000-0005-0000-0000-000046220000}"/>
    <cellStyle name="Примечание 5 53" xfId="4657" xr:uid="{00000000-0005-0000-0000-000047220000}"/>
    <cellStyle name="Примечание 5 53 2" xfId="9394" xr:uid="{00000000-0005-0000-0000-000048220000}"/>
    <cellStyle name="Примечание 5 54" xfId="4658" xr:uid="{00000000-0005-0000-0000-000049220000}"/>
    <cellStyle name="Примечание 5 54 2" xfId="9395" xr:uid="{00000000-0005-0000-0000-00004A220000}"/>
    <cellStyle name="Примечание 5 55" xfId="4659" xr:uid="{00000000-0005-0000-0000-00004B220000}"/>
    <cellStyle name="Примечание 5 55 2" xfId="9396" xr:uid="{00000000-0005-0000-0000-00004C220000}"/>
    <cellStyle name="Примечание 5 56" xfId="4660" xr:uid="{00000000-0005-0000-0000-00004D220000}"/>
    <cellStyle name="Примечание 5 56 2" xfId="9397" xr:uid="{00000000-0005-0000-0000-00004E220000}"/>
    <cellStyle name="Примечание 5 57" xfId="4661" xr:uid="{00000000-0005-0000-0000-00004F220000}"/>
    <cellStyle name="Примечание 5 57 2" xfId="9398" xr:uid="{00000000-0005-0000-0000-000050220000}"/>
    <cellStyle name="Примечание 5 58" xfId="4662" xr:uid="{00000000-0005-0000-0000-000051220000}"/>
    <cellStyle name="Примечание 5 58 2" xfId="9399" xr:uid="{00000000-0005-0000-0000-000052220000}"/>
    <cellStyle name="Примечание 5 59" xfId="4663" xr:uid="{00000000-0005-0000-0000-000053220000}"/>
    <cellStyle name="Примечание 5 59 2" xfId="9400" xr:uid="{00000000-0005-0000-0000-000054220000}"/>
    <cellStyle name="Примечание 5 6" xfId="4664" xr:uid="{00000000-0005-0000-0000-000055220000}"/>
    <cellStyle name="Примечание 5 6 2" xfId="9401" xr:uid="{00000000-0005-0000-0000-000056220000}"/>
    <cellStyle name="Примечание 5 60" xfId="4665" xr:uid="{00000000-0005-0000-0000-000057220000}"/>
    <cellStyle name="Примечание 5 60 2" xfId="9402" xr:uid="{00000000-0005-0000-0000-000058220000}"/>
    <cellStyle name="Примечание 5 61" xfId="4666" xr:uid="{00000000-0005-0000-0000-000059220000}"/>
    <cellStyle name="Примечание 5 61 2" xfId="9403" xr:uid="{00000000-0005-0000-0000-00005A220000}"/>
    <cellStyle name="Примечание 5 62" xfId="4667" xr:uid="{00000000-0005-0000-0000-00005B220000}"/>
    <cellStyle name="Примечание 5 62 2" xfId="9404" xr:uid="{00000000-0005-0000-0000-00005C220000}"/>
    <cellStyle name="Примечание 5 63" xfId="4668" xr:uid="{00000000-0005-0000-0000-00005D220000}"/>
    <cellStyle name="Примечание 5 63 2" xfId="9405" xr:uid="{00000000-0005-0000-0000-00005E220000}"/>
    <cellStyle name="Примечание 5 64" xfId="4669" xr:uid="{00000000-0005-0000-0000-00005F220000}"/>
    <cellStyle name="Примечание 5 64 2" xfId="9406" xr:uid="{00000000-0005-0000-0000-000060220000}"/>
    <cellStyle name="Примечание 5 65" xfId="4670" xr:uid="{00000000-0005-0000-0000-000061220000}"/>
    <cellStyle name="Примечание 5 65 2" xfId="9407" xr:uid="{00000000-0005-0000-0000-000062220000}"/>
    <cellStyle name="Примечание 5 66" xfId="4671" xr:uid="{00000000-0005-0000-0000-000063220000}"/>
    <cellStyle name="Примечание 5 66 2" xfId="9408" xr:uid="{00000000-0005-0000-0000-000064220000}"/>
    <cellStyle name="Примечание 5 67" xfId="4672" xr:uid="{00000000-0005-0000-0000-000065220000}"/>
    <cellStyle name="Примечание 5 67 2" xfId="9409" xr:uid="{00000000-0005-0000-0000-000066220000}"/>
    <cellStyle name="Примечание 5 68" xfId="4673" xr:uid="{00000000-0005-0000-0000-000067220000}"/>
    <cellStyle name="Примечание 5 68 2" xfId="9410" xr:uid="{00000000-0005-0000-0000-000068220000}"/>
    <cellStyle name="Примечание 5 69" xfId="4674" xr:uid="{00000000-0005-0000-0000-000069220000}"/>
    <cellStyle name="Примечание 5 69 2" xfId="9411" xr:uid="{00000000-0005-0000-0000-00006A220000}"/>
    <cellStyle name="Примечание 5 7" xfId="4675" xr:uid="{00000000-0005-0000-0000-00006B220000}"/>
    <cellStyle name="Примечание 5 7 2" xfId="9412" xr:uid="{00000000-0005-0000-0000-00006C220000}"/>
    <cellStyle name="Примечание 5 70" xfId="4676" xr:uid="{00000000-0005-0000-0000-00006D220000}"/>
    <cellStyle name="Примечание 5 70 2" xfId="9413" xr:uid="{00000000-0005-0000-0000-00006E220000}"/>
    <cellStyle name="Примечание 5 71" xfId="4677" xr:uid="{00000000-0005-0000-0000-00006F220000}"/>
    <cellStyle name="Примечание 5 71 2" xfId="9414" xr:uid="{00000000-0005-0000-0000-000070220000}"/>
    <cellStyle name="Примечание 5 72" xfId="4678" xr:uid="{00000000-0005-0000-0000-000071220000}"/>
    <cellStyle name="Примечание 5 72 2" xfId="9415" xr:uid="{00000000-0005-0000-0000-000072220000}"/>
    <cellStyle name="Примечание 5 73" xfId="4679" xr:uid="{00000000-0005-0000-0000-000073220000}"/>
    <cellStyle name="Примечание 5 73 2" xfId="9416" xr:uid="{00000000-0005-0000-0000-000074220000}"/>
    <cellStyle name="Примечание 5 74" xfId="4680" xr:uid="{00000000-0005-0000-0000-000075220000}"/>
    <cellStyle name="Примечание 5 74 2" xfId="9417" xr:uid="{00000000-0005-0000-0000-000076220000}"/>
    <cellStyle name="Примечание 5 75" xfId="4681" xr:uid="{00000000-0005-0000-0000-000077220000}"/>
    <cellStyle name="Примечание 5 75 2" xfId="9418" xr:uid="{00000000-0005-0000-0000-000078220000}"/>
    <cellStyle name="Примечание 5 76" xfId="4682" xr:uid="{00000000-0005-0000-0000-000079220000}"/>
    <cellStyle name="Примечание 5 76 2" xfId="9419" xr:uid="{00000000-0005-0000-0000-00007A220000}"/>
    <cellStyle name="Примечание 5 77" xfId="4683" xr:uid="{00000000-0005-0000-0000-00007B220000}"/>
    <cellStyle name="Примечание 5 77 2" xfId="9420" xr:uid="{00000000-0005-0000-0000-00007C220000}"/>
    <cellStyle name="Примечание 5 78" xfId="4684" xr:uid="{00000000-0005-0000-0000-00007D220000}"/>
    <cellStyle name="Примечание 5 78 2" xfId="9421" xr:uid="{00000000-0005-0000-0000-00007E220000}"/>
    <cellStyle name="Примечание 5 79" xfId="4685" xr:uid="{00000000-0005-0000-0000-00007F220000}"/>
    <cellStyle name="Примечание 5 79 2" xfId="9422" xr:uid="{00000000-0005-0000-0000-000080220000}"/>
    <cellStyle name="Примечание 5 8" xfId="4686" xr:uid="{00000000-0005-0000-0000-000081220000}"/>
    <cellStyle name="Примечание 5 8 2" xfId="9423" xr:uid="{00000000-0005-0000-0000-000082220000}"/>
    <cellStyle name="Примечание 5 80" xfId="4687" xr:uid="{00000000-0005-0000-0000-000083220000}"/>
    <cellStyle name="Примечание 5 80 2" xfId="9424" xr:uid="{00000000-0005-0000-0000-000084220000}"/>
    <cellStyle name="Примечание 5 81" xfId="4688" xr:uid="{00000000-0005-0000-0000-000085220000}"/>
    <cellStyle name="Примечание 5 81 2" xfId="9425" xr:uid="{00000000-0005-0000-0000-000086220000}"/>
    <cellStyle name="Примечание 5 82" xfId="4689" xr:uid="{00000000-0005-0000-0000-000087220000}"/>
    <cellStyle name="Примечание 5 82 2" xfId="9426" xr:uid="{00000000-0005-0000-0000-000088220000}"/>
    <cellStyle name="Примечание 5 83" xfId="4690" xr:uid="{00000000-0005-0000-0000-000089220000}"/>
    <cellStyle name="Примечание 5 83 2" xfId="9427" xr:uid="{00000000-0005-0000-0000-00008A220000}"/>
    <cellStyle name="Примечание 5 84" xfId="4691" xr:uid="{00000000-0005-0000-0000-00008B220000}"/>
    <cellStyle name="Примечание 5 84 2" xfId="9428" xr:uid="{00000000-0005-0000-0000-00008C220000}"/>
    <cellStyle name="Примечание 5 85" xfId="4692" xr:uid="{00000000-0005-0000-0000-00008D220000}"/>
    <cellStyle name="Примечание 5 85 2" xfId="9429" xr:uid="{00000000-0005-0000-0000-00008E220000}"/>
    <cellStyle name="Примечание 5 86" xfId="4693" xr:uid="{00000000-0005-0000-0000-00008F220000}"/>
    <cellStyle name="Примечание 5 86 2" xfId="9430" xr:uid="{00000000-0005-0000-0000-000090220000}"/>
    <cellStyle name="Примечание 5 87" xfId="4694" xr:uid="{00000000-0005-0000-0000-000091220000}"/>
    <cellStyle name="Примечание 5 87 2" xfId="9431" xr:uid="{00000000-0005-0000-0000-000092220000}"/>
    <cellStyle name="Примечание 5 88" xfId="4695" xr:uid="{00000000-0005-0000-0000-000093220000}"/>
    <cellStyle name="Примечание 5 88 2" xfId="9432" xr:uid="{00000000-0005-0000-0000-000094220000}"/>
    <cellStyle name="Примечание 5 89" xfId="4696" xr:uid="{00000000-0005-0000-0000-000095220000}"/>
    <cellStyle name="Примечание 5 89 2" xfId="9433" xr:uid="{00000000-0005-0000-0000-000096220000}"/>
    <cellStyle name="Примечание 5 9" xfId="4697" xr:uid="{00000000-0005-0000-0000-000097220000}"/>
    <cellStyle name="Примечание 5 9 2" xfId="9434" xr:uid="{00000000-0005-0000-0000-000098220000}"/>
    <cellStyle name="Примечание 5 90" xfId="9435" xr:uid="{00000000-0005-0000-0000-000099220000}"/>
    <cellStyle name="Примечание 6" xfId="356" xr:uid="{00000000-0005-0000-0000-00009A220000}"/>
    <cellStyle name="Примечание 6 10" xfId="4698" xr:uid="{00000000-0005-0000-0000-00009B220000}"/>
    <cellStyle name="Примечание 6 10 2" xfId="9436" xr:uid="{00000000-0005-0000-0000-00009C220000}"/>
    <cellStyle name="Примечание 6 11" xfId="4699" xr:uid="{00000000-0005-0000-0000-00009D220000}"/>
    <cellStyle name="Примечание 6 11 2" xfId="9437" xr:uid="{00000000-0005-0000-0000-00009E220000}"/>
    <cellStyle name="Примечание 6 12" xfId="4700" xr:uid="{00000000-0005-0000-0000-00009F220000}"/>
    <cellStyle name="Примечание 6 12 2" xfId="9438" xr:uid="{00000000-0005-0000-0000-0000A0220000}"/>
    <cellStyle name="Примечание 6 13" xfId="4701" xr:uid="{00000000-0005-0000-0000-0000A1220000}"/>
    <cellStyle name="Примечание 6 13 2" xfId="9439" xr:uid="{00000000-0005-0000-0000-0000A2220000}"/>
    <cellStyle name="Примечание 6 14" xfId="4702" xr:uid="{00000000-0005-0000-0000-0000A3220000}"/>
    <cellStyle name="Примечание 6 14 2" xfId="9440" xr:uid="{00000000-0005-0000-0000-0000A4220000}"/>
    <cellStyle name="Примечание 6 15" xfId="4703" xr:uid="{00000000-0005-0000-0000-0000A5220000}"/>
    <cellStyle name="Примечание 6 15 2" xfId="9441" xr:uid="{00000000-0005-0000-0000-0000A6220000}"/>
    <cellStyle name="Примечание 6 16" xfId="4704" xr:uid="{00000000-0005-0000-0000-0000A7220000}"/>
    <cellStyle name="Примечание 6 16 2" xfId="9442" xr:uid="{00000000-0005-0000-0000-0000A8220000}"/>
    <cellStyle name="Примечание 6 17" xfId="4705" xr:uid="{00000000-0005-0000-0000-0000A9220000}"/>
    <cellStyle name="Примечание 6 17 2" xfId="9443" xr:uid="{00000000-0005-0000-0000-0000AA220000}"/>
    <cellStyle name="Примечание 6 18" xfId="4706" xr:uid="{00000000-0005-0000-0000-0000AB220000}"/>
    <cellStyle name="Примечание 6 18 2" xfId="9444" xr:uid="{00000000-0005-0000-0000-0000AC220000}"/>
    <cellStyle name="Примечание 6 19" xfId="4707" xr:uid="{00000000-0005-0000-0000-0000AD220000}"/>
    <cellStyle name="Примечание 6 19 2" xfId="9445" xr:uid="{00000000-0005-0000-0000-0000AE220000}"/>
    <cellStyle name="Примечание 6 2" xfId="4708" xr:uid="{00000000-0005-0000-0000-0000AF220000}"/>
    <cellStyle name="Примечание 6 2 2" xfId="4709" xr:uid="{00000000-0005-0000-0000-0000B0220000}"/>
    <cellStyle name="Примечание 6 2 2 2" xfId="9446" xr:uid="{00000000-0005-0000-0000-0000B1220000}"/>
    <cellStyle name="Примечание 6 2 3" xfId="4710" xr:uid="{00000000-0005-0000-0000-0000B2220000}"/>
    <cellStyle name="Примечание 6 2 3 2" xfId="9447" xr:uid="{00000000-0005-0000-0000-0000B3220000}"/>
    <cellStyle name="Примечание 6 2 4" xfId="9448" xr:uid="{00000000-0005-0000-0000-0000B4220000}"/>
    <cellStyle name="Примечание 6 20" xfId="4711" xr:uid="{00000000-0005-0000-0000-0000B5220000}"/>
    <cellStyle name="Примечание 6 20 2" xfId="9449" xr:uid="{00000000-0005-0000-0000-0000B6220000}"/>
    <cellStyle name="Примечание 6 21" xfId="4712" xr:uid="{00000000-0005-0000-0000-0000B7220000}"/>
    <cellStyle name="Примечание 6 21 2" xfId="9450" xr:uid="{00000000-0005-0000-0000-0000B8220000}"/>
    <cellStyle name="Примечание 6 22" xfId="4713" xr:uid="{00000000-0005-0000-0000-0000B9220000}"/>
    <cellStyle name="Примечание 6 22 2" xfId="9451" xr:uid="{00000000-0005-0000-0000-0000BA220000}"/>
    <cellStyle name="Примечание 6 23" xfId="4714" xr:uid="{00000000-0005-0000-0000-0000BB220000}"/>
    <cellStyle name="Примечание 6 23 2" xfId="9452" xr:uid="{00000000-0005-0000-0000-0000BC220000}"/>
    <cellStyle name="Примечание 6 24" xfId="4715" xr:uid="{00000000-0005-0000-0000-0000BD220000}"/>
    <cellStyle name="Примечание 6 24 2" xfId="9453" xr:uid="{00000000-0005-0000-0000-0000BE220000}"/>
    <cellStyle name="Примечание 6 25" xfId="4716" xr:uid="{00000000-0005-0000-0000-0000BF220000}"/>
    <cellStyle name="Примечание 6 25 2" xfId="9454" xr:uid="{00000000-0005-0000-0000-0000C0220000}"/>
    <cellStyle name="Примечание 6 26" xfId="4717" xr:uid="{00000000-0005-0000-0000-0000C1220000}"/>
    <cellStyle name="Примечание 6 26 2" xfId="9455" xr:uid="{00000000-0005-0000-0000-0000C2220000}"/>
    <cellStyle name="Примечание 6 27" xfId="4718" xr:uid="{00000000-0005-0000-0000-0000C3220000}"/>
    <cellStyle name="Примечание 6 27 2" xfId="9456" xr:uid="{00000000-0005-0000-0000-0000C4220000}"/>
    <cellStyle name="Примечание 6 28" xfId="4719" xr:uid="{00000000-0005-0000-0000-0000C5220000}"/>
    <cellStyle name="Примечание 6 28 2" xfId="9457" xr:uid="{00000000-0005-0000-0000-0000C6220000}"/>
    <cellStyle name="Примечание 6 29" xfId="4720" xr:uid="{00000000-0005-0000-0000-0000C7220000}"/>
    <cellStyle name="Примечание 6 29 2" xfId="9458" xr:uid="{00000000-0005-0000-0000-0000C8220000}"/>
    <cellStyle name="Примечание 6 3" xfId="4721" xr:uid="{00000000-0005-0000-0000-0000C9220000}"/>
    <cellStyle name="Примечание 6 3 2" xfId="4722" xr:uid="{00000000-0005-0000-0000-0000CA220000}"/>
    <cellStyle name="Примечание 6 3 2 2" xfId="9459" xr:uid="{00000000-0005-0000-0000-0000CB220000}"/>
    <cellStyle name="Примечание 6 3 3" xfId="4723" xr:uid="{00000000-0005-0000-0000-0000CC220000}"/>
    <cellStyle name="Примечание 6 3 3 2" xfId="9460" xr:uid="{00000000-0005-0000-0000-0000CD220000}"/>
    <cellStyle name="Примечание 6 3 4" xfId="9461" xr:uid="{00000000-0005-0000-0000-0000CE220000}"/>
    <cellStyle name="Примечание 6 30" xfId="4724" xr:uid="{00000000-0005-0000-0000-0000CF220000}"/>
    <cellStyle name="Примечание 6 30 2" xfId="9462" xr:uid="{00000000-0005-0000-0000-0000D0220000}"/>
    <cellStyle name="Примечание 6 31" xfId="4725" xr:uid="{00000000-0005-0000-0000-0000D1220000}"/>
    <cellStyle name="Примечание 6 31 2" xfId="9463" xr:uid="{00000000-0005-0000-0000-0000D2220000}"/>
    <cellStyle name="Примечание 6 32" xfId="4726" xr:uid="{00000000-0005-0000-0000-0000D3220000}"/>
    <cellStyle name="Примечание 6 32 2" xfId="9464" xr:uid="{00000000-0005-0000-0000-0000D4220000}"/>
    <cellStyle name="Примечание 6 33" xfId="4727" xr:uid="{00000000-0005-0000-0000-0000D5220000}"/>
    <cellStyle name="Примечание 6 33 2" xfId="9465" xr:uid="{00000000-0005-0000-0000-0000D6220000}"/>
    <cellStyle name="Примечание 6 34" xfId="4728" xr:uid="{00000000-0005-0000-0000-0000D7220000}"/>
    <cellStyle name="Примечание 6 34 2" xfId="9466" xr:uid="{00000000-0005-0000-0000-0000D8220000}"/>
    <cellStyle name="Примечание 6 35" xfId="4729" xr:uid="{00000000-0005-0000-0000-0000D9220000}"/>
    <cellStyle name="Примечание 6 35 2" xfId="9467" xr:uid="{00000000-0005-0000-0000-0000DA220000}"/>
    <cellStyle name="Примечание 6 36" xfId="4730" xr:uid="{00000000-0005-0000-0000-0000DB220000}"/>
    <cellStyle name="Примечание 6 36 2" xfId="9468" xr:uid="{00000000-0005-0000-0000-0000DC220000}"/>
    <cellStyle name="Примечание 6 37" xfId="4731" xr:uid="{00000000-0005-0000-0000-0000DD220000}"/>
    <cellStyle name="Примечание 6 37 2" xfId="9469" xr:uid="{00000000-0005-0000-0000-0000DE220000}"/>
    <cellStyle name="Примечание 6 38" xfId="4732" xr:uid="{00000000-0005-0000-0000-0000DF220000}"/>
    <cellStyle name="Примечание 6 38 2" xfId="9470" xr:uid="{00000000-0005-0000-0000-0000E0220000}"/>
    <cellStyle name="Примечание 6 39" xfId="4733" xr:uid="{00000000-0005-0000-0000-0000E1220000}"/>
    <cellStyle name="Примечание 6 39 2" xfId="9471" xr:uid="{00000000-0005-0000-0000-0000E2220000}"/>
    <cellStyle name="Примечание 6 4" xfId="4734" xr:uid="{00000000-0005-0000-0000-0000E3220000}"/>
    <cellStyle name="Примечание 6 4 2" xfId="4735" xr:uid="{00000000-0005-0000-0000-0000E4220000}"/>
    <cellStyle name="Примечание 6 4 2 2" xfId="9472" xr:uid="{00000000-0005-0000-0000-0000E5220000}"/>
    <cellStyle name="Примечание 6 4 3" xfId="4736" xr:uid="{00000000-0005-0000-0000-0000E6220000}"/>
    <cellStyle name="Примечание 6 4 3 2" xfId="9473" xr:uid="{00000000-0005-0000-0000-0000E7220000}"/>
    <cellStyle name="Примечание 6 4 4" xfId="9474" xr:uid="{00000000-0005-0000-0000-0000E8220000}"/>
    <cellStyle name="Примечание 6 40" xfId="4737" xr:uid="{00000000-0005-0000-0000-0000E9220000}"/>
    <cellStyle name="Примечание 6 40 2" xfId="9475" xr:uid="{00000000-0005-0000-0000-0000EA220000}"/>
    <cellStyle name="Примечание 6 41" xfId="4738" xr:uid="{00000000-0005-0000-0000-0000EB220000}"/>
    <cellStyle name="Примечание 6 41 2" xfId="9476" xr:uid="{00000000-0005-0000-0000-0000EC220000}"/>
    <cellStyle name="Примечание 6 42" xfId="4739" xr:uid="{00000000-0005-0000-0000-0000ED220000}"/>
    <cellStyle name="Примечание 6 42 2" xfId="9477" xr:uid="{00000000-0005-0000-0000-0000EE220000}"/>
    <cellStyle name="Примечание 6 43" xfId="4740" xr:uid="{00000000-0005-0000-0000-0000EF220000}"/>
    <cellStyle name="Примечание 6 43 2" xfId="9478" xr:uid="{00000000-0005-0000-0000-0000F0220000}"/>
    <cellStyle name="Примечание 6 44" xfId="4741" xr:uid="{00000000-0005-0000-0000-0000F1220000}"/>
    <cellStyle name="Примечание 6 44 2" xfId="9479" xr:uid="{00000000-0005-0000-0000-0000F2220000}"/>
    <cellStyle name="Примечание 6 45" xfId="4742" xr:uid="{00000000-0005-0000-0000-0000F3220000}"/>
    <cellStyle name="Примечание 6 45 2" xfId="9480" xr:uid="{00000000-0005-0000-0000-0000F4220000}"/>
    <cellStyle name="Примечание 6 46" xfId="4743" xr:uid="{00000000-0005-0000-0000-0000F5220000}"/>
    <cellStyle name="Примечание 6 46 2" xfId="9481" xr:uid="{00000000-0005-0000-0000-0000F6220000}"/>
    <cellStyle name="Примечание 6 47" xfId="4744" xr:uid="{00000000-0005-0000-0000-0000F7220000}"/>
    <cellStyle name="Примечание 6 47 2" xfId="9482" xr:uid="{00000000-0005-0000-0000-0000F8220000}"/>
    <cellStyle name="Примечание 6 48" xfId="4745" xr:uid="{00000000-0005-0000-0000-0000F9220000}"/>
    <cellStyle name="Примечание 6 48 2" xfId="9483" xr:uid="{00000000-0005-0000-0000-0000FA220000}"/>
    <cellStyle name="Примечание 6 49" xfId="4746" xr:uid="{00000000-0005-0000-0000-0000FB220000}"/>
    <cellStyle name="Примечание 6 49 2" xfId="9484" xr:uid="{00000000-0005-0000-0000-0000FC220000}"/>
    <cellStyle name="Примечание 6 5" xfId="4747" xr:uid="{00000000-0005-0000-0000-0000FD220000}"/>
    <cellStyle name="Примечание 6 5 2" xfId="9485" xr:uid="{00000000-0005-0000-0000-0000FE220000}"/>
    <cellStyle name="Примечание 6 50" xfId="4748" xr:uid="{00000000-0005-0000-0000-0000FF220000}"/>
    <cellStyle name="Примечание 6 50 2" xfId="9486" xr:uid="{00000000-0005-0000-0000-000000230000}"/>
    <cellStyle name="Примечание 6 51" xfId="4749" xr:uid="{00000000-0005-0000-0000-000001230000}"/>
    <cellStyle name="Примечание 6 51 2" xfId="9487" xr:uid="{00000000-0005-0000-0000-000002230000}"/>
    <cellStyle name="Примечание 6 52" xfId="4750" xr:uid="{00000000-0005-0000-0000-000003230000}"/>
    <cellStyle name="Примечание 6 52 2" xfId="9488" xr:uid="{00000000-0005-0000-0000-000004230000}"/>
    <cellStyle name="Примечание 6 53" xfId="4751" xr:uid="{00000000-0005-0000-0000-000005230000}"/>
    <cellStyle name="Примечание 6 53 2" xfId="9489" xr:uid="{00000000-0005-0000-0000-000006230000}"/>
    <cellStyle name="Примечание 6 54" xfId="4752" xr:uid="{00000000-0005-0000-0000-000007230000}"/>
    <cellStyle name="Примечание 6 54 2" xfId="9490" xr:uid="{00000000-0005-0000-0000-000008230000}"/>
    <cellStyle name="Примечание 6 55" xfId="4753" xr:uid="{00000000-0005-0000-0000-000009230000}"/>
    <cellStyle name="Примечание 6 55 2" xfId="9491" xr:uid="{00000000-0005-0000-0000-00000A230000}"/>
    <cellStyle name="Примечание 6 56" xfId="4754" xr:uid="{00000000-0005-0000-0000-00000B230000}"/>
    <cellStyle name="Примечание 6 56 2" xfId="9492" xr:uid="{00000000-0005-0000-0000-00000C230000}"/>
    <cellStyle name="Примечание 6 57" xfId="4755" xr:uid="{00000000-0005-0000-0000-00000D230000}"/>
    <cellStyle name="Примечание 6 57 2" xfId="9493" xr:uid="{00000000-0005-0000-0000-00000E230000}"/>
    <cellStyle name="Примечание 6 58" xfId="4756" xr:uid="{00000000-0005-0000-0000-00000F230000}"/>
    <cellStyle name="Примечание 6 58 2" xfId="9494" xr:uid="{00000000-0005-0000-0000-000010230000}"/>
    <cellStyle name="Примечание 6 59" xfId="4757" xr:uid="{00000000-0005-0000-0000-000011230000}"/>
    <cellStyle name="Примечание 6 59 2" xfId="9495" xr:uid="{00000000-0005-0000-0000-000012230000}"/>
    <cellStyle name="Примечание 6 6" xfId="4758" xr:uid="{00000000-0005-0000-0000-000013230000}"/>
    <cellStyle name="Примечание 6 6 2" xfId="9496" xr:uid="{00000000-0005-0000-0000-000014230000}"/>
    <cellStyle name="Примечание 6 60" xfId="4759" xr:uid="{00000000-0005-0000-0000-000015230000}"/>
    <cellStyle name="Примечание 6 60 2" xfId="9497" xr:uid="{00000000-0005-0000-0000-000016230000}"/>
    <cellStyle name="Примечание 6 61" xfId="4760" xr:uid="{00000000-0005-0000-0000-000017230000}"/>
    <cellStyle name="Примечание 6 61 2" xfId="9498" xr:uid="{00000000-0005-0000-0000-000018230000}"/>
    <cellStyle name="Примечание 6 62" xfId="4761" xr:uid="{00000000-0005-0000-0000-000019230000}"/>
    <cellStyle name="Примечание 6 62 2" xfId="9499" xr:uid="{00000000-0005-0000-0000-00001A230000}"/>
    <cellStyle name="Примечание 6 63" xfId="4762" xr:uid="{00000000-0005-0000-0000-00001B230000}"/>
    <cellStyle name="Примечание 6 63 2" xfId="9500" xr:uid="{00000000-0005-0000-0000-00001C230000}"/>
    <cellStyle name="Примечание 6 64" xfId="4763" xr:uid="{00000000-0005-0000-0000-00001D230000}"/>
    <cellStyle name="Примечание 6 64 2" xfId="9501" xr:uid="{00000000-0005-0000-0000-00001E230000}"/>
    <cellStyle name="Примечание 6 65" xfId="4764" xr:uid="{00000000-0005-0000-0000-00001F230000}"/>
    <cellStyle name="Примечание 6 65 2" xfId="9502" xr:uid="{00000000-0005-0000-0000-000020230000}"/>
    <cellStyle name="Примечание 6 66" xfId="4765" xr:uid="{00000000-0005-0000-0000-000021230000}"/>
    <cellStyle name="Примечание 6 66 2" xfId="9503" xr:uid="{00000000-0005-0000-0000-000022230000}"/>
    <cellStyle name="Примечание 6 67" xfId="4766" xr:uid="{00000000-0005-0000-0000-000023230000}"/>
    <cellStyle name="Примечание 6 67 2" xfId="9504" xr:uid="{00000000-0005-0000-0000-000024230000}"/>
    <cellStyle name="Примечание 6 68" xfId="4767" xr:uid="{00000000-0005-0000-0000-000025230000}"/>
    <cellStyle name="Примечание 6 68 2" xfId="9505" xr:uid="{00000000-0005-0000-0000-000026230000}"/>
    <cellStyle name="Примечание 6 69" xfId="4768" xr:uid="{00000000-0005-0000-0000-000027230000}"/>
    <cellStyle name="Примечание 6 69 2" xfId="9506" xr:uid="{00000000-0005-0000-0000-000028230000}"/>
    <cellStyle name="Примечание 6 7" xfId="4769" xr:uid="{00000000-0005-0000-0000-000029230000}"/>
    <cellStyle name="Примечание 6 7 2" xfId="9507" xr:uid="{00000000-0005-0000-0000-00002A230000}"/>
    <cellStyle name="Примечание 6 70" xfId="4770" xr:uid="{00000000-0005-0000-0000-00002B230000}"/>
    <cellStyle name="Примечание 6 70 2" xfId="9508" xr:uid="{00000000-0005-0000-0000-00002C230000}"/>
    <cellStyle name="Примечание 6 71" xfId="4771" xr:uid="{00000000-0005-0000-0000-00002D230000}"/>
    <cellStyle name="Примечание 6 71 2" xfId="9509" xr:uid="{00000000-0005-0000-0000-00002E230000}"/>
    <cellStyle name="Примечание 6 72" xfId="4772" xr:uid="{00000000-0005-0000-0000-00002F230000}"/>
    <cellStyle name="Примечание 6 72 2" xfId="9510" xr:uid="{00000000-0005-0000-0000-000030230000}"/>
    <cellStyle name="Примечание 6 73" xfId="4773" xr:uid="{00000000-0005-0000-0000-000031230000}"/>
    <cellStyle name="Примечание 6 73 2" xfId="9511" xr:uid="{00000000-0005-0000-0000-000032230000}"/>
    <cellStyle name="Примечание 6 74" xfId="4774" xr:uid="{00000000-0005-0000-0000-000033230000}"/>
    <cellStyle name="Примечание 6 74 2" xfId="9512" xr:uid="{00000000-0005-0000-0000-000034230000}"/>
    <cellStyle name="Примечание 6 75" xfId="4775" xr:uid="{00000000-0005-0000-0000-000035230000}"/>
    <cellStyle name="Примечание 6 75 2" xfId="9513" xr:uid="{00000000-0005-0000-0000-000036230000}"/>
    <cellStyle name="Примечание 6 76" xfId="4776" xr:uid="{00000000-0005-0000-0000-000037230000}"/>
    <cellStyle name="Примечание 6 76 2" xfId="9514" xr:uid="{00000000-0005-0000-0000-000038230000}"/>
    <cellStyle name="Примечание 6 77" xfId="4777" xr:uid="{00000000-0005-0000-0000-000039230000}"/>
    <cellStyle name="Примечание 6 77 2" xfId="9515" xr:uid="{00000000-0005-0000-0000-00003A230000}"/>
    <cellStyle name="Примечание 6 78" xfId="4778" xr:uid="{00000000-0005-0000-0000-00003B230000}"/>
    <cellStyle name="Примечание 6 78 2" xfId="9516" xr:uid="{00000000-0005-0000-0000-00003C230000}"/>
    <cellStyle name="Примечание 6 79" xfId="4779" xr:uid="{00000000-0005-0000-0000-00003D230000}"/>
    <cellStyle name="Примечание 6 79 2" xfId="9517" xr:uid="{00000000-0005-0000-0000-00003E230000}"/>
    <cellStyle name="Примечание 6 8" xfId="4780" xr:uid="{00000000-0005-0000-0000-00003F230000}"/>
    <cellStyle name="Примечание 6 8 2" xfId="9518" xr:uid="{00000000-0005-0000-0000-000040230000}"/>
    <cellStyle name="Примечание 6 80" xfId="4781" xr:uid="{00000000-0005-0000-0000-000041230000}"/>
    <cellStyle name="Примечание 6 80 2" xfId="9519" xr:uid="{00000000-0005-0000-0000-000042230000}"/>
    <cellStyle name="Примечание 6 81" xfId="4782" xr:uid="{00000000-0005-0000-0000-000043230000}"/>
    <cellStyle name="Примечание 6 81 2" xfId="9520" xr:uid="{00000000-0005-0000-0000-000044230000}"/>
    <cellStyle name="Примечание 6 82" xfId="4783" xr:uid="{00000000-0005-0000-0000-000045230000}"/>
    <cellStyle name="Примечание 6 82 2" xfId="9521" xr:uid="{00000000-0005-0000-0000-000046230000}"/>
    <cellStyle name="Примечание 6 83" xfId="4784" xr:uid="{00000000-0005-0000-0000-000047230000}"/>
    <cellStyle name="Примечание 6 83 2" xfId="9522" xr:uid="{00000000-0005-0000-0000-000048230000}"/>
    <cellStyle name="Примечание 6 84" xfId="4785" xr:uid="{00000000-0005-0000-0000-000049230000}"/>
    <cellStyle name="Примечание 6 84 2" xfId="9523" xr:uid="{00000000-0005-0000-0000-00004A230000}"/>
    <cellStyle name="Примечание 6 85" xfId="4786" xr:uid="{00000000-0005-0000-0000-00004B230000}"/>
    <cellStyle name="Примечание 6 85 2" xfId="9524" xr:uid="{00000000-0005-0000-0000-00004C230000}"/>
    <cellStyle name="Примечание 6 86" xfId="4787" xr:uid="{00000000-0005-0000-0000-00004D230000}"/>
    <cellStyle name="Примечание 6 86 2" xfId="9525" xr:uid="{00000000-0005-0000-0000-00004E230000}"/>
    <cellStyle name="Примечание 6 87" xfId="4788" xr:uid="{00000000-0005-0000-0000-00004F230000}"/>
    <cellStyle name="Примечание 6 87 2" xfId="9526" xr:uid="{00000000-0005-0000-0000-000050230000}"/>
    <cellStyle name="Примечание 6 88" xfId="4789" xr:uid="{00000000-0005-0000-0000-000051230000}"/>
    <cellStyle name="Примечание 6 88 2" xfId="9527" xr:uid="{00000000-0005-0000-0000-000052230000}"/>
    <cellStyle name="Примечание 6 89" xfId="4790" xr:uid="{00000000-0005-0000-0000-000053230000}"/>
    <cellStyle name="Примечание 6 89 2" xfId="9528" xr:uid="{00000000-0005-0000-0000-000054230000}"/>
    <cellStyle name="Примечание 6 9" xfId="4791" xr:uid="{00000000-0005-0000-0000-000055230000}"/>
    <cellStyle name="Примечание 6 9 2" xfId="9529" xr:uid="{00000000-0005-0000-0000-000056230000}"/>
    <cellStyle name="Примечание 6 90" xfId="9530" xr:uid="{00000000-0005-0000-0000-000057230000}"/>
    <cellStyle name="Примечание 7" xfId="357" xr:uid="{00000000-0005-0000-0000-000058230000}"/>
    <cellStyle name="Примечание 7 10" xfId="4792" xr:uid="{00000000-0005-0000-0000-000059230000}"/>
    <cellStyle name="Примечание 7 10 2" xfId="9531" xr:uid="{00000000-0005-0000-0000-00005A230000}"/>
    <cellStyle name="Примечание 7 11" xfId="4793" xr:uid="{00000000-0005-0000-0000-00005B230000}"/>
    <cellStyle name="Примечание 7 11 2" xfId="9532" xr:uid="{00000000-0005-0000-0000-00005C230000}"/>
    <cellStyle name="Примечание 7 12" xfId="4794" xr:uid="{00000000-0005-0000-0000-00005D230000}"/>
    <cellStyle name="Примечание 7 12 2" xfId="9533" xr:uid="{00000000-0005-0000-0000-00005E230000}"/>
    <cellStyle name="Примечание 7 13" xfId="4795" xr:uid="{00000000-0005-0000-0000-00005F230000}"/>
    <cellStyle name="Примечание 7 13 2" xfId="9534" xr:uid="{00000000-0005-0000-0000-000060230000}"/>
    <cellStyle name="Примечание 7 14" xfId="4796" xr:uid="{00000000-0005-0000-0000-000061230000}"/>
    <cellStyle name="Примечание 7 14 2" xfId="9535" xr:uid="{00000000-0005-0000-0000-000062230000}"/>
    <cellStyle name="Примечание 7 15" xfId="4797" xr:uid="{00000000-0005-0000-0000-000063230000}"/>
    <cellStyle name="Примечание 7 15 2" xfId="9536" xr:uid="{00000000-0005-0000-0000-000064230000}"/>
    <cellStyle name="Примечание 7 16" xfId="4798" xr:uid="{00000000-0005-0000-0000-000065230000}"/>
    <cellStyle name="Примечание 7 16 2" xfId="9537" xr:uid="{00000000-0005-0000-0000-000066230000}"/>
    <cellStyle name="Примечание 7 17" xfId="4799" xr:uid="{00000000-0005-0000-0000-000067230000}"/>
    <cellStyle name="Примечание 7 17 2" xfId="9538" xr:uid="{00000000-0005-0000-0000-000068230000}"/>
    <cellStyle name="Примечание 7 18" xfId="4800" xr:uid="{00000000-0005-0000-0000-000069230000}"/>
    <cellStyle name="Примечание 7 18 2" xfId="9539" xr:uid="{00000000-0005-0000-0000-00006A230000}"/>
    <cellStyle name="Примечание 7 19" xfId="4801" xr:uid="{00000000-0005-0000-0000-00006B230000}"/>
    <cellStyle name="Примечание 7 19 2" xfId="9540" xr:uid="{00000000-0005-0000-0000-00006C230000}"/>
    <cellStyle name="Примечание 7 2" xfId="4802" xr:uid="{00000000-0005-0000-0000-00006D230000}"/>
    <cellStyle name="Примечание 7 2 2" xfId="4803" xr:uid="{00000000-0005-0000-0000-00006E230000}"/>
    <cellStyle name="Примечание 7 2 2 2" xfId="9541" xr:uid="{00000000-0005-0000-0000-00006F230000}"/>
    <cellStyle name="Примечание 7 2 3" xfId="4804" xr:uid="{00000000-0005-0000-0000-000070230000}"/>
    <cellStyle name="Примечание 7 2 3 2" xfId="9542" xr:uid="{00000000-0005-0000-0000-000071230000}"/>
    <cellStyle name="Примечание 7 2 4" xfId="9543" xr:uid="{00000000-0005-0000-0000-000072230000}"/>
    <cellStyle name="Примечание 7 20" xfId="4805" xr:uid="{00000000-0005-0000-0000-000073230000}"/>
    <cellStyle name="Примечание 7 20 2" xfId="9544" xr:uid="{00000000-0005-0000-0000-000074230000}"/>
    <cellStyle name="Примечание 7 21" xfId="4806" xr:uid="{00000000-0005-0000-0000-000075230000}"/>
    <cellStyle name="Примечание 7 21 2" xfId="9545" xr:uid="{00000000-0005-0000-0000-000076230000}"/>
    <cellStyle name="Примечание 7 22" xfId="4807" xr:uid="{00000000-0005-0000-0000-000077230000}"/>
    <cellStyle name="Примечание 7 22 2" xfId="9546" xr:uid="{00000000-0005-0000-0000-000078230000}"/>
    <cellStyle name="Примечание 7 23" xfId="4808" xr:uid="{00000000-0005-0000-0000-000079230000}"/>
    <cellStyle name="Примечание 7 23 2" xfId="9547" xr:uid="{00000000-0005-0000-0000-00007A230000}"/>
    <cellStyle name="Примечание 7 24" xfId="4809" xr:uid="{00000000-0005-0000-0000-00007B230000}"/>
    <cellStyle name="Примечание 7 24 2" xfId="9548" xr:uid="{00000000-0005-0000-0000-00007C230000}"/>
    <cellStyle name="Примечание 7 25" xfId="4810" xr:uid="{00000000-0005-0000-0000-00007D230000}"/>
    <cellStyle name="Примечание 7 25 2" xfId="9549" xr:uid="{00000000-0005-0000-0000-00007E230000}"/>
    <cellStyle name="Примечание 7 26" xfId="4811" xr:uid="{00000000-0005-0000-0000-00007F230000}"/>
    <cellStyle name="Примечание 7 26 2" xfId="9550" xr:uid="{00000000-0005-0000-0000-000080230000}"/>
    <cellStyle name="Примечание 7 27" xfId="4812" xr:uid="{00000000-0005-0000-0000-000081230000}"/>
    <cellStyle name="Примечание 7 27 2" xfId="9551" xr:uid="{00000000-0005-0000-0000-000082230000}"/>
    <cellStyle name="Примечание 7 28" xfId="4813" xr:uid="{00000000-0005-0000-0000-000083230000}"/>
    <cellStyle name="Примечание 7 28 2" xfId="9552" xr:uid="{00000000-0005-0000-0000-000084230000}"/>
    <cellStyle name="Примечание 7 29" xfId="4814" xr:uid="{00000000-0005-0000-0000-000085230000}"/>
    <cellStyle name="Примечание 7 29 2" xfId="9553" xr:uid="{00000000-0005-0000-0000-000086230000}"/>
    <cellStyle name="Примечание 7 3" xfId="4815" xr:uid="{00000000-0005-0000-0000-000087230000}"/>
    <cellStyle name="Примечание 7 3 2" xfId="4816" xr:uid="{00000000-0005-0000-0000-000088230000}"/>
    <cellStyle name="Примечание 7 3 2 2" xfId="9554" xr:uid="{00000000-0005-0000-0000-000089230000}"/>
    <cellStyle name="Примечание 7 3 3" xfId="4817" xr:uid="{00000000-0005-0000-0000-00008A230000}"/>
    <cellStyle name="Примечание 7 3 3 2" xfId="9555" xr:uid="{00000000-0005-0000-0000-00008B230000}"/>
    <cellStyle name="Примечание 7 3 4" xfId="9556" xr:uid="{00000000-0005-0000-0000-00008C230000}"/>
    <cellStyle name="Примечание 7 30" xfId="4818" xr:uid="{00000000-0005-0000-0000-00008D230000}"/>
    <cellStyle name="Примечание 7 30 2" xfId="9557" xr:uid="{00000000-0005-0000-0000-00008E230000}"/>
    <cellStyle name="Примечание 7 31" xfId="4819" xr:uid="{00000000-0005-0000-0000-00008F230000}"/>
    <cellStyle name="Примечание 7 31 2" xfId="9558" xr:uid="{00000000-0005-0000-0000-000090230000}"/>
    <cellStyle name="Примечание 7 32" xfId="4820" xr:uid="{00000000-0005-0000-0000-000091230000}"/>
    <cellStyle name="Примечание 7 32 2" xfId="9559" xr:uid="{00000000-0005-0000-0000-000092230000}"/>
    <cellStyle name="Примечание 7 33" xfId="4821" xr:uid="{00000000-0005-0000-0000-000093230000}"/>
    <cellStyle name="Примечание 7 33 2" xfId="9560" xr:uid="{00000000-0005-0000-0000-000094230000}"/>
    <cellStyle name="Примечание 7 34" xfId="4822" xr:uid="{00000000-0005-0000-0000-000095230000}"/>
    <cellStyle name="Примечание 7 34 2" xfId="9561" xr:uid="{00000000-0005-0000-0000-000096230000}"/>
    <cellStyle name="Примечание 7 35" xfId="4823" xr:uid="{00000000-0005-0000-0000-000097230000}"/>
    <cellStyle name="Примечание 7 35 2" xfId="9562" xr:uid="{00000000-0005-0000-0000-000098230000}"/>
    <cellStyle name="Примечание 7 36" xfId="4824" xr:uid="{00000000-0005-0000-0000-000099230000}"/>
    <cellStyle name="Примечание 7 36 2" xfId="9563" xr:uid="{00000000-0005-0000-0000-00009A230000}"/>
    <cellStyle name="Примечание 7 37" xfId="4825" xr:uid="{00000000-0005-0000-0000-00009B230000}"/>
    <cellStyle name="Примечание 7 37 2" xfId="9564" xr:uid="{00000000-0005-0000-0000-00009C230000}"/>
    <cellStyle name="Примечание 7 38" xfId="4826" xr:uid="{00000000-0005-0000-0000-00009D230000}"/>
    <cellStyle name="Примечание 7 38 2" xfId="9565" xr:uid="{00000000-0005-0000-0000-00009E230000}"/>
    <cellStyle name="Примечание 7 39" xfId="4827" xr:uid="{00000000-0005-0000-0000-00009F230000}"/>
    <cellStyle name="Примечание 7 39 2" xfId="9566" xr:uid="{00000000-0005-0000-0000-0000A0230000}"/>
    <cellStyle name="Примечание 7 4" xfId="4828" xr:uid="{00000000-0005-0000-0000-0000A1230000}"/>
    <cellStyle name="Примечание 7 4 2" xfId="4829" xr:uid="{00000000-0005-0000-0000-0000A2230000}"/>
    <cellStyle name="Примечание 7 4 2 2" xfId="9567" xr:uid="{00000000-0005-0000-0000-0000A3230000}"/>
    <cellStyle name="Примечание 7 4 3" xfId="4830" xr:uid="{00000000-0005-0000-0000-0000A4230000}"/>
    <cellStyle name="Примечание 7 4 3 2" xfId="9568" xr:uid="{00000000-0005-0000-0000-0000A5230000}"/>
    <cellStyle name="Примечание 7 4 4" xfId="9569" xr:uid="{00000000-0005-0000-0000-0000A6230000}"/>
    <cellStyle name="Примечание 7 40" xfId="4831" xr:uid="{00000000-0005-0000-0000-0000A7230000}"/>
    <cellStyle name="Примечание 7 40 2" xfId="9570" xr:uid="{00000000-0005-0000-0000-0000A8230000}"/>
    <cellStyle name="Примечание 7 41" xfId="4832" xr:uid="{00000000-0005-0000-0000-0000A9230000}"/>
    <cellStyle name="Примечание 7 41 2" xfId="9571" xr:uid="{00000000-0005-0000-0000-0000AA230000}"/>
    <cellStyle name="Примечание 7 42" xfId="4833" xr:uid="{00000000-0005-0000-0000-0000AB230000}"/>
    <cellStyle name="Примечание 7 42 2" xfId="9572" xr:uid="{00000000-0005-0000-0000-0000AC230000}"/>
    <cellStyle name="Примечание 7 43" xfId="4834" xr:uid="{00000000-0005-0000-0000-0000AD230000}"/>
    <cellStyle name="Примечание 7 43 2" xfId="9573" xr:uid="{00000000-0005-0000-0000-0000AE230000}"/>
    <cellStyle name="Примечание 7 44" xfId="4835" xr:uid="{00000000-0005-0000-0000-0000AF230000}"/>
    <cellStyle name="Примечание 7 44 2" xfId="9574" xr:uid="{00000000-0005-0000-0000-0000B0230000}"/>
    <cellStyle name="Примечание 7 45" xfId="4836" xr:uid="{00000000-0005-0000-0000-0000B1230000}"/>
    <cellStyle name="Примечание 7 45 2" xfId="9575" xr:uid="{00000000-0005-0000-0000-0000B2230000}"/>
    <cellStyle name="Примечание 7 46" xfId="4837" xr:uid="{00000000-0005-0000-0000-0000B3230000}"/>
    <cellStyle name="Примечание 7 46 2" xfId="9576" xr:uid="{00000000-0005-0000-0000-0000B4230000}"/>
    <cellStyle name="Примечание 7 47" xfId="4838" xr:uid="{00000000-0005-0000-0000-0000B5230000}"/>
    <cellStyle name="Примечание 7 47 2" xfId="9577" xr:uid="{00000000-0005-0000-0000-0000B6230000}"/>
    <cellStyle name="Примечание 7 48" xfId="4839" xr:uid="{00000000-0005-0000-0000-0000B7230000}"/>
    <cellStyle name="Примечание 7 48 2" xfId="9578" xr:uid="{00000000-0005-0000-0000-0000B8230000}"/>
    <cellStyle name="Примечание 7 49" xfId="4840" xr:uid="{00000000-0005-0000-0000-0000B9230000}"/>
    <cellStyle name="Примечание 7 49 2" xfId="9579" xr:uid="{00000000-0005-0000-0000-0000BA230000}"/>
    <cellStyle name="Примечание 7 5" xfId="4841" xr:uid="{00000000-0005-0000-0000-0000BB230000}"/>
    <cellStyle name="Примечание 7 5 2" xfId="9580" xr:uid="{00000000-0005-0000-0000-0000BC230000}"/>
    <cellStyle name="Примечание 7 50" xfId="4842" xr:uid="{00000000-0005-0000-0000-0000BD230000}"/>
    <cellStyle name="Примечание 7 50 2" xfId="9581" xr:uid="{00000000-0005-0000-0000-0000BE230000}"/>
    <cellStyle name="Примечание 7 51" xfId="4843" xr:uid="{00000000-0005-0000-0000-0000BF230000}"/>
    <cellStyle name="Примечание 7 51 2" xfId="9582" xr:uid="{00000000-0005-0000-0000-0000C0230000}"/>
    <cellStyle name="Примечание 7 52" xfId="4844" xr:uid="{00000000-0005-0000-0000-0000C1230000}"/>
    <cellStyle name="Примечание 7 52 2" xfId="9583" xr:uid="{00000000-0005-0000-0000-0000C2230000}"/>
    <cellStyle name="Примечание 7 53" xfId="4845" xr:uid="{00000000-0005-0000-0000-0000C3230000}"/>
    <cellStyle name="Примечание 7 53 2" xfId="9584" xr:uid="{00000000-0005-0000-0000-0000C4230000}"/>
    <cellStyle name="Примечание 7 54" xfId="4846" xr:uid="{00000000-0005-0000-0000-0000C5230000}"/>
    <cellStyle name="Примечание 7 54 2" xfId="9585" xr:uid="{00000000-0005-0000-0000-0000C6230000}"/>
    <cellStyle name="Примечание 7 55" xfId="4847" xr:uid="{00000000-0005-0000-0000-0000C7230000}"/>
    <cellStyle name="Примечание 7 55 2" xfId="9586" xr:uid="{00000000-0005-0000-0000-0000C8230000}"/>
    <cellStyle name="Примечание 7 56" xfId="4848" xr:uid="{00000000-0005-0000-0000-0000C9230000}"/>
    <cellStyle name="Примечание 7 56 2" xfId="9587" xr:uid="{00000000-0005-0000-0000-0000CA230000}"/>
    <cellStyle name="Примечание 7 57" xfId="4849" xr:uid="{00000000-0005-0000-0000-0000CB230000}"/>
    <cellStyle name="Примечание 7 57 2" xfId="9588" xr:uid="{00000000-0005-0000-0000-0000CC230000}"/>
    <cellStyle name="Примечание 7 58" xfId="4850" xr:uid="{00000000-0005-0000-0000-0000CD230000}"/>
    <cellStyle name="Примечание 7 58 2" xfId="9589" xr:uid="{00000000-0005-0000-0000-0000CE230000}"/>
    <cellStyle name="Примечание 7 59" xfId="4851" xr:uid="{00000000-0005-0000-0000-0000CF230000}"/>
    <cellStyle name="Примечание 7 59 2" xfId="9590" xr:uid="{00000000-0005-0000-0000-0000D0230000}"/>
    <cellStyle name="Примечание 7 6" xfId="4852" xr:uid="{00000000-0005-0000-0000-0000D1230000}"/>
    <cellStyle name="Примечание 7 6 2" xfId="9591" xr:uid="{00000000-0005-0000-0000-0000D2230000}"/>
    <cellStyle name="Примечание 7 60" xfId="4853" xr:uid="{00000000-0005-0000-0000-0000D3230000}"/>
    <cellStyle name="Примечание 7 60 2" xfId="9592" xr:uid="{00000000-0005-0000-0000-0000D4230000}"/>
    <cellStyle name="Примечание 7 61" xfId="4854" xr:uid="{00000000-0005-0000-0000-0000D5230000}"/>
    <cellStyle name="Примечание 7 61 2" xfId="9593" xr:uid="{00000000-0005-0000-0000-0000D6230000}"/>
    <cellStyle name="Примечание 7 62" xfId="4855" xr:uid="{00000000-0005-0000-0000-0000D7230000}"/>
    <cellStyle name="Примечание 7 62 2" xfId="9594" xr:uid="{00000000-0005-0000-0000-0000D8230000}"/>
    <cellStyle name="Примечание 7 63" xfId="4856" xr:uid="{00000000-0005-0000-0000-0000D9230000}"/>
    <cellStyle name="Примечание 7 63 2" xfId="9595" xr:uid="{00000000-0005-0000-0000-0000DA230000}"/>
    <cellStyle name="Примечание 7 64" xfId="4857" xr:uid="{00000000-0005-0000-0000-0000DB230000}"/>
    <cellStyle name="Примечание 7 64 2" xfId="9596" xr:uid="{00000000-0005-0000-0000-0000DC230000}"/>
    <cellStyle name="Примечание 7 65" xfId="4858" xr:uid="{00000000-0005-0000-0000-0000DD230000}"/>
    <cellStyle name="Примечание 7 65 2" xfId="9597" xr:uid="{00000000-0005-0000-0000-0000DE230000}"/>
    <cellStyle name="Примечание 7 66" xfId="4859" xr:uid="{00000000-0005-0000-0000-0000DF230000}"/>
    <cellStyle name="Примечание 7 66 2" xfId="9598" xr:uid="{00000000-0005-0000-0000-0000E0230000}"/>
    <cellStyle name="Примечание 7 67" xfId="4860" xr:uid="{00000000-0005-0000-0000-0000E1230000}"/>
    <cellStyle name="Примечание 7 67 2" xfId="9599" xr:uid="{00000000-0005-0000-0000-0000E2230000}"/>
    <cellStyle name="Примечание 7 68" xfId="4861" xr:uid="{00000000-0005-0000-0000-0000E3230000}"/>
    <cellStyle name="Примечание 7 68 2" xfId="9600" xr:uid="{00000000-0005-0000-0000-0000E4230000}"/>
    <cellStyle name="Примечание 7 69" xfId="4862" xr:uid="{00000000-0005-0000-0000-0000E5230000}"/>
    <cellStyle name="Примечание 7 69 2" xfId="9601" xr:uid="{00000000-0005-0000-0000-0000E6230000}"/>
    <cellStyle name="Примечание 7 7" xfId="4863" xr:uid="{00000000-0005-0000-0000-0000E7230000}"/>
    <cellStyle name="Примечание 7 7 2" xfId="9602" xr:uid="{00000000-0005-0000-0000-0000E8230000}"/>
    <cellStyle name="Примечание 7 70" xfId="4864" xr:uid="{00000000-0005-0000-0000-0000E9230000}"/>
    <cellStyle name="Примечание 7 70 2" xfId="9603" xr:uid="{00000000-0005-0000-0000-0000EA230000}"/>
    <cellStyle name="Примечание 7 71" xfId="4865" xr:uid="{00000000-0005-0000-0000-0000EB230000}"/>
    <cellStyle name="Примечание 7 71 2" xfId="9604" xr:uid="{00000000-0005-0000-0000-0000EC230000}"/>
    <cellStyle name="Примечание 7 72" xfId="4866" xr:uid="{00000000-0005-0000-0000-0000ED230000}"/>
    <cellStyle name="Примечание 7 72 2" xfId="9605" xr:uid="{00000000-0005-0000-0000-0000EE230000}"/>
    <cellStyle name="Примечание 7 73" xfId="4867" xr:uid="{00000000-0005-0000-0000-0000EF230000}"/>
    <cellStyle name="Примечание 7 73 2" xfId="9606" xr:uid="{00000000-0005-0000-0000-0000F0230000}"/>
    <cellStyle name="Примечание 7 74" xfId="4868" xr:uid="{00000000-0005-0000-0000-0000F1230000}"/>
    <cellStyle name="Примечание 7 74 2" xfId="9607" xr:uid="{00000000-0005-0000-0000-0000F2230000}"/>
    <cellStyle name="Примечание 7 75" xfId="4869" xr:uid="{00000000-0005-0000-0000-0000F3230000}"/>
    <cellStyle name="Примечание 7 75 2" xfId="9608" xr:uid="{00000000-0005-0000-0000-0000F4230000}"/>
    <cellStyle name="Примечание 7 76" xfId="4870" xr:uid="{00000000-0005-0000-0000-0000F5230000}"/>
    <cellStyle name="Примечание 7 76 2" xfId="9609" xr:uid="{00000000-0005-0000-0000-0000F6230000}"/>
    <cellStyle name="Примечание 7 77" xfId="4871" xr:uid="{00000000-0005-0000-0000-0000F7230000}"/>
    <cellStyle name="Примечание 7 77 2" xfId="9610" xr:uid="{00000000-0005-0000-0000-0000F8230000}"/>
    <cellStyle name="Примечание 7 78" xfId="4872" xr:uid="{00000000-0005-0000-0000-0000F9230000}"/>
    <cellStyle name="Примечание 7 78 2" xfId="9611" xr:uid="{00000000-0005-0000-0000-0000FA230000}"/>
    <cellStyle name="Примечание 7 79" xfId="4873" xr:uid="{00000000-0005-0000-0000-0000FB230000}"/>
    <cellStyle name="Примечание 7 79 2" xfId="9612" xr:uid="{00000000-0005-0000-0000-0000FC230000}"/>
    <cellStyle name="Примечание 7 8" xfId="4874" xr:uid="{00000000-0005-0000-0000-0000FD230000}"/>
    <cellStyle name="Примечание 7 8 2" xfId="9613" xr:uid="{00000000-0005-0000-0000-0000FE230000}"/>
    <cellStyle name="Примечание 7 80" xfId="4875" xr:uid="{00000000-0005-0000-0000-0000FF230000}"/>
    <cellStyle name="Примечание 7 80 2" xfId="9614" xr:uid="{00000000-0005-0000-0000-000000240000}"/>
    <cellStyle name="Примечание 7 81" xfId="4876" xr:uid="{00000000-0005-0000-0000-000001240000}"/>
    <cellStyle name="Примечание 7 81 2" xfId="9615" xr:uid="{00000000-0005-0000-0000-000002240000}"/>
    <cellStyle name="Примечание 7 82" xfId="4877" xr:uid="{00000000-0005-0000-0000-000003240000}"/>
    <cellStyle name="Примечание 7 82 2" xfId="9616" xr:uid="{00000000-0005-0000-0000-000004240000}"/>
    <cellStyle name="Примечание 7 83" xfId="4878" xr:uid="{00000000-0005-0000-0000-000005240000}"/>
    <cellStyle name="Примечание 7 83 2" xfId="9617" xr:uid="{00000000-0005-0000-0000-000006240000}"/>
    <cellStyle name="Примечание 7 84" xfId="4879" xr:uid="{00000000-0005-0000-0000-000007240000}"/>
    <cellStyle name="Примечание 7 84 2" xfId="9618" xr:uid="{00000000-0005-0000-0000-000008240000}"/>
    <cellStyle name="Примечание 7 85" xfId="4880" xr:uid="{00000000-0005-0000-0000-000009240000}"/>
    <cellStyle name="Примечание 7 85 2" xfId="9619" xr:uid="{00000000-0005-0000-0000-00000A240000}"/>
    <cellStyle name="Примечание 7 86" xfId="4881" xr:uid="{00000000-0005-0000-0000-00000B240000}"/>
    <cellStyle name="Примечание 7 86 2" xfId="9620" xr:uid="{00000000-0005-0000-0000-00000C240000}"/>
    <cellStyle name="Примечание 7 87" xfId="4882" xr:uid="{00000000-0005-0000-0000-00000D240000}"/>
    <cellStyle name="Примечание 7 87 2" xfId="9621" xr:uid="{00000000-0005-0000-0000-00000E240000}"/>
    <cellStyle name="Примечание 7 88" xfId="4883" xr:uid="{00000000-0005-0000-0000-00000F240000}"/>
    <cellStyle name="Примечание 7 88 2" xfId="9622" xr:uid="{00000000-0005-0000-0000-000010240000}"/>
    <cellStyle name="Примечание 7 89" xfId="4884" xr:uid="{00000000-0005-0000-0000-000011240000}"/>
    <cellStyle name="Примечание 7 89 2" xfId="9623" xr:uid="{00000000-0005-0000-0000-000012240000}"/>
    <cellStyle name="Примечание 7 9" xfId="4885" xr:uid="{00000000-0005-0000-0000-000013240000}"/>
    <cellStyle name="Примечание 7 9 2" xfId="9624" xr:uid="{00000000-0005-0000-0000-000014240000}"/>
    <cellStyle name="Примечание 7 90" xfId="9625" xr:uid="{00000000-0005-0000-0000-000015240000}"/>
    <cellStyle name="Примечание 8" xfId="358" xr:uid="{00000000-0005-0000-0000-000016240000}"/>
    <cellStyle name="Примечание 8 10" xfId="4886" xr:uid="{00000000-0005-0000-0000-000017240000}"/>
    <cellStyle name="Примечание 8 10 2" xfId="9626" xr:uid="{00000000-0005-0000-0000-000018240000}"/>
    <cellStyle name="Примечание 8 11" xfId="4887" xr:uid="{00000000-0005-0000-0000-000019240000}"/>
    <cellStyle name="Примечание 8 11 2" xfId="9627" xr:uid="{00000000-0005-0000-0000-00001A240000}"/>
    <cellStyle name="Примечание 8 12" xfId="4888" xr:uid="{00000000-0005-0000-0000-00001B240000}"/>
    <cellStyle name="Примечание 8 12 2" xfId="9628" xr:uid="{00000000-0005-0000-0000-00001C240000}"/>
    <cellStyle name="Примечание 8 13" xfId="4889" xr:uid="{00000000-0005-0000-0000-00001D240000}"/>
    <cellStyle name="Примечание 8 13 2" xfId="9629" xr:uid="{00000000-0005-0000-0000-00001E240000}"/>
    <cellStyle name="Примечание 8 14" xfId="4890" xr:uid="{00000000-0005-0000-0000-00001F240000}"/>
    <cellStyle name="Примечание 8 14 2" xfId="9630" xr:uid="{00000000-0005-0000-0000-000020240000}"/>
    <cellStyle name="Примечание 8 15" xfId="4891" xr:uid="{00000000-0005-0000-0000-000021240000}"/>
    <cellStyle name="Примечание 8 15 2" xfId="9631" xr:uid="{00000000-0005-0000-0000-000022240000}"/>
    <cellStyle name="Примечание 8 16" xfId="4892" xr:uid="{00000000-0005-0000-0000-000023240000}"/>
    <cellStyle name="Примечание 8 16 2" xfId="9632" xr:uid="{00000000-0005-0000-0000-000024240000}"/>
    <cellStyle name="Примечание 8 17" xfId="4893" xr:uid="{00000000-0005-0000-0000-000025240000}"/>
    <cellStyle name="Примечание 8 17 2" xfId="9633" xr:uid="{00000000-0005-0000-0000-000026240000}"/>
    <cellStyle name="Примечание 8 18" xfId="4894" xr:uid="{00000000-0005-0000-0000-000027240000}"/>
    <cellStyle name="Примечание 8 18 2" xfId="9634" xr:uid="{00000000-0005-0000-0000-000028240000}"/>
    <cellStyle name="Примечание 8 19" xfId="4895" xr:uid="{00000000-0005-0000-0000-000029240000}"/>
    <cellStyle name="Примечание 8 19 2" xfId="9635" xr:uid="{00000000-0005-0000-0000-00002A240000}"/>
    <cellStyle name="Примечание 8 2" xfId="4896" xr:uid="{00000000-0005-0000-0000-00002B240000}"/>
    <cellStyle name="Примечание 8 2 2" xfId="4897" xr:uid="{00000000-0005-0000-0000-00002C240000}"/>
    <cellStyle name="Примечание 8 2 2 2" xfId="9636" xr:uid="{00000000-0005-0000-0000-00002D240000}"/>
    <cellStyle name="Примечание 8 2 3" xfId="4898" xr:uid="{00000000-0005-0000-0000-00002E240000}"/>
    <cellStyle name="Примечание 8 2 3 2" xfId="9637" xr:uid="{00000000-0005-0000-0000-00002F240000}"/>
    <cellStyle name="Примечание 8 2 4" xfId="9638" xr:uid="{00000000-0005-0000-0000-000030240000}"/>
    <cellStyle name="Примечание 8 20" xfId="4899" xr:uid="{00000000-0005-0000-0000-000031240000}"/>
    <cellStyle name="Примечание 8 20 2" xfId="9639" xr:uid="{00000000-0005-0000-0000-000032240000}"/>
    <cellStyle name="Примечание 8 21" xfId="4900" xr:uid="{00000000-0005-0000-0000-000033240000}"/>
    <cellStyle name="Примечание 8 21 2" xfId="9640" xr:uid="{00000000-0005-0000-0000-000034240000}"/>
    <cellStyle name="Примечание 8 22" xfId="4901" xr:uid="{00000000-0005-0000-0000-000035240000}"/>
    <cellStyle name="Примечание 8 22 2" xfId="9641" xr:uid="{00000000-0005-0000-0000-000036240000}"/>
    <cellStyle name="Примечание 8 23" xfId="4902" xr:uid="{00000000-0005-0000-0000-000037240000}"/>
    <cellStyle name="Примечание 8 23 2" xfId="9642" xr:uid="{00000000-0005-0000-0000-000038240000}"/>
    <cellStyle name="Примечание 8 24" xfId="4903" xr:uid="{00000000-0005-0000-0000-000039240000}"/>
    <cellStyle name="Примечание 8 24 2" xfId="9643" xr:uid="{00000000-0005-0000-0000-00003A240000}"/>
    <cellStyle name="Примечание 8 25" xfId="4904" xr:uid="{00000000-0005-0000-0000-00003B240000}"/>
    <cellStyle name="Примечание 8 25 2" xfId="9644" xr:uid="{00000000-0005-0000-0000-00003C240000}"/>
    <cellStyle name="Примечание 8 26" xfId="4905" xr:uid="{00000000-0005-0000-0000-00003D240000}"/>
    <cellStyle name="Примечание 8 26 2" xfId="9645" xr:uid="{00000000-0005-0000-0000-00003E240000}"/>
    <cellStyle name="Примечание 8 27" xfId="4906" xr:uid="{00000000-0005-0000-0000-00003F240000}"/>
    <cellStyle name="Примечание 8 27 2" xfId="9646" xr:uid="{00000000-0005-0000-0000-000040240000}"/>
    <cellStyle name="Примечание 8 28" xfId="4907" xr:uid="{00000000-0005-0000-0000-000041240000}"/>
    <cellStyle name="Примечание 8 28 2" xfId="9647" xr:uid="{00000000-0005-0000-0000-000042240000}"/>
    <cellStyle name="Примечание 8 29" xfId="4908" xr:uid="{00000000-0005-0000-0000-000043240000}"/>
    <cellStyle name="Примечание 8 29 2" xfId="9648" xr:uid="{00000000-0005-0000-0000-000044240000}"/>
    <cellStyle name="Примечание 8 3" xfId="4909" xr:uid="{00000000-0005-0000-0000-000045240000}"/>
    <cellStyle name="Примечание 8 3 2" xfId="4910" xr:uid="{00000000-0005-0000-0000-000046240000}"/>
    <cellStyle name="Примечание 8 3 2 2" xfId="9649" xr:uid="{00000000-0005-0000-0000-000047240000}"/>
    <cellStyle name="Примечание 8 3 3" xfId="4911" xr:uid="{00000000-0005-0000-0000-000048240000}"/>
    <cellStyle name="Примечание 8 3 3 2" xfId="9650" xr:uid="{00000000-0005-0000-0000-000049240000}"/>
    <cellStyle name="Примечание 8 3 4" xfId="9651" xr:uid="{00000000-0005-0000-0000-00004A240000}"/>
    <cellStyle name="Примечание 8 30" xfId="4912" xr:uid="{00000000-0005-0000-0000-00004B240000}"/>
    <cellStyle name="Примечание 8 30 2" xfId="9652" xr:uid="{00000000-0005-0000-0000-00004C240000}"/>
    <cellStyle name="Примечание 8 31" xfId="4913" xr:uid="{00000000-0005-0000-0000-00004D240000}"/>
    <cellStyle name="Примечание 8 31 2" xfId="9653" xr:uid="{00000000-0005-0000-0000-00004E240000}"/>
    <cellStyle name="Примечание 8 32" xfId="4914" xr:uid="{00000000-0005-0000-0000-00004F240000}"/>
    <cellStyle name="Примечание 8 32 2" xfId="9654" xr:uid="{00000000-0005-0000-0000-000050240000}"/>
    <cellStyle name="Примечание 8 33" xfId="4915" xr:uid="{00000000-0005-0000-0000-000051240000}"/>
    <cellStyle name="Примечание 8 33 2" xfId="9655" xr:uid="{00000000-0005-0000-0000-000052240000}"/>
    <cellStyle name="Примечание 8 34" xfId="4916" xr:uid="{00000000-0005-0000-0000-000053240000}"/>
    <cellStyle name="Примечание 8 34 2" xfId="9656" xr:uid="{00000000-0005-0000-0000-000054240000}"/>
    <cellStyle name="Примечание 8 35" xfId="4917" xr:uid="{00000000-0005-0000-0000-000055240000}"/>
    <cellStyle name="Примечание 8 35 2" xfId="9657" xr:uid="{00000000-0005-0000-0000-000056240000}"/>
    <cellStyle name="Примечание 8 36" xfId="4918" xr:uid="{00000000-0005-0000-0000-000057240000}"/>
    <cellStyle name="Примечание 8 36 2" xfId="9658" xr:uid="{00000000-0005-0000-0000-000058240000}"/>
    <cellStyle name="Примечание 8 37" xfId="4919" xr:uid="{00000000-0005-0000-0000-000059240000}"/>
    <cellStyle name="Примечание 8 37 2" xfId="9659" xr:uid="{00000000-0005-0000-0000-00005A240000}"/>
    <cellStyle name="Примечание 8 38" xfId="4920" xr:uid="{00000000-0005-0000-0000-00005B240000}"/>
    <cellStyle name="Примечание 8 38 2" xfId="9660" xr:uid="{00000000-0005-0000-0000-00005C240000}"/>
    <cellStyle name="Примечание 8 39" xfId="4921" xr:uid="{00000000-0005-0000-0000-00005D240000}"/>
    <cellStyle name="Примечание 8 39 2" xfId="9661" xr:uid="{00000000-0005-0000-0000-00005E240000}"/>
    <cellStyle name="Примечание 8 4" xfId="4922" xr:uid="{00000000-0005-0000-0000-00005F240000}"/>
    <cellStyle name="Примечание 8 4 2" xfId="4923" xr:uid="{00000000-0005-0000-0000-000060240000}"/>
    <cellStyle name="Примечание 8 4 2 2" xfId="9662" xr:uid="{00000000-0005-0000-0000-000061240000}"/>
    <cellStyle name="Примечание 8 4 3" xfId="4924" xr:uid="{00000000-0005-0000-0000-000062240000}"/>
    <cellStyle name="Примечание 8 4 3 2" xfId="9663" xr:uid="{00000000-0005-0000-0000-000063240000}"/>
    <cellStyle name="Примечание 8 4 4" xfId="9664" xr:uid="{00000000-0005-0000-0000-000064240000}"/>
    <cellStyle name="Примечание 8 40" xfId="4925" xr:uid="{00000000-0005-0000-0000-000065240000}"/>
    <cellStyle name="Примечание 8 40 2" xfId="9665" xr:uid="{00000000-0005-0000-0000-000066240000}"/>
    <cellStyle name="Примечание 8 41" xfId="4926" xr:uid="{00000000-0005-0000-0000-000067240000}"/>
    <cellStyle name="Примечание 8 41 2" xfId="9666" xr:uid="{00000000-0005-0000-0000-000068240000}"/>
    <cellStyle name="Примечание 8 42" xfId="4927" xr:uid="{00000000-0005-0000-0000-000069240000}"/>
    <cellStyle name="Примечание 8 42 2" xfId="9667" xr:uid="{00000000-0005-0000-0000-00006A240000}"/>
    <cellStyle name="Примечание 8 43" xfId="4928" xr:uid="{00000000-0005-0000-0000-00006B240000}"/>
    <cellStyle name="Примечание 8 43 2" xfId="9668" xr:uid="{00000000-0005-0000-0000-00006C240000}"/>
    <cellStyle name="Примечание 8 44" xfId="4929" xr:uid="{00000000-0005-0000-0000-00006D240000}"/>
    <cellStyle name="Примечание 8 44 2" xfId="9669" xr:uid="{00000000-0005-0000-0000-00006E240000}"/>
    <cellStyle name="Примечание 8 45" xfId="4930" xr:uid="{00000000-0005-0000-0000-00006F240000}"/>
    <cellStyle name="Примечание 8 45 2" xfId="9670" xr:uid="{00000000-0005-0000-0000-000070240000}"/>
    <cellStyle name="Примечание 8 46" xfId="4931" xr:uid="{00000000-0005-0000-0000-000071240000}"/>
    <cellStyle name="Примечание 8 46 2" xfId="9671" xr:uid="{00000000-0005-0000-0000-000072240000}"/>
    <cellStyle name="Примечание 8 47" xfId="4932" xr:uid="{00000000-0005-0000-0000-000073240000}"/>
    <cellStyle name="Примечание 8 47 2" xfId="9672" xr:uid="{00000000-0005-0000-0000-000074240000}"/>
    <cellStyle name="Примечание 8 48" xfId="4933" xr:uid="{00000000-0005-0000-0000-000075240000}"/>
    <cellStyle name="Примечание 8 48 2" xfId="9673" xr:uid="{00000000-0005-0000-0000-000076240000}"/>
    <cellStyle name="Примечание 8 49" xfId="4934" xr:uid="{00000000-0005-0000-0000-000077240000}"/>
    <cellStyle name="Примечание 8 49 2" xfId="9674" xr:uid="{00000000-0005-0000-0000-000078240000}"/>
    <cellStyle name="Примечание 8 5" xfId="4935" xr:uid="{00000000-0005-0000-0000-000079240000}"/>
    <cellStyle name="Примечание 8 5 2" xfId="9675" xr:uid="{00000000-0005-0000-0000-00007A240000}"/>
    <cellStyle name="Примечание 8 50" xfId="4936" xr:uid="{00000000-0005-0000-0000-00007B240000}"/>
    <cellStyle name="Примечание 8 50 2" xfId="9676" xr:uid="{00000000-0005-0000-0000-00007C240000}"/>
    <cellStyle name="Примечание 8 51" xfId="4937" xr:uid="{00000000-0005-0000-0000-00007D240000}"/>
    <cellStyle name="Примечание 8 51 2" xfId="9677" xr:uid="{00000000-0005-0000-0000-00007E240000}"/>
    <cellStyle name="Примечание 8 52" xfId="4938" xr:uid="{00000000-0005-0000-0000-00007F240000}"/>
    <cellStyle name="Примечание 8 52 2" xfId="9678" xr:uid="{00000000-0005-0000-0000-000080240000}"/>
    <cellStyle name="Примечание 8 53" xfId="4939" xr:uid="{00000000-0005-0000-0000-000081240000}"/>
    <cellStyle name="Примечание 8 53 2" xfId="9679" xr:uid="{00000000-0005-0000-0000-000082240000}"/>
    <cellStyle name="Примечание 8 54" xfId="4940" xr:uid="{00000000-0005-0000-0000-000083240000}"/>
    <cellStyle name="Примечание 8 54 2" xfId="9680" xr:uid="{00000000-0005-0000-0000-000084240000}"/>
    <cellStyle name="Примечание 8 55" xfId="4941" xr:uid="{00000000-0005-0000-0000-000085240000}"/>
    <cellStyle name="Примечание 8 55 2" xfId="9681" xr:uid="{00000000-0005-0000-0000-000086240000}"/>
    <cellStyle name="Примечание 8 56" xfId="4942" xr:uid="{00000000-0005-0000-0000-000087240000}"/>
    <cellStyle name="Примечание 8 56 2" xfId="9682" xr:uid="{00000000-0005-0000-0000-000088240000}"/>
    <cellStyle name="Примечание 8 57" xfId="4943" xr:uid="{00000000-0005-0000-0000-000089240000}"/>
    <cellStyle name="Примечание 8 57 2" xfId="9683" xr:uid="{00000000-0005-0000-0000-00008A240000}"/>
    <cellStyle name="Примечание 8 58" xfId="4944" xr:uid="{00000000-0005-0000-0000-00008B240000}"/>
    <cellStyle name="Примечание 8 58 2" xfId="9684" xr:uid="{00000000-0005-0000-0000-00008C240000}"/>
    <cellStyle name="Примечание 8 59" xfId="4945" xr:uid="{00000000-0005-0000-0000-00008D240000}"/>
    <cellStyle name="Примечание 8 59 2" xfId="9685" xr:uid="{00000000-0005-0000-0000-00008E240000}"/>
    <cellStyle name="Примечание 8 6" xfId="4946" xr:uid="{00000000-0005-0000-0000-00008F240000}"/>
    <cellStyle name="Примечание 8 6 2" xfId="9686" xr:uid="{00000000-0005-0000-0000-000090240000}"/>
    <cellStyle name="Примечание 8 60" xfId="4947" xr:uid="{00000000-0005-0000-0000-000091240000}"/>
    <cellStyle name="Примечание 8 60 2" xfId="9687" xr:uid="{00000000-0005-0000-0000-000092240000}"/>
    <cellStyle name="Примечание 8 61" xfId="4948" xr:uid="{00000000-0005-0000-0000-000093240000}"/>
    <cellStyle name="Примечание 8 61 2" xfId="9688" xr:uid="{00000000-0005-0000-0000-000094240000}"/>
    <cellStyle name="Примечание 8 62" xfId="4949" xr:uid="{00000000-0005-0000-0000-000095240000}"/>
    <cellStyle name="Примечание 8 62 2" xfId="9689" xr:uid="{00000000-0005-0000-0000-000096240000}"/>
    <cellStyle name="Примечание 8 63" xfId="4950" xr:uid="{00000000-0005-0000-0000-000097240000}"/>
    <cellStyle name="Примечание 8 63 2" xfId="9690" xr:uid="{00000000-0005-0000-0000-000098240000}"/>
    <cellStyle name="Примечание 8 64" xfId="4951" xr:uid="{00000000-0005-0000-0000-000099240000}"/>
    <cellStyle name="Примечание 8 64 2" xfId="9691" xr:uid="{00000000-0005-0000-0000-00009A240000}"/>
    <cellStyle name="Примечание 8 65" xfId="4952" xr:uid="{00000000-0005-0000-0000-00009B240000}"/>
    <cellStyle name="Примечание 8 65 2" xfId="9692" xr:uid="{00000000-0005-0000-0000-00009C240000}"/>
    <cellStyle name="Примечание 8 66" xfId="4953" xr:uid="{00000000-0005-0000-0000-00009D240000}"/>
    <cellStyle name="Примечание 8 66 2" xfId="9693" xr:uid="{00000000-0005-0000-0000-00009E240000}"/>
    <cellStyle name="Примечание 8 67" xfId="4954" xr:uid="{00000000-0005-0000-0000-00009F240000}"/>
    <cellStyle name="Примечание 8 67 2" xfId="9694" xr:uid="{00000000-0005-0000-0000-0000A0240000}"/>
    <cellStyle name="Примечание 8 68" xfId="4955" xr:uid="{00000000-0005-0000-0000-0000A1240000}"/>
    <cellStyle name="Примечание 8 68 2" xfId="9695" xr:uid="{00000000-0005-0000-0000-0000A2240000}"/>
    <cellStyle name="Примечание 8 69" xfId="4956" xr:uid="{00000000-0005-0000-0000-0000A3240000}"/>
    <cellStyle name="Примечание 8 69 2" xfId="9696" xr:uid="{00000000-0005-0000-0000-0000A4240000}"/>
    <cellStyle name="Примечание 8 7" xfId="4957" xr:uid="{00000000-0005-0000-0000-0000A5240000}"/>
    <cellStyle name="Примечание 8 7 2" xfId="9697" xr:uid="{00000000-0005-0000-0000-0000A6240000}"/>
    <cellStyle name="Примечание 8 70" xfId="4958" xr:uid="{00000000-0005-0000-0000-0000A7240000}"/>
    <cellStyle name="Примечание 8 70 2" xfId="9698" xr:uid="{00000000-0005-0000-0000-0000A8240000}"/>
    <cellStyle name="Примечание 8 71" xfId="4959" xr:uid="{00000000-0005-0000-0000-0000A9240000}"/>
    <cellStyle name="Примечание 8 71 2" xfId="9699" xr:uid="{00000000-0005-0000-0000-0000AA240000}"/>
    <cellStyle name="Примечание 8 72" xfId="4960" xr:uid="{00000000-0005-0000-0000-0000AB240000}"/>
    <cellStyle name="Примечание 8 72 2" xfId="9700" xr:uid="{00000000-0005-0000-0000-0000AC240000}"/>
    <cellStyle name="Примечание 8 73" xfId="4961" xr:uid="{00000000-0005-0000-0000-0000AD240000}"/>
    <cellStyle name="Примечание 8 73 2" xfId="9701" xr:uid="{00000000-0005-0000-0000-0000AE240000}"/>
    <cellStyle name="Примечание 8 74" xfId="4962" xr:uid="{00000000-0005-0000-0000-0000AF240000}"/>
    <cellStyle name="Примечание 8 74 2" xfId="9702" xr:uid="{00000000-0005-0000-0000-0000B0240000}"/>
    <cellStyle name="Примечание 8 75" xfId="4963" xr:uid="{00000000-0005-0000-0000-0000B1240000}"/>
    <cellStyle name="Примечание 8 75 2" xfId="9703" xr:uid="{00000000-0005-0000-0000-0000B2240000}"/>
    <cellStyle name="Примечание 8 76" xfId="4964" xr:uid="{00000000-0005-0000-0000-0000B3240000}"/>
    <cellStyle name="Примечание 8 76 2" xfId="9704" xr:uid="{00000000-0005-0000-0000-0000B4240000}"/>
    <cellStyle name="Примечание 8 77" xfId="4965" xr:uid="{00000000-0005-0000-0000-0000B5240000}"/>
    <cellStyle name="Примечание 8 77 2" xfId="9705" xr:uid="{00000000-0005-0000-0000-0000B6240000}"/>
    <cellStyle name="Примечание 8 78" xfId="4966" xr:uid="{00000000-0005-0000-0000-0000B7240000}"/>
    <cellStyle name="Примечание 8 78 2" xfId="9706" xr:uid="{00000000-0005-0000-0000-0000B8240000}"/>
    <cellStyle name="Примечание 8 79" xfId="4967" xr:uid="{00000000-0005-0000-0000-0000B9240000}"/>
    <cellStyle name="Примечание 8 79 2" xfId="9707" xr:uid="{00000000-0005-0000-0000-0000BA240000}"/>
    <cellStyle name="Примечание 8 8" xfId="4968" xr:uid="{00000000-0005-0000-0000-0000BB240000}"/>
    <cellStyle name="Примечание 8 8 2" xfId="9708" xr:uid="{00000000-0005-0000-0000-0000BC240000}"/>
    <cellStyle name="Примечание 8 80" xfId="4969" xr:uid="{00000000-0005-0000-0000-0000BD240000}"/>
    <cellStyle name="Примечание 8 80 2" xfId="9709" xr:uid="{00000000-0005-0000-0000-0000BE240000}"/>
    <cellStyle name="Примечание 8 81" xfId="4970" xr:uid="{00000000-0005-0000-0000-0000BF240000}"/>
    <cellStyle name="Примечание 8 81 2" xfId="9710" xr:uid="{00000000-0005-0000-0000-0000C0240000}"/>
    <cellStyle name="Примечание 8 82" xfId="4971" xr:uid="{00000000-0005-0000-0000-0000C1240000}"/>
    <cellStyle name="Примечание 8 82 2" xfId="9711" xr:uid="{00000000-0005-0000-0000-0000C2240000}"/>
    <cellStyle name="Примечание 8 83" xfId="4972" xr:uid="{00000000-0005-0000-0000-0000C3240000}"/>
    <cellStyle name="Примечание 8 83 2" xfId="9712" xr:uid="{00000000-0005-0000-0000-0000C4240000}"/>
    <cellStyle name="Примечание 8 84" xfId="4973" xr:uid="{00000000-0005-0000-0000-0000C5240000}"/>
    <cellStyle name="Примечание 8 84 2" xfId="9713" xr:uid="{00000000-0005-0000-0000-0000C6240000}"/>
    <cellStyle name="Примечание 8 85" xfId="4974" xr:uid="{00000000-0005-0000-0000-0000C7240000}"/>
    <cellStyle name="Примечание 8 85 2" xfId="9714" xr:uid="{00000000-0005-0000-0000-0000C8240000}"/>
    <cellStyle name="Примечание 8 86" xfId="4975" xr:uid="{00000000-0005-0000-0000-0000C9240000}"/>
    <cellStyle name="Примечание 8 86 2" xfId="9715" xr:uid="{00000000-0005-0000-0000-0000CA240000}"/>
    <cellStyle name="Примечание 8 87" xfId="4976" xr:uid="{00000000-0005-0000-0000-0000CB240000}"/>
    <cellStyle name="Примечание 8 87 2" xfId="9716" xr:uid="{00000000-0005-0000-0000-0000CC240000}"/>
    <cellStyle name="Примечание 8 88" xfId="4977" xr:uid="{00000000-0005-0000-0000-0000CD240000}"/>
    <cellStyle name="Примечание 8 88 2" xfId="9717" xr:uid="{00000000-0005-0000-0000-0000CE240000}"/>
    <cellStyle name="Примечание 8 89" xfId="4978" xr:uid="{00000000-0005-0000-0000-0000CF240000}"/>
    <cellStyle name="Примечание 8 89 2" xfId="9718" xr:uid="{00000000-0005-0000-0000-0000D0240000}"/>
    <cellStyle name="Примечание 8 9" xfId="4979" xr:uid="{00000000-0005-0000-0000-0000D1240000}"/>
    <cellStyle name="Примечание 8 9 2" xfId="9719" xr:uid="{00000000-0005-0000-0000-0000D2240000}"/>
    <cellStyle name="Примечание 8 90" xfId="9720" xr:uid="{00000000-0005-0000-0000-0000D3240000}"/>
    <cellStyle name="Примечание 9" xfId="359" xr:uid="{00000000-0005-0000-0000-0000D4240000}"/>
    <cellStyle name="Примечание 9 10" xfId="4980" xr:uid="{00000000-0005-0000-0000-0000D5240000}"/>
    <cellStyle name="Примечание 9 10 2" xfId="9721" xr:uid="{00000000-0005-0000-0000-0000D6240000}"/>
    <cellStyle name="Примечание 9 11" xfId="4981" xr:uid="{00000000-0005-0000-0000-0000D7240000}"/>
    <cellStyle name="Примечание 9 11 2" xfId="9722" xr:uid="{00000000-0005-0000-0000-0000D8240000}"/>
    <cellStyle name="Примечание 9 12" xfId="4982" xr:uid="{00000000-0005-0000-0000-0000D9240000}"/>
    <cellStyle name="Примечание 9 12 2" xfId="9723" xr:uid="{00000000-0005-0000-0000-0000DA240000}"/>
    <cellStyle name="Примечание 9 13" xfId="4983" xr:uid="{00000000-0005-0000-0000-0000DB240000}"/>
    <cellStyle name="Примечание 9 13 2" xfId="9724" xr:uid="{00000000-0005-0000-0000-0000DC240000}"/>
    <cellStyle name="Примечание 9 14" xfId="4984" xr:uid="{00000000-0005-0000-0000-0000DD240000}"/>
    <cellStyle name="Примечание 9 14 2" xfId="9725" xr:uid="{00000000-0005-0000-0000-0000DE240000}"/>
    <cellStyle name="Примечание 9 15" xfId="4985" xr:uid="{00000000-0005-0000-0000-0000DF240000}"/>
    <cellStyle name="Примечание 9 15 2" xfId="9726" xr:uid="{00000000-0005-0000-0000-0000E0240000}"/>
    <cellStyle name="Примечание 9 16" xfId="4986" xr:uid="{00000000-0005-0000-0000-0000E1240000}"/>
    <cellStyle name="Примечание 9 16 2" xfId="9727" xr:uid="{00000000-0005-0000-0000-0000E2240000}"/>
    <cellStyle name="Примечание 9 17" xfId="4987" xr:uid="{00000000-0005-0000-0000-0000E3240000}"/>
    <cellStyle name="Примечание 9 17 2" xfId="9728" xr:uid="{00000000-0005-0000-0000-0000E4240000}"/>
    <cellStyle name="Примечание 9 18" xfId="4988" xr:uid="{00000000-0005-0000-0000-0000E5240000}"/>
    <cellStyle name="Примечание 9 18 2" xfId="9729" xr:uid="{00000000-0005-0000-0000-0000E6240000}"/>
    <cellStyle name="Примечание 9 19" xfId="4989" xr:uid="{00000000-0005-0000-0000-0000E7240000}"/>
    <cellStyle name="Примечание 9 19 2" xfId="9730" xr:uid="{00000000-0005-0000-0000-0000E8240000}"/>
    <cellStyle name="Примечание 9 2" xfId="4990" xr:uid="{00000000-0005-0000-0000-0000E9240000}"/>
    <cellStyle name="Примечание 9 2 2" xfId="4991" xr:uid="{00000000-0005-0000-0000-0000EA240000}"/>
    <cellStyle name="Примечание 9 2 2 2" xfId="9731" xr:uid="{00000000-0005-0000-0000-0000EB240000}"/>
    <cellStyle name="Примечание 9 2 3" xfId="4992" xr:uid="{00000000-0005-0000-0000-0000EC240000}"/>
    <cellStyle name="Примечание 9 2 3 2" xfId="9732" xr:uid="{00000000-0005-0000-0000-0000ED240000}"/>
    <cellStyle name="Примечание 9 2 4" xfId="9733" xr:uid="{00000000-0005-0000-0000-0000EE240000}"/>
    <cellStyle name="Примечание 9 20" xfId="4993" xr:uid="{00000000-0005-0000-0000-0000EF240000}"/>
    <cellStyle name="Примечание 9 20 2" xfId="9734" xr:uid="{00000000-0005-0000-0000-0000F0240000}"/>
    <cellStyle name="Примечание 9 21" xfId="4994" xr:uid="{00000000-0005-0000-0000-0000F1240000}"/>
    <cellStyle name="Примечание 9 21 2" xfId="9735" xr:uid="{00000000-0005-0000-0000-0000F2240000}"/>
    <cellStyle name="Примечание 9 22" xfId="4995" xr:uid="{00000000-0005-0000-0000-0000F3240000}"/>
    <cellStyle name="Примечание 9 22 2" xfId="9736" xr:uid="{00000000-0005-0000-0000-0000F4240000}"/>
    <cellStyle name="Примечание 9 23" xfId="4996" xr:uid="{00000000-0005-0000-0000-0000F5240000}"/>
    <cellStyle name="Примечание 9 23 2" xfId="9737" xr:uid="{00000000-0005-0000-0000-0000F6240000}"/>
    <cellStyle name="Примечание 9 24" xfId="4997" xr:uid="{00000000-0005-0000-0000-0000F7240000}"/>
    <cellStyle name="Примечание 9 24 2" xfId="9738" xr:uid="{00000000-0005-0000-0000-0000F8240000}"/>
    <cellStyle name="Примечание 9 25" xfId="4998" xr:uid="{00000000-0005-0000-0000-0000F9240000}"/>
    <cellStyle name="Примечание 9 25 2" xfId="9739" xr:uid="{00000000-0005-0000-0000-0000FA240000}"/>
    <cellStyle name="Примечание 9 26" xfId="4999" xr:uid="{00000000-0005-0000-0000-0000FB240000}"/>
    <cellStyle name="Примечание 9 26 2" xfId="9740" xr:uid="{00000000-0005-0000-0000-0000FC240000}"/>
    <cellStyle name="Примечание 9 27" xfId="5000" xr:uid="{00000000-0005-0000-0000-0000FD240000}"/>
    <cellStyle name="Примечание 9 27 2" xfId="9741" xr:uid="{00000000-0005-0000-0000-0000FE240000}"/>
    <cellStyle name="Примечание 9 28" xfId="5001" xr:uid="{00000000-0005-0000-0000-0000FF240000}"/>
    <cellStyle name="Примечание 9 28 2" xfId="9742" xr:uid="{00000000-0005-0000-0000-000000250000}"/>
    <cellStyle name="Примечание 9 29" xfId="5002" xr:uid="{00000000-0005-0000-0000-000001250000}"/>
    <cellStyle name="Примечание 9 29 2" xfId="9743" xr:uid="{00000000-0005-0000-0000-000002250000}"/>
    <cellStyle name="Примечание 9 3" xfId="5003" xr:uid="{00000000-0005-0000-0000-000003250000}"/>
    <cellStyle name="Примечание 9 3 2" xfId="5004" xr:uid="{00000000-0005-0000-0000-000004250000}"/>
    <cellStyle name="Примечание 9 3 2 2" xfId="9744" xr:uid="{00000000-0005-0000-0000-000005250000}"/>
    <cellStyle name="Примечание 9 3 3" xfId="5005" xr:uid="{00000000-0005-0000-0000-000006250000}"/>
    <cellStyle name="Примечание 9 3 3 2" xfId="9745" xr:uid="{00000000-0005-0000-0000-000007250000}"/>
    <cellStyle name="Примечание 9 3 4" xfId="9746" xr:uid="{00000000-0005-0000-0000-000008250000}"/>
    <cellStyle name="Примечание 9 30" xfId="5006" xr:uid="{00000000-0005-0000-0000-000009250000}"/>
    <cellStyle name="Примечание 9 30 2" xfId="9747" xr:uid="{00000000-0005-0000-0000-00000A250000}"/>
    <cellStyle name="Примечание 9 31" xfId="5007" xr:uid="{00000000-0005-0000-0000-00000B250000}"/>
    <cellStyle name="Примечание 9 31 2" xfId="9748" xr:uid="{00000000-0005-0000-0000-00000C250000}"/>
    <cellStyle name="Примечание 9 32" xfId="5008" xr:uid="{00000000-0005-0000-0000-00000D250000}"/>
    <cellStyle name="Примечание 9 32 2" xfId="9749" xr:uid="{00000000-0005-0000-0000-00000E250000}"/>
    <cellStyle name="Примечание 9 33" xfId="5009" xr:uid="{00000000-0005-0000-0000-00000F250000}"/>
    <cellStyle name="Примечание 9 33 2" xfId="9750" xr:uid="{00000000-0005-0000-0000-000010250000}"/>
    <cellStyle name="Примечание 9 34" xfId="5010" xr:uid="{00000000-0005-0000-0000-000011250000}"/>
    <cellStyle name="Примечание 9 34 2" xfId="9751" xr:uid="{00000000-0005-0000-0000-000012250000}"/>
    <cellStyle name="Примечание 9 35" xfId="5011" xr:uid="{00000000-0005-0000-0000-000013250000}"/>
    <cellStyle name="Примечание 9 35 2" xfId="9752" xr:uid="{00000000-0005-0000-0000-000014250000}"/>
    <cellStyle name="Примечание 9 36" xfId="5012" xr:uid="{00000000-0005-0000-0000-000015250000}"/>
    <cellStyle name="Примечание 9 36 2" xfId="9753" xr:uid="{00000000-0005-0000-0000-000016250000}"/>
    <cellStyle name="Примечание 9 37" xfId="5013" xr:uid="{00000000-0005-0000-0000-000017250000}"/>
    <cellStyle name="Примечание 9 37 2" xfId="9754" xr:uid="{00000000-0005-0000-0000-000018250000}"/>
    <cellStyle name="Примечание 9 38" xfId="5014" xr:uid="{00000000-0005-0000-0000-000019250000}"/>
    <cellStyle name="Примечание 9 38 2" xfId="9755" xr:uid="{00000000-0005-0000-0000-00001A250000}"/>
    <cellStyle name="Примечание 9 39" xfId="5015" xr:uid="{00000000-0005-0000-0000-00001B250000}"/>
    <cellStyle name="Примечание 9 39 2" xfId="9756" xr:uid="{00000000-0005-0000-0000-00001C250000}"/>
    <cellStyle name="Примечание 9 4" xfId="5016" xr:uid="{00000000-0005-0000-0000-00001D250000}"/>
    <cellStyle name="Примечание 9 4 2" xfId="5017" xr:uid="{00000000-0005-0000-0000-00001E250000}"/>
    <cellStyle name="Примечание 9 4 2 2" xfId="9757" xr:uid="{00000000-0005-0000-0000-00001F250000}"/>
    <cellStyle name="Примечание 9 4 3" xfId="5018" xr:uid="{00000000-0005-0000-0000-000020250000}"/>
    <cellStyle name="Примечание 9 4 3 2" xfId="9758" xr:uid="{00000000-0005-0000-0000-000021250000}"/>
    <cellStyle name="Примечание 9 4 4" xfId="9759" xr:uid="{00000000-0005-0000-0000-000022250000}"/>
    <cellStyle name="Примечание 9 40" xfId="5019" xr:uid="{00000000-0005-0000-0000-000023250000}"/>
    <cellStyle name="Примечание 9 40 2" xfId="9760" xr:uid="{00000000-0005-0000-0000-000024250000}"/>
    <cellStyle name="Примечание 9 41" xfId="5020" xr:uid="{00000000-0005-0000-0000-000025250000}"/>
    <cellStyle name="Примечание 9 41 2" xfId="9761" xr:uid="{00000000-0005-0000-0000-000026250000}"/>
    <cellStyle name="Примечание 9 42" xfId="5021" xr:uid="{00000000-0005-0000-0000-000027250000}"/>
    <cellStyle name="Примечание 9 42 2" xfId="9762" xr:uid="{00000000-0005-0000-0000-000028250000}"/>
    <cellStyle name="Примечание 9 43" xfId="5022" xr:uid="{00000000-0005-0000-0000-000029250000}"/>
    <cellStyle name="Примечание 9 43 2" xfId="9763" xr:uid="{00000000-0005-0000-0000-00002A250000}"/>
    <cellStyle name="Примечание 9 44" xfId="5023" xr:uid="{00000000-0005-0000-0000-00002B250000}"/>
    <cellStyle name="Примечание 9 44 2" xfId="9764" xr:uid="{00000000-0005-0000-0000-00002C250000}"/>
    <cellStyle name="Примечание 9 45" xfId="5024" xr:uid="{00000000-0005-0000-0000-00002D250000}"/>
    <cellStyle name="Примечание 9 45 2" xfId="9765" xr:uid="{00000000-0005-0000-0000-00002E250000}"/>
    <cellStyle name="Примечание 9 46" xfId="5025" xr:uid="{00000000-0005-0000-0000-00002F250000}"/>
    <cellStyle name="Примечание 9 46 2" xfId="9766" xr:uid="{00000000-0005-0000-0000-000030250000}"/>
    <cellStyle name="Примечание 9 47" xfId="5026" xr:uid="{00000000-0005-0000-0000-000031250000}"/>
    <cellStyle name="Примечание 9 47 2" xfId="9767" xr:uid="{00000000-0005-0000-0000-000032250000}"/>
    <cellStyle name="Примечание 9 48" xfId="5027" xr:uid="{00000000-0005-0000-0000-000033250000}"/>
    <cellStyle name="Примечание 9 48 2" xfId="9768" xr:uid="{00000000-0005-0000-0000-000034250000}"/>
    <cellStyle name="Примечание 9 49" xfId="5028" xr:uid="{00000000-0005-0000-0000-000035250000}"/>
    <cellStyle name="Примечание 9 49 2" xfId="9769" xr:uid="{00000000-0005-0000-0000-000036250000}"/>
    <cellStyle name="Примечание 9 5" xfId="5029" xr:uid="{00000000-0005-0000-0000-000037250000}"/>
    <cellStyle name="Примечание 9 5 2" xfId="9770" xr:uid="{00000000-0005-0000-0000-000038250000}"/>
    <cellStyle name="Примечание 9 50" xfId="5030" xr:uid="{00000000-0005-0000-0000-000039250000}"/>
    <cellStyle name="Примечание 9 50 2" xfId="9771" xr:uid="{00000000-0005-0000-0000-00003A250000}"/>
    <cellStyle name="Примечание 9 51" xfId="5031" xr:uid="{00000000-0005-0000-0000-00003B250000}"/>
    <cellStyle name="Примечание 9 51 2" xfId="9772" xr:uid="{00000000-0005-0000-0000-00003C250000}"/>
    <cellStyle name="Примечание 9 52" xfId="5032" xr:uid="{00000000-0005-0000-0000-00003D250000}"/>
    <cellStyle name="Примечание 9 52 2" xfId="9773" xr:uid="{00000000-0005-0000-0000-00003E250000}"/>
    <cellStyle name="Примечание 9 53" xfId="5033" xr:uid="{00000000-0005-0000-0000-00003F250000}"/>
    <cellStyle name="Примечание 9 53 2" xfId="9774" xr:uid="{00000000-0005-0000-0000-000040250000}"/>
    <cellStyle name="Примечание 9 54" xfId="5034" xr:uid="{00000000-0005-0000-0000-000041250000}"/>
    <cellStyle name="Примечание 9 54 2" xfId="9775" xr:uid="{00000000-0005-0000-0000-000042250000}"/>
    <cellStyle name="Примечание 9 55" xfId="5035" xr:uid="{00000000-0005-0000-0000-000043250000}"/>
    <cellStyle name="Примечание 9 55 2" xfId="9776" xr:uid="{00000000-0005-0000-0000-000044250000}"/>
    <cellStyle name="Примечание 9 56" xfId="5036" xr:uid="{00000000-0005-0000-0000-000045250000}"/>
    <cellStyle name="Примечание 9 56 2" xfId="9777" xr:uid="{00000000-0005-0000-0000-000046250000}"/>
    <cellStyle name="Примечание 9 57" xfId="5037" xr:uid="{00000000-0005-0000-0000-000047250000}"/>
    <cellStyle name="Примечание 9 57 2" xfId="9778" xr:uid="{00000000-0005-0000-0000-000048250000}"/>
    <cellStyle name="Примечание 9 58" xfId="5038" xr:uid="{00000000-0005-0000-0000-000049250000}"/>
    <cellStyle name="Примечание 9 58 2" xfId="9779" xr:uid="{00000000-0005-0000-0000-00004A250000}"/>
    <cellStyle name="Примечание 9 59" xfId="5039" xr:uid="{00000000-0005-0000-0000-00004B250000}"/>
    <cellStyle name="Примечание 9 59 2" xfId="9780" xr:uid="{00000000-0005-0000-0000-00004C250000}"/>
    <cellStyle name="Примечание 9 6" xfId="5040" xr:uid="{00000000-0005-0000-0000-00004D250000}"/>
    <cellStyle name="Примечание 9 6 2" xfId="9781" xr:uid="{00000000-0005-0000-0000-00004E250000}"/>
    <cellStyle name="Примечание 9 60" xfId="5041" xr:uid="{00000000-0005-0000-0000-00004F250000}"/>
    <cellStyle name="Примечание 9 60 2" xfId="9782" xr:uid="{00000000-0005-0000-0000-000050250000}"/>
    <cellStyle name="Примечание 9 61" xfId="5042" xr:uid="{00000000-0005-0000-0000-000051250000}"/>
    <cellStyle name="Примечание 9 61 2" xfId="9783" xr:uid="{00000000-0005-0000-0000-000052250000}"/>
    <cellStyle name="Примечание 9 62" xfId="5043" xr:uid="{00000000-0005-0000-0000-000053250000}"/>
    <cellStyle name="Примечание 9 62 2" xfId="9784" xr:uid="{00000000-0005-0000-0000-000054250000}"/>
    <cellStyle name="Примечание 9 63" xfId="5044" xr:uid="{00000000-0005-0000-0000-000055250000}"/>
    <cellStyle name="Примечание 9 63 2" xfId="9785" xr:uid="{00000000-0005-0000-0000-000056250000}"/>
    <cellStyle name="Примечание 9 64" xfId="5045" xr:uid="{00000000-0005-0000-0000-000057250000}"/>
    <cellStyle name="Примечание 9 64 2" xfId="9786" xr:uid="{00000000-0005-0000-0000-000058250000}"/>
    <cellStyle name="Примечание 9 65" xfId="5046" xr:uid="{00000000-0005-0000-0000-000059250000}"/>
    <cellStyle name="Примечание 9 65 2" xfId="9787" xr:uid="{00000000-0005-0000-0000-00005A250000}"/>
    <cellStyle name="Примечание 9 66" xfId="5047" xr:uid="{00000000-0005-0000-0000-00005B250000}"/>
    <cellStyle name="Примечание 9 66 2" xfId="9788" xr:uid="{00000000-0005-0000-0000-00005C250000}"/>
    <cellStyle name="Примечание 9 67" xfId="5048" xr:uid="{00000000-0005-0000-0000-00005D250000}"/>
    <cellStyle name="Примечание 9 67 2" xfId="9789" xr:uid="{00000000-0005-0000-0000-00005E250000}"/>
    <cellStyle name="Примечание 9 68" xfId="5049" xr:uid="{00000000-0005-0000-0000-00005F250000}"/>
    <cellStyle name="Примечание 9 68 2" xfId="9790" xr:uid="{00000000-0005-0000-0000-000060250000}"/>
    <cellStyle name="Примечание 9 69" xfId="5050" xr:uid="{00000000-0005-0000-0000-000061250000}"/>
    <cellStyle name="Примечание 9 69 2" xfId="9791" xr:uid="{00000000-0005-0000-0000-000062250000}"/>
    <cellStyle name="Примечание 9 7" xfId="5051" xr:uid="{00000000-0005-0000-0000-000063250000}"/>
    <cellStyle name="Примечание 9 7 2" xfId="9792" xr:uid="{00000000-0005-0000-0000-000064250000}"/>
    <cellStyle name="Примечание 9 70" xfId="5052" xr:uid="{00000000-0005-0000-0000-000065250000}"/>
    <cellStyle name="Примечание 9 70 2" xfId="9793" xr:uid="{00000000-0005-0000-0000-000066250000}"/>
    <cellStyle name="Примечание 9 71" xfId="5053" xr:uid="{00000000-0005-0000-0000-000067250000}"/>
    <cellStyle name="Примечание 9 71 2" xfId="9794" xr:uid="{00000000-0005-0000-0000-000068250000}"/>
    <cellStyle name="Примечание 9 72" xfId="5054" xr:uid="{00000000-0005-0000-0000-000069250000}"/>
    <cellStyle name="Примечание 9 72 2" xfId="9795" xr:uid="{00000000-0005-0000-0000-00006A250000}"/>
    <cellStyle name="Примечание 9 73" xfId="5055" xr:uid="{00000000-0005-0000-0000-00006B250000}"/>
    <cellStyle name="Примечание 9 73 2" xfId="9796" xr:uid="{00000000-0005-0000-0000-00006C250000}"/>
    <cellStyle name="Примечание 9 74" xfId="5056" xr:uid="{00000000-0005-0000-0000-00006D250000}"/>
    <cellStyle name="Примечание 9 74 2" xfId="9797" xr:uid="{00000000-0005-0000-0000-00006E250000}"/>
    <cellStyle name="Примечание 9 75" xfId="5057" xr:uid="{00000000-0005-0000-0000-00006F250000}"/>
    <cellStyle name="Примечание 9 75 2" xfId="9798" xr:uid="{00000000-0005-0000-0000-000070250000}"/>
    <cellStyle name="Примечание 9 76" xfId="5058" xr:uid="{00000000-0005-0000-0000-000071250000}"/>
    <cellStyle name="Примечание 9 76 2" xfId="9799" xr:uid="{00000000-0005-0000-0000-000072250000}"/>
    <cellStyle name="Примечание 9 77" xfId="5059" xr:uid="{00000000-0005-0000-0000-000073250000}"/>
    <cellStyle name="Примечание 9 77 2" xfId="9800" xr:uid="{00000000-0005-0000-0000-000074250000}"/>
    <cellStyle name="Примечание 9 78" xfId="5060" xr:uid="{00000000-0005-0000-0000-000075250000}"/>
    <cellStyle name="Примечание 9 78 2" xfId="9801" xr:uid="{00000000-0005-0000-0000-000076250000}"/>
    <cellStyle name="Примечание 9 79" xfId="5061" xr:uid="{00000000-0005-0000-0000-000077250000}"/>
    <cellStyle name="Примечание 9 79 2" xfId="9802" xr:uid="{00000000-0005-0000-0000-000078250000}"/>
    <cellStyle name="Примечание 9 8" xfId="5062" xr:uid="{00000000-0005-0000-0000-000079250000}"/>
    <cellStyle name="Примечание 9 8 2" xfId="9803" xr:uid="{00000000-0005-0000-0000-00007A250000}"/>
    <cellStyle name="Примечание 9 80" xfId="5063" xr:uid="{00000000-0005-0000-0000-00007B250000}"/>
    <cellStyle name="Примечание 9 80 2" xfId="9804" xr:uid="{00000000-0005-0000-0000-00007C250000}"/>
    <cellStyle name="Примечание 9 81" xfId="5064" xr:uid="{00000000-0005-0000-0000-00007D250000}"/>
    <cellStyle name="Примечание 9 81 2" xfId="9805" xr:uid="{00000000-0005-0000-0000-00007E250000}"/>
    <cellStyle name="Примечание 9 82" xfId="5065" xr:uid="{00000000-0005-0000-0000-00007F250000}"/>
    <cellStyle name="Примечание 9 82 2" xfId="9806" xr:uid="{00000000-0005-0000-0000-000080250000}"/>
    <cellStyle name="Примечание 9 83" xfId="5066" xr:uid="{00000000-0005-0000-0000-000081250000}"/>
    <cellStyle name="Примечание 9 83 2" xfId="9807" xr:uid="{00000000-0005-0000-0000-000082250000}"/>
    <cellStyle name="Примечание 9 84" xfId="5067" xr:uid="{00000000-0005-0000-0000-000083250000}"/>
    <cellStyle name="Примечание 9 84 2" xfId="9808" xr:uid="{00000000-0005-0000-0000-000084250000}"/>
    <cellStyle name="Примечание 9 85" xfId="5068" xr:uid="{00000000-0005-0000-0000-000085250000}"/>
    <cellStyle name="Примечание 9 85 2" xfId="9809" xr:uid="{00000000-0005-0000-0000-000086250000}"/>
    <cellStyle name="Примечание 9 86" xfId="5069" xr:uid="{00000000-0005-0000-0000-000087250000}"/>
    <cellStyle name="Примечание 9 86 2" xfId="9810" xr:uid="{00000000-0005-0000-0000-000088250000}"/>
    <cellStyle name="Примечание 9 87" xfId="5070" xr:uid="{00000000-0005-0000-0000-000089250000}"/>
    <cellStyle name="Примечание 9 87 2" xfId="9811" xr:uid="{00000000-0005-0000-0000-00008A250000}"/>
    <cellStyle name="Примечание 9 88" xfId="5071" xr:uid="{00000000-0005-0000-0000-00008B250000}"/>
    <cellStyle name="Примечание 9 88 2" xfId="9812" xr:uid="{00000000-0005-0000-0000-00008C250000}"/>
    <cellStyle name="Примечание 9 89" xfId="5072" xr:uid="{00000000-0005-0000-0000-00008D250000}"/>
    <cellStyle name="Примечание 9 89 2" xfId="9813" xr:uid="{00000000-0005-0000-0000-00008E250000}"/>
    <cellStyle name="Примечание 9 9" xfId="5073" xr:uid="{00000000-0005-0000-0000-00008F250000}"/>
    <cellStyle name="Примечание 9 9 2" xfId="9814" xr:uid="{00000000-0005-0000-0000-000090250000}"/>
    <cellStyle name="Примечание 9 90" xfId="9815" xr:uid="{00000000-0005-0000-0000-000091250000}"/>
    <cellStyle name="Процентный 2" xfId="439" xr:uid="{00000000-0005-0000-0000-000092250000}"/>
    <cellStyle name="Процентный 2 10" xfId="440" xr:uid="{00000000-0005-0000-0000-000093250000}"/>
    <cellStyle name="Процентный 2 11" xfId="441" xr:uid="{00000000-0005-0000-0000-000094250000}"/>
    <cellStyle name="Процентный 2 12" xfId="442" xr:uid="{00000000-0005-0000-0000-000095250000}"/>
    <cellStyle name="Процентный 2 13" xfId="443" xr:uid="{00000000-0005-0000-0000-000096250000}"/>
    <cellStyle name="Процентный 2 14" xfId="444" xr:uid="{00000000-0005-0000-0000-000097250000}"/>
    <cellStyle name="Процентный 2 15" xfId="445" xr:uid="{00000000-0005-0000-0000-000098250000}"/>
    <cellStyle name="Процентный 2 16" xfId="446" xr:uid="{00000000-0005-0000-0000-000099250000}"/>
    <cellStyle name="Процентный 2 17" xfId="447" xr:uid="{00000000-0005-0000-0000-00009A250000}"/>
    <cellStyle name="Процентный 2 18" xfId="448" xr:uid="{00000000-0005-0000-0000-00009B250000}"/>
    <cellStyle name="Процентный 2 19" xfId="449" xr:uid="{00000000-0005-0000-0000-00009C250000}"/>
    <cellStyle name="Процентный 2 2" xfId="450" xr:uid="{00000000-0005-0000-0000-00009D250000}"/>
    <cellStyle name="Процентный 2 2 10" xfId="451" xr:uid="{00000000-0005-0000-0000-00009E250000}"/>
    <cellStyle name="Процентный 2 2 11" xfId="452" xr:uid="{00000000-0005-0000-0000-00009F250000}"/>
    <cellStyle name="Процентный 2 2 12" xfId="453" xr:uid="{00000000-0005-0000-0000-0000A0250000}"/>
    <cellStyle name="Процентный 2 2 13" xfId="454" xr:uid="{00000000-0005-0000-0000-0000A1250000}"/>
    <cellStyle name="Процентный 2 2 14" xfId="455" xr:uid="{00000000-0005-0000-0000-0000A2250000}"/>
    <cellStyle name="Процентный 2 2 15" xfId="456" xr:uid="{00000000-0005-0000-0000-0000A3250000}"/>
    <cellStyle name="Процентный 2 2 16" xfId="457" xr:uid="{00000000-0005-0000-0000-0000A4250000}"/>
    <cellStyle name="Процентный 2 2 17" xfId="458" xr:uid="{00000000-0005-0000-0000-0000A5250000}"/>
    <cellStyle name="Процентный 2 2 18" xfId="459" xr:uid="{00000000-0005-0000-0000-0000A6250000}"/>
    <cellStyle name="Процентный 2 2 19" xfId="460" xr:uid="{00000000-0005-0000-0000-0000A7250000}"/>
    <cellStyle name="Процентный 2 2 2" xfId="461" xr:uid="{00000000-0005-0000-0000-0000A8250000}"/>
    <cellStyle name="Процентный 2 2 2 10" xfId="462" xr:uid="{00000000-0005-0000-0000-0000A9250000}"/>
    <cellStyle name="Процентный 2 2 2 11" xfId="463" xr:uid="{00000000-0005-0000-0000-0000AA250000}"/>
    <cellStyle name="Процентный 2 2 2 12" xfId="464" xr:uid="{00000000-0005-0000-0000-0000AB250000}"/>
    <cellStyle name="Процентный 2 2 2 13" xfId="465" xr:uid="{00000000-0005-0000-0000-0000AC250000}"/>
    <cellStyle name="Процентный 2 2 2 14" xfId="466" xr:uid="{00000000-0005-0000-0000-0000AD250000}"/>
    <cellStyle name="Процентный 2 2 2 15" xfId="467" xr:uid="{00000000-0005-0000-0000-0000AE250000}"/>
    <cellStyle name="Процентный 2 2 2 16" xfId="468" xr:uid="{00000000-0005-0000-0000-0000AF250000}"/>
    <cellStyle name="Процентный 2 2 2 17" xfId="469" xr:uid="{00000000-0005-0000-0000-0000B0250000}"/>
    <cellStyle name="Процентный 2 2 2 18" xfId="470" xr:uid="{00000000-0005-0000-0000-0000B1250000}"/>
    <cellStyle name="Процентный 2 2 2 19" xfId="471" xr:uid="{00000000-0005-0000-0000-0000B2250000}"/>
    <cellStyle name="Процентный 2 2 2 2" xfId="472" xr:uid="{00000000-0005-0000-0000-0000B3250000}"/>
    <cellStyle name="Процентный 2 2 2 20" xfId="473" xr:uid="{00000000-0005-0000-0000-0000B4250000}"/>
    <cellStyle name="Процентный 2 2 2 3" xfId="474" xr:uid="{00000000-0005-0000-0000-0000B5250000}"/>
    <cellStyle name="Процентный 2 2 2 4" xfId="475" xr:uid="{00000000-0005-0000-0000-0000B6250000}"/>
    <cellStyle name="Процентный 2 2 2 5" xfId="476" xr:uid="{00000000-0005-0000-0000-0000B7250000}"/>
    <cellStyle name="Процентный 2 2 2 6" xfId="477" xr:uid="{00000000-0005-0000-0000-0000B8250000}"/>
    <cellStyle name="Процентный 2 2 2 7" xfId="478" xr:uid="{00000000-0005-0000-0000-0000B9250000}"/>
    <cellStyle name="Процентный 2 2 2 8" xfId="479" xr:uid="{00000000-0005-0000-0000-0000BA250000}"/>
    <cellStyle name="Процентный 2 2 2 9" xfId="480" xr:uid="{00000000-0005-0000-0000-0000BB250000}"/>
    <cellStyle name="Процентный 2 2 20" xfId="481" xr:uid="{00000000-0005-0000-0000-0000BC250000}"/>
    <cellStyle name="Процентный 2 2 21" xfId="482" xr:uid="{00000000-0005-0000-0000-0000BD250000}"/>
    <cellStyle name="Процентный 2 2 22" xfId="483" xr:uid="{00000000-0005-0000-0000-0000BE250000}"/>
    <cellStyle name="Процентный 2 2 3" xfId="484" xr:uid="{00000000-0005-0000-0000-0000BF250000}"/>
    <cellStyle name="Процентный 2 2 3 10" xfId="485" xr:uid="{00000000-0005-0000-0000-0000C0250000}"/>
    <cellStyle name="Процентный 2 2 3 11" xfId="486" xr:uid="{00000000-0005-0000-0000-0000C1250000}"/>
    <cellStyle name="Процентный 2 2 3 12" xfId="487" xr:uid="{00000000-0005-0000-0000-0000C2250000}"/>
    <cellStyle name="Процентный 2 2 3 13" xfId="488" xr:uid="{00000000-0005-0000-0000-0000C3250000}"/>
    <cellStyle name="Процентный 2 2 3 14" xfId="489" xr:uid="{00000000-0005-0000-0000-0000C4250000}"/>
    <cellStyle name="Процентный 2 2 3 15" xfId="490" xr:uid="{00000000-0005-0000-0000-0000C5250000}"/>
    <cellStyle name="Процентный 2 2 3 16" xfId="491" xr:uid="{00000000-0005-0000-0000-0000C6250000}"/>
    <cellStyle name="Процентный 2 2 3 17" xfId="492" xr:uid="{00000000-0005-0000-0000-0000C7250000}"/>
    <cellStyle name="Процентный 2 2 3 18" xfId="493" xr:uid="{00000000-0005-0000-0000-0000C8250000}"/>
    <cellStyle name="Процентный 2 2 3 19" xfId="494" xr:uid="{00000000-0005-0000-0000-0000C9250000}"/>
    <cellStyle name="Процентный 2 2 3 2" xfId="495" xr:uid="{00000000-0005-0000-0000-0000CA250000}"/>
    <cellStyle name="Процентный 2 2 3 20" xfId="496" xr:uid="{00000000-0005-0000-0000-0000CB250000}"/>
    <cellStyle name="Процентный 2 2 3 3" xfId="497" xr:uid="{00000000-0005-0000-0000-0000CC250000}"/>
    <cellStyle name="Процентный 2 2 3 4" xfId="498" xr:uid="{00000000-0005-0000-0000-0000CD250000}"/>
    <cellStyle name="Процентный 2 2 3 5" xfId="499" xr:uid="{00000000-0005-0000-0000-0000CE250000}"/>
    <cellStyle name="Процентный 2 2 3 6" xfId="500" xr:uid="{00000000-0005-0000-0000-0000CF250000}"/>
    <cellStyle name="Процентный 2 2 3 7" xfId="501" xr:uid="{00000000-0005-0000-0000-0000D0250000}"/>
    <cellStyle name="Процентный 2 2 3 8" xfId="502" xr:uid="{00000000-0005-0000-0000-0000D1250000}"/>
    <cellStyle name="Процентный 2 2 3 9" xfId="503" xr:uid="{00000000-0005-0000-0000-0000D2250000}"/>
    <cellStyle name="Процентный 2 2 4" xfId="504" xr:uid="{00000000-0005-0000-0000-0000D3250000}"/>
    <cellStyle name="Процентный 2 2 5" xfId="505" xr:uid="{00000000-0005-0000-0000-0000D4250000}"/>
    <cellStyle name="Процентный 2 2 6" xfId="506" xr:uid="{00000000-0005-0000-0000-0000D5250000}"/>
    <cellStyle name="Процентный 2 2 7" xfId="507" xr:uid="{00000000-0005-0000-0000-0000D6250000}"/>
    <cellStyle name="Процентный 2 2 8" xfId="508" xr:uid="{00000000-0005-0000-0000-0000D7250000}"/>
    <cellStyle name="Процентный 2 2 9" xfId="509" xr:uid="{00000000-0005-0000-0000-0000D8250000}"/>
    <cellStyle name="Процентный 2 20" xfId="510" xr:uid="{00000000-0005-0000-0000-0000D9250000}"/>
    <cellStyle name="Процентный 2 21" xfId="511" xr:uid="{00000000-0005-0000-0000-0000DA250000}"/>
    <cellStyle name="Процентный 2 22" xfId="512" xr:uid="{00000000-0005-0000-0000-0000DB250000}"/>
    <cellStyle name="Процентный 2 3" xfId="513" xr:uid="{00000000-0005-0000-0000-0000DC250000}"/>
    <cellStyle name="Процентный 2 3 10" xfId="514" xr:uid="{00000000-0005-0000-0000-0000DD250000}"/>
    <cellStyle name="Процентный 2 3 11" xfId="515" xr:uid="{00000000-0005-0000-0000-0000DE250000}"/>
    <cellStyle name="Процентный 2 3 12" xfId="516" xr:uid="{00000000-0005-0000-0000-0000DF250000}"/>
    <cellStyle name="Процентный 2 3 13" xfId="517" xr:uid="{00000000-0005-0000-0000-0000E0250000}"/>
    <cellStyle name="Процентный 2 3 14" xfId="518" xr:uid="{00000000-0005-0000-0000-0000E1250000}"/>
    <cellStyle name="Процентный 2 3 15" xfId="519" xr:uid="{00000000-0005-0000-0000-0000E2250000}"/>
    <cellStyle name="Процентный 2 3 16" xfId="520" xr:uid="{00000000-0005-0000-0000-0000E3250000}"/>
    <cellStyle name="Процентный 2 3 17" xfId="521" xr:uid="{00000000-0005-0000-0000-0000E4250000}"/>
    <cellStyle name="Процентный 2 3 18" xfId="522" xr:uid="{00000000-0005-0000-0000-0000E5250000}"/>
    <cellStyle name="Процентный 2 3 19" xfId="523" xr:uid="{00000000-0005-0000-0000-0000E6250000}"/>
    <cellStyle name="Процентный 2 3 2" xfId="524" xr:uid="{00000000-0005-0000-0000-0000E7250000}"/>
    <cellStyle name="Процентный 2 3 20" xfId="525" xr:uid="{00000000-0005-0000-0000-0000E8250000}"/>
    <cellStyle name="Процентный 2 3 3" xfId="526" xr:uid="{00000000-0005-0000-0000-0000E9250000}"/>
    <cellStyle name="Процентный 2 3 4" xfId="527" xr:uid="{00000000-0005-0000-0000-0000EA250000}"/>
    <cellStyle name="Процентный 2 3 5" xfId="528" xr:uid="{00000000-0005-0000-0000-0000EB250000}"/>
    <cellStyle name="Процентный 2 3 6" xfId="529" xr:uid="{00000000-0005-0000-0000-0000EC250000}"/>
    <cellStyle name="Процентный 2 3 7" xfId="530" xr:uid="{00000000-0005-0000-0000-0000ED250000}"/>
    <cellStyle name="Процентный 2 3 8" xfId="531" xr:uid="{00000000-0005-0000-0000-0000EE250000}"/>
    <cellStyle name="Процентный 2 3 9" xfId="532" xr:uid="{00000000-0005-0000-0000-0000EF250000}"/>
    <cellStyle name="Процентный 2 4" xfId="533" xr:uid="{00000000-0005-0000-0000-0000F0250000}"/>
    <cellStyle name="Процентный 2 5" xfId="534" xr:uid="{00000000-0005-0000-0000-0000F1250000}"/>
    <cellStyle name="Процентный 2 6" xfId="535" xr:uid="{00000000-0005-0000-0000-0000F2250000}"/>
    <cellStyle name="Процентный 2 7" xfId="536" xr:uid="{00000000-0005-0000-0000-0000F3250000}"/>
    <cellStyle name="Процентный 2 8" xfId="537" xr:uid="{00000000-0005-0000-0000-0000F4250000}"/>
    <cellStyle name="Процентный 2 9" xfId="538" xr:uid="{00000000-0005-0000-0000-0000F5250000}"/>
    <cellStyle name="Связанная ячейка 10" xfId="360" xr:uid="{00000000-0005-0000-0000-0000F6250000}"/>
    <cellStyle name="Связанная ячейка 2" xfId="361" xr:uid="{00000000-0005-0000-0000-0000F7250000}"/>
    <cellStyle name="Связанная ячейка 3" xfId="362" xr:uid="{00000000-0005-0000-0000-0000F8250000}"/>
    <cellStyle name="Связанная ячейка 4" xfId="363" xr:uid="{00000000-0005-0000-0000-0000F9250000}"/>
    <cellStyle name="Связанная ячейка 5" xfId="364" xr:uid="{00000000-0005-0000-0000-0000FA250000}"/>
    <cellStyle name="Связанная ячейка 6" xfId="365" xr:uid="{00000000-0005-0000-0000-0000FB250000}"/>
    <cellStyle name="Связанная ячейка 7" xfId="366" xr:uid="{00000000-0005-0000-0000-0000FC250000}"/>
    <cellStyle name="Связанная ячейка 8" xfId="367" xr:uid="{00000000-0005-0000-0000-0000FD250000}"/>
    <cellStyle name="Связанная ячейка 9" xfId="368" xr:uid="{00000000-0005-0000-0000-0000FE250000}"/>
    <cellStyle name="Стиль 1" xfId="539" xr:uid="{00000000-0005-0000-0000-0000FF250000}"/>
    <cellStyle name="Текст предупреждения 10" xfId="369" xr:uid="{00000000-0005-0000-0000-000000260000}"/>
    <cellStyle name="Текст предупреждения 2" xfId="370" xr:uid="{00000000-0005-0000-0000-000001260000}"/>
    <cellStyle name="Текст предупреждения 3" xfId="371" xr:uid="{00000000-0005-0000-0000-000002260000}"/>
    <cellStyle name="Текст предупреждения 4" xfId="372" xr:uid="{00000000-0005-0000-0000-000003260000}"/>
    <cellStyle name="Текст предупреждения 5" xfId="373" xr:uid="{00000000-0005-0000-0000-000004260000}"/>
    <cellStyle name="Текст предупреждения 6" xfId="374" xr:uid="{00000000-0005-0000-0000-000005260000}"/>
    <cellStyle name="Текст предупреждения 7" xfId="375" xr:uid="{00000000-0005-0000-0000-000006260000}"/>
    <cellStyle name="Текст предупреждения 8" xfId="376" xr:uid="{00000000-0005-0000-0000-000007260000}"/>
    <cellStyle name="Текст предупреждения 9" xfId="377" xr:uid="{00000000-0005-0000-0000-000008260000}"/>
    <cellStyle name="Финансовый [0] 2" xfId="600" xr:uid="{00000000-0005-0000-0000-000009260000}"/>
    <cellStyle name="Финансовый [0] 3" xfId="601" xr:uid="{00000000-0005-0000-0000-00000A260000}"/>
    <cellStyle name="Финансовый 10" xfId="626" xr:uid="{00000000-0005-0000-0000-00000B260000}"/>
    <cellStyle name="Финансовый 10 2" xfId="5074" xr:uid="{00000000-0005-0000-0000-00000C260000}"/>
    <cellStyle name="Финансовый 10 2 2" xfId="5075" xr:uid="{00000000-0005-0000-0000-00000D260000}"/>
    <cellStyle name="Финансовый 10 2 2 2" xfId="9816" xr:uid="{00000000-0005-0000-0000-00000E260000}"/>
    <cellStyle name="Финансовый 10 2 2 3" xfId="9817" xr:uid="{00000000-0005-0000-0000-00000F260000}"/>
    <cellStyle name="Финансовый 10 2 3" xfId="9818" xr:uid="{00000000-0005-0000-0000-000010260000}"/>
    <cellStyle name="Финансовый 10 2 4" xfId="9819" xr:uid="{00000000-0005-0000-0000-000011260000}"/>
    <cellStyle name="Финансовый 10 3" xfId="5076" xr:uid="{00000000-0005-0000-0000-000012260000}"/>
    <cellStyle name="Финансовый 10 3 2" xfId="9820" xr:uid="{00000000-0005-0000-0000-000013260000}"/>
    <cellStyle name="Финансовый 10 3 3" xfId="9821" xr:uid="{00000000-0005-0000-0000-000014260000}"/>
    <cellStyle name="Финансовый 10 4" xfId="5077" xr:uid="{00000000-0005-0000-0000-000015260000}"/>
    <cellStyle name="Финансовый 10 4 2" xfId="9822" xr:uid="{00000000-0005-0000-0000-000016260000}"/>
    <cellStyle name="Финансовый 10 4 3" xfId="9823" xr:uid="{00000000-0005-0000-0000-000017260000}"/>
    <cellStyle name="Финансовый 10 5" xfId="5078" xr:uid="{00000000-0005-0000-0000-000018260000}"/>
    <cellStyle name="Финансовый 10 5 2" xfId="9824" xr:uid="{00000000-0005-0000-0000-000019260000}"/>
    <cellStyle name="Финансовый 10 5 3" xfId="9825" xr:uid="{00000000-0005-0000-0000-00001A260000}"/>
    <cellStyle name="Финансовый 10 6" xfId="5079" xr:uid="{00000000-0005-0000-0000-00001B260000}"/>
    <cellStyle name="Финансовый 10 7" xfId="5098" xr:uid="{00000000-0005-0000-0000-00001C260000}"/>
    <cellStyle name="Финансовый 10 7 2" xfId="9826" xr:uid="{00000000-0005-0000-0000-00001D260000}"/>
    <cellStyle name="Финансовый 10 7 3" xfId="9827" xr:uid="{00000000-0005-0000-0000-00001E260000}"/>
    <cellStyle name="Финансовый 10 8" xfId="9828" xr:uid="{00000000-0005-0000-0000-00001F260000}"/>
    <cellStyle name="Финансовый 10 9" xfId="9829" xr:uid="{00000000-0005-0000-0000-000020260000}"/>
    <cellStyle name="Финансовый 11" xfId="5099" xr:uid="{00000000-0005-0000-0000-000021260000}"/>
    <cellStyle name="Финансовый 12" xfId="5100" xr:uid="{00000000-0005-0000-0000-000022260000}"/>
    <cellStyle name="Финансовый 13" xfId="5101" xr:uid="{00000000-0005-0000-0000-000023260000}"/>
    <cellStyle name="Финансовый 14" xfId="5102" xr:uid="{00000000-0005-0000-0000-000024260000}"/>
    <cellStyle name="Финансовый 15" xfId="5103" xr:uid="{00000000-0005-0000-0000-000025260000}"/>
    <cellStyle name="Финансовый 16" xfId="5105" xr:uid="{00000000-0005-0000-0000-000026260000}"/>
    <cellStyle name="Финансовый 16 2" xfId="5136" xr:uid="{00000000-0005-0000-0000-000027260000}"/>
    <cellStyle name="Финансовый 16 3" xfId="9830" xr:uid="{00000000-0005-0000-0000-000028260000}"/>
    <cellStyle name="Финансовый 2" xfId="540" xr:uid="{00000000-0005-0000-0000-000029260000}"/>
    <cellStyle name="Финансовый 2 10" xfId="541" xr:uid="{00000000-0005-0000-0000-00002A260000}"/>
    <cellStyle name="Финансовый 2 11" xfId="542" xr:uid="{00000000-0005-0000-0000-00002B260000}"/>
    <cellStyle name="Финансовый 2 12" xfId="543" xr:uid="{00000000-0005-0000-0000-00002C260000}"/>
    <cellStyle name="Финансовый 2 13" xfId="544" xr:uid="{00000000-0005-0000-0000-00002D260000}"/>
    <cellStyle name="Финансовый 2 14" xfId="545" xr:uid="{00000000-0005-0000-0000-00002E260000}"/>
    <cellStyle name="Финансовый 2 15" xfId="546" xr:uid="{00000000-0005-0000-0000-00002F260000}"/>
    <cellStyle name="Финансовый 2 16" xfId="547" xr:uid="{00000000-0005-0000-0000-000030260000}"/>
    <cellStyle name="Финансовый 2 17" xfId="548" xr:uid="{00000000-0005-0000-0000-000031260000}"/>
    <cellStyle name="Финансовый 2 18" xfId="549" xr:uid="{00000000-0005-0000-0000-000032260000}"/>
    <cellStyle name="Финансовый 2 19" xfId="550" xr:uid="{00000000-0005-0000-0000-000033260000}"/>
    <cellStyle name="Финансовый 2 2" xfId="551" xr:uid="{00000000-0005-0000-0000-000034260000}"/>
    <cellStyle name="Финансовый 2 20" xfId="552" xr:uid="{00000000-0005-0000-0000-000035260000}"/>
    <cellStyle name="Финансовый 2 21" xfId="602" xr:uid="{00000000-0005-0000-0000-000036260000}"/>
    <cellStyle name="Финансовый 2 21 2" xfId="5080" xr:uid="{00000000-0005-0000-0000-000037260000}"/>
    <cellStyle name="Финансовый 2 22" xfId="603" xr:uid="{00000000-0005-0000-0000-000038260000}"/>
    <cellStyle name="Финансовый 2 22 2" xfId="5081" xr:uid="{00000000-0005-0000-0000-000039260000}"/>
    <cellStyle name="Финансовый 2 3" xfId="553" xr:uid="{00000000-0005-0000-0000-00003A260000}"/>
    <cellStyle name="Финансовый 2 4" xfId="554" xr:uid="{00000000-0005-0000-0000-00003B260000}"/>
    <cellStyle name="Финансовый 2 5" xfId="555" xr:uid="{00000000-0005-0000-0000-00003C260000}"/>
    <cellStyle name="Финансовый 2 6" xfId="556" xr:uid="{00000000-0005-0000-0000-00003D260000}"/>
    <cellStyle name="Финансовый 2 7" xfId="557" xr:uid="{00000000-0005-0000-0000-00003E260000}"/>
    <cellStyle name="Финансовый 2 8" xfId="558" xr:uid="{00000000-0005-0000-0000-00003F260000}"/>
    <cellStyle name="Финансовый 2 9" xfId="559" xr:uid="{00000000-0005-0000-0000-000040260000}"/>
    <cellStyle name="Финансовый 3" xfId="560" xr:uid="{00000000-0005-0000-0000-000041260000}"/>
    <cellStyle name="Финансовый 3 10" xfId="561" xr:uid="{00000000-0005-0000-0000-000042260000}"/>
    <cellStyle name="Финансовый 3 11" xfId="562" xr:uid="{00000000-0005-0000-0000-000043260000}"/>
    <cellStyle name="Финансовый 3 12" xfId="563" xr:uid="{00000000-0005-0000-0000-000044260000}"/>
    <cellStyle name="Финансовый 3 13" xfId="564" xr:uid="{00000000-0005-0000-0000-000045260000}"/>
    <cellStyle name="Финансовый 3 14" xfId="565" xr:uid="{00000000-0005-0000-0000-000046260000}"/>
    <cellStyle name="Финансовый 3 15" xfId="566" xr:uid="{00000000-0005-0000-0000-000047260000}"/>
    <cellStyle name="Финансовый 3 16" xfId="567" xr:uid="{00000000-0005-0000-0000-000048260000}"/>
    <cellStyle name="Финансовый 3 17" xfId="568" xr:uid="{00000000-0005-0000-0000-000049260000}"/>
    <cellStyle name="Финансовый 3 18" xfId="569" xr:uid="{00000000-0005-0000-0000-00004A260000}"/>
    <cellStyle name="Финансовый 3 19" xfId="570" xr:uid="{00000000-0005-0000-0000-00004B260000}"/>
    <cellStyle name="Финансовый 3 2" xfId="571" xr:uid="{00000000-0005-0000-0000-00004C260000}"/>
    <cellStyle name="Финансовый 3 20" xfId="572" xr:uid="{00000000-0005-0000-0000-00004D260000}"/>
    <cellStyle name="Финансовый 3 3" xfId="573" xr:uid="{00000000-0005-0000-0000-00004E260000}"/>
    <cellStyle name="Финансовый 3 4" xfId="574" xr:uid="{00000000-0005-0000-0000-00004F260000}"/>
    <cellStyle name="Финансовый 3 5" xfId="575" xr:uid="{00000000-0005-0000-0000-000050260000}"/>
    <cellStyle name="Финансовый 3 6" xfId="576" xr:uid="{00000000-0005-0000-0000-000051260000}"/>
    <cellStyle name="Финансовый 3 7" xfId="577" xr:uid="{00000000-0005-0000-0000-000052260000}"/>
    <cellStyle name="Финансовый 3 8" xfId="578" xr:uid="{00000000-0005-0000-0000-000053260000}"/>
    <cellStyle name="Финансовый 3 9" xfId="579" xr:uid="{00000000-0005-0000-0000-000054260000}"/>
    <cellStyle name="Финансовый 4" xfId="580" xr:uid="{00000000-0005-0000-0000-000055260000}"/>
    <cellStyle name="Финансовый 5" xfId="581" xr:uid="{00000000-0005-0000-0000-000056260000}"/>
    <cellStyle name="Финансовый 5 2" xfId="5082" xr:uid="{00000000-0005-0000-0000-000057260000}"/>
    <cellStyle name="Финансовый 6" xfId="582" xr:uid="{00000000-0005-0000-0000-000058260000}"/>
    <cellStyle name="Финансовый 6 2" xfId="5083" xr:uid="{00000000-0005-0000-0000-000059260000}"/>
    <cellStyle name="Финансовый 7" xfId="604" xr:uid="{00000000-0005-0000-0000-00005A260000}"/>
    <cellStyle name="Финансовый 7 2" xfId="5084" xr:uid="{00000000-0005-0000-0000-00005B260000}"/>
    <cellStyle name="Финансовый 8" xfId="612" xr:uid="{00000000-0005-0000-0000-00005C260000}"/>
    <cellStyle name="Финансовый 9" xfId="613" xr:uid="{00000000-0005-0000-0000-00005D260000}"/>
    <cellStyle name="Финансовый 9 2" xfId="5085" xr:uid="{00000000-0005-0000-0000-00005E260000}"/>
    <cellStyle name="Хороший 10" xfId="378" xr:uid="{00000000-0005-0000-0000-00005F260000}"/>
    <cellStyle name="Хороший 2" xfId="379" xr:uid="{00000000-0005-0000-0000-000060260000}"/>
    <cellStyle name="Хороший 3" xfId="380" xr:uid="{00000000-0005-0000-0000-000061260000}"/>
    <cellStyle name="Хороший 4" xfId="381" xr:uid="{00000000-0005-0000-0000-000062260000}"/>
    <cellStyle name="Хороший 5" xfId="382" xr:uid="{00000000-0005-0000-0000-000063260000}"/>
    <cellStyle name="Хороший 6" xfId="383" xr:uid="{00000000-0005-0000-0000-000064260000}"/>
    <cellStyle name="Хороший 7" xfId="384" xr:uid="{00000000-0005-0000-0000-000065260000}"/>
    <cellStyle name="Хороший 8" xfId="385" xr:uid="{00000000-0005-0000-0000-000066260000}"/>
    <cellStyle name="Хороший 9" xfId="386" xr:uid="{00000000-0005-0000-0000-000067260000}"/>
  </cellStyles>
  <dxfs count="2"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95F995"/>
      <color rgb="FFC9FFFF"/>
      <color rgb="FFFF8F8F"/>
      <color rgb="FFBBFBBB"/>
      <color rgb="FFFFFFCC"/>
      <color rgb="FFFFFFFF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72/22_08_2018_%20&#1087;&#1088;&#1080;&#1083;&#1086;&#1078;&#1077;&#1085;&#1080;&#1077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87;&#1088;&#1080;&#1082;&#1072;&#1079;&#1099;%20&#1043;&#1054;&#1056;&#1059;&#1054;/&#1087;&#1088;&#1080;&#1082;&#1072;&#1079;&#1099;%202023/&#1074;&#1089;&#1087;&#1086;&#1084;&#1086;&#1075;&#1072;&#1090;&#1077;&#1083;&#1100;&#1085;&#1099;&#1077;%20&#1082;%20&#1085;&#1086;&#1088;&#1084;&#1072;&#1090;&#1080;&#1074;&#1091;/&#1073;&#1102;&#1076;&#1078;&#1077;&#1090;%202023/1.&#1052;&#1091;&#1085;&#1080;&#1094;.&#1079;&#1072;&#1076;&#1072;&#1085;&#1080;&#1077;%202%20&#1095;&#1090;&#1077;&#1085;&#1080;&#1077;/2.&#1057;&#1042;&#1054;&#1044;%20&#1064;&#1050;&#1054;&#1051;&#1067;%20&#1084;&#1091;&#1085;%20&#1079;&#1072;&#1076;%20_2023-2025%20&#1084;&#1077;&#1089;&#1090;&#1085;&#1099;&#1081;%20&#1089;%20&#1080;&#1079;&#1084;.!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87;&#1088;&#1080;&#1082;&#1072;&#1079;&#1099;%20&#1043;&#1054;&#1056;&#1059;&#1054;/&#1087;&#1088;&#1080;&#1082;&#1072;&#1079;&#1099;%202023/&#1074;&#1089;&#1087;&#1086;&#1084;&#1086;&#1075;&#1072;&#1090;&#1077;&#1083;&#1100;&#1085;&#1099;&#1077;%20&#1082;%20&#1085;&#1086;&#1088;&#1084;&#1072;&#1090;&#1080;&#1074;&#1091;/&#1088;&#1072;&#1089;&#1095;&#1077;&#1090;%20&#1082;&#1086;&#1101;&#1092;&#1092;%20&#1087;&#1083;&#1072;&#1090;&#1085;&#1086;&#1081;%20&#1076;&#1077;&#1103;&#1090;-&#1090;&#1080;%20&#1085;&#1072;%202023%20&#1075;&#1086;&#1076;%20&#1075;&#1086;&#1090;&#1086;&#10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0 мол.спецы"/>
      <sheetName val="291 окруж.ср и госпошлины"/>
      <sheetName val="225.1о рсо "/>
      <sheetName val="225.24 рсо"/>
      <sheetName val="225.7 рсо"/>
      <sheetName val="226.11 рсо"/>
      <sheetName val="226.2 рсо"/>
      <sheetName val="310"/>
      <sheetName val="МП Эколог образ - эколагерь"/>
      <sheetName val="МП Соц.поддерж - лагерь санитар"/>
      <sheetName val="доп.бланк"/>
      <sheetName val="свод"/>
      <sheetName val="Лист1"/>
    </sheetNames>
    <sheetDataSet>
      <sheetData sheetId="0" refreshError="1"/>
      <sheetData sheetId="1">
        <row r="9">
          <cell r="B9" t="str">
            <v>МБДОУ д/с№15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  <sheetName val="Лист1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2023"/>
      <sheetName val="211,213 школы - контр сумма"/>
      <sheetName val="2023 ст-ть ночных и празд"/>
      <sheetName val="266.1"/>
      <sheetName val="266.2 "/>
      <sheetName val="223"/>
      <sheetName val="223.15 "/>
      <sheetName val="225.1 "/>
      <sheetName val="225.25_школы"/>
      <sheetName val="225.3_школы"/>
      <sheetName val="225.51 оэзмто"/>
      <sheetName val="225.53 оэзмто"/>
      <sheetName val="225.54 оэзмто"/>
      <sheetName val="226.6"/>
      <sheetName val="226.73"/>
      <sheetName val="226.77"/>
      <sheetName val="226.78 "/>
      <sheetName val="291 земля"/>
      <sheetName val="291 имущ"/>
      <sheetName val="ст-ть ночных и празд"/>
      <sheetName val="225.21"/>
      <sheetName val="225.23 "/>
      <sheetName val="225.24"/>
      <sheetName val="310.1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4">
          <cell r="M14">
            <v>0.98231481679999999</v>
          </cell>
        </row>
        <row r="15">
          <cell r="M15">
            <v>0.9925194651</v>
          </cell>
        </row>
        <row r="16">
          <cell r="M16">
            <v>0.89274530740000002</v>
          </cell>
        </row>
        <row r="17">
          <cell r="M17">
            <v>0.97319667610000005</v>
          </cell>
        </row>
        <row r="18">
          <cell r="M18">
            <v>0.98687629690000001</v>
          </cell>
        </row>
        <row r="19">
          <cell r="M19">
            <v>0.9921768285</v>
          </cell>
        </row>
        <row r="20">
          <cell r="M20">
            <v>0.96896676680000005</v>
          </cell>
        </row>
        <row r="21">
          <cell r="M21">
            <v>0.9829452407</v>
          </cell>
        </row>
        <row r="22">
          <cell r="M22">
            <v>0.92393380290000005</v>
          </cell>
        </row>
        <row r="23">
          <cell r="M23">
            <v>0.99227506269999999</v>
          </cell>
        </row>
        <row r="24">
          <cell r="M24">
            <v>0.98615727659999997</v>
          </cell>
        </row>
        <row r="25">
          <cell r="M25">
            <v>1</v>
          </cell>
        </row>
        <row r="26">
          <cell r="M26">
            <v>0.99437014290000003</v>
          </cell>
        </row>
        <row r="27">
          <cell r="M27">
            <v>0.99044820749999996</v>
          </cell>
        </row>
        <row r="28">
          <cell r="M28">
            <v>0.98055003129999996</v>
          </cell>
        </row>
        <row r="29">
          <cell r="M29">
            <v>0.93628310000000003</v>
          </cell>
        </row>
        <row r="30">
          <cell r="M30">
            <v>0.98666027860000005</v>
          </cell>
        </row>
        <row r="31">
          <cell r="M31">
            <v>0.98881925240000001</v>
          </cell>
        </row>
        <row r="32">
          <cell r="M32">
            <v>0.9823927402</v>
          </cell>
        </row>
        <row r="33">
          <cell r="M33">
            <v>0.97548029469999997</v>
          </cell>
        </row>
        <row r="34">
          <cell r="M34">
            <v>0.97636352510000002</v>
          </cell>
        </row>
        <row r="35">
          <cell r="M35">
            <v>0.99397414070000001</v>
          </cell>
        </row>
        <row r="36">
          <cell r="M36">
            <v>0.98365203840000004</v>
          </cell>
        </row>
        <row r="37">
          <cell r="M37">
            <v>0.99587834129999997</v>
          </cell>
        </row>
        <row r="38">
          <cell r="M38">
            <v>0.97761135899999996</v>
          </cell>
        </row>
        <row r="39">
          <cell r="M39">
            <v>0.95776520350000005</v>
          </cell>
        </row>
        <row r="40">
          <cell r="M40">
            <v>0.98256217150000003</v>
          </cell>
        </row>
        <row r="41">
          <cell r="M41">
            <v>0.99338519140000003</v>
          </cell>
        </row>
        <row r="42">
          <cell r="M42">
            <v>0.88427152539999998</v>
          </cell>
        </row>
        <row r="43">
          <cell r="M43">
            <v>0.96771819709999995</v>
          </cell>
        </row>
        <row r="44">
          <cell r="M44">
            <v>1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коэфф платной деят-ти"/>
      <sheetName val="налоги проект сады"/>
      <sheetName val="налоги проект школы"/>
      <sheetName val="налоги проект допы, цмппс"/>
      <sheetName val="1с платные за 2021"/>
      <sheetName val="1с субсидия мз 2021 год"/>
    </sheetNames>
    <sheetDataSet>
      <sheetData sheetId="0"/>
      <sheetData sheetId="1"/>
      <sheetData sheetId="2"/>
      <sheetData sheetId="3">
        <row r="13">
          <cell r="B13">
            <v>8.1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5F995"/>
  </sheetPr>
  <dimension ref="A1:ZH1378"/>
  <sheetViews>
    <sheetView view="pageBreakPreview" zoomScale="75" zoomScaleNormal="75" zoomScaleSheetLayoutView="75" workbookViewId="0">
      <selection activeCell="D3" sqref="D3"/>
    </sheetView>
  </sheetViews>
  <sheetFormatPr defaultRowHeight="15" x14ac:dyDescent="0.25"/>
  <cols>
    <col min="1" max="1" width="34.85546875" style="1" customWidth="1"/>
    <col min="2" max="2" width="23.140625" style="327" customWidth="1"/>
    <col min="3" max="3" width="6.28515625" style="1" customWidth="1"/>
    <col min="4" max="4" width="51" style="1" customWidth="1"/>
    <col min="5" max="5" width="13.140625" style="1" customWidth="1"/>
    <col min="6" max="6" width="12.85546875" style="1" customWidth="1"/>
    <col min="7" max="7" width="13.28515625" style="1" customWidth="1"/>
    <col min="8" max="8" width="13.7109375" style="128" customWidth="1"/>
    <col min="9" max="9" width="17" style="128" customWidth="1"/>
    <col min="10" max="10" width="4.85546875" style="133" customWidth="1"/>
    <col min="11" max="11" width="17.42578125" style="133" hidden="1" customWidth="1"/>
    <col min="12" max="12" width="13.42578125" style="1" hidden="1" customWidth="1"/>
    <col min="13" max="20" width="12.140625" style="1" hidden="1" customWidth="1"/>
    <col min="21" max="23" width="13.140625" style="1" hidden="1" customWidth="1"/>
    <col min="24" max="29" width="12.140625" style="1" hidden="1" customWidth="1"/>
    <col min="30" max="30" width="12.85546875" style="1" hidden="1" customWidth="1"/>
    <col min="31" max="41" width="12.140625" style="1" hidden="1" customWidth="1"/>
    <col min="42" max="44" width="13.140625" style="1" hidden="1" customWidth="1"/>
    <col min="45" max="62" width="12.140625" style="1" hidden="1" customWidth="1"/>
    <col min="63" max="65" width="13.140625" style="1" hidden="1" customWidth="1"/>
    <col min="66" max="71" width="12.140625" style="1" hidden="1" customWidth="1"/>
    <col min="72" max="72" width="12.85546875" style="1" hidden="1" customWidth="1"/>
    <col min="73" max="83" width="12.140625" style="1" hidden="1" customWidth="1"/>
    <col min="84" max="86" width="13.140625" style="1" hidden="1" customWidth="1"/>
    <col min="87" max="104" width="12.140625" style="1" hidden="1" customWidth="1"/>
    <col min="105" max="107" width="13.140625" style="1" hidden="1" customWidth="1"/>
    <col min="108" max="125" width="12.140625" style="1" hidden="1" customWidth="1"/>
    <col min="126" max="128" width="13" style="1" hidden="1" customWidth="1"/>
    <col min="129" max="134" width="12.140625" style="1" hidden="1" customWidth="1"/>
    <col min="135" max="135" width="12.85546875" style="1" hidden="1" customWidth="1"/>
    <col min="136" max="155" width="12.140625" style="1" hidden="1" customWidth="1"/>
    <col min="156" max="156" width="12.85546875" style="1" hidden="1" customWidth="1"/>
    <col min="157" max="167" width="12.140625" style="1" hidden="1" customWidth="1"/>
    <col min="168" max="170" width="13.140625" style="1" hidden="1" customWidth="1"/>
    <col min="171" max="188" width="12.140625" style="1" hidden="1" customWidth="1"/>
    <col min="189" max="191" width="13.140625" style="1" hidden="1" customWidth="1"/>
    <col min="192" max="194" width="12.140625" style="1" hidden="1" customWidth="1"/>
    <col min="195" max="201" width="12" style="1" hidden="1" customWidth="1"/>
    <col min="202" max="202" width="10.85546875" style="1" hidden="1" customWidth="1"/>
    <col min="203" max="203" width="11" style="1" hidden="1" customWidth="1"/>
    <col min="204" max="204" width="12" style="1" hidden="1" customWidth="1"/>
    <col min="205" max="205" width="12.140625" style="1" hidden="1" customWidth="1"/>
    <col min="206" max="206" width="11.5703125" style="1" hidden="1" customWidth="1"/>
    <col min="207" max="209" width="11" style="1" hidden="1" customWidth="1"/>
    <col min="210" max="210" width="13.7109375" style="1" hidden="1" customWidth="1"/>
    <col min="211" max="212" width="13.140625" style="1" hidden="1" customWidth="1"/>
    <col min="213" max="215" width="12.140625" style="1" hidden="1" customWidth="1"/>
    <col min="216" max="218" width="12" style="1" hidden="1" customWidth="1"/>
    <col min="219" max="219" width="12.85546875" style="1" hidden="1" customWidth="1"/>
    <col min="220" max="221" width="12" style="1" hidden="1" customWidth="1"/>
    <col min="222" max="224" width="9.140625" style="1" hidden="1" customWidth="1"/>
    <col min="225" max="227" width="12" style="1" hidden="1" customWidth="1"/>
    <col min="228" max="230" width="11" style="1" hidden="1" customWidth="1"/>
    <col min="231" max="236" width="12.140625" style="1" hidden="1" customWidth="1"/>
    <col min="237" max="239" width="12" style="1" hidden="1" customWidth="1"/>
    <col min="240" max="240" width="12.85546875" style="1" hidden="1" customWidth="1"/>
    <col min="241" max="242" width="12" style="1" hidden="1" customWidth="1"/>
    <col min="243" max="245" width="9.140625" style="1" hidden="1" customWidth="1"/>
    <col min="246" max="248" width="12" style="1" hidden="1" customWidth="1"/>
    <col min="249" max="251" width="11" style="1" hidden="1" customWidth="1"/>
    <col min="252" max="254" width="13.140625" style="1" hidden="1" customWidth="1"/>
    <col min="255" max="257" width="12.140625" style="1" hidden="1" customWidth="1"/>
    <col min="258" max="263" width="12" style="1" hidden="1" customWidth="1"/>
    <col min="264" max="266" width="9.140625" style="1" hidden="1" customWidth="1"/>
    <col min="267" max="269" width="12" style="1" hidden="1" customWidth="1"/>
    <col min="270" max="272" width="11" style="1" hidden="1" customWidth="1"/>
    <col min="273" max="278" width="12.140625" style="1" hidden="1" customWidth="1"/>
    <col min="279" max="284" width="12" style="1" hidden="1" customWidth="1"/>
    <col min="285" max="287" width="9.140625" style="1" hidden="1" customWidth="1"/>
    <col min="288" max="290" width="12" style="1" hidden="1" customWidth="1"/>
    <col min="291" max="293" width="11" style="1" hidden="1" customWidth="1"/>
    <col min="294" max="294" width="14" style="1" hidden="1" customWidth="1"/>
    <col min="295" max="296" width="13.140625" style="1" hidden="1" customWidth="1"/>
    <col min="297" max="299" width="12.140625" style="1" hidden="1" customWidth="1"/>
    <col min="300" max="305" width="12" style="1" hidden="1" customWidth="1"/>
    <col min="306" max="308" width="9.140625" style="1" hidden="1" customWidth="1"/>
    <col min="309" max="311" width="12" style="1" hidden="1" customWidth="1"/>
    <col min="312" max="314" width="11" style="1" hidden="1" customWidth="1"/>
    <col min="315" max="320" width="12.140625" style="1" hidden="1" customWidth="1"/>
    <col min="321" max="326" width="12" style="1" hidden="1" customWidth="1"/>
    <col min="327" max="329" width="9.140625" style="1" hidden="1" customWidth="1"/>
    <col min="330" max="332" width="12" style="1" hidden="1" customWidth="1"/>
    <col min="333" max="335" width="11" style="1" hidden="1" customWidth="1"/>
    <col min="336" max="338" width="14" style="1" hidden="1" customWidth="1"/>
    <col min="339" max="341" width="12.140625" style="1" hidden="1" customWidth="1"/>
    <col min="342" max="347" width="12" style="1" hidden="1" customWidth="1"/>
    <col min="348" max="350" width="9.140625" style="1" hidden="1" customWidth="1"/>
    <col min="351" max="353" width="12" style="1" hidden="1" customWidth="1"/>
    <col min="354" max="356" width="11" style="1" hidden="1" customWidth="1"/>
    <col min="357" max="359" width="13.140625" style="1" hidden="1" customWidth="1"/>
    <col min="360" max="362" width="12.140625" style="1" hidden="1" customWidth="1"/>
    <col min="363" max="368" width="12" style="1" hidden="1" customWidth="1"/>
    <col min="369" max="371" width="9.140625" style="1" hidden="1" customWidth="1"/>
    <col min="372" max="374" width="12" style="1" hidden="1" customWidth="1"/>
    <col min="375" max="377" width="11" style="1" hidden="1" customWidth="1"/>
    <col min="378" max="383" width="12.140625" style="1" hidden="1" customWidth="1"/>
    <col min="384" max="389" width="12" style="1" hidden="1" customWidth="1"/>
    <col min="390" max="392" width="9.7109375" style="1" hidden="1" customWidth="1"/>
    <col min="393" max="395" width="12" style="1" hidden="1" customWidth="1"/>
    <col min="396" max="398" width="11" style="1" hidden="1" customWidth="1"/>
    <col min="399" max="401" width="13.140625" style="1" hidden="1" customWidth="1"/>
    <col min="402" max="404" width="12.140625" style="1" hidden="1" customWidth="1"/>
    <col min="405" max="410" width="12" style="1" hidden="1" customWidth="1"/>
    <col min="411" max="413" width="9.7109375" style="1" hidden="1" customWidth="1"/>
    <col min="414" max="416" width="12" style="1" hidden="1" customWidth="1"/>
    <col min="417" max="419" width="11" style="1" hidden="1" customWidth="1"/>
    <col min="420" max="440" width="12.140625" style="1" hidden="1" customWidth="1"/>
    <col min="441" max="443" width="13.140625" style="1" hidden="1" customWidth="1"/>
    <col min="444" max="446" width="12.140625" style="1" hidden="1" customWidth="1"/>
    <col min="447" max="452" width="12" style="1" hidden="1" customWidth="1"/>
    <col min="453" max="455" width="9.140625" style="1" hidden="1" customWidth="1"/>
    <col min="456" max="458" width="12" style="1" hidden="1" customWidth="1"/>
    <col min="459" max="461" width="11" style="1" hidden="1" customWidth="1"/>
    <col min="462" max="464" width="13.140625" style="1" hidden="1" customWidth="1"/>
    <col min="465" max="467" width="12.140625" style="1" hidden="1" customWidth="1"/>
    <col min="468" max="473" width="12" style="1" hidden="1" customWidth="1"/>
    <col min="474" max="476" width="9.140625" style="1" hidden="1" customWidth="1"/>
    <col min="477" max="479" width="12" style="1" hidden="1" customWidth="1"/>
    <col min="480" max="482" width="11" style="1" hidden="1" customWidth="1"/>
    <col min="483" max="485" width="13.140625" style="1" hidden="1" customWidth="1"/>
    <col min="486" max="488" width="12.140625" style="1" hidden="1" customWidth="1"/>
    <col min="489" max="494" width="12" style="1" hidden="1" customWidth="1"/>
    <col min="495" max="497" width="9.140625" style="1" hidden="1" customWidth="1"/>
    <col min="498" max="500" width="12" style="1" hidden="1" customWidth="1"/>
    <col min="501" max="503" width="11" style="1" hidden="1" customWidth="1"/>
    <col min="504" max="506" width="13.140625" style="1" hidden="1" customWidth="1"/>
    <col min="507" max="509" width="12.140625" style="1" hidden="1" customWidth="1"/>
    <col min="510" max="515" width="12" style="1" hidden="1" customWidth="1"/>
    <col min="516" max="518" width="9.140625" style="1" hidden="1" customWidth="1"/>
    <col min="519" max="521" width="12" style="1" hidden="1" customWidth="1"/>
    <col min="522" max="524" width="11" style="1" hidden="1" customWidth="1"/>
    <col min="525" max="527" width="13" style="1" hidden="1" customWidth="1"/>
    <col min="528" max="530" width="12.140625" style="1" hidden="1" customWidth="1"/>
    <col min="531" max="533" width="12" style="1" hidden="1" customWidth="1"/>
    <col min="534" max="534" width="11.7109375" style="1" hidden="1" customWidth="1"/>
    <col min="535" max="536" width="12" style="1" hidden="1" customWidth="1"/>
    <col min="537" max="539" width="9.7109375" style="1" hidden="1" customWidth="1"/>
    <col min="540" max="542" width="12" style="1" hidden="1" customWidth="1"/>
    <col min="543" max="545" width="11" style="1" hidden="1" customWidth="1"/>
    <col min="546" max="548" width="13.140625" style="1" hidden="1" customWidth="1"/>
    <col min="549" max="551" width="12.140625" style="1" hidden="1" customWidth="1"/>
    <col min="552" max="557" width="12" style="1" hidden="1" customWidth="1"/>
    <col min="558" max="560" width="9.7109375" style="1" hidden="1" customWidth="1"/>
    <col min="561" max="563" width="12" style="1" hidden="1" customWidth="1"/>
    <col min="564" max="564" width="11" style="1" hidden="1" customWidth="1"/>
    <col min="565" max="566" width="12" style="1" hidden="1" customWidth="1"/>
    <col min="567" max="569" width="13.140625" style="1" hidden="1" customWidth="1"/>
    <col min="570" max="572" width="12.140625" style="1" hidden="1" customWidth="1"/>
    <col min="573" max="575" width="12" style="1" hidden="1" customWidth="1"/>
    <col min="576" max="576" width="12.5703125" style="1" hidden="1" customWidth="1"/>
    <col min="577" max="578" width="12" style="1" hidden="1" customWidth="1"/>
    <col min="579" max="581" width="9.140625" style="1" hidden="1" customWidth="1"/>
    <col min="582" max="584" width="12" style="1" hidden="1" customWidth="1"/>
    <col min="585" max="587" width="11" style="1" hidden="1" customWidth="1"/>
    <col min="588" max="590" width="13" style="1" hidden="1" customWidth="1"/>
    <col min="591" max="593" width="12.140625" style="1" hidden="1" customWidth="1"/>
    <col min="594" max="599" width="12" style="1" hidden="1" customWidth="1"/>
    <col min="600" max="602" width="9.140625" style="1" hidden="1" customWidth="1"/>
    <col min="603" max="605" width="12" style="1" hidden="1" customWidth="1"/>
    <col min="606" max="608" width="11" style="1" hidden="1" customWidth="1"/>
    <col min="609" max="614" width="12.140625" style="1" hidden="1" customWidth="1"/>
    <col min="615" max="620" width="12" style="1" hidden="1" customWidth="1"/>
    <col min="621" max="623" width="9.140625" style="1" hidden="1" customWidth="1"/>
    <col min="624" max="626" width="12" style="1" hidden="1" customWidth="1"/>
    <col min="627" max="629" width="11" style="1" hidden="1" customWidth="1"/>
    <col min="630" max="635" width="12.140625" style="1" hidden="1" customWidth="1"/>
    <col min="636" max="641" width="12" style="1" hidden="1" customWidth="1"/>
    <col min="642" max="644" width="9.7109375" style="1" hidden="1" customWidth="1"/>
    <col min="645" max="647" width="12" style="1" hidden="1" customWidth="1"/>
    <col min="648" max="650" width="11" style="1" hidden="1" customWidth="1"/>
    <col min="651" max="656" width="12.140625" style="1" hidden="1" customWidth="1"/>
    <col min="657" max="659" width="12" style="1" hidden="1" customWidth="1"/>
    <col min="660" max="662" width="11.7109375" style="1" hidden="1" customWidth="1"/>
    <col min="663" max="665" width="11" style="1" customWidth="1"/>
    <col min="666" max="668" width="14.28515625" style="1" customWidth="1"/>
    <col min="669" max="671" width="12.85546875" style="1" customWidth="1"/>
    <col min="672" max="674" width="13.140625" style="1" customWidth="1"/>
    <col min="675" max="677" width="12.140625" style="1" customWidth="1"/>
    <col min="678" max="683" width="14.28515625" style="1" customWidth="1"/>
    <col min="684" max="684" width="9.140625" style="1" customWidth="1"/>
    <col min="685" max="787" width="9.140625" style="1"/>
    <col min="788" max="788" width="34.85546875" style="1" customWidth="1"/>
    <col min="789" max="789" width="23.140625" style="1" customWidth="1"/>
    <col min="790" max="790" width="6.28515625" style="1" customWidth="1"/>
    <col min="791" max="791" width="51" style="1" customWidth="1"/>
    <col min="792" max="792" width="16.5703125" style="1" customWidth="1"/>
    <col min="793" max="793" width="12.85546875" style="1" customWidth="1"/>
    <col min="794" max="794" width="15.5703125" style="1" customWidth="1"/>
    <col min="795" max="795" width="16.5703125" style="1" customWidth="1"/>
    <col min="796" max="796" width="17" style="1" customWidth="1"/>
    <col min="797" max="798" width="17.42578125" style="1" customWidth="1"/>
    <col min="799" max="800" width="16.5703125" style="1" customWidth="1"/>
    <col min="801" max="803" width="17.42578125" style="1" customWidth="1"/>
    <col min="804" max="805" width="16.5703125" style="1" customWidth="1"/>
    <col min="806" max="808" width="17.42578125" style="1" customWidth="1"/>
    <col min="809" max="810" width="16.5703125" style="1" customWidth="1"/>
    <col min="811" max="813" width="17.42578125" style="1" customWidth="1"/>
    <col min="814" max="814" width="15.5703125" style="1" customWidth="1"/>
    <col min="815" max="815" width="16.5703125" style="1" customWidth="1"/>
    <col min="816" max="817" width="17.42578125" style="1" customWidth="1"/>
    <col min="818" max="852" width="12.140625" style="1" customWidth="1"/>
    <col min="853" max="1043" width="9.140625" style="1"/>
    <col min="1044" max="1044" width="34.85546875" style="1" customWidth="1"/>
    <col min="1045" max="1045" width="23.140625" style="1" customWidth="1"/>
    <col min="1046" max="1046" width="6.28515625" style="1" customWidth="1"/>
    <col min="1047" max="1047" width="51" style="1" customWidth="1"/>
    <col min="1048" max="1048" width="16.5703125" style="1" customWidth="1"/>
    <col min="1049" max="1049" width="12.85546875" style="1" customWidth="1"/>
    <col min="1050" max="1050" width="15.5703125" style="1" customWidth="1"/>
    <col min="1051" max="1051" width="16.5703125" style="1" customWidth="1"/>
    <col min="1052" max="1052" width="17" style="1" customWidth="1"/>
    <col min="1053" max="1054" width="17.42578125" style="1" customWidth="1"/>
    <col min="1055" max="1056" width="16.5703125" style="1" customWidth="1"/>
    <col min="1057" max="1059" width="17.42578125" style="1" customWidth="1"/>
    <col min="1060" max="1061" width="16.5703125" style="1" customWidth="1"/>
    <col min="1062" max="1064" width="17.42578125" style="1" customWidth="1"/>
    <col min="1065" max="1066" width="16.5703125" style="1" customWidth="1"/>
    <col min="1067" max="1069" width="17.42578125" style="1" customWidth="1"/>
    <col min="1070" max="1070" width="15.5703125" style="1" customWidth="1"/>
    <col min="1071" max="1071" width="16.5703125" style="1" customWidth="1"/>
    <col min="1072" max="1073" width="17.42578125" style="1" customWidth="1"/>
    <col min="1074" max="1108" width="12.140625" style="1" customWidth="1"/>
    <col min="1109" max="1299" width="9.140625" style="1"/>
    <col min="1300" max="1300" width="34.85546875" style="1" customWidth="1"/>
    <col min="1301" max="1301" width="23.140625" style="1" customWidth="1"/>
    <col min="1302" max="1302" width="6.28515625" style="1" customWidth="1"/>
    <col min="1303" max="1303" width="51" style="1" customWidth="1"/>
    <col min="1304" max="1304" width="16.5703125" style="1" customWidth="1"/>
    <col min="1305" max="1305" width="12.85546875" style="1" customWidth="1"/>
    <col min="1306" max="1306" width="15.5703125" style="1" customWidth="1"/>
    <col min="1307" max="1307" width="16.5703125" style="1" customWidth="1"/>
    <col min="1308" max="1308" width="17" style="1" customWidth="1"/>
    <col min="1309" max="1310" width="17.42578125" style="1" customWidth="1"/>
    <col min="1311" max="1312" width="16.5703125" style="1" customWidth="1"/>
    <col min="1313" max="1315" width="17.42578125" style="1" customWidth="1"/>
    <col min="1316" max="1317" width="16.5703125" style="1" customWidth="1"/>
    <col min="1318" max="1320" width="17.42578125" style="1" customWidth="1"/>
    <col min="1321" max="1322" width="16.5703125" style="1" customWidth="1"/>
    <col min="1323" max="1325" width="17.42578125" style="1" customWidth="1"/>
    <col min="1326" max="1326" width="15.5703125" style="1" customWidth="1"/>
    <col min="1327" max="1327" width="16.5703125" style="1" customWidth="1"/>
    <col min="1328" max="1329" width="17.42578125" style="1" customWidth="1"/>
    <col min="1330" max="1364" width="12.140625" style="1" customWidth="1"/>
    <col min="1365" max="1555" width="9.140625" style="1"/>
    <col min="1556" max="1556" width="34.85546875" style="1" customWidth="1"/>
    <col min="1557" max="1557" width="23.140625" style="1" customWidth="1"/>
    <col min="1558" max="1558" width="6.28515625" style="1" customWidth="1"/>
    <col min="1559" max="1559" width="51" style="1" customWidth="1"/>
    <col min="1560" max="1560" width="16.5703125" style="1" customWidth="1"/>
    <col min="1561" max="1561" width="12.85546875" style="1" customWidth="1"/>
    <col min="1562" max="1562" width="15.5703125" style="1" customWidth="1"/>
    <col min="1563" max="1563" width="16.5703125" style="1" customWidth="1"/>
    <col min="1564" max="1564" width="17" style="1" customWidth="1"/>
    <col min="1565" max="1566" width="17.42578125" style="1" customWidth="1"/>
    <col min="1567" max="1568" width="16.5703125" style="1" customWidth="1"/>
    <col min="1569" max="1571" width="17.42578125" style="1" customWidth="1"/>
    <col min="1572" max="1573" width="16.5703125" style="1" customWidth="1"/>
    <col min="1574" max="1576" width="17.42578125" style="1" customWidth="1"/>
    <col min="1577" max="1578" width="16.5703125" style="1" customWidth="1"/>
    <col min="1579" max="1581" width="17.42578125" style="1" customWidth="1"/>
    <col min="1582" max="1582" width="15.5703125" style="1" customWidth="1"/>
    <col min="1583" max="1583" width="16.5703125" style="1" customWidth="1"/>
    <col min="1584" max="1585" width="17.42578125" style="1" customWidth="1"/>
    <col min="1586" max="1620" width="12.140625" style="1" customWidth="1"/>
    <col min="1621" max="1811" width="9.140625" style="1"/>
    <col min="1812" max="1812" width="34.85546875" style="1" customWidth="1"/>
    <col min="1813" max="1813" width="23.140625" style="1" customWidth="1"/>
    <col min="1814" max="1814" width="6.28515625" style="1" customWidth="1"/>
    <col min="1815" max="1815" width="51" style="1" customWidth="1"/>
    <col min="1816" max="1816" width="16.5703125" style="1" customWidth="1"/>
    <col min="1817" max="1817" width="12.85546875" style="1" customWidth="1"/>
    <col min="1818" max="1818" width="15.5703125" style="1" customWidth="1"/>
    <col min="1819" max="1819" width="16.5703125" style="1" customWidth="1"/>
    <col min="1820" max="1820" width="17" style="1" customWidth="1"/>
    <col min="1821" max="1822" width="17.42578125" style="1" customWidth="1"/>
    <col min="1823" max="1824" width="16.5703125" style="1" customWidth="1"/>
    <col min="1825" max="1827" width="17.42578125" style="1" customWidth="1"/>
    <col min="1828" max="1829" width="16.5703125" style="1" customWidth="1"/>
    <col min="1830" max="1832" width="17.42578125" style="1" customWidth="1"/>
    <col min="1833" max="1834" width="16.5703125" style="1" customWidth="1"/>
    <col min="1835" max="1837" width="17.42578125" style="1" customWidth="1"/>
    <col min="1838" max="1838" width="15.5703125" style="1" customWidth="1"/>
    <col min="1839" max="1839" width="16.5703125" style="1" customWidth="1"/>
    <col min="1840" max="1841" width="17.42578125" style="1" customWidth="1"/>
    <col min="1842" max="1876" width="12.140625" style="1" customWidth="1"/>
    <col min="1877" max="2067" width="9.140625" style="1"/>
    <col min="2068" max="2068" width="34.85546875" style="1" customWidth="1"/>
    <col min="2069" max="2069" width="23.140625" style="1" customWidth="1"/>
    <col min="2070" max="2070" width="6.28515625" style="1" customWidth="1"/>
    <col min="2071" max="2071" width="51" style="1" customWidth="1"/>
    <col min="2072" max="2072" width="16.5703125" style="1" customWidth="1"/>
    <col min="2073" max="2073" width="12.85546875" style="1" customWidth="1"/>
    <col min="2074" max="2074" width="15.5703125" style="1" customWidth="1"/>
    <col min="2075" max="2075" width="16.5703125" style="1" customWidth="1"/>
    <col min="2076" max="2076" width="17" style="1" customWidth="1"/>
    <col min="2077" max="2078" width="17.42578125" style="1" customWidth="1"/>
    <col min="2079" max="2080" width="16.5703125" style="1" customWidth="1"/>
    <col min="2081" max="2083" width="17.42578125" style="1" customWidth="1"/>
    <col min="2084" max="2085" width="16.5703125" style="1" customWidth="1"/>
    <col min="2086" max="2088" width="17.42578125" style="1" customWidth="1"/>
    <col min="2089" max="2090" width="16.5703125" style="1" customWidth="1"/>
    <col min="2091" max="2093" width="17.42578125" style="1" customWidth="1"/>
    <col min="2094" max="2094" width="15.5703125" style="1" customWidth="1"/>
    <col min="2095" max="2095" width="16.5703125" style="1" customWidth="1"/>
    <col min="2096" max="2097" width="17.42578125" style="1" customWidth="1"/>
    <col min="2098" max="2132" width="12.140625" style="1" customWidth="1"/>
    <col min="2133" max="2323" width="9.140625" style="1"/>
    <col min="2324" max="2324" width="34.85546875" style="1" customWidth="1"/>
    <col min="2325" max="2325" width="23.140625" style="1" customWidth="1"/>
    <col min="2326" max="2326" width="6.28515625" style="1" customWidth="1"/>
    <col min="2327" max="2327" width="51" style="1" customWidth="1"/>
    <col min="2328" max="2328" width="16.5703125" style="1" customWidth="1"/>
    <col min="2329" max="2329" width="12.85546875" style="1" customWidth="1"/>
    <col min="2330" max="2330" width="15.5703125" style="1" customWidth="1"/>
    <col min="2331" max="2331" width="16.5703125" style="1" customWidth="1"/>
    <col min="2332" max="2332" width="17" style="1" customWidth="1"/>
    <col min="2333" max="2334" width="17.42578125" style="1" customWidth="1"/>
    <col min="2335" max="2336" width="16.5703125" style="1" customWidth="1"/>
    <col min="2337" max="2339" width="17.42578125" style="1" customWidth="1"/>
    <col min="2340" max="2341" width="16.5703125" style="1" customWidth="1"/>
    <col min="2342" max="2344" width="17.42578125" style="1" customWidth="1"/>
    <col min="2345" max="2346" width="16.5703125" style="1" customWidth="1"/>
    <col min="2347" max="2349" width="17.42578125" style="1" customWidth="1"/>
    <col min="2350" max="2350" width="15.5703125" style="1" customWidth="1"/>
    <col min="2351" max="2351" width="16.5703125" style="1" customWidth="1"/>
    <col min="2352" max="2353" width="17.42578125" style="1" customWidth="1"/>
    <col min="2354" max="2388" width="12.140625" style="1" customWidth="1"/>
    <col min="2389" max="2579" width="9.140625" style="1"/>
    <col min="2580" max="2580" width="34.85546875" style="1" customWidth="1"/>
    <col min="2581" max="2581" width="23.140625" style="1" customWidth="1"/>
    <col min="2582" max="2582" width="6.28515625" style="1" customWidth="1"/>
    <col min="2583" max="2583" width="51" style="1" customWidth="1"/>
    <col min="2584" max="2584" width="16.5703125" style="1" customWidth="1"/>
    <col min="2585" max="2585" width="12.85546875" style="1" customWidth="1"/>
    <col min="2586" max="2586" width="15.5703125" style="1" customWidth="1"/>
    <col min="2587" max="2587" width="16.5703125" style="1" customWidth="1"/>
    <col min="2588" max="2588" width="17" style="1" customWidth="1"/>
    <col min="2589" max="2590" width="17.42578125" style="1" customWidth="1"/>
    <col min="2591" max="2592" width="16.5703125" style="1" customWidth="1"/>
    <col min="2593" max="2595" width="17.42578125" style="1" customWidth="1"/>
    <col min="2596" max="2597" width="16.5703125" style="1" customWidth="1"/>
    <col min="2598" max="2600" width="17.42578125" style="1" customWidth="1"/>
    <col min="2601" max="2602" width="16.5703125" style="1" customWidth="1"/>
    <col min="2603" max="2605" width="17.42578125" style="1" customWidth="1"/>
    <col min="2606" max="2606" width="15.5703125" style="1" customWidth="1"/>
    <col min="2607" max="2607" width="16.5703125" style="1" customWidth="1"/>
    <col min="2608" max="2609" width="17.42578125" style="1" customWidth="1"/>
    <col min="2610" max="2644" width="12.140625" style="1" customWidth="1"/>
    <col min="2645" max="2835" width="9.140625" style="1"/>
    <col min="2836" max="2836" width="34.85546875" style="1" customWidth="1"/>
    <col min="2837" max="2837" width="23.140625" style="1" customWidth="1"/>
    <col min="2838" max="2838" width="6.28515625" style="1" customWidth="1"/>
    <col min="2839" max="2839" width="51" style="1" customWidth="1"/>
    <col min="2840" max="2840" width="16.5703125" style="1" customWidth="1"/>
    <col min="2841" max="2841" width="12.85546875" style="1" customWidth="1"/>
    <col min="2842" max="2842" width="15.5703125" style="1" customWidth="1"/>
    <col min="2843" max="2843" width="16.5703125" style="1" customWidth="1"/>
    <col min="2844" max="2844" width="17" style="1" customWidth="1"/>
    <col min="2845" max="2846" width="17.42578125" style="1" customWidth="1"/>
    <col min="2847" max="2848" width="16.5703125" style="1" customWidth="1"/>
    <col min="2849" max="2851" width="17.42578125" style="1" customWidth="1"/>
    <col min="2852" max="2853" width="16.5703125" style="1" customWidth="1"/>
    <col min="2854" max="2856" width="17.42578125" style="1" customWidth="1"/>
    <col min="2857" max="2858" width="16.5703125" style="1" customWidth="1"/>
    <col min="2859" max="2861" width="17.42578125" style="1" customWidth="1"/>
    <col min="2862" max="2862" width="15.5703125" style="1" customWidth="1"/>
    <col min="2863" max="2863" width="16.5703125" style="1" customWidth="1"/>
    <col min="2864" max="2865" width="17.42578125" style="1" customWidth="1"/>
    <col min="2866" max="2900" width="12.140625" style="1" customWidth="1"/>
    <col min="2901" max="3091" width="9.140625" style="1"/>
    <col min="3092" max="3092" width="34.85546875" style="1" customWidth="1"/>
    <col min="3093" max="3093" width="23.140625" style="1" customWidth="1"/>
    <col min="3094" max="3094" width="6.28515625" style="1" customWidth="1"/>
    <col min="3095" max="3095" width="51" style="1" customWidth="1"/>
    <col min="3096" max="3096" width="16.5703125" style="1" customWidth="1"/>
    <col min="3097" max="3097" width="12.85546875" style="1" customWidth="1"/>
    <col min="3098" max="3098" width="15.5703125" style="1" customWidth="1"/>
    <col min="3099" max="3099" width="16.5703125" style="1" customWidth="1"/>
    <col min="3100" max="3100" width="17" style="1" customWidth="1"/>
    <col min="3101" max="3102" width="17.42578125" style="1" customWidth="1"/>
    <col min="3103" max="3104" width="16.5703125" style="1" customWidth="1"/>
    <col min="3105" max="3107" width="17.42578125" style="1" customWidth="1"/>
    <col min="3108" max="3109" width="16.5703125" style="1" customWidth="1"/>
    <col min="3110" max="3112" width="17.42578125" style="1" customWidth="1"/>
    <col min="3113" max="3114" width="16.5703125" style="1" customWidth="1"/>
    <col min="3115" max="3117" width="17.42578125" style="1" customWidth="1"/>
    <col min="3118" max="3118" width="15.5703125" style="1" customWidth="1"/>
    <col min="3119" max="3119" width="16.5703125" style="1" customWidth="1"/>
    <col min="3120" max="3121" width="17.42578125" style="1" customWidth="1"/>
    <col min="3122" max="3156" width="12.140625" style="1" customWidth="1"/>
    <col min="3157" max="3347" width="9.140625" style="1"/>
    <col min="3348" max="3348" width="34.85546875" style="1" customWidth="1"/>
    <col min="3349" max="3349" width="23.140625" style="1" customWidth="1"/>
    <col min="3350" max="3350" width="6.28515625" style="1" customWidth="1"/>
    <col min="3351" max="3351" width="51" style="1" customWidth="1"/>
    <col min="3352" max="3352" width="16.5703125" style="1" customWidth="1"/>
    <col min="3353" max="3353" width="12.85546875" style="1" customWidth="1"/>
    <col min="3354" max="3354" width="15.5703125" style="1" customWidth="1"/>
    <col min="3355" max="3355" width="16.5703125" style="1" customWidth="1"/>
    <col min="3356" max="3356" width="17" style="1" customWidth="1"/>
    <col min="3357" max="3358" width="17.42578125" style="1" customWidth="1"/>
    <col min="3359" max="3360" width="16.5703125" style="1" customWidth="1"/>
    <col min="3361" max="3363" width="17.42578125" style="1" customWidth="1"/>
    <col min="3364" max="3365" width="16.5703125" style="1" customWidth="1"/>
    <col min="3366" max="3368" width="17.42578125" style="1" customWidth="1"/>
    <col min="3369" max="3370" width="16.5703125" style="1" customWidth="1"/>
    <col min="3371" max="3373" width="17.42578125" style="1" customWidth="1"/>
    <col min="3374" max="3374" width="15.5703125" style="1" customWidth="1"/>
    <col min="3375" max="3375" width="16.5703125" style="1" customWidth="1"/>
    <col min="3376" max="3377" width="17.42578125" style="1" customWidth="1"/>
    <col min="3378" max="3412" width="12.140625" style="1" customWidth="1"/>
    <col min="3413" max="3603" width="9.140625" style="1"/>
    <col min="3604" max="3604" width="34.85546875" style="1" customWidth="1"/>
    <col min="3605" max="3605" width="23.140625" style="1" customWidth="1"/>
    <col min="3606" max="3606" width="6.28515625" style="1" customWidth="1"/>
    <col min="3607" max="3607" width="51" style="1" customWidth="1"/>
    <col min="3608" max="3608" width="16.5703125" style="1" customWidth="1"/>
    <col min="3609" max="3609" width="12.85546875" style="1" customWidth="1"/>
    <col min="3610" max="3610" width="15.5703125" style="1" customWidth="1"/>
    <col min="3611" max="3611" width="16.5703125" style="1" customWidth="1"/>
    <col min="3612" max="3612" width="17" style="1" customWidth="1"/>
    <col min="3613" max="3614" width="17.42578125" style="1" customWidth="1"/>
    <col min="3615" max="3616" width="16.5703125" style="1" customWidth="1"/>
    <col min="3617" max="3619" width="17.42578125" style="1" customWidth="1"/>
    <col min="3620" max="3621" width="16.5703125" style="1" customWidth="1"/>
    <col min="3622" max="3624" width="17.42578125" style="1" customWidth="1"/>
    <col min="3625" max="3626" width="16.5703125" style="1" customWidth="1"/>
    <col min="3627" max="3629" width="17.42578125" style="1" customWidth="1"/>
    <col min="3630" max="3630" width="15.5703125" style="1" customWidth="1"/>
    <col min="3631" max="3631" width="16.5703125" style="1" customWidth="1"/>
    <col min="3632" max="3633" width="17.42578125" style="1" customWidth="1"/>
    <col min="3634" max="3668" width="12.140625" style="1" customWidth="1"/>
    <col min="3669" max="3859" width="9.140625" style="1"/>
    <col min="3860" max="3860" width="34.85546875" style="1" customWidth="1"/>
    <col min="3861" max="3861" width="23.140625" style="1" customWidth="1"/>
    <col min="3862" max="3862" width="6.28515625" style="1" customWidth="1"/>
    <col min="3863" max="3863" width="51" style="1" customWidth="1"/>
    <col min="3864" max="3864" width="16.5703125" style="1" customWidth="1"/>
    <col min="3865" max="3865" width="12.85546875" style="1" customWidth="1"/>
    <col min="3866" max="3866" width="15.5703125" style="1" customWidth="1"/>
    <col min="3867" max="3867" width="16.5703125" style="1" customWidth="1"/>
    <col min="3868" max="3868" width="17" style="1" customWidth="1"/>
    <col min="3869" max="3870" width="17.42578125" style="1" customWidth="1"/>
    <col min="3871" max="3872" width="16.5703125" style="1" customWidth="1"/>
    <col min="3873" max="3875" width="17.42578125" style="1" customWidth="1"/>
    <col min="3876" max="3877" width="16.5703125" style="1" customWidth="1"/>
    <col min="3878" max="3880" width="17.42578125" style="1" customWidth="1"/>
    <col min="3881" max="3882" width="16.5703125" style="1" customWidth="1"/>
    <col min="3883" max="3885" width="17.42578125" style="1" customWidth="1"/>
    <col min="3886" max="3886" width="15.5703125" style="1" customWidth="1"/>
    <col min="3887" max="3887" width="16.5703125" style="1" customWidth="1"/>
    <col min="3888" max="3889" width="17.42578125" style="1" customWidth="1"/>
    <col min="3890" max="3924" width="12.140625" style="1" customWidth="1"/>
    <col min="3925" max="4115" width="9.140625" style="1"/>
    <col min="4116" max="4116" width="34.85546875" style="1" customWidth="1"/>
    <col min="4117" max="4117" width="23.140625" style="1" customWidth="1"/>
    <col min="4118" max="4118" width="6.28515625" style="1" customWidth="1"/>
    <col min="4119" max="4119" width="51" style="1" customWidth="1"/>
    <col min="4120" max="4120" width="16.5703125" style="1" customWidth="1"/>
    <col min="4121" max="4121" width="12.85546875" style="1" customWidth="1"/>
    <col min="4122" max="4122" width="15.5703125" style="1" customWidth="1"/>
    <col min="4123" max="4123" width="16.5703125" style="1" customWidth="1"/>
    <col min="4124" max="4124" width="17" style="1" customWidth="1"/>
    <col min="4125" max="4126" width="17.42578125" style="1" customWidth="1"/>
    <col min="4127" max="4128" width="16.5703125" style="1" customWidth="1"/>
    <col min="4129" max="4131" width="17.42578125" style="1" customWidth="1"/>
    <col min="4132" max="4133" width="16.5703125" style="1" customWidth="1"/>
    <col min="4134" max="4136" width="17.42578125" style="1" customWidth="1"/>
    <col min="4137" max="4138" width="16.5703125" style="1" customWidth="1"/>
    <col min="4139" max="4141" width="17.42578125" style="1" customWidth="1"/>
    <col min="4142" max="4142" width="15.5703125" style="1" customWidth="1"/>
    <col min="4143" max="4143" width="16.5703125" style="1" customWidth="1"/>
    <col min="4144" max="4145" width="17.42578125" style="1" customWidth="1"/>
    <col min="4146" max="4180" width="12.140625" style="1" customWidth="1"/>
    <col min="4181" max="4371" width="9.140625" style="1"/>
    <col min="4372" max="4372" width="34.85546875" style="1" customWidth="1"/>
    <col min="4373" max="4373" width="23.140625" style="1" customWidth="1"/>
    <col min="4374" max="4374" width="6.28515625" style="1" customWidth="1"/>
    <col min="4375" max="4375" width="51" style="1" customWidth="1"/>
    <col min="4376" max="4376" width="16.5703125" style="1" customWidth="1"/>
    <col min="4377" max="4377" width="12.85546875" style="1" customWidth="1"/>
    <col min="4378" max="4378" width="15.5703125" style="1" customWidth="1"/>
    <col min="4379" max="4379" width="16.5703125" style="1" customWidth="1"/>
    <col min="4380" max="4380" width="17" style="1" customWidth="1"/>
    <col min="4381" max="4382" width="17.42578125" style="1" customWidth="1"/>
    <col min="4383" max="4384" width="16.5703125" style="1" customWidth="1"/>
    <col min="4385" max="4387" width="17.42578125" style="1" customWidth="1"/>
    <col min="4388" max="4389" width="16.5703125" style="1" customWidth="1"/>
    <col min="4390" max="4392" width="17.42578125" style="1" customWidth="1"/>
    <col min="4393" max="4394" width="16.5703125" style="1" customWidth="1"/>
    <col min="4395" max="4397" width="17.42578125" style="1" customWidth="1"/>
    <col min="4398" max="4398" width="15.5703125" style="1" customWidth="1"/>
    <col min="4399" max="4399" width="16.5703125" style="1" customWidth="1"/>
    <col min="4400" max="4401" width="17.42578125" style="1" customWidth="1"/>
    <col min="4402" max="4436" width="12.140625" style="1" customWidth="1"/>
    <col min="4437" max="4627" width="9.140625" style="1"/>
    <col min="4628" max="4628" width="34.85546875" style="1" customWidth="1"/>
    <col min="4629" max="4629" width="23.140625" style="1" customWidth="1"/>
    <col min="4630" max="4630" width="6.28515625" style="1" customWidth="1"/>
    <col min="4631" max="4631" width="51" style="1" customWidth="1"/>
    <col min="4632" max="4632" width="16.5703125" style="1" customWidth="1"/>
    <col min="4633" max="4633" width="12.85546875" style="1" customWidth="1"/>
    <col min="4634" max="4634" width="15.5703125" style="1" customWidth="1"/>
    <col min="4635" max="4635" width="16.5703125" style="1" customWidth="1"/>
    <col min="4636" max="4636" width="17" style="1" customWidth="1"/>
    <col min="4637" max="4638" width="17.42578125" style="1" customWidth="1"/>
    <col min="4639" max="4640" width="16.5703125" style="1" customWidth="1"/>
    <col min="4641" max="4643" width="17.42578125" style="1" customWidth="1"/>
    <col min="4644" max="4645" width="16.5703125" style="1" customWidth="1"/>
    <col min="4646" max="4648" width="17.42578125" style="1" customWidth="1"/>
    <col min="4649" max="4650" width="16.5703125" style="1" customWidth="1"/>
    <col min="4651" max="4653" width="17.42578125" style="1" customWidth="1"/>
    <col min="4654" max="4654" width="15.5703125" style="1" customWidth="1"/>
    <col min="4655" max="4655" width="16.5703125" style="1" customWidth="1"/>
    <col min="4656" max="4657" width="17.42578125" style="1" customWidth="1"/>
    <col min="4658" max="4692" width="12.140625" style="1" customWidth="1"/>
    <col min="4693" max="4883" width="9.140625" style="1"/>
    <col min="4884" max="4884" width="34.85546875" style="1" customWidth="1"/>
    <col min="4885" max="4885" width="23.140625" style="1" customWidth="1"/>
    <col min="4886" max="4886" width="6.28515625" style="1" customWidth="1"/>
    <col min="4887" max="4887" width="51" style="1" customWidth="1"/>
    <col min="4888" max="4888" width="16.5703125" style="1" customWidth="1"/>
    <col min="4889" max="4889" width="12.85546875" style="1" customWidth="1"/>
    <col min="4890" max="4890" width="15.5703125" style="1" customWidth="1"/>
    <col min="4891" max="4891" width="16.5703125" style="1" customWidth="1"/>
    <col min="4892" max="4892" width="17" style="1" customWidth="1"/>
    <col min="4893" max="4894" width="17.42578125" style="1" customWidth="1"/>
    <col min="4895" max="4896" width="16.5703125" style="1" customWidth="1"/>
    <col min="4897" max="4899" width="17.42578125" style="1" customWidth="1"/>
    <col min="4900" max="4901" width="16.5703125" style="1" customWidth="1"/>
    <col min="4902" max="4904" width="17.42578125" style="1" customWidth="1"/>
    <col min="4905" max="4906" width="16.5703125" style="1" customWidth="1"/>
    <col min="4907" max="4909" width="17.42578125" style="1" customWidth="1"/>
    <col min="4910" max="4910" width="15.5703125" style="1" customWidth="1"/>
    <col min="4911" max="4911" width="16.5703125" style="1" customWidth="1"/>
    <col min="4912" max="4913" width="17.42578125" style="1" customWidth="1"/>
    <col min="4914" max="4948" width="12.140625" style="1" customWidth="1"/>
    <col min="4949" max="5139" width="9.140625" style="1"/>
    <col min="5140" max="5140" width="34.85546875" style="1" customWidth="1"/>
    <col min="5141" max="5141" width="23.140625" style="1" customWidth="1"/>
    <col min="5142" max="5142" width="6.28515625" style="1" customWidth="1"/>
    <col min="5143" max="5143" width="51" style="1" customWidth="1"/>
    <col min="5144" max="5144" width="16.5703125" style="1" customWidth="1"/>
    <col min="5145" max="5145" width="12.85546875" style="1" customWidth="1"/>
    <col min="5146" max="5146" width="15.5703125" style="1" customWidth="1"/>
    <col min="5147" max="5147" width="16.5703125" style="1" customWidth="1"/>
    <col min="5148" max="5148" width="17" style="1" customWidth="1"/>
    <col min="5149" max="5150" width="17.42578125" style="1" customWidth="1"/>
    <col min="5151" max="5152" width="16.5703125" style="1" customWidth="1"/>
    <col min="5153" max="5155" width="17.42578125" style="1" customWidth="1"/>
    <col min="5156" max="5157" width="16.5703125" style="1" customWidth="1"/>
    <col min="5158" max="5160" width="17.42578125" style="1" customWidth="1"/>
    <col min="5161" max="5162" width="16.5703125" style="1" customWidth="1"/>
    <col min="5163" max="5165" width="17.42578125" style="1" customWidth="1"/>
    <col min="5166" max="5166" width="15.5703125" style="1" customWidth="1"/>
    <col min="5167" max="5167" width="16.5703125" style="1" customWidth="1"/>
    <col min="5168" max="5169" width="17.42578125" style="1" customWidth="1"/>
    <col min="5170" max="5204" width="12.140625" style="1" customWidth="1"/>
    <col min="5205" max="5395" width="9.140625" style="1"/>
    <col min="5396" max="5396" width="34.85546875" style="1" customWidth="1"/>
    <col min="5397" max="5397" width="23.140625" style="1" customWidth="1"/>
    <col min="5398" max="5398" width="6.28515625" style="1" customWidth="1"/>
    <col min="5399" max="5399" width="51" style="1" customWidth="1"/>
    <col min="5400" max="5400" width="16.5703125" style="1" customWidth="1"/>
    <col min="5401" max="5401" width="12.85546875" style="1" customWidth="1"/>
    <col min="5402" max="5402" width="15.5703125" style="1" customWidth="1"/>
    <col min="5403" max="5403" width="16.5703125" style="1" customWidth="1"/>
    <col min="5404" max="5404" width="17" style="1" customWidth="1"/>
    <col min="5405" max="5406" width="17.42578125" style="1" customWidth="1"/>
    <col min="5407" max="5408" width="16.5703125" style="1" customWidth="1"/>
    <col min="5409" max="5411" width="17.42578125" style="1" customWidth="1"/>
    <col min="5412" max="5413" width="16.5703125" style="1" customWidth="1"/>
    <col min="5414" max="5416" width="17.42578125" style="1" customWidth="1"/>
    <col min="5417" max="5418" width="16.5703125" style="1" customWidth="1"/>
    <col min="5419" max="5421" width="17.42578125" style="1" customWidth="1"/>
    <col min="5422" max="5422" width="15.5703125" style="1" customWidth="1"/>
    <col min="5423" max="5423" width="16.5703125" style="1" customWidth="1"/>
    <col min="5424" max="5425" width="17.42578125" style="1" customWidth="1"/>
    <col min="5426" max="5460" width="12.140625" style="1" customWidth="1"/>
    <col min="5461" max="5651" width="9.140625" style="1"/>
    <col min="5652" max="5652" width="34.85546875" style="1" customWidth="1"/>
    <col min="5653" max="5653" width="23.140625" style="1" customWidth="1"/>
    <col min="5654" max="5654" width="6.28515625" style="1" customWidth="1"/>
    <col min="5655" max="5655" width="51" style="1" customWidth="1"/>
    <col min="5656" max="5656" width="16.5703125" style="1" customWidth="1"/>
    <col min="5657" max="5657" width="12.85546875" style="1" customWidth="1"/>
    <col min="5658" max="5658" width="15.5703125" style="1" customWidth="1"/>
    <col min="5659" max="5659" width="16.5703125" style="1" customWidth="1"/>
    <col min="5660" max="5660" width="17" style="1" customWidth="1"/>
    <col min="5661" max="5662" width="17.42578125" style="1" customWidth="1"/>
    <col min="5663" max="5664" width="16.5703125" style="1" customWidth="1"/>
    <col min="5665" max="5667" width="17.42578125" style="1" customWidth="1"/>
    <col min="5668" max="5669" width="16.5703125" style="1" customWidth="1"/>
    <col min="5670" max="5672" width="17.42578125" style="1" customWidth="1"/>
    <col min="5673" max="5674" width="16.5703125" style="1" customWidth="1"/>
    <col min="5675" max="5677" width="17.42578125" style="1" customWidth="1"/>
    <col min="5678" max="5678" width="15.5703125" style="1" customWidth="1"/>
    <col min="5679" max="5679" width="16.5703125" style="1" customWidth="1"/>
    <col min="5680" max="5681" width="17.42578125" style="1" customWidth="1"/>
    <col min="5682" max="5716" width="12.140625" style="1" customWidth="1"/>
    <col min="5717" max="5907" width="9.140625" style="1"/>
    <col min="5908" max="5908" width="34.85546875" style="1" customWidth="1"/>
    <col min="5909" max="5909" width="23.140625" style="1" customWidth="1"/>
    <col min="5910" max="5910" width="6.28515625" style="1" customWidth="1"/>
    <col min="5911" max="5911" width="51" style="1" customWidth="1"/>
    <col min="5912" max="5912" width="16.5703125" style="1" customWidth="1"/>
    <col min="5913" max="5913" width="12.85546875" style="1" customWidth="1"/>
    <col min="5914" max="5914" width="15.5703125" style="1" customWidth="1"/>
    <col min="5915" max="5915" width="16.5703125" style="1" customWidth="1"/>
    <col min="5916" max="5916" width="17" style="1" customWidth="1"/>
    <col min="5917" max="5918" width="17.42578125" style="1" customWidth="1"/>
    <col min="5919" max="5920" width="16.5703125" style="1" customWidth="1"/>
    <col min="5921" max="5923" width="17.42578125" style="1" customWidth="1"/>
    <col min="5924" max="5925" width="16.5703125" style="1" customWidth="1"/>
    <col min="5926" max="5928" width="17.42578125" style="1" customWidth="1"/>
    <col min="5929" max="5930" width="16.5703125" style="1" customWidth="1"/>
    <col min="5931" max="5933" width="17.42578125" style="1" customWidth="1"/>
    <col min="5934" max="5934" width="15.5703125" style="1" customWidth="1"/>
    <col min="5935" max="5935" width="16.5703125" style="1" customWidth="1"/>
    <col min="5936" max="5937" width="17.42578125" style="1" customWidth="1"/>
    <col min="5938" max="5972" width="12.140625" style="1" customWidth="1"/>
    <col min="5973" max="6163" width="9.140625" style="1"/>
    <col min="6164" max="6164" width="34.85546875" style="1" customWidth="1"/>
    <col min="6165" max="6165" width="23.140625" style="1" customWidth="1"/>
    <col min="6166" max="6166" width="6.28515625" style="1" customWidth="1"/>
    <col min="6167" max="6167" width="51" style="1" customWidth="1"/>
    <col min="6168" max="6168" width="16.5703125" style="1" customWidth="1"/>
    <col min="6169" max="6169" width="12.85546875" style="1" customWidth="1"/>
    <col min="6170" max="6170" width="15.5703125" style="1" customWidth="1"/>
    <col min="6171" max="6171" width="16.5703125" style="1" customWidth="1"/>
    <col min="6172" max="6172" width="17" style="1" customWidth="1"/>
    <col min="6173" max="6174" width="17.42578125" style="1" customWidth="1"/>
    <col min="6175" max="6176" width="16.5703125" style="1" customWidth="1"/>
    <col min="6177" max="6179" width="17.42578125" style="1" customWidth="1"/>
    <col min="6180" max="6181" width="16.5703125" style="1" customWidth="1"/>
    <col min="6182" max="6184" width="17.42578125" style="1" customWidth="1"/>
    <col min="6185" max="6186" width="16.5703125" style="1" customWidth="1"/>
    <col min="6187" max="6189" width="17.42578125" style="1" customWidth="1"/>
    <col min="6190" max="6190" width="15.5703125" style="1" customWidth="1"/>
    <col min="6191" max="6191" width="16.5703125" style="1" customWidth="1"/>
    <col min="6192" max="6193" width="17.42578125" style="1" customWidth="1"/>
    <col min="6194" max="6228" width="12.140625" style="1" customWidth="1"/>
    <col min="6229" max="6419" width="9.140625" style="1"/>
    <col min="6420" max="6420" width="34.85546875" style="1" customWidth="1"/>
    <col min="6421" max="6421" width="23.140625" style="1" customWidth="1"/>
    <col min="6422" max="6422" width="6.28515625" style="1" customWidth="1"/>
    <col min="6423" max="6423" width="51" style="1" customWidth="1"/>
    <col min="6424" max="6424" width="16.5703125" style="1" customWidth="1"/>
    <col min="6425" max="6425" width="12.85546875" style="1" customWidth="1"/>
    <col min="6426" max="6426" width="15.5703125" style="1" customWidth="1"/>
    <col min="6427" max="6427" width="16.5703125" style="1" customWidth="1"/>
    <col min="6428" max="6428" width="17" style="1" customWidth="1"/>
    <col min="6429" max="6430" width="17.42578125" style="1" customWidth="1"/>
    <col min="6431" max="6432" width="16.5703125" style="1" customWidth="1"/>
    <col min="6433" max="6435" width="17.42578125" style="1" customWidth="1"/>
    <col min="6436" max="6437" width="16.5703125" style="1" customWidth="1"/>
    <col min="6438" max="6440" width="17.42578125" style="1" customWidth="1"/>
    <col min="6441" max="6442" width="16.5703125" style="1" customWidth="1"/>
    <col min="6443" max="6445" width="17.42578125" style="1" customWidth="1"/>
    <col min="6446" max="6446" width="15.5703125" style="1" customWidth="1"/>
    <col min="6447" max="6447" width="16.5703125" style="1" customWidth="1"/>
    <col min="6448" max="6449" width="17.42578125" style="1" customWidth="1"/>
    <col min="6450" max="6484" width="12.140625" style="1" customWidth="1"/>
    <col min="6485" max="6675" width="9.140625" style="1"/>
    <col min="6676" max="6676" width="34.85546875" style="1" customWidth="1"/>
    <col min="6677" max="6677" width="23.140625" style="1" customWidth="1"/>
    <col min="6678" max="6678" width="6.28515625" style="1" customWidth="1"/>
    <col min="6679" max="6679" width="51" style="1" customWidth="1"/>
    <col min="6680" max="6680" width="16.5703125" style="1" customWidth="1"/>
    <col min="6681" max="6681" width="12.85546875" style="1" customWidth="1"/>
    <col min="6682" max="6682" width="15.5703125" style="1" customWidth="1"/>
    <col min="6683" max="6683" width="16.5703125" style="1" customWidth="1"/>
    <col min="6684" max="6684" width="17" style="1" customWidth="1"/>
    <col min="6685" max="6686" width="17.42578125" style="1" customWidth="1"/>
    <col min="6687" max="6688" width="16.5703125" style="1" customWidth="1"/>
    <col min="6689" max="6691" width="17.42578125" style="1" customWidth="1"/>
    <col min="6692" max="6693" width="16.5703125" style="1" customWidth="1"/>
    <col min="6694" max="6696" width="17.42578125" style="1" customWidth="1"/>
    <col min="6697" max="6698" width="16.5703125" style="1" customWidth="1"/>
    <col min="6699" max="6701" width="17.42578125" style="1" customWidth="1"/>
    <col min="6702" max="6702" width="15.5703125" style="1" customWidth="1"/>
    <col min="6703" max="6703" width="16.5703125" style="1" customWidth="1"/>
    <col min="6704" max="6705" width="17.42578125" style="1" customWidth="1"/>
    <col min="6706" max="6740" width="12.140625" style="1" customWidth="1"/>
    <col min="6741" max="6931" width="9.140625" style="1"/>
    <col min="6932" max="6932" width="34.85546875" style="1" customWidth="1"/>
    <col min="6933" max="6933" width="23.140625" style="1" customWidth="1"/>
    <col min="6934" max="6934" width="6.28515625" style="1" customWidth="1"/>
    <col min="6935" max="6935" width="51" style="1" customWidth="1"/>
    <col min="6936" max="6936" width="16.5703125" style="1" customWidth="1"/>
    <col min="6937" max="6937" width="12.85546875" style="1" customWidth="1"/>
    <col min="6938" max="6938" width="15.5703125" style="1" customWidth="1"/>
    <col min="6939" max="6939" width="16.5703125" style="1" customWidth="1"/>
    <col min="6940" max="6940" width="17" style="1" customWidth="1"/>
    <col min="6941" max="6942" width="17.42578125" style="1" customWidth="1"/>
    <col min="6943" max="6944" width="16.5703125" style="1" customWidth="1"/>
    <col min="6945" max="6947" width="17.42578125" style="1" customWidth="1"/>
    <col min="6948" max="6949" width="16.5703125" style="1" customWidth="1"/>
    <col min="6950" max="6952" width="17.42578125" style="1" customWidth="1"/>
    <col min="6953" max="6954" width="16.5703125" style="1" customWidth="1"/>
    <col min="6955" max="6957" width="17.42578125" style="1" customWidth="1"/>
    <col min="6958" max="6958" width="15.5703125" style="1" customWidth="1"/>
    <col min="6959" max="6959" width="16.5703125" style="1" customWidth="1"/>
    <col min="6960" max="6961" width="17.42578125" style="1" customWidth="1"/>
    <col min="6962" max="6996" width="12.140625" style="1" customWidth="1"/>
    <col min="6997" max="7187" width="9.140625" style="1"/>
    <col min="7188" max="7188" width="34.85546875" style="1" customWidth="1"/>
    <col min="7189" max="7189" width="23.140625" style="1" customWidth="1"/>
    <col min="7190" max="7190" width="6.28515625" style="1" customWidth="1"/>
    <col min="7191" max="7191" width="51" style="1" customWidth="1"/>
    <col min="7192" max="7192" width="16.5703125" style="1" customWidth="1"/>
    <col min="7193" max="7193" width="12.85546875" style="1" customWidth="1"/>
    <col min="7194" max="7194" width="15.5703125" style="1" customWidth="1"/>
    <col min="7195" max="7195" width="16.5703125" style="1" customWidth="1"/>
    <col min="7196" max="7196" width="17" style="1" customWidth="1"/>
    <col min="7197" max="7198" width="17.42578125" style="1" customWidth="1"/>
    <col min="7199" max="7200" width="16.5703125" style="1" customWidth="1"/>
    <col min="7201" max="7203" width="17.42578125" style="1" customWidth="1"/>
    <col min="7204" max="7205" width="16.5703125" style="1" customWidth="1"/>
    <col min="7206" max="7208" width="17.42578125" style="1" customWidth="1"/>
    <col min="7209" max="7210" width="16.5703125" style="1" customWidth="1"/>
    <col min="7211" max="7213" width="17.42578125" style="1" customWidth="1"/>
    <col min="7214" max="7214" width="15.5703125" style="1" customWidth="1"/>
    <col min="7215" max="7215" width="16.5703125" style="1" customWidth="1"/>
    <col min="7216" max="7217" width="17.42578125" style="1" customWidth="1"/>
    <col min="7218" max="7252" width="12.140625" style="1" customWidth="1"/>
    <col min="7253" max="7443" width="9.140625" style="1"/>
    <col min="7444" max="7444" width="34.85546875" style="1" customWidth="1"/>
    <col min="7445" max="7445" width="23.140625" style="1" customWidth="1"/>
    <col min="7446" max="7446" width="6.28515625" style="1" customWidth="1"/>
    <col min="7447" max="7447" width="51" style="1" customWidth="1"/>
    <col min="7448" max="7448" width="16.5703125" style="1" customWidth="1"/>
    <col min="7449" max="7449" width="12.85546875" style="1" customWidth="1"/>
    <col min="7450" max="7450" width="15.5703125" style="1" customWidth="1"/>
    <col min="7451" max="7451" width="16.5703125" style="1" customWidth="1"/>
    <col min="7452" max="7452" width="17" style="1" customWidth="1"/>
    <col min="7453" max="7454" width="17.42578125" style="1" customWidth="1"/>
    <col min="7455" max="7456" width="16.5703125" style="1" customWidth="1"/>
    <col min="7457" max="7459" width="17.42578125" style="1" customWidth="1"/>
    <col min="7460" max="7461" width="16.5703125" style="1" customWidth="1"/>
    <col min="7462" max="7464" width="17.42578125" style="1" customWidth="1"/>
    <col min="7465" max="7466" width="16.5703125" style="1" customWidth="1"/>
    <col min="7467" max="7469" width="17.42578125" style="1" customWidth="1"/>
    <col min="7470" max="7470" width="15.5703125" style="1" customWidth="1"/>
    <col min="7471" max="7471" width="16.5703125" style="1" customWidth="1"/>
    <col min="7472" max="7473" width="17.42578125" style="1" customWidth="1"/>
    <col min="7474" max="7508" width="12.140625" style="1" customWidth="1"/>
    <col min="7509" max="7699" width="9.140625" style="1"/>
    <col min="7700" max="7700" width="34.85546875" style="1" customWidth="1"/>
    <col min="7701" max="7701" width="23.140625" style="1" customWidth="1"/>
    <col min="7702" max="7702" width="6.28515625" style="1" customWidth="1"/>
    <col min="7703" max="7703" width="51" style="1" customWidth="1"/>
    <col min="7704" max="7704" width="16.5703125" style="1" customWidth="1"/>
    <col min="7705" max="7705" width="12.85546875" style="1" customWidth="1"/>
    <col min="7706" max="7706" width="15.5703125" style="1" customWidth="1"/>
    <col min="7707" max="7707" width="16.5703125" style="1" customWidth="1"/>
    <col min="7708" max="7708" width="17" style="1" customWidth="1"/>
    <col min="7709" max="7710" width="17.42578125" style="1" customWidth="1"/>
    <col min="7711" max="7712" width="16.5703125" style="1" customWidth="1"/>
    <col min="7713" max="7715" width="17.42578125" style="1" customWidth="1"/>
    <col min="7716" max="7717" width="16.5703125" style="1" customWidth="1"/>
    <col min="7718" max="7720" width="17.42578125" style="1" customWidth="1"/>
    <col min="7721" max="7722" width="16.5703125" style="1" customWidth="1"/>
    <col min="7723" max="7725" width="17.42578125" style="1" customWidth="1"/>
    <col min="7726" max="7726" width="15.5703125" style="1" customWidth="1"/>
    <col min="7727" max="7727" width="16.5703125" style="1" customWidth="1"/>
    <col min="7728" max="7729" width="17.42578125" style="1" customWidth="1"/>
    <col min="7730" max="7764" width="12.140625" style="1" customWidth="1"/>
    <col min="7765" max="7955" width="9.140625" style="1"/>
    <col min="7956" max="7956" width="34.85546875" style="1" customWidth="1"/>
    <col min="7957" max="7957" width="23.140625" style="1" customWidth="1"/>
    <col min="7958" max="7958" width="6.28515625" style="1" customWidth="1"/>
    <col min="7959" max="7959" width="51" style="1" customWidth="1"/>
    <col min="7960" max="7960" width="16.5703125" style="1" customWidth="1"/>
    <col min="7961" max="7961" width="12.85546875" style="1" customWidth="1"/>
    <col min="7962" max="7962" width="15.5703125" style="1" customWidth="1"/>
    <col min="7963" max="7963" width="16.5703125" style="1" customWidth="1"/>
    <col min="7964" max="7964" width="17" style="1" customWidth="1"/>
    <col min="7965" max="7966" width="17.42578125" style="1" customWidth="1"/>
    <col min="7967" max="7968" width="16.5703125" style="1" customWidth="1"/>
    <col min="7969" max="7971" width="17.42578125" style="1" customWidth="1"/>
    <col min="7972" max="7973" width="16.5703125" style="1" customWidth="1"/>
    <col min="7974" max="7976" width="17.42578125" style="1" customWidth="1"/>
    <col min="7977" max="7978" width="16.5703125" style="1" customWidth="1"/>
    <col min="7979" max="7981" width="17.42578125" style="1" customWidth="1"/>
    <col min="7982" max="7982" width="15.5703125" style="1" customWidth="1"/>
    <col min="7983" max="7983" width="16.5703125" style="1" customWidth="1"/>
    <col min="7984" max="7985" width="17.42578125" style="1" customWidth="1"/>
    <col min="7986" max="8020" width="12.140625" style="1" customWidth="1"/>
    <col min="8021" max="8211" width="9.140625" style="1"/>
    <col min="8212" max="8212" width="34.85546875" style="1" customWidth="1"/>
    <col min="8213" max="8213" width="23.140625" style="1" customWidth="1"/>
    <col min="8214" max="8214" width="6.28515625" style="1" customWidth="1"/>
    <col min="8215" max="8215" width="51" style="1" customWidth="1"/>
    <col min="8216" max="8216" width="16.5703125" style="1" customWidth="1"/>
    <col min="8217" max="8217" width="12.85546875" style="1" customWidth="1"/>
    <col min="8218" max="8218" width="15.5703125" style="1" customWidth="1"/>
    <col min="8219" max="8219" width="16.5703125" style="1" customWidth="1"/>
    <col min="8220" max="8220" width="17" style="1" customWidth="1"/>
    <col min="8221" max="8222" width="17.42578125" style="1" customWidth="1"/>
    <col min="8223" max="8224" width="16.5703125" style="1" customWidth="1"/>
    <col min="8225" max="8227" width="17.42578125" style="1" customWidth="1"/>
    <col min="8228" max="8229" width="16.5703125" style="1" customWidth="1"/>
    <col min="8230" max="8232" width="17.42578125" style="1" customWidth="1"/>
    <col min="8233" max="8234" width="16.5703125" style="1" customWidth="1"/>
    <col min="8235" max="8237" width="17.42578125" style="1" customWidth="1"/>
    <col min="8238" max="8238" width="15.5703125" style="1" customWidth="1"/>
    <col min="8239" max="8239" width="16.5703125" style="1" customWidth="1"/>
    <col min="8240" max="8241" width="17.42578125" style="1" customWidth="1"/>
    <col min="8242" max="8276" width="12.140625" style="1" customWidth="1"/>
    <col min="8277" max="8467" width="9.140625" style="1"/>
    <col min="8468" max="8468" width="34.85546875" style="1" customWidth="1"/>
    <col min="8469" max="8469" width="23.140625" style="1" customWidth="1"/>
    <col min="8470" max="8470" width="6.28515625" style="1" customWidth="1"/>
    <col min="8471" max="8471" width="51" style="1" customWidth="1"/>
    <col min="8472" max="8472" width="16.5703125" style="1" customWidth="1"/>
    <col min="8473" max="8473" width="12.85546875" style="1" customWidth="1"/>
    <col min="8474" max="8474" width="15.5703125" style="1" customWidth="1"/>
    <col min="8475" max="8475" width="16.5703125" style="1" customWidth="1"/>
    <col min="8476" max="8476" width="17" style="1" customWidth="1"/>
    <col min="8477" max="8478" width="17.42578125" style="1" customWidth="1"/>
    <col min="8479" max="8480" width="16.5703125" style="1" customWidth="1"/>
    <col min="8481" max="8483" width="17.42578125" style="1" customWidth="1"/>
    <col min="8484" max="8485" width="16.5703125" style="1" customWidth="1"/>
    <col min="8486" max="8488" width="17.42578125" style="1" customWidth="1"/>
    <col min="8489" max="8490" width="16.5703125" style="1" customWidth="1"/>
    <col min="8491" max="8493" width="17.42578125" style="1" customWidth="1"/>
    <col min="8494" max="8494" width="15.5703125" style="1" customWidth="1"/>
    <col min="8495" max="8495" width="16.5703125" style="1" customWidth="1"/>
    <col min="8496" max="8497" width="17.42578125" style="1" customWidth="1"/>
    <col min="8498" max="8532" width="12.140625" style="1" customWidth="1"/>
    <col min="8533" max="8723" width="9.140625" style="1"/>
    <col min="8724" max="8724" width="34.85546875" style="1" customWidth="1"/>
    <col min="8725" max="8725" width="23.140625" style="1" customWidth="1"/>
    <col min="8726" max="8726" width="6.28515625" style="1" customWidth="1"/>
    <col min="8727" max="8727" width="51" style="1" customWidth="1"/>
    <col min="8728" max="8728" width="16.5703125" style="1" customWidth="1"/>
    <col min="8729" max="8729" width="12.85546875" style="1" customWidth="1"/>
    <col min="8730" max="8730" width="15.5703125" style="1" customWidth="1"/>
    <col min="8731" max="8731" width="16.5703125" style="1" customWidth="1"/>
    <col min="8732" max="8732" width="17" style="1" customWidth="1"/>
    <col min="8733" max="8734" width="17.42578125" style="1" customWidth="1"/>
    <col min="8735" max="8736" width="16.5703125" style="1" customWidth="1"/>
    <col min="8737" max="8739" width="17.42578125" style="1" customWidth="1"/>
    <col min="8740" max="8741" width="16.5703125" style="1" customWidth="1"/>
    <col min="8742" max="8744" width="17.42578125" style="1" customWidth="1"/>
    <col min="8745" max="8746" width="16.5703125" style="1" customWidth="1"/>
    <col min="8747" max="8749" width="17.42578125" style="1" customWidth="1"/>
    <col min="8750" max="8750" width="15.5703125" style="1" customWidth="1"/>
    <col min="8751" max="8751" width="16.5703125" style="1" customWidth="1"/>
    <col min="8752" max="8753" width="17.42578125" style="1" customWidth="1"/>
    <col min="8754" max="8788" width="12.140625" style="1" customWidth="1"/>
    <col min="8789" max="8979" width="9.140625" style="1"/>
    <col min="8980" max="8980" width="34.85546875" style="1" customWidth="1"/>
    <col min="8981" max="8981" width="23.140625" style="1" customWidth="1"/>
    <col min="8982" max="8982" width="6.28515625" style="1" customWidth="1"/>
    <col min="8983" max="8983" width="51" style="1" customWidth="1"/>
    <col min="8984" max="8984" width="16.5703125" style="1" customWidth="1"/>
    <col min="8985" max="8985" width="12.85546875" style="1" customWidth="1"/>
    <col min="8986" max="8986" width="15.5703125" style="1" customWidth="1"/>
    <col min="8987" max="8987" width="16.5703125" style="1" customWidth="1"/>
    <col min="8988" max="8988" width="17" style="1" customWidth="1"/>
    <col min="8989" max="8990" width="17.42578125" style="1" customWidth="1"/>
    <col min="8991" max="8992" width="16.5703125" style="1" customWidth="1"/>
    <col min="8993" max="8995" width="17.42578125" style="1" customWidth="1"/>
    <col min="8996" max="8997" width="16.5703125" style="1" customWidth="1"/>
    <col min="8998" max="9000" width="17.42578125" style="1" customWidth="1"/>
    <col min="9001" max="9002" width="16.5703125" style="1" customWidth="1"/>
    <col min="9003" max="9005" width="17.42578125" style="1" customWidth="1"/>
    <col min="9006" max="9006" width="15.5703125" style="1" customWidth="1"/>
    <col min="9007" max="9007" width="16.5703125" style="1" customWidth="1"/>
    <col min="9008" max="9009" width="17.42578125" style="1" customWidth="1"/>
    <col min="9010" max="9044" width="12.140625" style="1" customWidth="1"/>
    <col min="9045" max="9235" width="9.140625" style="1"/>
    <col min="9236" max="9236" width="34.85546875" style="1" customWidth="1"/>
    <col min="9237" max="9237" width="23.140625" style="1" customWidth="1"/>
    <col min="9238" max="9238" width="6.28515625" style="1" customWidth="1"/>
    <col min="9239" max="9239" width="51" style="1" customWidth="1"/>
    <col min="9240" max="9240" width="16.5703125" style="1" customWidth="1"/>
    <col min="9241" max="9241" width="12.85546875" style="1" customWidth="1"/>
    <col min="9242" max="9242" width="15.5703125" style="1" customWidth="1"/>
    <col min="9243" max="9243" width="16.5703125" style="1" customWidth="1"/>
    <col min="9244" max="9244" width="17" style="1" customWidth="1"/>
    <col min="9245" max="9246" width="17.42578125" style="1" customWidth="1"/>
    <col min="9247" max="9248" width="16.5703125" style="1" customWidth="1"/>
    <col min="9249" max="9251" width="17.42578125" style="1" customWidth="1"/>
    <col min="9252" max="9253" width="16.5703125" style="1" customWidth="1"/>
    <col min="9254" max="9256" width="17.42578125" style="1" customWidth="1"/>
    <col min="9257" max="9258" width="16.5703125" style="1" customWidth="1"/>
    <col min="9259" max="9261" width="17.42578125" style="1" customWidth="1"/>
    <col min="9262" max="9262" width="15.5703125" style="1" customWidth="1"/>
    <col min="9263" max="9263" width="16.5703125" style="1" customWidth="1"/>
    <col min="9264" max="9265" width="17.42578125" style="1" customWidth="1"/>
    <col min="9266" max="9300" width="12.140625" style="1" customWidth="1"/>
    <col min="9301" max="9491" width="9.140625" style="1"/>
    <col min="9492" max="9492" width="34.85546875" style="1" customWidth="1"/>
    <col min="9493" max="9493" width="23.140625" style="1" customWidth="1"/>
    <col min="9494" max="9494" width="6.28515625" style="1" customWidth="1"/>
    <col min="9495" max="9495" width="51" style="1" customWidth="1"/>
    <col min="9496" max="9496" width="16.5703125" style="1" customWidth="1"/>
    <col min="9497" max="9497" width="12.85546875" style="1" customWidth="1"/>
    <col min="9498" max="9498" width="15.5703125" style="1" customWidth="1"/>
    <col min="9499" max="9499" width="16.5703125" style="1" customWidth="1"/>
    <col min="9500" max="9500" width="17" style="1" customWidth="1"/>
    <col min="9501" max="9502" width="17.42578125" style="1" customWidth="1"/>
    <col min="9503" max="9504" width="16.5703125" style="1" customWidth="1"/>
    <col min="9505" max="9507" width="17.42578125" style="1" customWidth="1"/>
    <col min="9508" max="9509" width="16.5703125" style="1" customWidth="1"/>
    <col min="9510" max="9512" width="17.42578125" style="1" customWidth="1"/>
    <col min="9513" max="9514" width="16.5703125" style="1" customWidth="1"/>
    <col min="9515" max="9517" width="17.42578125" style="1" customWidth="1"/>
    <col min="9518" max="9518" width="15.5703125" style="1" customWidth="1"/>
    <col min="9519" max="9519" width="16.5703125" style="1" customWidth="1"/>
    <col min="9520" max="9521" width="17.42578125" style="1" customWidth="1"/>
    <col min="9522" max="9556" width="12.140625" style="1" customWidth="1"/>
    <col min="9557" max="9747" width="9.140625" style="1"/>
    <col min="9748" max="9748" width="34.85546875" style="1" customWidth="1"/>
    <col min="9749" max="9749" width="23.140625" style="1" customWidth="1"/>
    <col min="9750" max="9750" width="6.28515625" style="1" customWidth="1"/>
    <col min="9751" max="9751" width="51" style="1" customWidth="1"/>
    <col min="9752" max="9752" width="16.5703125" style="1" customWidth="1"/>
    <col min="9753" max="9753" width="12.85546875" style="1" customWidth="1"/>
    <col min="9754" max="9754" width="15.5703125" style="1" customWidth="1"/>
    <col min="9755" max="9755" width="16.5703125" style="1" customWidth="1"/>
    <col min="9756" max="9756" width="17" style="1" customWidth="1"/>
    <col min="9757" max="9758" width="17.42578125" style="1" customWidth="1"/>
    <col min="9759" max="9760" width="16.5703125" style="1" customWidth="1"/>
    <col min="9761" max="9763" width="17.42578125" style="1" customWidth="1"/>
    <col min="9764" max="9765" width="16.5703125" style="1" customWidth="1"/>
    <col min="9766" max="9768" width="17.42578125" style="1" customWidth="1"/>
    <col min="9769" max="9770" width="16.5703125" style="1" customWidth="1"/>
    <col min="9771" max="9773" width="17.42578125" style="1" customWidth="1"/>
    <col min="9774" max="9774" width="15.5703125" style="1" customWidth="1"/>
    <col min="9775" max="9775" width="16.5703125" style="1" customWidth="1"/>
    <col min="9776" max="9777" width="17.42578125" style="1" customWidth="1"/>
    <col min="9778" max="9812" width="12.140625" style="1" customWidth="1"/>
    <col min="9813" max="10003" width="9.140625" style="1"/>
    <col min="10004" max="10004" width="34.85546875" style="1" customWidth="1"/>
    <col min="10005" max="10005" width="23.140625" style="1" customWidth="1"/>
    <col min="10006" max="10006" width="6.28515625" style="1" customWidth="1"/>
    <col min="10007" max="10007" width="51" style="1" customWidth="1"/>
    <col min="10008" max="10008" width="16.5703125" style="1" customWidth="1"/>
    <col min="10009" max="10009" width="12.85546875" style="1" customWidth="1"/>
    <col min="10010" max="10010" width="15.5703125" style="1" customWidth="1"/>
    <col min="10011" max="10011" width="16.5703125" style="1" customWidth="1"/>
    <col min="10012" max="10012" width="17" style="1" customWidth="1"/>
    <col min="10013" max="10014" width="17.42578125" style="1" customWidth="1"/>
    <col min="10015" max="10016" width="16.5703125" style="1" customWidth="1"/>
    <col min="10017" max="10019" width="17.42578125" style="1" customWidth="1"/>
    <col min="10020" max="10021" width="16.5703125" style="1" customWidth="1"/>
    <col min="10022" max="10024" width="17.42578125" style="1" customWidth="1"/>
    <col min="10025" max="10026" width="16.5703125" style="1" customWidth="1"/>
    <col min="10027" max="10029" width="17.42578125" style="1" customWidth="1"/>
    <col min="10030" max="10030" width="15.5703125" style="1" customWidth="1"/>
    <col min="10031" max="10031" width="16.5703125" style="1" customWidth="1"/>
    <col min="10032" max="10033" width="17.42578125" style="1" customWidth="1"/>
    <col min="10034" max="10068" width="12.140625" style="1" customWidth="1"/>
    <col min="10069" max="10259" width="9.140625" style="1"/>
    <col min="10260" max="10260" width="34.85546875" style="1" customWidth="1"/>
    <col min="10261" max="10261" width="23.140625" style="1" customWidth="1"/>
    <col min="10262" max="10262" width="6.28515625" style="1" customWidth="1"/>
    <col min="10263" max="10263" width="51" style="1" customWidth="1"/>
    <col min="10264" max="10264" width="16.5703125" style="1" customWidth="1"/>
    <col min="10265" max="10265" width="12.85546875" style="1" customWidth="1"/>
    <col min="10266" max="10266" width="15.5703125" style="1" customWidth="1"/>
    <col min="10267" max="10267" width="16.5703125" style="1" customWidth="1"/>
    <col min="10268" max="10268" width="17" style="1" customWidth="1"/>
    <col min="10269" max="10270" width="17.42578125" style="1" customWidth="1"/>
    <col min="10271" max="10272" width="16.5703125" style="1" customWidth="1"/>
    <col min="10273" max="10275" width="17.42578125" style="1" customWidth="1"/>
    <col min="10276" max="10277" width="16.5703125" style="1" customWidth="1"/>
    <col min="10278" max="10280" width="17.42578125" style="1" customWidth="1"/>
    <col min="10281" max="10282" width="16.5703125" style="1" customWidth="1"/>
    <col min="10283" max="10285" width="17.42578125" style="1" customWidth="1"/>
    <col min="10286" max="10286" width="15.5703125" style="1" customWidth="1"/>
    <col min="10287" max="10287" width="16.5703125" style="1" customWidth="1"/>
    <col min="10288" max="10289" width="17.42578125" style="1" customWidth="1"/>
    <col min="10290" max="10324" width="12.140625" style="1" customWidth="1"/>
    <col min="10325" max="10515" width="9.140625" style="1"/>
    <col min="10516" max="10516" width="34.85546875" style="1" customWidth="1"/>
    <col min="10517" max="10517" width="23.140625" style="1" customWidth="1"/>
    <col min="10518" max="10518" width="6.28515625" style="1" customWidth="1"/>
    <col min="10519" max="10519" width="51" style="1" customWidth="1"/>
    <col min="10520" max="10520" width="16.5703125" style="1" customWidth="1"/>
    <col min="10521" max="10521" width="12.85546875" style="1" customWidth="1"/>
    <col min="10522" max="10522" width="15.5703125" style="1" customWidth="1"/>
    <col min="10523" max="10523" width="16.5703125" style="1" customWidth="1"/>
    <col min="10524" max="10524" width="17" style="1" customWidth="1"/>
    <col min="10525" max="10526" width="17.42578125" style="1" customWidth="1"/>
    <col min="10527" max="10528" width="16.5703125" style="1" customWidth="1"/>
    <col min="10529" max="10531" width="17.42578125" style="1" customWidth="1"/>
    <col min="10532" max="10533" width="16.5703125" style="1" customWidth="1"/>
    <col min="10534" max="10536" width="17.42578125" style="1" customWidth="1"/>
    <col min="10537" max="10538" width="16.5703125" style="1" customWidth="1"/>
    <col min="10539" max="10541" width="17.42578125" style="1" customWidth="1"/>
    <col min="10542" max="10542" width="15.5703125" style="1" customWidth="1"/>
    <col min="10543" max="10543" width="16.5703125" style="1" customWidth="1"/>
    <col min="10544" max="10545" width="17.42578125" style="1" customWidth="1"/>
    <col min="10546" max="10580" width="12.140625" style="1" customWidth="1"/>
    <col min="10581" max="10771" width="9.140625" style="1"/>
    <col min="10772" max="10772" width="34.85546875" style="1" customWidth="1"/>
    <col min="10773" max="10773" width="23.140625" style="1" customWidth="1"/>
    <col min="10774" max="10774" width="6.28515625" style="1" customWidth="1"/>
    <col min="10775" max="10775" width="51" style="1" customWidth="1"/>
    <col min="10776" max="10776" width="16.5703125" style="1" customWidth="1"/>
    <col min="10777" max="10777" width="12.85546875" style="1" customWidth="1"/>
    <col min="10778" max="10778" width="15.5703125" style="1" customWidth="1"/>
    <col min="10779" max="10779" width="16.5703125" style="1" customWidth="1"/>
    <col min="10780" max="10780" width="17" style="1" customWidth="1"/>
    <col min="10781" max="10782" width="17.42578125" style="1" customWidth="1"/>
    <col min="10783" max="10784" width="16.5703125" style="1" customWidth="1"/>
    <col min="10785" max="10787" width="17.42578125" style="1" customWidth="1"/>
    <col min="10788" max="10789" width="16.5703125" style="1" customWidth="1"/>
    <col min="10790" max="10792" width="17.42578125" style="1" customWidth="1"/>
    <col min="10793" max="10794" width="16.5703125" style="1" customWidth="1"/>
    <col min="10795" max="10797" width="17.42578125" style="1" customWidth="1"/>
    <col min="10798" max="10798" width="15.5703125" style="1" customWidth="1"/>
    <col min="10799" max="10799" width="16.5703125" style="1" customWidth="1"/>
    <col min="10800" max="10801" width="17.42578125" style="1" customWidth="1"/>
    <col min="10802" max="10836" width="12.140625" style="1" customWidth="1"/>
    <col min="10837" max="11027" width="9.140625" style="1"/>
    <col min="11028" max="11028" width="34.85546875" style="1" customWidth="1"/>
    <col min="11029" max="11029" width="23.140625" style="1" customWidth="1"/>
    <col min="11030" max="11030" width="6.28515625" style="1" customWidth="1"/>
    <col min="11031" max="11031" width="51" style="1" customWidth="1"/>
    <col min="11032" max="11032" width="16.5703125" style="1" customWidth="1"/>
    <col min="11033" max="11033" width="12.85546875" style="1" customWidth="1"/>
    <col min="11034" max="11034" width="15.5703125" style="1" customWidth="1"/>
    <col min="11035" max="11035" width="16.5703125" style="1" customWidth="1"/>
    <col min="11036" max="11036" width="17" style="1" customWidth="1"/>
    <col min="11037" max="11038" width="17.42578125" style="1" customWidth="1"/>
    <col min="11039" max="11040" width="16.5703125" style="1" customWidth="1"/>
    <col min="11041" max="11043" width="17.42578125" style="1" customWidth="1"/>
    <col min="11044" max="11045" width="16.5703125" style="1" customWidth="1"/>
    <col min="11046" max="11048" width="17.42578125" style="1" customWidth="1"/>
    <col min="11049" max="11050" width="16.5703125" style="1" customWidth="1"/>
    <col min="11051" max="11053" width="17.42578125" style="1" customWidth="1"/>
    <col min="11054" max="11054" width="15.5703125" style="1" customWidth="1"/>
    <col min="11055" max="11055" width="16.5703125" style="1" customWidth="1"/>
    <col min="11056" max="11057" width="17.42578125" style="1" customWidth="1"/>
    <col min="11058" max="11092" width="12.140625" style="1" customWidth="1"/>
    <col min="11093" max="11283" width="9.140625" style="1"/>
    <col min="11284" max="11284" width="34.85546875" style="1" customWidth="1"/>
    <col min="11285" max="11285" width="23.140625" style="1" customWidth="1"/>
    <col min="11286" max="11286" width="6.28515625" style="1" customWidth="1"/>
    <col min="11287" max="11287" width="51" style="1" customWidth="1"/>
    <col min="11288" max="11288" width="16.5703125" style="1" customWidth="1"/>
    <col min="11289" max="11289" width="12.85546875" style="1" customWidth="1"/>
    <col min="11290" max="11290" width="15.5703125" style="1" customWidth="1"/>
    <col min="11291" max="11291" width="16.5703125" style="1" customWidth="1"/>
    <col min="11292" max="11292" width="17" style="1" customWidth="1"/>
    <col min="11293" max="11294" width="17.42578125" style="1" customWidth="1"/>
    <col min="11295" max="11296" width="16.5703125" style="1" customWidth="1"/>
    <col min="11297" max="11299" width="17.42578125" style="1" customWidth="1"/>
    <col min="11300" max="11301" width="16.5703125" style="1" customWidth="1"/>
    <col min="11302" max="11304" width="17.42578125" style="1" customWidth="1"/>
    <col min="11305" max="11306" width="16.5703125" style="1" customWidth="1"/>
    <col min="11307" max="11309" width="17.42578125" style="1" customWidth="1"/>
    <col min="11310" max="11310" width="15.5703125" style="1" customWidth="1"/>
    <col min="11311" max="11311" width="16.5703125" style="1" customWidth="1"/>
    <col min="11312" max="11313" width="17.42578125" style="1" customWidth="1"/>
    <col min="11314" max="11348" width="12.140625" style="1" customWidth="1"/>
    <col min="11349" max="11539" width="9.140625" style="1"/>
    <col min="11540" max="11540" width="34.85546875" style="1" customWidth="1"/>
    <col min="11541" max="11541" width="23.140625" style="1" customWidth="1"/>
    <col min="11542" max="11542" width="6.28515625" style="1" customWidth="1"/>
    <col min="11543" max="11543" width="51" style="1" customWidth="1"/>
    <col min="11544" max="11544" width="16.5703125" style="1" customWidth="1"/>
    <col min="11545" max="11545" width="12.85546875" style="1" customWidth="1"/>
    <col min="11546" max="11546" width="15.5703125" style="1" customWidth="1"/>
    <col min="11547" max="11547" width="16.5703125" style="1" customWidth="1"/>
    <col min="11548" max="11548" width="17" style="1" customWidth="1"/>
    <col min="11549" max="11550" width="17.42578125" style="1" customWidth="1"/>
    <col min="11551" max="11552" width="16.5703125" style="1" customWidth="1"/>
    <col min="11553" max="11555" width="17.42578125" style="1" customWidth="1"/>
    <col min="11556" max="11557" width="16.5703125" style="1" customWidth="1"/>
    <col min="11558" max="11560" width="17.42578125" style="1" customWidth="1"/>
    <col min="11561" max="11562" width="16.5703125" style="1" customWidth="1"/>
    <col min="11563" max="11565" width="17.42578125" style="1" customWidth="1"/>
    <col min="11566" max="11566" width="15.5703125" style="1" customWidth="1"/>
    <col min="11567" max="11567" width="16.5703125" style="1" customWidth="1"/>
    <col min="11568" max="11569" width="17.42578125" style="1" customWidth="1"/>
    <col min="11570" max="11604" width="12.140625" style="1" customWidth="1"/>
    <col min="11605" max="11795" width="9.140625" style="1"/>
    <col min="11796" max="11796" width="34.85546875" style="1" customWidth="1"/>
    <col min="11797" max="11797" width="23.140625" style="1" customWidth="1"/>
    <col min="11798" max="11798" width="6.28515625" style="1" customWidth="1"/>
    <col min="11799" max="11799" width="51" style="1" customWidth="1"/>
    <col min="11800" max="11800" width="16.5703125" style="1" customWidth="1"/>
    <col min="11801" max="11801" width="12.85546875" style="1" customWidth="1"/>
    <col min="11802" max="11802" width="15.5703125" style="1" customWidth="1"/>
    <col min="11803" max="11803" width="16.5703125" style="1" customWidth="1"/>
    <col min="11804" max="11804" width="17" style="1" customWidth="1"/>
    <col min="11805" max="11806" width="17.42578125" style="1" customWidth="1"/>
    <col min="11807" max="11808" width="16.5703125" style="1" customWidth="1"/>
    <col min="11809" max="11811" width="17.42578125" style="1" customWidth="1"/>
    <col min="11812" max="11813" width="16.5703125" style="1" customWidth="1"/>
    <col min="11814" max="11816" width="17.42578125" style="1" customWidth="1"/>
    <col min="11817" max="11818" width="16.5703125" style="1" customWidth="1"/>
    <col min="11819" max="11821" width="17.42578125" style="1" customWidth="1"/>
    <col min="11822" max="11822" width="15.5703125" style="1" customWidth="1"/>
    <col min="11823" max="11823" width="16.5703125" style="1" customWidth="1"/>
    <col min="11824" max="11825" width="17.42578125" style="1" customWidth="1"/>
    <col min="11826" max="11860" width="12.140625" style="1" customWidth="1"/>
    <col min="11861" max="12051" width="9.140625" style="1"/>
    <col min="12052" max="12052" width="34.85546875" style="1" customWidth="1"/>
    <col min="12053" max="12053" width="23.140625" style="1" customWidth="1"/>
    <col min="12054" max="12054" width="6.28515625" style="1" customWidth="1"/>
    <col min="12055" max="12055" width="51" style="1" customWidth="1"/>
    <col min="12056" max="12056" width="16.5703125" style="1" customWidth="1"/>
    <col min="12057" max="12057" width="12.85546875" style="1" customWidth="1"/>
    <col min="12058" max="12058" width="15.5703125" style="1" customWidth="1"/>
    <col min="12059" max="12059" width="16.5703125" style="1" customWidth="1"/>
    <col min="12060" max="12060" width="17" style="1" customWidth="1"/>
    <col min="12061" max="12062" width="17.42578125" style="1" customWidth="1"/>
    <col min="12063" max="12064" width="16.5703125" style="1" customWidth="1"/>
    <col min="12065" max="12067" width="17.42578125" style="1" customWidth="1"/>
    <col min="12068" max="12069" width="16.5703125" style="1" customWidth="1"/>
    <col min="12070" max="12072" width="17.42578125" style="1" customWidth="1"/>
    <col min="12073" max="12074" width="16.5703125" style="1" customWidth="1"/>
    <col min="12075" max="12077" width="17.42578125" style="1" customWidth="1"/>
    <col min="12078" max="12078" width="15.5703125" style="1" customWidth="1"/>
    <col min="12079" max="12079" width="16.5703125" style="1" customWidth="1"/>
    <col min="12080" max="12081" width="17.42578125" style="1" customWidth="1"/>
    <col min="12082" max="12116" width="12.140625" style="1" customWidth="1"/>
    <col min="12117" max="12307" width="9.140625" style="1"/>
    <col min="12308" max="12308" width="34.85546875" style="1" customWidth="1"/>
    <col min="12309" max="12309" width="23.140625" style="1" customWidth="1"/>
    <col min="12310" max="12310" width="6.28515625" style="1" customWidth="1"/>
    <col min="12311" max="12311" width="51" style="1" customWidth="1"/>
    <col min="12312" max="12312" width="16.5703125" style="1" customWidth="1"/>
    <col min="12313" max="12313" width="12.85546875" style="1" customWidth="1"/>
    <col min="12314" max="12314" width="15.5703125" style="1" customWidth="1"/>
    <col min="12315" max="12315" width="16.5703125" style="1" customWidth="1"/>
    <col min="12316" max="12316" width="17" style="1" customWidth="1"/>
    <col min="12317" max="12318" width="17.42578125" style="1" customWidth="1"/>
    <col min="12319" max="12320" width="16.5703125" style="1" customWidth="1"/>
    <col min="12321" max="12323" width="17.42578125" style="1" customWidth="1"/>
    <col min="12324" max="12325" width="16.5703125" style="1" customWidth="1"/>
    <col min="12326" max="12328" width="17.42578125" style="1" customWidth="1"/>
    <col min="12329" max="12330" width="16.5703125" style="1" customWidth="1"/>
    <col min="12331" max="12333" width="17.42578125" style="1" customWidth="1"/>
    <col min="12334" max="12334" width="15.5703125" style="1" customWidth="1"/>
    <col min="12335" max="12335" width="16.5703125" style="1" customWidth="1"/>
    <col min="12336" max="12337" width="17.42578125" style="1" customWidth="1"/>
    <col min="12338" max="12372" width="12.140625" style="1" customWidth="1"/>
    <col min="12373" max="12563" width="9.140625" style="1"/>
    <col min="12564" max="12564" width="34.85546875" style="1" customWidth="1"/>
    <col min="12565" max="12565" width="23.140625" style="1" customWidth="1"/>
    <col min="12566" max="12566" width="6.28515625" style="1" customWidth="1"/>
    <col min="12567" max="12567" width="51" style="1" customWidth="1"/>
    <col min="12568" max="12568" width="16.5703125" style="1" customWidth="1"/>
    <col min="12569" max="12569" width="12.85546875" style="1" customWidth="1"/>
    <col min="12570" max="12570" width="15.5703125" style="1" customWidth="1"/>
    <col min="12571" max="12571" width="16.5703125" style="1" customWidth="1"/>
    <col min="12572" max="12572" width="17" style="1" customWidth="1"/>
    <col min="12573" max="12574" width="17.42578125" style="1" customWidth="1"/>
    <col min="12575" max="12576" width="16.5703125" style="1" customWidth="1"/>
    <col min="12577" max="12579" width="17.42578125" style="1" customWidth="1"/>
    <col min="12580" max="12581" width="16.5703125" style="1" customWidth="1"/>
    <col min="12582" max="12584" width="17.42578125" style="1" customWidth="1"/>
    <col min="12585" max="12586" width="16.5703125" style="1" customWidth="1"/>
    <col min="12587" max="12589" width="17.42578125" style="1" customWidth="1"/>
    <col min="12590" max="12590" width="15.5703125" style="1" customWidth="1"/>
    <col min="12591" max="12591" width="16.5703125" style="1" customWidth="1"/>
    <col min="12592" max="12593" width="17.42578125" style="1" customWidth="1"/>
    <col min="12594" max="12628" width="12.140625" style="1" customWidth="1"/>
    <col min="12629" max="12819" width="9.140625" style="1"/>
    <col min="12820" max="12820" width="34.85546875" style="1" customWidth="1"/>
    <col min="12821" max="12821" width="23.140625" style="1" customWidth="1"/>
    <col min="12822" max="12822" width="6.28515625" style="1" customWidth="1"/>
    <col min="12823" max="12823" width="51" style="1" customWidth="1"/>
    <col min="12824" max="12824" width="16.5703125" style="1" customWidth="1"/>
    <col min="12825" max="12825" width="12.85546875" style="1" customWidth="1"/>
    <col min="12826" max="12826" width="15.5703125" style="1" customWidth="1"/>
    <col min="12827" max="12827" width="16.5703125" style="1" customWidth="1"/>
    <col min="12828" max="12828" width="17" style="1" customWidth="1"/>
    <col min="12829" max="12830" width="17.42578125" style="1" customWidth="1"/>
    <col min="12831" max="12832" width="16.5703125" style="1" customWidth="1"/>
    <col min="12833" max="12835" width="17.42578125" style="1" customWidth="1"/>
    <col min="12836" max="12837" width="16.5703125" style="1" customWidth="1"/>
    <col min="12838" max="12840" width="17.42578125" style="1" customWidth="1"/>
    <col min="12841" max="12842" width="16.5703125" style="1" customWidth="1"/>
    <col min="12843" max="12845" width="17.42578125" style="1" customWidth="1"/>
    <col min="12846" max="12846" width="15.5703125" style="1" customWidth="1"/>
    <col min="12847" max="12847" width="16.5703125" style="1" customWidth="1"/>
    <col min="12848" max="12849" width="17.42578125" style="1" customWidth="1"/>
    <col min="12850" max="12884" width="12.140625" style="1" customWidth="1"/>
    <col min="12885" max="13075" width="9.140625" style="1"/>
    <col min="13076" max="13076" width="34.85546875" style="1" customWidth="1"/>
    <col min="13077" max="13077" width="23.140625" style="1" customWidth="1"/>
    <col min="13078" max="13078" width="6.28515625" style="1" customWidth="1"/>
    <col min="13079" max="13079" width="51" style="1" customWidth="1"/>
    <col min="13080" max="13080" width="16.5703125" style="1" customWidth="1"/>
    <col min="13081" max="13081" width="12.85546875" style="1" customWidth="1"/>
    <col min="13082" max="13082" width="15.5703125" style="1" customWidth="1"/>
    <col min="13083" max="13083" width="16.5703125" style="1" customWidth="1"/>
    <col min="13084" max="13084" width="17" style="1" customWidth="1"/>
    <col min="13085" max="13086" width="17.42578125" style="1" customWidth="1"/>
    <col min="13087" max="13088" width="16.5703125" style="1" customWidth="1"/>
    <col min="13089" max="13091" width="17.42578125" style="1" customWidth="1"/>
    <col min="13092" max="13093" width="16.5703125" style="1" customWidth="1"/>
    <col min="13094" max="13096" width="17.42578125" style="1" customWidth="1"/>
    <col min="13097" max="13098" width="16.5703125" style="1" customWidth="1"/>
    <col min="13099" max="13101" width="17.42578125" style="1" customWidth="1"/>
    <col min="13102" max="13102" width="15.5703125" style="1" customWidth="1"/>
    <col min="13103" max="13103" width="16.5703125" style="1" customWidth="1"/>
    <col min="13104" max="13105" width="17.42578125" style="1" customWidth="1"/>
    <col min="13106" max="13140" width="12.140625" style="1" customWidth="1"/>
    <col min="13141" max="13331" width="9.140625" style="1"/>
    <col min="13332" max="13332" width="34.85546875" style="1" customWidth="1"/>
    <col min="13333" max="13333" width="23.140625" style="1" customWidth="1"/>
    <col min="13334" max="13334" width="6.28515625" style="1" customWidth="1"/>
    <col min="13335" max="13335" width="51" style="1" customWidth="1"/>
    <col min="13336" max="13336" width="16.5703125" style="1" customWidth="1"/>
    <col min="13337" max="13337" width="12.85546875" style="1" customWidth="1"/>
    <col min="13338" max="13338" width="15.5703125" style="1" customWidth="1"/>
    <col min="13339" max="13339" width="16.5703125" style="1" customWidth="1"/>
    <col min="13340" max="13340" width="17" style="1" customWidth="1"/>
    <col min="13341" max="13342" width="17.42578125" style="1" customWidth="1"/>
    <col min="13343" max="13344" width="16.5703125" style="1" customWidth="1"/>
    <col min="13345" max="13347" width="17.42578125" style="1" customWidth="1"/>
    <col min="13348" max="13349" width="16.5703125" style="1" customWidth="1"/>
    <col min="13350" max="13352" width="17.42578125" style="1" customWidth="1"/>
    <col min="13353" max="13354" width="16.5703125" style="1" customWidth="1"/>
    <col min="13355" max="13357" width="17.42578125" style="1" customWidth="1"/>
    <col min="13358" max="13358" width="15.5703125" style="1" customWidth="1"/>
    <col min="13359" max="13359" width="16.5703125" style="1" customWidth="1"/>
    <col min="13360" max="13361" width="17.42578125" style="1" customWidth="1"/>
    <col min="13362" max="13396" width="12.140625" style="1" customWidth="1"/>
    <col min="13397" max="13587" width="9.140625" style="1"/>
    <col min="13588" max="13588" width="34.85546875" style="1" customWidth="1"/>
    <col min="13589" max="13589" width="23.140625" style="1" customWidth="1"/>
    <col min="13590" max="13590" width="6.28515625" style="1" customWidth="1"/>
    <col min="13591" max="13591" width="51" style="1" customWidth="1"/>
    <col min="13592" max="13592" width="16.5703125" style="1" customWidth="1"/>
    <col min="13593" max="13593" width="12.85546875" style="1" customWidth="1"/>
    <col min="13594" max="13594" width="15.5703125" style="1" customWidth="1"/>
    <col min="13595" max="13595" width="16.5703125" style="1" customWidth="1"/>
    <col min="13596" max="13596" width="17" style="1" customWidth="1"/>
    <col min="13597" max="13598" width="17.42578125" style="1" customWidth="1"/>
    <col min="13599" max="13600" width="16.5703125" style="1" customWidth="1"/>
    <col min="13601" max="13603" width="17.42578125" style="1" customWidth="1"/>
    <col min="13604" max="13605" width="16.5703125" style="1" customWidth="1"/>
    <col min="13606" max="13608" width="17.42578125" style="1" customWidth="1"/>
    <col min="13609" max="13610" width="16.5703125" style="1" customWidth="1"/>
    <col min="13611" max="13613" width="17.42578125" style="1" customWidth="1"/>
    <col min="13614" max="13614" width="15.5703125" style="1" customWidth="1"/>
    <col min="13615" max="13615" width="16.5703125" style="1" customWidth="1"/>
    <col min="13616" max="13617" width="17.42578125" style="1" customWidth="1"/>
    <col min="13618" max="13652" width="12.140625" style="1" customWidth="1"/>
    <col min="13653" max="13843" width="9.140625" style="1"/>
    <col min="13844" max="13844" width="34.85546875" style="1" customWidth="1"/>
    <col min="13845" max="13845" width="23.140625" style="1" customWidth="1"/>
    <col min="13846" max="13846" width="6.28515625" style="1" customWidth="1"/>
    <col min="13847" max="13847" width="51" style="1" customWidth="1"/>
    <col min="13848" max="13848" width="16.5703125" style="1" customWidth="1"/>
    <col min="13849" max="13849" width="12.85546875" style="1" customWidth="1"/>
    <col min="13850" max="13850" width="15.5703125" style="1" customWidth="1"/>
    <col min="13851" max="13851" width="16.5703125" style="1" customWidth="1"/>
    <col min="13852" max="13852" width="17" style="1" customWidth="1"/>
    <col min="13853" max="13854" width="17.42578125" style="1" customWidth="1"/>
    <col min="13855" max="13856" width="16.5703125" style="1" customWidth="1"/>
    <col min="13857" max="13859" width="17.42578125" style="1" customWidth="1"/>
    <col min="13860" max="13861" width="16.5703125" style="1" customWidth="1"/>
    <col min="13862" max="13864" width="17.42578125" style="1" customWidth="1"/>
    <col min="13865" max="13866" width="16.5703125" style="1" customWidth="1"/>
    <col min="13867" max="13869" width="17.42578125" style="1" customWidth="1"/>
    <col min="13870" max="13870" width="15.5703125" style="1" customWidth="1"/>
    <col min="13871" max="13871" width="16.5703125" style="1" customWidth="1"/>
    <col min="13872" max="13873" width="17.42578125" style="1" customWidth="1"/>
    <col min="13874" max="13908" width="12.140625" style="1" customWidth="1"/>
    <col min="13909" max="14099" width="9.140625" style="1"/>
    <col min="14100" max="14100" width="34.85546875" style="1" customWidth="1"/>
    <col min="14101" max="14101" width="23.140625" style="1" customWidth="1"/>
    <col min="14102" max="14102" width="6.28515625" style="1" customWidth="1"/>
    <col min="14103" max="14103" width="51" style="1" customWidth="1"/>
    <col min="14104" max="14104" width="16.5703125" style="1" customWidth="1"/>
    <col min="14105" max="14105" width="12.85546875" style="1" customWidth="1"/>
    <col min="14106" max="14106" width="15.5703125" style="1" customWidth="1"/>
    <col min="14107" max="14107" width="16.5703125" style="1" customWidth="1"/>
    <col min="14108" max="14108" width="17" style="1" customWidth="1"/>
    <col min="14109" max="14110" width="17.42578125" style="1" customWidth="1"/>
    <col min="14111" max="14112" width="16.5703125" style="1" customWidth="1"/>
    <col min="14113" max="14115" width="17.42578125" style="1" customWidth="1"/>
    <col min="14116" max="14117" width="16.5703125" style="1" customWidth="1"/>
    <col min="14118" max="14120" width="17.42578125" style="1" customWidth="1"/>
    <col min="14121" max="14122" width="16.5703125" style="1" customWidth="1"/>
    <col min="14123" max="14125" width="17.42578125" style="1" customWidth="1"/>
    <col min="14126" max="14126" width="15.5703125" style="1" customWidth="1"/>
    <col min="14127" max="14127" width="16.5703125" style="1" customWidth="1"/>
    <col min="14128" max="14129" width="17.42578125" style="1" customWidth="1"/>
    <col min="14130" max="14164" width="12.140625" style="1" customWidth="1"/>
    <col min="14165" max="14355" width="9.140625" style="1"/>
    <col min="14356" max="14356" width="34.85546875" style="1" customWidth="1"/>
    <col min="14357" max="14357" width="23.140625" style="1" customWidth="1"/>
    <col min="14358" max="14358" width="6.28515625" style="1" customWidth="1"/>
    <col min="14359" max="14359" width="51" style="1" customWidth="1"/>
    <col min="14360" max="14360" width="16.5703125" style="1" customWidth="1"/>
    <col min="14361" max="14361" width="12.85546875" style="1" customWidth="1"/>
    <col min="14362" max="14362" width="15.5703125" style="1" customWidth="1"/>
    <col min="14363" max="14363" width="16.5703125" style="1" customWidth="1"/>
    <col min="14364" max="14364" width="17" style="1" customWidth="1"/>
    <col min="14365" max="14366" width="17.42578125" style="1" customWidth="1"/>
    <col min="14367" max="14368" width="16.5703125" style="1" customWidth="1"/>
    <col min="14369" max="14371" width="17.42578125" style="1" customWidth="1"/>
    <col min="14372" max="14373" width="16.5703125" style="1" customWidth="1"/>
    <col min="14374" max="14376" width="17.42578125" style="1" customWidth="1"/>
    <col min="14377" max="14378" width="16.5703125" style="1" customWidth="1"/>
    <col min="14379" max="14381" width="17.42578125" style="1" customWidth="1"/>
    <col min="14382" max="14382" width="15.5703125" style="1" customWidth="1"/>
    <col min="14383" max="14383" width="16.5703125" style="1" customWidth="1"/>
    <col min="14384" max="14385" width="17.42578125" style="1" customWidth="1"/>
    <col min="14386" max="14420" width="12.140625" style="1" customWidth="1"/>
    <col min="14421" max="14611" width="9.140625" style="1"/>
    <col min="14612" max="14612" width="34.85546875" style="1" customWidth="1"/>
    <col min="14613" max="14613" width="23.140625" style="1" customWidth="1"/>
    <col min="14614" max="14614" width="6.28515625" style="1" customWidth="1"/>
    <col min="14615" max="14615" width="51" style="1" customWidth="1"/>
    <col min="14616" max="14616" width="16.5703125" style="1" customWidth="1"/>
    <col min="14617" max="14617" width="12.85546875" style="1" customWidth="1"/>
    <col min="14618" max="14618" width="15.5703125" style="1" customWidth="1"/>
    <col min="14619" max="14619" width="16.5703125" style="1" customWidth="1"/>
    <col min="14620" max="14620" width="17" style="1" customWidth="1"/>
    <col min="14621" max="14622" width="17.42578125" style="1" customWidth="1"/>
    <col min="14623" max="14624" width="16.5703125" style="1" customWidth="1"/>
    <col min="14625" max="14627" width="17.42578125" style="1" customWidth="1"/>
    <col min="14628" max="14629" width="16.5703125" style="1" customWidth="1"/>
    <col min="14630" max="14632" width="17.42578125" style="1" customWidth="1"/>
    <col min="14633" max="14634" width="16.5703125" style="1" customWidth="1"/>
    <col min="14635" max="14637" width="17.42578125" style="1" customWidth="1"/>
    <col min="14638" max="14638" width="15.5703125" style="1" customWidth="1"/>
    <col min="14639" max="14639" width="16.5703125" style="1" customWidth="1"/>
    <col min="14640" max="14641" width="17.42578125" style="1" customWidth="1"/>
    <col min="14642" max="14676" width="12.140625" style="1" customWidth="1"/>
    <col min="14677" max="14867" width="9.140625" style="1"/>
    <col min="14868" max="14868" width="34.85546875" style="1" customWidth="1"/>
    <col min="14869" max="14869" width="23.140625" style="1" customWidth="1"/>
    <col min="14870" max="14870" width="6.28515625" style="1" customWidth="1"/>
    <col min="14871" max="14871" width="51" style="1" customWidth="1"/>
    <col min="14872" max="14872" width="16.5703125" style="1" customWidth="1"/>
    <col min="14873" max="14873" width="12.85546875" style="1" customWidth="1"/>
    <col min="14874" max="14874" width="15.5703125" style="1" customWidth="1"/>
    <col min="14875" max="14875" width="16.5703125" style="1" customWidth="1"/>
    <col min="14876" max="14876" width="17" style="1" customWidth="1"/>
    <col min="14877" max="14878" width="17.42578125" style="1" customWidth="1"/>
    <col min="14879" max="14880" width="16.5703125" style="1" customWidth="1"/>
    <col min="14881" max="14883" width="17.42578125" style="1" customWidth="1"/>
    <col min="14884" max="14885" width="16.5703125" style="1" customWidth="1"/>
    <col min="14886" max="14888" width="17.42578125" style="1" customWidth="1"/>
    <col min="14889" max="14890" width="16.5703125" style="1" customWidth="1"/>
    <col min="14891" max="14893" width="17.42578125" style="1" customWidth="1"/>
    <col min="14894" max="14894" width="15.5703125" style="1" customWidth="1"/>
    <col min="14895" max="14895" width="16.5703125" style="1" customWidth="1"/>
    <col min="14896" max="14897" width="17.42578125" style="1" customWidth="1"/>
    <col min="14898" max="14932" width="12.140625" style="1" customWidth="1"/>
    <col min="14933" max="15123" width="9.140625" style="1"/>
    <col min="15124" max="15124" width="34.85546875" style="1" customWidth="1"/>
    <col min="15125" max="15125" width="23.140625" style="1" customWidth="1"/>
    <col min="15126" max="15126" width="6.28515625" style="1" customWidth="1"/>
    <col min="15127" max="15127" width="51" style="1" customWidth="1"/>
    <col min="15128" max="15128" width="16.5703125" style="1" customWidth="1"/>
    <col min="15129" max="15129" width="12.85546875" style="1" customWidth="1"/>
    <col min="15130" max="15130" width="15.5703125" style="1" customWidth="1"/>
    <col min="15131" max="15131" width="16.5703125" style="1" customWidth="1"/>
    <col min="15132" max="15132" width="17" style="1" customWidth="1"/>
    <col min="15133" max="15134" width="17.42578125" style="1" customWidth="1"/>
    <col min="15135" max="15136" width="16.5703125" style="1" customWidth="1"/>
    <col min="15137" max="15139" width="17.42578125" style="1" customWidth="1"/>
    <col min="15140" max="15141" width="16.5703125" style="1" customWidth="1"/>
    <col min="15142" max="15144" width="17.42578125" style="1" customWidth="1"/>
    <col min="15145" max="15146" width="16.5703125" style="1" customWidth="1"/>
    <col min="15147" max="15149" width="17.42578125" style="1" customWidth="1"/>
    <col min="15150" max="15150" width="15.5703125" style="1" customWidth="1"/>
    <col min="15151" max="15151" width="16.5703125" style="1" customWidth="1"/>
    <col min="15152" max="15153" width="17.42578125" style="1" customWidth="1"/>
    <col min="15154" max="15188" width="12.140625" style="1" customWidth="1"/>
    <col min="15189" max="15379" width="9.140625" style="1"/>
    <col min="15380" max="15380" width="34.85546875" style="1" customWidth="1"/>
    <col min="15381" max="15381" width="23.140625" style="1" customWidth="1"/>
    <col min="15382" max="15382" width="6.28515625" style="1" customWidth="1"/>
    <col min="15383" max="15383" width="51" style="1" customWidth="1"/>
    <col min="15384" max="15384" width="16.5703125" style="1" customWidth="1"/>
    <col min="15385" max="15385" width="12.85546875" style="1" customWidth="1"/>
    <col min="15386" max="15386" width="15.5703125" style="1" customWidth="1"/>
    <col min="15387" max="15387" width="16.5703125" style="1" customWidth="1"/>
    <col min="15388" max="15388" width="17" style="1" customWidth="1"/>
    <col min="15389" max="15390" width="17.42578125" style="1" customWidth="1"/>
    <col min="15391" max="15392" width="16.5703125" style="1" customWidth="1"/>
    <col min="15393" max="15395" width="17.42578125" style="1" customWidth="1"/>
    <col min="15396" max="15397" width="16.5703125" style="1" customWidth="1"/>
    <col min="15398" max="15400" width="17.42578125" style="1" customWidth="1"/>
    <col min="15401" max="15402" width="16.5703125" style="1" customWidth="1"/>
    <col min="15403" max="15405" width="17.42578125" style="1" customWidth="1"/>
    <col min="15406" max="15406" width="15.5703125" style="1" customWidth="1"/>
    <col min="15407" max="15407" width="16.5703125" style="1" customWidth="1"/>
    <col min="15408" max="15409" width="17.42578125" style="1" customWidth="1"/>
    <col min="15410" max="15444" width="12.140625" style="1" customWidth="1"/>
    <col min="15445" max="15635" width="9.140625" style="1"/>
    <col min="15636" max="15636" width="34.85546875" style="1" customWidth="1"/>
    <col min="15637" max="15637" width="23.140625" style="1" customWidth="1"/>
    <col min="15638" max="15638" width="6.28515625" style="1" customWidth="1"/>
    <col min="15639" max="15639" width="51" style="1" customWidth="1"/>
    <col min="15640" max="15640" width="16.5703125" style="1" customWidth="1"/>
    <col min="15641" max="15641" width="12.85546875" style="1" customWidth="1"/>
    <col min="15642" max="15642" width="15.5703125" style="1" customWidth="1"/>
    <col min="15643" max="15643" width="16.5703125" style="1" customWidth="1"/>
    <col min="15644" max="15644" width="17" style="1" customWidth="1"/>
    <col min="15645" max="15646" width="17.42578125" style="1" customWidth="1"/>
    <col min="15647" max="15648" width="16.5703125" style="1" customWidth="1"/>
    <col min="15649" max="15651" width="17.42578125" style="1" customWidth="1"/>
    <col min="15652" max="15653" width="16.5703125" style="1" customWidth="1"/>
    <col min="15654" max="15656" width="17.42578125" style="1" customWidth="1"/>
    <col min="15657" max="15658" width="16.5703125" style="1" customWidth="1"/>
    <col min="15659" max="15661" width="17.42578125" style="1" customWidth="1"/>
    <col min="15662" max="15662" width="15.5703125" style="1" customWidth="1"/>
    <col min="15663" max="15663" width="16.5703125" style="1" customWidth="1"/>
    <col min="15664" max="15665" width="17.42578125" style="1" customWidth="1"/>
    <col min="15666" max="15700" width="12.140625" style="1" customWidth="1"/>
    <col min="15701" max="16384" width="9.140625" style="1"/>
  </cols>
  <sheetData>
    <row r="1" spans="1:11" s="435" customFormat="1" x14ac:dyDescent="0.25">
      <c r="B1" s="327"/>
      <c r="H1" s="128"/>
      <c r="I1" s="128"/>
      <c r="J1" s="133"/>
      <c r="K1" s="133"/>
    </row>
    <row r="2" spans="1:11" x14ac:dyDescent="0.25">
      <c r="A2" s="1" t="s">
        <v>410</v>
      </c>
      <c r="E2" s="1326" t="s">
        <v>602</v>
      </c>
      <c r="F2" s="1326"/>
      <c r="G2" s="1326"/>
      <c r="H2" s="1326"/>
      <c r="I2" s="1"/>
      <c r="J2" s="89"/>
      <c r="K2" s="169"/>
    </row>
    <row r="3" spans="1:11" x14ac:dyDescent="0.25">
      <c r="A3" s="1" t="s">
        <v>315</v>
      </c>
      <c r="E3" s="1326" t="s">
        <v>1048</v>
      </c>
      <c r="F3" s="1326"/>
      <c r="G3" s="1326"/>
      <c r="H3" s="1326"/>
      <c r="I3" s="1"/>
      <c r="J3" s="89"/>
      <c r="K3" s="169"/>
    </row>
    <row r="4" spans="1:11" x14ac:dyDescent="0.25">
      <c r="A4" s="1" t="s">
        <v>412</v>
      </c>
      <c r="H4" s="1"/>
      <c r="I4" s="1"/>
      <c r="J4" s="89"/>
      <c r="K4" s="169"/>
    </row>
    <row r="5" spans="1:11" ht="15" hidden="1" customHeight="1" x14ac:dyDescent="0.25">
      <c r="A5" s="89"/>
      <c r="B5" s="328"/>
      <c r="C5" s="89"/>
      <c r="D5" s="89"/>
      <c r="E5" s="1326" t="s">
        <v>602</v>
      </c>
      <c r="F5" s="1326"/>
      <c r="G5" s="1326"/>
      <c r="H5" s="1326"/>
      <c r="I5" s="1"/>
      <c r="J5" s="89"/>
      <c r="K5" s="169"/>
    </row>
    <row r="6" spans="1:11" ht="15" hidden="1" customHeight="1" x14ac:dyDescent="0.25">
      <c r="A6" s="89"/>
      <c r="B6" s="328"/>
      <c r="C6" s="89"/>
      <c r="D6" s="89"/>
      <c r="E6" s="1326" t="s">
        <v>1048</v>
      </c>
      <c r="F6" s="1326"/>
      <c r="G6" s="1326"/>
      <c r="H6" s="1326"/>
      <c r="I6" s="1"/>
      <c r="J6" s="89"/>
      <c r="K6" s="169"/>
    </row>
    <row r="7" spans="1:11" ht="15" customHeight="1" x14ac:dyDescent="0.25">
      <c r="A7" s="1327" t="s">
        <v>213</v>
      </c>
      <c r="B7" s="1327"/>
      <c r="C7" s="1327"/>
      <c r="D7" s="1327"/>
      <c r="E7" s="1327"/>
      <c r="F7" s="1327"/>
      <c r="G7" s="1327"/>
      <c r="H7" s="1327"/>
      <c r="I7" s="1"/>
      <c r="J7" s="89"/>
      <c r="K7" s="169"/>
    </row>
    <row r="8" spans="1:11" ht="15" customHeight="1" x14ac:dyDescent="0.25">
      <c r="A8" s="1327" t="s">
        <v>264</v>
      </c>
      <c r="B8" s="1327"/>
      <c r="C8" s="1327"/>
      <c r="D8" s="1327"/>
      <c r="E8" s="1327"/>
      <c r="F8" s="1327"/>
      <c r="G8" s="1327"/>
      <c r="H8" s="1327"/>
      <c r="I8" s="1"/>
      <c r="J8" s="89"/>
      <c r="K8" s="169"/>
    </row>
    <row r="9" spans="1:11" ht="15.75" customHeight="1" x14ac:dyDescent="0.25">
      <c r="A9" s="1328" t="s">
        <v>1049</v>
      </c>
      <c r="B9" s="1328"/>
      <c r="C9" s="1328"/>
      <c r="D9" s="1328"/>
      <c r="E9" s="1328"/>
      <c r="F9" s="1328"/>
      <c r="G9" s="1328"/>
      <c r="H9" s="1328"/>
      <c r="I9" s="1"/>
      <c r="J9" s="89"/>
      <c r="K9" s="169"/>
    </row>
    <row r="10" spans="1:11" ht="31.5" customHeight="1" x14ac:dyDescent="0.25">
      <c r="A10" s="1329" t="s">
        <v>0</v>
      </c>
      <c r="B10" s="1332" t="s">
        <v>1</v>
      </c>
      <c r="C10" s="1308" t="s">
        <v>216</v>
      </c>
      <c r="D10" s="1309"/>
      <c r="E10" s="1329" t="s">
        <v>214</v>
      </c>
      <c r="F10" s="1329" t="s">
        <v>962</v>
      </c>
      <c r="G10" s="1329" t="s">
        <v>990</v>
      </c>
      <c r="H10" s="1329" t="s">
        <v>1050</v>
      </c>
      <c r="I10" s="1308" t="s">
        <v>215</v>
      </c>
      <c r="J10" s="1309"/>
      <c r="K10" s="170"/>
    </row>
    <row r="11" spans="1:11" ht="15" customHeight="1" x14ac:dyDescent="0.25">
      <c r="A11" s="1330"/>
      <c r="B11" s="1333"/>
      <c r="C11" s="1310"/>
      <c r="D11" s="1311"/>
      <c r="E11" s="1330"/>
      <c r="F11" s="1330"/>
      <c r="G11" s="1330"/>
      <c r="H11" s="1330"/>
      <c r="I11" s="1336"/>
      <c r="J11" s="1337"/>
      <c r="K11" s="170"/>
    </row>
    <row r="12" spans="1:11" ht="55.5" customHeight="1" x14ac:dyDescent="0.25">
      <c r="A12" s="1331"/>
      <c r="B12" s="1334"/>
      <c r="C12" s="2" t="s">
        <v>589</v>
      </c>
      <c r="D12" s="348" t="s">
        <v>3</v>
      </c>
      <c r="E12" s="1331"/>
      <c r="F12" s="1335"/>
      <c r="G12" s="1331"/>
      <c r="H12" s="1331"/>
      <c r="I12" s="1310"/>
      <c r="J12" s="1311"/>
      <c r="K12" s="170"/>
    </row>
    <row r="13" spans="1:11" x14ac:dyDescent="0.25">
      <c r="A13" s="3" t="s">
        <v>582</v>
      </c>
      <c r="B13" s="329" t="s">
        <v>583</v>
      </c>
      <c r="C13" s="3"/>
      <c r="D13" s="3" t="s">
        <v>587</v>
      </c>
      <c r="E13" s="3" t="s">
        <v>584</v>
      </c>
      <c r="F13" s="1338" t="s">
        <v>585</v>
      </c>
      <c r="G13" s="1339"/>
      <c r="H13" s="1340"/>
      <c r="I13" s="338" t="s">
        <v>586</v>
      </c>
      <c r="J13" s="339"/>
      <c r="K13" s="171"/>
    </row>
    <row r="14" spans="1:11" ht="27" customHeight="1" x14ac:dyDescent="0.25">
      <c r="A14" s="7"/>
      <c r="B14" s="181"/>
      <c r="C14" s="15" t="s">
        <v>6</v>
      </c>
      <c r="D14" s="16" t="s">
        <v>28</v>
      </c>
      <c r="E14" s="7"/>
      <c r="F14" s="95"/>
      <c r="G14" s="95"/>
      <c r="H14" s="95"/>
      <c r="I14" s="179"/>
      <c r="J14" s="180"/>
      <c r="K14" s="160"/>
    </row>
    <row r="15" spans="1:11" ht="36.75" customHeight="1" x14ac:dyDescent="0.25">
      <c r="A15" s="96" t="s">
        <v>426</v>
      </c>
      <c r="B15" s="181"/>
      <c r="C15" s="15" t="s">
        <v>269</v>
      </c>
      <c r="D15" s="16"/>
      <c r="E15" s="7"/>
      <c r="F15" s="95"/>
      <c r="G15" s="95"/>
      <c r="H15" s="95"/>
      <c r="I15" s="1324" t="s">
        <v>878</v>
      </c>
      <c r="J15" s="1325"/>
      <c r="K15" s="159" t="s">
        <v>878</v>
      </c>
    </row>
    <row r="16" spans="1:11" ht="36" customHeight="1" x14ac:dyDescent="0.25">
      <c r="A16" s="174" t="s">
        <v>421</v>
      </c>
      <c r="B16" s="174" t="s">
        <v>427</v>
      </c>
      <c r="C16" s="51"/>
      <c r="D16" s="12" t="s">
        <v>265</v>
      </c>
      <c r="E16" s="12"/>
      <c r="F16" s="97">
        <f t="shared" ref="F16:H29" si="0">F79+F142</f>
        <v>90825</v>
      </c>
      <c r="G16" s="97">
        <f t="shared" si="0"/>
        <v>93063</v>
      </c>
      <c r="H16" s="97">
        <f t="shared" si="0"/>
        <v>96098</v>
      </c>
      <c r="I16" s="1322"/>
      <c r="J16" s="1323"/>
      <c r="K16" s="159"/>
    </row>
    <row r="17" spans="1:11" ht="36" customHeight="1" x14ac:dyDescent="0.25">
      <c r="A17" s="174" t="s">
        <v>413</v>
      </c>
      <c r="B17" s="174" t="s">
        <v>430</v>
      </c>
      <c r="C17" s="51"/>
      <c r="D17" s="12" t="s">
        <v>265</v>
      </c>
      <c r="E17" s="12"/>
      <c r="F17" s="97">
        <f t="shared" si="0"/>
        <v>70591</v>
      </c>
      <c r="G17" s="97">
        <f t="shared" si="0"/>
        <v>72315</v>
      </c>
      <c r="H17" s="97">
        <f t="shared" si="0"/>
        <v>74621</v>
      </c>
      <c r="I17" s="1322"/>
      <c r="J17" s="1323"/>
      <c r="K17" s="159"/>
    </row>
    <row r="18" spans="1:11" ht="48" customHeight="1" x14ac:dyDescent="0.25">
      <c r="A18" s="174" t="s">
        <v>700</v>
      </c>
      <c r="B18" s="174" t="s">
        <v>427</v>
      </c>
      <c r="C18" s="51"/>
      <c r="D18" s="12" t="s">
        <v>265</v>
      </c>
      <c r="E18" s="12"/>
      <c r="F18" s="97">
        <f t="shared" si="0"/>
        <v>70591</v>
      </c>
      <c r="G18" s="97">
        <f t="shared" si="0"/>
        <v>72315</v>
      </c>
      <c r="H18" s="97">
        <f t="shared" si="0"/>
        <v>74621</v>
      </c>
      <c r="I18" s="1322"/>
      <c r="J18" s="1323"/>
      <c r="K18" s="159"/>
    </row>
    <row r="19" spans="1:11" ht="48" customHeight="1" x14ac:dyDescent="0.25">
      <c r="A19" s="174" t="s">
        <v>414</v>
      </c>
      <c r="B19" s="174" t="s">
        <v>430</v>
      </c>
      <c r="C19" s="51"/>
      <c r="D19" s="12" t="s">
        <v>265</v>
      </c>
      <c r="E19" s="12"/>
      <c r="F19" s="97">
        <f t="shared" si="0"/>
        <v>70591</v>
      </c>
      <c r="G19" s="97">
        <f t="shared" si="0"/>
        <v>72315</v>
      </c>
      <c r="H19" s="97">
        <f t="shared" si="0"/>
        <v>74621</v>
      </c>
      <c r="I19" s="1322"/>
      <c r="J19" s="1323"/>
      <c r="K19" s="159"/>
    </row>
    <row r="20" spans="1:11" ht="48" customHeight="1" x14ac:dyDescent="0.25">
      <c r="A20" s="174" t="s">
        <v>415</v>
      </c>
      <c r="B20" s="174" t="s">
        <v>430</v>
      </c>
      <c r="C20" s="51"/>
      <c r="D20" s="12" t="s">
        <v>265</v>
      </c>
      <c r="E20" s="12"/>
      <c r="F20" s="97">
        <f t="shared" si="0"/>
        <v>70591</v>
      </c>
      <c r="G20" s="97">
        <f t="shared" si="0"/>
        <v>72315</v>
      </c>
      <c r="H20" s="97">
        <f t="shared" si="0"/>
        <v>74621</v>
      </c>
      <c r="I20" s="1322"/>
      <c r="J20" s="1323"/>
      <c r="K20" s="159"/>
    </row>
    <row r="21" spans="1:11" ht="48" customHeight="1" x14ac:dyDescent="0.25">
      <c r="A21" s="92" t="s">
        <v>416</v>
      </c>
      <c r="B21" s="174" t="s">
        <v>429</v>
      </c>
      <c r="C21" s="51"/>
      <c r="D21" s="12" t="s">
        <v>265</v>
      </c>
      <c r="E21" s="12"/>
      <c r="F21" s="97">
        <f t="shared" si="0"/>
        <v>181375</v>
      </c>
      <c r="G21" s="97">
        <f t="shared" si="0"/>
        <v>186356</v>
      </c>
      <c r="H21" s="97">
        <f t="shared" si="0"/>
        <v>192446</v>
      </c>
      <c r="I21" s="1322"/>
      <c r="J21" s="1323"/>
      <c r="K21" s="159"/>
    </row>
    <row r="22" spans="1:11" ht="96" x14ac:dyDescent="0.25">
      <c r="A22" s="98" t="s">
        <v>417</v>
      </c>
      <c r="B22" s="174" t="s">
        <v>429</v>
      </c>
      <c r="C22" s="51"/>
      <c r="D22" s="12" t="s">
        <v>265</v>
      </c>
      <c r="E22" s="12"/>
      <c r="F22" s="97">
        <f t="shared" si="0"/>
        <v>216533</v>
      </c>
      <c r="G22" s="97">
        <f t="shared" si="0"/>
        <v>222509</v>
      </c>
      <c r="H22" s="97">
        <f t="shared" si="0"/>
        <v>229817</v>
      </c>
      <c r="I22" s="1322"/>
      <c r="J22" s="1323"/>
      <c r="K22" s="159"/>
    </row>
    <row r="23" spans="1:11" ht="96" x14ac:dyDescent="0.25">
      <c r="A23" s="98" t="s">
        <v>422</v>
      </c>
      <c r="B23" s="174" t="s">
        <v>428</v>
      </c>
      <c r="C23" s="51"/>
      <c r="D23" s="12" t="s">
        <v>265</v>
      </c>
      <c r="E23" s="12"/>
      <c r="F23" s="97">
        <f t="shared" si="0"/>
        <v>359154</v>
      </c>
      <c r="G23" s="97">
        <f t="shared" si="0"/>
        <v>369258</v>
      </c>
      <c r="H23" s="97">
        <f t="shared" si="0"/>
        <v>381556</v>
      </c>
      <c r="I23" s="1322"/>
      <c r="J23" s="1323"/>
      <c r="K23" s="159"/>
    </row>
    <row r="24" spans="1:11" ht="96" x14ac:dyDescent="0.25">
      <c r="A24" s="98" t="s">
        <v>418</v>
      </c>
      <c r="B24" s="174" t="s">
        <v>429</v>
      </c>
      <c r="C24" s="51"/>
      <c r="D24" s="12" t="s">
        <v>265</v>
      </c>
      <c r="E24" s="12"/>
      <c r="F24" s="97">
        <f t="shared" si="0"/>
        <v>269268</v>
      </c>
      <c r="G24" s="97">
        <f t="shared" si="0"/>
        <v>276739</v>
      </c>
      <c r="H24" s="97">
        <f t="shared" si="0"/>
        <v>285874</v>
      </c>
      <c r="I24" s="1322"/>
      <c r="J24" s="1323"/>
      <c r="K24" s="159"/>
    </row>
    <row r="25" spans="1:11" ht="24" customHeight="1" x14ac:dyDescent="0.25">
      <c r="A25" s="92" t="s">
        <v>423</v>
      </c>
      <c r="B25" s="174" t="s">
        <v>427</v>
      </c>
      <c r="C25" s="51"/>
      <c r="D25" s="12" t="s">
        <v>265</v>
      </c>
      <c r="E25" s="12"/>
      <c r="F25" s="97">
        <f t="shared" si="0"/>
        <v>90825</v>
      </c>
      <c r="G25" s="97">
        <f t="shared" si="0"/>
        <v>93063</v>
      </c>
      <c r="H25" s="97">
        <f t="shared" si="0"/>
        <v>96098</v>
      </c>
      <c r="I25" s="1322"/>
      <c r="J25" s="1323"/>
      <c r="K25" s="159"/>
    </row>
    <row r="26" spans="1:11" ht="24" customHeight="1" x14ac:dyDescent="0.25">
      <c r="A26" s="174" t="s">
        <v>419</v>
      </c>
      <c r="B26" s="174" t="s">
        <v>430</v>
      </c>
      <c r="C26" s="51"/>
      <c r="D26" s="12" t="s">
        <v>265</v>
      </c>
      <c r="E26" s="12"/>
      <c r="F26" s="97">
        <f t="shared" si="0"/>
        <v>70591</v>
      </c>
      <c r="G26" s="97">
        <f t="shared" si="0"/>
        <v>72315</v>
      </c>
      <c r="H26" s="97">
        <f t="shared" si="0"/>
        <v>74621</v>
      </c>
      <c r="I26" s="1322"/>
      <c r="J26" s="1323"/>
      <c r="K26" s="159"/>
    </row>
    <row r="27" spans="1:11" ht="24" customHeight="1" x14ac:dyDescent="0.25">
      <c r="A27" s="92" t="s">
        <v>424</v>
      </c>
      <c r="B27" s="174" t="s">
        <v>427</v>
      </c>
      <c r="C27" s="51"/>
      <c r="D27" s="12" t="s">
        <v>265</v>
      </c>
      <c r="E27" s="12"/>
      <c r="F27" s="97">
        <f t="shared" si="0"/>
        <v>143426</v>
      </c>
      <c r="G27" s="97">
        <f t="shared" si="0"/>
        <v>147231</v>
      </c>
      <c r="H27" s="97">
        <f t="shared" si="0"/>
        <v>152085</v>
      </c>
      <c r="I27" s="1322"/>
      <c r="J27" s="1323"/>
      <c r="K27" s="159"/>
    </row>
    <row r="28" spans="1:11" ht="24" customHeight="1" x14ac:dyDescent="0.25">
      <c r="A28" s="174" t="s">
        <v>420</v>
      </c>
      <c r="B28" s="174" t="s">
        <v>430</v>
      </c>
      <c r="C28" s="51"/>
      <c r="D28" s="12" t="s">
        <v>265</v>
      </c>
      <c r="E28" s="12"/>
      <c r="F28" s="97">
        <f t="shared" si="0"/>
        <v>105007</v>
      </c>
      <c r="G28" s="97">
        <f t="shared" si="0"/>
        <v>107184</v>
      </c>
      <c r="H28" s="97">
        <f t="shared" si="0"/>
        <v>110649</v>
      </c>
      <c r="I28" s="1322"/>
      <c r="J28" s="1323"/>
      <c r="K28" s="159"/>
    </row>
    <row r="29" spans="1:11" hidden="1" x14ac:dyDescent="0.25">
      <c r="A29" s="340"/>
      <c r="B29" s="174"/>
      <c r="C29" s="51"/>
      <c r="D29" s="12"/>
      <c r="E29" s="12"/>
      <c r="F29" s="97">
        <f t="shared" si="0"/>
        <v>5590</v>
      </c>
      <c r="G29" s="97">
        <f t="shared" si="0"/>
        <v>5590</v>
      </c>
      <c r="H29" s="97">
        <f t="shared" si="0"/>
        <v>5590</v>
      </c>
      <c r="I29" s="1322"/>
      <c r="J29" s="1323"/>
      <c r="K29" s="159"/>
    </row>
    <row r="30" spans="1:11" ht="27" customHeight="1" x14ac:dyDescent="0.25">
      <c r="A30" s="96" t="s">
        <v>431</v>
      </c>
      <c r="B30" s="181"/>
      <c r="C30" s="15" t="s">
        <v>588</v>
      </c>
      <c r="D30" s="16"/>
      <c r="E30" s="7"/>
      <c r="F30" s="95"/>
      <c r="G30" s="95"/>
      <c r="H30" s="95"/>
      <c r="I30" s="1324" t="s">
        <v>879</v>
      </c>
      <c r="J30" s="1325"/>
      <c r="K30" s="159" t="s">
        <v>879</v>
      </c>
    </row>
    <row r="31" spans="1:11" ht="24" customHeight="1" x14ac:dyDescent="0.25">
      <c r="A31" s="12" t="s">
        <v>702</v>
      </c>
      <c r="B31" s="174" t="s">
        <v>432</v>
      </c>
      <c r="C31" s="51"/>
      <c r="D31" s="12" t="s">
        <v>265</v>
      </c>
      <c r="E31" s="12"/>
      <c r="F31" s="97">
        <f t="shared" ref="F31:H42" si="1">F94+F157</f>
        <v>24133.919999999998</v>
      </c>
      <c r="G31" s="97">
        <f t="shared" si="1"/>
        <v>24133.919999999998</v>
      </c>
      <c r="H31" s="97">
        <f t="shared" si="1"/>
        <v>24133.919999999998</v>
      </c>
      <c r="I31" s="1322"/>
      <c r="J31" s="1323"/>
      <c r="K31" s="159"/>
    </row>
    <row r="32" spans="1:11" ht="36" x14ac:dyDescent="0.25">
      <c r="A32" s="12" t="s">
        <v>703</v>
      </c>
      <c r="B32" s="174" t="s">
        <v>433</v>
      </c>
      <c r="C32" s="51"/>
      <c r="D32" s="12" t="s">
        <v>265</v>
      </c>
      <c r="E32" s="12"/>
      <c r="F32" s="97">
        <f t="shared" si="1"/>
        <v>24133.919999999998</v>
      </c>
      <c r="G32" s="97">
        <f t="shared" si="1"/>
        <v>24133.919999999998</v>
      </c>
      <c r="H32" s="97">
        <f t="shared" si="1"/>
        <v>24133.919999999998</v>
      </c>
      <c r="I32" s="1322"/>
      <c r="J32" s="1323"/>
      <c r="K32" s="159"/>
    </row>
    <row r="33" spans="1:17" ht="24" x14ac:dyDescent="0.25">
      <c r="A33" s="12" t="s">
        <v>704</v>
      </c>
      <c r="B33" s="174" t="s">
        <v>434</v>
      </c>
      <c r="C33" s="51"/>
      <c r="D33" s="12" t="s">
        <v>265</v>
      </c>
      <c r="E33" s="12"/>
      <c r="F33" s="97">
        <f t="shared" si="1"/>
        <v>24133.919999999998</v>
      </c>
      <c r="G33" s="97">
        <f t="shared" si="1"/>
        <v>24133.919999999998</v>
      </c>
      <c r="H33" s="97">
        <f t="shared" si="1"/>
        <v>24133.919999999998</v>
      </c>
      <c r="I33" s="1322"/>
      <c r="J33" s="1323"/>
      <c r="K33" s="159"/>
    </row>
    <row r="34" spans="1:17" s="435" customFormat="1" ht="48" x14ac:dyDescent="0.25">
      <c r="A34" s="641" t="s">
        <v>1407</v>
      </c>
      <c r="B34" s="174" t="s">
        <v>435</v>
      </c>
      <c r="C34" s="51"/>
      <c r="D34" s="12" t="s">
        <v>265</v>
      </c>
      <c r="E34" s="12"/>
      <c r="F34" s="97">
        <f t="shared" si="1"/>
        <v>24133.919999999998</v>
      </c>
      <c r="G34" s="97">
        <f t="shared" si="1"/>
        <v>24133.919999999998</v>
      </c>
      <c r="H34" s="97">
        <f t="shared" si="1"/>
        <v>24133.919999999998</v>
      </c>
      <c r="I34" s="1322"/>
      <c r="J34" s="1323"/>
      <c r="K34" s="159"/>
    </row>
    <row r="35" spans="1:17" ht="36" x14ac:dyDescent="0.25">
      <c r="A35" s="12" t="s">
        <v>948</v>
      </c>
      <c r="B35" s="174" t="s">
        <v>435</v>
      </c>
      <c r="C35" s="51"/>
      <c r="D35" s="12" t="s">
        <v>265</v>
      </c>
      <c r="E35" s="12"/>
      <c r="F35" s="97">
        <f t="shared" si="1"/>
        <v>11203.7</v>
      </c>
      <c r="G35" s="97">
        <f t="shared" si="1"/>
        <v>11203.7</v>
      </c>
      <c r="H35" s="97">
        <f t="shared" si="1"/>
        <v>11203.7</v>
      </c>
      <c r="I35" s="1322"/>
      <c r="J35" s="1323"/>
      <c r="K35" s="159"/>
    </row>
    <row r="36" spans="1:17" ht="36" x14ac:dyDescent="0.25">
      <c r="A36" s="12" t="s">
        <v>705</v>
      </c>
      <c r="B36" s="174" t="s">
        <v>436</v>
      </c>
      <c r="C36" s="51"/>
      <c r="D36" s="12" t="s">
        <v>265</v>
      </c>
      <c r="E36" s="12"/>
      <c r="F36" s="97">
        <f t="shared" si="1"/>
        <v>5662.17</v>
      </c>
      <c r="G36" s="97">
        <f t="shared" si="1"/>
        <v>5662.17</v>
      </c>
      <c r="H36" s="97">
        <f t="shared" si="1"/>
        <v>5662.17</v>
      </c>
      <c r="I36" s="1322"/>
      <c r="J36" s="1323"/>
      <c r="K36" s="159"/>
    </row>
    <row r="37" spans="1:17" ht="36" x14ac:dyDescent="0.25">
      <c r="A37" s="98" t="s">
        <v>706</v>
      </c>
      <c r="B37" s="174" t="s">
        <v>437</v>
      </c>
      <c r="C37" s="51"/>
      <c r="D37" s="12" t="s">
        <v>265</v>
      </c>
      <c r="E37" s="12"/>
      <c r="F37" s="97">
        <f t="shared" si="1"/>
        <v>28838.38</v>
      </c>
      <c r="G37" s="97">
        <f t="shared" si="1"/>
        <v>28838.38</v>
      </c>
      <c r="H37" s="97">
        <f t="shared" si="1"/>
        <v>28838.38</v>
      </c>
      <c r="I37" s="1322"/>
      <c r="J37" s="1323"/>
      <c r="K37" s="159"/>
    </row>
    <row r="38" spans="1:17" ht="36" x14ac:dyDescent="0.25">
      <c r="A38" s="98" t="s">
        <v>707</v>
      </c>
      <c r="B38" s="174" t="s">
        <v>438</v>
      </c>
      <c r="C38" s="51"/>
      <c r="D38" s="12" t="s">
        <v>265</v>
      </c>
      <c r="E38" s="12"/>
      <c r="F38" s="97">
        <f t="shared" si="1"/>
        <v>28838.38</v>
      </c>
      <c r="G38" s="97">
        <f t="shared" si="1"/>
        <v>28838.38</v>
      </c>
      <c r="H38" s="97">
        <f t="shared" si="1"/>
        <v>28838.38</v>
      </c>
      <c r="I38" s="1322"/>
      <c r="J38" s="1323"/>
      <c r="K38" s="159"/>
    </row>
    <row r="39" spans="1:17" ht="24" x14ac:dyDescent="0.25">
      <c r="A39" s="98" t="s">
        <v>708</v>
      </c>
      <c r="B39" s="174" t="s">
        <v>439</v>
      </c>
      <c r="C39" s="51"/>
      <c r="D39" s="12" t="s">
        <v>265</v>
      </c>
      <c r="E39" s="12"/>
      <c r="F39" s="97">
        <f t="shared" si="1"/>
        <v>28838.38</v>
      </c>
      <c r="G39" s="97">
        <f t="shared" si="1"/>
        <v>28838.38</v>
      </c>
      <c r="H39" s="97">
        <f t="shared" si="1"/>
        <v>28838.38</v>
      </c>
      <c r="I39" s="1322"/>
      <c r="J39" s="1323"/>
      <c r="K39" s="159"/>
    </row>
    <row r="40" spans="1:17" s="435" customFormat="1" ht="48" x14ac:dyDescent="0.25">
      <c r="A40" s="643" t="s">
        <v>1409</v>
      </c>
      <c r="B40" s="174" t="s">
        <v>440</v>
      </c>
      <c r="C40" s="51"/>
      <c r="D40" s="12" t="s">
        <v>265</v>
      </c>
      <c r="E40" s="12"/>
      <c r="F40" s="97">
        <f t="shared" si="1"/>
        <v>28838.38</v>
      </c>
      <c r="G40" s="97">
        <f t="shared" si="1"/>
        <v>28838.38</v>
      </c>
      <c r="H40" s="97">
        <f t="shared" si="1"/>
        <v>28838.38</v>
      </c>
      <c r="I40" s="1322"/>
      <c r="J40" s="1323"/>
      <c r="K40" s="159"/>
    </row>
    <row r="41" spans="1:17" ht="36" x14ac:dyDescent="0.25">
      <c r="A41" s="98" t="s">
        <v>949</v>
      </c>
      <c r="B41" s="174" t="s">
        <v>440</v>
      </c>
      <c r="C41" s="51"/>
      <c r="D41" s="12" t="s">
        <v>265</v>
      </c>
      <c r="E41" s="12"/>
      <c r="F41" s="97">
        <f t="shared" si="1"/>
        <v>13231.43</v>
      </c>
      <c r="G41" s="97">
        <f t="shared" si="1"/>
        <v>13231.43</v>
      </c>
      <c r="H41" s="97">
        <f t="shared" si="1"/>
        <v>13231.43</v>
      </c>
      <c r="I41" s="1322"/>
      <c r="J41" s="1323"/>
      <c r="K41" s="159"/>
    </row>
    <row r="42" spans="1:17" ht="36" x14ac:dyDescent="0.25">
      <c r="A42" s="98" t="s">
        <v>709</v>
      </c>
      <c r="B42" s="174" t="s">
        <v>441</v>
      </c>
      <c r="C42" s="51"/>
      <c r="D42" s="12" t="s">
        <v>265</v>
      </c>
      <c r="E42" s="12"/>
      <c r="F42" s="97">
        <f t="shared" si="1"/>
        <v>6542.73</v>
      </c>
      <c r="G42" s="97">
        <f t="shared" si="1"/>
        <v>6542.73</v>
      </c>
      <c r="H42" s="97">
        <f t="shared" si="1"/>
        <v>6542.73</v>
      </c>
      <c r="I42" s="1322"/>
      <c r="J42" s="1323"/>
      <c r="K42" s="159"/>
    </row>
    <row r="43" spans="1:17" ht="36.75" customHeight="1" x14ac:dyDescent="0.25">
      <c r="A43" s="96" t="s">
        <v>624</v>
      </c>
      <c r="B43" s="181"/>
      <c r="C43" s="15" t="s">
        <v>269</v>
      </c>
      <c r="D43" s="16"/>
      <c r="E43" s="7"/>
      <c r="F43" s="95"/>
      <c r="G43" s="95"/>
      <c r="H43" s="95"/>
      <c r="I43" s="1324" t="s">
        <v>878</v>
      </c>
      <c r="J43" s="1325"/>
      <c r="K43" s="159" t="s">
        <v>878</v>
      </c>
      <c r="P43" s="68"/>
      <c r="Q43" s="68"/>
    </row>
    <row r="44" spans="1:17" x14ac:dyDescent="0.25">
      <c r="A44" s="12" t="s">
        <v>609</v>
      </c>
      <c r="B44" s="174" t="s">
        <v>617</v>
      </c>
      <c r="C44" s="51"/>
      <c r="D44" s="12" t="s">
        <v>265</v>
      </c>
      <c r="E44" s="12"/>
      <c r="F44" s="97">
        <f t="shared" ref="F44:H51" si="2">F107+F170</f>
        <v>100968</v>
      </c>
      <c r="G44" s="97">
        <f t="shared" si="2"/>
        <v>102855</v>
      </c>
      <c r="H44" s="97">
        <f t="shared" si="2"/>
        <v>104511</v>
      </c>
      <c r="I44" s="1322"/>
      <c r="J44" s="1323"/>
      <c r="K44" s="159"/>
      <c r="P44" s="175"/>
      <c r="Q44" s="68"/>
    </row>
    <row r="45" spans="1:17" ht="63" hidden="1" customHeight="1" x14ac:dyDescent="0.25">
      <c r="A45" s="92" t="s">
        <v>610</v>
      </c>
      <c r="B45" s="174"/>
      <c r="C45" s="51"/>
      <c r="D45" s="12" t="s">
        <v>265</v>
      </c>
      <c r="E45" s="12"/>
      <c r="F45" s="97">
        <f>F108+F171</f>
        <v>10604</v>
      </c>
      <c r="G45" s="97">
        <f t="shared" si="2"/>
        <v>10604</v>
      </c>
      <c r="H45" s="97">
        <f t="shared" si="2"/>
        <v>10604</v>
      </c>
      <c r="I45" s="1322"/>
      <c r="J45" s="1323"/>
      <c r="K45" s="159"/>
      <c r="P45" s="175"/>
      <c r="Q45" s="68"/>
    </row>
    <row r="46" spans="1:17" ht="38.25" customHeight="1" x14ac:dyDescent="0.25">
      <c r="A46" s="12" t="s">
        <v>625</v>
      </c>
      <c r="B46" s="174" t="s">
        <v>978</v>
      </c>
      <c r="C46" s="51"/>
      <c r="D46" s="12" t="s">
        <v>265</v>
      </c>
      <c r="E46" s="12"/>
      <c r="F46" s="97">
        <f t="shared" si="2"/>
        <v>252952</v>
      </c>
      <c r="G46" s="97">
        <f t="shared" si="2"/>
        <v>258285</v>
      </c>
      <c r="H46" s="97">
        <f t="shared" si="2"/>
        <v>262944</v>
      </c>
      <c r="I46" s="1322"/>
      <c r="J46" s="1323"/>
      <c r="K46" s="159"/>
      <c r="P46" s="175"/>
      <c r="Q46" s="68"/>
    </row>
    <row r="47" spans="1:17" ht="28.5" customHeight="1" x14ac:dyDescent="0.25">
      <c r="A47" s="12" t="s">
        <v>626</v>
      </c>
      <c r="B47" s="174" t="s">
        <v>618</v>
      </c>
      <c r="C47" s="51"/>
      <c r="D47" s="12" t="s">
        <v>265</v>
      </c>
      <c r="E47" s="12"/>
      <c r="F47" s="97">
        <f t="shared" si="2"/>
        <v>895906</v>
      </c>
      <c r="G47" s="97">
        <f t="shared" si="2"/>
        <v>945104</v>
      </c>
      <c r="H47" s="97">
        <f t="shared" si="2"/>
        <v>968954</v>
      </c>
      <c r="I47" s="1322"/>
      <c r="J47" s="1323"/>
      <c r="K47" s="159"/>
      <c r="P47" s="176"/>
      <c r="Q47" s="68"/>
    </row>
    <row r="48" spans="1:17" ht="51.75" hidden="1" customHeight="1" x14ac:dyDescent="0.25">
      <c r="A48" s="92" t="s">
        <v>639</v>
      </c>
      <c r="B48" s="174"/>
      <c r="C48" s="51"/>
      <c r="D48" s="12" t="s">
        <v>265</v>
      </c>
      <c r="E48" s="12"/>
      <c r="F48" s="97">
        <f t="shared" si="2"/>
        <v>10604</v>
      </c>
      <c r="G48" s="97">
        <f t="shared" si="2"/>
        <v>10604</v>
      </c>
      <c r="H48" s="97">
        <f t="shared" si="2"/>
        <v>10604</v>
      </c>
      <c r="I48" s="1322"/>
      <c r="J48" s="1323"/>
      <c r="K48" s="159"/>
      <c r="P48" s="175"/>
      <c r="Q48" s="68"/>
    </row>
    <row r="49" spans="1:17" ht="36" x14ac:dyDescent="0.25">
      <c r="A49" s="12" t="s">
        <v>627</v>
      </c>
      <c r="B49" s="174" t="s">
        <v>619</v>
      </c>
      <c r="C49" s="51"/>
      <c r="D49" s="12" t="s">
        <v>265</v>
      </c>
      <c r="E49" s="12"/>
      <c r="F49" s="97">
        <f t="shared" si="2"/>
        <v>105421</v>
      </c>
      <c r="G49" s="97">
        <f t="shared" si="2"/>
        <v>107489</v>
      </c>
      <c r="H49" s="97">
        <f t="shared" si="2"/>
        <v>109294</v>
      </c>
      <c r="I49" s="1322"/>
      <c r="J49" s="1323"/>
      <c r="K49" s="159"/>
      <c r="P49" s="176"/>
      <c r="Q49" s="68"/>
    </row>
    <row r="50" spans="1:17" ht="15" hidden="1" customHeight="1" x14ac:dyDescent="0.25">
      <c r="A50" s="92" t="s">
        <v>608</v>
      </c>
      <c r="B50" s="174"/>
      <c r="C50" s="51"/>
      <c r="D50" s="12" t="s">
        <v>265</v>
      </c>
      <c r="E50" s="12"/>
      <c r="F50" s="97">
        <f t="shared" si="2"/>
        <v>10604</v>
      </c>
      <c r="G50" s="97">
        <f t="shared" si="2"/>
        <v>10604</v>
      </c>
      <c r="H50" s="97">
        <f t="shared" si="2"/>
        <v>10604</v>
      </c>
      <c r="I50" s="1322"/>
      <c r="J50" s="1323"/>
      <c r="K50" s="159"/>
      <c r="P50" s="177"/>
      <c r="Q50" s="68"/>
    </row>
    <row r="51" spans="1:17" ht="15" hidden="1" customHeight="1" x14ac:dyDescent="0.25">
      <c r="A51" s="92" t="s">
        <v>611</v>
      </c>
      <c r="B51" s="174"/>
      <c r="C51" s="51"/>
      <c r="D51" s="12" t="s">
        <v>265</v>
      </c>
      <c r="E51" s="12"/>
      <c r="F51" s="97">
        <f t="shared" si="2"/>
        <v>10604</v>
      </c>
      <c r="G51" s="97">
        <f t="shared" si="2"/>
        <v>10604</v>
      </c>
      <c r="H51" s="97">
        <f t="shared" si="2"/>
        <v>10604</v>
      </c>
      <c r="I51" s="1322"/>
      <c r="J51" s="1323"/>
      <c r="K51" s="159"/>
      <c r="P51" s="177"/>
      <c r="Q51" s="68"/>
    </row>
    <row r="52" spans="1:17" ht="36.75" customHeight="1" x14ac:dyDescent="0.25">
      <c r="A52" s="96" t="s">
        <v>603</v>
      </c>
      <c r="B52" s="181"/>
      <c r="C52" s="15" t="s">
        <v>654</v>
      </c>
      <c r="D52" s="16"/>
      <c r="E52" s="7"/>
      <c r="F52" s="95"/>
      <c r="G52" s="95"/>
      <c r="H52" s="95"/>
      <c r="I52" s="1324" t="s">
        <v>878</v>
      </c>
      <c r="J52" s="1325"/>
      <c r="K52" s="159" t="s">
        <v>878</v>
      </c>
      <c r="P52" s="68"/>
      <c r="Q52" s="68"/>
    </row>
    <row r="53" spans="1:17" x14ac:dyDescent="0.25">
      <c r="A53" s="12" t="s">
        <v>609</v>
      </c>
      <c r="B53" s="174" t="s">
        <v>604</v>
      </c>
      <c r="C53" s="51"/>
      <c r="D53" s="12" t="s">
        <v>265</v>
      </c>
      <c r="E53" s="12"/>
      <c r="F53" s="97">
        <f t="shared" ref="F53:H60" si="3">F116+F179</f>
        <v>108525</v>
      </c>
      <c r="G53" s="97">
        <f t="shared" si="3"/>
        <v>110915</v>
      </c>
      <c r="H53" s="97">
        <f t="shared" si="3"/>
        <v>112527</v>
      </c>
      <c r="I53" s="1322"/>
      <c r="J53" s="1323"/>
      <c r="K53" s="159"/>
      <c r="P53" s="178"/>
      <c r="Q53" s="68"/>
    </row>
    <row r="54" spans="1:17" ht="63" hidden="1" customHeight="1" x14ac:dyDescent="0.25">
      <c r="A54" s="92" t="s">
        <v>610</v>
      </c>
      <c r="B54" s="174"/>
      <c r="C54" s="51"/>
      <c r="D54" s="12" t="s">
        <v>265</v>
      </c>
      <c r="E54" s="12"/>
      <c r="F54" s="97">
        <f t="shared" si="3"/>
        <v>10604</v>
      </c>
      <c r="G54" s="97">
        <f t="shared" si="3"/>
        <v>10604</v>
      </c>
      <c r="H54" s="97">
        <f t="shared" si="3"/>
        <v>10604</v>
      </c>
      <c r="I54" s="1322"/>
      <c r="J54" s="1323"/>
      <c r="K54" s="159"/>
      <c r="P54" s="175"/>
      <c r="Q54" s="68"/>
    </row>
    <row r="55" spans="1:17" ht="38.25" customHeight="1" x14ac:dyDescent="0.25">
      <c r="A55" s="12" t="s">
        <v>625</v>
      </c>
      <c r="B55" s="174" t="s">
        <v>605</v>
      </c>
      <c r="C55" s="51"/>
      <c r="D55" s="12" t="s">
        <v>265</v>
      </c>
      <c r="E55" s="12"/>
      <c r="F55" s="97">
        <f t="shared" si="3"/>
        <v>268916</v>
      </c>
      <c r="G55" s="97">
        <f t="shared" si="3"/>
        <v>275492</v>
      </c>
      <c r="H55" s="97">
        <f t="shared" si="3"/>
        <v>279933</v>
      </c>
      <c r="I55" s="1322"/>
      <c r="J55" s="1323"/>
      <c r="K55" s="159"/>
      <c r="P55" s="178"/>
      <c r="Q55" s="68"/>
    </row>
    <row r="56" spans="1:17" ht="51" hidden="1" customHeight="1" x14ac:dyDescent="0.25">
      <c r="A56" s="92" t="s">
        <v>639</v>
      </c>
      <c r="B56" s="174"/>
      <c r="C56" s="51"/>
      <c r="D56" s="12" t="s">
        <v>265</v>
      </c>
      <c r="E56" s="12"/>
      <c r="F56" s="97">
        <f t="shared" si="3"/>
        <v>10604</v>
      </c>
      <c r="G56" s="97">
        <f t="shared" si="3"/>
        <v>10604</v>
      </c>
      <c r="H56" s="97">
        <f t="shared" si="3"/>
        <v>10604</v>
      </c>
      <c r="I56" s="1322"/>
      <c r="J56" s="1323"/>
      <c r="K56" s="159"/>
      <c r="P56" s="178"/>
      <c r="Q56" s="68"/>
    </row>
    <row r="57" spans="1:17" ht="28.5" customHeight="1" x14ac:dyDescent="0.25">
      <c r="A57" s="12" t="s">
        <v>626</v>
      </c>
      <c r="B57" s="174" t="s">
        <v>606</v>
      </c>
      <c r="C57" s="51"/>
      <c r="D57" s="12" t="s">
        <v>265</v>
      </c>
      <c r="E57" s="12"/>
      <c r="F57" s="97">
        <f t="shared" si="3"/>
        <v>1012038</v>
      </c>
      <c r="G57" s="97">
        <f t="shared" si="3"/>
        <v>1067659</v>
      </c>
      <c r="H57" s="97">
        <f t="shared" si="3"/>
        <v>1094211</v>
      </c>
      <c r="I57" s="1322"/>
      <c r="J57" s="1323"/>
      <c r="K57" s="159"/>
      <c r="P57" s="178"/>
      <c r="Q57" s="68"/>
    </row>
    <row r="58" spans="1:17" ht="36" x14ac:dyDescent="0.25">
      <c r="A58" s="12" t="s">
        <v>627</v>
      </c>
      <c r="B58" s="174" t="s">
        <v>607</v>
      </c>
      <c r="C58" s="51"/>
      <c r="D58" s="12" t="s">
        <v>265</v>
      </c>
      <c r="E58" s="12"/>
      <c r="F58" s="97">
        <f t="shared" si="3"/>
        <v>113929</v>
      </c>
      <c r="G58" s="97">
        <f t="shared" si="3"/>
        <v>116559</v>
      </c>
      <c r="H58" s="97">
        <f t="shared" si="3"/>
        <v>118336</v>
      </c>
      <c r="I58" s="1322"/>
      <c r="J58" s="1323"/>
      <c r="K58" s="159"/>
      <c r="P58" s="178"/>
      <c r="Q58" s="68"/>
    </row>
    <row r="59" spans="1:17" ht="15" customHeight="1" x14ac:dyDescent="0.25">
      <c r="A59" s="174" t="s">
        <v>608</v>
      </c>
      <c r="B59" s="174" t="s">
        <v>979</v>
      </c>
      <c r="C59" s="51"/>
      <c r="D59" s="12" t="s">
        <v>265</v>
      </c>
      <c r="E59" s="12"/>
      <c r="F59" s="97">
        <f t="shared" si="3"/>
        <v>70376</v>
      </c>
      <c r="G59" s="97">
        <f t="shared" si="3"/>
        <v>72080</v>
      </c>
      <c r="H59" s="97">
        <f t="shared" si="3"/>
        <v>73243</v>
      </c>
      <c r="I59" s="1322"/>
      <c r="J59" s="1323"/>
      <c r="K59" s="159"/>
      <c r="P59" s="178"/>
      <c r="Q59" s="68"/>
    </row>
    <row r="60" spans="1:17" ht="15" customHeight="1" x14ac:dyDescent="0.25">
      <c r="A60" s="174" t="s">
        <v>611</v>
      </c>
      <c r="B60" s="174" t="s">
        <v>2233</v>
      </c>
      <c r="C60" s="51"/>
      <c r="D60" s="12" t="s">
        <v>265</v>
      </c>
      <c r="E60" s="12"/>
      <c r="F60" s="97">
        <f t="shared" si="3"/>
        <v>51151</v>
      </c>
      <c r="G60" s="97">
        <f t="shared" si="3"/>
        <v>52203</v>
      </c>
      <c r="H60" s="97">
        <f t="shared" si="3"/>
        <v>53106</v>
      </c>
      <c r="I60" s="1322"/>
      <c r="J60" s="1323"/>
      <c r="K60" s="159"/>
      <c r="P60" s="177"/>
      <c r="Q60" s="68"/>
    </row>
    <row r="61" spans="1:17" ht="36.75" customHeight="1" x14ac:dyDescent="0.25">
      <c r="A61" s="96" t="s">
        <v>620</v>
      </c>
      <c r="B61" s="181"/>
      <c r="C61" s="15" t="s">
        <v>655</v>
      </c>
      <c r="D61" s="16"/>
      <c r="E61" s="7"/>
      <c r="F61" s="95"/>
      <c r="G61" s="95"/>
      <c r="H61" s="95"/>
      <c r="I61" s="1324" t="s">
        <v>878</v>
      </c>
      <c r="J61" s="1325"/>
      <c r="K61" s="159" t="s">
        <v>878</v>
      </c>
      <c r="P61" s="68"/>
      <c r="Q61" s="68"/>
    </row>
    <row r="62" spans="1:17" x14ac:dyDescent="0.25">
      <c r="A62" s="12" t="s">
        <v>609</v>
      </c>
      <c r="B62" s="174" t="s">
        <v>621</v>
      </c>
      <c r="C62" s="51"/>
      <c r="D62" s="12" t="s">
        <v>265</v>
      </c>
      <c r="E62" s="12"/>
      <c r="F62" s="97">
        <f t="shared" ref="F62:H69" si="4">F125+F188</f>
        <v>165903</v>
      </c>
      <c r="G62" s="97">
        <f t="shared" si="4"/>
        <v>171088</v>
      </c>
      <c r="H62" s="97">
        <f t="shared" si="4"/>
        <v>174760</v>
      </c>
      <c r="I62" s="1322"/>
      <c r="J62" s="1323"/>
      <c r="K62" s="159"/>
      <c r="P62" s="176"/>
      <c r="Q62" s="68"/>
    </row>
    <row r="63" spans="1:17" ht="63" hidden="1" customHeight="1" x14ac:dyDescent="0.25">
      <c r="A63" s="92" t="s">
        <v>610</v>
      </c>
      <c r="B63" s="174"/>
      <c r="C63" s="51"/>
      <c r="D63" s="12" t="s">
        <v>265</v>
      </c>
      <c r="E63" s="12"/>
      <c r="F63" s="97">
        <f t="shared" si="4"/>
        <v>10604</v>
      </c>
      <c r="G63" s="97">
        <f t="shared" si="4"/>
        <v>10604</v>
      </c>
      <c r="H63" s="97">
        <f t="shared" si="4"/>
        <v>10604</v>
      </c>
      <c r="I63" s="1322"/>
      <c r="J63" s="1323"/>
      <c r="K63" s="159"/>
      <c r="P63" s="175"/>
      <c r="Q63" s="68"/>
    </row>
    <row r="64" spans="1:17" ht="39" hidden="1" customHeight="1" x14ac:dyDescent="0.25">
      <c r="A64" s="92" t="s">
        <v>625</v>
      </c>
      <c r="B64" s="174"/>
      <c r="C64" s="51"/>
      <c r="D64" s="12" t="s">
        <v>265</v>
      </c>
      <c r="E64" s="12"/>
      <c r="F64" s="97">
        <f t="shared" si="4"/>
        <v>10604</v>
      </c>
      <c r="G64" s="97">
        <f t="shared" si="4"/>
        <v>10604</v>
      </c>
      <c r="H64" s="97">
        <f t="shared" si="4"/>
        <v>10604</v>
      </c>
      <c r="I64" s="1322"/>
      <c r="J64" s="1323"/>
      <c r="K64" s="159"/>
      <c r="P64" s="177"/>
      <c r="Q64" s="68"/>
    </row>
    <row r="65" spans="1:17" ht="51" hidden="1" customHeight="1" x14ac:dyDescent="0.25">
      <c r="A65" s="92" t="s">
        <v>639</v>
      </c>
      <c r="B65" s="174"/>
      <c r="C65" s="51"/>
      <c r="D65" s="12" t="s">
        <v>265</v>
      </c>
      <c r="E65" s="12"/>
      <c r="F65" s="97">
        <f t="shared" si="4"/>
        <v>10604</v>
      </c>
      <c r="G65" s="97">
        <f t="shared" si="4"/>
        <v>10604</v>
      </c>
      <c r="H65" s="97">
        <f t="shared" si="4"/>
        <v>10604</v>
      </c>
      <c r="I65" s="1322"/>
      <c r="J65" s="1323"/>
      <c r="K65" s="159"/>
      <c r="P65" s="175"/>
      <c r="Q65" s="68"/>
    </row>
    <row r="66" spans="1:17" ht="28.5" customHeight="1" x14ac:dyDescent="0.25">
      <c r="A66" s="12" t="s">
        <v>626</v>
      </c>
      <c r="B66" s="174" t="s">
        <v>980</v>
      </c>
      <c r="C66" s="51"/>
      <c r="D66" s="12" t="s">
        <v>265</v>
      </c>
      <c r="E66" s="12"/>
      <c r="F66" s="97">
        <f t="shared" si="4"/>
        <v>1027282</v>
      </c>
      <c r="G66" s="97">
        <f t="shared" si="4"/>
        <v>1083750</v>
      </c>
      <c r="H66" s="97">
        <f t="shared" si="4"/>
        <v>1126667</v>
      </c>
      <c r="I66" s="1322"/>
      <c r="J66" s="1323"/>
      <c r="K66" s="159"/>
      <c r="P66" s="176"/>
      <c r="Q66" s="68"/>
    </row>
    <row r="67" spans="1:17" ht="36" x14ac:dyDescent="0.25">
      <c r="A67" s="12" t="s">
        <v>627</v>
      </c>
      <c r="B67" s="174" t="s">
        <v>622</v>
      </c>
      <c r="C67" s="51"/>
      <c r="D67" s="12" t="s">
        <v>265</v>
      </c>
      <c r="E67" s="12"/>
      <c r="F67" s="97">
        <f t="shared" si="4"/>
        <v>182779</v>
      </c>
      <c r="G67" s="97">
        <f t="shared" si="4"/>
        <v>188784</v>
      </c>
      <c r="H67" s="97">
        <f t="shared" si="4"/>
        <v>193041</v>
      </c>
      <c r="I67" s="1322"/>
      <c r="J67" s="1323"/>
      <c r="K67" s="159"/>
      <c r="P67" s="176"/>
      <c r="Q67" s="68"/>
    </row>
    <row r="68" spans="1:17" ht="15" customHeight="1" x14ac:dyDescent="0.25">
      <c r="A68" s="174" t="s">
        <v>608</v>
      </c>
      <c r="B68" s="174" t="s">
        <v>623</v>
      </c>
      <c r="C68" s="51"/>
      <c r="D68" s="12" t="s">
        <v>265</v>
      </c>
      <c r="E68" s="12"/>
      <c r="F68" s="97">
        <f t="shared" si="4"/>
        <v>110234</v>
      </c>
      <c r="G68" s="97">
        <f t="shared" si="4"/>
        <v>114122</v>
      </c>
      <c r="H68" s="97">
        <f t="shared" si="4"/>
        <v>116904</v>
      </c>
      <c r="I68" s="1322"/>
      <c r="J68" s="1323"/>
      <c r="K68" s="159"/>
      <c r="P68" s="176"/>
      <c r="Q68" s="68"/>
    </row>
    <row r="69" spans="1:17" ht="15" hidden="1" customHeight="1" x14ac:dyDescent="0.25">
      <c r="A69" s="92" t="s">
        <v>611</v>
      </c>
      <c r="B69" s="174"/>
      <c r="C69" s="51"/>
      <c r="D69" s="12" t="s">
        <v>265</v>
      </c>
      <c r="E69" s="12"/>
      <c r="F69" s="97">
        <f t="shared" si="4"/>
        <v>79011</v>
      </c>
      <c r="G69" s="97">
        <f t="shared" si="4"/>
        <v>82135</v>
      </c>
      <c r="H69" s="97">
        <f t="shared" si="4"/>
        <v>84129</v>
      </c>
      <c r="I69" s="1322"/>
      <c r="J69" s="1323"/>
      <c r="K69" s="159"/>
      <c r="P69" s="177"/>
      <c r="Q69" s="68"/>
    </row>
    <row r="70" spans="1:17" ht="27" customHeight="1" x14ac:dyDescent="0.25">
      <c r="A70" s="96" t="s">
        <v>601</v>
      </c>
      <c r="B70" s="181"/>
      <c r="C70" s="15" t="s">
        <v>656</v>
      </c>
      <c r="D70" s="16"/>
      <c r="E70" s="7"/>
      <c r="F70" s="95"/>
      <c r="G70" s="95"/>
      <c r="H70" s="95"/>
      <c r="I70" s="1324" t="s">
        <v>878</v>
      </c>
      <c r="J70" s="1325"/>
      <c r="K70" s="159" t="s">
        <v>878</v>
      </c>
    </row>
    <row r="71" spans="1:17" x14ac:dyDescent="0.25">
      <c r="A71" s="12" t="s">
        <v>456</v>
      </c>
      <c r="B71" s="174" t="s">
        <v>648</v>
      </c>
      <c r="C71" s="51"/>
      <c r="D71" s="12" t="s">
        <v>265</v>
      </c>
      <c r="E71" s="12"/>
      <c r="F71" s="97">
        <f t="shared" ref="F71:H76" si="5">F134+F197</f>
        <v>39.630000000000003</v>
      </c>
      <c r="G71" s="97">
        <f t="shared" si="5"/>
        <v>41.82</v>
      </c>
      <c r="H71" s="97">
        <f t="shared" si="5"/>
        <v>43.49</v>
      </c>
      <c r="I71" s="1322"/>
      <c r="J71" s="1323"/>
      <c r="K71" s="159"/>
    </row>
    <row r="72" spans="1:17" x14ac:dyDescent="0.25">
      <c r="A72" s="12" t="s">
        <v>457</v>
      </c>
      <c r="B72" s="174" t="s">
        <v>649</v>
      </c>
      <c r="C72" s="51"/>
      <c r="D72" s="12" t="s">
        <v>265</v>
      </c>
      <c r="E72" s="12"/>
      <c r="F72" s="97">
        <f t="shared" si="5"/>
        <v>39.630000000000003</v>
      </c>
      <c r="G72" s="97">
        <f t="shared" si="5"/>
        <v>41.82</v>
      </c>
      <c r="H72" s="97">
        <f t="shared" si="5"/>
        <v>43.49</v>
      </c>
      <c r="I72" s="1322"/>
      <c r="J72" s="1323"/>
      <c r="K72" s="159"/>
    </row>
    <row r="73" spans="1:17" x14ac:dyDescent="0.25">
      <c r="A73" s="12" t="s">
        <v>471</v>
      </c>
      <c r="B73" s="174" t="s">
        <v>650</v>
      </c>
      <c r="C73" s="51"/>
      <c r="D73" s="12" t="s">
        <v>265</v>
      </c>
      <c r="E73" s="12"/>
      <c r="F73" s="97">
        <f t="shared" si="5"/>
        <v>33.96</v>
      </c>
      <c r="G73" s="97">
        <f t="shared" si="5"/>
        <v>35.85</v>
      </c>
      <c r="H73" s="97">
        <f t="shared" si="5"/>
        <v>37.299999999999997</v>
      </c>
      <c r="I73" s="1322"/>
      <c r="J73" s="1323"/>
      <c r="K73" s="159"/>
    </row>
    <row r="74" spans="1:17" x14ac:dyDescent="0.25">
      <c r="A74" s="12" t="s">
        <v>458</v>
      </c>
      <c r="B74" s="174" t="s">
        <v>651</v>
      </c>
      <c r="C74" s="51"/>
      <c r="D74" s="12" t="s">
        <v>265</v>
      </c>
      <c r="E74" s="12"/>
      <c r="F74" s="97">
        <f t="shared" si="5"/>
        <v>39.630000000000003</v>
      </c>
      <c r="G74" s="97">
        <f t="shared" si="5"/>
        <v>41.82</v>
      </c>
      <c r="H74" s="97">
        <f t="shared" si="5"/>
        <v>43.49</v>
      </c>
      <c r="I74" s="1322"/>
      <c r="J74" s="1323"/>
      <c r="K74" s="159"/>
    </row>
    <row r="75" spans="1:17" x14ac:dyDescent="0.25">
      <c r="A75" s="12" t="s">
        <v>459</v>
      </c>
      <c r="B75" s="174" t="s">
        <v>652</v>
      </c>
      <c r="C75" s="51"/>
      <c r="D75" s="12" t="s">
        <v>265</v>
      </c>
      <c r="E75" s="12"/>
      <c r="F75" s="97">
        <f t="shared" si="5"/>
        <v>39.630000000000003</v>
      </c>
      <c r="G75" s="97">
        <f t="shared" si="5"/>
        <v>41.82</v>
      </c>
      <c r="H75" s="97">
        <f t="shared" si="5"/>
        <v>43.49</v>
      </c>
      <c r="I75" s="1322"/>
      <c r="J75" s="1323"/>
      <c r="K75" s="159"/>
    </row>
    <row r="76" spans="1:17" ht="15.75" customHeight="1" x14ac:dyDescent="0.25">
      <c r="A76" s="12" t="s">
        <v>460</v>
      </c>
      <c r="B76" s="174" t="s">
        <v>653</v>
      </c>
      <c r="C76" s="51"/>
      <c r="D76" s="12" t="s">
        <v>265</v>
      </c>
      <c r="E76" s="12"/>
      <c r="F76" s="97">
        <f t="shared" si="5"/>
        <v>39.630000000000003</v>
      </c>
      <c r="G76" s="97">
        <f t="shared" si="5"/>
        <v>41.82</v>
      </c>
      <c r="H76" s="97">
        <f t="shared" si="5"/>
        <v>43.49</v>
      </c>
      <c r="I76" s="1322"/>
      <c r="J76" s="1323"/>
      <c r="K76" s="159"/>
    </row>
    <row r="77" spans="1:17" ht="27.75" customHeight="1" x14ac:dyDescent="0.25">
      <c r="A77" s="7"/>
      <c r="B77" s="181"/>
      <c r="C77" s="15" t="s">
        <v>7</v>
      </c>
      <c r="D77" s="16" t="s">
        <v>268</v>
      </c>
      <c r="E77" s="7"/>
      <c r="F77" s="95"/>
      <c r="G77" s="95"/>
      <c r="H77" s="95"/>
      <c r="I77" s="99"/>
      <c r="J77" s="100"/>
      <c r="K77" s="161"/>
    </row>
    <row r="78" spans="1:17" ht="108" customHeight="1" x14ac:dyDescent="0.25">
      <c r="A78" s="96" t="s">
        <v>426</v>
      </c>
      <c r="B78" s="181"/>
      <c r="C78" s="6"/>
      <c r="D78" s="53" t="s">
        <v>218</v>
      </c>
      <c r="E78" s="7"/>
      <c r="F78" s="95"/>
      <c r="G78" s="95"/>
      <c r="H78" s="95"/>
      <c r="I78" s="99"/>
      <c r="J78" s="100"/>
      <c r="K78" s="161"/>
    </row>
    <row r="79" spans="1:17" ht="41.25" customHeight="1" x14ac:dyDescent="0.25">
      <c r="A79" s="174" t="s">
        <v>421</v>
      </c>
      <c r="B79" s="174" t="s">
        <v>427</v>
      </c>
      <c r="C79" s="51"/>
      <c r="D79" s="12" t="s">
        <v>286</v>
      </c>
      <c r="E79" s="102">
        <f>'3.1. расчет фот обл (нсот2023)'!AV11</f>
        <v>64.55</v>
      </c>
      <c r="F79" s="102">
        <f>'3.1. расчет фот обл (нсот2023)'!B11</f>
        <v>85235</v>
      </c>
      <c r="G79" s="102">
        <f>'3.1. расчет фот обл (нсот2024)'!B11</f>
        <v>87473</v>
      </c>
      <c r="H79" s="102">
        <f>'3.1. расчет фот обл (нсот2025)'!B11</f>
        <v>90508</v>
      </c>
      <c r="I79" s="1318" t="s">
        <v>880</v>
      </c>
      <c r="J79" s="1319"/>
      <c r="K79" s="160"/>
    </row>
    <row r="80" spans="1:17" ht="42" customHeight="1" x14ac:dyDescent="0.25">
      <c r="A80" s="174" t="s">
        <v>413</v>
      </c>
      <c r="B80" s="174" t="s">
        <v>430</v>
      </c>
      <c r="C80" s="51"/>
      <c r="D80" s="12" t="s">
        <v>286</v>
      </c>
      <c r="E80" s="102">
        <f>'3.1. расчет фот обл (нсот2023)'!AV12</f>
        <v>46.89</v>
      </c>
      <c r="F80" s="102">
        <f>'3.1. расчет фот обл (нсот2023)'!B12</f>
        <v>65001</v>
      </c>
      <c r="G80" s="102">
        <f>'3.1. расчет фот обл (нсот2024)'!B12</f>
        <v>66725</v>
      </c>
      <c r="H80" s="102">
        <f>'3.1. расчет фот обл (нсот2025)'!B12</f>
        <v>69031</v>
      </c>
      <c r="I80" s="1318" t="s">
        <v>880</v>
      </c>
      <c r="J80" s="1319"/>
      <c r="K80" s="160"/>
    </row>
    <row r="81" spans="1:11" ht="41.25" customHeight="1" x14ac:dyDescent="0.25">
      <c r="A81" s="174" t="s">
        <v>700</v>
      </c>
      <c r="B81" s="174" t="s">
        <v>427</v>
      </c>
      <c r="C81" s="51"/>
      <c r="D81" s="12" t="s">
        <v>286</v>
      </c>
      <c r="E81" s="102">
        <f>'3.1. расчет фот обл (нсот2023)'!AV13</f>
        <v>46.89</v>
      </c>
      <c r="F81" s="102">
        <f>'3.1. расчет фот обл (нсот2023)'!B13</f>
        <v>65001</v>
      </c>
      <c r="G81" s="102">
        <f>'3.1. расчет фот обл (нсот2024)'!B13</f>
        <v>66725</v>
      </c>
      <c r="H81" s="102">
        <f>'3.1. расчет фот обл (нсот2025)'!B13</f>
        <v>69031</v>
      </c>
      <c r="I81" s="1318" t="s">
        <v>880</v>
      </c>
      <c r="J81" s="1319"/>
      <c r="K81" s="160"/>
    </row>
    <row r="82" spans="1:11" ht="42" customHeight="1" x14ac:dyDescent="0.25">
      <c r="A82" s="174" t="s">
        <v>414</v>
      </c>
      <c r="B82" s="174" t="s">
        <v>430</v>
      </c>
      <c r="C82" s="51"/>
      <c r="D82" s="12" t="s">
        <v>286</v>
      </c>
      <c r="E82" s="102">
        <f>'3.1. расчет фот обл (нсот2023)'!AV14</f>
        <v>46.89</v>
      </c>
      <c r="F82" s="102">
        <f>'3.1. расчет фот обл (нсот2023)'!B14</f>
        <v>65001</v>
      </c>
      <c r="G82" s="102">
        <f>'3.1. расчет фот обл (нсот2024)'!B14</f>
        <v>66725</v>
      </c>
      <c r="H82" s="102">
        <f>'3.1. расчет фот обл (нсот2025)'!B14</f>
        <v>69031</v>
      </c>
      <c r="I82" s="1318" t="s">
        <v>880</v>
      </c>
      <c r="J82" s="1319"/>
      <c r="K82" s="160"/>
    </row>
    <row r="83" spans="1:11" ht="38.25" customHeight="1" x14ac:dyDescent="0.25">
      <c r="A83" s="174" t="s">
        <v>415</v>
      </c>
      <c r="B83" s="174" t="s">
        <v>430</v>
      </c>
      <c r="C83" s="51"/>
      <c r="D83" s="12" t="s">
        <v>286</v>
      </c>
      <c r="E83" s="102">
        <f>'3.1. расчет фот обл (нсот2023)'!AV15</f>
        <v>46.89</v>
      </c>
      <c r="F83" s="102">
        <f>'3.1. расчет фот обл (нсот2023)'!B15</f>
        <v>65001</v>
      </c>
      <c r="G83" s="102">
        <f>'3.1. расчет фот обл (нсот2024)'!B15</f>
        <v>66725</v>
      </c>
      <c r="H83" s="102">
        <f>'3.1. расчет фот обл (нсот2025)'!B15</f>
        <v>69031</v>
      </c>
      <c r="I83" s="1318" t="s">
        <v>880</v>
      </c>
      <c r="J83" s="1319"/>
      <c r="K83" s="160"/>
    </row>
    <row r="84" spans="1:11" ht="50.25" customHeight="1" x14ac:dyDescent="0.25">
      <c r="A84" s="92" t="s">
        <v>416</v>
      </c>
      <c r="B84" s="174" t="s">
        <v>429</v>
      </c>
      <c r="C84" s="51"/>
      <c r="D84" s="12" t="s">
        <v>286</v>
      </c>
      <c r="E84" s="102">
        <f>'3.1. расчет фот обл (нсот2023)'!AV16</f>
        <v>113.76</v>
      </c>
      <c r="F84" s="102">
        <f>'3.1. расчет фот обл (нсот2023)'!B16</f>
        <v>175785</v>
      </c>
      <c r="G84" s="102">
        <f>'3.1. расчет фот обл (нсот2024)'!B16</f>
        <v>180766</v>
      </c>
      <c r="H84" s="102">
        <f>'3.1. расчет фот обл (нсот2025)'!B16</f>
        <v>186856</v>
      </c>
      <c r="I84" s="1318" t="s">
        <v>880</v>
      </c>
      <c r="J84" s="1319"/>
      <c r="K84" s="160"/>
    </row>
    <row r="85" spans="1:11" ht="48.75" customHeight="1" x14ac:dyDescent="0.25">
      <c r="A85" s="98" t="s">
        <v>417</v>
      </c>
      <c r="B85" s="174" t="s">
        <v>429</v>
      </c>
      <c r="C85" s="51"/>
      <c r="D85" s="12" t="s">
        <v>286</v>
      </c>
      <c r="E85" s="102">
        <f>'3.1. расчет фот обл (нсот2023)'!AV17</f>
        <v>136.51</v>
      </c>
      <c r="F85" s="102">
        <f>'3.1. расчет фот обл (нсот2023)'!B17</f>
        <v>210943</v>
      </c>
      <c r="G85" s="102">
        <f>'3.1. расчет фот обл (нсот2024)'!B17</f>
        <v>216919</v>
      </c>
      <c r="H85" s="102">
        <f>'3.1. расчет фот обл (нсот2025)'!B17</f>
        <v>224227</v>
      </c>
      <c r="I85" s="1318" t="s">
        <v>880</v>
      </c>
      <c r="J85" s="1319"/>
      <c r="K85" s="160"/>
    </row>
    <row r="86" spans="1:11" ht="48.75" customHeight="1" x14ac:dyDescent="0.25">
      <c r="A86" s="98" t="s">
        <v>422</v>
      </c>
      <c r="B86" s="174" t="s">
        <v>428</v>
      </c>
      <c r="C86" s="51"/>
      <c r="D86" s="12" t="s">
        <v>286</v>
      </c>
      <c r="E86" s="102">
        <f>'3.1. расчет фот обл (нсот2023)'!AV18</f>
        <v>232.59</v>
      </c>
      <c r="F86" s="102">
        <f>'3.1. расчет фот обл (нсот2023)'!B18</f>
        <v>353564</v>
      </c>
      <c r="G86" s="102">
        <f>'3.1. расчет фот обл (нсот2024)'!B18</f>
        <v>363668</v>
      </c>
      <c r="H86" s="102">
        <f>'3.1. расчет фот обл (нсот2025)'!B18</f>
        <v>375966</v>
      </c>
      <c r="I86" s="1318" t="s">
        <v>880</v>
      </c>
      <c r="J86" s="1319"/>
      <c r="K86" s="160"/>
    </row>
    <row r="87" spans="1:11" ht="48.75" customHeight="1" x14ac:dyDescent="0.25">
      <c r="A87" s="98" t="s">
        <v>418</v>
      </c>
      <c r="B87" s="174" t="s">
        <v>429</v>
      </c>
      <c r="C87" s="51"/>
      <c r="D87" s="12" t="s">
        <v>286</v>
      </c>
      <c r="E87" s="102">
        <f>'3.1. расчет фот обл (нсот2023)'!AV19</f>
        <v>170.64</v>
      </c>
      <c r="F87" s="102">
        <f>'3.1. расчет фот обл (нсот2023)'!B19</f>
        <v>263678</v>
      </c>
      <c r="G87" s="102">
        <f>'3.1. расчет фот обл (нсот2024)'!B19</f>
        <v>271149</v>
      </c>
      <c r="H87" s="102">
        <f>'3.1. расчет фот обл (нсот2025)'!B19</f>
        <v>280284</v>
      </c>
      <c r="I87" s="1318" t="s">
        <v>880</v>
      </c>
      <c r="J87" s="1319"/>
      <c r="K87" s="160"/>
    </row>
    <row r="88" spans="1:11" ht="24" x14ac:dyDescent="0.25">
      <c r="A88" s="92" t="s">
        <v>423</v>
      </c>
      <c r="B88" s="174" t="s">
        <v>427</v>
      </c>
      <c r="C88" s="51"/>
      <c r="D88" s="12" t="s">
        <v>286</v>
      </c>
      <c r="E88" s="102">
        <f>'3.1. расчет фот обл (нсот2023)'!AV20</f>
        <v>64.55</v>
      </c>
      <c r="F88" s="102">
        <f>'3.1. расчет фот обл (нсот2023)'!B20</f>
        <v>85235</v>
      </c>
      <c r="G88" s="102">
        <f>'3.1. расчет фот обл (нсот2024)'!B20</f>
        <v>87473</v>
      </c>
      <c r="H88" s="102">
        <f>'3.1. расчет фот обл (нсот2025)'!B20</f>
        <v>90508</v>
      </c>
      <c r="I88" s="1318" t="s">
        <v>880</v>
      </c>
      <c r="J88" s="1319"/>
      <c r="K88" s="160"/>
    </row>
    <row r="89" spans="1:11" ht="24" x14ac:dyDescent="0.25">
      <c r="A89" s="174" t="s">
        <v>419</v>
      </c>
      <c r="B89" s="174" t="s">
        <v>430</v>
      </c>
      <c r="C89" s="51"/>
      <c r="D89" s="12" t="s">
        <v>286</v>
      </c>
      <c r="E89" s="102">
        <f>'3.1. расчет фот обл (нсот2023)'!AV21</f>
        <v>46.89</v>
      </c>
      <c r="F89" s="102">
        <f>'3.1. расчет фот обл (нсот2023)'!B21</f>
        <v>65001</v>
      </c>
      <c r="G89" s="102">
        <f>'3.1. расчет фот обл (нсот2024)'!B21</f>
        <v>66725</v>
      </c>
      <c r="H89" s="102">
        <f>'3.1. расчет фот обл (нсот2025)'!B21</f>
        <v>69031</v>
      </c>
      <c r="I89" s="1318" t="s">
        <v>880</v>
      </c>
      <c r="J89" s="1319"/>
      <c r="K89" s="160"/>
    </row>
    <row r="90" spans="1:11" ht="24" x14ac:dyDescent="0.25">
      <c r="A90" s="92" t="s">
        <v>424</v>
      </c>
      <c r="B90" s="174" t="s">
        <v>427</v>
      </c>
      <c r="C90" s="51"/>
      <c r="D90" s="12" t="s">
        <v>286</v>
      </c>
      <c r="E90" s="102">
        <f>'3.1. расчет фот обл (нсот2023)'!AV22</f>
        <v>99.95</v>
      </c>
      <c r="F90" s="102">
        <f>'3.1. расчет фот обл (нсот2023)'!B22</f>
        <v>137836</v>
      </c>
      <c r="G90" s="102">
        <f>'3.1. расчет фот обл (нсот2024)'!B22</f>
        <v>141641</v>
      </c>
      <c r="H90" s="102">
        <f>'3.1. расчет фот обл (нсот2025)'!B22</f>
        <v>146495</v>
      </c>
      <c r="I90" s="1318" t="s">
        <v>880</v>
      </c>
      <c r="J90" s="1319"/>
      <c r="K90" s="160"/>
    </row>
    <row r="91" spans="1:11" ht="24" x14ac:dyDescent="0.25">
      <c r="A91" s="174" t="s">
        <v>420</v>
      </c>
      <c r="B91" s="174" t="s">
        <v>430</v>
      </c>
      <c r="C91" s="51"/>
      <c r="D91" s="12" t="s">
        <v>286</v>
      </c>
      <c r="E91" s="102">
        <f>'3.1. расчет фот обл (нсот2023)'!AV23</f>
        <v>69.22</v>
      </c>
      <c r="F91" s="102">
        <f>'3.1. расчет фот обл (нсот2023)'!B23</f>
        <v>99417</v>
      </c>
      <c r="G91" s="102">
        <f>'3.1. расчет фот обл (нсот2024)'!B23</f>
        <v>101594</v>
      </c>
      <c r="H91" s="102">
        <f>'3.1. расчет фот обл (нсот2025)'!B23</f>
        <v>105059</v>
      </c>
      <c r="I91" s="1318" t="s">
        <v>880</v>
      </c>
      <c r="J91" s="1319"/>
      <c r="K91" s="160"/>
    </row>
    <row r="92" spans="1:11" ht="48.75" hidden="1" customHeight="1" x14ac:dyDescent="0.25">
      <c r="A92" s="340"/>
      <c r="B92" s="174"/>
      <c r="C92" s="51"/>
      <c r="D92" s="12" t="s">
        <v>286</v>
      </c>
      <c r="E92" s="102"/>
      <c r="F92" s="102">
        <v>0</v>
      </c>
      <c r="G92" s="102">
        <v>0</v>
      </c>
      <c r="H92" s="102">
        <v>0</v>
      </c>
      <c r="I92" s="1318" t="s">
        <v>880</v>
      </c>
      <c r="J92" s="1319"/>
      <c r="K92" s="160"/>
    </row>
    <row r="93" spans="1:11" hidden="1" x14ac:dyDescent="0.25">
      <c r="A93" s="96" t="s">
        <v>431</v>
      </c>
      <c r="B93" s="181"/>
      <c r="C93" s="6"/>
      <c r="D93" s="53"/>
      <c r="E93" s="7"/>
      <c r="F93" s="95"/>
      <c r="G93" s="95"/>
      <c r="H93" s="95"/>
      <c r="I93" s="99"/>
      <c r="J93" s="100"/>
      <c r="K93" s="161"/>
    </row>
    <row r="94" spans="1:11" ht="36" hidden="1" x14ac:dyDescent="0.25">
      <c r="A94" s="12" t="s">
        <v>702</v>
      </c>
      <c r="B94" s="174" t="s">
        <v>432</v>
      </c>
      <c r="C94" s="51"/>
      <c r="D94" s="12" t="s">
        <v>251</v>
      </c>
      <c r="E94" s="13" t="s">
        <v>442</v>
      </c>
      <c r="F94" s="102">
        <v>0</v>
      </c>
      <c r="G94" s="102">
        <v>0</v>
      </c>
      <c r="H94" s="102">
        <v>0</v>
      </c>
      <c r="I94" s="342"/>
      <c r="J94" s="343"/>
      <c r="K94" s="160"/>
    </row>
    <row r="95" spans="1:11" ht="36" hidden="1" x14ac:dyDescent="0.25">
      <c r="A95" s="12" t="s">
        <v>703</v>
      </c>
      <c r="B95" s="174" t="s">
        <v>433</v>
      </c>
      <c r="C95" s="51"/>
      <c r="D95" s="12" t="s">
        <v>251</v>
      </c>
      <c r="E95" s="13" t="s">
        <v>442</v>
      </c>
      <c r="F95" s="102">
        <v>0</v>
      </c>
      <c r="G95" s="102">
        <v>0</v>
      </c>
      <c r="H95" s="102">
        <v>0</v>
      </c>
      <c r="I95" s="342"/>
      <c r="J95" s="343"/>
      <c r="K95" s="160"/>
    </row>
    <row r="96" spans="1:11" ht="24" hidden="1" x14ac:dyDescent="0.25">
      <c r="A96" s="12" t="s">
        <v>704</v>
      </c>
      <c r="B96" s="174" t="s">
        <v>434</v>
      </c>
      <c r="C96" s="51"/>
      <c r="D96" s="12" t="s">
        <v>251</v>
      </c>
      <c r="E96" s="13" t="s">
        <v>442</v>
      </c>
      <c r="F96" s="102">
        <v>0</v>
      </c>
      <c r="G96" s="102">
        <v>0</v>
      </c>
      <c r="H96" s="102">
        <v>0</v>
      </c>
      <c r="I96" s="342"/>
      <c r="J96" s="343"/>
      <c r="K96" s="160"/>
    </row>
    <row r="97" spans="1:11" s="435" customFormat="1" ht="48" hidden="1" x14ac:dyDescent="0.25">
      <c r="A97" s="641" t="s">
        <v>1407</v>
      </c>
      <c r="B97" s="174" t="s">
        <v>435</v>
      </c>
      <c r="C97" s="51"/>
      <c r="D97" s="12" t="s">
        <v>251</v>
      </c>
      <c r="E97" s="13" t="s">
        <v>442</v>
      </c>
      <c r="F97" s="102">
        <v>0</v>
      </c>
      <c r="G97" s="102">
        <v>0</v>
      </c>
      <c r="H97" s="102">
        <v>0</v>
      </c>
      <c r="I97" s="437"/>
      <c r="J97" s="438"/>
      <c r="K97" s="160"/>
    </row>
    <row r="98" spans="1:11" ht="36" hidden="1" x14ac:dyDescent="0.25">
      <c r="A98" s="12" t="s">
        <v>948</v>
      </c>
      <c r="B98" s="174" t="s">
        <v>435</v>
      </c>
      <c r="C98" s="51"/>
      <c r="D98" s="12" t="s">
        <v>251</v>
      </c>
      <c r="E98" s="13" t="s">
        <v>442</v>
      </c>
      <c r="F98" s="102">
        <v>0</v>
      </c>
      <c r="G98" s="102">
        <v>0</v>
      </c>
      <c r="H98" s="102">
        <v>0</v>
      </c>
      <c r="I98" s="342"/>
      <c r="J98" s="343"/>
      <c r="K98" s="160"/>
    </row>
    <row r="99" spans="1:11" ht="36" hidden="1" x14ac:dyDescent="0.25">
      <c r="A99" s="12" t="s">
        <v>705</v>
      </c>
      <c r="B99" s="174" t="s">
        <v>436</v>
      </c>
      <c r="C99" s="51"/>
      <c r="D99" s="12" t="s">
        <v>251</v>
      </c>
      <c r="E99" s="13" t="s">
        <v>442</v>
      </c>
      <c r="F99" s="102">
        <v>0</v>
      </c>
      <c r="G99" s="102">
        <v>0</v>
      </c>
      <c r="H99" s="102">
        <v>0</v>
      </c>
      <c r="I99" s="342"/>
      <c r="J99" s="343"/>
      <c r="K99" s="160"/>
    </row>
    <row r="100" spans="1:11" ht="36" hidden="1" x14ac:dyDescent="0.25">
      <c r="A100" s="98" t="s">
        <v>706</v>
      </c>
      <c r="B100" s="174" t="s">
        <v>437</v>
      </c>
      <c r="C100" s="51"/>
      <c r="D100" s="12" t="s">
        <v>251</v>
      </c>
      <c r="E100" s="13" t="s">
        <v>442</v>
      </c>
      <c r="F100" s="102">
        <v>0</v>
      </c>
      <c r="G100" s="102">
        <v>0</v>
      </c>
      <c r="H100" s="102">
        <v>0</v>
      </c>
      <c r="I100" s="342"/>
      <c r="J100" s="343"/>
      <c r="K100" s="160"/>
    </row>
    <row r="101" spans="1:11" ht="36" hidden="1" x14ac:dyDescent="0.25">
      <c r="A101" s="98" t="s">
        <v>707</v>
      </c>
      <c r="B101" s="174" t="s">
        <v>438</v>
      </c>
      <c r="C101" s="51"/>
      <c r="D101" s="12" t="s">
        <v>251</v>
      </c>
      <c r="E101" s="13" t="s">
        <v>442</v>
      </c>
      <c r="F101" s="102">
        <v>0</v>
      </c>
      <c r="G101" s="102">
        <v>0</v>
      </c>
      <c r="H101" s="102">
        <v>0</v>
      </c>
      <c r="I101" s="342"/>
      <c r="J101" s="343"/>
      <c r="K101" s="160"/>
    </row>
    <row r="102" spans="1:11" ht="24" hidden="1" x14ac:dyDescent="0.25">
      <c r="A102" s="98" t="s">
        <v>708</v>
      </c>
      <c r="B102" s="174" t="s">
        <v>439</v>
      </c>
      <c r="C102" s="51"/>
      <c r="D102" s="12" t="s">
        <v>251</v>
      </c>
      <c r="E102" s="13" t="s">
        <v>442</v>
      </c>
      <c r="F102" s="102">
        <v>0</v>
      </c>
      <c r="G102" s="102">
        <v>0</v>
      </c>
      <c r="H102" s="102">
        <v>0</v>
      </c>
      <c r="I102" s="342"/>
      <c r="J102" s="343"/>
      <c r="K102" s="160"/>
    </row>
    <row r="103" spans="1:11" s="435" customFormat="1" ht="48" hidden="1" x14ac:dyDescent="0.25">
      <c r="A103" s="643" t="s">
        <v>1409</v>
      </c>
      <c r="B103" s="174" t="s">
        <v>440</v>
      </c>
      <c r="C103" s="51"/>
      <c r="D103" s="12" t="s">
        <v>251</v>
      </c>
      <c r="E103" s="13" t="s">
        <v>442</v>
      </c>
      <c r="F103" s="102">
        <v>0</v>
      </c>
      <c r="G103" s="102">
        <v>0</v>
      </c>
      <c r="H103" s="102">
        <v>0</v>
      </c>
      <c r="I103" s="437"/>
      <c r="J103" s="438"/>
      <c r="K103" s="160"/>
    </row>
    <row r="104" spans="1:11" ht="36" hidden="1" x14ac:dyDescent="0.25">
      <c r="A104" s="98" t="s">
        <v>949</v>
      </c>
      <c r="B104" s="174" t="s">
        <v>440</v>
      </c>
      <c r="C104" s="51"/>
      <c r="D104" s="12" t="s">
        <v>251</v>
      </c>
      <c r="E104" s="13" t="s">
        <v>442</v>
      </c>
      <c r="F104" s="102">
        <v>0</v>
      </c>
      <c r="G104" s="102">
        <v>0</v>
      </c>
      <c r="H104" s="102">
        <v>0</v>
      </c>
      <c r="I104" s="342"/>
      <c r="J104" s="343"/>
      <c r="K104" s="160"/>
    </row>
    <row r="105" spans="1:11" ht="36" hidden="1" x14ac:dyDescent="0.25">
      <c r="A105" s="98" t="s">
        <v>709</v>
      </c>
      <c r="B105" s="174" t="s">
        <v>441</v>
      </c>
      <c r="C105" s="51"/>
      <c r="D105" s="12" t="s">
        <v>251</v>
      </c>
      <c r="E105" s="13" t="s">
        <v>442</v>
      </c>
      <c r="F105" s="102">
        <v>0</v>
      </c>
      <c r="G105" s="102">
        <v>0</v>
      </c>
      <c r="H105" s="102">
        <v>0</v>
      </c>
      <c r="I105" s="342"/>
      <c r="J105" s="343"/>
      <c r="K105" s="160"/>
    </row>
    <row r="106" spans="1:11" ht="108" customHeight="1" x14ac:dyDescent="0.25">
      <c r="A106" s="96" t="s">
        <v>624</v>
      </c>
      <c r="B106" s="181"/>
      <c r="C106" s="6"/>
      <c r="D106" s="53" t="s">
        <v>218</v>
      </c>
      <c r="E106" s="7"/>
      <c r="F106" s="95"/>
      <c r="G106" s="95"/>
      <c r="H106" s="95"/>
      <c r="I106" s="99"/>
      <c r="J106" s="100"/>
      <c r="K106" s="161"/>
    </row>
    <row r="107" spans="1:11" ht="18" customHeight="1" x14ac:dyDescent="0.25">
      <c r="A107" s="12" t="s">
        <v>609</v>
      </c>
      <c r="B107" s="174" t="s">
        <v>617</v>
      </c>
      <c r="C107" s="51"/>
      <c r="D107" s="12" t="s">
        <v>286</v>
      </c>
      <c r="E107" s="102">
        <f>'3.5. Норматив фот обл 2023'!AX12</f>
        <v>20.04</v>
      </c>
      <c r="F107" s="102">
        <f>'3.5. Норматив фот обл 2023'!B12</f>
        <v>90364</v>
      </c>
      <c r="G107" s="102">
        <f>'3.5. Норматив фот обл 2024'!B12</f>
        <v>92251</v>
      </c>
      <c r="H107" s="102">
        <f>'3.5. Норматив фот обл 2025'!B12</f>
        <v>93907</v>
      </c>
      <c r="I107" s="1320" t="s">
        <v>887</v>
      </c>
      <c r="J107" s="1321"/>
      <c r="K107" s="160"/>
    </row>
    <row r="108" spans="1:11" ht="48.75" hidden="1" customHeight="1" x14ac:dyDescent="0.25">
      <c r="A108" s="92" t="s">
        <v>610</v>
      </c>
      <c r="B108" s="174"/>
      <c r="C108" s="51"/>
      <c r="D108" s="12" t="s">
        <v>286</v>
      </c>
      <c r="E108" s="102">
        <f>'3.5. Норматив фот обл 2023'!AX13</f>
        <v>20.04</v>
      </c>
      <c r="F108" s="102">
        <f>'3.5. Норматив фот обл 2023'!B13</f>
        <v>0</v>
      </c>
      <c r="G108" s="102">
        <f>'3.5. Норматив фот обл 2024'!B13</f>
        <v>0</v>
      </c>
      <c r="H108" s="102">
        <f>'3.5. Норматив фот обл 2025'!B13</f>
        <v>0</v>
      </c>
      <c r="I108" s="1320" t="s">
        <v>887</v>
      </c>
      <c r="J108" s="1321"/>
      <c r="K108" s="160"/>
    </row>
    <row r="109" spans="1:11" ht="40.5" customHeight="1" x14ac:dyDescent="0.25">
      <c r="A109" s="12" t="s">
        <v>625</v>
      </c>
      <c r="B109" s="174" t="s">
        <v>978</v>
      </c>
      <c r="C109" s="51"/>
      <c r="D109" s="12" t="s">
        <v>286</v>
      </c>
      <c r="E109" s="102">
        <f>'3.5. Норматив фот обл 2023'!AX14</f>
        <v>52</v>
      </c>
      <c r="F109" s="102">
        <f>'3.5. Норматив фот обл 2023'!B14</f>
        <v>242348</v>
      </c>
      <c r="G109" s="102">
        <f>'3.5. Норматив фот обл 2024'!B14</f>
        <v>247681</v>
      </c>
      <c r="H109" s="102">
        <f>'3.5. Норматив фот обл 2025'!B14</f>
        <v>252340</v>
      </c>
      <c r="I109" s="1320" t="s">
        <v>887</v>
      </c>
      <c r="J109" s="1321"/>
      <c r="K109" s="160"/>
    </row>
    <row r="110" spans="1:11" ht="30" customHeight="1" x14ac:dyDescent="0.25">
      <c r="A110" s="12" t="s">
        <v>626</v>
      </c>
      <c r="B110" s="174" t="s">
        <v>618</v>
      </c>
      <c r="C110" s="51"/>
      <c r="D110" s="12" t="s">
        <v>286</v>
      </c>
      <c r="E110" s="102">
        <f>'3.5. Норматив фот обл 2023'!AX15</f>
        <v>701.48</v>
      </c>
      <c r="F110" s="102">
        <f>'3.5. Норматив фот обл 2023'!B15</f>
        <v>885302</v>
      </c>
      <c r="G110" s="102">
        <f>'3.5. Норматив фот обл 2024'!B15</f>
        <v>934500</v>
      </c>
      <c r="H110" s="102">
        <f>'3.5. Норматив фот обл 2025'!B15</f>
        <v>958350</v>
      </c>
      <c r="I110" s="1320" t="s">
        <v>887</v>
      </c>
      <c r="J110" s="1321"/>
      <c r="K110" s="160"/>
    </row>
    <row r="111" spans="1:11" ht="51" hidden="1" customHeight="1" x14ac:dyDescent="0.25">
      <c r="A111" s="92" t="s">
        <v>639</v>
      </c>
      <c r="B111" s="174"/>
      <c r="C111" s="51"/>
      <c r="D111" s="12" t="s">
        <v>286</v>
      </c>
      <c r="E111" s="102">
        <f>'3.5. Норматив фот обл 2023'!AX16</f>
        <v>1210.3</v>
      </c>
      <c r="F111" s="102">
        <f>'3.5. Норматив фот обл 2023'!B16</f>
        <v>0</v>
      </c>
      <c r="G111" s="102">
        <f>'3.5. Норматив фот обл 2024'!B16</f>
        <v>0</v>
      </c>
      <c r="H111" s="102">
        <f>'3.5. Норматив фот обл 2025'!B16</f>
        <v>0</v>
      </c>
      <c r="I111" s="1320" t="s">
        <v>887</v>
      </c>
      <c r="J111" s="1321"/>
      <c r="K111" s="160"/>
    </row>
    <row r="112" spans="1:11" ht="39" customHeight="1" x14ac:dyDescent="0.25">
      <c r="A112" s="12" t="s">
        <v>627</v>
      </c>
      <c r="B112" s="174" t="s">
        <v>619</v>
      </c>
      <c r="C112" s="51"/>
      <c r="D112" s="12" t="s">
        <v>286</v>
      </c>
      <c r="E112" s="102">
        <f>'3.5. Норматив фот обл 2023'!AX17</f>
        <v>20.8</v>
      </c>
      <c r="F112" s="102">
        <f>'3.5. Норматив фот обл 2023'!B17</f>
        <v>94817</v>
      </c>
      <c r="G112" s="102">
        <f>'3.5. Норматив фот обл 2024'!B17</f>
        <v>96885</v>
      </c>
      <c r="H112" s="102">
        <f>'3.5. Норматив фот обл 2025'!B17</f>
        <v>98690</v>
      </c>
      <c r="I112" s="1320" t="s">
        <v>961</v>
      </c>
      <c r="J112" s="1321"/>
      <c r="K112" s="160"/>
    </row>
    <row r="113" spans="1:11" ht="48.75" hidden="1" customHeight="1" x14ac:dyDescent="0.25">
      <c r="A113" s="92" t="s">
        <v>608</v>
      </c>
      <c r="B113" s="174"/>
      <c r="C113" s="51"/>
      <c r="D113" s="12" t="s">
        <v>286</v>
      </c>
      <c r="E113" s="102">
        <f>'3.5. Норматив фот обл 2023'!AX18</f>
        <v>0</v>
      </c>
      <c r="F113" s="102">
        <f>'3.5. Норматив фот обл 2023'!B18</f>
        <v>0</v>
      </c>
      <c r="G113" s="102">
        <f>'3.5. Норматив фот обл 2024'!B18</f>
        <v>0</v>
      </c>
      <c r="H113" s="102">
        <f>'3.5. Норматив фот обл 2025'!B18</f>
        <v>0</v>
      </c>
      <c r="I113" s="1320" t="s">
        <v>887</v>
      </c>
      <c r="J113" s="1321"/>
      <c r="K113" s="160"/>
    </row>
    <row r="114" spans="1:11" ht="48.75" hidden="1" customHeight="1" x14ac:dyDescent="0.25">
      <c r="A114" s="92" t="s">
        <v>611</v>
      </c>
      <c r="B114" s="174"/>
      <c r="C114" s="51"/>
      <c r="D114" s="12" t="s">
        <v>286</v>
      </c>
      <c r="E114" s="102">
        <f>'3.5. Норматив фот обл 2023'!AX19</f>
        <v>0</v>
      </c>
      <c r="F114" s="102">
        <f>'3.5. Норматив фот обл 2023'!B19</f>
        <v>0</v>
      </c>
      <c r="G114" s="102">
        <f>'3.5. Норматив фот обл 2024'!B19</f>
        <v>0</v>
      </c>
      <c r="H114" s="102">
        <f>'3.5. Норматив фот обл 2025'!B19</f>
        <v>0</v>
      </c>
      <c r="I114" s="1320" t="s">
        <v>887</v>
      </c>
      <c r="J114" s="1321"/>
      <c r="K114" s="160"/>
    </row>
    <row r="115" spans="1:11" ht="108" customHeight="1" x14ac:dyDescent="0.25">
      <c r="A115" s="96" t="s">
        <v>603</v>
      </c>
      <c r="B115" s="181"/>
      <c r="C115" s="6"/>
      <c r="D115" s="53" t="s">
        <v>218</v>
      </c>
      <c r="E115" s="7"/>
      <c r="F115" s="95"/>
      <c r="G115" s="95"/>
      <c r="H115" s="95"/>
      <c r="I115" s="99"/>
      <c r="J115" s="100"/>
      <c r="K115" s="161"/>
    </row>
    <row r="116" spans="1:11" ht="17.25" customHeight="1" x14ac:dyDescent="0.25">
      <c r="A116" s="12" t="s">
        <v>609</v>
      </c>
      <c r="B116" s="174" t="s">
        <v>604</v>
      </c>
      <c r="C116" s="51"/>
      <c r="D116" s="12" t="s">
        <v>286</v>
      </c>
      <c r="E116" s="102">
        <f>'3.5. Норматив фот обл 2023'!AX21</f>
        <v>25.09</v>
      </c>
      <c r="F116" s="102">
        <f>'3.5. Норматив фот обл 2023'!B21</f>
        <v>97921</v>
      </c>
      <c r="G116" s="102">
        <f>'3.5. Норматив фот обл 2024'!B21</f>
        <v>100311</v>
      </c>
      <c r="H116" s="102">
        <f>'3.5. Норматив фот обл 2025'!B21</f>
        <v>101923</v>
      </c>
      <c r="I116" s="1318" t="s">
        <v>887</v>
      </c>
      <c r="J116" s="1319"/>
      <c r="K116" s="160"/>
    </row>
    <row r="117" spans="1:11" ht="48.75" hidden="1" customHeight="1" x14ac:dyDescent="0.25">
      <c r="A117" s="92" t="s">
        <v>610</v>
      </c>
      <c r="B117" s="174"/>
      <c r="C117" s="51"/>
      <c r="D117" s="12" t="s">
        <v>286</v>
      </c>
      <c r="E117" s="102">
        <f>'3.5. Норматив фот обл 2023'!AX22</f>
        <v>25.09</v>
      </c>
      <c r="F117" s="102">
        <f>'3.5. Норматив фот обл 2023'!B22</f>
        <v>0</v>
      </c>
      <c r="G117" s="102">
        <f>'3.5. Норматив фот обл 2024'!B22</f>
        <v>0</v>
      </c>
      <c r="H117" s="102">
        <f>'3.5. Норматив фот обл 2025'!B22</f>
        <v>0</v>
      </c>
      <c r="I117" s="1318" t="s">
        <v>887</v>
      </c>
      <c r="J117" s="1319"/>
      <c r="K117" s="160"/>
    </row>
    <row r="118" spans="1:11" ht="38.25" customHeight="1" x14ac:dyDescent="0.25">
      <c r="A118" s="12" t="s">
        <v>625</v>
      </c>
      <c r="B118" s="174" t="s">
        <v>605</v>
      </c>
      <c r="C118" s="51"/>
      <c r="D118" s="12" t="s">
        <v>286</v>
      </c>
      <c r="E118" s="102">
        <f>'3.5. Норматив фот обл 2023'!AX23</f>
        <v>64.650000000000006</v>
      </c>
      <c r="F118" s="102">
        <f>'3.5. Норматив фот обл 2023'!B23</f>
        <v>258312</v>
      </c>
      <c r="G118" s="102">
        <f>'3.5. Норматив фот обл 2024'!B23</f>
        <v>264888</v>
      </c>
      <c r="H118" s="102">
        <f>'3.5. Норматив фот обл 2025'!B23</f>
        <v>269329</v>
      </c>
      <c r="I118" s="1318" t="s">
        <v>887</v>
      </c>
      <c r="J118" s="1319"/>
      <c r="K118" s="160"/>
    </row>
    <row r="119" spans="1:11" ht="50.25" hidden="1" customHeight="1" x14ac:dyDescent="0.25">
      <c r="A119" s="92" t="s">
        <v>639</v>
      </c>
      <c r="B119" s="174"/>
      <c r="C119" s="51"/>
      <c r="D119" s="12" t="s">
        <v>286</v>
      </c>
      <c r="E119" s="102">
        <f>'3.5. Норматив фот обл 2023'!AX24</f>
        <v>1318.98</v>
      </c>
      <c r="F119" s="102">
        <f>'3.5. Норматив фот обл 2023'!B24</f>
        <v>0</v>
      </c>
      <c r="G119" s="102">
        <f>'3.5. Норматив фот обл 2024'!B24</f>
        <v>0</v>
      </c>
      <c r="H119" s="102">
        <f>'3.5. Норматив фот обл 2025'!B24</f>
        <v>0</v>
      </c>
      <c r="I119" s="1318" t="s">
        <v>887</v>
      </c>
      <c r="J119" s="1319"/>
      <c r="K119" s="160"/>
    </row>
    <row r="120" spans="1:11" ht="29.25" customHeight="1" x14ac:dyDescent="0.25">
      <c r="A120" s="12" t="s">
        <v>626</v>
      </c>
      <c r="B120" s="174" t="s">
        <v>606</v>
      </c>
      <c r="C120" s="51"/>
      <c r="D120" s="12" t="s">
        <v>286</v>
      </c>
      <c r="E120" s="102">
        <f>'3.5. Норматив фот обл 2023'!AX25</f>
        <v>810.16</v>
      </c>
      <c r="F120" s="102">
        <f>'3.5. Норматив фот обл 2023'!B25</f>
        <v>1001434</v>
      </c>
      <c r="G120" s="102">
        <f>'3.5. Норматив фот обл 2024'!B25</f>
        <v>1057055</v>
      </c>
      <c r="H120" s="102">
        <f>'3.5. Норматив фот обл 2025'!B25</f>
        <v>1083607</v>
      </c>
      <c r="I120" s="1318" t="s">
        <v>887</v>
      </c>
      <c r="J120" s="1319"/>
      <c r="K120" s="160"/>
    </row>
    <row r="121" spans="1:11" ht="39" customHeight="1" x14ac:dyDescent="0.25">
      <c r="A121" s="12" t="s">
        <v>627</v>
      </c>
      <c r="B121" s="174" t="s">
        <v>607</v>
      </c>
      <c r="C121" s="51"/>
      <c r="D121" s="12" t="s">
        <v>286</v>
      </c>
      <c r="E121" s="102">
        <f>'3.5. Норматив фот обл 2023'!AX26</f>
        <v>25.86</v>
      </c>
      <c r="F121" s="102">
        <f>'3.5. Норматив фот обл 2023'!B26</f>
        <v>103325</v>
      </c>
      <c r="G121" s="102">
        <f>'3.5. Норматив фот обл 2024'!B26</f>
        <v>105955</v>
      </c>
      <c r="H121" s="102">
        <f>'3.5. Норматив фот обл 2025'!B26</f>
        <v>107732</v>
      </c>
      <c r="I121" s="1320" t="s">
        <v>961</v>
      </c>
      <c r="J121" s="1321"/>
      <c r="K121" s="160"/>
    </row>
    <row r="122" spans="1:11" ht="18.75" customHeight="1" x14ac:dyDescent="0.25">
      <c r="A122" s="174" t="s">
        <v>608</v>
      </c>
      <c r="B122" s="174" t="s">
        <v>979</v>
      </c>
      <c r="C122" s="51"/>
      <c r="D122" s="12" t="s">
        <v>286</v>
      </c>
      <c r="E122" s="102">
        <f>'3.5. Норматив фот обл 2023'!AX27</f>
        <v>26.89</v>
      </c>
      <c r="F122" s="102">
        <f>'3.5. Норматив фот обл 2023'!B27</f>
        <v>59772</v>
      </c>
      <c r="G122" s="102">
        <f>'3.5. Норматив фот обл 2024'!B27</f>
        <v>61476</v>
      </c>
      <c r="H122" s="102">
        <f>'3.5. Норматив фот обл 2025'!B27</f>
        <v>62639</v>
      </c>
      <c r="I122" s="1318" t="s">
        <v>887</v>
      </c>
      <c r="J122" s="1319"/>
      <c r="K122" s="160"/>
    </row>
    <row r="123" spans="1:11" ht="16.5" customHeight="1" x14ac:dyDescent="0.25">
      <c r="A123" s="174" t="s">
        <v>611</v>
      </c>
      <c r="B123" s="174" t="s">
        <v>2233</v>
      </c>
      <c r="C123" s="51"/>
      <c r="D123" s="12" t="s">
        <v>286</v>
      </c>
      <c r="E123" s="102">
        <f>'3.5. Норматив фот обл 2023'!AX28</f>
        <v>21.23</v>
      </c>
      <c r="F123" s="102">
        <f>'3.5. Норматив фот обл 2023'!B28</f>
        <v>40547</v>
      </c>
      <c r="G123" s="102">
        <f>'3.5. Норматив фот обл 2024'!B28</f>
        <v>41599</v>
      </c>
      <c r="H123" s="102">
        <f>'3.5. Норматив фот обл 2025'!B28</f>
        <v>42502</v>
      </c>
      <c r="I123" s="1318" t="s">
        <v>887</v>
      </c>
      <c r="J123" s="1319"/>
      <c r="K123" s="160"/>
    </row>
    <row r="124" spans="1:11" ht="108" customHeight="1" x14ac:dyDescent="0.25">
      <c r="A124" s="96" t="s">
        <v>620</v>
      </c>
      <c r="B124" s="181"/>
      <c r="C124" s="6"/>
      <c r="D124" s="53" t="s">
        <v>218</v>
      </c>
      <c r="E124" s="7"/>
      <c r="F124" s="95"/>
      <c r="G124" s="95"/>
      <c r="H124" s="95"/>
      <c r="I124" s="99"/>
      <c r="J124" s="100"/>
      <c r="K124" s="161"/>
    </row>
    <row r="125" spans="1:11" ht="17.25" customHeight="1" x14ac:dyDescent="0.25">
      <c r="A125" s="12" t="s">
        <v>609</v>
      </c>
      <c r="B125" s="174" t="s">
        <v>621</v>
      </c>
      <c r="C125" s="51"/>
      <c r="D125" s="12" t="s">
        <v>286</v>
      </c>
      <c r="E125" s="102">
        <f>'3.5. Норматив фот обл 2023'!AX30</f>
        <v>13.65</v>
      </c>
      <c r="F125" s="102">
        <f>'3.5. Норматив фот обл 2023'!B30</f>
        <v>155299</v>
      </c>
      <c r="G125" s="102">
        <f>'3.5. Норматив фот обл 2024'!B30</f>
        <v>160484</v>
      </c>
      <c r="H125" s="102">
        <f>'3.5. Норматив фот обл 2025'!B30</f>
        <v>164156</v>
      </c>
      <c r="I125" s="1318" t="s">
        <v>887</v>
      </c>
      <c r="J125" s="1319"/>
      <c r="K125" s="160"/>
    </row>
    <row r="126" spans="1:11" ht="48.75" hidden="1" customHeight="1" x14ac:dyDescent="0.25">
      <c r="A126" s="92" t="s">
        <v>610</v>
      </c>
      <c r="B126" s="174"/>
      <c r="C126" s="51"/>
      <c r="D126" s="12" t="s">
        <v>286</v>
      </c>
      <c r="E126" s="102">
        <f>'3.5. Норматив фот обл 2023'!AX31</f>
        <v>13.65</v>
      </c>
      <c r="F126" s="102">
        <f>'3.5. Норматив фот обл 2023'!B31</f>
        <v>0</v>
      </c>
      <c r="G126" s="102">
        <f>'3.5. Норматив фот обл 2024'!B31</f>
        <v>0</v>
      </c>
      <c r="H126" s="102">
        <f>'3.5. Норматив фот обл 2025'!B31</f>
        <v>0</v>
      </c>
      <c r="I126" s="1318" t="s">
        <v>887</v>
      </c>
      <c r="J126" s="1319"/>
      <c r="K126" s="160"/>
    </row>
    <row r="127" spans="1:11" ht="50.25" hidden="1" customHeight="1" x14ac:dyDescent="0.25">
      <c r="A127" s="92" t="s">
        <v>625</v>
      </c>
      <c r="B127" s="174"/>
      <c r="C127" s="51"/>
      <c r="D127" s="12" t="s">
        <v>286</v>
      </c>
      <c r="E127" s="102">
        <f>'3.5. Норматив фот обл 2023'!AX32</f>
        <v>36.04</v>
      </c>
      <c r="F127" s="102">
        <f>'3.5. Норматив фот обл 2023'!B32</f>
        <v>0</v>
      </c>
      <c r="G127" s="102">
        <f>'3.5. Норматив фот обл 2024'!B32</f>
        <v>0</v>
      </c>
      <c r="H127" s="102">
        <f>'3.5. Норматив фот обл 2025'!B32</f>
        <v>0</v>
      </c>
      <c r="I127" s="1318" t="s">
        <v>887</v>
      </c>
      <c r="J127" s="1319"/>
      <c r="K127" s="160"/>
    </row>
    <row r="128" spans="1:11" ht="50.25" hidden="1" customHeight="1" x14ac:dyDescent="0.25">
      <c r="A128" s="92" t="s">
        <v>639</v>
      </c>
      <c r="B128" s="174"/>
      <c r="C128" s="51"/>
      <c r="D128" s="12" t="s">
        <v>286</v>
      </c>
      <c r="E128" s="102">
        <f>'3.5. Норматив фот обл 2023'!AX33</f>
        <v>1373.32</v>
      </c>
      <c r="F128" s="102">
        <f>'3.5. Норматив фот обл 2023'!B33</f>
        <v>0</v>
      </c>
      <c r="G128" s="102">
        <f>'3.5. Норматив фот обл 2024'!B33</f>
        <v>0</v>
      </c>
      <c r="H128" s="102">
        <f>'3.5. Норматив фот обл 2025'!B33</f>
        <v>0</v>
      </c>
      <c r="I128" s="1318" t="s">
        <v>887</v>
      </c>
      <c r="J128" s="1319"/>
      <c r="K128" s="160"/>
    </row>
    <row r="129" spans="1:11" ht="30" customHeight="1" x14ac:dyDescent="0.25">
      <c r="A129" s="12" t="s">
        <v>626</v>
      </c>
      <c r="B129" s="174" t="s">
        <v>980</v>
      </c>
      <c r="C129" s="51"/>
      <c r="D129" s="12" t="s">
        <v>286</v>
      </c>
      <c r="E129" s="102">
        <f>'3.5. Норматив фот обл 2023'!AX34</f>
        <v>864.5</v>
      </c>
      <c r="F129" s="102">
        <f>'3.5. Норматив фот обл 2023'!B34</f>
        <v>1016678</v>
      </c>
      <c r="G129" s="102">
        <f>'3.5. Норматив фот обл 2024'!B34</f>
        <v>1073146</v>
      </c>
      <c r="H129" s="102">
        <f>'3.5. Норматив фот обл 2025'!B34</f>
        <v>1116063</v>
      </c>
      <c r="I129" s="1318" t="s">
        <v>887</v>
      </c>
      <c r="J129" s="1319"/>
      <c r="K129" s="160"/>
    </row>
    <row r="130" spans="1:11" ht="38.25" customHeight="1" x14ac:dyDescent="0.25">
      <c r="A130" s="12" t="s">
        <v>627</v>
      </c>
      <c r="B130" s="174" t="s">
        <v>622</v>
      </c>
      <c r="C130" s="51"/>
      <c r="D130" s="12" t="s">
        <v>286</v>
      </c>
      <c r="E130" s="102">
        <f>'3.5. Норматив фот обл 2023'!AX35</f>
        <v>14.42</v>
      </c>
      <c r="F130" s="102">
        <f>'3.5. Норматив фот обл 2023'!B35</f>
        <v>172175</v>
      </c>
      <c r="G130" s="102">
        <f>'3.5. Норматив фот обл 2024'!B35</f>
        <v>178180</v>
      </c>
      <c r="H130" s="102">
        <f>'3.5. Норматив фот обл 2025'!B35</f>
        <v>182437</v>
      </c>
      <c r="I130" s="1320" t="s">
        <v>961</v>
      </c>
      <c r="J130" s="1321"/>
      <c r="K130" s="160"/>
    </row>
    <row r="131" spans="1:11" ht="18" customHeight="1" x14ac:dyDescent="0.25">
      <c r="A131" s="174" t="s">
        <v>608</v>
      </c>
      <c r="B131" s="174" t="s">
        <v>623</v>
      </c>
      <c r="C131" s="51"/>
      <c r="D131" s="12" t="s">
        <v>286</v>
      </c>
      <c r="E131" s="102">
        <f>'3.5. Норматив фот обл 2023'!AX36</f>
        <v>15.95</v>
      </c>
      <c r="F131" s="102">
        <f>'3.5. Норматив фот обл 2023'!B36</f>
        <v>99630</v>
      </c>
      <c r="G131" s="102">
        <f>'3.5. Норматив фот обл 2024'!B36</f>
        <v>103518</v>
      </c>
      <c r="H131" s="102">
        <f>'3.5. Норматив фот обл 2025'!B36</f>
        <v>106300</v>
      </c>
      <c r="I131" s="1318" t="s">
        <v>887</v>
      </c>
      <c r="J131" s="1319"/>
      <c r="K131" s="160"/>
    </row>
    <row r="132" spans="1:11" ht="48.75" hidden="1" customHeight="1" x14ac:dyDescent="0.25">
      <c r="A132" s="92" t="s">
        <v>611</v>
      </c>
      <c r="B132" s="174"/>
      <c r="C132" s="51"/>
      <c r="D132" s="12" t="s">
        <v>286</v>
      </c>
      <c r="E132" s="102">
        <f>'3.5. Норматив фот обл 2023'!AX37</f>
        <v>15.17</v>
      </c>
      <c r="F132" s="102">
        <f>'3.5. Норматив фот обл 2023'!B37</f>
        <v>68407</v>
      </c>
      <c r="G132" s="102">
        <f>'3.5. Норматив фот обл 2024'!B37</f>
        <v>71531</v>
      </c>
      <c r="H132" s="102">
        <f>'3.5. Норматив фот обл 2025'!B37</f>
        <v>73525</v>
      </c>
      <c r="I132" s="1318" t="s">
        <v>887</v>
      </c>
      <c r="J132" s="1319"/>
      <c r="K132" s="160"/>
    </row>
    <row r="133" spans="1:11" ht="24" x14ac:dyDescent="0.25">
      <c r="A133" s="96" t="s">
        <v>601</v>
      </c>
      <c r="B133" s="181"/>
      <c r="C133" s="6"/>
      <c r="D133" s="53"/>
      <c r="E133" s="7"/>
      <c r="F133" s="95"/>
      <c r="G133" s="95"/>
      <c r="H133" s="95"/>
      <c r="I133" s="99"/>
      <c r="J133" s="100"/>
      <c r="K133" s="161"/>
    </row>
    <row r="134" spans="1:11" ht="15" customHeight="1" x14ac:dyDescent="0.25">
      <c r="A134" s="12" t="s">
        <v>456</v>
      </c>
      <c r="B134" s="174" t="s">
        <v>648</v>
      </c>
      <c r="C134" s="51"/>
      <c r="D134" s="12" t="s">
        <v>286</v>
      </c>
      <c r="E134" s="102">
        <f>'3.6.Норматив обл 2023-2025 доп'!W38</f>
        <v>2.29</v>
      </c>
      <c r="F134" s="102">
        <f>'3.6.Норматив обл 2023-2025 доп'!B38</f>
        <v>38.85</v>
      </c>
      <c r="G134" s="102">
        <f>'3.6.Норматив обл 2023-2025 доп'!I38</f>
        <v>41</v>
      </c>
      <c r="H134" s="102">
        <f>'3.6.Норматив обл 2023-2025 доп'!P38</f>
        <v>42.64</v>
      </c>
      <c r="I134" s="1318" t="s">
        <v>885</v>
      </c>
      <c r="J134" s="1319"/>
      <c r="K134" s="160"/>
    </row>
    <row r="135" spans="1:11" ht="15" customHeight="1" x14ac:dyDescent="0.25">
      <c r="A135" s="12" t="s">
        <v>457</v>
      </c>
      <c r="B135" s="174" t="s">
        <v>649</v>
      </c>
      <c r="C135" s="51"/>
      <c r="D135" s="12" t="s">
        <v>286</v>
      </c>
      <c r="E135" s="102">
        <f>'3.6.Норматив обл 2023-2025 доп'!W39</f>
        <v>2.29</v>
      </c>
      <c r="F135" s="102">
        <f>'3.6.Норматив обл 2023-2025 доп'!B39</f>
        <v>38.85</v>
      </c>
      <c r="G135" s="102">
        <f>'3.6.Норматив обл 2023-2025 доп'!I39</f>
        <v>41</v>
      </c>
      <c r="H135" s="102">
        <f>'3.6.Норматив обл 2023-2025 доп'!P39</f>
        <v>42.64</v>
      </c>
      <c r="I135" s="1318" t="s">
        <v>885</v>
      </c>
      <c r="J135" s="1319"/>
      <c r="K135" s="160"/>
    </row>
    <row r="136" spans="1:11" ht="15" customHeight="1" x14ac:dyDescent="0.25">
      <c r="A136" s="12" t="s">
        <v>471</v>
      </c>
      <c r="B136" s="174" t="s">
        <v>650</v>
      </c>
      <c r="C136" s="51"/>
      <c r="D136" s="12" t="s">
        <v>286</v>
      </c>
      <c r="E136" s="102">
        <f>'3.6.Норматив обл 2023-2025 доп'!W40</f>
        <v>1.96</v>
      </c>
      <c r="F136" s="102">
        <f>'3.6.Норматив обл 2023-2025 доп'!B40</f>
        <v>33.29</v>
      </c>
      <c r="G136" s="102">
        <f>'3.6.Норматив обл 2023-2025 доп'!I40</f>
        <v>35.14</v>
      </c>
      <c r="H136" s="102">
        <f>'3.6.Норматив обл 2023-2025 доп'!P40</f>
        <v>36.56</v>
      </c>
      <c r="I136" s="1318" t="s">
        <v>885</v>
      </c>
      <c r="J136" s="1319"/>
      <c r="K136" s="160"/>
    </row>
    <row r="137" spans="1:11" ht="15" customHeight="1" x14ac:dyDescent="0.25">
      <c r="A137" s="12" t="s">
        <v>458</v>
      </c>
      <c r="B137" s="174" t="s">
        <v>651</v>
      </c>
      <c r="C137" s="51"/>
      <c r="D137" s="12" t="s">
        <v>286</v>
      </c>
      <c r="E137" s="102">
        <f>'3.6.Норматив обл 2023-2025 доп'!W41</f>
        <v>2.29</v>
      </c>
      <c r="F137" s="102">
        <f>'3.6.Норматив обл 2023-2025 доп'!B41</f>
        <v>38.85</v>
      </c>
      <c r="G137" s="102">
        <f>'3.6.Норматив обл 2023-2025 доп'!I41</f>
        <v>41</v>
      </c>
      <c r="H137" s="102">
        <f>'3.6.Норматив обл 2023-2025 доп'!P41</f>
        <v>42.64</v>
      </c>
      <c r="I137" s="1318" t="s">
        <v>885</v>
      </c>
      <c r="J137" s="1319"/>
      <c r="K137" s="160"/>
    </row>
    <row r="138" spans="1:11" ht="15" customHeight="1" x14ac:dyDescent="0.25">
      <c r="A138" s="12" t="s">
        <v>459</v>
      </c>
      <c r="B138" s="174" t="s">
        <v>652</v>
      </c>
      <c r="C138" s="51"/>
      <c r="D138" s="12" t="s">
        <v>286</v>
      </c>
      <c r="E138" s="102">
        <f>'3.6.Норматив обл 2023-2025 доп'!W42</f>
        <v>2.29</v>
      </c>
      <c r="F138" s="102">
        <f>'3.6.Норматив обл 2023-2025 доп'!B42</f>
        <v>38.85</v>
      </c>
      <c r="G138" s="102">
        <f>'3.6.Норматив обл 2023-2025 доп'!I42</f>
        <v>41</v>
      </c>
      <c r="H138" s="102">
        <f>'3.6.Норматив обл 2023-2025 доп'!P42</f>
        <v>42.64</v>
      </c>
      <c r="I138" s="1318" t="s">
        <v>885</v>
      </c>
      <c r="J138" s="1319"/>
      <c r="K138" s="160"/>
    </row>
    <row r="139" spans="1:11" ht="21" customHeight="1" x14ac:dyDescent="0.25">
      <c r="A139" s="12" t="s">
        <v>460</v>
      </c>
      <c r="B139" s="174" t="s">
        <v>653</v>
      </c>
      <c r="C139" s="51"/>
      <c r="D139" s="12" t="s">
        <v>286</v>
      </c>
      <c r="E139" s="102">
        <f>'3.6.Норматив обл 2023-2025 доп'!W43</f>
        <v>2.29</v>
      </c>
      <c r="F139" s="102">
        <f>'3.6.Норматив обл 2023-2025 доп'!B43</f>
        <v>38.85</v>
      </c>
      <c r="G139" s="102">
        <f>'3.6.Норматив обл 2023-2025 доп'!I43</f>
        <v>41</v>
      </c>
      <c r="H139" s="102">
        <f>'3.6.Норматив обл 2023-2025 доп'!P43</f>
        <v>42.64</v>
      </c>
      <c r="I139" s="1318" t="s">
        <v>885</v>
      </c>
      <c r="J139" s="1319"/>
      <c r="K139" s="160"/>
    </row>
    <row r="140" spans="1:11" x14ac:dyDescent="0.25">
      <c r="A140" s="7"/>
      <c r="B140" s="181"/>
      <c r="C140" s="15" t="s">
        <v>30</v>
      </c>
      <c r="D140" s="16" t="s">
        <v>217</v>
      </c>
      <c r="E140" s="7"/>
      <c r="F140" s="95"/>
      <c r="G140" s="95"/>
      <c r="H140" s="95"/>
      <c r="I140" s="99"/>
      <c r="J140" s="100"/>
      <c r="K140" s="161"/>
    </row>
    <row r="141" spans="1:11" ht="36" x14ac:dyDescent="0.25">
      <c r="A141" s="96" t="s">
        <v>426</v>
      </c>
      <c r="B141" s="181"/>
      <c r="C141" s="15"/>
      <c r="D141" s="16"/>
      <c r="E141" s="7"/>
      <c r="F141" s="95"/>
      <c r="G141" s="95"/>
      <c r="H141" s="95"/>
      <c r="I141" s="99"/>
      <c r="J141" s="100"/>
      <c r="K141" s="161"/>
    </row>
    <row r="142" spans="1:11" ht="36" x14ac:dyDescent="0.25">
      <c r="A142" s="174" t="s">
        <v>421</v>
      </c>
      <c r="B142" s="174" t="s">
        <v>427</v>
      </c>
      <c r="C142" s="51"/>
      <c r="D142" s="12" t="s">
        <v>265</v>
      </c>
      <c r="E142" s="12"/>
      <c r="F142" s="97">
        <f t="shared" ref="F142:H155" si="6">F205+F268</f>
        <v>5590</v>
      </c>
      <c r="G142" s="97">
        <f t="shared" si="6"/>
        <v>5590</v>
      </c>
      <c r="H142" s="97">
        <f t="shared" si="6"/>
        <v>5590</v>
      </c>
      <c r="I142" s="349"/>
      <c r="J142" s="350"/>
      <c r="K142" s="161"/>
    </row>
    <row r="143" spans="1:11" ht="36" x14ac:dyDescent="0.25">
      <c r="A143" s="174" t="s">
        <v>413</v>
      </c>
      <c r="B143" s="174" t="s">
        <v>430</v>
      </c>
      <c r="C143" s="51"/>
      <c r="D143" s="12" t="s">
        <v>265</v>
      </c>
      <c r="E143" s="12"/>
      <c r="F143" s="97">
        <f t="shared" si="6"/>
        <v>5590</v>
      </c>
      <c r="G143" s="97">
        <f t="shared" si="6"/>
        <v>5590</v>
      </c>
      <c r="H143" s="97">
        <f t="shared" si="6"/>
        <v>5590</v>
      </c>
      <c r="I143" s="349"/>
      <c r="J143" s="350"/>
      <c r="K143" s="161"/>
    </row>
    <row r="144" spans="1:11" ht="48" x14ac:dyDescent="0.25">
      <c r="A144" s="174" t="s">
        <v>700</v>
      </c>
      <c r="B144" s="174" t="s">
        <v>427</v>
      </c>
      <c r="C144" s="51"/>
      <c r="D144" s="12" t="s">
        <v>265</v>
      </c>
      <c r="E144" s="12"/>
      <c r="F144" s="97">
        <f t="shared" si="6"/>
        <v>5590</v>
      </c>
      <c r="G144" s="97">
        <f t="shared" si="6"/>
        <v>5590</v>
      </c>
      <c r="H144" s="97">
        <f t="shared" si="6"/>
        <v>5590</v>
      </c>
      <c r="I144" s="349"/>
      <c r="J144" s="350"/>
      <c r="K144" s="161"/>
    </row>
    <row r="145" spans="1:11" ht="48" x14ac:dyDescent="0.25">
      <c r="A145" s="174" t="s">
        <v>414</v>
      </c>
      <c r="B145" s="174" t="s">
        <v>430</v>
      </c>
      <c r="C145" s="51"/>
      <c r="D145" s="12" t="s">
        <v>265</v>
      </c>
      <c r="E145" s="12"/>
      <c r="F145" s="97">
        <f t="shared" si="6"/>
        <v>5590</v>
      </c>
      <c r="G145" s="97">
        <f t="shared" si="6"/>
        <v>5590</v>
      </c>
      <c r="H145" s="97">
        <f t="shared" si="6"/>
        <v>5590</v>
      </c>
      <c r="I145" s="349"/>
      <c r="J145" s="350"/>
      <c r="K145" s="161"/>
    </row>
    <row r="146" spans="1:11" ht="48" x14ac:dyDescent="0.25">
      <c r="A146" s="174" t="s">
        <v>415</v>
      </c>
      <c r="B146" s="174" t="s">
        <v>430</v>
      </c>
      <c r="C146" s="51"/>
      <c r="D146" s="12" t="s">
        <v>265</v>
      </c>
      <c r="E146" s="12"/>
      <c r="F146" s="97">
        <f t="shared" si="6"/>
        <v>5590</v>
      </c>
      <c r="G146" s="97">
        <f t="shared" si="6"/>
        <v>5590</v>
      </c>
      <c r="H146" s="97">
        <f t="shared" si="6"/>
        <v>5590</v>
      </c>
      <c r="I146" s="349"/>
      <c r="J146" s="350"/>
      <c r="K146" s="161"/>
    </row>
    <row r="147" spans="1:11" ht="48" x14ac:dyDescent="0.25">
      <c r="A147" s="92" t="s">
        <v>416</v>
      </c>
      <c r="B147" s="174" t="s">
        <v>429</v>
      </c>
      <c r="C147" s="51"/>
      <c r="D147" s="12" t="s">
        <v>265</v>
      </c>
      <c r="E147" s="12"/>
      <c r="F147" s="97">
        <f t="shared" si="6"/>
        <v>5590</v>
      </c>
      <c r="G147" s="97">
        <f t="shared" si="6"/>
        <v>5590</v>
      </c>
      <c r="H147" s="97">
        <f t="shared" si="6"/>
        <v>5590</v>
      </c>
      <c r="I147" s="349"/>
      <c r="J147" s="350"/>
      <c r="K147" s="161"/>
    </row>
    <row r="148" spans="1:11" ht="96" x14ac:dyDescent="0.25">
      <c r="A148" s="98" t="s">
        <v>417</v>
      </c>
      <c r="B148" s="174" t="s">
        <v>429</v>
      </c>
      <c r="C148" s="51"/>
      <c r="D148" s="12" t="s">
        <v>265</v>
      </c>
      <c r="E148" s="12"/>
      <c r="F148" s="97">
        <f t="shared" si="6"/>
        <v>5590</v>
      </c>
      <c r="G148" s="97">
        <f t="shared" si="6"/>
        <v>5590</v>
      </c>
      <c r="H148" s="97">
        <f t="shared" si="6"/>
        <v>5590</v>
      </c>
      <c r="I148" s="349"/>
      <c r="J148" s="350"/>
      <c r="K148" s="161"/>
    </row>
    <row r="149" spans="1:11" ht="96" x14ac:dyDescent="0.25">
      <c r="A149" s="98" t="s">
        <v>422</v>
      </c>
      <c r="B149" s="174" t="s">
        <v>428</v>
      </c>
      <c r="C149" s="51"/>
      <c r="D149" s="12" t="s">
        <v>265</v>
      </c>
      <c r="E149" s="12"/>
      <c r="F149" s="97">
        <f t="shared" si="6"/>
        <v>5590</v>
      </c>
      <c r="G149" s="97">
        <f t="shared" si="6"/>
        <v>5590</v>
      </c>
      <c r="H149" s="97">
        <f t="shared" si="6"/>
        <v>5590</v>
      </c>
      <c r="I149" s="349"/>
      <c r="J149" s="350"/>
      <c r="K149" s="161"/>
    </row>
    <row r="150" spans="1:11" ht="96" x14ac:dyDescent="0.25">
      <c r="A150" s="98" t="s">
        <v>418</v>
      </c>
      <c r="B150" s="174" t="s">
        <v>429</v>
      </c>
      <c r="C150" s="51"/>
      <c r="D150" s="12" t="s">
        <v>265</v>
      </c>
      <c r="E150" s="12"/>
      <c r="F150" s="97">
        <f t="shared" si="6"/>
        <v>5590</v>
      </c>
      <c r="G150" s="97">
        <f t="shared" si="6"/>
        <v>5590</v>
      </c>
      <c r="H150" s="97">
        <f t="shared" si="6"/>
        <v>5590</v>
      </c>
      <c r="I150" s="349"/>
      <c r="J150" s="350"/>
      <c r="K150" s="161"/>
    </row>
    <row r="151" spans="1:11" ht="24" x14ac:dyDescent="0.25">
      <c r="A151" s="92" t="s">
        <v>423</v>
      </c>
      <c r="B151" s="174" t="s">
        <v>427</v>
      </c>
      <c r="C151" s="51"/>
      <c r="D151" s="12" t="s">
        <v>265</v>
      </c>
      <c r="E151" s="12"/>
      <c r="F151" s="97">
        <f t="shared" si="6"/>
        <v>5590</v>
      </c>
      <c r="G151" s="97">
        <f t="shared" si="6"/>
        <v>5590</v>
      </c>
      <c r="H151" s="97">
        <f t="shared" si="6"/>
        <v>5590</v>
      </c>
      <c r="I151" s="349"/>
      <c r="J151" s="350"/>
      <c r="K151" s="161"/>
    </row>
    <row r="152" spans="1:11" ht="24" x14ac:dyDescent="0.25">
      <c r="A152" s="174" t="s">
        <v>419</v>
      </c>
      <c r="B152" s="174" t="s">
        <v>430</v>
      </c>
      <c r="C152" s="51"/>
      <c r="D152" s="12" t="s">
        <v>265</v>
      </c>
      <c r="E152" s="12"/>
      <c r="F152" s="97">
        <f t="shared" si="6"/>
        <v>5590</v>
      </c>
      <c r="G152" s="97">
        <f t="shared" si="6"/>
        <v>5590</v>
      </c>
      <c r="H152" s="97">
        <f t="shared" si="6"/>
        <v>5590</v>
      </c>
      <c r="I152" s="349"/>
      <c r="J152" s="350"/>
      <c r="K152" s="161"/>
    </row>
    <row r="153" spans="1:11" ht="24" x14ac:dyDescent="0.25">
      <c r="A153" s="92" t="s">
        <v>424</v>
      </c>
      <c r="B153" s="174" t="s">
        <v>427</v>
      </c>
      <c r="C153" s="51"/>
      <c r="D153" s="12" t="s">
        <v>265</v>
      </c>
      <c r="E153" s="12"/>
      <c r="F153" s="97">
        <f t="shared" si="6"/>
        <v>5590</v>
      </c>
      <c r="G153" s="97">
        <f t="shared" si="6"/>
        <v>5590</v>
      </c>
      <c r="H153" s="97">
        <f t="shared" si="6"/>
        <v>5590</v>
      </c>
      <c r="I153" s="349"/>
      <c r="J153" s="350"/>
      <c r="K153" s="161"/>
    </row>
    <row r="154" spans="1:11" ht="24" x14ac:dyDescent="0.25">
      <c r="A154" s="174" t="s">
        <v>420</v>
      </c>
      <c r="B154" s="174" t="s">
        <v>430</v>
      </c>
      <c r="C154" s="51"/>
      <c r="D154" s="12" t="s">
        <v>265</v>
      </c>
      <c r="E154" s="12"/>
      <c r="F154" s="97">
        <f t="shared" si="6"/>
        <v>5590</v>
      </c>
      <c r="G154" s="97">
        <f t="shared" si="6"/>
        <v>5590</v>
      </c>
      <c r="H154" s="97">
        <f t="shared" si="6"/>
        <v>5590</v>
      </c>
      <c r="I154" s="349"/>
      <c r="J154" s="350"/>
      <c r="K154" s="161"/>
    </row>
    <row r="155" spans="1:11" ht="15" hidden="1" customHeight="1" x14ac:dyDescent="0.25">
      <c r="A155" s="340"/>
      <c r="B155" s="174"/>
      <c r="C155" s="51"/>
      <c r="D155" s="12" t="s">
        <v>265</v>
      </c>
      <c r="E155" s="12"/>
      <c r="F155" s="97">
        <f t="shared" si="6"/>
        <v>5590</v>
      </c>
      <c r="G155" s="97">
        <f t="shared" si="6"/>
        <v>5590</v>
      </c>
      <c r="H155" s="97">
        <f t="shared" si="6"/>
        <v>5590</v>
      </c>
      <c r="I155" s="349"/>
      <c r="J155" s="350"/>
      <c r="K155" s="161"/>
    </row>
    <row r="156" spans="1:11" x14ac:dyDescent="0.25">
      <c r="A156" s="96" t="s">
        <v>431</v>
      </c>
      <c r="B156" s="181"/>
      <c r="C156" s="15"/>
      <c r="D156" s="16"/>
      <c r="E156" s="7"/>
      <c r="F156" s="95"/>
      <c r="G156" s="95"/>
      <c r="H156" s="95"/>
      <c r="I156" s="99"/>
      <c r="J156" s="100"/>
      <c r="K156" s="161"/>
    </row>
    <row r="157" spans="1:11" ht="24" x14ac:dyDescent="0.25">
      <c r="A157" s="12" t="s">
        <v>702</v>
      </c>
      <c r="B157" s="174" t="s">
        <v>432</v>
      </c>
      <c r="C157" s="51"/>
      <c r="D157" s="12" t="s">
        <v>265</v>
      </c>
      <c r="E157" s="12"/>
      <c r="F157" s="97">
        <f t="shared" ref="F157:H168" si="7">F220+F283</f>
        <v>24133.919999999998</v>
      </c>
      <c r="G157" s="97">
        <f t="shared" si="7"/>
        <v>24133.919999999998</v>
      </c>
      <c r="H157" s="97">
        <f t="shared" si="7"/>
        <v>24133.919999999998</v>
      </c>
      <c r="I157" s="349"/>
      <c r="J157" s="350"/>
      <c r="K157" s="161"/>
    </row>
    <row r="158" spans="1:11" ht="36" x14ac:dyDescent="0.25">
      <c r="A158" s="12" t="s">
        <v>703</v>
      </c>
      <c r="B158" s="174" t="s">
        <v>433</v>
      </c>
      <c r="C158" s="51"/>
      <c r="D158" s="12" t="s">
        <v>265</v>
      </c>
      <c r="E158" s="12"/>
      <c r="F158" s="97">
        <f t="shared" si="7"/>
        <v>24133.919999999998</v>
      </c>
      <c r="G158" s="97">
        <f t="shared" si="7"/>
        <v>24133.919999999998</v>
      </c>
      <c r="H158" s="97">
        <f t="shared" si="7"/>
        <v>24133.919999999998</v>
      </c>
      <c r="I158" s="349"/>
      <c r="J158" s="350"/>
      <c r="K158" s="161"/>
    </row>
    <row r="159" spans="1:11" ht="24" x14ac:dyDescent="0.25">
      <c r="A159" s="12" t="s">
        <v>704</v>
      </c>
      <c r="B159" s="174" t="s">
        <v>434</v>
      </c>
      <c r="C159" s="51"/>
      <c r="D159" s="12" t="s">
        <v>265</v>
      </c>
      <c r="E159" s="12"/>
      <c r="F159" s="97">
        <f t="shared" si="7"/>
        <v>24133.919999999998</v>
      </c>
      <c r="G159" s="97">
        <f t="shared" si="7"/>
        <v>24133.919999999998</v>
      </c>
      <c r="H159" s="97">
        <f t="shared" si="7"/>
        <v>24133.919999999998</v>
      </c>
      <c r="I159" s="349"/>
      <c r="J159" s="350"/>
      <c r="K159" s="161"/>
    </row>
    <row r="160" spans="1:11" s="435" customFormat="1" ht="48" x14ac:dyDescent="0.25">
      <c r="A160" s="641" t="s">
        <v>1407</v>
      </c>
      <c r="B160" s="174" t="s">
        <v>435</v>
      </c>
      <c r="C160" s="51"/>
      <c r="D160" s="12" t="s">
        <v>265</v>
      </c>
      <c r="E160" s="12"/>
      <c r="F160" s="97">
        <f t="shared" si="7"/>
        <v>24133.919999999998</v>
      </c>
      <c r="G160" s="97">
        <f t="shared" si="7"/>
        <v>24133.919999999998</v>
      </c>
      <c r="H160" s="97">
        <f t="shared" si="7"/>
        <v>24133.919999999998</v>
      </c>
      <c r="I160" s="441"/>
      <c r="J160" s="442"/>
      <c r="K160" s="161"/>
    </row>
    <row r="161" spans="1:11" ht="36" x14ac:dyDescent="0.25">
      <c r="A161" s="12" t="s">
        <v>948</v>
      </c>
      <c r="B161" s="174" t="s">
        <v>435</v>
      </c>
      <c r="C161" s="51"/>
      <c r="D161" s="12" t="s">
        <v>265</v>
      </c>
      <c r="E161" s="12"/>
      <c r="F161" s="97">
        <f t="shared" si="7"/>
        <v>11203.7</v>
      </c>
      <c r="G161" s="97">
        <f t="shared" si="7"/>
        <v>11203.7</v>
      </c>
      <c r="H161" s="97">
        <f t="shared" si="7"/>
        <v>11203.7</v>
      </c>
      <c r="I161" s="349"/>
      <c r="J161" s="350"/>
      <c r="K161" s="161"/>
    </row>
    <row r="162" spans="1:11" ht="36" x14ac:dyDescent="0.25">
      <c r="A162" s="12" t="s">
        <v>705</v>
      </c>
      <c r="B162" s="174" t="s">
        <v>436</v>
      </c>
      <c r="C162" s="51"/>
      <c r="D162" s="12" t="s">
        <v>265</v>
      </c>
      <c r="E162" s="12"/>
      <c r="F162" s="97">
        <f t="shared" si="7"/>
        <v>5662.17</v>
      </c>
      <c r="G162" s="97">
        <f t="shared" si="7"/>
        <v>5662.17</v>
      </c>
      <c r="H162" s="97">
        <f t="shared" si="7"/>
        <v>5662.17</v>
      </c>
      <c r="I162" s="349"/>
      <c r="J162" s="350"/>
      <c r="K162" s="161"/>
    </row>
    <row r="163" spans="1:11" ht="36" x14ac:dyDescent="0.25">
      <c r="A163" s="98" t="s">
        <v>706</v>
      </c>
      <c r="B163" s="174" t="s">
        <v>437</v>
      </c>
      <c r="C163" s="51"/>
      <c r="D163" s="12" t="s">
        <v>265</v>
      </c>
      <c r="E163" s="12"/>
      <c r="F163" s="97">
        <f t="shared" si="7"/>
        <v>28838.38</v>
      </c>
      <c r="G163" s="97">
        <f t="shared" si="7"/>
        <v>28838.38</v>
      </c>
      <c r="H163" s="97">
        <f t="shared" si="7"/>
        <v>28838.38</v>
      </c>
      <c r="I163" s="349"/>
      <c r="J163" s="350"/>
      <c r="K163" s="161"/>
    </row>
    <row r="164" spans="1:11" ht="36" x14ac:dyDescent="0.25">
      <c r="A164" s="98" t="s">
        <v>707</v>
      </c>
      <c r="B164" s="174" t="s">
        <v>438</v>
      </c>
      <c r="C164" s="51"/>
      <c r="D164" s="12" t="s">
        <v>265</v>
      </c>
      <c r="E164" s="12"/>
      <c r="F164" s="97">
        <f t="shared" si="7"/>
        <v>28838.38</v>
      </c>
      <c r="G164" s="97">
        <f t="shared" si="7"/>
        <v>28838.38</v>
      </c>
      <c r="H164" s="97">
        <f t="shared" si="7"/>
        <v>28838.38</v>
      </c>
      <c r="I164" s="349"/>
      <c r="J164" s="350"/>
      <c r="K164" s="161"/>
    </row>
    <row r="165" spans="1:11" ht="24" x14ac:dyDescent="0.25">
      <c r="A165" s="98" t="s">
        <v>708</v>
      </c>
      <c r="B165" s="174" t="s">
        <v>439</v>
      </c>
      <c r="C165" s="51"/>
      <c r="D165" s="12" t="s">
        <v>265</v>
      </c>
      <c r="E165" s="12"/>
      <c r="F165" s="97">
        <f t="shared" si="7"/>
        <v>28838.38</v>
      </c>
      <c r="G165" s="97">
        <f t="shared" si="7"/>
        <v>28838.38</v>
      </c>
      <c r="H165" s="97">
        <f t="shared" si="7"/>
        <v>28838.38</v>
      </c>
      <c r="I165" s="349"/>
      <c r="J165" s="350"/>
      <c r="K165" s="161"/>
    </row>
    <row r="166" spans="1:11" s="435" customFormat="1" ht="48" x14ac:dyDescent="0.25">
      <c r="A166" s="643" t="s">
        <v>1409</v>
      </c>
      <c r="B166" s="174" t="s">
        <v>440</v>
      </c>
      <c r="C166" s="51"/>
      <c r="D166" s="12" t="s">
        <v>265</v>
      </c>
      <c r="E166" s="12"/>
      <c r="F166" s="97">
        <f t="shared" si="7"/>
        <v>28838.38</v>
      </c>
      <c r="G166" s="97">
        <f t="shared" si="7"/>
        <v>28838.38</v>
      </c>
      <c r="H166" s="97">
        <f t="shared" si="7"/>
        <v>28838.38</v>
      </c>
      <c r="I166" s="441"/>
      <c r="J166" s="442"/>
      <c r="K166" s="161"/>
    </row>
    <row r="167" spans="1:11" ht="36" x14ac:dyDescent="0.25">
      <c r="A167" s="98" t="s">
        <v>949</v>
      </c>
      <c r="B167" s="174" t="s">
        <v>440</v>
      </c>
      <c r="C167" s="51"/>
      <c r="D167" s="12" t="s">
        <v>265</v>
      </c>
      <c r="E167" s="12"/>
      <c r="F167" s="97">
        <f t="shared" si="7"/>
        <v>13231.43</v>
      </c>
      <c r="G167" s="97">
        <f t="shared" si="7"/>
        <v>13231.43</v>
      </c>
      <c r="H167" s="97">
        <f t="shared" si="7"/>
        <v>13231.43</v>
      </c>
      <c r="I167" s="349"/>
      <c r="J167" s="350"/>
      <c r="K167" s="161"/>
    </row>
    <row r="168" spans="1:11" ht="36" x14ac:dyDescent="0.25">
      <c r="A168" s="98" t="s">
        <v>709</v>
      </c>
      <c r="B168" s="174" t="s">
        <v>441</v>
      </c>
      <c r="C168" s="51"/>
      <c r="D168" s="12" t="s">
        <v>265</v>
      </c>
      <c r="E168" s="12"/>
      <c r="F168" s="97">
        <f t="shared" si="7"/>
        <v>6542.73</v>
      </c>
      <c r="G168" s="97">
        <f t="shared" si="7"/>
        <v>6542.73</v>
      </c>
      <c r="H168" s="97">
        <f t="shared" si="7"/>
        <v>6542.73</v>
      </c>
      <c r="I168" s="349"/>
      <c r="J168" s="350"/>
      <c r="K168" s="161"/>
    </row>
    <row r="169" spans="1:11" ht="36" x14ac:dyDescent="0.25">
      <c r="A169" s="96" t="s">
        <v>624</v>
      </c>
      <c r="B169" s="181"/>
      <c r="C169" s="15"/>
      <c r="D169" s="16"/>
      <c r="E169" s="7"/>
      <c r="F169" s="95"/>
      <c r="G169" s="95"/>
      <c r="H169" s="95"/>
      <c r="I169" s="99"/>
      <c r="J169" s="100"/>
      <c r="K169" s="161"/>
    </row>
    <row r="170" spans="1:11" x14ac:dyDescent="0.25">
      <c r="A170" s="12" t="s">
        <v>609</v>
      </c>
      <c r="B170" s="174" t="s">
        <v>617</v>
      </c>
      <c r="C170" s="51"/>
      <c r="D170" s="12" t="s">
        <v>265</v>
      </c>
      <c r="E170" s="12"/>
      <c r="F170" s="97">
        <f t="shared" ref="F170:H177" si="8">F233+F296</f>
        <v>10604</v>
      </c>
      <c r="G170" s="97">
        <f t="shared" si="8"/>
        <v>10604</v>
      </c>
      <c r="H170" s="97">
        <f t="shared" si="8"/>
        <v>10604</v>
      </c>
      <c r="I170" s="349"/>
      <c r="J170" s="350"/>
      <c r="K170" s="161"/>
    </row>
    <row r="171" spans="1:11" ht="72" hidden="1" x14ac:dyDescent="0.25">
      <c r="A171" s="92" t="s">
        <v>610</v>
      </c>
      <c r="B171" s="174"/>
      <c r="C171" s="51"/>
      <c r="D171" s="12" t="s">
        <v>265</v>
      </c>
      <c r="E171" s="12"/>
      <c r="F171" s="97">
        <f t="shared" si="8"/>
        <v>10604</v>
      </c>
      <c r="G171" s="97">
        <f t="shared" si="8"/>
        <v>10604</v>
      </c>
      <c r="H171" s="97">
        <f t="shared" si="8"/>
        <v>10604</v>
      </c>
      <c r="I171" s="349"/>
      <c r="J171" s="350"/>
      <c r="K171" s="161"/>
    </row>
    <row r="172" spans="1:11" ht="48" x14ac:dyDescent="0.25">
      <c r="A172" s="12" t="s">
        <v>625</v>
      </c>
      <c r="B172" s="174" t="s">
        <v>978</v>
      </c>
      <c r="C172" s="51"/>
      <c r="D172" s="12" t="s">
        <v>265</v>
      </c>
      <c r="E172" s="12"/>
      <c r="F172" s="97">
        <f t="shared" si="8"/>
        <v>10604</v>
      </c>
      <c r="G172" s="97">
        <f t="shared" si="8"/>
        <v>10604</v>
      </c>
      <c r="H172" s="97">
        <f t="shared" si="8"/>
        <v>10604</v>
      </c>
      <c r="I172" s="349"/>
      <c r="J172" s="350"/>
      <c r="K172" s="161"/>
    </row>
    <row r="173" spans="1:11" ht="24" x14ac:dyDescent="0.25">
      <c r="A173" s="12" t="s">
        <v>626</v>
      </c>
      <c r="B173" s="174" t="s">
        <v>618</v>
      </c>
      <c r="C173" s="51"/>
      <c r="D173" s="12" t="s">
        <v>265</v>
      </c>
      <c r="E173" s="12"/>
      <c r="F173" s="97">
        <f t="shared" si="8"/>
        <v>10604</v>
      </c>
      <c r="G173" s="97">
        <f t="shared" si="8"/>
        <v>10604</v>
      </c>
      <c r="H173" s="97">
        <f t="shared" si="8"/>
        <v>10604</v>
      </c>
      <c r="I173" s="349"/>
      <c r="J173" s="350"/>
      <c r="K173" s="161"/>
    </row>
    <row r="174" spans="1:11" ht="60" hidden="1" x14ac:dyDescent="0.25">
      <c r="A174" s="92" t="s">
        <v>639</v>
      </c>
      <c r="B174" s="174"/>
      <c r="C174" s="51"/>
      <c r="D174" s="12" t="s">
        <v>265</v>
      </c>
      <c r="E174" s="12"/>
      <c r="F174" s="97">
        <f t="shared" si="8"/>
        <v>10604</v>
      </c>
      <c r="G174" s="97">
        <f t="shared" si="8"/>
        <v>10604</v>
      </c>
      <c r="H174" s="97">
        <f t="shared" si="8"/>
        <v>10604</v>
      </c>
      <c r="I174" s="349"/>
      <c r="J174" s="350"/>
      <c r="K174" s="161"/>
    </row>
    <row r="175" spans="1:11" ht="36" x14ac:dyDescent="0.25">
      <c r="A175" s="12" t="s">
        <v>627</v>
      </c>
      <c r="B175" s="174" t="s">
        <v>619</v>
      </c>
      <c r="C175" s="51"/>
      <c r="D175" s="12" t="s">
        <v>265</v>
      </c>
      <c r="E175" s="12"/>
      <c r="F175" s="97">
        <f t="shared" si="8"/>
        <v>10604</v>
      </c>
      <c r="G175" s="97">
        <f t="shared" si="8"/>
        <v>10604</v>
      </c>
      <c r="H175" s="97">
        <f t="shared" si="8"/>
        <v>10604</v>
      </c>
      <c r="I175" s="349"/>
      <c r="J175" s="350"/>
      <c r="K175" s="161"/>
    </row>
    <row r="176" spans="1:11" hidden="1" x14ac:dyDescent="0.25">
      <c r="A176" s="92" t="s">
        <v>608</v>
      </c>
      <c r="B176" s="174"/>
      <c r="C176" s="51"/>
      <c r="D176" s="12" t="s">
        <v>265</v>
      </c>
      <c r="E176" s="12"/>
      <c r="F176" s="97">
        <f t="shared" si="8"/>
        <v>10604</v>
      </c>
      <c r="G176" s="97">
        <f t="shared" si="8"/>
        <v>10604</v>
      </c>
      <c r="H176" s="97">
        <f t="shared" si="8"/>
        <v>10604</v>
      </c>
      <c r="I176" s="349"/>
      <c r="J176" s="350"/>
      <c r="K176" s="161"/>
    </row>
    <row r="177" spans="1:11" hidden="1" x14ac:dyDescent="0.25">
      <c r="A177" s="92" t="s">
        <v>611</v>
      </c>
      <c r="B177" s="174"/>
      <c r="C177" s="51"/>
      <c r="D177" s="12" t="s">
        <v>265</v>
      </c>
      <c r="E177" s="12"/>
      <c r="F177" s="97">
        <f t="shared" si="8"/>
        <v>10604</v>
      </c>
      <c r="G177" s="97">
        <f t="shared" si="8"/>
        <v>10604</v>
      </c>
      <c r="H177" s="97">
        <f t="shared" si="8"/>
        <v>10604</v>
      </c>
      <c r="I177" s="349"/>
      <c r="J177" s="350"/>
      <c r="K177" s="161"/>
    </row>
    <row r="178" spans="1:11" ht="36" x14ac:dyDescent="0.25">
      <c r="A178" s="96" t="s">
        <v>603</v>
      </c>
      <c r="B178" s="181"/>
      <c r="C178" s="15"/>
      <c r="D178" s="16"/>
      <c r="E178" s="7"/>
      <c r="F178" s="95"/>
      <c r="G178" s="95"/>
      <c r="H178" s="95"/>
      <c r="I178" s="99"/>
      <c r="J178" s="100"/>
      <c r="K178" s="161"/>
    </row>
    <row r="179" spans="1:11" x14ac:dyDescent="0.25">
      <c r="A179" s="12" t="s">
        <v>609</v>
      </c>
      <c r="B179" s="174" t="s">
        <v>604</v>
      </c>
      <c r="C179" s="51"/>
      <c r="D179" s="12" t="s">
        <v>265</v>
      </c>
      <c r="E179" s="12"/>
      <c r="F179" s="97">
        <f t="shared" ref="F179:H186" si="9">F242+F305</f>
        <v>10604</v>
      </c>
      <c r="G179" s="97">
        <f t="shared" si="9"/>
        <v>10604</v>
      </c>
      <c r="H179" s="97">
        <f t="shared" si="9"/>
        <v>10604</v>
      </c>
      <c r="I179" s="349"/>
      <c r="J179" s="350"/>
      <c r="K179" s="161"/>
    </row>
    <row r="180" spans="1:11" ht="72" hidden="1" x14ac:dyDescent="0.25">
      <c r="A180" s="92" t="s">
        <v>610</v>
      </c>
      <c r="B180" s="174"/>
      <c r="C180" s="51"/>
      <c r="D180" s="12" t="s">
        <v>265</v>
      </c>
      <c r="E180" s="12"/>
      <c r="F180" s="97">
        <f t="shared" si="9"/>
        <v>10604</v>
      </c>
      <c r="G180" s="97">
        <f t="shared" si="9"/>
        <v>10604</v>
      </c>
      <c r="H180" s="97">
        <f t="shared" si="9"/>
        <v>10604</v>
      </c>
      <c r="I180" s="349"/>
      <c r="J180" s="350"/>
      <c r="K180" s="161"/>
    </row>
    <row r="181" spans="1:11" ht="48" x14ac:dyDescent="0.25">
      <c r="A181" s="12" t="s">
        <v>625</v>
      </c>
      <c r="B181" s="174" t="s">
        <v>605</v>
      </c>
      <c r="C181" s="51"/>
      <c r="D181" s="12" t="s">
        <v>265</v>
      </c>
      <c r="E181" s="12"/>
      <c r="F181" s="97">
        <f t="shared" si="9"/>
        <v>10604</v>
      </c>
      <c r="G181" s="97">
        <f t="shared" si="9"/>
        <v>10604</v>
      </c>
      <c r="H181" s="97">
        <f t="shared" si="9"/>
        <v>10604</v>
      </c>
      <c r="I181" s="349"/>
      <c r="J181" s="350"/>
      <c r="K181" s="161"/>
    </row>
    <row r="182" spans="1:11" ht="60" hidden="1" x14ac:dyDescent="0.25">
      <c r="A182" s="92" t="s">
        <v>639</v>
      </c>
      <c r="B182" s="174"/>
      <c r="C182" s="51"/>
      <c r="D182" s="12" t="s">
        <v>265</v>
      </c>
      <c r="E182" s="12"/>
      <c r="F182" s="97">
        <f t="shared" si="9"/>
        <v>10604</v>
      </c>
      <c r="G182" s="97">
        <f t="shared" si="9"/>
        <v>10604</v>
      </c>
      <c r="H182" s="97">
        <f t="shared" si="9"/>
        <v>10604</v>
      </c>
      <c r="I182" s="349"/>
      <c r="J182" s="350"/>
      <c r="K182" s="161"/>
    </row>
    <row r="183" spans="1:11" ht="24" x14ac:dyDescent="0.25">
      <c r="A183" s="12" t="s">
        <v>626</v>
      </c>
      <c r="B183" s="174" t="s">
        <v>606</v>
      </c>
      <c r="C183" s="51"/>
      <c r="D183" s="12" t="s">
        <v>265</v>
      </c>
      <c r="E183" s="12"/>
      <c r="F183" s="97">
        <f t="shared" si="9"/>
        <v>10604</v>
      </c>
      <c r="G183" s="97">
        <f t="shared" si="9"/>
        <v>10604</v>
      </c>
      <c r="H183" s="97">
        <f t="shared" si="9"/>
        <v>10604</v>
      </c>
      <c r="I183" s="349"/>
      <c r="J183" s="350"/>
      <c r="K183" s="161"/>
    </row>
    <row r="184" spans="1:11" ht="36" x14ac:dyDescent="0.25">
      <c r="A184" s="12" t="s">
        <v>627</v>
      </c>
      <c r="B184" s="174" t="s">
        <v>607</v>
      </c>
      <c r="C184" s="51"/>
      <c r="D184" s="12" t="s">
        <v>265</v>
      </c>
      <c r="E184" s="12"/>
      <c r="F184" s="97">
        <f t="shared" si="9"/>
        <v>10604</v>
      </c>
      <c r="G184" s="97">
        <f t="shared" si="9"/>
        <v>10604</v>
      </c>
      <c r="H184" s="97">
        <f t="shared" si="9"/>
        <v>10604</v>
      </c>
      <c r="I184" s="349"/>
      <c r="J184" s="350"/>
      <c r="K184" s="161"/>
    </row>
    <row r="185" spans="1:11" x14ac:dyDescent="0.25">
      <c r="A185" s="174" t="s">
        <v>608</v>
      </c>
      <c r="B185" s="174" t="s">
        <v>979</v>
      </c>
      <c r="C185" s="51"/>
      <c r="D185" s="12" t="s">
        <v>265</v>
      </c>
      <c r="E185" s="12"/>
      <c r="F185" s="97">
        <f t="shared" si="9"/>
        <v>10604</v>
      </c>
      <c r="G185" s="97">
        <f t="shared" si="9"/>
        <v>10604</v>
      </c>
      <c r="H185" s="97">
        <f t="shared" si="9"/>
        <v>10604</v>
      </c>
      <c r="I185" s="349"/>
      <c r="J185" s="350"/>
      <c r="K185" s="161"/>
    </row>
    <row r="186" spans="1:11" x14ac:dyDescent="0.25">
      <c r="A186" s="174" t="s">
        <v>611</v>
      </c>
      <c r="B186" s="174" t="s">
        <v>2233</v>
      </c>
      <c r="C186" s="51"/>
      <c r="D186" s="12" t="s">
        <v>265</v>
      </c>
      <c r="E186" s="12"/>
      <c r="F186" s="97">
        <f t="shared" si="9"/>
        <v>10604</v>
      </c>
      <c r="G186" s="97">
        <f t="shared" si="9"/>
        <v>10604</v>
      </c>
      <c r="H186" s="97">
        <f t="shared" si="9"/>
        <v>10604</v>
      </c>
      <c r="I186" s="349"/>
      <c r="J186" s="350"/>
      <c r="K186" s="161"/>
    </row>
    <row r="187" spans="1:11" ht="36" x14ac:dyDescent="0.25">
      <c r="A187" s="96" t="s">
        <v>620</v>
      </c>
      <c r="B187" s="181"/>
      <c r="C187" s="15"/>
      <c r="D187" s="16"/>
      <c r="E187" s="7"/>
      <c r="F187" s="95"/>
      <c r="G187" s="95"/>
      <c r="H187" s="95"/>
      <c r="I187" s="99"/>
      <c r="J187" s="100"/>
      <c r="K187" s="161"/>
    </row>
    <row r="188" spans="1:11" x14ac:dyDescent="0.25">
      <c r="A188" s="12" t="s">
        <v>609</v>
      </c>
      <c r="B188" s="174" t="s">
        <v>621</v>
      </c>
      <c r="C188" s="51"/>
      <c r="D188" s="12" t="s">
        <v>265</v>
      </c>
      <c r="E188" s="12"/>
      <c r="F188" s="97">
        <f t="shared" ref="F188:H195" si="10">F251+F314</f>
        <v>10604</v>
      </c>
      <c r="G188" s="97">
        <f t="shared" si="10"/>
        <v>10604</v>
      </c>
      <c r="H188" s="97">
        <f t="shared" si="10"/>
        <v>10604</v>
      </c>
      <c r="I188" s="349"/>
      <c r="J188" s="350"/>
      <c r="K188" s="161"/>
    </row>
    <row r="189" spans="1:11" ht="72" hidden="1" x14ac:dyDescent="0.25">
      <c r="A189" s="92" t="s">
        <v>610</v>
      </c>
      <c r="B189" s="174"/>
      <c r="C189" s="51"/>
      <c r="D189" s="12" t="s">
        <v>265</v>
      </c>
      <c r="E189" s="12"/>
      <c r="F189" s="97">
        <f t="shared" si="10"/>
        <v>10604</v>
      </c>
      <c r="G189" s="97">
        <f t="shared" si="10"/>
        <v>10604</v>
      </c>
      <c r="H189" s="97">
        <f t="shared" si="10"/>
        <v>10604</v>
      </c>
      <c r="I189" s="349"/>
      <c r="J189" s="350"/>
      <c r="K189" s="161"/>
    </row>
    <row r="190" spans="1:11" ht="48" hidden="1" x14ac:dyDescent="0.25">
      <c r="A190" s="92" t="s">
        <v>625</v>
      </c>
      <c r="B190" s="174"/>
      <c r="C190" s="51"/>
      <c r="D190" s="12" t="s">
        <v>265</v>
      </c>
      <c r="E190" s="12"/>
      <c r="F190" s="97">
        <f t="shared" si="10"/>
        <v>10604</v>
      </c>
      <c r="G190" s="97">
        <f t="shared" si="10"/>
        <v>10604</v>
      </c>
      <c r="H190" s="97">
        <f t="shared" si="10"/>
        <v>10604</v>
      </c>
      <c r="I190" s="349"/>
      <c r="J190" s="350"/>
      <c r="K190" s="161"/>
    </row>
    <row r="191" spans="1:11" ht="60" hidden="1" x14ac:dyDescent="0.25">
      <c r="A191" s="92" t="s">
        <v>639</v>
      </c>
      <c r="B191" s="174"/>
      <c r="C191" s="51"/>
      <c r="D191" s="12" t="s">
        <v>265</v>
      </c>
      <c r="E191" s="12"/>
      <c r="F191" s="97">
        <f t="shared" si="10"/>
        <v>10604</v>
      </c>
      <c r="G191" s="97">
        <f t="shared" si="10"/>
        <v>10604</v>
      </c>
      <c r="H191" s="97">
        <f t="shared" si="10"/>
        <v>10604</v>
      </c>
      <c r="I191" s="349"/>
      <c r="J191" s="350"/>
      <c r="K191" s="161"/>
    </row>
    <row r="192" spans="1:11" ht="24" x14ac:dyDescent="0.25">
      <c r="A192" s="12" t="s">
        <v>626</v>
      </c>
      <c r="B192" s="174" t="s">
        <v>980</v>
      </c>
      <c r="C192" s="51"/>
      <c r="D192" s="12" t="s">
        <v>265</v>
      </c>
      <c r="E192" s="12"/>
      <c r="F192" s="97">
        <f t="shared" si="10"/>
        <v>10604</v>
      </c>
      <c r="G192" s="97">
        <f t="shared" si="10"/>
        <v>10604</v>
      </c>
      <c r="H192" s="97">
        <f t="shared" si="10"/>
        <v>10604</v>
      </c>
      <c r="I192" s="349"/>
      <c r="J192" s="350"/>
      <c r="K192" s="161"/>
    </row>
    <row r="193" spans="1:11" ht="36" x14ac:dyDescent="0.25">
      <c r="A193" s="12" t="s">
        <v>627</v>
      </c>
      <c r="B193" s="174" t="s">
        <v>622</v>
      </c>
      <c r="C193" s="51"/>
      <c r="D193" s="12" t="s">
        <v>265</v>
      </c>
      <c r="E193" s="12"/>
      <c r="F193" s="97">
        <f t="shared" si="10"/>
        <v>10604</v>
      </c>
      <c r="G193" s="97">
        <f t="shared" si="10"/>
        <v>10604</v>
      </c>
      <c r="H193" s="97">
        <f t="shared" si="10"/>
        <v>10604</v>
      </c>
      <c r="I193" s="349"/>
      <c r="J193" s="350"/>
      <c r="K193" s="161"/>
    </row>
    <row r="194" spans="1:11" x14ac:dyDescent="0.25">
      <c r="A194" s="174" t="s">
        <v>608</v>
      </c>
      <c r="B194" s="174" t="s">
        <v>623</v>
      </c>
      <c r="C194" s="51"/>
      <c r="D194" s="12" t="s">
        <v>265</v>
      </c>
      <c r="E194" s="12"/>
      <c r="F194" s="97">
        <f t="shared" si="10"/>
        <v>10604</v>
      </c>
      <c r="G194" s="97">
        <f t="shared" si="10"/>
        <v>10604</v>
      </c>
      <c r="H194" s="97">
        <f t="shared" si="10"/>
        <v>10604</v>
      </c>
      <c r="I194" s="349"/>
      <c r="J194" s="350"/>
      <c r="K194" s="161"/>
    </row>
    <row r="195" spans="1:11" ht="15" hidden="1" customHeight="1" x14ac:dyDescent="0.25">
      <c r="A195" s="92" t="s">
        <v>611</v>
      </c>
      <c r="B195" s="174"/>
      <c r="C195" s="51"/>
      <c r="D195" s="12" t="s">
        <v>265</v>
      </c>
      <c r="E195" s="12"/>
      <c r="F195" s="97">
        <f t="shared" si="10"/>
        <v>10604</v>
      </c>
      <c r="G195" s="97">
        <f t="shared" si="10"/>
        <v>10604</v>
      </c>
      <c r="H195" s="97">
        <f t="shared" si="10"/>
        <v>10604</v>
      </c>
      <c r="I195" s="349"/>
      <c r="J195" s="350"/>
      <c r="K195" s="161"/>
    </row>
    <row r="196" spans="1:11" ht="24" x14ac:dyDescent="0.25">
      <c r="A196" s="96" t="s">
        <v>601</v>
      </c>
      <c r="B196" s="181"/>
      <c r="C196" s="15"/>
      <c r="D196" s="16"/>
      <c r="E196" s="7"/>
      <c r="F196" s="95"/>
      <c r="G196" s="95"/>
      <c r="H196" s="95"/>
      <c r="I196" s="99"/>
      <c r="J196" s="100"/>
      <c r="K196" s="161"/>
    </row>
    <row r="197" spans="1:11" ht="15" customHeight="1" x14ac:dyDescent="0.25">
      <c r="A197" s="12" t="s">
        <v>456</v>
      </c>
      <c r="B197" s="174" t="s">
        <v>648</v>
      </c>
      <c r="C197" s="51"/>
      <c r="D197" s="12" t="s">
        <v>265</v>
      </c>
      <c r="E197" s="12"/>
      <c r="F197" s="97">
        <f t="shared" ref="F197:H202" si="11">F260+F323</f>
        <v>0.78</v>
      </c>
      <c r="G197" s="97">
        <f t="shared" si="11"/>
        <v>0.82</v>
      </c>
      <c r="H197" s="97">
        <f t="shared" si="11"/>
        <v>0.85</v>
      </c>
      <c r="I197" s="349"/>
      <c r="J197" s="350"/>
      <c r="K197" s="161"/>
    </row>
    <row r="198" spans="1:11" ht="15" customHeight="1" x14ac:dyDescent="0.25">
      <c r="A198" s="12" t="s">
        <v>457</v>
      </c>
      <c r="B198" s="174" t="s">
        <v>649</v>
      </c>
      <c r="C198" s="51"/>
      <c r="D198" s="12" t="s">
        <v>265</v>
      </c>
      <c r="E198" s="12"/>
      <c r="F198" s="97">
        <f t="shared" si="11"/>
        <v>0.78</v>
      </c>
      <c r="G198" s="97">
        <f t="shared" si="11"/>
        <v>0.82</v>
      </c>
      <c r="H198" s="97">
        <f t="shared" si="11"/>
        <v>0.85</v>
      </c>
      <c r="I198" s="349"/>
      <c r="J198" s="350"/>
      <c r="K198" s="161"/>
    </row>
    <row r="199" spans="1:11" ht="15" customHeight="1" x14ac:dyDescent="0.25">
      <c r="A199" s="12" t="s">
        <v>471</v>
      </c>
      <c r="B199" s="174" t="s">
        <v>650</v>
      </c>
      <c r="C199" s="51"/>
      <c r="D199" s="12" t="s">
        <v>265</v>
      </c>
      <c r="E199" s="12"/>
      <c r="F199" s="97">
        <f t="shared" si="11"/>
        <v>0.67</v>
      </c>
      <c r="G199" s="97">
        <f t="shared" si="11"/>
        <v>0.71</v>
      </c>
      <c r="H199" s="97">
        <f t="shared" si="11"/>
        <v>0.74</v>
      </c>
      <c r="I199" s="349"/>
      <c r="J199" s="350"/>
      <c r="K199" s="161"/>
    </row>
    <row r="200" spans="1:11" ht="15" customHeight="1" x14ac:dyDescent="0.25">
      <c r="A200" s="12" t="s">
        <v>458</v>
      </c>
      <c r="B200" s="174" t="s">
        <v>651</v>
      </c>
      <c r="C200" s="51"/>
      <c r="D200" s="12" t="s">
        <v>265</v>
      </c>
      <c r="E200" s="12"/>
      <c r="F200" s="97">
        <f t="shared" si="11"/>
        <v>0.78</v>
      </c>
      <c r="G200" s="97">
        <f t="shared" si="11"/>
        <v>0.82</v>
      </c>
      <c r="H200" s="97">
        <f t="shared" si="11"/>
        <v>0.85</v>
      </c>
      <c r="I200" s="349"/>
      <c r="J200" s="350"/>
      <c r="K200" s="161"/>
    </row>
    <row r="201" spans="1:11" ht="15" customHeight="1" x14ac:dyDescent="0.25">
      <c r="A201" s="12" t="s">
        <v>459</v>
      </c>
      <c r="B201" s="174" t="s">
        <v>652</v>
      </c>
      <c r="C201" s="51"/>
      <c r="D201" s="12" t="s">
        <v>265</v>
      </c>
      <c r="E201" s="12"/>
      <c r="F201" s="97">
        <f t="shared" si="11"/>
        <v>0.78</v>
      </c>
      <c r="G201" s="97">
        <f t="shared" si="11"/>
        <v>0.82</v>
      </c>
      <c r="H201" s="97">
        <f t="shared" si="11"/>
        <v>0.85</v>
      </c>
      <c r="I201" s="349"/>
      <c r="J201" s="350"/>
      <c r="K201" s="161"/>
    </row>
    <row r="202" spans="1:11" ht="15" customHeight="1" x14ac:dyDescent="0.25">
      <c r="A202" s="12" t="s">
        <v>460</v>
      </c>
      <c r="B202" s="174" t="s">
        <v>653</v>
      </c>
      <c r="C202" s="51"/>
      <c r="D202" s="12" t="s">
        <v>265</v>
      </c>
      <c r="E202" s="12"/>
      <c r="F202" s="97">
        <f t="shared" si="11"/>
        <v>0.78</v>
      </c>
      <c r="G202" s="97">
        <f t="shared" si="11"/>
        <v>0.82</v>
      </c>
      <c r="H202" s="97">
        <f t="shared" si="11"/>
        <v>0.85</v>
      </c>
      <c r="I202" s="349"/>
      <c r="J202" s="350"/>
      <c r="K202" s="161"/>
    </row>
    <row r="203" spans="1:11" ht="41.25" customHeight="1" x14ac:dyDescent="0.25">
      <c r="A203" s="7"/>
      <c r="B203" s="181"/>
      <c r="C203" s="15" t="s">
        <v>8</v>
      </c>
      <c r="D203" s="16" t="s">
        <v>27</v>
      </c>
      <c r="E203" s="7"/>
      <c r="F203" s="95"/>
      <c r="G203" s="95"/>
      <c r="H203" s="95"/>
      <c r="I203" s="99"/>
      <c r="J203" s="100"/>
      <c r="K203" s="161"/>
    </row>
    <row r="204" spans="1:11" ht="141" customHeight="1" x14ac:dyDescent="0.25">
      <c r="A204" s="96" t="s">
        <v>426</v>
      </c>
      <c r="B204" s="181"/>
      <c r="C204" s="6"/>
      <c r="D204" s="53" t="s">
        <v>9</v>
      </c>
      <c r="E204" s="7"/>
      <c r="F204" s="95"/>
      <c r="G204" s="95"/>
      <c r="H204" s="95"/>
      <c r="I204" s="99"/>
      <c r="J204" s="100"/>
      <c r="K204" s="161"/>
    </row>
    <row r="205" spans="1:11" ht="24" customHeight="1" x14ac:dyDescent="0.25">
      <c r="A205" s="174" t="s">
        <v>421</v>
      </c>
      <c r="B205" s="174" t="s">
        <v>427</v>
      </c>
      <c r="C205" s="51"/>
      <c r="D205" s="12" t="s">
        <v>286</v>
      </c>
      <c r="E205" s="1315" t="s">
        <v>286</v>
      </c>
      <c r="F205" s="102">
        <f>'3.3.расчет прочих дс'!J282</f>
        <v>1455</v>
      </c>
      <c r="G205" s="326">
        <f t="shared" ref="G205:G218" si="12">F205</f>
        <v>1455</v>
      </c>
      <c r="H205" s="326">
        <f t="shared" ref="H205:H218" si="13">F205</f>
        <v>1455</v>
      </c>
      <c r="I205" s="1318" t="s">
        <v>883</v>
      </c>
      <c r="J205" s="1319"/>
      <c r="K205" s="160"/>
    </row>
    <row r="206" spans="1:11" ht="36" x14ac:dyDescent="0.25">
      <c r="A206" s="174" t="s">
        <v>413</v>
      </c>
      <c r="B206" s="174" t="s">
        <v>430</v>
      </c>
      <c r="C206" s="51"/>
      <c r="D206" s="12" t="s">
        <v>286</v>
      </c>
      <c r="E206" s="1316"/>
      <c r="F206" s="102">
        <f>'3.3.расчет прочих дс'!J283</f>
        <v>1455</v>
      </c>
      <c r="G206" s="326">
        <f t="shared" si="12"/>
        <v>1455</v>
      </c>
      <c r="H206" s="326">
        <f t="shared" si="13"/>
        <v>1455</v>
      </c>
      <c r="I206" s="1318" t="s">
        <v>883</v>
      </c>
      <c r="J206" s="1319"/>
      <c r="K206" s="160"/>
    </row>
    <row r="207" spans="1:11" ht="27.75" customHeight="1" x14ac:dyDescent="0.25">
      <c r="A207" s="174" t="s">
        <v>700</v>
      </c>
      <c r="B207" s="174" t="s">
        <v>427</v>
      </c>
      <c r="C207" s="51"/>
      <c r="D207" s="12" t="s">
        <v>286</v>
      </c>
      <c r="E207" s="1316"/>
      <c r="F207" s="102">
        <f>'3.3.расчет прочих дс'!J284</f>
        <v>1455</v>
      </c>
      <c r="G207" s="326">
        <f t="shared" si="12"/>
        <v>1455</v>
      </c>
      <c r="H207" s="326">
        <f t="shared" si="13"/>
        <v>1455</v>
      </c>
      <c r="I207" s="1318" t="s">
        <v>883</v>
      </c>
      <c r="J207" s="1319"/>
      <c r="K207" s="160"/>
    </row>
    <row r="208" spans="1:11" ht="27.75" customHeight="1" x14ac:dyDescent="0.25">
      <c r="A208" s="174" t="s">
        <v>414</v>
      </c>
      <c r="B208" s="174" t="s">
        <v>430</v>
      </c>
      <c r="C208" s="51"/>
      <c r="D208" s="12" t="s">
        <v>286</v>
      </c>
      <c r="E208" s="1316"/>
      <c r="F208" s="102">
        <f>'3.3.расчет прочих дс'!J285</f>
        <v>1455</v>
      </c>
      <c r="G208" s="326">
        <f t="shared" si="12"/>
        <v>1455</v>
      </c>
      <c r="H208" s="326">
        <f t="shared" si="13"/>
        <v>1455</v>
      </c>
      <c r="I208" s="1318" t="s">
        <v>883</v>
      </c>
      <c r="J208" s="1319"/>
      <c r="K208" s="160"/>
    </row>
    <row r="209" spans="1:11" ht="48" x14ac:dyDescent="0.25">
      <c r="A209" s="174" t="s">
        <v>415</v>
      </c>
      <c r="B209" s="174" t="s">
        <v>430</v>
      </c>
      <c r="C209" s="51"/>
      <c r="D209" s="12" t="s">
        <v>286</v>
      </c>
      <c r="E209" s="1316"/>
      <c r="F209" s="102">
        <f>'3.3.расчет прочих дс'!J286</f>
        <v>1455</v>
      </c>
      <c r="G209" s="326">
        <f t="shared" si="12"/>
        <v>1455</v>
      </c>
      <c r="H209" s="326">
        <f t="shared" si="13"/>
        <v>1455</v>
      </c>
      <c r="I209" s="1318" t="s">
        <v>883</v>
      </c>
      <c r="J209" s="1319"/>
      <c r="K209" s="160"/>
    </row>
    <row r="210" spans="1:11" ht="27" customHeight="1" x14ac:dyDescent="0.25">
      <c r="A210" s="92" t="s">
        <v>416</v>
      </c>
      <c r="B210" s="174" t="s">
        <v>429</v>
      </c>
      <c r="C210" s="51"/>
      <c r="D210" s="12" t="s">
        <v>286</v>
      </c>
      <c r="E210" s="1316"/>
      <c r="F210" s="102">
        <f>'3.3.расчет прочих дс'!J287</f>
        <v>1455</v>
      </c>
      <c r="G210" s="326">
        <f t="shared" si="12"/>
        <v>1455</v>
      </c>
      <c r="H210" s="326">
        <f t="shared" si="13"/>
        <v>1455</v>
      </c>
      <c r="I210" s="1318" t="s">
        <v>883</v>
      </c>
      <c r="J210" s="1319"/>
      <c r="K210" s="160"/>
    </row>
    <row r="211" spans="1:11" ht="26.25" customHeight="1" x14ac:dyDescent="0.25">
      <c r="A211" s="98" t="s">
        <v>417</v>
      </c>
      <c r="B211" s="174" t="s">
        <v>429</v>
      </c>
      <c r="C211" s="51"/>
      <c r="D211" s="12" t="s">
        <v>286</v>
      </c>
      <c r="E211" s="1316"/>
      <c r="F211" s="102">
        <f>'3.3.расчет прочих дс'!J288</f>
        <v>1455</v>
      </c>
      <c r="G211" s="326">
        <f t="shared" si="12"/>
        <v>1455</v>
      </c>
      <c r="H211" s="326">
        <f t="shared" si="13"/>
        <v>1455</v>
      </c>
      <c r="I211" s="1318" t="s">
        <v>883</v>
      </c>
      <c r="J211" s="1319"/>
      <c r="K211" s="160"/>
    </row>
    <row r="212" spans="1:11" ht="26.25" customHeight="1" x14ac:dyDescent="0.25">
      <c r="A212" s="98" t="s">
        <v>422</v>
      </c>
      <c r="B212" s="174" t="s">
        <v>428</v>
      </c>
      <c r="C212" s="51"/>
      <c r="D212" s="12" t="s">
        <v>286</v>
      </c>
      <c r="E212" s="1316"/>
      <c r="F212" s="102">
        <f>'3.3.расчет прочих дс'!J289</f>
        <v>1455</v>
      </c>
      <c r="G212" s="326">
        <f t="shared" si="12"/>
        <v>1455</v>
      </c>
      <c r="H212" s="326">
        <f t="shared" si="13"/>
        <v>1455</v>
      </c>
      <c r="I212" s="1318" t="s">
        <v>883</v>
      </c>
      <c r="J212" s="1319"/>
      <c r="K212" s="160"/>
    </row>
    <row r="213" spans="1:11" ht="26.25" customHeight="1" x14ac:dyDescent="0.25">
      <c r="A213" s="98" t="s">
        <v>418</v>
      </c>
      <c r="B213" s="174" t="s">
        <v>429</v>
      </c>
      <c r="C213" s="51"/>
      <c r="D213" s="12" t="s">
        <v>286</v>
      </c>
      <c r="E213" s="1316"/>
      <c r="F213" s="102">
        <f>'3.3.расчет прочих дс'!J290</f>
        <v>1455</v>
      </c>
      <c r="G213" s="326">
        <f t="shared" si="12"/>
        <v>1455</v>
      </c>
      <c r="H213" s="326">
        <f t="shared" si="13"/>
        <v>1455</v>
      </c>
      <c r="I213" s="1318" t="s">
        <v>883</v>
      </c>
      <c r="J213" s="1319"/>
      <c r="K213" s="160"/>
    </row>
    <row r="214" spans="1:11" ht="26.25" customHeight="1" x14ac:dyDescent="0.25">
      <c r="A214" s="92" t="s">
        <v>423</v>
      </c>
      <c r="B214" s="174" t="s">
        <v>427</v>
      </c>
      <c r="C214" s="51"/>
      <c r="D214" s="12" t="s">
        <v>286</v>
      </c>
      <c r="E214" s="1316"/>
      <c r="F214" s="102">
        <f>'3.3.расчет прочих дс'!J291</f>
        <v>1455</v>
      </c>
      <c r="G214" s="326">
        <f t="shared" si="12"/>
        <v>1455</v>
      </c>
      <c r="H214" s="326">
        <f t="shared" si="13"/>
        <v>1455</v>
      </c>
      <c r="I214" s="1318" t="s">
        <v>883</v>
      </c>
      <c r="J214" s="1319"/>
      <c r="K214" s="160"/>
    </row>
    <row r="215" spans="1:11" ht="26.25" customHeight="1" x14ac:dyDescent="0.25">
      <c r="A215" s="174" t="s">
        <v>419</v>
      </c>
      <c r="B215" s="174" t="s">
        <v>430</v>
      </c>
      <c r="C215" s="51"/>
      <c r="D215" s="12" t="s">
        <v>286</v>
      </c>
      <c r="E215" s="1316"/>
      <c r="F215" s="102">
        <f>'3.3.расчет прочих дс'!J292</f>
        <v>1455</v>
      </c>
      <c r="G215" s="326">
        <f t="shared" si="12"/>
        <v>1455</v>
      </c>
      <c r="H215" s="326">
        <f t="shared" si="13"/>
        <v>1455</v>
      </c>
      <c r="I215" s="1318" t="s">
        <v>883</v>
      </c>
      <c r="J215" s="1319"/>
      <c r="K215" s="160"/>
    </row>
    <row r="216" spans="1:11" ht="26.25" customHeight="1" x14ac:dyDescent="0.25">
      <c r="A216" s="92" t="s">
        <v>424</v>
      </c>
      <c r="B216" s="174" t="s">
        <v>427</v>
      </c>
      <c r="C216" s="51"/>
      <c r="D216" s="12" t="s">
        <v>286</v>
      </c>
      <c r="E216" s="1316"/>
      <c r="F216" s="102">
        <f>'3.3.расчет прочих дс'!J293</f>
        <v>1455</v>
      </c>
      <c r="G216" s="326">
        <f t="shared" si="12"/>
        <v>1455</v>
      </c>
      <c r="H216" s="326">
        <f t="shared" si="13"/>
        <v>1455</v>
      </c>
      <c r="I216" s="1318" t="s">
        <v>883</v>
      </c>
      <c r="J216" s="1319"/>
      <c r="K216" s="160"/>
    </row>
    <row r="217" spans="1:11" ht="26.25" customHeight="1" x14ac:dyDescent="0.25">
      <c r="A217" s="174" t="s">
        <v>420</v>
      </c>
      <c r="B217" s="174" t="s">
        <v>430</v>
      </c>
      <c r="C217" s="51"/>
      <c r="D217" s="12" t="s">
        <v>286</v>
      </c>
      <c r="E217" s="1316"/>
      <c r="F217" s="102">
        <f>'3.3.расчет прочих дс'!J294</f>
        <v>1455</v>
      </c>
      <c r="G217" s="326">
        <f t="shared" si="12"/>
        <v>1455</v>
      </c>
      <c r="H217" s="326">
        <f t="shared" si="13"/>
        <v>1455</v>
      </c>
      <c r="I217" s="1318" t="s">
        <v>883</v>
      </c>
      <c r="J217" s="1319"/>
      <c r="K217" s="160"/>
    </row>
    <row r="218" spans="1:11" ht="26.25" hidden="1" customHeight="1" x14ac:dyDescent="0.25">
      <c r="A218" s="340"/>
      <c r="B218" s="174"/>
      <c r="C218" s="51"/>
      <c r="D218" s="12" t="s">
        <v>286</v>
      </c>
      <c r="E218" s="1317"/>
      <c r="F218" s="102">
        <f>'3.3.расчет прочих дс'!J295</f>
        <v>1455</v>
      </c>
      <c r="G218" s="326">
        <f t="shared" si="12"/>
        <v>1455</v>
      </c>
      <c r="H218" s="326">
        <f t="shared" si="13"/>
        <v>1455</v>
      </c>
      <c r="I218" s="1318" t="s">
        <v>883</v>
      </c>
      <c r="J218" s="1319"/>
      <c r="K218" s="160"/>
    </row>
    <row r="219" spans="1:11" ht="78.75" x14ac:dyDescent="0.25">
      <c r="A219" s="96" t="s">
        <v>431</v>
      </c>
      <c r="B219" s="181"/>
      <c r="C219" s="15"/>
      <c r="D219" s="53" t="s">
        <v>443</v>
      </c>
      <c r="E219" s="7"/>
      <c r="F219" s="95"/>
      <c r="G219" s="95"/>
      <c r="H219" s="95"/>
      <c r="I219" s="99"/>
      <c r="J219" s="100"/>
      <c r="K219" s="161"/>
    </row>
    <row r="220" spans="1:11" ht="27.75" customHeight="1" x14ac:dyDescent="0.25">
      <c r="A220" s="12" t="s">
        <v>702</v>
      </c>
      <c r="B220" s="174" t="s">
        <v>432</v>
      </c>
      <c r="C220" s="51"/>
      <c r="D220" s="12" t="s">
        <v>444</v>
      </c>
      <c r="E220" s="1315" t="s">
        <v>260</v>
      </c>
      <c r="F220" s="102">
        <f>'3.4.присмотр и уход'!B25</f>
        <v>24133.919999999998</v>
      </c>
      <c r="G220" s="326">
        <f>F220</f>
        <v>24133.919999999998</v>
      </c>
      <c r="H220" s="326">
        <f>F220</f>
        <v>24133.919999999998</v>
      </c>
      <c r="I220" s="1318" t="s">
        <v>956</v>
      </c>
      <c r="J220" s="1319"/>
      <c r="K220" s="160"/>
    </row>
    <row r="221" spans="1:11" ht="36" x14ac:dyDescent="0.25">
      <c r="A221" s="12" t="s">
        <v>703</v>
      </c>
      <c r="B221" s="174" t="s">
        <v>433</v>
      </c>
      <c r="C221" s="51"/>
      <c r="D221" s="12" t="s">
        <v>444</v>
      </c>
      <c r="E221" s="1316"/>
      <c r="F221" s="102">
        <f>'3.4.присмотр и уход'!B26</f>
        <v>24133.919999999998</v>
      </c>
      <c r="G221" s="326">
        <f t="shared" ref="G221:G231" si="14">F221</f>
        <v>24133.919999999998</v>
      </c>
      <c r="H221" s="326">
        <f t="shared" ref="H221:H231" si="15">F221</f>
        <v>24133.919999999998</v>
      </c>
      <c r="I221" s="1318" t="s">
        <v>956</v>
      </c>
      <c r="J221" s="1319"/>
      <c r="K221" s="160"/>
    </row>
    <row r="222" spans="1:11" ht="24" customHeight="1" x14ac:dyDescent="0.25">
      <c r="A222" s="12" t="s">
        <v>704</v>
      </c>
      <c r="B222" s="174" t="s">
        <v>434</v>
      </c>
      <c r="C222" s="51"/>
      <c r="D222" s="12" t="s">
        <v>444</v>
      </c>
      <c r="E222" s="1316"/>
      <c r="F222" s="102">
        <f>'3.4.присмотр и уход'!B27</f>
        <v>24133.919999999998</v>
      </c>
      <c r="G222" s="326">
        <f t="shared" si="14"/>
        <v>24133.919999999998</v>
      </c>
      <c r="H222" s="326">
        <f t="shared" si="15"/>
        <v>24133.919999999998</v>
      </c>
      <c r="I222" s="1318" t="s">
        <v>956</v>
      </c>
      <c r="J222" s="1319"/>
      <c r="K222" s="160"/>
    </row>
    <row r="223" spans="1:11" s="435" customFormat="1" ht="24" customHeight="1" x14ac:dyDescent="0.25">
      <c r="A223" s="641" t="s">
        <v>1407</v>
      </c>
      <c r="B223" s="174" t="s">
        <v>435</v>
      </c>
      <c r="C223" s="51"/>
      <c r="D223" s="12" t="s">
        <v>444</v>
      </c>
      <c r="E223" s="1316"/>
      <c r="F223" s="102">
        <f>'3.4.присмотр и уход'!B28</f>
        <v>24133.919999999998</v>
      </c>
      <c r="G223" s="326">
        <f t="shared" ref="G223" si="16">F223</f>
        <v>24133.919999999998</v>
      </c>
      <c r="H223" s="326">
        <f t="shared" ref="H223" si="17">F223</f>
        <v>24133.919999999998</v>
      </c>
      <c r="I223" s="1318" t="s">
        <v>956</v>
      </c>
      <c r="J223" s="1319"/>
      <c r="K223" s="160"/>
    </row>
    <row r="224" spans="1:11" ht="36" x14ac:dyDescent="0.25">
      <c r="A224" s="12" t="s">
        <v>948</v>
      </c>
      <c r="B224" s="174" t="s">
        <v>435</v>
      </c>
      <c r="C224" s="51"/>
      <c r="D224" s="12" t="s">
        <v>444</v>
      </c>
      <c r="E224" s="1316"/>
      <c r="F224" s="102">
        <f>'3.4.присмотр и уход'!B29</f>
        <v>11203.7</v>
      </c>
      <c r="G224" s="326">
        <f t="shared" si="14"/>
        <v>11203.7</v>
      </c>
      <c r="H224" s="326">
        <f t="shared" si="15"/>
        <v>11203.7</v>
      </c>
      <c r="I224" s="1318" t="s">
        <v>956</v>
      </c>
      <c r="J224" s="1319"/>
      <c r="K224" s="160"/>
    </row>
    <row r="225" spans="1:11" ht="36" x14ac:dyDescent="0.25">
      <c r="A225" s="12" t="s">
        <v>705</v>
      </c>
      <c r="B225" s="174" t="s">
        <v>436</v>
      </c>
      <c r="C225" s="51"/>
      <c r="D225" s="12" t="s">
        <v>444</v>
      </c>
      <c r="E225" s="1316"/>
      <c r="F225" s="102">
        <f>'3.4.присмотр и уход'!B30</f>
        <v>5662.17</v>
      </c>
      <c r="G225" s="326">
        <f t="shared" si="14"/>
        <v>5662.17</v>
      </c>
      <c r="H225" s="326">
        <f t="shared" si="15"/>
        <v>5662.17</v>
      </c>
      <c r="I225" s="1318" t="s">
        <v>956</v>
      </c>
      <c r="J225" s="1319"/>
      <c r="K225" s="160"/>
    </row>
    <row r="226" spans="1:11" ht="28.5" customHeight="1" x14ac:dyDescent="0.25">
      <c r="A226" s="98" t="s">
        <v>706</v>
      </c>
      <c r="B226" s="174" t="s">
        <v>437</v>
      </c>
      <c r="C226" s="51"/>
      <c r="D226" s="12" t="s">
        <v>444</v>
      </c>
      <c r="E226" s="1316"/>
      <c r="F226" s="102">
        <f>'3.4.присмотр и уход'!B31</f>
        <v>28838.38</v>
      </c>
      <c r="G226" s="326">
        <f t="shared" si="14"/>
        <v>28838.38</v>
      </c>
      <c r="H226" s="326">
        <f t="shared" si="15"/>
        <v>28838.38</v>
      </c>
      <c r="I226" s="1318" t="s">
        <v>956</v>
      </c>
      <c r="J226" s="1319"/>
      <c r="K226" s="160"/>
    </row>
    <row r="227" spans="1:11" ht="36" x14ac:dyDescent="0.25">
      <c r="A227" s="98" t="s">
        <v>707</v>
      </c>
      <c r="B227" s="174" t="s">
        <v>438</v>
      </c>
      <c r="C227" s="51"/>
      <c r="D227" s="12" t="s">
        <v>444</v>
      </c>
      <c r="E227" s="1316"/>
      <c r="F227" s="102">
        <f>'3.4.присмотр и уход'!B32</f>
        <v>28838.38</v>
      </c>
      <c r="G227" s="326">
        <f t="shared" si="14"/>
        <v>28838.38</v>
      </c>
      <c r="H227" s="326">
        <f t="shared" si="15"/>
        <v>28838.38</v>
      </c>
      <c r="I227" s="1318" t="s">
        <v>956</v>
      </c>
      <c r="J227" s="1319"/>
      <c r="K227" s="160"/>
    </row>
    <row r="228" spans="1:11" ht="27" customHeight="1" x14ac:dyDescent="0.25">
      <c r="A228" s="98" t="s">
        <v>708</v>
      </c>
      <c r="B228" s="174" t="s">
        <v>439</v>
      </c>
      <c r="C228" s="51"/>
      <c r="D228" s="12" t="s">
        <v>444</v>
      </c>
      <c r="E228" s="1316"/>
      <c r="F228" s="102">
        <f>'3.4.присмотр и уход'!B33</f>
        <v>28838.38</v>
      </c>
      <c r="G228" s="326">
        <f t="shared" si="14"/>
        <v>28838.38</v>
      </c>
      <c r="H228" s="326">
        <f t="shared" si="15"/>
        <v>28838.38</v>
      </c>
      <c r="I228" s="1318" t="s">
        <v>956</v>
      </c>
      <c r="J228" s="1319"/>
      <c r="K228" s="160"/>
    </row>
    <row r="229" spans="1:11" s="435" customFormat="1" ht="27" customHeight="1" x14ac:dyDescent="0.25">
      <c r="A229" s="643" t="s">
        <v>1409</v>
      </c>
      <c r="B229" s="174" t="s">
        <v>440</v>
      </c>
      <c r="C229" s="51"/>
      <c r="D229" s="12" t="s">
        <v>444</v>
      </c>
      <c r="E229" s="1316"/>
      <c r="F229" s="102">
        <f>'3.4.присмотр и уход'!B34</f>
        <v>28838.38</v>
      </c>
      <c r="G229" s="326">
        <f t="shared" ref="G229" si="18">F229</f>
        <v>28838.38</v>
      </c>
      <c r="H229" s="326">
        <f t="shared" ref="H229" si="19">F229</f>
        <v>28838.38</v>
      </c>
      <c r="I229" s="1318" t="s">
        <v>956</v>
      </c>
      <c r="J229" s="1319"/>
      <c r="K229" s="160"/>
    </row>
    <row r="230" spans="1:11" ht="36" x14ac:dyDescent="0.25">
      <c r="A230" s="98" t="s">
        <v>949</v>
      </c>
      <c r="B230" s="174" t="s">
        <v>440</v>
      </c>
      <c r="C230" s="51"/>
      <c r="D230" s="12" t="s">
        <v>444</v>
      </c>
      <c r="E230" s="1316"/>
      <c r="F230" s="102">
        <f>'3.4.присмотр и уход'!B35</f>
        <v>13231.43</v>
      </c>
      <c r="G230" s="326">
        <f t="shared" si="14"/>
        <v>13231.43</v>
      </c>
      <c r="H230" s="326">
        <f t="shared" si="15"/>
        <v>13231.43</v>
      </c>
      <c r="I230" s="1318" t="s">
        <v>956</v>
      </c>
      <c r="J230" s="1319"/>
      <c r="K230" s="160"/>
    </row>
    <row r="231" spans="1:11" ht="36" x14ac:dyDescent="0.25">
      <c r="A231" s="98" t="s">
        <v>709</v>
      </c>
      <c r="B231" s="174" t="s">
        <v>441</v>
      </c>
      <c r="C231" s="51"/>
      <c r="D231" s="12" t="s">
        <v>444</v>
      </c>
      <c r="E231" s="1316"/>
      <c r="F231" s="102">
        <f>'3.4.присмотр и уход'!B36</f>
        <v>6542.73</v>
      </c>
      <c r="G231" s="326">
        <f t="shared" si="14"/>
        <v>6542.73</v>
      </c>
      <c r="H231" s="326">
        <f t="shared" si="15"/>
        <v>6542.73</v>
      </c>
      <c r="I231" s="1318" t="s">
        <v>956</v>
      </c>
      <c r="J231" s="1319"/>
      <c r="K231" s="160"/>
    </row>
    <row r="232" spans="1:11" ht="141" customHeight="1" x14ac:dyDescent="0.25">
      <c r="A232" s="96" t="s">
        <v>624</v>
      </c>
      <c r="B232" s="181"/>
      <c r="C232" s="6"/>
      <c r="D232" s="53" t="s">
        <v>9</v>
      </c>
      <c r="E232" s="7"/>
      <c r="F232" s="95"/>
      <c r="G232" s="95"/>
      <c r="H232" s="95"/>
      <c r="I232" s="99"/>
      <c r="J232" s="100"/>
      <c r="K232" s="161"/>
    </row>
    <row r="233" spans="1:11" ht="24" customHeight="1" x14ac:dyDescent="0.25">
      <c r="A233" s="12" t="s">
        <v>609</v>
      </c>
      <c r="B233" s="174" t="s">
        <v>617</v>
      </c>
      <c r="C233" s="51"/>
      <c r="D233" s="12" t="s">
        <v>286</v>
      </c>
      <c r="E233" s="1315" t="s">
        <v>286</v>
      </c>
      <c r="F233" s="102">
        <v>9428</v>
      </c>
      <c r="G233" s="326">
        <f t="shared" ref="G233:G258" si="20">F233</f>
        <v>9428</v>
      </c>
      <c r="H233" s="326">
        <f t="shared" ref="H233:H240" si="21">F233</f>
        <v>9428</v>
      </c>
      <c r="I233" s="1318" t="s">
        <v>957</v>
      </c>
      <c r="J233" s="1319"/>
      <c r="K233" s="160"/>
    </row>
    <row r="234" spans="1:11" ht="72" hidden="1" x14ac:dyDescent="0.25">
      <c r="A234" s="92" t="s">
        <v>610</v>
      </c>
      <c r="B234" s="174"/>
      <c r="C234" s="51"/>
      <c r="D234" s="12" t="s">
        <v>286</v>
      </c>
      <c r="E234" s="1316"/>
      <c r="F234" s="102">
        <v>9428</v>
      </c>
      <c r="G234" s="326">
        <f t="shared" si="20"/>
        <v>9428</v>
      </c>
      <c r="H234" s="326">
        <f t="shared" si="21"/>
        <v>9428</v>
      </c>
      <c r="I234" s="1318" t="s">
        <v>957</v>
      </c>
      <c r="J234" s="1319"/>
      <c r="K234" s="160"/>
    </row>
    <row r="235" spans="1:11" ht="37.5" customHeight="1" x14ac:dyDescent="0.25">
      <c r="A235" s="12" t="s">
        <v>625</v>
      </c>
      <c r="B235" s="174" t="s">
        <v>978</v>
      </c>
      <c r="C235" s="51"/>
      <c r="D235" s="12" t="s">
        <v>286</v>
      </c>
      <c r="E235" s="1316"/>
      <c r="F235" s="102">
        <v>9428</v>
      </c>
      <c r="G235" s="326">
        <f t="shared" si="20"/>
        <v>9428</v>
      </c>
      <c r="H235" s="326">
        <f t="shared" si="21"/>
        <v>9428</v>
      </c>
      <c r="I235" s="1318" t="s">
        <v>957</v>
      </c>
      <c r="J235" s="1319"/>
      <c r="K235" s="160"/>
    </row>
    <row r="236" spans="1:11" ht="27.75" customHeight="1" x14ac:dyDescent="0.25">
      <c r="A236" s="12" t="s">
        <v>626</v>
      </c>
      <c r="B236" s="174" t="s">
        <v>618</v>
      </c>
      <c r="C236" s="51"/>
      <c r="D236" s="12" t="s">
        <v>286</v>
      </c>
      <c r="E236" s="1316"/>
      <c r="F236" s="102">
        <v>9428</v>
      </c>
      <c r="G236" s="326">
        <f t="shared" si="20"/>
        <v>9428</v>
      </c>
      <c r="H236" s="326">
        <f t="shared" si="21"/>
        <v>9428</v>
      </c>
      <c r="I236" s="1318" t="s">
        <v>957</v>
      </c>
      <c r="J236" s="1319"/>
      <c r="K236" s="160"/>
    </row>
    <row r="237" spans="1:11" ht="60" hidden="1" x14ac:dyDescent="0.25">
      <c r="A237" s="92" t="s">
        <v>639</v>
      </c>
      <c r="B237" s="174"/>
      <c r="C237" s="51"/>
      <c r="D237" s="12" t="s">
        <v>286</v>
      </c>
      <c r="E237" s="1316"/>
      <c r="F237" s="102">
        <v>9428</v>
      </c>
      <c r="G237" s="326">
        <f t="shared" si="20"/>
        <v>9428</v>
      </c>
      <c r="H237" s="326">
        <f t="shared" si="21"/>
        <v>9428</v>
      </c>
      <c r="I237" s="1318" t="s">
        <v>957</v>
      </c>
      <c r="J237" s="1319"/>
      <c r="K237" s="160"/>
    </row>
    <row r="238" spans="1:11" ht="27" customHeight="1" x14ac:dyDescent="0.25">
      <c r="A238" s="12" t="s">
        <v>627</v>
      </c>
      <c r="B238" s="174" t="s">
        <v>619</v>
      </c>
      <c r="C238" s="51"/>
      <c r="D238" s="12" t="s">
        <v>286</v>
      </c>
      <c r="E238" s="1316"/>
      <c r="F238" s="102">
        <v>9428</v>
      </c>
      <c r="G238" s="326">
        <f t="shared" si="20"/>
        <v>9428</v>
      </c>
      <c r="H238" s="326">
        <f t="shared" si="21"/>
        <v>9428</v>
      </c>
      <c r="I238" s="1318" t="s">
        <v>957</v>
      </c>
      <c r="J238" s="1319"/>
      <c r="K238" s="160"/>
    </row>
    <row r="239" spans="1:11" ht="26.25" hidden="1" customHeight="1" x14ac:dyDescent="0.25">
      <c r="A239" s="92" t="s">
        <v>608</v>
      </c>
      <c r="B239" s="174"/>
      <c r="C239" s="51"/>
      <c r="D239" s="12" t="s">
        <v>286</v>
      </c>
      <c r="E239" s="1316"/>
      <c r="F239" s="102">
        <v>9428</v>
      </c>
      <c r="G239" s="326">
        <f t="shared" si="20"/>
        <v>9428</v>
      </c>
      <c r="H239" s="326">
        <f t="shared" si="21"/>
        <v>9428</v>
      </c>
      <c r="I239" s="1318" t="s">
        <v>957</v>
      </c>
      <c r="J239" s="1319"/>
      <c r="K239" s="160"/>
    </row>
    <row r="240" spans="1:11" ht="26.25" hidden="1" customHeight="1" x14ac:dyDescent="0.25">
      <c r="A240" s="92" t="s">
        <v>611</v>
      </c>
      <c r="B240" s="174"/>
      <c r="C240" s="51"/>
      <c r="D240" s="12" t="s">
        <v>286</v>
      </c>
      <c r="E240" s="1317"/>
      <c r="F240" s="102">
        <v>9428</v>
      </c>
      <c r="G240" s="326">
        <f t="shared" si="20"/>
        <v>9428</v>
      </c>
      <c r="H240" s="326">
        <f t="shared" si="21"/>
        <v>9428</v>
      </c>
      <c r="I240" s="1318" t="s">
        <v>957</v>
      </c>
      <c r="J240" s="1319"/>
      <c r="K240" s="160"/>
    </row>
    <row r="241" spans="1:11" ht="141" customHeight="1" x14ac:dyDescent="0.25">
      <c r="A241" s="96" t="s">
        <v>603</v>
      </c>
      <c r="B241" s="181"/>
      <c r="C241" s="6"/>
      <c r="D241" s="53" t="s">
        <v>9</v>
      </c>
      <c r="E241" s="7"/>
      <c r="F241" s="95"/>
      <c r="G241" s="95"/>
      <c r="H241" s="95"/>
      <c r="I241" s="99"/>
      <c r="J241" s="100"/>
      <c r="K241" s="161"/>
    </row>
    <row r="242" spans="1:11" ht="15.75" customHeight="1" x14ac:dyDescent="0.25">
      <c r="A242" s="12" t="s">
        <v>609</v>
      </c>
      <c r="B242" s="174" t="s">
        <v>604</v>
      </c>
      <c r="C242" s="51"/>
      <c r="D242" s="12" t="s">
        <v>286</v>
      </c>
      <c r="E242" s="1315" t="s">
        <v>286</v>
      </c>
      <c r="F242" s="102">
        <f>'3.9.расчет прочих'!J273</f>
        <v>9428</v>
      </c>
      <c r="G242" s="326">
        <f t="shared" si="20"/>
        <v>9428</v>
      </c>
      <c r="H242" s="326">
        <f t="shared" ref="H242:H249" si="22">F242</f>
        <v>9428</v>
      </c>
      <c r="I242" s="1318" t="s">
        <v>957</v>
      </c>
      <c r="J242" s="1319"/>
      <c r="K242" s="160"/>
    </row>
    <row r="243" spans="1:11" ht="72" hidden="1" x14ac:dyDescent="0.25">
      <c r="A243" s="92" t="s">
        <v>610</v>
      </c>
      <c r="B243" s="174"/>
      <c r="C243" s="51"/>
      <c r="D243" s="12" t="s">
        <v>286</v>
      </c>
      <c r="E243" s="1316"/>
      <c r="F243" s="102">
        <f>'3.9.расчет прочих'!J274</f>
        <v>9428</v>
      </c>
      <c r="G243" s="326">
        <f t="shared" si="20"/>
        <v>9428</v>
      </c>
      <c r="H243" s="326">
        <f t="shared" si="22"/>
        <v>9428</v>
      </c>
      <c r="I243" s="1318" t="s">
        <v>957</v>
      </c>
      <c r="J243" s="1319"/>
      <c r="K243" s="160"/>
    </row>
    <row r="244" spans="1:11" ht="27.75" customHeight="1" x14ac:dyDescent="0.25">
      <c r="A244" s="12" t="s">
        <v>625</v>
      </c>
      <c r="B244" s="174" t="s">
        <v>605</v>
      </c>
      <c r="C244" s="51"/>
      <c r="D244" s="12" t="s">
        <v>286</v>
      </c>
      <c r="E244" s="1316"/>
      <c r="F244" s="102">
        <f>'3.9.расчет прочих'!J275</f>
        <v>9428</v>
      </c>
      <c r="G244" s="326">
        <f t="shared" si="20"/>
        <v>9428</v>
      </c>
      <c r="H244" s="326">
        <f t="shared" si="22"/>
        <v>9428</v>
      </c>
      <c r="I244" s="1318" t="s">
        <v>957</v>
      </c>
      <c r="J244" s="1319"/>
      <c r="K244" s="160"/>
    </row>
    <row r="245" spans="1:11" ht="27.75" hidden="1" customHeight="1" x14ac:dyDescent="0.25">
      <c r="A245" s="92" t="s">
        <v>639</v>
      </c>
      <c r="B245" s="174"/>
      <c r="C245" s="51"/>
      <c r="D245" s="12" t="s">
        <v>286</v>
      </c>
      <c r="E245" s="1316"/>
      <c r="F245" s="102">
        <f>'3.9.расчет прочих'!J276</f>
        <v>9428</v>
      </c>
      <c r="G245" s="326">
        <f t="shared" si="20"/>
        <v>9428</v>
      </c>
      <c r="H245" s="326">
        <f t="shared" si="22"/>
        <v>9428</v>
      </c>
      <c r="I245" s="1318" t="s">
        <v>957</v>
      </c>
      <c r="J245" s="1319"/>
      <c r="K245" s="160"/>
    </row>
    <row r="246" spans="1:11" ht="24" x14ac:dyDescent="0.25">
      <c r="A246" s="12" t="s">
        <v>626</v>
      </c>
      <c r="B246" s="174" t="s">
        <v>606</v>
      </c>
      <c r="C246" s="51"/>
      <c r="D246" s="12" t="s">
        <v>286</v>
      </c>
      <c r="E246" s="1316"/>
      <c r="F246" s="102">
        <f>'3.9.расчет прочих'!J277</f>
        <v>9428</v>
      </c>
      <c r="G246" s="326">
        <f t="shared" si="20"/>
        <v>9428</v>
      </c>
      <c r="H246" s="326">
        <f t="shared" si="22"/>
        <v>9428</v>
      </c>
      <c r="I246" s="1318" t="s">
        <v>957</v>
      </c>
      <c r="J246" s="1319"/>
      <c r="K246" s="160"/>
    </row>
    <row r="247" spans="1:11" ht="27" customHeight="1" x14ac:dyDescent="0.25">
      <c r="A247" s="12" t="s">
        <v>627</v>
      </c>
      <c r="B247" s="174" t="s">
        <v>607</v>
      </c>
      <c r="C247" s="51"/>
      <c r="D247" s="12" t="s">
        <v>286</v>
      </c>
      <c r="E247" s="1316"/>
      <c r="F247" s="102">
        <f>'3.9.расчет прочих'!J278</f>
        <v>9428</v>
      </c>
      <c r="G247" s="326">
        <f t="shared" si="20"/>
        <v>9428</v>
      </c>
      <c r="H247" s="326">
        <f t="shared" si="22"/>
        <v>9428</v>
      </c>
      <c r="I247" s="1318" t="s">
        <v>957</v>
      </c>
      <c r="J247" s="1319"/>
      <c r="K247" s="160"/>
    </row>
    <row r="248" spans="1:11" ht="14.25" customHeight="1" x14ac:dyDescent="0.25">
      <c r="A248" s="174" t="s">
        <v>608</v>
      </c>
      <c r="B248" s="174" t="s">
        <v>979</v>
      </c>
      <c r="C248" s="51"/>
      <c r="D248" s="12" t="s">
        <v>286</v>
      </c>
      <c r="E248" s="1316"/>
      <c r="F248" s="102">
        <f>'3.9.расчет прочих'!J279</f>
        <v>9428</v>
      </c>
      <c r="G248" s="326">
        <f t="shared" si="20"/>
        <v>9428</v>
      </c>
      <c r="H248" s="326">
        <f t="shared" si="22"/>
        <v>9428</v>
      </c>
      <c r="I248" s="1318" t="s">
        <v>957</v>
      </c>
      <c r="J248" s="1319"/>
      <c r="K248" s="160"/>
    </row>
    <row r="249" spans="1:11" ht="15" customHeight="1" x14ac:dyDescent="0.25">
      <c r="A249" s="174" t="s">
        <v>611</v>
      </c>
      <c r="B249" s="174" t="s">
        <v>2233</v>
      </c>
      <c r="C249" s="51"/>
      <c r="D249" s="12" t="s">
        <v>286</v>
      </c>
      <c r="E249" s="1317"/>
      <c r="F249" s="102">
        <f>'3.9.расчет прочих'!J280</f>
        <v>9428</v>
      </c>
      <c r="G249" s="326">
        <f t="shared" si="20"/>
        <v>9428</v>
      </c>
      <c r="H249" s="326">
        <f t="shared" si="22"/>
        <v>9428</v>
      </c>
      <c r="I249" s="1318" t="s">
        <v>957</v>
      </c>
      <c r="J249" s="1319"/>
      <c r="K249" s="160"/>
    </row>
    <row r="250" spans="1:11" ht="141" customHeight="1" x14ac:dyDescent="0.25">
      <c r="A250" s="96" t="s">
        <v>620</v>
      </c>
      <c r="B250" s="181"/>
      <c r="C250" s="6"/>
      <c r="D250" s="53" t="s">
        <v>9</v>
      </c>
      <c r="E250" s="7"/>
      <c r="F250" s="95"/>
      <c r="G250" s="95"/>
      <c r="H250" s="95"/>
      <c r="I250" s="99"/>
      <c r="J250" s="100"/>
      <c r="K250" s="161"/>
    </row>
    <row r="251" spans="1:11" ht="15" customHeight="1" x14ac:dyDescent="0.25">
      <c r="A251" s="12" t="s">
        <v>609</v>
      </c>
      <c r="B251" s="174" t="s">
        <v>621</v>
      </c>
      <c r="C251" s="51"/>
      <c r="D251" s="12" t="s">
        <v>286</v>
      </c>
      <c r="E251" s="1315" t="s">
        <v>286</v>
      </c>
      <c r="F251" s="102">
        <f>'3.9.расчет прочих'!J282</f>
        <v>9428</v>
      </c>
      <c r="G251" s="326">
        <f t="shared" si="20"/>
        <v>9428</v>
      </c>
      <c r="H251" s="326">
        <f t="shared" ref="H251:H258" si="23">F251</f>
        <v>9428</v>
      </c>
      <c r="I251" s="1318" t="s">
        <v>957</v>
      </c>
      <c r="J251" s="1319"/>
      <c r="K251" s="160"/>
    </row>
    <row r="252" spans="1:11" ht="72" hidden="1" x14ac:dyDescent="0.25">
      <c r="A252" s="92" t="s">
        <v>610</v>
      </c>
      <c r="B252" s="174"/>
      <c r="C252" s="51"/>
      <c r="D252" s="12" t="s">
        <v>286</v>
      </c>
      <c r="E252" s="1316"/>
      <c r="F252" s="102">
        <f>'3.9.расчет прочих'!J283</f>
        <v>9428</v>
      </c>
      <c r="G252" s="326">
        <f t="shared" si="20"/>
        <v>9428</v>
      </c>
      <c r="H252" s="326">
        <f t="shared" si="23"/>
        <v>9428</v>
      </c>
      <c r="I252" s="1318" t="s">
        <v>957</v>
      </c>
      <c r="J252" s="1319"/>
      <c r="K252" s="160"/>
    </row>
    <row r="253" spans="1:11" ht="27.75" hidden="1" customHeight="1" x14ac:dyDescent="0.25">
      <c r="A253" s="92" t="s">
        <v>625</v>
      </c>
      <c r="B253" s="174"/>
      <c r="C253" s="51"/>
      <c r="D253" s="12" t="s">
        <v>286</v>
      </c>
      <c r="E253" s="1316"/>
      <c r="F253" s="102">
        <f>'3.9.расчет прочих'!J284</f>
        <v>9428</v>
      </c>
      <c r="G253" s="326">
        <f t="shared" si="20"/>
        <v>9428</v>
      </c>
      <c r="H253" s="326">
        <f t="shared" si="23"/>
        <v>9428</v>
      </c>
      <c r="I253" s="1318" t="s">
        <v>957</v>
      </c>
      <c r="J253" s="1319"/>
      <c r="K253" s="160"/>
    </row>
    <row r="254" spans="1:11" ht="27.75" hidden="1" customHeight="1" x14ac:dyDescent="0.25">
      <c r="A254" s="92" t="s">
        <v>639</v>
      </c>
      <c r="B254" s="174"/>
      <c r="C254" s="51"/>
      <c r="D254" s="12" t="s">
        <v>286</v>
      </c>
      <c r="E254" s="1316"/>
      <c r="F254" s="102">
        <f>'3.9.расчет прочих'!J285</f>
        <v>9428</v>
      </c>
      <c r="G254" s="326">
        <f t="shared" si="20"/>
        <v>9428</v>
      </c>
      <c r="H254" s="326">
        <f t="shared" si="23"/>
        <v>9428</v>
      </c>
      <c r="I254" s="1318" t="s">
        <v>957</v>
      </c>
      <c r="J254" s="1319"/>
      <c r="K254" s="160"/>
    </row>
    <row r="255" spans="1:11" ht="17.25" customHeight="1" x14ac:dyDescent="0.25">
      <c r="A255" s="12" t="s">
        <v>626</v>
      </c>
      <c r="B255" s="174" t="s">
        <v>980</v>
      </c>
      <c r="C255" s="51"/>
      <c r="D255" s="12" t="s">
        <v>286</v>
      </c>
      <c r="E255" s="1316"/>
      <c r="F255" s="102">
        <f>'3.9.расчет прочих'!J286</f>
        <v>9428</v>
      </c>
      <c r="G255" s="326">
        <f t="shared" si="20"/>
        <v>9428</v>
      </c>
      <c r="H255" s="326">
        <f t="shared" si="23"/>
        <v>9428</v>
      </c>
      <c r="I255" s="1318" t="s">
        <v>957</v>
      </c>
      <c r="J255" s="1319"/>
      <c r="K255" s="160"/>
    </row>
    <row r="256" spans="1:11" ht="27" customHeight="1" x14ac:dyDescent="0.25">
      <c r="A256" s="12" t="s">
        <v>627</v>
      </c>
      <c r="B256" s="174" t="s">
        <v>622</v>
      </c>
      <c r="C256" s="51"/>
      <c r="D256" s="12" t="s">
        <v>286</v>
      </c>
      <c r="E256" s="1316"/>
      <c r="F256" s="102">
        <f>'3.9.расчет прочих'!J287</f>
        <v>9428</v>
      </c>
      <c r="G256" s="326">
        <f t="shared" si="20"/>
        <v>9428</v>
      </c>
      <c r="H256" s="326">
        <f t="shared" si="23"/>
        <v>9428</v>
      </c>
      <c r="I256" s="1318" t="s">
        <v>957</v>
      </c>
      <c r="J256" s="1319"/>
      <c r="K256" s="160"/>
    </row>
    <row r="257" spans="1:11" ht="17.25" customHeight="1" x14ac:dyDescent="0.25">
      <c r="A257" s="174" t="s">
        <v>608</v>
      </c>
      <c r="B257" s="174" t="s">
        <v>623</v>
      </c>
      <c r="C257" s="51"/>
      <c r="D257" s="12" t="s">
        <v>286</v>
      </c>
      <c r="E257" s="1316"/>
      <c r="F257" s="102">
        <f>'3.9.расчет прочих'!J288</f>
        <v>9428</v>
      </c>
      <c r="G257" s="326">
        <f t="shared" si="20"/>
        <v>9428</v>
      </c>
      <c r="H257" s="326">
        <f t="shared" si="23"/>
        <v>9428</v>
      </c>
      <c r="I257" s="1318" t="s">
        <v>957</v>
      </c>
      <c r="J257" s="1319"/>
      <c r="K257" s="160"/>
    </row>
    <row r="258" spans="1:11" ht="26.25" hidden="1" customHeight="1" x14ac:dyDescent="0.25">
      <c r="A258" s="92" t="s">
        <v>611</v>
      </c>
      <c r="B258" s="174"/>
      <c r="C258" s="51"/>
      <c r="D258" s="12" t="s">
        <v>286</v>
      </c>
      <c r="E258" s="1317"/>
      <c r="F258" s="102">
        <f>'3.9.расчет прочих'!J289</f>
        <v>9428</v>
      </c>
      <c r="G258" s="326">
        <f t="shared" si="20"/>
        <v>9428</v>
      </c>
      <c r="H258" s="326">
        <f t="shared" si="23"/>
        <v>9428</v>
      </c>
      <c r="I258" s="1318" t="s">
        <v>957</v>
      </c>
      <c r="J258" s="1319"/>
      <c r="K258" s="160"/>
    </row>
    <row r="259" spans="1:11" ht="78.75" x14ac:dyDescent="0.25">
      <c r="A259" s="96" t="s">
        <v>601</v>
      </c>
      <c r="B259" s="181"/>
      <c r="C259" s="15"/>
      <c r="D259" s="53" t="s">
        <v>443</v>
      </c>
      <c r="E259" s="7"/>
      <c r="F259" s="95"/>
      <c r="G259" s="95"/>
      <c r="H259" s="95"/>
      <c r="I259" s="99"/>
      <c r="J259" s="100"/>
      <c r="K259" s="161"/>
    </row>
    <row r="260" spans="1:11" ht="15" customHeight="1" x14ac:dyDescent="0.25">
      <c r="A260" s="12" t="s">
        <v>456</v>
      </c>
      <c r="B260" s="174" t="s">
        <v>648</v>
      </c>
      <c r="C260" s="51"/>
      <c r="D260" s="12" t="s">
        <v>286</v>
      </c>
      <c r="E260" s="1315" t="s">
        <v>286</v>
      </c>
      <c r="F260" s="102">
        <f>'3.6.Норматив обл 2023-2025 доп'!C38</f>
        <v>0.69</v>
      </c>
      <c r="G260" s="102">
        <f>'3.6.Норматив обл 2023-2025 доп'!J38</f>
        <v>0.73</v>
      </c>
      <c r="H260" s="102">
        <f>'3.6.Норматив обл 2023-2025 доп'!Q38</f>
        <v>0.76</v>
      </c>
      <c r="I260" s="1318" t="s">
        <v>885</v>
      </c>
      <c r="J260" s="1319"/>
      <c r="K260" s="160"/>
    </row>
    <row r="261" spans="1:11" ht="15" customHeight="1" x14ac:dyDescent="0.25">
      <c r="A261" s="12" t="s">
        <v>457</v>
      </c>
      <c r="B261" s="174" t="s">
        <v>649</v>
      </c>
      <c r="C261" s="51"/>
      <c r="D261" s="12" t="s">
        <v>286</v>
      </c>
      <c r="E261" s="1316"/>
      <c r="F261" s="102">
        <f>'3.6.Норматив обл 2023-2025 доп'!C39</f>
        <v>0.69</v>
      </c>
      <c r="G261" s="102">
        <f>'3.6.Норматив обл 2023-2025 доп'!J39</f>
        <v>0.73</v>
      </c>
      <c r="H261" s="102">
        <f>'3.6.Норматив обл 2023-2025 доп'!Q39</f>
        <v>0.76</v>
      </c>
      <c r="I261" s="1318" t="s">
        <v>885</v>
      </c>
      <c r="J261" s="1319"/>
      <c r="K261" s="160"/>
    </row>
    <row r="262" spans="1:11" ht="15" customHeight="1" x14ac:dyDescent="0.25">
      <c r="A262" s="12" t="s">
        <v>471</v>
      </c>
      <c r="B262" s="174" t="s">
        <v>650</v>
      </c>
      <c r="C262" s="51"/>
      <c r="D262" s="12" t="s">
        <v>286</v>
      </c>
      <c r="E262" s="1316"/>
      <c r="F262" s="102">
        <f>'3.6.Норматив обл 2023-2025 доп'!C40</f>
        <v>0.6</v>
      </c>
      <c r="G262" s="102">
        <f>'3.6.Норматив обл 2023-2025 доп'!J40</f>
        <v>0.63</v>
      </c>
      <c r="H262" s="102">
        <f>'3.6.Норматив обл 2023-2025 доп'!Q40</f>
        <v>0.66</v>
      </c>
      <c r="I262" s="1318" t="s">
        <v>885</v>
      </c>
      <c r="J262" s="1319"/>
      <c r="K262" s="160"/>
    </row>
    <row r="263" spans="1:11" ht="15" customHeight="1" x14ac:dyDescent="0.25">
      <c r="A263" s="12" t="s">
        <v>458</v>
      </c>
      <c r="B263" s="174" t="s">
        <v>651</v>
      </c>
      <c r="C263" s="51"/>
      <c r="D263" s="12" t="s">
        <v>286</v>
      </c>
      <c r="E263" s="1316"/>
      <c r="F263" s="102">
        <f>'3.6.Норматив обл 2023-2025 доп'!C41</f>
        <v>0.69</v>
      </c>
      <c r="G263" s="102">
        <f>'3.6.Норматив обл 2023-2025 доп'!J41</f>
        <v>0.73</v>
      </c>
      <c r="H263" s="102">
        <f>'3.6.Норматив обл 2023-2025 доп'!Q41</f>
        <v>0.76</v>
      </c>
      <c r="I263" s="1318" t="s">
        <v>885</v>
      </c>
      <c r="J263" s="1319"/>
      <c r="K263" s="160"/>
    </row>
    <row r="264" spans="1:11" ht="15" customHeight="1" x14ac:dyDescent="0.25">
      <c r="A264" s="12" t="s">
        <v>459</v>
      </c>
      <c r="B264" s="174" t="s">
        <v>652</v>
      </c>
      <c r="C264" s="51"/>
      <c r="D264" s="12" t="s">
        <v>286</v>
      </c>
      <c r="E264" s="1316"/>
      <c r="F264" s="102">
        <f>'3.6.Норматив обл 2023-2025 доп'!C42</f>
        <v>0.69</v>
      </c>
      <c r="G264" s="102">
        <f>'3.6.Норматив обл 2023-2025 доп'!J42</f>
        <v>0.73</v>
      </c>
      <c r="H264" s="102">
        <f>'3.6.Норматив обл 2023-2025 доп'!Q42</f>
        <v>0.76</v>
      </c>
      <c r="I264" s="1318" t="s">
        <v>885</v>
      </c>
      <c r="J264" s="1319"/>
      <c r="K264" s="160"/>
    </row>
    <row r="265" spans="1:11" ht="15" customHeight="1" x14ac:dyDescent="0.25">
      <c r="A265" s="12" t="s">
        <v>460</v>
      </c>
      <c r="B265" s="174" t="s">
        <v>653</v>
      </c>
      <c r="C265" s="51"/>
      <c r="D265" s="12" t="s">
        <v>286</v>
      </c>
      <c r="E265" s="1317"/>
      <c r="F265" s="102">
        <f>'3.6.Норматив обл 2023-2025 доп'!C43</f>
        <v>0.69</v>
      </c>
      <c r="G265" s="102">
        <f>'3.6.Норматив обл 2023-2025 доп'!J43</f>
        <v>0.73</v>
      </c>
      <c r="H265" s="102">
        <f>'3.6.Норматив обл 2023-2025 доп'!Q43</f>
        <v>0.76</v>
      </c>
      <c r="I265" s="1318" t="s">
        <v>885</v>
      </c>
      <c r="J265" s="1319"/>
      <c r="K265" s="160"/>
    </row>
    <row r="266" spans="1:11" ht="29.25" customHeight="1" x14ac:dyDescent="0.25">
      <c r="A266" s="7"/>
      <c r="B266" s="181"/>
      <c r="C266" s="15" t="s">
        <v>10</v>
      </c>
      <c r="D266" s="16" t="s">
        <v>29</v>
      </c>
      <c r="E266" s="7"/>
      <c r="F266" s="95"/>
      <c r="G266" s="95"/>
      <c r="H266" s="95"/>
      <c r="I266" s="99"/>
      <c r="J266" s="100"/>
      <c r="K266" s="161"/>
    </row>
    <row r="267" spans="1:11" ht="188.25" customHeight="1" x14ac:dyDescent="0.25">
      <c r="A267" s="96" t="s">
        <v>426</v>
      </c>
      <c r="B267" s="181"/>
      <c r="C267" s="6"/>
      <c r="D267" s="53" t="s">
        <v>266</v>
      </c>
      <c r="E267" s="7"/>
      <c r="F267" s="95"/>
      <c r="G267" s="95"/>
      <c r="H267" s="95"/>
      <c r="I267" s="99"/>
      <c r="J267" s="100"/>
      <c r="K267" s="161"/>
    </row>
    <row r="268" spans="1:11" ht="36" x14ac:dyDescent="0.25">
      <c r="A268" s="174" t="s">
        <v>421</v>
      </c>
      <c r="B268" s="174" t="s">
        <v>427</v>
      </c>
      <c r="C268" s="51"/>
      <c r="D268" s="12" t="s">
        <v>286</v>
      </c>
      <c r="E268" s="1315" t="s">
        <v>286</v>
      </c>
      <c r="F268" s="102">
        <f>'3.3.расчет прочих дс'!K282</f>
        <v>4135</v>
      </c>
      <c r="G268" s="326">
        <f t="shared" ref="G268:G281" si="24">F268</f>
        <v>4135</v>
      </c>
      <c r="H268" s="326">
        <f t="shared" ref="H268:H281" si="25">F268</f>
        <v>4135</v>
      </c>
      <c r="I268" s="1318" t="s">
        <v>883</v>
      </c>
      <c r="J268" s="1319"/>
      <c r="K268" s="160"/>
    </row>
    <row r="269" spans="1:11" ht="36" x14ac:dyDescent="0.25">
      <c r="A269" s="174" t="s">
        <v>413</v>
      </c>
      <c r="B269" s="174" t="s">
        <v>430</v>
      </c>
      <c r="C269" s="51"/>
      <c r="D269" s="12" t="s">
        <v>286</v>
      </c>
      <c r="E269" s="1316"/>
      <c r="F269" s="102">
        <f>'3.3.расчет прочих дс'!K283</f>
        <v>4135</v>
      </c>
      <c r="G269" s="326">
        <f t="shared" si="24"/>
        <v>4135</v>
      </c>
      <c r="H269" s="326">
        <f t="shared" si="25"/>
        <v>4135</v>
      </c>
      <c r="I269" s="1318" t="s">
        <v>883</v>
      </c>
      <c r="J269" s="1319"/>
      <c r="K269" s="160"/>
    </row>
    <row r="270" spans="1:11" ht="27.75" customHeight="1" x14ac:dyDescent="0.25">
      <c r="A270" s="174" t="s">
        <v>700</v>
      </c>
      <c r="B270" s="174" t="s">
        <v>427</v>
      </c>
      <c r="C270" s="51"/>
      <c r="D270" s="12" t="s">
        <v>286</v>
      </c>
      <c r="E270" s="1316"/>
      <c r="F270" s="102">
        <f>'3.3.расчет прочих дс'!K284</f>
        <v>4135</v>
      </c>
      <c r="G270" s="326">
        <f t="shared" si="24"/>
        <v>4135</v>
      </c>
      <c r="H270" s="326">
        <f t="shared" si="25"/>
        <v>4135</v>
      </c>
      <c r="I270" s="1318" t="s">
        <v>883</v>
      </c>
      <c r="J270" s="1319"/>
      <c r="K270" s="160"/>
    </row>
    <row r="271" spans="1:11" ht="37.5" customHeight="1" x14ac:dyDescent="0.25">
      <c r="A271" s="174" t="s">
        <v>414</v>
      </c>
      <c r="B271" s="174" t="s">
        <v>430</v>
      </c>
      <c r="C271" s="51"/>
      <c r="D271" s="12" t="s">
        <v>286</v>
      </c>
      <c r="E271" s="1316"/>
      <c r="F271" s="102">
        <f>'3.3.расчет прочих дс'!K285</f>
        <v>4135</v>
      </c>
      <c r="G271" s="326">
        <f t="shared" si="24"/>
        <v>4135</v>
      </c>
      <c r="H271" s="326">
        <f t="shared" si="25"/>
        <v>4135</v>
      </c>
      <c r="I271" s="1318" t="s">
        <v>883</v>
      </c>
      <c r="J271" s="1319"/>
      <c r="K271" s="160"/>
    </row>
    <row r="272" spans="1:11" ht="39.75" customHeight="1" x14ac:dyDescent="0.25">
      <c r="A272" s="174" t="s">
        <v>415</v>
      </c>
      <c r="B272" s="174" t="s">
        <v>430</v>
      </c>
      <c r="C272" s="51"/>
      <c r="D272" s="12" t="s">
        <v>286</v>
      </c>
      <c r="E272" s="1316"/>
      <c r="F272" s="102">
        <f>'3.3.расчет прочих дс'!K286</f>
        <v>4135</v>
      </c>
      <c r="G272" s="326">
        <f t="shared" si="24"/>
        <v>4135</v>
      </c>
      <c r="H272" s="326">
        <f t="shared" si="25"/>
        <v>4135</v>
      </c>
      <c r="I272" s="1318" t="s">
        <v>883</v>
      </c>
      <c r="J272" s="1319"/>
      <c r="K272" s="160"/>
    </row>
    <row r="273" spans="1:11" ht="27.75" customHeight="1" x14ac:dyDescent="0.25">
      <c r="A273" s="92" t="s">
        <v>416</v>
      </c>
      <c r="B273" s="174" t="s">
        <v>429</v>
      </c>
      <c r="C273" s="51"/>
      <c r="D273" s="12" t="s">
        <v>286</v>
      </c>
      <c r="E273" s="1316"/>
      <c r="F273" s="102">
        <f>'3.3.расчет прочих дс'!K287</f>
        <v>4135</v>
      </c>
      <c r="G273" s="326">
        <f t="shared" si="24"/>
        <v>4135</v>
      </c>
      <c r="H273" s="326">
        <f t="shared" si="25"/>
        <v>4135</v>
      </c>
      <c r="I273" s="1318" t="s">
        <v>883</v>
      </c>
      <c r="J273" s="1319"/>
      <c r="K273" s="160"/>
    </row>
    <row r="274" spans="1:11" ht="27.75" customHeight="1" x14ac:dyDescent="0.25">
      <c r="A274" s="98" t="s">
        <v>417</v>
      </c>
      <c r="B274" s="174" t="s">
        <v>429</v>
      </c>
      <c r="C274" s="51"/>
      <c r="D274" s="12" t="s">
        <v>286</v>
      </c>
      <c r="E274" s="1316"/>
      <c r="F274" s="102">
        <f>'3.3.расчет прочих дс'!K288</f>
        <v>4135</v>
      </c>
      <c r="G274" s="326">
        <f t="shared" si="24"/>
        <v>4135</v>
      </c>
      <c r="H274" s="326">
        <f t="shared" si="25"/>
        <v>4135</v>
      </c>
      <c r="I274" s="1318" t="s">
        <v>883</v>
      </c>
      <c r="J274" s="1319"/>
      <c r="K274" s="160"/>
    </row>
    <row r="275" spans="1:11" ht="27.75" customHeight="1" x14ac:dyDescent="0.25">
      <c r="A275" s="98" t="s">
        <v>422</v>
      </c>
      <c r="B275" s="174" t="s">
        <v>428</v>
      </c>
      <c r="C275" s="51"/>
      <c r="D275" s="12" t="s">
        <v>286</v>
      </c>
      <c r="E275" s="1316"/>
      <c r="F275" s="102">
        <f>'3.3.расчет прочих дс'!K289</f>
        <v>4135</v>
      </c>
      <c r="G275" s="326">
        <f t="shared" si="24"/>
        <v>4135</v>
      </c>
      <c r="H275" s="326">
        <f t="shared" si="25"/>
        <v>4135</v>
      </c>
      <c r="I275" s="1318" t="s">
        <v>883</v>
      </c>
      <c r="J275" s="1319"/>
      <c r="K275" s="160"/>
    </row>
    <row r="276" spans="1:11" ht="27.75" customHeight="1" x14ac:dyDescent="0.25">
      <c r="A276" s="98" t="s">
        <v>418</v>
      </c>
      <c r="B276" s="174" t="s">
        <v>429</v>
      </c>
      <c r="C276" s="51"/>
      <c r="D276" s="12" t="s">
        <v>286</v>
      </c>
      <c r="E276" s="1316"/>
      <c r="F276" s="102">
        <f>'3.3.расчет прочих дс'!K290</f>
        <v>4135</v>
      </c>
      <c r="G276" s="326">
        <f t="shared" si="24"/>
        <v>4135</v>
      </c>
      <c r="H276" s="326">
        <f t="shared" si="25"/>
        <v>4135</v>
      </c>
      <c r="I276" s="1318" t="s">
        <v>883</v>
      </c>
      <c r="J276" s="1319"/>
      <c r="K276" s="160"/>
    </row>
    <row r="277" spans="1:11" ht="27.75" customHeight="1" x14ac:dyDescent="0.25">
      <c r="A277" s="92" t="s">
        <v>423</v>
      </c>
      <c r="B277" s="174" t="s">
        <v>427</v>
      </c>
      <c r="C277" s="51"/>
      <c r="D277" s="12" t="s">
        <v>286</v>
      </c>
      <c r="E277" s="1316"/>
      <c r="F277" s="102">
        <f>'3.3.расчет прочих дс'!K291</f>
        <v>4135</v>
      </c>
      <c r="G277" s="326">
        <f t="shared" si="24"/>
        <v>4135</v>
      </c>
      <c r="H277" s="326">
        <f t="shared" si="25"/>
        <v>4135</v>
      </c>
      <c r="I277" s="1318" t="s">
        <v>883</v>
      </c>
      <c r="J277" s="1319"/>
      <c r="K277" s="160"/>
    </row>
    <row r="278" spans="1:11" ht="27.75" customHeight="1" x14ac:dyDescent="0.25">
      <c r="A278" s="174" t="s">
        <v>419</v>
      </c>
      <c r="B278" s="174" t="s">
        <v>430</v>
      </c>
      <c r="C278" s="51"/>
      <c r="D278" s="12" t="s">
        <v>286</v>
      </c>
      <c r="E278" s="1316"/>
      <c r="F278" s="102">
        <f>'3.3.расчет прочих дс'!K292</f>
        <v>4135</v>
      </c>
      <c r="G278" s="326">
        <f t="shared" si="24"/>
        <v>4135</v>
      </c>
      <c r="H278" s="326">
        <f t="shared" si="25"/>
        <v>4135</v>
      </c>
      <c r="I278" s="1318" t="s">
        <v>883</v>
      </c>
      <c r="J278" s="1319"/>
      <c r="K278" s="160"/>
    </row>
    <row r="279" spans="1:11" ht="27.75" customHeight="1" x14ac:dyDescent="0.25">
      <c r="A279" s="92" t="s">
        <v>424</v>
      </c>
      <c r="B279" s="174" t="s">
        <v>427</v>
      </c>
      <c r="C279" s="51"/>
      <c r="D279" s="12" t="s">
        <v>286</v>
      </c>
      <c r="E279" s="1316"/>
      <c r="F279" s="102">
        <f>'3.3.расчет прочих дс'!K293</f>
        <v>4135</v>
      </c>
      <c r="G279" s="326">
        <f t="shared" si="24"/>
        <v>4135</v>
      </c>
      <c r="H279" s="326">
        <f t="shared" si="25"/>
        <v>4135</v>
      </c>
      <c r="I279" s="1318" t="s">
        <v>883</v>
      </c>
      <c r="J279" s="1319"/>
      <c r="K279" s="160"/>
    </row>
    <row r="280" spans="1:11" ht="27.75" customHeight="1" x14ac:dyDescent="0.25">
      <c r="A280" s="174" t="s">
        <v>420</v>
      </c>
      <c r="B280" s="174" t="s">
        <v>430</v>
      </c>
      <c r="C280" s="51"/>
      <c r="D280" s="12" t="s">
        <v>286</v>
      </c>
      <c r="E280" s="1316"/>
      <c r="F280" s="102">
        <f>'3.3.расчет прочих дс'!K294</f>
        <v>4135</v>
      </c>
      <c r="G280" s="326">
        <f t="shared" si="24"/>
        <v>4135</v>
      </c>
      <c r="H280" s="326">
        <f t="shared" si="25"/>
        <v>4135</v>
      </c>
      <c r="I280" s="1318" t="s">
        <v>883</v>
      </c>
      <c r="J280" s="1319"/>
      <c r="K280" s="160"/>
    </row>
    <row r="281" spans="1:11" ht="27.75" hidden="1" customHeight="1" x14ac:dyDescent="0.25">
      <c r="A281" s="340"/>
      <c r="B281" s="174"/>
      <c r="C281" s="51"/>
      <c r="D281" s="12" t="s">
        <v>286</v>
      </c>
      <c r="E281" s="1317"/>
      <c r="F281" s="102">
        <f>'3.3.расчет прочих дс'!K295</f>
        <v>4135</v>
      </c>
      <c r="G281" s="326">
        <f t="shared" si="24"/>
        <v>4135</v>
      </c>
      <c r="H281" s="326">
        <f t="shared" si="25"/>
        <v>4135</v>
      </c>
      <c r="I281" s="1318" t="s">
        <v>883</v>
      </c>
      <c r="J281" s="1319"/>
      <c r="K281" s="160"/>
    </row>
    <row r="282" spans="1:11" hidden="1" x14ac:dyDescent="0.25">
      <c r="A282" s="96" t="s">
        <v>431</v>
      </c>
      <c r="B282" s="181"/>
      <c r="C282" s="15"/>
      <c r="D282" s="16"/>
      <c r="E282" s="7"/>
      <c r="F282" s="95"/>
      <c r="G282" s="95"/>
      <c r="H282" s="95"/>
      <c r="I282" s="99"/>
      <c r="J282" s="100"/>
      <c r="K282" s="161"/>
    </row>
    <row r="283" spans="1:11" ht="24" hidden="1" customHeight="1" x14ac:dyDescent="0.25">
      <c r="A283" s="12" t="s">
        <v>702</v>
      </c>
      <c r="B283" s="174" t="s">
        <v>432</v>
      </c>
      <c r="C283" s="51"/>
      <c r="D283" s="12" t="s">
        <v>251</v>
      </c>
      <c r="E283" s="13" t="s">
        <v>442</v>
      </c>
      <c r="F283" s="102">
        <v>0</v>
      </c>
      <c r="G283" s="102">
        <v>0</v>
      </c>
      <c r="H283" s="102">
        <v>0</v>
      </c>
      <c r="I283" s="342"/>
      <c r="J283" s="343"/>
      <c r="K283" s="160"/>
    </row>
    <row r="284" spans="1:11" ht="36" hidden="1" x14ac:dyDescent="0.25">
      <c r="A284" s="12" t="s">
        <v>703</v>
      </c>
      <c r="B284" s="174" t="s">
        <v>433</v>
      </c>
      <c r="C284" s="51"/>
      <c r="D284" s="12" t="s">
        <v>251</v>
      </c>
      <c r="E284" s="13" t="s">
        <v>442</v>
      </c>
      <c r="F284" s="102">
        <v>0</v>
      </c>
      <c r="G284" s="102">
        <v>0</v>
      </c>
      <c r="H284" s="102">
        <v>0</v>
      </c>
      <c r="I284" s="342"/>
      <c r="J284" s="343"/>
      <c r="K284" s="160"/>
    </row>
    <row r="285" spans="1:11" ht="24" hidden="1" x14ac:dyDescent="0.25">
      <c r="A285" s="12" t="s">
        <v>704</v>
      </c>
      <c r="B285" s="174" t="s">
        <v>434</v>
      </c>
      <c r="C285" s="51"/>
      <c r="D285" s="12" t="s">
        <v>251</v>
      </c>
      <c r="E285" s="13" t="s">
        <v>442</v>
      </c>
      <c r="F285" s="102">
        <v>0</v>
      </c>
      <c r="G285" s="102">
        <v>0</v>
      </c>
      <c r="H285" s="102">
        <v>0</v>
      </c>
      <c r="I285" s="342"/>
      <c r="J285" s="343"/>
      <c r="K285" s="160"/>
    </row>
    <row r="286" spans="1:11" s="435" customFormat="1" ht="48" hidden="1" x14ac:dyDescent="0.25">
      <c r="A286" s="641" t="s">
        <v>1407</v>
      </c>
      <c r="B286" s="174" t="s">
        <v>435</v>
      </c>
      <c r="C286" s="51"/>
      <c r="D286" s="12" t="s">
        <v>251</v>
      </c>
      <c r="E286" s="13" t="s">
        <v>442</v>
      </c>
      <c r="F286" s="102">
        <v>0</v>
      </c>
      <c r="G286" s="102">
        <v>0</v>
      </c>
      <c r="H286" s="102">
        <v>0</v>
      </c>
      <c r="I286" s="437"/>
      <c r="J286" s="438"/>
      <c r="K286" s="160"/>
    </row>
    <row r="287" spans="1:11" ht="36" hidden="1" x14ac:dyDescent="0.25">
      <c r="A287" s="12" t="s">
        <v>948</v>
      </c>
      <c r="B287" s="174" t="s">
        <v>435</v>
      </c>
      <c r="C287" s="51"/>
      <c r="D287" s="12" t="s">
        <v>251</v>
      </c>
      <c r="E287" s="13" t="s">
        <v>442</v>
      </c>
      <c r="F287" s="102">
        <v>0</v>
      </c>
      <c r="G287" s="102">
        <v>0</v>
      </c>
      <c r="H287" s="102">
        <v>0</v>
      </c>
      <c r="I287" s="342"/>
      <c r="J287" s="343"/>
      <c r="K287" s="160"/>
    </row>
    <row r="288" spans="1:11" ht="36" hidden="1" x14ac:dyDescent="0.25">
      <c r="A288" s="12" t="s">
        <v>705</v>
      </c>
      <c r="B288" s="174" t="s">
        <v>436</v>
      </c>
      <c r="C288" s="51"/>
      <c r="D288" s="12" t="s">
        <v>251</v>
      </c>
      <c r="E288" s="13" t="s">
        <v>442</v>
      </c>
      <c r="F288" s="102">
        <v>0</v>
      </c>
      <c r="G288" s="102">
        <v>0</v>
      </c>
      <c r="H288" s="102">
        <v>0</v>
      </c>
      <c r="I288" s="342"/>
      <c r="J288" s="343"/>
      <c r="K288" s="160"/>
    </row>
    <row r="289" spans="1:11" ht="36" hidden="1" x14ac:dyDescent="0.25">
      <c r="A289" s="98" t="s">
        <v>706</v>
      </c>
      <c r="B289" s="174" t="s">
        <v>437</v>
      </c>
      <c r="C289" s="51"/>
      <c r="D289" s="12" t="s">
        <v>251</v>
      </c>
      <c r="E289" s="13" t="s">
        <v>442</v>
      </c>
      <c r="F289" s="102">
        <v>0</v>
      </c>
      <c r="G289" s="102">
        <v>0</v>
      </c>
      <c r="H289" s="102">
        <v>0</v>
      </c>
      <c r="I289" s="342"/>
      <c r="J289" s="343"/>
      <c r="K289" s="160"/>
    </row>
    <row r="290" spans="1:11" ht="36" hidden="1" x14ac:dyDescent="0.25">
      <c r="A290" s="98" t="s">
        <v>707</v>
      </c>
      <c r="B290" s="174" t="s">
        <v>438</v>
      </c>
      <c r="C290" s="51"/>
      <c r="D290" s="12" t="s">
        <v>251</v>
      </c>
      <c r="E290" s="13" t="s">
        <v>442</v>
      </c>
      <c r="F290" s="102">
        <v>0</v>
      </c>
      <c r="G290" s="102">
        <v>0</v>
      </c>
      <c r="H290" s="102">
        <v>0</v>
      </c>
      <c r="I290" s="342"/>
      <c r="J290" s="343"/>
      <c r="K290" s="160"/>
    </row>
    <row r="291" spans="1:11" ht="24" hidden="1" x14ac:dyDescent="0.25">
      <c r="A291" s="98" t="s">
        <v>708</v>
      </c>
      <c r="B291" s="174" t="s">
        <v>439</v>
      </c>
      <c r="C291" s="51"/>
      <c r="D291" s="12" t="s">
        <v>251</v>
      </c>
      <c r="E291" s="13" t="s">
        <v>442</v>
      </c>
      <c r="F291" s="102">
        <v>0</v>
      </c>
      <c r="G291" s="102">
        <v>0</v>
      </c>
      <c r="H291" s="102">
        <v>0</v>
      </c>
      <c r="I291" s="342"/>
      <c r="J291" s="343"/>
      <c r="K291" s="160"/>
    </row>
    <row r="292" spans="1:11" s="435" customFormat="1" ht="48" hidden="1" x14ac:dyDescent="0.25">
      <c r="A292" s="643" t="s">
        <v>1409</v>
      </c>
      <c r="B292" s="174" t="s">
        <v>440</v>
      </c>
      <c r="C292" s="51"/>
      <c r="D292" s="12" t="s">
        <v>251</v>
      </c>
      <c r="E292" s="13" t="s">
        <v>442</v>
      </c>
      <c r="F292" s="102">
        <v>0</v>
      </c>
      <c r="G292" s="102">
        <v>0</v>
      </c>
      <c r="H292" s="102">
        <v>0</v>
      </c>
      <c r="I292" s="437"/>
      <c r="J292" s="438"/>
      <c r="K292" s="160"/>
    </row>
    <row r="293" spans="1:11" ht="36" hidden="1" x14ac:dyDescent="0.25">
      <c r="A293" s="98" t="s">
        <v>949</v>
      </c>
      <c r="B293" s="174" t="s">
        <v>440</v>
      </c>
      <c r="C293" s="51"/>
      <c r="D293" s="12" t="s">
        <v>251</v>
      </c>
      <c r="E293" s="13" t="s">
        <v>442</v>
      </c>
      <c r="F293" s="102">
        <v>0</v>
      </c>
      <c r="G293" s="102">
        <v>0</v>
      </c>
      <c r="H293" s="102">
        <v>0</v>
      </c>
      <c r="I293" s="342"/>
      <c r="J293" s="343"/>
      <c r="K293" s="160"/>
    </row>
    <row r="294" spans="1:11" ht="36" hidden="1" x14ac:dyDescent="0.25">
      <c r="A294" s="98" t="s">
        <v>709</v>
      </c>
      <c r="B294" s="174" t="s">
        <v>441</v>
      </c>
      <c r="C294" s="51"/>
      <c r="D294" s="12" t="s">
        <v>251</v>
      </c>
      <c r="E294" s="13" t="s">
        <v>442</v>
      </c>
      <c r="F294" s="102">
        <v>0</v>
      </c>
      <c r="G294" s="102">
        <v>0</v>
      </c>
      <c r="H294" s="102">
        <v>0</v>
      </c>
      <c r="I294" s="342"/>
      <c r="J294" s="343"/>
      <c r="K294" s="160"/>
    </row>
    <row r="295" spans="1:11" ht="188.25" customHeight="1" x14ac:dyDescent="0.25">
      <c r="A295" s="96" t="s">
        <v>624</v>
      </c>
      <c r="B295" s="181"/>
      <c r="C295" s="6"/>
      <c r="D295" s="53" t="s">
        <v>266</v>
      </c>
      <c r="E295" s="7"/>
      <c r="F295" s="95"/>
      <c r="G295" s="95"/>
      <c r="H295" s="95"/>
      <c r="I295" s="99"/>
      <c r="J295" s="100"/>
      <c r="K295" s="161"/>
    </row>
    <row r="296" spans="1:11" ht="15" customHeight="1" x14ac:dyDescent="0.25">
      <c r="A296" s="12" t="s">
        <v>609</v>
      </c>
      <c r="B296" s="174" t="s">
        <v>617</v>
      </c>
      <c r="C296" s="51"/>
      <c r="D296" s="12" t="s">
        <v>286</v>
      </c>
      <c r="E296" s="1315" t="s">
        <v>286</v>
      </c>
      <c r="F296" s="102">
        <f>'3.9.расчет прочих'!K264</f>
        <v>1176</v>
      </c>
      <c r="G296" s="326">
        <f t="shared" ref="G296:G303" si="26">F296</f>
        <v>1176</v>
      </c>
      <c r="H296" s="326">
        <f t="shared" ref="H296:H303" si="27">F296</f>
        <v>1176</v>
      </c>
      <c r="I296" s="1318" t="s">
        <v>957</v>
      </c>
      <c r="J296" s="1319"/>
      <c r="K296" s="160"/>
    </row>
    <row r="297" spans="1:11" ht="72" hidden="1" x14ac:dyDescent="0.25">
      <c r="A297" s="92" t="s">
        <v>610</v>
      </c>
      <c r="B297" s="174"/>
      <c r="C297" s="51"/>
      <c r="D297" s="12" t="s">
        <v>286</v>
      </c>
      <c r="E297" s="1316"/>
      <c r="F297" s="102">
        <f>'3.9.расчет прочих'!K265</f>
        <v>1176</v>
      </c>
      <c r="G297" s="326">
        <f t="shared" si="26"/>
        <v>1176</v>
      </c>
      <c r="H297" s="326">
        <f t="shared" si="27"/>
        <v>1176</v>
      </c>
      <c r="I297" s="1318" t="s">
        <v>957</v>
      </c>
      <c r="J297" s="1319"/>
      <c r="K297" s="160"/>
    </row>
    <row r="298" spans="1:11" ht="27.75" customHeight="1" x14ac:dyDescent="0.25">
      <c r="A298" s="12" t="s">
        <v>625</v>
      </c>
      <c r="B298" s="174" t="s">
        <v>978</v>
      </c>
      <c r="C298" s="51"/>
      <c r="D298" s="12" t="s">
        <v>286</v>
      </c>
      <c r="E298" s="1316"/>
      <c r="F298" s="102">
        <f>'3.9.расчет прочих'!K266</f>
        <v>1176</v>
      </c>
      <c r="G298" s="326">
        <f t="shared" si="26"/>
        <v>1176</v>
      </c>
      <c r="H298" s="326">
        <f t="shared" si="27"/>
        <v>1176</v>
      </c>
      <c r="I298" s="1318" t="s">
        <v>957</v>
      </c>
      <c r="J298" s="1319"/>
      <c r="K298" s="160"/>
    </row>
    <row r="299" spans="1:11" ht="23.25" customHeight="1" x14ac:dyDescent="0.25">
      <c r="A299" s="12" t="s">
        <v>626</v>
      </c>
      <c r="B299" s="174" t="s">
        <v>618</v>
      </c>
      <c r="C299" s="51"/>
      <c r="D299" s="12" t="s">
        <v>286</v>
      </c>
      <c r="E299" s="1316"/>
      <c r="F299" s="102">
        <f>'3.9.расчет прочих'!K267</f>
        <v>1176</v>
      </c>
      <c r="G299" s="326">
        <f t="shared" si="26"/>
        <v>1176</v>
      </c>
      <c r="H299" s="326">
        <f t="shared" si="27"/>
        <v>1176</v>
      </c>
      <c r="I299" s="1318" t="s">
        <v>957</v>
      </c>
      <c r="J299" s="1319"/>
      <c r="K299" s="160"/>
    </row>
    <row r="300" spans="1:11" ht="60" hidden="1" x14ac:dyDescent="0.25">
      <c r="A300" s="92" t="s">
        <v>639</v>
      </c>
      <c r="B300" s="174"/>
      <c r="C300" s="51"/>
      <c r="D300" s="12" t="s">
        <v>286</v>
      </c>
      <c r="E300" s="1316"/>
      <c r="F300" s="102">
        <f>'3.9.расчет прочих'!K268</f>
        <v>1176</v>
      </c>
      <c r="G300" s="326">
        <f t="shared" si="26"/>
        <v>1176</v>
      </c>
      <c r="H300" s="326">
        <f t="shared" si="27"/>
        <v>1176</v>
      </c>
      <c r="I300" s="1318" t="s">
        <v>957</v>
      </c>
      <c r="J300" s="1319"/>
      <c r="K300" s="160"/>
    </row>
    <row r="301" spans="1:11" ht="27.75" customHeight="1" x14ac:dyDescent="0.25">
      <c r="A301" s="12" t="s">
        <v>627</v>
      </c>
      <c r="B301" s="174" t="s">
        <v>619</v>
      </c>
      <c r="C301" s="51"/>
      <c r="D301" s="12" t="s">
        <v>286</v>
      </c>
      <c r="E301" s="1316"/>
      <c r="F301" s="102">
        <f>'3.9.расчет прочих'!K269</f>
        <v>1176</v>
      </c>
      <c r="G301" s="326">
        <f t="shared" si="26"/>
        <v>1176</v>
      </c>
      <c r="H301" s="326">
        <f t="shared" si="27"/>
        <v>1176</v>
      </c>
      <c r="I301" s="1318" t="s">
        <v>957</v>
      </c>
      <c r="J301" s="1319"/>
      <c r="K301" s="160"/>
    </row>
    <row r="302" spans="1:11" ht="27.75" hidden="1" customHeight="1" x14ac:dyDescent="0.25">
      <c r="A302" s="92" t="s">
        <v>608</v>
      </c>
      <c r="B302" s="174"/>
      <c r="C302" s="51"/>
      <c r="D302" s="12" t="s">
        <v>286</v>
      </c>
      <c r="E302" s="1316"/>
      <c r="F302" s="102">
        <f>'3.9.расчет прочих'!K270</f>
        <v>1176</v>
      </c>
      <c r="G302" s="326">
        <f t="shared" si="26"/>
        <v>1176</v>
      </c>
      <c r="H302" s="326">
        <f t="shared" si="27"/>
        <v>1176</v>
      </c>
      <c r="I302" s="1318" t="s">
        <v>957</v>
      </c>
      <c r="J302" s="1319"/>
      <c r="K302" s="160"/>
    </row>
    <row r="303" spans="1:11" ht="27.75" hidden="1" customHeight="1" x14ac:dyDescent="0.25">
      <c r="A303" s="92" t="s">
        <v>611</v>
      </c>
      <c r="B303" s="174"/>
      <c r="C303" s="51"/>
      <c r="D303" s="12" t="s">
        <v>286</v>
      </c>
      <c r="E303" s="1317"/>
      <c r="F303" s="102">
        <f>'3.9.расчет прочих'!K271</f>
        <v>1176</v>
      </c>
      <c r="G303" s="326">
        <f t="shared" si="26"/>
        <v>1176</v>
      </c>
      <c r="H303" s="326">
        <f t="shared" si="27"/>
        <v>1176</v>
      </c>
      <c r="I303" s="1318" t="s">
        <v>957</v>
      </c>
      <c r="J303" s="1319"/>
      <c r="K303" s="160"/>
    </row>
    <row r="304" spans="1:11" ht="188.25" customHeight="1" x14ac:dyDescent="0.25">
      <c r="A304" s="96" t="s">
        <v>603</v>
      </c>
      <c r="B304" s="181"/>
      <c r="C304" s="6"/>
      <c r="D304" s="53" t="s">
        <v>266</v>
      </c>
      <c r="E304" s="7"/>
      <c r="F304" s="95"/>
      <c r="G304" s="95"/>
      <c r="H304" s="95"/>
      <c r="I304" s="99"/>
      <c r="J304" s="100"/>
      <c r="K304" s="161"/>
    </row>
    <row r="305" spans="1:11" ht="15" customHeight="1" x14ac:dyDescent="0.25">
      <c r="A305" s="12" t="s">
        <v>609</v>
      </c>
      <c r="B305" s="174" t="s">
        <v>604</v>
      </c>
      <c r="C305" s="51"/>
      <c r="D305" s="12" t="s">
        <v>286</v>
      </c>
      <c r="E305" s="1315" t="s">
        <v>286</v>
      </c>
      <c r="F305" s="102">
        <f>'3.9.расчет прочих'!K273</f>
        <v>1176</v>
      </c>
      <c r="G305" s="326">
        <f t="shared" ref="G305:G312" si="28">F305</f>
        <v>1176</v>
      </c>
      <c r="H305" s="326">
        <f t="shared" ref="H305:H312" si="29">F305</f>
        <v>1176</v>
      </c>
      <c r="I305" s="1318" t="s">
        <v>957</v>
      </c>
      <c r="J305" s="1319"/>
      <c r="K305" s="160"/>
    </row>
    <row r="306" spans="1:11" ht="72" hidden="1" x14ac:dyDescent="0.25">
      <c r="A306" s="92" t="s">
        <v>610</v>
      </c>
      <c r="B306" s="174"/>
      <c r="C306" s="51"/>
      <c r="D306" s="12" t="s">
        <v>286</v>
      </c>
      <c r="E306" s="1316"/>
      <c r="F306" s="102">
        <f>'3.9.расчет прочих'!K274</f>
        <v>1176</v>
      </c>
      <c r="G306" s="326">
        <f t="shared" si="28"/>
        <v>1176</v>
      </c>
      <c r="H306" s="326">
        <f t="shared" si="29"/>
        <v>1176</v>
      </c>
      <c r="I306" s="1318" t="s">
        <v>957</v>
      </c>
      <c r="J306" s="1319"/>
      <c r="K306" s="160"/>
    </row>
    <row r="307" spans="1:11" ht="27.75" customHeight="1" x14ac:dyDescent="0.25">
      <c r="A307" s="12" t="s">
        <v>625</v>
      </c>
      <c r="B307" s="174" t="s">
        <v>605</v>
      </c>
      <c r="C307" s="51"/>
      <c r="D307" s="12" t="s">
        <v>286</v>
      </c>
      <c r="E307" s="1316"/>
      <c r="F307" s="102">
        <f>'3.9.расчет прочих'!K275</f>
        <v>1176</v>
      </c>
      <c r="G307" s="326">
        <f t="shared" si="28"/>
        <v>1176</v>
      </c>
      <c r="H307" s="326">
        <f t="shared" si="29"/>
        <v>1176</v>
      </c>
      <c r="I307" s="1318" t="s">
        <v>957</v>
      </c>
      <c r="J307" s="1319"/>
      <c r="K307" s="160"/>
    </row>
    <row r="308" spans="1:11" ht="37.5" hidden="1" customHeight="1" x14ac:dyDescent="0.25">
      <c r="A308" s="92" t="s">
        <v>639</v>
      </c>
      <c r="B308" s="174"/>
      <c r="C308" s="51"/>
      <c r="D308" s="12" t="s">
        <v>286</v>
      </c>
      <c r="E308" s="1316"/>
      <c r="F308" s="102">
        <f>'3.9.расчет прочих'!K276</f>
        <v>1176</v>
      </c>
      <c r="G308" s="326">
        <f t="shared" si="28"/>
        <v>1176</v>
      </c>
      <c r="H308" s="326">
        <f t="shared" si="29"/>
        <v>1176</v>
      </c>
      <c r="I308" s="1318" t="s">
        <v>957</v>
      </c>
      <c r="J308" s="1319"/>
      <c r="K308" s="160"/>
    </row>
    <row r="309" spans="1:11" ht="24" x14ac:dyDescent="0.25">
      <c r="A309" s="12" t="s">
        <v>626</v>
      </c>
      <c r="B309" s="174" t="s">
        <v>606</v>
      </c>
      <c r="C309" s="51"/>
      <c r="D309" s="12" t="s">
        <v>286</v>
      </c>
      <c r="E309" s="1316"/>
      <c r="F309" s="102">
        <f>'3.9.расчет прочих'!K277</f>
        <v>1176</v>
      </c>
      <c r="G309" s="326">
        <f t="shared" si="28"/>
        <v>1176</v>
      </c>
      <c r="H309" s="326">
        <f t="shared" si="29"/>
        <v>1176</v>
      </c>
      <c r="I309" s="1318" t="s">
        <v>957</v>
      </c>
      <c r="J309" s="1319"/>
      <c r="K309" s="160"/>
    </row>
    <row r="310" spans="1:11" ht="27.75" customHeight="1" x14ac:dyDescent="0.25">
      <c r="A310" s="12" t="s">
        <v>627</v>
      </c>
      <c r="B310" s="174" t="s">
        <v>607</v>
      </c>
      <c r="C310" s="51"/>
      <c r="D310" s="12" t="s">
        <v>286</v>
      </c>
      <c r="E310" s="1316"/>
      <c r="F310" s="102">
        <f>'3.9.расчет прочих'!K278</f>
        <v>1176</v>
      </c>
      <c r="G310" s="326">
        <f t="shared" si="28"/>
        <v>1176</v>
      </c>
      <c r="H310" s="326">
        <f t="shared" si="29"/>
        <v>1176</v>
      </c>
      <c r="I310" s="1318" t="s">
        <v>957</v>
      </c>
      <c r="J310" s="1319"/>
      <c r="K310" s="160"/>
    </row>
    <row r="311" spans="1:11" ht="16.5" customHeight="1" x14ac:dyDescent="0.25">
      <c r="A311" s="174" t="s">
        <v>608</v>
      </c>
      <c r="B311" s="174" t="s">
        <v>979</v>
      </c>
      <c r="C311" s="51"/>
      <c r="D311" s="12" t="s">
        <v>286</v>
      </c>
      <c r="E311" s="1316"/>
      <c r="F311" s="102">
        <f>'3.9.расчет прочих'!K279</f>
        <v>1176</v>
      </c>
      <c r="G311" s="326">
        <f t="shared" si="28"/>
        <v>1176</v>
      </c>
      <c r="H311" s="326">
        <f t="shared" si="29"/>
        <v>1176</v>
      </c>
      <c r="I311" s="1318" t="s">
        <v>957</v>
      </c>
      <c r="J311" s="1319"/>
      <c r="K311" s="160"/>
    </row>
    <row r="312" spans="1:11" ht="18" customHeight="1" x14ac:dyDescent="0.25">
      <c r="A312" s="174" t="s">
        <v>611</v>
      </c>
      <c r="B312" s="174" t="s">
        <v>2233</v>
      </c>
      <c r="C312" s="51"/>
      <c r="D312" s="12" t="s">
        <v>286</v>
      </c>
      <c r="E312" s="1317"/>
      <c r="F312" s="102">
        <f>'3.9.расчет прочих'!K280</f>
        <v>1176</v>
      </c>
      <c r="G312" s="326">
        <f t="shared" si="28"/>
        <v>1176</v>
      </c>
      <c r="H312" s="326">
        <f t="shared" si="29"/>
        <v>1176</v>
      </c>
      <c r="I312" s="1318" t="s">
        <v>957</v>
      </c>
      <c r="J312" s="1319"/>
      <c r="K312" s="160"/>
    </row>
    <row r="313" spans="1:11" ht="188.25" customHeight="1" x14ac:dyDescent="0.25">
      <c r="A313" s="96" t="s">
        <v>620</v>
      </c>
      <c r="B313" s="181"/>
      <c r="C313" s="6"/>
      <c r="D313" s="53" t="s">
        <v>266</v>
      </c>
      <c r="E313" s="7"/>
      <c r="F313" s="95"/>
      <c r="G313" s="95"/>
      <c r="H313" s="95"/>
      <c r="I313" s="99"/>
      <c r="J313" s="100"/>
      <c r="K313" s="161"/>
    </row>
    <row r="314" spans="1:11" ht="15" customHeight="1" x14ac:dyDescent="0.25">
      <c r="A314" s="12" t="s">
        <v>609</v>
      </c>
      <c r="B314" s="174" t="s">
        <v>621</v>
      </c>
      <c r="C314" s="51"/>
      <c r="D314" s="12" t="s">
        <v>286</v>
      </c>
      <c r="E314" s="1315" t="s">
        <v>286</v>
      </c>
      <c r="F314" s="102">
        <f>'3.9.расчет прочих'!K282</f>
        <v>1176</v>
      </c>
      <c r="G314" s="326">
        <f t="shared" ref="G314:G321" si="30">F314</f>
        <v>1176</v>
      </c>
      <c r="H314" s="326">
        <f t="shared" ref="H314:H321" si="31">F314</f>
        <v>1176</v>
      </c>
      <c r="I314" s="1318" t="s">
        <v>957</v>
      </c>
      <c r="J314" s="1319"/>
      <c r="K314" s="160"/>
    </row>
    <row r="315" spans="1:11" ht="72" hidden="1" x14ac:dyDescent="0.25">
      <c r="A315" s="92" t="s">
        <v>610</v>
      </c>
      <c r="B315" s="174"/>
      <c r="C315" s="51"/>
      <c r="D315" s="12" t="s">
        <v>286</v>
      </c>
      <c r="E315" s="1316"/>
      <c r="F315" s="102">
        <f>'3.9.расчет прочих'!K283</f>
        <v>1176</v>
      </c>
      <c r="G315" s="326">
        <f t="shared" si="30"/>
        <v>1176</v>
      </c>
      <c r="H315" s="326">
        <f t="shared" si="31"/>
        <v>1176</v>
      </c>
      <c r="I315" s="1318" t="s">
        <v>957</v>
      </c>
      <c r="J315" s="1319"/>
      <c r="K315" s="160"/>
    </row>
    <row r="316" spans="1:11" ht="27.75" hidden="1" customHeight="1" x14ac:dyDescent="0.25">
      <c r="A316" s="92" t="s">
        <v>625</v>
      </c>
      <c r="B316" s="174"/>
      <c r="C316" s="51"/>
      <c r="D316" s="12" t="s">
        <v>286</v>
      </c>
      <c r="E316" s="1316"/>
      <c r="F316" s="102">
        <f>'3.9.расчет прочих'!K284</f>
        <v>1176</v>
      </c>
      <c r="G316" s="326">
        <f t="shared" si="30"/>
        <v>1176</v>
      </c>
      <c r="H316" s="326">
        <f t="shared" si="31"/>
        <v>1176</v>
      </c>
      <c r="I316" s="1318" t="s">
        <v>957</v>
      </c>
      <c r="J316" s="1319"/>
      <c r="K316" s="160"/>
    </row>
    <row r="317" spans="1:11" ht="37.5" hidden="1" customHeight="1" x14ac:dyDescent="0.25">
      <c r="A317" s="92" t="s">
        <v>639</v>
      </c>
      <c r="B317" s="174"/>
      <c r="C317" s="51"/>
      <c r="D317" s="12" t="s">
        <v>286</v>
      </c>
      <c r="E317" s="1316"/>
      <c r="F317" s="102">
        <f>'3.9.расчет прочих'!K285</f>
        <v>1176</v>
      </c>
      <c r="G317" s="326">
        <f t="shared" si="30"/>
        <v>1176</v>
      </c>
      <c r="H317" s="326">
        <f t="shared" si="31"/>
        <v>1176</v>
      </c>
      <c r="I317" s="1318" t="s">
        <v>957</v>
      </c>
      <c r="J317" s="1319"/>
      <c r="K317" s="160"/>
    </row>
    <row r="318" spans="1:11" ht="24" x14ac:dyDescent="0.25">
      <c r="A318" s="12" t="s">
        <v>626</v>
      </c>
      <c r="B318" s="174" t="s">
        <v>980</v>
      </c>
      <c r="C318" s="51"/>
      <c r="D318" s="12" t="s">
        <v>286</v>
      </c>
      <c r="E318" s="1316"/>
      <c r="F318" s="102">
        <f>'3.9.расчет прочих'!K286</f>
        <v>1176</v>
      </c>
      <c r="G318" s="326">
        <f t="shared" si="30"/>
        <v>1176</v>
      </c>
      <c r="H318" s="326">
        <f t="shared" si="31"/>
        <v>1176</v>
      </c>
      <c r="I318" s="1318" t="s">
        <v>957</v>
      </c>
      <c r="J318" s="1319"/>
      <c r="K318" s="160"/>
    </row>
    <row r="319" spans="1:11" ht="27.75" customHeight="1" x14ac:dyDescent="0.25">
      <c r="A319" s="12" t="s">
        <v>627</v>
      </c>
      <c r="B319" s="174" t="s">
        <v>622</v>
      </c>
      <c r="C319" s="51"/>
      <c r="D319" s="12" t="s">
        <v>286</v>
      </c>
      <c r="E319" s="1316"/>
      <c r="F319" s="102">
        <f>'3.9.расчет прочих'!K287</f>
        <v>1176</v>
      </c>
      <c r="G319" s="326">
        <f t="shared" si="30"/>
        <v>1176</v>
      </c>
      <c r="H319" s="326">
        <f t="shared" si="31"/>
        <v>1176</v>
      </c>
      <c r="I319" s="1318" t="s">
        <v>957</v>
      </c>
      <c r="J319" s="1319"/>
      <c r="K319" s="160"/>
    </row>
    <row r="320" spans="1:11" ht="15.75" customHeight="1" x14ac:dyDescent="0.25">
      <c r="A320" s="174" t="s">
        <v>608</v>
      </c>
      <c r="B320" s="174" t="s">
        <v>623</v>
      </c>
      <c r="C320" s="51"/>
      <c r="D320" s="12" t="s">
        <v>286</v>
      </c>
      <c r="E320" s="1316"/>
      <c r="F320" s="102">
        <f>'3.9.расчет прочих'!K288</f>
        <v>1176</v>
      </c>
      <c r="G320" s="326">
        <f t="shared" si="30"/>
        <v>1176</v>
      </c>
      <c r="H320" s="326">
        <f t="shared" si="31"/>
        <v>1176</v>
      </c>
      <c r="I320" s="1318" t="s">
        <v>957</v>
      </c>
      <c r="J320" s="1319"/>
      <c r="K320" s="160"/>
    </row>
    <row r="321" spans="1:11" ht="27.75" hidden="1" customHeight="1" x14ac:dyDescent="0.25">
      <c r="A321" s="92" t="s">
        <v>611</v>
      </c>
      <c r="B321" s="174"/>
      <c r="C321" s="51"/>
      <c r="D321" s="12" t="s">
        <v>286</v>
      </c>
      <c r="E321" s="1317"/>
      <c r="F321" s="102">
        <f>'3.9.расчет прочих'!K289</f>
        <v>1176</v>
      </c>
      <c r="G321" s="326">
        <f t="shared" si="30"/>
        <v>1176</v>
      </c>
      <c r="H321" s="326">
        <f t="shared" si="31"/>
        <v>1176</v>
      </c>
      <c r="I321" s="1318" t="s">
        <v>957</v>
      </c>
      <c r="J321" s="1319"/>
      <c r="K321" s="160"/>
    </row>
    <row r="322" spans="1:11" ht="24" x14ac:dyDescent="0.25">
      <c r="A322" s="96" t="s">
        <v>601</v>
      </c>
      <c r="B322" s="181"/>
      <c r="C322" s="15"/>
      <c r="D322" s="16"/>
      <c r="E322" s="7"/>
      <c r="F322" s="95"/>
      <c r="G322" s="95"/>
      <c r="H322" s="95"/>
      <c r="I322" s="99"/>
      <c r="J322" s="100"/>
      <c r="K322" s="161"/>
    </row>
    <row r="323" spans="1:11" x14ac:dyDescent="0.25">
      <c r="A323" s="12" t="s">
        <v>456</v>
      </c>
      <c r="B323" s="174" t="s">
        <v>648</v>
      </c>
      <c r="C323" s="51"/>
      <c r="D323" s="12" t="s">
        <v>286</v>
      </c>
      <c r="E323" s="1315" t="s">
        <v>286</v>
      </c>
      <c r="F323" s="102">
        <f>'3.6.Норматив обл 2023-2025 доп'!D38</f>
        <v>0.09</v>
      </c>
      <c r="G323" s="102">
        <f>'3.6.Норматив обл 2023-2025 доп'!K38</f>
        <v>0.09</v>
      </c>
      <c r="H323" s="102">
        <f>'3.6.Норматив обл 2023-2025 доп'!R38</f>
        <v>0.09</v>
      </c>
      <c r="I323" s="1318" t="s">
        <v>885</v>
      </c>
      <c r="J323" s="1319"/>
      <c r="K323" s="160"/>
    </row>
    <row r="324" spans="1:11" ht="15" customHeight="1" x14ac:dyDescent="0.25">
      <c r="A324" s="12" t="s">
        <v>457</v>
      </c>
      <c r="B324" s="174" t="s">
        <v>649</v>
      </c>
      <c r="C324" s="51"/>
      <c r="D324" s="12" t="s">
        <v>286</v>
      </c>
      <c r="E324" s="1316"/>
      <c r="F324" s="102">
        <f>'3.6.Норматив обл 2023-2025 доп'!D39</f>
        <v>0.09</v>
      </c>
      <c r="G324" s="102">
        <f>'3.6.Норматив обл 2023-2025 доп'!K39</f>
        <v>0.09</v>
      </c>
      <c r="H324" s="102">
        <f>'3.6.Норматив обл 2023-2025 доп'!R39</f>
        <v>0.09</v>
      </c>
      <c r="I324" s="1318" t="s">
        <v>885</v>
      </c>
      <c r="J324" s="1319"/>
      <c r="K324" s="160"/>
    </row>
    <row r="325" spans="1:11" ht="15" customHeight="1" x14ac:dyDescent="0.25">
      <c r="A325" s="12" t="s">
        <v>471</v>
      </c>
      <c r="B325" s="174" t="s">
        <v>650</v>
      </c>
      <c r="C325" s="51"/>
      <c r="D325" s="12" t="s">
        <v>286</v>
      </c>
      <c r="E325" s="1316"/>
      <c r="F325" s="102">
        <f>'3.6.Норматив обл 2023-2025 доп'!D40</f>
        <v>7.0000000000000007E-2</v>
      </c>
      <c r="G325" s="102">
        <f>'3.6.Норматив обл 2023-2025 доп'!K40</f>
        <v>0.08</v>
      </c>
      <c r="H325" s="102">
        <f>'3.6.Норматив обл 2023-2025 доп'!R40</f>
        <v>0.08</v>
      </c>
      <c r="I325" s="1318" t="s">
        <v>885</v>
      </c>
      <c r="J325" s="1319"/>
      <c r="K325" s="160"/>
    </row>
    <row r="326" spans="1:11" ht="15" customHeight="1" x14ac:dyDescent="0.25">
      <c r="A326" s="12" t="s">
        <v>458</v>
      </c>
      <c r="B326" s="174" t="s">
        <v>651</v>
      </c>
      <c r="C326" s="51"/>
      <c r="D326" s="12" t="s">
        <v>286</v>
      </c>
      <c r="E326" s="1316"/>
      <c r="F326" s="102">
        <f>'3.6.Норматив обл 2023-2025 доп'!D41</f>
        <v>0.09</v>
      </c>
      <c r="G326" s="102">
        <f>'3.6.Норматив обл 2023-2025 доп'!K41</f>
        <v>0.09</v>
      </c>
      <c r="H326" s="102">
        <f>'3.6.Норматив обл 2023-2025 доп'!R41</f>
        <v>0.09</v>
      </c>
      <c r="I326" s="1318" t="s">
        <v>885</v>
      </c>
      <c r="J326" s="1319"/>
      <c r="K326" s="160"/>
    </row>
    <row r="327" spans="1:11" ht="15" customHeight="1" x14ac:dyDescent="0.25">
      <c r="A327" s="12" t="s">
        <v>459</v>
      </c>
      <c r="B327" s="174" t="s">
        <v>652</v>
      </c>
      <c r="C327" s="51"/>
      <c r="D327" s="12" t="s">
        <v>286</v>
      </c>
      <c r="E327" s="1316"/>
      <c r="F327" s="102">
        <f>'3.6.Норматив обл 2023-2025 доп'!D42</f>
        <v>0.09</v>
      </c>
      <c r="G327" s="102">
        <f>'3.6.Норматив обл 2023-2025 доп'!K42</f>
        <v>0.09</v>
      </c>
      <c r="H327" s="102">
        <f>'3.6.Норматив обл 2023-2025 доп'!R42</f>
        <v>0.09</v>
      </c>
      <c r="I327" s="1318" t="s">
        <v>885</v>
      </c>
      <c r="J327" s="1319"/>
      <c r="K327" s="160"/>
    </row>
    <row r="328" spans="1:11" ht="12" customHeight="1" x14ac:dyDescent="0.25">
      <c r="A328" s="12" t="s">
        <v>460</v>
      </c>
      <c r="B328" s="174" t="s">
        <v>653</v>
      </c>
      <c r="C328" s="51"/>
      <c r="D328" s="12" t="s">
        <v>286</v>
      </c>
      <c r="E328" s="1317"/>
      <c r="F328" s="102">
        <f>'3.6.Норматив обл 2023-2025 доп'!D43</f>
        <v>0.09</v>
      </c>
      <c r="G328" s="102">
        <f>'3.6.Норматив обл 2023-2025 доп'!K43</f>
        <v>0.09</v>
      </c>
      <c r="H328" s="102">
        <f>'3.6.Норматив обл 2023-2025 доп'!R43</f>
        <v>0.09</v>
      </c>
      <c r="I328" s="1318" t="s">
        <v>885</v>
      </c>
      <c r="J328" s="1319"/>
      <c r="K328" s="160"/>
    </row>
    <row r="329" spans="1:11" ht="18.75" customHeight="1" x14ac:dyDescent="0.25">
      <c r="A329" s="103"/>
      <c r="B329" s="106"/>
      <c r="C329" s="104" t="s">
        <v>11</v>
      </c>
      <c r="D329" s="105" t="s">
        <v>12</v>
      </c>
      <c r="E329" s="106"/>
      <c r="F329" s="107"/>
      <c r="G329" s="107"/>
      <c r="H329" s="107"/>
      <c r="I329" s="1343" t="s">
        <v>879</v>
      </c>
      <c r="J329" s="1344"/>
      <c r="K329" s="159" t="s">
        <v>879</v>
      </c>
    </row>
    <row r="330" spans="1:11" ht="36" customHeight="1" x14ac:dyDescent="0.25">
      <c r="A330" s="347" t="s">
        <v>426</v>
      </c>
      <c r="B330" s="106"/>
      <c r="C330" s="104"/>
      <c r="D330" s="105"/>
      <c r="E330" s="106"/>
      <c r="F330" s="107"/>
      <c r="G330" s="107"/>
      <c r="H330" s="107"/>
      <c r="I330" s="108"/>
      <c r="J330" s="109"/>
      <c r="K330" s="172"/>
    </row>
    <row r="331" spans="1:11" ht="36" x14ac:dyDescent="0.25">
      <c r="A331" s="174" t="s">
        <v>421</v>
      </c>
      <c r="B331" s="174" t="s">
        <v>427</v>
      </c>
      <c r="C331" s="17"/>
      <c r="D331" s="4" t="s">
        <v>265</v>
      </c>
      <c r="E331" s="4"/>
      <c r="F331" s="110">
        <f t="shared" ref="F331:H344" si="32">F457+F520+F583+F646+F708+F834+F897+F960+F1023+F1086+F1149</f>
        <v>83788</v>
      </c>
      <c r="G331" s="110">
        <f t="shared" si="32"/>
        <v>86822</v>
      </c>
      <c r="H331" s="110">
        <f t="shared" si="32"/>
        <v>89098</v>
      </c>
      <c r="I331" s="111"/>
      <c r="J331" s="112"/>
      <c r="K331" s="161"/>
    </row>
    <row r="332" spans="1:11" ht="36" x14ac:dyDescent="0.25">
      <c r="A332" s="174" t="s">
        <v>413</v>
      </c>
      <c r="B332" s="174" t="s">
        <v>430</v>
      </c>
      <c r="C332" s="17"/>
      <c r="D332" s="4" t="s">
        <v>265</v>
      </c>
      <c r="E332" s="4"/>
      <c r="F332" s="110">
        <f t="shared" si="32"/>
        <v>70581</v>
      </c>
      <c r="G332" s="110">
        <f t="shared" si="32"/>
        <v>73124</v>
      </c>
      <c r="H332" s="110">
        <f t="shared" si="32"/>
        <v>75032</v>
      </c>
      <c r="I332" s="111"/>
      <c r="J332" s="112"/>
      <c r="K332" s="161"/>
    </row>
    <row r="333" spans="1:11" ht="48" x14ac:dyDescent="0.25">
      <c r="A333" s="174" t="s">
        <v>700</v>
      </c>
      <c r="B333" s="174" t="s">
        <v>427</v>
      </c>
      <c r="C333" s="17"/>
      <c r="D333" s="4" t="s">
        <v>265</v>
      </c>
      <c r="E333" s="4"/>
      <c r="F333" s="110">
        <f t="shared" si="32"/>
        <v>70581</v>
      </c>
      <c r="G333" s="110">
        <f t="shared" si="32"/>
        <v>73124</v>
      </c>
      <c r="H333" s="110">
        <f t="shared" si="32"/>
        <v>75032</v>
      </c>
      <c r="I333" s="111"/>
      <c r="J333" s="112"/>
      <c r="K333" s="161"/>
    </row>
    <row r="334" spans="1:11" ht="48" x14ac:dyDescent="0.25">
      <c r="A334" s="174" t="s">
        <v>414</v>
      </c>
      <c r="B334" s="174" t="s">
        <v>430</v>
      </c>
      <c r="C334" s="17"/>
      <c r="D334" s="4" t="s">
        <v>265</v>
      </c>
      <c r="E334" s="4"/>
      <c r="F334" s="110">
        <f t="shared" si="32"/>
        <v>70581</v>
      </c>
      <c r="G334" s="110">
        <f t="shared" si="32"/>
        <v>73124</v>
      </c>
      <c r="H334" s="110">
        <f t="shared" si="32"/>
        <v>75032</v>
      </c>
      <c r="I334" s="111"/>
      <c r="J334" s="112"/>
      <c r="K334" s="161"/>
    </row>
    <row r="335" spans="1:11" ht="48" x14ac:dyDescent="0.25">
      <c r="A335" s="174" t="s">
        <v>415</v>
      </c>
      <c r="B335" s="174" t="s">
        <v>430</v>
      </c>
      <c r="C335" s="17"/>
      <c r="D335" s="4" t="s">
        <v>265</v>
      </c>
      <c r="E335" s="4"/>
      <c r="F335" s="110">
        <f t="shared" si="32"/>
        <v>70581</v>
      </c>
      <c r="G335" s="110">
        <f t="shared" si="32"/>
        <v>73124</v>
      </c>
      <c r="H335" s="110">
        <f t="shared" si="32"/>
        <v>75032</v>
      </c>
      <c r="I335" s="111"/>
      <c r="J335" s="112"/>
      <c r="K335" s="161"/>
    </row>
    <row r="336" spans="1:11" ht="48" x14ac:dyDescent="0.25">
      <c r="A336" s="92" t="s">
        <v>416</v>
      </c>
      <c r="B336" s="174" t="s">
        <v>429</v>
      </c>
      <c r="C336" s="17"/>
      <c r="D336" s="4" t="s">
        <v>265</v>
      </c>
      <c r="E336" s="4"/>
      <c r="F336" s="110">
        <f t="shared" si="32"/>
        <v>119840</v>
      </c>
      <c r="G336" s="110">
        <f t="shared" si="32"/>
        <v>124214</v>
      </c>
      <c r="H336" s="110">
        <f t="shared" si="32"/>
        <v>127495</v>
      </c>
      <c r="I336" s="111"/>
      <c r="J336" s="112"/>
      <c r="K336" s="161"/>
    </row>
    <row r="337" spans="1:11" ht="90.75" customHeight="1" x14ac:dyDescent="0.25">
      <c r="A337" s="98" t="s">
        <v>417</v>
      </c>
      <c r="B337" s="174" t="s">
        <v>429</v>
      </c>
      <c r="C337" s="17"/>
      <c r="D337" s="4" t="s">
        <v>265</v>
      </c>
      <c r="E337" s="4"/>
      <c r="F337" s="110">
        <f t="shared" si="32"/>
        <v>143371</v>
      </c>
      <c r="G337" s="110">
        <f t="shared" si="32"/>
        <v>148620</v>
      </c>
      <c r="H337" s="110">
        <f t="shared" si="32"/>
        <v>152557</v>
      </c>
      <c r="I337" s="111"/>
      <c r="J337" s="112"/>
      <c r="K337" s="161"/>
    </row>
    <row r="338" spans="1:11" ht="86.25" customHeight="1" x14ac:dyDescent="0.25">
      <c r="A338" s="98" t="s">
        <v>422</v>
      </c>
      <c r="B338" s="174" t="s">
        <v>428</v>
      </c>
      <c r="C338" s="17"/>
      <c r="D338" s="4" t="s">
        <v>265</v>
      </c>
      <c r="E338" s="4"/>
      <c r="F338" s="110">
        <f t="shared" si="32"/>
        <v>211027</v>
      </c>
      <c r="G338" s="110">
        <f t="shared" si="32"/>
        <v>218790</v>
      </c>
      <c r="H338" s="110">
        <f t="shared" si="32"/>
        <v>224613</v>
      </c>
      <c r="I338" s="111"/>
      <c r="J338" s="112"/>
      <c r="K338" s="161"/>
    </row>
    <row r="339" spans="1:11" ht="84.75" customHeight="1" x14ac:dyDescent="0.25">
      <c r="A339" s="98" t="s">
        <v>418</v>
      </c>
      <c r="B339" s="174" t="s">
        <v>429</v>
      </c>
      <c r="C339" s="17"/>
      <c r="D339" s="4" t="s">
        <v>265</v>
      </c>
      <c r="E339" s="4"/>
      <c r="F339" s="110">
        <f t="shared" si="32"/>
        <v>178682</v>
      </c>
      <c r="G339" s="110">
        <f t="shared" si="32"/>
        <v>185243</v>
      </c>
      <c r="H339" s="110">
        <f t="shared" si="32"/>
        <v>190164</v>
      </c>
      <c r="I339" s="111"/>
      <c r="J339" s="112"/>
      <c r="K339" s="161"/>
    </row>
    <row r="340" spans="1:11" ht="24" x14ac:dyDescent="0.25">
      <c r="A340" s="92" t="s">
        <v>423</v>
      </c>
      <c r="B340" s="174" t="s">
        <v>427</v>
      </c>
      <c r="C340" s="17"/>
      <c r="D340" s="4" t="s">
        <v>265</v>
      </c>
      <c r="E340" s="4"/>
      <c r="F340" s="110">
        <f t="shared" si="32"/>
        <v>83788</v>
      </c>
      <c r="G340" s="110">
        <f t="shared" si="32"/>
        <v>86822</v>
      </c>
      <c r="H340" s="110">
        <f t="shared" si="32"/>
        <v>89098</v>
      </c>
      <c r="I340" s="111"/>
      <c r="J340" s="112"/>
      <c r="K340" s="161"/>
    </row>
    <row r="341" spans="1:11" ht="24" x14ac:dyDescent="0.25">
      <c r="A341" s="174" t="s">
        <v>419</v>
      </c>
      <c r="B341" s="174" t="s">
        <v>430</v>
      </c>
      <c r="C341" s="17"/>
      <c r="D341" s="4" t="s">
        <v>265</v>
      </c>
      <c r="E341" s="4"/>
      <c r="F341" s="110">
        <f t="shared" si="32"/>
        <v>70581</v>
      </c>
      <c r="G341" s="110">
        <f t="shared" si="32"/>
        <v>73124</v>
      </c>
      <c r="H341" s="110">
        <f t="shared" si="32"/>
        <v>75032</v>
      </c>
      <c r="I341" s="111"/>
      <c r="J341" s="112"/>
      <c r="K341" s="161"/>
    </row>
    <row r="342" spans="1:11" ht="24" x14ac:dyDescent="0.25">
      <c r="A342" s="92" t="s">
        <v>424</v>
      </c>
      <c r="B342" s="174" t="s">
        <v>427</v>
      </c>
      <c r="C342" s="17"/>
      <c r="D342" s="4" t="s">
        <v>265</v>
      </c>
      <c r="E342" s="4"/>
      <c r="F342" s="110">
        <f t="shared" si="32"/>
        <v>127478</v>
      </c>
      <c r="G342" s="110">
        <f t="shared" si="32"/>
        <v>132137</v>
      </c>
      <c r="H342" s="110">
        <f t="shared" si="32"/>
        <v>135630</v>
      </c>
      <c r="I342" s="111"/>
      <c r="J342" s="112"/>
      <c r="K342" s="161"/>
    </row>
    <row r="343" spans="1:11" ht="24" x14ac:dyDescent="0.25">
      <c r="A343" s="174" t="s">
        <v>420</v>
      </c>
      <c r="B343" s="174" t="s">
        <v>430</v>
      </c>
      <c r="C343" s="17"/>
      <c r="D343" s="4" t="s">
        <v>265</v>
      </c>
      <c r="E343" s="4"/>
      <c r="F343" s="110">
        <f t="shared" si="32"/>
        <v>103024</v>
      </c>
      <c r="G343" s="110">
        <f t="shared" si="32"/>
        <v>106773</v>
      </c>
      <c r="H343" s="110">
        <f t="shared" si="32"/>
        <v>109585</v>
      </c>
      <c r="I343" s="111"/>
      <c r="J343" s="112"/>
      <c r="K343" s="161"/>
    </row>
    <row r="344" spans="1:11" ht="15" hidden="1" customHeight="1" x14ac:dyDescent="0.25">
      <c r="A344" s="340"/>
      <c r="B344" s="174"/>
      <c r="C344" s="17"/>
      <c r="D344" s="4" t="s">
        <v>265</v>
      </c>
      <c r="E344" s="4"/>
      <c r="F344" s="110">
        <f t="shared" si="32"/>
        <v>2156</v>
      </c>
      <c r="G344" s="110">
        <f t="shared" si="32"/>
        <v>2156</v>
      </c>
      <c r="H344" s="110">
        <f t="shared" si="32"/>
        <v>2156</v>
      </c>
      <c r="I344" s="111"/>
      <c r="J344" s="112"/>
      <c r="K344" s="161"/>
    </row>
    <row r="345" spans="1:11" hidden="1" x14ac:dyDescent="0.25">
      <c r="A345" s="347" t="s">
        <v>431</v>
      </c>
      <c r="B345" s="106"/>
      <c r="C345" s="104"/>
      <c r="D345" s="105"/>
      <c r="E345" s="106"/>
      <c r="F345" s="107"/>
      <c r="G345" s="107"/>
      <c r="H345" s="107"/>
      <c r="I345" s="108"/>
      <c r="J345" s="109"/>
      <c r="K345" s="172"/>
    </row>
    <row r="346" spans="1:11" ht="15" hidden="1" customHeight="1" x14ac:dyDescent="0.25">
      <c r="A346" s="12" t="s">
        <v>702</v>
      </c>
      <c r="B346" s="174" t="s">
        <v>432</v>
      </c>
      <c r="C346" s="17"/>
      <c r="D346" s="4" t="s">
        <v>265</v>
      </c>
      <c r="E346" s="4"/>
      <c r="F346" s="110">
        <f t="shared" ref="F346:H354" si="33">F472+F535+F598+F661+F723+F849+F912+F975+F1038+F1101+F1164</f>
        <v>0</v>
      </c>
      <c r="G346" s="110">
        <f t="shared" si="33"/>
        <v>0</v>
      </c>
      <c r="H346" s="110">
        <f t="shared" si="33"/>
        <v>0</v>
      </c>
      <c r="I346" s="111"/>
      <c r="J346" s="112"/>
      <c r="K346" s="161"/>
    </row>
    <row r="347" spans="1:11" ht="15" hidden="1" customHeight="1" x14ac:dyDescent="0.25">
      <c r="A347" s="12" t="s">
        <v>703</v>
      </c>
      <c r="B347" s="174" t="s">
        <v>433</v>
      </c>
      <c r="C347" s="17"/>
      <c r="D347" s="4" t="s">
        <v>265</v>
      </c>
      <c r="E347" s="4"/>
      <c r="F347" s="110">
        <f t="shared" si="33"/>
        <v>0</v>
      </c>
      <c r="G347" s="110">
        <f t="shared" si="33"/>
        <v>0</v>
      </c>
      <c r="H347" s="110">
        <f t="shared" si="33"/>
        <v>0</v>
      </c>
      <c r="I347" s="111"/>
      <c r="J347" s="112"/>
      <c r="K347" s="161"/>
    </row>
    <row r="348" spans="1:11" ht="15" hidden="1" customHeight="1" x14ac:dyDescent="0.25">
      <c r="A348" s="12" t="s">
        <v>704</v>
      </c>
      <c r="B348" s="174" t="s">
        <v>434</v>
      </c>
      <c r="C348" s="17"/>
      <c r="D348" s="4" t="s">
        <v>265</v>
      </c>
      <c r="E348" s="4"/>
      <c r="F348" s="110">
        <f t="shared" si="33"/>
        <v>0</v>
      </c>
      <c r="G348" s="110">
        <f t="shared" si="33"/>
        <v>0</v>
      </c>
      <c r="H348" s="110">
        <f t="shared" si="33"/>
        <v>0</v>
      </c>
      <c r="I348" s="111"/>
      <c r="J348" s="112"/>
      <c r="K348" s="161"/>
    </row>
    <row r="349" spans="1:11" s="435" customFormat="1" ht="15" hidden="1" customHeight="1" x14ac:dyDescent="0.25">
      <c r="A349" s="641" t="s">
        <v>1407</v>
      </c>
      <c r="B349" s="174" t="s">
        <v>435</v>
      </c>
      <c r="C349" s="17"/>
      <c r="D349" s="4" t="s">
        <v>265</v>
      </c>
      <c r="E349" s="4"/>
      <c r="F349" s="110">
        <f t="shared" si="33"/>
        <v>0</v>
      </c>
      <c r="G349" s="110">
        <f t="shared" si="33"/>
        <v>0</v>
      </c>
      <c r="H349" s="110">
        <f t="shared" si="33"/>
        <v>0</v>
      </c>
      <c r="I349" s="111"/>
      <c r="J349" s="112"/>
      <c r="K349" s="161"/>
    </row>
    <row r="350" spans="1:11" ht="15" hidden="1" customHeight="1" x14ac:dyDescent="0.25">
      <c r="A350" s="12" t="s">
        <v>948</v>
      </c>
      <c r="B350" s="174" t="s">
        <v>435</v>
      </c>
      <c r="C350" s="17"/>
      <c r="D350" s="4" t="s">
        <v>265</v>
      </c>
      <c r="E350" s="4"/>
      <c r="F350" s="110">
        <f t="shared" si="33"/>
        <v>0</v>
      </c>
      <c r="G350" s="110">
        <f t="shared" si="33"/>
        <v>0</v>
      </c>
      <c r="H350" s="110">
        <f t="shared" si="33"/>
        <v>0</v>
      </c>
      <c r="I350" s="111"/>
      <c r="J350" s="112"/>
      <c r="K350" s="161"/>
    </row>
    <row r="351" spans="1:11" ht="15" hidden="1" customHeight="1" x14ac:dyDescent="0.25">
      <c r="A351" s="12" t="s">
        <v>705</v>
      </c>
      <c r="B351" s="174" t="s">
        <v>436</v>
      </c>
      <c r="C351" s="17"/>
      <c r="D351" s="4" t="s">
        <v>265</v>
      </c>
      <c r="E351" s="4"/>
      <c r="F351" s="110">
        <f t="shared" si="33"/>
        <v>0</v>
      </c>
      <c r="G351" s="110">
        <f t="shared" si="33"/>
        <v>0</v>
      </c>
      <c r="H351" s="110">
        <f t="shared" si="33"/>
        <v>0</v>
      </c>
      <c r="I351" s="111"/>
      <c r="J351" s="112"/>
      <c r="K351" s="161"/>
    </row>
    <row r="352" spans="1:11" ht="15" hidden="1" customHeight="1" x14ac:dyDescent="0.25">
      <c r="A352" s="98" t="s">
        <v>706</v>
      </c>
      <c r="B352" s="174" t="s">
        <v>437</v>
      </c>
      <c r="C352" s="17"/>
      <c r="D352" s="4" t="s">
        <v>265</v>
      </c>
      <c r="E352" s="4"/>
      <c r="F352" s="110">
        <f t="shared" si="33"/>
        <v>0</v>
      </c>
      <c r="G352" s="110">
        <f t="shared" si="33"/>
        <v>0</v>
      </c>
      <c r="H352" s="110">
        <f t="shared" si="33"/>
        <v>0</v>
      </c>
      <c r="I352" s="111"/>
      <c r="J352" s="112"/>
      <c r="K352" s="161"/>
    </row>
    <row r="353" spans="1:11" ht="15" hidden="1" customHeight="1" x14ac:dyDescent="0.25">
      <c r="A353" s="98" t="s">
        <v>707</v>
      </c>
      <c r="B353" s="174" t="s">
        <v>438</v>
      </c>
      <c r="C353" s="17"/>
      <c r="D353" s="4" t="s">
        <v>265</v>
      </c>
      <c r="E353" s="4"/>
      <c r="F353" s="110">
        <f t="shared" si="33"/>
        <v>0</v>
      </c>
      <c r="G353" s="110">
        <f t="shared" si="33"/>
        <v>0</v>
      </c>
      <c r="H353" s="110">
        <f t="shared" si="33"/>
        <v>0</v>
      </c>
      <c r="I353" s="111"/>
      <c r="J353" s="112"/>
      <c r="K353" s="161"/>
    </row>
    <row r="354" spans="1:11" ht="15" hidden="1" customHeight="1" x14ac:dyDescent="0.25">
      <c r="A354" s="98" t="s">
        <v>708</v>
      </c>
      <c r="B354" s="174" t="s">
        <v>439</v>
      </c>
      <c r="C354" s="17"/>
      <c r="D354" s="4" t="s">
        <v>265</v>
      </c>
      <c r="E354" s="4"/>
      <c r="F354" s="110">
        <f t="shared" si="33"/>
        <v>0</v>
      </c>
      <c r="G354" s="110">
        <f t="shared" si="33"/>
        <v>0</v>
      </c>
      <c r="H354" s="110">
        <f t="shared" si="33"/>
        <v>0</v>
      </c>
      <c r="I354" s="111"/>
      <c r="J354" s="112"/>
      <c r="K354" s="161"/>
    </row>
    <row r="355" spans="1:11" s="435" customFormat="1" ht="15" hidden="1" customHeight="1" x14ac:dyDescent="0.25">
      <c r="A355" s="643" t="s">
        <v>1409</v>
      </c>
      <c r="B355" s="174" t="s">
        <v>440</v>
      </c>
      <c r="C355" s="17"/>
      <c r="D355" s="4" t="s">
        <v>265</v>
      </c>
      <c r="E355" s="4"/>
      <c r="F355" s="110">
        <f t="shared" ref="F355:H357" si="34">F481+F544+F607+F669+F732+F858+F921+F984+F1047+F1110+F1173</f>
        <v>0</v>
      </c>
      <c r="G355" s="110">
        <f t="shared" si="34"/>
        <v>0</v>
      </c>
      <c r="H355" s="110">
        <f t="shared" si="34"/>
        <v>0</v>
      </c>
      <c r="I355" s="111"/>
      <c r="J355" s="112"/>
      <c r="K355" s="161"/>
    </row>
    <row r="356" spans="1:11" ht="15" hidden="1" customHeight="1" x14ac:dyDescent="0.25">
      <c r="A356" s="98" t="s">
        <v>949</v>
      </c>
      <c r="B356" s="174" t="s">
        <v>440</v>
      </c>
      <c r="C356" s="17"/>
      <c r="D356" s="4" t="s">
        <v>265</v>
      </c>
      <c r="E356" s="4"/>
      <c r="F356" s="110">
        <f t="shared" si="34"/>
        <v>0</v>
      </c>
      <c r="G356" s="110">
        <f t="shared" si="34"/>
        <v>0</v>
      </c>
      <c r="H356" s="110">
        <f t="shared" si="34"/>
        <v>0</v>
      </c>
      <c r="I356" s="111"/>
      <c r="J356" s="112"/>
      <c r="K356" s="161"/>
    </row>
    <row r="357" spans="1:11" ht="15" hidden="1" customHeight="1" x14ac:dyDescent="0.25">
      <c r="A357" s="98" t="s">
        <v>709</v>
      </c>
      <c r="B357" s="174" t="s">
        <v>441</v>
      </c>
      <c r="C357" s="17"/>
      <c r="D357" s="4" t="s">
        <v>265</v>
      </c>
      <c r="E357" s="4"/>
      <c r="F357" s="110">
        <f t="shared" si="34"/>
        <v>0</v>
      </c>
      <c r="G357" s="110">
        <f t="shared" si="34"/>
        <v>0</v>
      </c>
      <c r="H357" s="110">
        <f t="shared" si="34"/>
        <v>0</v>
      </c>
      <c r="I357" s="111"/>
      <c r="J357" s="112"/>
      <c r="K357" s="161"/>
    </row>
    <row r="358" spans="1:11" ht="36" customHeight="1" x14ac:dyDescent="0.25">
      <c r="A358" s="347" t="s">
        <v>624</v>
      </c>
      <c r="B358" s="106"/>
      <c r="C358" s="104"/>
      <c r="D358" s="105"/>
      <c r="E358" s="106"/>
      <c r="F358" s="107"/>
      <c r="G358" s="107"/>
      <c r="H358" s="107"/>
      <c r="I358" s="108"/>
      <c r="J358" s="109"/>
      <c r="K358" s="172"/>
    </row>
    <row r="359" spans="1:11" x14ac:dyDescent="0.25">
      <c r="A359" s="12" t="s">
        <v>609</v>
      </c>
      <c r="B359" s="174" t="s">
        <v>617</v>
      </c>
      <c r="C359" s="17"/>
      <c r="D359" s="4" t="s">
        <v>265</v>
      </c>
      <c r="E359" s="4"/>
      <c r="F359" s="110">
        <f t="shared" ref="F359:H366" si="35">F485+F548+F611+F673+F736+F862+F925+F988+F1051+F1114+F1177</f>
        <v>6656.54</v>
      </c>
      <c r="G359" s="110">
        <f t="shared" si="35"/>
        <v>6786.78</v>
      </c>
      <c r="H359" s="110">
        <f t="shared" si="35"/>
        <v>6881.5</v>
      </c>
      <c r="I359" s="111"/>
      <c r="J359" s="112"/>
      <c r="K359" s="161"/>
    </row>
    <row r="360" spans="1:11" ht="72" hidden="1" x14ac:dyDescent="0.25">
      <c r="A360" s="92" t="s">
        <v>610</v>
      </c>
      <c r="B360" s="174"/>
      <c r="C360" s="17"/>
      <c r="D360" s="4" t="s">
        <v>265</v>
      </c>
      <c r="E360" s="4"/>
      <c r="F360" s="110">
        <f t="shared" si="35"/>
        <v>469</v>
      </c>
      <c r="G360" s="110">
        <f t="shared" si="35"/>
        <v>469</v>
      </c>
      <c r="H360" s="110">
        <f t="shared" si="35"/>
        <v>469</v>
      </c>
      <c r="I360" s="111"/>
      <c r="J360" s="112"/>
      <c r="K360" s="161"/>
    </row>
    <row r="361" spans="1:11" ht="48" x14ac:dyDescent="0.25">
      <c r="A361" s="12" t="s">
        <v>625</v>
      </c>
      <c r="B361" s="174" t="s">
        <v>978</v>
      </c>
      <c r="C361" s="17"/>
      <c r="D361" s="4" t="s">
        <v>265</v>
      </c>
      <c r="E361" s="4"/>
      <c r="F361" s="110">
        <f t="shared" si="35"/>
        <v>12653.14</v>
      </c>
      <c r="G361" s="110">
        <f t="shared" si="35"/>
        <v>13015.26</v>
      </c>
      <c r="H361" s="110">
        <f t="shared" si="35"/>
        <v>13278.62</v>
      </c>
      <c r="I361" s="111"/>
      <c r="J361" s="112"/>
      <c r="K361" s="161"/>
    </row>
    <row r="362" spans="1:11" ht="24" x14ac:dyDescent="0.25">
      <c r="A362" s="12" t="s">
        <v>626</v>
      </c>
      <c r="B362" s="174" t="s">
        <v>618</v>
      </c>
      <c r="C362" s="17"/>
      <c r="D362" s="4" t="s">
        <v>265</v>
      </c>
      <c r="E362" s="4"/>
      <c r="F362" s="110">
        <f t="shared" si="35"/>
        <v>3285.34</v>
      </c>
      <c r="G362" s="110">
        <f t="shared" si="35"/>
        <v>3285.34</v>
      </c>
      <c r="H362" s="110">
        <f t="shared" si="35"/>
        <v>3285.34</v>
      </c>
      <c r="I362" s="111"/>
      <c r="J362" s="112"/>
      <c r="K362" s="161"/>
    </row>
    <row r="363" spans="1:11" ht="60" hidden="1" x14ac:dyDescent="0.25">
      <c r="A363" s="92" t="s">
        <v>639</v>
      </c>
      <c r="B363" s="174"/>
      <c r="C363" s="17"/>
      <c r="D363" s="4" t="s">
        <v>265</v>
      </c>
      <c r="E363" s="4"/>
      <c r="F363" s="110">
        <f t="shared" si="35"/>
        <v>469</v>
      </c>
      <c r="G363" s="110">
        <f t="shared" si="35"/>
        <v>469</v>
      </c>
      <c r="H363" s="110">
        <f t="shared" si="35"/>
        <v>469</v>
      </c>
      <c r="I363" s="111"/>
      <c r="J363" s="112"/>
      <c r="K363" s="161"/>
    </row>
    <row r="364" spans="1:11" ht="36" x14ac:dyDescent="0.25">
      <c r="A364" s="12" t="s">
        <v>627</v>
      </c>
      <c r="B364" s="174" t="s">
        <v>619</v>
      </c>
      <c r="C364" s="17"/>
      <c r="D364" s="4" t="s">
        <v>265</v>
      </c>
      <c r="E364" s="4"/>
      <c r="F364" s="110">
        <f t="shared" si="35"/>
        <v>6653.59</v>
      </c>
      <c r="G364" s="110">
        <f t="shared" si="35"/>
        <v>6783.83</v>
      </c>
      <c r="H364" s="110">
        <f t="shared" si="35"/>
        <v>6878.55</v>
      </c>
      <c r="I364" s="111"/>
      <c r="J364" s="112"/>
      <c r="K364" s="161"/>
    </row>
    <row r="365" spans="1:11" hidden="1" x14ac:dyDescent="0.25">
      <c r="A365" s="92" t="s">
        <v>608</v>
      </c>
      <c r="B365" s="174"/>
      <c r="C365" s="17"/>
      <c r="D365" s="4" t="s">
        <v>265</v>
      </c>
      <c r="E365" s="4"/>
      <c r="F365" s="110">
        <f t="shared" si="35"/>
        <v>469</v>
      </c>
      <c r="G365" s="110">
        <f t="shared" si="35"/>
        <v>469</v>
      </c>
      <c r="H365" s="110">
        <f t="shared" si="35"/>
        <v>469</v>
      </c>
      <c r="I365" s="111"/>
      <c r="J365" s="112"/>
      <c r="K365" s="161"/>
    </row>
    <row r="366" spans="1:11" hidden="1" x14ac:dyDescent="0.25">
      <c r="A366" s="92" t="s">
        <v>611</v>
      </c>
      <c r="B366" s="174"/>
      <c r="C366" s="17"/>
      <c r="D366" s="4" t="s">
        <v>265</v>
      </c>
      <c r="E366" s="4"/>
      <c r="F366" s="110">
        <f t="shared" si="35"/>
        <v>469</v>
      </c>
      <c r="G366" s="110">
        <f t="shared" si="35"/>
        <v>469</v>
      </c>
      <c r="H366" s="110">
        <f t="shared" si="35"/>
        <v>469</v>
      </c>
      <c r="I366" s="111"/>
      <c r="J366" s="112"/>
      <c r="K366" s="161"/>
    </row>
    <row r="367" spans="1:11" ht="36" x14ac:dyDescent="0.25">
      <c r="A367" s="347" t="s">
        <v>603</v>
      </c>
      <c r="B367" s="106"/>
      <c r="C367" s="104"/>
      <c r="D367" s="105"/>
      <c r="E367" s="106"/>
      <c r="F367" s="107"/>
      <c r="G367" s="107"/>
      <c r="H367" s="107"/>
      <c r="I367" s="108"/>
      <c r="J367" s="109"/>
      <c r="K367" s="172"/>
    </row>
    <row r="368" spans="1:11" x14ac:dyDescent="0.25">
      <c r="A368" s="12" t="s">
        <v>609</v>
      </c>
      <c r="B368" s="174" t="s">
        <v>604</v>
      </c>
      <c r="C368" s="17"/>
      <c r="D368" s="4" t="s">
        <v>265</v>
      </c>
      <c r="E368" s="4"/>
      <c r="F368" s="110">
        <f t="shared" ref="F368:H375" si="36">F494+F557+F620+F682+F745+F871+F934+F997+F1060+F1123+F1186</f>
        <v>6656.54</v>
      </c>
      <c r="G368" s="110">
        <f t="shared" si="36"/>
        <v>6786.78</v>
      </c>
      <c r="H368" s="110">
        <f t="shared" si="36"/>
        <v>6881.5</v>
      </c>
      <c r="I368" s="111"/>
      <c r="J368" s="112"/>
      <c r="K368" s="161"/>
    </row>
    <row r="369" spans="1:11" ht="72" hidden="1" x14ac:dyDescent="0.25">
      <c r="A369" s="92" t="s">
        <v>610</v>
      </c>
      <c r="B369" s="174"/>
      <c r="C369" s="17"/>
      <c r="D369" s="4" t="s">
        <v>265</v>
      </c>
      <c r="E369" s="4"/>
      <c r="F369" s="110">
        <f t="shared" si="36"/>
        <v>469</v>
      </c>
      <c r="G369" s="110">
        <f t="shared" si="36"/>
        <v>469</v>
      </c>
      <c r="H369" s="110">
        <f t="shared" si="36"/>
        <v>469</v>
      </c>
      <c r="I369" s="111"/>
      <c r="J369" s="112"/>
      <c r="K369" s="161"/>
    </row>
    <row r="370" spans="1:11" ht="38.25" customHeight="1" x14ac:dyDescent="0.25">
      <c r="A370" s="12" t="s">
        <v>625</v>
      </c>
      <c r="B370" s="174" t="s">
        <v>605</v>
      </c>
      <c r="C370" s="17"/>
      <c r="D370" s="4" t="s">
        <v>265</v>
      </c>
      <c r="E370" s="4"/>
      <c r="F370" s="110">
        <f t="shared" si="36"/>
        <v>12653.6</v>
      </c>
      <c r="G370" s="110">
        <f t="shared" si="36"/>
        <v>13015.72</v>
      </c>
      <c r="H370" s="110">
        <f t="shared" si="36"/>
        <v>13279.08</v>
      </c>
      <c r="I370" s="111"/>
      <c r="J370" s="112"/>
      <c r="K370" s="161"/>
    </row>
    <row r="371" spans="1:11" ht="60" hidden="1" x14ac:dyDescent="0.25">
      <c r="A371" s="92" t="s">
        <v>639</v>
      </c>
      <c r="B371" s="174"/>
      <c r="C371" s="17"/>
      <c r="D371" s="4" t="s">
        <v>265</v>
      </c>
      <c r="E371" s="4"/>
      <c r="F371" s="110">
        <f t="shared" si="36"/>
        <v>469</v>
      </c>
      <c r="G371" s="110">
        <f t="shared" si="36"/>
        <v>469</v>
      </c>
      <c r="H371" s="110">
        <f t="shared" si="36"/>
        <v>469</v>
      </c>
      <c r="I371" s="111"/>
      <c r="J371" s="112"/>
      <c r="K371" s="161"/>
    </row>
    <row r="372" spans="1:11" ht="24" x14ac:dyDescent="0.25">
      <c r="A372" s="12" t="s">
        <v>626</v>
      </c>
      <c r="B372" s="174" t="s">
        <v>606</v>
      </c>
      <c r="C372" s="17"/>
      <c r="D372" s="4" t="s">
        <v>265</v>
      </c>
      <c r="E372" s="4"/>
      <c r="F372" s="110">
        <f t="shared" si="36"/>
        <v>3291.27</v>
      </c>
      <c r="G372" s="110">
        <f t="shared" si="36"/>
        <v>3291.27</v>
      </c>
      <c r="H372" s="110">
        <f t="shared" si="36"/>
        <v>3291.27</v>
      </c>
      <c r="I372" s="111"/>
      <c r="J372" s="112"/>
      <c r="K372" s="161"/>
    </row>
    <row r="373" spans="1:11" ht="36" x14ac:dyDescent="0.25">
      <c r="A373" s="12" t="s">
        <v>627</v>
      </c>
      <c r="B373" s="174" t="s">
        <v>607</v>
      </c>
      <c r="C373" s="17"/>
      <c r="D373" s="4" t="s">
        <v>265</v>
      </c>
      <c r="E373" s="4"/>
      <c r="F373" s="110">
        <f t="shared" si="36"/>
        <v>6660.16</v>
      </c>
      <c r="G373" s="110">
        <f t="shared" si="36"/>
        <v>6790.4</v>
      </c>
      <c r="H373" s="110">
        <f t="shared" si="36"/>
        <v>6885.12</v>
      </c>
      <c r="I373" s="111"/>
      <c r="J373" s="112"/>
      <c r="K373" s="161"/>
    </row>
    <row r="374" spans="1:11" x14ac:dyDescent="0.25">
      <c r="A374" s="174" t="s">
        <v>608</v>
      </c>
      <c r="B374" s="174" t="s">
        <v>979</v>
      </c>
      <c r="C374" s="17"/>
      <c r="D374" s="4" t="s">
        <v>265</v>
      </c>
      <c r="E374" s="4"/>
      <c r="F374" s="110">
        <f t="shared" si="36"/>
        <v>6657.16</v>
      </c>
      <c r="G374" s="110">
        <f t="shared" si="36"/>
        <v>6787.4</v>
      </c>
      <c r="H374" s="110">
        <f t="shared" si="36"/>
        <v>6882.12</v>
      </c>
      <c r="I374" s="111"/>
      <c r="J374" s="112"/>
      <c r="K374" s="161"/>
    </row>
    <row r="375" spans="1:11" x14ac:dyDescent="0.25">
      <c r="A375" s="174" t="s">
        <v>611</v>
      </c>
      <c r="B375" s="174" t="s">
        <v>2233</v>
      </c>
      <c r="C375" s="17"/>
      <c r="D375" s="4" t="s">
        <v>265</v>
      </c>
      <c r="E375" s="4"/>
      <c r="F375" s="110">
        <f t="shared" si="36"/>
        <v>3366.65</v>
      </c>
      <c r="G375" s="110">
        <f t="shared" si="36"/>
        <v>3366.65</v>
      </c>
      <c r="H375" s="110">
        <f t="shared" si="36"/>
        <v>3366.65</v>
      </c>
      <c r="I375" s="111"/>
      <c r="J375" s="112"/>
      <c r="K375" s="161"/>
    </row>
    <row r="376" spans="1:11" ht="36" x14ac:dyDescent="0.25">
      <c r="A376" s="347" t="s">
        <v>620</v>
      </c>
      <c r="B376" s="106"/>
      <c r="C376" s="104"/>
      <c r="D376" s="105"/>
      <c r="E376" s="106"/>
      <c r="F376" s="107"/>
      <c r="G376" s="107"/>
      <c r="H376" s="107"/>
      <c r="I376" s="108"/>
      <c r="J376" s="109"/>
      <c r="K376" s="172"/>
    </row>
    <row r="377" spans="1:11" x14ac:dyDescent="0.25">
      <c r="A377" s="12" t="s">
        <v>609</v>
      </c>
      <c r="B377" s="174" t="s">
        <v>621</v>
      </c>
      <c r="C377" s="17"/>
      <c r="D377" s="4" t="s">
        <v>265</v>
      </c>
      <c r="E377" s="4"/>
      <c r="F377" s="110">
        <f t="shared" ref="F377:H384" si="37">F503+F566+F629+F691+F754+F880+F943+F1006+F1069+F1132+F1195</f>
        <v>6656.56</v>
      </c>
      <c r="G377" s="110">
        <f t="shared" si="37"/>
        <v>6786.8</v>
      </c>
      <c r="H377" s="110">
        <f t="shared" si="37"/>
        <v>6881.52</v>
      </c>
      <c r="I377" s="111"/>
      <c r="J377" s="112"/>
      <c r="K377" s="161"/>
    </row>
    <row r="378" spans="1:11" ht="72" hidden="1" x14ac:dyDescent="0.25">
      <c r="A378" s="92" t="s">
        <v>610</v>
      </c>
      <c r="B378" s="174"/>
      <c r="C378" s="17"/>
      <c r="D378" s="4" t="s">
        <v>265</v>
      </c>
      <c r="E378" s="4"/>
      <c r="F378" s="110">
        <f t="shared" si="37"/>
        <v>469</v>
      </c>
      <c r="G378" s="110">
        <f t="shared" si="37"/>
        <v>469</v>
      </c>
      <c r="H378" s="110">
        <f t="shared" si="37"/>
        <v>469</v>
      </c>
      <c r="I378" s="111"/>
      <c r="J378" s="112"/>
      <c r="K378" s="161"/>
    </row>
    <row r="379" spans="1:11" ht="48" hidden="1" x14ac:dyDescent="0.25">
      <c r="A379" s="92" t="s">
        <v>625</v>
      </c>
      <c r="B379" s="174"/>
      <c r="C379" s="17"/>
      <c r="D379" s="4" t="s">
        <v>265</v>
      </c>
      <c r="E379" s="4"/>
      <c r="F379" s="110">
        <f t="shared" si="37"/>
        <v>469</v>
      </c>
      <c r="G379" s="110">
        <f t="shared" si="37"/>
        <v>469</v>
      </c>
      <c r="H379" s="110">
        <f t="shared" si="37"/>
        <v>469</v>
      </c>
      <c r="I379" s="111"/>
      <c r="J379" s="112"/>
      <c r="K379" s="161"/>
    </row>
    <row r="380" spans="1:11" ht="60" hidden="1" x14ac:dyDescent="0.25">
      <c r="A380" s="92" t="s">
        <v>639</v>
      </c>
      <c r="B380" s="174"/>
      <c r="C380" s="17"/>
      <c r="D380" s="4" t="s">
        <v>265</v>
      </c>
      <c r="E380" s="4"/>
      <c r="F380" s="110">
        <f t="shared" si="37"/>
        <v>469</v>
      </c>
      <c r="G380" s="110">
        <f t="shared" si="37"/>
        <v>469</v>
      </c>
      <c r="H380" s="110">
        <f t="shared" si="37"/>
        <v>469</v>
      </c>
      <c r="I380" s="111"/>
      <c r="J380" s="112"/>
      <c r="K380" s="161"/>
    </row>
    <row r="381" spans="1:11" ht="24" x14ac:dyDescent="0.25">
      <c r="A381" s="12" t="s">
        <v>626</v>
      </c>
      <c r="B381" s="174" t="s">
        <v>980</v>
      </c>
      <c r="C381" s="17"/>
      <c r="D381" s="4" t="s">
        <v>265</v>
      </c>
      <c r="E381" s="4"/>
      <c r="F381" s="110">
        <f t="shared" si="37"/>
        <v>3286.98</v>
      </c>
      <c r="G381" s="110">
        <f t="shared" si="37"/>
        <v>3286.98</v>
      </c>
      <c r="H381" s="110">
        <f t="shared" si="37"/>
        <v>3286.98</v>
      </c>
      <c r="I381" s="111"/>
      <c r="J381" s="112"/>
      <c r="K381" s="161"/>
    </row>
    <row r="382" spans="1:11" ht="36" x14ac:dyDescent="0.25">
      <c r="A382" s="12" t="s">
        <v>627</v>
      </c>
      <c r="B382" s="174" t="s">
        <v>622</v>
      </c>
      <c r="C382" s="17"/>
      <c r="D382" s="4" t="s">
        <v>265</v>
      </c>
      <c r="E382" s="4"/>
      <c r="F382" s="110">
        <f t="shared" si="37"/>
        <v>7044.26</v>
      </c>
      <c r="G382" s="110">
        <f t="shared" si="37"/>
        <v>7174.5</v>
      </c>
      <c r="H382" s="110">
        <f t="shared" si="37"/>
        <v>7269.22</v>
      </c>
      <c r="I382" s="111"/>
      <c r="J382" s="112"/>
      <c r="K382" s="161"/>
    </row>
    <row r="383" spans="1:11" x14ac:dyDescent="0.25">
      <c r="A383" s="174" t="s">
        <v>608</v>
      </c>
      <c r="B383" s="174" t="s">
        <v>623</v>
      </c>
      <c r="C383" s="17"/>
      <c r="D383" s="4" t="s">
        <v>265</v>
      </c>
      <c r="E383" s="4"/>
      <c r="F383" s="110">
        <f t="shared" si="37"/>
        <v>6663.81</v>
      </c>
      <c r="G383" s="110">
        <f t="shared" si="37"/>
        <v>6794.05</v>
      </c>
      <c r="H383" s="110">
        <f t="shared" si="37"/>
        <v>6888.77</v>
      </c>
      <c r="I383" s="111"/>
      <c r="J383" s="112"/>
      <c r="K383" s="161"/>
    </row>
    <row r="384" spans="1:11" ht="15" hidden="1" customHeight="1" x14ac:dyDescent="0.25">
      <c r="A384" s="92" t="s">
        <v>611</v>
      </c>
      <c r="B384" s="174"/>
      <c r="C384" s="17"/>
      <c r="D384" s="4" t="s">
        <v>265</v>
      </c>
      <c r="E384" s="4"/>
      <c r="F384" s="110">
        <f t="shared" si="37"/>
        <v>469</v>
      </c>
      <c r="G384" s="110">
        <f t="shared" si="37"/>
        <v>469</v>
      </c>
      <c r="H384" s="110">
        <f t="shared" si="37"/>
        <v>469</v>
      </c>
      <c r="I384" s="111"/>
      <c r="J384" s="112"/>
      <c r="K384" s="161"/>
    </row>
    <row r="385" spans="1:11" ht="24" hidden="1" x14ac:dyDescent="0.25">
      <c r="A385" s="347" t="s">
        <v>601</v>
      </c>
      <c r="B385" s="106"/>
      <c r="C385" s="104"/>
      <c r="D385" s="105"/>
      <c r="E385" s="106"/>
      <c r="F385" s="107"/>
      <c r="G385" s="107"/>
      <c r="H385" s="107"/>
      <c r="I385" s="108"/>
      <c r="J385" s="109"/>
      <c r="K385" s="172"/>
    </row>
    <row r="386" spans="1:11" ht="15" hidden="1" customHeight="1" x14ac:dyDescent="0.25">
      <c r="A386" s="12" t="s">
        <v>456</v>
      </c>
      <c r="B386" s="174" t="s">
        <v>648</v>
      </c>
      <c r="C386" s="17"/>
      <c r="D386" s="4" t="s">
        <v>265</v>
      </c>
      <c r="E386" s="4"/>
      <c r="F386" s="110">
        <f t="shared" ref="F386:H391" si="38">F512+F575+F638+F700+F763+F889+F952+F1015+F1078+F1141+F1204</f>
        <v>0</v>
      </c>
      <c r="G386" s="110">
        <f t="shared" si="38"/>
        <v>0</v>
      </c>
      <c r="H386" s="110">
        <f t="shared" si="38"/>
        <v>0</v>
      </c>
      <c r="I386" s="111"/>
      <c r="J386" s="112"/>
      <c r="K386" s="161"/>
    </row>
    <row r="387" spans="1:11" ht="15" hidden="1" customHeight="1" x14ac:dyDescent="0.25">
      <c r="A387" s="12" t="s">
        <v>457</v>
      </c>
      <c r="B387" s="174" t="s">
        <v>649</v>
      </c>
      <c r="C387" s="17"/>
      <c r="D387" s="4" t="s">
        <v>265</v>
      </c>
      <c r="E387" s="4"/>
      <c r="F387" s="110">
        <f t="shared" si="38"/>
        <v>0</v>
      </c>
      <c r="G387" s="110">
        <f t="shared" si="38"/>
        <v>0</v>
      </c>
      <c r="H387" s="110">
        <f t="shared" si="38"/>
        <v>0</v>
      </c>
      <c r="I387" s="111"/>
      <c r="J387" s="112"/>
      <c r="K387" s="161"/>
    </row>
    <row r="388" spans="1:11" ht="15" hidden="1" customHeight="1" x14ac:dyDescent="0.25">
      <c r="A388" s="12" t="s">
        <v>471</v>
      </c>
      <c r="B388" s="174" t="s">
        <v>650</v>
      </c>
      <c r="C388" s="17"/>
      <c r="D388" s="4" t="s">
        <v>265</v>
      </c>
      <c r="E388" s="4"/>
      <c r="F388" s="110">
        <f t="shared" si="38"/>
        <v>0</v>
      </c>
      <c r="G388" s="110">
        <f t="shared" si="38"/>
        <v>0</v>
      </c>
      <c r="H388" s="110">
        <f t="shared" si="38"/>
        <v>0</v>
      </c>
      <c r="I388" s="111"/>
      <c r="J388" s="112"/>
      <c r="K388" s="161"/>
    </row>
    <row r="389" spans="1:11" ht="15" hidden="1" customHeight="1" x14ac:dyDescent="0.25">
      <c r="A389" s="12" t="s">
        <v>458</v>
      </c>
      <c r="B389" s="174" t="s">
        <v>651</v>
      </c>
      <c r="C389" s="17"/>
      <c r="D389" s="4" t="s">
        <v>265</v>
      </c>
      <c r="E389" s="4"/>
      <c r="F389" s="110">
        <f t="shared" si="38"/>
        <v>0</v>
      </c>
      <c r="G389" s="110">
        <f t="shared" si="38"/>
        <v>0</v>
      </c>
      <c r="H389" s="110">
        <f t="shared" si="38"/>
        <v>0</v>
      </c>
      <c r="I389" s="111"/>
      <c r="J389" s="112"/>
      <c r="K389" s="161"/>
    </row>
    <row r="390" spans="1:11" ht="15" hidden="1" customHeight="1" x14ac:dyDescent="0.25">
      <c r="A390" s="12" t="s">
        <v>459</v>
      </c>
      <c r="B390" s="174" t="s">
        <v>652</v>
      </c>
      <c r="C390" s="17"/>
      <c r="D390" s="4" t="s">
        <v>265</v>
      </c>
      <c r="E390" s="4"/>
      <c r="F390" s="110">
        <f t="shared" si="38"/>
        <v>0</v>
      </c>
      <c r="G390" s="110">
        <f t="shared" si="38"/>
        <v>0</v>
      </c>
      <c r="H390" s="110">
        <f t="shared" si="38"/>
        <v>0</v>
      </c>
      <c r="I390" s="111"/>
      <c r="J390" s="112"/>
      <c r="K390" s="161"/>
    </row>
    <row r="391" spans="1:11" ht="15" hidden="1" customHeight="1" x14ac:dyDescent="0.25">
      <c r="A391" s="12" t="s">
        <v>460</v>
      </c>
      <c r="B391" s="174" t="s">
        <v>653</v>
      </c>
      <c r="C391" s="17"/>
      <c r="D391" s="4" t="s">
        <v>265</v>
      </c>
      <c r="E391" s="4"/>
      <c r="F391" s="110">
        <f t="shared" si="38"/>
        <v>0</v>
      </c>
      <c r="G391" s="110">
        <f t="shared" si="38"/>
        <v>0</v>
      </c>
      <c r="H391" s="110">
        <f t="shared" si="38"/>
        <v>0</v>
      </c>
      <c r="I391" s="111"/>
      <c r="J391" s="112"/>
      <c r="K391" s="161"/>
    </row>
    <row r="392" spans="1:11" ht="17.25" customHeight="1" x14ac:dyDescent="0.25">
      <c r="A392" s="103"/>
      <c r="B392" s="106"/>
      <c r="C392" s="113" t="s">
        <v>13</v>
      </c>
      <c r="D392" s="114" t="s">
        <v>14</v>
      </c>
      <c r="E392" s="103"/>
      <c r="F392" s="115"/>
      <c r="G392" s="115"/>
      <c r="H392" s="115"/>
      <c r="I392" s="116"/>
      <c r="J392" s="117"/>
      <c r="K392" s="161"/>
    </row>
    <row r="393" spans="1:11" ht="36" hidden="1" x14ac:dyDescent="0.25">
      <c r="A393" s="347" t="s">
        <v>426</v>
      </c>
      <c r="B393" s="106"/>
      <c r="C393" s="113"/>
      <c r="D393" s="114"/>
      <c r="E393" s="103"/>
      <c r="F393" s="115"/>
      <c r="G393" s="115"/>
      <c r="H393" s="115"/>
      <c r="I393" s="116"/>
      <c r="J393" s="117"/>
      <c r="K393" s="161"/>
    </row>
    <row r="394" spans="1:11" ht="15" hidden="1" customHeight="1" x14ac:dyDescent="0.25">
      <c r="A394" s="174" t="s">
        <v>421</v>
      </c>
      <c r="B394" s="174" t="s">
        <v>427</v>
      </c>
      <c r="C394" s="17"/>
      <c r="D394" s="12" t="s">
        <v>265</v>
      </c>
      <c r="E394" s="12"/>
      <c r="F394" s="97">
        <f t="shared" ref="F394:F407" si="39">F457+F520+F583+F646+F708+F771</f>
        <v>0</v>
      </c>
      <c r="G394" s="97">
        <f t="shared" ref="G394:H394" si="40">G457+G520+G583+G646+G708+G771</f>
        <v>0</v>
      </c>
      <c r="H394" s="97">
        <f t="shared" si="40"/>
        <v>0</v>
      </c>
      <c r="I394" s="349"/>
      <c r="J394" s="350"/>
      <c r="K394" s="161"/>
    </row>
    <row r="395" spans="1:11" ht="15" hidden="1" customHeight="1" x14ac:dyDescent="0.25">
      <c r="A395" s="174" t="s">
        <v>413</v>
      </c>
      <c r="B395" s="174" t="s">
        <v>430</v>
      </c>
      <c r="C395" s="17"/>
      <c r="D395" s="12" t="s">
        <v>265</v>
      </c>
      <c r="E395" s="12"/>
      <c r="F395" s="97">
        <f t="shared" si="39"/>
        <v>0</v>
      </c>
      <c r="G395" s="97">
        <f t="shared" ref="G395:H407" si="41">G458+G521+G584+G647+G709+G772</f>
        <v>0</v>
      </c>
      <c r="H395" s="97">
        <f t="shared" si="41"/>
        <v>0</v>
      </c>
      <c r="I395" s="349"/>
      <c r="J395" s="350"/>
      <c r="K395" s="161"/>
    </row>
    <row r="396" spans="1:11" ht="15" hidden="1" customHeight="1" x14ac:dyDescent="0.25">
      <c r="A396" s="174" t="s">
        <v>700</v>
      </c>
      <c r="B396" s="174" t="s">
        <v>427</v>
      </c>
      <c r="C396" s="17"/>
      <c r="D396" s="12" t="s">
        <v>265</v>
      </c>
      <c r="E396" s="12"/>
      <c r="F396" s="97">
        <f t="shared" si="39"/>
        <v>0</v>
      </c>
      <c r="G396" s="97">
        <f t="shared" si="41"/>
        <v>0</v>
      </c>
      <c r="H396" s="97">
        <f t="shared" si="41"/>
        <v>0</v>
      </c>
      <c r="I396" s="349"/>
      <c r="J396" s="350"/>
      <c r="K396" s="161"/>
    </row>
    <row r="397" spans="1:11" ht="30" hidden="1" customHeight="1" x14ac:dyDescent="0.25">
      <c r="A397" s="174" t="s">
        <v>414</v>
      </c>
      <c r="B397" s="174" t="s">
        <v>430</v>
      </c>
      <c r="C397" s="17"/>
      <c r="D397" s="12" t="s">
        <v>265</v>
      </c>
      <c r="E397" s="12"/>
      <c r="F397" s="97">
        <f t="shared" si="39"/>
        <v>0</v>
      </c>
      <c r="G397" s="97">
        <f t="shared" si="41"/>
        <v>0</v>
      </c>
      <c r="H397" s="97">
        <f t="shared" si="41"/>
        <v>0</v>
      </c>
      <c r="I397" s="349"/>
      <c r="J397" s="350"/>
      <c r="K397" s="161"/>
    </row>
    <row r="398" spans="1:11" ht="15" hidden="1" customHeight="1" x14ac:dyDescent="0.25">
      <c r="A398" s="174" t="s">
        <v>415</v>
      </c>
      <c r="B398" s="174" t="s">
        <v>430</v>
      </c>
      <c r="C398" s="17"/>
      <c r="D398" s="12" t="s">
        <v>265</v>
      </c>
      <c r="E398" s="12"/>
      <c r="F398" s="97">
        <f t="shared" si="39"/>
        <v>0</v>
      </c>
      <c r="G398" s="97">
        <f t="shared" si="41"/>
        <v>0</v>
      </c>
      <c r="H398" s="97">
        <f t="shared" si="41"/>
        <v>0</v>
      </c>
      <c r="I398" s="349"/>
      <c r="J398" s="350"/>
      <c r="K398" s="161"/>
    </row>
    <row r="399" spans="1:11" ht="15" hidden="1" customHeight="1" x14ac:dyDescent="0.25">
      <c r="A399" s="92" t="s">
        <v>416</v>
      </c>
      <c r="B399" s="174" t="s">
        <v>429</v>
      </c>
      <c r="C399" s="17"/>
      <c r="D399" s="12" t="s">
        <v>265</v>
      </c>
      <c r="E399" s="12"/>
      <c r="F399" s="97">
        <f t="shared" si="39"/>
        <v>0</v>
      </c>
      <c r="G399" s="97">
        <f t="shared" si="41"/>
        <v>0</v>
      </c>
      <c r="H399" s="97">
        <f t="shared" si="41"/>
        <v>0</v>
      </c>
      <c r="I399" s="349"/>
      <c r="J399" s="350"/>
      <c r="K399" s="161"/>
    </row>
    <row r="400" spans="1:11" ht="15" hidden="1" customHeight="1" x14ac:dyDescent="0.25">
      <c r="A400" s="98" t="s">
        <v>417</v>
      </c>
      <c r="B400" s="174" t="s">
        <v>429</v>
      </c>
      <c r="C400" s="17"/>
      <c r="D400" s="12" t="s">
        <v>265</v>
      </c>
      <c r="E400" s="12"/>
      <c r="F400" s="97">
        <f t="shared" si="39"/>
        <v>0</v>
      </c>
      <c r="G400" s="97">
        <f t="shared" si="41"/>
        <v>0</v>
      </c>
      <c r="H400" s="97">
        <f t="shared" si="41"/>
        <v>0</v>
      </c>
      <c r="I400" s="349"/>
      <c r="J400" s="350"/>
      <c r="K400" s="161"/>
    </row>
    <row r="401" spans="1:11" ht="15" hidden="1" customHeight="1" x14ac:dyDescent="0.25">
      <c r="A401" s="98" t="s">
        <v>422</v>
      </c>
      <c r="B401" s="174" t="s">
        <v>428</v>
      </c>
      <c r="C401" s="17"/>
      <c r="D401" s="12" t="s">
        <v>265</v>
      </c>
      <c r="E401" s="12"/>
      <c r="F401" s="97">
        <f t="shared" si="39"/>
        <v>0</v>
      </c>
      <c r="G401" s="97">
        <f t="shared" si="41"/>
        <v>0</v>
      </c>
      <c r="H401" s="97">
        <f t="shared" si="41"/>
        <v>0</v>
      </c>
      <c r="I401" s="349"/>
      <c r="J401" s="350"/>
      <c r="K401" s="161"/>
    </row>
    <row r="402" spans="1:11" ht="15" hidden="1" customHeight="1" x14ac:dyDescent="0.25">
      <c r="A402" s="98" t="s">
        <v>418</v>
      </c>
      <c r="B402" s="174" t="s">
        <v>429</v>
      </c>
      <c r="C402" s="17"/>
      <c r="D402" s="4" t="s">
        <v>265</v>
      </c>
      <c r="E402" s="12"/>
      <c r="F402" s="97">
        <f t="shared" si="39"/>
        <v>0</v>
      </c>
      <c r="G402" s="97">
        <f t="shared" si="41"/>
        <v>0</v>
      </c>
      <c r="H402" s="97">
        <f t="shared" si="41"/>
        <v>0</v>
      </c>
      <c r="I402" s="349"/>
      <c r="J402" s="350"/>
      <c r="K402" s="161"/>
    </row>
    <row r="403" spans="1:11" ht="15" hidden="1" customHeight="1" x14ac:dyDescent="0.25">
      <c r="A403" s="92" t="s">
        <v>423</v>
      </c>
      <c r="B403" s="174" t="s">
        <v>427</v>
      </c>
      <c r="C403" s="17"/>
      <c r="D403" s="4" t="s">
        <v>265</v>
      </c>
      <c r="E403" s="12"/>
      <c r="F403" s="97">
        <f t="shared" si="39"/>
        <v>0</v>
      </c>
      <c r="G403" s="97">
        <f t="shared" si="41"/>
        <v>0</v>
      </c>
      <c r="H403" s="97">
        <f t="shared" si="41"/>
        <v>0</v>
      </c>
      <c r="I403" s="349"/>
      <c r="J403" s="350"/>
      <c r="K403" s="161"/>
    </row>
    <row r="404" spans="1:11" ht="15" hidden="1" customHeight="1" x14ac:dyDescent="0.25">
      <c r="A404" s="174" t="s">
        <v>419</v>
      </c>
      <c r="B404" s="174" t="s">
        <v>430</v>
      </c>
      <c r="C404" s="17"/>
      <c r="D404" s="4" t="s">
        <v>265</v>
      </c>
      <c r="E404" s="12"/>
      <c r="F404" s="97">
        <f t="shared" si="39"/>
        <v>0</v>
      </c>
      <c r="G404" s="97">
        <f t="shared" si="41"/>
        <v>0</v>
      </c>
      <c r="H404" s="97">
        <f t="shared" si="41"/>
        <v>0</v>
      </c>
      <c r="I404" s="349"/>
      <c r="J404" s="350"/>
      <c r="K404" s="161"/>
    </row>
    <row r="405" spans="1:11" ht="15" hidden="1" customHeight="1" x14ac:dyDescent="0.25">
      <c r="A405" s="92" t="s">
        <v>424</v>
      </c>
      <c r="B405" s="174" t="s">
        <v>427</v>
      </c>
      <c r="C405" s="17"/>
      <c r="D405" s="4" t="s">
        <v>265</v>
      </c>
      <c r="E405" s="12"/>
      <c r="F405" s="97">
        <f t="shared" si="39"/>
        <v>0</v>
      </c>
      <c r="G405" s="97">
        <f t="shared" si="41"/>
        <v>0</v>
      </c>
      <c r="H405" s="97">
        <f t="shared" si="41"/>
        <v>0</v>
      </c>
      <c r="I405" s="349"/>
      <c r="J405" s="350"/>
      <c r="K405" s="161"/>
    </row>
    <row r="406" spans="1:11" ht="15" hidden="1" customHeight="1" x14ac:dyDescent="0.25">
      <c r="A406" s="174" t="s">
        <v>420</v>
      </c>
      <c r="B406" s="174" t="s">
        <v>430</v>
      </c>
      <c r="C406" s="17"/>
      <c r="D406" s="4" t="s">
        <v>265</v>
      </c>
      <c r="E406" s="12"/>
      <c r="F406" s="97">
        <f t="shared" si="39"/>
        <v>0</v>
      </c>
      <c r="G406" s="97">
        <f t="shared" si="41"/>
        <v>0</v>
      </c>
      <c r="H406" s="97">
        <f t="shared" si="41"/>
        <v>0</v>
      </c>
      <c r="I406" s="349"/>
      <c r="J406" s="350"/>
      <c r="K406" s="161"/>
    </row>
    <row r="407" spans="1:11" ht="15" hidden="1" customHeight="1" x14ac:dyDescent="0.25">
      <c r="A407" s="340"/>
      <c r="B407" s="174"/>
      <c r="C407" s="17"/>
      <c r="D407" s="4" t="s">
        <v>265</v>
      </c>
      <c r="E407" s="12"/>
      <c r="F407" s="97">
        <f t="shared" si="39"/>
        <v>0</v>
      </c>
      <c r="G407" s="97">
        <f t="shared" si="41"/>
        <v>0</v>
      </c>
      <c r="H407" s="97">
        <f t="shared" si="41"/>
        <v>0</v>
      </c>
      <c r="I407" s="349"/>
      <c r="J407" s="350"/>
      <c r="K407" s="161"/>
    </row>
    <row r="408" spans="1:11" hidden="1" x14ac:dyDescent="0.25">
      <c r="A408" s="347" t="s">
        <v>431</v>
      </c>
      <c r="B408" s="106"/>
      <c r="C408" s="104"/>
      <c r="D408" s="105"/>
      <c r="E408" s="106"/>
      <c r="F408" s="107"/>
      <c r="G408" s="107"/>
      <c r="H408" s="107"/>
      <c r="I408" s="108"/>
      <c r="J408" s="109"/>
      <c r="K408" s="172"/>
    </row>
    <row r="409" spans="1:11" ht="15" hidden="1" customHeight="1" x14ac:dyDescent="0.25">
      <c r="A409" s="12" t="s">
        <v>702</v>
      </c>
      <c r="B409" s="174" t="s">
        <v>432</v>
      </c>
      <c r="C409" s="17"/>
      <c r="D409" s="12" t="s">
        <v>265</v>
      </c>
      <c r="E409" s="12"/>
      <c r="F409" s="97">
        <f t="shared" ref="F409:H417" si="42">F472+F535+F598+F661+F723+F786</f>
        <v>0</v>
      </c>
      <c r="G409" s="97">
        <f t="shared" si="42"/>
        <v>0</v>
      </c>
      <c r="H409" s="97">
        <f t="shared" si="42"/>
        <v>0</v>
      </c>
      <c r="I409" s="349"/>
      <c r="J409" s="350"/>
      <c r="K409" s="161"/>
    </row>
    <row r="410" spans="1:11" ht="15" hidden="1" customHeight="1" x14ac:dyDescent="0.25">
      <c r="A410" s="12" t="s">
        <v>703</v>
      </c>
      <c r="B410" s="174" t="s">
        <v>433</v>
      </c>
      <c r="C410" s="17"/>
      <c r="D410" s="12" t="s">
        <v>265</v>
      </c>
      <c r="E410" s="12"/>
      <c r="F410" s="97">
        <f t="shared" si="42"/>
        <v>0</v>
      </c>
      <c r="G410" s="97">
        <f t="shared" si="42"/>
        <v>0</v>
      </c>
      <c r="H410" s="97">
        <f t="shared" si="42"/>
        <v>0</v>
      </c>
      <c r="I410" s="349"/>
      <c r="J410" s="350"/>
      <c r="K410" s="161"/>
    </row>
    <row r="411" spans="1:11" ht="15" hidden="1" customHeight="1" x14ac:dyDescent="0.25">
      <c r="A411" s="12" t="s">
        <v>704</v>
      </c>
      <c r="B411" s="174" t="s">
        <v>434</v>
      </c>
      <c r="C411" s="17"/>
      <c r="D411" s="12" t="s">
        <v>265</v>
      </c>
      <c r="E411" s="12"/>
      <c r="F411" s="97">
        <f t="shared" si="42"/>
        <v>0</v>
      </c>
      <c r="G411" s="97">
        <f t="shared" si="42"/>
        <v>0</v>
      </c>
      <c r="H411" s="97">
        <f t="shared" si="42"/>
        <v>0</v>
      </c>
      <c r="I411" s="349"/>
      <c r="J411" s="350"/>
      <c r="K411" s="161"/>
    </row>
    <row r="412" spans="1:11" s="435" customFormat="1" ht="15" hidden="1" customHeight="1" x14ac:dyDescent="0.25">
      <c r="A412" s="641" t="s">
        <v>1407</v>
      </c>
      <c r="B412" s="174" t="s">
        <v>435</v>
      </c>
      <c r="C412" s="17"/>
      <c r="D412" s="12" t="s">
        <v>265</v>
      </c>
      <c r="E412" s="12"/>
      <c r="F412" s="97">
        <f t="shared" si="42"/>
        <v>0</v>
      </c>
      <c r="G412" s="97">
        <f t="shared" si="42"/>
        <v>0</v>
      </c>
      <c r="H412" s="97">
        <f t="shared" si="42"/>
        <v>0</v>
      </c>
      <c r="I412" s="441"/>
      <c r="J412" s="442"/>
      <c r="K412" s="161"/>
    </row>
    <row r="413" spans="1:11" ht="15" hidden="1" customHeight="1" x14ac:dyDescent="0.25">
      <c r="A413" s="12" t="s">
        <v>948</v>
      </c>
      <c r="B413" s="174" t="s">
        <v>435</v>
      </c>
      <c r="C413" s="17"/>
      <c r="D413" s="12" t="s">
        <v>265</v>
      </c>
      <c r="E413" s="12"/>
      <c r="F413" s="97">
        <f t="shared" si="42"/>
        <v>0</v>
      </c>
      <c r="G413" s="97">
        <f t="shared" si="42"/>
        <v>0</v>
      </c>
      <c r="H413" s="97">
        <f t="shared" si="42"/>
        <v>0</v>
      </c>
      <c r="I413" s="349"/>
      <c r="J413" s="350"/>
      <c r="K413" s="161"/>
    </row>
    <row r="414" spans="1:11" ht="15" hidden="1" customHeight="1" x14ac:dyDescent="0.25">
      <c r="A414" s="12" t="s">
        <v>705</v>
      </c>
      <c r="B414" s="174" t="s">
        <v>436</v>
      </c>
      <c r="C414" s="17"/>
      <c r="D414" s="12" t="s">
        <v>265</v>
      </c>
      <c r="E414" s="12"/>
      <c r="F414" s="97">
        <f t="shared" si="42"/>
        <v>0</v>
      </c>
      <c r="G414" s="97">
        <f t="shared" si="42"/>
        <v>0</v>
      </c>
      <c r="H414" s="97">
        <f t="shared" si="42"/>
        <v>0</v>
      </c>
      <c r="I414" s="349"/>
      <c r="J414" s="350"/>
      <c r="K414" s="161"/>
    </row>
    <row r="415" spans="1:11" ht="15" hidden="1" customHeight="1" x14ac:dyDescent="0.25">
      <c r="A415" s="98" t="s">
        <v>706</v>
      </c>
      <c r="B415" s="174" t="s">
        <v>437</v>
      </c>
      <c r="C415" s="17"/>
      <c r="D415" s="12" t="s">
        <v>265</v>
      </c>
      <c r="E415" s="12"/>
      <c r="F415" s="97">
        <f t="shared" si="42"/>
        <v>0</v>
      </c>
      <c r="G415" s="97">
        <f t="shared" si="42"/>
        <v>0</v>
      </c>
      <c r="H415" s="97">
        <f t="shared" si="42"/>
        <v>0</v>
      </c>
      <c r="I415" s="349"/>
      <c r="J415" s="350"/>
      <c r="K415" s="161"/>
    </row>
    <row r="416" spans="1:11" ht="15" hidden="1" customHeight="1" x14ac:dyDescent="0.25">
      <c r="A416" s="98" t="s">
        <v>707</v>
      </c>
      <c r="B416" s="174" t="s">
        <v>438</v>
      </c>
      <c r="C416" s="17"/>
      <c r="D416" s="12" t="s">
        <v>265</v>
      </c>
      <c r="E416" s="12"/>
      <c r="F416" s="97">
        <f t="shared" si="42"/>
        <v>0</v>
      </c>
      <c r="G416" s="97">
        <f t="shared" si="42"/>
        <v>0</v>
      </c>
      <c r="H416" s="97">
        <f t="shared" si="42"/>
        <v>0</v>
      </c>
      <c r="I416" s="349"/>
      <c r="J416" s="350"/>
      <c r="K416" s="161"/>
    </row>
    <row r="417" spans="1:11" ht="15" hidden="1" customHeight="1" x14ac:dyDescent="0.25">
      <c r="A417" s="98" t="s">
        <v>708</v>
      </c>
      <c r="B417" s="174" t="s">
        <v>439</v>
      </c>
      <c r="C417" s="17"/>
      <c r="D417" s="12" t="s">
        <v>265</v>
      </c>
      <c r="E417" s="12"/>
      <c r="F417" s="97">
        <f t="shared" si="42"/>
        <v>0</v>
      </c>
      <c r="G417" s="97">
        <f t="shared" si="42"/>
        <v>0</v>
      </c>
      <c r="H417" s="97">
        <f t="shared" si="42"/>
        <v>0</v>
      </c>
      <c r="I417" s="349"/>
      <c r="J417" s="350"/>
      <c r="K417" s="161"/>
    </row>
    <row r="418" spans="1:11" s="435" customFormat="1" ht="15" hidden="1" customHeight="1" x14ac:dyDescent="0.25">
      <c r="A418" s="643" t="s">
        <v>1409</v>
      </c>
      <c r="B418" s="174" t="s">
        <v>440</v>
      </c>
      <c r="C418" s="17"/>
      <c r="D418" s="12" t="s">
        <v>265</v>
      </c>
      <c r="E418" s="12"/>
      <c r="F418" s="97">
        <f t="shared" ref="F418:H420" si="43">F481+F544+F607+F669+F732+F795</f>
        <v>0</v>
      </c>
      <c r="G418" s="97">
        <f t="shared" si="43"/>
        <v>0</v>
      </c>
      <c r="H418" s="97">
        <f t="shared" si="43"/>
        <v>0</v>
      </c>
      <c r="I418" s="441"/>
      <c r="J418" s="442"/>
      <c r="K418" s="161"/>
    </row>
    <row r="419" spans="1:11" ht="15" hidden="1" customHeight="1" x14ac:dyDescent="0.25">
      <c r="A419" s="98" t="s">
        <v>949</v>
      </c>
      <c r="B419" s="174" t="s">
        <v>440</v>
      </c>
      <c r="C419" s="17"/>
      <c r="D419" s="12" t="s">
        <v>265</v>
      </c>
      <c r="E419" s="12"/>
      <c r="F419" s="97">
        <f t="shared" si="43"/>
        <v>0</v>
      </c>
      <c r="G419" s="97">
        <f t="shared" si="43"/>
        <v>0</v>
      </c>
      <c r="H419" s="97">
        <f t="shared" si="43"/>
        <v>0</v>
      </c>
      <c r="I419" s="349"/>
      <c r="J419" s="350"/>
      <c r="K419" s="161"/>
    </row>
    <row r="420" spans="1:11" ht="15" hidden="1" customHeight="1" x14ac:dyDescent="0.25">
      <c r="A420" s="98" t="s">
        <v>709</v>
      </c>
      <c r="B420" s="174" t="s">
        <v>441</v>
      </c>
      <c r="C420" s="17"/>
      <c r="D420" s="12" t="s">
        <v>265</v>
      </c>
      <c r="E420" s="12"/>
      <c r="F420" s="97">
        <f t="shared" si="43"/>
        <v>0</v>
      </c>
      <c r="G420" s="97">
        <f t="shared" si="43"/>
        <v>0</v>
      </c>
      <c r="H420" s="97">
        <f t="shared" si="43"/>
        <v>0</v>
      </c>
      <c r="I420" s="349"/>
      <c r="J420" s="350"/>
      <c r="K420" s="161"/>
    </row>
    <row r="421" spans="1:11" ht="36" x14ac:dyDescent="0.25">
      <c r="A421" s="347" t="s">
        <v>624</v>
      </c>
      <c r="B421" s="106"/>
      <c r="C421" s="113"/>
      <c r="D421" s="114"/>
      <c r="E421" s="103"/>
      <c r="F421" s="115"/>
      <c r="G421" s="115"/>
      <c r="H421" s="115"/>
      <c r="I421" s="116"/>
      <c r="J421" s="117"/>
      <c r="K421" s="161"/>
    </row>
    <row r="422" spans="1:11" x14ac:dyDescent="0.25">
      <c r="A422" s="12" t="s">
        <v>609</v>
      </c>
      <c r="B422" s="174" t="s">
        <v>617</v>
      </c>
      <c r="C422" s="17"/>
      <c r="D422" s="12" t="s">
        <v>265</v>
      </c>
      <c r="E422" s="12"/>
      <c r="F422" s="97">
        <f t="shared" ref="F422:H429" si="44">F485+F548+F611+F673+F736+F799</f>
        <v>2958.91</v>
      </c>
      <c r="G422" s="97">
        <f t="shared" si="44"/>
        <v>2958.91</v>
      </c>
      <c r="H422" s="97">
        <f t="shared" si="44"/>
        <v>2958.91</v>
      </c>
      <c r="I422" s="349"/>
      <c r="J422" s="350"/>
      <c r="K422" s="161"/>
    </row>
    <row r="423" spans="1:11" ht="72" hidden="1" x14ac:dyDescent="0.25">
      <c r="A423" s="92" t="s">
        <v>610</v>
      </c>
      <c r="B423" s="174"/>
      <c r="C423" s="17"/>
      <c r="D423" s="12" t="s">
        <v>265</v>
      </c>
      <c r="E423" s="12"/>
      <c r="F423" s="97">
        <f t="shared" si="44"/>
        <v>0</v>
      </c>
      <c r="G423" s="97">
        <f t="shared" si="44"/>
        <v>0</v>
      </c>
      <c r="H423" s="97">
        <f t="shared" si="44"/>
        <v>0</v>
      </c>
      <c r="I423" s="349"/>
      <c r="J423" s="350"/>
      <c r="K423" s="161"/>
    </row>
    <row r="424" spans="1:11" ht="36" customHeight="1" x14ac:dyDescent="0.25">
      <c r="A424" s="12" t="s">
        <v>625</v>
      </c>
      <c r="B424" s="174" t="s">
        <v>978</v>
      </c>
      <c r="C424" s="17"/>
      <c r="D424" s="12" t="s">
        <v>265</v>
      </c>
      <c r="E424" s="12"/>
      <c r="F424" s="97">
        <f t="shared" si="44"/>
        <v>2958.23</v>
      </c>
      <c r="G424" s="97">
        <f t="shared" si="44"/>
        <v>2958.23</v>
      </c>
      <c r="H424" s="97">
        <f t="shared" si="44"/>
        <v>2958.23</v>
      </c>
      <c r="I424" s="349"/>
      <c r="J424" s="350"/>
      <c r="K424" s="161"/>
    </row>
    <row r="425" spans="1:11" ht="24" x14ac:dyDescent="0.25">
      <c r="A425" s="12" t="s">
        <v>626</v>
      </c>
      <c r="B425" s="174" t="s">
        <v>618</v>
      </c>
      <c r="C425" s="17"/>
      <c r="D425" s="12" t="s">
        <v>265</v>
      </c>
      <c r="E425" s="12"/>
      <c r="F425" s="97">
        <f t="shared" si="44"/>
        <v>2956.05</v>
      </c>
      <c r="G425" s="97">
        <f t="shared" si="44"/>
        <v>2956.05</v>
      </c>
      <c r="H425" s="97">
        <f t="shared" si="44"/>
        <v>2956.05</v>
      </c>
      <c r="I425" s="349"/>
      <c r="J425" s="350"/>
      <c r="K425" s="161"/>
    </row>
    <row r="426" spans="1:11" ht="60" hidden="1" x14ac:dyDescent="0.25">
      <c r="A426" s="92" t="s">
        <v>639</v>
      </c>
      <c r="B426" s="174"/>
      <c r="C426" s="17"/>
      <c r="D426" s="12" t="s">
        <v>265</v>
      </c>
      <c r="E426" s="12"/>
      <c r="F426" s="97">
        <f t="shared" si="44"/>
        <v>0</v>
      </c>
      <c r="G426" s="97">
        <f t="shared" si="44"/>
        <v>0</v>
      </c>
      <c r="H426" s="97">
        <f t="shared" si="44"/>
        <v>0</v>
      </c>
      <c r="I426" s="349"/>
      <c r="J426" s="350"/>
      <c r="K426" s="161"/>
    </row>
    <row r="427" spans="1:11" ht="36" x14ac:dyDescent="0.25">
      <c r="A427" s="12" t="s">
        <v>627</v>
      </c>
      <c r="B427" s="174" t="s">
        <v>619</v>
      </c>
      <c r="C427" s="17"/>
      <c r="D427" s="12" t="s">
        <v>265</v>
      </c>
      <c r="E427" s="12"/>
      <c r="F427" s="97">
        <f t="shared" si="44"/>
        <v>2955.89</v>
      </c>
      <c r="G427" s="97">
        <f t="shared" si="44"/>
        <v>2955.89</v>
      </c>
      <c r="H427" s="97">
        <f t="shared" si="44"/>
        <v>2955.89</v>
      </c>
      <c r="I427" s="349"/>
      <c r="J427" s="350"/>
      <c r="K427" s="161"/>
    </row>
    <row r="428" spans="1:11" hidden="1" x14ac:dyDescent="0.25">
      <c r="A428" s="92" t="s">
        <v>608</v>
      </c>
      <c r="B428" s="174"/>
      <c r="C428" s="17"/>
      <c r="D428" s="12" t="s">
        <v>265</v>
      </c>
      <c r="E428" s="12"/>
      <c r="F428" s="97">
        <f t="shared" si="44"/>
        <v>0</v>
      </c>
      <c r="G428" s="97">
        <f t="shared" si="44"/>
        <v>0</v>
      </c>
      <c r="H428" s="97">
        <f t="shared" si="44"/>
        <v>0</v>
      </c>
      <c r="I428" s="349"/>
      <c r="J428" s="350"/>
      <c r="K428" s="161"/>
    </row>
    <row r="429" spans="1:11" hidden="1" x14ac:dyDescent="0.25">
      <c r="A429" s="92" t="s">
        <v>611</v>
      </c>
      <c r="B429" s="174"/>
      <c r="C429" s="17"/>
      <c r="D429" s="12" t="s">
        <v>265</v>
      </c>
      <c r="E429" s="12"/>
      <c r="F429" s="97">
        <f t="shared" si="44"/>
        <v>0</v>
      </c>
      <c r="G429" s="97">
        <f t="shared" si="44"/>
        <v>0</v>
      </c>
      <c r="H429" s="97">
        <f t="shared" si="44"/>
        <v>0</v>
      </c>
      <c r="I429" s="349"/>
      <c r="J429" s="350"/>
      <c r="K429" s="161"/>
    </row>
    <row r="430" spans="1:11" ht="36" x14ac:dyDescent="0.25">
      <c r="A430" s="347" t="s">
        <v>603</v>
      </c>
      <c r="B430" s="106"/>
      <c r="C430" s="113"/>
      <c r="D430" s="114"/>
      <c r="E430" s="103"/>
      <c r="F430" s="115"/>
      <c r="G430" s="115"/>
      <c r="H430" s="115"/>
      <c r="I430" s="116"/>
      <c r="J430" s="117"/>
      <c r="K430" s="161"/>
    </row>
    <row r="431" spans="1:11" x14ac:dyDescent="0.25">
      <c r="A431" s="12" t="s">
        <v>609</v>
      </c>
      <c r="B431" s="174" t="s">
        <v>604</v>
      </c>
      <c r="C431" s="17"/>
      <c r="D431" s="12" t="s">
        <v>265</v>
      </c>
      <c r="E431" s="12"/>
      <c r="F431" s="97">
        <f t="shared" ref="F431:H438" si="45">F494+F557+F620+F682+F745+F808</f>
        <v>2958.91</v>
      </c>
      <c r="G431" s="97">
        <f t="shared" si="45"/>
        <v>2958.91</v>
      </c>
      <c r="H431" s="97">
        <f t="shared" si="45"/>
        <v>2958.91</v>
      </c>
      <c r="I431" s="349"/>
      <c r="J431" s="350"/>
      <c r="K431" s="161"/>
    </row>
    <row r="432" spans="1:11" ht="72" hidden="1" x14ac:dyDescent="0.25">
      <c r="A432" s="92" t="s">
        <v>610</v>
      </c>
      <c r="B432" s="174"/>
      <c r="C432" s="17"/>
      <c r="D432" s="12" t="s">
        <v>265</v>
      </c>
      <c r="E432" s="12"/>
      <c r="F432" s="97">
        <f t="shared" si="45"/>
        <v>0</v>
      </c>
      <c r="G432" s="97">
        <f t="shared" si="45"/>
        <v>0</v>
      </c>
      <c r="H432" s="97">
        <f t="shared" si="45"/>
        <v>0</v>
      </c>
      <c r="I432" s="349"/>
      <c r="J432" s="350"/>
      <c r="K432" s="161"/>
    </row>
    <row r="433" spans="1:11" ht="48" x14ac:dyDescent="0.25">
      <c r="A433" s="12" t="s">
        <v>625</v>
      </c>
      <c r="B433" s="174" t="s">
        <v>605</v>
      </c>
      <c r="C433" s="17"/>
      <c r="D433" s="12" t="s">
        <v>265</v>
      </c>
      <c r="E433" s="12"/>
      <c r="F433" s="97">
        <f t="shared" si="45"/>
        <v>2958.7</v>
      </c>
      <c r="G433" s="97">
        <f t="shared" si="45"/>
        <v>2958.7</v>
      </c>
      <c r="H433" s="97">
        <f t="shared" si="45"/>
        <v>2958.7</v>
      </c>
      <c r="I433" s="349"/>
      <c r="J433" s="350"/>
      <c r="K433" s="161"/>
    </row>
    <row r="434" spans="1:11" ht="60" hidden="1" x14ac:dyDescent="0.25">
      <c r="A434" s="92" t="s">
        <v>639</v>
      </c>
      <c r="B434" s="174"/>
      <c r="C434" s="17"/>
      <c r="D434" s="12" t="s">
        <v>265</v>
      </c>
      <c r="E434" s="12"/>
      <c r="F434" s="97">
        <f t="shared" si="45"/>
        <v>0</v>
      </c>
      <c r="G434" s="97">
        <f t="shared" si="45"/>
        <v>0</v>
      </c>
      <c r="H434" s="97">
        <f t="shared" si="45"/>
        <v>0</v>
      </c>
      <c r="I434" s="349"/>
      <c r="J434" s="350"/>
      <c r="K434" s="161"/>
    </row>
    <row r="435" spans="1:11" ht="24" x14ac:dyDescent="0.25">
      <c r="A435" s="12" t="s">
        <v>626</v>
      </c>
      <c r="B435" s="174" t="s">
        <v>606</v>
      </c>
      <c r="C435" s="17"/>
      <c r="D435" s="12" t="s">
        <v>265</v>
      </c>
      <c r="E435" s="12"/>
      <c r="F435" s="97">
        <f t="shared" si="45"/>
        <v>2962.32</v>
      </c>
      <c r="G435" s="97">
        <f t="shared" si="45"/>
        <v>2962.32</v>
      </c>
      <c r="H435" s="97">
        <f t="shared" si="45"/>
        <v>2962.32</v>
      </c>
      <c r="I435" s="349"/>
      <c r="J435" s="350"/>
      <c r="K435" s="161"/>
    </row>
    <row r="436" spans="1:11" ht="36" x14ac:dyDescent="0.25">
      <c r="A436" s="12" t="s">
        <v>627</v>
      </c>
      <c r="B436" s="174" t="s">
        <v>607</v>
      </c>
      <c r="C436" s="17"/>
      <c r="D436" s="12" t="s">
        <v>265</v>
      </c>
      <c r="E436" s="12"/>
      <c r="F436" s="97">
        <f t="shared" si="45"/>
        <v>2962.68</v>
      </c>
      <c r="G436" s="97">
        <f t="shared" si="45"/>
        <v>2962.68</v>
      </c>
      <c r="H436" s="97">
        <f t="shared" si="45"/>
        <v>2962.68</v>
      </c>
      <c r="I436" s="349"/>
      <c r="J436" s="350"/>
      <c r="K436" s="161"/>
    </row>
    <row r="437" spans="1:11" x14ac:dyDescent="0.25">
      <c r="A437" s="174" t="s">
        <v>608</v>
      </c>
      <c r="B437" s="174" t="s">
        <v>979</v>
      </c>
      <c r="C437" s="17"/>
      <c r="D437" s="12" t="s">
        <v>265</v>
      </c>
      <c r="E437" s="12"/>
      <c r="F437" s="97">
        <f t="shared" si="45"/>
        <v>2959.59</v>
      </c>
      <c r="G437" s="97">
        <f t="shared" si="45"/>
        <v>2959.59</v>
      </c>
      <c r="H437" s="97">
        <f t="shared" si="45"/>
        <v>2959.59</v>
      </c>
      <c r="I437" s="349"/>
      <c r="J437" s="350"/>
      <c r="K437" s="161"/>
    </row>
    <row r="438" spans="1:11" x14ac:dyDescent="0.25">
      <c r="A438" s="174" t="s">
        <v>611</v>
      </c>
      <c r="B438" s="174" t="s">
        <v>2233</v>
      </c>
      <c r="C438" s="17"/>
      <c r="D438" s="12" t="s">
        <v>265</v>
      </c>
      <c r="E438" s="12"/>
      <c r="F438" s="97">
        <f t="shared" si="45"/>
        <v>3041.47</v>
      </c>
      <c r="G438" s="97">
        <f t="shared" si="45"/>
        <v>3041.47</v>
      </c>
      <c r="H438" s="97">
        <f t="shared" si="45"/>
        <v>3041.47</v>
      </c>
      <c r="I438" s="349"/>
      <c r="J438" s="350"/>
      <c r="K438" s="161"/>
    </row>
    <row r="439" spans="1:11" ht="36" x14ac:dyDescent="0.25">
      <c r="A439" s="347" t="s">
        <v>620</v>
      </c>
      <c r="B439" s="106"/>
      <c r="C439" s="113"/>
      <c r="D439" s="114"/>
      <c r="E439" s="103"/>
      <c r="F439" s="115"/>
      <c r="G439" s="115"/>
      <c r="H439" s="115"/>
      <c r="I439" s="116"/>
      <c r="J439" s="117"/>
      <c r="K439" s="161"/>
    </row>
    <row r="440" spans="1:11" x14ac:dyDescent="0.25">
      <c r="A440" s="12" t="s">
        <v>609</v>
      </c>
      <c r="B440" s="174" t="s">
        <v>621</v>
      </c>
      <c r="C440" s="17"/>
      <c r="D440" s="12" t="s">
        <v>265</v>
      </c>
      <c r="E440" s="12"/>
      <c r="F440" s="97">
        <f t="shared" ref="F440:H447" si="46">F503+F566+F629+F691+F754+F817</f>
        <v>2958.93</v>
      </c>
      <c r="G440" s="97">
        <f t="shared" si="46"/>
        <v>2958.93</v>
      </c>
      <c r="H440" s="97">
        <f t="shared" si="46"/>
        <v>2958.93</v>
      </c>
      <c r="I440" s="349"/>
      <c r="J440" s="350"/>
      <c r="K440" s="161"/>
    </row>
    <row r="441" spans="1:11" ht="72" hidden="1" x14ac:dyDescent="0.25">
      <c r="A441" s="92" t="s">
        <v>610</v>
      </c>
      <c r="B441" s="174"/>
      <c r="C441" s="17"/>
      <c r="D441" s="12" t="s">
        <v>265</v>
      </c>
      <c r="E441" s="12"/>
      <c r="F441" s="97">
        <f t="shared" si="46"/>
        <v>0</v>
      </c>
      <c r="G441" s="97">
        <f t="shared" si="46"/>
        <v>0</v>
      </c>
      <c r="H441" s="97">
        <f t="shared" si="46"/>
        <v>0</v>
      </c>
      <c r="I441" s="349"/>
      <c r="J441" s="350"/>
      <c r="K441" s="161"/>
    </row>
    <row r="442" spans="1:11" ht="48" hidden="1" x14ac:dyDescent="0.25">
      <c r="A442" s="92" t="s">
        <v>625</v>
      </c>
      <c r="B442" s="174"/>
      <c r="C442" s="17"/>
      <c r="D442" s="12" t="s">
        <v>265</v>
      </c>
      <c r="E442" s="12"/>
      <c r="F442" s="97">
        <f t="shared" si="46"/>
        <v>0</v>
      </c>
      <c r="G442" s="97">
        <f t="shared" si="46"/>
        <v>0</v>
      </c>
      <c r="H442" s="97">
        <f t="shared" si="46"/>
        <v>0</v>
      </c>
      <c r="I442" s="349"/>
      <c r="J442" s="350"/>
      <c r="K442" s="161"/>
    </row>
    <row r="443" spans="1:11" ht="60" hidden="1" x14ac:dyDescent="0.25">
      <c r="A443" s="92" t="s">
        <v>639</v>
      </c>
      <c r="B443" s="174"/>
      <c r="C443" s="17"/>
      <c r="D443" s="12" t="s">
        <v>265</v>
      </c>
      <c r="E443" s="12"/>
      <c r="F443" s="97">
        <f t="shared" si="46"/>
        <v>0</v>
      </c>
      <c r="G443" s="97">
        <f t="shared" si="46"/>
        <v>0</v>
      </c>
      <c r="H443" s="97">
        <f t="shared" si="46"/>
        <v>0</v>
      </c>
      <c r="I443" s="349"/>
      <c r="J443" s="350"/>
      <c r="K443" s="161"/>
    </row>
    <row r="444" spans="1:11" ht="24" x14ac:dyDescent="0.25">
      <c r="A444" s="12" t="s">
        <v>626</v>
      </c>
      <c r="B444" s="174" t="s">
        <v>980</v>
      </c>
      <c r="C444" s="17"/>
      <c r="D444" s="12" t="s">
        <v>265</v>
      </c>
      <c r="E444" s="12"/>
      <c r="F444" s="97">
        <f t="shared" si="46"/>
        <v>2957.39</v>
      </c>
      <c r="G444" s="97">
        <f t="shared" si="46"/>
        <v>2957.39</v>
      </c>
      <c r="H444" s="97">
        <f t="shared" si="46"/>
        <v>2957.39</v>
      </c>
      <c r="I444" s="349"/>
      <c r="J444" s="350"/>
      <c r="K444" s="161"/>
    </row>
    <row r="445" spans="1:11" ht="36" x14ac:dyDescent="0.25">
      <c r="A445" s="12" t="s">
        <v>627</v>
      </c>
      <c r="B445" s="174" t="s">
        <v>622</v>
      </c>
      <c r="C445" s="17"/>
      <c r="D445" s="12" t="s">
        <v>265</v>
      </c>
      <c r="E445" s="12"/>
      <c r="F445" s="97">
        <f t="shared" si="46"/>
        <v>3368.21</v>
      </c>
      <c r="G445" s="97">
        <f t="shared" si="46"/>
        <v>3368.21</v>
      </c>
      <c r="H445" s="97">
        <f t="shared" si="46"/>
        <v>3368.21</v>
      </c>
      <c r="I445" s="349"/>
      <c r="J445" s="350"/>
      <c r="K445" s="161"/>
    </row>
    <row r="446" spans="1:11" x14ac:dyDescent="0.25">
      <c r="A446" s="174" t="s">
        <v>608</v>
      </c>
      <c r="B446" s="174" t="s">
        <v>623</v>
      </c>
      <c r="C446" s="17"/>
      <c r="D446" s="12" t="s">
        <v>265</v>
      </c>
      <c r="E446" s="12"/>
      <c r="F446" s="97">
        <f t="shared" si="46"/>
        <v>2966.46</v>
      </c>
      <c r="G446" s="97">
        <f t="shared" si="46"/>
        <v>2966.46</v>
      </c>
      <c r="H446" s="97">
        <f t="shared" si="46"/>
        <v>2966.46</v>
      </c>
      <c r="I446" s="349"/>
      <c r="J446" s="350"/>
      <c r="K446" s="161"/>
    </row>
    <row r="447" spans="1:11" ht="15" hidden="1" customHeight="1" x14ac:dyDescent="0.25">
      <c r="A447" s="92" t="s">
        <v>611</v>
      </c>
      <c r="B447" s="174"/>
      <c r="C447" s="17"/>
      <c r="D447" s="12" t="s">
        <v>265</v>
      </c>
      <c r="E447" s="12"/>
      <c r="F447" s="97">
        <f t="shared" si="46"/>
        <v>0</v>
      </c>
      <c r="G447" s="97">
        <f t="shared" si="46"/>
        <v>0</v>
      </c>
      <c r="H447" s="97">
        <f t="shared" si="46"/>
        <v>0</v>
      </c>
      <c r="I447" s="349"/>
      <c r="J447" s="350"/>
      <c r="K447" s="161"/>
    </row>
    <row r="448" spans="1:11" ht="24" hidden="1" x14ac:dyDescent="0.25">
      <c r="A448" s="347" t="s">
        <v>601</v>
      </c>
      <c r="B448" s="106"/>
      <c r="C448" s="104"/>
      <c r="D448" s="105"/>
      <c r="E448" s="106"/>
      <c r="F448" s="107"/>
      <c r="G448" s="107"/>
      <c r="H448" s="107"/>
      <c r="I448" s="108"/>
      <c r="J448" s="109"/>
      <c r="K448" s="172"/>
    </row>
    <row r="449" spans="1:11" ht="15" hidden="1" customHeight="1" x14ac:dyDescent="0.25">
      <c r="A449" s="12" t="s">
        <v>456</v>
      </c>
      <c r="B449" s="174" t="s">
        <v>648</v>
      </c>
      <c r="C449" s="17"/>
      <c r="D449" s="12" t="s">
        <v>265</v>
      </c>
      <c r="E449" s="12"/>
      <c r="F449" s="97">
        <f t="shared" ref="F449:H454" si="47">F512+F575+F638+F700+F763+F826</f>
        <v>0</v>
      </c>
      <c r="G449" s="97">
        <f t="shared" si="47"/>
        <v>0</v>
      </c>
      <c r="H449" s="97">
        <f t="shared" si="47"/>
        <v>0</v>
      </c>
      <c r="I449" s="349"/>
      <c r="J449" s="350"/>
      <c r="K449" s="161"/>
    </row>
    <row r="450" spans="1:11" ht="15" hidden="1" customHeight="1" x14ac:dyDescent="0.25">
      <c r="A450" s="12" t="s">
        <v>457</v>
      </c>
      <c r="B450" s="174" t="s">
        <v>649</v>
      </c>
      <c r="C450" s="17"/>
      <c r="D450" s="12" t="s">
        <v>265</v>
      </c>
      <c r="E450" s="12"/>
      <c r="F450" s="97">
        <f t="shared" si="47"/>
        <v>0</v>
      </c>
      <c r="G450" s="97">
        <f t="shared" si="47"/>
        <v>0</v>
      </c>
      <c r="H450" s="97">
        <f t="shared" si="47"/>
        <v>0</v>
      </c>
      <c r="I450" s="349"/>
      <c r="J450" s="350"/>
      <c r="K450" s="161"/>
    </row>
    <row r="451" spans="1:11" ht="15" hidden="1" customHeight="1" x14ac:dyDescent="0.25">
      <c r="A451" s="12" t="s">
        <v>471</v>
      </c>
      <c r="B451" s="174" t="s">
        <v>650</v>
      </c>
      <c r="C451" s="17"/>
      <c r="D451" s="12" t="s">
        <v>265</v>
      </c>
      <c r="E451" s="12"/>
      <c r="F451" s="97">
        <f t="shared" si="47"/>
        <v>0</v>
      </c>
      <c r="G451" s="97">
        <f t="shared" si="47"/>
        <v>0</v>
      </c>
      <c r="H451" s="97">
        <f t="shared" si="47"/>
        <v>0</v>
      </c>
      <c r="I451" s="349"/>
      <c r="J451" s="350"/>
      <c r="K451" s="161"/>
    </row>
    <row r="452" spans="1:11" ht="15" hidden="1" customHeight="1" x14ac:dyDescent="0.25">
      <c r="A452" s="12" t="s">
        <v>458</v>
      </c>
      <c r="B452" s="174" t="s">
        <v>651</v>
      </c>
      <c r="C452" s="17"/>
      <c r="D452" s="12" t="s">
        <v>265</v>
      </c>
      <c r="E452" s="12"/>
      <c r="F452" s="97">
        <f t="shared" si="47"/>
        <v>0</v>
      </c>
      <c r="G452" s="97">
        <f t="shared" si="47"/>
        <v>0</v>
      </c>
      <c r="H452" s="97">
        <f t="shared" si="47"/>
        <v>0</v>
      </c>
      <c r="I452" s="349"/>
      <c r="J452" s="350"/>
      <c r="K452" s="161"/>
    </row>
    <row r="453" spans="1:11" ht="15" hidden="1" customHeight="1" x14ac:dyDescent="0.25">
      <c r="A453" s="12" t="s">
        <v>459</v>
      </c>
      <c r="B453" s="174" t="s">
        <v>652</v>
      </c>
      <c r="C453" s="17"/>
      <c r="D453" s="12" t="s">
        <v>265</v>
      </c>
      <c r="E453" s="12"/>
      <c r="F453" s="97">
        <f t="shared" si="47"/>
        <v>0</v>
      </c>
      <c r="G453" s="97">
        <f t="shared" si="47"/>
        <v>0</v>
      </c>
      <c r="H453" s="97">
        <f t="shared" si="47"/>
        <v>0</v>
      </c>
      <c r="I453" s="349"/>
      <c r="J453" s="350"/>
      <c r="K453" s="161"/>
    </row>
    <row r="454" spans="1:11" ht="15" hidden="1" customHeight="1" x14ac:dyDescent="0.25">
      <c r="A454" s="12" t="s">
        <v>460</v>
      </c>
      <c r="B454" s="174" t="s">
        <v>653</v>
      </c>
      <c r="C454" s="17"/>
      <c r="D454" s="12" t="s">
        <v>265</v>
      </c>
      <c r="E454" s="12"/>
      <c r="F454" s="97">
        <f t="shared" si="47"/>
        <v>0</v>
      </c>
      <c r="G454" s="97">
        <f t="shared" si="47"/>
        <v>0</v>
      </c>
      <c r="H454" s="97">
        <f t="shared" si="47"/>
        <v>0</v>
      </c>
      <c r="I454" s="349"/>
      <c r="J454" s="350"/>
      <c r="K454" s="161"/>
    </row>
    <row r="455" spans="1:11" ht="12" customHeight="1" x14ac:dyDescent="0.25">
      <c r="A455" s="7"/>
      <c r="B455" s="181"/>
      <c r="C455" s="6" t="s">
        <v>37</v>
      </c>
      <c r="D455" s="16" t="s">
        <v>38</v>
      </c>
      <c r="E455" s="7"/>
      <c r="F455" s="95"/>
      <c r="G455" s="95"/>
      <c r="H455" s="95"/>
      <c r="I455" s="99"/>
      <c r="J455" s="100"/>
      <c r="K455" s="161"/>
    </row>
    <row r="456" spans="1:11" ht="36" hidden="1" x14ac:dyDescent="0.25">
      <c r="A456" s="96" t="s">
        <v>426</v>
      </c>
      <c r="B456" s="181"/>
      <c r="C456" s="6"/>
      <c r="D456" s="16"/>
      <c r="E456" s="7"/>
      <c r="F456" s="95"/>
      <c r="G456" s="95"/>
      <c r="H456" s="95"/>
      <c r="I456" s="99"/>
      <c r="J456" s="100"/>
      <c r="K456" s="161" t="s">
        <v>267</v>
      </c>
    </row>
    <row r="457" spans="1:11" ht="15" hidden="1" customHeight="1" x14ac:dyDescent="0.25">
      <c r="A457" s="174" t="s">
        <v>421</v>
      </c>
      <c r="B457" s="174" t="s">
        <v>427</v>
      </c>
      <c r="C457" s="5"/>
      <c r="D457" s="12" t="s">
        <v>881</v>
      </c>
      <c r="E457" s="13" t="s">
        <v>442</v>
      </c>
      <c r="F457" s="102">
        <v>0</v>
      </c>
      <c r="G457" s="102">
        <v>0</v>
      </c>
      <c r="H457" s="102">
        <v>0</v>
      </c>
      <c r="I457" s="1318"/>
      <c r="J457" s="1319"/>
      <c r="K457" s="160"/>
    </row>
    <row r="458" spans="1:11" ht="15" hidden="1" customHeight="1" x14ac:dyDescent="0.25">
      <c r="A458" s="174" t="s">
        <v>413</v>
      </c>
      <c r="B458" s="174" t="s">
        <v>430</v>
      </c>
      <c r="C458" s="5"/>
      <c r="D458" s="12" t="s">
        <v>881</v>
      </c>
      <c r="E458" s="13" t="s">
        <v>442</v>
      </c>
      <c r="F458" s="102">
        <v>0</v>
      </c>
      <c r="G458" s="102">
        <v>0</v>
      </c>
      <c r="H458" s="102">
        <v>0</v>
      </c>
      <c r="I458" s="1318"/>
      <c r="J458" s="1319"/>
      <c r="K458" s="160"/>
    </row>
    <row r="459" spans="1:11" ht="15" hidden="1" customHeight="1" x14ac:dyDescent="0.25">
      <c r="A459" s="174" t="s">
        <v>700</v>
      </c>
      <c r="B459" s="174" t="s">
        <v>427</v>
      </c>
      <c r="C459" s="5"/>
      <c r="D459" s="12" t="s">
        <v>881</v>
      </c>
      <c r="E459" s="13" t="s">
        <v>442</v>
      </c>
      <c r="F459" s="102">
        <v>0</v>
      </c>
      <c r="G459" s="102">
        <v>0</v>
      </c>
      <c r="H459" s="102">
        <v>0</v>
      </c>
      <c r="I459" s="1318"/>
      <c r="J459" s="1319"/>
      <c r="K459" s="160"/>
    </row>
    <row r="460" spans="1:11" ht="30" hidden="1" customHeight="1" x14ac:dyDescent="0.25">
      <c r="A460" s="174" t="s">
        <v>414</v>
      </c>
      <c r="B460" s="174" t="s">
        <v>430</v>
      </c>
      <c r="C460" s="5"/>
      <c r="D460" s="12" t="s">
        <v>881</v>
      </c>
      <c r="E460" s="13" t="s">
        <v>442</v>
      </c>
      <c r="F460" s="102">
        <v>0</v>
      </c>
      <c r="G460" s="102">
        <v>0</v>
      </c>
      <c r="H460" s="102">
        <v>0</v>
      </c>
      <c r="I460" s="1318"/>
      <c r="J460" s="1319"/>
      <c r="K460" s="160"/>
    </row>
    <row r="461" spans="1:11" ht="15" hidden="1" customHeight="1" x14ac:dyDescent="0.25">
      <c r="A461" s="174" t="s">
        <v>415</v>
      </c>
      <c r="B461" s="174" t="s">
        <v>430</v>
      </c>
      <c r="C461" s="5"/>
      <c r="D461" s="12" t="s">
        <v>881</v>
      </c>
      <c r="E461" s="13" t="s">
        <v>442</v>
      </c>
      <c r="F461" s="102">
        <v>0</v>
      </c>
      <c r="G461" s="102">
        <v>0</v>
      </c>
      <c r="H461" s="102">
        <v>0</v>
      </c>
      <c r="I461" s="1318"/>
      <c r="J461" s="1319"/>
      <c r="K461" s="160"/>
    </row>
    <row r="462" spans="1:11" ht="15" hidden="1" customHeight="1" x14ac:dyDescent="0.25">
      <c r="A462" s="92" t="s">
        <v>416</v>
      </c>
      <c r="B462" s="174" t="s">
        <v>429</v>
      </c>
      <c r="C462" s="5"/>
      <c r="D462" s="12" t="s">
        <v>881</v>
      </c>
      <c r="E462" s="13" t="s">
        <v>442</v>
      </c>
      <c r="F462" s="102">
        <v>0</v>
      </c>
      <c r="G462" s="102">
        <v>0</v>
      </c>
      <c r="H462" s="102">
        <v>0</v>
      </c>
      <c r="I462" s="1318"/>
      <c r="J462" s="1319"/>
      <c r="K462" s="160"/>
    </row>
    <row r="463" spans="1:11" ht="15" hidden="1" customHeight="1" x14ac:dyDescent="0.25">
      <c r="A463" s="98" t="s">
        <v>417</v>
      </c>
      <c r="B463" s="174" t="s">
        <v>429</v>
      </c>
      <c r="C463" s="5"/>
      <c r="D463" s="12" t="s">
        <v>881</v>
      </c>
      <c r="E463" s="13" t="s">
        <v>442</v>
      </c>
      <c r="F463" s="102">
        <v>0</v>
      </c>
      <c r="G463" s="102">
        <v>0</v>
      </c>
      <c r="H463" s="102">
        <v>0</v>
      </c>
      <c r="I463" s="1318"/>
      <c r="J463" s="1319"/>
      <c r="K463" s="160"/>
    </row>
    <row r="464" spans="1:11" ht="15" hidden="1" customHeight="1" x14ac:dyDescent="0.25">
      <c r="A464" s="98" t="s">
        <v>422</v>
      </c>
      <c r="B464" s="174" t="s">
        <v>428</v>
      </c>
      <c r="C464" s="5"/>
      <c r="D464" s="12" t="s">
        <v>881</v>
      </c>
      <c r="E464" s="13" t="s">
        <v>442</v>
      </c>
      <c r="F464" s="102">
        <v>0</v>
      </c>
      <c r="G464" s="102">
        <v>0</v>
      </c>
      <c r="H464" s="102">
        <v>0</v>
      </c>
      <c r="I464" s="1318"/>
      <c r="J464" s="1319"/>
      <c r="K464" s="160"/>
    </row>
    <row r="465" spans="1:11" ht="15" hidden="1" customHeight="1" x14ac:dyDescent="0.25">
      <c r="A465" s="98" t="s">
        <v>418</v>
      </c>
      <c r="B465" s="174" t="s">
        <v>429</v>
      </c>
      <c r="C465" s="5"/>
      <c r="D465" s="12" t="s">
        <v>881</v>
      </c>
      <c r="E465" s="13" t="s">
        <v>442</v>
      </c>
      <c r="F465" s="102">
        <v>0</v>
      </c>
      <c r="G465" s="102">
        <v>0</v>
      </c>
      <c r="H465" s="102">
        <v>0</v>
      </c>
      <c r="I465" s="1318"/>
      <c r="J465" s="1319"/>
      <c r="K465" s="160"/>
    </row>
    <row r="466" spans="1:11" ht="15" hidden="1" customHeight="1" x14ac:dyDescent="0.25">
      <c r="A466" s="92" t="s">
        <v>423</v>
      </c>
      <c r="B466" s="174" t="s">
        <v>427</v>
      </c>
      <c r="C466" s="5"/>
      <c r="D466" s="12" t="s">
        <v>881</v>
      </c>
      <c r="E466" s="13" t="s">
        <v>442</v>
      </c>
      <c r="F466" s="102">
        <v>0</v>
      </c>
      <c r="G466" s="102">
        <v>0</v>
      </c>
      <c r="H466" s="102">
        <v>0</v>
      </c>
      <c r="I466" s="1318"/>
      <c r="J466" s="1319"/>
      <c r="K466" s="160"/>
    </row>
    <row r="467" spans="1:11" ht="15" hidden="1" customHeight="1" x14ac:dyDescent="0.25">
      <c r="A467" s="174" t="s">
        <v>419</v>
      </c>
      <c r="B467" s="174" t="s">
        <v>430</v>
      </c>
      <c r="C467" s="5"/>
      <c r="D467" s="12" t="s">
        <v>881</v>
      </c>
      <c r="E467" s="13" t="s">
        <v>442</v>
      </c>
      <c r="F467" s="102">
        <v>0</v>
      </c>
      <c r="G467" s="102">
        <v>0</v>
      </c>
      <c r="H467" s="102">
        <v>0</v>
      </c>
      <c r="I467" s="1318"/>
      <c r="J467" s="1319"/>
      <c r="K467" s="160"/>
    </row>
    <row r="468" spans="1:11" ht="15" hidden="1" customHeight="1" x14ac:dyDescent="0.25">
      <c r="A468" s="92" t="s">
        <v>424</v>
      </c>
      <c r="B468" s="174" t="s">
        <v>427</v>
      </c>
      <c r="C468" s="5"/>
      <c r="D468" s="12" t="s">
        <v>881</v>
      </c>
      <c r="E468" s="13" t="s">
        <v>442</v>
      </c>
      <c r="F468" s="102">
        <v>0</v>
      </c>
      <c r="G468" s="102">
        <v>0</v>
      </c>
      <c r="H468" s="102">
        <v>0</v>
      </c>
      <c r="I468" s="1318"/>
      <c r="J468" s="1319"/>
      <c r="K468" s="160"/>
    </row>
    <row r="469" spans="1:11" ht="15" hidden="1" customHeight="1" x14ac:dyDescent="0.25">
      <c r="A469" s="174" t="s">
        <v>420</v>
      </c>
      <c r="B469" s="174" t="s">
        <v>430</v>
      </c>
      <c r="C469" s="5"/>
      <c r="D469" s="12" t="s">
        <v>881</v>
      </c>
      <c r="E469" s="13" t="s">
        <v>442</v>
      </c>
      <c r="F469" s="102">
        <v>0</v>
      </c>
      <c r="G469" s="102">
        <v>0</v>
      </c>
      <c r="H469" s="102">
        <v>0</v>
      </c>
      <c r="I469" s="1318"/>
      <c r="J469" s="1319"/>
      <c r="K469" s="160"/>
    </row>
    <row r="470" spans="1:11" ht="15" hidden="1" customHeight="1" x14ac:dyDescent="0.25">
      <c r="A470" s="340"/>
      <c r="B470" s="174"/>
      <c r="C470" s="5"/>
      <c r="D470" s="12" t="s">
        <v>881</v>
      </c>
      <c r="E470" s="13" t="s">
        <v>442</v>
      </c>
      <c r="F470" s="102">
        <v>0</v>
      </c>
      <c r="G470" s="102">
        <v>0</v>
      </c>
      <c r="H470" s="102">
        <v>0</v>
      </c>
      <c r="I470" s="1318"/>
      <c r="J470" s="1319"/>
      <c r="K470" s="160"/>
    </row>
    <row r="471" spans="1:11" hidden="1" x14ac:dyDescent="0.25">
      <c r="A471" s="96" t="s">
        <v>431</v>
      </c>
      <c r="B471" s="181"/>
      <c r="C471" s="6"/>
      <c r="D471" s="16"/>
      <c r="E471" s="7"/>
      <c r="F471" s="95"/>
      <c r="G471" s="95"/>
      <c r="H471" s="95"/>
      <c r="I471" s="99"/>
      <c r="J471" s="100"/>
      <c r="K471" s="161" t="s">
        <v>267</v>
      </c>
    </row>
    <row r="472" spans="1:11" ht="15" hidden="1" customHeight="1" x14ac:dyDescent="0.25">
      <c r="A472" s="12" t="s">
        <v>702</v>
      </c>
      <c r="B472" s="174" t="s">
        <v>432</v>
      </c>
      <c r="C472" s="5"/>
      <c r="D472" s="12" t="s">
        <v>881</v>
      </c>
      <c r="E472" s="13" t="s">
        <v>442</v>
      </c>
      <c r="F472" s="102">
        <v>0</v>
      </c>
      <c r="G472" s="102">
        <v>0</v>
      </c>
      <c r="H472" s="102">
        <v>0</v>
      </c>
      <c r="I472" s="1318"/>
      <c r="J472" s="1319"/>
      <c r="K472" s="160"/>
    </row>
    <row r="473" spans="1:11" ht="15" hidden="1" customHeight="1" x14ac:dyDescent="0.25">
      <c r="A473" s="12" t="s">
        <v>703</v>
      </c>
      <c r="B473" s="174" t="s">
        <v>433</v>
      </c>
      <c r="C473" s="5"/>
      <c r="D473" s="12" t="s">
        <v>881</v>
      </c>
      <c r="E473" s="13" t="s">
        <v>442</v>
      </c>
      <c r="F473" s="102">
        <v>0</v>
      </c>
      <c r="G473" s="102">
        <v>0</v>
      </c>
      <c r="H473" s="102">
        <v>0</v>
      </c>
      <c r="I473" s="1318"/>
      <c r="J473" s="1319"/>
      <c r="K473" s="160"/>
    </row>
    <row r="474" spans="1:11" ht="15" hidden="1" customHeight="1" x14ac:dyDescent="0.25">
      <c r="A474" s="12" t="s">
        <v>704</v>
      </c>
      <c r="B474" s="174" t="s">
        <v>434</v>
      </c>
      <c r="C474" s="5"/>
      <c r="D474" s="12" t="s">
        <v>881</v>
      </c>
      <c r="E474" s="13" t="s">
        <v>442</v>
      </c>
      <c r="F474" s="102">
        <v>0</v>
      </c>
      <c r="G474" s="102">
        <v>0</v>
      </c>
      <c r="H474" s="102">
        <v>0</v>
      </c>
      <c r="I474" s="1318"/>
      <c r="J474" s="1319"/>
      <c r="K474" s="160"/>
    </row>
    <row r="475" spans="1:11" s="435" customFormat="1" ht="15" hidden="1" customHeight="1" x14ac:dyDescent="0.25">
      <c r="A475" s="641" t="s">
        <v>1407</v>
      </c>
      <c r="B475" s="174" t="s">
        <v>435</v>
      </c>
      <c r="C475" s="5"/>
      <c r="D475" s="12" t="s">
        <v>881</v>
      </c>
      <c r="E475" s="13" t="s">
        <v>442</v>
      </c>
      <c r="F475" s="102">
        <v>0</v>
      </c>
      <c r="G475" s="102">
        <v>0</v>
      </c>
      <c r="H475" s="102">
        <v>0</v>
      </c>
      <c r="I475" s="1318"/>
      <c r="J475" s="1319"/>
      <c r="K475" s="160"/>
    </row>
    <row r="476" spans="1:11" ht="15" hidden="1" customHeight="1" x14ac:dyDescent="0.25">
      <c r="A476" s="12" t="s">
        <v>948</v>
      </c>
      <c r="B476" s="174" t="s">
        <v>435</v>
      </c>
      <c r="C476" s="5"/>
      <c r="D476" s="12" t="s">
        <v>881</v>
      </c>
      <c r="E476" s="13" t="s">
        <v>442</v>
      </c>
      <c r="F476" s="102">
        <v>0</v>
      </c>
      <c r="G476" s="102">
        <v>0</v>
      </c>
      <c r="H476" s="102">
        <v>0</v>
      </c>
      <c r="I476" s="1318"/>
      <c r="J476" s="1319"/>
      <c r="K476" s="160"/>
    </row>
    <row r="477" spans="1:11" ht="15" hidden="1" customHeight="1" x14ac:dyDescent="0.25">
      <c r="A477" s="12" t="s">
        <v>705</v>
      </c>
      <c r="B477" s="174" t="s">
        <v>436</v>
      </c>
      <c r="C477" s="5"/>
      <c r="D477" s="12" t="s">
        <v>881</v>
      </c>
      <c r="E477" s="13" t="s">
        <v>442</v>
      </c>
      <c r="F477" s="102">
        <v>0</v>
      </c>
      <c r="G477" s="102">
        <v>0</v>
      </c>
      <c r="H477" s="102">
        <v>0</v>
      </c>
      <c r="I477" s="1318"/>
      <c r="J477" s="1319"/>
      <c r="K477" s="160"/>
    </row>
    <row r="478" spans="1:11" ht="15" hidden="1" customHeight="1" x14ac:dyDescent="0.25">
      <c r="A478" s="98" t="s">
        <v>706</v>
      </c>
      <c r="B478" s="174" t="s">
        <v>437</v>
      </c>
      <c r="C478" s="5"/>
      <c r="D478" s="12" t="s">
        <v>881</v>
      </c>
      <c r="E478" s="13" t="s">
        <v>442</v>
      </c>
      <c r="F478" s="102">
        <v>0</v>
      </c>
      <c r="G478" s="102">
        <v>0</v>
      </c>
      <c r="H478" s="102">
        <v>0</v>
      </c>
      <c r="I478" s="1318"/>
      <c r="J478" s="1319"/>
      <c r="K478" s="160"/>
    </row>
    <row r="479" spans="1:11" ht="15" hidden="1" customHeight="1" x14ac:dyDescent="0.25">
      <c r="A479" s="98" t="s">
        <v>707</v>
      </c>
      <c r="B479" s="174" t="s">
        <v>438</v>
      </c>
      <c r="C479" s="5"/>
      <c r="D479" s="12" t="s">
        <v>881</v>
      </c>
      <c r="E479" s="13" t="s">
        <v>442</v>
      </c>
      <c r="F479" s="102">
        <v>0</v>
      </c>
      <c r="G479" s="102">
        <v>0</v>
      </c>
      <c r="H479" s="102">
        <v>0</v>
      </c>
      <c r="I479" s="1318"/>
      <c r="J479" s="1319"/>
      <c r="K479" s="160"/>
    </row>
    <row r="480" spans="1:11" ht="15" hidden="1" customHeight="1" x14ac:dyDescent="0.25">
      <c r="A480" s="98" t="s">
        <v>708</v>
      </c>
      <c r="B480" s="174" t="s">
        <v>439</v>
      </c>
      <c r="C480" s="5"/>
      <c r="D480" s="12" t="s">
        <v>881</v>
      </c>
      <c r="E480" s="13" t="s">
        <v>442</v>
      </c>
      <c r="F480" s="102">
        <v>0</v>
      </c>
      <c r="G480" s="102">
        <v>0</v>
      </c>
      <c r="H480" s="102">
        <v>0</v>
      </c>
      <c r="I480" s="1318"/>
      <c r="J480" s="1319"/>
      <c r="K480" s="160"/>
    </row>
    <row r="481" spans="1:11" s="435" customFormat="1" ht="15" hidden="1" customHeight="1" x14ac:dyDescent="0.25">
      <c r="A481" s="643" t="s">
        <v>1409</v>
      </c>
      <c r="B481" s="174" t="s">
        <v>440</v>
      </c>
      <c r="C481" s="5"/>
      <c r="D481" s="12" t="s">
        <v>881</v>
      </c>
      <c r="E481" s="13" t="s">
        <v>442</v>
      </c>
      <c r="F481" s="102">
        <v>0</v>
      </c>
      <c r="G481" s="102">
        <v>0</v>
      </c>
      <c r="H481" s="102">
        <v>0</v>
      </c>
      <c r="I481" s="1318"/>
      <c r="J481" s="1319"/>
      <c r="K481" s="160"/>
    </row>
    <row r="482" spans="1:11" ht="15" hidden="1" customHeight="1" x14ac:dyDescent="0.25">
      <c r="A482" s="98" t="s">
        <v>949</v>
      </c>
      <c r="B482" s="174" t="s">
        <v>440</v>
      </c>
      <c r="C482" s="5"/>
      <c r="D482" s="12" t="s">
        <v>881</v>
      </c>
      <c r="E482" s="13" t="s">
        <v>442</v>
      </c>
      <c r="F482" s="102">
        <v>0</v>
      </c>
      <c r="G482" s="102">
        <v>0</v>
      </c>
      <c r="H482" s="102">
        <v>0</v>
      </c>
      <c r="I482" s="1318"/>
      <c r="J482" s="1319"/>
      <c r="K482" s="160"/>
    </row>
    <row r="483" spans="1:11" ht="15" hidden="1" customHeight="1" x14ac:dyDescent="0.25">
      <c r="A483" s="98" t="s">
        <v>709</v>
      </c>
      <c r="B483" s="174" t="s">
        <v>441</v>
      </c>
      <c r="C483" s="5"/>
      <c r="D483" s="12" t="s">
        <v>881</v>
      </c>
      <c r="E483" s="13" t="s">
        <v>442</v>
      </c>
      <c r="F483" s="102">
        <v>0</v>
      </c>
      <c r="G483" s="102">
        <v>0</v>
      </c>
      <c r="H483" s="102">
        <v>0</v>
      </c>
      <c r="I483" s="1318"/>
      <c r="J483" s="1319"/>
      <c r="K483" s="160"/>
    </row>
    <row r="484" spans="1:11" ht="36" x14ac:dyDescent="0.25">
      <c r="A484" s="96" t="s">
        <v>624</v>
      </c>
      <c r="B484" s="181"/>
      <c r="C484" s="6"/>
      <c r="D484" s="16"/>
      <c r="E484" s="7"/>
      <c r="F484" s="95"/>
      <c r="G484" s="95"/>
      <c r="H484" s="95"/>
      <c r="I484" s="99"/>
      <c r="J484" s="100"/>
      <c r="K484" s="161" t="s">
        <v>267</v>
      </c>
    </row>
    <row r="485" spans="1:11" x14ac:dyDescent="0.25">
      <c r="A485" s="12" t="s">
        <v>609</v>
      </c>
      <c r="B485" s="174" t="s">
        <v>617</v>
      </c>
      <c r="C485" s="5"/>
      <c r="D485" s="12" t="s">
        <v>32</v>
      </c>
      <c r="E485" s="101">
        <f>'3.8.комм услуги'!LG13</f>
        <v>8.2784084</v>
      </c>
      <c r="F485" s="102">
        <f>'3.8.комм услуги'!LI13</f>
        <v>82.12</v>
      </c>
      <c r="G485" s="102">
        <f>F485</f>
        <v>82.12</v>
      </c>
      <c r="H485" s="102">
        <f>F485</f>
        <v>82.12</v>
      </c>
      <c r="I485" s="1318" t="s">
        <v>884</v>
      </c>
      <c r="J485" s="1319"/>
      <c r="K485" s="160"/>
    </row>
    <row r="486" spans="1:11" ht="72" hidden="1" x14ac:dyDescent="0.25">
      <c r="A486" s="92" t="s">
        <v>610</v>
      </c>
      <c r="B486" s="174"/>
      <c r="C486" s="5"/>
      <c r="D486" s="12" t="s">
        <v>32</v>
      </c>
      <c r="E486" s="101">
        <f>'3.8.комм услуги'!LG14</f>
        <v>0</v>
      </c>
      <c r="F486" s="102">
        <f>'3.8.комм услуги'!LI14</f>
        <v>0</v>
      </c>
      <c r="G486" s="102">
        <f t="shared" ref="G486:G492" si="48">F486</f>
        <v>0</v>
      </c>
      <c r="H486" s="102">
        <f t="shared" ref="H486:H492" si="49">F486</f>
        <v>0</v>
      </c>
      <c r="I486" s="1318" t="s">
        <v>884</v>
      </c>
      <c r="J486" s="1319"/>
      <c r="K486" s="160"/>
    </row>
    <row r="487" spans="1:11" ht="48" x14ac:dyDescent="0.25">
      <c r="A487" s="12" t="s">
        <v>625</v>
      </c>
      <c r="B487" s="174" t="s">
        <v>978</v>
      </c>
      <c r="C487" s="5"/>
      <c r="D487" s="12" t="s">
        <v>32</v>
      </c>
      <c r="E487" s="101">
        <f>'3.8.комм услуги'!LG15</f>
        <v>8.2766321200000004</v>
      </c>
      <c r="F487" s="102">
        <f>'3.8.комм услуги'!LI15</f>
        <v>82.1</v>
      </c>
      <c r="G487" s="102">
        <f t="shared" si="48"/>
        <v>82.1</v>
      </c>
      <c r="H487" s="102">
        <f t="shared" si="49"/>
        <v>82.1</v>
      </c>
      <c r="I487" s="1318" t="s">
        <v>884</v>
      </c>
      <c r="J487" s="1319"/>
      <c r="K487" s="160"/>
    </row>
    <row r="488" spans="1:11" ht="24" x14ac:dyDescent="0.25">
      <c r="A488" s="12" t="s">
        <v>626</v>
      </c>
      <c r="B488" s="174" t="s">
        <v>618</v>
      </c>
      <c r="C488" s="5"/>
      <c r="D488" s="12" t="s">
        <v>32</v>
      </c>
      <c r="E488" s="101">
        <f>'3.8.комм услуги'!LG16</f>
        <v>8.2705405400000007</v>
      </c>
      <c r="F488" s="102">
        <f>'3.8.комм услуги'!LI16</f>
        <v>82.04</v>
      </c>
      <c r="G488" s="102">
        <f t="shared" si="48"/>
        <v>82.04</v>
      </c>
      <c r="H488" s="102">
        <f t="shared" si="49"/>
        <v>82.04</v>
      </c>
      <c r="I488" s="1318" t="s">
        <v>884</v>
      </c>
      <c r="J488" s="1319"/>
      <c r="K488" s="160"/>
    </row>
    <row r="489" spans="1:11" ht="60" hidden="1" x14ac:dyDescent="0.25">
      <c r="A489" s="92" t="s">
        <v>639</v>
      </c>
      <c r="B489" s="174"/>
      <c r="C489" s="5"/>
      <c r="D489" s="12" t="s">
        <v>32</v>
      </c>
      <c r="E489" s="101">
        <f>'3.8.комм услуги'!LG17</f>
        <v>0</v>
      </c>
      <c r="F489" s="102">
        <f>'3.8.комм услуги'!LI17</f>
        <v>0</v>
      </c>
      <c r="G489" s="102">
        <f t="shared" si="48"/>
        <v>0</v>
      </c>
      <c r="H489" s="102">
        <f t="shared" si="49"/>
        <v>0</v>
      </c>
      <c r="I489" s="1318" t="s">
        <v>884</v>
      </c>
      <c r="J489" s="1319"/>
      <c r="K489" s="160"/>
    </row>
    <row r="490" spans="1:11" ht="36" x14ac:dyDescent="0.25">
      <c r="A490" s="12" t="s">
        <v>627</v>
      </c>
      <c r="B490" s="174" t="s">
        <v>619</v>
      </c>
      <c r="C490" s="5"/>
      <c r="D490" s="12" t="s">
        <v>32</v>
      </c>
      <c r="E490" s="101">
        <f>'3.8.комм услуги'!LG18</f>
        <v>8.2705000000000002</v>
      </c>
      <c r="F490" s="102">
        <f>'3.8.комм услуги'!LI18</f>
        <v>82.04</v>
      </c>
      <c r="G490" s="102">
        <f t="shared" si="48"/>
        <v>82.04</v>
      </c>
      <c r="H490" s="102">
        <f t="shared" si="49"/>
        <v>82.04</v>
      </c>
      <c r="I490" s="1318" t="s">
        <v>884</v>
      </c>
      <c r="J490" s="1319"/>
      <c r="K490" s="160"/>
    </row>
    <row r="491" spans="1:11" hidden="1" x14ac:dyDescent="0.25">
      <c r="A491" s="92" t="s">
        <v>608</v>
      </c>
      <c r="B491" s="174"/>
      <c r="C491" s="5"/>
      <c r="D491" s="12" t="s">
        <v>32</v>
      </c>
      <c r="E491" s="101">
        <f>'3.8.комм услуги'!LG19</f>
        <v>0</v>
      </c>
      <c r="F491" s="102">
        <f>'3.8.комм услуги'!LI19</f>
        <v>0</v>
      </c>
      <c r="G491" s="102">
        <f t="shared" si="48"/>
        <v>0</v>
      </c>
      <c r="H491" s="102">
        <f t="shared" si="49"/>
        <v>0</v>
      </c>
      <c r="I491" s="1318" t="s">
        <v>884</v>
      </c>
      <c r="J491" s="1319"/>
      <c r="K491" s="160"/>
    </row>
    <row r="492" spans="1:11" hidden="1" x14ac:dyDescent="0.25">
      <c r="A492" s="92" t="s">
        <v>611</v>
      </c>
      <c r="B492" s="174"/>
      <c r="C492" s="5"/>
      <c r="D492" s="12" t="s">
        <v>32</v>
      </c>
      <c r="E492" s="101">
        <f>'3.8.комм услуги'!LG20</f>
        <v>0</v>
      </c>
      <c r="F492" s="102">
        <f>'3.8.комм услуги'!LI20</f>
        <v>0</v>
      </c>
      <c r="G492" s="102">
        <f t="shared" si="48"/>
        <v>0</v>
      </c>
      <c r="H492" s="102">
        <f t="shared" si="49"/>
        <v>0</v>
      </c>
      <c r="I492" s="1318" t="s">
        <v>884</v>
      </c>
      <c r="J492" s="1319"/>
      <c r="K492" s="160"/>
    </row>
    <row r="493" spans="1:11" ht="36" x14ac:dyDescent="0.25">
      <c r="A493" s="96" t="s">
        <v>603</v>
      </c>
      <c r="B493" s="181"/>
      <c r="C493" s="6"/>
      <c r="D493" s="16"/>
      <c r="E493" s="7"/>
      <c r="F493" s="95"/>
      <c r="G493" s="95"/>
      <c r="H493" s="95"/>
      <c r="I493" s="99"/>
      <c r="J493" s="100"/>
      <c r="K493" s="161" t="s">
        <v>267</v>
      </c>
    </row>
    <row r="494" spans="1:11" x14ac:dyDescent="0.25">
      <c r="A494" s="12" t="s">
        <v>609</v>
      </c>
      <c r="B494" s="174" t="s">
        <v>604</v>
      </c>
      <c r="C494" s="5"/>
      <c r="D494" s="12" t="s">
        <v>32</v>
      </c>
      <c r="E494" s="101">
        <f>'3.8.комм услуги'!LG22</f>
        <v>8.2784185600000004</v>
      </c>
      <c r="F494" s="102">
        <f>'3.8.комм услуги'!LI22</f>
        <v>82.12</v>
      </c>
      <c r="G494" s="102">
        <f t="shared" ref="G494:G501" si="50">F494</f>
        <v>82.12</v>
      </c>
      <c r="H494" s="102">
        <f t="shared" ref="H494:H501" si="51">F494</f>
        <v>82.12</v>
      </c>
      <c r="I494" s="1318" t="s">
        <v>884</v>
      </c>
      <c r="J494" s="1319"/>
      <c r="K494" s="160"/>
    </row>
    <row r="495" spans="1:11" ht="72" hidden="1" x14ac:dyDescent="0.25">
      <c r="A495" s="92" t="s">
        <v>610</v>
      </c>
      <c r="B495" s="174"/>
      <c r="C495" s="5"/>
      <c r="D495" s="12" t="s">
        <v>32</v>
      </c>
      <c r="E495" s="101">
        <f>'3.8.комм услуги'!LG23</f>
        <v>0</v>
      </c>
      <c r="F495" s="102">
        <f>'3.8.комм услуги'!LI23</f>
        <v>0</v>
      </c>
      <c r="G495" s="102">
        <f t="shared" si="50"/>
        <v>0</v>
      </c>
      <c r="H495" s="102">
        <f t="shared" si="51"/>
        <v>0</v>
      </c>
      <c r="I495" s="1318" t="s">
        <v>884</v>
      </c>
      <c r="J495" s="1319"/>
      <c r="K495" s="160"/>
    </row>
    <row r="496" spans="1:11" ht="48" x14ac:dyDescent="0.25">
      <c r="A496" s="12" t="s">
        <v>625</v>
      </c>
      <c r="B496" s="174" t="s">
        <v>605</v>
      </c>
      <c r="C496" s="5"/>
      <c r="D496" s="12" t="s">
        <v>32</v>
      </c>
      <c r="E496" s="101">
        <f>'3.8.комм услуги'!LG24</f>
        <v>8.2778086399999999</v>
      </c>
      <c r="F496" s="102">
        <f>'3.8.комм услуги'!LI24</f>
        <v>82.12</v>
      </c>
      <c r="G496" s="102">
        <f t="shared" si="50"/>
        <v>82.12</v>
      </c>
      <c r="H496" s="102">
        <f t="shared" si="51"/>
        <v>82.12</v>
      </c>
      <c r="I496" s="1318" t="s">
        <v>884</v>
      </c>
      <c r="J496" s="1319"/>
      <c r="K496" s="160"/>
    </row>
    <row r="497" spans="1:11" ht="60" hidden="1" x14ac:dyDescent="0.25">
      <c r="A497" s="92" t="s">
        <v>639</v>
      </c>
      <c r="B497" s="174"/>
      <c r="C497" s="5"/>
      <c r="D497" s="12" t="s">
        <v>32</v>
      </c>
      <c r="E497" s="101">
        <f>'3.8.комм услуги'!LG25</f>
        <v>0</v>
      </c>
      <c r="F497" s="102">
        <f>'3.8.комм услуги'!LI25</f>
        <v>0</v>
      </c>
      <c r="G497" s="102">
        <f t="shared" si="50"/>
        <v>0</v>
      </c>
      <c r="H497" s="102">
        <f t="shared" si="51"/>
        <v>0</v>
      </c>
      <c r="I497" s="1318" t="s">
        <v>884</v>
      </c>
      <c r="J497" s="1319"/>
      <c r="K497" s="160"/>
    </row>
    <row r="498" spans="1:11" ht="24" x14ac:dyDescent="0.25">
      <c r="A498" s="12" t="s">
        <v>626</v>
      </c>
      <c r="B498" s="174" t="s">
        <v>606</v>
      </c>
      <c r="C498" s="5"/>
      <c r="D498" s="12" t="s">
        <v>32</v>
      </c>
      <c r="E498" s="101">
        <f>'3.8.комм услуги'!LG26</f>
        <v>8.28768116</v>
      </c>
      <c r="F498" s="102">
        <f>'3.8.комм услуги'!LI26</f>
        <v>82.21</v>
      </c>
      <c r="G498" s="102">
        <f t="shared" si="50"/>
        <v>82.21</v>
      </c>
      <c r="H498" s="102">
        <f t="shared" si="51"/>
        <v>82.21</v>
      </c>
      <c r="I498" s="1318" t="s">
        <v>884</v>
      </c>
      <c r="J498" s="1319"/>
      <c r="K498" s="160"/>
    </row>
    <row r="499" spans="1:11" ht="36" x14ac:dyDescent="0.25">
      <c r="A499" s="12" t="s">
        <v>627</v>
      </c>
      <c r="B499" s="174" t="s">
        <v>607</v>
      </c>
      <c r="C499" s="5"/>
      <c r="D499" s="12" t="s">
        <v>32</v>
      </c>
      <c r="E499" s="101">
        <f>'3.8.комм услуги'!LG27</f>
        <v>8.2892063500000006</v>
      </c>
      <c r="F499" s="102">
        <f>'3.8.комм услуги'!LI27</f>
        <v>82.23</v>
      </c>
      <c r="G499" s="102">
        <f t="shared" si="50"/>
        <v>82.23</v>
      </c>
      <c r="H499" s="102">
        <f t="shared" si="51"/>
        <v>82.23</v>
      </c>
      <c r="I499" s="1318" t="s">
        <v>884</v>
      </c>
      <c r="J499" s="1319"/>
      <c r="K499" s="160"/>
    </row>
    <row r="500" spans="1:11" x14ac:dyDescent="0.25">
      <c r="A500" s="174" t="s">
        <v>608</v>
      </c>
      <c r="B500" s="174" t="s">
        <v>979</v>
      </c>
      <c r="C500" s="5"/>
      <c r="D500" s="12" t="s">
        <v>32</v>
      </c>
      <c r="E500" s="101">
        <f>'3.8.комм услуги'!LG28</f>
        <v>8.2804201699999993</v>
      </c>
      <c r="F500" s="102">
        <f>'3.8.комм услуги'!LI28</f>
        <v>82.14</v>
      </c>
      <c r="G500" s="102">
        <f t="shared" si="50"/>
        <v>82.14</v>
      </c>
      <c r="H500" s="102">
        <f t="shared" si="51"/>
        <v>82.14</v>
      </c>
      <c r="I500" s="1318" t="s">
        <v>884</v>
      </c>
      <c r="J500" s="1319"/>
      <c r="K500" s="160"/>
    </row>
    <row r="501" spans="1:11" x14ac:dyDescent="0.25">
      <c r="A501" s="174" t="s">
        <v>611</v>
      </c>
      <c r="B501" s="174" t="s">
        <v>2233</v>
      </c>
      <c r="C501" s="5"/>
      <c r="D501" s="12" t="s">
        <v>32</v>
      </c>
      <c r="E501" s="101">
        <f>'3.8.комм услуги'!LG29</f>
        <v>8.5060000000000002</v>
      </c>
      <c r="F501" s="102">
        <f>'3.8.комм услуги'!LI29</f>
        <v>84.38</v>
      </c>
      <c r="G501" s="102">
        <f t="shared" si="50"/>
        <v>84.38</v>
      </c>
      <c r="H501" s="102">
        <f t="shared" si="51"/>
        <v>84.38</v>
      </c>
      <c r="I501" s="1318" t="s">
        <v>884</v>
      </c>
      <c r="J501" s="1319"/>
      <c r="K501" s="160"/>
    </row>
    <row r="502" spans="1:11" ht="36" x14ac:dyDescent="0.25">
      <c r="A502" s="96" t="s">
        <v>620</v>
      </c>
      <c r="B502" s="181"/>
      <c r="C502" s="6"/>
      <c r="D502" s="16"/>
      <c r="E502" s="7"/>
      <c r="F502" s="95"/>
      <c r="G502" s="95"/>
      <c r="H502" s="95"/>
      <c r="I502" s="99"/>
      <c r="J502" s="100"/>
      <c r="K502" s="161" t="s">
        <v>267</v>
      </c>
    </row>
    <row r="503" spans="1:11" x14ac:dyDescent="0.25">
      <c r="A503" s="12" t="s">
        <v>609</v>
      </c>
      <c r="B503" s="174" t="s">
        <v>621</v>
      </c>
      <c r="C503" s="5"/>
      <c r="D503" s="12" t="s">
        <v>32</v>
      </c>
      <c r="E503" s="101">
        <f>'3.8.комм услуги'!LG31</f>
        <v>8.2784522200000001</v>
      </c>
      <c r="F503" s="102">
        <f>'3.8.комм услуги'!LI31</f>
        <v>82.12</v>
      </c>
      <c r="G503" s="102">
        <f t="shared" ref="G503:G510" si="52">F503</f>
        <v>82.12</v>
      </c>
      <c r="H503" s="102">
        <f t="shared" ref="H503:H510" si="53">F503</f>
        <v>82.12</v>
      </c>
      <c r="I503" s="1318" t="s">
        <v>884</v>
      </c>
      <c r="J503" s="1319"/>
      <c r="K503" s="160"/>
    </row>
    <row r="504" spans="1:11" ht="72" hidden="1" x14ac:dyDescent="0.25">
      <c r="A504" s="92" t="s">
        <v>610</v>
      </c>
      <c r="B504" s="174"/>
      <c r="C504" s="5"/>
      <c r="D504" s="12" t="s">
        <v>32</v>
      </c>
      <c r="E504" s="101">
        <f>'3.8.комм услуги'!LG32</f>
        <v>0</v>
      </c>
      <c r="F504" s="102">
        <f>'3.8.комм услуги'!LI32</f>
        <v>0</v>
      </c>
      <c r="G504" s="102">
        <f t="shared" si="52"/>
        <v>0</v>
      </c>
      <c r="H504" s="102">
        <f t="shared" si="53"/>
        <v>0</v>
      </c>
      <c r="I504" s="1318" t="s">
        <v>884</v>
      </c>
      <c r="J504" s="1319"/>
      <c r="K504" s="160"/>
    </row>
    <row r="505" spans="1:11" ht="48" hidden="1" x14ac:dyDescent="0.25">
      <c r="A505" s="92" t="s">
        <v>625</v>
      </c>
      <c r="B505" s="174"/>
      <c r="C505" s="5"/>
      <c r="D505" s="12" t="s">
        <v>32</v>
      </c>
      <c r="E505" s="101">
        <f>'3.8.комм услуги'!LG33</f>
        <v>0</v>
      </c>
      <c r="F505" s="102">
        <f>'3.8.комм услуги'!LI33</f>
        <v>0</v>
      </c>
      <c r="G505" s="102">
        <f t="shared" si="52"/>
        <v>0</v>
      </c>
      <c r="H505" s="102">
        <f t="shared" si="53"/>
        <v>0</v>
      </c>
      <c r="I505" s="1318" t="s">
        <v>884</v>
      </c>
      <c r="J505" s="1319"/>
      <c r="K505" s="160"/>
    </row>
    <row r="506" spans="1:11" ht="60" hidden="1" x14ac:dyDescent="0.25">
      <c r="A506" s="92" t="s">
        <v>639</v>
      </c>
      <c r="B506" s="174"/>
      <c r="C506" s="5"/>
      <c r="D506" s="12" t="s">
        <v>32</v>
      </c>
      <c r="E506" s="101">
        <f>'3.8.комм услуги'!LG34</f>
        <v>0</v>
      </c>
      <c r="F506" s="102">
        <f>'3.8.комм услуги'!LI34</f>
        <v>0</v>
      </c>
      <c r="G506" s="102">
        <f t="shared" si="52"/>
        <v>0</v>
      </c>
      <c r="H506" s="102">
        <f t="shared" si="53"/>
        <v>0</v>
      </c>
      <c r="I506" s="1318" t="s">
        <v>884</v>
      </c>
      <c r="J506" s="1319"/>
      <c r="K506" s="160"/>
    </row>
    <row r="507" spans="1:11" ht="24" x14ac:dyDescent="0.25">
      <c r="A507" s="12" t="s">
        <v>626</v>
      </c>
      <c r="B507" s="174" t="s">
        <v>980</v>
      </c>
      <c r="C507" s="5"/>
      <c r="D507" s="12" t="s">
        <v>32</v>
      </c>
      <c r="E507" s="101">
        <f>'3.8.комм услуги'!LG35</f>
        <v>8.27</v>
      </c>
      <c r="F507" s="102">
        <f>'3.8.комм услуги'!LI35</f>
        <v>82.04</v>
      </c>
      <c r="G507" s="102">
        <f t="shared" si="52"/>
        <v>82.04</v>
      </c>
      <c r="H507" s="102">
        <f t="shared" si="53"/>
        <v>82.04</v>
      </c>
      <c r="I507" s="1318" t="s">
        <v>884</v>
      </c>
      <c r="J507" s="1319"/>
      <c r="K507" s="160"/>
    </row>
    <row r="508" spans="1:11" ht="36" x14ac:dyDescent="0.25">
      <c r="A508" s="12" t="s">
        <v>627</v>
      </c>
      <c r="B508" s="174" t="s">
        <v>622</v>
      </c>
      <c r="C508" s="5"/>
      <c r="D508" s="12" t="s">
        <v>32</v>
      </c>
      <c r="E508" s="101">
        <f>'3.8.комм услуги'!LG36</f>
        <v>9.4499999999999993</v>
      </c>
      <c r="F508" s="102">
        <f>'3.8.комм услуги'!LI36</f>
        <v>93.74</v>
      </c>
      <c r="G508" s="102">
        <f t="shared" si="52"/>
        <v>93.74</v>
      </c>
      <c r="H508" s="102">
        <f t="shared" si="53"/>
        <v>93.74</v>
      </c>
      <c r="I508" s="1318" t="s">
        <v>884</v>
      </c>
      <c r="J508" s="1319"/>
      <c r="K508" s="160"/>
    </row>
    <row r="509" spans="1:11" x14ac:dyDescent="0.25">
      <c r="A509" s="174" t="s">
        <v>608</v>
      </c>
      <c r="B509" s="174" t="s">
        <v>623</v>
      </c>
      <c r="C509" s="5"/>
      <c r="D509" s="12" t="s">
        <v>32</v>
      </c>
      <c r="E509" s="101">
        <f>'3.8.комм услуги'!LG37</f>
        <v>8.2992682900000005</v>
      </c>
      <c r="F509" s="102">
        <f>'3.8.комм услуги'!LI37</f>
        <v>82.33</v>
      </c>
      <c r="G509" s="102">
        <f t="shared" si="52"/>
        <v>82.33</v>
      </c>
      <c r="H509" s="102">
        <f t="shared" si="53"/>
        <v>82.33</v>
      </c>
      <c r="I509" s="1318" t="s">
        <v>884</v>
      </c>
      <c r="J509" s="1319"/>
      <c r="K509" s="160"/>
    </row>
    <row r="510" spans="1:11" ht="15" hidden="1" customHeight="1" x14ac:dyDescent="0.25">
      <c r="A510" s="92" t="s">
        <v>611</v>
      </c>
      <c r="B510" s="174"/>
      <c r="C510" s="5"/>
      <c r="D510" s="12" t="s">
        <v>32</v>
      </c>
      <c r="E510" s="101">
        <f>'3.8.комм услуги'!LG38</f>
        <v>0</v>
      </c>
      <c r="F510" s="102">
        <f>'3.8.комм услуги'!LI38</f>
        <v>0</v>
      </c>
      <c r="G510" s="102">
        <f t="shared" si="52"/>
        <v>0</v>
      </c>
      <c r="H510" s="102">
        <f t="shared" si="53"/>
        <v>0</v>
      </c>
      <c r="I510" s="1318" t="s">
        <v>884</v>
      </c>
      <c r="J510" s="1319"/>
      <c r="K510" s="160"/>
    </row>
    <row r="511" spans="1:11" ht="24" hidden="1" x14ac:dyDescent="0.25">
      <c r="A511" s="96" t="s">
        <v>601</v>
      </c>
      <c r="B511" s="181"/>
      <c r="C511" s="6"/>
      <c r="D511" s="16"/>
      <c r="E511" s="7"/>
      <c r="F511" s="95"/>
      <c r="G511" s="95"/>
      <c r="H511" s="95"/>
      <c r="I511" s="99"/>
      <c r="J511" s="100"/>
      <c r="K511" s="161" t="s">
        <v>267</v>
      </c>
    </row>
    <row r="512" spans="1:11" ht="15" hidden="1" customHeight="1" x14ac:dyDescent="0.25">
      <c r="A512" s="12" t="s">
        <v>456</v>
      </c>
      <c r="B512" s="174" t="s">
        <v>648</v>
      </c>
      <c r="C512" s="5"/>
      <c r="D512" s="12" t="s">
        <v>881</v>
      </c>
      <c r="E512" s="13" t="s">
        <v>442</v>
      </c>
      <c r="F512" s="102">
        <v>0</v>
      </c>
      <c r="G512" s="102">
        <v>0</v>
      </c>
      <c r="H512" s="102">
        <v>0</v>
      </c>
      <c r="I512" s="1318"/>
      <c r="J512" s="1319"/>
      <c r="K512" s="160"/>
    </row>
    <row r="513" spans="1:11" ht="15" hidden="1" customHeight="1" x14ac:dyDescent="0.25">
      <c r="A513" s="12" t="s">
        <v>457</v>
      </c>
      <c r="B513" s="174" t="s">
        <v>649</v>
      </c>
      <c r="C513" s="5"/>
      <c r="D513" s="12" t="s">
        <v>881</v>
      </c>
      <c r="E513" s="13" t="s">
        <v>442</v>
      </c>
      <c r="F513" s="102">
        <v>0</v>
      </c>
      <c r="G513" s="102">
        <v>0</v>
      </c>
      <c r="H513" s="102">
        <v>0</v>
      </c>
      <c r="I513" s="1318"/>
      <c r="J513" s="1319"/>
      <c r="K513" s="160"/>
    </row>
    <row r="514" spans="1:11" ht="15" hidden="1" customHeight="1" x14ac:dyDescent="0.25">
      <c r="A514" s="12" t="s">
        <v>471</v>
      </c>
      <c r="B514" s="174" t="s">
        <v>650</v>
      </c>
      <c r="C514" s="5"/>
      <c r="D514" s="12" t="s">
        <v>881</v>
      </c>
      <c r="E514" s="13" t="s">
        <v>442</v>
      </c>
      <c r="F514" s="102">
        <v>0</v>
      </c>
      <c r="G514" s="102">
        <v>0</v>
      </c>
      <c r="H514" s="102">
        <v>0</v>
      </c>
      <c r="I514" s="1318"/>
      <c r="J514" s="1319"/>
      <c r="K514" s="160"/>
    </row>
    <row r="515" spans="1:11" ht="15" hidden="1" customHeight="1" x14ac:dyDescent="0.25">
      <c r="A515" s="12" t="s">
        <v>458</v>
      </c>
      <c r="B515" s="174" t="s">
        <v>651</v>
      </c>
      <c r="C515" s="5"/>
      <c r="D515" s="12" t="s">
        <v>881</v>
      </c>
      <c r="E515" s="13" t="s">
        <v>442</v>
      </c>
      <c r="F515" s="102">
        <v>0</v>
      </c>
      <c r="G515" s="102">
        <v>0</v>
      </c>
      <c r="H515" s="102">
        <v>0</v>
      </c>
      <c r="I515" s="1318"/>
      <c r="J515" s="1319"/>
      <c r="K515" s="160"/>
    </row>
    <row r="516" spans="1:11" ht="15" hidden="1" customHeight="1" x14ac:dyDescent="0.25">
      <c r="A516" s="12" t="s">
        <v>459</v>
      </c>
      <c r="B516" s="174" t="s">
        <v>652</v>
      </c>
      <c r="C516" s="5"/>
      <c r="D516" s="12" t="s">
        <v>881</v>
      </c>
      <c r="E516" s="13" t="s">
        <v>442</v>
      </c>
      <c r="F516" s="102">
        <v>0</v>
      </c>
      <c r="G516" s="102">
        <v>0</v>
      </c>
      <c r="H516" s="102">
        <v>0</v>
      </c>
      <c r="I516" s="1318"/>
      <c r="J516" s="1319"/>
      <c r="K516" s="160"/>
    </row>
    <row r="517" spans="1:11" ht="15" hidden="1" customHeight="1" x14ac:dyDescent="0.25">
      <c r="A517" s="12" t="s">
        <v>460</v>
      </c>
      <c r="B517" s="174" t="s">
        <v>653</v>
      </c>
      <c r="C517" s="5"/>
      <c r="D517" s="12" t="s">
        <v>881</v>
      </c>
      <c r="E517" s="13" t="s">
        <v>442</v>
      </c>
      <c r="F517" s="102">
        <v>0</v>
      </c>
      <c r="G517" s="102">
        <v>0</v>
      </c>
      <c r="H517" s="102">
        <v>0</v>
      </c>
      <c r="I517" s="1318"/>
      <c r="J517" s="1319"/>
      <c r="K517" s="160"/>
    </row>
    <row r="518" spans="1:11" ht="12" customHeight="1" x14ac:dyDescent="0.25">
      <c r="A518" s="7"/>
      <c r="B518" s="181"/>
      <c r="C518" s="6" t="s">
        <v>39</v>
      </c>
      <c r="D518" s="16" t="s">
        <v>40</v>
      </c>
      <c r="E518" s="7"/>
      <c r="F518" s="95"/>
      <c r="G518" s="95"/>
      <c r="H518" s="95"/>
      <c r="I518" s="99"/>
      <c r="J518" s="100"/>
      <c r="K518" s="161"/>
    </row>
    <row r="519" spans="1:11" ht="36" hidden="1" x14ac:dyDescent="0.25">
      <c r="A519" s="96" t="s">
        <v>426</v>
      </c>
      <c r="B519" s="181"/>
      <c r="C519" s="6"/>
      <c r="D519" s="16"/>
      <c r="E519" s="7"/>
      <c r="F519" s="95"/>
      <c r="G519" s="95"/>
      <c r="H519" s="95"/>
      <c r="I519" s="99"/>
      <c r="J519" s="100"/>
      <c r="K519" s="161" t="s">
        <v>856</v>
      </c>
    </row>
    <row r="520" spans="1:11" ht="15" hidden="1" customHeight="1" x14ac:dyDescent="0.25">
      <c r="A520" s="174" t="s">
        <v>421</v>
      </c>
      <c r="B520" s="174" t="s">
        <v>427</v>
      </c>
      <c r="C520" s="5"/>
      <c r="D520" s="12" t="s">
        <v>881</v>
      </c>
      <c r="E520" s="13" t="s">
        <v>442</v>
      </c>
      <c r="F520" s="102">
        <v>0</v>
      </c>
      <c r="G520" s="102">
        <v>0</v>
      </c>
      <c r="H520" s="102">
        <v>0</v>
      </c>
      <c r="I520" s="1318"/>
      <c r="J520" s="1319"/>
      <c r="K520" s="160"/>
    </row>
    <row r="521" spans="1:11" ht="15" hidden="1" customHeight="1" x14ac:dyDescent="0.25">
      <c r="A521" s="174" t="s">
        <v>413</v>
      </c>
      <c r="B521" s="174" t="s">
        <v>430</v>
      </c>
      <c r="C521" s="5"/>
      <c r="D521" s="12" t="s">
        <v>881</v>
      </c>
      <c r="E521" s="13" t="s">
        <v>442</v>
      </c>
      <c r="F521" s="102">
        <v>0</v>
      </c>
      <c r="G521" s="102">
        <v>0</v>
      </c>
      <c r="H521" s="102">
        <v>0</v>
      </c>
      <c r="I521" s="1318"/>
      <c r="J521" s="1319"/>
      <c r="K521" s="160"/>
    </row>
    <row r="522" spans="1:11" ht="15" hidden="1" customHeight="1" x14ac:dyDescent="0.25">
      <c r="A522" s="174" t="s">
        <v>700</v>
      </c>
      <c r="B522" s="174" t="s">
        <v>427</v>
      </c>
      <c r="C522" s="5"/>
      <c r="D522" s="12" t="s">
        <v>881</v>
      </c>
      <c r="E522" s="13" t="s">
        <v>442</v>
      </c>
      <c r="F522" s="102">
        <v>0</v>
      </c>
      <c r="G522" s="102">
        <v>0</v>
      </c>
      <c r="H522" s="102">
        <v>0</v>
      </c>
      <c r="I522" s="1318"/>
      <c r="J522" s="1319"/>
      <c r="K522" s="160"/>
    </row>
    <row r="523" spans="1:11" ht="30" hidden="1" customHeight="1" x14ac:dyDescent="0.25">
      <c r="A523" s="174" t="s">
        <v>414</v>
      </c>
      <c r="B523" s="174" t="s">
        <v>430</v>
      </c>
      <c r="C523" s="5"/>
      <c r="D523" s="12" t="s">
        <v>881</v>
      </c>
      <c r="E523" s="13" t="s">
        <v>442</v>
      </c>
      <c r="F523" s="102">
        <v>0</v>
      </c>
      <c r="G523" s="102">
        <v>0</v>
      </c>
      <c r="H523" s="102">
        <v>0</v>
      </c>
      <c r="I523" s="1318"/>
      <c r="J523" s="1319"/>
      <c r="K523" s="160"/>
    </row>
    <row r="524" spans="1:11" ht="15" hidden="1" customHeight="1" x14ac:dyDescent="0.25">
      <c r="A524" s="174" t="s">
        <v>415</v>
      </c>
      <c r="B524" s="174" t="s">
        <v>430</v>
      </c>
      <c r="C524" s="5"/>
      <c r="D524" s="12" t="s">
        <v>881</v>
      </c>
      <c r="E524" s="13" t="s">
        <v>442</v>
      </c>
      <c r="F524" s="102">
        <v>0</v>
      </c>
      <c r="G524" s="102">
        <v>0</v>
      </c>
      <c r="H524" s="102">
        <v>0</v>
      </c>
      <c r="I524" s="1318"/>
      <c r="J524" s="1319"/>
      <c r="K524" s="160"/>
    </row>
    <row r="525" spans="1:11" ht="15" hidden="1" customHeight="1" x14ac:dyDescent="0.25">
      <c r="A525" s="92" t="s">
        <v>416</v>
      </c>
      <c r="B525" s="174" t="s">
        <v>429</v>
      </c>
      <c r="C525" s="5"/>
      <c r="D525" s="12" t="s">
        <v>881</v>
      </c>
      <c r="E525" s="13" t="s">
        <v>442</v>
      </c>
      <c r="F525" s="102">
        <v>0</v>
      </c>
      <c r="G525" s="102">
        <v>0</v>
      </c>
      <c r="H525" s="102">
        <v>0</v>
      </c>
      <c r="I525" s="1318"/>
      <c r="J525" s="1319"/>
      <c r="K525" s="160"/>
    </row>
    <row r="526" spans="1:11" ht="15" hidden="1" customHeight="1" x14ac:dyDescent="0.25">
      <c r="A526" s="98" t="s">
        <v>417</v>
      </c>
      <c r="B526" s="174" t="s">
        <v>429</v>
      </c>
      <c r="C526" s="5"/>
      <c r="D526" s="12" t="s">
        <v>881</v>
      </c>
      <c r="E526" s="13" t="s">
        <v>442</v>
      </c>
      <c r="F526" s="102">
        <v>0</v>
      </c>
      <c r="G526" s="102">
        <v>0</v>
      </c>
      <c r="H526" s="102">
        <v>0</v>
      </c>
      <c r="I526" s="1318"/>
      <c r="J526" s="1319"/>
      <c r="K526" s="160"/>
    </row>
    <row r="527" spans="1:11" ht="15" hidden="1" customHeight="1" x14ac:dyDescent="0.25">
      <c r="A527" s="98" t="s">
        <v>422</v>
      </c>
      <c r="B527" s="174" t="s">
        <v>428</v>
      </c>
      <c r="C527" s="5"/>
      <c r="D527" s="12" t="s">
        <v>881</v>
      </c>
      <c r="E527" s="13" t="s">
        <v>442</v>
      </c>
      <c r="F527" s="102">
        <v>0</v>
      </c>
      <c r="G527" s="102">
        <v>0</v>
      </c>
      <c r="H527" s="102">
        <v>0</v>
      </c>
      <c r="I527" s="1318"/>
      <c r="J527" s="1319"/>
      <c r="K527" s="160"/>
    </row>
    <row r="528" spans="1:11" ht="15" hidden="1" customHeight="1" x14ac:dyDescent="0.25">
      <c r="A528" s="98" t="s">
        <v>418</v>
      </c>
      <c r="B528" s="174" t="s">
        <v>429</v>
      </c>
      <c r="C528" s="5"/>
      <c r="D528" s="12" t="s">
        <v>881</v>
      </c>
      <c r="E528" s="13" t="s">
        <v>442</v>
      </c>
      <c r="F528" s="102">
        <v>0</v>
      </c>
      <c r="G528" s="102">
        <v>0</v>
      </c>
      <c r="H528" s="102">
        <v>0</v>
      </c>
      <c r="I528" s="1318"/>
      <c r="J528" s="1319"/>
      <c r="K528" s="160"/>
    </row>
    <row r="529" spans="1:11" ht="15" hidden="1" customHeight="1" x14ac:dyDescent="0.25">
      <c r="A529" s="92" t="s">
        <v>423</v>
      </c>
      <c r="B529" s="174" t="s">
        <v>427</v>
      </c>
      <c r="C529" s="5"/>
      <c r="D529" s="12" t="s">
        <v>881</v>
      </c>
      <c r="E529" s="13" t="s">
        <v>442</v>
      </c>
      <c r="F529" s="102">
        <v>0</v>
      </c>
      <c r="G529" s="102">
        <v>0</v>
      </c>
      <c r="H529" s="102">
        <v>0</v>
      </c>
      <c r="I529" s="1318"/>
      <c r="J529" s="1319"/>
      <c r="K529" s="160"/>
    </row>
    <row r="530" spans="1:11" ht="15" hidden="1" customHeight="1" x14ac:dyDescent="0.25">
      <c r="A530" s="174" t="s">
        <v>419</v>
      </c>
      <c r="B530" s="174" t="s">
        <v>430</v>
      </c>
      <c r="C530" s="5"/>
      <c r="D530" s="12" t="s">
        <v>881</v>
      </c>
      <c r="E530" s="13" t="s">
        <v>442</v>
      </c>
      <c r="F530" s="102">
        <v>0</v>
      </c>
      <c r="G530" s="102">
        <v>0</v>
      </c>
      <c r="H530" s="102">
        <v>0</v>
      </c>
      <c r="I530" s="1318"/>
      <c r="J530" s="1319"/>
      <c r="K530" s="160"/>
    </row>
    <row r="531" spans="1:11" ht="15" hidden="1" customHeight="1" x14ac:dyDescent="0.25">
      <c r="A531" s="92" t="s">
        <v>424</v>
      </c>
      <c r="B531" s="174" t="s">
        <v>427</v>
      </c>
      <c r="C531" s="5"/>
      <c r="D531" s="12" t="s">
        <v>881</v>
      </c>
      <c r="E531" s="13" t="s">
        <v>442</v>
      </c>
      <c r="F531" s="102">
        <v>0</v>
      </c>
      <c r="G531" s="102">
        <v>0</v>
      </c>
      <c r="H531" s="102">
        <v>0</v>
      </c>
      <c r="I531" s="1318"/>
      <c r="J531" s="1319"/>
      <c r="K531" s="160"/>
    </row>
    <row r="532" spans="1:11" ht="15" hidden="1" customHeight="1" x14ac:dyDescent="0.25">
      <c r="A532" s="174" t="s">
        <v>420</v>
      </c>
      <c r="B532" s="174" t="s">
        <v>430</v>
      </c>
      <c r="C532" s="5"/>
      <c r="D532" s="12" t="s">
        <v>881</v>
      </c>
      <c r="E532" s="13" t="s">
        <v>442</v>
      </c>
      <c r="F532" s="102">
        <v>0</v>
      </c>
      <c r="G532" s="102">
        <v>0</v>
      </c>
      <c r="H532" s="102">
        <v>0</v>
      </c>
      <c r="I532" s="1318"/>
      <c r="J532" s="1319"/>
      <c r="K532" s="160"/>
    </row>
    <row r="533" spans="1:11" ht="15" hidden="1" customHeight="1" x14ac:dyDescent="0.25">
      <c r="A533" s="340"/>
      <c r="B533" s="174"/>
      <c r="C533" s="5"/>
      <c r="D533" s="12" t="s">
        <v>881</v>
      </c>
      <c r="E533" s="13" t="s">
        <v>442</v>
      </c>
      <c r="F533" s="102">
        <v>0</v>
      </c>
      <c r="G533" s="102">
        <v>0</v>
      </c>
      <c r="H533" s="102">
        <v>0</v>
      </c>
      <c r="I533" s="1318"/>
      <c r="J533" s="1319"/>
      <c r="K533" s="160"/>
    </row>
    <row r="534" spans="1:11" hidden="1" x14ac:dyDescent="0.25">
      <c r="A534" s="96" t="s">
        <v>431</v>
      </c>
      <c r="B534" s="181"/>
      <c r="C534" s="6"/>
      <c r="D534" s="16"/>
      <c r="E534" s="7"/>
      <c r="F534" s="95"/>
      <c r="G534" s="95"/>
      <c r="H534" s="95"/>
      <c r="I534" s="99"/>
      <c r="J534" s="100"/>
      <c r="K534" s="161" t="s">
        <v>856</v>
      </c>
    </row>
    <row r="535" spans="1:11" ht="15" hidden="1" customHeight="1" x14ac:dyDescent="0.25">
      <c r="A535" s="12" t="s">
        <v>702</v>
      </c>
      <c r="B535" s="174" t="s">
        <v>432</v>
      </c>
      <c r="C535" s="5"/>
      <c r="D535" s="12" t="s">
        <v>881</v>
      </c>
      <c r="E535" s="13" t="s">
        <v>442</v>
      </c>
      <c r="F535" s="102">
        <v>0</v>
      </c>
      <c r="G535" s="102">
        <v>0</v>
      </c>
      <c r="H535" s="102">
        <v>0</v>
      </c>
      <c r="I535" s="1318"/>
      <c r="J535" s="1319"/>
      <c r="K535" s="160"/>
    </row>
    <row r="536" spans="1:11" ht="15" hidden="1" customHeight="1" x14ac:dyDescent="0.25">
      <c r="A536" s="12" t="s">
        <v>703</v>
      </c>
      <c r="B536" s="174" t="s">
        <v>433</v>
      </c>
      <c r="C536" s="5"/>
      <c r="D536" s="12" t="s">
        <v>881</v>
      </c>
      <c r="E536" s="13" t="s">
        <v>442</v>
      </c>
      <c r="F536" s="102">
        <v>0</v>
      </c>
      <c r="G536" s="102">
        <v>0</v>
      </c>
      <c r="H536" s="102">
        <v>0</v>
      </c>
      <c r="I536" s="1318"/>
      <c r="J536" s="1319"/>
      <c r="K536" s="160"/>
    </row>
    <row r="537" spans="1:11" ht="15" hidden="1" customHeight="1" x14ac:dyDescent="0.25">
      <c r="A537" s="12" t="s">
        <v>704</v>
      </c>
      <c r="B537" s="174" t="s">
        <v>434</v>
      </c>
      <c r="C537" s="5"/>
      <c r="D537" s="12" t="s">
        <v>881</v>
      </c>
      <c r="E537" s="13" t="s">
        <v>442</v>
      </c>
      <c r="F537" s="102">
        <v>0</v>
      </c>
      <c r="G537" s="102">
        <v>0</v>
      </c>
      <c r="H537" s="102">
        <v>0</v>
      </c>
      <c r="I537" s="1318"/>
      <c r="J537" s="1319"/>
      <c r="K537" s="160"/>
    </row>
    <row r="538" spans="1:11" s="435" customFormat="1" ht="15" hidden="1" customHeight="1" x14ac:dyDescent="0.25">
      <c r="A538" s="641" t="s">
        <v>1407</v>
      </c>
      <c r="B538" s="174" t="s">
        <v>435</v>
      </c>
      <c r="C538" s="5"/>
      <c r="D538" s="12" t="s">
        <v>881</v>
      </c>
      <c r="E538" s="13" t="s">
        <v>442</v>
      </c>
      <c r="F538" s="102">
        <v>0</v>
      </c>
      <c r="G538" s="102">
        <v>0</v>
      </c>
      <c r="H538" s="102">
        <v>0</v>
      </c>
      <c r="I538" s="1318"/>
      <c r="J538" s="1319"/>
      <c r="K538" s="160"/>
    </row>
    <row r="539" spans="1:11" ht="15" hidden="1" customHeight="1" x14ac:dyDescent="0.25">
      <c r="A539" s="12" t="s">
        <v>948</v>
      </c>
      <c r="B539" s="174" t="s">
        <v>435</v>
      </c>
      <c r="C539" s="5"/>
      <c r="D539" s="12" t="s">
        <v>881</v>
      </c>
      <c r="E539" s="13" t="s">
        <v>442</v>
      </c>
      <c r="F539" s="102">
        <v>0</v>
      </c>
      <c r="G539" s="102">
        <v>0</v>
      </c>
      <c r="H539" s="102">
        <v>0</v>
      </c>
      <c r="I539" s="1318"/>
      <c r="J539" s="1319"/>
      <c r="K539" s="160"/>
    </row>
    <row r="540" spans="1:11" ht="15" hidden="1" customHeight="1" x14ac:dyDescent="0.25">
      <c r="A540" s="12" t="s">
        <v>705</v>
      </c>
      <c r="B540" s="174" t="s">
        <v>436</v>
      </c>
      <c r="C540" s="5"/>
      <c r="D540" s="12" t="s">
        <v>881</v>
      </c>
      <c r="E540" s="13" t="s">
        <v>442</v>
      </c>
      <c r="F540" s="102">
        <v>0</v>
      </c>
      <c r="G540" s="102">
        <v>0</v>
      </c>
      <c r="H540" s="102">
        <v>0</v>
      </c>
      <c r="I540" s="1318"/>
      <c r="J540" s="1319"/>
      <c r="K540" s="160"/>
    </row>
    <row r="541" spans="1:11" ht="15" hidden="1" customHeight="1" x14ac:dyDescent="0.25">
      <c r="A541" s="98" t="s">
        <v>706</v>
      </c>
      <c r="B541" s="174" t="s">
        <v>437</v>
      </c>
      <c r="C541" s="5"/>
      <c r="D541" s="12" t="s">
        <v>881</v>
      </c>
      <c r="E541" s="13" t="s">
        <v>442</v>
      </c>
      <c r="F541" s="102">
        <v>0</v>
      </c>
      <c r="G541" s="102">
        <v>0</v>
      </c>
      <c r="H541" s="102">
        <v>0</v>
      </c>
      <c r="I541" s="1318"/>
      <c r="J541" s="1319"/>
      <c r="K541" s="160"/>
    </row>
    <row r="542" spans="1:11" ht="15" hidden="1" customHeight="1" x14ac:dyDescent="0.25">
      <c r="A542" s="98" t="s">
        <v>707</v>
      </c>
      <c r="B542" s="174" t="s">
        <v>438</v>
      </c>
      <c r="C542" s="5"/>
      <c r="D542" s="12" t="s">
        <v>881</v>
      </c>
      <c r="E542" s="13" t="s">
        <v>442</v>
      </c>
      <c r="F542" s="102">
        <v>0</v>
      </c>
      <c r="G542" s="102">
        <v>0</v>
      </c>
      <c r="H542" s="102">
        <v>0</v>
      </c>
      <c r="I542" s="1318"/>
      <c r="J542" s="1319"/>
      <c r="K542" s="160"/>
    </row>
    <row r="543" spans="1:11" ht="15" hidden="1" customHeight="1" x14ac:dyDescent="0.25">
      <c r="A543" s="98" t="s">
        <v>708</v>
      </c>
      <c r="B543" s="174" t="s">
        <v>439</v>
      </c>
      <c r="C543" s="5"/>
      <c r="D543" s="12" t="s">
        <v>881</v>
      </c>
      <c r="E543" s="13" t="s">
        <v>442</v>
      </c>
      <c r="F543" s="102">
        <v>0</v>
      </c>
      <c r="G543" s="102">
        <v>0</v>
      </c>
      <c r="H543" s="102">
        <v>0</v>
      </c>
      <c r="I543" s="1318"/>
      <c r="J543" s="1319"/>
      <c r="K543" s="160"/>
    </row>
    <row r="544" spans="1:11" s="435" customFormat="1" ht="15" hidden="1" customHeight="1" x14ac:dyDescent="0.25">
      <c r="A544" s="643" t="s">
        <v>1409</v>
      </c>
      <c r="B544" s="174" t="s">
        <v>440</v>
      </c>
      <c r="C544" s="5"/>
      <c r="D544" s="12" t="s">
        <v>881</v>
      </c>
      <c r="E544" s="13" t="s">
        <v>442</v>
      </c>
      <c r="F544" s="102">
        <v>0</v>
      </c>
      <c r="G544" s="102">
        <v>0</v>
      </c>
      <c r="H544" s="102">
        <v>0</v>
      </c>
      <c r="I544" s="1318"/>
      <c r="J544" s="1319"/>
      <c r="K544" s="160"/>
    </row>
    <row r="545" spans="1:11" ht="15" hidden="1" customHeight="1" x14ac:dyDescent="0.25">
      <c r="A545" s="98" t="s">
        <v>949</v>
      </c>
      <c r="B545" s="174" t="s">
        <v>440</v>
      </c>
      <c r="C545" s="5"/>
      <c r="D545" s="12" t="s">
        <v>881</v>
      </c>
      <c r="E545" s="13" t="s">
        <v>442</v>
      </c>
      <c r="F545" s="102">
        <v>0</v>
      </c>
      <c r="G545" s="102">
        <v>0</v>
      </c>
      <c r="H545" s="102">
        <v>0</v>
      </c>
      <c r="I545" s="1318"/>
      <c r="J545" s="1319"/>
      <c r="K545" s="160"/>
    </row>
    <row r="546" spans="1:11" ht="15" hidden="1" customHeight="1" x14ac:dyDescent="0.25">
      <c r="A546" s="98" t="s">
        <v>709</v>
      </c>
      <c r="B546" s="174" t="s">
        <v>441</v>
      </c>
      <c r="C546" s="5"/>
      <c r="D546" s="12" t="s">
        <v>881</v>
      </c>
      <c r="E546" s="13" t="s">
        <v>442</v>
      </c>
      <c r="F546" s="102">
        <v>0</v>
      </c>
      <c r="G546" s="102">
        <v>0</v>
      </c>
      <c r="H546" s="102">
        <v>0</v>
      </c>
      <c r="I546" s="1318"/>
      <c r="J546" s="1319"/>
      <c r="K546" s="160"/>
    </row>
    <row r="547" spans="1:11" ht="36" x14ac:dyDescent="0.25">
      <c r="A547" s="96" t="s">
        <v>624</v>
      </c>
      <c r="B547" s="181"/>
      <c r="C547" s="6"/>
      <c r="D547" s="16"/>
      <c r="E547" s="7"/>
      <c r="F547" s="95"/>
      <c r="G547" s="95"/>
      <c r="H547" s="95"/>
      <c r="I547" s="99"/>
      <c r="J547" s="100"/>
      <c r="K547" s="161" t="s">
        <v>856</v>
      </c>
    </row>
    <row r="548" spans="1:11" x14ac:dyDescent="0.25">
      <c r="A548" s="12" t="s">
        <v>609</v>
      </c>
      <c r="B548" s="174" t="s">
        <v>617</v>
      </c>
      <c r="C548" s="5"/>
      <c r="D548" s="12" t="s">
        <v>33</v>
      </c>
      <c r="E548" s="101">
        <f>'3.8.комм услуги'!LG42</f>
        <v>94.255444179999998</v>
      </c>
      <c r="F548" s="102">
        <f>'3.8.комм услуги'!LI42</f>
        <v>797.4</v>
      </c>
      <c r="G548" s="102">
        <f>F548</f>
        <v>797.4</v>
      </c>
      <c r="H548" s="102">
        <f>F548</f>
        <v>797.4</v>
      </c>
      <c r="I548" s="1318" t="s">
        <v>884</v>
      </c>
      <c r="J548" s="1319"/>
      <c r="K548" s="160"/>
    </row>
    <row r="549" spans="1:11" ht="72" hidden="1" x14ac:dyDescent="0.25">
      <c r="A549" s="92" t="s">
        <v>610</v>
      </c>
      <c r="B549" s="174"/>
      <c r="C549" s="5"/>
      <c r="D549" s="12" t="s">
        <v>33</v>
      </c>
      <c r="E549" s="101">
        <f>'3.8.комм услуги'!LG43</f>
        <v>0</v>
      </c>
      <c r="F549" s="102">
        <f>'3.8.комм услуги'!LI43</f>
        <v>0</v>
      </c>
      <c r="G549" s="102">
        <f t="shared" ref="G549:G555" si="54">F549</f>
        <v>0</v>
      </c>
      <c r="H549" s="102">
        <f t="shared" ref="H549:H555" si="55">F549</f>
        <v>0</v>
      </c>
      <c r="I549" s="1318" t="s">
        <v>884</v>
      </c>
      <c r="J549" s="1319"/>
      <c r="K549" s="160"/>
    </row>
    <row r="550" spans="1:11" ht="48" x14ac:dyDescent="0.25">
      <c r="A550" s="12" t="s">
        <v>625</v>
      </c>
      <c r="B550" s="174" t="s">
        <v>978</v>
      </c>
      <c r="C550" s="5"/>
      <c r="D550" s="12" t="s">
        <v>33</v>
      </c>
      <c r="E550" s="101">
        <f>'3.8.комм услуги'!LG44</f>
        <v>94.235077720000007</v>
      </c>
      <c r="F550" s="102">
        <f>'3.8.комм услуги'!LI44</f>
        <v>797.23</v>
      </c>
      <c r="G550" s="102">
        <f t="shared" si="54"/>
        <v>797.23</v>
      </c>
      <c r="H550" s="102">
        <f t="shared" si="55"/>
        <v>797.23</v>
      </c>
      <c r="I550" s="1318" t="s">
        <v>884</v>
      </c>
      <c r="J550" s="1319"/>
      <c r="K550" s="160"/>
    </row>
    <row r="551" spans="1:11" ht="24" x14ac:dyDescent="0.25">
      <c r="A551" s="12" t="s">
        <v>626</v>
      </c>
      <c r="B551" s="174" t="s">
        <v>618</v>
      </c>
      <c r="C551" s="5"/>
      <c r="D551" s="12" t="s">
        <v>33</v>
      </c>
      <c r="E551" s="101">
        <f>'3.8.комм услуги'!LG45</f>
        <v>94.165405410000005</v>
      </c>
      <c r="F551" s="102">
        <f>'3.8.комм услуги'!LI45</f>
        <v>796.64</v>
      </c>
      <c r="G551" s="102">
        <f t="shared" si="54"/>
        <v>796.64</v>
      </c>
      <c r="H551" s="102">
        <f t="shared" si="55"/>
        <v>796.64</v>
      </c>
      <c r="I551" s="1318" t="s">
        <v>884</v>
      </c>
      <c r="J551" s="1319"/>
      <c r="K551" s="160"/>
    </row>
    <row r="552" spans="1:11" ht="60" hidden="1" x14ac:dyDescent="0.25">
      <c r="A552" s="92" t="s">
        <v>639</v>
      </c>
      <c r="B552" s="174"/>
      <c r="C552" s="5"/>
      <c r="D552" s="12" t="s">
        <v>33</v>
      </c>
      <c r="E552" s="101">
        <f>'3.8.комм услуги'!LG46</f>
        <v>0</v>
      </c>
      <c r="F552" s="102">
        <f>'3.8.комм услуги'!LI46</f>
        <v>0</v>
      </c>
      <c r="G552" s="102">
        <f t="shared" si="54"/>
        <v>0</v>
      </c>
      <c r="H552" s="102">
        <f t="shared" si="55"/>
        <v>0</v>
      </c>
      <c r="I552" s="1318" t="s">
        <v>884</v>
      </c>
      <c r="J552" s="1319"/>
      <c r="K552" s="160"/>
    </row>
    <row r="553" spans="1:11" ht="36" x14ac:dyDescent="0.25">
      <c r="A553" s="12" t="s">
        <v>627</v>
      </c>
      <c r="B553" s="174" t="s">
        <v>619</v>
      </c>
      <c r="C553" s="5"/>
      <c r="D553" s="12" t="s">
        <v>33</v>
      </c>
      <c r="E553" s="101">
        <f>'3.8.комм услуги'!LG47</f>
        <v>94.165499999999994</v>
      </c>
      <c r="F553" s="102">
        <f>'3.8.комм услуги'!LI47</f>
        <v>796.64</v>
      </c>
      <c r="G553" s="102">
        <f t="shared" si="54"/>
        <v>796.64</v>
      </c>
      <c r="H553" s="102">
        <f t="shared" si="55"/>
        <v>796.64</v>
      </c>
      <c r="I553" s="1318" t="s">
        <v>884</v>
      </c>
      <c r="J553" s="1319"/>
      <c r="K553" s="160"/>
    </row>
    <row r="554" spans="1:11" hidden="1" x14ac:dyDescent="0.25">
      <c r="A554" s="92" t="s">
        <v>608</v>
      </c>
      <c r="B554" s="174"/>
      <c r="C554" s="5"/>
      <c r="D554" s="12" t="s">
        <v>33</v>
      </c>
      <c r="E554" s="101">
        <f>'3.8.комм услуги'!LG48</f>
        <v>0</v>
      </c>
      <c r="F554" s="102">
        <f>'3.8.комм услуги'!LI48</f>
        <v>0</v>
      </c>
      <c r="G554" s="102">
        <f t="shared" si="54"/>
        <v>0</v>
      </c>
      <c r="H554" s="102">
        <f t="shared" si="55"/>
        <v>0</v>
      </c>
      <c r="I554" s="1318" t="s">
        <v>884</v>
      </c>
      <c r="J554" s="1319"/>
      <c r="K554" s="160"/>
    </row>
    <row r="555" spans="1:11" hidden="1" x14ac:dyDescent="0.25">
      <c r="A555" s="92" t="s">
        <v>611</v>
      </c>
      <c r="B555" s="174"/>
      <c r="C555" s="5"/>
      <c r="D555" s="12" t="s">
        <v>33</v>
      </c>
      <c r="E555" s="101">
        <f>'3.8.комм услуги'!LG49</f>
        <v>0</v>
      </c>
      <c r="F555" s="102">
        <f>'3.8.комм услуги'!LI49</f>
        <v>0</v>
      </c>
      <c r="G555" s="102">
        <f t="shared" si="54"/>
        <v>0</v>
      </c>
      <c r="H555" s="102">
        <f t="shared" si="55"/>
        <v>0</v>
      </c>
      <c r="I555" s="1318" t="s">
        <v>884</v>
      </c>
      <c r="J555" s="1319"/>
      <c r="K555" s="160"/>
    </row>
    <row r="556" spans="1:11" ht="36" x14ac:dyDescent="0.25">
      <c r="A556" s="96" t="s">
        <v>603</v>
      </c>
      <c r="B556" s="181"/>
      <c r="C556" s="6"/>
      <c r="D556" s="16"/>
      <c r="E556" s="7"/>
      <c r="F556" s="95"/>
      <c r="G556" s="95"/>
      <c r="H556" s="95"/>
      <c r="I556" s="99"/>
      <c r="J556" s="100"/>
      <c r="K556" s="161" t="s">
        <v>856</v>
      </c>
    </row>
    <row r="557" spans="1:11" x14ac:dyDescent="0.25">
      <c r="A557" s="12" t="s">
        <v>609</v>
      </c>
      <c r="B557" s="174" t="s">
        <v>604</v>
      </c>
      <c r="C557" s="5"/>
      <c r="D557" s="12" t="s">
        <v>33</v>
      </c>
      <c r="E557" s="101">
        <f>'3.8.комм услуги'!LG51</f>
        <v>94.25556066</v>
      </c>
      <c r="F557" s="102">
        <f>'3.8.комм услуги'!LI51</f>
        <v>797.4</v>
      </c>
      <c r="G557" s="102">
        <f t="shared" ref="G557:G564" si="56">F557</f>
        <v>797.4</v>
      </c>
      <c r="H557" s="102">
        <f t="shared" ref="H557:H564" si="57">F557</f>
        <v>797.4</v>
      </c>
      <c r="I557" s="1318" t="s">
        <v>884</v>
      </c>
      <c r="J557" s="1319"/>
      <c r="K557" s="160"/>
    </row>
    <row r="558" spans="1:11" ht="72" hidden="1" x14ac:dyDescent="0.25">
      <c r="A558" s="92" t="s">
        <v>610</v>
      </c>
      <c r="B558" s="174"/>
      <c r="C558" s="5"/>
      <c r="D558" s="12" t="s">
        <v>33</v>
      </c>
      <c r="E558" s="101">
        <f>'3.8.комм услуги'!LG52</f>
        <v>0</v>
      </c>
      <c r="F558" s="102">
        <f>'3.8.комм услуги'!LI52</f>
        <v>0</v>
      </c>
      <c r="G558" s="102">
        <f t="shared" si="56"/>
        <v>0</v>
      </c>
      <c r="H558" s="102">
        <f t="shared" si="57"/>
        <v>0</v>
      </c>
      <c r="I558" s="1318" t="s">
        <v>884</v>
      </c>
      <c r="J558" s="1319"/>
      <c r="K558" s="160"/>
    </row>
    <row r="559" spans="1:11" ht="48" x14ac:dyDescent="0.25">
      <c r="A559" s="12" t="s">
        <v>625</v>
      </c>
      <c r="B559" s="174" t="s">
        <v>605</v>
      </c>
      <c r="C559" s="5"/>
      <c r="D559" s="12" t="s">
        <v>33</v>
      </c>
      <c r="E559" s="101">
        <f>'3.8.комм услуги'!LG53</f>
        <v>94.248425929999996</v>
      </c>
      <c r="F559" s="102">
        <f>'3.8.комм услуги'!LI53</f>
        <v>797.34</v>
      </c>
      <c r="G559" s="102">
        <f t="shared" si="56"/>
        <v>797.34</v>
      </c>
      <c r="H559" s="102">
        <f t="shared" si="57"/>
        <v>797.34</v>
      </c>
      <c r="I559" s="1318" t="s">
        <v>884</v>
      </c>
      <c r="J559" s="1319"/>
      <c r="K559" s="160"/>
    </row>
    <row r="560" spans="1:11" ht="60" hidden="1" x14ac:dyDescent="0.25">
      <c r="A560" s="92" t="s">
        <v>639</v>
      </c>
      <c r="B560" s="174"/>
      <c r="C560" s="5"/>
      <c r="D560" s="12" t="s">
        <v>33</v>
      </c>
      <c r="E560" s="101">
        <f>'3.8.комм услуги'!LG54</f>
        <v>0</v>
      </c>
      <c r="F560" s="102">
        <f>'3.8.комм услуги'!LI54</f>
        <v>0</v>
      </c>
      <c r="G560" s="102">
        <f t="shared" si="56"/>
        <v>0</v>
      </c>
      <c r="H560" s="102">
        <f t="shared" si="57"/>
        <v>0</v>
      </c>
      <c r="I560" s="1318" t="s">
        <v>884</v>
      </c>
      <c r="J560" s="1319"/>
      <c r="K560" s="160"/>
    </row>
    <row r="561" spans="1:11" ht="24" x14ac:dyDescent="0.25">
      <c r="A561" s="12" t="s">
        <v>626</v>
      </c>
      <c r="B561" s="174" t="s">
        <v>606</v>
      </c>
      <c r="C561" s="5"/>
      <c r="D561" s="12" t="s">
        <v>33</v>
      </c>
      <c r="E561" s="101">
        <f>'3.8.комм услуги'!LG55</f>
        <v>94.360289859999995</v>
      </c>
      <c r="F561" s="102">
        <f>'3.8.комм услуги'!LI55</f>
        <v>798.29</v>
      </c>
      <c r="G561" s="102">
        <f t="shared" si="56"/>
        <v>798.29</v>
      </c>
      <c r="H561" s="102">
        <f t="shared" si="57"/>
        <v>798.29</v>
      </c>
      <c r="I561" s="1318" t="s">
        <v>884</v>
      </c>
      <c r="J561" s="1319"/>
      <c r="K561" s="160"/>
    </row>
    <row r="562" spans="1:11" ht="36" x14ac:dyDescent="0.25">
      <c r="A562" s="12" t="s">
        <v>627</v>
      </c>
      <c r="B562" s="174" t="s">
        <v>607</v>
      </c>
      <c r="C562" s="5"/>
      <c r="D562" s="12" t="s">
        <v>33</v>
      </c>
      <c r="E562" s="101">
        <f>'3.8.комм услуги'!LG56</f>
        <v>94.378888889999999</v>
      </c>
      <c r="F562" s="102">
        <f>'3.8.комм услуги'!LI56</f>
        <v>798.45</v>
      </c>
      <c r="G562" s="102">
        <f t="shared" si="56"/>
        <v>798.45</v>
      </c>
      <c r="H562" s="102">
        <f t="shared" si="57"/>
        <v>798.45</v>
      </c>
      <c r="I562" s="1318" t="s">
        <v>884</v>
      </c>
      <c r="J562" s="1319"/>
      <c r="K562" s="160"/>
    </row>
    <row r="563" spans="1:11" x14ac:dyDescent="0.25">
      <c r="A563" s="174" t="s">
        <v>608</v>
      </c>
      <c r="B563" s="174" t="s">
        <v>979</v>
      </c>
      <c r="C563" s="5"/>
      <c r="D563" s="12" t="s">
        <v>33</v>
      </c>
      <c r="E563" s="101">
        <f>'3.8.комм услуги'!LG57</f>
        <v>94.278403359999999</v>
      </c>
      <c r="F563" s="102">
        <f>'3.8.комм услуги'!LI57</f>
        <v>797.6</v>
      </c>
      <c r="G563" s="102">
        <f t="shared" si="56"/>
        <v>797.6</v>
      </c>
      <c r="H563" s="102">
        <f t="shared" si="57"/>
        <v>797.6</v>
      </c>
      <c r="I563" s="1318" t="s">
        <v>884</v>
      </c>
      <c r="J563" s="1319"/>
      <c r="K563" s="160"/>
    </row>
    <row r="564" spans="1:11" x14ac:dyDescent="0.25">
      <c r="A564" s="174" t="s">
        <v>611</v>
      </c>
      <c r="B564" s="174" t="s">
        <v>2233</v>
      </c>
      <c r="C564" s="5"/>
      <c r="D564" s="12" t="s">
        <v>33</v>
      </c>
      <c r="E564" s="101">
        <f>'3.8.комм услуги'!LG58</f>
        <v>96.855999999999995</v>
      </c>
      <c r="F564" s="102">
        <f>'3.8.комм услуги'!LI58</f>
        <v>819.4</v>
      </c>
      <c r="G564" s="102">
        <f t="shared" si="56"/>
        <v>819.4</v>
      </c>
      <c r="H564" s="102">
        <f t="shared" si="57"/>
        <v>819.4</v>
      </c>
      <c r="I564" s="1318" t="s">
        <v>884</v>
      </c>
      <c r="J564" s="1319"/>
      <c r="K564" s="160"/>
    </row>
    <row r="565" spans="1:11" ht="36" x14ac:dyDescent="0.25">
      <c r="A565" s="96" t="s">
        <v>620</v>
      </c>
      <c r="B565" s="181"/>
      <c r="C565" s="6"/>
      <c r="D565" s="16"/>
      <c r="E565" s="7"/>
      <c r="F565" s="95"/>
      <c r="G565" s="95"/>
      <c r="H565" s="95"/>
      <c r="I565" s="99"/>
      <c r="J565" s="100"/>
      <c r="K565" s="161" t="s">
        <v>856</v>
      </c>
    </row>
    <row r="566" spans="1:11" x14ac:dyDescent="0.25">
      <c r="A566" s="12" t="s">
        <v>609</v>
      </c>
      <c r="B566" s="174" t="s">
        <v>621</v>
      </c>
      <c r="C566" s="5"/>
      <c r="D566" s="12" t="s">
        <v>33</v>
      </c>
      <c r="E566" s="101">
        <f>'3.8.комм услуги'!LG60</f>
        <v>94.255926419999994</v>
      </c>
      <c r="F566" s="102">
        <f>'3.8.комм услуги'!LI60</f>
        <v>797.41</v>
      </c>
      <c r="G566" s="102">
        <f t="shared" ref="G566:G573" si="58">F566</f>
        <v>797.41</v>
      </c>
      <c r="H566" s="102">
        <f t="shared" ref="H566:H573" si="59">F566</f>
        <v>797.41</v>
      </c>
      <c r="I566" s="1318" t="s">
        <v>884</v>
      </c>
      <c r="J566" s="1319"/>
      <c r="K566" s="160"/>
    </row>
    <row r="567" spans="1:11" ht="72" hidden="1" x14ac:dyDescent="0.25">
      <c r="A567" s="92" t="s">
        <v>610</v>
      </c>
      <c r="B567" s="174"/>
      <c r="C567" s="5"/>
      <c r="D567" s="12" t="s">
        <v>33</v>
      </c>
      <c r="E567" s="101">
        <f>'3.8.комм услуги'!LG61</f>
        <v>0</v>
      </c>
      <c r="F567" s="102">
        <f>'3.8.комм услуги'!LI61</f>
        <v>0</v>
      </c>
      <c r="G567" s="102">
        <f t="shared" si="58"/>
        <v>0</v>
      </c>
      <c r="H567" s="102">
        <f t="shared" si="59"/>
        <v>0</v>
      </c>
      <c r="I567" s="1318" t="s">
        <v>884</v>
      </c>
      <c r="J567" s="1319"/>
      <c r="K567" s="160"/>
    </row>
    <row r="568" spans="1:11" ht="48" hidden="1" x14ac:dyDescent="0.25">
      <c r="A568" s="92" t="s">
        <v>625</v>
      </c>
      <c r="B568" s="174"/>
      <c r="C568" s="5"/>
      <c r="D568" s="12" t="s">
        <v>33</v>
      </c>
      <c r="E568" s="101">
        <f>'3.8.комм услуги'!LG62</f>
        <v>0</v>
      </c>
      <c r="F568" s="102">
        <f>'3.8.комм услуги'!LI62</f>
        <v>0</v>
      </c>
      <c r="G568" s="102">
        <f t="shared" si="58"/>
        <v>0</v>
      </c>
      <c r="H568" s="102">
        <f t="shared" si="59"/>
        <v>0</v>
      </c>
      <c r="I568" s="1318" t="s">
        <v>884</v>
      </c>
      <c r="J568" s="1319"/>
      <c r="K568" s="160"/>
    </row>
    <row r="569" spans="1:11" ht="60" hidden="1" x14ac:dyDescent="0.25">
      <c r="A569" s="92" t="s">
        <v>639</v>
      </c>
      <c r="B569" s="174"/>
      <c r="C569" s="5"/>
      <c r="D569" s="12" t="s">
        <v>33</v>
      </c>
      <c r="E569" s="101">
        <f>'3.8.комм услуги'!LG63</f>
        <v>0</v>
      </c>
      <c r="F569" s="102">
        <f>'3.8.комм услуги'!LI63</f>
        <v>0</v>
      </c>
      <c r="G569" s="102">
        <f t="shared" si="58"/>
        <v>0</v>
      </c>
      <c r="H569" s="102">
        <f t="shared" si="59"/>
        <v>0</v>
      </c>
      <c r="I569" s="1318" t="s">
        <v>884</v>
      </c>
      <c r="J569" s="1319"/>
      <c r="K569" s="160"/>
    </row>
    <row r="570" spans="1:11" ht="24" x14ac:dyDescent="0.25">
      <c r="A570" s="12" t="s">
        <v>626</v>
      </c>
      <c r="B570" s="174" t="s">
        <v>980</v>
      </c>
      <c r="C570" s="5"/>
      <c r="D570" s="12" t="s">
        <v>33</v>
      </c>
      <c r="E570" s="101">
        <f>'3.8.комм услуги'!LG64</f>
        <v>94.165000000000006</v>
      </c>
      <c r="F570" s="102">
        <f>'3.8.комм услуги'!LI64</f>
        <v>796.64</v>
      </c>
      <c r="G570" s="102">
        <f t="shared" si="58"/>
        <v>796.64</v>
      </c>
      <c r="H570" s="102">
        <f t="shared" si="59"/>
        <v>796.64</v>
      </c>
      <c r="I570" s="1318" t="s">
        <v>884</v>
      </c>
      <c r="J570" s="1319"/>
      <c r="K570" s="160"/>
    </row>
    <row r="571" spans="1:11" ht="36" x14ac:dyDescent="0.25">
      <c r="A571" s="12" t="s">
        <v>627</v>
      </c>
      <c r="B571" s="174" t="s">
        <v>622</v>
      </c>
      <c r="C571" s="5"/>
      <c r="D571" s="12" t="s">
        <v>33</v>
      </c>
      <c r="E571" s="101">
        <f>'3.8.комм услуги'!LG65</f>
        <v>107.62</v>
      </c>
      <c r="F571" s="102">
        <f>'3.8.комм услуги'!LI65</f>
        <v>910.47</v>
      </c>
      <c r="G571" s="102">
        <f t="shared" si="58"/>
        <v>910.47</v>
      </c>
      <c r="H571" s="102">
        <f t="shared" si="59"/>
        <v>910.47</v>
      </c>
      <c r="I571" s="1318" t="s">
        <v>884</v>
      </c>
      <c r="J571" s="1319"/>
      <c r="K571" s="160"/>
    </row>
    <row r="572" spans="1:11" x14ac:dyDescent="0.25">
      <c r="A572" s="174" t="s">
        <v>608</v>
      </c>
      <c r="B572" s="174" t="s">
        <v>623</v>
      </c>
      <c r="C572" s="5"/>
      <c r="D572" s="12" t="s">
        <v>33</v>
      </c>
      <c r="E572" s="101">
        <f>'3.8.комм услуги'!LG66</f>
        <v>94.493414630000004</v>
      </c>
      <c r="F572" s="102">
        <f>'3.8.комм услуги'!LI66</f>
        <v>799.41</v>
      </c>
      <c r="G572" s="102">
        <f t="shared" si="58"/>
        <v>799.41</v>
      </c>
      <c r="H572" s="102">
        <f t="shared" si="59"/>
        <v>799.41</v>
      </c>
      <c r="I572" s="1318" t="s">
        <v>884</v>
      </c>
      <c r="J572" s="1319"/>
      <c r="K572" s="160"/>
    </row>
    <row r="573" spans="1:11" hidden="1" x14ac:dyDescent="0.25">
      <c r="A573" s="92" t="s">
        <v>611</v>
      </c>
      <c r="B573" s="174"/>
      <c r="C573" s="5"/>
      <c r="D573" s="12" t="s">
        <v>33</v>
      </c>
      <c r="E573" s="101">
        <f>'3.8.комм услуги'!LG67</f>
        <v>0</v>
      </c>
      <c r="F573" s="102">
        <f>'3.8.комм услуги'!LI67</f>
        <v>0</v>
      </c>
      <c r="G573" s="102">
        <f t="shared" si="58"/>
        <v>0</v>
      </c>
      <c r="H573" s="102">
        <f t="shared" si="59"/>
        <v>0</v>
      </c>
      <c r="I573" s="1318" t="s">
        <v>884</v>
      </c>
      <c r="J573" s="1319"/>
      <c r="K573" s="160"/>
    </row>
    <row r="574" spans="1:11" ht="24" hidden="1" x14ac:dyDescent="0.25">
      <c r="A574" s="96" t="s">
        <v>601</v>
      </c>
      <c r="B574" s="181"/>
      <c r="C574" s="6"/>
      <c r="D574" s="16"/>
      <c r="E574" s="7"/>
      <c r="F574" s="95"/>
      <c r="G574" s="95"/>
      <c r="H574" s="95"/>
      <c r="I574" s="99"/>
      <c r="J574" s="100"/>
      <c r="K574" s="161" t="s">
        <v>856</v>
      </c>
    </row>
    <row r="575" spans="1:11" ht="15" hidden="1" customHeight="1" x14ac:dyDescent="0.25">
      <c r="A575" s="12" t="s">
        <v>456</v>
      </c>
      <c r="B575" s="174" t="s">
        <v>648</v>
      </c>
      <c r="C575" s="5"/>
      <c r="D575" s="12" t="s">
        <v>881</v>
      </c>
      <c r="E575" s="13" t="s">
        <v>442</v>
      </c>
      <c r="F575" s="102">
        <v>0</v>
      </c>
      <c r="G575" s="102">
        <v>0</v>
      </c>
      <c r="H575" s="102">
        <v>0</v>
      </c>
      <c r="I575" s="1318"/>
      <c r="J575" s="1319"/>
      <c r="K575" s="160"/>
    </row>
    <row r="576" spans="1:11" ht="15" hidden="1" customHeight="1" x14ac:dyDescent="0.25">
      <c r="A576" s="12" t="s">
        <v>457</v>
      </c>
      <c r="B576" s="174" t="s">
        <v>649</v>
      </c>
      <c r="C576" s="5"/>
      <c r="D576" s="12" t="s">
        <v>881</v>
      </c>
      <c r="E576" s="13" t="s">
        <v>442</v>
      </c>
      <c r="F576" s="102">
        <v>0</v>
      </c>
      <c r="G576" s="102">
        <v>0</v>
      </c>
      <c r="H576" s="102">
        <v>0</v>
      </c>
      <c r="I576" s="1318"/>
      <c r="J576" s="1319"/>
      <c r="K576" s="160"/>
    </row>
    <row r="577" spans="1:11" ht="15" hidden="1" customHeight="1" x14ac:dyDescent="0.25">
      <c r="A577" s="12" t="s">
        <v>471</v>
      </c>
      <c r="B577" s="174" t="s">
        <v>650</v>
      </c>
      <c r="C577" s="5"/>
      <c r="D577" s="12" t="s">
        <v>881</v>
      </c>
      <c r="E577" s="13" t="s">
        <v>442</v>
      </c>
      <c r="F577" s="102">
        <v>0</v>
      </c>
      <c r="G577" s="102">
        <v>0</v>
      </c>
      <c r="H577" s="102">
        <v>0</v>
      </c>
      <c r="I577" s="1318"/>
      <c r="J577" s="1319"/>
      <c r="K577" s="160"/>
    </row>
    <row r="578" spans="1:11" ht="15" hidden="1" customHeight="1" x14ac:dyDescent="0.25">
      <c r="A578" s="12" t="s">
        <v>458</v>
      </c>
      <c r="B578" s="174" t="s">
        <v>651</v>
      </c>
      <c r="C578" s="5"/>
      <c r="D578" s="12" t="s">
        <v>881</v>
      </c>
      <c r="E578" s="13" t="s">
        <v>442</v>
      </c>
      <c r="F578" s="102">
        <v>0</v>
      </c>
      <c r="G578" s="102">
        <v>0</v>
      </c>
      <c r="H578" s="102">
        <v>0</v>
      </c>
      <c r="I578" s="1318"/>
      <c r="J578" s="1319"/>
      <c r="K578" s="160"/>
    </row>
    <row r="579" spans="1:11" ht="15" hidden="1" customHeight="1" x14ac:dyDescent="0.25">
      <c r="A579" s="12" t="s">
        <v>459</v>
      </c>
      <c r="B579" s="174" t="s">
        <v>652</v>
      </c>
      <c r="C579" s="5"/>
      <c r="D579" s="12" t="s">
        <v>881</v>
      </c>
      <c r="E579" s="13" t="s">
        <v>442</v>
      </c>
      <c r="F579" s="102">
        <v>0</v>
      </c>
      <c r="G579" s="102">
        <v>0</v>
      </c>
      <c r="H579" s="102">
        <v>0</v>
      </c>
      <c r="I579" s="1318"/>
      <c r="J579" s="1319"/>
      <c r="K579" s="160"/>
    </row>
    <row r="580" spans="1:11" ht="15" hidden="1" customHeight="1" x14ac:dyDescent="0.25">
      <c r="A580" s="12" t="s">
        <v>460</v>
      </c>
      <c r="B580" s="174" t="s">
        <v>653</v>
      </c>
      <c r="C580" s="5"/>
      <c r="D580" s="12" t="s">
        <v>881</v>
      </c>
      <c r="E580" s="13" t="s">
        <v>442</v>
      </c>
      <c r="F580" s="102">
        <v>0</v>
      </c>
      <c r="G580" s="102">
        <v>0</v>
      </c>
      <c r="H580" s="102">
        <v>0</v>
      </c>
      <c r="I580" s="1318"/>
      <c r="J580" s="1319"/>
      <c r="K580" s="160"/>
    </row>
    <row r="581" spans="1:11" ht="20.25" customHeight="1" x14ac:dyDescent="0.25">
      <c r="A581" s="7"/>
      <c r="B581" s="181"/>
      <c r="C581" s="6" t="s">
        <v>41</v>
      </c>
      <c r="D581" s="16" t="s">
        <v>42</v>
      </c>
      <c r="E581" s="7"/>
      <c r="F581" s="95"/>
      <c r="G581" s="95"/>
      <c r="H581" s="95"/>
      <c r="I581" s="99"/>
      <c r="J581" s="100"/>
      <c r="K581" s="161"/>
    </row>
    <row r="582" spans="1:11" ht="48.75" hidden="1" customHeight="1" x14ac:dyDescent="0.25">
      <c r="A582" s="96" t="s">
        <v>426</v>
      </c>
      <c r="B582" s="181"/>
      <c r="C582" s="6"/>
      <c r="D582" s="16"/>
      <c r="E582" s="7"/>
      <c r="F582" s="95"/>
      <c r="G582" s="95"/>
      <c r="H582" s="95"/>
      <c r="I582" s="99"/>
      <c r="J582" s="100"/>
      <c r="K582" s="161" t="s">
        <v>857</v>
      </c>
    </row>
    <row r="583" spans="1:11" ht="15" hidden="1" customHeight="1" x14ac:dyDescent="0.25">
      <c r="A583" s="174" t="s">
        <v>421</v>
      </c>
      <c r="B583" s="174" t="s">
        <v>427</v>
      </c>
      <c r="C583" s="5"/>
      <c r="D583" s="12" t="s">
        <v>881</v>
      </c>
      <c r="E583" s="13" t="s">
        <v>442</v>
      </c>
      <c r="F583" s="102">
        <v>0</v>
      </c>
      <c r="G583" s="102">
        <v>0</v>
      </c>
      <c r="H583" s="102">
        <v>0</v>
      </c>
      <c r="I583" s="1318"/>
      <c r="J583" s="1319"/>
      <c r="K583" s="160"/>
    </row>
    <row r="584" spans="1:11" ht="15" hidden="1" customHeight="1" x14ac:dyDescent="0.25">
      <c r="A584" s="174" t="s">
        <v>413</v>
      </c>
      <c r="B584" s="174" t="s">
        <v>430</v>
      </c>
      <c r="C584" s="5"/>
      <c r="D584" s="12" t="s">
        <v>881</v>
      </c>
      <c r="E584" s="13" t="s">
        <v>442</v>
      </c>
      <c r="F584" s="102">
        <v>0</v>
      </c>
      <c r="G584" s="102">
        <v>0</v>
      </c>
      <c r="H584" s="102">
        <v>0</v>
      </c>
      <c r="I584" s="1318"/>
      <c r="J584" s="1319"/>
      <c r="K584" s="160"/>
    </row>
    <row r="585" spans="1:11" ht="15" hidden="1" customHeight="1" x14ac:dyDescent="0.25">
      <c r="A585" s="174" t="s">
        <v>700</v>
      </c>
      <c r="B585" s="174" t="s">
        <v>427</v>
      </c>
      <c r="C585" s="5"/>
      <c r="D585" s="12" t="s">
        <v>881</v>
      </c>
      <c r="E585" s="13" t="s">
        <v>442</v>
      </c>
      <c r="F585" s="102">
        <v>0</v>
      </c>
      <c r="G585" s="102">
        <v>0</v>
      </c>
      <c r="H585" s="102">
        <v>0</v>
      </c>
      <c r="I585" s="1318"/>
      <c r="J585" s="1319"/>
      <c r="K585" s="160"/>
    </row>
    <row r="586" spans="1:11" ht="30" hidden="1" customHeight="1" x14ac:dyDescent="0.25">
      <c r="A586" s="174" t="s">
        <v>414</v>
      </c>
      <c r="B586" s="174" t="s">
        <v>430</v>
      </c>
      <c r="C586" s="5"/>
      <c r="D586" s="12" t="s">
        <v>881</v>
      </c>
      <c r="E586" s="13" t="s">
        <v>442</v>
      </c>
      <c r="F586" s="102">
        <v>0</v>
      </c>
      <c r="G586" s="102">
        <v>0</v>
      </c>
      <c r="H586" s="102">
        <v>0</v>
      </c>
      <c r="I586" s="1318"/>
      <c r="J586" s="1319"/>
      <c r="K586" s="160"/>
    </row>
    <row r="587" spans="1:11" ht="15" hidden="1" customHeight="1" x14ac:dyDescent="0.25">
      <c r="A587" s="174" t="s">
        <v>415</v>
      </c>
      <c r="B587" s="174" t="s">
        <v>430</v>
      </c>
      <c r="C587" s="5"/>
      <c r="D587" s="12" t="s">
        <v>881</v>
      </c>
      <c r="E587" s="13" t="s">
        <v>442</v>
      </c>
      <c r="F587" s="102">
        <v>0</v>
      </c>
      <c r="G587" s="102">
        <v>0</v>
      </c>
      <c r="H587" s="102">
        <v>0</v>
      </c>
      <c r="I587" s="1318"/>
      <c r="J587" s="1319"/>
      <c r="K587" s="160"/>
    </row>
    <row r="588" spans="1:11" ht="15" hidden="1" customHeight="1" x14ac:dyDescent="0.25">
      <c r="A588" s="92" t="s">
        <v>416</v>
      </c>
      <c r="B588" s="174" t="s">
        <v>429</v>
      </c>
      <c r="C588" s="5"/>
      <c r="D588" s="12" t="s">
        <v>881</v>
      </c>
      <c r="E588" s="13" t="s">
        <v>442</v>
      </c>
      <c r="F588" s="102">
        <v>0</v>
      </c>
      <c r="G588" s="102">
        <v>0</v>
      </c>
      <c r="H588" s="102">
        <v>0</v>
      </c>
      <c r="I588" s="1318"/>
      <c r="J588" s="1319"/>
      <c r="K588" s="160"/>
    </row>
    <row r="589" spans="1:11" ht="15" hidden="1" customHeight="1" x14ac:dyDescent="0.25">
      <c r="A589" s="98" t="s">
        <v>417</v>
      </c>
      <c r="B589" s="174" t="s">
        <v>429</v>
      </c>
      <c r="C589" s="5"/>
      <c r="D589" s="12" t="s">
        <v>881</v>
      </c>
      <c r="E589" s="13" t="s">
        <v>442</v>
      </c>
      <c r="F589" s="102">
        <v>0</v>
      </c>
      <c r="G589" s="102">
        <v>0</v>
      </c>
      <c r="H589" s="102">
        <v>0</v>
      </c>
      <c r="I589" s="1318"/>
      <c r="J589" s="1319"/>
      <c r="K589" s="160"/>
    </row>
    <row r="590" spans="1:11" ht="15" hidden="1" customHeight="1" x14ac:dyDescent="0.25">
      <c r="A590" s="98" t="s">
        <v>422</v>
      </c>
      <c r="B590" s="174" t="s">
        <v>428</v>
      </c>
      <c r="C590" s="5"/>
      <c r="D590" s="12" t="s">
        <v>881</v>
      </c>
      <c r="E590" s="13" t="s">
        <v>442</v>
      </c>
      <c r="F590" s="102">
        <v>0</v>
      </c>
      <c r="G590" s="102">
        <v>0</v>
      </c>
      <c r="H590" s="102">
        <v>0</v>
      </c>
      <c r="I590" s="1318"/>
      <c r="J590" s="1319"/>
      <c r="K590" s="160"/>
    </row>
    <row r="591" spans="1:11" ht="15" hidden="1" customHeight="1" x14ac:dyDescent="0.25">
      <c r="A591" s="98" t="s">
        <v>418</v>
      </c>
      <c r="B591" s="174" t="s">
        <v>429</v>
      </c>
      <c r="C591" s="5"/>
      <c r="D591" s="12" t="s">
        <v>881</v>
      </c>
      <c r="E591" s="13" t="s">
        <v>442</v>
      </c>
      <c r="F591" s="102">
        <v>0</v>
      </c>
      <c r="G591" s="102">
        <v>0</v>
      </c>
      <c r="H591" s="102">
        <v>0</v>
      </c>
      <c r="I591" s="1318"/>
      <c r="J591" s="1319"/>
      <c r="K591" s="160"/>
    </row>
    <row r="592" spans="1:11" ht="15" hidden="1" customHeight="1" x14ac:dyDescent="0.25">
      <c r="A592" s="92" t="s">
        <v>423</v>
      </c>
      <c r="B592" s="174" t="s">
        <v>427</v>
      </c>
      <c r="C592" s="5"/>
      <c r="D592" s="12" t="s">
        <v>881</v>
      </c>
      <c r="E592" s="13" t="s">
        <v>442</v>
      </c>
      <c r="F592" s="102">
        <v>0</v>
      </c>
      <c r="G592" s="102">
        <v>0</v>
      </c>
      <c r="H592" s="102">
        <v>0</v>
      </c>
      <c r="I592" s="1318"/>
      <c r="J592" s="1319"/>
      <c r="K592" s="160"/>
    </row>
    <row r="593" spans="1:11" ht="15" hidden="1" customHeight="1" x14ac:dyDescent="0.25">
      <c r="A593" s="174" t="s">
        <v>419</v>
      </c>
      <c r="B593" s="174" t="s">
        <v>430</v>
      </c>
      <c r="C593" s="5"/>
      <c r="D593" s="12" t="s">
        <v>881</v>
      </c>
      <c r="E593" s="13" t="s">
        <v>442</v>
      </c>
      <c r="F593" s="102">
        <v>0</v>
      </c>
      <c r="G593" s="102">
        <v>0</v>
      </c>
      <c r="H593" s="102">
        <v>0</v>
      </c>
      <c r="I593" s="1318"/>
      <c r="J593" s="1319"/>
      <c r="K593" s="160"/>
    </row>
    <row r="594" spans="1:11" ht="15" hidden="1" customHeight="1" x14ac:dyDescent="0.25">
      <c r="A594" s="92" t="s">
        <v>424</v>
      </c>
      <c r="B594" s="174" t="s">
        <v>427</v>
      </c>
      <c r="C594" s="5"/>
      <c r="D594" s="12" t="s">
        <v>881</v>
      </c>
      <c r="E594" s="13" t="s">
        <v>442</v>
      </c>
      <c r="F594" s="102">
        <v>0</v>
      </c>
      <c r="G594" s="102">
        <v>0</v>
      </c>
      <c r="H594" s="102">
        <v>0</v>
      </c>
      <c r="I594" s="1318"/>
      <c r="J594" s="1319"/>
      <c r="K594" s="160"/>
    </row>
    <row r="595" spans="1:11" ht="15" hidden="1" customHeight="1" x14ac:dyDescent="0.25">
      <c r="A595" s="174" t="s">
        <v>420</v>
      </c>
      <c r="B595" s="174" t="s">
        <v>430</v>
      </c>
      <c r="C595" s="5"/>
      <c r="D595" s="12" t="s">
        <v>881</v>
      </c>
      <c r="E595" s="13" t="s">
        <v>442</v>
      </c>
      <c r="F595" s="102">
        <v>0</v>
      </c>
      <c r="G595" s="102">
        <v>0</v>
      </c>
      <c r="H595" s="102">
        <v>0</v>
      </c>
      <c r="I595" s="1318"/>
      <c r="J595" s="1319"/>
      <c r="K595" s="160"/>
    </row>
    <row r="596" spans="1:11" ht="15" hidden="1" customHeight="1" x14ac:dyDescent="0.25">
      <c r="A596" s="340"/>
      <c r="B596" s="174"/>
      <c r="C596" s="5"/>
      <c r="D596" s="12" t="s">
        <v>881</v>
      </c>
      <c r="E596" s="13" t="s">
        <v>442</v>
      </c>
      <c r="F596" s="102">
        <v>0</v>
      </c>
      <c r="G596" s="102">
        <v>0</v>
      </c>
      <c r="H596" s="102">
        <v>0</v>
      </c>
      <c r="I596" s="1318"/>
      <c r="J596" s="1319"/>
      <c r="K596" s="160"/>
    </row>
    <row r="597" spans="1:11" hidden="1" x14ac:dyDescent="0.25">
      <c r="A597" s="96" t="s">
        <v>431</v>
      </c>
      <c r="B597" s="181"/>
      <c r="C597" s="6"/>
      <c r="D597" s="16"/>
      <c r="E597" s="7"/>
      <c r="F597" s="95"/>
      <c r="G597" s="95"/>
      <c r="H597" s="95"/>
      <c r="I597" s="99"/>
      <c r="J597" s="100"/>
      <c r="K597" s="161" t="s">
        <v>857</v>
      </c>
    </row>
    <row r="598" spans="1:11" ht="15" hidden="1" customHeight="1" x14ac:dyDescent="0.25">
      <c r="A598" s="12" t="s">
        <v>702</v>
      </c>
      <c r="B598" s="174" t="s">
        <v>432</v>
      </c>
      <c r="C598" s="5"/>
      <c r="D598" s="12" t="s">
        <v>881</v>
      </c>
      <c r="E598" s="13" t="s">
        <v>442</v>
      </c>
      <c r="F598" s="102">
        <v>0</v>
      </c>
      <c r="G598" s="102">
        <v>0</v>
      </c>
      <c r="H598" s="102">
        <v>0</v>
      </c>
      <c r="I598" s="1318"/>
      <c r="J598" s="1319"/>
      <c r="K598" s="160"/>
    </row>
    <row r="599" spans="1:11" ht="15" hidden="1" customHeight="1" x14ac:dyDescent="0.25">
      <c r="A599" s="12" t="s">
        <v>703</v>
      </c>
      <c r="B599" s="174" t="s">
        <v>433</v>
      </c>
      <c r="C599" s="5"/>
      <c r="D599" s="12" t="s">
        <v>881</v>
      </c>
      <c r="E599" s="13" t="s">
        <v>442</v>
      </c>
      <c r="F599" s="102">
        <v>0</v>
      </c>
      <c r="G599" s="102">
        <v>0</v>
      </c>
      <c r="H599" s="102">
        <v>0</v>
      </c>
      <c r="I599" s="1318"/>
      <c r="J599" s="1319"/>
      <c r="K599" s="160"/>
    </row>
    <row r="600" spans="1:11" ht="15" hidden="1" customHeight="1" x14ac:dyDescent="0.25">
      <c r="A600" s="12" t="s">
        <v>704</v>
      </c>
      <c r="B600" s="174" t="s">
        <v>434</v>
      </c>
      <c r="C600" s="5"/>
      <c r="D600" s="12" t="s">
        <v>881</v>
      </c>
      <c r="E600" s="13" t="s">
        <v>442</v>
      </c>
      <c r="F600" s="102">
        <v>0</v>
      </c>
      <c r="G600" s="102">
        <v>0</v>
      </c>
      <c r="H600" s="102">
        <v>0</v>
      </c>
      <c r="I600" s="1318"/>
      <c r="J600" s="1319"/>
      <c r="K600" s="160"/>
    </row>
    <row r="601" spans="1:11" s="435" customFormat="1" ht="15" hidden="1" customHeight="1" x14ac:dyDescent="0.25">
      <c r="A601" s="641" t="s">
        <v>1407</v>
      </c>
      <c r="B601" s="174" t="s">
        <v>435</v>
      </c>
      <c r="C601" s="5"/>
      <c r="D601" s="12" t="s">
        <v>881</v>
      </c>
      <c r="E601" s="13" t="s">
        <v>442</v>
      </c>
      <c r="F601" s="102">
        <v>0</v>
      </c>
      <c r="G601" s="102">
        <v>0</v>
      </c>
      <c r="H601" s="102">
        <v>0</v>
      </c>
      <c r="I601" s="1318"/>
      <c r="J601" s="1319"/>
      <c r="K601" s="160"/>
    </row>
    <row r="602" spans="1:11" ht="15" hidden="1" customHeight="1" x14ac:dyDescent="0.25">
      <c r="A602" s="12" t="s">
        <v>948</v>
      </c>
      <c r="B602" s="174" t="s">
        <v>435</v>
      </c>
      <c r="C602" s="5"/>
      <c r="D602" s="12" t="s">
        <v>881</v>
      </c>
      <c r="E602" s="13" t="s">
        <v>442</v>
      </c>
      <c r="F602" s="102">
        <v>0</v>
      </c>
      <c r="G602" s="102">
        <v>0</v>
      </c>
      <c r="H602" s="102">
        <v>0</v>
      </c>
      <c r="I602" s="1318"/>
      <c r="J602" s="1319"/>
      <c r="K602" s="160"/>
    </row>
    <row r="603" spans="1:11" ht="15" hidden="1" customHeight="1" x14ac:dyDescent="0.25">
      <c r="A603" s="12" t="s">
        <v>705</v>
      </c>
      <c r="B603" s="174" t="s">
        <v>436</v>
      </c>
      <c r="C603" s="5"/>
      <c r="D603" s="12" t="s">
        <v>881</v>
      </c>
      <c r="E603" s="13" t="s">
        <v>442</v>
      </c>
      <c r="F603" s="102">
        <v>0</v>
      </c>
      <c r="G603" s="102">
        <v>0</v>
      </c>
      <c r="H603" s="102">
        <v>0</v>
      </c>
      <c r="I603" s="1318"/>
      <c r="J603" s="1319"/>
      <c r="K603" s="160"/>
    </row>
    <row r="604" spans="1:11" ht="15" hidden="1" customHeight="1" x14ac:dyDescent="0.25">
      <c r="A604" s="98" t="s">
        <v>706</v>
      </c>
      <c r="B604" s="174" t="s">
        <v>437</v>
      </c>
      <c r="C604" s="5"/>
      <c r="D604" s="12" t="s">
        <v>881</v>
      </c>
      <c r="E604" s="13" t="s">
        <v>442</v>
      </c>
      <c r="F604" s="102">
        <v>0</v>
      </c>
      <c r="G604" s="102">
        <v>0</v>
      </c>
      <c r="H604" s="102">
        <v>0</v>
      </c>
      <c r="I604" s="1318"/>
      <c r="J604" s="1319"/>
      <c r="K604" s="160"/>
    </row>
    <row r="605" spans="1:11" ht="15" hidden="1" customHeight="1" x14ac:dyDescent="0.25">
      <c r="A605" s="98" t="s">
        <v>707</v>
      </c>
      <c r="B605" s="174" t="s">
        <v>438</v>
      </c>
      <c r="C605" s="5"/>
      <c r="D605" s="12" t="s">
        <v>881</v>
      </c>
      <c r="E605" s="13" t="s">
        <v>442</v>
      </c>
      <c r="F605" s="102">
        <v>0</v>
      </c>
      <c r="G605" s="102">
        <v>0</v>
      </c>
      <c r="H605" s="102">
        <v>0</v>
      </c>
      <c r="I605" s="1318"/>
      <c r="J605" s="1319"/>
      <c r="K605" s="160"/>
    </row>
    <row r="606" spans="1:11" ht="15" hidden="1" customHeight="1" x14ac:dyDescent="0.25">
      <c r="A606" s="98" t="s">
        <v>708</v>
      </c>
      <c r="B606" s="174" t="s">
        <v>439</v>
      </c>
      <c r="C606" s="5"/>
      <c r="D606" s="12" t="s">
        <v>881</v>
      </c>
      <c r="E606" s="13" t="s">
        <v>442</v>
      </c>
      <c r="F606" s="102">
        <v>0</v>
      </c>
      <c r="G606" s="102">
        <v>0</v>
      </c>
      <c r="H606" s="102">
        <v>0</v>
      </c>
      <c r="I606" s="1318"/>
      <c r="J606" s="1319"/>
      <c r="K606" s="160"/>
    </row>
    <row r="607" spans="1:11" s="435" customFormat="1" ht="15" hidden="1" customHeight="1" x14ac:dyDescent="0.25">
      <c r="A607" s="643" t="s">
        <v>1409</v>
      </c>
      <c r="B607" s="174" t="s">
        <v>440</v>
      </c>
      <c r="C607" s="5"/>
      <c r="D607" s="12" t="s">
        <v>881</v>
      </c>
      <c r="E607" s="13" t="s">
        <v>442</v>
      </c>
      <c r="F607" s="102">
        <v>0</v>
      </c>
      <c r="G607" s="102">
        <v>0</v>
      </c>
      <c r="H607" s="102">
        <v>0</v>
      </c>
      <c r="I607" s="1318"/>
      <c r="J607" s="1319"/>
      <c r="K607" s="160"/>
    </row>
    <row r="608" spans="1:11" ht="15" hidden="1" customHeight="1" x14ac:dyDescent="0.25">
      <c r="A608" s="98" t="s">
        <v>949</v>
      </c>
      <c r="B608" s="174" t="s">
        <v>440</v>
      </c>
      <c r="C608" s="5"/>
      <c r="D608" s="12" t="s">
        <v>881</v>
      </c>
      <c r="E608" s="13" t="s">
        <v>442</v>
      </c>
      <c r="F608" s="102">
        <v>0</v>
      </c>
      <c r="G608" s="102">
        <v>0</v>
      </c>
      <c r="H608" s="102">
        <v>0</v>
      </c>
      <c r="I608" s="1318"/>
      <c r="J608" s="1319"/>
      <c r="K608" s="160"/>
    </row>
    <row r="609" spans="1:11" ht="15" hidden="1" customHeight="1" x14ac:dyDescent="0.25">
      <c r="A609" s="98" t="s">
        <v>709</v>
      </c>
      <c r="B609" s="174" t="s">
        <v>441</v>
      </c>
      <c r="C609" s="5"/>
      <c r="D609" s="12" t="s">
        <v>881</v>
      </c>
      <c r="E609" s="13" t="s">
        <v>442</v>
      </c>
      <c r="F609" s="102">
        <v>0</v>
      </c>
      <c r="G609" s="102">
        <v>0</v>
      </c>
      <c r="H609" s="102">
        <v>0</v>
      </c>
      <c r="I609" s="1318"/>
      <c r="J609" s="1319"/>
      <c r="K609" s="160"/>
    </row>
    <row r="610" spans="1:11" ht="27" customHeight="1" x14ac:dyDescent="0.25">
      <c r="A610" s="96" t="s">
        <v>624</v>
      </c>
      <c r="B610" s="181"/>
      <c r="C610" s="6"/>
      <c r="D610" s="16"/>
      <c r="E610" s="7"/>
      <c r="F610" s="95"/>
      <c r="G610" s="95"/>
      <c r="H610" s="95"/>
      <c r="I610" s="99"/>
      <c r="J610" s="100"/>
      <c r="K610" s="161" t="s">
        <v>857</v>
      </c>
    </row>
    <row r="611" spans="1:11" x14ac:dyDescent="0.25">
      <c r="A611" s="12" t="s">
        <v>609</v>
      </c>
      <c r="B611" s="174" t="s">
        <v>617</v>
      </c>
      <c r="C611" s="5"/>
      <c r="D611" s="12" t="s">
        <v>34</v>
      </c>
      <c r="E611" s="101">
        <f>'3.8.комм услуги'!LG71</f>
        <v>0.61668044</v>
      </c>
      <c r="F611" s="102">
        <f>'3.8.комм услуги'!LI71</f>
        <v>1769.61</v>
      </c>
      <c r="G611" s="102">
        <f>F611</f>
        <v>1769.61</v>
      </c>
      <c r="H611" s="102">
        <f>F611</f>
        <v>1769.61</v>
      </c>
      <c r="I611" s="1318" t="s">
        <v>884</v>
      </c>
      <c r="J611" s="1319"/>
      <c r="K611" s="160"/>
    </row>
    <row r="612" spans="1:11" ht="72" hidden="1" x14ac:dyDescent="0.25">
      <c r="A612" s="92" t="s">
        <v>610</v>
      </c>
      <c r="B612" s="174"/>
      <c r="C612" s="5"/>
      <c r="D612" s="12" t="s">
        <v>34</v>
      </c>
      <c r="E612" s="101">
        <f>'3.8.комм услуги'!LG72</f>
        <v>0</v>
      </c>
      <c r="F612" s="102">
        <f>'3.8.комм услуги'!LI72</f>
        <v>0</v>
      </c>
      <c r="G612" s="102">
        <f t="shared" ref="G612:G618" si="60">F612</f>
        <v>0</v>
      </c>
      <c r="H612" s="102">
        <f t="shared" ref="H612:H618" si="61">F612</f>
        <v>0</v>
      </c>
      <c r="I612" s="1318" t="s">
        <v>884</v>
      </c>
      <c r="J612" s="1319"/>
      <c r="K612" s="160"/>
    </row>
    <row r="613" spans="1:11" ht="48" x14ac:dyDescent="0.25">
      <c r="A613" s="12" t="s">
        <v>625</v>
      </c>
      <c r="B613" s="174" t="s">
        <v>978</v>
      </c>
      <c r="C613" s="5"/>
      <c r="D613" s="12" t="s">
        <v>34</v>
      </c>
      <c r="E613" s="101">
        <f>'3.8.комм услуги'!LG73</f>
        <v>0.61652850000000003</v>
      </c>
      <c r="F613" s="102">
        <f>'3.8.комм услуги'!LI73</f>
        <v>1769.17</v>
      </c>
      <c r="G613" s="102">
        <f t="shared" si="60"/>
        <v>1769.17</v>
      </c>
      <c r="H613" s="102">
        <f t="shared" si="61"/>
        <v>1769.17</v>
      </c>
      <c r="I613" s="1318" t="s">
        <v>884</v>
      </c>
      <c r="J613" s="1319"/>
      <c r="K613" s="160"/>
    </row>
    <row r="614" spans="1:11" ht="24" x14ac:dyDescent="0.25">
      <c r="A614" s="12" t="s">
        <v>626</v>
      </c>
      <c r="B614" s="174" t="s">
        <v>618</v>
      </c>
      <c r="C614" s="5"/>
      <c r="D614" s="12" t="s">
        <v>34</v>
      </c>
      <c r="E614" s="101">
        <f>'3.8.комм услуги'!LG74</f>
        <v>0.61608107999999995</v>
      </c>
      <c r="F614" s="102">
        <f>'3.8.комм услуги'!LI74</f>
        <v>1767.89</v>
      </c>
      <c r="G614" s="102">
        <f t="shared" si="60"/>
        <v>1767.89</v>
      </c>
      <c r="H614" s="102">
        <f t="shared" si="61"/>
        <v>1767.89</v>
      </c>
      <c r="I614" s="1318" t="s">
        <v>884</v>
      </c>
      <c r="J614" s="1319"/>
      <c r="K614" s="160"/>
    </row>
    <row r="615" spans="1:11" ht="60" hidden="1" x14ac:dyDescent="0.25">
      <c r="A615" s="92" t="s">
        <v>639</v>
      </c>
      <c r="B615" s="174"/>
      <c r="C615" s="5"/>
      <c r="D615" s="12" t="s">
        <v>34</v>
      </c>
      <c r="E615" s="101">
        <f>'3.8.комм услуги'!LG75</f>
        <v>0</v>
      </c>
      <c r="F615" s="102">
        <f>'3.8.комм услуги'!LI75</f>
        <v>0</v>
      </c>
      <c r="G615" s="102">
        <f t="shared" si="60"/>
        <v>0</v>
      </c>
      <c r="H615" s="102">
        <f t="shared" si="61"/>
        <v>0</v>
      </c>
      <c r="I615" s="1318" t="s">
        <v>884</v>
      </c>
      <c r="J615" s="1319"/>
      <c r="K615" s="160"/>
    </row>
    <row r="616" spans="1:11" ht="36" x14ac:dyDescent="0.25">
      <c r="A616" s="12" t="s">
        <v>627</v>
      </c>
      <c r="B616" s="174" t="s">
        <v>619</v>
      </c>
      <c r="C616" s="5"/>
      <c r="D616" s="12" t="s">
        <v>34</v>
      </c>
      <c r="E616" s="101">
        <f>'3.8.комм услуги'!LG76</f>
        <v>0.61599999999999999</v>
      </c>
      <c r="F616" s="102">
        <f>'3.8.комм услуги'!LI76</f>
        <v>1767.66</v>
      </c>
      <c r="G616" s="102">
        <f t="shared" si="60"/>
        <v>1767.66</v>
      </c>
      <c r="H616" s="102">
        <f t="shared" si="61"/>
        <v>1767.66</v>
      </c>
      <c r="I616" s="1318" t="s">
        <v>884</v>
      </c>
      <c r="J616" s="1319"/>
      <c r="K616" s="160"/>
    </row>
    <row r="617" spans="1:11" hidden="1" x14ac:dyDescent="0.25">
      <c r="A617" s="92" t="s">
        <v>608</v>
      </c>
      <c r="B617" s="174"/>
      <c r="C617" s="5"/>
      <c r="D617" s="12" t="s">
        <v>34</v>
      </c>
      <c r="E617" s="101">
        <f>'3.8.комм услуги'!LG77</f>
        <v>0</v>
      </c>
      <c r="F617" s="102">
        <f>'3.8.комм услуги'!LI77</f>
        <v>0</v>
      </c>
      <c r="G617" s="102">
        <f t="shared" si="60"/>
        <v>0</v>
      </c>
      <c r="H617" s="102">
        <f t="shared" si="61"/>
        <v>0</v>
      </c>
      <c r="I617" s="1318" t="s">
        <v>884</v>
      </c>
      <c r="J617" s="1319"/>
      <c r="K617" s="160"/>
    </row>
    <row r="618" spans="1:11" hidden="1" x14ac:dyDescent="0.25">
      <c r="A618" s="92" t="s">
        <v>611</v>
      </c>
      <c r="B618" s="174"/>
      <c r="C618" s="5"/>
      <c r="D618" s="12" t="s">
        <v>34</v>
      </c>
      <c r="E618" s="101">
        <f>'3.8.комм услуги'!LG78</f>
        <v>0</v>
      </c>
      <c r="F618" s="102">
        <f>'3.8.комм услуги'!LI78</f>
        <v>0</v>
      </c>
      <c r="G618" s="102">
        <f t="shared" si="60"/>
        <v>0</v>
      </c>
      <c r="H618" s="102">
        <f t="shared" si="61"/>
        <v>0</v>
      </c>
      <c r="I618" s="1318" t="s">
        <v>884</v>
      </c>
      <c r="J618" s="1319"/>
      <c r="K618" s="160"/>
    </row>
    <row r="619" spans="1:11" ht="36" x14ac:dyDescent="0.25">
      <c r="A619" s="96" t="s">
        <v>603</v>
      </c>
      <c r="B619" s="181"/>
      <c r="C619" s="6"/>
      <c r="D619" s="16"/>
      <c r="E619" s="7"/>
      <c r="F619" s="95"/>
      <c r="G619" s="95"/>
      <c r="H619" s="95"/>
      <c r="I619" s="99"/>
      <c r="J619" s="100"/>
      <c r="K619" s="161" t="s">
        <v>857</v>
      </c>
    </row>
    <row r="620" spans="1:11" x14ac:dyDescent="0.25">
      <c r="A620" s="12" t="s">
        <v>609</v>
      </c>
      <c r="B620" s="174" t="s">
        <v>604</v>
      </c>
      <c r="C620" s="5"/>
      <c r="D620" s="12" t="s">
        <v>34</v>
      </c>
      <c r="E620" s="101">
        <f>'3.8.комм услуги'!LG80</f>
        <v>0.61668122999999997</v>
      </c>
      <c r="F620" s="102">
        <f>'3.8.комм услуги'!LI80</f>
        <v>1769.61</v>
      </c>
      <c r="G620" s="102">
        <f t="shared" ref="G620:G627" si="62">F620</f>
        <v>1769.61</v>
      </c>
      <c r="H620" s="102">
        <f t="shared" ref="H620:H627" si="63">F620</f>
        <v>1769.61</v>
      </c>
      <c r="I620" s="1318" t="s">
        <v>884</v>
      </c>
      <c r="J620" s="1319"/>
      <c r="K620" s="160"/>
    </row>
    <row r="621" spans="1:11" ht="72" hidden="1" x14ac:dyDescent="0.25">
      <c r="A621" s="92" t="s">
        <v>610</v>
      </c>
      <c r="B621" s="174"/>
      <c r="C621" s="5"/>
      <c r="D621" s="12" t="s">
        <v>34</v>
      </c>
      <c r="E621" s="101">
        <f>'3.8.комм услуги'!LG81</f>
        <v>0</v>
      </c>
      <c r="F621" s="102">
        <f>'3.8.комм услуги'!LI81</f>
        <v>0</v>
      </c>
      <c r="G621" s="102">
        <f t="shared" si="62"/>
        <v>0</v>
      </c>
      <c r="H621" s="102">
        <f t="shared" si="63"/>
        <v>0</v>
      </c>
      <c r="I621" s="1318" t="s">
        <v>884</v>
      </c>
      <c r="J621" s="1319"/>
      <c r="K621" s="160"/>
    </row>
    <row r="622" spans="1:11" ht="48" x14ac:dyDescent="0.25">
      <c r="A622" s="12" t="s">
        <v>625</v>
      </c>
      <c r="B622" s="174" t="s">
        <v>605</v>
      </c>
      <c r="C622" s="5"/>
      <c r="D622" s="12" t="s">
        <v>34</v>
      </c>
      <c r="E622" s="101">
        <f>'3.8.комм услуги'!LG82</f>
        <v>0.61663579999999996</v>
      </c>
      <c r="F622" s="102">
        <f>'3.8.комм услуги'!LI82</f>
        <v>1769.48</v>
      </c>
      <c r="G622" s="102">
        <f t="shared" si="62"/>
        <v>1769.48</v>
      </c>
      <c r="H622" s="102">
        <f t="shared" si="63"/>
        <v>1769.48</v>
      </c>
      <c r="I622" s="1318" t="s">
        <v>884</v>
      </c>
      <c r="J622" s="1319"/>
      <c r="K622" s="160"/>
    </row>
    <row r="623" spans="1:11" ht="60" hidden="1" x14ac:dyDescent="0.25">
      <c r="A623" s="92" t="s">
        <v>639</v>
      </c>
      <c r="B623" s="174"/>
      <c r="C623" s="5"/>
      <c r="D623" s="12" t="s">
        <v>34</v>
      </c>
      <c r="E623" s="101">
        <f>'3.8.комм услуги'!LG83</f>
        <v>0</v>
      </c>
      <c r="F623" s="102">
        <f>'3.8.комм услуги'!LI83</f>
        <v>0</v>
      </c>
      <c r="G623" s="102">
        <f t="shared" si="62"/>
        <v>0</v>
      </c>
      <c r="H623" s="102">
        <f t="shared" si="63"/>
        <v>0</v>
      </c>
      <c r="I623" s="1318" t="s">
        <v>884</v>
      </c>
      <c r="J623" s="1319"/>
      <c r="K623" s="160"/>
    </row>
    <row r="624" spans="1:11" ht="24" x14ac:dyDescent="0.25">
      <c r="A624" s="12" t="s">
        <v>626</v>
      </c>
      <c r="B624" s="174" t="s">
        <v>606</v>
      </c>
      <c r="C624" s="5"/>
      <c r="D624" s="12" t="s">
        <v>34</v>
      </c>
      <c r="E624" s="101">
        <f>'3.8.комм услуги'!LG84</f>
        <v>0.61739129999999998</v>
      </c>
      <c r="F624" s="102">
        <f>'3.8.комм услуги'!LI84</f>
        <v>1771.65</v>
      </c>
      <c r="G624" s="102">
        <f t="shared" si="62"/>
        <v>1771.65</v>
      </c>
      <c r="H624" s="102">
        <f t="shared" si="63"/>
        <v>1771.65</v>
      </c>
      <c r="I624" s="1318" t="s">
        <v>884</v>
      </c>
      <c r="J624" s="1319"/>
      <c r="K624" s="160"/>
    </row>
    <row r="625" spans="1:11" ht="36" x14ac:dyDescent="0.25">
      <c r="A625" s="12" t="s">
        <v>627</v>
      </c>
      <c r="B625" s="174" t="s">
        <v>607</v>
      </c>
      <c r="C625" s="5"/>
      <c r="D625" s="12" t="s">
        <v>34</v>
      </c>
      <c r="E625" s="101">
        <f>'3.8.комм услуги'!LG85</f>
        <v>0.61746031999999995</v>
      </c>
      <c r="F625" s="102">
        <f>'3.8.комм услуги'!LI85</f>
        <v>1771.85</v>
      </c>
      <c r="G625" s="102">
        <f t="shared" si="62"/>
        <v>1771.85</v>
      </c>
      <c r="H625" s="102">
        <f t="shared" si="63"/>
        <v>1771.85</v>
      </c>
      <c r="I625" s="1318" t="s">
        <v>884</v>
      </c>
      <c r="J625" s="1319"/>
      <c r="K625" s="160"/>
    </row>
    <row r="626" spans="1:11" x14ac:dyDescent="0.25">
      <c r="A626" s="174" t="s">
        <v>608</v>
      </c>
      <c r="B626" s="174" t="s">
        <v>979</v>
      </c>
      <c r="C626" s="5"/>
      <c r="D626" s="12" t="s">
        <v>34</v>
      </c>
      <c r="E626" s="101">
        <f>'3.8.комм услуги'!LG86</f>
        <v>0.61680672000000003</v>
      </c>
      <c r="F626" s="102">
        <f>'3.8.комм услуги'!LI86</f>
        <v>1769.97</v>
      </c>
      <c r="G626" s="102">
        <f t="shared" si="62"/>
        <v>1769.97</v>
      </c>
      <c r="H626" s="102">
        <f t="shared" si="63"/>
        <v>1769.97</v>
      </c>
      <c r="I626" s="1318" t="s">
        <v>884</v>
      </c>
      <c r="J626" s="1319"/>
      <c r="K626" s="160"/>
    </row>
    <row r="627" spans="1:11" x14ac:dyDescent="0.25">
      <c r="A627" s="174" t="s">
        <v>611</v>
      </c>
      <c r="B627" s="174" t="s">
        <v>2233</v>
      </c>
      <c r="C627" s="5"/>
      <c r="D627" s="12" t="s">
        <v>34</v>
      </c>
      <c r="E627" s="101">
        <f>'3.8.комм услуги'!LG87</f>
        <v>0.63400000000000001</v>
      </c>
      <c r="F627" s="102">
        <f>'3.8.комм услуги'!LI87</f>
        <v>1819.31</v>
      </c>
      <c r="G627" s="102">
        <f t="shared" si="62"/>
        <v>1819.31</v>
      </c>
      <c r="H627" s="102">
        <f t="shared" si="63"/>
        <v>1819.31</v>
      </c>
      <c r="I627" s="1318" t="s">
        <v>884</v>
      </c>
      <c r="J627" s="1319"/>
      <c r="K627" s="160"/>
    </row>
    <row r="628" spans="1:11" ht="36" x14ac:dyDescent="0.25">
      <c r="A628" s="96" t="s">
        <v>620</v>
      </c>
      <c r="B628" s="181"/>
      <c r="C628" s="6"/>
      <c r="D628" s="16"/>
      <c r="E628" s="7"/>
      <c r="F628" s="95"/>
      <c r="G628" s="95"/>
      <c r="H628" s="95"/>
      <c r="I628" s="99"/>
      <c r="J628" s="100"/>
      <c r="K628" s="161" t="s">
        <v>857</v>
      </c>
    </row>
    <row r="629" spans="1:11" x14ac:dyDescent="0.25">
      <c r="A629" s="12" t="s">
        <v>609</v>
      </c>
      <c r="B629" s="174" t="s">
        <v>621</v>
      </c>
      <c r="C629" s="5"/>
      <c r="D629" s="12" t="s">
        <v>34</v>
      </c>
      <c r="E629" s="101">
        <f>'3.8.комм услуги'!LG89</f>
        <v>0.61668460999999997</v>
      </c>
      <c r="F629" s="102">
        <f>'3.8.комм услуги'!LI89</f>
        <v>1769.62</v>
      </c>
      <c r="G629" s="102">
        <f t="shared" ref="G629:G636" si="64">F629</f>
        <v>1769.62</v>
      </c>
      <c r="H629" s="102">
        <f t="shared" ref="H629:H636" si="65">F629</f>
        <v>1769.62</v>
      </c>
      <c r="I629" s="1318" t="s">
        <v>884</v>
      </c>
      <c r="J629" s="1319"/>
      <c r="K629" s="160"/>
    </row>
    <row r="630" spans="1:11" ht="72" hidden="1" x14ac:dyDescent="0.25">
      <c r="A630" s="92" t="s">
        <v>610</v>
      </c>
      <c r="B630" s="174"/>
      <c r="C630" s="5"/>
      <c r="D630" s="12" t="s">
        <v>34</v>
      </c>
      <c r="E630" s="101">
        <f>'3.8.комм услуги'!LG90</f>
        <v>0</v>
      </c>
      <c r="F630" s="102">
        <f>'3.8.комм услуги'!LI90</f>
        <v>0</v>
      </c>
      <c r="G630" s="102">
        <f t="shared" si="64"/>
        <v>0</v>
      </c>
      <c r="H630" s="102">
        <f t="shared" si="65"/>
        <v>0</v>
      </c>
      <c r="I630" s="1318" t="s">
        <v>884</v>
      </c>
      <c r="J630" s="1319"/>
      <c r="K630" s="160"/>
    </row>
    <row r="631" spans="1:11" ht="48" hidden="1" x14ac:dyDescent="0.25">
      <c r="A631" s="92" t="s">
        <v>625</v>
      </c>
      <c r="B631" s="174"/>
      <c r="C631" s="5"/>
      <c r="D631" s="12" t="s">
        <v>34</v>
      </c>
      <c r="E631" s="101">
        <f>'3.8.комм услуги'!LG91</f>
        <v>0</v>
      </c>
      <c r="F631" s="102">
        <f>'3.8.комм услуги'!LI91</f>
        <v>0</v>
      </c>
      <c r="G631" s="102">
        <f t="shared" si="64"/>
        <v>0</v>
      </c>
      <c r="H631" s="102">
        <f t="shared" si="65"/>
        <v>0</v>
      </c>
      <c r="I631" s="1318" t="s">
        <v>884</v>
      </c>
      <c r="J631" s="1319"/>
      <c r="K631" s="160"/>
    </row>
    <row r="632" spans="1:11" ht="60" hidden="1" x14ac:dyDescent="0.25">
      <c r="A632" s="92" t="s">
        <v>639</v>
      </c>
      <c r="B632" s="174"/>
      <c r="C632" s="5"/>
      <c r="D632" s="12" t="s">
        <v>34</v>
      </c>
      <c r="E632" s="101">
        <f>'3.8.комм услуги'!LG92</f>
        <v>0</v>
      </c>
      <c r="F632" s="102">
        <f>'3.8.комм услуги'!LI92</f>
        <v>0</v>
      </c>
      <c r="G632" s="102">
        <f t="shared" si="64"/>
        <v>0</v>
      </c>
      <c r="H632" s="102">
        <f t="shared" si="65"/>
        <v>0</v>
      </c>
      <c r="I632" s="1318" t="s">
        <v>884</v>
      </c>
      <c r="J632" s="1319"/>
      <c r="K632" s="160"/>
    </row>
    <row r="633" spans="1:11" ht="24" x14ac:dyDescent="0.25">
      <c r="A633" s="12" t="s">
        <v>626</v>
      </c>
      <c r="B633" s="174" t="s">
        <v>980</v>
      </c>
      <c r="C633" s="5"/>
      <c r="D633" s="12" t="s">
        <v>34</v>
      </c>
      <c r="E633" s="101">
        <f>'3.8.комм услуги'!LG93</f>
        <v>0.61666666999999997</v>
      </c>
      <c r="F633" s="102">
        <f>'3.8.комм услуги'!LI93</f>
        <v>1769.57</v>
      </c>
      <c r="G633" s="102">
        <f t="shared" si="64"/>
        <v>1769.57</v>
      </c>
      <c r="H633" s="102">
        <f t="shared" si="65"/>
        <v>1769.57</v>
      </c>
      <c r="I633" s="1318" t="s">
        <v>884</v>
      </c>
      <c r="J633" s="1319"/>
      <c r="K633" s="160"/>
    </row>
    <row r="634" spans="1:11" ht="36" x14ac:dyDescent="0.25">
      <c r="A634" s="12" t="s">
        <v>627</v>
      </c>
      <c r="B634" s="174" t="s">
        <v>622</v>
      </c>
      <c r="C634" s="5"/>
      <c r="D634" s="12" t="s">
        <v>34</v>
      </c>
      <c r="E634" s="101">
        <f>'3.8.комм услуги'!LG94</f>
        <v>0.7</v>
      </c>
      <c r="F634" s="102">
        <f>'3.8.комм услуги'!LI94</f>
        <v>2008.7</v>
      </c>
      <c r="G634" s="102">
        <f t="shared" si="64"/>
        <v>2008.7</v>
      </c>
      <c r="H634" s="102">
        <f t="shared" si="65"/>
        <v>2008.7</v>
      </c>
      <c r="I634" s="1318" t="s">
        <v>884</v>
      </c>
      <c r="J634" s="1319"/>
      <c r="K634" s="160"/>
    </row>
    <row r="635" spans="1:11" x14ac:dyDescent="0.25">
      <c r="A635" s="174" t="s">
        <v>608</v>
      </c>
      <c r="B635" s="174" t="s">
        <v>623</v>
      </c>
      <c r="C635" s="5"/>
      <c r="D635" s="12" t="s">
        <v>34</v>
      </c>
      <c r="E635" s="101">
        <f>'3.8.комм услуги'!LG95</f>
        <v>0.61829268000000004</v>
      </c>
      <c r="F635" s="102">
        <f>'3.8.комм услуги'!LI95</f>
        <v>1774.23</v>
      </c>
      <c r="G635" s="102">
        <f t="shared" si="64"/>
        <v>1774.23</v>
      </c>
      <c r="H635" s="102">
        <f t="shared" si="65"/>
        <v>1774.23</v>
      </c>
      <c r="I635" s="1318" t="s">
        <v>884</v>
      </c>
      <c r="J635" s="1319"/>
      <c r="K635" s="160"/>
    </row>
    <row r="636" spans="1:11" hidden="1" x14ac:dyDescent="0.25">
      <c r="A636" s="92" t="s">
        <v>611</v>
      </c>
      <c r="B636" s="174"/>
      <c r="C636" s="5"/>
      <c r="D636" s="12" t="s">
        <v>34</v>
      </c>
      <c r="E636" s="101">
        <f>'3.8.комм услуги'!LG96</f>
        <v>0</v>
      </c>
      <c r="F636" s="102">
        <f>'3.8.комм услуги'!LI96</f>
        <v>0</v>
      </c>
      <c r="G636" s="102">
        <f t="shared" si="64"/>
        <v>0</v>
      </c>
      <c r="H636" s="102">
        <f t="shared" si="65"/>
        <v>0</v>
      </c>
      <c r="I636" s="1318" t="s">
        <v>884</v>
      </c>
      <c r="J636" s="1319"/>
      <c r="K636" s="160"/>
    </row>
    <row r="637" spans="1:11" ht="24" hidden="1" x14ac:dyDescent="0.25">
      <c r="A637" s="96" t="s">
        <v>601</v>
      </c>
      <c r="B637" s="181"/>
      <c r="C637" s="6"/>
      <c r="D637" s="16"/>
      <c r="E637" s="7"/>
      <c r="F637" s="95"/>
      <c r="G637" s="95"/>
      <c r="H637" s="95"/>
      <c r="I637" s="99"/>
      <c r="J637" s="100"/>
      <c r="K637" s="161" t="s">
        <v>857</v>
      </c>
    </row>
    <row r="638" spans="1:11" ht="15" hidden="1" customHeight="1" x14ac:dyDescent="0.25">
      <c r="A638" s="12" t="s">
        <v>456</v>
      </c>
      <c r="B638" s="174" t="s">
        <v>648</v>
      </c>
      <c r="C638" s="5"/>
      <c r="D638" s="12" t="s">
        <v>881</v>
      </c>
      <c r="E638" s="13" t="s">
        <v>442</v>
      </c>
      <c r="F638" s="102">
        <v>0</v>
      </c>
      <c r="G638" s="102">
        <v>0</v>
      </c>
      <c r="H638" s="102">
        <v>0</v>
      </c>
      <c r="I638" s="1318"/>
      <c r="J638" s="1319"/>
      <c r="K638" s="160"/>
    </row>
    <row r="639" spans="1:11" ht="15" hidden="1" customHeight="1" x14ac:dyDescent="0.25">
      <c r="A639" s="12" t="s">
        <v>457</v>
      </c>
      <c r="B639" s="174" t="s">
        <v>649</v>
      </c>
      <c r="C639" s="5"/>
      <c r="D639" s="12" t="s">
        <v>881</v>
      </c>
      <c r="E639" s="13" t="s">
        <v>442</v>
      </c>
      <c r="F639" s="102">
        <v>0</v>
      </c>
      <c r="G639" s="102">
        <v>0</v>
      </c>
      <c r="H639" s="102">
        <v>0</v>
      </c>
      <c r="I639" s="1318"/>
      <c r="J639" s="1319"/>
      <c r="K639" s="160"/>
    </row>
    <row r="640" spans="1:11" ht="15" hidden="1" customHeight="1" x14ac:dyDescent="0.25">
      <c r="A640" s="12" t="s">
        <v>471</v>
      </c>
      <c r="B640" s="174" t="s">
        <v>650</v>
      </c>
      <c r="C640" s="5"/>
      <c r="D640" s="12" t="s">
        <v>881</v>
      </c>
      <c r="E640" s="13" t="s">
        <v>442</v>
      </c>
      <c r="F640" s="102">
        <v>0</v>
      </c>
      <c r="G640" s="102">
        <v>0</v>
      </c>
      <c r="H640" s="102">
        <v>0</v>
      </c>
      <c r="I640" s="1318"/>
      <c r="J640" s="1319"/>
      <c r="K640" s="160"/>
    </row>
    <row r="641" spans="1:11" ht="15" hidden="1" customHeight="1" x14ac:dyDescent="0.25">
      <c r="A641" s="12" t="s">
        <v>458</v>
      </c>
      <c r="B641" s="174" t="s">
        <v>651</v>
      </c>
      <c r="C641" s="5"/>
      <c r="D641" s="12" t="s">
        <v>881</v>
      </c>
      <c r="E641" s="13" t="s">
        <v>442</v>
      </c>
      <c r="F641" s="102">
        <v>0</v>
      </c>
      <c r="G641" s="102">
        <v>0</v>
      </c>
      <c r="H641" s="102">
        <v>0</v>
      </c>
      <c r="I641" s="1318"/>
      <c r="J641" s="1319"/>
      <c r="K641" s="160"/>
    </row>
    <row r="642" spans="1:11" ht="15" hidden="1" customHeight="1" x14ac:dyDescent="0.25">
      <c r="A642" s="12" t="s">
        <v>459</v>
      </c>
      <c r="B642" s="174" t="s">
        <v>652</v>
      </c>
      <c r="C642" s="5"/>
      <c r="D642" s="12" t="s">
        <v>881</v>
      </c>
      <c r="E642" s="13" t="s">
        <v>442</v>
      </c>
      <c r="F642" s="102">
        <v>0</v>
      </c>
      <c r="G642" s="102">
        <v>0</v>
      </c>
      <c r="H642" s="102">
        <v>0</v>
      </c>
      <c r="I642" s="1318"/>
      <c r="J642" s="1319"/>
      <c r="K642" s="160"/>
    </row>
    <row r="643" spans="1:11" ht="15" hidden="1" customHeight="1" x14ac:dyDescent="0.25">
      <c r="A643" s="12" t="s">
        <v>460</v>
      </c>
      <c r="B643" s="174" t="s">
        <v>653</v>
      </c>
      <c r="C643" s="5"/>
      <c r="D643" s="12" t="s">
        <v>881</v>
      </c>
      <c r="E643" s="13" t="s">
        <v>442</v>
      </c>
      <c r="F643" s="102">
        <v>0</v>
      </c>
      <c r="G643" s="102">
        <v>0</v>
      </c>
      <c r="H643" s="102">
        <v>0</v>
      </c>
      <c r="I643" s="1318"/>
      <c r="J643" s="1319"/>
      <c r="K643" s="160"/>
    </row>
    <row r="644" spans="1:11" ht="12" customHeight="1" x14ac:dyDescent="0.25">
      <c r="A644" s="7"/>
      <c r="B644" s="181"/>
      <c r="C644" s="6" t="s">
        <v>43</v>
      </c>
      <c r="D644" s="16" t="s">
        <v>44</v>
      </c>
      <c r="E644" s="7"/>
      <c r="F644" s="95"/>
      <c r="G644" s="95"/>
      <c r="H644" s="95"/>
      <c r="I644" s="99"/>
      <c r="J644" s="100"/>
      <c r="K644" s="161"/>
    </row>
    <row r="645" spans="1:11" ht="36" hidden="1" x14ac:dyDescent="0.25">
      <c r="A645" s="96" t="s">
        <v>426</v>
      </c>
      <c r="B645" s="181"/>
      <c r="C645" s="6"/>
      <c r="D645" s="16"/>
      <c r="E645" s="7"/>
      <c r="F645" s="95"/>
      <c r="G645" s="95"/>
      <c r="H645" s="95"/>
      <c r="I645" s="99"/>
      <c r="J645" s="100"/>
      <c r="K645" s="161" t="s">
        <v>858</v>
      </c>
    </row>
    <row r="646" spans="1:11" ht="15" hidden="1" customHeight="1" x14ac:dyDescent="0.25">
      <c r="A646" s="174" t="s">
        <v>421</v>
      </c>
      <c r="B646" s="174" t="s">
        <v>427</v>
      </c>
      <c r="C646" s="5"/>
      <c r="D646" s="12" t="s">
        <v>881</v>
      </c>
      <c r="E646" s="13" t="s">
        <v>442</v>
      </c>
      <c r="F646" s="102">
        <v>0</v>
      </c>
      <c r="G646" s="102">
        <v>0</v>
      </c>
      <c r="H646" s="102">
        <v>0</v>
      </c>
      <c r="I646" s="1318"/>
      <c r="J646" s="1319"/>
      <c r="K646" s="160"/>
    </row>
    <row r="647" spans="1:11" ht="15" hidden="1" customHeight="1" x14ac:dyDescent="0.25">
      <c r="A647" s="174" t="s">
        <v>413</v>
      </c>
      <c r="B647" s="174" t="s">
        <v>430</v>
      </c>
      <c r="C647" s="5"/>
      <c r="D647" s="12" t="s">
        <v>881</v>
      </c>
      <c r="E647" s="13" t="s">
        <v>442</v>
      </c>
      <c r="F647" s="102">
        <v>0</v>
      </c>
      <c r="G647" s="102">
        <v>0</v>
      </c>
      <c r="H647" s="102">
        <v>0</v>
      </c>
      <c r="I647" s="1318"/>
      <c r="J647" s="1319"/>
      <c r="K647" s="160"/>
    </row>
    <row r="648" spans="1:11" ht="15" hidden="1" customHeight="1" x14ac:dyDescent="0.25">
      <c r="A648" s="174" t="s">
        <v>700</v>
      </c>
      <c r="B648" s="174" t="s">
        <v>427</v>
      </c>
      <c r="C648" s="5"/>
      <c r="D648" s="12" t="s">
        <v>881</v>
      </c>
      <c r="E648" s="13" t="s">
        <v>442</v>
      </c>
      <c r="F648" s="102">
        <v>0</v>
      </c>
      <c r="G648" s="102">
        <v>0</v>
      </c>
      <c r="H648" s="102">
        <v>0</v>
      </c>
      <c r="I648" s="1318"/>
      <c r="J648" s="1319"/>
      <c r="K648" s="160"/>
    </row>
    <row r="649" spans="1:11" ht="30" hidden="1" customHeight="1" x14ac:dyDescent="0.25">
      <c r="A649" s="174" t="s">
        <v>414</v>
      </c>
      <c r="B649" s="174" t="s">
        <v>430</v>
      </c>
      <c r="C649" s="5"/>
      <c r="D649" s="12" t="s">
        <v>881</v>
      </c>
      <c r="E649" s="13" t="s">
        <v>442</v>
      </c>
      <c r="F649" s="102">
        <v>0</v>
      </c>
      <c r="G649" s="102">
        <v>0</v>
      </c>
      <c r="H649" s="102">
        <v>0</v>
      </c>
      <c r="I649" s="1318"/>
      <c r="J649" s="1319"/>
      <c r="K649" s="160"/>
    </row>
    <row r="650" spans="1:11" ht="15" hidden="1" customHeight="1" x14ac:dyDescent="0.25">
      <c r="A650" s="174" t="s">
        <v>415</v>
      </c>
      <c r="B650" s="174" t="s">
        <v>430</v>
      </c>
      <c r="C650" s="5"/>
      <c r="D650" s="12" t="s">
        <v>881</v>
      </c>
      <c r="E650" s="13" t="s">
        <v>442</v>
      </c>
      <c r="F650" s="102">
        <v>0</v>
      </c>
      <c r="G650" s="102">
        <v>0</v>
      </c>
      <c r="H650" s="102">
        <v>0</v>
      </c>
      <c r="I650" s="1318"/>
      <c r="J650" s="1319"/>
      <c r="K650" s="160"/>
    </row>
    <row r="651" spans="1:11" ht="15" hidden="1" customHeight="1" x14ac:dyDescent="0.25">
      <c r="A651" s="92" t="s">
        <v>416</v>
      </c>
      <c r="B651" s="174" t="s">
        <v>429</v>
      </c>
      <c r="C651" s="5"/>
      <c r="D651" s="12" t="s">
        <v>881</v>
      </c>
      <c r="E651" s="13" t="s">
        <v>442</v>
      </c>
      <c r="F651" s="102">
        <v>0</v>
      </c>
      <c r="G651" s="102">
        <v>0</v>
      </c>
      <c r="H651" s="102">
        <v>0</v>
      </c>
      <c r="I651" s="1318"/>
      <c r="J651" s="1319"/>
      <c r="K651" s="160"/>
    </row>
    <row r="652" spans="1:11" ht="15" hidden="1" customHeight="1" x14ac:dyDescent="0.25">
      <c r="A652" s="98" t="s">
        <v>417</v>
      </c>
      <c r="B652" s="174" t="s">
        <v>429</v>
      </c>
      <c r="C652" s="5"/>
      <c r="D652" s="12" t="s">
        <v>881</v>
      </c>
      <c r="E652" s="13" t="s">
        <v>442</v>
      </c>
      <c r="F652" s="102">
        <v>0</v>
      </c>
      <c r="G652" s="102">
        <v>0</v>
      </c>
      <c r="H652" s="102">
        <v>0</v>
      </c>
      <c r="I652" s="1318"/>
      <c r="J652" s="1319"/>
      <c r="K652" s="160"/>
    </row>
    <row r="653" spans="1:11" ht="15" hidden="1" customHeight="1" x14ac:dyDescent="0.25">
      <c r="A653" s="98" t="s">
        <v>422</v>
      </c>
      <c r="B653" s="174" t="s">
        <v>428</v>
      </c>
      <c r="C653" s="5"/>
      <c r="D653" s="12" t="s">
        <v>881</v>
      </c>
      <c r="E653" s="13" t="s">
        <v>442</v>
      </c>
      <c r="F653" s="102">
        <v>0</v>
      </c>
      <c r="G653" s="102">
        <v>0</v>
      </c>
      <c r="H653" s="102">
        <v>0</v>
      </c>
      <c r="I653" s="1318"/>
      <c r="J653" s="1319"/>
      <c r="K653" s="160"/>
    </row>
    <row r="654" spans="1:11" ht="15" hidden="1" customHeight="1" x14ac:dyDescent="0.25">
      <c r="A654" s="98" t="s">
        <v>418</v>
      </c>
      <c r="B654" s="174" t="s">
        <v>429</v>
      </c>
      <c r="C654" s="5"/>
      <c r="D654" s="12" t="s">
        <v>881</v>
      </c>
      <c r="E654" s="13" t="s">
        <v>442</v>
      </c>
      <c r="F654" s="102">
        <v>0</v>
      </c>
      <c r="G654" s="102">
        <v>0</v>
      </c>
      <c r="H654" s="102">
        <v>0</v>
      </c>
      <c r="I654" s="1318"/>
      <c r="J654" s="1319"/>
      <c r="K654" s="160"/>
    </row>
    <row r="655" spans="1:11" ht="15" hidden="1" customHeight="1" x14ac:dyDescent="0.25">
      <c r="A655" s="92" t="s">
        <v>423</v>
      </c>
      <c r="B655" s="174" t="s">
        <v>427</v>
      </c>
      <c r="C655" s="5"/>
      <c r="D655" s="12" t="s">
        <v>881</v>
      </c>
      <c r="E655" s="13" t="s">
        <v>442</v>
      </c>
      <c r="F655" s="102">
        <v>0</v>
      </c>
      <c r="G655" s="102">
        <v>0</v>
      </c>
      <c r="H655" s="102">
        <v>0</v>
      </c>
      <c r="I655" s="1318"/>
      <c r="J655" s="1319"/>
      <c r="K655" s="160"/>
    </row>
    <row r="656" spans="1:11" ht="15" hidden="1" customHeight="1" x14ac:dyDescent="0.25">
      <c r="A656" s="174" t="s">
        <v>419</v>
      </c>
      <c r="B656" s="174" t="s">
        <v>430</v>
      </c>
      <c r="C656" s="5"/>
      <c r="D656" s="12" t="s">
        <v>881</v>
      </c>
      <c r="E656" s="13" t="s">
        <v>442</v>
      </c>
      <c r="F656" s="102">
        <v>0</v>
      </c>
      <c r="G656" s="102">
        <v>0</v>
      </c>
      <c r="H656" s="102">
        <v>0</v>
      </c>
      <c r="I656" s="1318"/>
      <c r="J656" s="1319"/>
      <c r="K656" s="160"/>
    </row>
    <row r="657" spans="1:11" ht="15" hidden="1" customHeight="1" x14ac:dyDescent="0.25">
      <c r="A657" s="92" t="s">
        <v>424</v>
      </c>
      <c r="B657" s="174" t="s">
        <v>427</v>
      </c>
      <c r="C657" s="5"/>
      <c r="D657" s="12" t="s">
        <v>881</v>
      </c>
      <c r="E657" s="13" t="s">
        <v>442</v>
      </c>
      <c r="F657" s="102">
        <v>0</v>
      </c>
      <c r="G657" s="102">
        <v>0</v>
      </c>
      <c r="H657" s="102">
        <v>0</v>
      </c>
      <c r="I657" s="1318"/>
      <c r="J657" s="1319"/>
      <c r="K657" s="160"/>
    </row>
    <row r="658" spans="1:11" ht="15" hidden="1" customHeight="1" x14ac:dyDescent="0.25">
      <c r="A658" s="174" t="s">
        <v>420</v>
      </c>
      <c r="B658" s="174" t="s">
        <v>430</v>
      </c>
      <c r="C658" s="5"/>
      <c r="D658" s="12" t="s">
        <v>881</v>
      </c>
      <c r="E658" s="13" t="s">
        <v>442</v>
      </c>
      <c r="F658" s="102">
        <v>0</v>
      </c>
      <c r="G658" s="102">
        <v>0</v>
      </c>
      <c r="H658" s="102">
        <v>0</v>
      </c>
      <c r="I658" s="1318"/>
      <c r="J658" s="1319"/>
      <c r="K658" s="160"/>
    </row>
    <row r="659" spans="1:11" ht="15" hidden="1" customHeight="1" x14ac:dyDescent="0.25">
      <c r="A659" s="340"/>
      <c r="B659" s="174"/>
      <c r="C659" s="5"/>
      <c r="D659" s="12" t="s">
        <v>881</v>
      </c>
      <c r="E659" s="13" t="s">
        <v>442</v>
      </c>
      <c r="F659" s="102">
        <v>0</v>
      </c>
      <c r="G659" s="102">
        <v>0</v>
      </c>
      <c r="H659" s="102">
        <v>0</v>
      </c>
      <c r="I659" s="1318"/>
      <c r="J659" s="1319"/>
      <c r="K659" s="160"/>
    </row>
    <row r="660" spans="1:11" hidden="1" x14ac:dyDescent="0.25">
      <c r="A660" s="96" t="s">
        <v>431</v>
      </c>
      <c r="B660" s="181"/>
      <c r="C660" s="6"/>
      <c r="D660" s="16"/>
      <c r="E660" s="7"/>
      <c r="F660" s="95"/>
      <c r="G660" s="95"/>
      <c r="H660" s="95"/>
      <c r="I660" s="99"/>
      <c r="J660" s="100"/>
      <c r="K660" s="161" t="s">
        <v>858</v>
      </c>
    </row>
    <row r="661" spans="1:11" ht="15" hidden="1" customHeight="1" x14ac:dyDescent="0.25">
      <c r="A661" s="12" t="s">
        <v>702</v>
      </c>
      <c r="B661" s="174" t="s">
        <v>432</v>
      </c>
      <c r="C661" s="5"/>
      <c r="D661" s="12" t="s">
        <v>881</v>
      </c>
      <c r="E661" s="13" t="s">
        <v>442</v>
      </c>
      <c r="F661" s="102">
        <v>0</v>
      </c>
      <c r="G661" s="102">
        <v>0</v>
      </c>
      <c r="H661" s="102">
        <v>0</v>
      </c>
      <c r="I661" s="1318"/>
      <c r="J661" s="1319"/>
      <c r="K661" s="160"/>
    </row>
    <row r="662" spans="1:11" ht="15" hidden="1" customHeight="1" x14ac:dyDescent="0.25">
      <c r="A662" s="12" t="s">
        <v>703</v>
      </c>
      <c r="B662" s="174" t="s">
        <v>433</v>
      </c>
      <c r="C662" s="5"/>
      <c r="D662" s="12" t="s">
        <v>881</v>
      </c>
      <c r="E662" s="13" t="s">
        <v>442</v>
      </c>
      <c r="F662" s="102">
        <v>0</v>
      </c>
      <c r="G662" s="102">
        <v>0</v>
      </c>
      <c r="H662" s="102">
        <v>0</v>
      </c>
      <c r="I662" s="1318"/>
      <c r="J662" s="1319"/>
      <c r="K662" s="160"/>
    </row>
    <row r="663" spans="1:11" ht="15" hidden="1" customHeight="1" x14ac:dyDescent="0.25">
      <c r="A663" s="12" t="s">
        <v>704</v>
      </c>
      <c r="B663" s="174" t="s">
        <v>434</v>
      </c>
      <c r="C663" s="5"/>
      <c r="D663" s="12" t="s">
        <v>881</v>
      </c>
      <c r="E663" s="13" t="s">
        <v>442</v>
      </c>
      <c r="F663" s="102">
        <v>0</v>
      </c>
      <c r="G663" s="102">
        <v>0</v>
      </c>
      <c r="H663" s="102">
        <v>0</v>
      </c>
      <c r="I663" s="1318"/>
      <c r="J663" s="1319"/>
      <c r="K663" s="160"/>
    </row>
    <row r="664" spans="1:11" s="435" customFormat="1" ht="15" hidden="1" customHeight="1" x14ac:dyDescent="0.25">
      <c r="A664" s="641" t="s">
        <v>1407</v>
      </c>
      <c r="B664" s="174" t="s">
        <v>435</v>
      </c>
      <c r="C664" s="5"/>
      <c r="D664" s="12" t="s">
        <v>881</v>
      </c>
      <c r="E664" s="13" t="s">
        <v>442</v>
      </c>
      <c r="F664" s="102">
        <v>0</v>
      </c>
      <c r="G664" s="102">
        <v>0</v>
      </c>
      <c r="H664" s="102">
        <v>0</v>
      </c>
      <c r="I664" s="1318"/>
      <c r="J664" s="1319"/>
      <c r="K664" s="160"/>
    </row>
    <row r="665" spans="1:11" ht="15" hidden="1" customHeight="1" x14ac:dyDescent="0.25">
      <c r="A665" s="12" t="s">
        <v>948</v>
      </c>
      <c r="B665" s="174" t="s">
        <v>435</v>
      </c>
      <c r="C665" s="5"/>
      <c r="D665" s="12" t="s">
        <v>881</v>
      </c>
      <c r="E665" s="13" t="s">
        <v>442</v>
      </c>
      <c r="F665" s="102">
        <v>0</v>
      </c>
      <c r="G665" s="102">
        <v>0</v>
      </c>
      <c r="H665" s="102">
        <v>0</v>
      </c>
      <c r="I665" s="1318"/>
      <c r="J665" s="1319"/>
      <c r="K665" s="160"/>
    </row>
    <row r="666" spans="1:11" ht="15" hidden="1" customHeight="1" x14ac:dyDescent="0.25">
      <c r="A666" s="12" t="s">
        <v>705</v>
      </c>
      <c r="B666" s="174" t="s">
        <v>436</v>
      </c>
      <c r="C666" s="5"/>
      <c r="D666" s="12" t="s">
        <v>881</v>
      </c>
      <c r="E666" s="13" t="s">
        <v>442</v>
      </c>
      <c r="F666" s="102">
        <v>0</v>
      </c>
      <c r="G666" s="102">
        <v>0</v>
      </c>
      <c r="H666" s="102">
        <v>0</v>
      </c>
      <c r="I666" s="1318"/>
      <c r="J666" s="1319"/>
      <c r="K666" s="160"/>
    </row>
    <row r="667" spans="1:11" ht="15" hidden="1" customHeight="1" x14ac:dyDescent="0.25">
      <c r="A667" s="98" t="s">
        <v>706</v>
      </c>
      <c r="B667" s="174" t="s">
        <v>437</v>
      </c>
      <c r="C667" s="5"/>
      <c r="D667" s="12" t="s">
        <v>881</v>
      </c>
      <c r="E667" s="13" t="s">
        <v>442</v>
      </c>
      <c r="F667" s="102">
        <v>0</v>
      </c>
      <c r="G667" s="102">
        <v>0</v>
      </c>
      <c r="H667" s="102">
        <v>0</v>
      </c>
      <c r="I667" s="1318"/>
      <c r="J667" s="1319"/>
      <c r="K667" s="160"/>
    </row>
    <row r="668" spans="1:11" ht="15" hidden="1" customHeight="1" x14ac:dyDescent="0.25">
      <c r="A668" s="98" t="s">
        <v>707</v>
      </c>
      <c r="B668" s="174" t="s">
        <v>438</v>
      </c>
      <c r="C668" s="5"/>
      <c r="D668" s="12" t="s">
        <v>881</v>
      </c>
      <c r="E668" s="13" t="s">
        <v>442</v>
      </c>
      <c r="F668" s="102">
        <v>0</v>
      </c>
      <c r="G668" s="102">
        <v>0</v>
      </c>
      <c r="H668" s="102">
        <v>0</v>
      </c>
      <c r="I668" s="1318"/>
      <c r="J668" s="1319"/>
      <c r="K668" s="160"/>
    </row>
    <row r="669" spans="1:11" ht="15" hidden="1" customHeight="1" x14ac:dyDescent="0.25">
      <c r="A669" s="98" t="s">
        <v>708</v>
      </c>
      <c r="B669" s="174" t="s">
        <v>439</v>
      </c>
      <c r="C669" s="5"/>
      <c r="D669" s="12" t="s">
        <v>881</v>
      </c>
      <c r="E669" s="13" t="s">
        <v>442</v>
      </c>
      <c r="F669" s="102">
        <v>0</v>
      </c>
      <c r="G669" s="102">
        <v>0</v>
      </c>
      <c r="H669" s="102">
        <v>0</v>
      </c>
      <c r="I669" s="1318"/>
      <c r="J669" s="1319"/>
      <c r="K669" s="160"/>
    </row>
    <row r="670" spans="1:11" ht="15" hidden="1" customHeight="1" x14ac:dyDescent="0.25">
      <c r="A670" s="98" t="s">
        <v>949</v>
      </c>
      <c r="B670" s="174" t="s">
        <v>440</v>
      </c>
      <c r="C670" s="5"/>
      <c r="D670" s="12" t="s">
        <v>881</v>
      </c>
      <c r="E670" s="13" t="s">
        <v>442</v>
      </c>
      <c r="F670" s="102">
        <v>0</v>
      </c>
      <c r="G670" s="102">
        <v>0</v>
      </c>
      <c r="H670" s="102">
        <v>0</v>
      </c>
      <c r="I670" s="1318"/>
      <c r="J670" s="1319"/>
      <c r="K670" s="160"/>
    </row>
    <row r="671" spans="1:11" ht="15" hidden="1" customHeight="1" x14ac:dyDescent="0.25">
      <c r="A671" s="98" t="s">
        <v>709</v>
      </c>
      <c r="B671" s="174" t="s">
        <v>441</v>
      </c>
      <c r="C671" s="5"/>
      <c r="D671" s="12" t="s">
        <v>881</v>
      </c>
      <c r="E671" s="13" t="s">
        <v>442</v>
      </c>
      <c r="F671" s="102">
        <v>0</v>
      </c>
      <c r="G671" s="102">
        <v>0</v>
      </c>
      <c r="H671" s="102">
        <v>0</v>
      </c>
      <c r="I671" s="1318"/>
      <c r="J671" s="1319"/>
      <c r="K671" s="160"/>
    </row>
    <row r="672" spans="1:11" ht="36" x14ac:dyDescent="0.25">
      <c r="A672" s="96" t="s">
        <v>624</v>
      </c>
      <c r="B672" s="181"/>
      <c r="C672" s="6"/>
      <c r="D672" s="16"/>
      <c r="E672" s="7"/>
      <c r="F672" s="95"/>
      <c r="G672" s="95"/>
      <c r="H672" s="95"/>
      <c r="I672" s="99"/>
      <c r="J672" s="100"/>
      <c r="K672" s="161" t="s">
        <v>858</v>
      </c>
    </row>
    <row r="673" spans="1:11" x14ac:dyDescent="0.25">
      <c r="A673" s="12" t="s">
        <v>609</v>
      </c>
      <c r="B673" s="174" t="s">
        <v>617</v>
      </c>
      <c r="C673" s="5"/>
      <c r="D673" s="12" t="s">
        <v>32</v>
      </c>
      <c r="E673" s="101">
        <f>'3.8.комм услуги'!LG100</f>
        <v>2.1474812000000001</v>
      </c>
      <c r="F673" s="102">
        <f>'3.8.комм услуги'!LI100</f>
        <v>107.89</v>
      </c>
      <c r="G673" s="102">
        <f>F673</f>
        <v>107.89</v>
      </c>
      <c r="H673" s="102">
        <f>F673</f>
        <v>107.89</v>
      </c>
      <c r="I673" s="1318" t="s">
        <v>884</v>
      </c>
      <c r="J673" s="1319"/>
      <c r="K673" s="160"/>
    </row>
    <row r="674" spans="1:11" ht="72" hidden="1" x14ac:dyDescent="0.25">
      <c r="A674" s="92" t="s">
        <v>610</v>
      </c>
      <c r="B674" s="174"/>
      <c r="C674" s="5"/>
      <c r="D674" s="12" t="s">
        <v>32</v>
      </c>
      <c r="E674" s="101">
        <f>'3.8.комм услуги'!LG101</f>
        <v>0</v>
      </c>
      <c r="F674" s="102">
        <f>'3.8.комм услуги'!LI101</f>
        <v>0</v>
      </c>
      <c r="G674" s="102">
        <f t="shared" ref="G674:G680" si="66">F674</f>
        <v>0</v>
      </c>
      <c r="H674" s="102">
        <f t="shared" ref="H674:H680" si="67">F674</f>
        <v>0</v>
      </c>
      <c r="I674" s="1318" t="s">
        <v>884</v>
      </c>
      <c r="J674" s="1319"/>
      <c r="K674" s="160"/>
    </row>
    <row r="675" spans="1:11" ht="48" x14ac:dyDescent="0.25">
      <c r="A675" s="12" t="s">
        <v>625</v>
      </c>
      <c r="B675" s="174" t="s">
        <v>978</v>
      </c>
      <c r="C675" s="5"/>
      <c r="D675" s="12" t="s">
        <v>32</v>
      </c>
      <c r="E675" s="101">
        <f>'3.8.комм услуги'!LG102</f>
        <v>2.1469948200000002</v>
      </c>
      <c r="F675" s="102">
        <f>'3.8.комм услуги'!LI102</f>
        <v>107.87</v>
      </c>
      <c r="G675" s="102">
        <f t="shared" si="66"/>
        <v>107.87</v>
      </c>
      <c r="H675" s="102">
        <f t="shared" si="67"/>
        <v>107.87</v>
      </c>
      <c r="I675" s="1318" t="s">
        <v>884</v>
      </c>
      <c r="J675" s="1319"/>
      <c r="K675" s="160"/>
    </row>
    <row r="676" spans="1:11" ht="24" x14ac:dyDescent="0.25">
      <c r="A676" s="12" t="s">
        <v>626</v>
      </c>
      <c r="B676" s="174" t="s">
        <v>618</v>
      </c>
      <c r="C676" s="5"/>
      <c r="D676" s="12" t="s">
        <v>32</v>
      </c>
      <c r="E676" s="101">
        <f>'3.8.комм услуги'!LG103</f>
        <v>2.14540541</v>
      </c>
      <c r="F676" s="102">
        <f>'3.8.комм услуги'!LI103</f>
        <v>107.79</v>
      </c>
      <c r="G676" s="102">
        <f t="shared" si="66"/>
        <v>107.79</v>
      </c>
      <c r="H676" s="102">
        <f t="shared" si="67"/>
        <v>107.79</v>
      </c>
      <c r="I676" s="1318" t="s">
        <v>884</v>
      </c>
      <c r="J676" s="1319"/>
      <c r="K676" s="160"/>
    </row>
    <row r="677" spans="1:11" ht="60" hidden="1" x14ac:dyDescent="0.25">
      <c r="A677" s="92" t="s">
        <v>639</v>
      </c>
      <c r="B677" s="174"/>
      <c r="C677" s="5"/>
      <c r="D677" s="12" t="s">
        <v>32</v>
      </c>
      <c r="E677" s="101">
        <f>'3.8.комм услуги'!LG104</f>
        <v>0</v>
      </c>
      <c r="F677" s="102">
        <f>'3.8.комм услуги'!LI104</f>
        <v>0</v>
      </c>
      <c r="G677" s="102">
        <f t="shared" si="66"/>
        <v>0</v>
      </c>
      <c r="H677" s="102">
        <f t="shared" si="67"/>
        <v>0</v>
      </c>
      <c r="I677" s="1318" t="s">
        <v>884</v>
      </c>
      <c r="J677" s="1319"/>
      <c r="K677" s="160"/>
    </row>
    <row r="678" spans="1:11" ht="36" x14ac:dyDescent="0.25">
      <c r="A678" s="12" t="s">
        <v>627</v>
      </c>
      <c r="B678" s="174" t="s">
        <v>619</v>
      </c>
      <c r="C678" s="5"/>
      <c r="D678" s="12" t="s">
        <v>32</v>
      </c>
      <c r="E678" s="101">
        <f>'3.8.комм услуги'!LG105</f>
        <v>2.1455000000000002</v>
      </c>
      <c r="F678" s="102">
        <f>'3.8.комм услуги'!LI105</f>
        <v>107.79</v>
      </c>
      <c r="G678" s="102">
        <f t="shared" si="66"/>
        <v>107.79</v>
      </c>
      <c r="H678" s="102">
        <f t="shared" si="67"/>
        <v>107.79</v>
      </c>
      <c r="I678" s="1318" t="s">
        <v>884</v>
      </c>
      <c r="J678" s="1319"/>
      <c r="K678" s="160"/>
    </row>
    <row r="679" spans="1:11" hidden="1" x14ac:dyDescent="0.25">
      <c r="A679" s="92" t="s">
        <v>608</v>
      </c>
      <c r="B679" s="174"/>
      <c r="C679" s="5"/>
      <c r="D679" s="12" t="s">
        <v>32</v>
      </c>
      <c r="E679" s="101">
        <f>'3.8.комм услуги'!LG106</f>
        <v>0</v>
      </c>
      <c r="F679" s="102">
        <f>'3.8.комм услуги'!LI106</f>
        <v>0</v>
      </c>
      <c r="G679" s="102">
        <f t="shared" si="66"/>
        <v>0</v>
      </c>
      <c r="H679" s="102">
        <f t="shared" si="67"/>
        <v>0</v>
      </c>
      <c r="I679" s="1318" t="s">
        <v>884</v>
      </c>
      <c r="J679" s="1319"/>
      <c r="K679" s="160"/>
    </row>
    <row r="680" spans="1:11" hidden="1" x14ac:dyDescent="0.25">
      <c r="A680" s="92" t="s">
        <v>611</v>
      </c>
      <c r="B680" s="174"/>
      <c r="C680" s="5"/>
      <c r="D680" s="12" t="s">
        <v>32</v>
      </c>
      <c r="E680" s="101">
        <f>'3.8.комм услуги'!LG107</f>
        <v>0</v>
      </c>
      <c r="F680" s="102">
        <f>'3.8.комм услуги'!LI107</f>
        <v>0</v>
      </c>
      <c r="G680" s="102">
        <f t="shared" si="66"/>
        <v>0</v>
      </c>
      <c r="H680" s="102">
        <f t="shared" si="67"/>
        <v>0</v>
      </c>
      <c r="I680" s="1318" t="s">
        <v>884</v>
      </c>
      <c r="J680" s="1319"/>
      <c r="K680" s="160"/>
    </row>
    <row r="681" spans="1:11" ht="36" x14ac:dyDescent="0.25">
      <c r="A681" s="96" t="s">
        <v>603</v>
      </c>
      <c r="B681" s="181"/>
      <c r="C681" s="6"/>
      <c r="D681" s="16"/>
      <c r="E681" s="7"/>
      <c r="F681" s="95"/>
      <c r="G681" s="95"/>
      <c r="H681" s="95"/>
      <c r="I681" s="99"/>
      <c r="J681" s="100"/>
      <c r="K681" s="161" t="s">
        <v>858</v>
      </c>
    </row>
    <row r="682" spans="1:11" x14ac:dyDescent="0.25">
      <c r="A682" s="12" t="s">
        <v>609</v>
      </c>
      <c r="B682" s="174" t="s">
        <v>604</v>
      </c>
      <c r="C682" s="5"/>
      <c r="D682" s="12" t="s">
        <v>32</v>
      </c>
      <c r="E682" s="101">
        <f>'3.8.комм услуги'!LG109</f>
        <v>2.1474839999999999</v>
      </c>
      <c r="F682" s="102">
        <f>'3.8.комм услуги'!LI109</f>
        <v>107.89</v>
      </c>
      <c r="G682" s="102">
        <f t="shared" ref="G682:G689" si="68">F682</f>
        <v>107.89</v>
      </c>
      <c r="H682" s="102">
        <f t="shared" ref="H682:H689" si="69">F682</f>
        <v>107.89</v>
      </c>
      <c r="I682" s="1318" t="s">
        <v>884</v>
      </c>
      <c r="J682" s="1319"/>
      <c r="K682" s="160"/>
    </row>
    <row r="683" spans="1:11" ht="72" hidden="1" x14ac:dyDescent="0.25">
      <c r="A683" s="92" t="s">
        <v>610</v>
      </c>
      <c r="B683" s="174"/>
      <c r="C683" s="5"/>
      <c r="D683" s="12" t="s">
        <v>32</v>
      </c>
      <c r="E683" s="101">
        <f>'3.8.комм услуги'!LG110</f>
        <v>0</v>
      </c>
      <c r="F683" s="102">
        <f>'3.8.комм услуги'!LI110</f>
        <v>0</v>
      </c>
      <c r="G683" s="102">
        <f t="shared" si="68"/>
        <v>0</v>
      </c>
      <c r="H683" s="102">
        <f t="shared" si="69"/>
        <v>0</v>
      </c>
      <c r="I683" s="1318" t="s">
        <v>884</v>
      </c>
      <c r="J683" s="1319"/>
      <c r="K683" s="160"/>
    </row>
    <row r="684" spans="1:11" ht="48" x14ac:dyDescent="0.25">
      <c r="A684" s="12" t="s">
        <v>625</v>
      </c>
      <c r="B684" s="174" t="s">
        <v>605</v>
      </c>
      <c r="C684" s="5"/>
      <c r="D684" s="12" t="s">
        <v>32</v>
      </c>
      <c r="E684" s="101">
        <f>'3.8.комм услуги'!LG111</f>
        <v>2.1473148100000001</v>
      </c>
      <c r="F684" s="102">
        <f>'3.8.комм услуги'!LI111</f>
        <v>107.88</v>
      </c>
      <c r="G684" s="102">
        <f t="shared" si="68"/>
        <v>107.88</v>
      </c>
      <c r="H684" s="102">
        <f t="shared" si="69"/>
        <v>107.88</v>
      </c>
      <c r="I684" s="1318" t="s">
        <v>884</v>
      </c>
      <c r="J684" s="1319"/>
      <c r="K684" s="160"/>
    </row>
    <row r="685" spans="1:11" ht="60" hidden="1" x14ac:dyDescent="0.25">
      <c r="A685" s="92" t="s">
        <v>639</v>
      </c>
      <c r="B685" s="174"/>
      <c r="C685" s="5"/>
      <c r="D685" s="12" t="s">
        <v>32</v>
      </c>
      <c r="E685" s="101">
        <f>'3.8.комм услуги'!LG112</f>
        <v>0</v>
      </c>
      <c r="F685" s="102">
        <f>'3.8.комм услуги'!LI112</f>
        <v>0</v>
      </c>
      <c r="G685" s="102">
        <f t="shared" si="68"/>
        <v>0</v>
      </c>
      <c r="H685" s="102">
        <f t="shared" si="69"/>
        <v>0</v>
      </c>
      <c r="I685" s="1318" t="s">
        <v>884</v>
      </c>
      <c r="J685" s="1319"/>
      <c r="K685" s="160"/>
    </row>
    <row r="686" spans="1:11" ht="24" x14ac:dyDescent="0.25">
      <c r="A686" s="12" t="s">
        <v>626</v>
      </c>
      <c r="B686" s="174" t="s">
        <v>606</v>
      </c>
      <c r="C686" s="5"/>
      <c r="D686" s="12" t="s">
        <v>32</v>
      </c>
      <c r="E686" s="101">
        <f>'3.8.комм услуги'!LG113</f>
        <v>2.1498550700000001</v>
      </c>
      <c r="F686" s="102">
        <f>'3.8.комм услуги'!LI113</f>
        <v>108.01</v>
      </c>
      <c r="G686" s="102">
        <f t="shared" si="68"/>
        <v>108.01</v>
      </c>
      <c r="H686" s="102">
        <f t="shared" si="69"/>
        <v>108.01</v>
      </c>
      <c r="I686" s="1318" t="s">
        <v>884</v>
      </c>
      <c r="J686" s="1319"/>
      <c r="K686" s="160"/>
    </row>
    <row r="687" spans="1:11" ht="36" x14ac:dyDescent="0.25">
      <c r="A687" s="12" t="s">
        <v>627</v>
      </c>
      <c r="B687" s="174" t="s">
        <v>607</v>
      </c>
      <c r="C687" s="5"/>
      <c r="D687" s="12" t="s">
        <v>32</v>
      </c>
      <c r="E687" s="101">
        <f>'3.8.комм услуги'!LG114</f>
        <v>2.1503174600000001</v>
      </c>
      <c r="F687" s="102">
        <f>'3.8.комм услуги'!LI114</f>
        <v>108.03</v>
      </c>
      <c r="G687" s="102">
        <f t="shared" si="68"/>
        <v>108.03</v>
      </c>
      <c r="H687" s="102">
        <f t="shared" si="69"/>
        <v>108.03</v>
      </c>
      <c r="I687" s="1318" t="s">
        <v>884</v>
      </c>
      <c r="J687" s="1319"/>
      <c r="K687" s="160"/>
    </row>
    <row r="688" spans="1:11" x14ac:dyDescent="0.25">
      <c r="A688" s="174" t="s">
        <v>608</v>
      </c>
      <c r="B688" s="174" t="s">
        <v>979</v>
      </c>
      <c r="C688" s="5"/>
      <c r="D688" s="12" t="s">
        <v>32</v>
      </c>
      <c r="E688" s="101">
        <f>'3.8.комм услуги'!LG115</f>
        <v>2.1479831900000002</v>
      </c>
      <c r="F688" s="102">
        <f>'3.8.комм услуги'!LI115</f>
        <v>107.91</v>
      </c>
      <c r="G688" s="102">
        <f t="shared" si="68"/>
        <v>107.91</v>
      </c>
      <c r="H688" s="102">
        <f t="shared" si="69"/>
        <v>107.91</v>
      </c>
      <c r="I688" s="1318" t="s">
        <v>884</v>
      </c>
      <c r="J688" s="1319"/>
      <c r="K688" s="160"/>
    </row>
    <row r="689" spans="1:11" x14ac:dyDescent="0.25">
      <c r="A689" s="174" t="s">
        <v>611</v>
      </c>
      <c r="B689" s="174" t="s">
        <v>2233</v>
      </c>
      <c r="C689" s="5"/>
      <c r="D689" s="12" t="s">
        <v>32</v>
      </c>
      <c r="E689" s="101">
        <f>'3.8.комм услуги'!LG116</f>
        <v>2.206</v>
      </c>
      <c r="F689" s="102">
        <f>'3.8.комм услуги'!LI116</f>
        <v>110.83</v>
      </c>
      <c r="G689" s="102">
        <f t="shared" si="68"/>
        <v>110.83</v>
      </c>
      <c r="H689" s="102">
        <f t="shared" si="69"/>
        <v>110.83</v>
      </c>
      <c r="I689" s="1318" t="s">
        <v>884</v>
      </c>
      <c r="J689" s="1319"/>
      <c r="K689" s="160"/>
    </row>
    <row r="690" spans="1:11" ht="36" x14ac:dyDescent="0.25">
      <c r="A690" s="96" t="s">
        <v>620</v>
      </c>
      <c r="B690" s="181"/>
      <c r="C690" s="6"/>
      <c r="D690" s="16"/>
      <c r="E690" s="7"/>
      <c r="F690" s="95"/>
      <c r="G690" s="95"/>
      <c r="H690" s="95"/>
      <c r="I690" s="99"/>
      <c r="J690" s="100"/>
      <c r="K690" s="161" t="s">
        <v>858</v>
      </c>
    </row>
    <row r="691" spans="1:11" x14ac:dyDescent="0.25">
      <c r="A691" s="12" t="s">
        <v>609</v>
      </c>
      <c r="B691" s="174" t="s">
        <v>621</v>
      </c>
      <c r="C691" s="5"/>
      <c r="D691" s="12" t="s">
        <v>32</v>
      </c>
      <c r="E691" s="101">
        <f>'3.8.комм услуги'!LG118</f>
        <v>2.1474921500000002</v>
      </c>
      <c r="F691" s="102">
        <f>'3.8.комм услуги'!LI118</f>
        <v>107.89</v>
      </c>
      <c r="G691" s="102">
        <f t="shared" ref="G691:G698" si="70">F691</f>
        <v>107.89</v>
      </c>
      <c r="H691" s="102">
        <f t="shared" ref="H691:H698" si="71">F691</f>
        <v>107.89</v>
      </c>
      <c r="I691" s="1318" t="s">
        <v>884</v>
      </c>
      <c r="J691" s="1319"/>
      <c r="K691" s="160"/>
    </row>
    <row r="692" spans="1:11" ht="72" hidden="1" x14ac:dyDescent="0.25">
      <c r="A692" s="92" t="s">
        <v>610</v>
      </c>
      <c r="B692" s="174"/>
      <c r="C692" s="5"/>
      <c r="D692" s="12" t="s">
        <v>32</v>
      </c>
      <c r="E692" s="101">
        <f>'3.8.комм услуги'!LG119</f>
        <v>0</v>
      </c>
      <c r="F692" s="102">
        <f>'3.8.комм услуги'!LI119</f>
        <v>0</v>
      </c>
      <c r="G692" s="102">
        <f t="shared" si="70"/>
        <v>0</v>
      </c>
      <c r="H692" s="102">
        <f t="shared" si="71"/>
        <v>0</v>
      </c>
      <c r="I692" s="1318" t="s">
        <v>884</v>
      </c>
      <c r="J692" s="1319"/>
      <c r="K692" s="160"/>
    </row>
    <row r="693" spans="1:11" ht="48" hidden="1" x14ac:dyDescent="0.25">
      <c r="A693" s="92" t="s">
        <v>625</v>
      </c>
      <c r="B693" s="174"/>
      <c r="C693" s="5"/>
      <c r="D693" s="12" t="s">
        <v>32</v>
      </c>
      <c r="E693" s="101">
        <f>'3.8.комм услуги'!LG120</f>
        <v>0</v>
      </c>
      <c r="F693" s="102">
        <f>'3.8.комм услуги'!LI120</f>
        <v>0</v>
      </c>
      <c r="G693" s="102">
        <f t="shared" si="70"/>
        <v>0</v>
      </c>
      <c r="H693" s="102">
        <f t="shared" si="71"/>
        <v>0</v>
      </c>
      <c r="I693" s="1318" t="s">
        <v>884</v>
      </c>
      <c r="J693" s="1319"/>
      <c r="K693" s="160"/>
    </row>
    <row r="694" spans="1:11" ht="60" hidden="1" x14ac:dyDescent="0.25">
      <c r="A694" s="92" t="s">
        <v>639</v>
      </c>
      <c r="B694" s="174"/>
      <c r="C694" s="5"/>
      <c r="D694" s="12" t="s">
        <v>32</v>
      </c>
      <c r="E694" s="101">
        <f>'3.8.комм услуги'!LG121</f>
        <v>0</v>
      </c>
      <c r="F694" s="102">
        <f>'3.8.комм услуги'!LI121</f>
        <v>0</v>
      </c>
      <c r="G694" s="102">
        <f t="shared" si="70"/>
        <v>0</v>
      </c>
      <c r="H694" s="102">
        <f t="shared" si="71"/>
        <v>0</v>
      </c>
      <c r="I694" s="1318" t="s">
        <v>884</v>
      </c>
      <c r="J694" s="1319"/>
      <c r="K694" s="160"/>
    </row>
    <row r="695" spans="1:11" ht="24" x14ac:dyDescent="0.25">
      <c r="A695" s="12" t="s">
        <v>626</v>
      </c>
      <c r="B695" s="174" t="s">
        <v>980</v>
      </c>
      <c r="C695" s="5"/>
      <c r="D695" s="12" t="s">
        <v>32</v>
      </c>
      <c r="E695" s="101">
        <f>'3.8.комм услуги'!LG122</f>
        <v>2.145</v>
      </c>
      <c r="F695" s="102">
        <f>'3.8.комм услуги'!LI122</f>
        <v>107.76</v>
      </c>
      <c r="G695" s="102">
        <f t="shared" si="70"/>
        <v>107.76</v>
      </c>
      <c r="H695" s="102">
        <f t="shared" si="71"/>
        <v>107.76</v>
      </c>
      <c r="I695" s="1318" t="s">
        <v>884</v>
      </c>
      <c r="J695" s="1319"/>
      <c r="K695" s="160"/>
    </row>
    <row r="696" spans="1:11" ht="36" x14ac:dyDescent="0.25">
      <c r="A696" s="12" t="s">
        <v>627</v>
      </c>
      <c r="B696" s="174" t="s">
        <v>622</v>
      </c>
      <c r="C696" s="5"/>
      <c r="D696" s="12" t="s">
        <v>32</v>
      </c>
      <c r="E696" s="101">
        <f>'3.8.комм услуги'!LG123</f>
        <v>2.4500000000000002</v>
      </c>
      <c r="F696" s="102">
        <f>'3.8.комм услуги'!LI123</f>
        <v>123.09</v>
      </c>
      <c r="G696" s="102">
        <f t="shared" si="70"/>
        <v>123.09</v>
      </c>
      <c r="H696" s="102">
        <f t="shared" si="71"/>
        <v>123.09</v>
      </c>
      <c r="I696" s="1318" t="s">
        <v>884</v>
      </c>
      <c r="J696" s="1319"/>
      <c r="K696" s="160"/>
    </row>
    <row r="697" spans="1:11" x14ac:dyDescent="0.25">
      <c r="A697" s="174" t="s">
        <v>608</v>
      </c>
      <c r="B697" s="174" t="s">
        <v>623</v>
      </c>
      <c r="C697" s="5"/>
      <c r="D697" s="12" t="s">
        <v>32</v>
      </c>
      <c r="E697" s="101">
        <f>'3.8.комм услуги'!LG124</f>
        <v>2.1529268300000002</v>
      </c>
      <c r="F697" s="102">
        <f>'3.8.комм услуги'!LI124</f>
        <v>108.16</v>
      </c>
      <c r="G697" s="102">
        <f t="shared" si="70"/>
        <v>108.16</v>
      </c>
      <c r="H697" s="102">
        <f t="shared" si="71"/>
        <v>108.16</v>
      </c>
      <c r="I697" s="1318" t="s">
        <v>884</v>
      </c>
      <c r="J697" s="1319"/>
      <c r="K697" s="160"/>
    </row>
    <row r="698" spans="1:11" ht="15" hidden="1" customHeight="1" x14ac:dyDescent="0.25">
      <c r="A698" s="92" t="s">
        <v>611</v>
      </c>
      <c r="B698" s="174"/>
      <c r="C698" s="5"/>
      <c r="D698" s="12" t="s">
        <v>32</v>
      </c>
      <c r="E698" s="101">
        <f>'3.8.комм услуги'!LG125</f>
        <v>0</v>
      </c>
      <c r="F698" s="102">
        <f>'3.8.комм услуги'!LI125</f>
        <v>0</v>
      </c>
      <c r="G698" s="102">
        <f t="shared" si="70"/>
        <v>0</v>
      </c>
      <c r="H698" s="102">
        <f t="shared" si="71"/>
        <v>0</v>
      </c>
      <c r="I698" s="1318" t="s">
        <v>884</v>
      </c>
      <c r="J698" s="1319"/>
      <c r="K698" s="160"/>
    </row>
    <row r="699" spans="1:11" ht="24" hidden="1" x14ac:dyDescent="0.25">
      <c r="A699" s="96" t="s">
        <v>601</v>
      </c>
      <c r="B699" s="181"/>
      <c r="C699" s="6"/>
      <c r="D699" s="16"/>
      <c r="E699" s="7"/>
      <c r="F699" s="95"/>
      <c r="G699" s="95"/>
      <c r="H699" s="95"/>
      <c r="I699" s="99"/>
      <c r="J699" s="100"/>
      <c r="K699" s="161" t="s">
        <v>858</v>
      </c>
    </row>
    <row r="700" spans="1:11" ht="15" hidden="1" customHeight="1" x14ac:dyDescent="0.25">
      <c r="A700" s="12" t="s">
        <v>456</v>
      </c>
      <c r="B700" s="174" t="s">
        <v>648</v>
      </c>
      <c r="C700" s="5"/>
      <c r="D700" s="12" t="s">
        <v>881</v>
      </c>
      <c r="E700" s="13" t="s">
        <v>442</v>
      </c>
      <c r="F700" s="102">
        <v>0</v>
      </c>
      <c r="G700" s="102">
        <v>0</v>
      </c>
      <c r="H700" s="102">
        <v>0</v>
      </c>
      <c r="I700" s="1318"/>
      <c r="J700" s="1319"/>
      <c r="K700" s="160"/>
    </row>
    <row r="701" spans="1:11" ht="15" hidden="1" customHeight="1" x14ac:dyDescent="0.25">
      <c r="A701" s="12" t="s">
        <v>457</v>
      </c>
      <c r="B701" s="174" t="s">
        <v>649</v>
      </c>
      <c r="C701" s="5"/>
      <c r="D701" s="12" t="s">
        <v>881</v>
      </c>
      <c r="E701" s="13" t="s">
        <v>442</v>
      </c>
      <c r="F701" s="102">
        <v>0</v>
      </c>
      <c r="G701" s="102">
        <v>0</v>
      </c>
      <c r="H701" s="102">
        <v>0</v>
      </c>
      <c r="I701" s="1318"/>
      <c r="J701" s="1319"/>
      <c r="K701" s="160"/>
    </row>
    <row r="702" spans="1:11" ht="15" hidden="1" customHeight="1" x14ac:dyDescent="0.25">
      <c r="A702" s="12" t="s">
        <v>471</v>
      </c>
      <c r="B702" s="174" t="s">
        <v>650</v>
      </c>
      <c r="C702" s="5"/>
      <c r="D702" s="12" t="s">
        <v>881</v>
      </c>
      <c r="E702" s="13" t="s">
        <v>442</v>
      </c>
      <c r="F702" s="102">
        <v>0</v>
      </c>
      <c r="G702" s="102">
        <v>0</v>
      </c>
      <c r="H702" s="102">
        <v>0</v>
      </c>
      <c r="I702" s="1318"/>
      <c r="J702" s="1319"/>
      <c r="K702" s="160"/>
    </row>
    <row r="703" spans="1:11" ht="15" hidden="1" customHeight="1" x14ac:dyDescent="0.25">
      <c r="A703" s="12" t="s">
        <v>458</v>
      </c>
      <c r="B703" s="174" t="s">
        <v>651</v>
      </c>
      <c r="C703" s="5"/>
      <c r="D703" s="12" t="s">
        <v>881</v>
      </c>
      <c r="E703" s="13" t="s">
        <v>442</v>
      </c>
      <c r="F703" s="102">
        <v>0</v>
      </c>
      <c r="G703" s="102">
        <v>0</v>
      </c>
      <c r="H703" s="102">
        <v>0</v>
      </c>
      <c r="I703" s="1318"/>
      <c r="J703" s="1319"/>
      <c r="K703" s="160"/>
    </row>
    <row r="704" spans="1:11" ht="15" hidden="1" customHeight="1" x14ac:dyDescent="0.25">
      <c r="A704" s="12" t="s">
        <v>459</v>
      </c>
      <c r="B704" s="174" t="s">
        <v>652</v>
      </c>
      <c r="C704" s="5"/>
      <c r="D704" s="12" t="s">
        <v>881</v>
      </c>
      <c r="E704" s="13" t="s">
        <v>442</v>
      </c>
      <c r="F704" s="102">
        <v>0</v>
      </c>
      <c r="G704" s="102">
        <v>0</v>
      </c>
      <c r="H704" s="102">
        <v>0</v>
      </c>
      <c r="I704" s="1318"/>
      <c r="J704" s="1319"/>
      <c r="K704" s="160"/>
    </row>
    <row r="705" spans="1:11" ht="15" hidden="1" customHeight="1" x14ac:dyDescent="0.25">
      <c r="A705" s="12" t="s">
        <v>460</v>
      </c>
      <c r="B705" s="174" t="s">
        <v>653</v>
      </c>
      <c r="C705" s="5"/>
      <c r="D705" s="12" t="s">
        <v>881</v>
      </c>
      <c r="E705" s="13" t="s">
        <v>442</v>
      </c>
      <c r="F705" s="102">
        <v>0</v>
      </c>
      <c r="G705" s="102">
        <v>0</v>
      </c>
      <c r="H705" s="102">
        <v>0</v>
      </c>
      <c r="I705" s="1318"/>
      <c r="J705" s="1319"/>
      <c r="K705" s="160"/>
    </row>
    <row r="706" spans="1:11" ht="12" customHeight="1" x14ac:dyDescent="0.25">
      <c r="A706" s="7"/>
      <c r="B706" s="181"/>
      <c r="C706" s="6" t="s">
        <v>45</v>
      </c>
      <c r="D706" s="16" t="s">
        <v>46</v>
      </c>
      <c r="E706" s="7"/>
      <c r="F706" s="95"/>
      <c r="G706" s="95"/>
      <c r="H706" s="95"/>
      <c r="I706" s="99"/>
      <c r="J706" s="100"/>
      <c r="K706" s="161"/>
    </row>
    <row r="707" spans="1:11" ht="36" hidden="1" x14ac:dyDescent="0.25">
      <c r="A707" s="96" t="s">
        <v>426</v>
      </c>
      <c r="B707" s="181"/>
      <c r="C707" s="6"/>
      <c r="D707" s="16"/>
      <c r="E707" s="7"/>
      <c r="F707" s="95"/>
      <c r="G707" s="95"/>
      <c r="H707" s="95"/>
      <c r="I707" s="99"/>
      <c r="J707" s="100"/>
      <c r="K707" s="161" t="s">
        <v>859</v>
      </c>
    </row>
    <row r="708" spans="1:11" ht="15" hidden="1" customHeight="1" x14ac:dyDescent="0.25">
      <c r="A708" s="174" t="s">
        <v>421</v>
      </c>
      <c r="B708" s="174" t="s">
        <v>427</v>
      </c>
      <c r="C708" s="5"/>
      <c r="D708" s="12" t="s">
        <v>881</v>
      </c>
      <c r="E708" s="13" t="s">
        <v>442</v>
      </c>
      <c r="F708" s="102">
        <v>0</v>
      </c>
      <c r="G708" s="102">
        <v>0</v>
      </c>
      <c r="H708" s="102">
        <v>0</v>
      </c>
      <c r="I708" s="1318"/>
      <c r="J708" s="1319"/>
      <c r="K708" s="160"/>
    </row>
    <row r="709" spans="1:11" ht="15" hidden="1" customHeight="1" x14ac:dyDescent="0.25">
      <c r="A709" s="174" t="s">
        <v>413</v>
      </c>
      <c r="B709" s="174" t="s">
        <v>430</v>
      </c>
      <c r="C709" s="5"/>
      <c r="D709" s="12" t="s">
        <v>881</v>
      </c>
      <c r="E709" s="13" t="s">
        <v>442</v>
      </c>
      <c r="F709" s="102">
        <v>0</v>
      </c>
      <c r="G709" s="102">
        <v>0</v>
      </c>
      <c r="H709" s="102">
        <v>0</v>
      </c>
      <c r="I709" s="1318"/>
      <c r="J709" s="1319"/>
      <c r="K709" s="160"/>
    </row>
    <row r="710" spans="1:11" ht="15" hidden="1" customHeight="1" x14ac:dyDescent="0.25">
      <c r="A710" s="174" t="s">
        <v>700</v>
      </c>
      <c r="B710" s="174" t="s">
        <v>427</v>
      </c>
      <c r="C710" s="5"/>
      <c r="D710" s="12" t="s">
        <v>881</v>
      </c>
      <c r="E710" s="13" t="s">
        <v>442</v>
      </c>
      <c r="F710" s="102">
        <v>0</v>
      </c>
      <c r="G710" s="102">
        <v>0</v>
      </c>
      <c r="H710" s="102">
        <v>0</v>
      </c>
      <c r="I710" s="1318"/>
      <c r="J710" s="1319"/>
      <c r="K710" s="160"/>
    </row>
    <row r="711" spans="1:11" ht="30" hidden="1" customHeight="1" x14ac:dyDescent="0.25">
      <c r="A711" s="174" t="s">
        <v>414</v>
      </c>
      <c r="B711" s="174" t="s">
        <v>430</v>
      </c>
      <c r="C711" s="5"/>
      <c r="D711" s="12" t="s">
        <v>881</v>
      </c>
      <c r="E711" s="13" t="s">
        <v>442</v>
      </c>
      <c r="F711" s="102">
        <v>0</v>
      </c>
      <c r="G711" s="102">
        <v>0</v>
      </c>
      <c r="H711" s="102">
        <v>0</v>
      </c>
      <c r="I711" s="1318"/>
      <c r="J711" s="1319"/>
      <c r="K711" s="160"/>
    </row>
    <row r="712" spans="1:11" ht="15" hidden="1" customHeight="1" x14ac:dyDescent="0.25">
      <c r="A712" s="174" t="s">
        <v>415</v>
      </c>
      <c r="B712" s="174" t="s">
        <v>430</v>
      </c>
      <c r="C712" s="5"/>
      <c r="D712" s="12" t="s">
        <v>881</v>
      </c>
      <c r="E712" s="13" t="s">
        <v>442</v>
      </c>
      <c r="F712" s="102">
        <v>0</v>
      </c>
      <c r="G712" s="102">
        <v>0</v>
      </c>
      <c r="H712" s="102">
        <v>0</v>
      </c>
      <c r="I712" s="1318"/>
      <c r="J712" s="1319"/>
      <c r="K712" s="160"/>
    </row>
    <row r="713" spans="1:11" ht="15" hidden="1" customHeight="1" x14ac:dyDescent="0.25">
      <c r="A713" s="92" t="s">
        <v>416</v>
      </c>
      <c r="B713" s="174" t="s">
        <v>429</v>
      </c>
      <c r="C713" s="5"/>
      <c r="D713" s="12" t="s">
        <v>881</v>
      </c>
      <c r="E713" s="13" t="s">
        <v>442</v>
      </c>
      <c r="F713" s="102">
        <v>0</v>
      </c>
      <c r="G713" s="102">
        <v>0</v>
      </c>
      <c r="H713" s="102">
        <v>0</v>
      </c>
      <c r="I713" s="1318"/>
      <c r="J713" s="1319"/>
      <c r="K713" s="160"/>
    </row>
    <row r="714" spans="1:11" ht="15" hidden="1" customHeight="1" x14ac:dyDescent="0.25">
      <c r="A714" s="98" t="s">
        <v>417</v>
      </c>
      <c r="B714" s="174" t="s">
        <v>429</v>
      </c>
      <c r="C714" s="5"/>
      <c r="D714" s="12" t="s">
        <v>881</v>
      </c>
      <c r="E714" s="13" t="s">
        <v>442</v>
      </c>
      <c r="F714" s="102">
        <v>0</v>
      </c>
      <c r="G714" s="102">
        <v>0</v>
      </c>
      <c r="H714" s="102">
        <v>0</v>
      </c>
      <c r="I714" s="1318"/>
      <c r="J714" s="1319"/>
      <c r="K714" s="160"/>
    </row>
    <row r="715" spans="1:11" ht="15" hidden="1" customHeight="1" x14ac:dyDescent="0.25">
      <c r="A715" s="98" t="s">
        <v>422</v>
      </c>
      <c r="B715" s="174" t="s">
        <v>428</v>
      </c>
      <c r="C715" s="5"/>
      <c r="D715" s="12" t="s">
        <v>881</v>
      </c>
      <c r="E715" s="13" t="s">
        <v>442</v>
      </c>
      <c r="F715" s="102">
        <v>0</v>
      </c>
      <c r="G715" s="102">
        <v>0</v>
      </c>
      <c r="H715" s="102">
        <v>0</v>
      </c>
      <c r="I715" s="1318"/>
      <c r="J715" s="1319"/>
      <c r="K715" s="160"/>
    </row>
    <row r="716" spans="1:11" ht="15" hidden="1" customHeight="1" x14ac:dyDescent="0.25">
      <c r="A716" s="98" t="s">
        <v>418</v>
      </c>
      <c r="B716" s="174" t="s">
        <v>429</v>
      </c>
      <c r="C716" s="5"/>
      <c r="D716" s="12" t="s">
        <v>881</v>
      </c>
      <c r="E716" s="13" t="s">
        <v>442</v>
      </c>
      <c r="F716" s="102">
        <v>0</v>
      </c>
      <c r="G716" s="102">
        <v>0</v>
      </c>
      <c r="H716" s="102">
        <v>0</v>
      </c>
      <c r="I716" s="1318"/>
      <c r="J716" s="1319"/>
      <c r="K716" s="160"/>
    </row>
    <row r="717" spans="1:11" ht="15" hidden="1" customHeight="1" x14ac:dyDescent="0.25">
      <c r="A717" s="92" t="s">
        <v>423</v>
      </c>
      <c r="B717" s="174" t="s">
        <v>427</v>
      </c>
      <c r="C717" s="5"/>
      <c r="D717" s="12" t="s">
        <v>881</v>
      </c>
      <c r="E717" s="13" t="s">
        <v>442</v>
      </c>
      <c r="F717" s="102">
        <v>0</v>
      </c>
      <c r="G717" s="102">
        <v>0</v>
      </c>
      <c r="H717" s="102">
        <v>0</v>
      </c>
      <c r="I717" s="1318"/>
      <c r="J717" s="1319"/>
      <c r="K717" s="160"/>
    </row>
    <row r="718" spans="1:11" ht="15" hidden="1" customHeight="1" x14ac:dyDescent="0.25">
      <c r="A718" s="174" t="s">
        <v>419</v>
      </c>
      <c r="B718" s="174" t="s">
        <v>430</v>
      </c>
      <c r="C718" s="5"/>
      <c r="D718" s="12" t="s">
        <v>881</v>
      </c>
      <c r="E718" s="13" t="s">
        <v>442</v>
      </c>
      <c r="F718" s="102">
        <v>0</v>
      </c>
      <c r="G718" s="102">
        <v>0</v>
      </c>
      <c r="H718" s="102">
        <v>0</v>
      </c>
      <c r="I718" s="1318"/>
      <c r="J718" s="1319"/>
      <c r="K718" s="160"/>
    </row>
    <row r="719" spans="1:11" ht="15" hidden="1" customHeight="1" x14ac:dyDescent="0.25">
      <c r="A719" s="92" t="s">
        <v>424</v>
      </c>
      <c r="B719" s="174" t="s">
        <v>427</v>
      </c>
      <c r="C719" s="5"/>
      <c r="D719" s="12" t="s">
        <v>881</v>
      </c>
      <c r="E719" s="13" t="s">
        <v>442</v>
      </c>
      <c r="F719" s="102">
        <v>0</v>
      </c>
      <c r="G719" s="102">
        <v>0</v>
      </c>
      <c r="H719" s="102">
        <v>0</v>
      </c>
      <c r="I719" s="1318"/>
      <c r="J719" s="1319"/>
      <c r="K719" s="160"/>
    </row>
    <row r="720" spans="1:11" ht="15" hidden="1" customHeight="1" x14ac:dyDescent="0.25">
      <c r="A720" s="174" t="s">
        <v>420</v>
      </c>
      <c r="B720" s="174" t="s">
        <v>430</v>
      </c>
      <c r="C720" s="5"/>
      <c r="D720" s="12" t="s">
        <v>881</v>
      </c>
      <c r="E720" s="13" t="s">
        <v>442</v>
      </c>
      <c r="F720" s="102">
        <v>0</v>
      </c>
      <c r="G720" s="102">
        <v>0</v>
      </c>
      <c r="H720" s="102">
        <v>0</v>
      </c>
      <c r="I720" s="1318"/>
      <c r="J720" s="1319"/>
      <c r="K720" s="160"/>
    </row>
    <row r="721" spans="1:11" ht="15" hidden="1" customHeight="1" x14ac:dyDescent="0.25">
      <c r="A721" s="340"/>
      <c r="B721" s="174"/>
      <c r="C721" s="5"/>
      <c r="D721" s="12" t="s">
        <v>881</v>
      </c>
      <c r="E721" s="13" t="s">
        <v>442</v>
      </c>
      <c r="F721" s="102">
        <v>0</v>
      </c>
      <c r="G721" s="102">
        <v>0</v>
      </c>
      <c r="H721" s="102">
        <v>0</v>
      </c>
      <c r="I721" s="1318"/>
      <c r="J721" s="1319"/>
      <c r="K721" s="160"/>
    </row>
    <row r="722" spans="1:11" hidden="1" x14ac:dyDescent="0.25">
      <c r="A722" s="96" t="s">
        <v>431</v>
      </c>
      <c r="B722" s="181"/>
      <c r="C722" s="6"/>
      <c r="D722" s="16"/>
      <c r="E722" s="7"/>
      <c r="F722" s="95"/>
      <c r="G722" s="95"/>
      <c r="H722" s="95"/>
      <c r="I722" s="99"/>
      <c r="J722" s="100"/>
      <c r="K722" s="161" t="s">
        <v>859</v>
      </c>
    </row>
    <row r="723" spans="1:11" ht="15" hidden="1" customHeight="1" x14ac:dyDescent="0.25">
      <c r="A723" s="12" t="s">
        <v>702</v>
      </c>
      <c r="B723" s="174" t="s">
        <v>432</v>
      </c>
      <c r="C723" s="5"/>
      <c r="D723" s="12" t="s">
        <v>881</v>
      </c>
      <c r="E723" s="13" t="s">
        <v>442</v>
      </c>
      <c r="F723" s="102">
        <v>0</v>
      </c>
      <c r="G723" s="102">
        <v>0</v>
      </c>
      <c r="H723" s="102">
        <v>0</v>
      </c>
      <c r="I723" s="1318"/>
      <c r="J723" s="1319"/>
      <c r="K723" s="160"/>
    </row>
    <row r="724" spans="1:11" ht="15" hidden="1" customHeight="1" x14ac:dyDescent="0.25">
      <c r="A724" s="12" t="s">
        <v>703</v>
      </c>
      <c r="B724" s="174" t="s">
        <v>433</v>
      </c>
      <c r="C724" s="5"/>
      <c r="D724" s="12" t="s">
        <v>881</v>
      </c>
      <c r="E724" s="13" t="s">
        <v>442</v>
      </c>
      <c r="F724" s="102">
        <v>0</v>
      </c>
      <c r="G724" s="102">
        <v>0</v>
      </c>
      <c r="H724" s="102">
        <v>0</v>
      </c>
      <c r="I724" s="1318"/>
      <c r="J724" s="1319"/>
      <c r="K724" s="160"/>
    </row>
    <row r="725" spans="1:11" ht="15" hidden="1" customHeight="1" x14ac:dyDescent="0.25">
      <c r="A725" s="12" t="s">
        <v>704</v>
      </c>
      <c r="B725" s="174" t="s">
        <v>434</v>
      </c>
      <c r="C725" s="5"/>
      <c r="D725" s="12" t="s">
        <v>881</v>
      </c>
      <c r="E725" s="13" t="s">
        <v>442</v>
      </c>
      <c r="F725" s="102">
        <v>0</v>
      </c>
      <c r="G725" s="102">
        <v>0</v>
      </c>
      <c r="H725" s="102">
        <v>0</v>
      </c>
      <c r="I725" s="1318"/>
      <c r="J725" s="1319"/>
      <c r="K725" s="160"/>
    </row>
    <row r="726" spans="1:11" s="435" customFormat="1" ht="15" hidden="1" customHeight="1" x14ac:dyDescent="0.25">
      <c r="A726" s="641" t="s">
        <v>1407</v>
      </c>
      <c r="B726" s="174" t="s">
        <v>435</v>
      </c>
      <c r="C726" s="5"/>
      <c r="D726" s="12" t="s">
        <v>881</v>
      </c>
      <c r="E726" s="13" t="s">
        <v>442</v>
      </c>
      <c r="F726" s="102">
        <v>0</v>
      </c>
      <c r="G726" s="102">
        <v>0</v>
      </c>
      <c r="H726" s="102">
        <v>0</v>
      </c>
      <c r="I726" s="1318"/>
      <c r="J726" s="1319"/>
      <c r="K726" s="160"/>
    </row>
    <row r="727" spans="1:11" ht="15" hidden="1" customHeight="1" x14ac:dyDescent="0.25">
      <c r="A727" s="12" t="s">
        <v>948</v>
      </c>
      <c r="B727" s="174" t="s">
        <v>435</v>
      </c>
      <c r="C727" s="5"/>
      <c r="D727" s="12" t="s">
        <v>881</v>
      </c>
      <c r="E727" s="13" t="s">
        <v>442</v>
      </c>
      <c r="F727" s="102">
        <v>0</v>
      </c>
      <c r="G727" s="102">
        <v>0</v>
      </c>
      <c r="H727" s="102">
        <v>0</v>
      </c>
      <c r="I727" s="1318"/>
      <c r="J727" s="1319"/>
      <c r="K727" s="160"/>
    </row>
    <row r="728" spans="1:11" ht="15" hidden="1" customHeight="1" x14ac:dyDescent="0.25">
      <c r="A728" s="12" t="s">
        <v>705</v>
      </c>
      <c r="B728" s="174" t="s">
        <v>436</v>
      </c>
      <c r="C728" s="5"/>
      <c r="D728" s="12" t="s">
        <v>881</v>
      </c>
      <c r="E728" s="13" t="s">
        <v>442</v>
      </c>
      <c r="F728" s="102">
        <v>0</v>
      </c>
      <c r="G728" s="102">
        <v>0</v>
      </c>
      <c r="H728" s="102">
        <v>0</v>
      </c>
      <c r="I728" s="1318"/>
      <c r="J728" s="1319"/>
      <c r="K728" s="160"/>
    </row>
    <row r="729" spans="1:11" ht="15" hidden="1" customHeight="1" x14ac:dyDescent="0.25">
      <c r="A729" s="98" t="s">
        <v>706</v>
      </c>
      <c r="B729" s="174" t="s">
        <v>437</v>
      </c>
      <c r="C729" s="5"/>
      <c r="D729" s="12" t="s">
        <v>881</v>
      </c>
      <c r="E729" s="13" t="s">
        <v>442</v>
      </c>
      <c r="F729" s="102">
        <v>0</v>
      </c>
      <c r="G729" s="102">
        <v>0</v>
      </c>
      <c r="H729" s="102">
        <v>0</v>
      </c>
      <c r="I729" s="1318"/>
      <c r="J729" s="1319"/>
      <c r="K729" s="160"/>
    </row>
    <row r="730" spans="1:11" ht="15" hidden="1" customHeight="1" x14ac:dyDescent="0.25">
      <c r="A730" s="98" t="s">
        <v>707</v>
      </c>
      <c r="B730" s="174" t="s">
        <v>438</v>
      </c>
      <c r="C730" s="5"/>
      <c r="D730" s="12" t="s">
        <v>881</v>
      </c>
      <c r="E730" s="13" t="s">
        <v>442</v>
      </c>
      <c r="F730" s="102">
        <v>0</v>
      </c>
      <c r="G730" s="102">
        <v>0</v>
      </c>
      <c r="H730" s="102">
        <v>0</v>
      </c>
      <c r="I730" s="1318"/>
      <c r="J730" s="1319"/>
      <c r="K730" s="160"/>
    </row>
    <row r="731" spans="1:11" ht="15" hidden="1" customHeight="1" x14ac:dyDescent="0.25">
      <c r="A731" s="98" t="s">
        <v>708</v>
      </c>
      <c r="B731" s="174" t="s">
        <v>439</v>
      </c>
      <c r="C731" s="5"/>
      <c r="D731" s="12" t="s">
        <v>881</v>
      </c>
      <c r="E731" s="13" t="s">
        <v>442</v>
      </c>
      <c r="F731" s="102">
        <v>0</v>
      </c>
      <c r="G731" s="102">
        <v>0</v>
      </c>
      <c r="H731" s="102">
        <v>0</v>
      </c>
      <c r="I731" s="1318"/>
      <c r="J731" s="1319"/>
      <c r="K731" s="160"/>
    </row>
    <row r="732" spans="1:11" s="435" customFormat="1" ht="15" hidden="1" customHeight="1" x14ac:dyDescent="0.25">
      <c r="A732" s="643" t="s">
        <v>1409</v>
      </c>
      <c r="B732" s="174" t="s">
        <v>440</v>
      </c>
      <c r="C732" s="5"/>
      <c r="D732" s="12" t="s">
        <v>881</v>
      </c>
      <c r="E732" s="13" t="s">
        <v>442</v>
      </c>
      <c r="F732" s="102">
        <v>0</v>
      </c>
      <c r="G732" s="102">
        <v>0</v>
      </c>
      <c r="H732" s="102">
        <v>0</v>
      </c>
      <c r="I732" s="1318"/>
      <c r="J732" s="1319"/>
      <c r="K732" s="160"/>
    </row>
    <row r="733" spans="1:11" ht="15" hidden="1" customHeight="1" x14ac:dyDescent="0.25">
      <c r="A733" s="98" t="s">
        <v>949</v>
      </c>
      <c r="B733" s="174" t="s">
        <v>440</v>
      </c>
      <c r="C733" s="5"/>
      <c r="D733" s="12" t="s">
        <v>881</v>
      </c>
      <c r="E733" s="13" t="s">
        <v>442</v>
      </c>
      <c r="F733" s="102">
        <v>0</v>
      </c>
      <c r="G733" s="102">
        <v>0</v>
      </c>
      <c r="H733" s="102">
        <v>0</v>
      </c>
      <c r="I733" s="1318"/>
      <c r="J733" s="1319"/>
      <c r="K733" s="160"/>
    </row>
    <row r="734" spans="1:11" ht="15" hidden="1" customHeight="1" x14ac:dyDescent="0.25">
      <c r="A734" s="98" t="s">
        <v>709</v>
      </c>
      <c r="B734" s="174" t="s">
        <v>441</v>
      </c>
      <c r="C734" s="5"/>
      <c r="D734" s="12" t="s">
        <v>881</v>
      </c>
      <c r="E734" s="13" t="s">
        <v>442</v>
      </c>
      <c r="F734" s="102">
        <v>0</v>
      </c>
      <c r="G734" s="102">
        <v>0</v>
      </c>
      <c r="H734" s="102">
        <v>0</v>
      </c>
      <c r="I734" s="1318"/>
      <c r="J734" s="1319"/>
      <c r="K734" s="160"/>
    </row>
    <row r="735" spans="1:11" ht="36" x14ac:dyDescent="0.25">
      <c r="A735" s="96" t="s">
        <v>624</v>
      </c>
      <c r="B735" s="181"/>
      <c r="C735" s="6"/>
      <c r="D735" s="16"/>
      <c r="E735" s="7"/>
      <c r="F735" s="95"/>
      <c r="G735" s="95"/>
      <c r="H735" s="95"/>
      <c r="I735" s="99"/>
      <c r="J735" s="100"/>
      <c r="K735" s="161" t="s">
        <v>859</v>
      </c>
    </row>
    <row r="736" spans="1:11" x14ac:dyDescent="0.25">
      <c r="A736" s="12" t="s">
        <v>609</v>
      </c>
      <c r="B736" s="174" t="s">
        <v>617</v>
      </c>
      <c r="C736" s="5"/>
      <c r="D736" s="12" t="s">
        <v>32</v>
      </c>
      <c r="E736" s="101">
        <f>'3.8.комм услуги'!LG129</f>
        <v>2.1474812000000001</v>
      </c>
      <c r="F736" s="102">
        <f>'3.8.комм услуги'!LI129</f>
        <v>62.04</v>
      </c>
      <c r="G736" s="102">
        <f>F736</f>
        <v>62.04</v>
      </c>
      <c r="H736" s="102">
        <f>F736</f>
        <v>62.04</v>
      </c>
      <c r="I736" s="1318" t="s">
        <v>884</v>
      </c>
      <c r="J736" s="1319"/>
      <c r="K736" s="160"/>
    </row>
    <row r="737" spans="1:11" ht="72" hidden="1" x14ac:dyDescent="0.25">
      <c r="A737" s="92" t="s">
        <v>610</v>
      </c>
      <c r="B737" s="174"/>
      <c r="C737" s="5"/>
      <c r="D737" s="12" t="s">
        <v>32</v>
      </c>
      <c r="E737" s="101">
        <f>'3.8.комм услуги'!LG130</f>
        <v>0</v>
      </c>
      <c r="F737" s="102">
        <f>'3.8.комм услуги'!LI130</f>
        <v>0</v>
      </c>
      <c r="G737" s="102">
        <f t="shared" ref="G737:G743" si="72">F737</f>
        <v>0</v>
      </c>
      <c r="H737" s="102">
        <f t="shared" ref="H737:H743" si="73">F737</f>
        <v>0</v>
      </c>
      <c r="I737" s="1318" t="s">
        <v>884</v>
      </c>
      <c r="J737" s="1319"/>
      <c r="K737" s="160"/>
    </row>
    <row r="738" spans="1:11" ht="48" x14ac:dyDescent="0.25">
      <c r="A738" s="12" t="s">
        <v>625</v>
      </c>
      <c r="B738" s="174" t="s">
        <v>978</v>
      </c>
      <c r="C738" s="5"/>
      <c r="D738" s="12" t="s">
        <v>32</v>
      </c>
      <c r="E738" s="101">
        <f>'3.8.комм услуги'!LG131</f>
        <v>2.1469948200000002</v>
      </c>
      <c r="F738" s="102">
        <f>'3.8.комм услуги'!LI131</f>
        <v>62.03</v>
      </c>
      <c r="G738" s="102">
        <f t="shared" si="72"/>
        <v>62.03</v>
      </c>
      <c r="H738" s="102">
        <f t="shared" si="73"/>
        <v>62.03</v>
      </c>
      <c r="I738" s="1318" t="s">
        <v>884</v>
      </c>
      <c r="J738" s="1319"/>
      <c r="K738" s="160"/>
    </row>
    <row r="739" spans="1:11" ht="24" x14ac:dyDescent="0.25">
      <c r="A739" s="12" t="s">
        <v>626</v>
      </c>
      <c r="B739" s="174" t="s">
        <v>618</v>
      </c>
      <c r="C739" s="5"/>
      <c r="D739" s="12" t="s">
        <v>32</v>
      </c>
      <c r="E739" s="101">
        <f>'3.8.комм услуги'!LG132</f>
        <v>2.14540541</v>
      </c>
      <c r="F739" s="102">
        <f>'3.8.комм услуги'!LI132</f>
        <v>61.98</v>
      </c>
      <c r="G739" s="102">
        <f t="shared" si="72"/>
        <v>61.98</v>
      </c>
      <c r="H739" s="102">
        <f t="shared" si="73"/>
        <v>61.98</v>
      </c>
      <c r="I739" s="1318" t="s">
        <v>884</v>
      </c>
      <c r="J739" s="1319"/>
      <c r="K739" s="160"/>
    </row>
    <row r="740" spans="1:11" ht="60" hidden="1" x14ac:dyDescent="0.25">
      <c r="A740" s="92" t="s">
        <v>639</v>
      </c>
      <c r="B740" s="174"/>
      <c r="C740" s="5"/>
      <c r="D740" s="12" t="s">
        <v>32</v>
      </c>
      <c r="E740" s="101">
        <f>'3.8.комм услуги'!LG133</f>
        <v>0</v>
      </c>
      <c r="F740" s="102">
        <f>'3.8.комм услуги'!LI133</f>
        <v>0</v>
      </c>
      <c r="G740" s="102">
        <f t="shared" si="72"/>
        <v>0</v>
      </c>
      <c r="H740" s="102">
        <f t="shared" si="73"/>
        <v>0</v>
      </c>
      <c r="I740" s="1318" t="s">
        <v>884</v>
      </c>
      <c r="J740" s="1319"/>
      <c r="K740" s="160"/>
    </row>
    <row r="741" spans="1:11" ht="36" x14ac:dyDescent="0.25">
      <c r="A741" s="12" t="s">
        <v>627</v>
      </c>
      <c r="B741" s="174" t="s">
        <v>619</v>
      </c>
      <c r="C741" s="5"/>
      <c r="D741" s="12" t="s">
        <v>32</v>
      </c>
      <c r="E741" s="101">
        <f>'3.8.комм услуги'!LG134</f>
        <v>2.1455000000000002</v>
      </c>
      <c r="F741" s="102">
        <f>'3.8.комм услуги'!LI134</f>
        <v>61.98</v>
      </c>
      <c r="G741" s="102">
        <f t="shared" si="72"/>
        <v>61.98</v>
      </c>
      <c r="H741" s="102">
        <f t="shared" si="73"/>
        <v>61.98</v>
      </c>
      <c r="I741" s="1318" t="s">
        <v>884</v>
      </c>
      <c r="J741" s="1319"/>
      <c r="K741" s="160"/>
    </row>
    <row r="742" spans="1:11" hidden="1" x14ac:dyDescent="0.25">
      <c r="A742" s="92" t="s">
        <v>608</v>
      </c>
      <c r="B742" s="174"/>
      <c r="C742" s="5"/>
      <c r="D742" s="12" t="s">
        <v>32</v>
      </c>
      <c r="E742" s="101">
        <f>'3.8.комм услуги'!LG135</f>
        <v>0</v>
      </c>
      <c r="F742" s="102">
        <f>'3.8.комм услуги'!LI135</f>
        <v>0</v>
      </c>
      <c r="G742" s="102">
        <f t="shared" si="72"/>
        <v>0</v>
      </c>
      <c r="H742" s="102">
        <f t="shared" si="73"/>
        <v>0</v>
      </c>
      <c r="I742" s="1318" t="s">
        <v>884</v>
      </c>
      <c r="J742" s="1319"/>
      <c r="K742" s="160"/>
    </row>
    <row r="743" spans="1:11" hidden="1" x14ac:dyDescent="0.25">
      <c r="A743" s="92" t="s">
        <v>611</v>
      </c>
      <c r="B743" s="174"/>
      <c r="C743" s="5"/>
      <c r="D743" s="12" t="s">
        <v>32</v>
      </c>
      <c r="E743" s="101">
        <f>'3.8.комм услуги'!LG136</f>
        <v>0</v>
      </c>
      <c r="F743" s="102">
        <f>'3.8.комм услуги'!LI136</f>
        <v>0</v>
      </c>
      <c r="G743" s="102">
        <f t="shared" si="72"/>
        <v>0</v>
      </c>
      <c r="H743" s="102">
        <f t="shared" si="73"/>
        <v>0</v>
      </c>
      <c r="I743" s="1318" t="s">
        <v>884</v>
      </c>
      <c r="J743" s="1319"/>
      <c r="K743" s="160"/>
    </row>
    <row r="744" spans="1:11" ht="36" x14ac:dyDescent="0.25">
      <c r="A744" s="96" t="s">
        <v>603</v>
      </c>
      <c r="B744" s="181"/>
      <c r="C744" s="6"/>
      <c r="D744" s="16"/>
      <c r="E744" s="7"/>
      <c r="F744" s="95"/>
      <c r="G744" s="95"/>
      <c r="H744" s="95"/>
      <c r="I744" s="99"/>
      <c r="J744" s="100"/>
      <c r="K744" s="161" t="s">
        <v>859</v>
      </c>
    </row>
    <row r="745" spans="1:11" x14ac:dyDescent="0.25">
      <c r="A745" s="12" t="s">
        <v>609</v>
      </c>
      <c r="B745" s="174" t="s">
        <v>604</v>
      </c>
      <c r="C745" s="5"/>
      <c r="D745" s="12" t="s">
        <v>32</v>
      </c>
      <c r="E745" s="101">
        <f>'3.8.комм услуги'!LG138</f>
        <v>2.1474839999999999</v>
      </c>
      <c r="F745" s="102">
        <f>'3.8.комм услуги'!LI138</f>
        <v>62.04</v>
      </c>
      <c r="G745" s="102">
        <f t="shared" ref="G745:G752" si="74">F745</f>
        <v>62.04</v>
      </c>
      <c r="H745" s="102">
        <f t="shared" ref="H745:H752" si="75">F745</f>
        <v>62.04</v>
      </c>
      <c r="I745" s="1318" t="s">
        <v>884</v>
      </c>
      <c r="J745" s="1319"/>
      <c r="K745" s="160"/>
    </row>
    <row r="746" spans="1:11" ht="72" hidden="1" x14ac:dyDescent="0.25">
      <c r="A746" s="92" t="s">
        <v>610</v>
      </c>
      <c r="B746" s="174"/>
      <c r="C746" s="5"/>
      <c r="D746" s="12" t="s">
        <v>32</v>
      </c>
      <c r="E746" s="101">
        <f>'3.8.комм услуги'!LG139</f>
        <v>0</v>
      </c>
      <c r="F746" s="102">
        <f>'3.8.комм услуги'!LI139</f>
        <v>0</v>
      </c>
      <c r="G746" s="102">
        <f t="shared" si="74"/>
        <v>0</v>
      </c>
      <c r="H746" s="102">
        <f t="shared" si="75"/>
        <v>0</v>
      </c>
      <c r="I746" s="1318" t="s">
        <v>884</v>
      </c>
      <c r="J746" s="1319"/>
      <c r="K746" s="160"/>
    </row>
    <row r="747" spans="1:11" ht="48" x14ac:dyDescent="0.25">
      <c r="A747" s="12" t="s">
        <v>625</v>
      </c>
      <c r="B747" s="174" t="s">
        <v>605</v>
      </c>
      <c r="C747" s="5"/>
      <c r="D747" s="12" t="s">
        <v>32</v>
      </c>
      <c r="E747" s="101">
        <f>'3.8.комм услуги'!LG140</f>
        <v>2.1473148100000001</v>
      </c>
      <c r="F747" s="102">
        <f>'3.8.комм услуги'!LI140</f>
        <v>62.04</v>
      </c>
      <c r="G747" s="102">
        <f t="shared" si="74"/>
        <v>62.04</v>
      </c>
      <c r="H747" s="102">
        <f t="shared" si="75"/>
        <v>62.04</v>
      </c>
      <c r="I747" s="1318" t="s">
        <v>884</v>
      </c>
      <c r="J747" s="1319"/>
      <c r="K747" s="160"/>
    </row>
    <row r="748" spans="1:11" ht="60" hidden="1" x14ac:dyDescent="0.25">
      <c r="A748" s="92" t="s">
        <v>639</v>
      </c>
      <c r="B748" s="174"/>
      <c r="C748" s="5"/>
      <c r="D748" s="12" t="s">
        <v>32</v>
      </c>
      <c r="E748" s="101">
        <f>'3.8.комм услуги'!LG141</f>
        <v>0</v>
      </c>
      <c r="F748" s="102">
        <f>'3.8.комм услуги'!LI141</f>
        <v>0</v>
      </c>
      <c r="G748" s="102">
        <f t="shared" si="74"/>
        <v>0</v>
      </c>
      <c r="H748" s="102">
        <f t="shared" si="75"/>
        <v>0</v>
      </c>
      <c r="I748" s="1318" t="s">
        <v>884</v>
      </c>
      <c r="J748" s="1319"/>
      <c r="K748" s="160"/>
    </row>
    <row r="749" spans="1:11" ht="24" x14ac:dyDescent="0.25">
      <c r="A749" s="12" t="s">
        <v>626</v>
      </c>
      <c r="B749" s="174" t="s">
        <v>606</v>
      </c>
      <c r="C749" s="5"/>
      <c r="D749" s="12" t="s">
        <v>32</v>
      </c>
      <c r="E749" s="101">
        <f>'3.8.комм услуги'!LG142</f>
        <v>2.1498550700000001</v>
      </c>
      <c r="F749" s="102">
        <f>'3.8.комм услуги'!LI142</f>
        <v>62.11</v>
      </c>
      <c r="G749" s="102">
        <f t="shared" si="74"/>
        <v>62.11</v>
      </c>
      <c r="H749" s="102">
        <f t="shared" si="75"/>
        <v>62.11</v>
      </c>
      <c r="I749" s="1318" t="s">
        <v>884</v>
      </c>
      <c r="J749" s="1319"/>
      <c r="K749" s="160"/>
    </row>
    <row r="750" spans="1:11" ht="36" x14ac:dyDescent="0.25">
      <c r="A750" s="12" t="s">
        <v>627</v>
      </c>
      <c r="B750" s="174" t="s">
        <v>607</v>
      </c>
      <c r="C750" s="5"/>
      <c r="D750" s="12" t="s">
        <v>32</v>
      </c>
      <c r="E750" s="101">
        <f>'3.8.комм услуги'!LG143</f>
        <v>2.1503174600000001</v>
      </c>
      <c r="F750" s="102">
        <f>'3.8.комм услуги'!LI143</f>
        <v>62.12</v>
      </c>
      <c r="G750" s="102">
        <f t="shared" si="74"/>
        <v>62.12</v>
      </c>
      <c r="H750" s="102">
        <f t="shared" si="75"/>
        <v>62.12</v>
      </c>
      <c r="I750" s="1318" t="s">
        <v>884</v>
      </c>
      <c r="J750" s="1319"/>
      <c r="K750" s="160"/>
    </row>
    <row r="751" spans="1:11" x14ac:dyDescent="0.25">
      <c r="A751" s="174" t="s">
        <v>608</v>
      </c>
      <c r="B751" s="174" t="s">
        <v>979</v>
      </c>
      <c r="C751" s="5"/>
      <c r="D751" s="12" t="s">
        <v>32</v>
      </c>
      <c r="E751" s="101">
        <f>'3.8.комм услуги'!LG144</f>
        <v>2.1479831900000002</v>
      </c>
      <c r="F751" s="102">
        <f>'3.8.комм услуги'!LI144</f>
        <v>62.06</v>
      </c>
      <c r="G751" s="102">
        <f t="shared" si="74"/>
        <v>62.06</v>
      </c>
      <c r="H751" s="102">
        <f t="shared" si="75"/>
        <v>62.06</v>
      </c>
      <c r="I751" s="1318" t="s">
        <v>884</v>
      </c>
      <c r="J751" s="1319"/>
      <c r="K751" s="160"/>
    </row>
    <row r="752" spans="1:11" x14ac:dyDescent="0.25">
      <c r="A752" s="174" t="s">
        <v>611</v>
      </c>
      <c r="B752" s="174" t="s">
        <v>2233</v>
      </c>
      <c r="C752" s="5"/>
      <c r="D752" s="12" t="s">
        <v>32</v>
      </c>
      <c r="E752" s="101">
        <f>'3.8.комм услуги'!LG145</f>
        <v>2.206</v>
      </c>
      <c r="F752" s="102">
        <f>'3.8.комм услуги'!LI145</f>
        <v>63.73</v>
      </c>
      <c r="G752" s="102">
        <f t="shared" si="74"/>
        <v>63.73</v>
      </c>
      <c r="H752" s="102">
        <f t="shared" si="75"/>
        <v>63.73</v>
      </c>
      <c r="I752" s="1318" t="s">
        <v>884</v>
      </c>
      <c r="J752" s="1319"/>
      <c r="K752" s="160"/>
    </row>
    <row r="753" spans="1:11" ht="36" x14ac:dyDescent="0.25">
      <c r="A753" s="96" t="s">
        <v>620</v>
      </c>
      <c r="B753" s="181"/>
      <c r="C753" s="6"/>
      <c r="D753" s="16"/>
      <c r="E753" s="7"/>
      <c r="F753" s="95"/>
      <c r="G753" s="95"/>
      <c r="H753" s="95"/>
      <c r="I753" s="99"/>
      <c r="J753" s="100"/>
      <c r="K753" s="161" t="s">
        <v>859</v>
      </c>
    </row>
    <row r="754" spans="1:11" x14ac:dyDescent="0.25">
      <c r="A754" s="12" t="s">
        <v>609</v>
      </c>
      <c r="B754" s="174" t="s">
        <v>621</v>
      </c>
      <c r="C754" s="5"/>
      <c r="D754" s="12" t="s">
        <v>32</v>
      </c>
      <c r="E754" s="101">
        <f>'3.8.комм услуги'!LG147</f>
        <v>2.1474921500000002</v>
      </c>
      <c r="F754" s="102">
        <f>'3.8.комм услуги'!LI147</f>
        <v>62.04</v>
      </c>
      <c r="G754" s="102">
        <f t="shared" ref="G754:G761" si="76">F754</f>
        <v>62.04</v>
      </c>
      <c r="H754" s="102">
        <f t="shared" ref="H754:H761" si="77">F754</f>
        <v>62.04</v>
      </c>
      <c r="I754" s="1318" t="s">
        <v>884</v>
      </c>
      <c r="J754" s="1319"/>
      <c r="K754" s="160"/>
    </row>
    <row r="755" spans="1:11" ht="72" hidden="1" x14ac:dyDescent="0.25">
      <c r="A755" s="92" t="s">
        <v>610</v>
      </c>
      <c r="B755" s="174"/>
      <c r="C755" s="5"/>
      <c r="D755" s="12" t="s">
        <v>32</v>
      </c>
      <c r="E755" s="101">
        <f>'3.8.комм услуги'!LG148</f>
        <v>0</v>
      </c>
      <c r="F755" s="102">
        <f>'3.8.комм услуги'!LI148</f>
        <v>0</v>
      </c>
      <c r="G755" s="102">
        <f t="shared" si="76"/>
        <v>0</v>
      </c>
      <c r="H755" s="102">
        <f t="shared" si="77"/>
        <v>0</v>
      </c>
      <c r="I755" s="1318" t="s">
        <v>884</v>
      </c>
      <c r="J755" s="1319"/>
      <c r="K755" s="160"/>
    </row>
    <row r="756" spans="1:11" ht="48" hidden="1" x14ac:dyDescent="0.25">
      <c r="A756" s="92" t="s">
        <v>625</v>
      </c>
      <c r="B756" s="174"/>
      <c r="C756" s="5"/>
      <c r="D756" s="12" t="s">
        <v>32</v>
      </c>
      <c r="E756" s="101">
        <f>'3.8.комм услуги'!LG149</f>
        <v>0</v>
      </c>
      <c r="F756" s="102">
        <f>'3.8.комм услуги'!LI149</f>
        <v>0</v>
      </c>
      <c r="G756" s="102">
        <f t="shared" si="76"/>
        <v>0</v>
      </c>
      <c r="H756" s="102">
        <f t="shared" si="77"/>
        <v>0</v>
      </c>
      <c r="I756" s="1318" t="s">
        <v>884</v>
      </c>
      <c r="J756" s="1319"/>
      <c r="K756" s="160"/>
    </row>
    <row r="757" spans="1:11" ht="60" hidden="1" x14ac:dyDescent="0.25">
      <c r="A757" s="92" t="s">
        <v>639</v>
      </c>
      <c r="B757" s="174"/>
      <c r="C757" s="5"/>
      <c r="D757" s="12" t="s">
        <v>32</v>
      </c>
      <c r="E757" s="101">
        <f>'3.8.комм услуги'!LG150</f>
        <v>0</v>
      </c>
      <c r="F757" s="102">
        <f>'3.8.комм услуги'!LI150</f>
        <v>0</v>
      </c>
      <c r="G757" s="102">
        <f t="shared" si="76"/>
        <v>0</v>
      </c>
      <c r="H757" s="102">
        <f t="shared" si="77"/>
        <v>0</v>
      </c>
      <c r="I757" s="1318" t="s">
        <v>884</v>
      </c>
      <c r="J757" s="1319"/>
      <c r="K757" s="160"/>
    </row>
    <row r="758" spans="1:11" ht="24" x14ac:dyDescent="0.25">
      <c r="A758" s="12" t="s">
        <v>626</v>
      </c>
      <c r="B758" s="174" t="s">
        <v>980</v>
      </c>
      <c r="C758" s="5"/>
      <c r="D758" s="12" t="s">
        <v>32</v>
      </c>
      <c r="E758" s="101">
        <f>'3.8.комм услуги'!LG151</f>
        <v>2.145</v>
      </c>
      <c r="F758" s="102">
        <f>'3.8.комм услуги'!LI151</f>
        <v>61.97</v>
      </c>
      <c r="G758" s="102">
        <f t="shared" si="76"/>
        <v>61.97</v>
      </c>
      <c r="H758" s="102">
        <f t="shared" si="77"/>
        <v>61.97</v>
      </c>
      <c r="I758" s="1318" t="s">
        <v>884</v>
      </c>
      <c r="J758" s="1319"/>
      <c r="K758" s="160"/>
    </row>
    <row r="759" spans="1:11" ht="36" x14ac:dyDescent="0.25">
      <c r="A759" s="12" t="s">
        <v>627</v>
      </c>
      <c r="B759" s="174" t="s">
        <v>622</v>
      </c>
      <c r="C759" s="5"/>
      <c r="D759" s="12" t="s">
        <v>32</v>
      </c>
      <c r="E759" s="101">
        <f>'3.8.комм услуги'!LG152</f>
        <v>2.4500000000000002</v>
      </c>
      <c r="F759" s="102">
        <f>'3.8.комм услуги'!LI152</f>
        <v>70.78</v>
      </c>
      <c r="G759" s="102">
        <f t="shared" si="76"/>
        <v>70.78</v>
      </c>
      <c r="H759" s="102">
        <f t="shared" si="77"/>
        <v>70.78</v>
      </c>
      <c r="I759" s="1318" t="s">
        <v>884</v>
      </c>
      <c r="J759" s="1319"/>
      <c r="K759" s="160"/>
    </row>
    <row r="760" spans="1:11" x14ac:dyDescent="0.25">
      <c r="A760" s="174" t="s">
        <v>608</v>
      </c>
      <c r="B760" s="174" t="s">
        <v>623</v>
      </c>
      <c r="C760" s="5"/>
      <c r="D760" s="12" t="s">
        <v>32</v>
      </c>
      <c r="E760" s="101">
        <f>'3.8.комм услуги'!LG153</f>
        <v>2.1529268300000002</v>
      </c>
      <c r="F760" s="102">
        <f>'3.8.комм услуги'!LI153</f>
        <v>62.2</v>
      </c>
      <c r="G760" s="102">
        <f t="shared" si="76"/>
        <v>62.2</v>
      </c>
      <c r="H760" s="102">
        <f t="shared" si="77"/>
        <v>62.2</v>
      </c>
      <c r="I760" s="1318" t="s">
        <v>884</v>
      </c>
      <c r="J760" s="1319"/>
      <c r="K760" s="160"/>
    </row>
    <row r="761" spans="1:11" hidden="1" x14ac:dyDescent="0.25">
      <c r="A761" s="92" t="s">
        <v>611</v>
      </c>
      <c r="B761" s="174"/>
      <c r="C761" s="5"/>
      <c r="D761" s="12" t="s">
        <v>32</v>
      </c>
      <c r="E761" s="101">
        <f>'3.8.комм услуги'!LG154</f>
        <v>0</v>
      </c>
      <c r="F761" s="102">
        <f>'3.8.комм услуги'!LI154</f>
        <v>0</v>
      </c>
      <c r="G761" s="102">
        <f t="shared" si="76"/>
        <v>0</v>
      </c>
      <c r="H761" s="102">
        <f t="shared" si="77"/>
        <v>0</v>
      </c>
      <c r="I761" s="1318" t="s">
        <v>884</v>
      </c>
      <c r="J761" s="1319"/>
      <c r="K761" s="160"/>
    </row>
    <row r="762" spans="1:11" ht="24" hidden="1" x14ac:dyDescent="0.25">
      <c r="A762" s="96" t="s">
        <v>601</v>
      </c>
      <c r="B762" s="181"/>
      <c r="C762" s="6"/>
      <c r="D762" s="16"/>
      <c r="E762" s="7"/>
      <c r="F762" s="95"/>
      <c r="G762" s="95"/>
      <c r="H762" s="95"/>
      <c r="I762" s="99"/>
      <c r="J762" s="100"/>
      <c r="K762" s="161" t="s">
        <v>859</v>
      </c>
    </row>
    <row r="763" spans="1:11" ht="15" hidden="1" customHeight="1" x14ac:dyDescent="0.25">
      <c r="A763" s="12" t="s">
        <v>456</v>
      </c>
      <c r="B763" s="174" t="s">
        <v>648</v>
      </c>
      <c r="C763" s="5"/>
      <c r="D763" s="12" t="s">
        <v>881</v>
      </c>
      <c r="E763" s="13" t="s">
        <v>442</v>
      </c>
      <c r="F763" s="102">
        <v>0</v>
      </c>
      <c r="G763" s="102">
        <v>0</v>
      </c>
      <c r="H763" s="102">
        <v>0</v>
      </c>
      <c r="I763" s="1318"/>
      <c r="J763" s="1319"/>
      <c r="K763" s="160"/>
    </row>
    <row r="764" spans="1:11" ht="15" hidden="1" customHeight="1" x14ac:dyDescent="0.25">
      <c r="A764" s="12" t="s">
        <v>457</v>
      </c>
      <c r="B764" s="174" t="s">
        <v>649</v>
      </c>
      <c r="C764" s="5"/>
      <c r="D764" s="12" t="s">
        <v>881</v>
      </c>
      <c r="E764" s="13" t="s">
        <v>442</v>
      </c>
      <c r="F764" s="102">
        <v>0</v>
      </c>
      <c r="G764" s="102">
        <v>0</v>
      </c>
      <c r="H764" s="102">
        <v>0</v>
      </c>
      <c r="I764" s="1318"/>
      <c r="J764" s="1319"/>
      <c r="K764" s="160"/>
    </row>
    <row r="765" spans="1:11" ht="15" hidden="1" customHeight="1" x14ac:dyDescent="0.25">
      <c r="A765" s="12" t="s">
        <v>471</v>
      </c>
      <c r="B765" s="174" t="s">
        <v>650</v>
      </c>
      <c r="C765" s="5"/>
      <c r="D765" s="12" t="s">
        <v>881</v>
      </c>
      <c r="E765" s="13" t="s">
        <v>442</v>
      </c>
      <c r="F765" s="102">
        <v>0</v>
      </c>
      <c r="G765" s="102">
        <v>0</v>
      </c>
      <c r="H765" s="102">
        <v>0</v>
      </c>
      <c r="I765" s="1318"/>
      <c r="J765" s="1319"/>
      <c r="K765" s="160"/>
    </row>
    <row r="766" spans="1:11" ht="15" hidden="1" customHeight="1" x14ac:dyDescent="0.25">
      <c r="A766" s="12" t="s">
        <v>458</v>
      </c>
      <c r="B766" s="174" t="s">
        <v>651</v>
      </c>
      <c r="C766" s="5"/>
      <c r="D766" s="12" t="s">
        <v>881</v>
      </c>
      <c r="E766" s="13" t="s">
        <v>442</v>
      </c>
      <c r="F766" s="102">
        <v>0</v>
      </c>
      <c r="G766" s="102">
        <v>0</v>
      </c>
      <c r="H766" s="102">
        <v>0</v>
      </c>
      <c r="I766" s="1318"/>
      <c r="J766" s="1319"/>
      <c r="K766" s="160"/>
    </row>
    <row r="767" spans="1:11" ht="15" hidden="1" customHeight="1" x14ac:dyDescent="0.25">
      <c r="A767" s="12" t="s">
        <v>459</v>
      </c>
      <c r="B767" s="174" t="s">
        <v>652</v>
      </c>
      <c r="C767" s="5"/>
      <c r="D767" s="12" t="s">
        <v>881</v>
      </c>
      <c r="E767" s="13" t="s">
        <v>442</v>
      </c>
      <c r="F767" s="102">
        <v>0</v>
      </c>
      <c r="G767" s="102">
        <v>0</v>
      </c>
      <c r="H767" s="102">
        <v>0</v>
      </c>
      <c r="I767" s="1318"/>
      <c r="J767" s="1319"/>
      <c r="K767" s="160"/>
    </row>
    <row r="768" spans="1:11" ht="15" hidden="1" customHeight="1" x14ac:dyDescent="0.25">
      <c r="A768" s="12" t="s">
        <v>460</v>
      </c>
      <c r="B768" s="174" t="s">
        <v>653</v>
      </c>
      <c r="C768" s="5"/>
      <c r="D768" s="12" t="s">
        <v>881</v>
      </c>
      <c r="E768" s="13" t="s">
        <v>442</v>
      </c>
      <c r="F768" s="102">
        <v>0</v>
      </c>
      <c r="G768" s="102">
        <v>0</v>
      </c>
      <c r="H768" s="102">
        <v>0</v>
      </c>
      <c r="I768" s="1318"/>
      <c r="J768" s="1319"/>
      <c r="K768" s="160"/>
    </row>
    <row r="769" spans="1:11" ht="12" customHeight="1" x14ac:dyDescent="0.25">
      <c r="A769" s="7"/>
      <c r="B769" s="181"/>
      <c r="C769" s="6" t="s">
        <v>472</v>
      </c>
      <c r="D769" s="16" t="s">
        <v>939</v>
      </c>
      <c r="E769" s="7"/>
      <c r="F769" s="95"/>
      <c r="G769" s="95"/>
      <c r="H769" s="95"/>
      <c r="I769" s="99"/>
      <c r="J769" s="100"/>
      <c r="K769" s="161"/>
    </row>
    <row r="770" spans="1:11" ht="36" hidden="1" x14ac:dyDescent="0.25">
      <c r="A770" s="96" t="s">
        <v>426</v>
      </c>
      <c r="B770" s="181"/>
      <c r="C770" s="6"/>
      <c r="D770" s="16"/>
      <c r="E770" s="7"/>
      <c r="F770" s="95"/>
      <c r="G770" s="95"/>
      <c r="H770" s="95"/>
      <c r="I770" s="99"/>
      <c r="J770" s="100"/>
      <c r="K770" s="161" t="s">
        <v>859</v>
      </c>
    </row>
    <row r="771" spans="1:11" ht="15" hidden="1" customHeight="1" x14ac:dyDescent="0.25">
      <c r="A771" s="174" t="s">
        <v>421</v>
      </c>
      <c r="B771" s="174" t="s">
        <v>427</v>
      </c>
      <c r="C771" s="5"/>
      <c r="D771" s="12" t="s">
        <v>881</v>
      </c>
      <c r="E771" s="13" t="s">
        <v>442</v>
      </c>
      <c r="F771" s="102">
        <v>0</v>
      </c>
      <c r="G771" s="102">
        <v>0</v>
      </c>
      <c r="H771" s="102">
        <v>0</v>
      </c>
      <c r="I771" s="1318"/>
      <c r="J771" s="1319"/>
      <c r="K771" s="160"/>
    </row>
    <row r="772" spans="1:11" ht="15" hidden="1" customHeight="1" x14ac:dyDescent="0.25">
      <c r="A772" s="174" t="s">
        <v>413</v>
      </c>
      <c r="B772" s="174" t="s">
        <v>430</v>
      </c>
      <c r="C772" s="5"/>
      <c r="D772" s="12" t="s">
        <v>881</v>
      </c>
      <c r="E772" s="13" t="s">
        <v>442</v>
      </c>
      <c r="F772" s="102">
        <v>0</v>
      </c>
      <c r="G772" s="102">
        <v>0</v>
      </c>
      <c r="H772" s="102">
        <v>0</v>
      </c>
      <c r="I772" s="1318"/>
      <c r="J772" s="1319"/>
      <c r="K772" s="160"/>
    </row>
    <row r="773" spans="1:11" ht="15" hidden="1" customHeight="1" x14ac:dyDescent="0.25">
      <c r="A773" s="174" t="s">
        <v>700</v>
      </c>
      <c r="B773" s="174" t="s">
        <v>427</v>
      </c>
      <c r="C773" s="5"/>
      <c r="D773" s="12" t="s">
        <v>881</v>
      </c>
      <c r="E773" s="13" t="s">
        <v>442</v>
      </c>
      <c r="F773" s="102">
        <v>0</v>
      </c>
      <c r="G773" s="102">
        <v>0</v>
      </c>
      <c r="H773" s="102">
        <v>0</v>
      </c>
      <c r="I773" s="1318"/>
      <c r="J773" s="1319"/>
      <c r="K773" s="160"/>
    </row>
    <row r="774" spans="1:11" ht="30" hidden="1" customHeight="1" x14ac:dyDescent="0.25">
      <c r="A774" s="174" t="s">
        <v>414</v>
      </c>
      <c r="B774" s="174" t="s">
        <v>430</v>
      </c>
      <c r="C774" s="5"/>
      <c r="D774" s="12" t="s">
        <v>881</v>
      </c>
      <c r="E774" s="13" t="s">
        <v>442</v>
      </c>
      <c r="F774" s="102">
        <v>0</v>
      </c>
      <c r="G774" s="102">
        <v>0</v>
      </c>
      <c r="H774" s="102">
        <v>0</v>
      </c>
      <c r="I774" s="1318"/>
      <c r="J774" s="1319"/>
      <c r="K774" s="160"/>
    </row>
    <row r="775" spans="1:11" ht="15" hidden="1" customHeight="1" x14ac:dyDescent="0.25">
      <c r="A775" s="174" t="s">
        <v>415</v>
      </c>
      <c r="B775" s="174" t="s">
        <v>430</v>
      </c>
      <c r="C775" s="5"/>
      <c r="D775" s="12" t="s">
        <v>881</v>
      </c>
      <c r="E775" s="13" t="s">
        <v>442</v>
      </c>
      <c r="F775" s="102">
        <v>0</v>
      </c>
      <c r="G775" s="102">
        <v>0</v>
      </c>
      <c r="H775" s="102">
        <v>0</v>
      </c>
      <c r="I775" s="1318"/>
      <c r="J775" s="1319"/>
      <c r="K775" s="160"/>
    </row>
    <row r="776" spans="1:11" ht="15" hidden="1" customHeight="1" x14ac:dyDescent="0.25">
      <c r="A776" s="92" t="s">
        <v>416</v>
      </c>
      <c r="B776" s="174" t="s">
        <v>429</v>
      </c>
      <c r="C776" s="5"/>
      <c r="D776" s="12" t="s">
        <v>881</v>
      </c>
      <c r="E776" s="13" t="s">
        <v>442</v>
      </c>
      <c r="F776" s="102">
        <v>0</v>
      </c>
      <c r="G776" s="102">
        <v>0</v>
      </c>
      <c r="H776" s="102">
        <v>0</v>
      </c>
      <c r="I776" s="1318"/>
      <c r="J776" s="1319"/>
      <c r="K776" s="160"/>
    </row>
    <row r="777" spans="1:11" ht="15" hidden="1" customHeight="1" x14ac:dyDescent="0.25">
      <c r="A777" s="98" t="s">
        <v>417</v>
      </c>
      <c r="B777" s="174" t="s">
        <v>429</v>
      </c>
      <c r="C777" s="5"/>
      <c r="D777" s="12" t="s">
        <v>881</v>
      </c>
      <c r="E777" s="13" t="s">
        <v>442</v>
      </c>
      <c r="F777" s="102">
        <v>0</v>
      </c>
      <c r="G777" s="102">
        <v>0</v>
      </c>
      <c r="H777" s="102">
        <v>0</v>
      </c>
      <c r="I777" s="1318"/>
      <c r="J777" s="1319"/>
      <c r="K777" s="160"/>
    </row>
    <row r="778" spans="1:11" ht="15" hidden="1" customHeight="1" x14ac:dyDescent="0.25">
      <c r="A778" s="98" t="s">
        <v>422</v>
      </c>
      <c r="B778" s="174" t="s">
        <v>428</v>
      </c>
      <c r="C778" s="5"/>
      <c r="D778" s="12" t="s">
        <v>881</v>
      </c>
      <c r="E778" s="13" t="s">
        <v>442</v>
      </c>
      <c r="F778" s="102">
        <v>0</v>
      </c>
      <c r="G778" s="102">
        <v>0</v>
      </c>
      <c r="H778" s="102">
        <v>0</v>
      </c>
      <c r="I778" s="1318"/>
      <c r="J778" s="1319"/>
      <c r="K778" s="160"/>
    </row>
    <row r="779" spans="1:11" ht="15" hidden="1" customHeight="1" x14ac:dyDescent="0.25">
      <c r="A779" s="98" t="s">
        <v>418</v>
      </c>
      <c r="B779" s="174" t="s">
        <v>429</v>
      </c>
      <c r="C779" s="5"/>
      <c r="D779" s="12" t="s">
        <v>881</v>
      </c>
      <c r="E779" s="13" t="s">
        <v>442</v>
      </c>
      <c r="F779" s="102">
        <v>0</v>
      </c>
      <c r="G779" s="102">
        <v>0</v>
      </c>
      <c r="H779" s="102">
        <v>0</v>
      </c>
      <c r="I779" s="1318"/>
      <c r="J779" s="1319"/>
      <c r="K779" s="160"/>
    </row>
    <row r="780" spans="1:11" ht="15" hidden="1" customHeight="1" x14ac:dyDescent="0.25">
      <c r="A780" s="92" t="s">
        <v>423</v>
      </c>
      <c r="B780" s="174" t="s">
        <v>427</v>
      </c>
      <c r="C780" s="5"/>
      <c r="D780" s="12" t="s">
        <v>881</v>
      </c>
      <c r="E780" s="13" t="s">
        <v>442</v>
      </c>
      <c r="F780" s="102">
        <v>0</v>
      </c>
      <c r="G780" s="102">
        <v>0</v>
      </c>
      <c r="H780" s="102">
        <v>0</v>
      </c>
      <c r="I780" s="1318"/>
      <c r="J780" s="1319"/>
      <c r="K780" s="160"/>
    </row>
    <row r="781" spans="1:11" ht="15" hidden="1" customHeight="1" x14ac:dyDescent="0.25">
      <c r="A781" s="174" t="s">
        <v>419</v>
      </c>
      <c r="B781" s="174" t="s">
        <v>430</v>
      </c>
      <c r="C781" s="5"/>
      <c r="D781" s="12" t="s">
        <v>881</v>
      </c>
      <c r="E781" s="13" t="s">
        <v>442</v>
      </c>
      <c r="F781" s="102">
        <v>0</v>
      </c>
      <c r="G781" s="102">
        <v>0</v>
      </c>
      <c r="H781" s="102">
        <v>0</v>
      </c>
      <c r="I781" s="1318"/>
      <c r="J781" s="1319"/>
      <c r="K781" s="160"/>
    </row>
    <row r="782" spans="1:11" ht="15" hidden="1" customHeight="1" x14ac:dyDescent="0.25">
      <c r="A782" s="92" t="s">
        <v>424</v>
      </c>
      <c r="B782" s="174" t="s">
        <v>427</v>
      </c>
      <c r="C782" s="5"/>
      <c r="D782" s="12" t="s">
        <v>881</v>
      </c>
      <c r="E782" s="13" t="s">
        <v>442</v>
      </c>
      <c r="F782" s="102">
        <v>0</v>
      </c>
      <c r="G782" s="102">
        <v>0</v>
      </c>
      <c r="H782" s="102">
        <v>0</v>
      </c>
      <c r="I782" s="1318"/>
      <c r="J782" s="1319"/>
      <c r="K782" s="160"/>
    </row>
    <row r="783" spans="1:11" ht="15" hidden="1" customHeight="1" x14ac:dyDescent="0.25">
      <c r="A783" s="174" t="s">
        <v>420</v>
      </c>
      <c r="B783" s="174" t="s">
        <v>430</v>
      </c>
      <c r="C783" s="5"/>
      <c r="D783" s="12" t="s">
        <v>881</v>
      </c>
      <c r="E783" s="13" t="s">
        <v>442</v>
      </c>
      <c r="F783" s="102">
        <v>0</v>
      </c>
      <c r="G783" s="102">
        <v>0</v>
      </c>
      <c r="H783" s="102">
        <v>0</v>
      </c>
      <c r="I783" s="1318"/>
      <c r="J783" s="1319"/>
      <c r="K783" s="160"/>
    </row>
    <row r="784" spans="1:11" ht="15" hidden="1" customHeight="1" x14ac:dyDescent="0.25">
      <c r="A784" s="340"/>
      <c r="B784" s="174"/>
      <c r="C784" s="5"/>
      <c r="D784" s="12" t="s">
        <v>881</v>
      </c>
      <c r="E784" s="13" t="s">
        <v>442</v>
      </c>
      <c r="F784" s="102">
        <v>0</v>
      </c>
      <c r="G784" s="102">
        <v>0</v>
      </c>
      <c r="H784" s="102">
        <v>0</v>
      </c>
      <c r="I784" s="1318"/>
      <c r="J784" s="1319"/>
      <c r="K784" s="160"/>
    </row>
    <row r="785" spans="1:11" hidden="1" x14ac:dyDescent="0.25">
      <c r="A785" s="96" t="s">
        <v>431</v>
      </c>
      <c r="B785" s="181"/>
      <c r="C785" s="6"/>
      <c r="D785" s="16"/>
      <c r="E785" s="7"/>
      <c r="F785" s="95"/>
      <c r="G785" s="95"/>
      <c r="H785" s="95"/>
      <c r="I785" s="99"/>
      <c r="J785" s="100"/>
      <c r="K785" s="161" t="s">
        <v>859</v>
      </c>
    </row>
    <row r="786" spans="1:11" ht="15" hidden="1" customHeight="1" x14ac:dyDescent="0.25">
      <c r="A786" s="12" t="s">
        <v>702</v>
      </c>
      <c r="B786" s="174" t="s">
        <v>432</v>
      </c>
      <c r="C786" s="5"/>
      <c r="D786" s="12" t="s">
        <v>881</v>
      </c>
      <c r="E786" s="13" t="s">
        <v>442</v>
      </c>
      <c r="F786" s="102">
        <v>0</v>
      </c>
      <c r="G786" s="102">
        <v>0</v>
      </c>
      <c r="H786" s="102">
        <v>0</v>
      </c>
      <c r="I786" s="1318"/>
      <c r="J786" s="1319"/>
      <c r="K786" s="160"/>
    </row>
    <row r="787" spans="1:11" ht="15" hidden="1" customHeight="1" x14ac:dyDescent="0.25">
      <c r="A787" s="12" t="s">
        <v>703</v>
      </c>
      <c r="B787" s="174" t="s">
        <v>433</v>
      </c>
      <c r="C787" s="5"/>
      <c r="D787" s="12" t="s">
        <v>881</v>
      </c>
      <c r="E787" s="13" t="s">
        <v>442</v>
      </c>
      <c r="F787" s="102">
        <v>0</v>
      </c>
      <c r="G787" s="102">
        <v>0</v>
      </c>
      <c r="H787" s="102">
        <v>0</v>
      </c>
      <c r="I787" s="1318"/>
      <c r="J787" s="1319"/>
      <c r="K787" s="160"/>
    </row>
    <row r="788" spans="1:11" ht="15" hidden="1" customHeight="1" x14ac:dyDescent="0.25">
      <c r="A788" s="12" t="s">
        <v>704</v>
      </c>
      <c r="B788" s="174" t="s">
        <v>434</v>
      </c>
      <c r="C788" s="5"/>
      <c r="D788" s="12" t="s">
        <v>881</v>
      </c>
      <c r="E788" s="13" t="s">
        <v>442</v>
      </c>
      <c r="F788" s="102">
        <v>0</v>
      </c>
      <c r="G788" s="102">
        <v>0</v>
      </c>
      <c r="H788" s="102">
        <v>0</v>
      </c>
      <c r="I788" s="1318"/>
      <c r="J788" s="1319"/>
      <c r="K788" s="160"/>
    </row>
    <row r="789" spans="1:11" s="435" customFormat="1" ht="15" hidden="1" customHeight="1" x14ac:dyDescent="0.25">
      <c r="A789" s="641" t="s">
        <v>1407</v>
      </c>
      <c r="B789" s="174" t="s">
        <v>435</v>
      </c>
      <c r="C789" s="5"/>
      <c r="D789" s="12" t="s">
        <v>881</v>
      </c>
      <c r="E789" s="13" t="s">
        <v>442</v>
      </c>
      <c r="F789" s="102">
        <v>0</v>
      </c>
      <c r="G789" s="102">
        <v>0</v>
      </c>
      <c r="H789" s="102">
        <v>0</v>
      </c>
      <c r="I789" s="1318"/>
      <c r="J789" s="1319"/>
      <c r="K789" s="160"/>
    </row>
    <row r="790" spans="1:11" ht="15" hidden="1" customHeight="1" x14ac:dyDescent="0.25">
      <c r="A790" s="12" t="s">
        <v>948</v>
      </c>
      <c r="B790" s="174" t="s">
        <v>435</v>
      </c>
      <c r="C790" s="5"/>
      <c r="D790" s="12" t="s">
        <v>881</v>
      </c>
      <c r="E790" s="13" t="s">
        <v>442</v>
      </c>
      <c r="F790" s="102">
        <v>0</v>
      </c>
      <c r="G790" s="102">
        <v>0</v>
      </c>
      <c r="H790" s="102">
        <v>0</v>
      </c>
      <c r="I790" s="1318"/>
      <c r="J790" s="1319"/>
      <c r="K790" s="160"/>
    </row>
    <row r="791" spans="1:11" ht="15" hidden="1" customHeight="1" x14ac:dyDescent="0.25">
      <c r="A791" s="12" t="s">
        <v>705</v>
      </c>
      <c r="B791" s="174" t="s">
        <v>436</v>
      </c>
      <c r="C791" s="5"/>
      <c r="D791" s="12" t="s">
        <v>881</v>
      </c>
      <c r="E791" s="13" t="s">
        <v>442</v>
      </c>
      <c r="F791" s="102">
        <v>0</v>
      </c>
      <c r="G791" s="102">
        <v>0</v>
      </c>
      <c r="H791" s="102">
        <v>0</v>
      </c>
      <c r="I791" s="1318"/>
      <c r="J791" s="1319"/>
      <c r="K791" s="160"/>
    </row>
    <row r="792" spans="1:11" ht="15" hidden="1" customHeight="1" x14ac:dyDescent="0.25">
      <c r="A792" s="98" t="s">
        <v>706</v>
      </c>
      <c r="B792" s="174" t="s">
        <v>437</v>
      </c>
      <c r="C792" s="5"/>
      <c r="D792" s="12" t="s">
        <v>881</v>
      </c>
      <c r="E792" s="13" t="s">
        <v>442</v>
      </c>
      <c r="F792" s="102">
        <v>0</v>
      </c>
      <c r="G792" s="102">
        <v>0</v>
      </c>
      <c r="H792" s="102">
        <v>0</v>
      </c>
      <c r="I792" s="1318"/>
      <c r="J792" s="1319"/>
      <c r="K792" s="160"/>
    </row>
    <row r="793" spans="1:11" ht="15" hidden="1" customHeight="1" x14ac:dyDescent="0.25">
      <c r="A793" s="98" t="s">
        <v>707</v>
      </c>
      <c r="B793" s="174" t="s">
        <v>438</v>
      </c>
      <c r="C793" s="5"/>
      <c r="D793" s="12" t="s">
        <v>881</v>
      </c>
      <c r="E793" s="13" t="s">
        <v>442</v>
      </c>
      <c r="F793" s="102">
        <v>0</v>
      </c>
      <c r="G793" s="102">
        <v>0</v>
      </c>
      <c r="H793" s="102">
        <v>0</v>
      </c>
      <c r="I793" s="1318"/>
      <c r="J793" s="1319"/>
      <c r="K793" s="160"/>
    </row>
    <row r="794" spans="1:11" ht="15" hidden="1" customHeight="1" x14ac:dyDescent="0.25">
      <c r="A794" s="98" t="s">
        <v>708</v>
      </c>
      <c r="B794" s="174" t="s">
        <v>439</v>
      </c>
      <c r="C794" s="5"/>
      <c r="D794" s="12" t="s">
        <v>881</v>
      </c>
      <c r="E794" s="13" t="s">
        <v>442</v>
      </c>
      <c r="F794" s="102">
        <v>0</v>
      </c>
      <c r="G794" s="102">
        <v>0</v>
      </c>
      <c r="H794" s="102">
        <v>0</v>
      </c>
      <c r="I794" s="1318"/>
      <c r="J794" s="1319"/>
      <c r="K794" s="160"/>
    </row>
    <row r="795" spans="1:11" s="435" customFormat="1" ht="15" hidden="1" customHeight="1" x14ac:dyDescent="0.25">
      <c r="A795" s="643" t="s">
        <v>1409</v>
      </c>
      <c r="B795" s="174" t="s">
        <v>440</v>
      </c>
      <c r="C795" s="5"/>
      <c r="D795" s="12" t="s">
        <v>881</v>
      </c>
      <c r="E795" s="13" t="s">
        <v>442</v>
      </c>
      <c r="F795" s="102">
        <v>0</v>
      </c>
      <c r="G795" s="102">
        <v>0</v>
      </c>
      <c r="H795" s="102">
        <v>0</v>
      </c>
      <c r="I795" s="1318"/>
      <c r="J795" s="1319"/>
      <c r="K795" s="160"/>
    </row>
    <row r="796" spans="1:11" ht="15" hidden="1" customHeight="1" x14ac:dyDescent="0.25">
      <c r="A796" s="98" t="s">
        <v>949</v>
      </c>
      <c r="B796" s="174" t="s">
        <v>440</v>
      </c>
      <c r="C796" s="5"/>
      <c r="D796" s="12" t="s">
        <v>881</v>
      </c>
      <c r="E796" s="13" t="s">
        <v>442</v>
      </c>
      <c r="F796" s="102">
        <v>0</v>
      </c>
      <c r="G796" s="102">
        <v>0</v>
      </c>
      <c r="H796" s="102">
        <v>0</v>
      </c>
      <c r="I796" s="1318"/>
      <c r="J796" s="1319"/>
      <c r="K796" s="160"/>
    </row>
    <row r="797" spans="1:11" ht="15" hidden="1" customHeight="1" x14ac:dyDescent="0.25">
      <c r="A797" s="98" t="s">
        <v>709</v>
      </c>
      <c r="B797" s="174" t="s">
        <v>441</v>
      </c>
      <c r="C797" s="5"/>
      <c r="D797" s="12" t="s">
        <v>881</v>
      </c>
      <c r="E797" s="13" t="s">
        <v>442</v>
      </c>
      <c r="F797" s="102">
        <v>0</v>
      </c>
      <c r="G797" s="102">
        <v>0</v>
      </c>
      <c r="H797" s="102">
        <v>0</v>
      </c>
      <c r="I797" s="1318"/>
      <c r="J797" s="1319"/>
      <c r="K797" s="160"/>
    </row>
    <row r="798" spans="1:11" ht="36" x14ac:dyDescent="0.25">
      <c r="A798" s="96" t="s">
        <v>624</v>
      </c>
      <c r="B798" s="181"/>
      <c r="C798" s="6"/>
      <c r="D798" s="16"/>
      <c r="E798" s="7"/>
      <c r="F798" s="95"/>
      <c r="G798" s="95"/>
      <c r="H798" s="95"/>
      <c r="I798" s="99"/>
      <c r="J798" s="100"/>
      <c r="K798" s="161" t="s">
        <v>859</v>
      </c>
    </row>
    <row r="799" spans="1:11" x14ac:dyDescent="0.25">
      <c r="A799" s="12" t="s">
        <v>609</v>
      </c>
      <c r="B799" s="174" t="s">
        <v>617</v>
      </c>
      <c r="C799" s="5"/>
      <c r="D799" s="12" t="s">
        <v>32</v>
      </c>
      <c r="E799" s="101">
        <f>'3.8.комм услуги'!LG188</f>
        <v>0.19059334</v>
      </c>
      <c r="F799" s="102">
        <f>'3.8.комм услуги'!LI188</f>
        <v>139.85</v>
      </c>
      <c r="G799" s="102">
        <f>F799</f>
        <v>139.85</v>
      </c>
      <c r="H799" s="102">
        <f>F799</f>
        <v>139.85</v>
      </c>
      <c r="I799" s="1318" t="s">
        <v>884</v>
      </c>
      <c r="J799" s="1319"/>
      <c r="K799" s="160"/>
    </row>
    <row r="800" spans="1:11" ht="72" hidden="1" x14ac:dyDescent="0.25">
      <c r="A800" s="92" t="s">
        <v>610</v>
      </c>
      <c r="B800" s="174"/>
      <c r="C800" s="5"/>
      <c r="D800" s="12" t="s">
        <v>32</v>
      </c>
      <c r="E800" s="101">
        <f>'3.8.комм услуги'!LG189</f>
        <v>0</v>
      </c>
      <c r="F800" s="102">
        <f>'3.8.комм услуги'!LI189</f>
        <v>0</v>
      </c>
      <c r="G800" s="102">
        <f t="shared" ref="G800:G806" si="78">F800</f>
        <v>0</v>
      </c>
      <c r="H800" s="102">
        <f t="shared" ref="H800:H806" si="79">F800</f>
        <v>0</v>
      </c>
      <c r="I800" s="1318" t="s">
        <v>884</v>
      </c>
      <c r="J800" s="1319"/>
      <c r="K800" s="160"/>
    </row>
    <row r="801" spans="1:11" ht="48" x14ac:dyDescent="0.25">
      <c r="A801" s="12" t="s">
        <v>625</v>
      </c>
      <c r="B801" s="174" t="s">
        <v>978</v>
      </c>
      <c r="C801" s="5"/>
      <c r="D801" s="12" t="s">
        <v>32</v>
      </c>
      <c r="E801" s="101">
        <f>'3.8.комм услуги'!LG190</f>
        <v>0.19056994999999999</v>
      </c>
      <c r="F801" s="102">
        <f>'3.8.комм услуги'!LI190</f>
        <v>139.83000000000001</v>
      </c>
      <c r="G801" s="102">
        <f t="shared" si="78"/>
        <v>139.83000000000001</v>
      </c>
      <c r="H801" s="102">
        <f t="shared" si="79"/>
        <v>139.83000000000001</v>
      </c>
      <c r="I801" s="1318" t="s">
        <v>884</v>
      </c>
      <c r="J801" s="1319"/>
      <c r="K801" s="160"/>
    </row>
    <row r="802" spans="1:11" ht="24" x14ac:dyDescent="0.25">
      <c r="A802" s="12" t="s">
        <v>626</v>
      </c>
      <c r="B802" s="174" t="s">
        <v>618</v>
      </c>
      <c r="C802" s="5"/>
      <c r="D802" s="12" t="s">
        <v>32</v>
      </c>
      <c r="E802" s="101">
        <f>'3.8.комм услуги'!LG191</f>
        <v>0.19040541</v>
      </c>
      <c r="F802" s="102">
        <f>'3.8.комм услуги'!LI191</f>
        <v>139.71</v>
      </c>
      <c r="G802" s="102">
        <f t="shared" si="78"/>
        <v>139.71</v>
      </c>
      <c r="H802" s="102">
        <f t="shared" si="79"/>
        <v>139.71</v>
      </c>
      <c r="I802" s="1318" t="s">
        <v>884</v>
      </c>
      <c r="J802" s="1319"/>
      <c r="K802" s="160"/>
    </row>
    <row r="803" spans="1:11" ht="60" hidden="1" x14ac:dyDescent="0.25">
      <c r="A803" s="92" t="s">
        <v>639</v>
      </c>
      <c r="B803" s="174"/>
      <c r="C803" s="5"/>
      <c r="D803" s="12" t="s">
        <v>32</v>
      </c>
      <c r="E803" s="101">
        <f>'3.8.комм услуги'!LG192</f>
        <v>0</v>
      </c>
      <c r="F803" s="102">
        <f>'3.8.комм услуги'!LI192</f>
        <v>0</v>
      </c>
      <c r="G803" s="102">
        <f t="shared" si="78"/>
        <v>0</v>
      </c>
      <c r="H803" s="102">
        <f t="shared" si="79"/>
        <v>0</v>
      </c>
      <c r="I803" s="1318" t="s">
        <v>884</v>
      </c>
      <c r="J803" s="1319"/>
      <c r="K803" s="160"/>
    </row>
    <row r="804" spans="1:11" ht="36" x14ac:dyDescent="0.25">
      <c r="A804" s="12" t="s">
        <v>627</v>
      </c>
      <c r="B804" s="174" t="s">
        <v>619</v>
      </c>
      <c r="C804" s="5"/>
      <c r="D804" s="12" t="s">
        <v>32</v>
      </c>
      <c r="E804" s="101">
        <f>'3.8.комм услуги'!LG193</f>
        <v>0.1905</v>
      </c>
      <c r="F804" s="102">
        <f>'3.8.комм услуги'!LI193</f>
        <v>139.78</v>
      </c>
      <c r="G804" s="102">
        <f t="shared" si="78"/>
        <v>139.78</v>
      </c>
      <c r="H804" s="102">
        <f t="shared" si="79"/>
        <v>139.78</v>
      </c>
      <c r="I804" s="1318" t="s">
        <v>884</v>
      </c>
      <c r="J804" s="1319"/>
      <c r="K804" s="160"/>
    </row>
    <row r="805" spans="1:11" hidden="1" x14ac:dyDescent="0.25">
      <c r="A805" s="92" t="s">
        <v>608</v>
      </c>
      <c r="B805" s="174"/>
      <c r="C805" s="5"/>
      <c r="D805" s="12" t="s">
        <v>32</v>
      </c>
      <c r="E805" s="101">
        <f>'3.8.комм услуги'!LG194</f>
        <v>0</v>
      </c>
      <c r="F805" s="102">
        <f>'3.8.комм услуги'!LI194</f>
        <v>0</v>
      </c>
      <c r="G805" s="102">
        <f t="shared" si="78"/>
        <v>0</v>
      </c>
      <c r="H805" s="102">
        <f t="shared" si="79"/>
        <v>0</v>
      </c>
      <c r="I805" s="1318" t="s">
        <v>884</v>
      </c>
      <c r="J805" s="1319"/>
      <c r="K805" s="160"/>
    </row>
    <row r="806" spans="1:11" hidden="1" x14ac:dyDescent="0.25">
      <c r="A806" s="92" t="s">
        <v>611</v>
      </c>
      <c r="B806" s="174"/>
      <c r="C806" s="5"/>
      <c r="D806" s="12" t="s">
        <v>32</v>
      </c>
      <c r="E806" s="101">
        <f>'3.8.комм услуги'!LG195</f>
        <v>0</v>
      </c>
      <c r="F806" s="102">
        <f>'3.8.комм услуги'!LI195</f>
        <v>0</v>
      </c>
      <c r="G806" s="102">
        <f t="shared" si="78"/>
        <v>0</v>
      </c>
      <c r="H806" s="102">
        <f t="shared" si="79"/>
        <v>0</v>
      </c>
      <c r="I806" s="1318" t="s">
        <v>884</v>
      </c>
      <c r="J806" s="1319"/>
      <c r="K806" s="160"/>
    </row>
    <row r="807" spans="1:11" ht="36" x14ac:dyDescent="0.25">
      <c r="A807" s="96" t="s">
        <v>603</v>
      </c>
      <c r="B807" s="181"/>
      <c r="C807" s="6"/>
      <c r="D807" s="16"/>
      <c r="E807" s="7">
        <f>'3.8.комм услуги'!LG196</f>
        <v>0</v>
      </c>
      <c r="F807" s="95">
        <f>'3.8.комм услуги'!LI196</f>
        <v>0</v>
      </c>
      <c r="G807" s="95"/>
      <c r="H807" s="95"/>
      <c r="I807" s="99"/>
      <c r="J807" s="100"/>
      <c r="K807" s="161" t="s">
        <v>859</v>
      </c>
    </row>
    <row r="808" spans="1:11" x14ac:dyDescent="0.25">
      <c r="A808" s="12" t="s">
        <v>609</v>
      </c>
      <c r="B808" s="174" t="s">
        <v>604</v>
      </c>
      <c r="C808" s="5"/>
      <c r="D808" s="12" t="s">
        <v>32</v>
      </c>
      <c r="E808" s="101">
        <f>'3.8.комм услуги'!LG197</f>
        <v>0.19059342000000001</v>
      </c>
      <c r="F808" s="102">
        <f>'3.8.комм услуги'!LI197</f>
        <v>139.85</v>
      </c>
      <c r="G808" s="102">
        <f t="shared" ref="G808:G815" si="80">F808</f>
        <v>139.85</v>
      </c>
      <c r="H808" s="102">
        <f t="shared" ref="H808:H815" si="81">F808</f>
        <v>139.85</v>
      </c>
      <c r="I808" s="1318" t="s">
        <v>884</v>
      </c>
      <c r="J808" s="1319"/>
      <c r="K808" s="160"/>
    </row>
    <row r="809" spans="1:11" ht="72" hidden="1" x14ac:dyDescent="0.25">
      <c r="A809" s="92" t="s">
        <v>610</v>
      </c>
      <c r="B809" s="174"/>
      <c r="C809" s="5"/>
      <c r="D809" s="12" t="s">
        <v>32</v>
      </c>
      <c r="E809" s="101">
        <f>'3.8.комм услуги'!LG198</f>
        <v>0</v>
      </c>
      <c r="F809" s="102">
        <f>'3.8.комм услуги'!LI198</f>
        <v>0</v>
      </c>
      <c r="G809" s="102">
        <f t="shared" si="80"/>
        <v>0</v>
      </c>
      <c r="H809" s="102">
        <f t="shared" si="81"/>
        <v>0</v>
      </c>
      <c r="I809" s="1318" t="s">
        <v>884</v>
      </c>
      <c r="J809" s="1319"/>
      <c r="K809" s="160"/>
    </row>
    <row r="810" spans="1:11" ht="48" x14ac:dyDescent="0.25">
      <c r="A810" s="12" t="s">
        <v>625</v>
      </c>
      <c r="B810" s="174" t="s">
        <v>605</v>
      </c>
      <c r="C810" s="5"/>
      <c r="D810" s="12" t="s">
        <v>32</v>
      </c>
      <c r="E810" s="101">
        <f>'3.8.комм услуги'!LG199</f>
        <v>0.19058642000000001</v>
      </c>
      <c r="F810" s="102">
        <f>'3.8.комм услуги'!LI199</f>
        <v>139.84</v>
      </c>
      <c r="G810" s="102">
        <f t="shared" si="80"/>
        <v>139.84</v>
      </c>
      <c r="H810" s="102">
        <f t="shared" si="81"/>
        <v>139.84</v>
      </c>
      <c r="I810" s="1318" t="s">
        <v>884</v>
      </c>
      <c r="J810" s="1319"/>
      <c r="K810" s="160"/>
    </row>
    <row r="811" spans="1:11" ht="60" hidden="1" x14ac:dyDescent="0.25">
      <c r="A811" s="92" t="s">
        <v>639</v>
      </c>
      <c r="B811" s="174"/>
      <c r="C811" s="5"/>
      <c r="D811" s="12" t="s">
        <v>32</v>
      </c>
      <c r="E811" s="101">
        <f>'3.8.комм услуги'!LG200</f>
        <v>0</v>
      </c>
      <c r="F811" s="102">
        <f>'3.8.комм услуги'!LI200</f>
        <v>0</v>
      </c>
      <c r="G811" s="102">
        <f t="shared" si="80"/>
        <v>0</v>
      </c>
      <c r="H811" s="102">
        <f t="shared" si="81"/>
        <v>0</v>
      </c>
      <c r="I811" s="1318" t="s">
        <v>884</v>
      </c>
      <c r="J811" s="1319"/>
      <c r="K811" s="160"/>
    </row>
    <row r="812" spans="1:11" ht="24" x14ac:dyDescent="0.25">
      <c r="A812" s="12" t="s">
        <v>626</v>
      </c>
      <c r="B812" s="174" t="s">
        <v>606</v>
      </c>
      <c r="C812" s="5"/>
      <c r="D812" s="12" t="s">
        <v>32</v>
      </c>
      <c r="E812" s="101">
        <f>'3.8.комм услуги'!LG201</f>
        <v>0.19086956999999999</v>
      </c>
      <c r="F812" s="102">
        <f>'3.8.комм услуги'!LI201</f>
        <v>140.05000000000001</v>
      </c>
      <c r="G812" s="102">
        <f t="shared" si="80"/>
        <v>140.05000000000001</v>
      </c>
      <c r="H812" s="102">
        <f t="shared" si="81"/>
        <v>140.05000000000001</v>
      </c>
      <c r="I812" s="1318" t="s">
        <v>884</v>
      </c>
      <c r="J812" s="1319"/>
      <c r="K812" s="160"/>
    </row>
    <row r="813" spans="1:11" ht="36" x14ac:dyDescent="0.25">
      <c r="A813" s="12" t="s">
        <v>627</v>
      </c>
      <c r="B813" s="174" t="s">
        <v>607</v>
      </c>
      <c r="C813" s="5"/>
      <c r="D813" s="12" t="s">
        <v>32</v>
      </c>
      <c r="E813" s="101">
        <f>'3.8.комм услуги'!LG202</f>
        <v>0.19079365000000001</v>
      </c>
      <c r="F813" s="102">
        <f>'3.8.комм услуги'!LI202</f>
        <v>140</v>
      </c>
      <c r="G813" s="102">
        <f t="shared" si="80"/>
        <v>140</v>
      </c>
      <c r="H813" s="102">
        <f t="shared" si="81"/>
        <v>140</v>
      </c>
      <c r="I813" s="1318" t="s">
        <v>884</v>
      </c>
      <c r="J813" s="1319"/>
      <c r="K813" s="160"/>
    </row>
    <row r="814" spans="1:11" x14ac:dyDescent="0.25">
      <c r="A814" s="174" t="s">
        <v>608</v>
      </c>
      <c r="B814" s="174" t="s">
        <v>979</v>
      </c>
      <c r="C814" s="5"/>
      <c r="D814" s="12" t="s">
        <v>32</v>
      </c>
      <c r="E814" s="101">
        <f>'3.8.комм услуги'!LG203</f>
        <v>0.19067227</v>
      </c>
      <c r="F814" s="102">
        <f>'3.8.комм услуги'!LI203</f>
        <v>139.91</v>
      </c>
      <c r="G814" s="102">
        <f t="shared" si="80"/>
        <v>139.91</v>
      </c>
      <c r="H814" s="102">
        <f t="shared" si="81"/>
        <v>139.91</v>
      </c>
      <c r="I814" s="1318" t="s">
        <v>884</v>
      </c>
      <c r="J814" s="1319"/>
      <c r="K814" s="160"/>
    </row>
    <row r="815" spans="1:11" x14ac:dyDescent="0.25">
      <c r="A815" s="174" t="s">
        <v>611</v>
      </c>
      <c r="B815" s="174" t="s">
        <v>2233</v>
      </c>
      <c r="C815" s="5"/>
      <c r="D815" s="12" t="s">
        <v>32</v>
      </c>
      <c r="E815" s="101">
        <f>'3.8.комм услуги'!LG204</f>
        <v>0.19600000000000001</v>
      </c>
      <c r="F815" s="102">
        <f>'3.8.комм услуги'!LI204</f>
        <v>143.82</v>
      </c>
      <c r="G815" s="102">
        <f t="shared" si="80"/>
        <v>143.82</v>
      </c>
      <c r="H815" s="102">
        <f t="shared" si="81"/>
        <v>143.82</v>
      </c>
      <c r="I815" s="1318" t="s">
        <v>884</v>
      </c>
      <c r="J815" s="1319"/>
      <c r="K815" s="160"/>
    </row>
    <row r="816" spans="1:11" ht="36" x14ac:dyDescent="0.25">
      <c r="A816" s="96" t="s">
        <v>620</v>
      </c>
      <c r="B816" s="181"/>
      <c r="C816" s="6"/>
      <c r="D816" s="16"/>
      <c r="E816" s="7">
        <f>'3.8.комм услуги'!LG205</f>
        <v>0</v>
      </c>
      <c r="F816" s="95">
        <f>'3.8.комм услуги'!LI205</f>
        <v>0</v>
      </c>
      <c r="G816" s="95"/>
      <c r="H816" s="95"/>
      <c r="I816" s="99"/>
      <c r="J816" s="100"/>
      <c r="K816" s="161" t="s">
        <v>859</v>
      </c>
    </row>
    <row r="817" spans="1:11" x14ac:dyDescent="0.25">
      <c r="A817" s="12" t="s">
        <v>609</v>
      </c>
      <c r="B817" s="174" t="s">
        <v>621</v>
      </c>
      <c r="C817" s="5"/>
      <c r="D817" s="12" t="s">
        <v>32</v>
      </c>
      <c r="E817" s="101">
        <f>'3.8.комм услуги'!LG206</f>
        <v>0.19059218999999999</v>
      </c>
      <c r="F817" s="102">
        <f>'3.8.комм услуги'!LI206</f>
        <v>139.85</v>
      </c>
      <c r="G817" s="102">
        <f t="shared" ref="G817:G823" si="82">F817</f>
        <v>139.85</v>
      </c>
      <c r="H817" s="102">
        <f t="shared" ref="H817:H823" si="83">F817</f>
        <v>139.85</v>
      </c>
      <c r="I817" s="1318" t="s">
        <v>884</v>
      </c>
      <c r="J817" s="1319"/>
      <c r="K817" s="160"/>
    </row>
    <row r="818" spans="1:11" ht="72" hidden="1" x14ac:dyDescent="0.25">
      <c r="A818" s="92" t="s">
        <v>610</v>
      </c>
      <c r="B818" s="174"/>
      <c r="C818" s="5"/>
      <c r="D818" s="12" t="s">
        <v>32</v>
      </c>
      <c r="E818" s="101">
        <f>'3.8.комм услуги'!LG207</f>
        <v>0</v>
      </c>
      <c r="F818" s="102">
        <f>'3.8.комм услуги'!LI207</f>
        <v>0</v>
      </c>
      <c r="G818" s="102">
        <f t="shared" si="82"/>
        <v>0</v>
      </c>
      <c r="H818" s="102">
        <f t="shared" si="83"/>
        <v>0</v>
      </c>
      <c r="I818" s="1318" t="s">
        <v>884</v>
      </c>
      <c r="J818" s="1319"/>
      <c r="K818" s="160"/>
    </row>
    <row r="819" spans="1:11" ht="48" hidden="1" x14ac:dyDescent="0.25">
      <c r="A819" s="92" t="s">
        <v>625</v>
      </c>
      <c r="B819" s="174"/>
      <c r="C819" s="5"/>
      <c r="D819" s="12" t="s">
        <v>32</v>
      </c>
      <c r="E819" s="101">
        <f>'3.8.комм услуги'!LG208</f>
        <v>0</v>
      </c>
      <c r="F819" s="102">
        <f>'3.8.комм услуги'!LI208</f>
        <v>0</v>
      </c>
      <c r="G819" s="102">
        <f t="shared" si="82"/>
        <v>0</v>
      </c>
      <c r="H819" s="102">
        <f t="shared" si="83"/>
        <v>0</v>
      </c>
      <c r="I819" s="1318" t="s">
        <v>884</v>
      </c>
      <c r="J819" s="1319"/>
      <c r="K819" s="160"/>
    </row>
    <row r="820" spans="1:11" ht="60" hidden="1" x14ac:dyDescent="0.25">
      <c r="A820" s="92" t="s">
        <v>639</v>
      </c>
      <c r="B820" s="174"/>
      <c r="C820" s="5"/>
      <c r="D820" s="12" t="s">
        <v>32</v>
      </c>
      <c r="E820" s="101">
        <f>'3.8.комм услуги'!LG209</f>
        <v>0</v>
      </c>
      <c r="F820" s="102">
        <f>'3.8.комм услуги'!LI209</f>
        <v>0</v>
      </c>
      <c r="G820" s="102">
        <f t="shared" si="82"/>
        <v>0</v>
      </c>
      <c r="H820" s="102">
        <f t="shared" si="83"/>
        <v>0</v>
      </c>
      <c r="I820" s="1318" t="s">
        <v>884</v>
      </c>
      <c r="J820" s="1319"/>
      <c r="K820" s="160"/>
    </row>
    <row r="821" spans="1:11" ht="24" x14ac:dyDescent="0.25">
      <c r="A821" s="12" t="s">
        <v>626</v>
      </c>
      <c r="B821" s="174" t="s">
        <v>980</v>
      </c>
      <c r="C821" s="5"/>
      <c r="D821" s="12" t="s">
        <v>32</v>
      </c>
      <c r="E821" s="101">
        <f>'3.8.комм услуги'!LG210</f>
        <v>0.19</v>
      </c>
      <c r="F821" s="102">
        <f>'3.8.комм услуги'!LI210</f>
        <v>139.41</v>
      </c>
      <c r="G821" s="102">
        <f t="shared" si="82"/>
        <v>139.41</v>
      </c>
      <c r="H821" s="102">
        <f t="shared" si="83"/>
        <v>139.41</v>
      </c>
      <c r="I821" s="1318" t="s">
        <v>884</v>
      </c>
      <c r="J821" s="1319"/>
      <c r="K821" s="160"/>
    </row>
    <row r="822" spans="1:11" ht="36" x14ac:dyDescent="0.25">
      <c r="A822" s="12" t="s">
        <v>627</v>
      </c>
      <c r="B822" s="174" t="s">
        <v>622</v>
      </c>
      <c r="C822" s="5"/>
      <c r="D822" s="12" t="s">
        <v>32</v>
      </c>
      <c r="E822" s="101">
        <f>'3.8.комм услуги'!LG211</f>
        <v>0.22</v>
      </c>
      <c r="F822" s="102">
        <f>'3.8.комм услуги'!LI211</f>
        <v>161.43</v>
      </c>
      <c r="G822" s="102">
        <f t="shared" si="82"/>
        <v>161.43</v>
      </c>
      <c r="H822" s="102">
        <f t="shared" si="83"/>
        <v>161.43</v>
      </c>
      <c r="I822" s="1318" t="s">
        <v>884</v>
      </c>
      <c r="J822" s="1319"/>
      <c r="K822" s="160"/>
    </row>
    <row r="823" spans="1:11" x14ac:dyDescent="0.25">
      <c r="A823" s="174" t="s">
        <v>608</v>
      </c>
      <c r="B823" s="174" t="s">
        <v>623</v>
      </c>
      <c r="C823" s="5"/>
      <c r="D823" s="12" t="s">
        <v>32</v>
      </c>
      <c r="E823" s="101">
        <f>'3.8.комм услуги'!LG212</f>
        <v>0.19097560999999999</v>
      </c>
      <c r="F823" s="102">
        <f>'3.8.комм услуги'!LI212</f>
        <v>140.13</v>
      </c>
      <c r="G823" s="102">
        <f t="shared" si="82"/>
        <v>140.13</v>
      </c>
      <c r="H823" s="102">
        <f t="shared" si="83"/>
        <v>140.13</v>
      </c>
      <c r="I823" s="1318" t="s">
        <v>884</v>
      </c>
      <c r="J823" s="1319"/>
      <c r="K823" s="160"/>
    </row>
    <row r="824" spans="1:11" hidden="1" x14ac:dyDescent="0.25">
      <c r="A824" s="92" t="s">
        <v>611</v>
      </c>
      <c r="B824" s="174"/>
      <c r="C824" s="5"/>
      <c r="D824" s="12" t="s">
        <v>32</v>
      </c>
      <c r="E824" s="101">
        <f>'3.8.комм услуги'!LG213</f>
        <v>0</v>
      </c>
      <c r="F824" s="102">
        <f>'3.8.комм услуги'!LI213</f>
        <v>0</v>
      </c>
      <c r="G824" s="102">
        <f>F824</f>
        <v>0</v>
      </c>
      <c r="H824" s="102">
        <f>F824</f>
        <v>0</v>
      </c>
      <c r="I824" s="1318" t="s">
        <v>884</v>
      </c>
      <c r="J824" s="1319"/>
      <c r="K824" s="160"/>
    </row>
    <row r="825" spans="1:11" ht="24" hidden="1" x14ac:dyDescent="0.25">
      <c r="A825" s="96" t="s">
        <v>601</v>
      </c>
      <c r="B825" s="181"/>
      <c r="C825" s="6"/>
      <c r="D825" s="16"/>
      <c r="E825" s="7"/>
      <c r="F825" s="95"/>
      <c r="G825" s="95"/>
      <c r="H825" s="95"/>
      <c r="I825" s="99"/>
      <c r="J825" s="100"/>
      <c r="K825" s="161" t="s">
        <v>859</v>
      </c>
    </row>
    <row r="826" spans="1:11" ht="15" hidden="1" customHeight="1" x14ac:dyDescent="0.25">
      <c r="A826" s="12" t="s">
        <v>456</v>
      </c>
      <c r="B826" s="174" t="s">
        <v>648</v>
      </c>
      <c r="C826" s="5"/>
      <c r="D826" s="12" t="s">
        <v>881</v>
      </c>
      <c r="E826" s="13" t="s">
        <v>442</v>
      </c>
      <c r="F826" s="102">
        <v>0</v>
      </c>
      <c r="G826" s="102">
        <v>0</v>
      </c>
      <c r="H826" s="102">
        <v>0</v>
      </c>
      <c r="I826" s="1318"/>
      <c r="J826" s="1319"/>
      <c r="K826" s="160"/>
    </row>
    <row r="827" spans="1:11" ht="15" hidden="1" customHeight="1" x14ac:dyDescent="0.25">
      <c r="A827" s="12" t="s">
        <v>457</v>
      </c>
      <c r="B827" s="174" t="s">
        <v>649</v>
      </c>
      <c r="C827" s="5"/>
      <c r="D827" s="12" t="s">
        <v>881</v>
      </c>
      <c r="E827" s="13" t="s">
        <v>442</v>
      </c>
      <c r="F827" s="102">
        <v>0</v>
      </c>
      <c r="G827" s="102">
        <v>0</v>
      </c>
      <c r="H827" s="102">
        <v>0</v>
      </c>
      <c r="I827" s="1318"/>
      <c r="J827" s="1319"/>
      <c r="K827" s="160"/>
    </row>
    <row r="828" spans="1:11" ht="15" hidden="1" customHeight="1" x14ac:dyDescent="0.25">
      <c r="A828" s="12" t="s">
        <v>471</v>
      </c>
      <c r="B828" s="174" t="s">
        <v>650</v>
      </c>
      <c r="C828" s="5"/>
      <c r="D828" s="12" t="s">
        <v>881</v>
      </c>
      <c r="E828" s="13" t="s">
        <v>442</v>
      </c>
      <c r="F828" s="102">
        <v>0</v>
      </c>
      <c r="G828" s="102">
        <v>0</v>
      </c>
      <c r="H828" s="102">
        <v>0</v>
      </c>
      <c r="I828" s="1318"/>
      <c r="J828" s="1319"/>
      <c r="K828" s="160"/>
    </row>
    <row r="829" spans="1:11" ht="15" hidden="1" customHeight="1" x14ac:dyDescent="0.25">
      <c r="A829" s="12" t="s">
        <v>458</v>
      </c>
      <c r="B829" s="174" t="s">
        <v>651</v>
      </c>
      <c r="C829" s="5"/>
      <c r="D829" s="12" t="s">
        <v>881</v>
      </c>
      <c r="E829" s="13" t="s">
        <v>442</v>
      </c>
      <c r="F829" s="102">
        <v>0</v>
      </c>
      <c r="G829" s="102">
        <v>0</v>
      </c>
      <c r="H829" s="102">
        <v>0</v>
      </c>
      <c r="I829" s="1318"/>
      <c r="J829" s="1319"/>
      <c r="K829" s="160"/>
    </row>
    <row r="830" spans="1:11" ht="15" hidden="1" customHeight="1" x14ac:dyDescent="0.25">
      <c r="A830" s="12" t="s">
        <v>459</v>
      </c>
      <c r="B830" s="174" t="s">
        <v>652</v>
      </c>
      <c r="C830" s="5"/>
      <c r="D830" s="12" t="s">
        <v>881</v>
      </c>
      <c r="E830" s="13" t="s">
        <v>442</v>
      </c>
      <c r="F830" s="102">
        <v>0</v>
      </c>
      <c r="G830" s="102">
        <v>0</v>
      </c>
      <c r="H830" s="102">
        <v>0</v>
      </c>
      <c r="I830" s="1318"/>
      <c r="J830" s="1319"/>
      <c r="K830" s="160"/>
    </row>
    <row r="831" spans="1:11" ht="15" hidden="1" customHeight="1" x14ac:dyDescent="0.25">
      <c r="A831" s="12" t="s">
        <v>460</v>
      </c>
      <c r="B831" s="174" t="s">
        <v>653</v>
      </c>
      <c r="C831" s="5"/>
      <c r="D831" s="12" t="s">
        <v>881</v>
      </c>
      <c r="E831" s="13" t="s">
        <v>442</v>
      </c>
      <c r="F831" s="102">
        <v>0</v>
      </c>
      <c r="G831" s="102">
        <v>0</v>
      </c>
      <c r="H831" s="102">
        <v>0</v>
      </c>
      <c r="I831" s="1318"/>
      <c r="J831" s="1319"/>
      <c r="K831" s="160"/>
    </row>
    <row r="832" spans="1:11" ht="26.25" customHeight="1" x14ac:dyDescent="0.25">
      <c r="A832" s="103"/>
      <c r="B832" s="106"/>
      <c r="C832" s="113" t="s">
        <v>15</v>
      </c>
      <c r="D832" s="114" t="s">
        <v>16</v>
      </c>
      <c r="E832" s="114"/>
      <c r="F832" s="118"/>
      <c r="G832" s="118"/>
      <c r="H832" s="118"/>
      <c r="I832" s="119"/>
      <c r="J832" s="120"/>
      <c r="K832" s="173"/>
    </row>
    <row r="833" spans="1:11" ht="44.25" customHeight="1" x14ac:dyDescent="0.25">
      <c r="A833" s="347" t="s">
        <v>426</v>
      </c>
      <c r="B833" s="106"/>
      <c r="C833" s="113"/>
      <c r="D833" s="114"/>
      <c r="E833" s="121"/>
      <c r="F833" s="118"/>
      <c r="G833" s="118"/>
      <c r="H833" s="118"/>
      <c r="I833" s="119"/>
      <c r="J833" s="120"/>
      <c r="K833" s="173"/>
    </row>
    <row r="834" spans="1:11" ht="26.25" customHeight="1" x14ac:dyDescent="0.25">
      <c r="A834" s="174" t="s">
        <v>421</v>
      </c>
      <c r="B834" s="174" t="s">
        <v>427</v>
      </c>
      <c r="C834" s="5"/>
      <c r="D834" s="4" t="s">
        <v>263</v>
      </c>
      <c r="E834" s="1315" t="s">
        <v>260</v>
      </c>
      <c r="F834" s="102">
        <f>'3.3.расчет прочих дс'!L282</f>
        <v>94</v>
      </c>
      <c r="G834" s="326">
        <f>F834</f>
        <v>94</v>
      </c>
      <c r="H834" s="326">
        <f>F834</f>
        <v>94</v>
      </c>
      <c r="I834" s="1318" t="s">
        <v>883</v>
      </c>
      <c r="J834" s="1319"/>
      <c r="K834" s="160"/>
    </row>
    <row r="835" spans="1:11" ht="24.75" customHeight="1" x14ac:dyDescent="0.25">
      <c r="A835" s="174" t="s">
        <v>413</v>
      </c>
      <c r="B835" s="174" t="s">
        <v>430</v>
      </c>
      <c r="C835" s="5"/>
      <c r="D835" s="4" t="s">
        <v>263</v>
      </c>
      <c r="E835" s="1316"/>
      <c r="F835" s="102">
        <f>'3.3.расчет прочих дс'!L283</f>
        <v>94</v>
      </c>
      <c r="G835" s="326">
        <f t="shared" ref="G835:G847" si="84">F835</f>
        <v>94</v>
      </c>
      <c r="H835" s="326">
        <f t="shared" ref="H835:H847" si="85">F835</f>
        <v>94</v>
      </c>
      <c r="I835" s="1318" t="s">
        <v>883</v>
      </c>
      <c r="J835" s="1319"/>
      <c r="K835" s="160"/>
    </row>
    <row r="836" spans="1:11" ht="24.75" customHeight="1" x14ac:dyDescent="0.25">
      <c r="A836" s="174" t="s">
        <v>700</v>
      </c>
      <c r="B836" s="174" t="s">
        <v>427</v>
      </c>
      <c r="C836" s="5"/>
      <c r="D836" s="4" t="s">
        <v>263</v>
      </c>
      <c r="E836" s="1316"/>
      <c r="F836" s="102">
        <f>'3.3.расчет прочих дс'!L284</f>
        <v>94</v>
      </c>
      <c r="G836" s="326">
        <f t="shared" si="84"/>
        <v>94</v>
      </c>
      <c r="H836" s="326">
        <f t="shared" si="85"/>
        <v>94</v>
      </c>
      <c r="I836" s="1318" t="s">
        <v>883</v>
      </c>
      <c r="J836" s="1319"/>
      <c r="K836" s="160"/>
    </row>
    <row r="837" spans="1:11" ht="26.25" customHeight="1" x14ac:dyDescent="0.25">
      <c r="A837" s="174" t="s">
        <v>414</v>
      </c>
      <c r="B837" s="174" t="s">
        <v>430</v>
      </c>
      <c r="C837" s="5"/>
      <c r="D837" s="4" t="s">
        <v>263</v>
      </c>
      <c r="E837" s="1316"/>
      <c r="F837" s="102">
        <f>'3.3.расчет прочих дс'!L285</f>
        <v>94</v>
      </c>
      <c r="G837" s="326">
        <f t="shared" si="84"/>
        <v>94</v>
      </c>
      <c r="H837" s="326">
        <f t="shared" si="85"/>
        <v>94</v>
      </c>
      <c r="I837" s="1318" t="s">
        <v>883</v>
      </c>
      <c r="J837" s="1319"/>
      <c r="K837" s="160"/>
    </row>
    <row r="838" spans="1:11" ht="27" customHeight="1" x14ac:dyDescent="0.25">
      <c r="A838" s="174" t="s">
        <v>415</v>
      </c>
      <c r="B838" s="174" t="s">
        <v>430</v>
      </c>
      <c r="C838" s="5"/>
      <c r="D838" s="4" t="s">
        <v>263</v>
      </c>
      <c r="E838" s="1316"/>
      <c r="F838" s="102">
        <f>'3.3.расчет прочих дс'!L286</f>
        <v>94</v>
      </c>
      <c r="G838" s="326">
        <f t="shared" si="84"/>
        <v>94</v>
      </c>
      <c r="H838" s="326">
        <f t="shared" si="85"/>
        <v>94</v>
      </c>
      <c r="I838" s="1318" t="s">
        <v>883</v>
      </c>
      <c r="J838" s="1319"/>
      <c r="K838" s="160"/>
    </row>
    <row r="839" spans="1:11" ht="24.75" customHeight="1" x14ac:dyDescent="0.25">
      <c r="A839" s="92" t="s">
        <v>416</v>
      </c>
      <c r="B839" s="174" t="s">
        <v>429</v>
      </c>
      <c r="C839" s="5"/>
      <c r="D839" s="4" t="s">
        <v>263</v>
      </c>
      <c r="E839" s="1316"/>
      <c r="F839" s="102">
        <f>'3.3.расчет прочих дс'!L287</f>
        <v>94</v>
      </c>
      <c r="G839" s="326">
        <f t="shared" si="84"/>
        <v>94</v>
      </c>
      <c r="H839" s="326">
        <f t="shared" si="85"/>
        <v>94</v>
      </c>
      <c r="I839" s="1318" t="s">
        <v>883</v>
      </c>
      <c r="J839" s="1319"/>
      <c r="K839" s="160"/>
    </row>
    <row r="840" spans="1:11" ht="24.75" customHeight="1" x14ac:dyDescent="0.25">
      <c r="A840" s="98" t="s">
        <v>417</v>
      </c>
      <c r="B840" s="174" t="s">
        <v>429</v>
      </c>
      <c r="C840" s="5"/>
      <c r="D840" s="4" t="s">
        <v>263</v>
      </c>
      <c r="E840" s="1316"/>
      <c r="F840" s="102">
        <f>'3.3.расчет прочих дс'!L288</f>
        <v>94</v>
      </c>
      <c r="G840" s="326">
        <f t="shared" si="84"/>
        <v>94</v>
      </c>
      <c r="H840" s="326">
        <f t="shared" si="85"/>
        <v>94</v>
      </c>
      <c r="I840" s="1318" t="s">
        <v>883</v>
      </c>
      <c r="J840" s="1319"/>
      <c r="K840" s="160"/>
    </row>
    <row r="841" spans="1:11" ht="24.75" customHeight="1" x14ac:dyDescent="0.25">
      <c r="A841" s="98" t="s">
        <v>422</v>
      </c>
      <c r="B841" s="174" t="s">
        <v>428</v>
      </c>
      <c r="C841" s="5"/>
      <c r="D841" s="4" t="s">
        <v>263</v>
      </c>
      <c r="E841" s="1316"/>
      <c r="F841" s="102">
        <f>'3.3.расчет прочих дс'!L289</f>
        <v>94</v>
      </c>
      <c r="G841" s="326">
        <f t="shared" si="84"/>
        <v>94</v>
      </c>
      <c r="H841" s="326">
        <f t="shared" si="85"/>
        <v>94</v>
      </c>
      <c r="I841" s="1318" t="s">
        <v>883</v>
      </c>
      <c r="J841" s="1319"/>
      <c r="K841" s="160"/>
    </row>
    <row r="842" spans="1:11" ht="24.75" customHeight="1" x14ac:dyDescent="0.25">
      <c r="A842" s="98" t="s">
        <v>418</v>
      </c>
      <c r="B842" s="174" t="s">
        <v>429</v>
      </c>
      <c r="C842" s="5"/>
      <c r="D842" s="4" t="s">
        <v>263</v>
      </c>
      <c r="E842" s="1316"/>
      <c r="F842" s="102">
        <f>'3.3.расчет прочих дс'!L290</f>
        <v>94</v>
      </c>
      <c r="G842" s="326">
        <f t="shared" si="84"/>
        <v>94</v>
      </c>
      <c r="H842" s="326">
        <f t="shared" si="85"/>
        <v>94</v>
      </c>
      <c r="I842" s="1318" t="s">
        <v>883</v>
      </c>
      <c r="J842" s="1319"/>
      <c r="K842" s="160"/>
    </row>
    <row r="843" spans="1:11" ht="24.75" customHeight="1" x14ac:dyDescent="0.25">
      <c r="A843" s="92" t="s">
        <v>423</v>
      </c>
      <c r="B843" s="174" t="s">
        <v>427</v>
      </c>
      <c r="C843" s="5"/>
      <c r="D843" s="4" t="s">
        <v>263</v>
      </c>
      <c r="E843" s="1316"/>
      <c r="F843" s="102">
        <f>'3.3.расчет прочих дс'!L291</f>
        <v>94</v>
      </c>
      <c r="G843" s="326">
        <f t="shared" si="84"/>
        <v>94</v>
      </c>
      <c r="H843" s="326">
        <f t="shared" si="85"/>
        <v>94</v>
      </c>
      <c r="I843" s="1318" t="s">
        <v>883</v>
      </c>
      <c r="J843" s="1319"/>
      <c r="K843" s="160"/>
    </row>
    <row r="844" spans="1:11" ht="24.75" customHeight="1" x14ac:dyDescent="0.25">
      <c r="A844" s="174" t="s">
        <v>419</v>
      </c>
      <c r="B844" s="174" t="s">
        <v>430</v>
      </c>
      <c r="C844" s="5"/>
      <c r="D844" s="4" t="s">
        <v>263</v>
      </c>
      <c r="E844" s="1316"/>
      <c r="F844" s="102">
        <f>'3.3.расчет прочих дс'!L292</f>
        <v>94</v>
      </c>
      <c r="G844" s="326">
        <f t="shared" si="84"/>
        <v>94</v>
      </c>
      <c r="H844" s="326">
        <f t="shared" si="85"/>
        <v>94</v>
      </c>
      <c r="I844" s="1318" t="s">
        <v>883</v>
      </c>
      <c r="J844" s="1319"/>
      <c r="K844" s="160"/>
    </row>
    <row r="845" spans="1:11" ht="24.75" customHeight="1" x14ac:dyDescent="0.25">
      <c r="A845" s="92" t="s">
        <v>424</v>
      </c>
      <c r="B845" s="174" t="s">
        <v>427</v>
      </c>
      <c r="C845" s="5"/>
      <c r="D845" s="4" t="s">
        <v>263</v>
      </c>
      <c r="E845" s="1316"/>
      <c r="F845" s="102">
        <f>'3.3.расчет прочих дс'!L293</f>
        <v>94</v>
      </c>
      <c r="G845" s="326">
        <f t="shared" si="84"/>
        <v>94</v>
      </c>
      <c r="H845" s="326">
        <f t="shared" si="85"/>
        <v>94</v>
      </c>
      <c r="I845" s="1318" t="s">
        <v>883</v>
      </c>
      <c r="J845" s="1319"/>
      <c r="K845" s="160"/>
    </row>
    <row r="846" spans="1:11" ht="24.75" customHeight="1" x14ac:dyDescent="0.25">
      <c r="A846" s="174" t="s">
        <v>420</v>
      </c>
      <c r="B846" s="174" t="s">
        <v>430</v>
      </c>
      <c r="C846" s="5"/>
      <c r="D846" s="4" t="s">
        <v>263</v>
      </c>
      <c r="E846" s="1316"/>
      <c r="F846" s="102">
        <f>'3.3.расчет прочих дс'!L294</f>
        <v>94</v>
      </c>
      <c r="G846" s="326">
        <f t="shared" si="84"/>
        <v>94</v>
      </c>
      <c r="H846" s="326">
        <f t="shared" si="85"/>
        <v>94</v>
      </c>
      <c r="I846" s="1318" t="s">
        <v>883</v>
      </c>
      <c r="J846" s="1319"/>
      <c r="K846" s="160"/>
    </row>
    <row r="847" spans="1:11" ht="24.75" customHeight="1" x14ac:dyDescent="0.25">
      <c r="A847" s="340"/>
      <c r="B847" s="174"/>
      <c r="C847" s="5"/>
      <c r="D847" s="4"/>
      <c r="E847" s="1317"/>
      <c r="F847" s="102">
        <f>'3.3.расчет прочих дс'!L295</f>
        <v>94</v>
      </c>
      <c r="G847" s="326">
        <f t="shared" si="84"/>
        <v>94</v>
      </c>
      <c r="H847" s="326">
        <f t="shared" si="85"/>
        <v>94</v>
      </c>
      <c r="I847" s="1318"/>
      <c r="J847" s="1319"/>
      <c r="K847" s="160"/>
    </row>
    <row r="848" spans="1:11" ht="26.25" hidden="1" customHeight="1" x14ac:dyDescent="0.25">
      <c r="A848" s="347" t="s">
        <v>431</v>
      </c>
      <c r="B848" s="106"/>
      <c r="C848" s="113"/>
      <c r="D848" s="114"/>
      <c r="E848" s="121"/>
      <c r="F848" s="118"/>
      <c r="G848" s="118"/>
      <c r="H848" s="118"/>
      <c r="I848" s="119"/>
      <c r="J848" s="120"/>
      <c r="K848" s="173"/>
    </row>
    <row r="849" spans="1:11" ht="24" hidden="1" customHeight="1" x14ac:dyDescent="0.25">
      <c r="A849" s="12" t="s">
        <v>702</v>
      </c>
      <c r="B849" s="174" t="s">
        <v>432</v>
      </c>
      <c r="C849" s="5"/>
      <c r="D849" s="12" t="s">
        <v>881</v>
      </c>
      <c r="E849" s="13" t="s">
        <v>442</v>
      </c>
      <c r="F849" s="102">
        <v>0</v>
      </c>
      <c r="G849" s="102">
        <v>0</v>
      </c>
      <c r="H849" s="102">
        <v>0</v>
      </c>
      <c r="I849" s="1318"/>
      <c r="J849" s="1319"/>
      <c r="K849" s="160"/>
    </row>
    <row r="850" spans="1:11" ht="36" hidden="1" x14ac:dyDescent="0.25">
      <c r="A850" s="12" t="s">
        <v>703</v>
      </c>
      <c r="B850" s="174" t="s">
        <v>433</v>
      </c>
      <c r="C850" s="5"/>
      <c r="D850" s="12" t="s">
        <v>881</v>
      </c>
      <c r="E850" s="13" t="s">
        <v>442</v>
      </c>
      <c r="F850" s="102">
        <v>0</v>
      </c>
      <c r="G850" s="102">
        <v>0</v>
      </c>
      <c r="H850" s="102">
        <v>0</v>
      </c>
      <c r="I850" s="1318"/>
      <c r="J850" s="1319"/>
      <c r="K850" s="160"/>
    </row>
    <row r="851" spans="1:11" ht="24" hidden="1" x14ac:dyDescent="0.25">
      <c r="A851" s="12" t="s">
        <v>704</v>
      </c>
      <c r="B851" s="174" t="s">
        <v>434</v>
      </c>
      <c r="C851" s="5"/>
      <c r="D851" s="12" t="s">
        <v>881</v>
      </c>
      <c r="E851" s="13" t="s">
        <v>442</v>
      </c>
      <c r="F851" s="102">
        <v>0</v>
      </c>
      <c r="G851" s="102">
        <v>0</v>
      </c>
      <c r="H851" s="102">
        <v>0</v>
      </c>
      <c r="I851" s="1318"/>
      <c r="J851" s="1319"/>
      <c r="K851" s="160"/>
    </row>
    <row r="852" spans="1:11" s="435" customFormat="1" ht="48" hidden="1" x14ac:dyDescent="0.25">
      <c r="A852" s="641" t="s">
        <v>1407</v>
      </c>
      <c r="B852" s="174" t="s">
        <v>435</v>
      </c>
      <c r="C852" s="5"/>
      <c r="D852" s="12" t="s">
        <v>881</v>
      </c>
      <c r="E852" s="13" t="s">
        <v>442</v>
      </c>
      <c r="F852" s="102">
        <v>0</v>
      </c>
      <c r="G852" s="102">
        <v>0</v>
      </c>
      <c r="H852" s="102">
        <v>0</v>
      </c>
      <c r="I852" s="1318"/>
      <c r="J852" s="1319"/>
      <c r="K852" s="160"/>
    </row>
    <row r="853" spans="1:11" ht="36" hidden="1" x14ac:dyDescent="0.25">
      <c r="A853" s="12" t="s">
        <v>948</v>
      </c>
      <c r="B853" s="174" t="s">
        <v>435</v>
      </c>
      <c r="C853" s="5"/>
      <c r="D853" s="12" t="s">
        <v>881</v>
      </c>
      <c r="E853" s="13" t="s">
        <v>442</v>
      </c>
      <c r="F853" s="102">
        <v>0</v>
      </c>
      <c r="G853" s="102">
        <v>0</v>
      </c>
      <c r="H853" s="102">
        <v>0</v>
      </c>
      <c r="I853" s="1318"/>
      <c r="J853" s="1319"/>
      <c r="K853" s="160"/>
    </row>
    <row r="854" spans="1:11" ht="36" hidden="1" x14ac:dyDescent="0.25">
      <c r="A854" s="12" t="s">
        <v>705</v>
      </c>
      <c r="B854" s="174" t="s">
        <v>436</v>
      </c>
      <c r="C854" s="5"/>
      <c r="D854" s="12" t="s">
        <v>881</v>
      </c>
      <c r="E854" s="13" t="s">
        <v>442</v>
      </c>
      <c r="F854" s="102">
        <v>0</v>
      </c>
      <c r="G854" s="102">
        <v>0</v>
      </c>
      <c r="H854" s="102">
        <v>0</v>
      </c>
      <c r="I854" s="1318"/>
      <c r="J854" s="1319"/>
      <c r="K854" s="160"/>
    </row>
    <row r="855" spans="1:11" ht="36" hidden="1" x14ac:dyDescent="0.25">
      <c r="A855" s="98" t="s">
        <v>706</v>
      </c>
      <c r="B855" s="174" t="s">
        <v>437</v>
      </c>
      <c r="C855" s="5"/>
      <c r="D855" s="12" t="s">
        <v>881</v>
      </c>
      <c r="E855" s="13" t="s">
        <v>442</v>
      </c>
      <c r="F855" s="102">
        <v>0</v>
      </c>
      <c r="G855" s="102">
        <v>0</v>
      </c>
      <c r="H855" s="102">
        <v>0</v>
      </c>
      <c r="I855" s="1318"/>
      <c r="J855" s="1319"/>
      <c r="K855" s="160"/>
    </row>
    <row r="856" spans="1:11" ht="36" hidden="1" x14ac:dyDescent="0.25">
      <c r="A856" s="98" t="s">
        <v>707</v>
      </c>
      <c r="B856" s="174" t="s">
        <v>438</v>
      </c>
      <c r="C856" s="5"/>
      <c r="D856" s="12" t="s">
        <v>881</v>
      </c>
      <c r="E856" s="13" t="s">
        <v>442</v>
      </c>
      <c r="F856" s="102">
        <v>0</v>
      </c>
      <c r="G856" s="102">
        <v>0</v>
      </c>
      <c r="H856" s="102">
        <v>0</v>
      </c>
      <c r="I856" s="1318"/>
      <c r="J856" s="1319"/>
      <c r="K856" s="160"/>
    </row>
    <row r="857" spans="1:11" ht="24" hidden="1" x14ac:dyDescent="0.25">
      <c r="A857" s="98" t="s">
        <v>708</v>
      </c>
      <c r="B857" s="174" t="s">
        <v>439</v>
      </c>
      <c r="C857" s="5"/>
      <c r="D857" s="12" t="s">
        <v>881</v>
      </c>
      <c r="E857" s="13" t="s">
        <v>442</v>
      </c>
      <c r="F857" s="102">
        <v>0</v>
      </c>
      <c r="G857" s="102">
        <v>0</v>
      </c>
      <c r="H857" s="102">
        <v>0</v>
      </c>
      <c r="I857" s="1318"/>
      <c r="J857" s="1319"/>
      <c r="K857" s="160"/>
    </row>
    <row r="858" spans="1:11" s="435" customFormat="1" ht="48" hidden="1" x14ac:dyDescent="0.25">
      <c r="A858" s="643" t="s">
        <v>1409</v>
      </c>
      <c r="B858" s="174" t="s">
        <v>440</v>
      </c>
      <c r="C858" s="5"/>
      <c r="D858" s="12" t="s">
        <v>881</v>
      </c>
      <c r="E858" s="13" t="s">
        <v>442</v>
      </c>
      <c r="F858" s="102">
        <v>0</v>
      </c>
      <c r="G858" s="102">
        <v>0</v>
      </c>
      <c r="H858" s="102">
        <v>0</v>
      </c>
      <c r="I858" s="1318"/>
      <c r="J858" s="1319"/>
      <c r="K858" s="160"/>
    </row>
    <row r="859" spans="1:11" ht="36" hidden="1" x14ac:dyDescent="0.25">
      <c r="A859" s="98" t="s">
        <v>949</v>
      </c>
      <c r="B859" s="174" t="s">
        <v>440</v>
      </c>
      <c r="C859" s="5"/>
      <c r="D859" s="12" t="s">
        <v>881</v>
      </c>
      <c r="E859" s="13" t="s">
        <v>442</v>
      </c>
      <c r="F859" s="102">
        <v>0</v>
      </c>
      <c r="G859" s="102">
        <v>0</v>
      </c>
      <c r="H859" s="102">
        <v>0</v>
      </c>
      <c r="I859" s="1318"/>
      <c r="J859" s="1319"/>
      <c r="K859" s="160"/>
    </row>
    <row r="860" spans="1:11" ht="36" hidden="1" x14ac:dyDescent="0.25">
      <c r="A860" s="98" t="s">
        <v>709</v>
      </c>
      <c r="B860" s="174" t="s">
        <v>441</v>
      </c>
      <c r="C860" s="5"/>
      <c r="D860" s="12" t="s">
        <v>881</v>
      </c>
      <c r="E860" s="13" t="s">
        <v>442</v>
      </c>
      <c r="F860" s="102">
        <v>0</v>
      </c>
      <c r="G860" s="102">
        <v>0</v>
      </c>
      <c r="H860" s="102">
        <v>0</v>
      </c>
      <c r="I860" s="1318"/>
      <c r="J860" s="1319"/>
      <c r="K860" s="160"/>
    </row>
    <row r="861" spans="1:11" ht="26.25" customHeight="1" x14ac:dyDescent="0.25">
      <c r="A861" s="347" t="s">
        <v>624</v>
      </c>
      <c r="B861" s="106"/>
      <c r="C861" s="113"/>
      <c r="D861" s="114"/>
      <c r="E861" s="121"/>
      <c r="F861" s="118"/>
      <c r="G861" s="118"/>
      <c r="H861" s="118"/>
      <c r="I861" s="119"/>
      <c r="J861" s="120"/>
      <c r="K861" s="173"/>
    </row>
    <row r="862" spans="1:11" ht="24" x14ac:dyDescent="0.25">
      <c r="A862" s="12" t="s">
        <v>609</v>
      </c>
      <c r="B862" s="174" t="s">
        <v>617</v>
      </c>
      <c r="C862" s="5"/>
      <c r="D862" s="4" t="s">
        <v>263</v>
      </c>
      <c r="E862" s="1315" t="s">
        <v>260</v>
      </c>
      <c r="F862" s="102">
        <f>'3.9.расчет прочих'!L264</f>
        <v>139</v>
      </c>
      <c r="G862" s="102">
        <f>F862</f>
        <v>139</v>
      </c>
      <c r="H862" s="102">
        <f>F862</f>
        <v>139</v>
      </c>
      <c r="I862" s="1318" t="s">
        <v>957</v>
      </c>
      <c r="J862" s="1319"/>
      <c r="K862" s="160"/>
    </row>
    <row r="863" spans="1:11" ht="72" hidden="1" x14ac:dyDescent="0.25">
      <c r="A863" s="92" t="s">
        <v>610</v>
      </c>
      <c r="B863" s="174"/>
      <c r="C863" s="5"/>
      <c r="D863" s="4" t="s">
        <v>263</v>
      </c>
      <c r="E863" s="1316"/>
      <c r="F863" s="102">
        <f>'3.9.расчет прочих'!L265</f>
        <v>139</v>
      </c>
      <c r="G863" s="102">
        <f t="shared" ref="G863:G869" si="86">F863</f>
        <v>139</v>
      </c>
      <c r="H863" s="102">
        <f t="shared" ref="H863:H869" si="87">F863</f>
        <v>139</v>
      </c>
      <c r="I863" s="1318" t="s">
        <v>957</v>
      </c>
      <c r="J863" s="1319"/>
      <c r="K863" s="160"/>
    </row>
    <row r="864" spans="1:11" ht="48" x14ac:dyDescent="0.25">
      <c r="A864" s="12" t="s">
        <v>625</v>
      </c>
      <c r="B864" s="174" t="s">
        <v>978</v>
      </c>
      <c r="C864" s="5"/>
      <c r="D864" s="4" t="s">
        <v>263</v>
      </c>
      <c r="E864" s="1316"/>
      <c r="F864" s="102">
        <f>'3.9.расчет прочих'!L266</f>
        <v>139</v>
      </c>
      <c r="G864" s="102">
        <f t="shared" si="86"/>
        <v>139</v>
      </c>
      <c r="H864" s="102">
        <f t="shared" si="87"/>
        <v>139</v>
      </c>
      <c r="I864" s="1318" t="s">
        <v>957</v>
      </c>
      <c r="J864" s="1319"/>
      <c r="K864" s="160"/>
    </row>
    <row r="865" spans="1:11" ht="24" x14ac:dyDescent="0.25">
      <c r="A865" s="12" t="s">
        <v>626</v>
      </c>
      <c r="B865" s="174" t="s">
        <v>618</v>
      </c>
      <c r="C865" s="5"/>
      <c r="D865" s="4" t="s">
        <v>263</v>
      </c>
      <c r="E865" s="1316"/>
      <c r="F865" s="102">
        <f>'3.9.расчет прочих'!L267</f>
        <v>139</v>
      </c>
      <c r="G865" s="102">
        <f t="shared" si="86"/>
        <v>139</v>
      </c>
      <c r="H865" s="102">
        <f t="shared" si="87"/>
        <v>139</v>
      </c>
      <c r="I865" s="1318" t="s">
        <v>957</v>
      </c>
      <c r="J865" s="1319"/>
      <c r="K865" s="160"/>
    </row>
    <row r="866" spans="1:11" ht="60" hidden="1" x14ac:dyDescent="0.25">
      <c r="A866" s="92" t="s">
        <v>639</v>
      </c>
      <c r="B866" s="174"/>
      <c r="C866" s="5"/>
      <c r="D866" s="4" t="s">
        <v>263</v>
      </c>
      <c r="E866" s="1316"/>
      <c r="F866" s="102">
        <f>'3.9.расчет прочих'!L268</f>
        <v>139</v>
      </c>
      <c r="G866" s="102">
        <f t="shared" si="86"/>
        <v>139</v>
      </c>
      <c r="H866" s="102">
        <f t="shared" si="87"/>
        <v>139</v>
      </c>
      <c r="I866" s="1318" t="s">
        <v>957</v>
      </c>
      <c r="J866" s="1319"/>
      <c r="K866" s="160"/>
    </row>
    <row r="867" spans="1:11" ht="36" x14ac:dyDescent="0.25">
      <c r="A867" s="12" t="s">
        <v>627</v>
      </c>
      <c r="B867" s="174" t="s">
        <v>619</v>
      </c>
      <c r="C867" s="5"/>
      <c r="D867" s="4" t="s">
        <v>263</v>
      </c>
      <c r="E867" s="1316"/>
      <c r="F867" s="102">
        <f>'3.9.расчет прочих'!L269</f>
        <v>139</v>
      </c>
      <c r="G867" s="102">
        <f t="shared" si="86"/>
        <v>139</v>
      </c>
      <c r="H867" s="102">
        <f t="shared" si="87"/>
        <v>139</v>
      </c>
      <c r="I867" s="1318" t="s">
        <v>957</v>
      </c>
      <c r="J867" s="1319"/>
      <c r="K867" s="160"/>
    </row>
    <row r="868" spans="1:11" ht="24" hidden="1" x14ac:dyDescent="0.25">
      <c r="A868" s="92" t="s">
        <v>608</v>
      </c>
      <c r="B868" s="174"/>
      <c r="C868" s="5"/>
      <c r="D868" s="4" t="s">
        <v>263</v>
      </c>
      <c r="E868" s="1316"/>
      <c r="F868" s="102">
        <f>'3.9.расчет прочих'!L270</f>
        <v>139</v>
      </c>
      <c r="G868" s="102">
        <f t="shared" si="86"/>
        <v>139</v>
      </c>
      <c r="H868" s="102">
        <f t="shared" si="87"/>
        <v>139</v>
      </c>
      <c r="I868" s="1318" t="s">
        <v>957</v>
      </c>
      <c r="J868" s="1319"/>
      <c r="K868" s="160"/>
    </row>
    <row r="869" spans="1:11" ht="24" hidden="1" x14ac:dyDescent="0.25">
      <c r="A869" s="92" t="s">
        <v>611</v>
      </c>
      <c r="B869" s="174"/>
      <c r="C869" s="5"/>
      <c r="D869" s="4" t="s">
        <v>263</v>
      </c>
      <c r="E869" s="1317"/>
      <c r="F869" s="102">
        <f>'3.9.расчет прочих'!L271</f>
        <v>139</v>
      </c>
      <c r="G869" s="102">
        <f t="shared" si="86"/>
        <v>139</v>
      </c>
      <c r="H869" s="102">
        <f t="shared" si="87"/>
        <v>139</v>
      </c>
      <c r="I869" s="1318" t="s">
        <v>957</v>
      </c>
      <c r="J869" s="1319"/>
      <c r="K869" s="160"/>
    </row>
    <row r="870" spans="1:11" ht="36" x14ac:dyDescent="0.25">
      <c r="A870" s="347" t="s">
        <v>603</v>
      </c>
      <c r="B870" s="106"/>
      <c r="C870" s="113"/>
      <c r="D870" s="114"/>
      <c r="E870" s="121"/>
      <c r="F870" s="118"/>
      <c r="G870" s="118"/>
      <c r="H870" s="118"/>
      <c r="I870" s="119"/>
      <c r="J870" s="120"/>
      <c r="K870" s="173"/>
    </row>
    <row r="871" spans="1:11" ht="24" x14ac:dyDescent="0.25">
      <c r="A871" s="12" t="s">
        <v>609</v>
      </c>
      <c r="B871" s="174" t="s">
        <v>604</v>
      </c>
      <c r="C871" s="5"/>
      <c r="D871" s="4" t="s">
        <v>263</v>
      </c>
      <c r="E871" s="1315" t="s">
        <v>260</v>
      </c>
      <c r="F871" s="102">
        <f>'3.9.расчет прочих'!L273</f>
        <v>139</v>
      </c>
      <c r="G871" s="102">
        <f t="shared" ref="G871:G878" si="88">F871</f>
        <v>139</v>
      </c>
      <c r="H871" s="102">
        <f t="shared" ref="H871:H878" si="89">F871</f>
        <v>139</v>
      </c>
      <c r="I871" s="1318" t="s">
        <v>957</v>
      </c>
      <c r="J871" s="1319"/>
      <c r="K871" s="160"/>
    </row>
    <row r="872" spans="1:11" ht="72" hidden="1" x14ac:dyDescent="0.25">
      <c r="A872" s="92" t="s">
        <v>610</v>
      </c>
      <c r="B872" s="174"/>
      <c r="C872" s="5"/>
      <c r="D872" s="4" t="s">
        <v>263</v>
      </c>
      <c r="E872" s="1316"/>
      <c r="F872" s="102">
        <f>'3.9.расчет прочих'!L274</f>
        <v>139</v>
      </c>
      <c r="G872" s="102">
        <f t="shared" si="88"/>
        <v>139</v>
      </c>
      <c r="H872" s="102">
        <f t="shared" si="89"/>
        <v>139</v>
      </c>
      <c r="I872" s="1318" t="s">
        <v>957</v>
      </c>
      <c r="J872" s="1319"/>
      <c r="K872" s="160"/>
    </row>
    <row r="873" spans="1:11" ht="48" x14ac:dyDescent="0.25">
      <c r="A873" s="12" t="s">
        <v>625</v>
      </c>
      <c r="B873" s="174" t="s">
        <v>605</v>
      </c>
      <c r="C873" s="5"/>
      <c r="D873" s="4" t="s">
        <v>263</v>
      </c>
      <c r="E873" s="1316"/>
      <c r="F873" s="102">
        <f>'3.9.расчет прочих'!L275</f>
        <v>139</v>
      </c>
      <c r="G873" s="102">
        <f t="shared" si="88"/>
        <v>139</v>
      </c>
      <c r="H873" s="102">
        <f t="shared" si="89"/>
        <v>139</v>
      </c>
      <c r="I873" s="1318" t="s">
        <v>957</v>
      </c>
      <c r="J873" s="1319"/>
      <c r="K873" s="160"/>
    </row>
    <row r="874" spans="1:11" ht="60" hidden="1" x14ac:dyDescent="0.25">
      <c r="A874" s="92" t="s">
        <v>639</v>
      </c>
      <c r="B874" s="174"/>
      <c r="C874" s="5"/>
      <c r="D874" s="4" t="s">
        <v>263</v>
      </c>
      <c r="E874" s="1316"/>
      <c r="F874" s="102">
        <f>'3.9.расчет прочих'!L276</f>
        <v>139</v>
      </c>
      <c r="G874" s="102">
        <f t="shared" si="88"/>
        <v>139</v>
      </c>
      <c r="H874" s="102">
        <f t="shared" si="89"/>
        <v>139</v>
      </c>
      <c r="I874" s="1318" t="s">
        <v>957</v>
      </c>
      <c r="J874" s="1319"/>
      <c r="K874" s="160"/>
    </row>
    <row r="875" spans="1:11" ht="24" x14ac:dyDescent="0.25">
      <c r="A875" s="12" t="s">
        <v>626</v>
      </c>
      <c r="B875" s="174" t="s">
        <v>606</v>
      </c>
      <c r="C875" s="5"/>
      <c r="D875" s="4" t="s">
        <v>263</v>
      </c>
      <c r="E875" s="1316"/>
      <c r="F875" s="102">
        <f>'3.9.расчет прочих'!L277</f>
        <v>139</v>
      </c>
      <c r="G875" s="102">
        <f t="shared" si="88"/>
        <v>139</v>
      </c>
      <c r="H875" s="102">
        <f t="shared" si="89"/>
        <v>139</v>
      </c>
      <c r="I875" s="1318" t="s">
        <v>957</v>
      </c>
      <c r="J875" s="1319"/>
      <c r="K875" s="160"/>
    </row>
    <row r="876" spans="1:11" ht="36" x14ac:dyDescent="0.25">
      <c r="A876" s="12" t="s">
        <v>627</v>
      </c>
      <c r="B876" s="174" t="s">
        <v>607</v>
      </c>
      <c r="C876" s="5"/>
      <c r="D876" s="4" t="s">
        <v>263</v>
      </c>
      <c r="E876" s="1316"/>
      <c r="F876" s="102">
        <f>'3.9.расчет прочих'!L278</f>
        <v>139</v>
      </c>
      <c r="G876" s="102">
        <f t="shared" si="88"/>
        <v>139</v>
      </c>
      <c r="H876" s="102">
        <f t="shared" si="89"/>
        <v>139</v>
      </c>
      <c r="I876" s="1318" t="s">
        <v>957</v>
      </c>
      <c r="J876" s="1319"/>
      <c r="K876" s="160"/>
    </row>
    <row r="877" spans="1:11" ht="24" x14ac:dyDescent="0.25">
      <c r="A877" s="174" t="s">
        <v>608</v>
      </c>
      <c r="B877" s="174" t="s">
        <v>979</v>
      </c>
      <c r="C877" s="5"/>
      <c r="D877" s="4" t="s">
        <v>263</v>
      </c>
      <c r="E877" s="1316"/>
      <c r="F877" s="102">
        <f>'3.9.расчет прочих'!L279</f>
        <v>139</v>
      </c>
      <c r="G877" s="102">
        <f t="shared" si="88"/>
        <v>139</v>
      </c>
      <c r="H877" s="102">
        <f t="shared" si="89"/>
        <v>139</v>
      </c>
      <c r="I877" s="1318" t="s">
        <v>957</v>
      </c>
      <c r="J877" s="1319"/>
      <c r="K877" s="160"/>
    </row>
    <row r="878" spans="1:11" ht="24" x14ac:dyDescent="0.25">
      <c r="A878" s="174" t="s">
        <v>611</v>
      </c>
      <c r="B878" s="174" t="s">
        <v>2233</v>
      </c>
      <c r="C878" s="5"/>
      <c r="D878" s="4" t="s">
        <v>263</v>
      </c>
      <c r="E878" s="1317"/>
      <c r="F878" s="102">
        <f>'3.9.расчет прочих'!L280</f>
        <v>139</v>
      </c>
      <c r="G878" s="102">
        <f t="shared" si="88"/>
        <v>139</v>
      </c>
      <c r="H878" s="102">
        <f t="shared" si="89"/>
        <v>139</v>
      </c>
      <c r="I878" s="1318" t="s">
        <v>957</v>
      </c>
      <c r="J878" s="1319"/>
      <c r="K878" s="160"/>
    </row>
    <row r="879" spans="1:11" ht="36" x14ac:dyDescent="0.25">
      <c r="A879" s="347" t="s">
        <v>620</v>
      </c>
      <c r="B879" s="106"/>
      <c r="C879" s="113"/>
      <c r="D879" s="114"/>
      <c r="E879" s="121"/>
      <c r="F879" s="118"/>
      <c r="G879" s="118"/>
      <c r="H879" s="118"/>
      <c r="I879" s="119"/>
      <c r="J879" s="120"/>
      <c r="K879" s="173"/>
    </row>
    <row r="880" spans="1:11" ht="24" x14ac:dyDescent="0.25">
      <c r="A880" s="12" t="s">
        <v>609</v>
      </c>
      <c r="B880" s="174" t="s">
        <v>621</v>
      </c>
      <c r="C880" s="5"/>
      <c r="D880" s="4" t="s">
        <v>263</v>
      </c>
      <c r="E880" s="1315" t="s">
        <v>260</v>
      </c>
      <c r="F880" s="102">
        <f>'3.9.расчет прочих'!L282</f>
        <v>139</v>
      </c>
      <c r="G880" s="102">
        <f t="shared" ref="G880:G887" si="90">F880</f>
        <v>139</v>
      </c>
      <c r="H880" s="102">
        <f t="shared" ref="H880:H887" si="91">F880</f>
        <v>139</v>
      </c>
      <c r="I880" s="1318" t="s">
        <v>957</v>
      </c>
      <c r="J880" s="1319"/>
      <c r="K880" s="160"/>
    </row>
    <row r="881" spans="1:11" ht="72" hidden="1" x14ac:dyDescent="0.25">
      <c r="A881" s="92" t="s">
        <v>610</v>
      </c>
      <c r="B881" s="174"/>
      <c r="C881" s="5"/>
      <c r="D881" s="4" t="s">
        <v>263</v>
      </c>
      <c r="E881" s="1316"/>
      <c r="F881" s="102">
        <f>'3.9.расчет прочих'!L283</f>
        <v>139</v>
      </c>
      <c r="G881" s="102">
        <f t="shared" si="90"/>
        <v>139</v>
      </c>
      <c r="H881" s="102">
        <f t="shared" si="91"/>
        <v>139</v>
      </c>
      <c r="I881" s="1318" t="s">
        <v>957</v>
      </c>
      <c r="J881" s="1319"/>
      <c r="K881" s="160"/>
    </row>
    <row r="882" spans="1:11" ht="48" hidden="1" x14ac:dyDescent="0.25">
      <c r="A882" s="92" t="s">
        <v>625</v>
      </c>
      <c r="B882" s="174"/>
      <c r="C882" s="5"/>
      <c r="D882" s="4" t="s">
        <v>263</v>
      </c>
      <c r="E882" s="1316"/>
      <c r="F882" s="102">
        <f>'3.9.расчет прочих'!L284</f>
        <v>139</v>
      </c>
      <c r="G882" s="102">
        <f t="shared" si="90"/>
        <v>139</v>
      </c>
      <c r="H882" s="102">
        <f t="shared" si="91"/>
        <v>139</v>
      </c>
      <c r="I882" s="1318" t="s">
        <v>957</v>
      </c>
      <c r="J882" s="1319"/>
      <c r="K882" s="160"/>
    </row>
    <row r="883" spans="1:11" ht="60" hidden="1" x14ac:dyDescent="0.25">
      <c r="A883" s="92" t="s">
        <v>639</v>
      </c>
      <c r="B883" s="174"/>
      <c r="C883" s="5"/>
      <c r="D883" s="4" t="s">
        <v>263</v>
      </c>
      <c r="E883" s="1316"/>
      <c r="F883" s="102">
        <f>'3.9.расчет прочих'!L285</f>
        <v>139</v>
      </c>
      <c r="G883" s="102">
        <f t="shared" si="90"/>
        <v>139</v>
      </c>
      <c r="H883" s="102">
        <f t="shared" si="91"/>
        <v>139</v>
      </c>
      <c r="I883" s="1318" t="s">
        <v>957</v>
      </c>
      <c r="J883" s="1319"/>
      <c r="K883" s="160"/>
    </row>
    <row r="884" spans="1:11" ht="24" x14ac:dyDescent="0.25">
      <c r="A884" s="12" t="s">
        <v>626</v>
      </c>
      <c r="B884" s="174" t="s">
        <v>980</v>
      </c>
      <c r="C884" s="5"/>
      <c r="D884" s="4" t="s">
        <v>263</v>
      </c>
      <c r="E884" s="1316"/>
      <c r="F884" s="102">
        <f>'3.9.расчет прочих'!L286</f>
        <v>139</v>
      </c>
      <c r="G884" s="102">
        <f t="shared" si="90"/>
        <v>139</v>
      </c>
      <c r="H884" s="102">
        <f t="shared" si="91"/>
        <v>139</v>
      </c>
      <c r="I884" s="1318" t="s">
        <v>957</v>
      </c>
      <c r="J884" s="1319"/>
      <c r="K884" s="160"/>
    </row>
    <row r="885" spans="1:11" ht="36" x14ac:dyDescent="0.25">
      <c r="A885" s="12" t="s">
        <v>627</v>
      </c>
      <c r="B885" s="174" t="s">
        <v>622</v>
      </c>
      <c r="C885" s="5"/>
      <c r="D885" s="4" t="s">
        <v>263</v>
      </c>
      <c r="E885" s="1316"/>
      <c r="F885" s="102">
        <f>'3.9.расчет прочих'!L287</f>
        <v>139</v>
      </c>
      <c r="G885" s="102">
        <f t="shared" si="90"/>
        <v>139</v>
      </c>
      <c r="H885" s="102">
        <f t="shared" si="91"/>
        <v>139</v>
      </c>
      <c r="I885" s="1318" t="s">
        <v>957</v>
      </c>
      <c r="J885" s="1319"/>
      <c r="K885" s="160"/>
    </row>
    <row r="886" spans="1:11" ht="24" x14ac:dyDescent="0.25">
      <c r="A886" s="174" t="s">
        <v>608</v>
      </c>
      <c r="B886" s="174" t="s">
        <v>623</v>
      </c>
      <c r="C886" s="5"/>
      <c r="D886" s="4" t="s">
        <v>263</v>
      </c>
      <c r="E886" s="1316"/>
      <c r="F886" s="102">
        <f>'3.9.расчет прочих'!L288</f>
        <v>139</v>
      </c>
      <c r="G886" s="102">
        <f t="shared" si="90"/>
        <v>139</v>
      </c>
      <c r="H886" s="102">
        <f t="shared" si="91"/>
        <v>139</v>
      </c>
      <c r="I886" s="1318" t="s">
        <v>957</v>
      </c>
      <c r="J886" s="1319"/>
      <c r="K886" s="160"/>
    </row>
    <row r="887" spans="1:11" ht="24" hidden="1" x14ac:dyDescent="0.25">
      <c r="A887" s="92" t="s">
        <v>611</v>
      </c>
      <c r="B887" s="174"/>
      <c r="C887" s="5"/>
      <c r="D887" s="4" t="s">
        <v>263</v>
      </c>
      <c r="E887" s="1317"/>
      <c r="F887" s="102">
        <f>'3.9.расчет прочих'!L289</f>
        <v>139</v>
      </c>
      <c r="G887" s="102">
        <f t="shared" si="90"/>
        <v>139</v>
      </c>
      <c r="H887" s="102">
        <f t="shared" si="91"/>
        <v>139</v>
      </c>
      <c r="I887" s="1318" t="s">
        <v>957</v>
      </c>
      <c r="J887" s="1319"/>
      <c r="K887" s="160"/>
    </row>
    <row r="888" spans="1:11" ht="26.25" hidden="1" customHeight="1" x14ac:dyDescent="0.25">
      <c r="A888" s="347" t="s">
        <v>601</v>
      </c>
      <c r="B888" s="106"/>
      <c r="C888" s="113"/>
      <c r="D888" s="114"/>
      <c r="E888" s="121"/>
      <c r="F888" s="118"/>
      <c r="G888" s="118"/>
      <c r="H888" s="118"/>
      <c r="I888" s="119"/>
      <c r="J888" s="120"/>
      <c r="K888" s="173"/>
    </row>
    <row r="889" spans="1:11" hidden="1" x14ac:dyDescent="0.25">
      <c r="A889" s="12" t="s">
        <v>456</v>
      </c>
      <c r="B889" s="174" t="s">
        <v>648</v>
      </c>
      <c r="C889" s="5"/>
      <c r="D889" s="12" t="s">
        <v>881</v>
      </c>
      <c r="E889" s="13" t="s">
        <v>442</v>
      </c>
      <c r="F889" s="102">
        <v>0</v>
      </c>
      <c r="G889" s="102">
        <v>0</v>
      </c>
      <c r="H889" s="102">
        <v>0</v>
      </c>
      <c r="I889" s="342"/>
      <c r="J889" s="343"/>
      <c r="K889" s="160"/>
    </row>
    <row r="890" spans="1:11" hidden="1" x14ac:dyDescent="0.25">
      <c r="A890" s="12" t="s">
        <v>457</v>
      </c>
      <c r="B890" s="174" t="s">
        <v>649</v>
      </c>
      <c r="C890" s="5"/>
      <c r="D890" s="12" t="s">
        <v>881</v>
      </c>
      <c r="E890" s="13" t="s">
        <v>442</v>
      </c>
      <c r="F890" s="102">
        <v>0</v>
      </c>
      <c r="G890" s="102">
        <v>0</v>
      </c>
      <c r="H890" s="102">
        <v>0</v>
      </c>
      <c r="I890" s="342"/>
      <c r="J890" s="343"/>
      <c r="K890" s="160"/>
    </row>
    <row r="891" spans="1:11" hidden="1" x14ac:dyDescent="0.25">
      <c r="A891" s="12" t="s">
        <v>471</v>
      </c>
      <c r="B891" s="174" t="s">
        <v>650</v>
      </c>
      <c r="C891" s="5"/>
      <c r="D891" s="12" t="s">
        <v>881</v>
      </c>
      <c r="E891" s="13" t="s">
        <v>442</v>
      </c>
      <c r="F891" s="102">
        <v>0</v>
      </c>
      <c r="G891" s="102">
        <v>0</v>
      </c>
      <c r="H891" s="102">
        <v>0</v>
      </c>
      <c r="I891" s="342"/>
      <c r="J891" s="343"/>
      <c r="K891" s="160"/>
    </row>
    <row r="892" spans="1:11" hidden="1" x14ac:dyDescent="0.25">
      <c r="A892" s="12" t="s">
        <v>458</v>
      </c>
      <c r="B892" s="174" t="s">
        <v>651</v>
      </c>
      <c r="C892" s="5"/>
      <c r="D892" s="12" t="s">
        <v>881</v>
      </c>
      <c r="E892" s="13" t="s">
        <v>442</v>
      </c>
      <c r="F892" s="102">
        <v>0</v>
      </c>
      <c r="G892" s="102">
        <v>0</v>
      </c>
      <c r="H892" s="102">
        <v>0</v>
      </c>
      <c r="I892" s="342"/>
      <c r="J892" s="343"/>
      <c r="K892" s="160"/>
    </row>
    <row r="893" spans="1:11" hidden="1" x14ac:dyDescent="0.25">
      <c r="A893" s="12" t="s">
        <v>459</v>
      </c>
      <c r="B893" s="174" t="s">
        <v>652</v>
      </c>
      <c r="C893" s="5"/>
      <c r="D893" s="12" t="s">
        <v>881</v>
      </c>
      <c r="E893" s="13" t="s">
        <v>442</v>
      </c>
      <c r="F893" s="102">
        <v>0</v>
      </c>
      <c r="G893" s="102">
        <v>0</v>
      </c>
      <c r="H893" s="102">
        <v>0</v>
      </c>
      <c r="I893" s="342"/>
      <c r="J893" s="343"/>
      <c r="K893" s="160"/>
    </row>
    <row r="894" spans="1:11" ht="24" hidden="1" x14ac:dyDescent="0.25">
      <c r="A894" s="12" t="s">
        <v>460</v>
      </c>
      <c r="B894" s="174" t="s">
        <v>653</v>
      </c>
      <c r="C894" s="5"/>
      <c r="D894" s="12" t="s">
        <v>881</v>
      </c>
      <c r="E894" s="13" t="s">
        <v>442</v>
      </c>
      <c r="F894" s="102">
        <v>0</v>
      </c>
      <c r="G894" s="102">
        <v>0</v>
      </c>
      <c r="H894" s="102">
        <v>0</v>
      </c>
      <c r="I894" s="342"/>
      <c r="J894" s="343"/>
      <c r="K894" s="160"/>
    </row>
    <row r="895" spans="1:11" ht="27.75" customHeight="1" x14ac:dyDescent="0.25">
      <c r="A895" s="103"/>
      <c r="B895" s="106"/>
      <c r="C895" s="113" t="s">
        <v>17</v>
      </c>
      <c r="D895" s="114" t="s">
        <v>18</v>
      </c>
      <c r="E895" s="114"/>
      <c r="F895" s="118"/>
      <c r="G895" s="118"/>
      <c r="H895" s="118"/>
      <c r="I895" s="119"/>
      <c r="J895" s="120"/>
      <c r="K895" s="173"/>
    </row>
    <row r="896" spans="1:11" ht="39.75" customHeight="1" x14ac:dyDescent="0.25">
      <c r="A896" s="347" t="s">
        <v>426</v>
      </c>
      <c r="B896" s="106"/>
      <c r="C896" s="113"/>
      <c r="D896" s="114"/>
      <c r="E896" s="121"/>
      <c r="F896" s="118"/>
      <c r="G896" s="118"/>
      <c r="H896" s="118"/>
      <c r="I896" s="119"/>
      <c r="J896" s="120"/>
      <c r="K896" s="173"/>
    </row>
    <row r="897" spans="1:11" ht="36" x14ac:dyDescent="0.25">
      <c r="A897" s="174" t="s">
        <v>421</v>
      </c>
      <c r="B897" s="174" t="s">
        <v>427</v>
      </c>
      <c r="C897" s="5"/>
      <c r="D897" s="4" t="s">
        <v>262</v>
      </c>
      <c r="E897" s="1315" t="s">
        <v>260</v>
      </c>
      <c r="F897" s="102">
        <f>'3.3.расчет прочих дс'!M282</f>
        <v>797</v>
      </c>
      <c r="G897" s="326">
        <f>F897</f>
        <v>797</v>
      </c>
      <c r="H897" s="326">
        <f>F897</f>
        <v>797</v>
      </c>
      <c r="I897" s="1318" t="s">
        <v>883</v>
      </c>
      <c r="J897" s="1319"/>
      <c r="K897" s="160"/>
    </row>
    <row r="898" spans="1:11" ht="36" x14ac:dyDescent="0.25">
      <c r="A898" s="174" t="s">
        <v>413</v>
      </c>
      <c r="B898" s="174" t="s">
        <v>430</v>
      </c>
      <c r="C898" s="5"/>
      <c r="D898" s="4" t="s">
        <v>262</v>
      </c>
      <c r="E898" s="1316"/>
      <c r="F898" s="102">
        <f>'3.3.расчет прочих дс'!M283</f>
        <v>797</v>
      </c>
      <c r="G898" s="326">
        <f t="shared" ref="G898:G910" si="92">F898</f>
        <v>797</v>
      </c>
      <c r="H898" s="326">
        <f t="shared" ref="H898:H910" si="93">F898</f>
        <v>797</v>
      </c>
      <c r="I898" s="1318" t="s">
        <v>883</v>
      </c>
      <c r="J898" s="1319"/>
      <c r="K898" s="160"/>
    </row>
    <row r="899" spans="1:11" ht="26.25" customHeight="1" x14ac:dyDescent="0.25">
      <c r="A899" s="174" t="s">
        <v>700</v>
      </c>
      <c r="B899" s="174" t="s">
        <v>427</v>
      </c>
      <c r="C899" s="5"/>
      <c r="D899" s="4" t="s">
        <v>262</v>
      </c>
      <c r="E899" s="1316"/>
      <c r="F899" s="102">
        <f>'3.3.расчет прочих дс'!M284</f>
        <v>797</v>
      </c>
      <c r="G899" s="326">
        <f t="shared" si="92"/>
        <v>797</v>
      </c>
      <c r="H899" s="326">
        <f t="shared" si="93"/>
        <v>797</v>
      </c>
      <c r="I899" s="1318" t="s">
        <v>883</v>
      </c>
      <c r="J899" s="1319"/>
      <c r="K899" s="160"/>
    </row>
    <row r="900" spans="1:11" ht="27" customHeight="1" x14ac:dyDescent="0.25">
      <c r="A900" s="174" t="s">
        <v>414</v>
      </c>
      <c r="B900" s="174" t="s">
        <v>430</v>
      </c>
      <c r="C900" s="5"/>
      <c r="D900" s="4" t="s">
        <v>262</v>
      </c>
      <c r="E900" s="1316"/>
      <c r="F900" s="102">
        <f>'3.3.расчет прочих дс'!M285</f>
        <v>797</v>
      </c>
      <c r="G900" s="326">
        <f t="shared" si="92"/>
        <v>797</v>
      </c>
      <c r="H900" s="326">
        <f t="shared" si="93"/>
        <v>797</v>
      </c>
      <c r="I900" s="1318" t="s">
        <v>883</v>
      </c>
      <c r="J900" s="1319"/>
      <c r="K900" s="160"/>
    </row>
    <row r="901" spans="1:11" ht="48" x14ac:dyDescent="0.25">
      <c r="A901" s="174" t="s">
        <v>415</v>
      </c>
      <c r="B901" s="174" t="s">
        <v>430</v>
      </c>
      <c r="C901" s="5"/>
      <c r="D901" s="4" t="s">
        <v>262</v>
      </c>
      <c r="E901" s="1316"/>
      <c r="F901" s="102">
        <f>'3.3.расчет прочих дс'!M286</f>
        <v>797</v>
      </c>
      <c r="G901" s="326">
        <f t="shared" si="92"/>
        <v>797</v>
      </c>
      <c r="H901" s="326">
        <f t="shared" si="93"/>
        <v>797</v>
      </c>
      <c r="I901" s="1318" t="s">
        <v>883</v>
      </c>
      <c r="J901" s="1319"/>
      <c r="K901" s="160"/>
    </row>
    <row r="902" spans="1:11" ht="26.25" customHeight="1" x14ac:dyDescent="0.25">
      <c r="A902" s="92" t="s">
        <v>416</v>
      </c>
      <c r="B902" s="174" t="s">
        <v>429</v>
      </c>
      <c r="C902" s="5"/>
      <c r="D902" s="4" t="s">
        <v>262</v>
      </c>
      <c r="E902" s="1316"/>
      <c r="F902" s="102">
        <f>'3.3.расчет прочих дс'!M287</f>
        <v>797</v>
      </c>
      <c r="G902" s="326">
        <f t="shared" si="92"/>
        <v>797</v>
      </c>
      <c r="H902" s="326">
        <f t="shared" si="93"/>
        <v>797</v>
      </c>
      <c r="I902" s="1318" t="s">
        <v>883</v>
      </c>
      <c r="J902" s="1319"/>
      <c r="K902" s="160"/>
    </row>
    <row r="903" spans="1:11" ht="24" customHeight="1" x14ac:dyDescent="0.25">
      <c r="A903" s="98" t="s">
        <v>417</v>
      </c>
      <c r="B903" s="174" t="s">
        <v>429</v>
      </c>
      <c r="C903" s="5"/>
      <c r="D903" s="4" t="s">
        <v>262</v>
      </c>
      <c r="E903" s="1316"/>
      <c r="F903" s="102">
        <f>'3.3.расчет прочих дс'!M288</f>
        <v>797</v>
      </c>
      <c r="G903" s="326">
        <f t="shared" si="92"/>
        <v>797</v>
      </c>
      <c r="H903" s="326">
        <f t="shared" si="93"/>
        <v>797</v>
      </c>
      <c r="I903" s="1318" t="s">
        <v>883</v>
      </c>
      <c r="J903" s="1319"/>
      <c r="K903" s="160"/>
    </row>
    <row r="904" spans="1:11" ht="24" customHeight="1" x14ac:dyDescent="0.25">
      <c r="A904" s="98" t="s">
        <v>422</v>
      </c>
      <c r="B904" s="174" t="s">
        <v>428</v>
      </c>
      <c r="C904" s="5"/>
      <c r="D904" s="4" t="s">
        <v>262</v>
      </c>
      <c r="E904" s="1316"/>
      <c r="F904" s="102">
        <f>'3.3.расчет прочих дс'!M289</f>
        <v>797</v>
      </c>
      <c r="G904" s="326">
        <f t="shared" si="92"/>
        <v>797</v>
      </c>
      <c r="H904" s="326">
        <f t="shared" si="93"/>
        <v>797</v>
      </c>
      <c r="I904" s="1318" t="s">
        <v>883</v>
      </c>
      <c r="J904" s="1319"/>
      <c r="K904" s="160"/>
    </row>
    <row r="905" spans="1:11" ht="24" customHeight="1" x14ac:dyDescent="0.25">
      <c r="A905" s="98" t="s">
        <v>418</v>
      </c>
      <c r="B905" s="174" t="s">
        <v>429</v>
      </c>
      <c r="C905" s="5"/>
      <c r="D905" s="4" t="s">
        <v>262</v>
      </c>
      <c r="E905" s="1316"/>
      <c r="F905" s="102">
        <f>'3.3.расчет прочих дс'!M290</f>
        <v>797</v>
      </c>
      <c r="G905" s="326">
        <f t="shared" si="92"/>
        <v>797</v>
      </c>
      <c r="H905" s="326">
        <f t="shared" si="93"/>
        <v>797</v>
      </c>
      <c r="I905" s="1318" t="s">
        <v>883</v>
      </c>
      <c r="J905" s="1319"/>
      <c r="K905" s="160"/>
    </row>
    <row r="906" spans="1:11" ht="24" customHeight="1" x14ac:dyDescent="0.25">
      <c r="A906" s="92" t="s">
        <v>423</v>
      </c>
      <c r="B906" s="174" t="s">
        <v>427</v>
      </c>
      <c r="C906" s="5"/>
      <c r="D906" s="4" t="s">
        <v>262</v>
      </c>
      <c r="E906" s="1316"/>
      <c r="F906" s="102">
        <f>'3.3.расчет прочих дс'!M291</f>
        <v>797</v>
      </c>
      <c r="G906" s="326">
        <f t="shared" si="92"/>
        <v>797</v>
      </c>
      <c r="H906" s="326">
        <f t="shared" si="93"/>
        <v>797</v>
      </c>
      <c r="I906" s="1318" t="s">
        <v>883</v>
      </c>
      <c r="J906" s="1319"/>
      <c r="K906" s="160"/>
    </row>
    <row r="907" spans="1:11" ht="24" customHeight="1" x14ac:dyDescent="0.25">
      <c r="A907" s="174" t="s">
        <v>419</v>
      </c>
      <c r="B907" s="174" t="s">
        <v>430</v>
      </c>
      <c r="C907" s="5"/>
      <c r="D907" s="4" t="s">
        <v>262</v>
      </c>
      <c r="E907" s="1316"/>
      <c r="F907" s="102">
        <f>'3.3.расчет прочих дс'!M292</f>
        <v>797</v>
      </c>
      <c r="G907" s="326">
        <f t="shared" si="92"/>
        <v>797</v>
      </c>
      <c r="H907" s="326">
        <f t="shared" si="93"/>
        <v>797</v>
      </c>
      <c r="I907" s="1318" t="s">
        <v>883</v>
      </c>
      <c r="J907" s="1319"/>
      <c r="K907" s="160"/>
    </row>
    <row r="908" spans="1:11" ht="24" customHeight="1" x14ac:dyDescent="0.25">
      <c r="A908" s="92" t="s">
        <v>424</v>
      </c>
      <c r="B908" s="174" t="s">
        <v>427</v>
      </c>
      <c r="C908" s="5"/>
      <c r="D908" s="4" t="s">
        <v>262</v>
      </c>
      <c r="E908" s="1316"/>
      <c r="F908" s="102">
        <f>'3.3.расчет прочих дс'!M293</f>
        <v>797</v>
      </c>
      <c r="G908" s="326">
        <f t="shared" si="92"/>
        <v>797</v>
      </c>
      <c r="H908" s="326">
        <f t="shared" si="93"/>
        <v>797</v>
      </c>
      <c r="I908" s="1318" t="s">
        <v>883</v>
      </c>
      <c r="J908" s="1319"/>
      <c r="K908" s="160"/>
    </row>
    <row r="909" spans="1:11" ht="24" customHeight="1" x14ac:dyDescent="0.25">
      <c r="A909" s="174" t="s">
        <v>420</v>
      </c>
      <c r="B909" s="174" t="s">
        <v>430</v>
      </c>
      <c r="C909" s="5"/>
      <c r="D909" s="4" t="s">
        <v>262</v>
      </c>
      <c r="E909" s="1316"/>
      <c r="F909" s="102">
        <f>'3.3.расчет прочих дс'!M294</f>
        <v>797</v>
      </c>
      <c r="G909" s="326">
        <f t="shared" si="92"/>
        <v>797</v>
      </c>
      <c r="H909" s="326">
        <f t="shared" si="93"/>
        <v>797</v>
      </c>
      <c r="I909" s="1318" t="s">
        <v>883</v>
      </c>
      <c r="J909" s="1319"/>
      <c r="K909" s="160"/>
    </row>
    <row r="910" spans="1:11" ht="24" hidden="1" customHeight="1" x14ac:dyDescent="0.25">
      <c r="A910" s="340"/>
      <c r="B910" s="174"/>
      <c r="C910" s="5"/>
      <c r="D910" s="4"/>
      <c r="E910" s="1317"/>
      <c r="F910" s="102">
        <f>'3.3.расчет прочих дс'!M295</f>
        <v>797</v>
      </c>
      <c r="G910" s="326">
        <f t="shared" si="92"/>
        <v>797</v>
      </c>
      <c r="H910" s="326">
        <f t="shared" si="93"/>
        <v>797</v>
      </c>
      <c r="I910" s="1318"/>
      <c r="J910" s="1319"/>
      <c r="K910" s="160"/>
    </row>
    <row r="911" spans="1:11" ht="26.25" hidden="1" customHeight="1" x14ac:dyDescent="0.25">
      <c r="A911" s="347" t="s">
        <v>431</v>
      </c>
      <c r="B911" s="106"/>
      <c r="C911" s="113"/>
      <c r="D911" s="114"/>
      <c r="E911" s="121"/>
      <c r="F911" s="118"/>
      <c r="G911" s="118"/>
      <c r="H911" s="118"/>
      <c r="I911" s="119"/>
      <c r="J911" s="120"/>
      <c r="K911" s="173"/>
    </row>
    <row r="912" spans="1:11" ht="24" hidden="1" customHeight="1" x14ac:dyDescent="0.25">
      <c r="A912" s="12" t="s">
        <v>702</v>
      </c>
      <c r="B912" s="174" t="s">
        <v>432</v>
      </c>
      <c r="C912" s="5"/>
      <c r="D912" s="12" t="s">
        <v>881</v>
      </c>
      <c r="E912" s="13" t="s">
        <v>442</v>
      </c>
      <c r="F912" s="102">
        <v>0</v>
      </c>
      <c r="G912" s="102">
        <v>0</v>
      </c>
      <c r="H912" s="102">
        <v>0</v>
      </c>
      <c r="I912" s="1318"/>
      <c r="J912" s="1319"/>
      <c r="K912" s="160"/>
    </row>
    <row r="913" spans="1:11" ht="36" hidden="1" x14ac:dyDescent="0.25">
      <c r="A913" s="12" t="s">
        <v>703</v>
      </c>
      <c r="B913" s="174" t="s">
        <v>433</v>
      </c>
      <c r="C913" s="5"/>
      <c r="D913" s="12" t="s">
        <v>881</v>
      </c>
      <c r="E913" s="13" t="s">
        <v>442</v>
      </c>
      <c r="F913" s="102">
        <v>0</v>
      </c>
      <c r="G913" s="102">
        <v>0</v>
      </c>
      <c r="H913" s="102">
        <v>0</v>
      </c>
      <c r="I913" s="1318"/>
      <c r="J913" s="1319"/>
      <c r="K913" s="160"/>
    </row>
    <row r="914" spans="1:11" ht="24" hidden="1" x14ac:dyDescent="0.25">
      <c r="A914" s="12" t="s">
        <v>704</v>
      </c>
      <c r="B914" s="174" t="s">
        <v>434</v>
      </c>
      <c r="C914" s="5"/>
      <c r="D914" s="12" t="s">
        <v>881</v>
      </c>
      <c r="E914" s="13" t="s">
        <v>442</v>
      </c>
      <c r="F914" s="102">
        <v>0</v>
      </c>
      <c r="G914" s="102">
        <v>0</v>
      </c>
      <c r="H914" s="102">
        <v>0</v>
      </c>
      <c r="I914" s="1318"/>
      <c r="J914" s="1319"/>
      <c r="K914" s="160"/>
    </row>
    <row r="915" spans="1:11" s="435" customFormat="1" ht="48" hidden="1" x14ac:dyDescent="0.25">
      <c r="A915" s="641" t="s">
        <v>1407</v>
      </c>
      <c r="B915" s="174" t="s">
        <v>435</v>
      </c>
      <c r="C915" s="5"/>
      <c r="D915" s="12" t="s">
        <v>881</v>
      </c>
      <c r="E915" s="13" t="s">
        <v>442</v>
      </c>
      <c r="F915" s="102">
        <v>0</v>
      </c>
      <c r="G915" s="102">
        <v>0</v>
      </c>
      <c r="H915" s="102">
        <v>0</v>
      </c>
      <c r="I915" s="1318"/>
      <c r="J915" s="1319"/>
      <c r="K915" s="160"/>
    </row>
    <row r="916" spans="1:11" ht="36" hidden="1" x14ac:dyDescent="0.25">
      <c r="A916" s="12" t="s">
        <v>948</v>
      </c>
      <c r="B916" s="174" t="s">
        <v>435</v>
      </c>
      <c r="C916" s="5"/>
      <c r="D916" s="12" t="s">
        <v>881</v>
      </c>
      <c r="E916" s="13" t="s">
        <v>442</v>
      </c>
      <c r="F916" s="102">
        <v>0</v>
      </c>
      <c r="G916" s="102">
        <v>0</v>
      </c>
      <c r="H916" s="102">
        <v>0</v>
      </c>
      <c r="I916" s="1318"/>
      <c r="J916" s="1319"/>
      <c r="K916" s="160"/>
    </row>
    <row r="917" spans="1:11" ht="36" hidden="1" x14ac:dyDescent="0.25">
      <c r="A917" s="12" t="s">
        <v>705</v>
      </c>
      <c r="B917" s="174" t="s">
        <v>436</v>
      </c>
      <c r="C917" s="5"/>
      <c r="D917" s="12" t="s">
        <v>881</v>
      </c>
      <c r="E917" s="13" t="s">
        <v>442</v>
      </c>
      <c r="F917" s="102">
        <v>0</v>
      </c>
      <c r="G917" s="102">
        <v>0</v>
      </c>
      <c r="H917" s="102">
        <v>0</v>
      </c>
      <c r="I917" s="1318"/>
      <c r="J917" s="1319"/>
      <c r="K917" s="160"/>
    </row>
    <row r="918" spans="1:11" ht="36" hidden="1" x14ac:dyDescent="0.25">
      <c r="A918" s="98" t="s">
        <v>706</v>
      </c>
      <c r="B918" s="174" t="s">
        <v>437</v>
      </c>
      <c r="C918" s="5"/>
      <c r="D918" s="12" t="s">
        <v>881</v>
      </c>
      <c r="E918" s="13" t="s">
        <v>442</v>
      </c>
      <c r="F918" s="102">
        <v>0</v>
      </c>
      <c r="G918" s="102">
        <v>0</v>
      </c>
      <c r="H918" s="102">
        <v>0</v>
      </c>
      <c r="I918" s="1318"/>
      <c r="J918" s="1319"/>
      <c r="K918" s="160"/>
    </row>
    <row r="919" spans="1:11" ht="36" hidden="1" x14ac:dyDescent="0.25">
      <c r="A919" s="98" t="s">
        <v>707</v>
      </c>
      <c r="B919" s="174" t="s">
        <v>438</v>
      </c>
      <c r="C919" s="5"/>
      <c r="D919" s="12" t="s">
        <v>881</v>
      </c>
      <c r="E919" s="13" t="s">
        <v>442</v>
      </c>
      <c r="F919" s="102">
        <v>0</v>
      </c>
      <c r="G919" s="102">
        <v>0</v>
      </c>
      <c r="H919" s="102">
        <v>0</v>
      </c>
      <c r="I919" s="1318"/>
      <c r="J919" s="1319"/>
      <c r="K919" s="160"/>
    </row>
    <row r="920" spans="1:11" ht="24" hidden="1" x14ac:dyDescent="0.25">
      <c r="A920" s="98" t="s">
        <v>708</v>
      </c>
      <c r="B920" s="174" t="s">
        <v>439</v>
      </c>
      <c r="C920" s="5"/>
      <c r="D920" s="12" t="s">
        <v>881</v>
      </c>
      <c r="E920" s="13" t="s">
        <v>442</v>
      </c>
      <c r="F920" s="102">
        <v>0</v>
      </c>
      <c r="G920" s="102">
        <v>0</v>
      </c>
      <c r="H920" s="102">
        <v>0</v>
      </c>
      <c r="I920" s="1318"/>
      <c r="J920" s="1319"/>
      <c r="K920" s="160"/>
    </row>
    <row r="921" spans="1:11" s="435" customFormat="1" ht="48" hidden="1" x14ac:dyDescent="0.25">
      <c r="A921" s="643" t="s">
        <v>1409</v>
      </c>
      <c r="B921" s="174" t="s">
        <v>440</v>
      </c>
      <c r="C921" s="5"/>
      <c r="D921" s="12" t="s">
        <v>881</v>
      </c>
      <c r="E921" s="13" t="s">
        <v>442</v>
      </c>
      <c r="F921" s="102">
        <v>0</v>
      </c>
      <c r="G921" s="102">
        <v>0</v>
      </c>
      <c r="H921" s="102">
        <v>0</v>
      </c>
      <c r="I921" s="1318"/>
      <c r="J921" s="1319"/>
      <c r="K921" s="160"/>
    </row>
    <row r="922" spans="1:11" ht="36" hidden="1" x14ac:dyDescent="0.25">
      <c r="A922" s="98" t="s">
        <v>949</v>
      </c>
      <c r="B922" s="174" t="s">
        <v>440</v>
      </c>
      <c r="C922" s="5"/>
      <c r="D922" s="12" t="s">
        <v>881</v>
      </c>
      <c r="E922" s="13" t="s">
        <v>442</v>
      </c>
      <c r="F922" s="102">
        <v>0</v>
      </c>
      <c r="G922" s="102">
        <v>0</v>
      </c>
      <c r="H922" s="102">
        <v>0</v>
      </c>
      <c r="I922" s="1318"/>
      <c r="J922" s="1319"/>
      <c r="K922" s="160"/>
    </row>
    <row r="923" spans="1:11" ht="36" hidden="1" x14ac:dyDescent="0.25">
      <c r="A923" s="98" t="s">
        <v>709</v>
      </c>
      <c r="B923" s="174" t="s">
        <v>441</v>
      </c>
      <c r="C923" s="5"/>
      <c r="D923" s="12" t="s">
        <v>881</v>
      </c>
      <c r="E923" s="13" t="s">
        <v>442</v>
      </c>
      <c r="F923" s="102">
        <v>0</v>
      </c>
      <c r="G923" s="102">
        <v>0</v>
      </c>
      <c r="H923" s="102">
        <v>0</v>
      </c>
      <c r="I923" s="1318"/>
      <c r="J923" s="1319"/>
      <c r="K923" s="160"/>
    </row>
    <row r="924" spans="1:11" ht="39.75" customHeight="1" x14ac:dyDescent="0.25">
      <c r="A924" s="347" t="s">
        <v>624</v>
      </c>
      <c r="B924" s="106"/>
      <c r="C924" s="113"/>
      <c r="D924" s="114"/>
      <c r="E924" s="121"/>
      <c r="F924" s="118"/>
      <c r="G924" s="118"/>
      <c r="H924" s="118"/>
      <c r="I924" s="119"/>
      <c r="J924" s="120"/>
      <c r="K924" s="173"/>
    </row>
    <row r="925" spans="1:11" ht="24" customHeight="1" x14ac:dyDescent="0.25">
      <c r="A925" s="12" t="s">
        <v>609</v>
      </c>
      <c r="B925" s="174" t="s">
        <v>617</v>
      </c>
      <c r="C925" s="5"/>
      <c r="D925" s="4" t="s">
        <v>262</v>
      </c>
      <c r="E925" s="1315" t="s">
        <v>260</v>
      </c>
      <c r="F925" s="102">
        <f>'3.9.расчет прочих'!M264</f>
        <v>188</v>
      </c>
      <c r="G925" s="102">
        <f>F925</f>
        <v>188</v>
      </c>
      <c r="H925" s="102">
        <f>F925</f>
        <v>188</v>
      </c>
      <c r="I925" s="1318" t="s">
        <v>957</v>
      </c>
      <c r="J925" s="1319"/>
      <c r="K925" s="160"/>
    </row>
    <row r="926" spans="1:11" ht="72" hidden="1" x14ac:dyDescent="0.25">
      <c r="A926" s="92" t="s">
        <v>610</v>
      </c>
      <c r="B926" s="174"/>
      <c r="C926" s="5"/>
      <c r="D926" s="4" t="s">
        <v>262</v>
      </c>
      <c r="E926" s="1316"/>
      <c r="F926" s="102">
        <f>'3.9.расчет прочих'!M265</f>
        <v>188</v>
      </c>
      <c r="G926" s="102">
        <f t="shared" ref="G926:G932" si="94">F926</f>
        <v>188</v>
      </c>
      <c r="H926" s="102">
        <f t="shared" ref="H926:H932" si="95">F926</f>
        <v>188</v>
      </c>
      <c r="I926" s="1318" t="s">
        <v>957</v>
      </c>
      <c r="J926" s="1319"/>
      <c r="K926" s="160"/>
    </row>
    <row r="927" spans="1:11" ht="26.25" customHeight="1" x14ac:dyDescent="0.25">
      <c r="A927" s="12" t="s">
        <v>625</v>
      </c>
      <c r="B927" s="174" t="s">
        <v>978</v>
      </c>
      <c r="C927" s="5"/>
      <c r="D927" s="4" t="s">
        <v>262</v>
      </c>
      <c r="E927" s="1316"/>
      <c r="F927" s="102">
        <f>'3.9.расчет прочих'!M266</f>
        <v>188</v>
      </c>
      <c r="G927" s="102">
        <f t="shared" si="94"/>
        <v>188</v>
      </c>
      <c r="H927" s="102">
        <f t="shared" si="95"/>
        <v>188</v>
      </c>
      <c r="I927" s="1318" t="s">
        <v>957</v>
      </c>
      <c r="J927" s="1319"/>
      <c r="K927" s="160"/>
    </row>
    <row r="928" spans="1:11" ht="27" customHeight="1" x14ac:dyDescent="0.25">
      <c r="A928" s="12" t="s">
        <v>626</v>
      </c>
      <c r="B928" s="174" t="s">
        <v>618</v>
      </c>
      <c r="C928" s="5"/>
      <c r="D928" s="4" t="s">
        <v>262</v>
      </c>
      <c r="E928" s="1316"/>
      <c r="F928" s="102">
        <f>'3.9.расчет прочих'!M267</f>
        <v>188</v>
      </c>
      <c r="G928" s="102">
        <f t="shared" si="94"/>
        <v>188</v>
      </c>
      <c r="H928" s="102">
        <f t="shared" si="95"/>
        <v>188</v>
      </c>
      <c r="I928" s="1318" t="s">
        <v>957</v>
      </c>
      <c r="J928" s="1319"/>
      <c r="K928" s="160"/>
    </row>
    <row r="929" spans="1:11" ht="60" hidden="1" x14ac:dyDescent="0.25">
      <c r="A929" s="92" t="s">
        <v>639</v>
      </c>
      <c r="B929" s="174"/>
      <c r="C929" s="5"/>
      <c r="D929" s="4" t="s">
        <v>262</v>
      </c>
      <c r="E929" s="1316"/>
      <c r="F929" s="102">
        <f>'3.9.расчет прочих'!M268</f>
        <v>188</v>
      </c>
      <c r="G929" s="102">
        <f t="shared" si="94"/>
        <v>188</v>
      </c>
      <c r="H929" s="102">
        <f t="shared" si="95"/>
        <v>188</v>
      </c>
      <c r="I929" s="1318" t="s">
        <v>957</v>
      </c>
      <c r="J929" s="1319"/>
      <c r="K929" s="160"/>
    </row>
    <row r="930" spans="1:11" ht="26.25" customHeight="1" x14ac:dyDescent="0.25">
      <c r="A930" s="12" t="s">
        <v>627</v>
      </c>
      <c r="B930" s="174" t="s">
        <v>619</v>
      </c>
      <c r="C930" s="5"/>
      <c r="D930" s="4" t="s">
        <v>262</v>
      </c>
      <c r="E930" s="1316"/>
      <c r="F930" s="102">
        <f>'3.9.расчет прочих'!M269</f>
        <v>188</v>
      </c>
      <c r="G930" s="102">
        <f t="shared" si="94"/>
        <v>188</v>
      </c>
      <c r="H930" s="102">
        <f t="shared" si="95"/>
        <v>188</v>
      </c>
      <c r="I930" s="1318" t="s">
        <v>957</v>
      </c>
      <c r="J930" s="1319"/>
      <c r="K930" s="160"/>
    </row>
    <row r="931" spans="1:11" ht="24" hidden="1" customHeight="1" x14ac:dyDescent="0.25">
      <c r="A931" s="92" t="s">
        <v>608</v>
      </c>
      <c r="B931" s="174"/>
      <c r="C931" s="5"/>
      <c r="D931" s="4" t="s">
        <v>262</v>
      </c>
      <c r="E931" s="1316"/>
      <c r="F931" s="102">
        <f>'3.9.расчет прочих'!M270</f>
        <v>188</v>
      </c>
      <c r="G931" s="102">
        <f t="shared" si="94"/>
        <v>188</v>
      </c>
      <c r="H931" s="102">
        <f t="shared" si="95"/>
        <v>188</v>
      </c>
      <c r="I931" s="1318" t="s">
        <v>957</v>
      </c>
      <c r="J931" s="1319"/>
      <c r="K931" s="160"/>
    </row>
    <row r="932" spans="1:11" ht="24" hidden="1" customHeight="1" x14ac:dyDescent="0.25">
      <c r="A932" s="92" t="s">
        <v>611</v>
      </c>
      <c r="B932" s="174"/>
      <c r="C932" s="5"/>
      <c r="D932" s="4" t="s">
        <v>262</v>
      </c>
      <c r="E932" s="1317"/>
      <c r="F932" s="102">
        <f>'3.9.расчет прочих'!M271</f>
        <v>188</v>
      </c>
      <c r="G932" s="102">
        <f t="shared" si="94"/>
        <v>188</v>
      </c>
      <c r="H932" s="102">
        <f t="shared" si="95"/>
        <v>188</v>
      </c>
      <c r="I932" s="1318" t="s">
        <v>957</v>
      </c>
      <c r="J932" s="1319"/>
      <c r="K932" s="160"/>
    </row>
    <row r="933" spans="1:11" ht="39.75" customHeight="1" x14ac:dyDescent="0.25">
      <c r="A933" s="347" t="s">
        <v>603</v>
      </c>
      <c r="B933" s="106"/>
      <c r="C933" s="113"/>
      <c r="D933" s="114"/>
      <c r="E933" s="121"/>
      <c r="F933" s="118"/>
      <c r="G933" s="118"/>
      <c r="H933" s="118"/>
      <c r="I933" s="119"/>
      <c r="J933" s="120"/>
      <c r="K933" s="173"/>
    </row>
    <row r="934" spans="1:11" ht="24" customHeight="1" x14ac:dyDescent="0.25">
      <c r="A934" s="12" t="s">
        <v>609</v>
      </c>
      <c r="B934" s="174" t="s">
        <v>604</v>
      </c>
      <c r="C934" s="5"/>
      <c r="D934" s="4" t="s">
        <v>262</v>
      </c>
      <c r="E934" s="1315" t="s">
        <v>260</v>
      </c>
      <c r="F934" s="102">
        <f>'3.9.расчет прочих'!M273</f>
        <v>188</v>
      </c>
      <c r="G934" s="102">
        <f t="shared" ref="G934:G941" si="96">F934</f>
        <v>188</v>
      </c>
      <c r="H934" s="102">
        <f t="shared" ref="H934:H941" si="97">F934</f>
        <v>188</v>
      </c>
      <c r="I934" s="1318" t="s">
        <v>957</v>
      </c>
      <c r="J934" s="1319"/>
      <c r="K934" s="160"/>
    </row>
    <row r="935" spans="1:11" ht="72" hidden="1" x14ac:dyDescent="0.25">
      <c r="A935" s="92" t="s">
        <v>610</v>
      </c>
      <c r="B935" s="174"/>
      <c r="C935" s="5"/>
      <c r="D935" s="4" t="s">
        <v>262</v>
      </c>
      <c r="E935" s="1316"/>
      <c r="F935" s="102">
        <f>'3.9.расчет прочих'!M274</f>
        <v>188</v>
      </c>
      <c r="G935" s="102">
        <f t="shared" si="96"/>
        <v>188</v>
      </c>
      <c r="H935" s="102">
        <f t="shared" si="97"/>
        <v>188</v>
      </c>
      <c r="I935" s="1318" t="s">
        <v>957</v>
      </c>
      <c r="J935" s="1319"/>
      <c r="K935" s="160"/>
    </row>
    <row r="936" spans="1:11" ht="26.25" customHeight="1" x14ac:dyDescent="0.25">
      <c r="A936" s="12" t="s">
        <v>625</v>
      </c>
      <c r="B936" s="174" t="s">
        <v>605</v>
      </c>
      <c r="C936" s="5"/>
      <c r="D936" s="4" t="s">
        <v>262</v>
      </c>
      <c r="E936" s="1316"/>
      <c r="F936" s="102">
        <f>'3.9.расчет прочих'!M275</f>
        <v>188</v>
      </c>
      <c r="G936" s="102">
        <f t="shared" si="96"/>
        <v>188</v>
      </c>
      <c r="H936" s="102">
        <f t="shared" si="97"/>
        <v>188</v>
      </c>
      <c r="I936" s="1318" t="s">
        <v>957</v>
      </c>
      <c r="J936" s="1319"/>
      <c r="K936" s="160"/>
    </row>
    <row r="937" spans="1:11" ht="27" hidden="1" customHeight="1" x14ac:dyDescent="0.25">
      <c r="A937" s="92" t="s">
        <v>639</v>
      </c>
      <c r="B937" s="174"/>
      <c r="C937" s="5"/>
      <c r="D937" s="4" t="s">
        <v>262</v>
      </c>
      <c r="E937" s="1316"/>
      <c r="F937" s="102">
        <f>'3.9.расчет прочих'!M276</f>
        <v>188</v>
      </c>
      <c r="G937" s="102">
        <f t="shared" si="96"/>
        <v>188</v>
      </c>
      <c r="H937" s="102">
        <f t="shared" si="97"/>
        <v>188</v>
      </c>
      <c r="I937" s="1318" t="s">
        <v>957</v>
      </c>
      <c r="J937" s="1319"/>
      <c r="K937" s="160"/>
    </row>
    <row r="938" spans="1:11" ht="24" x14ac:dyDescent="0.25">
      <c r="A938" s="12" t="s">
        <v>626</v>
      </c>
      <c r="B938" s="174" t="s">
        <v>606</v>
      </c>
      <c r="C938" s="5"/>
      <c r="D938" s="4" t="s">
        <v>262</v>
      </c>
      <c r="E938" s="1316"/>
      <c r="F938" s="102">
        <f>'3.9.расчет прочих'!M277</f>
        <v>188</v>
      </c>
      <c r="G938" s="102">
        <f t="shared" si="96"/>
        <v>188</v>
      </c>
      <c r="H938" s="102">
        <f t="shared" si="97"/>
        <v>188</v>
      </c>
      <c r="I938" s="1318" t="s">
        <v>957</v>
      </c>
      <c r="J938" s="1319"/>
      <c r="K938" s="160"/>
    </row>
    <row r="939" spans="1:11" ht="26.25" customHeight="1" x14ac:dyDescent="0.25">
      <c r="A939" s="12" t="s">
        <v>627</v>
      </c>
      <c r="B939" s="174" t="s">
        <v>607</v>
      </c>
      <c r="C939" s="5"/>
      <c r="D939" s="4" t="s">
        <v>262</v>
      </c>
      <c r="E939" s="1316"/>
      <c r="F939" s="102">
        <f>'3.9.расчет прочих'!M278</f>
        <v>188</v>
      </c>
      <c r="G939" s="102">
        <f t="shared" si="96"/>
        <v>188</v>
      </c>
      <c r="H939" s="102">
        <f t="shared" si="97"/>
        <v>188</v>
      </c>
      <c r="I939" s="1318" t="s">
        <v>957</v>
      </c>
      <c r="J939" s="1319"/>
      <c r="K939" s="160"/>
    </row>
    <row r="940" spans="1:11" ht="24" customHeight="1" x14ac:dyDescent="0.25">
      <c r="A940" s="174" t="s">
        <v>608</v>
      </c>
      <c r="B940" s="174" t="s">
        <v>979</v>
      </c>
      <c r="C940" s="5"/>
      <c r="D940" s="4" t="s">
        <v>262</v>
      </c>
      <c r="E940" s="1316"/>
      <c r="F940" s="102">
        <f>'3.9.расчет прочих'!M279</f>
        <v>188</v>
      </c>
      <c r="G940" s="102">
        <f t="shared" si="96"/>
        <v>188</v>
      </c>
      <c r="H940" s="102">
        <f t="shared" si="97"/>
        <v>188</v>
      </c>
      <c r="I940" s="1318" t="s">
        <v>957</v>
      </c>
      <c r="J940" s="1319"/>
      <c r="K940" s="160"/>
    </row>
    <row r="941" spans="1:11" ht="24" customHeight="1" x14ac:dyDescent="0.25">
      <c r="A941" s="174" t="s">
        <v>611</v>
      </c>
      <c r="B941" s="174" t="s">
        <v>2233</v>
      </c>
      <c r="C941" s="5"/>
      <c r="D941" s="4" t="s">
        <v>262</v>
      </c>
      <c r="E941" s="1317"/>
      <c r="F941" s="102">
        <f>'3.9.расчет прочих'!M280</f>
        <v>188</v>
      </c>
      <c r="G941" s="102">
        <f t="shared" si="96"/>
        <v>188</v>
      </c>
      <c r="H941" s="102">
        <f t="shared" si="97"/>
        <v>188</v>
      </c>
      <c r="I941" s="1318" t="s">
        <v>957</v>
      </c>
      <c r="J941" s="1319"/>
      <c r="K941" s="160"/>
    </row>
    <row r="942" spans="1:11" ht="39.75" customHeight="1" x14ac:dyDescent="0.25">
      <c r="A942" s="347" t="s">
        <v>620</v>
      </c>
      <c r="B942" s="106"/>
      <c r="C942" s="113"/>
      <c r="D942" s="114"/>
      <c r="E942" s="121"/>
      <c r="F942" s="118"/>
      <c r="G942" s="118"/>
      <c r="H942" s="118"/>
      <c r="I942" s="119"/>
      <c r="J942" s="120"/>
      <c r="K942" s="173"/>
    </row>
    <row r="943" spans="1:11" ht="24" customHeight="1" x14ac:dyDescent="0.25">
      <c r="A943" s="12" t="s">
        <v>609</v>
      </c>
      <c r="B943" s="174" t="s">
        <v>621</v>
      </c>
      <c r="C943" s="5"/>
      <c r="D943" s="4" t="s">
        <v>262</v>
      </c>
      <c r="E943" s="1315" t="s">
        <v>260</v>
      </c>
      <c r="F943" s="102">
        <f>'3.9.расчет прочих'!M282</f>
        <v>188</v>
      </c>
      <c r="G943" s="102">
        <f t="shared" ref="G943:G950" si="98">F943</f>
        <v>188</v>
      </c>
      <c r="H943" s="102">
        <f t="shared" ref="H943:H950" si="99">F943</f>
        <v>188</v>
      </c>
      <c r="I943" s="1318" t="s">
        <v>957</v>
      </c>
      <c r="J943" s="1319"/>
      <c r="K943" s="160"/>
    </row>
    <row r="944" spans="1:11" ht="72" hidden="1" x14ac:dyDescent="0.25">
      <c r="A944" s="92" t="s">
        <v>610</v>
      </c>
      <c r="B944" s="174"/>
      <c r="C944" s="5"/>
      <c r="D944" s="4" t="s">
        <v>262</v>
      </c>
      <c r="E944" s="1316"/>
      <c r="F944" s="102">
        <f>'3.9.расчет прочих'!M283</f>
        <v>188</v>
      </c>
      <c r="G944" s="102">
        <f t="shared" si="98"/>
        <v>188</v>
      </c>
      <c r="H944" s="102">
        <f t="shared" si="99"/>
        <v>188</v>
      </c>
      <c r="I944" s="1318" t="s">
        <v>957</v>
      </c>
      <c r="J944" s="1319"/>
      <c r="K944" s="160"/>
    </row>
    <row r="945" spans="1:11" ht="26.25" hidden="1" customHeight="1" x14ac:dyDescent="0.25">
      <c r="A945" s="92" t="s">
        <v>625</v>
      </c>
      <c r="B945" s="174"/>
      <c r="C945" s="5"/>
      <c r="D945" s="4" t="s">
        <v>262</v>
      </c>
      <c r="E945" s="1316"/>
      <c r="F945" s="102">
        <f>'3.9.расчет прочих'!M284</f>
        <v>188</v>
      </c>
      <c r="G945" s="102">
        <f t="shared" si="98"/>
        <v>188</v>
      </c>
      <c r="H945" s="102">
        <f t="shared" si="99"/>
        <v>188</v>
      </c>
      <c r="I945" s="1318" t="s">
        <v>957</v>
      </c>
      <c r="J945" s="1319"/>
      <c r="K945" s="160"/>
    </row>
    <row r="946" spans="1:11" ht="27" hidden="1" customHeight="1" x14ac:dyDescent="0.25">
      <c r="A946" s="92" t="s">
        <v>639</v>
      </c>
      <c r="B946" s="174"/>
      <c r="C946" s="5"/>
      <c r="D946" s="4" t="s">
        <v>262</v>
      </c>
      <c r="E946" s="1316"/>
      <c r="F946" s="102">
        <f>'3.9.расчет прочих'!M285</f>
        <v>188</v>
      </c>
      <c r="G946" s="102">
        <f t="shared" si="98"/>
        <v>188</v>
      </c>
      <c r="H946" s="102">
        <f t="shared" si="99"/>
        <v>188</v>
      </c>
      <c r="I946" s="1318" t="s">
        <v>957</v>
      </c>
      <c r="J946" s="1319"/>
      <c r="K946" s="160"/>
    </row>
    <row r="947" spans="1:11" ht="24" x14ac:dyDescent="0.25">
      <c r="A947" s="12" t="s">
        <v>626</v>
      </c>
      <c r="B947" s="174" t="s">
        <v>980</v>
      </c>
      <c r="C947" s="5"/>
      <c r="D947" s="4" t="s">
        <v>262</v>
      </c>
      <c r="E947" s="1316"/>
      <c r="F947" s="102">
        <f>'3.9.расчет прочих'!M286</f>
        <v>188</v>
      </c>
      <c r="G947" s="102">
        <f t="shared" si="98"/>
        <v>188</v>
      </c>
      <c r="H947" s="102">
        <f t="shared" si="99"/>
        <v>188</v>
      </c>
      <c r="I947" s="1318" t="s">
        <v>957</v>
      </c>
      <c r="J947" s="1319"/>
      <c r="K947" s="160"/>
    </row>
    <row r="948" spans="1:11" ht="26.25" customHeight="1" x14ac:dyDescent="0.25">
      <c r="A948" s="12" t="s">
        <v>627</v>
      </c>
      <c r="B948" s="174" t="s">
        <v>622</v>
      </c>
      <c r="C948" s="5"/>
      <c r="D948" s="4" t="s">
        <v>262</v>
      </c>
      <c r="E948" s="1316"/>
      <c r="F948" s="102">
        <f>'3.9.расчет прочих'!M287</f>
        <v>188</v>
      </c>
      <c r="G948" s="102">
        <f t="shared" si="98"/>
        <v>188</v>
      </c>
      <c r="H948" s="102">
        <f t="shared" si="99"/>
        <v>188</v>
      </c>
      <c r="I948" s="1318" t="s">
        <v>957</v>
      </c>
      <c r="J948" s="1319"/>
      <c r="K948" s="160"/>
    </row>
    <row r="949" spans="1:11" ht="24" customHeight="1" x14ac:dyDescent="0.25">
      <c r="A949" s="174" t="s">
        <v>608</v>
      </c>
      <c r="B949" s="174" t="s">
        <v>623</v>
      </c>
      <c r="C949" s="5"/>
      <c r="D949" s="4" t="s">
        <v>262</v>
      </c>
      <c r="E949" s="1316"/>
      <c r="F949" s="102">
        <f>'3.9.расчет прочих'!M288</f>
        <v>188</v>
      </c>
      <c r="G949" s="102">
        <f t="shared" si="98"/>
        <v>188</v>
      </c>
      <c r="H949" s="102">
        <f t="shared" si="99"/>
        <v>188</v>
      </c>
      <c r="I949" s="1318" t="s">
        <v>957</v>
      </c>
      <c r="J949" s="1319"/>
      <c r="K949" s="160"/>
    </row>
    <row r="950" spans="1:11" ht="24" hidden="1" customHeight="1" x14ac:dyDescent="0.25">
      <c r="A950" s="92" t="s">
        <v>611</v>
      </c>
      <c r="B950" s="174"/>
      <c r="C950" s="5"/>
      <c r="D950" s="4" t="s">
        <v>262</v>
      </c>
      <c r="E950" s="1317"/>
      <c r="F950" s="102">
        <f>'3.9.расчет прочих'!M289</f>
        <v>188</v>
      </c>
      <c r="G950" s="102">
        <f t="shared" si="98"/>
        <v>188</v>
      </c>
      <c r="H950" s="102">
        <f t="shared" si="99"/>
        <v>188</v>
      </c>
      <c r="I950" s="1318" t="s">
        <v>957</v>
      </c>
      <c r="J950" s="1319"/>
      <c r="K950" s="160"/>
    </row>
    <row r="951" spans="1:11" ht="26.25" hidden="1" customHeight="1" x14ac:dyDescent="0.25">
      <c r="A951" s="347" t="s">
        <v>601</v>
      </c>
      <c r="B951" s="106"/>
      <c r="C951" s="113"/>
      <c r="D951" s="114"/>
      <c r="E951" s="121"/>
      <c r="F951" s="118"/>
      <c r="G951" s="118"/>
      <c r="H951" s="118"/>
      <c r="I951" s="119"/>
      <c r="J951" s="120"/>
      <c r="K951" s="173"/>
    </row>
    <row r="952" spans="1:11" hidden="1" x14ac:dyDescent="0.25">
      <c r="A952" s="12" t="s">
        <v>456</v>
      </c>
      <c r="B952" s="174" t="s">
        <v>648</v>
      </c>
      <c r="C952" s="5"/>
      <c r="D952" s="12" t="s">
        <v>881</v>
      </c>
      <c r="E952" s="13" t="s">
        <v>442</v>
      </c>
      <c r="F952" s="102">
        <v>0</v>
      </c>
      <c r="G952" s="102">
        <v>0</v>
      </c>
      <c r="H952" s="102">
        <v>0</v>
      </c>
      <c r="I952" s="342"/>
      <c r="J952" s="343"/>
      <c r="K952" s="160"/>
    </row>
    <row r="953" spans="1:11" hidden="1" x14ac:dyDescent="0.25">
      <c r="A953" s="12" t="s">
        <v>457</v>
      </c>
      <c r="B953" s="174" t="s">
        <v>649</v>
      </c>
      <c r="C953" s="5"/>
      <c r="D953" s="12" t="s">
        <v>881</v>
      </c>
      <c r="E953" s="13" t="s">
        <v>442</v>
      </c>
      <c r="F953" s="102">
        <v>0</v>
      </c>
      <c r="G953" s="102">
        <v>0</v>
      </c>
      <c r="H953" s="102">
        <v>0</v>
      </c>
      <c r="I953" s="342"/>
      <c r="J953" s="343"/>
      <c r="K953" s="160"/>
    </row>
    <row r="954" spans="1:11" hidden="1" x14ac:dyDescent="0.25">
      <c r="A954" s="12" t="s">
        <v>471</v>
      </c>
      <c r="B954" s="174" t="s">
        <v>650</v>
      </c>
      <c r="C954" s="5"/>
      <c r="D954" s="12" t="s">
        <v>881</v>
      </c>
      <c r="E954" s="13" t="s">
        <v>442</v>
      </c>
      <c r="F954" s="102">
        <v>0</v>
      </c>
      <c r="G954" s="102">
        <v>0</v>
      </c>
      <c r="H954" s="102">
        <v>0</v>
      </c>
      <c r="I954" s="342"/>
      <c r="J954" s="343"/>
      <c r="K954" s="160"/>
    </row>
    <row r="955" spans="1:11" hidden="1" x14ac:dyDescent="0.25">
      <c r="A955" s="12" t="s">
        <v>458</v>
      </c>
      <c r="B955" s="174" t="s">
        <v>651</v>
      </c>
      <c r="C955" s="5"/>
      <c r="D955" s="12" t="s">
        <v>881</v>
      </c>
      <c r="E955" s="13" t="s">
        <v>442</v>
      </c>
      <c r="F955" s="102">
        <v>0</v>
      </c>
      <c r="G955" s="102">
        <v>0</v>
      </c>
      <c r="H955" s="102">
        <v>0</v>
      </c>
      <c r="I955" s="342"/>
      <c r="J955" s="343"/>
      <c r="K955" s="160"/>
    </row>
    <row r="956" spans="1:11" hidden="1" x14ac:dyDescent="0.25">
      <c r="A956" s="12" t="s">
        <v>459</v>
      </c>
      <c r="B956" s="174" t="s">
        <v>652</v>
      </c>
      <c r="C956" s="5"/>
      <c r="D956" s="12" t="s">
        <v>881</v>
      </c>
      <c r="E956" s="13" t="s">
        <v>442</v>
      </c>
      <c r="F956" s="102">
        <v>0</v>
      </c>
      <c r="G956" s="102">
        <v>0</v>
      </c>
      <c r="H956" s="102">
        <v>0</v>
      </c>
      <c r="I956" s="342"/>
      <c r="J956" s="343"/>
      <c r="K956" s="160"/>
    </row>
    <row r="957" spans="1:11" ht="24" hidden="1" x14ac:dyDescent="0.25">
      <c r="A957" s="12" t="s">
        <v>460</v>
      </c>
      <c r="B957" s="174" t="s">
        <v>653</v>
      </c>
      <c r="C957" s="5"/>
      <c r="D957" s="12" t="s">
        <v>881</v>
      </c>
      <c r="E957" s="13" t="s">
        <v>442</v>
      </c>
      <c r="F957" s="102">
        <v>0</v>
      </c>
      <c r="G957" s="102">
        <v>0</v>
      </c>
      <c r="H957" s="102">
        <v>0</v>
      </c>
      <c r="I957" s="342"/>
      <c r="J957" s="343"/>
      <c r="K957" s="160"/>
    </row>
    <row r="958" spans="1:11" x14ac:dyDescent="0.25">
      <c r="A958" s="103"/>
      <c r="B958" s="106"/>
      <c r="C958" s="113" t="s">
        <v>19</v>
      </c>
      <c r="D958" s="114" t="s">
        <v>20</v>
      </c>
      <c r="E958" s="114"/>
      <c r="F958" s="118"/>
      <c r="G958" s="118"/>
      <c r="H958" s="118"/>
      <c r="I958" s="119"/>
      <c r="J958" s="120"/>
      <c r="K958" s="173"/>
    </row>
    <row r="959" spans="1:11" ht="36" x14ac:dyDescent="0.25">
      <c r="A959" s="347" t="s">
        <v>426</v>
      </c>
      <c r="B959" s="106"/>
      <c r="C959" s="113"/>
      <c r="D959" s="114"/>
      <c r="E959" s="121"/>
      <c r="F959" s="118"/>
      <c r="G959" s="118"/>
      <c r="H959" s="118"/>
      <c r="I959" s="119"/>
      <c r="J959" s="120"/>
      <c r="K959" s="173"/>
    </row>
    <row r="960" spans="1:11" ht="15" customHeight="1" x14ac:dyDescent="0.25">
      <c r="A960" s="174" t="s">
        <v>421</v>
      </c>
      <c r="B960" s="174" t="s">
        <v>427</v>
      </c>
      <c r="C960" s="5"/>
      <c r="D960" s="12" t="s">
        <v>881</v>
      </c>
      <c r="E960" s="1315" t="s">
        <v>445</v>
      </c>
      <c r="F960" s="102">
        <v>0</v>
      </c>
      <c r="G960" s="102">
        <v>0</v>
      </c>
      <c r="H960" s="102">
        <v>0</v>
      </c>
      <c r="I960" s="342"/>
      <c r="J960" s="343"/>
      <c r="K960" s="160"/>
    </row>
    <row r="961" spans="1:11" ht="15" customHeight="1" x14ac:dyDescent="0.25">
      <c r="A961" s="174" t="s">
        <v>413</v>
      </c>
      <c r="B961" s="174" t="s">
        <v>430</v>
      </c>
      <c r="C961" s="5"/>
      <c r="D961" s="12" t="s">
        <v>881</v>
      </c>
      <c r="E961" s="1316"/>
      <c r="F961" s="102">
        <v>0</v>
      </c>
      <c r="G961" s="102">
        <v>0</v>
      </c>
      <c r="H961" s="102">
        <v>0</v>
      </c>
      <c r="I961" s="342"/>
      <c r="J961" s="343"/>
      <c r="K961" s="160"/>
    </row>
    <row r="962" spans="1:11" ht="14.25" customHeight="1" x14ac:dyDescent="0.25">
      <c r="A962" s="174" t="s">
        <v>700</v>
      </c>
      <c r="B962" s="174" t="s">
        <v>427</v>
      </c>
      <c r="C962" s="5"/>
      <c r="D962" s="12" t="s">
        <v>881</v>
      </c>
      <c r="E962" s="1316"/>
      <c r="F962" s="102">
        <v>0</v>
      </c>
      <c r="G962" s="102">
        <v>0</v>
      </c>
      <c r="H962" s="102">
        <v>0</v>
      </c>
      <c r="I962" s="342"/>
      <c r="J962" s="343"/>
      <c r="K962" s="160"/>
    </row>
    <row r="963" spans="1:11" ht="13.5" customHeight="1" x14ac:dyDescent="0.25">
      <c r="A963" s="174" t="s">
        <v>414</v>
      </c>
      <c r="B963" s="174" t="s">
        <v>430</v>
      </c>
      <c r="C963" s="5"/>
      <c r="D963" s="12" t="s">
        <v>881</v>
      </c>
      <c r="E963" s="1316"/>
      <c r="F963" s="102">
        <v>0</v>
      </c>
      <c r="G963" s="102">
        <v>0</v>
      </c>
      <c r="H963" s="102">
        <v>0</v>
      </c>
      <c r="I963" s="342"/>
      <c r="J963" s="343"/>
      <c r="K963" s="160"/>
    </row>
    <row r="964" spans="1:11" ht="14.25" customHeight="1" x14ac:dyDescent="0.25">
      <c r="A964" s="174" t="s">
        <v>415</v>
      </c>
      <c r="B964" s="174" t="s">
        <v>430</v>
      </c>
      <c r="C964" s="5"/>
      <c r="D964" s="12" t="s">
        <v>881</v>
      </c>
      <c r="E964" s="1316"/>
      <c r="F964" s="102">
        <v>0</v>
      </c>
      <c r="G964" s="102">
        <v>0</v>
      </c>
      <c r="H964" s="102">
        <v>0</v>
      </c>
      <c r="I964" s="342"/>
      <c r="J964" s="343"/>
      <c r="K964" s="160"/>
    </row>
    <row r="965" spans="1:11" ht="15.75" customHeight="1" x14ac:dyDescent="0.25">
      <c r="A965" s="92" t="s">
        <v>416</v>
      </c>
      <c r="B965" s="174" t="s">
        <v>429</v>
      </c>
      <c r="C965" s="5"/>
      <c r="D965" s="12" t="s">
        <v>881</v>
      </c>
      <c r="E965" s="1316"/>
      <c r="F965" s="102">
        <v>0</v>
      </c>
      <c r="G965" s="102">
        <v>0</v>
      </c>
      <c r="H965" s="102">
        <v>0</v>
      </c>
      <c r="I965" s="342"/>
      <c r="J965" s="343"/>
      <c r="K965" s="160"/>
    </row>
    <row r="966" spans="1:11" ht="15.75" customHeight="1" x14ac:dyDescent="0.25">
      <c r="A966" s="98" t="s">
        <v>417</v>
      </c>
      <c r="B966" s="174" t="s">
        <v>429</v>
      </c>
      <c r="C966" s="5"/>
      <c r="D966" s="12" t="s">
        <v>881</v>
      </c>
      <c r="E966" s="1316"/>
      <c r="F966" s="102">
        <v>0</v>
      </c>
      <c r="G966" s="102">
        <v>0</v>
      </c>
      <c r="H966" s="102">
        <v>0</v>
      </c>
      <c r="I966" s="342"/>
      <c r="J966" s="343"/>
      <c r="K966" s="160"/>
    </row>
    <row r="967" spans="1:11" ht="15.75" customHeight="1" x14ac:dyDescent="0.25">
      <c r="A967" s="98" t="s">
        <v>422</v>
      </c>
      <c r="B967" s="174" t="s">
        <v>428</v>
      </c>
      <c r="C967" s="5"/>
      <c r="D967" s="12" t="s">
        <v>881</v>
      </c>
      <c r="E967" s="1316"/>
      <c r="F967" s="102">
        <v>0</v>
      </c>
      <c r="G967" s="102">
        <v>0</v>
      </c>
      <c r="H967" s="102">
        <v>0</v>
      </c>
      <c r="I967" s="342"/>
      <c r="J967" s="343"/>
      <c r="K967" s="160"/>
    </row>
    <row r="968" spans="1:11" ht="15.75" customHeight="1" x14ac:dyDescent="0.25">
      <c r="A968" s="98" t="s">
        <v>418</v>
      </c>
      <c r="B968" s="174" t="s">
        <v>429</v>
      </c>
      <c r="C968" s="5"/>
      <c r="D968" s="12" t="s">
        <v>881</v>
      </c>
      <c r="E968" s="1316"/>
      <c r="F968" s="102">
        <v>0</v>
      </c>
      <c r="G968" s="102">
        <v>0</v>
      </c>
      <c r="H968" s="102">
        <v>0</v>
      </c>
      <c r="I968" s="342"/>
      <c r="J968" s="343"/>
      <c r="K968" s="160"/>
    </row>
    <row r="969" spans="1:11" ht="15.75" customHeight="1" x14ac:dyDescent="0.25">
      <c r="A969" s="92" t="s">
        <v>423</v>
      </c>
      <c r="B969" s="174" t="s">
        <v>427</v>
      </c>
      <c r="C969" s="5"/>
      <c r="D969" s="12" t="s">
        <v>881</v>
      </c>
      <c r="E969" s="1316"/>
      <c r="F969" s="102">
        <v>0</v>
      </c>
      <c r="G969" s="102">
        <v>0</v>
      </c>
      <c r="H969" s="102">
        <v>0</v>
      </c>
      <c r="I969" s="342"/>
      <c r="J969" s="343"/>
      <c r="K969" s="160"/>
    </row>
    <row r="970" spans="1:11" ht="15.75" customHeight="1" x14ac:dyDescent="0.25">
      <c r="A970" s="174" t="s">
        <v>419</v>
      </c>
      <c r="B970" s="174" t="s">
        <v>430</v>
      </c>
      <c r="C970" s="5"/>
      <c r="D970" s="12" t="s">
        <v>881</v>
      </c>
      <c r="E970" s="1316"/>
      <c r="F970" s="102">
        <v>0</v>
      </c>
      <c r="G970" s="102">
        <v>0</v>
      </c>
      <c r="H970" s="102">
        <v>0</v>
      </c>
      <c r="I970" s="342"/>
      <c r="J970" s="343"/>
      <c r="K970" s="160"/>
    </row>
    <row r="971" spans="1:11" ht="15.75" customHeight="1" x14ac:dyDescent="0.25">
      <c r="A971" s="92" t="s">
        <v>424</v>
      </c>
      <c r="B971" s="174" t="s">
        <v>427</v>
      </c>
      <c r="C971" s="5"/>
      <c r="D971" s="12" t="s">
        <v>881</v>
      </c>
      <c r="E971" s="1316"/>
      <c r="F971" s="102">
        <v>0</v>
      </c>
      <c r="G971" s="102">
        <v>0</v>
      </c>
      <c r="H971" s="102">
        <v>0</v>
      </c>
      <c r="I971" s="342"/>
      <c r="J971" s="343"/>
      <c r="K971" s="160"/>
    </row>
    <row r="972" spans="1:11" ht="15.75" customHeight="1" x14ac:dyDescent="0.25">
      <c r="A972" s="174" t="s">
        <v>420</v>
      </c>
      <c r="B972" s="174" t="s">
        <v>430</v>
      </c>
      <c r="C972" s="5"/>
      <c r="D972" s="12" t="s">
        <v>881</v>
      </c>
      <c r="E972" s="1316"/>
      <c r="F972" s="102">
        <v>0</v>
      </c>
      <c r="G972" s="102">
        <v>0</v>
      </c>
      <c r="H972" s="102">
        <v>0</v>
      </c>
      <c r="I972" s="342"/>
      <c r="J972" s="343"/>
      <c r="K972" s="160"/>
    </row>
    <row r="973" spans="1:11" ht="15.75" customHeight="1" x14ac:dyDescent="0.25">
      <c r="A973" s="340"/>
      <c r="B973" s="174"/>
      <c r="C973" s="5"/>
      <c r="D973" s="12" t="s">
        <v>881</v>
      </c>
      <c r="E973" s="1317"/>
      <c r="F973" s="102">
        <v>0</v>
      </c>
      <c r="G973" s="102">
        <v>0</v>
      </c>
      <c r="H973" s="102">
        <v>0</v>
      </c>
      <c r="I973" s="342"/>
      <c r="J973" s="343"/>
      <c r="K973" s="160"/>
    </row>
    <row r="974" spans="1:11" ht="26.25" hidden="1" customHeight="1" x14ac:dyDescent="0.25">
      <c r="A974" s="347" t="s">
        <v>431</v>
      </c>
      <c r="B974" s="106"/>
      <c r="C974" s="113"/>
      <c r="D974" s="114"/>
      <c r="E974" s="114"/>
      <c r="F974" s="118"/>
      <c r="G974" s="118"/>
      <c r="H974" s="118"/>
      <c r="I974" s="119"/>
      <c r="J974" s="120"/>
      <c r="K974" s="173"/>
    </row>
    <row r="975" spans="1:11" ht="15.75" hidden="1" customHeight="1" x14ac:dyDescent="0.25">
      <c r="A975" s="12" t="s">
        <v>702</v>
      </c>
      <c r="B975" s="174" t="s">
        <v>432</v>
      </c>
      <c r="C975" s="5"/>
      <c r="D975" s="12" t="s">
        <v>881</v>
      </c>
      <c r="E975" s="13" t="s">
        <v>442</v>
      </c>
      <c r="F975" s="102">
        <v>0</v>
      </c>
      <c r="G975" s="102">
        <v>0</v>
      </c>
      <c r="H975" s="102">
        <v>0</v>
      </c>
      <c r="I975" s="342"/>
      <c r="J975" s="343"/>
      <c r="K975" s="160"/>
    </row>
    <row r="976" spans="1:11" ht="15.75" hidden="1" customHeight="1" x14ac:dyDescent="0.25">
      <c r="A976" s="12" t="s">
        <v>703</v>
      </c>
      <c r="B976" s="174" t="s">
        <v>433</v>
      </c>
      <c r="C976" s="5"/>
      <c r="D976" s="12" t="s">
        <v>881</v>
      </c>
      <c r="E976" s="13" t="s">
        <v>442</v>
      </c>
      <c r="F976" s="102">
        <v>0</v>
      </c>
      <c r="G976" s="102">
        <v>0</v>
      </c>
      <c r="H976" s="102">
        <v>0</v>
      </c>
      <c r="I976" s="342"/>
      <c r="J976" s="343"/>
      <c r="K976" s="160"/>
    </row>
    <row r="977" spans="1:11" ht="15.75" hidden="1" customHeight="1" x14ac:dyDescent="0.25">
      <c r="A977" s="12" t="s">
        <v>704</v>
      </c>
      <c r="B977" s="174" t="s">
        <v>434</v>
      </c>
      <c r="C977" s="5"/>
      <c r="D977" s="12" t="s">
        <v>881</v>
      </c>
      <c r="E977" s="13" t="s">
        <v>442</v>
      </c>
      <c r="F977" s="102">
        <v>0</v>
      </c>
      <c r="G977" s="102">
        <v>0</v>
      </c>
      <c r="H977" s="102">
        <v>0</v>
      </c>
      <c r="I977" s="342"/>
      <c r="J977" s="343"/>
      <c r="K977" s="160"/>
    </row>
    <row r="978" spans="1:11" s="435" customFormat="1" ht="15.75" hidden="1" customHeight="1" x14ac:dyDescent="0.25">
      <c r="A978" s="641" t="s">
        <v>1407</v>
      </c>
      <c r="B978" s="174" t="s">
        <v>435</v>
      </c>
      <c r="C978" s="5"/>
      <c r="D978" s="12" t="s">
        <v>881</v>
      </c>
      <c r="E978" s="13" t="s">
        <v>442</v>
      </c>
      <c r="F978" s="102">
        <v>0</v>
      </c>
      <c r="G978" s="102">
        <v>0</v>
      </c>
      <c r="H978" s="102">
        <v>0</v>
      </c>
      <c r="I978" s="437"/>
      <c r="J978" s="438"/>
      <c r="K978" s="160"/>
    </row>
    <row r="979" spans="1:11" ht="15.75" hidden="1" customHeight="1" x14ac:dyDescent="0.25">
      <c r="A979" s="12" t="s">
        <v>948</v>
      </c>
      <c r="B979" s="174" t="s">
        <v>435</v>
      </c>
      <c r="C979" s="5"/>
      <c r="D979" s="12" t="s">
        <v>881</v>
      </c>
      <c r="E979" s="13" t="s">
        <v>442</v>
      </c>
      <c r="F979" s="102">
        <v>0</v>
      </c>
      <c r="G979" s="102">
        <v>0</v>
      </c>
      <c r="H979" s="102">
        <v>0</v>
      </c>
      <c r="I979" s="342"/>
      <c r="J979" s="343"/>
      <c r="K979" s="160"/>
    </row>
    <row r="980" spans="1:11" ht="15.75" hidden="1" customHeight="1" x14ac:dyDescent="0.25">
      <c r="A980" s="12" t="s">
        <v>705</v>
      </c>
      <c r="B980" s="174" t="s">
        <v>436</v>
      </c>
      <c r="C980" s="5"/>
      <c r="D980" s="12" t="s">
        <v>881</v>
      </c>
      <c r="E980" s="13" t="s">
        <v>442</v>
      </c>
      <c r="F980" s="102">
        <v>0</v>
      </c>
      <c r="G980" s="102">
        <v>0</v>
      </c>
      <c r="H980" s="102">
        <v>0</v>
      </c>
      <c r="I980" s="342"/>
      <c r="J980" s="343"/>
      <c r="K980" s="160"/>
    </row>
    <row r="981" spans="1:11" ht="15.75" hidden="1" customHeight="1" x14ac:dyDescent="0.25">
      <c r="A981" s="98" t="s">
        <v>706</v>
      </c>
      <c r="B981" s="174" t="s">
        <v>437</v>
      </c>
      <c r="C981" s="5"/>
      <c r="D981" s="12" t="s">
        <v>881</v>
      </c>
      <c r="E981" s="13" t="s">
        <v>442</v>
      </c>
      <c r="F981" s="102">
        <v>0</v>
      </c>
      <c r="G981" s="102">
        <v>0</v>
      </c>
      <c r="H981" s="102">
        <v>0</v>
      </c>
      <c r="I981" s="342"/>
      <c r="J981" s="343"/>
      <c r="K981" s="160"/>
    </row>
    <row r="982" spans="1:11" ht="15.75" hidden="1" customHeight="1" x14ac:dyDescent="0.25">
      <c r="A982" s="98" t="s">
        <v>707</v>
      </c>
      <c r="B982" s="174" t="s">
        <v>438</v>
      </c>
      <c r="C982" s="5"/>
      <c r="D982" s="12" t="s">
        <v>881</v>
      </c>
      <c r="E982" s="13" t="s">
        <v>442</v>
      </c>
      <c r="F982" s="102">
        <v>0</v>
      </c>
      <c r="G982" s="102">
        <v>0</v>
      </c>
      <c r="H982" s="102">
        <v>0</v>
      </c>
      <c r="I982" s="342"/>
      <c r="J982" s="343"/>
      <c r="K982" s="160"/>
    </row>
    <row r="983" spans="1:11" ht="15.75" hidden="1" customHeight="1" x14ac:dyDescent="0.25">
      <c r="A983" s="98" t="s">
        <v>708</v>
      </c>
      <c r="B983" s="174" t="s">
        <v>439</v>
      </c>
      <c r="C983" s="5"/>
      <c r="D983" s="12" t="s">
        <v>881</v>
      </c>
      <c r="E983" s="13" t="s">
        <v>442</v>
      </c>
      <c r="F983" s="102">
        <v>0</v>
      </c>
      <c r="G983" s="102">
        <v>0</v>
      </c>
      <c r="H983" s="102">
        <v>0</v>
      </c>
      <c r="I983" s="342"/>
      <c r="J983" s="343"/>
      <c r="K983" s="160"/>
    </row>
    <row r="984" spans="1:11" s="435" customFormat="1" ht="15.75" hidden="1" customHeight="1" x14ac:dyDescent="0.25">
      <c r="A984" s="643" t="s">
        <v>1409</v>
      </c>
      <c r="B984" s="174" t="s">
        <v>440</v>
      </c>
      <c r="C984" s="5"/>
      <c r="D984" s="12" t="s">
        <v>881</v>
      </c>
      <c r="E984" s="13" t="s">
        <v>442</v>
      </c>
      <c r="F984" s="102">
        <v>0</v>
      </c>
      <c r="G984" s="102">
        <v>0</v>
      </c>
      <c r="H984" s="102">
        <v>0</v>
      </c>
      <c r="I984" s="437"/>
      <c r="J984" s="438"/>
      <c r="K984" s="160"/>
    </row>
    <row r="985" spans="1:11" ht="15.75" hidden="1" customHeight="1" x14ac:dyDescent="0.25">
      <c r="A985" s="98" t="s">
        <v>949</v>
      </c>
      <c r="B985" s="174" t="s">
        <v>440</v>
      </c>
      <c r="C985" s="5"/>
      <c r="D985" s="12" t="s">
        <v>881</v>
      </c>
      <c r="E985" s="13" t="s">
        <v>442</v>
      </c>
      <c r="F985" s="102">
        <v>0</v>
      </c>
      <c r="G985" s="102">
        <v>0</v>
      </c>
      <c r="H985" s="102">
        <v>0</v>
      </c>
      <c r="I985" s="342"/>
      <c r="J985" s="343"/>
      <c r="K985" s="160"/>
    </row>
    <row r="986" spans="1:11" ht="15.75" hidden="1" customHeight="1" x14ac:dyDescent="0.25">
      <c r="A986" s="98" t="s">
        <v>709</v>
      </c>
      <c r="B986" s="174" t="s">
        <v>441</v>
      </c>
      <c r="C986" s="5"/>
      <c r="D986" s="12" t="s">
        <v>881</v>
      </c>
      <c r="E986" s="13" t="s">
        <v>442</v>
      </c>
      <c r="F986" s="102">
        <v>0</v>
      </c>
      <c r="G986" s="102">
        <v>0</v>
      </c>
      <c r="H986" s="102">
        <v>0</v>
      </c>
      <c r="I986" s="342"/>
      <c r="J986" s="343"/>
      <c r="K986" s="160"/>
    </row>
    <row r="987" spans="1:11" ht="36" x14ac:dyDescent="0.25">
      <c r="A987" s="347" t="s">
        <v>624</v>
      </c>
      <c r="B987" s="106"/>
      <c r="C987" s="113"/>
      <c r="D987" s="114"/>
      <c r="E987" s="121"/>
      <c r="F987" s="118"/>
      <c r="G987" s="118"/>
      <c r="H987" s="118"/>
      <c r="I987" s="119"/>
      <c r="J987" s="120"/>
      <c r="K987" s="173"/>
    </row>
    <row r="988" spans="1:11" ht="15" customHeight="1" x14ac:dyDescent="0.25">
      <c r="A988" s="12" t="s">
        <v>609</v>
      </c>
      <c r="B988" s="174" t="s">
        <v>617</v>
      </c>
      <c r="C988" s="5"/>
      <c r="D988" s="12" t="s">
        <v>881</v>
      </c>
      <c r="E988" s="1315" t="s">
        <v>445</v>
      </c>
      <c r="F988" s="102">
        <v>0</v>
      </c>
      <c r="G988" s="102">
        <v>0</v>
      </c>
      <c r="H988" s="102">
        <v>0</v>
      </c>
      <c r="I988" s="342"/>
      <c r="J988" s="343"/>
      <c r="K988" s="160"/>
    </row>
    <row r="989" spans="1:11" ht="15" customHeight="1" x14ac:dyDescent="0.25">
      <c r="A989" s="92" t="s">
        <v>610</v>
      </c>
      <c r="B989" s="174"/>
      <c r="C989" s="5"/>
      <c r="D989" s="12" t="s">
        <v>881</v>
      </c>
      <c r="E989" s="1316"/>
      <c r="F989" s="102">
        <v>0</v>
      </c>
      <c r="G989" s="102">
        <v>0</v>
      </c>
      <c r="H989" s="102">
        <v>0</v>
      </c>
      <c r="I989" s="342"/>
      <c r="J989" s="343"/>
      <c r="K989" s="160"/>
    </row>
    <row r="990" spans="1:11" ht="14.25" customHeight="1" x14ac:dyDescent="0.25">
      <c r="A990" s="12" t="s">
        <v>625</v>
      </c>
      <c r="B990" s="174" t="s">
        <v>978</v>
      </c>
      <c r="C990" s="5"/>
      <c r="D990" s="12" t="s">
        <v>881</v>
      </c>
      <c r="E990" s="1316"/>
      <c r="F990" s="102">
        <v>0</v>
      </c>
      <c r="G990" s="102">
        <v>0</v>
      </c>
      <c r="H990" s="102">
        <v>0</v>
      </c>
      <c r="I990" s="342"/>
      <c r="J990" s="343"/>
      <c r="K990" s="160"/>
    </row>
    <row r="991" spans="1:11" ht="13.5" customHeight="1" x14ac:dyDescent="0.25">
      <c r="A991" s="12" t="s">
        <v>626</v>
      </c>
      <c r="B991" s="174" t="s">
        <v>618</v>
      </c>
      <c r="C991" s="5"/>
      <c r="D991" s="12" t="s">
        <v>881</v>
      </c>
      <c r="E991" s="1316"/>
      <c r="F991" s="102">
        <v>0</v>
      </c>
      <c r="G991" s="102">
        <v>0</v>
      </c>
      <c r="H991" s="102">
        <v>0</v>
      </c>
      <c r="I991" s="342"/>
      <c r="J991" s="343"/>
      <c r="K991" s="160"/>
    </row>
    <row r="992" spans="1:11" ht="14.25" customHeight="1" x14ac:dyDescent="0.25">
      <c r="A992" s="92" t="s">
        <v>639</v>
      </c>
      <c r="B992" s="174"/>
      <c r="C992" s="5"/>
      <c r="D992" s="12" t="s">
        <v>881</v>
      </c>
      <c r="E992" s="1316"/>
      <c r="F992" s="102">
        <v>0</v>
      </c>
      <c r="G992" s="102">
        <v>0</v>
      </c>
      <c r="H992" s="102">
        <v>0</v>
      </c>
      <c r="I992" s="342"/>
      <c r="J992" s="343"/>
      <c r="K992" s="160"/>
    </row>
    <row r="993" spans="1:11" ht="15.75" customHeight="1" x14ac:dyDescent="0.25">
      <c r="A993" s="12" t="s">
        <v>627</v>
      </c>
      <c r="B993" s="174" t="s">
        <v>619</v>
      </c>
      <c r="C993" s="5"/>
      <c r="D993" s="12" t="s">
        <v>881</v>
      </c>
      <c r="E993" s="1316"/>
      <c r="F993" s="102">
        <v>0</v>
      </c>
      <c r="G993" s="102">
        <v>0</v>
      </c>
      <c r="H993" s="102">
        <v>0</v>
      </c>
      <c r="I993" s="342"/>
      <c r="J993" s="343"/>
      <c r="K993" s="160"/>
    </row>
    <row r="994" spans="1:11" ht="15.75" customHeight="1" x14ac:dyDescent="0.25">
      <c r="A994" s="92" t="s">
        <v>608</v>
      </c>
      <c r="B994" s="174"/>
      <c r="C994" s="5"/>
      <c r="D994" s="12" t="s">
        <v>881</v>
      </c>
      <c r="E994" s="1316"/>
      <c r="F994" s="102">
        <v>0</v>
      </c>
      <c r="G994" s="102">
        <v>0</v>
      </c>
      <c r="H994" s="102">
        <v>0</v>
      </c>
      <c r="I994" s="342"/>
      <c r="J994" s="343"/>
      <c r="K994" s="160"/>
    </row>
    <row r="995" spans="1:11" ht="15.75" customHeight="1" x14ac:dyDescent="0.25">
      <c r="A995" s="92" t="s">
        <v>611</v>
      </c>
      <c r="B995" s="174"/>
      <c r="C995" s="5"/>
      <c r="D995" s="12" t="s">
        <v>881</v>
      </c>
      <c r="E995" s="1317"/>
      <c r="F995" s="102">
        <v>0</v>
      </c>
      <c r="G995" s="102">
        <v>0</v>
      </c>
      <c r="H995" s="102">
        <v>0</v>
      </c>
      <c r="I995" s="342"/>
      <c r="J995" s="343"/>
      <c r="K995" s="160"/>
    </row>
    <row r="996" spans="1:11" ht="36" x14ac:dyDescent="0.25">
      <c r="A996" s="347" t="s">
        <v>603</v>
      </c>
      <c r="B996" s="106"/>
      <c r="C996" s="113"/>
      <c r="D996" s="114"/>
      <c r="E996" s="121"/>
      <c r="F996" s="118"/>
      <c r="G996" s="118"/>
      <c r="H996" s="118"/>
      <c r="I996" s="119"/>
      <c r="J996" s="120"/>
      <c r="K996" s="173"/>
    </row>
    <row r="997" spans="1:11" ht="15" customHeight="1" x14ac:dyDescent="0.25">
      <c r="A997" s="12" t="s">
        <v>609</v>
      </c>
      <c r="B997" s="174" t="s">
        <v>604</v>
      </c>
      <c r="C997" s="5"/>
      <c r="D997" s="12" t="s">
        <v>881</v>
      </c>
      <c r="E997" s="1315" t="s">
        <v>445</v>
      </c>
      <c r="F997" s="102">
        <v>0</v>
      </c>
      <c r="G997" s="102">
        <v>0</v>
      </c>
      <c r="H997" s="102">
        <v>0</v>
      </c>
      <c r="I997" s="342"/>
      <c r="J997" s="343"/>
      <c r="K997" s="160"/>
    </row>
    <row r="998" spans="1:11" ht="15" customHeight="1" x14ac:dyDescent="0.25">
      <c r="A998" s="92" t="s">
        <v>610</v>
      </c>
      <c r="B998" s="174"/>
      <c r="C998" s="5"/>
      <c r="D998" s="12" t="s">
        <v>881</v>
      </c>
      <c r="E998" s="1316"/>
      <c r="F998" s="102">
        <v>0</v>
      </c>
      <c r="G998" s="102">
        <v>0</v>
      </c>
      <c r="H998" s="102">
        <v>0</v>
      </c>
      <c r="I998" s="342"/>
      <c r="J998" s="343"/>
      <c r="K998" s="160"/>
    </row>
    <row r="999" spans="1:11" ht="14.25" customHeight="1" x14ac:dyDescent="0.25">
      <c r="A999" s="12" t="s">
        <v>625</v>
      </c>
      <c r="B999" s="174" t="s">
        <v>605</v>
      </c>
      <c r="C999" s="5"/>
      <c r="D999" s="12" t="s">
        <v>881</v>
      </c>
      <c r="E999" s="1316"/>
      <c r="F999" s="102">
        <v>0</v>
      </c>
      <c r="G999" s="102">
        <v>0</v>
      </c>
      <c r="H999" s="102">
        <v>0</v>
      </c>
      <c r="I999" s="342"/>
      <c r="J999" s="343"/>
      <c r="K999" s="160"/>
    </row>
    <row r="1000" spans="1:11" ht="13.5" customHeight="1" x14ac:dyDescent="0.25">
      <c r="A1000" s="92" t="s">
        <v>639</v>
      </c>
      <c r="B1000" s="174"/>
      <c r="C1000" s="5"/>
      <c r="D1000" s="12" t="s">
        <v>881</v>
      </c>
      <c r="E1000" s="1316"/>
      <c r="F1000" s="102">
        <v>0</v>
      </c>
      <c r="G1000" s="102">
        <v>0</v>
      </c>
      <c r="H1000" s="102">
        <v>0</v>
      </c>
      <c r="I1000" s="342"/>
      <c r="J1000" s="343"/>
      <c r="K1000" s="160"/>
    </row>
    <row r="1001" spans="1:11" ht="14.25" customHeight="1" x14ac:dyDescent="0.25">
      <c r="A1001" s="12" t="s">
        <v>626</v>
      </c>
      <c r="B1001" s="174" t="s">
        <v>606</v>
      </c>
      <c r="C1001" s="5"/>
      <c r="D1001" s="12" t="s">
        <v>881</v>
      </c>
      <c r="E1001" s="1316"/>
      <c r="F1001" s="102">
        <v>0</v>
      </c>
      <c r="G1001" s="102">
        <v>0</v>
      </c>
      <c r="H1001" s="102">
        <v>0</v>
      </c>
      <c r="I1001" s="342"/>
      <c r="J1001" s="343"/>
      <c r="K1001" s="160"/>
    </row>
    <row r="1002" spans="1:11" ht="15.75" customHeight="1" x14ac:dyDescent="0.25">
      <c r="A1002" s="12" t="s">
        <v>627</v>
      </c>
      <c r="B1002" s="174" t="s">
        <v>607</v>
      </c>
      <c r="C1002" s="5"/>
      <c r="D1002" s="12" t="s">
        <v>881</v>
      </c>
      <c r="E1002" s="1316"/>
      <c r="F1002" s="102">
        <v>0</v>
      </c>
      <c r="G1002" s="102">
        <v>0</v>
      </c>
      <c r="H1002" s="102">
        <v>0</v>
      </c>
      <c r="I1002" s="342"/>
      <c r="J1002" s="343"/>
      <c r="K1002" s="160"/>
    </row>
    <row r="1003" spans="1:11" ht="15.75" customHeight="1" x14ac:dyDescent="0.25">
      <c r="A1003" s="174" t="s">
        <v>608</v>
      </c>
      <c r="B1003" s="174" t="s">
        <v>979</v>
      </c>
      <c r="C1003" s="5"/>
      <c r="D1003" s="12" t="s">
        <v>881</v>
      </c>
      <c r="E1003" s="1316"/>
      <c r="F1003" s="102">
        <v>0</v>
      </c>
      <c r="G1003" s="102">
        <v>0</v>
      </c>
      <c r="H1003" s="102">
        <v>0</v>
      </c>
      <c r="I1003" s="342"/>
      <c r="J1003" s="343"/>
      <c r="K1003" s="160"/>
    </row>
    <row r="1004" spans="1:11" ht="15.75" customHeight="1" x14ac:dyDescent="0.25">
      <c r="A1004" s="174" t="s">
        <v>611</v>
      </c>
      <c r="B1004" s="174" t="s">
        <v>2233</v>
      </c>
      <c r="C1004" s="5"/>
      <c r="D1004" s="12" t="s">
        <v>881</v>
      </c>
      <c r="E1004" s="1317"/>
      <c r="F1004" s="102">
        <v>0</v>
      </c>
      <c r="G1004" s="102">
        <v>0</v>
      </c>
      <c r="H1004" s="102">
        <v>0</v>
      </c>
      <c r="I1004" s="342"/>
      <c r="J1004" s="343"/>
      <c r="K1004" s="160"/>
    </row>
    <row r="1005" spans="1:11" ht="36" x14ac:dyDescent="0.25">
      <c r="A1005" s="347" t="s">
        <v>620</v>
      </c>
      <c r="B1005" s="106"/>
      <c r="C1005" s="113"/>
      <c r="D1005" s="114"/>
      <c r="E1005" s="121"/>
      <c r="F1005" s="118"/>
      <c r="G1005" s="118"/>
      <c r="H1005" s="118"/>
      <c r="I1005" s="119"/>
      <c r="J1005" s="120"/>
      <c r="K1005" s="173"/>
    </row>
    <row r="1006" spans="1:11" ht="15" customHeight="1" x14ac:dyDescent="0.25">
      <c r="A1006" s="12" t="s">
        <v>609</v>
      </c>
      <c r="B1006" s="174" t="s">
        <v>621</v>
      </c>
      <c r="C1006" s="5"/>
      <c r="D1006" s="12" t="s">
        <v>881</v>
      </c>
      <c r="E1006" s="1315" t="s">
        <v>445</v>
      </c>
      <c r="F1006" s="102">
        <v>0</v>
      </c>
      <c r="G1006" s="102">
        <v>0</v>
      </c>
      <c r="H1006" s="102">
        <v>0</v>
      </c>
      <c r="I1006" s="342"/>
      <c r="J1006" s="343"/>
      <c r="K1006" s="160"/>
    </row>
    <row r="1007" spans="1:11" ht="15" customHeight="1" x14ac:dyDescent="0.25">
      <c r="A1007" s="92" t="s">
        <v>610</v>
      </c>
      <c r="B1007" s="174"/>
      <c r="C1007" s="5"/>
      <c r="D1007" s="12" t="s">
        <v>881</v>
      </c>
      <c r="E1007" s="1316"/>
      <c r="F1007" s="102">
        <v>0</v>
      </c>
      <c r="G1007" s="102">
        <v>0</v>
      </c>
      <c r="H1007" s="102">
        <v>0</v>
      </c>
      <c r="I1007" s="342"/>
      <c r="J1007" s="343"/>
      <c r="K1007" s="160"/>
    </row>
    <row r="1008" spans="1:11" ht="14.25" customHeight="1" x14ac:dyDescent="0.25">
      <c r="A1008" s="92" t="s">
        <v>625</v>
      </c>
      <c r="B1008" s="174"/>
      <c r="C1008" s="5"/>
      <c r="D1008" s="12" t="s">
        <v>881</v>
      </c>
      <c r="E1008" s="1316"/>
      <c r="F1008" s="102">
        <v>0</v>
      </c>
      <c r="G1008" s="102">
        <v>0</v>
      </c>
      <c r="H1008" s="102">
        <v>0</v>
      </c>
      <c r="I1008" s="342"/>
      <c r="J1008" s="343"/>
      <c r="K1008" s="160"/>
    </row>
    <row r="1009" spans="1:11" ht="13.5" customHeight="1" x14ac:dyDescent="0.25">
      <c r="A1009" s="92" t="s">
        <v>639</v>
      </c>
      <c r="B1009" s="174"/>
      <c r="C1009" s="5"/>
      <c r="D1009" s="12" t="s">
        <v>881</v>
      </c>
      <c r="E1009" s="1316"/>
      <c r="F1009" s="102">
        <v>0</v>
      </c>
      <c r="G1009" s="102">
        <v>0</v>
      </c>
      <c r="H1009" s="102">
        <v>0</v>
      </c>
      <c r="I1009" s="342"/>
      <c r="J1009" s="343"/>
      <c r="K1009" s="160"/>
    </row>
    <row r="1010" spans="1:11" ht="14.25" customHeight="1" x14ac:dyDescent="0.25">
      <c r="A1010" s="12" t="s">
        <v>626</v>
      </c>
      <c r="B1010" s="174" t="s">
        <v>980</v>
      </c>
      <c r="C1010" s="5"/>
      <c r="D1010" s="12" t="s">
        <v>881</v>
      </c>
      <c r="E1010" s="1316"/>
      <c r="F1010" s="102">
        <v>0</v>
      </c>
      <c r="G1010" s="102">
        <v>0</v>
      </c>
      <c r="H1010" s="102">
        <v>0</v>
      </c>
      <c r="I1010" s="342"/>
      <c r="J1010" s="343"/>
      <c r="K1010" s="160"/>
    </row>
    <row r="1011" spans="1:11" ht="15.75" customHeight="1" x14ac:dyDescent="0.25">
      <c r="A1011" s="12" t="s">
        <v>627</v>
      </c>
      <c r="B1011" s="174" t="s">
        <v>622</v>
      </c>
      <c r="C1011" s="5"/>
      <c r="D1011" s="12" t="s">
        <v>881</v>
      </c>
      <c r="E1011" s="1316"/>
      <c r="F1011" s="102">
        <v>0</v>
      </c>
      <c r="G1011" s="102">
        <v>0</v>
      </c>
      <c r="H1011" s="102">
        <v>0</v>
      </c>
      <c r="I1011" s="342"/>
      <c r="J1011" s="343"/>
      <c r="K1011" s="160"/>
    </row>
    <row r="1012" spans="1:11" ht="15.75" customHeight="1" x14ac:dyDescent="0.25">
      <c r="A1012" s="174" t="s">
        <v>608</v>
      </c>
      <c r="B1012" s="174" t="s">
        <v>623</v>
      </c>
      <c r="C1012" s="5"/>
      <c r="D1012" s="12" t="s">
        <v>881</v>
      </c>
      <c r="E1012" s="1316"/>
      <c r="F1012" s="102">
        <v>0</v>
      </c>
      <c r="G1012" s="102">
        <v>0</v>
      </c>
      <c r="H1012" s="102">
        <v>0</v>
      </c>
      <c r="I1012" s="342"/>
      <c r="J1012" s="343"/>
      <c r="K1012" s="160"/>
    </row>
    <row r="1013" spans="1:11" ht="15.75" customHeight="1" x14ac:dyDescent="0.25">
      <c r="A1013" s="92" t="s">
        <v>611</v>
      </c>
      <c r="B1013" s="174"/>
      <c r="C1013" s="5"/>
      <c r="D1013" s="12" t="s">
        <v>881</v>
      </c>
      <c r="E1013" s="1317"/>
      <c r="F1013" s="102">
        <v>0</v>
      </c>
      <c r="G1013" s="102">
        <v>0</v>
      </c>
      <c r="H1013" s="102">
        <v>0</v>
      </c>
      <c r="I1013" s="342"/>
      <c r="J1013" s="343"/>
      <c r="K1013" s="160"/>
    </row>
    <row r="1014" spans="1:11" ht="26.25" customHeight="1" x14ac:dyDescent="0.25">
      <c r="A1014" s="347" t="s">
        <v>601</v>
      </c>
      <c r="B1014" s="106"/>
      <c r="C1014" s="113"/>
      <c r="D1014" s="114"/>
      <c r="E1014" s="114"/>
      <c r="F1014" s="118"/>
      <c r="G1014" s="118"/>
      <c r="H1014" s="118"/>
      <c r="I1014" s="119"/>
      <c r="J1014" s="120"/>
      <c r="K1014" s="173"/>
    </row>
    <row r="1015" spans="1:11" ht="15.75" customHeight="1" x14ac:dyDescent="0.25">
      <c r="A1015" s="12" t="s">
        <v>456</v>
      </c>
      <c r="B1015" s="174" t="s">
        <v>648</v>
      </c>
      <c r="C1015" s="5"/>
      <c r="D1015" s="12" t="s">
        <v>881</v>
      </c>
      <c r="E1015" s="1315" t="s">
        <v>445</v>
      </c>
      <c r="F1015" s="102">
        <v>0</v>
      </c>
      <c r="G1015" s="102">
        <v>0</v>
      </c>
      <c r="H1015" s="102">
        <v>0</v>
      </c>
      <c r="I1015" s="342"/>
      <c r="J1015" s="343"/>
      <c r="K1015" s="160"/>
    </row>
    <row r="1016" spans="1:11" ht="15.75" customHeight="1" x14ac:dyDescent="0.25">
      <c r="A1016" s="12" t="s">
        <v>457</v>
      </c>
      <c r="B1016" s="174" t="s">
        <v>649</v>
      </c>
      <c r="C1016" s="5"/>
      <c r="D1016" s="12" t="s">
        <v>881</v>
      </c>
      <c r="E1016" s="1316"/>
      <c r="F1016" s="102">
        <v>0</v>
      </c>
      <c r="G1016" s="102">
        <v>0</v>
      </c>
      <c r="H1016" s="102">
        <v>0</v>
      </c>
      <c r="I1016" s="342"/>
      <c r="J1016" s="343"/>
      <c r="K1016" s="160"/>
    </row>
    <row r="1017" spans="1:11" ht="15.75" customHeight="1" x14ac:dyDescent="0.25">
      <c r="A1017" s="12" t="s">
        <v>471</v>
      </c>
      <c r="B1017" s="174" t="s">
        <v>650</v>
      </c>
      <c r="C1017" s="5"/>
      <c r="D1017" s="12" t="s">
        <v>881</v>
      </c>
      <c r="E1017" s="1316"/>
      <c r="F1017" s="102">
        <v>0</v>
      </c>
      <c r="G1017" s="102">
        <v>0</v>
      </c>
      <c r="H1017" s="102">
        <v>0</v>
      </c>
      <c r="I1017" s="342"/>
      <c r="J1017" s="343"/>
      <c r="K1017" s="160"/>
    </row>
    <row r="1018" spans="1:11" ht="15.75" customHeight="1" x14ac:dyDescent="0.25">
      <c r="A1018" s="12" t="s">
        <v>458</v>
      </c>
      <c r="B1018" s="174" t="s">
        <v>651</v>
      </c>
      <c r="C1018" s="5"/>
      <c r="D1018" s="12" t="s">
        <v>881</v>
      </c>
      <c r="E1018" s="1316"/>
      <c r="F1018" s="102">
        <v>0</v>
      </c>
      <c r="G1018" s="102">
        <v>0</v>
      </c>
      <c r="H1018" s="102">
        <v>0</v>
      </c>
      <c r="I1018" s="342"/>
      <c r="J1018" s="343"/>
      <c r="K1018" s="160"/>
    </row>
    <row r="1019" spans="1:11" ht="15.75" customHeight="1" x14ac:dyDescent="0.25">
      <c r="A1019" s="12" t="s">
        <v>459</v>
      </c>
      <c r="B1019" s="174" t="s">
        <v>652</v>
      </c>
      <c r="C1019" s="5"/>
      <c r="D1019" s="12" t="s">
        <v>881</v>
      </c>
      <c r="E1019" s="1316"/>
      <c r="F1019" s="102">
        <v>0</v>
      </c>
      <c r="G1019" s="102">
        <v>0</v>
      </c>
      <c r="H1019" s="102">
        <v>0</v>
      </c>
      <c r="I1019" s="342"/>
      <c r="J1019" s="343"/>
      <c r="K1019" s="160"/>
    </row>
    <row r="1020" spans="1:11" ht="15.75" customHeight="1" x14ac:dyDescent="0.25">
      <c r="A1020" s="12" t="s">
        <v>460</v>
      </c>
      <c r="B1020" s="174" t="s">
        <v>653</v>
      </c>
      <c r="C1020" s="5"/>
      <c r="D1020" s="12" t="s">
        <v>881</v>
      </c>
      <c r="E1020" s="1317"/>
      <c r="F1020" s="102">
        <v>0</v>
      </c>
      <c r="G1020" s="102">
        <v>0</v>
      </c>
      <c r="H1020" s="102">
        <v>0</v>
      </c>
      <c r="I1020" s="342"/>
      <c r="J1020" s="343"/>
      <c r="K1020" s="160"/>
    </row>
    <row r="1021" spans="1:11" ht="17.25" customHeight="1" x14ac:dyDescent="0.25">
      <c r="A1021" s="103"/>
      <c r="B1021" s="106"/>
      <c r="C1021" s="113" t="s">
        <v>21</v>
      </c>
      <c r="D1021" s="114" t="s">
        <v>22</v>
      </c>
      <c r="E1021" s="114"/>
      <c r="F1021" s="118"/>
      <c r="G1021" s="118"/>
      <c r="H1021" s="118"/>
      <c r="I1021" s="119"/>
      <c r="J1021" s="120"/>
      <c r="K1021" s="173"/>
    </row>
    <row r="1022" spans="1:11" ht="36" hidden="1" x14ac:dyDescent="0.25">
      <c r="A1022" s="347" t="s">
        <v>426</v>
      </c>
      <c r="B1022" s="106"/>
      <c r="C1022" s="113"/>
      <c r="D1022" s="114"/>
      <c r="E1022" s="114"/>
      <c r="F1022" s="118"/>
      <c r="G1022" s="118"/>
      <c r="H1022" s="118"/>
      <c r="I1022" s="119"/>
      <c r="J1022" s="120"/>
      <c r="K1022" s="173"/>
    </row>
    <row r="1023" spans="1:11" ht="36" hidden="1" customHeight="1" x14ac:dyDescent="0.25">
      <c r="A1023" s="174" t="s">
        <v>421</v>
      </c>
      <c r="B1023" s="174" t="s">
        <v>427</v>
      </c>
      <c r="C1023" s="5"/>
      <c r="D1023" s="12" t="s">
        <v>881</v>
      </c>
      <c r="E1023" s="13" t="s">
        <v>442</v>
      </c>
      <c r="F1023" s="102">
        <v>0</v>
      </c>
      <c r="G1023" s="102">
        <v>0</v>
      </c>
      <c r="H1023" s="102">
        <v>0</v>
      </c>
      <c r="I1023" s="342"/>
      <c r="J1023" s="343"/>
      <c r="K1023" s="160"/>
    </row>
    <row r="1024" spans="1:11" ht="36" hidden="1" x14ac:dyDescent="0.25">
      <c r="A1024" s="174" t="s">
        <v>413</v>
      </c>
      <c r="B1024" s="174" t="s">
        <v>430</v>
      </c>
      <c r="C1024" s="5"/>
      <c r="D1024" s="12" t="s">
        <v>881</v>
      </c>
      <c r="E1024" s="13" t="s">
        <v>442</v>
      </c>
      <c r="F1024" s="102">
        <v>0</v>
      </c>
      <c r="G1024" s="102">
        <v>0</v>
      </c>
      <c r="H1024" s="102">
        <v>0</v>
      </c>
      <c r="I1024" s="342"/>
      <c r="J1024" s="343"/>
      <c r="K1024" s="160"/>
    </row>
    <row r="1025" spans="1:11" ht="27" hidden="1" customHeight="1" x14ac:dyDescent="0.25">
      <c r="A1025" s="174" t="s">
        <v>700</v>
      </c>
      <c r="B1025" s="174" t="s">
        <v>427</v>
      </c>
      <c r="C1025" s="5"/>
      <c r="D1025" s="12" t="s">
        <v>881</v>
      </c>
      <c r="E1025" s="13" t="s">
        <v>442</v>
      </c>
      <c r="F1025" s="102">
        <v>0</v>
      </c>
      <c r="G1025" s="102">
        <v>0</v>
      </c>
      <c r="H1025" s="102">
        <v>0</v>
      </c>
      <c r="I1025" s="342"/>
      <c r="J1025" s="343"/>
      <c r="K1025" s="160"/>
    </row>
    <row r="1026" spans="1:11" ht="24.75" hidden="1" customHeight="1" x14ac:dyDescent="0.25">
      <c r="A1026" s="174" t="s">
        <v>414</v>
      </c>
      <c r="B1026" s="174" t="s">
        <v>430</v>
      </c>
      <c r="C1026" s="5"/>
      <c r="D1026" s="12" t="s">
        <v>881</v>
      </c>
      <c r="E1026" s="13" t="s">
        <v>442</v>
      </c>
      <c r="F1026" s="102">
        <v>0</v>
      </c>
      <c r="G1026" s="102">
        <v>0</v>
      </c>
      <c r="H1026" s="102">
        <v>0</v>
      </c>
      <c r="I1026" s="342"/>
      <c r="J1026" s="343"/>
      <c r="K1026" s="160"/>
    </row>
    <row r="1027" spans="1:11" ht="48" hidden="1" x14ac:dyDescent="0.25">
      <c r="A1027" s="174" t="s">
        <v>415</v>
      </c>
      <c r="B1027" s="174" t="s">
        <v>430</v>
      </c>
      <c r="C1027" s="5"/>
      <c r="D1027" s="12" t="s">
        <v>881</v>
      </c>
      <c r="E1027" s="13" t="s">
        <v>442</v>
      </c>
      <c r="F1027" s="102">
        <v>0</v>
      </c>
      <c r="G1027" s="102">
        <v>0</v>
      </c>
      <c r="H1027" s="102">
        <v>0</v>
      </c>
      <c r="I1027" s="342"/>
      <c r="J1027" s="343"/>
      <c r="K1027" s="160"/>
    </row>
    <row r="1028" spans="1:11" ht="24.75" hidden="1" customHeight="1" x14ac:dyDescent="0.25">
      <c r="A1028" s="92" t="s">
        <v>416</v>
      </c>
      <c r="B1028" s="174" t="s">
        <v>429</v>
      </c>
      <c r="C1028" s="5"/>
      <c r="D1028" s="12" t="s">
        <v>881</v>
      </c>
      <c r="E1028" s="13" t="s">
        <v>442</v>
      </c>
      <c r="F1028" s="102">
        <v>0</v>
      </c>
      <c r="G1028" s="102">
        <v>0</v>
      </c>
      <c r="H1028" s="102">
        <v>0</v>
      </c>
      <c r="I1028" s="342"/>
      <c r="J1028" s="343"/>
      <c r="K1028" s="160"/>
    </row>
    <row r="1029" spans="1:11" ht="24.75" hidden="1" customHeight="1" x14ac:dyDescent="0.25">
      <c r="A1029" s="98" t="s">
        <v>417</v>
      </c>
      <c r="B1029" s="174" t="s">
        <v>429</v>
      </c>
      <c r="C1029" s="5"/>
      <c r="D1029" s="12" t="s">
        <v>881</v>
      </c>
      <c r="E1029" s="13" t="s">
        <v>442</v>
      </c>
      <c r="F1029" s="102">
        <v>0</v>
      </c>
      <c r="G1029" s="102">
        <v>0</v>
      </c>
      <c r="H1029" s="102">
        <v>0</v>
      </c>
      <c r="I1029" s="342"/>
      <c r="J1029" s="343"/>
      <c r="K1029" s="160"/>
    </row>
    <row r="1030" spans="1:11" ht="24.75" hidden="1" customHeight="1" x14ac:dyDescent="0.25">
      <c r="A1030" s="98" t="s">
        <v>422</v>
      </c>
      <c r="B1030" s="174" t="s">
        <v>428</v>
      </c>
      <c r="C1030" s="5"/>
      <c r="D1030" s="12" t="s">
        <v>881</v>
      </c>
      <c r="E1030" s="13" t="s">
        <v>442</v>
      </c>
      <c r="F1030" s="102">
        <v>0</v>
      </c>
      <c r="G1030" s="102">
        <v>0</v>
      </c>
      <c r="H1030" s="102">
        <v>0</v>
      </c>
      <c r="I1030" s="342"/>
      <c r="J1030" s="343"/>
      <c r="K1030" s="160"/>
    </row>
    <row r="1031" spans="1:11" ht="24.75" hidden="1" customHeight="1" x14ac:dyDescent="0.25">
      <c r="A1031" s="98" t="s">
        <v>418</v>
      </c>
      <c r="B1031" s="174" t="s">
        <v>429</v>
      </c>
      <c r="C1031" s="5"/>
      <c r="D1031" s="12" t="s">
        <v>881</v>
      </c>
      <c r="E1031" s="13" t="s">
        <v>442</v>
      </c>
      <c r="F1031" s="102">
        <v>0</v>
      </c>
      <c r="G1031" s="102">
        <v>0</v>
      </c>
      <c r="H1031" s="102">
        <v>0</v>
      </c>
      <c r="I1031" s="342"/>
      <c r="J1031" s="343"/>
      <c r="K1031" s="160"/>
    </row>
    <row r="1032" spans="1:11" ht="24.75" hidden="1" customHeight="1" x14ac:dyDescent="0.25">
      <c r="A1032" s="92" t="s">
        <v>423</v>
      </c>
      <c r="B1032" s="174" t="s">
        <v>427</v>
      </c>
      <c r="C1032" s="5"/>
      <c r="D1032" s="12" t="s">
        <v>881</v>
      </c>
      <c r="E1032" s="13" t="s">
        <v>442</v>
      </c>
      <c r="F1032" s="102">
        <v>0</v>
      </c>
      <c r="G1032" s="102">
        <v>0</v>
      </c>
      <c r="H1032" s="102">
        <v>0</v>
      </c>
      <c r="I1032" s="342"/>
      <c r="J1032" s="343"/>
      <c r="K1032" s="160"/>
    </row>
    <row r="1033" spans="1:11" ht="24.75" hidden="1" customHeight="1" x14ac:dyDescent="0.25">
      <c r="A1033" s="174" t="s">
        <v>419</v>
      </c>
      <c r="B1033" s="174" t="s">
        <v>430</v>
      </c>
      <c r="C1033" s="5"/>
      <c r="D1033" s="12" t="s">
        <v>881</v>
      </c>
      <c r="E1033" s="13" t="s">
        <v>442</v>
      </c>
      <c r="F1033" s="102">
        <v>0</v>
      </c>
      <c r="G1033" s="102">
        <v>0</v>
      </c>
      <c r="H1033" s="102">
        <v>0</v>
      </c>
      <c r="I1033" s="342"/>
      <c r="J1033" s="343"/>
      <c r="K1033" s="160"/>
    </row>
    <row r="1034" spans="1:11" ht="24.75" hidden="1" customHeight="1" x14ac:dyDescent="0.25">
      <c r="A1034" s="92" t="s">
        <v>424</v>
      </c>
      <c r="B1034" s="174" t="s">
        <v>427</v>
      </c>
      <c r="C1034" s="5"/>
      <c r="D1034" s="12" t="s">
        <v>881</v>
      </c>
      <c r="E1034" s="13" t="s">
        <v>442</v>
      </c>
      <c r="F1034" s="102">
        <v>0</v>
      </c>
      <c r="G1034" s="102">
        <v>0</v>
      </c>
      <c r="H1034" s="102">
        <v>0</v>
      </c>
      <c r="I1034" s="342"/>
      <c r="J1034" s="343"/>
      <c r="K1034" s="160"/>
    </row>
    <row r="1035" spans="1:11" ht="24.75" hidden="1" customHeight="1" x14ac:dyDescent="0.25">
      <c r="A1035" s="174" t="s">
        <v>420</v>
      </c>
      <c r="B1035" s="174" t="s">
        <v>430</v>
      </c>
      <c r="C1035" s="5"/>
      <c r="D1035" s="12" t="s">
        <v>881</v>
      </c>
      <c r="E1035" s="13" t="s">
        <v>442</v>
      </c>
      <c r="F1035" s="102">
        <v>0</v>
      </c>
      <c r="G1035" s="102">
        <v>0</v>
      </c>
      <c r="H1035" s="102">
        <v>0</v>
      </c>
      <c r="I1035" s="342"/>
      <c r="J1035" s="343"/>
      <c r="K1035" s="160"/>
    </row>
    <row r="1036" spans="1:11" ht="24.75" hidden="1" customHeight="1" x14ac:dyDescent="0.25">
      <c r="A1036" s="340"/>
      <c r="B1036" s="174"/>
      <c r="C1036" s="5"/>
      <c r="D1036" s="12" t="s">
        <v>881</v>
      </c>
      <c r="E1036" s="13" t="s">
        <v>442</v>
      </c>
      <c r="F1036" s="102">
        <v>0</v>
      </c>
      <c r="G1036" s="102">
        <v>0</v>
      </c>
      <c r="H1036" s="102">
        <v>0</v>
      </c>
      <c r="I1036" s="342"/>
      <c r="J1036" s="343"/>
      <c r="K1036" s="160"/>
    </row>
    <row r="1037" spans="1:11" ht="26.25" hidden="1" customHeight="1" x14ac:dyDescent="0.25">
      <c r="A1037" s="347" t="s">
        <v>431</v>
      </c>
      <c r="B1037" s="106"/>
      <c r="C1037" s="113"/>
      <c r="D1037" s="114"/>
      <c r="E1037" s="121"/>
      <c r="F1037" s="118"/>
      <c r="G1037" s="118"/>
      <c r="H1037" s="118"/>
      <c r="I1037" s="119"/>
      <c r="J1037" s="120"/>
      <c r="K1037" s="173"/>
    </row>
    <row r="1038" spans="1:11" ht="24" hidden="1" customHeight="1" x14ac:dyDescent="0.25">
      <c r="A1038" s="12" t="s">
        <v>702</v>
      </c>
      <c r="B1038" s="174" t="s">
        <v>432</v>
      </c>
      <c r="C1038" s="5"/>
      <c r="D1038" s="12" t="s">
        <v>881</v>
      </c>
      <c r="E1038" s="13" t="s">
        <v>442</v>
      </c>
      <c r="F1038" s="102">
        <v>0</v>
      </c>
      <c r="G1038" s="102">
        <v>0</v>
      </c>
      <c r="H1038" s="102">
        <v>0</v>
      </c>
      <c r="I1038" s="342"/>
      <c r="J1038" s="343"/>
      <c r="K1038" s="160"/>
    </row>
    <row r="1039" spans="1:11" ht="36" hidden="1" x14ac:dyDescent="0.25">
      <c r="A1039" s="12" t="s">
        <v>703</v>
      </c>
      <c r="B1039" s="174" t="s">
        <v>433</v>
      </c>
      <c r="C1039" s="5"/>
      <c r="D1039" s="12" t="s">
        <v>881</v>
      </c>
      <c r="E1039" s="13" t="s">
        <v>442</v>
      </c>
      <c r="F1039" s="102">
        <v>0</v>
      </c>
      <c r="G1039" s="102">
        <v>0</v>
      </c>
      <c r="H1039" s="102">
        <v>0</v>
      </c>
      <c r="I1039" s="342"/>
      <c r="J1039" s="343"/>
      <c r="K1039" s="160"/>
    </row>
    <row r="1040" spans="1:11" ht="24" hidden="1" x14ac:dyDescent="0.25">
      <c r="A1040" s="12" t="s">
        <v>704</v>
      </c>
      <c r="B1040" s="174" t="s">
        <v>434</v>
      </c>
      <c r="C1040" s="5"/>
      <c r="D1040" s="12" t="s">
        <v>881</v>
      </c>
      <c r="E1040" s="13" t="s">
        <v>442</v>
      </c>
      <c r="F1040" s="102">
        <v>0</v>
      </c>
      <c r="G1040" s="102">
        <v>0</v>
      </c>
      <c r="H1040" s="102">
        <v>0</v>
      </c>
      <c r="I1040" s="342"/>
      <c r="J1040" s="343"/>
      <c r="K1040" s="160"/>
    </row>
    <row r="1041" spans="1:11" s="435" customFormat="1" ht="48" hidden="1" x14ac:dyDescent="0.25">
      <c r="A1041" s="641" t="s">
        <v>1407</v>
      </c>
      <c r="B1041" s="174" t="s">
        <v>435</v>
      </c>
      <c r="C1041" s="5"/>
      <c r="D1041" s="12" t="s">
        <v>881</v>
      </c>
      <c r="E1041" s="13" t="s">
        <v>442</v>
      </c>
      <c r="F1041" s="102">
        <v>0</v>
      </c>
      <c r="G1041" s="102">
        <v>0</v>
      </c>
      <c r="H1041" s="102">
        <v>0</v>
      </c>
      <c r="I1041" s="437"/>
      <c r="J1041" s="438"/>
      <c r="K1041" s="160"/>
    </row>
    <row r="1042" spans="1:11" ht="36" hidden="1" x14ac:dyDescent="0.25">
      <c r="A1042" s="12" t="s">
        <v>948</v>
      </c>
      <c r="B1042" s="174" t="s">
        <v>435</v>
      </c>
      <c r="C1042" s="5"/>
      <c r="D1042" s="12" t="s">
        <v>881</v>
      </c>
      <c r="E1042" s="13" t="s">
        <v>442</v>
      </c>
      <c r="F1042" s="102">
        <v>0</v>
      </c>
      <c r="G1042" s="102">
        <v>0</v>
      </c>
      <c r="H1042" s="102">
        <v>0</v>
      </c>
      <c r="I1042" s="342"/>
      <c r="J1042" s="343"/>
      <c r="K1042" s="160"/>
    </row>
    <row r="1043" spans="1:11" ht="36" hidden="1" x14ac:dyDescent="0.25">
      <c r="A1043" s="12" t="s">
        <v>705</v>
      </c>
      <c r="B1043" s="174" t="s">
        <v>436</v>
      </c>
      <c r="C1043" s="5"/>
      <c r="D1043" s="12" t="s">
        <v>881</v>
      </c>
      <c r="E1043" s="13" t="s">
        <v>442</v>
      </c>
      <c r="F1043" s="102">
        <v>0</v>
      </c>
      <c r="G1043" s="102">
        <v>0</v>
      </c>
      <c r="H1043" s="102">
        <v>0</v>
      </c>
      <c r="I1043" s="342"/>
      <c r="J1043" s="343"/>
      <c r="K1043" s="160"/>
    </row>
    <row r="1044" spans="1:11" ht="36" hidden="1" x14ac:dyDescent="0.25">
      <c r="A1044" s="98" t="s">
        <v>706</v>
      </c>
      <c r="B1044" s="174" t="s">
        <v>437</v>
      </c>
      <c r="C1044" s="5"/>
      <c r="D1044" s="12" t="s">
        <v>881</v>
      </c>
      <c r="E1044" s="13" t="s">
        <v>442</v>
      </c>
      <c r="F1044" s="102">
        <v>0</v>
      </c>
      <c r="G1044" s="102">
        <v>0</v>
      </c>
      <c r="H1044" s="102">
        <v>0</v>
      </c>
      <c r="I1044" s="342"/>
      <c r="J1044" s="343"/>
      <c r="K1044" s="160"/>
    </row>
    <row r="1045" spans="1:11" ht="36" hidden="1" x14ac:dyDescent="0.25">
      <c r="A1045" s="98" t="s">
        <v>707</v>
      </c>
      <c r="B1045" s="174" t="s">
        <v>438</v>
      </c>
      <c r="C1045" s="5"/>
      <c r="D1045" s="12" t="s">
        <v>881</v>
      </c>
      <c r="E1045" s="13" t="s">
        <v>442</v>
      </c>
      <c r="F1045" s="102">
        <v>0</v>
      </c>
      <c r="G1045" s="102">
        <v>0</v>
      </c>
      <c r="H1045" s="102">
        <v>0</v>
      </c>
      <c r="I1045" s="342"/>
      <c r="J1045" s="343"/>
      <c r="K1045" s="160"/>
    </row>
    <row r="1046" spans="1:11" ht="24" hidden="1" x14ac:dyDescent="0.25">
      <c r="A1046" s="98" t="s">
        <v>708</v>
      </c>
      <c r="B1046" s="174" t="s">
        <v>439</v>
      </c>
      <c r="C1046" s="5"/>
      <c r="D1046" s="12" t="s">
        <v>881</v>
      </c>
      <c r="E1046" s="13" t="s">
        <v>442</v>
      </c>
      <c r="F1046" s="102">
        <v>0</v>
      </c>
      <c r="G1046" s="102">
        <v>0</v>
      </c>
      <c r="H1046" s="102">
        <v>0</v>
      </c>
      <c r="I1046" s="342"/>
      <c r="J1046" s="343"/>
      <c r="K1046" s="160"/>
    </row>
    <row r="1047" spans="1:11" s="435" customFormat="1" ht="48" hidden="1" x14ac:dyDescent="0.25">
      <c r="A1047" s="643" t="s">
        <v>1409</v>
      </c>
      <c r="B1047" s="174" t="s">
        <v>440</v>
      </c>
      <c r="C1047" s="5"/>
      <c r="D1047" s="12" t="s">
        <v>881</v>
      </c>
      <c r="E1047" s="13" t="s">
        <v>442</v>
      </c>
      <c r="F1047" s="102">
        <v>0</v>
      </c>
      <c r="G1047" s="102">
        <v>0</v>
      </c>
      <c r="H1047" s="102">
        <v>0</v>
      </c>
      <c r="I1047" s="437"/>
      <c r="J1047" s="438"/>
      <c r="K1047" s="160"/>
    </row>
    <row r="1048" spans="1:11" ht="36" hidden="1" x14ac:dyDescent="0.25">
      <c r="A1048" s="98" t="s">
        <v>949</v>
      </c>
      <c r="B1048" s="174" t="s">
        <v>440</v>
      </c>
      <c r="C1048" s="5"/>
      <c r="D1048" s="12" t="s">
        <v>881</v>
      </c>
      <c r="E1048" s="13" t="s">
        <v>442</v>
      </c>
      <c r="F1048" s="102">
        <v>0</v>
      </c>
      <c r="G1048" s="102">
        <v>0</v>
      </c>
      <c r="H1048" s="102">
        <v>0</v>
      </c>
      <c r="I1048" s="342"/>
      <c r="J1048" s="343"/>
      <c r="K1048" s="160"/>
    </row>
    <row r="1049" spans="1:11" ht="36" hidden="1" x14ac:dyDescent="0.25">
      <c r="A1049" s="98" t="s">
        <v>709</v>
      </c>
      <c r="B1049" s="174" t="s">
        <v>441</v>
      </c>
      <c r="C1049" s="5"/>
      <c r="D1049" s="12" t="s">
        <v>881</v>
      </c>
      <c r="E1049" s="13" t="s">
        <v>442</v>
      </c>
      <c r="F1049" s="102">
        <v>0</v>
      </c>
      <c r="G1049" s="102">
        <v>0</v>
      </c>
      <c r="H1049" s="102">
        <v>0</v>
      </c>
      <c r="I1049" s="342"/>
      <c r="J1049" s="343"/>
      <c r="K1049" s="160"/>
    </row>
    <row r="1050" spans="1:11" ht="36" x14ac:dyDescent="0.25">
      <c r="A1050" s="347" t="s">
        <v>624</v>
      </c>
      <c r="B1050" s="106"/>
      <c r="C1050" s="113"/>
      <c r="D1050" s="114"/>
      <c r="E1050" s="114"/>
      <c r="F1050" s="118"/>
      <c r="G1050" s="118"/>
      <c r="H1050" s="118"/>
      <c r="I1050" s="119"/>
      <c r="J1050" s="120"/>
      <c r="K1050" s="173"/>
    </row>
    <row r="1051" spans="1:11" ht="36" customHeight="1" x14ac:dyDescent="0.25">
      <c r="A1051" s="12" t="s">
        <v>609</v>
      </c>
      <c r="B1051" s="174" t="s">
        <v>617</v>
      </c>
      <c r="C1051" s="5"/>
      <c r="D1051" s="12" t="s">
        <v>881</v>
      </c>
      <c r="E1051" s="13" t="s">
        <v>442</v>
      </c>
      <c r="F1051" s="102">
        <v>0</v>
      </c>
      <c r="G1051" s="102">
        <v>0</v>
      </c>
      <c r="H1051" s="102">
        <v>0</v>
      </c>
      <c r="I1051" s="342"/>
      <c r="J1051" s="343"/>
      <c r="K1051" s="160"/>
    </row>
    <row r="1052" spans="1:11" ht="72" hidden="1" x14ac:dyDescent="0.25">
      <c r="A1052" s="92" t="s">
        <v>610</v>
      </c>
      <c r="B1052" s="174"/>
      <c r="C1052" s="5"/>
      <c r="D1052" s="12" t="s">
        <v>881</v>
      </c>
      <c r="E1052" s="13" t="s">
        <v>442</v>
      </c>
      <c r="F1052" s="102">
        <v>0</v>
      </c>
      <c r="G1052" s="102">
        <v>0</v>
      </c>
      <c r="H1052" s="102">
        <v>0</v>
      </c>
      <c r="I1052" s="342"/>
      <c r="J1052" s="343"/>
      <c r="K1052" s="160"/>
    </row>
    <row r="1053" spans="1:11" ht="27" customHeight="1" x14ac:dyDescent="0.25">
      <c r="A1053" s="12" t="s">
        <v>625</v>
      </c>
      <c r="B1053" s="174" t="s">
        <v>978</v>
      </c>
      <c r="C1053" s="5"/>
      <c r="D1053" s="12" t="s">
        <v>881</v>
      </c>
      <c r="E1053" s="13" t="s">
        <v>442</v>
      </c>
      <c r="F1053" s="102">
        <v>0</v>
      </c>
      <c r="G1053" s="102">
        <v>0</v>
      </c>
      <c r="H1053" s="102">
        <v>0</v>
      </c>
      <c r="I1053" s="342"/>
      <c r="J1053" s="343"/>
      <c r="K1053" s="160"/>
    </row>
    <row r="1054" spans="1:11" ht="24.75" customHeight="1" x14ac:dyDescent="0.25">
      <c r="A1054" s="12" t="s">
        <v>626</v>
      </c>
      <c r="B1054" s="174" t="s">
        <v>618</v>
      </c>
      <c r="C1054" s="5"/>
      <c r="D1054" s="12" t="s">
        <v>881</v>
      </c>
      <c r="E1054" s="13" t="s">
        <v>442</v>
      </c>
      <c r="F1054" s="102">
        <v>0</v>
      </c>
      <c r="G1054" s="102">
        <v>0</v>
      </c>
      <c r="H1054" s="102">
        <v>0</v>
      </c>
      <c r="I1054" s="342"/>
      <c r="J1054" s="343"/>
      <c r="K1054" s="160"/>
    </row>
    <row r="1055" spans="1:11" ht="60" hidden="1" x14ac:dyDescent="0.25">
      <c r="A1055" s="92" t="s">
        <v>639</v>
      </c>
      <c r="B1055" s="174"/>
      <c r="C1055" s="5"/>
      <c r="D1055" s="12" t="s">
        <v>881</v>
      </c>
      <c r="E1055" s="13" t="s">
        <v>442</v>
      </c>
      <c r="F1055" s="102">
        <v>0</v>
      </c>
      <c r="G1055" s="102">
        <v>0</v>
      </c>
      <c r="H1055" s="102">
        <v>0</v>
      </c>
      <c r="I1055" s="342"/>
      <c r="J1055" s="343"/>
      <c r="K1055" s="160"/>
    </row>
    <row r="1056" spans="1:11" ht="24.75" customHeight="1" x14ac:dyDescent="0.25">
      <c r="A1056" s="12" t="s">
        <v>627</v>
      </c>
      <c r="B1056" s="174" t="s">
        <v>619</v>
      </c>
      <c r="C1056" s="5"/>
      <c r="D1056" s="12" t="s">
        <v>881</v>
      </c>
      <c r="E1056" s="13" t="s">
        <v>442</v>
      </c>
      <c r="F1056" s="102">
        <v>0</v>
      </c>
      <c r="G1056" s="102">
        <v>0</v>
      </c>
      <c r="H1056" s="102">
        <v>0</v>
      </c>
      <c r="I1056" s="342"/>
      <c r="J1056" s="343"/>
      <c r="K1056" s="160"/>
    </row>
    <row r="1057" spans="1:11" ht="24.75" hidden="1" customHeight="1" x14ac:dyDescent="0.25">
      <c r="A1057" s="92" t="s">
        <v>608</v>
      </c>
      <c r="B1057" s="174"/>
      <c r="C1057" s="5"/>
      <c r="D1057" s="12" t="s">
        <v>881</v>
      </c>
      <c r="E1057" s="13" t="s">
        <v>442</v>
      </c>
      <c r="F1057" s="102">
        <v>0</v>
      </c>
      <c r="G1057" s="102">
        <v>0</v>
      </c>
      <c r="H1057" s="102">
        <v>0</v>
      </c>
      <c r="I1057" s="342"/>
      <c r="J1057" s="343"/>
      <c r="K1057" s="160"/>
    </row>
    <row r="1058" spans="1:11" ht="24.75" hidden="1" customHeight="1" x14ac:dyDescent="0.25">
      <c r="A1058" s="92" t="s">
        <v>611</v>
      </c>
      <c r="B1058" s="174"/>
      <c r="C1058" s="5"/>
      <c r="D1058" s="12" t="s">
        <v>881</v>
      </c>
      <c r="E1058" s="13" t="s">
        <v>442</v>
      </c>
      <c r="F1058" s="102">
        <v>0</v>
      </c>
      <c r="G1058" s="102">
        <v>0</v>
      </c>
      <c r="H1058" s="102">
        <v>0</v>
      </c>
      <c r="I1058" s="342"/>
      <c r="J1058" s="343"/>
      <c r="K1058" s="160"/>
    </row>
    <row r="1059" spans="1:11" ht="36" x14ac:dyDescent="0.25">
      <c r="A1059" s="347" t="s">
        <v>603</v>
      </c>
      <c r="B1059" s="106"/>
      <c r="C1059" s="113"/>
      <c r="D1059" s="114"/>
      <c r="E1059" s="114"/>
      <c r="F1059" s="118"/>
      <c r="G1059" s="118"/>
      <c r="H1059" s="118"/>
      <c r="I1059" s="119"/>
      <c r="J1059" s="120"/>
      <c r="K1059" s="173"/>
    </row>
    <row r="1060" spans="1:11" ht="20.25" customHeight="1" x14ac:dyDescent="0.25">
      <c r="A1060" s="12" t="s">
        <v>609</v>
      </c>
      <c r="B1060" s="174" t="s">
        <v>604</v>
      </c>
      <c r="C1060" s="5"/>
      <c r="D1060" s="12" t="s">
        <v>881</v>
      </c>
      <c r="E1060" s="13" t="s">
        <v>442</v>
      </c>
      <c r="F1060" s="102">
        <v>0</v>
      </c>
      <c r="G1060" s="102">
        <v>0</v>
      </c>
      <c r="H1060" s="102">
        <v>0</v>
      </c>
      <c r="I1060" s="342"/>
      <c r="J1060" s="343"/>
      <c r="K1060" s="160"/>
    </row>
    <row r="1061" spans="1:11" ht="72" hidden="1" x14ac:dyDescent="0.25">
      <c r="A1061" s="92" t="s">
        <v>610</v>
      </c>
      <c r="B1061" s="174"/>
      <c r="C1061" s="5"/>
      <c r="D1061" s="12" t="s">
        <v>881</v>
      </c>
      <c r="E1061" s="13" t="s">
        <v>442</v>
      </c>
      <c r="F1061" s="102">
        <v>0</v>
      </c>
      <c r="G1061" s="102">
        <v>0</v>
      </c>
      <c r="H1061" s="102">
        <v>0</v>
      </c>
      <c r="I1061" s="342"/>
      <c r="J1061" s="343"/>
      <c r="K1061" s="160"/>
    </row>
    <row r="1062" spans="1:11" ht="27" customHeight="1" x14ac:dyDescent="0.25">
      <c r="A1062" s="12" t="s">
        <v>625</v>
      </c>
      <c r="B1062" s="174" t="s">
        <v>605</v>
      </c>
      <c r="C1062" s="5"/>
      <c r="D1062" s="12" t="s">
        <v>881</v>
      </c>
      <c r="E1062" s="13" t="s">
        <v>442</v>
      </c>
      <c r="F1062" s="102">
        <v>0</v>
      </c>
      <c r="G1062" s="102">
        <v>0</v>
      </c>
      <c r="H1062" s="102">
        <v>0</v>
      </c>
      <c r="I1062" s="342"/>
      <c r="J1062" s="343"/>
      <c r="K1062" s="160"/>
    </row>
    <row r="1063" spans="1:11" ht="24.75" hidden="1" customHeight="1" x14ac:dyDescent="0.25">
      <c r="A1063" s="92" t="s">
        <v>639</v>
      </c>
      <c r="B1063" s="174"/>
      <c r="C1063" s="5"/>
      <c r="D1063" s="12" t="s">
        <v>881</v>
      </c>
      <c r="E1063" s="13" t="s">
        <v>442</v>
      </c>
      <c r="F1063" s="102">
        <v>0</v>
      </c>
      <c r="G1063" s="102">
        <v>0</v>
      </c>
      <c r="H1063" s="102">
        <v>0</v>
      </c>
      <c r="I1063" s="342"/>
      <c r="J1063" s="343"/>
      <c r="K1063" s="160"/>
    </row>
    <row r="1064" spans="1:11" ht="24" x14ac:dyDescent="0.25">
      <c r="A1064" s="12" t="s">
        <v>626</v>
      </c>
      <c r="B1064" s="174" t="s">
        <v>606</v>
      </c>
      <c r="C1064" s="5"/>
      <c r="D1064" s="12" t="s">
        <v>881</v>
      </c>
      <c r="E1064" s="13" t="s">
        <v>442</v>
      </c>
      <c r="F1064" s="102">
        <v>0</v>
      </c>
      <c r="G1064" s="102">
        <v>0</v>
      </c>
      <c r="H1064" s="102">
        <v>0</v>
      </c>
      <c r="I1064" s="342"/>
      <c r="J1064" s="343"/>
      <c r="K1064" s="160"/>
    </row>
    <row r="1065" spans="1:11" ht="24.75" customHeight="1" x14ac:dyDescent="0.25">
      <c r="A1065" s="12" t="s">
        <v>627</v>
      </c>
      <c r="B1065" s="174" t="s">
        <v>607</v>
      </c>
      <c r="C1065" s="5"/>
      <c r="D1065" s="12" t="s">
        <v>881</v>
      </c>
      <c r="E1065" s="13" t="s">
        <v>442</v>
      </c>
      <c r="F1065" s="102">
        <v>0</v>
      </c>
      <c r="G1065" s="102">
        <v>0</v>
      </c>
      <c r="H1065" s="102">
        <v>0</v>
      </c>
      <c r="I1065" s="342"/>
      <c r="J1065" s="343"/>
      <c r="K1065" s="160"/>
    </row>
    <row r="1066" spans="1:11" ht="24.75" customHeight="1" x14ac:dyDescent="0.25">
      <c r="A1066" s="174" t="s">
        <v>608</v>
      </c>
      <c r="B1066" s="174" t="s">
        <v>979</v>
      </c>
      <c r="C1066" s="5"/>
      <c r="D1066" s="12" t="s">
        <v>881</v>
      </c>
      <c r="E1066" s="13" t="s">
        <v>442</v>
      </c>
      <c r="F1066" s="102">
        <v>0</v>
      </c>
      <c r="G1066" s="102">
        <v>0</v>
      </c>
      <c r="H1066" s="102">
        <v>0</v>
      </c>
      <c r="I1066" s="342"/>
      <c r="J1066" s="343"/>
      <c r="K1066" s="160"/>
    </row>
    <row r="1067" spans="1:11" ht="24.75" customHeight="1" x14ac:dyDescent="0.25">
      <c r="A1067" s="174" t="s">
        <v>611</v>
      </c>
      <c r="B1067" s="174" t="s">
        <v>2233</v>
      </c>
      <c r="C1067" s="5"/>
      <c r="D1067" s="12" t="s">
        <v>881</v>
      </c>
      <c r="E1067" s="13" t="s">
        <v>442</v>
      </c>
      <c r="F1067" s="102">
        <v>0</v>
      </c>
      <c r="G1067" s="102">
        <v>0</v>
      </c>
      <c r="H1067" s="102">
        <v>0</v>
      </c>
      <c r="I1067" s="342"/>
      <c r="J1067" s="343"/>
      <c r="K1067" s="160"/>
    </row>
    <row r="1068" spans="1:11" ht="36" x14ac:dyDescent="0.25">
      <c r="A1068" s="347" t="s">
        <v>620</v>
      </c>
      <c r="B1068" s="106"/>
      <c r="C1068" s="113"/>
      <c r="D1068" s="114"/>
      <c r="E1068" s="114"/>
      <c r="F1068" s="118"/>
      <c r="G1068" s="118"/>
      <c r="H1068" s="118"/>
      <c r="I1068" s="119"/>
      <c r="J1068" s="120"/>
      <c r="K1068" s="173"/>
    </row>
    <row r="1069" spans="1:11" ht="20.25" customHeight="1" x14ac:dyDescent="0.25">
      <c r="A1069" s="12" t="s">
        <v>609</v>
      </c>
      <c r="B1069" s="174" t="s">
        <v>621</v>
      </c>
      <c r="C1069" s="5"/>
      <c r="D1069" s="12" t="s">
        <v>881</v>
      </c>
      <c r="E1069" s="13" t="s">
        <v>442</v>
      </c>
      <c r="F1069" s="102">
        <v>0</v>
      </c>
      <c r="G1069" s="102">
        <v>0</v>
      </c>
      <c r="H1069" s="102">
        <v>0</v>
      </c>
      <c r="I1069" s="342"/>
      <c r="J1069" s="343"/>
      <c r="K1069" s="160"/>
    </row>
    <row r="1070" spans="1:11" ht="72" hidden="1" x14ac:dyDescent="0.25">
      <c r="A1070" s="92" t="s">
        <v>610</v>
      </c>
      <c r="B1070" s="174"/>
      <c r="C1070" s="5"/>
      <c r="D1070" s="12" t="s">
        <v>881</v>
      </c>
      <c r="E1070" s="13" t="s">
        <v>442</v>
      </c>
      <c r="F1070" s="102">
        <v>0</v>
      </c>
      <c r="G1070" s="102">
        <v>0</v>
      </c>
      <c r="H1070" s="102">
        <v>0</v>
      </c>
      <c r="I1070" s="342"/>
      <c r="J1070" s="343"/>
      <c r="K1070" s="160"/>
    </row>
    <row r="1071" spans="1:11" ht="27" hidden="1" customHeight="1" x14ac:dyDescent="0.25">
      <c r="A1071" s="92" t="s">
        <v>625</v>
      </c>
      <c r="B1071" s="174"/>
      <c r="C1071" s="5"/>
      <c r="D1071" s="12" t="s">
        <v>881</v>
      </c>
      <c r="E1071" s="13" t="s">
        <v>442</v>
      </c>
      <c r="F1071" s="102">
        <v>0</v>
      </c>
      <c r="G1071" s="102">
        <v>0</v>
      </c>
      <c r="H1071" s="102">
        <v>0</v>
      </c>
      <c r="I1071" s="342"/>
      <c r="J1071" s="343"/>
      <c r="K1071" s="160"/>
    </row>
    <row r="1072" spans="1:11" ht="24.75" hidden="1" customHeight="1" x14ac:dyDescent="0.25">
      <c r="A1072" s="92" t="s">
        <v>639</v>
      </c>
      <c r="B1072" s="174"/>
      <c r="C1072" s="5"/>
      <c r="D1072" s="12" t="s">
        <v>881</v>
      </c>
      <c r="E1072" s="13" t="s">
        <v>442</v>
      </c>
      <c r="F1072" s="102">
        <v>0</v>
      </c>
      <c r="G1072" s="102">
        <v>0</v>
      </c>
      <c r="H1072" s="102">
        <v>0</v>
      </c>
      <c r="I1072" s="342"/>
      <c r="J1072" s="343"/>
      <c r="K1072" s="160"/>
    </row>
    <row r="1073" spans="1:11" ht="24" x14ac:dyDescent="0.25">
      <c r="A1073" s="12" t="s">
        <v>626</v>
      </c>
      <c r="B1073" s="174" t="s">
        <v>980</v>
      </c>
      <c r="C1073" s="5"/>
      <c r="D1073" s="12" t="s">
        <v>881</v>
      </c>
      <c r="E1073" s="13" t="s">
        <v>442</v>
      </c>
      <c r="F1073" s="102">
        <v>0</v>
      </c>
      <c r="G1073" s="102">
        <v>0</v>
      </c>
      <c r="H1073" s="102">
        <v>0</v>
      </c>
      <c r="I1073" s="342"/>
      <c r="J1073" s="343"/>
      <c r="K1073" s="160"/>
    </row>
    <row r="1074" spans="1:11" ht="24.75" customHeight="1" x14ac:dyDescent="0.25">
      <c r="A1074" s="12" t="s">
        <v>627</v>
      </c>
      <c r="B1074" s="174" t="s">
        <v>622</v>
      </c>
      <c r="C1074" s="5"/>
      <c r="D1074" s="12" t="s">
        <v>881</v>
      </c>
      <c r="E1074" s="13" t="s">
        <v>442</v>
      </c>
      <c r="F1074" s="102">
        <v>0</v>
      </c>
      <c r="G1074" s="102">
        <v>0</v>
      </c>
      <c r="H1074" s="102">
        <v>0</v>
      </c>
      <c r="I1074" s="342"/>
      <c r="J1074" s="343"/>
      <c r="K1074" s="160"/>
    </row>
    <row r="1075" spans="1:11" ht="24.75" customHeight="1" x14ac:dyDescent="0.25">
      <c r="A1075" s="174" t="s">
        <v>608</v>
      </c>
      <c r="B1075" s="174" t="s">
        <v>623</v>
      </c>
      <c r="C1075" s="5"/>
      <c r="D1075" s="12" t="s">
        <v>881</v>
      </c>
      <c r="E1075" s="13" t="s">
        <v>442</v>
      </c>
      <c r="F1075" s="102">
        <v>0</v>
      </c>
      <c r="G1075" s="102">
        <v>0</v>
      </c>
      <c r="H1075" s="102">
        <v>0</v>
      </c>
      <c r="I1075" s="342"/>
      <c r="J1075" s="343"/>
      <c r="K1075" s="160"/>
    </row>
    <row r="1076" spans="1:11" ht="24.75" hidden="1" customHeight="1" x14ac:dyDescent="0.25">
      <c r="A1076" s="92" t="s">
        <v>611</v>
      </c>
      <c r="B1076" s="174"/>
      <c r="C1076" s="5"/>
      <c r="D1076" s="12" t="s">
        <v>881</v>
      </c>
      <c r="E1076" s="13" t="s">
        <v>442</v>
      </c>
      <c r="F1076" s="102">
        <v>0</v>
      </c>
      <c r="G1076" s="102">
        <v>0</v>
      </c>
      <c r="H1076" s="102">
        <v>0</v>
      </c>
      <c r="I1076" s="342"/>
      <c r="J1076" s="343"/>
      <c r="K1076" s="160"/>
    </row>
    <row r="1077" spans="1:11" ht="26.25" hidden="1" customHeight="1" x14ac:dyDescent="0.25">
      <c r="A1077" s="347" t="s">
        <v>601</v>
      </c>
      <c r="B1077" s="106"/>
      <c r="C1077" s="113"/>
      <c r="D1077" s="114"/>
      <c r="E1077" s="121"/>
      <c r="F1077" s="118"/>
      <c r="G1077" s="118"/>
      <c r="H1077" s="118"/>
      <c r="I1077" s="119"/>
      <c r="J1077" s="120"/>
      <c r="K1077" s="173"/>
    </row>
    <row r="1078" spans="1:11" hidden="1" x14ac:dyDescent="0.25">
      <c r="A1078" s="12" t="s">
        <v>456</v>
      </c>
      <c r="B1078" s="174" t="s">
        <v>648</v>
      </c>
      <c r="C1078" s="5"/>
      <c r="D1078" s="12" t="s">
        <v>881</v>
      </c>
      <c r="E1078" s="13" t="s">
        <v>442</v>
      </c>
      <c r="F1078" s="102">
        <v>0</v>
      </c>
      <c r="G1078" s="102">
        <v>0</v>
      </c>
      <c r="H1078" s="102">
        <v>0</v>
      </c>
      <c r="I1078" s="342"/>
      <c r="J1078" s="343"/>
      <c r="K1078" s="160"/>
    </row>
    <row r="1079" spans="1:11" hidden="1" x14ac:dyDescent="0.25">
      <c r="A1079" s="12" t="s">
        <v>457</v>
      </c>
      <c r="B1079" s="174" t="s">
        <v>649</v>
      </c>
      <c r="C1079" s="5"/>
      <c r="D1079" s="12" t="s">
        <v>881</v>
      </c>
      <c r="E1079" s="13" t="s">
        <v>442</v>
      </c>
      <c r="F1079" s="102">
        <v>0</v>
      </c>
      <c r="G1079" s="102">
        <v>0</v>
      </c>
      <c r="H1079" s="102">
        <v>0</v>
      </c>
      <c r="I1079" s="342"/>
      <c r="J1079" s="343"/>
      <c r="K1079" s="160"/>
    </row>
    <row r="1080" spans="1:11" hidden="1" x14ac:dyDescent="0.25">
      <c r="A1080" s="12" t="s">
        <v>471</v>
      </c>
      <c r="B1080" s="174" t="s">
        <v>650</v>
      </c>
      <c r="C1080" s="5"/>
      <c r="D1080" s="12" t="s">
        <v>881</v>
      </c>
      <c r="E1080" s="13" t="s">
        <v>442</v>
      </c>
      <c r="F1080" s="102">
        <v>0</v>
      </c>
      <c r="G1080" s="102">
        <v>0</v>
      </c>
      <c r="H1080" s="102">
        <v>0</v>
      </c>
      <c r="I1080" s="342"/>
      <c r="J1080" s="343"/>
      <c r="K1080" s="160"/>
    </row>
    <row r="1081" spans="1:11" hidden="1" x14ac:dyDescent="0.25">
      <c r="A1081" s="12" t="s">
        <v>458</v>
      </c>
      <c r="B1081" s="174" t="s">
        <v>651</v>
      </c>
      <c r="C1081" s="5"/>
      <c r="D1081" s="12" t="s">
        <v>881</v>
      </c>
      <c r="E1081" s="13" t="s">
        <v>442</v>
      </c>
      <c r="F1081" s="102">
        <v>0</v>
      </c>
      <c r="G1081" s="102">
        <v>0</v>
      </c>
      <c r="H1081" s="102">
        <v>0</v>
      </c>
      <c r="I1081" s="342"/>
      <c r="J1081" s="343"/>
      <c r="K1081" s="160"/>
    </row>
    <row r="1082" spans="1:11" hidden="1" x14ac:dyDescent="0.25">
      <c r="A1082" s="12" t="s">
        <v>459</v>
      </c>
      <c r="B1082" s="174" t="s">
        <v>652</v>
      </c>
      <c r="C1082" s="5"/>
      <c r="D1082" s="12" t="s">
        <v>881</v>
      </c>
      <c r="E1082" s="13" t="s">
        <v>442</v>
      </c>
      <c r="F1082" s="102">
        <v>0</v>
      </c>
      <c r="G1082" s="102">
        <v>0</v>
      </c>
      <c r="H1082" s="102">
        <v>0</v>
      </c>
      <c r="I1082" s="342"/>
      <c r="J1082" s="343"/>
      <c r="K1082" s="160"/>
    </row>
    <row r="1083" spans="1:11" ht="24" hidden="1" x14ac:dyDescent="0.25">
      <c r="A1083" s="12" t="s">
        <v>460</v>
      </c>
      <c r="B1083" s="174" t="s">
        <v>653</v>
      </c>
      <c r="C1083" s="5"/>
      <c r="D1083" s="12" t="s">
        <v>881</v>
      </c>
      <c r="E1083" s="13" t="s">
        <v>442</v>
      </c>
      <c r="F1083" s="102">
        <v>0</v>
      </c>
      <c r="G1083" s="102">
        <v>0</v>
      </c>
      <c r="H1083" s="102">
        <v>0</v>
      </c>
      <c r="I1083" s="342"/>
      <c r="J1083" s="343"/>
      <c r="K1083" s="160"/>
    </row>
    <row r="1084" spans="1:11" ht="51" customHeight="1" x14ac:dyDescent="0.25">
      <c r="A1084" s="103"/>
      <c r="B1084" s="106"/>
      <c r="C1084" s="113" t="s">
        <v>23</v>
      </c>
      <c r="D1084" s="114" t="s">
        <v>26</v>
      </c>
      <c r="E1084" s="114"/>
      <c r="F1084" s="118"/>
      <c r="G1084" s="118"/>
      <c r="H1084" s="118"/>
      <c r="I1084" s="119"/>
      <c r="J1084" s="120"/>
      <c r="K1084" s="173"/>
    </row>
    <row r="1085" spans="1:11" ht="36" x14ac:dyDescent="0.25">
      <c r="A1085" s="347" t="s">
        <v>426</v>
      </c>
      <c r="B1085" s="106"/>
      <c r="C1085" s="113"/>
      <c r="D1085" s="114"/>
      <c r="E1085" s="114"/>
      <c r="F1085" s="118"/>
      <c r="G1085" s="118"/>
      <c r="H1085" s="118"/>
      <c r="I1085" s="119"/>
      <c r="J1085" s="120"/>
      <c r="K1085" s="173"/>
    </row>
    <row r="1086" spans="1:11" ht="36.75" customHeight="1" x14ac:dyDescent="0.25">
      <c r="A1086" s="174" t="s">
        <v>421</v>
      </c>
      <c r="B1086" s="174" t="s">
        <v>427</v>
      </c>
      <c r="C1086" s="5"/>
      <c r="D1086" s="4" t="s">
        <v>285</v>
      </c>
      <c r="E1086" s="102">
        <f>'3.2.расчет фот мест дс (2023)'!F8</f>
        <v>58.35</v>
      </c>
      <c r="F1086" s="102">
        <f>'3.2.расчет фот мест дс (2023)'!R8</f>
        <v>81632</v>
      </c>
      <c r="G1086" s="102">
        <f>'3.2.расчет фот мест дс (2024)'!S8</f>
        <v>84666</v>
      </c>
      <c r="H1086" s="102">
        <f>'3.2.расчет фот мест дс (2025)'!T8</f>
        <v>86942</v>
      </c>
      <c r="I1086" s="1318" t="s">
        <v>876</v>
      </c>
      <c r="J1086" s="1319"/>
      <c r="K1086" s="160"/>
    </row>
    <row r="1087" spans="1:11" ht="39" customHeight="1" x14ac:dyDescent="0.25">
      <c r="A1087" s="174" t="s">
        <v>413</v>
      </c>
      <c r="B1087" s="174" t="s">
        <v>430</v>
      </c>
      <c r="C1087" s="5"/>
      <c r="D1087" s="4" t="s">
        <v>285</v>
      </c>
      <c r="E1087" s="102">
        <f>'3.2.расчет фот мест дс (2023)'!F9</f>
        <v>48.91</v>
      </c>
      <c r="F1087" s="102">
        <f>'3.2.расчет фот мест дс (2023)'!R9</f>
        <v>68425</v>
      </c>
      <c r="G1087" s="102">
        <f>'3.2.расчет фот мест дс (2024)'!S9</f>
        <v>70968</v>
      </c>
      <c r="H1087" s="102">
        <f>'3.2.расчет фот мест дс (2025)'!T9</f>
        <v>72876</v>
      </c>
      <c r="I1087" s="1318" t="s">
        <v>876</v>
      </c>
      <c r="J1087" s="1319"/>
      <c r="K1087" s="160"/>
    </row>
    <row r="1088" spans="1:11" ht="39" customHeight="1" x14ac:dyDescent="0.25">
      <c r="A1088" s="174" t="s">
        <v>700</v>
      </c>
      <c r="B1088" s="174" t="s">
        <v>427</v>
      </c>
      <c r="C1088" s="5"/>
      <c r="D1088" s="4" t="s">
        <v>285</v>
      </c>
      <c r="E1088" s="102">
        <f>'3.2.расчет фот мест дс (2023)'!F10</f>
        <v>48.91</v>
      </c>
      <c r="F1088" s="102">
        <f>'3.2.расчет фот мест дс (2023)'!R10</f>
        <v>68425</v>
      </c>
      <c r="G1088" s="102">
        <f>'3.2.расчет фот мест дс (2024)'!S10</f>
        <v>70968</v>
      </c>
      <c r="H1088" s="102">
        <f>'3.2.расчет фот мест дс (2025)'!T10</f>
        <v>72876</v>
      </c>
      <c r="I1088" s="1318" t="s">
        <v>876</v>
      </c>
      <c r="J1088" s="1319"/>
      <c r="K1088" s="160"/>
    </row>
    <row r="1089" spans="1:11" ht="39" customHeight="1" x14ac:dyDescent="0.25">
      <c r="A1089" s="174" t="s">
        <v>414</v>
      </c>
      <c r="B1089" s="174" t="s">
        <v>430</v>
      </c>
      <c r="C1089" s="5"/>
      <c r="D1089" s="4" t="s">
        <v>285</v>
      </c>
      <c r="E1089" s="102">
        <f>'3.2.расчет фот мест дс (2023)'!F11</f>
        <v>48.91</v>
      </c>
      <c r="F1089" s="102">
        <f>'3.2.расчет фот мест дс (2023)'!R11</f>
        <v>68425</v>
      </c>
      <c r="G1089" s="102">
        <f>'3.2.расчет фот мест дс (2024)'!S11</f>
        <v>70968</v>
      </c>
      <c r="H1089" s="102">
        <f>'3.2.расчет фот мест дс (2025)'!T11</f>
        <v>72876</v>
      </c>
      <c r="I1089" s="1318" t="s">
        <v>876</v>
      </c>
      <c r="J1089" s="1319"/>
      <c r="K1089" s="160"/>
    </row>
    <row r="1090" spans="1:11" ht="38.25" customHeight="1" x14ac:dyDescent="0.25">
      <c r="A1090" s="174" t="s">
        <v>415</v>
      </c>
      <c r="B1090" s="174" t="s">
        <v>430</v>
      </c>
      <c r="C1090" s="5"/>
      <c r="D1090" s="4" t="s">
        <v>285</v>
      </c>
      <c r="E1090" s="102">
        <f>'3.2.расчет фот мест дс (2023)'!F12</f>
        <v>48.91</v>
      </c>
      <c r="F1090" s="102">
        <f>'3.2.расчет фот мест дс (2023)'!R12</f>
        <v>68425</v>
      </c>
      <c r="G1090" s="102">
        <f>'3.2.расчет фот мест дс (2024)'!S12</f>
        <v>70968</v>
      </c>
      <c r="H1090" s="102">
        <f>'3.2.расчет фот мест дс (2025)'!T12</f>
        <v>72876</v>
      </c>
      <c r="I1090" s="1318" t="s">
        <v>876</v>
      </c>
      <c r="J1090" s="1319"/>
      <c r="K1090" s="160"/>
    </row>
    <row r="1091" spans="1:11" ht="39" customHeight="1" x14ac:dyDescent="0.25">
      <c r="A1091" s="92" t="s">
        <v>416</v>
      </c>
      <c r="B1091" s="174" t="s">
        <v>429</v>
      </c>
      <c r="C1091" s="5"/>
      <c r="D1091" s="4" t="s">
        <v>285</v>
      </c>
      <c r="E1091" s="102">
        <f>'3.2.расчет фот мест дс (2023)'!F13</f>
        <v>84.12</v>
      </c>
      <c r="F1091" s="102">
        <f>'3.2.расчет фот мест дс (2023)'!R13</f>
        <v>117684</v>
      </c>
      <c r="G1091" s="102">
        <f>'3.2.расчет фот мест дс (2024)'!S13</f>
        <v>122058</v>
      </c>
      <c r="H1091" s="102">
        <f>'3.2.расчет фот мест дс (2025)'!T13</f>
        <v>125339</v>
      </c>
      <c r="I1091" s="1318" t="s">
        <v>876</v>
      </c>
      <c r="J1091" s="1319"/>
      <c r="K1091" s="160"/>
    </row>
    <row r="1092" spans="1:11" ht="38.25" customHeight="1" x14ac:dyDescent="0.25">
      <c r="A1092" s="98" t="s">
        <v>417</v>
      </c>
      <c r="B1092" s="174" t="s">
        <v>429</v>
      </c>
      <c r="C1092" s="5"/>
      <c r="D1092" s="4" t="s">
        <v>285</v>
      </c>
      <c r="E1092" s="102">
        <f>'3.2.расчет фот мест дс (2023)'!F14</f>
        <v>100.94</v>
      </c>
      <c r="F1092" s="102">
        <f>'3.2.расчет фот мест дс (2023)'!R14</f>
        <v>141215</v>
      </c>
      <c r="G1092" s="102">
        <f>'3.2.расчет фот мест дс (2024)'!S14</f>
        <v>146464</v>
      </c>
      <c r="H1092" s="102">
        <f>'3.2.расчет фот мест дс (2025)'!T14</f>
        <v>150401</v>
      </c>
      <c r="I1092" s="1318" t="s">
        <v>876</v>
      </c>
      <c r="J1092" s="1319"/>
      <c r="K1092" s="160"/>
    </row>
    <row r="1093" spans="1:11" ht="38.25" customHeight="1" x14ac:dyDescent="0.25">
      <c r="A1093" s="98" t="s">
        <v>422</v>
      </c>
      <c r="B1093" s="174" t="s">
        <v>428</v>
      </c>
      <c r="C1093" s="5"/>
      <c r="D1093" s="4" t="s">
        <v>285</v>
      </c>
      <c r="E1093" s="102">
        <f>'3.2.расчет фот мест дс (2023)'!F15</f>
        <v>149.30000000000001</v>
      </c>
      <c r="F1093" s="102">
        <f>'3.2.расчет фот мест дс (2023)'!R15</f>
        <v>208871</v>
      </c>
      <c r="G1093" s="102">
        <f>'3.2.расчет фот мест дс (2024)'!S15</f>
        <v>216634</v>
      </c>
      <c r="H1093" s="102">
        <f>'3.2.расчет фот мест дс (2025)'!T15</f>
        <v>222457</v>
      </c>
      <c r="I1093" s="1318" t="s">
        <v>876</v>
      </c>
      <c r="J1093" s="1319"/>
      <c r="K1093" s="160"/>
    </row>
    <row r="1094" spans="1:11" ht="38.25" customHeight="1" x14ac:dyDescent="0.25">
      <c r="A1094" s="98" t="s">
        <v>418</v>
      </c>
      <c r="B1094" s="174" t="s">
        <v>429</v>
      </c>
      <c r="C1094" s="5"/>
      <c r="D1094" s="4" t="s">
        <v>285</v>
      </c>
      <c r="E1094" s="297">
        <f>'3.2.расчет фот мест дс (2023)'!F16</f>
        <v>126.18</v>
      </c>
      <c r="F1094" s="102">
        <f>'3.2.расчет фот мест дс (2023)'!R16</f>
        <v>176526</v>
      </c>
      <c r="G1094" s="102">
        <f>'3.2.расчет фот мест дс (2024)'!S16</f>
        <v>183087</v>
      </c>
      <c r="H1094" s="102">
        <f>'3.2.расчет фот мест дс (2025)'!T16</f>
        <v>188008</v>
      </c>
      <c r="I1094" s="1318" t="s">
        <v>876</v>
      </c>
      <c r="J1094" s="1319"/>
      <c r="K1094" s="160"/>
    </row>
    <row r="1095" spans="1:11" ht="38.25" customHeight="1" x14ac:dyDescent="0.25">
      <c r="A1095" s="92" t="s">
        <v>423</v>
      </c>
      <c r="B1095" s="174" t="s">
        <v>427</v>
      </c>
      <c r="C1095" s="5"/>
      <c r="D1095" s="4" t="s">
        <v>285</v>
      </c>
      <c r="E1095" s="297">
        <f>'3.2.расчет фот мест дс (2023)'!F17</f>
        <v>58.35</v>
      </c>
      <c r="F1095" s="102">
        <f>'3.2.расчет фот мест дс (2023)'!R17</f>
        <v>81632</v>
      </c>
      <c r="G1095" s="102">
        <f>'3.2.расчет фот мест дс (2024)'!S17</f>
        <v>84666</v>
      </c>
      <c r="H1095" s="102">
        <f>'3.2.расчет фот мест дс (2025)'!T17</f>
        <v>86942</v>
      </c>
      <c r="I1095" s="1318" t="s">
        <v>876</v>
      </c>
      <c r="J1095" s="1319"/>
      <c r="K1095" s="160"/>
    </row>
    <row r="1096" spans="1:11" ht="38.25" customHeight="1" x14ac:dyDescent="0.25">
      <c r="A1096" s="174" t="s">
        <v>419</v>
      </c>
      <c r="B1096" s="174" t="s">
        <v>430</v>
      </c>
      <c r="C1096" s="5"/>
      <c r="D1096" s="4" t="s">
        <v>285</v>
      </c>
      <c r="E1096" s="297">
        <f>'3.2.расчет фот мест дс (2023)'!F18</f>
        <v>48.91</v>
      </c>
      <c r="F1096" s="102">
        <f>'3.2.расчет фот мест дс (2023)'!R18</f>
        <v>68425</v>
      </c>
      <c r="G1096" s="102">
        <f>'3.2.расчет фот мест дс (2024)'!S18</f>
        <v>70968</v>
      </c>
      <c r="H1096" s="102">
        <f>'3.2.расчет фот мест дс (2025)'!T18</f>
        <v>72876</v>
      </c>
      <c r="I1096" s="1318" t="s">
        <v>876</v>
      </c>
      <c r="J1096" s="1319"/>
      <c r="K1096" s="160"/>
    </row>
    <row r="1097" spans="1:11" ht="38.25" customHeight="1" x14ac:dyDescent="0.25">
      <c r="A1097" s="92" t="s">
        <v>424</v>
      </c>
      <c r="B1097" s="174" t="s">
        <v>427</v>
      </c>
      <c r="C1097" s="5"/>
      <c r="D1097" s="4" t="s">
        <v>285</v>
      </c>
      <c r="E1097" s="297">
        <f>'3.2.расчет фот мест дс (2023)'!F19</f>
        <v>89.58</v>
      </c>
      <c r="F1097" s="102">
        <f>'3.2.расчет фот мест дс (2023)'!R19</f>
        <v>125322</v>
      </c>
      <c r="G1097" s="102">
        <f>'3.2.расчет фот мест дс (2024)'!S19</f>
        <v>129981</v>
      </c>
      <c r="H1097" s="102">
        <f>'3.2.расчет фот мест дс (2025)'!T19</f>
        <v>133474</v>
      </c>
      <c r="I1097" s="1318" t="s">
        <v>876</v>
      </c>
      <c r="J1097" s="1319"/>
      <c r="K1097" s="160"/>
    </row>
    <row r="1098" spans="1:11" ht="38.25" customHeight="1" x14ac:dyDescent="0.25">
      <c r="A1098" s="174" t="s">
        <v>420</v>
      </c>
      <c r="B1098" s="174" t="s">
        <v>430</v>
      </c>
      <c r="C1098" s="5"/>
      <c r="D1098" s="4" t="s">
        <v>285</v>
      </c>
      <c r="E1098" s="297">
        <f>'3.2.расчет фот мест дс (2023)'!F20</f>
        <v>72.099999999999994</v>
      </c>
      <c r="F1098" s="102">
        <f>'3.2.расчет фот мест дс (2023)'!R20</f>
        <v>100868</v>
      </c>
      <c r="G1098" s="102">
        <f>'3.2.расчет фот мест дс (2024)'!S20</f>
        <v>104617</v>
      </c>
      <c r="H1098" s="102">
        <f>'3.2.расчет фот мест дс (2025)'!T20</f>
        <v>107429</v>
      </c>
      <c r="I1098" s="1318" t="s">
        <v>876</v>
      </c>
      <c r="J1098" s="1319"/>
      <c r="K1098" s="160"/>
    </row>
    <row r="1099" spans="1:11" ht="38.25" hidden="1" customHeight="1" x14ac:dyDescent="0.25">
      <c r="A1099" s="340"/>
      <c r="B1099" s="174"/>
      <c r="C1099" s="5"/>
      <c r="D1099" s="4"/>
      <c r="E1099" s="182"/>
      <c r="F1099" s="102"/>
      <c r="G1099" s="102"/>
      <c r="H1099" s="102"/>
      <c r="I1099" s="1318"/>
      <c r="J1099" s="1319"/>
      <c r="K1099" s="160"/>
    </row>
    <row r="1100" spans="1:11" ht="26.25" hidden="1" customHeight="1" x14ac:dyDescent="0.25">
      <c r="A1100" s="347" t="s">
        <v>431</v>
      </c>
      <c r="B1100" s="106"/>
      <c r="C1100" s="113"/>
      <c r="D1100" s="114"/>
      <c r="E1100" s="121"/>
      <c r="F1100" s="118"/>
      <c r="G1100" s="118"/>
      <c r="H1100" s="118"/>
      <c r="I1100" s="119"/>
      <c r="J1100" s="120"/>
      <c r="K1100" s="173"/>
    </row>
    <row r="1101" spans="1:11" ht="24" hidden="1" customHeight="1" x14ac:dyDescent="0.25">
      <c r="A1101" s="12" t="s">
        <v>702</v>
      </c>
      <c r="B1101" s="174" t="s">
        <v>432</v>
      </c>
      <c r="C1101" s="5"/>
      <c r="D1101" s="12" t="s">
        <v>881</v>
      </c>
      <c r="E1101" s="13" t="s">
        <v>442</v>
      </c>
      <c r="F1101" s="102">
        <v>0</v>
      </c>
      <c r="G1101" s="102">
        <v>0</v>
      </c>
      <c r="H1101" s="102">
        <v>0</v>
      </c>
      <c r="I1101" s="342"/>
      <c r="J1101" s="343"/>
      <c r="K1101" s="160"/>
    </row>
    <row r="1102" spans="1:11" ht="36" hidden="1" x14ac:dyDescent="0.25">
      <c r="A1102" s="12" t="s">
        <v>703</v>
      </c>
      <c r="B1102" s="174" t="s">
        <v>433</v>
      </c>
      <c r="C1102" s="5"/>
      <c r="D1102" s="12" t="s">
        <v>881</v>
      </c>
      <c r="E1102" s="13" t="s">
        <v>442</v>
      </c>
      <c r="F1102" s="102">
        <v>0</v>
      </c>
      <c r="G1102" s="102">
        <v>0</v>
      </c>
      <c r="H1102" s="102">
        <v>0</v>
      </c>
      <c r="I1102" s="342"/>
      <c r="J1102" s="343"/>
      <c r="K1102" s="160"/>
    </row>
    <row r="1103" spans="1:11" ht="24" hidden="1" x14ac:dyDescent="0.25">
      <c r="A1103" s="12" t="s">
        <v>704</v>
      </c>
      <c r="B1103" s="174" t="s">
        <v>434</v>
      </c>
      <c r="C1103" s="5"/>
      <c r="D1103" s="12" t="s">
        <v>881</v>
      </c>
      <c r="E1103" s="13" t="s">
        <v>442</v>
      </c>
      <c r="F1103" s="102">
        <v>0</v>
      </c>
      <c r="G1103" s="102">
        <v>0</v>
      </c>
      <c r="H1103" s="102">
        <v>0</v>
      </c>
      <c r="I1103" s="342"/>
      <c r="J1103" s="343"/>
      <c r="K1103" s="160"/>
    </row>
    <row r="1104" spans="1:11" s="435" customFormat="1" ht="48" hidden="1" x14ac:dyDescent="0.25">
      <c r="A1104" s="641" t="s">
        <v>1407</v>
      </c>
      <c r="B1104" s="174" t="s">
        <v>435</v>
      </c>
      <c r="C1104" s="5"/>
      <c r="D1104" s="12" t="s">
        <v>881</v>
      </c>
      <c r="E1104" s="13" t="s">
        <v>442</v>
      </c>
      <c r="F1104" s="102">
        <v>0</v>
      </c>
      <c r="G1104" s="102">
        <v>0</v>
      </c>
      <c r="H1104" s="102">
        <v>0</v>
      </c>
      <c r="I1104" s="437"/>
      <c r="J1104" s="438"/>
      <c r="K1104" s="160"/>
    </row>
    <row r="1105" spans="1:11" ht="36" hidden="1" x14ac:dyDescent="0.25">
      <c r="A1105" s="12" t="s">
        <v>948</v>
      </c>
      <c r="B1105" s="174" t="s">
        <v>435</v>
      </c>
      <c r="C1105" s="5"/>
      <c r="D1105" s="12" t="s">
        <v>881</v>
      </c>
      <c r="E1105" s="13" t="s">
        <v>442</v>
      </c>
      <c r="F1105" s="102">
        <v>0</v>
      </c>
      <c r="G1105" s="102">
        <v>0</v>
      </c>
      <c r="H1105" s="102">
        <v>0</v>
      </c>
      <c r="I1105" s="342"/>
      <c r="J1105" s="343"/>
      <c r="K1105" s="160"/>
    </row>
    <row r="1106" spans="1:11" ht="36" hidden="1" x14ac:dyDescent="0.25">
      <c r="A1106" s="12" t="s">
        <v>705</v>
      </c>
      <c r="B1106" s="174" t="s">
        <v>436</v>
      </c>
      <c r="C1106" s="5"/>
      <c r="D1106" s="12" t="s">
        <v>881</v>
      </c>
      <c r="E1106" s="13" t="s">
        <v>442</v>
      </c>
      <c r="F1106" s="102">
        <v>0</v>
      </c>
      <c r="G1106" s="102">
        <v>0</v>
      </c>
      <c r="H1106" s="102">
        <v>0</v>
      </c>
      <c r="I1106" s="342"/>
      <c r="J1106" s="343"/>
      <c r="K1106" s="160"/>
    </row>
    <row r="1107" spans="1:11" ht="36" hidden="1" x14ac:dyDescent="0.25">
      <c r="A1107" s="98" t="s">
        <v>706</v>
      </c>
      <c r="B1107" s="174" t="s">
        <v>437</v>
      </c>
      <c r="C1107" s="5"/>
      <c r="D1107" s="12" t="s">
        <v>881</v>
      </c>
      <c r="E1107" s="13" t="s">
        <v>442</v>
      </c>
      <c r="F1107" s="102">
        <v>0</v>
      </c>
      <c r="G1107" s="102">
        <v>0</v>
      </c>
      <c r="H1107" s="102">
        <v>0</v>
      </c>
      <c r="I1107" s="342"/>
      <c r="J1107" s="343"/>
      <c r="K1107" s="160"/>
    </row>
    <row r="1108" spans="1:11" ht="36" hidden="1" x14ac:dyDescent="0.25">
      <c r="A1108" s="98" t="s">
        <v>707</v>
      </c>
      <c r="B1108" s="174" t="s">
        <v>438</v>
      </c>
      <c r="C1108" s="5"/>
      <c r="D1108" s="12" t="s">
        <v>881</v>
      </c>
      <c r="E1108" s="13" t="s">
        <v>442</v>
      </c>
      <c r="F1108" s="102">
        <v>0</v>
      </c>
      <c r="G1108" s="102">
        <v>0</v>
      </c>
      <c r="H1108" s="102">
        <v>0</v>
      </c>
      <c r="I1108" s="342"/>
      <c r="J1108" s="343"/>
      <c r="K1108" s="160"/>
    </row>
    <row r="1109" spans="1:11" ht="24" hidden="1" x14ac:dyDescent="0.25">
      <c r="A1109" s="98" t="s">
        <v>708</v>
      </c>
      <c r="B1109" s="174" t="s">
        <v>439</v>
      </c>
      <c r="C1109" s="5"/>
      <c r="D1109" s="12" t="s">
        <v>881</v>
      </c>
      <c r="E1109" s="13" t="s">
        <v>442</v>
      </c>
      <c r="F1109" s="102">
        <v>0</v>
      </c>
      <c r="G1109" s="102">
        <v>0</v>
      </c>
      <c r="H1109" s="102">
        <v>0</v>
      </c>
      <c r="I1109" s="342"/>
      <c r="J1109" s="343"/>
      <c r="K1109" s="160"/>
    </row>
    <row r="1110" spans="1:11" s="435" customFormat="1" ht="48" hidden="1" x14ac:dyDescent="0.25">
      <c r="A1110" s="643" t="s">
        <v>1409</v>
      </c>
      <c r="B1110" s="174" t="s">
        <v>440</v>
      </c>
      <c r="C1110" s="5"/>
      <c r="D1110" s="12" t="s">
        <v>881</v>
      </c>
      <c r="E1110" s="13" t="s">
        <v>442</v>
      </c>
      <c r="F1110" s="102">
        <v>0</v>
      </c>
      <c r="G1110" s="102">
        <v>0</v>
      </c>
      <c r="H1110" s="102">
        <v>0</v>
      </c>
      <c r="I1110" s="437"/>
      <c r="J1110" s="438"/>
      <c r="K1110" s="160"/>
    </row>
    <row r="1111" spans="1:11" ht="36" hidden="1" x14ac:dyDescent="0.25">
      <c r="A1111" s="98" t="s">
        <v>949</v>
      </c>
      <c r="B1111" s="174" t="s">
        <v>440</v>
      </c>
      <c r="C1111" s="5"/>
      <c r="D1111" s="12" t="s">
        <v>881</v>
      </c>
      <c r="E1111" s="13" t="s">
        <v>442</v>
      </c>
      <c r="F1111" s="102">
        <v>0</v>
      </c>
      <c r="G1111" s="102">
        <v>0</v>
      </c>
      <c r="H1111" s="102">
        <v>0</v>
      </c>
      <c r="I1111" s="342"/>
      <c r="J1111" s="343"/>
      <c r="K1111" s="160"/>
    </row>
    <row r="1112" spans="1:11" ht="36" hidden="1" x14ac:dyDescent="0.25">
      <c r="A1112" s="98" t="s">
        <v>709</v>
      </c>
      <c r="B1112" s="174" t="s">
        <v>441</v>
      </c>
      <c r="C1112" s="5"/>
      <c r="D1112" s="12" t="s">
        <v>881</v>
      </c>
      <c r="E1112" s="13" t="s">
        <v>442</v>
      </c>
      <c r="F1112" s="102">
        <v>0</v>
      </c>
      <c r="G1112" s="102">
        <v>0</v>
      </c>
      <c r="H1112" s="102">
        <v>0</v>
      </c>
      <c r="I1112" s="342"/>
      <c r="J1112" s="343"/>
      <c r="K1112" s="160"/>
    </row>
    <row r="1113" spans="1:11" ht="36" x14ac:dyDescent="0.25">
      <c r="A1113" s="347" t="s">
        <v>624</v>
      </c>
      <c r="B1113" s="106"/>
      <c r="C1113" s="113"/>
      <c r="D1113" s="114"/>
      <c r="E1113" s="114"/>
      <c r="F1113" s="118"/>
      <c r="G1113" s="118"/>
      <c r="H1113" s="118"/>
      <c r="I1113" s="119"/>
      <c r="J1113" s="120"/>
      <c r="K1113" s="173"/>
    </row>
    <row r="1114" spans="1:11" ht="36.75" customHeight="1" x14ac:dyDescent="0.25">
      <c r="A1114" s="12" t="s">
        <v>609</v>
      </c>
      <c r="B1114" s="174" t="s">
        <v>617</v>
      </c>
      <c r="C1114" s="5"/>
      <c r="D1114" s="4" t="s">
        <v>285</v>
      </c>
      <c r="E1114" s="101">
        <f>'3.7.расчет фот мест 2023'!F9</f>
        <v>2.96</v>
      </c>
      <c r="F1114" s="102">
        <f>'3.7.расчет фот мест 2023'!R9</f>
        <v>3368.48</v>
      </c>
      <c r="G1114" s="102">
        <f>'3.7.расчет фот мест 2024'!S9</f>
        <v>3498.72</v>
      </c>
      <c r="H1114" s="102">
        <f>'3.7.расчет фот мест 2025'!T9</f>
        <v>3593.44</v>
      </c>
      <c r="I1114" s="1318" t="s">
        <v>882</v>
      </c>
      <c r="J1114" s="1319"/>
      <c r="K1114" s="160"/>
    </row>
    <row r="1115" spans="1:11" ht="39" hidden="1" customHeight="1" x14ac:dyDescent="0.25">
      <c r="A1115" s="92" t="s">
        <v>610</v>
      </c>
      <c r="B1115" s="174"/>
      <c r="C1115" s="5"/>
      <c r="D1115" s="4" t="s">
        <v>285</v>
      </c>
      <c r="E1115" s="101">
        <f>'3.7.расчет фот мест 2023'!F10</f>
        <v>0</v>
      </c>
      <c r="F1115" s="102">
        <f>'3.7.расчет фот мест 2023'!R10</f>
        <v>0</v>
      </c>
      <c r="G1115" s="102">
        <f>'3.7.расчет фот мест 2024'!S10</f>
        <v>0</v>
      </c>
      <c r="H1115" s="102">
        <f>'3.7.расчет фот мест 2025'!T10</f>
        <v>0</v>
      </c>
      <c r="I1115" s="1318" t="s">
        <v>882</v>
      </c>
      <c r="J1115" s="1319"/>
      <c r="K1115" s="160"/>
    </row>
    <row r="1116" spans="1:11" ht="39" customHeight="1" x14ac:dyDescent="0.25">
      <c r="A1116" s="12" t="s">
        <v>625</v>
      </c>
      <c r="B1116" s="174" t="s">
        <v>978</v>
      </c>
      <c r="C1116" s="5"/>
      <c r="D1116" s="4" t="s">
        <v>285</v>
      </c>
      <c r="E1116" s="101">
        <f>'3.7.расчет фот мест 2023'!F11</f>
        <v>8.23</v>
      </c>
      <c r="F1116" s="102">
        <f>'3.7.расчет фот мест 2023'!R11</f>
        <v>9365.74</v>
      </c>
      <c r="G1116" s="102">
        <f>'3.7.расчет фот мест 2024'!S11</f>
        <v>9727.86</v>
      </c>
      <c r="H1116" s="102">
        <f>'3.7.расчет фот мест 2025'!T11</f>
        <v>9991.2199999999993</v>
      </c>
      <c r="I1116" s="1318" t="s">
        <v>882</v>
      </c>
      <c r="J1116" s="1319"/>
      <c r="K1116" s="160"/>
    </row>
    <row r="1117" spans="1:11" ht="39" hidden="1" customHeight="1" x14ac:dyDescent="0.25">
      <c r="A1117" s="12" t="s">
        <v>626</v>
      </c>
      <c r="B1117" s="174" t="s">
        <v>618</v>
      </c>
      <c r="C1117" s="5"/>
      <c r="D1117" s="4" t="s">
        <v>285</v>
      </c>
      <c r="E1117" s="101">
        <f>'3.7.расчет фот мест 2023'!F12</f>
        <v>0</v>
      </c>
      <c r="F1117" s="102">
        <f>'3.7.расчет фот мест 2023'!R12</f>
        <v>0</v>
      </c>
      <c r="G1117" s="102">
        <f>'3.7.расчет фот мест 2024'!S12</f>
        <v>0</v>
      </c>
      <c r="H1117" s="102">
        <f>'3.7.расчет фот мест 2025'!T12</f>
        <v>0</v>
      </c>
      <c r="I1117" s="1318" t="s">
        <v>882</v>
      </c>
      <c r="J1117" s="1319"/>
      <c r="K1117" s="160"/>
    </row>
    <row r="1118" spans="1:11" ht="38.25" hidden="1" customHeight="1" x14ac:dyDescent="0.25">
      <c r="A1118" s="92" t="s">
        <v>639</v>
      </c>
      <c r="B1118" s="174"/>
      <c r="C1118" s="5"/>
      <c r="D1118" s="4" t="s">
        <v>285</v>
      </c>
      <c r="E1118" s="101">
        <f>'3.7.расчет фот мест 2023'!F13</f>
        <v>0</v>
      </c>
      <c r="F1118" s="102">
        <f>'3.7.расчет фот мест 2023'!R13</f>
        <v>0</v>
      </c>
      <c r="G1118" s="102">
        <f>'3.7.расчет фот мест 2024'!S13</f>
        <v>0</v>
      </c>
      <c r="H1118" s="102">
        <f>'3.7.расчет фот мест 2025'!T13</f>
        <v>0</v>
      </c>
      <c r="I1118" s="1318" t="s">
        <v>882</v>
      </c>
      <c r="J1118" s="1319"/>
      <c r="K1118" s="160"/>
    </row>
    <row r="1119" spans="1:11" ht="39" customHeight="1" x14ac:dyDescent="0.25">
      <c r="A1119" s="12" t="s">
        <v>627</v>
      </c>
      <c r="B1119" s="174" t="s">
        <v>619</v>
      </c>
      <c r="C1119" s="5"/>
      <c r="D1119" s="4" t="s">
        <v>285</v>
      </c>
      <c r="E1119" s="101">
        <f>'3.7.расчет фот мест 2023'!F14</f>
        <v>2.96</v>
      </c>
      <c r="F1119" s="102">
        <f>'3.7.расчет фот мест 2023'!R14</f>
        <v>3368.48</v>
      </c>
      <c r="G1119" s="102">
        <f>'3.7.расчет фот мест 2024'!S14</f>
        <v>3498.72</v>
      </c>
      <c r="H1119" s="102">
        <f>'3.7.расчет фот мест 2025'!T14</f>
        <v>3593.44</v>
      </c>
      <c r="I1119" s="1318" t="s">
        <v>882</v>
      </c>
      <c r="J1119" s="1319"/>
      <c r="K1119" s="160"/>
    </row>
    <row r="1120" spans="1:11" ht="38.25" hidden="1" customHeight="1" x14ac:dyDescent="0.25">
      <c r="A1120" s="92" t="s">
        <v>608</v>
      </c>
      <c r="B1120" s="174"/>
      <c r="C1120" s="5"/>
      <c r="D1120" s="4" t="s">
        <v>285</v>
      </c>
      <c r="E1120" s="101">
        <f>'3.7.расчет фот мест 2023'!F15</f>
        <v>0</v>
      </c>
      <c r="F1120" s="102">
        <f>'3.7.расчет фот мест 2023'!R15</f>
        <v>0</v>
      </c>
      <c r="G1120" s="102">
        <f>'3.7.расчет фот мест 2024'!S15</f>
        <v>0</v>
      </c>
      <c r="H1120" s="102">
        <f>'3.7.расчет фот мест 2025'!T15</f>
        <v>0</v>
      </c>
      <c r="I1120" s="1318" t="s">
        <v>882</v>
      </c>
      <c r="J1120" s="1319"/>
      <c r="K1120" s="160"/>
    </row>
    <row r="1121" spans="1:11" ht="38.25" hidden="1" customHeight="1" x14ac:dyDescent="0.25">
      <c r="A1121" s="92" t="s">
        <v>611</v>
      </c>
      <c r="B1121" s="174"/>
      <c r="C1121" s="5"/>
      <c r="D1121" s="4" t="s">
        <v>285</v>
      </c>
      <c r="E1121" s="101">
        <f>'3.7.расчет фот мест 2023'!F16</f>
        <v>0</v>
      </c>
      <c r="F1121" s="102">
        <f>'3.7.расчет фот мест 2023'!R16</f>
        <v>0</v>
      </c>
      <c r="G1121" s="102">
        <f>'3.7.расчет фот мест 2024'!S16</f>
        <v>0</v>
      </c>
      <c r="H1121" s="102">
        <f>'3.7.расчет фот мест 2025'!T16</f>
        <v>0</v>
      </c>
      <c r="I1121" s="1318" t="s">
        <v>882</v>
      </c>
      <c r="J1121" s="1319"/>
      <c r="K1121" s="160"/>
    </row>
    <row r="1122" spans="1:11" ht="36" x14ac:dyDescent="0.25">
      <c r="A1122" s="347" t="s">
        <v>603</v>
      </c>
      <c r="B1122" s="106"/>
      <c r="C1122" s="113"/>
      <c r="D1122" s="114"/>
      <c r="E1122" s="114"/>
      <c r="F1122" s="118"/>
      <c r="G1122" s="118"/>
      <c r="H1122" s="118"/>
      <c r="I1122" s="119"/>
      <c r="J1122" s="120"/>
      <c r="K1122" s="173"/>
    </row>
    <row r="1123" spans="1:11" ht="36.75" customHeight="1" x14ac:dyDescent="0.25">
      <c r="A1123" s="12" t="s">
        <v>609</v>
      </c>
      <c r="B1123" s="174" t="s">
        <v>604</v>
      </c>
      <c r="C1123" s="5"/>
      <c r="D1123" s="4" t="s">
        <v>285</v>
      </c>
      <c r="E1123" s="101">
        <f>'3.7.расчет фот мест 2023'!F18</f>
        <v>2.96</v>
      </c>
      <c r="F1123" s="102">
        <f>'3.7.расчет фот мест 2023'!R18</f>
        <v>3368.48</v>
      </c>
      <c r="G1123" s="102">
        <f>'3.7.расчет фот мест 2024'!S18</f>
        <v>3498.72</v>
      </c>
      <c r="H1123" s="102">
        <f>'3.7.расчет фот мест 2025'!T18</f>
        <v>3593.44</v>
      </c>
      <c r="I1123" s="1318" t="s">
        <v>882</v>
      </c>
      <c r="J1123" s="1319"/>
      <c r="K1123" s="160"/>
    </row>
    <row r="1124" spans="1:11" ht="39" hidden="1" customHeight="1" x14ac:dyDescent="0.25">
      <c r="A1124" s="92" t="s">
        <v>610</v>
      </c>
      <c r="B1124" s="174"/>
      <c r="C1124" s="5"/>
      <c r="D1124" s="4" t="s">
        <v>285</v>
      </c>
      <c r="E1124" s="101">
        <f>'3.7.расчет фот мест 2023'!F19</f>
        <v>0</v>
      </c>
      <c r="F1124" s="102">
        <f>'3.7.расчет фот мест 2023'!R19</f>
        <v>0</v>
      </c>
      <c r="G1124" s="102">
        <f>'3.7.расчет фот мест 2024'!S19</f>
        <v>0</v>
      </c>
      <c r="H1124" s="102">
        <f>'3.7.расчет фот мест 2025'!T19</f>
        <v>0</v>
      </c>
      <c r="I1124" s="1318" t="s">
        <v>882</v>
      </c>
      <c r="J1124" s="1319"/>
      <c r="K1124" s="160"/>
    </row>
    <row r="1125" spans="1:11" ht="39" customHeight="1" x14ac:dyDescent="0.25">
      <c r="A1125" s="12" t="s">
        <v>625</v>
      </c>
      <c r="B1125" s="174" t="s">
        <v>605</v>
      </c>
      <c r="C1125" s="5"/>
      <c r="D1125" s="4" t="s">
        <v>285</v>
      </c>
      <c r="E1125" s="101">
        <f>'3.7.расчет фот мест 2023'!F20</f>
        <v>8.23</v>
      </c>
      <c r="F1125" s="102">
        <f>'3.7.расчет фот мест 2023'!R20</f>
        <v>9365.74</v>
      </c>
      <c r="G1125" s="102">
        <f>'3.7.расчет фот мест 2024'!S20</f>
        <v>9727.86</v>
      </c>
      <c r="H1125" s="102">
        <f>'3.7.расчет фот мест 2025'!T20</f>
        <v>9991.2199999999993</v>
      </c>
      <c r="I1125" s="1318" t="s">
        <v>882</v>
      </c>
      <c r="J1125" s="1319"/>
      <c r="K1125" s="160"/>
    </row>
    <row r="1126" spans="1:11" ht="39" hidden="1" customHeight="1" x14ac:dyDescent="0.25">
      <c r="A1126" s="92" t="s">
        <v>639</v>
      </c>
      <c r="B1126" s="174"/>
      <c r="C1126" s="5"/>
      <c r="D1126" s="4" t="s">
        <v>285</v>
      </c>
      <c r="E1126" s="101">
        <f>'3.7.расчет фот мест 2023'!F21</f>
        <v>0</v>
      </c>
      <c r="F1126" s="102">
        <f>'3.7.расчет фот мест 2023'!R21</f>
        <v>0</v>
      </c>
      <c r="G1126" s="102">
        <f>'3.7.расчет фот мест 2024'!S21</f>
        <v>0</v>
      </c>
      <c r="H1126" s="102">
        <f>'3.7.расчет фот мест 2025'!T21</f>
        <v>0</v>
      </c>
      <c r="I1126" s="1318" t="s">
        <v>882</v>
      </c>
      <c r="J1126" s="1319"/>
      <c r="K1126" s="160"/>
    </row>
    <row r="1127" spans="1:11" ht="38.25" customHeight="1" x14ac:dyDescent="0.25">
      <c r="A1127" s="12" t="s">
        <v>626</v>
      </c>
      <c r="B1127" s="174" t="s">
        <v>606</v>
      </c>
      <c r="C1127" s="5"/>
      <c r="D1127" s="4" t="s">
        <v>285</v>
      </c>
      <c r="E1127" s="101">
        <f>'3.7.расчет фот мест 2023'!F22</f>
        <v>0</v>
      </c>
      <c r="F1127" s="102">
        <f>'3.7.расчет фот мест 2023'!R22</f>
        <v>0</v>
      </c>
      <c r="G1127" s="102">
        <f>'3.7.расчет фот мест 2024'!S22</f>
        <v>0</v>
      </c>
      <c r="H1127" s="102">
        <f>'3.7.расчет фот мест 2025'!T22</f>
        <v>0</v>
      </c>
      <c r="I1127" s="1318" t="s">
        <v>882</v>
      </c>
      <c r="J1127" s="1319"/>
      <c r="K1127" s="160"/>
    </row>
    <row r="1128" spans="1:11" ht="39" customHeight="1" x14ac:dyDescent="0.25">
      <c r="A1128" s="12" t="s">
        <v>627</v>
      </c>
      <c r="B1128" s="174" t="s">
        <v>607</v>
      </c>
      <c r="C1128" s="5"/>
      <c r="D1128" s="4" t="s">
        <v>285</v>
      </c>
      <c r="E1128" s="101">
        <f>'3.7.расчет фот мест 2023'!F23</f>
        <v>2.96</v>
      </c>
      <c r="F1128" s="102">
        <f>'3.7.расчет фот мест 2023'!R23</f>
        <v>3368.48</v>
      </c>
      <c r="G1128" s="102">
        <f>'3.7.расчет фот мест 2024'!S23</f>
        <v>3498.72</v>
      </c>
      <c r="H1128" s="102">
        <f>'3.7.расчет фот мест 2025'!T23</f>
        <v>3593.44</v>
      </c>
      <c r="I1128" s="1318" t="s">
        <v>882</v>
      </c>
      <c r="J1128" s="1319"/>
      <c r="K1128" s="160"/>
    </row>
    <row r="1129" spans="1:11" ht="38.25" customHeight="1" x14ac:dyDescent="0.25">
      <c r="A1129" s="174" t="s">
        <v>608</v>
      </c>
      <c r="B1129" s="174" t="s">
        <v>979</v>
      </c>
      <c r="C1129" s="5"/>
      <c r="D1129" s="4" t="s">
        <v>285</v>
      </c>
      <c r="E1129" s="101">
        <f>'3.7.расчет фот мест 2023'!F24</f>
        <v>2.96</v>
      </c>
      <c r="F1129" s="102">
        <f>'3.7.расчет фот мест 2023'!R24</f>
        <v>3368.48</v>
      </c>
      <c r="G1129" s="102">
        <f>'3.7.расчет фот мест 2024'!S24</f>
        <v>3498.72</v>
      </c>
      <c r="H1129" s="102">
        <f>'3.7.расчет фот мест 2025'!T24</f>
        <v>3593.44</v>
      </c>
      <c r="I1129" s="1318" t="s">
        <v>882</v>
      </c>
      <c r="J1129" s="1319"/>
      <c r="K1129" s="160"/>
    </row>
    <row r="1130" spans="1:11" ht="38.25" hidden="1" customHeight="1" x14ac:dyDescent="0.25">
      <c r="A1130" s="174" t="s">
        <v>611</v>
      </c>
      <c r="B1130" s="174" t="s">
        <v>2233</v>
      </c>
      <c r="C1130" s="5"/>
      <c r="D1130" s="4" t="s">
        <v>285</v>
      </c>
      <c r="E1130" s="101">
        <f>'3.7.расчет фот мест 2023'!F25</f>
        <v>0</v>
      </c>
      <c r="F1130" s="102">
        <f>'3.7.расчет фот мест 2023'!R25</f>
        <v>0</v>
      </c>
      <c r="G1130" s="102">
        <f>'3.7.расчет фот мест 2024'!S25</f>
        <v>0</v>
      </c>
      <c r="H1130" s="102">
        <f>'3.7.расчет фот мест 2025'!T25</f>
        <v>0</v>
      </c>
      <c r="I1130" s="1318" t="s">
        <v>882</v>
      </c>
      <c r="J1130" s="1319"/>
      <c r="K1130" s="160"/>
    </row>
    <row r="1131" spans="1:11" ht="36" x14ac:dyDescent="0.25">
      <c r="A1131" s="347" t="s">
        <v>620</v>
      </c>
      <c r="B1131" s="106"/>
      <c r="C1131" s="113"/>
      <c r="D1131" s="114"/>
      <c r="E1131" s="114"/>
      <c r="F1131" s="118"/>
      <c r="G1131" s="118"/>
      <c r="H1131" s="118"/>
      <c r="I1131" s="119"/>
      <c r="J1131" s="120"/>
      <c r="K1131" s="173"/>
    </row>
    <row r="1132" spans="1:11" ht="36.75" customHeight="1" x14ac:dyDescent="0.25">
      <c r="A1132" s="12" t="s">
        <v>609</v>
      </c>
      <c r="B1132" s="174" t="s">
        <v>621</v>
      </c>
      <c r="C1132" s="5"/>
      <c r="D1132" s="4" t="s">
        <v>285</v>
      </c>
      <c r="E1132" s="101">
        <f>'3.7.расчет фот мест 2023'!F27</f>
        <v>2.96</v>
      </c>
      <c r="F1132" s="102">
        <f>'3.7.расчет фот мест 2023'!R27</f>
        <v>3368.48</v>
      </c>
      <c r="G1132" s="102">
        <f>'3.7.расчет фот мест 2024'!S27</f>
        <v>3498.72</v>
      </c>
      <c r="H1132" s="102">
        <f>'3.7.расчет фот мест 2025'!T27</f>
        <v>3593.44</v>
      </c>
      <c r="I1132" s="1318" t="s">
        <v>882</v>
      </c>
      <c r="J1132" s="1319"/>
      <c r="K1132" s="160"/>
    </row>
    <row r="1133" spans="1:11" ht="39" hidden="1" customHeight="1" x14ac:dyDescent="0.25">
      <c r="A1133" s="92" t="s">
        <v>610</v>
      </c>
      <c r="B1133" s="174"/>
      <c r="C1133" s="5"/>
      <c r="D1133" s="4" t="s">
        <v>285</v>
      </c>
      <c r="E1133" s="101">
        <f>'3.7.расчет фот мест 2023'!F28</f>
        <v>0</v>
      </c>
      <c r="F1133" s="102">
        <f>'3.7.расчет фот мест 2023'!R28</f>
        <v>0</v>
      </c>
      <c r="G1133" s="102">
        <f>'3.7.расчет фот мест 2024'!S28</f>
        <v>0</v>
      </c>
      <c r="H1133" s="102">
        <f>'3.7.расчет фот мест 2025'!T28</f>
        <v>0</v>
      </c>
      <c r="I1133" s="1318" t="s">
        <v>882</v>
      </c>
      <c r="J1133" s="1319"/>
      <c r="K1133" s="160"/>
    </row>
    <row r="1134" spans="1:11" ht="39" hidden="1" customHeight="1" x14ac:dyDescent="0.25">
      <c r="A1134" s="92" t="s">
        <v>625</v>
      </c>
      <c r="B1134" s="174"/>
      <c r="C1134" s="5"/>
      <c r="D1134" s="4" t="s">
        <v>285</v>
      </c>
      <c r="E1134" s="101">
        <f>'3.7.расчет фот мест 2023'!F29</f>
        <v>0</v>
      </c>
      <c r="F1134" s="102">
        <f>'3.7.расчет фот мест 2023'!R29</f>
        <v>0</v>
      </c>
      <c r="G1134" s="102">
        <f>'3.7.расчет фот мест 2024'!S29</f>
        <v>0</v>
      </c>
      <c r="H1134" s="102">
        <f>'3.7.расчет фот мест 2025'!T29</f>
        <v>0</v>
      </c>
      <c r="I1134" s="1318" t="s">
        <v>882</v>
      </c>
      <c r="J1134" s="1319"/>
      <c r="K1134" s="160"/>
    </row>
    <row r="1135" spans="1:11" ht="39" hidden="1" customHeight="1" x14ac:dyDescent="0.25">
      <c r="A1135" s="92" t="s">
        <v>639</v>
      </c>
      <c r="B1135" s="174"/>
      <c r="C1135" s="5"/>
      <c r="D1135" s="4" t="s">
        <v>285</v>
      </c>
      <c r="E1135" s="101">
        <f>'3.7.расчет фот мест 2023'!F30</f>
        <v>0</v>
      </c>
      <c r="F1135" s="102">
        <f>'3.7.расчет фот мест 2023'!R30</f>
        <v>0</v>
      </c>
      <c r="G1135" s="102">
        <f>'3.7.расчет фот мест 2024'!S30</f>
        <v>0</v>
      </c>
      <c r="H1135" s="102">
        <f>'3.7.расчет фот мест 2025'!T30</f>
        <v>0</v>
      </c>
      <c r="I1135" s="1318" t="s">
        <v>882</v>
      </c>
      <c r="J1135" s="1319"/>
      <c r="K1135" s="160"/>
    </row>
    <row r="1136" spans="1:11" ht="38.25" customHeight="1" x14ac:dyDescent="0.25">
      <c r="A1136" s="12" t="s">
        <v>626</v>
      </c>
      <c r="B1136" s="174" t="s">
        <v>980</v>
      </c>
      <c r="C1136" s="5"/>
      <c r="D1136" s="4" t="s">
        <v>285</v>
      </c>
      <c r="E1136" s="101">
        <f>'3.7.расчет фот мест 2023'!F31</f>
        <v>0</v>
      </c>
      <c r="F1136" s="102">
        <f>'3.7.расчет фот мест 2023'!R31</f>
        <v>0</v>
      </c>
      <c r="G1136" s="102">
        <f>'3.7.расчет фот мест 2024'!S31</f>
        <v>0</v>
      </c>
      <c r="H1136" s="102">
        <f>'3.7.расчет фот мест 2025'!T31</f>
        <v>0</v>
      </c>
      <c r="I1136" s="1318" t="s">
        <v>882</v>
      </c>
      <c r="J1136" s="1319"/>
      <c r="K1136" s="160"/>
    </row>
    <row r="1137" spans="1:11" ht="39" customHeight="1" x14ac:dyDescent="0.25">
      <c r="A1137" s="12" t="s">
        <v>627</v>
      </c>
      <c r="B1137" s="174" t="s">
        <v>622</v>
      </c>
      <c r="C1137" s="5"/>
      <c r="D1137" s="4" t="s">
        <v>285</v>
      </c>
      <c r="E1137" s="101">
        <f>'3.7.расчет фот мест 2023'!F32</f>
        <v>2.96</v>
      </c>
      <c r="F1137" s="102">
        <f>'3.7.расчет фот мест 2023'!R32</f>
        <v>3368.48</v>
      </c>
      <c r="G1137" s="102">
        <f>'3.7.расчет фот мест 2024'!S32</f>
        <v>3498.72</v>
      </c>
      <c r="H1137" s="102">
        <f>'3.7.расчет фот мест 2025'!T32</f>
        <v>3593.44</v>
      </c>
      <c r="I1137" s="1318" t="s">
        <v>882</v>
      </c>
      <c r="J1137" s="1319"/>
      <c r="K1137" s="160"/>
    </row>
    <row r="1138" spans="1:11" ht="38.25" customHeight="1" x14ac:dyDescent="0.25">
      <c r="A1138" s="174" t="s">
        <v>608</v>
      </c>
      <c r="B1138" s="174" t="s">
        <v>623</v>
      </c>
      <c r="C1138" s="5"/>
      <c r="D1138" s="4" t="s">
        <v>285</v>
      </c>
      <c r="E1138" s="101">
        <f>'3.7.расчет фот мест 2023'!F33</f>
        <v>2.96</v>
      </c>
      <c r="F1138" s="102">
        <f>'3.7.расчет фот мест 2023'!R33</f>
        <v>3368.48</v>
      </c>
      <c r="G1138" s="102">
        <f>'3.7.расчет фот мест 2024'!S33</f>
        <v>3498.72</v>
      </c>
      <c r="H1138" s="102">
        <f>'3.7.расчет фот мест 2025'!T33</f>
        <v>3593.44</v>
      </c>
      <c r="I1138" s="1318" t="s">
        <v>882</v>
      </c>
      <c r="J1138" s="1319"/>
      <c r="K1138" s="160"/>
    </row>
    <row r="1139" spans="1:11" ht="38.25" hidden="1" customHeight="1" x14ac:dyDescent="0.25">
      <c r="A1139" s="92" t="s">
        <v>611</v>
      </c>
      <c r="B1139" s="174"/>
      <c r="C1139" s="5"/>
      <c r="D1139" s="4" t="s">
        <v>285</v>
      </c>
      <c r="E1139" s="101">
        <f>'3.7.расчет фот мест 2023'!F34</f>
        <v>0</v>
      </c>
      <c r="F1139" s="102">
        <f>'3.7.расчет фот мест 2023'!R34</f>
        <v>0</v>
      </c>
      <c r="G1139" s="102">
        <f>'3.7.расчет фот мест 2024'!S34</f>
        <v>0</v>
      </c>
      <c r="H1139" s="102">
        <f>'3.7.расчет фот мест 2025'!T34</f>
        <v>0</v>
      </c>
      <c r="I1139" s="1318" t="s">
        <v>882</v>
      </c>
      <c r="J1139" s="1319"/>
      <c r="K1139" s="160"/>
    </row>
    <row r="1140" spans="1:11" ht="26.25" hidden="1" customHeight="1" x14ac:dyDescent="0.25">
      <c r="A1140" s="347" t="s">
        <v>601</v>
      </c>
      <c r="B1140" s="106"/>
      <c r="C1140" s="113"/>
      <c r="D1140" s="114"/>
      <c r="E1140" s="121"/>
      <c r="F1140" s="118"/>
      <c r="G1140" s="118"/>
      <c r="H1140" s="118"/>
      <c r="I1140" s="119"/>
      <c r="J1140" s="120"/>
      <c r="K1140" s="173"/>
    </row>
    <row r="1141" spans="1:11" hidden="1" x14ac:dyDescent="0.25">
      <c r="A1141" s="12" t="s">
        <v>456</v>
      </c>
      <c r="B1141" s="174" t="s">
        <v>648</v>
      </c>
      <c r="C1141" s="5"/>
      <c r="D1141" s="12" t="s">
        <v>881</v>
      </c>
      <c r="E1141" s="13" t="s">
        <v>442</v>
      </c>
      <c r="F1141" s="102">
        <v>0</v>
      </c>
      <c r="G1141" s="102">
        <v>0</v>
      </c>
      <c r="H1141" s="102">
        <v>0</v>
      </c>
      <c r="I1141" s="342"/>
      <c r="J1141" s="343"/>
      <c r="K1141" s="160"/>
    </row>
    <row r="1142" spans="1:11" hidden="1" x14ac:dyDescent="0.25">
      <c r="A1142" s="12" t="s">
        <v>457</v>
      </c>
      <c r="B1142" s="174" t="s">
        <v>649</v>
      </c>
      <c r="C1142" s="5"/>
      <c r="D1142" s="12" t="s">
        <v>881</v>
      </c>
      <c r="E1142" s="13" t="s">
        <v>442</v>
      </c>
      <c r="F1142" s="102">
        <v>0</v>
      </c>
      <c r="G1142" s="102">
        <v>0</v>
      </c>
      <c r="H1142" s="102">
        <v>0</v>
      </c>
      <c r="I1142" s="342"/>
      <c r="J1142" s="343"/>
      <c r="K1142" s="160"/>
    </row>
    <row r="1143" spans="1:11" hidden="1" x14ac:dyDescent="0.25">
      <c r="A1143" s="12" t="s">
        <v>471</v>
      </c>
      <c r="B1143" s="174" t="s">
        <v>650</v>
      </c>
      <c r="C1143" s="5"/>
      <c r="D1143" s="12" t="s">
        <v>881</v>
      </c>
      <c r="E1143" s="13" t="s">
        <v>442</v>
      </c>
      <c r="F1143" s="102">
        <v>0</v>
      </c>
      <c r="G1143" s="102">
        <v>0</v>
      </c>
      <c r="H1143" s="102">
        <v>0</v>
      </c>
      <c r="I1143" s="342"/>
      <c r="J1143" s="343"/>
      <c r="K1143" s="160"/>
    </row>
    <row r="1144" spans="1:11" hidden="1" x14ac:dyDescent="0.25">
      <c r="A1144" s="12" t="s">
        <v>458</v>
      </c>
      <c r="B1144" s="174" t="s">
        <v>651</v>
      </c>
      <c r="C1144" s="5"/>
      <c r="D1144" s="12" t="s">
        <v>881</v>
      </c>
      <c r="E1144" s="13" t="s">
        <v>442</v>
      </c>
      <c r="F1144" s="102">
        <v>0</v>
      </c>
      <c r="G1144" s="102">
        <v>0</v>
      </c>
      <c r="H1144" s="102">
        <v>0</v>
      </c>
      <c r="I1144" s="342"/>
      <c r="J1144" s="343"/>
      <c r="K1144" s="160"/>
    </row>
    <row r="1145" spans="1:11" hidden="1" x14ac:dyDescent="0.25">
      <c r="A1145" s="12" t="s">
        <v>459</v>
      </c>
      <c r="B1145" s="174" t="s">
        <v>652</v>
      </c>
      <c r="C1145" s="5"/>
      <c r="D1145" s="12" t="s">
        <v>881</v>
      </c>
      <c r="E1145" s="13" t="s">
        <v>442</v>
      </c>
      <c r="F1145" s="102">
        <v>0</v>
      </c>
      <c r="G1145" s="102">
        <v>0</v>
      </c>
      <c r="H1145" s="102">
        <v>0</v>
      </c>
      <c r="I1145" s="342"/>
      <c r="J1145" s="343"/>
      <c r="K1145" s="160"/>
    </row>
    <row r="1146" spans="1:11" ht="24" hidden="1" x14ac:dyDescent="0.25">
      <c r="A1146" s="12" t="s">
        <v>460</v>
      </c>
      <c r="B1146" s="174" t="s">
        <v>653</v>
      </c>
      <c r="C1146" s="5"/>
      <c r="D1146" s="12" t="s">
        <v>881</v>
      </c>
      <c r="E1146" s="13" t="s">
        <v>442</v>
      </c>
      <c r="F1146" s="102">
        <v>0</v>
      </c>
      <c r="G1146" s="102">
        <v>0</v>
      </c>
      <c r="H1146" s="102">
        <v>0</v>
      </c>
      <c r="I1146" s="342"/>
      <c r="J1146" s="343"/>
      <c r="K1146" s="160"/>
    </row>
    <row r="1147" spans="1:11" ht="15" customHeight="1" x14ac:dyDescent="0.25">
      <c r="A1147" s="103"/>
      <c r="B1147" s="106"/>
      <c r="C1147" s="113" t="s">
        <v>24</v>
      </c>
      <c r="D1147" s="114" t="s">
        <v>25</v>
      </c>
      <c r="E1147" s="114"/>
      <c r="F1147" s="118"/>
      <c r="G1147" s="118"/>
      <c r="H1147" s="118"/>
      <c r="I1147" s="119"/>
      <c r="J1147" s="120"/>
      <c r="K1147" s="173"/>
    </row>
    <row r="1148" spans="1:11" ht="36" x14ac:dyDescent="0.25">
      <c r="A1148" s="347" t="s">
        <v>426</v>
      </c>
      <c r="B1148" s="106"/>
      <c r="C1148" s="113"/>
      <c r="D1148" s="114"/>
      <c r="E1148" s="121"/>
      <c r="F1148" s="118"/>
      <c r="G1148" s="118"/>
      <c r="H1148" s="118"/>
      <c r="I1148" s="119"/>
      <c r="J1148" s="120"/>
      <c r="K1148" s="173"/>
    </row>
    <row r="1149" spans="1:11" ht="26.25" customHeight="1" x14ac:dyDescent="0.25">
      <c r="A1149" s="174" t="s">
        <v>421</v>
      </c>
      <c r="B1149" s="174" t="s">
        <v>427</v>
      </c>
      <c r="C1149" s="5"/>
      <c r="D1149" s="4" t="s">
        <v>261</v>
      </c>
      <c r="E1149" s="1315" t="s">
        <v>260</v>
      </c>
      <c r="F1149" s="102">
        <f>'3.3.расчет прочих дс'!O282</f>
        <v>1265</v>
      </c>
      <c r="G1149" s="326">
        <f>F1149</f>
        <v>1265</v>
      </c>
      <c r="H1149" s="326">
        <f>F1149</f>
        <v>1265</v>
      </c>
      <c r="I1149" s="1318" t="s">
        <v>883</v>
      </c>
      <c r="J1149" s="1319"/>
      <c r="K1149" s="160"/>
    </row>
    <row r="1150" spans="1:11" ht="27" customHeight="1" x14ac:dyDescent="0.25">
      <c r="A1150" s="174" t="s">
        <v>413</v>
      </c>
      <c r="B1150" s="174" t="s">
        <v>430</v>
      </c>
      <c r="C1150" s="5"/>
      <c r="D1150" s="4" t="s">
        <v>261</v>
      </c>
      <c r="E1150" s="1316"/>
      <c r="F1150" s="102">
        <f>'3.3.расчет прочих дс'!O283</f>
        <v>1265</v>
      </c>
      <c r="G1150" s="326">
        <f t="shared" ref="G1150:G1162" si="100">F1150</f>
        <v>1265</v>
      </c>
      <c r="H1150" s="326">
        <f t="shared" ref="H1150:H1162" si="101">F1150</f>
        <v>1265</v>
      </c>
      <c r="I1150" s="1318" t="s">
        <v>883</v>
      </c>
      <c r="J1150" s="1319"/>
      <c r="K1150" s="160"/>
    </row>
    <row r="1151" spans="1:11" ht="24.75" customHeight="1" x14ac:dyDescent="0.25">
      <c r="A1151" s="174" t="s">
        <v>700</v>
      </c>
      <c r="B1151" s="174" t="s">
        <v>427</v>
      </c>
      <c r="C1151" s="5"/>
      <c r="D1151" s="4" t="s">
        <v>261</v>
      </c>
      <c r="E1151" s="1316"/>
      <c r="F1151" s="102">
        <f>'3.3.расчет прочих дс'!O284</f>
        <v>1265</v>
      </c>
      <c r="G1151" s="326">
        <f t="shared" si="100"/>
        <v>1265</v>
      </c>
      <c r="H1151" s="326">
        <f t="shared" si="101"/>
        <v>1265</v>
      </c>
      <c r="I1151" s="1318" t="s">
        <v>883</v>
      </c>
      <c r="J1151" s="1319"/>
      <c r="K1151" s="160"/>
    </row>
    <row r="1152" spans="1:11" ht="27.75" customHeight="1" x14ac:dyDescent="0.25">
      <c r="A1152" s="174" t="s">
        <v>414</v>
      </c>
      <c r="B1152" s="174" t="s">
        <v>430</v>
      </c>
      <c r="C1152" s="5"/>
      <c r="D1152" s="4" t="s">
        <v>261</v>
      </c>
      <c r="E1152" s="1316"/>
      <c r="F1152" s="102">
        <f>'3.3.расчет прочих дс'!O285</f>
        <v>1265</v>
      </c>
      <c r="G1152" s="326">
        <f t="shared" si="100"/>
        <v>1265</v>
      </c>
      <c r="H1152" s="326">
        <f t="shared" si="101"/>
        <v>1265</v>
      </c>
      <c r="I1152" s="1318" t="s">
        <v>883</v>
      </c>
      <c r="J1152" s="1319"/>
      <c r="K1152" s="160"/>
    </row>
    <row r="1153" spans="1:11" ht="27" customHeight="1" x14ac:dyDescent="0.25">
      <c r="A1153" s="174" t="s">
        <v>415</v>
      </c>
      <c r="B1153" s="174" t="s">
        <v>430</v>
      </c>
      <c r="C1153" s="5"/>
      <c r="D1153" s="4" t="s">
        <v>261</v>
      </c>
      <c r="E1153" s="1316"/>
      <c r="F1153" s="102">
        <f>'3.3.расчет прочих дс'!O286</f>
        <v>1265</v>
      </c>
      <c r="G1153" s="326">
        <f t="shared" si="100"/>
        <v>1265</v>
      </c>
      <c r="H1153" s="326">
        <f t="shared" si="101"/>
        <v>1265</v>
      </c>
      <c r="I1153" s="1318" t="s">
        <v>883</v>
      </c>
      <c r="J1153" s="1319"/>
      <c r="K1153" s="160"/>
    </row>
    <row r="1154" spans="1:11" ht="24.75" customHeight="1" x14ac:dyDescent="0.25">
      <c r="A1154" s="92" t="s">
        <v>416</v>
      </c>
      <c r="B1154" s="174" t="s">
        <v>429</v>
      </c>
      <c r="C1154" s="5"/>
      <c r="D1154" s="4" t="s">
        <v>261</v>
      </c>
      <c r="E1154" s="1316"/>
      <c r="F1154" s="102">
        <f>'3.3.расчет прочих дс'!O287</f>
        <v>1265</v>
      </c>
      <c r="G1154" s="326">
        <f t="shared" si="100"/>
        <v>1265</v>
      </c>
      <c r="H1154" s="326">
        <f t="shared" si="101"/>
        <v>1265</v>
      </c>
      <c r="I1154" s="1318" t="s">
        <v>883</v>
      </c>
      <c r="J1154" s="1319"/>
      <c r="K1154" s="160"/>
    </row>
    <row r="1155" spans="1:11" ht="26.25" customHeight="1" x14ac:dyDescent="0.25">
      <c r="A1155" s="98" t="s">
        <v>417</v>
      </c>
      <c r="B1155" s="174" t="s">
        <v>429</v>
      </c>
      <c r="C1155" s="5"/>
      <c r="D1155" s="4" t="s">
        <v>261</v>
      </c>
      <c r="E1155" s="1316"/>
      <c r="F1155" s="102">
        <f>'3.3.расчет прочих дс'!O288</f>
        <v>1265</v>
      </c>
      <c r="G1155" s="326">
        <f t="shared" si="100"/>
        <v>1265</v>
      </c>
      <c r="H1155" s="326">
        <f t="shared" si="101"/>
        <v>1265</v>
      </c>
      <c r="I1155" s="1318" t="s">
        <v>883</v>
      </c>
      <c r="J1155" s="1319"/>
      <c r="K1155" s="160"/>
    </row>
    <row r="1156" spans="1:11" ht="26.25" customHeight="1" x14ac:dyDescent="0.25">
      <c r="A1156" s="98" t="s">
        <v>422</v>
      </c>
      <c r="B1156" s="174" t="s">
        <v>428</v>
      </c>
      <c r="C1156" s="5"/>
      <c r="D1156" s="4" t="s">
        <v>261</v>
      </c>
      <c r="E1156" s="1316"/>
      <c r="F1156" s="102">
        <f>'3.3.расчет прочих дс'!O289</f>
        <v>1265</v>
      </c>
      <c r="G1156" s="326">
        <f t="shared" si="100"/>
        <v>1265</v>
      </c>
      <c r="H1156" s="326">
        <f t="shared" si="101"/>
        <v>1265</v>
      </c>
      <c r="I1156" s="1318" t="s">
        <v>883</v>
      </c>
      <c r="J1156" s="1319"/>
      <c r="K1156" s="160"/>
    </row>
    <row r="1157" spans="1:11" ht="26.25" customHeight="1" x14ac:dyDescent="0.25">
      <c r="A1157" s="98" t="s">
        <v>418</v>
      </c>
      <c r="B1157" s="174" t="s">
        <v>429</v>
      </c>
      <c r="C1157" s="5"/>
      <c r="D1157" s="4" t="s">
        <v>261</v>
      </c>
      <c r="E1157" s="1316"/>
      <c r="F1157" s="102">
        <f>'3.3.расчет прочих дс'!O290</f>
        <v>1265</v>
      </c>
      <c r="G1157" s="326">
        <f t="shared" si="100"/>
        <v>1265</v>
      </c>
      <c r="H1157" s="326">
        <f t="shared" si="101"/>
        <v>1265</v>
      </c>
      <c r="I1157" s="1318" t="s">
        <v>883</v>
      </c>
      <c r="J1157" s="1319"/>
      <c r="K1157" s="160"/>
    </row>
    <row r="1158" spans="1:11" ht="26.25" customHeight="1" x14ac:dyDescent="0.25">
      <c r="A1158" s="92" t="s">
        <v>423</v>
      </c>
      <c r="B1158" s="174" t="s">
        <v>427</v>
      </c>
      <c r="C1158" s="5"/>
      <c r="D1158" s="4" t="s">
        <v>261</v>
      </c>
      <c r="E1158" s="1316"/>
      <c r="F1158" s="102">
        <f>'3.3.расчет прочих дс'!O291</f>
        <v>1265</v>
      </c>
      <c r="G1158" s="326">
        <f t="shared" si="100"/>
        <v>1265</v>
      </c>
      <c r="H1158" s="326">
        <f t="shared" si="101"/>
        <v>1265</v>
      </c>
      <c r="I1158" s="1318" t="s">
        <v>883</v>
      </c>
      <c r="J1158" s="1319"/>
      <c r="K1158" s="160"/>
    </row>
    <row r="1159" spans="1:11" ht="26.25" customHeight="1" x14ac:dyDescent="0.25">
      <c r="A1159" s="174" t="s">
        <v>419</v>
      </c>
      <c r="B1159" s="174" t="s">
        <v>430</v>
      </c>
      <c r="C1159" s="5"/>
      <c r="D1159" s="4" t="s">
        <v>261</v>
      </c>
      <c r="E1159" s="1316"/>
      <c r="F1159" s="102">
        <f>'3.3.расчет прочих дс'!O292</f>
        <v>1265</v>
      </c>
      <c r="G1159" s="326">
        <f t="shared" si="100"/>
        <v>1265</v>
      </c>
      <c r="H1159" s="326">
        <f t="shared" si="101"/>
        <v>1265</v>
      </c>
      <c r="I1159" s="1318" t="s">
        <v>883</v>
      </c>
      <c r="J1159" s="1319"/>
      <c r="K1159" s="160"/>
    </row>
    <row r="1160" spans="1:11" ht="26.25" customHeight="1" x14ac:dyDescent="0.25">
      <c r="A1160" s="92" t="s">
        <v>424</v>
      </c>
      <c r="B1160" s="174" t="s">
        <v>427</v>
      </c>
      <c r="C1160" s="5"/>
      <c r="D1160" s="4" t="s">
        <v>261</v>
      </c>
      <c r="E1160" s="1316"/>
      <c r="F1160" s="102">
        <f>'3.3.расчет прочих дс'!O293</f>
        <v>1265</v>
      </c>
      <c r="G1160" s="326">
        <f t="shared" si="100"/>
        <v>1265</v>
      </c>
      <c r="H1160" s="326">
        <f t="shared" si="101"/>
        <v>1265</v>
      </c>
      <c r="I1160" s="1318" t="s">
        <v>883</v>
      </c>
      <c r="J1160" s="1319"/>
      <c r="K1160" s="160"/>
    </row>
    <row r="1161" spans="1:11" ht="26.25" customHeight="1" x14ac:dyDescent="0.25">
      <c r="A1161" s="174" t="s">
        <v>420</v>
      </c>
      <c r="B1161" s="174" t="s">
        <v>430</v>
      </c>
      <c r="C1161" s="5"/>
      <c r="D1161" s="4" t="s">
        <v>261</v>
      </c>
      <c r="E1161" s="1316"/>
      <c r="F1161" s="102">
        <f>'3.3.расчет прочих дс'!O294</f>
        <v>1265</v>
      </c>
      <c r="G1161" s="326">
        <f t="shared" si="100"/>
        <v>1265</v>
      </c>
      <c r="H1161" s="326">
        <f t="shared" si="101"/>
        <v>1265</v>
      </c>
      <c r="I1161" s="1318" t="s">
        <v>883</v>
      </c>
      <c r="J1161" s="1319"/>
      <c r="K1161" s="160"/>
    </row>
    <row r="1162" spans="1:11" ht="26.25" hidden="1" customHeight="1" x14ac:dyDescent="0.25">
      <c r="A1162" s="340"/>
      <c r="B1162" s="174"/>
      <c r="C1162" s="5"/>
      <c r="D1162" s="4"/>
      <c r="E1162" s="1317"/>
      <c r="F1162" s="102">
        <f>'3.3.расчет прочих дс'!O295</f>
        <v>1265</v>
      </c>
      <c r="G1162" s="326">
        <f t="shared" si="100"/>
        <v>1265</v>
      </c>
      <c r="H1162" s="326">
        <f t="shared" si="101"/>
        <v>1265</v>
      </c>
      <c r="I1162" s="1318"/>
      <c r="J1162" s="1319"/>
      <c r="K1162" s="160"/>
    </row>
    <row r="1163" spans="1:11" ht="26.25" hidden="1" customHeight="1" x14ac:dyDescent="0.25">
      <c r="A1163" s="347" t="s">
        <v>431</v>
      </c>
      <c r="B1163" s="106"/>
      <c r="C1163" s="113"/>
      <c r="D1163" s="114"/>
      <c r="E1163" s="114"/>
      <c r="F1163" s="118"/>
      <c r="G1163" s="118"/>
      <c r="H1163" s="118"/>
      <c r="I1163" s="119"/>
      <c r="J1163" s="120"/>
      <c r="K1163" s="173"/>
    </row>
    <row r="1164" spans="1:11" ht="24" hidden="1" customHeight="1" x14ac:dyDescent="0.25">
      <c r="A1164" s="12" t="s">
        <v>702</v>
      </c>
      <c r="B1164" s="174" t="s">
        <v>432</v>
      </c>
      <c r="C1164" s="5"/>
      <c r="D1164" s="12" t="s">
        <v>881</v>
      </c>
      <c r="E1164" s="13" t="s">
        <v>442</v>
      </c>
      <c r="F1164" s="102">
        <v>0</v>
      </c>
      <c r="G1164" s="102">
        <v>0</v>
      </c>
      <c r="H1164" s="102">
        <v>0</v>
      </c>
      <c r="I1164" s="342"/>
      <c r="J1164" s="343"/>
      <c r="K1164" s="160"/>
    </row>
    <row r="1165" spans="1:11" ht="36" hidden="1" x14ac:dyDescent="0.25">
      <c r="A1165" s="12" t="s">
        <v>703</v>
      </c>
      <c r="B1165" s="174" t="s">
        <v>433</v>
      </c>
      <c r="C1165" s="5"/>
      <c r="D1165" s="12" t="s">
        <v>881</v>
      </c>
      <c r="E1165" s="13" t="s">
        <v>442</v>
      </c>
      <c r="F1165" s="102">
        <v>0</v>
      </c>
      <c r="G1165" s="102">
        <v>0</v>
      </c>
      <c r="H1165" s="102">
        <v>0</v>
      </c>
      <c r="I1165" s="342"/>
      <c r="J1165" s="343"/>
      <c r="K1165" s="160"/>
    </row>
    <row r="1166" spans="1:11" ht="24" hidden="1" x14ac:dyDescent="0.25">
      <c r="A1166" s="12" t="s">
        <v>704</v>
      </c>
      <c r="B1166" s="174" t="s">
        <v>434</v>
      </c>
      <c r="C1166" s="5"/>
      <c r="D1166" s="12" t="s">
        <v>881</v>
      </c>
      <c r="E1166" s="13" t="s">
        <v>442</v>
      </c>
      <c r="F1166" s="102">
        <v>0</v>
      </c>
      <c r="G1166" s="102">
        <v>0</v>
      </c>
      <c r="H1166" s="102">
        <v>0</v>
      </c>
      <c r="I1166" s="342"/>
      <c r="J1166" s="343"/>
      <c r="K1166" s="160"/>
    </row>
    <row r="1167" spans="1:11" s="435" customFormat="1" ht="48" hidden="1" x14ac:dyDescent="0.25">
      <c r="A1167" s="641" t="s">
        <v>1407</v>
      </c>
      <c r="B1167" s="174" t="s">
        <v>435</v>
      </c>
      <c r="C1167" s="5"/>
      <c r="D1167" s="12" t="s">
        <v>881</v>
      </c>
      <c r="E1167" s="13" t="s">
        <v>442</v>
      </c>
      <c r="F1167" s="102">
        <v>0</v>
      </c>
      <c r="G1167" s="102">
        <v>0</v>
      </c>
      <c r="H1167" s="102">
        <v>0</v>
      </c>
      <c r="I1167" s="437"/>
      <c r="J1167" s="438"/>
      <c r="K1167" s="160"/>
    </row>
    <row r="1168" spans="1:11" ht="36" hidden="1" x14ac:dyDescent="0.25">
      <c r="A1168" s="12" t="s">
        <v>948</v>
      </c>
      <c r="B1168" s="174" t="s">
        <v>435</v>
      </c>
      <c r="C1168" s="5"/>
      <c r="D1168" s="12" t="s">
        <v>881</v>
      </c>
      <c r="E1168" s="13" t="s">
        <v>442</v>
      </c>
      <c r="F1168" s="102">
        <v>0</v>
      </c>
      <c r="G1168" s="102">
        <v>0</v>
      </c>
      <c r="H1168" s="102">
        <v>0</v>
      </c>
      <c r="I1168" s="342"/>
      <c r="J1168" s="343"/>
      <c r="K1168" s="160"/>
    </row>
    <row r="1169" spans="1:11" ht="36" hidden="1" x14ac:dyDescent="0.25">
      <c r="A1169" s="12" t="s">
        <v>705</v>
      </c>
      <c r="B1169" s="174" t="s">
        <v>436</v>
      </c>
      <c r="C1169" s="5"/>
      <c r="D1169" s="12" t="s">
        <v>881</v>
      </c>
      <c r="E1169" s="13" t="s">
        <v>442</v>
      </c>
      <c r="F1169" s="102">
        <v>0</v>
      </c>
      <c r="G1169" s="102">
        <v>0</v>
      </c>
      <c r="H1169" s="102">
        <v>0</v>
      </c>
      <c r="I1169" s="342"/>
      <c r="J1169" s="343"/>
      <c r="K1169" s="160"/>
    </row>
    <row r="1170" spans="1:11" ht="36" hidden="1" x14ac:dyDescent="0.25">
      <c r="A1170" s="98" t="s">
        <v>706</v>
      </c>
      <c r="B1170" s="174" t="s">
        <v>437</v>
      </c>
      <c r="C1170" s="5"/>
      <c r="D1170" s="12" t="s">
        <v>881</v>
      </c>
      <c r="E1170" s="13" t="s">
        <v>442</v>
      </c>
      <c r="F1170" s="102">
        <v>0</v>
      </c>
      <c r="G1170" s="102">
        <v>0</v>
      </c>
      <c r="H1170" s="102">
        <v>0</v>
      </c>
      <c r="I1170" s="342"/>
      <c r="J1170" s="343"/>
      <c r="K1170" s="160"/>
    </row>
    <row r="1171" spans="1:11" ht="36" hidden="1" x14ac:dyDescent="0.25">
      <c r="A1171" s="98" t="s">
        <v>707</v>
      </c>
      <c r="B1171" s="174" t="s">
        <v>438</v>
      </c>
      <c r="C1171" s="5"/>
      <c r="D1171" s="12" t="s">
        <v>881</v>
      </c>
      <c r="E1171" s="13" t="s">
        <v>442</v>
      </c>
      <c r="F1171" s="102">
        <v>0</v>
      </c>
      <c r="G1171" s="102">
        <v>0</v>
      </c>
      <c r="H1171" s="102">
        <v>0</v>
      </c>
      <c r="I1171" s="342"/>
      <c r="J1171" s="343"/>
      <c r="K1171" s="160"/>
    </row>
    <row r="1172" spans="1:11" ht="24" hidden="1" x14ac:dyDescent="0.25">
      <c r="A1172" s="98" t="s">
        <v>708</v>
      </c>
      <c r="B1172" s="174" t="s">
        <v>439</v>
      </c>
      <c r="C1172" s="5"/>
      <c r="D1172" s="12" t="s">
        <v>881</v>
      </c>
      <c r="E1172" s="13" t="s">
        <v>442</v>
      </c>
      <c r="F1172" s="102">
        <v>0</v>
      </c>
      <c r="G1172" s="102">
        <v>0</v>
      </c>
      <c r="H1172" s="102">
        <v>0</v>
      </c>
      <c r="I1172" s="342"/>
      <c r="J1172" s="343"/>
      <c r="K1172" s="160"/>
    </row>
    <row r="1173" spans="1:11" s="435" customFormat="1" ht="48" hidden="1" x14ac:dyDescent="0.25">
      <c r="A1173" s="643" t="s">
        <v>1409</v>
      </c>
      <c r="B1173" s="174" t="s">
        <v>440</v>
      </c>
      <c r="C1173" s="5"/>
      <c r="D1173" s="12" t="s">
        <v>881</v>
      </c>
      <c r="E1173" s="13" t="s">
        <v>442</v>
      </c>
      <c r="F1173" s="102">
        <v>0</v>
      </c>
      <c r="G1173" s="102">
        <v>0</v>
      </c>
      <c r="H1173" s="102">
        <v>0</v>
      </c>
      <c r="I1173" s="437"/>
      <c r="J1173" s="438"/>
      <c r="K1173" s="160"/>
    </row>
    <row r="1174" spans="1:11" ht="36" hidden="1" x14ac:dyDescent="0.25">
      <c r="A1174" s="98" t="s">
        <v>949</v>
      </c>
      <c r="B1174" s="174" t="s">
        <v>440</v>
      </c>
      <c r="C1174" s="5"/>
      <c r="D1174" s="12" t="s">
        <v>881</v>
      </c>
      <c r="E1174" s="13" t="s">
        <v>442</v>
      </c>
      <c r="F1174" s="102">
        <v>0</v>
      </c>
      <c r="G1174" s="102">
        <v>0</v>
      </c>
      <c r="H1174" s="102">
        <v>0</v>
      </c>
      <c r="I1174" s="342"/>
      <c r="J1174" s="343"/>
      <c r="K1174" s="160"/>
    </row>
    <row r="1175" spans="1:11" ht="36" hidden="1" x14ac:dyDescent="0.25">
      <c r="A1175" s="98" t="s">
        <v>709</v>
      </c>
      <c r="B1175" s="174" t="s">
        <v>441</v>
      </c>
      <c r="C1175" s="5"/>
      <c r="D1175" s="12" t="s">
        <v>881</v>
      </c>
      <c r="E1175" s="13" t="s">
        <v>442</v>
      </c>
      <c r="F1175" s="102">
        <v>0</v>
      </c>
      <c r="G1175" s="102">
        <v>0</v>
      </c>
      <c r="H1175" s="102">
        <v>0</v>
      </c>
      <c r="I1175" s="342"/>
      <c r="J1175" s="343"/>
      <c r="K1175" s="160"/>
    </row>
    <row r="1176" spans="1:11" ht="36" x14ac:dyDescent="0.25">
      <c r="A1176" s="347" t="s">
        <v>624</v>
      </c>
      <c r="B1176" s="106"/>
      <c r="C1176" s="113"/>
      <c r="D1176" s="114"/>
      <c r="E1176" s="121"/>
      <c r="F1176" s="118"/>
      <c r="G1176" s="118"/>
      <c r="H1176" s="118"/>
      <c r="I1176" s="119"/>
      <c r="J1176" s="120"/>
      <c r="K1176" s="173"/>
    </row>
    <row r="1177" spans="1:11" ht="24" x14ac:dyDescent="0.25">
      <c r="A1177" s="12" t="s">
        <v>609</v>
      </c>
      <c r="B1177" s="174" t="s">
        <v>617</v>
      </c>
      <c r="C1177" s="5"/>
      <c r="D1177" s="4" t="s">
        <v>261</v>
      </c>
      <c r="E1177" s="1315" t="s">
        <v>260</v>
      </c>
      <c r="F1177" s="102">
        <f>'3.9.расчет прочих'!O264</f>
        <v>142</v>
      </c>
      <c r="G1177" s="102">
        <f>F1177</f>
        <v>142</v>
      </c>
      <c r="H1177" s="102">
        <f>F1177</f>
        <v>142</v>
      </c>
      <c r="I1177" s="1318" t="s">
        <v>957</v>
      </c>
      <c r="J1177" s="1319"/>
      <c r="K1177" s="160"/>
    </row>
    <row r="1178" spans="1:11" ht="72" hidden="1" x14ac:dyDescent="0.25">
      <c r="A1178" s="92" t="s">
        <v>610</v>
      </c>
      <c r="B1178" s="174"/>
      <c r="C1178" s="5"/>
      <c r="D1178" s="4" t="s">
        <v>261</v>
      </c>
      <c r="E1178" s="1316"/>
      <c r="F1178" s="102">
        <f>'3.9.расчет прочих'!O265</f>
        <v>142</v>
      </c>
      <c r="G1178" s="102">
        <f t="shared" ref="G1178:G1184" si="102">F1178</f>
        <v>142</v>
      </c>
      <c r="H1178" s="102">
        <f t="shared" ref="H1178:H1184" si="103">F1178</f>
        <v>142</v>
      </c>
      <c r="I1178" s="1318" t="s">
        <v>957</v>
      </c>
      <c r="J1178" s="1319"/>
      <c r="K1178" s="160"/>
    </row>
    <row r="1179" spans="1:11" ht="48" x14ac:dyDescent="0.25">
      <c r="A1179" s="12" t="s">
        <v>625</v>
      </c>
      <c r="B1179" s="174" t="s">
        <v>978</v>
      </c>
      <c r="C1179" s="5"/>
      <c r="D1179" s="4" t="s">
        <v>261</v>
      </c>
      <c r="E1179" s="1316"/>
      <c r="F1179" s="102">
        <f>'3.9.расчет прочих'!O266</f>
        <v>142</v>
      </c>
      <c r="G1179" s="102">
        <f t="shared" si="102"/>
        <v>142</v>
      </c>
      <c r="H1179" s="102">
        <f t="shared" si="103"/>
        <v>142</v>
      </c>
      <c r="I1179" s="1318" t="s">
        <v>957</v>
      </c>
      <c r="J1179" s="1319"/>
      <c r="K1179" s="160"/>
    </row>
    <row r="1180" spans="1:11" ht="24" x14ac:dyDescent="0.25">
      <c r="A1180" s="12" t="s">
        <v>626</v>
      </c>
      <c r="B1180" s="174" t="s">
        <v>618</v>
      </c>
      <c r="C1180" s="5"/>
      <c r="D1180" s="4" t="s">
        <v>261</v>
      </c>
      <c r="E1180" s="1316"/>
      <c r="F1180" s="102">
        <f>'3.9.расчет прочих'!O267</f>
        <v>142</v>
      </c>
      <c r="G1180" s="102">
        <f t="shared" si="102"/>
        <v>142</v>
      </c>
      <c r="H1180" s="102">
        <f t="shared" si="103"/>
        <v>142</v>
      </c>
      <c r="I1180" s="1318" t="s">
        <v>957</v>
      </c>
      <c r="J1180" s="1319"/>
      <c r="K1180" s="160"/>
    </row>
    <row r="1181" spans="1:11" ht="60" hidden="1" x14ac:dyDescent="0.25">
      <c r="A1181" s="92" t="s">
        <v>639</v>
      </c>
      <c r="B1181" s="174"/>
      <c r="C1181" s="5"/>
      <c r="D1181" s="4" t="s">
        <v>261</v>
      </c>
      <c r="E1181" s="1316"/>
      <c r="F1181" s="102">
        <f>'3.9.расчет прочих'!O268</f>
        <v>142</v>
      </c>
      <c r="G1181" s="102">
        <f t="shared" si="102"/>
        <v>142</v>
      </c>
      <c r="H1181" s="102">
        <f t="shared" si="103"/>
        <v>142</v>
      </c>
      <c r="I1181" s="1318" t="s">
        <v>957</v>
      </c>
      <c r="J1181" s="1319"/>
      <c r="K1181" s="160"/>
    </row>
    <row r="1182" spans="1:11" ht="36" x14ac:dyDescent="0.25">
      <c r="A1182" s="12" t="s">
        <v>627</v>
      </c>
      <c r="B1182" s="174" t="s">
        <v>619</v>
      </c>
      <c r="C1182" s="5"/>
      <c r="D1182" s="4" t="s">
        <v>261</v>
      </c>
      <c r="E1182" s="1316"/>
      <c r="F1182" s="102">
        <f>'3.9.расчет прочих'!O269</f>
        <v>142</v>
      </c>
      <c r="G1182" s="102">
        <f t="shared" si="102"/>
        <v>142</v>
      </c>
      <c r="H1182" s="102">
        <f t="shared" si="103"/>
        <v>142</v>
      </c>
      <c r="I1182" s="1318" t="s">
        <v>957</v>
      </c>
      <c r="J1182" s="1319"/>
      <c r="K1182" s="160"/>
    </row>
    <row r="1183" spans="1:11" ht="24" hidden="1" x14ac:dyDescent="0.25">
      <c r="A1183" s="92" t="s">
        <v>608</v>
      </c>
      <c r="B1183" s="174"/>
      <c r="C1183" s="5"/>
      <c r="D1183" s="4" t="s">
        <v>261</v>
      </c>
      <c r="E1183" s="1316"/>
      <c r="F1183" s="102">
        <f>'3.9.расчет прочих'!O270</f>
        <v>142</v>
      </c>
      <c r="G1183" s="102">
        <f t="shared" si="102"/>
        <v>142</v>
      </c>
      <c r="H1183" s="102">
        <f t="shared" si="103"/>
        <v>142</v>
      </c>
      <c r="I1183" s="1318" t="s">
        <v>957</v>
      </c>
      <c r="J1183" s="1319"/>
      <c r="K1183" s="160"/>
    </row>
    <row r="1184" spans="1:11" ht="24" hidden="1" x14ac:dyDescent="0.25">
      <c r="A1184" s="92" t="s">
        <v>611</v>
      </c>
      <c r="B1184" s="174"/>
      <c r="C1184" s="5"/>
      <c r="D1184" s="4" t="s">
        <v>261</v>
      </c>
      <c r="E1184" s="1317"/>
      <c r="F1184" s="102">
        <f>'3.9.расчет прочих'!O271</f>
        <v>142</v>
      </c>
      <c r="G1184" s="102">
        <f t="shared" si="102"/>
        <v>142</v>
      </c>
      <c r="H1184" s="102">
        <f t="shared" si="103"/>
        <v>142</v>
      </c>
      <c r="I1184" s="1318" t="s">
        <v>957</v>
      </c>
      <c r="J1184" s="1319"/>
      <c r="K1184" s="160"/>
    </row>
    <row r="1185" spans="1:11" ht="36" x14ac:dyDescent="0.25">
      <c r="A1185" s="347" t="s">
        <v>603</v>
      </c>
      <c r="B1185" s="106"/>
      <c r="C1185" s="113"/>
      <c r="D1185" s="114"/>
      <c r="E1185" s="121"/>
      <c r="F1185" s="118"/>
      <c r="G1185" s="118"/>
      <c r="H1185" s="118"/>
      <c r="I1185" s="119"/>
      <c r="J1185" s="120"/>
      <c r="K1185" s="173"/>
    </row>
    <row r="1186" spans="1:11" ht="24" x14ac:dyDescent="0.25">
      <c r="A1186" s="12" t="s">
        <v>609</v>
      </c>
      <c r="B1186" s="174" t="s">
        <v>604</v>
      </c>
      <c r="C1186" s="5"/>
      <c r="D1186" s="4" t="s">
        <v>261</v>
      </c>
      <c r="E1186" s="1315" t="s">
        <v>260</v>
      </c>
      <c r="F1186" s="102">
        <f>'3.9.расчет прочих'!O273</f>
        <v>142</v>
      </c>
      <c r="G1186" s="102">
        <f t="shared" ref="G1186:G1193" si="104">F1186</f>
        <v>142</v>
      </c>
      <c r="H1186" s="102">
        <f t="shared" ref="H1186:H1193" si="105">F1186</f>
        <v>142</v>
      </c>
      <c r="I1186" s="1318" t="s">
        <v>957</v>
      </c>
      <c r="J1186" s="1319"/>
      <c r="K1186" s="160"/>
    </row>
    <row r="1187" spans="1:11" ht="72" hidden="1" x14ac:dyDescent="0.25">
      <c r="A1187" s="92" t="s">
        <v>610</v>
      </c>
      <c r="B1187" s="174"/>
      <c r="C1187" s="5"/>
      <c r="D1187" s="4" t="s">
        <v>261</v>
      </c>
      <c r="E1187" s="1316"/>
      <c r="F1187" s="102">
        <f>'3.9.расчет прочих'!O274</f>
        <v>142</v>
      </c>
      <c r="G1187" s="102">
        <f t="shared" si="104"/>
        <v>142</v>
      </c>
      <c r="H1187" s="102">
        <f t="shared" si="105"/>
        <v>142</v>
      </c>
      <c r="I1187" s="1318" t="s">
        <v>957</v>
      </c>
      <c r="J1187" s="1319"/>
      <c r="K1187" s="160"/>
    </row>
    <row r="1188" spans="1:11" ht="48" x14ac:dyDescent="0.25">
      <c r="A1188" s="12" t="s">
        <v>625</v>
      </c>
      <c r="B1188" s="174" t="s">
        <v>605</v>
      </c>
      <c r="C1188" s="5"/>
      <c r="D1188" s="4" t="s">
        <v>261</v>
      </c>
      <c r="E1188" s="1316"/>
      <c r="F1188" s="102">
        <f>'3.9.расчет прочих'!O275</f>
        <v>142</v>
      </c>
      <c r="G1188" s="102">
        <f t="shared" si="104"/>
        <v>142</v>
      </c>
      <c r="H1188" s="102">
        <f t="shared" si="105"/>
        <v>142</v>
      </c>
      <c r="I1188" s="1318" t="s">
        <v>957</v>
      </c>
      <c r="J1188" s="1319"/>
      <c r="K1188" s="160"/>
    </row>
    <row r="1189" spans="1:11" ht="60" hidden="1" x14ac:dyDescent="0.25">
      <c r="A1189" s="92" t="s">
        <v>639</v>
      </c>
      <c r="B1189" s="174"/>
      <c r="C1189" s="5"/>
      <c r="D1189" s="4" t="s">
        <v>261</v>
      </c>
      <c r="E1189" s="1316"/>
      <c r="F1189" s="102">
        <f>'3.9.расчет прочих'!O276</f>
        <v>142</v>
      </c>
      <c r="G1189" s="102">
        <f t="shared" si="104"/>
        <v>142</v>
      </c>
      <c r="H1189" s="102">
        <f t="shared" si="105"/>
        <v>142</v>
      </c>
      <c r="I1189" s="1318" t="s">
        <v>957</v>
      </c>
      <c r="J1189" s="1319"/>
      <c r="K1189" s="160"/>
    </row>
    <row r="1190" spans="1:11" ht="24" x14ac:dyDescent="0.25">
      <c r="A1190" s="12" t="s">
        <v>626</v>
      </c>
      <c r="B1190" s="174" t="s">
        <v>606</v>
      </c>
      <c r="C1190" s="5"/>
      <c r="D1190" s="4" t="s">
        <v>261</v>
      </c>
      <c r="E1190" s="1316"/>
      <c r="F1190" s="102">
        <f>'3.9.расчет прочих'!O277</f>
        <v>142</v>
      </c>
      <c r="G1190" s="102">
        <f t="shared" si="104"/>
        <v>142</v>
      </c>
      <c r="H1190" s="102">
        <f t="shared" si="105"/>
        <v>142</v>
      </c>
      <c r="I1190" s="1318" t="s">
        <v>957</v>
      </c>
      <c r="J1190" s="1319"/>
      <c r="K1190" s="160"/>
    </row>
    <row r="1191" spans="1:11" ht="36" x14ac:dyDescent="0.25">
      <c r="A1191" s="12" t="s">
        <v>627</v>
      </c>
      <c r="B1191" s="174" t="s">
        <v>607</v>
      </c>
      <c r="C1191" s="5"/>
      <c r="D1191" s="4" t="s">
        <v>261</v>
      </c>
      <c r="E1191" s="1316"/>
      <c r="F1191" s="102">
        <f>'3.9.расчет прочих'!O278</f>
        <v>142</v>
      </c>
      <c r="G1191" s="102">
        <f t="shared" si="104"/>
        <v>142</v>
      </c>
      <c r="H1191" s="102">
        <f t="shared" si="105"/>
        <v>142</v>
      </c>
      <c r="I1191" s="1318" t="s">
        <v>957</v>
      </c>
      <c r="J1191" s="1319"/>
      <c r="K1191" s="160"/>
    </row>
    <row r="1192" spans="1:11" ht="24" x14ac:dyDescent="0.25">
      <c r="A1192" s="174" t="s">
        <v>608</v>
      </c>
      <c r="B1192" s="174" t="s">
        <v>979</v>
      </c>
      <c r="C1192" s="5"/>
      <c r="D1192" s="4" t="s">
        <v>261</v>
      </c>
      <c r="E1192" s="1316"/>
      <c r="F1192" s="102">
        <f>'3.9.расчет прочих'!O279</f>
        <v>142</v>
      </c>
      <c r="G1192" s="102">
        <f t="shared" si="104"/>
        <v>142</v>
      </c>
      <c r="H1192" s="102">
        <f t="shared" si="105"/>
        <v>142</v>
      </c>
      <c r="I1192" s="1318" t="s">
        <v>957</v>
      </c>
      <c r="J1192" s="1319"/>
      <c r="K1192" s="160"/>
    </row>
    <row r="1193" spans="1:11" ht="24" x14ac:dyDescent="0.25">
      <c r="A1193" s="174" t="s">
        <v>611</v>
      </c>
      <c r="B1193" s="174" t="s">
        <v>2233</v>
      </c>
      <c r="C1193" s="5"/>
      <c r="D1193" s="4" t="s">
        <v>261</v>
      </c>
      <c r="E1193" s="1317"/>
      <c r="F1193" s="102">
        <f>'3.9.расчет прочих'!O280</f>
        <v>142</v>
      </c>
      <c r="G1193" s="102">
        <f t="shared" si="104"/>
        <v>142</v>
      </c>
      <c r="H1193" s="102">
        <f t="shared" si="105"/>
        <v>142</v>
      </c>
      <c r="I1193" s="1318" t="s">
        <v>957</v>
      </c>
      <c r="J1193" s="1319"/>
      <c r="K1193" s="160"/>
    </row>
    <row r="1194" spans="1:11" ht="36" x14ac:dyDescent="0.25">
      <c r="A1194" s="347" t="s">
        <v>620</v>
      </c>
      <c r="B1194" s="106"/>
      <c r="C1194" s="113"/>
      <c r="D1194" s="114"/>
      <c r="E1194" s="121"/>
      <c r="F1194" s="118"/>
      <c r="G1194" s="118"/>
      <c r="H1194" s="118"/>
      <c r="I1194" s="119"/>
      <c r="J1194" s="120"/>
      <c r="K1194" s="173"/>
    </row>
    <row r="1195" spans="1:11" ht="24" x14ac:dyDescent="0.25">
      <c r="A1195" s="12" t="s">
        <v>609</v>
      </c>
      <c r="B1195" s="174" t="s">
        <v>621</v>
      </c>
      <c r="C1195" s="5"/>
      <c r="D1195" s="4" t="s">
        <v>261</v>
      </c>
      <c r="E1195" s="1315" t="s">
        <v>260</v>
      </c>
      <c r="F1195" s="102">
        <f>'3.9.расчет прочих'!O282</f>
        <v>142</v>
      </c>
      <c r="G1195" s="102">
        <f t="shared" ref="G1195:G1202" si="106">F1195</f>
        <v>142</v>
      </c>
      <c r="H1195" s="102">
        <f t="shared" ref="H1195:H1202" si="107">F1195</f>
        <v>142</v>
      </c>
      <c r="I1195" s="1318" t="s">
        <v>957</v>
      </c>
      <c r="J1195" s="1319"/>
      <c r="K1195" s="160"/>
    </row>
    <row r="1196" spans="1:11" ht="72" hidden="1" x14ac:dyDescent="0.25">
      <c r="A1196" s="92" t="s">
        <v>610</v>
      </c>
      <c r="B1196" s="174"/>
      <c r="C1196" s="5"/>
      <c r="D1196" s="4" t="s">
        <v>261</v>
      </c>
      <c r="E1196" s="1316"/>
      <c r="F1196" s="102">
        <f>'3.9.расчет прочих'!O283</f>
        <v>142</v>
      </c>
      <c r="G1196" s="102">
        <f t="shared" si="106"/>
        <v>142</v>
      </c>
      <c r="H1196" s="102">
        <f t="shared" si="107"/>
        <v>142</v>
      </c>
      <c r="I1196" s="1318" t="s">
        <v>957</v>
      </c>
      <c r="J1196" s="1319"/>
      <c r="K1196" s="160"/>
    </row>
    <row r="1197" spans="1:11" ht="48" hidden="1" x14ac:dyDescent="0.25">
      <c r="A1197" s="92" t="s">
        <v>625</v>
      </c>
      <c r="B1197" s="174"/>
      <c r="C1197" s="5"/>
      <c r="D1197" s="4" t="s">
        <v>261</v>
      </c>
      <c r="E1197" s="1316"/>
      <c r="F1197" s="102">
        <f>'3.9.расчет прочих'!O284</f>
        <v>142</v>
      </c>
      <c r="G1197" s="102">
        <f t="shared" si="106"/>
        <v>142</v>
      </c>
      <c r="H1197" s="102">
        <f t="shared" si="107"/>
        <v>142</v>
      </c>
      <c r="I1197" s="1318" t="s">
        <v>957</v>
      </c>
      <c r="J1197" s="1319"/>
      <c r="K1197" s="160"/>
    </row>
    <row r="1198" spans="1:11" ht="60" hidden="1" x14ac:dyDescent="0.25">
      <c r="A1198" s="92" t="s">
        <v>639</v>
      </c>
      <c r="B1198" s="174"/>
      <c r="C1198" s="5"/>
      <c r="D1198" s="4" t="s">
        <v>261</v>
      </c>
      <c r="E1198" s="1316"/>
      <c r="F1198" s="102">
        <f>'3.9.расчет прочих'!O285</f>
        <v>142</v>
      </c>
      <c r="G1198" s="102">
        <f t="shared" si="106"/>
        <v>142</v>
      </c>
      <c r="H1198" s="102">
        <f t="shared" si="107"/>
        <v>142</v>
      </c>
      <c r="I1198" s="1318" t="s">
        <v>957</v>
      </c>
      <c r="J1198" s="1319"/>
      <c r="K1198" s="160"/>
    </row>
    <row r="1199" spans="1:11" ht="24" x14ac:dyDescent="0.25">
      <c r="A1199" s="12" t="s">
        <v>626</v>
      </c>
      <c r="B1199" s="174" t="s">
        <v>980</v>
      </c>
      <c r="C1199" s="5"/>
      <c r="D1199" s="4" t="s">
        <v>261</v>
      </c>
      <c r="E1199" s="1316"/>
      <c r="F1199" s="102">
        <f>'3.9.расчет прочих'!O286</f>
        <v>142</v>
      </c>
      <c r="G1199" s="102">
        <f t="shared" si="106"/>
        <v>142</v>
      </c>
      <c r="H1199" s="102">
        <f t="shared" si="107"/>
        <v>142</v>
      </c>
      <c r="I1199" s="1318" t="s">
        <v>957</v>
      </c>
      <c r="J1199" s="1319"/>
      <c r="K1199" s="160"/>
    </row>
    <row r="1200" spans="1:11" ht="36" x14ac:dyDescent="0.25">
      <c r="A1200" s="12" t="s">
        <v>627</v>
      </c>
      <c r="B1200" s="174" t="s">
        <v>622</v>
      </c>
      <c r="C1200" s="5"/>
      <c r="D1200" s="4" t="s">
        <v>261</v>
      </c>
      <c r="E1200" s="1316"/>
      <c r="F1200" s="102">
        <f>'3.9.расчет прочих'!O287</f>
        <v>142</v>
      </c>
      <c r="G1200" s="102">
        <f t="shared" si="106"/>
        <v>142</v>
      </c>
      <c r="H1200" s="102">
        <f t="shared" si="107"/>
        <v>142</v>
      </c>
      <c r="I1200" s="1318" t="s">
        <v>957</v>
      </c>
      <c r="J1200" s="1319"/>
      <c r="K1200" s="160"/>
    </row>
    <row r="1201" spans="1:11" ht="24" x14ac:dyDescent="0.25">
      <c r="A1201" s="174" t="s">
        <v>608</v>
      </c>
      <c r="B1201" s="174" t="s">
        <v>623</v>
      </c>
      <c r="C1201" s="5"/>
      <c r="D1201" s="4" t="s">
        <v>261</v>
      </c>
      <c r="E1201" s="1316"/>
      <c r="F1201" s="102">
        <f>'3.9.расчет прочих'!O288</f>
        <v>142</v>
      </c>
      <c r="G1201" s="102">
        <f t="shared" si="106"/>
        <v>142</v>
      </c>
      <c r="H1201" s="102">
        <f t="shared" si="107"/>
        <v>142</v>
      </c>
      <c r="I1201" s="1318" t="s">
        <v>957</v>
      </c>
      <c r="J1201" s="1319"/>
      <c r="K1201" s="160"/>
    </row>
    <row r="1202" spans="1:11" ht="24" hidden="1" x14ac:dyDescent="0.25">
      <c r="A1202" s="92" t="s">
        <v>611</v>
      </c>
      <c r="B1202" s="174"/>
      <c r="C1202" s="5"/>
      <c r="D1202" s="4" t="s">
        <v>261</v>
      </c>
      <c r="E1202" s="1317"/>
      <c r="F1202" s="102">
        <f>'3.9.расчет прочих'!O289</f>
        <v>142</v>
      </c>
      <c r="G1202" s="102">
        <f t="shared" si="106"/>
        <v>142</v>
      </c>
      <c r="H1202" s="102">
        <f t="shared" si="107"/>
        <v>142</v>
      </c>
      <c r="I1202" s="1318" t="s">
        <v>957</v>
      </c>
      <c r="J1202" s="1319"/>
      <c r="K1202" s="160"/>
    </row>
    <row r="1203" spans="1:11" ht="26.25" hidden="1" customHeight="1" x14ac:dyDescent="0.25">
      <c r="A1203" s="347" t="s">
        <v>601</v>
      </c>
      <c r="B1203" s="106"/>
      <c r="C1203" s="113"/>
      <c r="D1203" s="114"/>
      <c r="E1203" s="114"/>
      <c r="F1203" s="118"/>
      <c r="G1203" s="118"/>
      <c r="H1203" s="118"/>
      <c r="I1203" s="119"/>
      <c r="J1203" s="120"/>
      <c r="K1203" s="173"/>
    </row>
    <row r="1204" spans="1:11" hidden="1" x14ac:dyDescent="0.25">
      <c r="A1204" s="12" t="s">
        <v>456</v>
      </c>
      <c r="B1204" s="174" t="s">
        <v>648</v>
      </c>
      <c r="C1204" s="5"/>
      <c r="D1204" s="12" t="s">
        <v>881</v>
      </c>
      <c r="E1204" s="13" t="s">
        <v>442</v>
      </c>
      <c r="F1204" s="102">
        <v>0</v>
      </c>
      <c r="G1204" s="102">
        <v>0</v>
      </c>
      <c r="H1204" s="102">
        <v>0</v>
      </c>
      <c r="I1204" s="342"/>
      <c r="J1204" s="343"/>
      <c r="K1204" s="160"/>
    </row>
    <row r="1205" spans="1:11" hidden="1" x14ac:dyDescent="0.25">
      <c r="A1205" s="12" t="s">
        <v>457</v>
      </c>
      <c r="B1205" s="174" t="s">
        <v>649</v>
      </c>
      <c r="C1205" s="5"/>
      <c r="D1205" s="12" t="s">
        <v>881</v>
      </c>
      <c r="E1205" s="13" t="s">
        <v>442</v>
      </c>
      <c r="F1205" s="102">
        <v>0</v>
      </c>
      <c r="G1205" s="102">
        <v>0</v>
      </c>
      <c r="H1205" s="102">
        <v>0</v>
      </c>
      <c r="I1205" s="342"/>
      <c r="J1205" s="343"/>
      <c r="K1205" s="160"/>
    </row>
    <row r="1206" spans="1:11" hidden="1" x14ac:dyDescent="0.25">
      <c r="A1206" s="12" t="s">
        <v>471</v>
      </c>
      <c r="B1206" s="174" t="s">
        <v>650</v>
      </c>
      <c r="C1206" s="5"/>
      <c r="D1206" s="12" t="s">
        <v>881</v>
      </c>
      <c r="E1206" s="13" t="s">
        <v>442</v>
      </c>
      <c r="F1206" s="102">
        <v>0</v>
      </c>
      <c r="G1206" s="102">
        <v>0</v>
      </c>
      <c r="H1206" s="102">
        <v>0</v>
      </c>
      <c r="I1206" s="342"/>
      <c r="J1206" s="343"/>
      <c r="K1206" s="160"/>
    </row>
    <row r="1207" spans="1:11" hidden="1" x14ac:dyDescent="0.25">
      <c r="A1207" s="12" t="s">
        <v>458</v>
      </c>
      <c r="B1207" s="174" t="s">
        <v>651</v>
      </c>
      <c r="C1207" s="5"/>
      <c r="D1207" s="12" t="s">
        <v>881</v>
      </c>
      <c r="E1207" s="13" t="s">
        <v>442</v>
      </c>
      <c r="F1207" s="102">
        <v>0</v>
      </c>
      <c r="G1207" s="102">
        <v>0</v>
      </c>
      <c r="H1207" s="102">
        <v>0</v>
      </c>
      <c r="I1207" s="342"/>
      <c r="J1207" s="343"/>
      <c r="K1207" s="160"/>
    </row>
    <row r="1208" spans="1:11" hidden="1" x14ac:dyDescent="0.25">
      <c r="A1208" s="12" t="s">
        <v>459</v>
      </c>
      <c r="B1208" s="174" t="s">
        <v>652</v>
      </c>
      <c r="C1208" s="5"/>
      <c r="D1208" s="12" t="s">
        <v>881</v>
      </c>
      <c r="E1208" s="13" t="s">
        <v>442</v>
      </c>
      <c r="F1208" s="102">
        <v>0</v>
      </c>
      <c r="G1208" s="102">
        <v>0</v>
      </c>
      <c r="H1208" s="102">
        <v>0</v>
      </c>
      <c r="I1208" s="342"/>
      <c r="J1208" s="343"/>
      <c r="K1208" s="160"/>
    </row>
    <row r="1209" spans="1:11" ht="24" hidden="1" x14ac:dyDescent="0.25">
      <c r="A1209" s="12" t="s">
        <v>460</v>
      </c>
      <c r="B1209" s="174" t="s">
        <v>653</v>
      </c>
      <c r="C1209" s="5"/>
      <c r="D1209" s="12" t="s">
        <v>881</v>
      </c>
      <c r="E1209" s="13" t="s">
        <v>442</v>
      </c>
      <c r="F1209" s="102">
        <v>0</v>
      </c>
      <c r="G1209" s="102">
        <v>0</v>
      </c>
      <c r="H1209" s="102">
        <v>0</v>
      </c>
      <c r="I1209" s="342"/>
      <c r="J1209" s="343"/>
      <c r="K1209" s="160"/>
    </row>
    <row r="1210" spans="1:11" x14ac:dyDescent="0.25">
      <c r="A1210" s="7"/>
      <c r="B1210" s="181"/>
      <c r="C1210" s="15" t="s">
        <v>446</v>
      </c>
      <c r="D1210" s="16" t="s">
        <v>35</v>
      </c>
      <c r="E1210" s="7"/>
      <c r="F1210" s="95"/>
      <c r="G1210" s="95"/>
      <c r="H1210" s="95"/>
      <c r="I1210" s="1345" t="s">
        <v>2235</v>
      </c>
      <c r="J1210" s="1346"/>
      <c r="K1210" s="161"/>
    </row>
    <row r="1211" spans="1:11" ht="36" x14ac:dyDescent="0.25">
      <c r="A1211" s="69" t="s">
        <v>426</v>
      </c>
      <c r="B1211" s="174"/>
      <c r="C1211" s="88" t="s">
        <v>4</v>
      </c>
      <c r="D1211" s="122"/>
      <c r="E1211" s="12"/>
      <c r="F1211" s="123"/>
      <c r="G1211" s="123"/>
      <c r="H1211" s="123"/>
      <c r="I1211" s="349"/>
      <c r="J1211" s="350"/>
      <c r="K1211" s="161"/>
    </row>
    <row r="1212" spans="1:11" ht="36" x14ac:dyDescent="0.25">
      <c r="A1212" s="181" t="s">
        <v>421</v>
      </c>
      <c r="B1212" s="181" t="s">
        <v>427</v>
      </c>
      <c r="C1212" s="15"/>
      <c r="D1212" s="16"/>
      <c r="E1212" s="16"/>
      <c r="F1212" s="124">
        <f t="shared" ref="F1212:H1225" si="108">F16+F331</f>
        <v>174613</v>
      </c>
      <c r="G1212" s="124">
        <f t="shared" si="108"/>
        <v>179885</v>
      </c>
      <c r="H1212" s="124">
        <f t="shared" si="108"/>
        <v>185196</v>
      </c>
      <c r="I1212" s="125"/>
      <c r="J1212" s="126"/>
      <c r="K1212" s="173"/>
    </row>
    <row r="1213" spans="1:11" ht="36" x14ac:dyDescent="0.25">
      <c r="A1213" s="181" t="s">
        <v>413</v>
      </c>
      <c r="B1213" s="181" t="s">
        <v>430</v>
      </c>
      <c r="C1213" s="15"/>
      <c r="D1213" s="16"/>
      <c r="E1213" s="16"/>
      <c r="F1213" s="124">
        <f t="shared" si="108"/>
        <v>141172</v>
      </c>
      <c r="G1213" s="124">
        <f t="shared" si="108"/>
        <v>145439</v>
      </c>
      <c r="H1213" s="124">
        <f t="shared" si="108"/>
        <v>149653</v>
      </c>
      <c r="I1213" s="125"/>
      <c r="J1213" s="126"/>
      <c r="K1213" s="173"/>
    </row>
    <row r="1214" spans="1:11" ht="48" x14ac:dyDescent="0.25">
      <c r="A1214" s="181" t="s">
        <v>700</v>
      </c>
      <c r="B1214" s="181" t="s">
        <v>427</v>
      </c>
      <c r="C1214" s="15"/>
      <c r="D1214" s="16"/>
      <c r="E1214" s="16"/>
      <c r="F1214" s="124">
        <f t="shared" si="108"/>
        <v>141172</v>
      </c>
      <c r="G1214" s="124">
        <f t="shared" si="108"/>
        <v>145439</v>
      </c>
      <c r="H1214" s="124">
        <f t="shared" si="108"/>
        <v>149653</v>
      </c>
      <c r="I1214" s="125"/>
      <c r="J1214" s="126"/>
      <c r="K1214" s="173"/>
    </row>
    <row r="1215" spans="1:11" ht="48" x14ac:dyDescent="0.25">
      <c r="A1215" s="181" t="s">
        <v>414</v>
      </c>
      <c r="B1215" s="181" t="s">
        <v>430</v>
      </c>
      <c r="C1215" s="15"/>
      <c r="D1215" s="16"/>
      <c r="E1215" s="16"/>
      <c r="F1215" s="124">
        <f t="shared" si="108"/>
        <v>141172</v>
      </c>
      <c r="G1215" s="124">
        <f t="shared" si="108"/>
        <v>145439</v>
      </c>
      <c r="H1215" s="124">
        <f t="shared" si="108"/>
        <v>149653</v>
      </c>
      <c r="I1215" s="125"/>
      <c r="J1215" s="126"/>
      <c r="K1215" s="173"/>
    </row>
    <row r="1216" spans="1:11" ht="48" x14ac:dyDescent="0.25">
      <c r="A1216" s="181" t="s">
        <v>415</v>
      </c>
      <c r="B1216" s="181" t="s">
        <v>430</v>
      </c>
      <c r="C1216" s="15"/>
      <c r="D1216" s="16"/>
      <c r="E1216" s="16"/>
      <c r="F1216" s="124">
        <f t="shared" si="108"/>
        <v>141172</v>
      </c>
      <c r="G1216" s="124">
        <f t="shared" si="108"/>
        <v>145439</v>
      </c>
      <c r="H1216" s="124">
        <f t="shared" si="108"/>
        <v>149653</v>
      </c>
      <c r="I1216" s="125"/>
      <c r="J1216" s="126"/>
      <c r="K1216" s="173"/>
    </row>
    <row r="1217" spans="1:11" ht="48" x14ac:dyDescent="0.25">
      <c r="A1217" s="94" t="s">
        <v>416</v>
      </c>
      <c r="B1217" s="181" t="s">
        <v>429</v>
      </c>
      <c r="C1217" s="15"/>
      <c r="D1217" s="16"/>
      <c r="E1217" s="16"/>
      <c r="F1217" s="124">
        <f t="shared" si="108"/>
        <v>301215</v>
      </c>
      <c r="G1217" s="124">
        <f t="shared" si="108"/>
        <v>310570</v>
      </c>
      <c r="H1217" s="124">
        <f t="shared" si="108"/>
        <v>319941</v>
      </c>
      <c r="I1217" s="125"/>
      <c r="J1217" s="126"/>
      <c r="K1217" s="173"/>
    </row>
    <row r="1218" spans="1:11" ht="96" x14ac:dyDescent="0.25">
      <c r="A1218" s="127" t="s">
        <v>417</v>
      </c>
      <c r="B1218" s="181" t="s">
        <v>429</v>
      </c>
      <c r="C1218" s="15"/>
      <c r="D1218" s="16"/>
      <c r="E1218" s="16"/>
      <c r="F1218" s="124">
        <f t="shared" si="108"/>
        <v>359904</v>
      </c>
      <c r="G1218" s="124">
        <f t="shared" si="108"/>
        <v>371129</v>
      </c>
      <c r="H1218" s="124">
        <f t="shared" si="108"/>
        <v>382374</v>
      </c>
      <c r="I1218" s="125"/>
      <c r="J1218" s="126"/>
      <c r="K1218" s="173"/>
    </row>
    <row r="1219" spans="1:11" ht="96" x14ac:dyDescent="0.25">
      <c r="A1219" s="127" t="s">
        <v>422</v>
      </c>
      <c r="B1219" s="181" t="s">
        <v>428</v>
      </c>
      <c r="C1219" s="15"/>
      <c r="D1219" s="16"/>
      <c r="E1219" s="16"/>
      <c r="F1219" s="124">
        <f t="shared" si="108"/>
        <v>570181</v>
      </c>
      <c r="G1219" s="124">
        <f t="shared" si="108"/>
        <v>588048</v>
      </c>
      <c r="H1219" s="124">
        <f t="shared" si="108"/>
        <v>606169</v>
      </c>
      <c r="I1219" s="125"/>
      <c r="J1219" s="126"/>
      <c r="K1219" s="173"/>
    </row>
    <row r="1220" spans="1:11" ht="96" x14ac:dyDescent="0.25">
      <c r="A1220" s="127" t="s">
        <v>418</v>
      </c>
      <c r="B1220" s="181" t="s">
        <v>429</v>
      </c>
      <c r="C1220" s="15"/>
      <c r="D1220" s="16"/>
      <c r="E1220" s="16"/>
      <c r="F1220" s="124">
        <f t="shared" si="108"/>
        <v>447950</v>
      </c>
      <c r="G1220" s="124">
        <f t="shared" si="108"/>
        <v>461982</v>
      </c>
      <c r="H1220" s="124">
        <f t="shared" si="108"/>
        <v>476038</v>
      </c>
      <c r="I1220" s="125"/>
      <c r="J1220" s="126"/>
      <c r="K1220" s="173"/>
    </row>
    <row r="1221" spans="1:11" ht="24" x14ac:dyDescent="0.25">
      <c r="A1221" s="94" t="s">
        <v>423</v>
      </c>
      <c r="B1221" s="181" t="s">
        <v>427</v>
      </c>
      <c r="C1221" s="15"/>
      <c r="D1221" s="16"/>
      <c r="E1221" s="16"/>
      <c r="F1221" s="124">
        <f t="shared" si="108"/>
        <v>174613</v>
      </c>
      <c r="G1221" s="124">
        <f t="shared" si="108"/>
        <v>179885</v>
      </c>
      <c r="H1221" s="124">
        <f t="shared" si="108"/>
        <v>185196</v>
      </c>
      <c r="I1221" s="125"/>
      <c r="J1221" s="126"/>
      <c r="K1221" s="173"/>
    </row>
    <row r="1222" spans="1:11" ht="24" x14ac:dyDescent="0.25">
      <c r="A1222" s="181" t="s">
        <v>419</v>
      </c>
      <c r="B1222" s="181" t="s">
        <v>430</v>
      </c>
      <c r="C1222" s="15"/>
      <c r="D1222" s="16"/>
      <c r="E1222" s="16"/>
      <c r="F1222" s="124">
        <f t="shared" si="108"/>
        <v>141172</v>
      </c>
      <c r="G1222" s="124">
        <f t="shared" si="108"/>
        <v>145439</v>
      </c>
      <c r="H1222" s="124">
        <f t="shared" si="108"/>
        <v>149653</v>
      </c>
      <c r="I1222" s="125"/>
      <c r="J1222" s="126"/>
      <c r="K1222" s="173"/>
    </row>
    <row r="1223" spans="1:11" ht="24" x14ac:dyDescent="0.25">
      <c r="A1223" s="94" t="s">
        <v>424</v>
      </c>
      <c r="B1223" s="181" t="s">
        <v>427</v>
      </c>
      <c r="C1223" s="15"/>
      <c r="D1223" s="16"/>
      <c r="E1223" s="16"/>
      <c r="F1223" s="124">
        <f t="shared" si="108"/>
        <v>270904</v>
      </c>
      <c r="G1223" s="124">
        <f t="shared" si="108"/>
        <v>279368</v>
      </c>
      <c r="H1223" s="124">
        <f t="shared" si="108"/>
        <v>287715</v>
      </c>
      <c r="I1223" s="125"/>
      <c r="J1223" s="126"/>
      <c r="K1223" s="173"/>
    </row>
    <row r="1224" spans="1:11" ht="24" x14ac:dyDescent="0.25">
      <c r="A1224" s="181" t="s">
        <v>420</v>
      </c>
      <c r="B1224" s="181" t="s">
        <v>430</v>
      </c>
      <c r="C1224" s="15"/>
      <c r="D1224" s="16"/>
      <c r="E1224" s="16"/>
      <c r="F1224" s="124">
        <f t="shared" si="108"/>
        <v>208031</v>
      </c>
      <c r="G1224" s="124">
        <f t="shared" si="108"/>
        <v>213957</v>
      </c>
      <c r="H1224" s="124">
        <f t="shared" si="108"/>
        <v>220234</v>
      </c>
      <c r="I1224" s="125"/>
      <c r="J1224" s="126"/>
      <c r="K1224" s="173"/>
    </row>
    <row r="1225" spans="1:11" x14ac:dyDescent="0.25">
      <c r="A1225" s="179"/>
      <c r="B1225" s="181"/>
      <c r="C1225" s="15"/>
      <c r="D1225" s="16"/>
      <c r="E1225" s="16"/>
      <c r="F1225" s="124">
        <f t="shared" si="108"/>
        <v>7746</v>
      </c>
      <c r="G1225" s="124">
        <f t="shared" si="108"/>
        <v>7746</v>
      </c>
      <c r="H1225" s="124">
        <f t="shared" si="108"/>
        <v>7746</v>
      </c>
      <c r="I1225" s="125"/>
      <c r="J1225" s="126"/>
      <c r="K1225" s="173"/>
    </row>
    <row r="1226" spans="1:11" x14ac:dyDescent="0.25">
      <c r="A1226" s="69" t="s">
        <v>431</v>
      </c>
      <c r="B1226" s="174"/>
      <c r="C1226" s="88" t="s">
        <v>5</v>
      </c>
      <c r="D1226" s="122"/>
      <c r="E1226" s="12"/>
      <c r="F1226" s="123"/>
      <c r="G1226" s="123"/>
      <c r="H1226" s="123"/>
      <c r="I1226" s="349"/>
      <c r="J1226" s="350"/>
      <c r="K1226" s="161"/>
    </row>
    <row r="1227" spans="1:11" ht="24" x14ac:dyDescent="0.25">
      <c r="A1227" s="7" t="s">
        <v>702</v>
      </c>
      <c r="B1227" s="181" t="s">
        <v>432</v>
      </c>
      <c r="C1227" s="15"/>
      <c r="D1227" s="16"/>
      <c r="E1227" s="16"/>
      <c r="F1227" s="124">
        <f t="shared" ref="F1227:H1238" si="109">F31+F346</f>
        <v>24133.919999999998</v>
      </c>
      <c r="G1227" s="124">
        <f t="shared" si="109"/>
        <v>24133.919999999998</v>
      </c>
      <c r="H1227" s="124">
        <f t="shared" si="109"/>
        <v>24133.919999999998</v>
      </c>
      <c r="I1227" s="125"/>
      <c r="J1227" s="126"/>
      <c r="K1227" s="173"/>
    </row>
    <row r="1228" spans="1:11" ht="36" x14ac:dyDescent="0.25">
      <c r="A1228" s="7" t="s">
        <v>703</v>
      </c>
      <c r="B1228" s="181" t="s">
        <v>433</v>
      </c>
      <c r="C1228" s="15"/>
      <c r="D1228" s="16"/>
      <c r="E1228" s="16"/>
      <c r="F1228" s="124">
        <f t="shared" si="109"/>
        <v>24133.919999999998</v>
      </c>
      <c r="G1228" s="124">
        <f t="shared" si="109"/>
        <v>24133.919999999998</v>
      </c>
      <c r="H1228" s="124">
        <f t="shared" si="109"/>
        <v>24133.919999999998</v>
      </c>
      <c r="I1228" s="125"/>
      <c r="J1228" s="126"/>
      <c r="K1228" s="173"/>
    </row>
    <row r="1229" spans="1:11" ht="24" x14ac:dyDescent="0.25">
      <c r="A1229" s="7" t="s">
        <v>704</v>
      </c>
      <c r="B1229" s="181" t="s">
        <v>434</v>
      </c>
      <c r="C1229" s="15"/>
      <c r="D1229" s="16"/>
      <c r="E1229" s="16"/>
      <c r="F1229" s="124">
        <f t="shared" si="109"/>
        <v>24133.919999999998</v>
      </c>
      <c r="G1229" s="124">
        <f t="shared" si="109"/>
        <v>24133.919999999998</v>
      </c>
      <c r="H1229" s="124">
        <f t="shared" si="109"/>
        <v>24133.919999999998</v>
      </c>
      <c r="I1229" s="125"/>
      <c r="J1229" s="126"/>
      <c r="K1229" s="173"/>
    </row>
    <row r="1230" spans="1:11" s="435" customFormat="1" ht="48" x14ac:dyDescent="0.25">
      <c r="A1230" s="422" t="s">
        <v>1407</v>
      </c>
      <c r="B1230" s="181" t="s">
        <v>435</v>
      </c>
      <c r="C1230" s="15"/>
      <c r="D1230" s="16"/>
      <c r="E1230" s="16"/>
      <c r="F1230" s="124">
        <f t="shared" si="109"/>
        <v>24133.919999999998</v>
      </c>
      <c r="G1230" s="124">
        <f t="shared" si="109"/>
        <v>24133.919999999998</v>
      </c>
      <c r="H1230" s="124">
        <f t="shared" si="109"/>
        <v>24133.919999999998</v>
      </c>
      <c r="I1230" s="125"/>
      <c r="J1230" s="126"/>
      <c r="K1230" s="173"/>
    </row>
    <row r="1231" spans="1:11" ht="36" x14ac:dyDescent="0.25">
      <c r="A1231" s="7" t="s">
        <v>948</v>
      </c>
      <c r="B1231" s="181" t="s">
        <v>435</v>
      </c>
      <c r="C1231" s="15"/>
      <c r="D1231" s="16"/>
      <c r="E1231" s="16"/>
      <c r="F1231" s="124">
        <f t="shared" si="109"/>
        <v>11203.7</v>
      </c>
      <c r="G1231" s="124">
        <f t="shared" si="109"/>
        <v>11203.7</v>
      </c>
      <c r="H1231" s="124">
        <f t="shared" si="109"/>
        <v>11203.7</v>
      </c>
      <c r="I1231" s="125"/>
      <c r="J1231" s="126"/>
      <c r="K1231" s="173"/>
    </row>
    <row r="1232" spans="1:11" ht="36" x14ac:dyDescent="0.25">
      <c r="A1232" s="7" t="s">
        <v>705</v>
      </c>
      <c r="B1232" s="181" t="s">
        <v>436</v>
      </c>
      <c r="C1232" s="15"/>
      <c r="D1232" s="16"/>
      <c r="E1232" s="16"/>
      <c r="F1232" s="124">
        <f t="shared" si="109"/>
        <v>5662.17</v>
      </c>
      <c r="G1232" s="124">
        <f t="shared" si="109"/>
        <v>5662.17</v>
      </c>
      <c r="H1232" s="124">
        <f t="shared" si="109"/>
        <v>5662.17</v>
      </c>
      <c r="I1232" s="125"/>
      <c r="J1232" s="126"/>
      <c r="K1232" s="173"/>
    </row>
    <row r="1233" spans="1:11" ht="36" x14ac:dyDescent="0.25">
      <c r="A1233" s="127" t="s">
        <v>706</v>
      </c>
      <c r="B1233" s="181" t="s">
        <v>437</v>
      </c>
      <c r="C1233" s="15"/>
      <c r="D1233" s="16"/>
      <c r="E1233" s="16"/>
      <c r="F1233" s="124">
        <f t="shared" si="109"/>
        <v>28838.38</v>
      </c>
      <c r="G1233" s="124">
        <f t="shared" si="109"/>
        <v>28838.38</v>
      </c>
      <c r="H1233" s="124">
        <f t="shared" si="109"/>
        <v>28838.38</v>
      </c>
      <c r="I1233" s="125"/>
      <c r="J1233" s="126"/>
      <c r="K1233" s="173"/>
    </row>
    <row r="1234" spans="1:11" ht="36" x14ac:dyDescent="0.25">
      <c r="A1234" s="127" t="s">
        <v>707</v>
      </c>
      <c r="B1234" s="181" t="s">
        <v>438</v>
      </c>
      <c r="C1234" s="15"/>
      <c r="D1234" s="16"/>
      <c r="E1234" s="16"/>
      <c r="F1234" s="124">
        <f t="shared" si="109"/>
        <v>28838.38</v>
      </c>
      <c r="G1234" s="124">
        <f t="shared" si="109"/>
        <v>28838.38</v>
      </c>
      <c r="H1234" s="124">
        <f t="shared" si="109"/>
        <v>28838.38</v>
      </c>
      <c r="I1234" s="125"/>
      <c r="J1234" s="126"/>
      <c r="K1234" s="173"/>
    </row>
    <row r="1235" spans="1:11" ht="24" x14ac:dyDescent="0.25">
      <c r="A1235" s="127" t="s">
        <v>708</v>
      </c>
      <c r="B1235" s="181" t="s">
        <v>439</v>
      </c>
      <c r="C1235" s="15"/>
      <c r="D1235" s="16"/>
      <c r="E1235" s="16"/>
      <c r="F1235" s="124">
        <f t="shared" si="109"/>
        <v>28838.38</v>
      </c>
      <c r="G1235" s="124">
        <f t="shared" si="109"/>
        <v>28838.38</v>
      </c>
      <c r="H1235" s="124">
        <f t="shared" si="109"/>
        <v>28838.38</v>
      </c>
      <c r="I1235" s="125"/>
      <c r="J1235" s="126"/>
      <c r="K1235" s="173"/>
    </row>
    <row r="1236" spans="1:11" s="435" customFormat="1" ht="48" x14ac:dyDescent="0.25">
      <c r="A1236" s="645" t="s">
        <v>1409</v>
      </c>
      <c r="B1236" s="181" t="s">
        <v>440</v>
      </c>
      <c r="C1236" s="15"/>
      <c r="D1236" s="16"/>
      <c r="E1236" s="16"/>
      <c r="F1236" s="124">
        <f t="shared" si="109"/>
        <v>28838.38</v>
      </c>
      <c r="G1236" s="124">
        <f t="shared" si="109"/>
        <v>28838.38</v>
      </c>
      <c r="H1236" s="124">
        <f t="shared" si="109"/>
        <v>28838.38</v>
      </c>
      <c r="I1236" s="125"/>
      <c r="J1236" s="126"/>
      <c r="K1236" s="173"/>
    </row>
    <row r="1237" spans="1:11" ht="36" x14ac:dyDescent="0.25">
      <c r="A1237" s="127" t="s">
        <v>949</v>
      </c>
      <c r="B1237" s="181" t="s">
        <v>440</v>
      </c>
      <c r="C1237" s="15"/>
      <c r="D1237" s="16"/>
      <c r="E1237" s="16"/>
      <c r="F1237" s="124">
        <f t="shared" si="109"/>
        <v>13231.43</v>
      </c>
      <c r="G1237" s="124">
        <f t="shared" si="109"/>
        <v>13231.43</v>
      </c>
      <c r="H1237" s="124">
        <f t="shared" si="109"/>
        <v>13231.43</v>
      </c>
      <c r="I1237" s="125"/>
      <c r="J1237" s="126"/>
      <c r="K1237" s="173"/>
    </row>
    <row r="1238" spans="1:11" ht="36" x14ac:dyDescent="0.25">
      <c r="A1238" s="127" t="s">
        <v>709</v>
      </c>
      <c r="B1238" s="181" t="s">
        <v>441</v>
      </c>
      <c r="C1238" s="15"/>
      <c r="D1238" s="16"/>
      <c r="E1238" s="16"/>
      <c r="F1238" s="124">
        <f t="shared" si="109"/>
        <v>6542.73</v>
      </c>
      <c r="G1238" s="124">
        <f t="shared" si="109"/>
        <v>6542.73</v>
      </c>
      <c r="H1238" s="124">
        <f t="shared" si="109"/>
        <v>6542.73</v>
      </c>
      <c r="I1238" s="125"/>
      <c r="J1238" s="126"/>
      <c r="K1238" s="173"/>
    </row>
    <row r="1239" spans="1:11" ht="36" x14ac:dyDescent="0.25">
      <c r="A1239" s="69" t="s">
        <v>624</v>
      </c>
      <c r="B1239" s="174"/>
      <c r="C1239" s="88" t="s">
        <v>658</v>
      </c>
      <c r="D1239" s="122"/>
      <c r="E1239" s="12"/>
      <c r="F1239" s="123"/>
      <c r="G1239" s="123"/>
      <c r="H1239" s="123"/>
      <c r="I1239" s="349"/>
      <c r="J1239" s="350"/>
      <c r="K1239" s="161"/>
    </row>
    <row r="1240" spans="1:11" x14ac:dyDescent="0.25">
      <c r="A1240" s="7" t="s">
        <v>609</v>
      </c>
      <c r="B1240" s="181" t="s">
        <v>617</v>
      </c>
      <c r="C1240" s="15"/>
      <c r="D1240" s="16"/>
      <c r="E1240" s="16"/>
      <c r="F1240" s="124">
        <f t="shared" ref="F1240:H1247" si="110">F44+F359</f>
        <v>107624.54</v>
      </c>
      <c r="G1240" s="124">
        <f t="shared" si="110"/>
        <v>109641.78</v>
      </c>
      <c r="H1240" s="124">
        <f t="shared" si="110"/>
        <v>111392.5</v>
      </c>
      <c r="I1240" s="125"/>
      <c r="J1240" s="126"/>
      <c r="K1240" s="173"/>
    </row>
    <row r="1241" spans="1:11" ht="72" hidden="1" x14ac:dyDescent="0.25">
      <c r="A1241" s="94" t="s">
        <v>610</v>
      </c>
      <c r="B1241" s="181"/>
      <c r="C1241" s="15"/>
      <c r="D1241" s="16"/>
      <c r="E1241" s="16"/>
      <c r="F1241" s="124">
        <f t="shared" si="110"/>
        <v>11073</v>
      </c>
      <c r="G1241" s="124">
        <f t="shared" si="110"/>
        <v>11073</v>
      </c>
      <c r="H1241" s="124">
        <f t="shared" si="110"/>
        <v>11073</v>
      </c>
      <c r="I1241" s="125"/>
      <c r="J1241" s="126"/>
      <c r="K1241" s="173"/>
    </row>
    <row r="1242" spans="1:11" ht="48" x14ac:dyDescent="0.25">
      <c r="A1242" s="7" t="s">
        <v>625</v>
      </c>
      <c r="B1242" s="181" t="s">
        <v>978</v>
      </c>
      <c r="C1242" s="15"/>
      <c r="D1242" s="16"/>
      <c r="E1242" s="16"/>
      <c r="F1242" s="124">
        <f t="shared" si="110"/>
        <v>265605.14</v>
      </c>
      <c r="G1242" s="124">
        <f t="shared" si="110"/>
        <v>271300.26</v>
      </c>
      <c r="H1242" s="124">
        <f t="shared" si="110"/>
        <v>276222.62</v>
      </c>
      <c r="I1242" s="125"/>
      <c r="J1242" s="126"/>
      <c r="K1242" s="173"/>
    </row>
    <row r="1243" spans="1:11" ht="24" x14ac:dyDescent="0.25">
      <c r="A1243" s="7" t="s">
        <v>626</v>
      </c>
      <c r="B1243" s="181" t="s">
        <v>618</v>
      </c>
      <c r="C1243" s="15"/>
      <c r="D1243" s="16"/>
      <c r="E1243" s="16"/>
      <c r="F1243" s="124">
        <f t="shared" si="110"/>
        <v>899191.34</v>
      </c>
      <c r="G1243" s="124">
        <f t="shared" si="110"/>
        <v>948389.34</v>
      </c>
      <c r="H1243" s="124">
        <f t="shared" si="110"/>
        <v>972239.34</v>
      </c>
      <c r="I1243" s="125"/>
      <c r="J1243" s="126"/>
      <c r="K1243" s="173"/>
    </row>
    <row r="1244" spans="1:11" ht="60" hidden="1" x14ac:dyDescent="0.25">
      <c r="A1244" s="94" t="s">
        <v>639</v>
      </c>
      <c r="B1244" s="181"/>
      <c r="C1244" s="15"/>
      <c r="D1244" s="16"/>
      <c r="E1244" s="16"/>
      <c r="F1244" s="124">
        <f t="shared" si="110"/>
        <v>11073</v>
      </c>
      <c r="G1244" s="124">
        <f t="shared" si="110"/>
        <v>11073</v>
      </c>
      <c r="H1244" s="124">
        <f t="shared" si="110"/>
        <v>11073</v>
      </c>
      <c r="I1244" s="125"/>
      <c r="J1244" s="126"/>
      <c r="K1244" s="173"/>
    </row>
    <row r="1245" spans="1:11" ht="36" x14ac:dyDescent="0.25">
      <c r="A1245" s="7" t="s">
        <v>627</v>
      </c>
      <c r="B1245" s="181" t="s">
        <v>619</v>
      </c>
      <c r="C1245" s="15"/>
      <c r="D1245" s="16"/>
      <c r="E1245" s="16"/>
      <c r="F1245" s="124">
        <f t="shared" si="110"/>
        <v>112074.59</v>
      </c>
      <c r="G1245" s="124">
        <f t="shared" si="110"/>
        <v>114272.83</v>
      </c>
      <c r="H1245" s="124">
        <f t="shared" si="110"/>
        <v>116172.55</v>
      </c>
      <c r="I1245" s="125"/>
      <c r="J1245" s="126"/>
      <c r="K1245" s="173"/>
    </row>
    <row r="1246" spans="1:11" hidden="1" x14ac:dyDescent="0.25">
      <c r="A1246" s="94" t="s">
        <v>608</v>
      </c>
      <c r="B1246" s="181"/>
      <c r="C1246" s="15"/>
      <c r="D1246" s="16"/>
      <c r="E1246" s="16"/>
      <c r="F1246" s="124">
        <f t="shared" si="110"/>
        <v>11073</v>
      </c>
      <c r="G1246" s="124">
        <f t="shared" si="110"/>
        <v>11073</v>
      </c>
      <c r="H1246" s="124">
        <f t="shared" si="110"/>
        <v>11073</v>
      </c>
      <c r="I1246" s="125"/>
      <c r="J1246" s="126"/>
      <c r="K1246" s="173"/>
    </row>
    <row r="1247" spans="1:11" hidden="1" x14ac:dyDescent="0.25">
      <c r="A1247" s="94" t="s">
        <v>611</v>
      </c>
      <c r="B1247" s="181"/>
      <c r="C1247" s="15"/>
      <c r="D1247" s="16"/>
      <c r="E1247" s="16"/>
      <c r="F1247" s="124">
        <f t="shared" si="110"/>
        <v>11073</v>
      </c>
      <c r="G1247" s="124">
        <f t="shared" si="110"/>
        <v>11073</v>
      </c>
      <c r="H1247" s="124">
        <f t="shared" si="110"/>
        <v>11073</v>
      </c>
      <c r="I1247" s="125"/>
      <c r="J1247" s="126"/>
      <c r="K1247" s="173"/>
    </row>
    <row r="1248" spans="1:11" ht="36" x14ac:dyDescent="0.25">
      <c r="A1248" s="69" t="s">
        <v>603</v>
      </c>
      <c r="B1248" s="174"/>
      <c r="C1248" s="88" t="s">
        <v>657</v>
      </c>
      <c r="D1248" s="122"/>
      <c r="E1248" s="12"/>
      <c r="F1248" s="123"/>
      <c r="G1248" s="123"/>
      <c r="H1248" s="123"/>
      <c r="I1248" s="349"/>
      <c r="J1248" s="350"/>
      <c r="K1248" s="161"/>
    </row>
    <row r="1249" spans="1:11" x14ac:dyDescent="0.25">
      <c r="A1249" s="7" t="s">
        <v>609</v>
      </c>
      <c r="B1249" s="181" t="s">
        <v>604</v>
      </c>
      <c r="C1249" s="15"/>
      <c r="D1249" s="16"/>
      <c r="E1249" s="16"/>
      <c r="F1249" s="124">
        <f t="shared" ref="F1249:H1256" si="111">F53+F368</f>
        <v>115181.54</v>
      </c>
      <c r="G1249" s="124">
        <f t="shared" si="111"/>
        <v>117701.78</v>
      </c>
      <c r="H1249" s="124">
        <f t="shared" si="111"/>
        <v>119408.5</v>
      </c>
      <c r="I1249" s="125"/>
      <c r="J1249" s="126"/>
      <c r="K1249" s="173"/>
    </row>
    <row r="1250" spans="1:11" ht="72" hidden="1" x14ac:dyDescent="0.25">
      <c r="A1250" s="94" t="s">
        <v>610</v>
      </c>
      <c r="B1250" s="181"/>
      <c r="C1250" s="15"/>
      <c r="D1250" s="16"/>
      <c r="E1250" s="16"/>
      <c r="F1250" s="124">
        <f t="shared" si="111"/>
        <v>11073</v>
      </c>
      <c r="G1250" s="124">
        <f t="shared" si="111"/>
        <v>11073</v>
      </c>
      <c r="H1250" s="124">
        <f t="shared" si="111"/>
        <v>11073</v>
      </c>
      <c r="I1250" s="125"/>
      <c r="J1250" s="126"/>
      <c r="K1250" s="173"/>
    </row>
    <row r="1251" spans="1:11" ht="48" x14ac:dyDescent="0.25">
      <c r="A1251" s="7" t="s">
        <v>625</v>
      </c>
      <c r="B1251" s="181" t="s">
        <v>605</v>
      </c>
      <c r="C1251" s="15"/>
      <c r="D1251" s="16"/>
      <c r="E1251" s="16"/>
      <c r="F1251" s="124">
        <f t="shared" si="111"/>
        <v>281569.59999999998</v>
      </c>
      <c r="G1251" s="124">
        <f t="shared" si="111"/>
        <v>288507.71999999997</v>
      </c>
      <c r="H1251" s="124">
        <f t="shared" si="111"/>
        <v>293212.08</v>
      </c>
      <c r="I1251" s="125"/>
      <c r="J1251" s="126"/>
      <c r="K1251" s="173"/>
    </row>
    <row r="1252" spans="1:11" ht="60" hidden="1" x14ac:dyDescent="0.25">
      <c r="A1252" s="94" t="s">
        <v>639</v>
      </c>
      <c r="B1252" s="181"/>
      <c r="C1252" s="15"/>
      <c r="D1252" s="16"/>
      <c r="E1252" s="16"/>
      <c r="F1252" s="124">
        <f t="shared" si="111"/>
        <v>11073</v>
      </c>
      <c r="G1252" s="124">
        <f t="shared" si="111"/>
        <v>11073</v>
      </c>
      <c r="H1252" s="124">
        <f t="shared" si="111"/>
        <v>11073</v>
      </c>
      <c r="I1252" s="125"/>
      <c r="J1252" s="126"/>
      <c r="K1252" s="173"/>
    </row>
    <row r="1253" spans="1:11" ht="24" x14ac:dyDescent="0.25">
      <c r="A1253" s="7" t="s">
        <v>626</v>
      </c>
      <c r="B1253" s="181" t="s">
        <v>606</v>
      </c>
      <c r="C1253" s="15"/>
      <c r="D1253" s="16"/>
      <c r="E1253" s="16"/>
      <c r="F1253" s="124">
        <f t="shared" si="111"/>
        <v>1015329.27</v>
      </c>
      <c r="G1253" s="124">
        <f t="shared" si="111"/>
        <v>1070950.27</v>
      </c>
      <c r="H1253" s="124">
        <f t="shared" si="111"/>
        <v>1097502.27</v>
      </c>
      <c r="I1253" s="125"/>
      <c r="J1253" s="126"/>
      <c r="K1253" s="173"/>
    </row>
    <row r="1254" spans="1:11" ht="36" x14ac:dyDescent="0.25">
      <c r="A1254" s="7" t="s">
        <v>627</v>
      </c>
      <c r="B1254" s="181" t="s">
        <v>607</v>
      </c>
      <c r="C1254" s="15"/>
      <c r="D1254" s="16"/>
      <c r="E1254" s="16"/>
      <c r="F1254" s="124">
        <f t="shared" si="111"/>
        <v>120589.16</v>
      </c>
      <c r="G1254" s="124">
        <f t="shared" si="111"/>
        <v>123349.4</v>
      </c>
      <c r="H1254" s="124">
        <f t="shared" si="111"/>
        <v>125221.12</v>
      </c>
      <c r="I1254" s="125"/>
      <c r="J1254" s="126"/>
      <c r="K1254" s="173"/>
    </row>
    <row r="1255" spans="1:11" x14ac:dyDescent="0.25">
      <c r="A1255" s="181" t="s">
        <v>608</v>
      </c>
      <c r="B1255" s="181" t="s">
        <v>979</v>
      </c>
      <c r="C1255" s="15"/>
      <c r="D1255" s="16"/>
      <c r="E1255" s="16"/>
      <c r="F1255" s="124">
        <f t="shared" si="111"/>
        <v>77033.16</v>
      </c>
      <c r="G1255" s="124">
        <f t="shared" si="111"/>
        <v>78867.399999999994</v>
      </c>
      <c r="H1255" s="124">
        <f t="shared" si="111"/>
        <v>80125.119999999995</v>
      </c>
      <c r="I1255" s="125"/>
      <c r="J1255" s="126"/>
      <c r="K1255" s="173"/>
    </row>
    <row r="1256" spans="1:11" x14ac:dyDescent="0.25">
      <c r="A1256" s="181" t="s">
        <v>611</v>
      </c>
      <c r="B1256" s="181" t="s">
        <v>2233</v>
      </c>
      <c r="C1256" s="15"/>
      <c r="D1256" s="16"/>
      <c r="E1256" s="16"/>
      <c r="F1256" s="124">
        <f t="shared" si="111"/>
        <v>54517.65</v>
      </c>
      <c r="G1256" s="124">
        <f t="shared" si="111"/>
        <v>55569.65</v>
      </c>
      <c r="H1256" s="124">
        <f t="shared" si="111"/>
        <v>56472.65</v>
      </c>
      <c r="I1256" s="125"/>
      <c r="J1256" s="126"/>
      <c r="K1256" s="173"/>
    </row>
    <row r="1257" spans="1:11" ht="36" x14ac:dyDescent="0.25">
      <c r="A1257" s="69" t="s">
        <v>620</v>
      </c>
      <c r="B1257" s="174"/>
      <c r="C1257" s="88" t="s">
        <v>659</v>
      </c>
      <c r="D1257" s="122"/>
      <c r="E1257" s="12"/>
      <c r="F1257" s="123"/>
      <c r="G1257" s="123"/>
      <c r="H1257" s="123"/>
      <c r="I1257" s="349"/>
      <c r="J1257" s="350"/>
      <c r="K1257" s="161"/>
    </row>
    <row r="1258" spans="1:11" x14ac:dyDescent="0.25">
      <c r="A1258" s="7" t="s">
        <v>609</v>
      </c>
      <c r="B1258" s="181" t="s">
        <v>621</v>
      </c>
      <c r="C1258" s="15"/>
      <c r="D1258" s="16"/>
      <c r="E1258" s="16"/>
      <c r="F1258" s="124">
        <f t="shared" ref="F1258:H1265" si="112">F62+F377</f>
        <v>172559.56</v>
      </c>
      <c r="G1258" s="124">
        <f t="shared" si="112"/>
        <v>177874.8</v>
      </c>
      <c r="H1258" s="124">
        <f t="shared" si="112"/>
        <v>181641.52</v>
      </c>
      <c r="I1258" s="125"/>
      <c r="J1258" s="126"/>
      <c r="K1258" s="173"/>
    </row>
    <row r="1259" spans="1:11" ht="72" hidden="1" x14ac:dyDescent="0.25">
      <c r="A1259" s="94" t="s">
        <v>610</v>
      </c>
      <c r="B1259" s="181"/>
      <c r="C1259" s="15"/>
      <c r="D1259" s="16"/>
      <c r="E1259" s="16"/>
      <c r="F1259" s="124">
        <f t="shared" si="112"/>
        <v>11073</v>
      </c>
      <c r="G1259" s="124">
        <f t="shared" si="112"/>
        <v>11073</v>
      </c>
      <c r="H1259" s="124">
        <f t="shared" si="112"/>
        <v>11073</v>
      </c>
      <c r="I1259" s="125"/>
      <c r="J1259" s="126"/>
      <c r="K1259" s="173"/>
    </row>
    <row r="1260" spans="1:11" ht="48" hidden="1" x14ac:dyDescent="0.25">
      <c r="A1260" s="94" t="s">
        <v>625</v>
      </c>
      <c r="B1260" s="181"/>
      <c r="C1260" s="15"/>
      <c r="D1260" s="16"/>
      <c r="E1260" s="16"/>
      <c r="F1260" s="124">
        <f t="shared" si="112"/>
        <v>11073</v>
      </c>
      <c r="G1260" s="124">
        <f t="shared" si="112"/>
        <v>11073</v>
      </c>
      <c r="H1260" s="124">
        <f t="shared" si="112"/>
        <v>11073</v>
      </c>
      <c r="I1260" s="125"/>
      <c r="J1260" s="126"/>
      <c r="K1260" s="173"/>
    </row>
    <row r="1261" spans="1:11" ht="60" hidden="1" x14ac:dyDescent="0.25">
      <c r="A1261" s="94" t="s">
        <v>639</v>
      </c>
      <c r="B1261" s="181"/>
      <c r="C1261" s="15"/>
      <c r="D1261" s="16"/>
      <c r="E1261" s="16"/>
      <c r="F1261" s="124">
        <f t="shared" si="112"/>
        <v>11073</v>
      </c>
      <c r="G1261" s="124">
        <f t="shared" si="112"/>
        <v>11073</v>
      </c>
      <c r="H1261" s="124">
        <f t="shared" si="112"/>
        <v>11073</v>
      </c>
      <c r="I1261" s="125"/>
      <c r="J1261" s="126"/>
      <c r="K1261" s="173"/>
    </row>
    <row r="1262" spans="1:11" ht="24" x14ac:dyDescent="0.25">
      <c r="A1262" s="7" t="s">
        <v>626</v>
      </c>
      <c r="B1262" s="181" t="s">
        <v>980</v>
      </c>
      <c r="C1262" s="15"/>
      <c r="D1262" s="16"/>
      <c r="E1262" s="16"/>
      <c r="F1262" s="124">
        <f t="shared" si="112"/>
        <v>1030568.98</v>
      </c>
      <c r="G1262" s="124">
        <f t="shared" si="112"/>
        <v>1087036.98</v>
      </c>
      <c r="H1262" s="124">
        <f t="shared" si="112"/>
        <v>1129953.98</v>
      </c>
      <c r="I1262" s="125"/>
      <c r="J1262" s="126"/>
      <c r="K1262" s="173"/>
    </row>
    <row r="1263" spans="1:11" ht="36" x14ac:dyDescent="0.25">
      <c r="A1263" s="7" t="s">
        <v>627</v>
      </c>
      <c r="B1263" s="181" t="s">
        <v>622</v>
      </c>
      <c r="C1263" s="15"/>
      <c r="D1263" s="16"/>
      <c r="E1263" s="16"/>
      <c r="F1263" s="124">
        <f t="shared" si="112"/>
        <v>189823.26</v>
      </c>
      <c r="G1263" s="124">
        <f t="shared" si="112"/>
        <v>195958.5</v>
      </c>
      <c r="H1263" s="124">
        <f t="shared" si="112"/>
        <v>200310.22</v>
      </c>
      <c r="I1263" s="125"/>
      <c r="J1263" s="126"/>
      <c r="K1263" s="173"/>
    </row>
    <row r="1264" spans="1:11" x14ac:dyDescent="0.25">
      <c r="A1264" s="181" t="s">
        <v>608</v>
      </c>
      <c r="B1264" s="181" t="s">
        <v>623</v>
      </c>
      <c r="C1264" s="15"/>
      <c r="D1264" s="16"/>
      <c r="E1264" s="16"/>
      <c r="F1264" s="124">
        <f t="shared" si="112"/>
        <v>116897.81</v>
      </c>
      <c r="G1264" s="124">
        <f t="shared" si="112"/>
        <v>120916.05</v>
      </c>
      <c r="H1264" s="124">
        <f t="shared" si="112"/>
        <v>123792.77</v>
      </c>
      <c r="I1264" s="125"/>
      <c r="J1264" s="126"/>
      <c r="K1264" s="173"/>
    </row>
    <row r="1265" spans="1:683" hidden="1" x14ac:dyDescent="0.25">
      <c r="A1265" s="94" t="s">
        <v>611</v>
      </c>
      <c r="B1265" s="181"/>
      <c r="C1265" s="15"/>
      <c r="D1265" s="16"/>
      <c r="E1265" s="16"/>
      <c r="F1265" s="124">
        <f t="shared" si="112"/>
        <v>79480</v>
      </c>
      <c r="G1265" s="124">
        <f t="shared" si="112"/>
        <v>82604</v>
      </c>
      <c r="H1265" s="124">
        <f t="shared" si="112"/>
        <v>84598</v>
      </c>
      <c r="I1265" s="125"/>
      <c r="J1265" s="126"/>
      <c r="K1265" s="173"/>
    </row>
    <row r="1266" spans="1:683" ht="24" x14ac:dyDescent="0.25">
      <c r="A1266" s="69" t="s">
        <v>601</v>
      </c>
      <c r="B1266" s="174"/>
      <c r="C1266" s="88" t="s">
        <v>660</v>
      </c>
      <c r="D1266" s="122"/>
      <c r="E1266" s="12"/>
      <c r="F1266" s="123"/>
      <c r="G1266" s="123"/>
      <c r="H1266" s="123"/>
      <c r="I1266" s="349"/>
      <c r="J1266" s="350"/>
      <c r="K1266" s="161"/>
    </row>
    <row r="1267" spans="1:683" x14ac:dyDescent="0.25">
      <c r="A1267" s="7" t="s">
        <v>456</v>
      </c>
      <c r="B1267" s="181" t="s">
        <v>648</v>
      </c>
      <c r="C1267" s="15"/>
      <c r="D1267" s="16"/>
      <c r="E1267" s="16"/>
      <c r="F1267" s="124">
        <f t="shared" ref="F1267:H1272" si="113">F71+F386</f>
        <v>39.630000000000003</v>
      </c>
      <c r="G1267" s="124">
        <f t="shared" si="113"/>
        <v>41.82</v>
      </c>
      <c r="H1267" s="124">
        <f t="shared" si="113"/>
        <v>43.49</v>
      </c>
      <c r="I1267" s="125"/>
      <c r="J1267" s="126"/>
      <c r="K1267" s="173"/>
    </row>
    <row r="1268" spans="1:683" x14ac:dyDescent="0.25">
      <c r="A1268" s="7" t="s">
        <v>457</v>
      </c>
      <c r="B1268" s="181" t="s">
        <v>649</v>
      </c>
      <c r="C1268" s="15"/>
      <c r="D1268" s="16"/>
      <c r="E1268" s="16"/>
      <c r="F1268" s="124">
        <f t="shared" si="113"/>
        <v>39.630000000000003</v>
      </c>
      <c r="G1268" s="124">
        <f t="shared" si="113"/>
        <v>41.82</v>
      </c>
      <c r="H1268" s="124">
        <f t="shared" si="113"/>
        <v>43.49</v>
      </c>
      <c r="I1268" s="125"/>
      <c r="J1268" s="126"/>
      <c r="K1268" s="173"/>
    </row>
    <row r="1269" spans="1:683" x14ac:dyDescent="0.25">
      <c r="A1269" s="7" t="s">
        <v>471</v>
      </c>
      <c r="B1269" s="181" t="s">
        <v>650</v>
      </c>
      <c r="C1269" s="15"/>
      <c r="D1269" s="16"/>
      <c r="E1269" s="16"/>
      <c r="F1269" s="124">
        <f t="shared" si="113"/>
        <v>33.96</v>
      </c>
      <c r="G1269" s="124">
        <f t="shared" si="113"/>
        <v>35.85</v>
      </c>
      <c r="H1269" s="124">
        <f t="shared" si="113"/>
        <v>37.299999999999997</v>
      </c>
      <c r="I1269" s="125"/>
      <c r="J1269" s="126"/>
      <c r="K1269" s="173"/>
    </row>
    <row r="1270" spans="1:683" x14ac:dyDescent="0.25">
      <c r="A1270" s="7" t="s">
        <v>458</v>
      </c>
      <c r="B1270" s="181" t="s">
        <v>651</v>
      </c>
      <c r="C1270" s="15"/>
      <c r="D1270" s="16"/>
      <c r="E1270" s="16"/>
      <c r="F1270" s="124">
        <f t="shared" si="113"/>
        <v>39.630000000000003</v>
      </c>
      <c r="G1270" s="124">
        <f t="shared" si="113"/>
        <v>41.82</v>
      </c>
      <c r="H1270" s="124">
        <f t="shared" si="113"/>
        <v>43.49</v>
      </c>
      <c r="I1270" s="125"/>
      <c r="J1270" s="126"/>
      <c r="K1270" s="173"/>
    </row>
    <row r="1271" spans="1:683" x14ac:dyDescent="0.25">
      <c r="A1271" s="7" t="s">
        <v>459</v>
      </c>
      <c r="B1271" s="181" t="s">
        <v>652</v>
      </c>
      <c r="C1271" s="15"/>
      <c r="D1271" s="16"/>
      <c r="E1271" s="16"/>
      <c r="F1271" s="124">
        <f t="shared" si="113"/>
        <v>39.630000000000003</v>
      </c>
      <c r="G1271" s="124">
        <f t="shared" si="113"/>
        <v>41.82</v>
      </c>
      <c r="H1271" s="124">
        <f t="shared" si="113"/>
        <v>43.49</v>
      </c>
      <c r="I1271" s="125"/>
      <c r="J1271" s="126"/>
      <c r="K1271" s="173"/>
    </row>
    <row r="1272" spans="1:683" ht="24" x14ac:dyDescent="0.25">
      <c r="A1272" s="7" t="s">
        <v>460</v>
      </c>
      <c r="B1272" s="181" t="s">
        <v>653</v>
      </c>
      <c r="C1272" s="15"/>
      <c r="D1272" s="16"/>
      <c r="E1272" s="16"/>
      <c r="F1272" s="124">
        <f t="shared" si="113"/>
        <v>39.630000000000003</v>
      </c>
      <c r="G1272" s="124">
        <f t="shared" si="113"/>
        <v>41.82</v>
      </c>
      <c r="H1272" s="124">
        <f t="shared" si="113"/>
        <v>43.49</v>
      </c>
      <c r="I1272" s="125"/>
      <c r="J1272" s="126"/>
      <c r="K1272" s="173"/>
    </row>
    <row r="1273" spans="1:683" x14ac:dyDescent="0.25">
      <c r="I1273" s="1"/>
      <c r="J1273" s="89"/>
      <c r="K1273" s="89"/>
    </row>
    <row r="1274" spans="1:683" x14ac:dyDescent="0.25">
      <c r="A1274" s="157" t="s">
        <v>985</v>
      </c>
      <c r="B1274" s="330"/>
      <c r="C1274" s="157"/>
      <c r="D1274" s="157"/>
      <c r="E1274" s="157"/>
      <c r="F1274" s="157"/>
      <c r="G1274" s="157"/>
      <c r="H1274" s="157"/>
      <c r="I1274" s="157"/>
      <c r="J1274" s="157"/>
      <c r="K1274" s="162"/>
      <c r="YM1274" s="218"/>
    </row>
    <row r="1275" spans="1:683" ht="15" customHeight="1" x14ac:dyDescent="0.25">
      <c r="A1275" s="1305" t="s">
        <v>0</v>
      </c>
      <c r="B1275" s="1306" t="s">
        <v>1</v>
      </c>
      <c r="C1275" s="1307"/>
      <c r="D1275" s="1308"/>
      <c r="E1275" s="1309"/>
      <c r="F1275" s="1312" t="s">
        <v>762</v>
      </c>
      <c r="G1275" s="1313"/>
      <c r="H1275" s="1313"/>
      <c r="I1275" s="1313"/>
      <c r="J1275" s="1313"/>
      <c r="K1275" s="1314"/>
      <c r="L1275" s="1302" t="s">
        <v>661</v>
      </c>
      <c r="M1275" s="1303"/>
      <c r="N1275" s="1303"/>
      <c r="O1275" s="1303"/>
      <c r="P1275" s="1303"/>
      <c r="Q1275" s="1303"/>
      <c r="R1275" s="1303"/>
      <c r="S1275" s="1303"/>
      <c r="T1275" s="1303"/>
      <c r="U1275" s="1303"/>
      <c r="V1275" s="1303"/>
      <c r="W1275" s="1303"/>
      <c r="X1275" s="1303"/>
      <c r="Y1275" s="1303"/>
      <c r="Z1275" s="1303"/>
      <c r="AA1275" s="1303"/>
      <c r="AB1275" s="1303"/>
      <c r="AC1275" s="1303"/>
      <c r="AD1275" s="1303"/>
      <c r="AE1275" s="1303"/>
      <c r="AF1275" s="1304"/>
      <c r="AG1275" s="1299" t="s">
        <v>662</v>
      </c>
      <c r="AH1275" s="1300"/>
      <c r="AI1275" s="1300"/>
      <c r="AJ1275" s="1300"/>
      <c r="AK1275" s="1300"/>
      <c r="AL1275" s="1300"/>
      <c r="AM1275" s="1300"/>
      <c r="AN1275" s="1300"/>
      <c r="AO1275" s="1300"/>
      <c r="AP1275" s="1300"/>
      <c r="AQ1275" s="1300"/>
      <c r="AR1275" s="1300"/>
      <c r="AS1275" s="1300"/>
      <c r="AT1275" s="1300"/>
      <c r="AU1275" s="1300"/>
      <c r="AV1275" s="1300"/>
      <c r="AW1275" s="1300"/>
      <c r="AX1275" s="1300"/>
      <c r="AY1275" s="1300"/>
      <c r="AZ1275" s="1300"/>
      <c r="BA1275" s="1301"/>
      <c r="BB1275" s="1302" t="s">
        <v>663</v>
      </c>
      <c r="BC1275" s="1303"/>
      <c r="BD1275" s="1303"/>
      <c r="BE1275" s="1303"/>
      <c r="BF1275" s="1303"/>
      <c r="BG1275" s="1303"/>
      <c r="BH1275" s="1303"/>
      <c r="BI1275" s="1303"/>
      <c r="BJ1275" s="1303"/>
      <c r="BK1275" s="1303"/>
      <c r="BL1275" s="1303"/>
      <c r="BM1275" s="1303"/>
      <c r="BN1275" s="1303"/>
      <c r="BO1275" s="1303"/>
      <c r="BP1275" s="1303"/>
      <c r="BQ1275" s="1303"/>
      <c r="BR1275" s="1303"/>
      <c r="BS1275" s="1303"/>
      <c r="BT1275" s="1303"/>
      <c r="BU1275" s="1303"/>
      <c r="BV1275" s="1304"/>
      <c r="BW1275" s="1299" t="s">
        <v>664</v>
      </c>
      <c r="BX1275" s="1300"/>
      <c r="BY1275" s="1300"/>
      <c r="BZ1275" s="1300"/>
      <c r="CA1275" s="1300"/>
      <c r="CB1275" s="1300"/>
      <c r="CC1275" s="1300"/>
      <c r="CD1275" s="1300"/>
      <c r="CE1275" s="1300"/>
      <c r="CF1275" s="1300"/>
      <c r="CG1275" s="1300"/>
      <c r="CH1275" s="1300"/>
      <c r="CI1275" s="1300"/>
      <c r="CJ1275" s="1300"/>
      <c r="CK1275" s="1300"/>
      <c r="CL1275" s="1300"/>
      <c r="CM1275" s="1300"/>
      <c r="CN1275" s="1300"/>
      <c r="CO1275" s="1300"/>
      <c r="CP1275" s="1300"/>
      <c r="CQ1275" s="1301"/>
      <c r="CR1275" s="1302" t="s">
        <v>665</v>
      </c>
      <c r="CS1275" s="1303"/>
      <c r="CT1275" s="1303"/>
      <c r="CU1275" s="1303"/>
      <c r="CV1275" s="1303"/>
      <c r="CW1275" s="1303"/>
      <c r="CX1275" s="1303"/>
      <c r="CY1275" s="1303"/>
      <c r="CZ1275" s="1303"/>
      <c r="DA1275" s="1303"/>
      <c r="DB1275" s="1303"/>
      <c r="DC1275" s="1303"/>
      <c r="DD1275" s="1303"/>
      <c r="DE1275" s="1303"/>
      <c r="DF1275" s="1303"/>
      <c r="DG1275" s="1303"/>
      <c r="DH1275" s="1303"/>
      <c r="DI1275" s="1303"/>
      <c r="DJ1275" s="1303"/>
      <c r="DK1275" s="1303"/>
      <c r="DL1275" s="1304"/>
      <c r="DM1275" s="1299" t="s">
        <v>666</v>
      </c>
      <c r="DN1275" s="1300"/>
      <c r="DO1275" s="1300"/>
      <c r="DP1275" s="1300"/>
      <c r="DQ1275" s="1300"/>
      <c r="DR1275" s="1300"/>
      <c r="DS1275" s="1300"/>
      <c r="DT1275" s="1300"/>
      <c r="DU1275" s="1300"/>
      <c r="DV1275" s="1300"/>
      <c r="DW1275" s="1300"/>
      <c r="DX1275" s="1300"/>
      <c r="DY1275" s="1300"/>
      <c r="DZ1275" s="1300"/>
      <c r="EA1275" s="1300"/>
      <c r="EB1275" s="1300"/>
      <c r="EC1275" s="1300"/>
      <c r="ED1275" s="1300"/>
      <c r="EE1275" s="1300"/>
      <c r="EF1275" s="1300"/>
      <c r="EG1275" s="1301"/>
      <c r="EH1275" s="1302" t="s">
        <v>667</v>
      </c>
      <c r="EI1275" s="1303"/>
      <c r="EJ1275" s="1303"/>
      <c r="EK1275" s="1303"/>
      <c r="EL1275" s="1303"/>
      <c r="EM1275" s="1303"/>
      <c r="EN1275" s="1303"/>
      <c r="EO1275" s="1303"/>
      <c r="EP1275" s="1303"/>
      <c r="EQ1275" s="1303"/>
      <c r="ER1275" s="1303"/>
      <c r="ES1275" s="1303"/>
      <c r="ET1275" s="1303"/>
      <c r="EU1275" s="1303"/>
      <c r="EV1275" s="1303"/>
      <c r="EW1275" s="1303"/>
      <c r="EX1275" s="1303"/>
      <c r="EY1275" s="1303"/>
      <c r="EZ1275" s="1303"/>
      <c r="FA1275" s="1303"/>
      <c r="FB1275" s="1304"/>
      <c r="FC1275" s="1299" t="s">
        <v>668</v>
      </c>
      <c r="FD1275" s="1300"/>
      <c r="FE1275" s="1300"/>
      <c r="FF1275" s="1300"/>
      <c r="FG1275" s="1300"/>
      <c r="FH1275" s="1300"/>
      <c r="FI1275" s="1300"/>
      <c r="FJ1275" s="1300"/>
      <c r="FK1275" s="1300"/>
      <c r="FL1275" s="1300"/>
      <c r="FM1275" s="1300"/>
      <c r="FN1275" s="1300"/>
      <c r="FO1275" s="1300"/>
      <c r="FP1275" s="1300"/>
      <c r="FQ1275" s="1300"/>
      <c r="FR1275" s="1300"/>
      <c r="FS1275" s="1300"/>
      <c r="FT1275" s="1300"/>
      <c r="FU1275" s="1300"/>
      <c r="FV1275" s="1300"/>
      <c r="FW1275" s="1301"/>
      <c r="FX1275" s="1302" t="s">
        <v>669</v>
      </c>
      <c r="FY1275" s="1303"/>
      <c r="FZ1275" s="1303"/>
      <c r="GA1275" s="1303"/>
      <c r="GB1275" s="1303"/>
      <c r="GC1275" s="1303"/>
      <c r="GD1275" s="1303"/>
      <c r="GE1275" s="1303"/>
      <c r="GF1275" s="1303"/>
      <c r="GG1275" s="1303"/>
      <c r="GH1275" s="1303"/>
      <c r="GI1275" s="1303"/>
      <c r="GJ1275" s="1303"/>
      <c r="GK1275" s="1303"/>
      <c r="GL1275" s="1303"/>
      <c r="GM1275" s="1303"/>
      <c r="GN1275" s="1303"/>
      <c r="GO1275" s="1303"/>
      <c r="GP1275" s="1303"/>
      <c r="GQ1275" s="1303"/>
      <c r="GR1275" s="1304"/>
      <c r="GS1275" s="1299" t="s">
        <v>670</v>
      </c>
      <c r="GT1275" s="1300"/>
      <c r="GU1275" s="1300"/>
      <c r="GV1275" s="1300"/>
      <c r="GW1275" s="1300"/>
      <c r="GX1275" s="1300"/>
      <c r="GY1275" s="1300"/>
      <c r="GZ1275" s="1300"/>
      <c r="HA1275" s="1300"/>
      <c r="HB1275" s="1300"/>
      <c r="HC1275" s="1300"/>
      <c r="HD1275" s="1300"/>
      <c r="HE1275" s="1300"/>
      <c r="HF1275" s="1300"/>
      <c r="HG1275" s="1300"/>
      <c r="HH1275" s="1300"/>
      <c r="HI1275" s="1300"/>
      <c r="HJ1275" s="1300"/>
      <c r="HK1275" s="1300"/>
      <c r="HL1275" s="1300"/>
      <c r="HM1275" s="1301"/>
      <c r="HN1275" s="1302" t="s">
        <v>671</v>
      </c>
      <c r="HO1275" s="1303"/>
      <c r="HP1275" s="1303"/>
      <c r="HQ1275" s="1303"/>
      <c r="HR1275" s="1303"/>
      <c r="HS1275" s="1303"/>
      <c r="HT1275" s="1303"/>
      <c r="HU1275" s="1303"/>
      <c r="HV1275" s="1303"/>
      <c r="HW1275" s="1303"/>
      <c r="HX1275" s="1303"/>
      <c r="HY1275" s="1303"/>
      <c r="HZ1275" s="1303"/>
      <c r="IA1275" s="1303"/>
      <c r="IB1275" s="1303"/>
      <c r="IC1275" s="1303"/>
      <c r="ID1275" s="1303"/>
      <c r="IE1275" s="1303"/>
      <c r="IF1275" s="1303"/>
      <c r="IG1275" s="1303"/>
      <c r="IH1275" s="1304"/>
      <c r="II1275" s="1299" t="s">
        <v>672</v>
      </c>
      <c r="IJ1275" s="1300"/>
      <c r="IK1275" s="1300"/>
      <c r="IL1275" s="1300"/>
      <c r="IM1275" s="1300"/>
      <c r="IN1275" s="1300"/>
      <c r="IO1275" s="1300"/>
      <c r="IP1275" s="1300"/>
      <c r="IQ1275" s="1300"/>
      <c r="IR1275" s="1300"/>
      <c r="IS1275" s="1300"/>
      <c r="IT1275" s="1300"/>
      <c r="IU1275" s="1300"/>
      <c r="IV1275" s="1300"/>
      <c r="IW1275" s="1300"/>
      <c r="IX1275" s="1300"/>
      <c r="IY1275" s="1300"/>
      <c r="IZ1275" s="1300"/>
      <c r="JA1275" s="1300"/>
      <c r="JB1275" s="1300"/>
      <c r="JC1275" s="1301"/>
      <c r="JD1275" s="1302" t="s">
        <v>673</v>
      </c>
      <c r="JE1275" s="1303"/>
      <c r="JF1275" s="1303"/>
      <c r="JG1275" s="1303"/>
      <c r="JH1275" s="1303"/>
      <c r="JI1275" s="1303"/>
      <c r="JJ1275" s="1303"/>
      <c r="JK1275" s="1303"/>
      <c r="JL1275" s="1303"/>
      <c r="JM1275" s="1303"/>
      <c r="JN1275" s="1303"/>
      <c r="JO1275" s="1303"/>
      <c r="JP1275" s="1303"/>
      <c r="JQ1275" s="1303"/>
      <c r="JR1275" s="1303"/>
      <c r="JS1275" s="1303"/>
      <c r="JT1275" s="1303"/>
      <c r="JU1275" s="1303"/>
      <c r="JV1275" s="1303"/>
      <c r="JW1275" s="1303"/>
      <c r="JX1275" s="1304"/>
      <c r="JY1275" s="1299" t="s">
        <v>674</v>
      </c>
      <c r="JZ1275" s="1300"/>
      <c r="KA1275" s="1300"/>
      <c r="KB1275" s="1300"/>
      <c r="KC1275" s="1300"/>
      <c r="KD1275" s="1300"/>
      <c r="KE1275" s="1300"/>
      <c r="KF1275" s="1300"/>
      <c r="KG1275" s="1300"/>
      <c r="KH1275" s="1300"/>
      <c r="KI1275" s="1300"/>
      <c r="KJ1275" s="1300"/>
      <c r="KK1275" s="1300"/>
      <c r="KL1275" s="1300"/>
      <c r="KM1275" s="1300"/>
      <c r="KN1275" s="1300"/>
      <c r="KO1275" s="1300"/>
      <c r="KP1275" s="1300"/>
      <c r="KQ1275" s="1300"/>
      <c r="KR1275" s="1300"/>
      <c r="KS1275" s="1301"/>
      <c r="KT1275" s="1302" t="s">
        <v>675</v>
      </c>
      <c r="KU1275" s="1303"/>
      <c r="KV1275" s="1303"/>
      <c r="KW1275" s="1303"/>
      <c r="KX1275" s="1303"/>
      <c r="KY1275" s="1303"/>
      <c r="KZ1275" s="1303"/>
      <c r="LA1275" s="1303"/>
      <c r="LB1275" s="1303"/>
      <c r="LC1275" s="1303"/>
      <c r="LD1275" s="1303"/>
      <c r="LE1275" s="1303"/>
      <c r="LF1275" s="1303"/>
      <c r="LG1275" s="1303"/>
      <c r="LH1275" s="1303"/>
      <c r="LI1275" s="1303"/>
      <c r="LJ1275" s="1303"/>
      <c r="LK1275" s="1303"/>
      <c r="LL1275" s="1303"/>
      <c r="LM1275" s="1303"/>
      <c r="LN1275" s="1304"/>
      <c r="LO1275" s="1299" t="s">
        <v>676</v>
      </c>
      <c r="LP1275" s="1300"/>
      <c r="LQ1275" s="1300"/>
      <c r="LR1275" s="1300"/>
      <c r="LS1275" s="1300"/>
      <c r="LT1275" s="1300"/>
      <c r="LU1275" s="1300"/>
      <c r="LV1275" s="1300"/>
      <c r="LW1275" s="1300"/>
      <c r="LX1275" s="1300"/>
      <c r="LY1275" s="1300"/>
      <c r="LZ1275" s="1300"/>
      <c r="MA1275" s="1300"/>
      <c r="MB1275" s="1300"/>
      <c r="MC1275" s="1300"/>
      <c r="MD1275" s="1300"/>
      <c r="ME1275" s="1300"/>
      <c r="MF1275" s="1300"/>
      <c r="MG1275" s="1300"/>
      <c r="MH1275" s="1300"/>
      <c r="MI1275" s="1301"/>
      <c r="MJ1275" s="1302" t="s">
        <v>677</v>
      </c>
      <c r="MK1275" s="1303"/>
      <c r="ML1275" s="1303"/>
      <c r="MM1275" s="1303"/>
      <c r="MN1275" s="1303"/>
      <c r="MO1275" s="1303"/>
      <c r="MP1275" s="1303"/>
      <c r="MQ1275" s="1303"/>
      <c r="MR1275" s="1303"/>
      <c r="MS1275" s="1303"/>
      <c r="MT1275" s="1303"/>
      <c r="MU1275" s="1303"/>
      <c r="MV1275" s="1303"/>
      <c r="MW1275" s="1303"/>
      <c r="MX1275" s="1303"/>
      <c r="MY1275" s="1303"/>
      <c r="MZ1275" s="1303"/>
      <c r="NA1275" s="1303"/>
      <c r="NB1275" s="1303"/>
      <c r="NC1275" s="1303"/>
      <c r="ND1275" s="1304"/>
      <c r="NE1275" s="1299" t="s">
        <v>678</v>
      </c>
      <c r="NF1275" s="1300"/>
      <c r="NG1275" s="1300"/>
      <c r="NH1275" s="1300"/>
      <c r="NI1275" s="1300"/>
      <c r="NJ1275" s="1300"/>
      <c r="NK1275" s="1300"/>
      <c r="NL1275" s="1300"/>
      <c r="NM1275" s="1300"/>
      <c r="NN1275" s="1300"/>
      <c r="NO1275" s="1300"/>
      <c r="NP1275" s="1300"/>
      <c r="NQ1275" s="1300"/>
      <c r="NR1275" s="1300"/>
      <c r="NS1275" s="1300"/>
      <c r="NT1275" s="1300"/>
      <c r="NU1275" s="1300"/>
      <c r="NV1275" s="1300"/>
      <c r="NW1275" s="1300"/>
      <c r="NX1275" s="1300"/>
      <c r="NY1275" s="1301"/>
      <c r="NZ1275" s="1302" t="s">
        <v>679</v>
      </c>
      <c r="OA1275" s="1303"/>
      <c r="OB1275" s="1303"/>
      <c r="OC1275" s="1303"/>
      <c r="OD1275" s="1303"/>
      <c r="OE1275" s="1303"/>
      <c r="OF1275" s="1303"/>
      <c r="OG1275" s="1303"/>
      <c r="OH1275" s="1303"/>
      <c r="OI1275" s="1303"/>
      <c r="OJ1275" s="1303"/>
      <c r="OK1275" s="1303"/>
      <c r="OL1275" s="1303"/>
      <c r="OM1275" s="1303"/>
      <c r="ON1275" s="1303"/>
      <c r="OO1275" s="1303"/>
      <c r="OP1275" s="1303"/>
      <c r="OQ1275" s="1303"/>
      <c r="OR1275" s="1303"/>
      <c r="OS1275" s="1303"/>
      <c r="OT1275" s="1304"/>
      <c r="OU1275" s="1299" t="s">
        <v>680</v>
      </c>
      <c r="OV1275" s="1300"/>
      <c r="OW1275" s="1300"/>
      <c r="OX1275" s="1300"/>
      <c r="OY1275" s="1300"/>
      <c r="OZ1275" s="1300"/>
      <c r="PA1275" s="1300"/>
      <c r="PB1275" s="1300"/>
      <c r="PC1275" s="1300"/>
      <c r="PD1275" s="1300"/>
      <c r="PE1275" s="1300"/>
      <c r="PF1275" s="1300"/>
      <c r="PG1275" s="1300"/>
      <c r="PH1275" s="1300"/>
      <c r="PI1275" s="1300"/>
      <c r="PJ1275" s="1300"/>
      <c r="PK1275" s="1300"/>
      <c r="PL1275" s="1300"/>
      <c r="PM1275" s="1300"/>
      <c r="PN1275" s="1300"/>
      <c r="PO1275" s="1301"/>
      <c r="PP1275" s="1302" t="s">
        <v>681</v>
      </c>
      <c r="PQ1275" s="1303"/>
      <c r="PR1275" s="1303"/>
      <c r="PS1275" s="1303"/>
      <c r="PT1275" s="1303"/>
      <c r="PU1275" s="1303"/>
      <c r="PV1275" s="1303"/>
      <c r="PW1275" s="1303"/>
      <c r="PX1275" s="1303"/>
      <c r="PY1275" s="1303"/>
      <c r="PZ1275" s="1303"/>
      <c r="QA1275" s="1303"/>
      <c r="QB1275" s="1303"/>
      <c r="QC1275" s="1303"/>
      <c r="QD1275" s="1303"/>
      <c r="QE1275" s="1303"/>
      <c r="QF1275" s="1303"/>
      <c r="QG1275" s="1303"/>
      <c r="QH1275" s="1303"/>
      <c r="QI1275" s="1303"/>
      <c r="QJ1275" s="1304"/>
      <c r="QK1275" s="1299" t="s">
        <v>682</v>
      </c>
      <c r="QL1275" s="1300"/>
      <c r="QM1275" s="1300"/>
      <c r="QN1275" s="1300"/>
      <c r="QO1275" s="1300"/>
      <c r="QP1275" s="1300"/>
      <c r="QQ1275" s="1300"/>
      <c r="QR1275" s="1300"/>
      <c r="QS1275" s="1300"/>
      <c r="QT1275" s="1300"/>
      <c r="QU1275" s="1300"/>
      <c r="QV1275" s="1300"/>
      <c r="QW1275" s="1300"/>
      <c r="QX1275" s="1300"/>
      <c r="QY1275" s="1300"/>
      <c r="QZ1275" s="1300"/>
      <c r="RA1275" s="1300"/>
      <c r="RB1275" s="1300"/>
      <c r="RC1275" s="1300"/>
      <c r="RD1275" s="1300"/>
      <c r="RE1275" s="1301"/>
      <c r="RF1275" s="1302" t="s">
        <v>683</v>
      </c>
      <c r="RG1275" s="1303"/>
      <c r="RH1275" s="1303"/>
      <c r="RI1275" s="1303"/>
      <c r="RJ1275" s="1303"/>
      <c r="RK1275" s="1303"/>
      <c r="RL1275" s="1303"/>
      <c r="RM1275" s="1303"/>
      <c r="RN1275" s="1303"/>
      <c r="RO1275" s="1303"/>
      <c r="RP1275" s="1303"/>
      <c r="RQ1275" s="1303"/>
      <c r="RR1275" s="1303"/>
      <c r="RS1275" s="1303"/>
      <c r="RT1275" s="1303"/>
      <c r="RU1275" s="1303"/>
      <c r="RV1275" s="1303"/>
      <c r="RW1275" s="1303"/>
      <c r="RX1275" s="1303"/>
      <c r="RY1275" s="1303"/>
      <c r="RZ1275" s="1304"/>
      <c r="SA1275" s="1299" t="s">
        <v>684</v>
      </c>
      <c r="SB1275" s="1300"/>
      <c r="SC1275" s="1300"/>
      <c r="SD1275" s="1300"/>
      <c r="SE1275" s="1300"/>
      <c r="SF1275" s="1300"/>
      <c r="SG1275" s="1300"/>
      <c r="SH1275" s="1300"/>
      <c r="SI1275" s="1300"/>
      <c r="SJ1275" s="1300"/>
      <c r="SK1275" s="1300"/>
      <c r="SL1275" s="1300"/>
      <c r="SM1275" s="1300"/>
      <c r="SN1275" s="1300"/>
      <c r="SO1275" s="1300"/>
      <c r="SP1275" s="1300"/>
      <c r="SQ1275" s="1300"/>
      <c r="SR1275" s="1300"/>
      <c r="SS1275" s="1300"/>
      <c r="ST1275" s="1300"/>
      <c r="SU1275" s="1301"/>
      <c r="SV1275" s="1302" t="s">
        <v>685</v>
      </c>
      <c r="SW1275" s="1303"/>
      <c r="SX1275" s="1303"/>
      <c r="SY1275" s="1303"/>
      <c r="SZ1275" s="1303"/>
      <c r="TA1275" s="1303"/>
      <c r="TB1275" s="1303"/>
      <c r="TC1275" s="1303"/>
      <c r="TD1275" s="1303"/>
      <c r="TE1275" s="1303"/>
      <c r="TF1275" s="1303"/>
      <c r="TG1275" s="1303"/>
      <c r="TH1275" s="1303"/>
      <c r="TI1275" s="1303"/>
      <c r="TJ1275" s="1303"/>
      <c r="TK1275" s="1303"/>
      <c r="TL1275" s="1303"/>
      <c r="TM1275" s="1303"/>
      <c r="TN1275" s="1303"/>
      <c r="TO1275" s="1303"/>
      <c r="TP1275" s="1304"/>
      <c r="TQ1275" s="1299" t="s">
        <v>686</v>
      </c>
      <c r="TR1275" s="1300"/>
      <c r="TS1275" s="1300"/>
      <c r="TT1275" s="1300"/>
      <c r="TU1275" s="1300"/>
      <c r="TV1275" s="1300"/>
      <c r="TW1275" s="1300"/>
      <c r="TX1275" s="1300"/>
      <c r="TY1275" s="1300"/>
      <c r="TZ1275" s="1300"/>
      <c r="UA1275" s="1300"/>
      <c r="UB1275" s="1300"/>
      <c r="UC1275" s="1300"/>
      <c r="UD1275" s="1300"/>
      <c r="UE1275" s="1300"/>
      <c r="UF1275" s="1300"/>
      <c r="UG1275" s="1300"/>
      <c r="UH1275" s="1300"/>
      <c r="UI1275" s="1300"/>
      <c r="UJ1275" s="1300"/>
      <c r="UK1275" s="1301"/>
      <c r="UL1275" s="1302" t="s">
        <v>687</v>
      </c>
      <c r="UM1275" s="1303"/>
      <c r="UN1275" s="1303"/>
      <c r="UO1275" s="1303"/>
      <c r="UP1275" s="1303"/>
      <c r="UQ1275" s="1303"/>
      <c r="UR1275" s="1303"/>
      <c r="US1275" s="1303"/>
      <c r="UT1275" s="1303"/>
      <c r="UU1275" s="1303"/>
      <c r="UV1275" s="1303"/>
      <c r="UW1275" s="1303"/>
      <c r="UX1275" s="1303"/>
      <c r="UY1275" s="1303"/>
      <c r="UZ1275" s="1303"/>
      <c r="VA1275" s="1303"/>
      <c r="VB1275" s="1303"/>
      <c r="VC1275" s="1303"/>
      <c r="VD1275" s="1303"/>
      <c r="VE1275" s="1303"/>
      <c r="VF1275" s="1304"/>
      <c r="VG1275" s="1299" t="s">
        <v>688</v>
      </c>
      <c r="VH1275" s="1300"/>
      <c r="VI1275" s="1300"/>
      <c r="VJ1275" s="1300"/>
      <c r="VK1275" s="1300"/>
      <c r="VL1275" s="1300"/>
      <c r="VM1275" s="1300"/>
      <c r="VN1275" s="1300"/>
      <c r="VO1275" s="1300"/>
      <c r="VP1275" s="1300"/>
      <c r="VQ1275" s="1300"/>
      <c r="VR1275" s="1300"/>
      <c r="VS1275" s="1300"/>
      <c r="VT1275" s="1300"/>
      <c r="VU1275" s="1300"/>
      <c r="VV1275" s="1300"/>
      <c r="VW1275" s="1300"/>
      <c r="VX1275" s="1300"/>
      <c r="VY1275" s="1300"/>
      <c r="VZ1275" s="1300"/>
      <c r="WA1275" s="1301"/>
      <c r="WB1275" s="1302" t="s">
        <v>689</v>
      </c>
      <c r="WC1275" s="1303"/>
      <c r="WD1275" s="1303"/>
      <c r="WE1275" s="1303"/>
      <c r="WF1275" s="1303"/>
      <c r="WG1275" s="1303"/>
      <c r="WH1275" s="1303"/>
      <c r="WI1275" s="1303"/>
      <c r="WJ1275" s="1303"/>
      <c r="WK1275" s="1303"/>
      <c r="WL1275" s="1303"/>
      <c r="WM1275" s="1303"/>
      <c r="WN1275" s="1303"/>
      <c r="WO1275" s="1303"/>
      <c r="WP1275" s="1303"/>
      <c r="WQ1275" s="1303"/>
      <c r="WR1275" s="1303"/>
      <c r="WS1275" s="1303"/>
      <c r="WT1275" s="1303"/>
      <c r="WU1275" s="1303"/>
      <c r="WV1275" s="1304"/>
      <c r="WW1275" s="1299" t="s">
        <v>690</v>
      </c>
      <c r="WX1275" s="1300"/>
      <c r="WY1275" s="1300"/>
      <c r="WZ1275" s="1300"/>
      <c r="XA1275" s="1300"/>
      <c r="XB1275" s="1300"/>
      <c r="XC1275" s="1300"/>
      <c r="XD1275" s="1300"/>
      <c r="XE1275" s="1300"/>
      <c r="XF1275" s="1300"/>
      <c r="XG1275" s="1300"/>
      <c r="XH1275" s="1300"/>
      <c r="XI1275" s="1300"/>
      <c r="XJ1275" s="1300"/>
      <c r="XK1275" s="1300"/>
      <c r="XL1275" s="1300"/>
      <c r="XM1275" s="1300"/>
      <c r="XN1275" s="1300"/>
      <c r="XO1275" s="1300"/>
      <c r="XP1275" s="1300"/>
      <c r="XQ1275" s="1301"/>
      <c r="XR1275" s="1302" t="s">
        <v>691</v>
      </c>
      <c r="XS1275" s="1303"/>
      <c r="XT1275" s="1303"/>
      <c r="XU1275" s="1303"/>
      <c r="XV1275" s="1303"/>
      <c r="XW1275" s="1303"/>
      <c r="XX1275" s="1303"/>
      <c r="XY1275" s="1303"/>
      <c r="XZ1275" s="1303"/>
      <c r="YA1275" s="1303"/>
      <c r="YB1275" s="1303"/>
      <c r="YC1275" s="1303"/>
      <c r="YD1275" s="1303"/>
      <c r="YE1275" s="1303"/>
      <c r="YF1275" s="1303"/>
      <c r="YG1275" s="1303"/>
      <c r="YH1275" s="1303"/>
      <c r="YI1275" s="1303"/>
      <c r="YJ1275" s="1303"/>
      <c r="YK1275" s="1303"/>
      <c r="YL1275" s="1304"/>
      <c r="YM1275" s="1296" t="s">
        <v>692</v>
      </c>
      <c r="YN1275" s="1297"/>
      <c r="YO1275" s="1297"/>
      <c r="YP1275" s="1297"/>
      <c r="YQ1275" s="1297"/>
      <c r="YR1275" s="1297"/>
      <c r="YS1275" s="1297"/>
      <c r="YT1275" s="1297"/>
      <c r="YU1275" s="1297"/>
      <c r="YV1275" s="1297"/>
      <c r="YW1275" s="1297"/>
      <c r="YX1275" s="1297"/>
      <c r="YY1275" s="1297"/>
      <c r="YZ1275" s="1297"/>
      <c r="ZA1275" s="1297"/>
      <c r="ZB1275" s="1297"/>
      <c r="ZC1275" s="1297"/>
      <c r="ZD1275" s="1297"/>
      <c r="ZE1275" s="1297"/>
      <c r="ZF1275" s="1297"/>
      <c r="ZG1275" s="1298"/>
    </row>
    <row r="1276" spans="1:683" ht="39.75" customHeight="1" x14ac:dyDescent="0.25">
      <c r="A1276" s="1305"/>
      <c r="B1276" s="1306"/>
      <c r="C1276" s="1307"/>
      <c r="D1276" s="1310"/>
      <c r="E1276" s="1311"/>
      <c r="F1276" s="1287" t="s">
        <v>693</v>
      </c>
      <c r="G1276" s="1288"/>
      <c r="H1276" s="1289"/>
      <c r="I1276" s="1287" t="s">
        <v>694</v>
      </c>
      <c r="J1276" s="1288"/>
      <c r="K1276" s="1289"/>
      <c r="L1276" s="1293" t="s">
        <v>695</v>
      </c>
      <c r="M1276" s="1294"/>
      <c r="N1276" s="1295"/>
      <c r="O1276" s="1293" t="s">
        <v>696</v>
      </c>
      <c r="P1276" s="1294"/>
      <c r="Q1276" s="1295"/>
      <c r="R1276" s="1293" t="s">
        <v>697</v>
      </c>
      <c r="S1276" s="1294"/>
      <c r="T1276" s="1295"/>
      <c r="U1276" s="1293" t="s">
        <v>986</v>
      </c>
      <c r="V1276" s="1294"/>
      <c r="W1276" s="1295"/>
      <c r="X1276" s="1293" t="s">
        <v>987</v>
      </c>
      <c r="Y1276" s="1294"/>
      <c r="Z1276" s="1295"/>
      <c r="AA1276" s="1293" t="s">
        <v>988</v>
      </c>
      <c r="AB1276" s="1294"/>
      <c r="AC1276" s="1295"/>
      <c r="AD1276" s="1293" t="s">
        <v>989</v>
      </c>
      <c r="AE1276" s="1294"/>
      <c r="AF1276" s="1295"/>
      <c r="AG1276" s="1287" t="s">
        <v>695</v>
      </c>
      <c r="AH1276" s="1288"/>
      <c r="AI1276" s="1289"/>
      <c r="AJ1276" s="1287" t="s">
        <v>696</v>
      </c>
      <c r="AK1276" s="1288"/>
      <c r="AL1276" s="1289"/>
      <c r="AM1276" s="1287" t="s">
        <v>697</v>
      </c>
      <c r="AN1276" s="1288"/>
      <c r="AO1276" s="1289"/>
      <c r="AP1276" s="1293" t="s">
        <v>986</v>
      </c>
      <c r="AQ1276" s="1294"/>
      <c r="AR1276" s="1295"/>
      <c r="AS1276" s="1293" t="s">
        <v>987</v>
      </c>
      <c r="AT1276" s="1294"/>
      <c r="AU1276" s="1295"/>
      <c r="AV1276" s="1287" t="s">
        <v>988</v>
      </c>
      <c r="AW1276" s="1288"/>
      <c r="AX1276" s="1289"/>
      <c r="AY1276" s="1287" t="s">
        <v>989</v>
      </c>
      <c r="AZ1276" s="1288"/>
      <c r="BA1276" s="1289"/>
      <c r="BB1276" s="1293" t="s">
        <v>695</v>
      </c>
      <c r="BC1276" s="1294"/>
      <c r="BD1276" s="1295"/>
      <c r="BE1276" s="1293" t="s">
        <v>696</v>
      </c>
      <c r="BF1276" s="1294"/>
      <c r="BG1276" s="1295"/>
      <c r="BH1276" s="1293" t="s">
        <v>697</v>
      </c>
      <c r="BI1276" s="1294"/>
      <c r="BJ1276" s="1295"/>
      <c r="BK1276" s="1293" t="s">
        <v>986</v>
      </c>
      <c r="BL1276" s="1294"/>
      <c r="BM1276" s="1295"/>
      <c r="BN1276" s="1293" t="s">
        <v>987</v>
      </c>
      <c r="BO1276" s="1294"/>
      <c r="BP1276" s="1295"/>
      <c r="BQ1276" s="1293" t="s">
        <v>988</v>
      </c>
      <c r="BR1276" s="1294"/>
      <c r="BS1276" s="1295"/>
      <c r="BT1276" s="1293" t="s">
        <v>989</v>
      </c>
      <c r="BU1276" s="1294"/>
      <c r="BV1276" s="1295"/>
      <c r="BW1276" s="1287" t="s">
        <v>695</v>
      </c>
      <c r="BX1276" s="1288"/>
      <c r="BY1276" s="1289"/>
      <c r="BZ1276" s="1287" t="s">
        <v>696</v>
      </c>
      <c r="CA1276" s="1288"/>
      <c r="CB1276" s="1289"/>
      <c r="CC1276" s="1287" t="s">
        <v>697</v>
      </c>
      <c r="CD1276" s="1288"/>
      <c r="CE1276" s="1289"/>
      <c r="CF1276" s="1293" t="s">
        <v>986</v>
      </c>
      <c r="CG1276" s="1294"/>
      <c r="CH1276" s="1295"/>
      <c r="CI1276" s="1293" t="s">
        <v>987</v>
      </c>
      <c r="CJ1276" s="1294"/>
      <c r="CK1276" s="1295"/>
      <c r="CL1276" s="1287" t="s">
        <v>988</v>
      </c>
      <c r="CM1276" s="1288"/>
      <c r="CN1276" s="1289"/>
      <c r="CO1276" s="1287" t="s">
        <v>989</v>
      </c>
      <c r="CP1276" s="1288"/>
      <c r="CQ1276" s="1289"/>
      <c r="CR1276" s="1293" t="s">
        <v>695</v>
      </c>
      <c r="CS1276" s="1294"/>
      <c r="CT1276" s="1295"/>
      <c r="CU1276" s="1293" t="s">
        <v>696</v>
      </c>
      <c r="CV1276" s="1294"/>
      <c r="CW1276" s="1295"/>
      <c r="CX1276" s="1293" t="s">
        <v>697</v>
      </c>
      <c r="CY1276" s="1294"/>
      <c r="CZ1276" s="1295"/>
      <c r="DA1276" s="1293" t="s">
        <v>986</v>
      </c>
      <c r="DB1276" s="1294"/>
      <c r="DC1276" s="1295"/>
      <c r="DD1276" s="1293" t="s">
        <v>987</v>
      </c>
      <c r="DE1276" s="1294"/>
      <c r="DF1276" s="1295"/>
      <c r="DG1276" s="1293" t="s">
        <v>988</v>
      </c>
      <c r="DH1276" s="1294"/>
      <c r="DI1276" s="1295"/>
      <c r="DJ1276" s="1293" t="s">
        <v>989</v>
      </c>
      <c r="DK1276" s="1294"/>
      <c r="DL1276" s="1295"/>
      <c r="DM1276" s="1287" t="s">
        <v>695</v>
      </c>
      <c r="DN1276" s="1288"/>
      <c r="DO1276" s="1289"/>
      <c r="DP1276" s="1287" t="s">
        <v>696</v>
      </c>
      <c r="DQ1276" s="1288"/>
      <c r="DR1276" s="1289"/>
      <c r="DS1276" s="1287" t="s">
        <v>697</v>
      </c>
      <c r="DT1276" s="1288"/>
      <c r="DU1276" s="1289"/>
      <c r="DV1276" s="1293" t="s">
        <v>986</v>
      </c>
      <c r="DW1276" s="1294"/>
      <c r="DX1276" s="1295"/>
      <c r="DY1276" s="1293" t="s">
        <v>987</v>
      </c>
      <c r="DZ1276" s="1294"/>
      <c r="EA1276" s="1295"/>
      <c r="EB1276" s="1287" t="s">
        <v>988</v>
      </c>
      <c r="EC1276" s="1288"/>
      <c r="ED1276" s="1289"/>
      <c r="EE1276" s="1287" t="s">
        <v>989</v>
      </c>
      <c r="EF1276" s="1288"/>
      <c r="EG1276" s="1289"/>
      <c r="EH1276" s="1293" t="s">
        <v>695</v>
      </c>
      <c r="EI1276" s="1294"/>
      <c r="EJ1276" s="1295"/>
      <c r="EK1276" s="1293" t="s">
        <v>696</v>
      </c>
      <c r="EL1276" s="1294"/>
      <c r="EM1276" s="1295"/>
      <c r="EN1276" s="1293" t="s">
        <v>697</v>
      </c>
      <c r="EO1276" s="1294"/>
      <c r="EP1276" s="1295"/>
      <c r="EQ1276" s="1293" t="s">
        <v>986</v>
      </c>
      <c r="ER1276" s="1294"/>
      <c r="ES1276" s="1295"/>
      <c r="ET1276" s="1293" t="s">
        <v>987</v>
      </c>
      <c r="EU1276" s="1294"/>
      <c r="EV1276" s="1295"/>
      <c r="EW1276" s="1293" t="s">
        <v>988</v>
      </c>
      <c r="EX1276" s="1294"/>
      <c r="EY1276" s="1295"/>
      <c r="EZ1276" s="1293" t="s">
        <v>989</v>
      </c>
      <c r="FA1276" s="1294"/>
      <c r="FB1276" s="1295"/>
      <c r="FC1276" s="1287" t="s">
        <v>695</v>
      </c>
      <c r="FD1276" s="1288"/>
      <c r="FE1276" s="1289"/>
      <c r="FF1276" s="1287" t="s">
        <v>696</v>
      </c>
      <c r="FG1276" s="1288"/>
      <c r="FH1276" s="1289"/>
      <c r="FI1276" s="1287" t="s">
        <v>697</v>
      </c>
      <c r="FJ1276" s="1288"/>
      <c r="FK1276" s="1289"/>
      <c r="FL1276" s="1293" t="s">
        <v>986</v>
      </c>
      <c r="FM1276" s="1294"/>
      <c r="FN1276" s="1295"/>
      <c r="FO1276" s="1293" t="s">
        <v>987</v>
      </c>
      <c r="FP1276" s="1294"/>
      <c r="FQ1276" s="1295"/>
      <c r="FR1276" s="1287" t="s">
        <v>988</v>
      </c>
      <c r="FS1276" s="1288"/>
      <c r="FT1276" s="1289"/>
      <c r="FU1276" s="1287" t="s">
        <v>989</v>
      </c>
      <c r="FV1276" s="1288"/>
      <c r="FW1276" s="1289"/>
      <c r="FX1276" s="1293" t="s">
        <v>695</v>
      </c>
      <c r="FY1276" s="1294"/>
      <c r="FZ1276" s="1295"/>
      <c r="GA1276" s="1293" t="s">
        <v>696</v>
      </c>
      <c r="GB1276" s="1294"/>
      <c r="GC1276" s="1295"/>
      <c r="GD1276" s="1293" t="s">
        <v>697</v>
      </c>
      <c r="GE1276" s="1294"/>
      <c r="GF1276" s="1295"/>
      <c r="GG1276" s="1293" t="s">
        <v>986</v>
      </c>
      <c r="GH1276" s="1294"/>
      <c r="GI1276" s="1295"/>
      <c r="GJ1276" s="1293" t="s">
        <v>987</v>
      </c>
      <c r="GK1276" s="1294"/>
      <c r="GL1276" s="1295"/>
      <c r="GM1276" s="1293" t="s">
        <v>988</v>
      </c>
      <c r="GN1276" s="1294"/>
      <c r="GO1276" s="1295"/>
      <c r="GP1276" s="1293" t="s">
        <v>989</v>
      </c>
      <c r="GQ1276" s="1294"/>
      <c r="GR1276" s="1295"/>
      <c r="GS1276" s="1287" t="s">
        <v>695</v>
      </c>
      <c r="GT1276" s="1288"/>
      <c r="GU1276" s="1289"/>
      <c r="GV1276" s="1287" t="s">
        <v>696</v>
      </c>
      <c r="GW1276" s="1288"/>
      <c r="GX1276" s="1289"/>
      <c r="GY1276" s="1287" t="s">
        <v>697</v>
      </c>
      <c r="GZ1276" s="1288"/>
      <c r="HA1276" s="1289"/>
      <c r="HB1276" s="1293" t="s">
        <v>986</v>
      </c>
      <c r="HC1276" s="1294"/>
      <c r="HD1276" s="1295"/>
      <c r="HE1276" s="1293" t="s">
        <v>987</v>
      </c>
      <c r="HF1276" s="1294"/>
      <c r="HG1276" s="1295"/>
      <c r="HH1276" s="1287" t="s">
        <v>988</v>
      </c>
      <c r="HI1276" s="1288"/>
      <c r="HJ1276" s="1289"/>
      <c r="HK1276" s="1287" t="s">
        <v>989</v>
      </c>
      <c r="HL1276" s="1288"/>
      <c r="HM1276" s="1289"/>
      <c r="HN1276" s="1293" t="s">
        <v>695</v>
      </c>
      <c r="HO1276" s="1294"/>
      <c r="HP1276" s="1295"/>
      <c r="HQ1276" s="1293" t="s">
        <v>696</v>
      </c>
      <c r="HR1276" s="1294"/>
      <c r="HS1276" s="1295"/>
      <c r="HT1276" s="1293" t="s">
        <v>697</v>
      </c>
      <c r="HU1276" s="1294"/>
      <c r="HV1276" s="1295"/>
      <c r="HW1276" s="1293" t="s">
        <v>986</v>
      </c>
      <c r="HX1276" s="1294"/>
      <c r="HY1276" s="1295"/>
      <c r="HZ1276" s="1293" t="s">
        <v>987</v>
      </c>
      <c r="IA1276" s="1294"/>
      <c r="IB1276" s="1295"/>
      <c r="IC1276" s="1293" t="s">
        <v>988</v>
      </c>
      <c r="ID1276" s="1294"/>
      <c r="IE1276" s="1295"/>
      <c r="IF1276" s="1293" t="s">
        <v>989</v>
      </c>
      <c r="IG1276" s="1294"/>
      <c r="IH1276" s="1295"/>
      <c r="II1276" s="1287" t="s">
        <v>695</v>
      </c>
      <c r="IJ1276" s="1288"/>
      <c r="IK1276" s="1289"/>
      <c r="IL1276" s="1287" t="s">
        <v>696</v>
      </c>
      <c r="IM1276" s="1288"/>
      <c r="IN1276" s="1289"/>
      <c r="IO1276" s="1287" t="s">
        <v>697</v>
      </c>
      <c r="IP1276" s="1288"/>
      <c r="IQ1276" s="1289"/>
      <c r="IR1276" s="1293" t="s">
        <v>986</v>
      </c>
      <c r="IS1276" s="1294"/>
      <c r="IT1276" s="1295"/>
      <c r="IU1276" s="1293" t="s">
        <v>987</v>
      </c>
      <c r="IV1276" s="1294"/>
      <c r="IW1276" s="1295"/>
      <c r="IX1276" s="1287" t="s">
        <v>988</v>
      </c>
      <c r="IY1276" s="1288"/>
      <c r="IZ1276" s="1289"/>
      <c r="JA1276" s="1287" t="s">
        <v>989</v>
      </c>
      <c r="JB1276" s="1288"/>
      <c r="JC1276" s="1289"/>
      <c r="JD1276" s="1293" t="s">
        <v>695</v>
      </c>
      <c r="JE1276" s="1294"/>
      <c r="JF1276" s="1295"/>
      <c r="JG1276" s="1293" t="s">
        <v>696</v>
      </c>
      <c r="JH1276" s="1294"/>
      <c r="JI1276" s="1295"/>
      <c r="JJ1276" s="1293" t="s">
        <v>697</v>
      </c>
      <c r="JK1276" s="1294"/>
      <c r="JL1276" s="1295"/>
      <c r="JM1276" s="1293" t="s">
        <v>986</v>
      </c>
      <c r="JN1276" s="1294"/>
      <c r="JO1276" s="1295"/>
      <c r="JP1276" s="1293" t="s">
        <v>987</v>
      </c>
      <c r="JQ1276" s="1294"/>
      <c r="JR1276" s="1295"/>
      <c r="JS1276" s="1293" t="s">
        <v>988</v>
      </c>
      <c r="JT1276" s="1294"/>
      <c r="JU1276" s="1295"/>
      <c r="JV1276" s="1293" t="s">
        <v>989</v>
      </c>
      <c r="JW1276" s="1294"/>
      <c r="JX1276" s="1295"/>
      <c r="JY1276" s="1287" t="s">
        <v>695</v>
      </c>
      <c r="JZ1276" s="1288"/>
      <c r="KA1276" s="1289"/>
      <c r="KB1276" s="1287" t="s">
        <v>696</v>
      </c>
      <c r="KC1276" s="1288"/>
      <c r="KD1276" s="1289"/>
      <c r="KE1276" s="1287" t="s">
        <v>697</v>
      </c>
      <c r="KF1276" s="1288"/>
      <c r="KG1276" s="1289"/>
      <c r="KH1276" s="1293" t="s">
        <v>986</v>
      </c>
      <c r="KI1276" s="1294"/>
      <c r="KJ1276" s="1295"/>
      <c r="KK1276" s="1293" t="s">
        <v>987</v>
      </c>
      <c r="KL1276" s="1294"/>
      <c r="KM1276" s="1295"/>
      <c r="KN1276" s="1287" t="s">
        <v>988</v>
      </c>
      <c r="KO1276" s="1288"/>
      <c r="KP1276" s="1289"/>
      <c r="KQ1276" s="1287" t="s">
        <v>989</v>
      </c>
      <c r="KR1276" s="1288"/>
      <c r="KS1276" s="1289"/>
      <c r="KT1276" s="1287" t="s">
        <v>695</v>
      </c>
      <c r="KU1276" s="1288"/>
      <c r="KV1276" s="1289"/>
      <c r="KW1276" s="1287" t="s">
        <v>696</v>
      </c>
      <c r="KX1276" s="1288"/>
      <c r="KY1276" s="1289"/>
      <c r="KZ1276" s="1287" t="s">
        <v>697</v>
      </c>
      <c r="LA1276" s="1288"/>
      <c r="LB1276" s="1289"/>
      <c r="LC1276" s="1293" t="s">
        <v>986</v>
      </c>
      <c r="LD1276" s="1294"/>
      <c r="LE1276" s="1295"/>
      <c r="LF1276" s="1293" t="s">
        <v>987</v>
      </c>
      <c r="LG1276" s="1294"/>
      <c r="LH1276" s="1295"/>
      <c r="LI1276" s="1287" t="s">
        <v>988</v>
      </c>
      <c r="LJ1276" s="1288"/>
      <c r="LK1276" s="1289"/>
      <c r="LL1276" s="1287" t="s">
        <v>989</v>
      </c>
      <c r="LM1276" s="1288"/>
      <c r="LN1276" s="1289"/>
      <c r="LO1276" s="1287" t="s">
        <v>695</v>
      </c>
      <c r="LP1276" s="1288"/>
      <c r="LQ1276" s="1289"/>
      <c r="LR1276" s="1287" t="s">
        <v>696</v>
      </c>
      <c r="LS1276" s="1288"/>
      <c r="LT1276" s="1289"/>
      <c r="LU1276" s="1287" t="s">
        <v>697</v>
      </c>
      <c r="LV1276" s="1288"/>
      <c r="LW1276" s="1289"/>
      <c r="LX1276" s="1293" t="s">
        <v>986</v>
      </c>
      <c r="LY1276" s="1294"/>
      <c r="LZ1276" s="1295"/>
      <c r="MA1276" s="1293" t="s">
        <v>987</v>
      </c>
      <c r="MB1276" s="1294"/>
      <c r="MC1276" s="1295"/>
      <c r="MD1276" s="1287" t="s">
        <v>988</v>
      </c>
      <c r="ME1276" s="1288"/>
      <c r="MF1276" s="1289"/>
      <c r="MG1276" s="1287" t="s">
        <v>989</v>
      </c>
      <c r="MH1276" s="1288"/>
      <c r="MI1276" s="1289"/>
      <c r="MJ1276" s="1293" t="s">
        <v>695</v>
      </c>
      <c r="MK1276" s="1294"/>
      <c r="ML1276" s="1295"/>
      <c r="MM1276" s="1293" t="s">
        <v>696</v>
      </c>
      <c r="MN1276" s="1294"/>
      <c r="MO1276" s="1295"/>
      <c r="MP1276" s="1293" t="s">
        <v>697</v>
      </c>
      <c r="MQ1276" s="1294"/>
      <c r="MR1276" s="1295"/>
      <c r="MS1276" s="1293" t="s">
        <v>986</v>
      </c>
      <c r="MT1276" s="1294"/>
      <c r="MU1276" s="1295"/>
      <c r="MV1276" s="1293" t="s">
        <v>987</v>
      </c>
      <c r="MW1276" s="1294"/>
      <c r="MX1276" s="1295"/>
      <c r="MY1276" s="1293" t="s">
        <v>988</v>
      </c>
      <c r="MZ1276" s="1294"/>
      <c r="NA1276" s="1295"/>
      <c r="NB1276" s="1293" t="s">
        <v>989</v>
      </c>
      <c r="NC1276" s="1294"/>
      <c r="ND1276" s="1295"/>
      <c r="NE1276" s="1287" t="s">
        <v>695</v>
      </c>
      <c r="NF1276" s="1288"/>
      <c r="NG1276" s="1289"/>
      <c r="NH1276" s="1287" t="s">
        <v>696</v>
      </c>
      <c r="NI1276" s="1288"/>
      <c r="NJ1276" s="1289"/>
      <c r="NK1276" s="1287" t="s">
        <v>697</v>
      </c>
      <c r="NL1276" s="1288"/>
      <c r="NM1276" s="1289"/>
      <c r="NN1276" s="1293" t="s">
        <v>986</v>
      </c>
      <c r="NO1276" s="1294"/>
      <c r="NP1276" s="1295"/>
      <c r="NQ1276" s="1293" t="s">
        <v>987</v>
      </c>
      <c r="NR1276" s="1294"/>
      <c r="NS1276" s="1295"/>
      <c r="NT1276" s="1287" t="s">
        <v>988</v>
      </c>
      <c r="NU1276" s="1288"/>
      <c r="NV1276" s="1289"/>
      <c r="NW1276" s="1287" t="s">
        <v>989</v>
      </c>
      <c r="NX1276" s="1288"/>
      <c r="NY1276" s="1289"/>
      <c r="NZ1276" s="1293" t="s">
        <v>695</v>
      </c>
      <c r="OA1276" s="1294"/>
      <c r="OB1276" s="1295"/>
      <c r="OC1276" s="1293" t="s">
        <v>696</v>
      </c>
      <c r="OD1276" s="1294"/>
      <c r="OE1276" s="1295"/>
      <c r="OF1276" s="1293" t="s">
        <v>697</v>
      </c>
      <c r="OG1276" s="1294"/>
      <c r="OH1276" s="1295"/>
      <c r="OI1276" s="1293" t="s">
        <v>986</v>
      </c>
      <c r="OJ1276" s="1294"/>
      <c r="OK1276" s="1295"/>
      <c r="OL1276" s="1293" t="s">
        <v>987</v>
      </c>
      <c r="OM1276" s="1294"/>
      <c r="ON1276" s="1295"/>
      <c r="OO1276" s="1293" t="s">
        <v>988</v>
      </c>
      <c r="OP1276" s="1294"/>
      <c r="OQ1276" s="1295"/>
      <c r="OR1276" s="1293" t="s">
        <v>989</v>
      </c>
      <c r="OS1276" s="1294"/>
      <c r="OT1276" s="1295"/>
      <c r="OU1276" s="1287" t="s">
        <v>695</v>
      </c>
      <c r="OV1276" s="1288"/>
      <c r="OW1276" s="1289"/>
      <c r="OX1276" s="1287" t="s">
        <v>696</v>
      </c>
      <c r="OY1276" s="1288"/>
      <c r="OZ1276" s="1289"/>
      <c r="PA1276" s="1287" t="s">
        <v>697</v>
      </c>
      <c r="PB1276" s="1288"/>
      <c r="PC1276" s="1289"/>
      <c r="PD1276" s="1293" t="s">
        <v>986</v>
      </c>
      <c r="PE1276" s="1294"/>
      <c r="PF1276" s="1295"/>
      <c r="PG1276" s="1293" t="s">
        <v>987</v>
      </c>
      <c r="PH1276" s="1294"/>
      <c r="PI1276" s="1295"/>
      <c r="PJ1276" s="1287" t="s">
        <v>988</v>
      </c>
      <c r="PK1276" s="1288"/>
      <c r="PL1276" s="1289"/>
      <c r="PM1276" s="1287" t="s">
        <v>989</v>
      </c>
      <c r="PN1276" s="1288"/>
      <c r="PO1276" s="1289"/>
      <c r="PP1276" s="1293" t="s">
        <v>695</v>
      </c>
      <c r="PQ1276" s="1294"/>
      <c r="PR1276" s="1295"/>
      <c r="PS1276" s="1293" t="s">
        <v>696</v>
      </c>
      <c r="PT1276" s="1294"/>
      <c r="PU1276" s="1295"/>
      <c r="PV1276" s="1293" t="s">
        <v>697</v>
      </c>
      <c r="PW1276" s="1294"/>
      <c r="PX1276" s="1295"/>
      <c r="PY1276" s="1293" t="s">
        <v>986</v>
      </c>
      <c r="PZ1276" s="1294"/>
      <c r="QA1276" s="1295"/>
      <c r="QB1276" s="1293" t="s">
        <v>987</v>
      </c>
      <c r="QC1276" s="1294"/>
      <c r="QD1276" s="1295"/>
      <c r="QE1276" s="1293" t="s">
        <v>988</v>
      </c>
      <c r="QF1276" s="1294"/>
      <c r="QG1276" s="1295"/>
      <c r="QH1276" s="1293" t="s">
        <v>989</v>
      </c>
      <c r="QI1276" s="1294"/>
      <c r="QJ1276" s="1295"/>
      <c r="QK1276" s="1287" t="s">
        <v>695</v>
      </c>
      <c r="QL1276" s="1288"/>
      <c r="QM1276" s="1289"/>
      <c r="QN1276" s="1287" t="s">
        <v>696</v>
      </c>
      <c r="QO1276" s="1288"/>
      <c r="QP1276" s="1289"/>
      <c r="QQ1276" s="1287" t="s">
        <v>697</v>
      </c>
      <c r="QR1276" s="1288"/>
      <c r="QS1276" s="1289"/>
      <c r="QT1276" s="1293" t="s">
        <v>986</v>
      </c>
      <c r="QU1276" s="1294"/>
      <c r="QV1276" s="1295"/>
      <c r="QW1276" s="1293" t="s">
        <v>987</v>
      </c>
      <c r="QX1276" s="1294"/>
      <c r="QY1276" s="1295"/>
      <c r="QZ1276" s="1287" t="s">
        <v>988</v>
      </c>
      <c r="RA1276" s="1288"/>
      <c r="RB1276" s="1289"/>
      <c r="RC1276" s="1287" t="s">
        <v>989</v>
      </c>
      <c r="RD1276" s="1288"/>
      <c r="RE1276" s="1289"/>
      <c r="RF1276" s="1293" t="s">
        <v>695</v>
      </c>
      <c r="RG1276" s="1294"/>
      <c r="RH1276" s="1295"/>
      <c r="RI1276" s="1293" t="s">
        <v>696</v>
      </c>
      <c r="RJ1276" s="1294"/>
      <c r="RK1276" s="1295"/>
      <c r="RL1276" s="1293" t="s">
        <v>697</v>
      </c>
      <c r="RM1276" s="1294"/>
      <c r="RN1276" s="1295"/>
      <c r="RO1276" s="1293" t="s">
        <v>986</v>
      </c>
      <c r="RP1276" s="1294"/>
      <c r="RQ1276" s="1295"/>
      <c r="RR1276" s="1293" t="s">
        <v>987</v>
      </c>
      <c r="RS1276" s="1294"/>
      <c r="RT1276" s="1295"/>
      <c r="RU1276" s="1293" t="s">
        <v>988</v>
      </c>
      <c r="RV1276" s="1294"/>
      <c r="RW1276" s="1295"/>
      <c r="RX1276" s="1293" t="s">
        <v>989</v>
      </c>
      <c r="RY1276" s="1294"/>
      <c r="RZ1276" s="1295"/>
      <c r="SA1276" s="1287" t="s">
        <v>695</v>
      </c>
      <c r="SB1276" s="1288"/>
      <c r="SC1276" s="1289"/>
      <c r="SD1276" s="1287" t="s">
        <v>696</v>
      </c>
      <c r="SE1276" s="1288"/>
      <c r="SF1276" s="1289"/>
      <c r="SG1276" s="1287" t="s">
        <v>697</v>
      </c>
      <c r="SH1276" s="1288"/>
      <c r="SI1276" s="1289"/>
      <c r="SJ1276" s="1293" t="s">
        <v>986</v>
      </c>
      <c r="SK1276" s="1294"/>
      <c r="SL1276" s="1295"/>
      <c r="SM1276" s="1293" t="s">
        <v>987</v>
      </c>
      <c r="SN1276" s="1294"/>
      <c r="SO1276" s="1295"/>
      <c r="SP1276" s="1287" t="s">
        <v>988</v>
      </c>
      <c r="SQ1276" s="1288"/>
      <c r="SR1276" s="1289"/>
      <c r="SS1276" s="1287" t="s">
        <v>989</v>
      </c>
      <c r="ST1276" s="1288"/>
      <c r="SU1276" s="1289"/>
      <c r="SV1276" s="1293" t="s">
        <v>695</v>
      </c>
      <c r="SW1276" s="1294"/>
      <c r="SX1276" s="1295"/>
      <c r="SY1276" s="1293" t="s">
        <v>696</v>
      </c>
      <c r="SZ1276" s="1294"/>
      <c r="TA1276" s="1295"/>
      <c r="TB1276" s="1293" t="s">
        <v>697</v>
      </c>
      <c r="TC1276" s="1294"/>
      <c r="TD1276" s="1295"/>
      <c r="TE1276" s="1293" t="s">
        <v>986</v>
      </c>
      <c r="TF1276" s="1294"/>
      <c r="TG1276" s="1295"/>
      <c r="TH1276" s="1293" t="s">
        <v>987</v>
      </c>
      <c r="TI1276" s="1294"/>
      <c r="TJ1276" s="1295"/>
      <c r="TK1276" s="1293" t="s">
        <v>988</v>
      </c>
      <c r="TL1276" s="1294"/>
      <c r="TM1276" s="1295"/>
      <c r="TN1276" s="1293" t="s">
        <v>989</v>
      </c>
      <c r="TO1276" s="1294"/>
      <c r="TP1276" s="1295"/>
      <c r="TQ1276" s="1287" t="s">
        <v>695</v>
      </c>
      <c r="TR1276" s="1288"/>
      <c r="TS1276" s="1289"/>
      <c r="TT1276" s="1287" t="s">
        <v>696</v>
      </c>
      <c r="TU1276" s="1288"/>
      <c r="TV1276" s="1289"/>
      <c r="TW1276" s="1287" t="s">
        <v>697</v>
      </c>
      <c r="TX1276" s="1288"/>
      <c r="TY1276" s="1289"/>
      <c r="TZ1276" s="1293" t="s">
        <v>986</v>
      </c>
      <c r="UA1276" s="1294"/>
      <c r="UB1276" s="1295"/>
      <c r="UC1276" s="1293" t="s">
        <v>987</v>
      </c>
      <c r="UD1276" s="1294"/>
      <c r="UE1276" s="1295"/>
      <c r="UF1276" s="1287" t="s">
        <v>988</v>
      </c>
      <c r="UG1276" s="1288"/>
      <c r="UH1276" s="1289"/>
      <c r="UI1276" s="1287" t="s">
        <v>989</v>
      </c>
      <c r="UJ1276" s="1288"/>
      <c r="UK1276" s="1289"/>
      <c r="UL1276" s="1293" t="s">
        <v>695</v>
      </c>
      <c r="UM1276" s="1294"/>
      <c r="UN1276" s="1295"/>
      <c r="UO1276" s="1293" t="s">
        <v>696</v>
      </c>
      <c r="UP1276" s="1294"/>
      <c r="UQ1276" s="1295"/>
      <c r="UR1276" s="1293" t="s">
        <v>697</v>
      </c>
      <c r="US1276" s="1294"/>
      <c r="UT1276" s="1295"/>
      <c r="UU1276" s="1293" t="s">
        <v>986</v>
      </c>
      <c r="UV1276" s="1294"/>
      <c r="UW1276" s="1295"/>
      <c r="UX1276" s="1293" t="s">
        <v>987</v>
      </c>
      <c r="UY1276" s="1294"/>
      <c r="UZ1276" s="1295"/>
      <c r="VA1276" s="1293" t="s">
        <v>988</v>
      </c>
      <c r="VB1276" s="1294"/>
      <c r="VC1276" s="1295"/>
      <c r="VD1276" s="1293" t="s">
        <v>989</v>
      </c>
      <c r="VE1276" s="1294"/>
      <c r="VF1276" s="1295"/>
      <c r="VG1276" s="1287" t="s">
        <v>695</v>
      </c>
      <c r="VH1276" s="1288"/>
      <c r="VI1276" s="1289"/>
      <c r="VJ1276" s="1287" t="s">
        <v>696</v>
      </c>
      <c r="VK1276" s="1288"/>
      <c r="VL1276" s="1289"/>
      <c r="VM1276" s="1287" t="s">
        <v>697</v>
      </c>
      <c r="VN1276" s="1288"/>
      <c r="VO1276" s="1289"/>
      <c r="VP1276" s="1293" t="s">
        <v>986</v>
      </c>
      <c r="VQ1276" s="1294"/>
      <c r="VR1276" s="1295"/>
      <c r="VS1276" s="1293" t="s">
        <v>987</v>
      </c>
      <c r="VT1276" s="1294"/>
      <c r="VU1276" s="1295"/>
      <c r="VV1276" s="1287" t="s">
        <v>988</v>
      </c>
      <c r="VW1276" s="1288"/>
      <c r="VX1276" s="1289"/>
      <c r="VY1276" s="1287" t="s">
        <v>989</v>
      </c>
      <c r="VZ1276" s="1288"/>
      <c r="WA1276" s="1289"/>
      <c r="WB1276" s="1293" t="s">
        <v>695</v>
      </c>
      <c r="WC1276" s="1294"/>
      <c r="WD1276" s="1295"/>
      <c r="WE1276" s="1293" t="s">
        <v>696</v>
      </c>
      <c r="WF1276" s="1294"/>
      <c r="WG1276" s="1295"/>
      <c r="WH1276" s="1293" t="s">
        <v>697</v>
      </c>
      <c r="WI1276" s="1294"/>
      <c r="WJ1276" s="1295"/>
      <c r="WK1276" s="1293" t="s">
        <v>986</v>
      </c>
      <c r="WL1276" s="1294"/>
      <c r="WM1276" s="1295"/>
      <c r="WN1276" s="1293" t="s">
        <v>987</v>
      </c>
      <c r="WO1276" s="1294"/>
      <c r="WP1276" s="1295"/>
      <c r="WQ1276" s="1293" t="s">
        <v>988</v>
      </c>
      <c r="WR1276" s="1294"/>
      <c r="WS1276" s="1295"/>
      <c r="WT1276" s="1293" t="s">
        <v>989</v>
      </c>
      <c r="WU1276" s="1294"/>
      <c r="WV1276" s="1295"/>
      <c r="WW1276" s="1287" t="s">
        <v>695</v>
      </c>
      <c r="WX1276" s="1288"/>
      <c r="WY1276" s="1289"/>
      <c r="WZ1276" s="1287" t="s">
        <v>696</v>
      </c>
      <c r="XA1276" s="1288"/>
      <c r="XB1276" s="1289"/>
      <c r="XC1276" s="1287" t="s">
        <v>697</v>
      </c>
      <c r="XD1276" s="1288"/>
      <c r="XE1276" s="1289"/>
      <c r="XF1276" s="1293" t="s">
        <v>986</v>
      </c>
      <c r="XG1276" s="1294"/>
      <c r="XH1276" s="1295"/>
      <c r="XI1276" s="1293" t="s">
        <v>987</v>
      </c>
      <c r="XJ1276" s="1294"/>
      <c r="XK1276" s="1295"/>
      <c r="XL1276" s="1287" t="s">
        <v>988</v>
      </c>
      <c r="XM1276" s="1288"/>
      <c r="XN1276" s="1289"/>
      <c r="XO1276" s="1287" t="s">
        <v>989</v>
      </c>
      <c r="XP1276" s="1288"/>
      <c r="XQ1276" s="1289"/>
      <c r="XR1276" s="1293" t="s">
        <v>695</v>
      </c>
      <c r="XS1276" s="1294"/>
      <c r="XT1276" s="1295"/>
      <c r="XU1276" s="1293" t="s">
        <v>696</v>
      </c>
      <c r="XV1276" s="1294"/>
      <c r="XW1276" s="1295"/>
      <c r="XX1276" s="1293" t="s">
        <v>697</v>
      </c>
      <c r="XY1276" s="1294"/>
      <c r="XZ1276" s="1295"/>
      <c r="YA1276" s="1293" t="s">
        <v>986</v>
      </c>
      <c r="YB1276" s="1294"/>
      <c r="YC1276" s="1295"/>
      <c r="YD1276" s="1293" t="s">
        <v>987</v>
      </c>
      <c r="YE1276" s="1294"/>
      <c r="YF1276" s="1295"/>
      <c r="YG1276" s="1293" t="s">
        <v>988</v>
      </c>
      <c r="YH1276" s="1294"/>
      <c r="YI1276" s="1295"/>
      <c r="YJ1276" s="1293" t="s">
        <v>989</v>
      </c>
      <c r="YK1276" s="1294"/>
      <c r="YL1276" s="1295"/>
      <c r="YM1276" s="1287" t="s">
        <v>695</v>
      </c>
      <c r="YN1276" s="1288"/>
      <c r="YO1276" s="1289"/>
      <c r="YP1276" s="1287" t="s">
        <v>696</v>
      </c>
      <c r="YQ1276" s="1288"/>
      <c r="YR1276" s="1289"/>
      <c r="YS1276" s="1287" t="s">
        <v>697</v>
      </c>
      <c r="YT1276" s="1288"/>
      <c r="YU1276" s="1289"/>
      <c r="YV1276" s="1293" t="s">
        <v>986</v>
      </c>
      <c r="YW1276" s="1294"/>
      <c r="YX1276" s="1295"/>
      <c r="YY1276" s="1293" t="s">
        <v>987</v>
      </c>
      <c r="YZ1276" s="1294"/>
      <c r="ZA1276" s="1295"/>
      <c r="ZB1276" s="1287" t="s">
        <v>988</v>
      </c>
      <c r="ZC1276" s="1288"/>
      <c r="ZD1276" s="1289"/>
      <c r="ZE1276" s="1287" t="s">
        <v>989</v>
      </c>
      <c r="ZF1276" s="1288"/>
      <c r="ZG1276" s="1289"/>
    </row>
    <row r="1277" spans="1:683" x14ac:dyDescent="0.25">
      <c r="A1277" s="344"/>
      <c r="B1277" s="345"/>
      <c r="C1277" s="346"/>
      <c r="D1277" s="337"/>
      <c r="E1277" s="341"/>
      <c r="F1277" s="344">
        <v>2023</v>
      </c>
      <c r="G1277" s="344">
        <v>2024</v>
      </c>
      <c r="H1277" s="344">
        <v>2025</v>
      </c>
      <c r="I1277" s="439">
        <v>2023</v>
      </c>
      <c r="J1277" s="439">
        <v>2024</v>
      </c>
      <c r="K1277" s="439">
        <v>2025</v>
      </c>
      <c r="L1277" s="439">
        <v>2023</v>
      </c>
      <c r="M1277" s="439">
        <v>2024</v>
      </c>
      <c r="N1277" s="439">
        <v>2025</v>
      </c>
      <c r="O1277" s="439">
        <v>2023</v>
      </c>
      <c r="P1277" s="439">
        <v>2024</v>
      </c>
      <c r="Q1277" s="439">
        <v>2025</v>
      </c>
      <c r="R1277" s="439">
        <v>2023</v>
      </c>
      <c r="S1277" s="439">
        <v>2024</v>
      </c>
      <c r="T1277" s="439">
        <v>2025</v>
      </c>
      <c r="U1277" s="439">
        <v>2023</v>
      </c>
      <c r="V1277" s="439">
        <v>2024</v>
      </c>
      <c r="W1277" s="439">
        <v>2025</v>
      </c>
      <c r="X1277" s="439">
        <v>2023</v>
      </c>
      <c r="Y1277" s="439">
        <v>2024</v>
      </c>
      <c r="Z1277" s="439">
        <v>2025</v>
      </c>
      <c r="AA1277" s="439">
        <v>2023</v>
      </c>
      <c r="AB1277" s="439">
        <v>2024</v>
      </c>
      <c r="AC1277" s="439">
        <v>2025</v>
      </c>
      <c r="AD1277" s="439">
        <v>2023</v>
      </c>
      <c r="AE1277" s="439">
        <v>2024</v>
      </c>
      <c r="AF1277" s="439">
        <v>2025</v>
      </c>
      <c r="AG1277" s="439">
        <v>2023</v>
      </c>
      <c r="AH1277" s="439">
        <v>2024</v>
      </c>
      <c r="AI1277" s="439">
        <v>2025</v>
      </c>
      <c r="AJ1277" s="439">
        <v>2023</v>
      </c>
      <c r="AK1277" s="439">
        <v>2024</v>
      </c>
      <c r="AL1277" s="439">
        <v>2025</v>
      </c>
      <c r="AM1277" s="439">
        <v>2023</v>
      </c>
      <c r="AN1277" s="439">
        <v>2024</v>
      </c>
      <c r="AO1277" s="439">
        <v>2025</v>
      </c>
      <c r="AP1277" s="439">
        <v>2023</v>
      </c>
      <c r="AQ1277" s="439">
        <v>2024</v>
      </c>
      <c r="AR1277" s="439">
        <v>2025</v>
      </c>
      <c r="AS1277" s="439">
        <v>2023</v>
      </c>
      <c r="AT1277" s="439">
        <v>2024</v>
      </c>
      <c r="AU1277" s="439">
        <v>2025</v>
      </c>
      <c r="AV1277" s="439">
        <v>2023</v>
      </c>
      <c r="AW1277" s="439">
        <v>2024</v>
      </c>
      <c r="AX1277" s="439">
        <v>2025</v>
      </c>
      <c r="AY1277" s="439">
        <v>2023</v>
      </c>
      <c r="AZ1277" s="439">
        <v>2024</v>
      </c>
      <c r="BA1277" s="439">
        <v>2025</v>
      </c>
      <c r="BB1277" s="439">
        <v>2023</v>
      </c>
      <c r="BC1277" s="439">
        <v>2024</v>
      </c>
      <c r="BD1277" s="439">
        <v>2025</v>
      </c>
      <c r="BE1277" s="439">
        <v>2023</v>
      </c>
      <c r="BF1277" s="439">
        <v>2024</v>
      </c>
      <c r="BG1277" s="439">
        <v>2025</v>
      </c>
      <c r="BH1277" s="439">
        <v>2023</v>
      </c>
      <c r="BI1277" s="439">
        <v>2024</v>
      </c>
      <c r="BJ1277" s="439">
        <v>2025</v>
      </c>
      <c r="BK1277" s="439">
        <v>2023</v>
      </c>
      <c r="BL1277" s="439">
        <v>2024</v>
      </c>
      <c r="BM1277" s="439">
        <v>2025</v>
      </c>
      <c r="BN1277" s="439">
        <v>2023</v>
      </c>
      <c r="BO1277" s="439">
        <v>2024</v>
      </c>
      <c r="BP1277" s="439">
        <v>2025</v>
      </c>
      <c r="BQ1277" s="439">
        <v>2023</v>
      </c>
      <c r="BR1277" s="439">
        <v>2024</v>
      </c>
      <c r="BS1277" s="439">
        <v>2025</v>
      </c>
      <c r="BT1277" s="439">
        <v>2023</v>
      </c>
      <c r="BU1277" s="439">
        <v>2024</v>
      </c>
      <c r="BV1277" s="439">
        <v>2025</v>
      </c>
      <c r="BW1277" s="439">
        <v>2023</v>
      </c>
      <c r="BX1277" s="439">
        <v>2024</v>
      </c>
      <c r="BY1277" s="439">
        <v>2025</v>
      </c>
      <c r="BZ1277" s="439">
        <v>2023</v>
      </c>
      <c r="CA1277" s="439">
        <v>2024</v>
      </c>
      <c r="CB1277" s="439">
        <v>2025</v>
      </c>
      <c r="CC1277" s="439">
        <v>2023</v>
      </c>
      <c r="CD1277" s="439">
        <v>2024</v>
      </c>
      <c r="CE1277" s="439">
        <v>2025</v>
      </c>
      <c r="CF1277" s="439">
        <v>2023</v>
      </c>
      <c r="CG1277" s="439">
        <v>2024</v>
      </c>
      <c r="CH1277" s="439">
        <v>2025</v>
      </c>
      <c r="CI1277" s="439">
        <v>2023</v>
      </c>
      <c r="CJ1277" s="439">
        <v>2024</v>
      </c>
      <c r="CK1277" s="439">
        <v>2025</v>
      </c>
      <c r="CL1277" s="439">
        <v>2023</v>
      </c>
      <c r="CM1277" s="439">
        <v>2024</v>
      </c>
      <c r="CN1277" s="439">
        <v>2025</v>
      </c>
      <c r="CO1277" s="439">
        <v>2023</v>
      </c>
      <c r="CP1277" s="439">
        <v>2024</v>
      </c>
      <c r="CQ1277" s="439">
        <v>2025</v>
      </c>
      <c r="CR1277" s="439">
        <v>2023</v>
      </c>
      <c r="CS1277" s="439">
        <v>2024</v>
      </c>
      <c r="CT1277" s="439">
        <v>2025</v>
      </c>
      <c r="CU1277" s="439">
        <v>2023</v>
      </c>
      <c r="CV1277" s="439">
        <v>2024</v>
      </c>
      <c r="CW1277" s="439">
        <v>2025</v>
      </c>
      <c r="CX1277" s="439">
        <v>2023</v>
      </c>
      <c r="CY1277" s="439">
        <v>2024</v>
      </c>
      <c r="CZ1277" s="439">
        <v>2025</v>
      </c>
      <c r="DA1277" s="439">
        <v>2023</v>
      </c>
      <c r="DB1277" s="439">
        <v>2024</v>
      </c>
      <c r="DC1277" s="439">
        <v>2025</v>
      </c>
      <c r="DD1277" s="439">
        <v>2023</v>
      </c>
      <c r="DE1277" s="439">
        <v>2024</v>
      </c>
      <c r="DF1277" s="439">
        <v>2025</v>
      </c>
      <c r="DG1277" s="439">
        <v>2023</v>
      </c>
      <c r="DH1277" s="439">
        <v>2024</v>
      </c>
      <c r="DI1277" s="439">
        <v>2025</v>
      </c>
      <c r="DJ1277" s="439">
        <v>2023</v>
      </c>
      <c r="DK1277" s="439">
        <v>2024</v>
      </c>
      <c r="DL1277" s="439">
        <v>2025</v>
      </c>
      <c r="DM1277" s="439">
        <v>2023</v>
      </c>
      <c r="DN1277" s="439">
        <v>2024</v>
      </c>
      <c r="DO1277" s="439">
        <v>2025</v>
      </c>
      <c r="DP1277" s="439">
        <v>2023</v>
      </c>
      <c r="DQ1277" s="439">
        <v>2024</v>
      </c>
      <c r="DR1277" s="439">
        <v>2025</v>
      </c>
      <c r="DS1277" s="439">
        <v>2023</v>
      </c>
      <c r="DT1277" s="439">
        <v>2024</v>
      </c>
      <c r="DU1277" s="439">
        <v>2025</v>
      </c>
      <c r="DV1277" s="439">
        <v>2023</v>
      </c>
      <c r="DW1277" s="439">
        <v>2024</v>
      </c>
      <c r="DX1277" s="439">
        <v>2025</v>
      </c>
      <c r="DY1277" s="439">
        <v>2023</v>
      </c>
      <c r="DZ1277" s="439">
        <v>2024</v>
      </c>
      <c r="EA1277" s="439">
        <v>2025</v>
      </c>
      <c r="EB1277" s="439">
        <v>2023</v>
      </c>
      <c r="EC1277" s="439">
        <v>2024</v>
      </c>
      <c r="ED1277" s="439">
        <v>2025</v>
      </c>
      <c r="EE1277" s="439">
        <v>2023</v>
      </c>
      <c r="EF1277" s="439">
        <v>2024</v>
      </c>
      <c r="EG1277" s="439">
        <v>2025</v>
      </c>
      <c r="EH1277" s="439">
        <v>2023</v>
      </c>
      <c r="EI1277" s="439">
        <v>2024</v>
      </c>
      <c r="EJ1277" s="439">
        <v>2025</v>
      </c>
      <c r="EK1277" s="439">
        <v>2023</v>
      </c>
      <c r="EL1277" s="439">
        <v>2024</v>
      </c>
      <c r="EM1277" s="439">
        <v>2025</v>
      </c>
      <c r="EN1277" s="439">
        <v>2023</v>
      </c>
      <c r="EO1277" s="439">
        <v>2024</v>
      </c>
      <c r="EP1277" s="439">
        <v>2025</v>
      </c>
      <c r="EQ1277" s="439">
        <v>2023</v>
      </c>
      <c r="ER1277" s="439">
        <v>2024</v>
      </c>
      <c r="ES1277" s="439">
        <v>2025</v>
      </c>
      <c r="ET1277" s="439">
        <v>2023</v>
      </c>
      <c r="EU1277" s="439">
        <v>2024</v>
      </c>
      <c r="EV1277" s="439">
        <v>2025</v>
      </c>
      <c r="EW1277" s="439">
        <v>2023</v>
      </c>
      <c r="EX1277" s="439">
        <v>2024</v>
      </c>
      <c r="EY1277" s="439">
        <v>2025</v>
      </c>
      <c r="EZ1277" s="439">
        <v>2023</v>
      </c>
      <c r="FA1277" s="439">
        <v>2024</v>
      </c>
      <c r="FB1277" s="439">
        <v>2025</v>
      </c>
      <c r="FC1277" s="439">
        <v>2023</v>
      </c>
      <c r="FD1277" s="439">
        <v>2024</v>
      </c>
      <c r="FE1277" s="439">
        <v>2025</v>
      </c>
      <c r="FF1277" s="439">
        <v>2023</v>
      </c>
      <c r="FG1277" s="439">
        <v>2024</v>
      </c>
      <c r="FH1277" s="439">
        <v>2025</v>
      </c>
      <c r="FI1277" s="439">
        <v>2023</v>
      </c>
      <c r="FJ1277" s="439">
        <v>2024</v>
      </c>
      <c r="FK1277" s="439">
        <v>2025</v>
      </c>
      <c r="FL1277" s="439">
        <v>2023</v>
      </c>
      <c r="FM1277" s="439">
        <v>2024</v>
      </c>
      <c r="FN1277" s="439">
        <v>2025</v>
      </c>
      <c r="FO1277" s="439">
        <v>2023</v>
      </c>
      <c r="FP1277" s="439">
        <v>2024</v>
      </c>
      <c r="FQ1277" s="439">
        <v>2025</v>
      </c>
      <c r="FR1277" s="439">
        <v>2023</v>
      </c>
      <c r="FS1277" s="439">
        <v>2024</v>
      </c>
      <c r="FT1277" s="439">
        <v>2025</v>
      </c>
      <c r="FU1277" s="439">
        <v>2023</v>
      </c>
      <c r="FV1277" s="439">
        <v>2024</v>
      </c>
      <c r="FW1277" s="439">
        <v>2025</v>
      </c>
      <c r="FX1277" s="439">
        <v>2023</v>
      </c>
      <c r="FY1277" s="439">
        <v>2024</v>
      </c>
      <c r="FZ1277" s="439">
        <v>2025</v>
      </c>
      <c r="GA1277" s="439">
        <v>2023</v>
      </c>
      <c r="GB1277" s="439">
        <v>2024</v>
      </c>
      <c r="GC1277" s="439">
        <v>2025</v>
      </c>
      <c r="GD1277" s="439">
        <v>2023</v>
      </c>
      <c r="GE1277" s="439">
        <v>2024</v>
      </c>
      <c r="GF1277" s="439">
        <v>2025</v>
      </c>
      <c r="GG1277" s="439">
        <v>2023</v>
      </c>
      <c r="GH1277" s="439">
        <v>2024</v>
      </c>
      <c r="GI1277" s="439">
        <v>2025</v>
      </c>
      <c r="GJ1277" s="439">
        <v>2023</v>
      </c>
      <c r="GK1277" s="439">
        <v>2024</v>
      </c>
      <c r="GL1277" s="439">
        <v>2025</v>
      </c>
      <c r="GM1277" s="439">
        <v>2023</v>
      </c>
      <c r="GN1277" s="439">
        <v>2024</v>
      </c>
      <c r="GO1277" s="439">
        <v>2025</v>
      </c>
      <c r="GP1277" s="439">
        <v>2023</v>
      </c>
      <c r="GQ1277" s="439">
        <v>2024</v>
      </c>
      <c r="GR1277" s="439">
        <v>2025</v>
      </c>
      <c r="GS1277" s="439">
        <v>2023</v>
      </c>
      <c r="GT1277" s="439">
        <v>2024</v>
      </c>
      <c r="GU1277" s="439">
        <v>2025</v>
      </c>
      <c r="GV1277" s="439">
        <v>2023</v>
      </c>
      <c r="GW1277" s="439">
        <v>2024</v>
      </c>
      <c r="GX1277" s="439">
        <v>2025</v>
      </c>
      <c r="GY1277" s="439">
        <v>2023</v>
      </c>
      <c r="GZ1277" s="439">
        <v>2024</v>
      </c>
      <c r="HA1277" s="439">
        <v>2025</v>
      </c>
      <c r="HB1277" s="439">
        <v>2023</v>
      </c>
      <c r="HC1277" s="439">
        <v>2024</v>
      </c>
      <c r="HD1277" s="439">
        <v>2025</v>
      </c>
      <c r="HE1277" s="439">
        <v>2023</v>
      </c>
      <c r="HF1277" s="439">
        <v>2024</v>
      </c>
      <c r="HG1277" s="439">
        <v>2025</v>
      </c>
      <c r="HH1277" s="439">
        <v>2023</v>
      </c>
      <c r="HI1277" s="439">
        <v>2024</v>
      </c>
      <c r="HJ1277" s="439">
        <v>2025</v>
      </c>
      <c r="HK1277" s="439">
        <v>2023</v>
      </c>
      <c r="HL1277" s="439">
        <v>2024</v>
      </c>
      <c r="HM1277" s="439">
        <v>2025</v>
      </c>
      <c r="HN1277" s="439">
        <v>2023</v>
      </c>
      <c r="HO1277" s="439">
        <v>2024</v>
      </c>
      <c r="HP1277" s="439">
        <v>2025</v>
      </c>
      <c r="HQ1277" s="439">
        <v>2023</v>
      </c>
      <c r="HR1277" s="439">
        <v>2024</v>
      </c>
      <c r="HS1277" s="439">
        <v>2025</v>
      </c>
      <c r="HT1277" s="439">
        <v>2023</v>
      </c>
      <c r="HU1277" s="439">
        <v>2024</v>
      </c>
      <c r="HV1277" s="439">
        <v>2025</v>
      </c>
      <c r="HW1277" s="439">
        <v>2023</v>
      </c>
      <c r="HX1277" s="439">
        <v>2024</v>
      </c>
      <c r="HY1277" s="439">
        <v>2025</v>
      </c>
      <c r="HZ1277" s="439">
        <v>2023</v>
      </c>
      <c r="IA1277" s="439">
        <v>2024</v>
      </c>
      <c r="IB1277" s="439">
        <v>2025</v>
      </c>
      <c r="IC1277" s="439">
        <v>2023</v>
      </c>
      <c r="ID1277" s="439">
        <v>2024</v>
      </c>
      <c r="IE1277" s="439">
        <v>2025</v>
      </c>
      <c r="IF1277" s="439">
        <v>2023</v>
      </c>
      <c r="IG1277" s="439">
        <v>2024</v>
      </c>
      <c r="IH1277" s="439">
        <v>2025</v>
      </c>
      <c r="II1277" s="439">
        <v>2023</v>
      </c>
      <c r="IJ1277" s="439">
        <v>2024</v>
      </c>
      <c r="IK1277" s="439">
        <v>2025</v>
      </c>
      <c r="IL1277" s="439">
        <v>2023</v>
      </c>
      <c r="IM1277" s="439">
        <v>2024</v>
      </c>
      <c r="IN1277" s="439">
        <v>2025</v>
      </c>
      <c r="IO1277" s="439">
        <v>2023</v>
      </c>
      <c r="IP1277" s="439">
        <v>2024</v>
      </c>
      <c r="IQ1277" s="439">
        <v>2025</v>
      </c>
      <c r="IR1277" s="439">
        <v>2023</v>
      </c>
      <c r="IS1277" s="439">
        <v>2024</v>
      </c>
      <c r="IT1277" s="439">
        <v>2025</v>
      </c>
      <c r="IU1277" s="439">
        <v>2023</v>
      </c>
      <c r="IV1277" s="439">
        <v>2024</v>
      </c>
      <c r="IW1277" s="439">
        <v>2025</v>
      </c>
      <c r="IX1277" s="439">
        <v>2023</v>
      </c>
      <c r="IY1277" s="439">
        <v>2024</v>
      </c>
      <c r="IZ1277" s="439">
        <v>2025</v>
      </c>
      <c r="JA1277" s="439">
        <v>2023</v>
      </c>
      <c r="JB1277" s="439">
        <v>2024</v>
      </c>
      <c r="JC1277" s="439">
        <v>2025</v>
      </c>
      <c r="JD1277" s="439">
        <v>2023</v>
      </c>
      <c r="JE1277" s="439">
        <v>2024</v>
      </c>
      <c r="JF1277" s="439">
        <v>2025</v>
      </c>
      <c r="JG1277" s="439">
        <v>2023</v>
      </c>
      <c r="JH1277" s="439">
        <v>2024</v>
      </c>
      <c r="JI1277" s="439">
        <v>2025</v>
      </c>
      <c r="JJ1277" s="439">
        <v>2023</v>
      </c>
      <c r="JK1277" s="439">
        <v>2024</v>
      </c>
      <c r="JL1277" s="439">
        <v>2025</v>
      </c>
      <c r="JM1277" s="439">
        <v>2023</v>
      </c>
      <c r="JN1277" s="439">
        <v>2024</v>
      </c>
      <c r="JO1277" s="439">
        <v>2025</v>
      </c>
      <c r="JP1277" s="439">
        <v>2023</v>
      </c>
      <c r="JQ1277" s="439">
        <v>2024</v>
      </c>
      <c r="JR1277" s="439">
        <v>2025</v>
      </c>
      <c r="JS1277" s="439">
        <v>2023</v>
      </c>
      <c r="JT1277" s="439">
        <v>2024</v>
      </c>
      <c r="JU1277" s="439">
        <v>2025</v>
      </c>
      <c r="JV1277" s="439">
        <v>2023</v>
      </c>
      <c r="JW1277" s="439">
        <v>2024</v>
      </c>
      <c r="JX1277" s="439">
        <v>2025</v>
      </c>
      <c r="JY1277" s="439">
        <v>2023</v>
      </c>
      <c r="JZ1277" s="439">
        <v>2024</v>
      </c>
      <c r="KA1277" s="439">
        <v>2025</v>
      </c>
      <c r="KB1277" s="439">
        <v>2023</v>
      </c>
      <c r="KC1277" s="439">
        <v>2024</v>
      </c>
      <c r="KD1277" s="439">
        <v>2025</v>
      </c>
      <c r="KE1277" s="439">
        <v>2023</v>
      </c>
      <c r="KF1277" s="439">
        <v>2024</v>
      </c>
      <c r="KG1277" s="439">
        <v>2025</v>
      </c>
      <c r="KH1277" s="439">
        <v>2023</v>
      </c>
      <c r="KI1277" s="439">
        <v>2024</v>
      </c>
      <c r="KJ1277" s="439">
        <v>2025</v>
      </c>
      <c r="KK1277" s="439">
        <v>2023</v>
      </c>
      <c r="KL1277" s="439">
        <v>2024</v>
      </c>
      <c r="KM1277" s="439">
        <v>2025</v>
      </c>
      <c r="KN1277" s="439">
        <v>2023</v>
      </c>
      <c r="KO1277" s="439">
        <v>2024</v>
      </c>
      <c r="KP1277" s="439">
        <v>2025</v>
      </c>
      <c r="KQ1277" s="439">
        <v>2023</v>
      </c>
      <c r="KR1277" s="439">
        <v>2024</v>
      </c>
      <c r="KS1277" s="439">
        <v>2025</v>
      </c>
      <c r="KT1277" s="439">
        <v>2023</v>
      </c>
      <c r="KU1277" s="439">
        <v>2024</v>
      </c>
      <c r="KV1277" s="439">
        <v>2025</v>
      </c>
      <c r="KW1277" s="439">
        <v>2023</v>
      </c>
      <c r="KX1277" s="439">
        <v>2024</v>
      </c>
      <c r="KY1277" s="439">
        <v>2025</v>
      </c>
      <c r="KZ1277" s="439">
        <v>2023</v>
      </c>
      <c r="LA1277" s="439">
        <v>2024</v>
      </c>
      <c r="LB1277" s="439">
        <v>2025</v>
      </c>
      <c r="LC1277" s="439">
        <v>2023</v>
      </c>
      <c r="LD1277" s="439">
        <v>2024</v>
      </c>
      <c r="LE1277" s="439">
        <v>2025</v>
      </c>
      <c r="LF1277" s="439">
        <v>2023</v>
      </c>
      <c r="LG1277" s="439">
        <v>2024</v>
      </c>
      <c r="LH1277" s="439">
        <v>2025</v>
      </c>
      <c r="LI1277" s="439">
        <v>2023</v>
      </c>
      <c r="LJ1277" s="439">
        <v>2024</v>
      </c>
      <c r="LK1277" s="439">
        <v>2025</v>
      </c>
      <c r="LL1277" s="439">
        <v>2023</v>
      </c>
      <c r="LM1277" s="439">
        <v>2024</v>
      </c>
      <c r="LN1277" s="439">
        <v>2025</v>
      </c>
      <c r="LO1277" s="439">
        <v>2023</v>
      </c>
      <c r="LP1277" s="439">
        <v>2024</v>
      </c>
      <c r="LQ1277" s="439">
        <v>2025</v>
      </c>
      <c r="LR1277" s="439">
        <v>2023</v>
      </c>
      <c r="LS1277" s="439">
        <v>2024</v>
      </c>
      <c r="LT1277" s="439">
        <v>2025</v>
      </c>
      <c r="LU1277" s="439">
        <v>2023</v>
      </c>
      <c r="LV1277" s="439">
        <v>2024</v>
      </c>
      <c r="LW1277" s="439">
        <v>2025</v>
      </c>
      <c r="LX1277" s="439">
        <v>2023</v>
      </c>
      <c r="LY1277" s="439">
        <v>2024</v>
      </c>
      <c r="LZ1277" s="439">
        <v>2025</v>
      </c>
      <c r="MA1277" s="439">
        <v>2023</v>
      </c>
      <c r="MB1277" s="439">
        <v>2024</v>
      </c>
      <c r="MC1277" s="439">
        <v>2025</v>
      </c>
      <c r="MD1277" s="439">
        <v>2023</v>
      </c>
      <c r="ME1277" s="439">
        <v>2024</v>
      </c>
      <c r="MF1277" s="439">
        <v>2025</v>
      </c>
      <c r="MG1277" s="439">
        <v>2023</v>
      </c>
      <c r="MH1277" s="439">
        <v>2024</v>
      </c>
      <c r="MI1277" s="439">
        <v>2025</v>
      </c>
      <c r="MJ1277" s="439">
        <v>2023</v>
      </c>
      <c r="MK1277" s="439">
        <v>2024</v>
      </c>
      <c r="ML1277" s="439">
        <v>2025</v>
      </c>
      <c r="MM1277" s="439">
        <v>2023</v>
      </c>
      <c r="MN1277" s="439">
        <v>2024</v>
      </c>
      <c r="MO1277" s="439">
        <v>2025</v>
      </c>
      <c r="MP1277" s="439">
        <v>2023</v>
      </c>
      <c r="MQ1277" s="439">
        <v>2024</v>
      </c>
      <c r="MR1277" s="439">
        <v>2025</v>
      </c>
      <c r="MS1277" s="439">
        <v>2023</v>
      </c>
      <c r="MT1277" s="439">
        <v>2024</v>
      </c>
      <c r="MU1277" s="439">
        <v>2025</v>
      </c>
      <c r="MV1277" s="439">
        <v>2023</v>
      </c>
      <c r="MW1277" s="439">
        <v>2024</v>
      </c>
      <c r="MX1277" s="439">
        <v>2025</v>
      </c>
      <c r="MY1277" s="439">
        <v>2023</v>
      </c>
      <c r="MZ1277" s="439">
        <v>2024</v>
      </c>
      <c r="NA1277" s="439">
        <v>2025</v>
      </c>
      <c r="NB1277" s="439">
        <v>2023</v>
      </c>
      <c r="NC1277" s="439">
        <v>2024</v>
      </c>
      <c r="ND1277" s="439">
        <v>2025</v>
      </c>
      <c r="NE1277" s="439">
        <v>2023</v>
      </c>
      <c r="NF1277" s="439">
        <v>2024</v>
      </c>
      <c r="NG1277" s="439">
        <v>2025</v>
      </c>
      <c r="NH1277" s="439">
        <v>2023</v>
      </c>
      <c r="NI1277" s="439">
        <v>2024</v>
      </c>
      <c r="NJ1277" s="439">
        <v>2025</v>
      </c>
      <c r="NK1277" s="439">
        <v>2023</v>
      </c>
      <c r="NL1277" s="439">
        <v>2024</v>
      </c>
      <c r="NM1277" s="439">
        <v>2025</v>
      </c>
      <c r="NN1277" s="439">
        <v>2023</v>
      </c>
      <c r="NO1277" s="439">
        <v>2024</v>
      </c>
      <c r="NP1277" s="439">
        <v>2025</v>
      </c>
      <c r="NQ1277" s="439">
        <v>2023</v>
      </c>
      <c r="NR1277" s="439">
        <v>2024</v>
      </c>
      <c r="NS1277" s="439">
        <v>2025</v>
      </c>
      <c r="NT1277" s="439">
        <v>2023</v>
      </c>
      <c r="NU1277" s="439">
        <v>2024</v>
      </c>
      <c r="NV1277" s="439">
        <v>2025</v>
      </c>
      <c r="NW1277" s="439">
        <v>2023</v>
      </c>
      <c r="NX1277" s="439">
        <v>2024</v>
      </c>
      <c r="NY1277" s="439">
        <v>2025</v>
      </c>
      <c r="NZ1277" s="439">
        <v>2023</v>
      </c>
      <c r="OA1277" s="439">
        <v>2024</v>
      </c>
      <c r="OB1277" s="439">
        <v>2025</v>
      </c>
      <c r="OC1277" s="439">
        <v>2023</v>
      </c>
      <c r="OD1277" s="439">
        <v>2024</v>
      </c>
      <c r="OE1277" s="439">
        <v>2025</v>
      </c>
      <c r="OF1277" s="439">
        <v>2023</v>
      </c>
      <c r="OG1277" s="439">
        <v>2024</v>
      </c>
      <c r="OH1277" s="439">
        <v>2025</v>
      </c>
      <c r="OI1277" s="439">
        <v>2023</v>
      </c>
      <c r="OJ1277" s="439">
        <v>2024</v>
      </c>
      <c r="OK1277" s="439">
        <v>2025</v>
      </c>
      <c r="OL1277" s="439">
        <v>2023</v>
      </c>
      <c r="OM1277" s="439">
        <v>2024</v>
      </c>
      <c r="ON1277" s="439">
        <v>2025</v>
      </c>
      <c r="OO1277" s="439">
        <v>2023</v>
      </c>
      <c r="OP1277" s="439">
        <v>2024</v>
      </c>
      <c r="OQ1277" s="439">
        <v>2025</v>
      </c>
      <c r="OR1277" s="439">
        <v>2023</v>
      </c>
      <c r="OS1277" s="439">
        <v>2024</v>
      </c>
      <c r="OT1277" s="439">
        <v>2025</v>
      </c>
      <c r="OU1277" s="439">
        <v>2023</v>
      </c>
      <c r="OV1277" s="439">
        <v>2024</v>
      </c>
      <c r="OW1277" s="439">
        <v>2025</v>
      </c>
      <c r="OX1277" s="439">
        <v>2023</v>
      </c>
      <c r="OY1277" s="439">
        <v>2024</v>
      </c>
      <c r="OZ1277" s="439">
        <v>2025</v>
      </c>
      <c r="PA1277" s="439">
        <v>2023</v>
      </c>
      <c r="PB1277" s="439">
        <v>2024</v>
      </c>
      <c r="PC1277" s="439">
        <v>2025</v>
      </c>
      <c r="PD1277" s="439">
        <v>2023</v>
      </c>
      <c r="PE1277" s="439">
        <v>2024</v>
      </c>
      <c r="PF1277" s="439">
        <v>2025</v>
      </c>
      <c r="PG1277" s="439">
        <v>2023</v>
      </c>
      <c r="PH1277" s="439">
        <v>2024</v>
      </c>
      <c r="PI1277" s="439">
        <v>2025</v>
      </c>
      <c r="PJ1277" s="439">
        <v>2023</v>
      </c>
      <c r="PK1277" s="439">
        <v>2024</v>
      </c>
      <c r="PL1277" s="439">
        <v>2025</v>
      </c>
      <c r="PM1277" s="439">
        <v>2023</v>
      </c>
      <c r="PN1277" s="439">
        <v>2024</v>
      </c>
      <c r="PO1277" s="439">
        <v>2025</v>
      </c>
      <c r="PP1277" s="439">
        <v>2023</v>
      </c>
      <c r="PQ1277" s="439">
        <v>2024</v>
      </c>
      <c r="PR1277" s="439">
        <v>2025</v>
      </c>
      <c r="PS1277" s="439">
        <v>2023</v>
      </c>
      <c r="PT1277" s="439">
        <v>2024</v>
      </c>
      <c r="PU1277" s="439">
        <v>2025</v>
      </c>
      <c r="PV1277" s="439">
        <v>2023</v>
      </c>
      <c r="PW1277" s="439">
        <v>2024</v>
      </c>
      <c r="PX1277" s="439">
        <v>2025</v>
      </c>
      <c r="PY1277" s="439">
        <v>2023</v>
      </c>
      <c r="PZ1277" s="439">
        <v>2024</v>
      </c>
      <c r="QA1277" s="439">
        <v>2025</v>
      </c>
      <c r="QB1277" s="439">
        <v>2023</v>
      </c>
      <c r="QC1277" s="439">
        <v>2024</v>
      </c>
      <c r="QD1277" s="439">
        <v>2025</v>
      </c>
      <c r="QE1277" s="439">
        <v>2023</v>
      </c>
      <c r="QF1277" s="439">
        <v>2024</v>
      </c>
      <c r="QG1277" s="439">
        <v>2025</v>
      </c>
      <c r="QH1277" s="439">
        <v>2023</v>
      </c>
      <c r="QI1277" s="439">
        <v>2024</v>
      </c>
      <c r="QJ1277" s="439">
        <v>2025</v>
      </c>
      <c r="QK1277" s="439">
        <v>2023</v>
      </c>
      <c r="QL1277" s="439">
        <v>2024</v>
      </c>
      <c r="QM1277" s="439">
        <v>2025</v>
      </c>
      <c r="QN1277" s="439">
        <v>2023</v>
      </c>
      <c r="QO1277" s="439">
        <v>2024</v>
      </c>
      <c r="QP1277" s="439">
        <v>2025</v>
      </c>
      <c r="QQ1277" s="439">
        <v>2023</v>
      </c>
      <c r="QR1277" s="439">
        <v>2024</v>
      </c>
      <c r="QS1277" s="439">
        <v>2025</v>
      </c>
      <c r="QT1277" s="439">
        <v>2023</v>
      </c>
      <c r="QU1277" s="439">
        <v>2024</v>
      </c>
      <c r="QV1277" s="439">
        <v>2025</v>
      </c>
      <c r="QW1277" s="439">
        <v>2023</v>
      </c>
      <c r="QX1277" s="439">
        <v>2024</v>
      </c>
      <c r="QY1277" s="439">
        <v>2025</v>
      </c>
      <c r="QZ1277" s="439">
        <v>2023</v>
      </c>
      <c r="RA1277" s="439">
        <v>2024</v>
      </c>
      <c r="RB1277" s="439">
        <v>2025</v>
      </c>
      <c r="RC1277" s="439">
        <v>2023</v>
      </c>
      <c r="RD1277" s="439">
        <v>2024</v>
      </c>
      <c r="RE1277" s="439">
        <v>2025</v>
      </c>
      <c r="RF1277" s="439">
        <v>2023</v>
      </c>
      <c r="RG1277" s="439">
        <v>2024</v>
      </c>
      <c r="RH1277" s="439">
        <v>2025</v>
      </c>
      <c r="RI1277" s="439">
        <v>2023</v>
      </c>
      <c r="RJ1277" s="439">
        <v>2024</v>
      </c>
      <c r="RK1277" s="439">
        <v>2025</v>
      </c>
      <c r="RL1277" s="439">
        <v>2023</v>
      </c>
      <c r="RM1277" s="439">
        <v>2024</v>
      </c>
      <c r="RN1277" s="439">
        <v>2025</v>
      </c>
      <c r="RO1277" s="439">
        <v>2023</v>
      </c>
      <c r="RP1277" s="439">
        <v>2024</v>
      </c>
      <c r="RQ1277" s="439">
        <v>2025</v>
      </c>
      <c r="RR1277" s="439">
        <v>2023</v>
      </c>
      <c r="RS1277" s="439">
        <v>2024</v>
      </c>
      <c r="RT1277" s="439">
        <v>2025</v>
      </c>
      <c r="RU1277" s="439">
        <v>2023</v>
      </c>
      <c r="RV1277" s="439">
        <v>2024</v>
      </c>
      <c r="RW1277" s="439">
        <v>2025</v>
      </c>
      <c r="RX1277" s="439">
        <v>2023</v>
      </c>
      <c r="RY1277" s="439">
        <v>2024</v>
      </c>
      <c r="RZ1277" s="439">
        <v>2025</v>
      </c>
      <c r="SA1277" s="439">
        <v>2023</v>
      </c>
      <c r="SB1277" s="439">
        <v>2024</v>
      </c>
      <c r="SC1277" s="439">
        <v>2025</v>
      </c>
      <c r="SD1277" s="439">
        <v>2023</v>
      </c>
      <c r="SE1277" s="439">
        <v>2024</v>
      </c>
      <c r="SF1277" s="439">
        <v>2025</v>
      </c>
      <c r="SG1277" s="439">
        <v>2023</v>
      </c>
      <c r="SH1277" s="439">
        <v>2024</v>
      </c>
      <c r="SI1277" s="439">
        <v>2025</v>
      </c>
      <c r="SJ1277" s="439">
        <v>2023</v>
      </c>
      <c r="SK1277" s="439">
        <v>2024</v>
      </c>
      <c r="SL1277" s="439">
        <v>2025</v>
      </c>
      <c r="SM1277" s="439">
        <v>2023</v>
      </c>
      <c r="SN1277" s="439">
        <v>2024</v>
      </c>
      <c r="SO1277" s="439">
        <v>2025</v>
      </c>
      <c r="SP1277" s="439">
        <v>2023</v>
      </c>
      <c r="SQ1277" s="439">
        <v>2024</v>
      </c>
      <c r="SR1277" s="439">
        <v>2025</v>
      </c>
      <c r="SS1277" s="439">
        <v>2023</v>
      </c>
      <c r="ST1277" s="439">
        <v>2024</v>
      </c>
      <c r="SU1277" s="439">
        <v>2025</v>
      </c>
      <c r="SV1277" s="439">
        <v>2023</v>
      </c>
      <c r="SW1277" s="439">
        <v>2024</v>
      </c>
      <c r="SX1277" s="439">
        <v>2025</v>
      </c>
      <c r="SY1277" s="439">
        <v>2023</v>
      </c>
      <c r="SZ1277" s="439">
        <v>2024</v>
      </c>
      <c r="TA1277" s="439">
        <v>2025</v>
      </c>
      <c r="TB1277" s="439">
        <v>2023</v>
      </c>
      <c r="TC1277" s="439">
        <v>2024</v>
      </c>
      <c r="TD1277" s="439">
        <v>2025</v>
      </c>
      <c r="TE1277" s="439">
        <v>2023</v>
      </c>
      <c r="TF1277" s="439">
        <v>2024</v>
      </c>
      <c r="TG1277" s="439">
        <v>2025</v>
      </c>
      <c r="TH1277" s="439">
        <v>2023</v>
      </c>
      <c r="TI1277" s="439">
        <v>2024</v>
      </c>
      <c r="TJ1277" s="439">
        <v>2025</v>
      </c>
      <c r="TK1277" s="439">
        <v>2023</v>
      </c>
      <c r="TL1277" s="439">
        <v>2024</v>
      </c>
      <c r="TM1277" s="439">
        <v>2025</v>
      </c>
      <c r="TN1277" s="439">
        <v>2023</v>
      </c>
      <c r="TO1277" s="439">
        <v>2024</v>
      </c>
      <c r="TP1277" s="439">
        <v>2025</v>
      </c>
      <c r="TQ1277" s="439">
        <v>2023</v>
      </c>
      <c r="TR1277" s="439">
        <v>2024</v>
      </c>
      <c r="TS1277" s="439">
        <v>2025</v>
      </c>
      <c r="TT1277" s="439">
        <v>2023</v>
      </c>
      <c r="TU1277" s="439">
        <v>2024</v>
      </c>
      <c r="TV1277" s="439">
        <v>2025</v>
      </c>
      <c r="TW1277" s="439">
        <v>2023</v>
      </c>
      <c r="TX1277" s="439">
        <v>2024</v>
      </c>
      <c r="TY1277" s="439">
        <v>2025</v>
      </c>
      <c r="TZ1277" s="439">
        <v>2023</v>
      </c>
      <c r="UA1277" s="439">
        <v>2024</v>
      </c>
      <c r="UB1277" s="439">
        <v>2025</v>
      </c>
      <c r="UC1277" s="439">
        <v>2023</v>
      </c>
      <c r="UD1277" s="439">
        <v>2024</v>
      </c>
      <c r="UE1277" s="439">
        <v>2025</v>
      </c>
      <c r="UF1277" s="439">
        <v>2023</v>
      </c>
      <c r="UG1277" s="439">
        <v>2024</v>
      </c>
      <c r="UH1277" s="439">
        <v>2025</v>
      </c>
      <c r="UI1277" s="439">
        <v>2023</v>
      </c>
      <c r="UJ1277" s="439">
        <v>2024</v>
      </c>
      <c r="UK1277" s="439">
        <v>2025</v>
      </c>
      <c r="UL1277" s="439">
        <v>2023</v>
      </c>
      <c r="UM1277" s="439">
        <v>2024</v>
      </c>
      <c r="UN1277" s="439">
        <v>2025</v>
      </c>
      <c r="UO1277" s="439">
        <v>2023</v>
      </c>
      <c r="UP1277" s="439">
        <v>2024</v>
      </c>
      <c r="UQ1277" s="439">
        <v>2025</v>
      </c>
      <c r="UR1277" s="439">
        <v>2023</v>
      </c>
      <c r="US1277" s="439">
        <v>2024</v>
      </c>
      <c r="UT1277" s="439">
        <v>2025</v>
      </c>
      <c r="UU1277" s="439">
        <v>2023</v>
      </c>
      <c r="UV1277" s="439">
        <v>2024</v>
      </c>
      <c r="UW1277" s="439">
        <v>2025</v>
      </c>
      <c r="UX1277" s="439">
        <v>2023</v>
      </c>
      <c r="UY1277" s="439">
        <v>2024</v>
      </c>
      <c r="UZ1277" s="439">
        <v>2025</v>
      </c>
      <c r="VA1277" s="439">
        <v>2023</v>
      </c>
      <c r="VB1277" s="439">
        <v>2024</v>
      </c>
      <c r="VC1277" s="439">
        <v>2025</v>
      </c>
      <c r="VD1277" s="439">
        <v>2023</v>
      </c>
      <c r="VE1277" s="439">
        <v>2024</v>
      </c>
      <c r="VF1277" s="439">
        <v>2025</v>
      </c>
      <c r="VG1277" s="439">
        <v>2023</v>
      </c>
      <c r="VH1277" s="439">
        <v>2024</v>
      </c>
      <c r="VI1277" s="439">
        <v>2025</v>
      </c>
      <c r="VJ1277" s="439">
        <v>2023</v>
      </c>
      <c r="VK1277" s="439">
        <v>2024</v>
      </c>
      <c r="VL1277" s="439">
        <v>2025</v>
      </c>
      <c r="VM1277" s="439">
        <v>2023</v>
      </c>
      <c r="VN1277" s="439">
        <v>2024</v>
      </c>
      <c r="VO1277" s="439">
        <v>2025</v>
      </c>
      <c r="VP1277" s="439">
        <v>2023</v>
      </c>
      <c r="VQ1277" s="439">
        <v>2024</v>
      </c>
      <c r="VR1277" s="439">
        <v>2025</v>
      </c>
      <c r="VS1277" s="439">
        <v>2023</v>
      </c>
      <c r="VT1277" s="439">
        <v>2024</v>
      </c>
      <c r="VU1277" s="439">
        <v>2025</v>
      </c>
      <c r="VV1277" s="439">
        <v>2023</v>
      </c>
      <c r="VW1277" s="439">
        <v>2024</v>
      </c>
      <c r="VX1277" s="439">
        <v>2025</v>
      </c>
      <c r="VY1277" s="439">
        <v>2023</v>
      </c>
      <c r="VZ1277" s="439">
        <v>2024</v>
      </c>
      <c r="WA1277" s="439">
        <v>2025</v>
      </c>
      <c r="WB1277" s="439">
        <v>2023</v>
      </c>
      <c r="WC1277" s="439">
        <v>2024</v>
      </c>
      <c r="WD1277" s="439">
        <v>2025</v>
      </c>
      <c r="WE1277" s="439">
        <v>2023</v>
      </c>
      <c r="WF1277" s="439">
        <v>2024</v>
      </c>
      <c r="WG1277" s="439">
        <v>2025</v>
      </c>
      <c r="WH1277" s="439">
        <v>2023</v>
      </c>
      <c r="WI1277" s="439">
        <v>2024</v>
      </c>
      <c r="WJ1277" s="439">
        <v>2025</v>
      </c>
      <c r="WK1277" s="439">
        <v>2023</v>
      </c>
      <c r="WL1277" s="439">
        <v>2024</v>
      </c>
      <c r="WM1277" s="439">
        <v>2025</v>
      </c>
      <c r="WN1277" s="439">
        <v>2023</v>
      </c>
      <c r="WO1277" s="439">
        <v>2024</v>
      </c>
      <c r="WP1277" s="439">
        <v>2025</v>
      </c>
      <c r="WQ1277" s="439">
        <v>2023</v>
      </c>
      <c r="WR1277" s="439">
        <v>2024</v>
      </c>
      <c r="WS1277" s="439">
        <v>2025</v>
      </c>
      <c r="WT1277" s="439">
        <v>2023</v>
      </c>
      <c r="WU1277" s="439">
        <v>2024</v>
      </c>
      <c r="WV1277" s="439">
        <v>2025</v>
      </c>
      <c r="WW1277" s="439">
        <v>2023</v>
      </c>
      <c r="WX1277" s="439">
        <v>2024</v>
      </c>
      <c r="WY1277" s="439">
        <v>2025</v>
      </c>
      <c r="WZ1277" s="439">
        <v>2023</v>
      </c>
      <c r="XA1277" s="439">
        <v>2024</v>
      </c>
      <c r="XB1277" s="439">
        <v>2025</v>
      </c>
      <c r="XC1277" s="439">
        <v>2023</v>
      </c>
      <c r="XD1277" s="439">
        <v>2024</v>
      </c>
      <c r="XE1277" s="439">
        <v>2025</v>
      </c>
      <c r="XF1277" s="439">
        <v>2023</v>
      </c>
      <c r="XG1277" s="439">
        <v>2024</v>
      </c>
      <c r="XH1277" s="439">
        <v>2025</v>
      </c>
      <c r="XI1277" s="439">
        <v>2023</v>
      </c>
      <c r="XJ1277" s="439">
        <v>2024</v>
      </c>
      <c r="XK1277" s="439">
        <v>2025</v>
      </c>
      <c r="XL1277" s="439">
        <v>2023</v>
      </c>
      <c r="XM1277" s="439">
        <v>2024</v>
      </c>
      <c r="XN1277" s="439">
        <v>2025</v>
      </c>
      <c r="XO1277" s="439">
        <v>2023</v>
      </c>
      <c r="XP1277" s="439">
        <v>2024</v>
      </c>
      <c r="XQ1277" s="439">
        <v>2025</v>
      </c>
      <c r="XR1277" s="439">
        <v>2023</v>
      </c>
      <c r="XS1277" s="439">
        <v>2024</v>
      </c>
      <c r="XT1277" s="439">
        <v>2025</v>
      </c>
      <c r="XU1277" s="439">
        <v>2023</v>
      </c>
      <c r="XV1277" s="439">
        <v>2024</v>
      </c>
      <c r="XW1277" s="439">
        <v>2025</v>
      </c>
      <c r="XX1277" s="439">
        <v>2023</v>
      </c>
      <c r="XY1277" s="439">
        <v>2024</v>
      </c>
      <c r="XZ1277" s="439">
        <v>2025</v>
      </c>
      <c r="YA1277" s="439">
        <v>2023</v>
      </c>
      <c r="YB1277" s="439">
        <v>2024</v>
      </c>
      <c r="YC1277" s="439">
        <v>2025</v>
      </c>
      <c r="YD1277" s="439">
        <v>2023</v>
      </c>
      <c r="YE1277" s="439">
        <v>2024</v>
      </c>
      <c r="YF1277" s="439">
        <v>2025</v>
      </c>
      <c r="YG1277" s="439">
        <v>2023</v>
      </c>
      <c r="YH1277" s="439">
        <v>2024</v>
      </c>
      <c r="YI1277" s="439">
        <v>2025</v>
      </c>
      <c r="YJ1277" s="439">
        <v>2023</v>
      </c>
      <c r="YK1277" s="439">
        <v>2024</v>
      </c>
      <c r="YL1277" s="439">
        <v>2025</v>
      </c>
      <c r="YM1277" s="439">
        <v>2023</v>
      </c>
      <c r="YN1277" s="439">
        <v>2024</v>
      </c>
      <c r="YO1277" s="439">
        <v>2025</v>
      </c>
      <c r="YP1277" s="439">
        <v>2023</v>
      </c>
      <c r="YQ1277" s="439">
        <v>2024</v>
      </c>
      <c r="YR1277" s="439">
        <v>2025</v>
      </c>
      <c r="YS1277" s="439">
        <v>2023</v>
      </c>
      <c r="YT1277" s="439">
        <v>2024</v>
      </c>
      <c r="YU1277" s="439">
        <v>2025</v>
      </c>
      <c r="YV1277" s="439">
        <v>2023</v>
      </c>
      <c r="YW1277" s="439">
        <v>2024</v>
      </c>
      <c r="YX1277" s="439">
        <v>2025</v>
      </c>
      <c r="YY1277" s="439">
        <v>2023</v>
      </c>
      <c r="YZ1277" s="439">
        <v>2024</v>
      </c>
      <c r="ZA1277" s="439">
        <v>2025</v>
      </c>
      <c r="ZB1277" s="439">
        <v>2023</v>
      </c>
      <c r="ZC1277" s="439">
        <v>2024</v>
      </c>
      <c r="ZD1277" s="439">
        <v>2025</v>
      </c>
      <c r="ZE1277" s="439">
        <v>2023</v>
      </c>
      <c r="ZF1277" s="439">
        <v>2024</v>
      </c>
      <c r="ZG1277" s="439">
        <v>2025</v>
      </c>
    </row>
    <row r="1278" spans="1:683" ht="12.75" customHeight="1" x14ac:dyDescent="0.25">
      <c r="A1278" s="3"/>
      <c r="B1278" s="329"/>
      <c r="C1278" s="3"/>
      <c r="D1278" s="354"/>
      <c r="E1278" s="146"/>
      <c r="F1278" s="1290"/>
      <c r="G1278" s="1291"/>
      <c r="H1278" s="1292"/>
      <c r="I1278" s="146"/>
      <c r="J1278" s="146"/>
      <c r="K1278" s="146"/>
      <c r="L1278" s="183"/>
      <c r="M1278" s="146"/>
      <c r="N1278" s="146"/>
      <c r="O1278" s="183"/>
      <c r="P1278" s="146"/>
      <c r="Q1278" s="146"/>
      <c r="R1278" s="146"/>
      <c r="S1278" s="146"/>
      <c r="T1278" s="146"/>
      <c r="U1278" s="183"/>
      <c r="V1278" s="146"/>
      <c r="W1278" s="146"/>
      <c r="X1278" s="146"/>
      <c r="Y1278" s="146"/>
      <c r="Z1278" s="146"/>
      <c r="AA1278" s="183"/>
      <c r="AB1278" s="146"/>
      <c r="AC1278" s="146"/>
      <c r="AD1278" s="146"/>
      <c r="AE1278" s="146"/>
      <c r="AF1278" s="146"/>
      <c r="AG1278" s="183"/>
      <c r="AH1278" s="146"/>
      <c r="AI1278" s="146"/>
      <c r="AJ1278" s="183"/>
      <c r="AK1278" s="146"/>
      <c r="AL1278" s="146"/>
      <c r="AM1278" s="146"/>
      <c r="AN1278" s="146"/>
      <c r="AO1278" s="146"/>
      <c r="AP1278" s="183"/>
      <c r="AQ1278" s="146"/>
      <c r="AR1278" s="146"/>
      <c r="AS1278" s="146"/>
      <c r="AT1278" s="146"/>
      <c r="AU1278" s="146"/>
      <c r="AV1278" s="183"/>
      <c r="AW1278" s="146"/>
      <c r="AX1278" s="146"/>
      <c r="AY1278" s="146"/>
      <c r="AZ1278" s="146"/>
      <c r="BA1278" s="146"/>
      <c r="BB1278" s="183"/>
      <c r="BC1278" s="146"/>
      <c r="BD1278" s="146"/>
      <c r="BE1278" s="183"/>
      <c r="BF1278" s="146"/>
      <c r="BG1278" s="146"/>
      <c r="BH1278" s="146"/>
      <c r="BI1278" s="146"/>
      <c r="BJ1278" s="146"/>
      <c r="BK1278" s="183"/>
      <c r="BL1278" s="146"/>
      <c r="BM1278" s="146"/>
      <c r="BN1278" s="146"/>
      <c r="BO1278" s="146"/>
      <c r="BP1278" s="146"/>
      <c r="BQ1278" s="183"/>
      <c r="BR1278" s="146"/>
      <c r="BS1278" s="146"/>
      <c r="BT1278" s="146"/>
      <c r="BU1278" s="146"/>
      <c r="BV1278" s="146"/>
      <c r="BW1278" s="183"/>
      <c r="BX1278" s="146"/>
      <c r="BY1278" s="146"/>
      <c r="BZ1278" s="183"/>
      <c r="CA1278" s="146"/>
      <c r="CB1278" s="146"/>
      <c r="CC1278" s="146"/>
      <c r="CD1278" s="146"/>
      <c r="CE1278" s="146"/>
      <c r="CF1278" s="183"/>
      <c r="CG1278" s="146"/>
      <c r="CH1278" s="146"/>
      <c r="CI1278" s="146"/>
      <c r="CJ1278" s="146"/>
      <c r="CK1278" s="146"/>
      <c r="CL1278" s="183"/>
      <c r="CM1278" s="146"/>
      <c r="CN1278" s="146"/>
      <c r="CO1278" s="146"/>
      <c r="CP1278" s="146"/>
      <c r="CQ1278" s="146"/>
      <c r="CR1278" s="183"/>
      <c r="CS1278" s="146"/>
      <c r="CT1278" s="146"/>
      <c r="CU1278" s="183"/>
      <c r="CV1278" s="146"/>
      <c r="CW1278" s="146"/>
      <c r="CX1278" s="146"/>
      <c r="CY1278" s="146"/>
      <c r="CZ1278" s="146"/>
      <c r="DA1278" s="183"/>
      <c r="DB1278" s="146"/>
      <c r="DC1278" s="146"/>
      <c r="DD1278" s="146"/>
      <c r="DE1278" s="146"/>
      <c r="DF1278" s="146"/>
      <c r="DG1278" s="183"/>
      <c r="DH1278" s="146"/>
      <c r="DI1278" s="146"/>
      <c r="DJ1278" s="146"/>
      <c r="DK1278" s="146"/>
      <c r="DL1278" s="146"/>
      <c r="DM1278" s="183"/>
      <c r="DN1278" s="146"/>
      <c r="DO1278" s="146"/>
      <c r="DP1278" s="183"/>
      <c r="DQ1278" s="146"/>
      <c r="DR1278" s="146"/>
      <c r="DS1278" s="146"/>
      <c r="DT1278" s="146"/>
      <c r="DU1278" s="146"/>
      <c r="DV1278" s="183"/>
      <c r="DW1278" s="146"/>
      <c r="DX1278" s="146"/>
      <c r="DY1278" s="146"/>
      <c r="DZ1278" s="146"/>
      <c r="EA1278" s="146"/>
      <c r="EB1278" s="183"/>
      <c r="EC1278" s="146"/>
      <c r="ED1278" s="146"/>
      <c r="EE1278" s="146"/>
      <c r="EF1278" s="146"/>
      <c r="EG1278" s="146"/>
      <c r="EH1278" s="183"/>
      <c r="EI1278" s="146"/>
      <c r="EJ1278" s="146"/>
      <c r="EK1278" s="183"/>
      <c r="EL1278" s="146"/>
      <c r="EM1278" s="146"/>
      <c r="EN1278" s="146"/>
      <c r="EO1278" s="146"/>
      <c r="EP1278" s="146"/>
      <c r="EQ1278" s="183"/>
      <c r="ER1278" s="146"/>
      <c r="ES1278" s="146"/>
      <c r="ET1278" s="146"/>
      <c r="EU1278" s="146"/>
      <c r="EV1278" s="146"/>
      <c r="EW1278" s="183"/>
      <c r="EX1278" s="146"/>
      <c r="EY1278" s="146"/>
      <c r="EZ1278" s="146"/>
      <c r="FA1278" s="146"/>
      <c r="FB1278" s="146"/>
      <c r="FC1278" s="183"/>
      <c r="FD1278" s="146"/>
      <c r="FE1278" s="146"/>
      <c r="FF1278" s="183"/>
      <c r="FG1278" s="146"/>
      <c r="FH1278" s="146"/>
      <c r="FI1278" s="146"/>
      <c r="FJ1278" s="146"/>
      <c r="FK1278" s="146"/>
      <c r="FL1278" s="183"/>
      <c r="FM1278" s="146"/>
      <c r="FN1278" s="146"/>
      <c r="FO1278" s="146"/>
      <c r="FP1278" s="146"/>
      <c r="FQ1278" s="146"/>
      <c r="FR1278" s="183"/>
      <c r="FS1278" s="146"/>
      <c r="FT1278" s="146"/>
      <c r="FU1278" s="146"/>
      <c r="FV1278" s="146"/>
      <c r="FW1278" s="146"/>
      <c r="FX1278" s="183"/>
      <c r="FY1278" s="146"/>
      <c r="FZ1278" s="146"/>
      <c r="GA1278" s="183"/>
      <c r="GB1278" s="146"/>
      <c r="GC1278" s="146"/>
      <c r="GD1278" s="146"/>
      <c r="GE1278" s="146"/>
      <c r="GF1278" s="146"/>
      <c r="GG1278" s="183"/>
      <c r="GH1278" s="146"/>
      <c r="GI1278" s="146"/>
      <c r="GJ1278" s="146"/>
      <c r="GK1278" s="146"/>
      <c r="GL1278" s="146"/>
      <c r="GM1278" s="183"/>
      <c r="GN1278" s="146"/>
      <c r="GO1278" s="146"/>
      <c r="GP1278" s="146"/>
      <c r="GQ1278" s="146"/>
      <c r="GR1278" s="146"/>
      <c r="GS1278" s="183"/>
      <c r="GT1278" s="146"/>
      <c r="GU1278" s="146"/>
      <c r="GV1278" s="183"/>
      <c r="GW1278" s="146"/>
      <c r="GX1278" s="146"/>
      <c r="GY1278" s="146"/>
      <c r="GZ1278" s="146"/>
      <c r="HA1278" s="146"/>
      <c r="HB1278" s="183"/>
      <c r="HC1278" s="146"/>
      <c r="HD1278" s="146"/>
      <c r="HE1278" s="146"/>
      <c r="HF1278" s="146"/>
      <c r="HG1278" s="146"/>
      <c r="HH1278" s="183"/>
      <c r="HI1278" s="146"/>
      <c r="HJ1278" s="146"/>
      <c r="HK1278" s="146"/>
      <c r="HL1278" s="146"/>
      <c r="HM1278" s="146"/>
      <c r="HN1278" s="183"/>
      <c r="HO1278" s="146"/>
      <c r="HP1278" s="146"/>
      <c r="HQ1278" s="183"/>
      <c r="HR1278" s="146"/>
      <c r="HS1278" s="146"/>
      <c r="HT1278" s="146"/>
      <c r="HU1278" s="146"/>
      <c r="HV1278" s="146"/>
      <c r="HW1278" s="183"/>
      <c r="HX1278" s="146"/>
      <c r="HY1278" s="146"/>
      <c r="HZ1278" s="146"/>
      <c r="IA1278" s="146"/>
      <c r="IB1278" s="146"/>
      <c r="IC1278" s="183"/>
      <c r="ID1278" s="146"/>
      <c r="IE1278" s="146"/>
      <c r="IF1278" s="146"/>
      <c r="IG1278" s="146"/>
      <c r="IH1278" s="146"/>
      <c r="II1278" s="183"/>
      <c r="IJ1278" s="146"/>
      <c r="IK1278" s="146"/>
      <c r="IL1278" s="183"/>
      <c r="IM1278" s="146"/>
      <c r="IN1278" s="146"/>
      <c r="IO1278" s="146"/>
      <c r="IP1278" s="146"/>
      <c r="IQ1278" s="146"/>
      <c r="IR1278" s="183"/>
      <c r="IS1278" s="146"/>
      <c r="IT1278" s="146"/>
      <c r="IU1278" s="146"/>
      <c r="IV1278" s="146"/>
      <c r="IW1278" s="146"/>
      <c r="IX1278" s="183"/>
      <c r="IY1278" s="146"/>
      <c r="IZ1278" s="146"/>
      <c r="JA1278" s="146"/>
      <c r="JB1278" s="146"/>
      <c r="JC1278" s="146"/>
      <c r="JD1278" s="183"/>
      <c r="JE1278" s="146"/>
      <c r="JF1278" s="146"/>
      <c r="JG1278" s="183"/>
      <c r="JH1278" s="146"/>
      <c r="JI1278" s="146"/>
      <c r="JJ1278" s="146"/>
      <c r="JK1278" s="146"/>
      <c r="JL1278" s="146"/>
      <c r="JM1278" s="183"/>
      <c r="JN1278" s="146"/>
      <c r="JO1278" s="146"/>
      <c r="JP1278" s="146"/>
      <c r="JQ1278" s="146"/>
      <c r="JR1278" s="146"/>
      <c r="JS1278" s="183"/>
      <c r="JT1278" s="146"/>
      <c r="JU1278" s="146"/>
      <c r="JV1278" s="146"/>
      <c r="JW1278" s="146"/>
      <c r="JX1278" s="146"/>
      <c r="JY1278" s="183"/>
      <c r="JZ1278" s="146"/>
      <c r="KA1278" s="146"/>
      <c r="KB1278" s="183"/>
      <c r="KC1278" s="146"/>
      <c r="KD1278" s="146"/>
      <c r="KE1278" s="146"/>
      <c r="KF1278" s="146"/>
      <c r="KG1278" s="146"/>
      <c r="KH1278" s="183"/>
      <c r="KI1278" s="146"/>
      <c r="KJ1278" s="146"/>
      <c r="KK1278" s="146"/>
      <c r="KL1278" s="146"/>
      <c r="KM1278" s="146"/>
      <c r="KN1278" s="183"/>
      <c r="KO1278" s="146"/>
      <c r="KP1278" s="146"/>
      <c r="KQ1278" s="146"/>
      <c r="KR1278" s="146"/>
      <c r="KS1278" s="146"/>
      <c r="KT1278" s="183"/>
      <c r="KU1278" s="146"/>
      <c r="KV1278" s="146"/>
      <c r="KW1278" s="183"/>
      <c r="KX1278" s="146"/>
      <c r="KY1278" s="146"/>
      <c r="KZ1278" s="146"/>
      <c r="LA1278" s="146"/>
      <c r="LB1278" s="146"/>
      <c r="LC1278" s="183"/>
      <c r="LD1278" s="146"/>
      <c r="LE1278" s="146"/>
      <c r="LF1278" s="146"/>
      <c r="LG1278" s="146"/>
      <c r="LH1278" s="146"/>
      <c r="LI1278" s="183"/>
      <c r="LJ1278" s="146"/>
      <c r="LK1278" s="146"/>
      <c r="LL1278" s="146"/>
      <c r="LM1278" s="146"/>
      <c r="LN1278" s="146"/>
      <c r="LO1278" s="183"/>
      <c r="LP1278" s="146"/>
      <c r="LQ1278" s="146"/>
      <c r="LR1278" s="183"/>
      <c r="LS1278" s="146"/>
      <c r="LT1278" s="146"/>
      <c r="LU1278" s="146"/>
      <c r="LV1278" s="146"/>
      <c r="LW1278" s="146"/>
      <c r="LX1278" s="183"/>
      <c r="LY1278" s="146"/>
      <c r="LZ1278" s="146"/>
      <c r="MA1278" s="146"/>
      <c r="MB1278" s="146"/>
      <c r="MC1278" s="146"/>
      <c r="MD1278" s="183"/>
      <c r="ME1278" s="146"/>
      <c r="MF1278" s="146"/>
      <c r="MG1278" s="146"/>
      <c r="MH1278" s="146"/>
      <c r="MI1278" s="146"/>
      <c r="MJ1278" s="183"/>
      <c r="MK1278" s="146"/>
      <c r="ML1278" s="146"/>
      <c r="MM1278" s="183"/>
      <c r="MN1278" s="146"/>
      <c r="MO1278" s="146"/>
      <c r="MP1278" s="146"/>
      <c r="MQ1278" s="146"/>
      <c r="MR1278" s="146"/>
      <c r="MS1278" s="183"/>
      <c r="MT1278" s="146"/>
      <c r="MU1278" s="146"/>
      <c r="MV1278" s="146"/>
      <c r="MW1278" s="146"/>
      <c r="MX1278" s="146"/>
      <c r="MY1278" s="183"/>
      <c r="MZ1278" s="146"/>
      <c r="NA1278" s="146"/>
      <c r="NB1278" s="146"/>
      <c r="NC1278" s="146"/>
      <c r="ND1278" s="146"/>
      <c r="NE1278" s="183"/>
      <c r="NF1278" s="146"/>
      <c r="NG1278" s="146"/>
      <c r="NH1278" s="183"/>
      <c r="NI1278" s="146"/>
      <c r="NJ1278" s="146"/>
      <c r="NK1278" s="146"/>
      <c r="NL1278" s="146"/>
      <c r="NM1278" s="146"/>
      <c r="NN1278" s="183"/>
      <c r="NO1278" s="146"/>
      <c r="NP1278" s="146"/>
      <c r="NQ1278" s="146"/>
      <c r="NR1278" s="146"/>
      <c r="NS1278" s="146"/>
      <c r="NT1278" s="183"/>
      <c r="NU1278" s="146"/>
      <c r="NV1278" s="146"/>
      <c r="NW1278" s="146"/>
      <c r="NX1278" s="146"/>
      <c r="NY1278" s="146"/>
      <c r="NZ1278" s="183"/>
      <c r="OA1278" s="146"/>
      <c r="OB1278" s="146"/>
      <c r="OC1278" s="183"/>
      <c r="OD1278" s="146"/>
      <c r="OE1278" s="146"/>
      <c r="OF1278" s="146"/>
      <c r="OG1278" s="146"/>
      <c r="OH1278" s="146"/>
      <c r="OI1278" s="183"/>
      <c r="OJ1278" s="146"/>
      <c r="OK1278" s="146"/>
      <c r="OL1278" s="146"/>
      <c r="OM1278" s="146"/>
      <c r="ON1278" s="146"/>
      <c r="OO1278" s="183"/>
      <c r="OP1278" s="146"/>
      <c r="OQ1278" s="146"/>
      <c r="OR1278" s="146"/>
      <c r="OS1278" s="146"/>
      <c r="OT1278" s="146"/>
      <c r="OU1278" s="183"/>
      <c r="OV1278" s="146"/>
      <c r="OW1278" s="146"/>
      <c r="OX1278" s="183"/>
      <c r="OY1278" s="146"/>
      <c r="OZ1278" s="146"/>
      <c r="PA1278" s="146"/>
      <c r="PB1278" s="146"/>
      <c r="PC1278" s="146"/>
      <c r="PD1278" s="183"/>
      <c r="PE1278" s="146"/>
      <c r="PF1278" s="146"/>
      <c r="PG1278" s="146"/>
      <c r="PH1278" s="146"/>
      <c r="PI1278" s="146"/>
      <c r="PJ1278" s="183"/>
      <c r="PK1278" s="146"/>
      <c r="PL1278" s="146"/>
      <c r="PM1278" s="146"/>
      <c r="PN1278" s="146"/>
      <c r="PO1278" s="146"/>
      <c r="PP1278" s="183"/>
      <c r="PQ1278" s="146"/>
      <c r="PR1278" s="146"/>
      <c r="PS1278" s="183"/>
      <c r="PT1278" s="146"/>
      <c r="PU1278" s="146"/>
      <c r="PV1278" s="146"/>
      <c r="PW1278" s="146"/>
      <c r="PX1278" s="146"/>
      <c r="PY1278" s="183"/>
      <c r="PZ1278" s="146"/>
      <c r="QA1278" s="146"/>
      <c r="QB1278" s="146"/>
      <c r="QC1278" s="146"/>
      <c r="QD1278" s="146"/>
      <c r="QE1278" s="183"/>
      <c r="QF1278" s="146"/>
      <c r="QG1278" s="146"/>
      <c r="QH1278" s="146"/>
      <c r="QI1278" s="146"/>
      <c r="QJ1278" s="146"/>
      <c r="QK1278" s="183"/>
      <c r="QL1278" s="146"/>
      <c r="QM1278" s="146"/>
      <c r="QN1278" s="183"/>
      <c r="QO1278" s="146"/>
      <c r="QP1278" s="146"/>
      <c r="QQ1278" s="146"/>
      <c r="QR1278" s="146"/>
      <c r="QS1278" s="146"/>
      <c r="QT1278" s="183"/>
      <c r="QU1278" s="146"/>
      <c r="QV1278" s="146"/>
      <c r="QW1278" s="146"/>
      <c r="QX1278" s="146"/>
      <c r="QY1278" s="146"/>
      <c r="QZ1278" s="183"/>
      <c r="RA1278" s="146"/>
      <c r="RB1278" s="146"/>
      <c r="RC1278" s="146"/>
      <c r="RD1278" s="146"/>
      <c r="RE1278" s="146"/>
      <c r="RF1278" s="183"/>
      <c r="RG1278" s="146"/>
      <c r="RH1278" s="146"/>
      <c r="RI1278" s="183"/>
      <c r="RJ1278" s="146"/>
      <c r="RK1278" s="146"/>
      <c r="RL1278" s="146"/>
      <c r="RM1278" s="146"/>
      <c r="RN1278" s="146"/>
      <c r="RO1278" s="183"/>
      <c r="RP1278" s="146"/>
      <c r="RQ1278" s="146"/>
      <c r="RR1278" s="146"/>
      <c r="RS1278" s="146"/>
      <c r="RT1278" s="146"/>
      <c r="RU1278" s="183"/>
      <c r="RV1278" s="146"/>
      <c r="RW1278" s="146"/>
      <c r="RX1278" s="146"/>
      <c r="RY1278" s="146"/>
      <c r="RZ1278" s="146"/>
      <c r="SA1278" s="183"/>
      <c r="SB1278" s="146"/>
      <c r="SC1278" s="146"/>
      <c r="SD1278" s="183"/>
      <c r="SE1278" s="146"/>
      <c r="SF1278" s="146"/>
      <c r="SG1278" s="146"/>
      <c r="SH1278" s="146"/>
      <c r="SI1278" s="146"/>
      <c r="SJ1278" s="183"/>
      <c r="SK1278" s="146"/>
      <c r="SL1278" s="146"/>
      <c r="SM1278" s="146"/>
      <c r="SN1278" s="146"/>
      <c r="SO1278" s="146"/>
      <c r="SP1278" s="183"/>
      <c r="SQ1278" s="146"/>
      <c r="SR1278" s="146"/>
      <c r="SS1278" s="146"/>
      <c r="ST1278" s="146"/>
      <c r="SU1278" s="146"/>
      <c r="SV1278" s="183"/>
      <c r="SW1278" s="146"/>
      <c r="SX1278" s="146"/>
      <c r="SY1278" s="183"/>
      <c r="SZ1278" s="146"/>
      <c r="TA1278" s="146"/>
      <c r="TB1278" s="146"/>
      <c r="TC1278" s="146"/>
      <c r="TD1278" s="146"/>
      <c r="TE1278" s="183"/>
      <c r="TF1278" s="146"/>
      <c r="TG1278" s="146"/>
      <c r="TH1278" s="146"/>
      <c r="TI1278" s="146"/>
      <c r="TJ1278" s="146"/>
      <c r="TK1278" s="183"/>
      <c r="TL1278" s="146"/>
      <c r="TM1278" s="146"/>
      <c r="TN1278" s="146"/>
      <c r="TO1278" s="146"/>
      <c r="TP1278" s="146"/>
      <c r="TQ1278" s="183"/>
      <c r="TR1278" s="146"/>
      <c r="TS1278" s="146"/>
      <c r="TT1278" s="183"/>
      <c r="TU1278" s="146"/>
      <c r="TV1278" s="146"/>
      <c r="TW1278" s="146"/>
      <c r="TX1278" s="146"/>
      <c r="TY1278" s="146"/>
      <c r="TZ1278" s="183"/>
      <c r="UA1278" s="146"/>
      <c r="UB1278" s="146"/>
      <c r="UC1278" s="146"/>
      <c r="UD1278" s="146"/>
      <c r="UE1278" s="146"/>
      <c r="UF1278" s="183"/>
      <c r="UG1278" s="146"/>
      <c r="UH1278" s="146"/>
      <c r="UI1278" s="146"/>
      <c r="UJ1278" s="146"/>
      <c r="UK1278" s="146"/>
      <c r="UL1278" s="183"/>
      <c r="UM1278" s="146"/>
      <c r="UN1278" s="146"/>
      <c r="UO1278" s="183"/>
      <c r="UP1278" s="146"/>
      <c r="UQ1278" s="146"/>
      <c r="UR1278" s="146"/>
      <c r="US1278" s="146"/>
      <c r="UT1278" s="146"/>
      <c r="UU1278" s="183"/>
      <c r="UV1278" s="146"/>
      <c r="UW1278" s="146"/>
      <c r="UX1278" s="146"/>
      <c r="UY1278" s="146"/>
      <c r="UZ1278" s="146"/>
      <c r="VA1278" s="183"/>
      <c r="VB1278" s="146"/>
      <c r="VC1278" s="146"/>
      <c r="VD1278" s="146"/>
      <c r="VE1278" s="146"/>
      <c r="VF1278" s="146"/>
      <c r="VG1278" s="183"/>
      <c r="VH1278" s="146"/>
      <c r="VI1278" s="146"/>
      <c r="VJ1278" s="183"/>
      <c r="VK1278" s="146"/>
      <c r="VL1278" s="146"/>
      <c r="VM1278" s="146"/>
      <c r="VN1278" s="146"/>
      <c r="VO1278" s="146"/>
      <c r="VP1278" s="183"/>
      <c r="VQ1278" s="146"/>
      <c r="VR1278" s="146"/>
      <c r="VS1278" s="146"/>
      <c r="VT1278" s="146"/>
      <c r="VU1278" s="146"/>
      <c r="VV1278" s="183"/>
      <c r="VW1278" s="146"/>
      <c r="VX1278" s="146"/>
      <c r="VY1278" s="146"/>
      <c r="VZ1278" s="146"/>
      <c r="WA1278" s="146"/>
      <c r="WB1278" s="183"/>
      <c r="WC1278" s="146"/>
      <c r="WD1278" s="146"/>
      <c r="WE1278" s="183"/>
      <c r="WF1278" s="146"/>
      <c r="WG1278" s="146"/>
      <c r="WH1278" s="146"/>
      <c r="WI1278" s="146"/>
      <c r="WJ1278" s="146"/>
      <c r="WK1278" s="183"/>
      <c r="WL1278" s="146"/>
      <c r="WM1278" s="146"/>
      <c r="WN1278" s="146"/>
      <c r="WO1278" s="146"/>
      <c r="WP1278" s="146"/>
      <c r="WQ1278" s="183"/>
      <c r="WR1278" s="146"/>
      <c r="WS1278" s="146"/>
      <c r="WT1278" s="146"/>
      <c r="WU1278" s="146"/>
      <c r="WV1278" s="146"/>
      <c r="WW1278" s="183"/>
      <c r="WX1278" s="146"/>
      <c r="WY1278" s="146"/>
      <c r="WZ1278" s="183"/>
      <c r="XA1278" s="146"/>
      <c r="XB1278" s="146"/>
      <c r="XC1278" s="146"/>
      <c r="XD1278" s="146"/>
      <c r="XE1278" s="146"/>
      <c r="XF1278" s="183"/>
      <c r="XG1278" s="146"/>
      <c r="XH1278" s="146"/>
      <c r="XI1278" s="146"/>
      <c r="XJ1278" s="146"/>
      <c r="XK1278" s="146"/>
      <c r="XL1278" s="183"/>
      <c r="XM1278" s="146"/>
      <c r="XN1278" s="146"/>
      <c r="XO1278" s="146"/>
      <c r="XP1278" s="146"/>
      <c r="XQ1278" s="146"/>
      <c r="XR1278" s="183"/>
      <c r="XS1278" s="146"/>
      <c r="XT1278" s="146"/>
      <c r="XU1278" s="183"/>
      <c r="XV1278" s="146"/>
      <c r="XW1278" s="146"/>
      <c r="XX1278" s="146"/>
      <c r="XY1278" s="146"/>
      <c r="XZ1278" s="146"/>
      <c r="YA1278" s="183"/>
      <c r="YB1278" s="146"/>
      <c r="YC1278" s="146"/>
      <c r="YD1278" s="146"/>
      <c r="YE1278" s="146"/>
      <c r="YF1278" s="146"/>
      <c r="YG1278" s="183"/>
      <c r="YH1278" s="146"/>
      <c r="YI1278" s="146"/>
      <c r="YJ1278" s="146"/>
      <c r="YK1278" s="146"/>
      <c r="YL1278" s="146"/>
      <c r="YM1278" s="183"/>
      <c r="YN1278" s="146"/>
      <c r="YO1278" s="146"/>
      <c r="YP1278" s="183"/>
      <c r="YQ1278" s="146"/>
      <c r="YR1278" s="146"/>
      <c r="YS1278" s="146"/>
      <c r="YT1278" s="146"/>
      <c r="YU1278" s="146"/>
      <c r="YV1278" s="183"/>
      <c r="YW1278" s="146"/>
      <c r="YX1278" s="146"/>
      <c r="YY1278" s="146"/>
      <c r="YZ1278" s="146"/>
      <c r="ZA1278" s="146"/>
      <c r="ZB1278" s="183"/>
      <c r="ZC1278" s="146"/>
      <c r="ZD1278" s="146"/>
      <c r="ZE1278" s="146"/>
      <c r="ZF1278" s="146"/>
      <c r="ZG1278" s="146"/>
    </row>
    <row r="1279" spans="1:683" s="158" customFormat="1" ht="41.25" customHeight="1" x14ac:dyDescent="0.25">
      <c r="A1279" s="184" t="s">
        <v>698</v>
      </c>
      <c r="B1279" s="331"/>
    </row>
    <row r="1280" spans="1:683" x14ac:dyDescent="0.25">
      <c r="A1280" s="114" t="s">
        <v>596</v>
      </c>
      <c r="B1280" s="106"/>
      <c r="C1280" s="113" t="s">
        <v>447</v>
      </c>
      <c r="D1280" s="1279"/>
      <c r="E1280" s="1280"/>
      <c r="F1280" s="185" t="s">
        <v>699</v>
      </c>
      <c r="G1280" s="185" t="s">
        <v>699</v>
      </c>
      <c r="H1280" s="185" t="s">
        <v>699</v>
      </c>
      <c r="I1280" s="185" t="s">
        <v>699</v>
      </c>
      <c r="J1280" s="185" t="s">
        <v>699</v>
      </c>
      <c r="K1280" s="185" t="s">
        <v>699</v>
      </c>
      <c r="L1280" s="129">
        <f>SUM(L1281:L1294)</f>
        <v>0</v>
      </c>
      <c r="M1280" s="129">
        <f t="shared" ref="M1280:T1280" si="114">SUM(M1281:M1294)</f>
        <v>0</v>
      </c>
      <c r="N1280" s="129">
        <f t="shared" si="114"/>
        <v>0</v>
      </c>
      <c r="O1280" s="129">
        <f t="shared" si="114"/>
        <v>0</v>
      </c>
      <c r="P1280" s="129">
        <f t="shared" si="114"/>
        <v>0</v>
      </c>
      <c r="Q1280" s="129">
        <f t="shared" si="114"/>
        <v>0</v>
      </c>
      <c r="R1280" s="129">
        <f t="shared" si="114"/>
        <v>0</v>
      </c>
      <c r="S1280" s="129">
        <f t="shared" si="114"/>
        <v>0</v>
      </c>
      <c r="T1280" s="129">
        <f t="shared" si="114"/>
        <v>0</v>
      </c>
      <c r="U1280" s="185" t="s">
        <v>699</v>
      </c>
      <c r="V1280" s="185" t="s">
        <v>699</v>
      </c>
      <c r="W1280" s="185" t="s">
        <v>699</v>
      </c>
      <c r="X1280" s="185" t="s">
        <v>699</v>
      </c>
      <c r="Y1280" s="185" t="s">
        <v>699</v>
      </c>
      <c r="Z1280" s="185" t="s">
        <v>699</v>
      </c>
      <c r="AA1280" s="129">
        <f t="shared" ref="AA1280:AO1280" si="115">SUM(AA1281:AA1294)</f>
        <v>0</v>
      </c>
      <c r="AB1280" s="129">
        <f t="shared" si="115"/>
        <v>0</v>
      </c>
      <c r="AC1280" s="129">
        <f t="shared" si="115"/>
        <v>0</v>
      </c>
      <c r="AD1280" s="129">
        <f t="shared" si="115"/>
        <v>0</v>
      </c>
      <c r="AE1280" s="129">
        <f t="shared" si="115"/>
        <v>0</v>
      </c>
      <c r="AF1280" s="129">
        <f t="shared" si="115"/>
        <v>0</v>
      </c>
      <c r="AG1280" s="129">
        <f t="shared" si="115"/>
        <v>0</v>
      </c>
      <c r="AH1280" s="129">
        <f t="shared" si="115"/>
        <v>0</v>
      </c>
      <c r="AI1280" s="129">
        <f t="shared" si="115"/>
        <v>0</v>
      </c>
      <c r="AJ1280" s="129">
        <f t="shared" si="115"/>
        <v>0</v>
      </c>
      <c r="AK1280" s="129">
        <f t="shared" si="115"/>
        <v>0</v>
      </c>
      <c r="AL1280" s="129">
        <f t="shared" si="115"/>
        <v>0</v>
      </c>
      <c r="AM1280" s="129">
        <f t="shared" si="115"/>
        <v>0</v>
      </c>
      <c r="AN1280" s="129">
        <f t="shared" si="115"/>
        <v>0</v>
      </c>
      <c r="AO1280" s="129">
        <f t="shared" si="115"/>
        <v>0</v>
      </c>
      <c r="AP1280" s="185" t="s">
        <v>699</v>
      </c>
      <c r="AQ1280" s="185" t="s">
        <v>699</v>
      </c>
      <c r="AR1280" s="185" t="s">
        <v>699</v>
      </c>
      <c r="AS1280" s="185" t="s">
        <v>699</v>
      </c>
      <c r="AT1280" s="185" t="s">
        <v>699</v>
      </c>
      <c r="AU1280" s="185" t="s">
        <v>699</v>
      </c>
      <c r="AV1280" s="129">
        <f t="shared" ref="AV1280:BJ1280" si="116">SUM(AV1281:AV1294)</f>
        <v>0</v>
      </c>
      <c r="AW1280" s="129">
        <f t="shared" si="116"/>
        <v>0</v>
      </c>
      <c r="AX1280" s="129">
        <f t="shared" si="116"/>
        <v>0</v>
      </c>
      <c r="AY1280" s="129">
        <f t="shared" si="116"/>
        <v>0</v>
      </c>
      <c r="AZ1280" s="129">
        <f t="shared" si="116"/>
        <v>0</v>
      </c>
      <c r="BA1280" s="129">
        <f t="shared" si="116"/>
        <v>0</v>
      </c>
      <c r="BB1280" s="129">
        <f t="shared" si="116"/>
        <v>0</v>
      </c>
      <c r="BC1280" s="129">
        <f t="shared" si="116"/>
        <v>0</v>
      </c>
      <c r="BD1280" s="129">
        <f t="shared" si="116"/>
        <v>0</v>
      </c>
      <c r="BE1280" s="129">
        <f t="shared" si="116"/>
        <v>0</v>
      </c>
      <c r="BF1280" s="129">
        <f t="shared" si="116"/>
        <v>0</v>
      </c>
      <c r="BG1280" s="129">
        <f t="shared" si="116"/>
        <v>0</v>
      </c>
      <c r="BH1280" s="129">
        <f t="shared" si="116"/>
        <v>0</v>
      </c>
      <c r="BI1280" s="129">
        <f t="shared" si="116"/>
        <v>0</v>
      </c>
      <c r="BJ1280" s="129">
        <f t="shared" si="116"/>
        <v>0</v>
      </c>
      <c r="BK1280" s="185" t="s">
        <v>699</v>
      </c>
      <c r="BL1280" s="185" t="s">
        <v>699</v>
      </c>
      <c r="BM1280" s="185" t="s">
        <v>699</v>
      </c>
      <c r="BN1280" s="185" t="s">
        <v>699</v>
      </c>
      <c r="BO1280" s="185" t="s">
        <v>699</v>
      </c>
      <c r="BP1280" s="185" t="s">
        <v>699</v>
      </c>
      <c r="BQ1280" s="129">
        <f t="shared" ref="BQ1280:CE1280" si="117">SUM(BQ1281:BQ1294)</f>
        <v>0</v>
      </c>
      <c r="BR1280" s="129">
        <f t="shared" si="117"/>
        <v>0</v>
      </c>
      <c r="BS1280" s="129">
        <f t="shared" si="117"/>
        <v>0</v>
      </c>
      <c r="BT1280" s="129">
        <f t="shared" si="117"/>
        <v>0</v>
      </c>
      <c r="BU1280" s="129">
        <f t="shared" si="117"/>
        <v>0</v>
      </c>
      <c r="BV1280" s="129">
        <f t="shared" si="117"/>
        <v>0</v>
      </c>
      <c r="BW1280" s="129">
        <f t="shared" si="117"/>
        <v>0</v>
      </c>
      <c r="BX1280" s="129">
        <f t="shared" si="117"/>
        <v>0</v>
      </c>
      <c r="BY1280" s="129">
        <f t="shared" si="117"/>
        <v>0</v>
      </c>
      <c r="BZ1280" s="129">
        <f t="shared" si="117"/>
        <v>0</v>
      </c>
      <c r="CA1280" s="129">
        <f t="shared" si="117"/>
        <v>0</v>
      </c>
      <c r="CB1280" s="129">
        <f t="shared" si="117"/>
        <v>0</v>
      </c>
      <c r="CC1280" s="129">
        <f t="shared" si="117"/>
        <v>0</v>
      </c>
      <c r="CD1280" s="129">
        <f t="shared" si="117"/>
        <v>0</v>
      </c>
      <c r="CE1280" s="129">
        <f t="shared" si="117"/>
        <v>0</v>
      </c>
      <c r="CF1280" s="185" t="s">
        <v>699</v>
      </c>
      <c r="CG1280" s="185" t="s">
        <v>699</v>
      </c>
      <c r="CH1280" s="185" t="s">
        <v>699</v>
      </c>
      <c r="CI1280" s="185" t="s">
        <v>699</v>
      </c>
      <c r="CJ1280" s="185" t="s">
        <v>699</v>
      </c>
      <c r="CK1280" s="185" t="s">
        <v>699</v>
      </c>
      <c r="CL1280" s="129">
        <f t="shared" ref="CL1280:CZ1280" si="118">SUM(CL1281:CL1294)</f>
        <v>0</v>
      </c>
      <c r="CM1280" s="129">
        <f t="shared" si="118"/>
        <v>0</v>
      </c>
      <c r="CN1280" s="129">
        <f t="shared" si="118"/>
        <v>0</v>
      </c>
      <c r="CO1280" s="129">
        <f t="shared" si="118"/>
        <v>0</v>
      </c>
      <c r="CP1280" s="129">
        <f t="shared" si="118"/>
        <v>0</v>
      </c>
      <c r="CQ1280" s="129">
        <f t="shared" si="118"/>
        <v>0</v>
      </c>
      <c r="CR1280" s="129">
        <f t="shared" si="118"/>
        <v>0</v>
      </c>
      <c r="CS1280" s="129">
        <f t="shared" si="118"/>
        <v>0</v>
      </c>
      <c r="CT1280" s="129">
        <f t="shared" si="118"/>
        <v>0</v>
      </c>
      <c r="CU1280" s="129">
        <f t="shared" si="118"/>
        <v>0</v>
      </c>
      <c r="CV1280" s="129">
        <f t="shared" si="118"/>
        <v>0</v>
      </c>
      <c r="CW1280" s="129">
        <f t="shared" si="118"/>
        <v>0</v>
      </c>
      <c r="CX1280" s="129">
        <f t="shared" si="118"/>
        <v>0</v>
      </c>
      <c r="CY1280" s="129">
        <f t="shared" si="118"/>
        <v>0</v>
      </c>
      <c r="CZ1280" s="129">
        <f t="shared" si="118"/>
        <v>0</v>
      </c>
      <c r="DA1280" s="185" t="s">
        <v>699</v>
      </c>
      <c r="DB1280" s="185" t="s">
        <v>699</v>
      </c>
      <c r="DC1280" s="185" t="s">
        <v>699</v>
      </c>
      <c r="DD1280" s="185" t="s">
        <v>699</v>
      </c>
      <c r="DE1280" s="185" t="s">
        <v>699</v>
      </c>
      <c r="DF1280" s="185" t="s">
        <v>699</v>
      </c>
      <c r="DG1280" s="129">
        <f t="shared" ref="DG1280:DU1280" si="119">SUM(DG1281:DG1294)</f>
        <v>0</v>
      </c>
      <c r="DH1280" s="129">
        <f t="shared" si="119"/>
        <v>0</v>
      </c>
      <c r="DI1280" s="129">
        <f t="shared" si="119"/>
        <v>0</v>
      </c>
      <c r="DJ1280" s="129">
        <f t="shared" si="119"/>
        <v>0</v>
      </c>
      <c r="DK1280" s="129">
        <f t="shared" si="119"/>
        <v>0</v>
      </c>
      <c r="DL1280" s="129">
        <f t="shared" si="119"/>
        <v>0</v>
      </c>
      <c r="DM1280" s="129">
        <f t="shared" si="119"/>
        <v>0</v>
      </c>
      <c r="DN1280" s="129">
        <f t="shared" si="119"/>
        <v>0</v>
      </c>
      <c r="DO1280" s="129">
        <f t="shared" si="119"/>
        <v>0</v>
      </c>
      <c r="DP1280" s="129">
        <f t="shared" si="119"/>
        <v>0</v>
      </c>
      <c r="DQ1280" s="129">
        <f t="shared" si="119"/>
        <v>0</v>
      </c>
      <c r="DR1280" s="129">
        <f t="shared" si="119"/>
        <v>0</v>
      </c>
      <c r="DS1280" s="129">
        <f t="shared" si="119"/>
        <v>0</v>
      </c>
      <c r="DT1280" s="129">
        <f t="shared" si="119"/>
        <v>0</v>
      </c>
      <c r="DU1280" s="129">
        <f t="shared" si="119"/>
        <v>0</v>
      </c>
      <c r="DV1280" s="185" t="s">
        <v>699</v>
      </c>
      <c r="DW1280" s="185" t="s">
        <v>699</v>
      </c>
      <c r="DX1280" s="185" t="s">
        <v>699</v>
      </c>
      <c r="DY1280" s="185" t="s">
        <v>699</v>
      </c>
      <c r="DZ1280" s="185" t="s">
        <v>699</v>
      </c>
      <c r="EA1280" s="185" t="s">
        <v>699</v>
      </c>
      <c r="EB1280" s="129">
        <f t="shared" ref="EB1280:EP1280" si="120">SUM(EB1281:EB1294)</f>
        <v>0</v>
      </c>
      <c r="EC1280" s="129">
        <f t="shared" si="120"/>
        <v>0</v>
      </c>
      <c r="ED1280" s="129">
        <f t="shared" si="120"/>
        <v>0</v>
      </c>
      <c r="EE1280" s="129">
        <f t="shared" si="120"/>
        <v>0</v>
      </c>
      <c r="EF1280" s="129">
        <f t="shared" si="120"/>
        <v>0</v>
      </c>
      <c r="EG1280" s="129">
        <f t="shared" si="120"/>
        <v>0</v>
      </c>
      <c r="EH1280" s="129">
        <f t="shared" si="120"/>
        <v>0</v>
      </c>
      <c r="EI1280" s="129">
        <f t="shared" si="120"/>
        <v>0</v>
      </c>
      <c r="EJ1280" s="129">
        <f t="shared" si="120"/>
        <v>0</v>
      </c>
      <c r="EK1280" s="129">
        <f t="shared" si="120"/>
        <v>0</v>
      </c>
      <c r="EL1280" s="129">
        <f t="shared" si="120"/>
        <v>0</v>
      </c>
      <c r="EM1280" s="129">
        <f t="shared" si="120"/>
        <v>0</v>
      </c>
      <c r="EN1280" s="129">
        <f t="shared" si="120"/>
        <v>0</v>
      </c>
      <c r="EO1280" s="129">
        <f t="shared" si="120"/>
        <v>0</v>
      </c>
      <c r="EP1280" s="129">
        <f t="shared" si="120"/>
        <v>0</v>
      </c>
      <c r="EQ1280" s="185" t="s">
        <v>699</v>
      </c>
      <c r="ER1280" s="185" t="s">
        <v>699</v>
      </c>
      <c r="ES1280" s="185" t="s">
        <v>699</v>
      </c>
      <c r="ET1280" s="185" t="s">
        <v>699</v>
      </c>
      <c r="EU1280" s="185" t="s">
        <v>699</v>
      </c>
      <c r="EV1280" s="185" t="s">
        <v>699</v>
      </c>
      <c r="EW1280" s="129">
        <f t="shared" ref="EW1280:FK1280" si="121">SUM(EW1281:EW1294)</f>
        <v>0</v>
      </c>
      <c r="EX1280" s="129">
        <f t="shared" si="121"/>
        <v>0</v>
      </c>
      <c r="EY1280" s="129">
        <f t="shared" si="121"/>
        <v>0</v>
      </c>
      <c r="EZ1280" s="129">
        <f t="shared" si="121"/>
        <v>0</v>
      </c>
      <c r="FA1280" s="129">
        <f t="shared" si="121"/>
        <v>0</v>
      </c>
      <c r="FB1280" s="129">
        <f t="shared" si="121"/>
        <v>0</v>
      </c>
      <c r="FC1280" s="129">
        <f t="shared" si="121"/>
        <v>0</v>
      </c>
      <c r="FD1280" s="129">
        <f t="shared" si="121"/>
        <v>0</v>
      </c>
      <c r="FE1280" s="129">
        <f t="shared" si="121"/>
        <v>0</v>
      </c>
      <c r="FF1280" s="129">
        <f t="shared" si="121"/>
        <v>0</v>
      </c>
      <c r="FG1280" s="129">
        <f t="shared" si="121"/>
        <v>0</v>
      </c>
      <c r="FH1280" s="129">
        <f t="shared" si="121"/>
        <v>0</v>
      </c>
      <c r="FI1280" s="129">
        <f t="shared" si="121"/>
        <v>0</v>
      </c>
      <c r="FJ1280" s="129">
        <f t="shared" si="121"/>
        <v>0</v>
      </c>
      <c r="FK1280" s="129">
        <f t="shared" si="121"/>
        <v>0</v>
      </c>
      <c r="FL1280" s="185" t="s">
        <v>699</v>
      </c>
      <c r="FM1280" s="185" t="s">
        <v>699</v>
      </c>
      <c r="FN1280" s="185" t="s">
        <v>699</v>
      </c>
      <c r="FO1280" s="185" t="s">
        <v>699</v>
      </c>
      <c r="FP1280" s="185" t="s">
        <v>699</v>
      </c>
      <c r="FQ1280" s="185" t="s">
        <v>699</v>
      </c>
      <c r="FR1280" s="129">
        <f t="shared" ref="FR1280:GF1280" si="122">SUM(FR1281:FR1294)</f>
        <v>0</v>
      </c>
      <c r="FS1280" s="129">
        <f t="shared" si="122"/>
        <v>0</v>
      </c>
      <c r="FT1280" s="129">
        <f t="shared" si="122"/>
        <v>0</v>
      </c>
      <c r="FU1280" s="129">
        <f t="shared" si="122"/>
        <v>0</v>
      </c>
      <c r="FV1280" s="129">
        <f t="shared" si="122"/>
        <v>0</v>
      </c>
      <c r="FW1280" s="129">
        <f t="shared" si="122"/>
        <v>0</v>
      </c>
      <c r="FX1280" s="129">
        <f t="shared" si="122"/>
        <v>0</v>
      </c>
      <c r="FY1280" s="129">
        <f t="shared" si="122"/>
        <v>0</v>
      </c>
      <c r="FZ1280" s="129">
        <f t="shared" si="122"/>
        <v>0</v>
      </c>
      <c r="GA1280" s="129">
        <f t="shared" si="122"/>
        <v>0</v>
      </c>
      <c r="GB1280" s="129">
        <f t="shared" si="122"/>
        <v>0</v>
      </c>
      <c r="GC1280" s="129">
        <f t="shared" si="122"/>
        <v>0</v>
      </c>
      <c r="GD1280" s="129">
        <f t="shared" si="122"/>
        <v>0</v>
      </c>
      <c r="GE1280" s="129">
        <f t="shared" si="122"/>
        <v>0</v>
      </c>
      <c r="GF1280" s="129">
        <f t="shared" si="122"/>
        <v>0</v>
      </c>
      <c r="GG1280" s="185" t="s">
        <v>699</v>
      </c>
      <c r="GH1280" s="185" t="s">
        <v>699</v>
      </c>
      <c r="GI1280" s="185" t="s">
        <v>699</v>
      </c>
      <c r="GJ1280" s="185" t="s">
        <v>699</v>
      </c>
      <c r="GK1280" s="185" t="s">
        <v>699</v>
      </c>
      <c r="GL1280" s="185" t="s">
        <v>699</v>
      </c>
      <c r="GM1280" s="129">
        <f t="shared" ref="GM1280:HA1280" si="123">SUM(GM1281:GM1294)</f>
        <v>0</v>
      </c>
      <c r="GN1280" s="129">
        <f t="shared" si="123"/>
        <v>0</v>
      </c>
      <c r="GO1280" s="129">
        <f t="shared" si="123"/>
        <v>0</v>
      </c>
      <c r="GP1280" s="129">
        <f t="shared" si="123"/>
        <v>0</v>
      </c>
      <c r="GQ1280" s="129">
        <f t="shared" si="123"/>
        <v>0</v>
      </c>
      <c r="GR1280" s="129">
        <f t="shared" si="123"/>
        <v>0</v>
      </c>
      <c r="GS1280" s="129">
        <f t="shared" si="123"/>
        <v>0</v>
      </c>
      <c r="GT1280" s="129">
        <f t="shared" si="123"/>
        <v>0</v>
      </c>
      <c r="GU1280" s="129">
        <f t="shared" si="123"/>
        <v>0</v>
      </c>
      <c r="GV1280" s="129">
        <f t="shared" si="123"/>
        <v>0</v>
      </c>
      <c r="GW1280" s="129">
        <f t="shared" si="123"/>
        <v>0</v>
      </c>
      <c r="GX1280" s="129">
        <f t="shared" si="123"/>
        <v>0</v>
      </c>
      <c r="GY1280" s="129">
        <f t="shared" si="123"/>
        <v>0</v>
      </c>
      <c r="GZ1280" s="129">
        <f t="shared" si="123"/>
        <v>0</v>
      </c>
      <c r="HA1280" s="129">
        <f t="shared" si="123"/>
        <v>0</v>
      </c>
      <c r="HB1280" s="185" t="s">
        <v>699</v>
      </c>
      <c r="HC1280" s="185" t="s">
        <v>699</v>
      </c>
      <c r="HD1280" s="185" t="s">
        <v>699</v>
      </c>
      <c r="HE1280" s="185" t="s">
        <v>699</v>
      </c>
      <c r="HF1280" s="185" t="s">
        <v>699</v>
      </c>
      <c r="HG1280" s="185" t="s">
        <v>699</v>
      </c>
      <c r="HH1280" s="129">
        <f t="shared" ref="HH1280:HV1280" si="124">SUM(HH1281:HH1294)</f>
        <v>0</v>
      </c>
      <c r="HI1280" s="129">
        <f t="shared" si="124"/>
        <v>0</v>
      </c>
      <c r="HJ1280" s="129">
        <f t="shared" si="124"/>
        <v>0</v>
      </c>
      <c r="HK1280" s="129">
        <f t="shared" si="124"/>
        <v>0</v>
      </c>
      <c r="HL1280" s="129">
        <f t="shared" si="124"/>
        <v>0</v>
      </c>
      <c r="HM1280" s="129">
        <f t="shared" si="124"/>
        <v>0</v>
      </c>
      <c r="HN1280" s="129">
        <f t="shared" si="124"/>
        <v>0</v>
      </c>
      <c r="HO1280" s="129">
        <f t="shared" si="124"/>
        <v>0</v>
      </c>
      <c r="HP1280" s="129">
        <f t="shared" si="124"/>
        <v>0</v>
      </c>
      <c r="HQ1280" s="129">
        <f t="shared" si="124"/>
        <v>0</v>
      </c>
      <c r="HR1280" s="129">
        <f t="shared" si="124"/>
        <v>0</v>
      </c>
      <c r="HS1280" s="129">
        <f t="shared" si="124"/>
        <v>0</v>
      </c>
      <c r="HT1280" s="129">
        <f t="shared" si="124"/>
        <v>0</v>
      </c>
      <c r="HU1280" s="129">
        <f t="shared" si="124"/>
        <v>0</v>
      </c>
      <c r="HV1280" s="129">
        <f t="shared" si="124"/>
        <v>0</v>
      </c>
      <c r="HW1280" s="185" t="s">
        <v>699</v>
      </c>
      <c r="HX1280" s="185" t="s">
        <v>699</v>
      </c>
      <c r="HY1280" s="185" t="s">
        <v>699</v>
      </c>
      <c r="HZ1280" s="185" t="s">
        <v>699</v>
      </c>
      <c r="IA1280" s="185" t="s">
        <v>699</v>
      </c>
      <c r="IB1280" s="185" t="s">
        <v>699</v>
      </c>
      <c r="IC1280" s="129">
        <f t="shared" ref="IC1280:IQ1280" si="125">SUM(IC1281:IC1294)</f>
        <v>0</v>
      </c>
      <c r="ID1280" s="129">
        <f t="shared" si="125"/>
        <v>0</v>
      </c>
      <c r="IE1280" s="129">
        <f t="shared" si="125"/>
        <v>0</v>
      </c>
      <c r="IF1280" s="129">
        <f t="shared" si="125"/>
        <v>0</v>
      </c>
      <c r="IG1280" s="129">
        <f t="shared" si="125"/>
        <v>0</v>
      </c>
      <c r="IH1280" s="129">
        <f t="shared" si="125"/>
        <v>0</v>
      </c>
      <c r="II1280" s="129">
        <f t="shared" si="125"/>
        <v>0</v>
      </c>
      <c r="IJ1280" s="129">
        <f t="shared" si="125"/>
        <v>0</v>
      </c>
      <c r="IK1280" s="129">
        <f t="shared" si="125"/>
        <v>0</v>
      </c>
      <c r="IL1280" s="129">
        <f t="shared" si="125"/>
        <v>0</v>
      </c>
      <c r="IM1280" s="129">
        <f t="shared" si="125"/>
        <v>0</v>
      </c>
      <c r="IN1280" s="129">
        <f t="shared" si="125"/>
        <v>0</v>
      </c>
      <c r="IO1280" s="129">
        <f t="shared" si="125"/>
        <v>0</v>
      </c>
      <c r="IP1280" s="129">
        <f t="shared" si="125"/>
        <v>0</v>
      </c>
      <c r="IQ1280" s="129">
        <f t="shared" si="125"/>
        <v>0</v>
      </c>
      <c r="IR1280" s="185" t="s">
        <v>699</v>
      </c>
      <c r="IS1280" s="185" t="s">
        <v>699</v>
      </c>
      <c r="IT1280" s="185" t="s">
        <v>699</v>
      </c>
      <c r="IU1280" s="185" t="s">
        <v>699</v>
      </c>
      <c r="IV1280" s="185" t="s">
        <v>699</v>
      </c>
      <c r="IW1280" s="185" t="s">
        <v>699</v>
      </c>
      <c r="IX1280" s="129">
        <f t="shared" ref="IX1280:JL1280" si="126">SUM(IX1281:IX1294)</f>
        <v>0</v>
      </c>
      <c r="IY1280" s="129">
        <f t="shared" si="126"/>
        <v>0</v>
      </c>
      <c r="IZ1280" s="129">
        <f t="shared" si="126"/>
        <v>0</v>
      </c>
      <c r="JA1280" s="129">
        <f t="shared" si="126"/>
        <v>0</v>
      </c>
      <c r="JB1280" s="129">
        <f t="shared" si="126"/>
        <v>0</v>
      </c>
      <c r="JC1280" s="129">
        <f t="shared" si="126"/>
        <v>0</v>
      </c>
      <c r="JD1280" s="129">
        <f t="shared" si="126"/>
        <v>0</v>
      </c>
      <c r="JE1280" s="129">
        <f t="shared" si="126"/>
        <v>0</v>
      </c>
      <c r="JF1280" s="129">
        <f t="shared" si="126"/>
        <v>0</v>
      </c>
      <c r="JG1280" s="129">
        <f t="shared" si="126"/>
        <v>0</v>
      </c>
      <c r="JH1280" s="129">
        <f t="shared" si="126"/>
        <v>0</v>
      </c>
      <c r="JI1280" s="129">
        <f t="shared" si="126"/>
        <v>0</v>
      </c>
      <c r="JJ1280" s="129">
        <f t="shared" si="126"/>
        <v>0</v>
      </c>
      <c r="JK1280" s="129">
        <f t="shared" si="126"/>
        <v>0</v>
      </c>
      <c r="JL1280" s="129">
        <f t="shared" si="126"/>
        <v>0</v>
      </c>
      <c r="JM1280" s="185" t="s">
        <v>699</v>
      </c>
      <c r="JN1280" s="185" t="s">
        <v>699</v>
      </c>
      <c r="JO1280" s="185" t="s">
        <v>699</v>
      </c>
      <c r="JP1280" s="185" t="s">
        <v>699</v>
      </c>
      <c r="JQ1280" s="185" t="s">
        <v>699</v>
      </c>
      <c r="JR1280" s="185" t="s">
        <v>699</v>
      </c>
      <c r="JS1280" s="129">
        <f t="shared" ref="JS1280:KG1280" si="127">SUM(JS1281:JS1294)</f>
        <v>0</v>
      </c>
      <c r="JT1280" s="129">
        <f t="shared" si="127"/>
        <v>0</v>
      </c>
      <c r="JU1280" s="129">
        <f t="shared" si="127"/>
        <v>0</v>
      </c>
      <c r="JV1280" s="129">
        <f t="shared" si="127"/>
        <v>0</v>
      </c>
      <c r="JW1280" s="129">
        <f t="shared" si="127"/>
        <v>0</v>
      </c>
      <c r="JX1280" s="129">
        <f t="shared" si="127"/>
        <v>0</v>
      </c>
      <c r="JY1280" s="129">
        <f t="shared" si="127"/>
        <v>0</v>
      </c>
      <c r="JZ1280" s="129">
        <f t="shared" si="127"/>
        <v>0</v>
      </c>
      <c r="KA1280" s="129">
        <f t="shared" si="127"/>
        <v>0</v>
      </c>
      <c r="KB1280" s="129">
        <f t="shared" si="127"/>
        <v>0</v>
      </c>
      <c r="KC1280" s="129">
        <f t="shared" si="127"/>
        <v>0</v>
      </c>
      <c r="KD1280" s="129">
        <f t="shared" si="127"/>
        <v>0</v>
      </c>
      <c r="KE1280" s="129">
        <f t="shared" si="127"/>
        <v>0</v>
      </c>
      <c r="KF1280" s="129">
        <f t="shared" si="127"/>
        <v>0</v>
      </c>
      <c r="KG1280" s="129">
        <f t="shared" si="127"/>
        <v>0</v>
      </c>
      <c r="KH1280" s="185" t="s">
        <v>699</v>
      </c>
      <c r="KI1280" s="185" t="s">
        <v>699</v>
      </c>
      <c r="KJ1280" s="185" t="s">
        <v>699</v>
      </c>
      <c r="KK1280" s="185" t="s">
        <v>699</v>
      </c>
      <c r="KL1280" s="185" t="s">
        <v>699</v>
      </c>
      <c r="KM1280" s="185" t="s">
        <v>699</v>
      </c>
      <c r="KN1280" s="129">
        <f t="shared" ref="KN1280:LB1280" si="128">SUM(KN1281:KN1294)</f>
        <v>0</v>
      </c>
      <c r="KO1280" s="129">
        <f t="shared" si="128"/>
        <v>0</v>
      </c>
      <c r="KP1280" s="129">
        <f t="shared" si="128"/>
        <v>0</v>
      </c>
      <c r="KQ1280" s="129">
        <f t="shared" si="128"/>
        <v>0</v>
      </c>
      <c r="KR1280" s="129">
        <f t="shared" si="128"/>
        <v>0</v>
      </c>
      <c r="KS1280" s="129">
        <f t="shared" si="128"/>
        <v>0</v>
      </c>
      <c r="KT1280" s="129">
        <f t="shared" si="128"/>
        <v>0</v>
      </c>
      <c r="KU1280" s="129">
        <f t="shared" si="128"/>
        <v>0</v>
      </c>
      <c r="KV1280" s="129">
        <f t="shared" si="128"/>
        <v>0</v>
      </c>
      <c r="KW1280" s="129">
        <f t="shared" si="128"/>
        <v>0</v>
      </c>
      <c r="KX1280" s="129">
        <f t="shared" si="128"/>
        <v>0</v>
      </c>
      <c r="KY1280" s="129">
        <f t="shared" si="128"/>
        <v>0</v>
      </c>
      <c r="KZ1280" s="129">
        <f t="shared" si="128"/>
        <v>0</v>
      </c>
      <c r="LA1280" s="129">
        <f t="shared" si="128"/>
        <v>0</v>
      </c>
      <c r="LB1280" s="129">
        <f t="shared" si="128"/>
        <v>0</v>
      </c>
      <c r="LC1280" s="185" t="s">
        <v>699</v>
      </c>
      <c r="LD1280" s="185" t="s">
        <v>699</v>
      </c>
      <c r="LE1280" s="185" t="s">
        <v>699</v>
      </c>
      <c r="LF1280" s="185" t="s">
        <v>699</v>
      </c>
      <c r="LG1280" s="185" t="s">
        <v>699</v>
      </c>
      <c r="LH1280" s="185" t="s">
        <v>699</v>
      </c>
      <c r="LI1280" s="129">
        <f t="shared" ref="LI1280:LW1280" si="129">SUM(LI1281:LI1294)</f>
        <v>0</v>
      </c>
      <c r="LJ1280" s="129">
        <f t="shared" si="129"/>
        <v>0</v>
      </c>
      <c r="LK1280" s="129">
        <f t="shared" si="129"/>
        <v>0</v>
      </c>
      <c r="LL1280" s="129">
        <f t="shared" si="129"/>
        <v>0</v>
      </c>
      <c r="LM1280" s="129">
        <f t="shared" si="129"/>
        <v>0</v>
      </c>
      <c r="LN1280" s="129">
        <f t="shared" si="129"/>
        <v>0</v>
      </c>
      <c r="LO1280" s="129">
        <f t="shared" si="129"/>
        <v>0</v>
      </c>
      <c r="LP1280" s="129">
        <f t="shared" si="129"/>
        <v>0</v>
      </c>
      <c r="LQ1280" s="129">
        <f t="shared" si="129"/>
        <v>0</v>
      </c>
      <c r="LR1280" s="129">
        <f t="shared" si="129"/>
        <v>0</v>
      </c>
      <c r="LS1280" s="129">
        <f t="shared" si="129"/>
        <v>0</v>
      </c>
      <c r="LT1280" s="129">
        <f t="shared" si="129"/>
        <v>0</v>
      </c>
      <c r="LU1280" s="129">
        <f t="shared" si="129"/>
        <v>0</v>
      </c>
      <c r="LV1280" s="129">
        <f t="shared" si="129"/>
        <v>0</v>
      </c>
      <c r="LW1280" s="129">
        <f t="shared" si="129"/>
        <v>0</v>
      </c>
      <c r="LX1280" s="185" t="s">
        <v>699</v>
      </c>
      <c r="LY1280" s="185" t="s">
        <v>699</v>
      </c>
      <c r="LZ1280" s="185" t="s">
        <v>699</v>
      </c>
      <c r="MA1280" s="185" t="s">
        <v>699</v>
      </c>
      <c r="MB1280" s="185" t="s">
        <v>699</v>
      </c>
      <c r="MC1280" s="185" t="s">
        <v>699</v>
      </c>
      <c r="MD1280" s="129">
        <f t="shared" ref="MD1280:MR1280" si="130">SUM(MD1281:MD1294)</f>
        <v>0</v>
      </c>
      <c r="ME1280" s="129">
        <f t="shared" si="130"/>
        <v>0</v>
      </c>
      <c r="MF1280" s="129">
        <f t="shared" si="130"/>
        <v>0</v>
      </c>
      <c r="MG1280" s="129">
        <f t="shared" si="130"/>
        <v>0</v>
      </c>
      <c r="MH1280" s="129">
        <f t="shared" si="130"/>
        <v>0</v>
      </c>
      <c r="MI1280" s="129">
        <f t="shared" si="130"/>
        <v>0</v>
      </c>
      <c r="MJ1280" s="129">
        <f t="shared" si="130"/>
        <v>0</v>
      </c>
      <c r="MK1280" s="129">
        <f t="shared" si="130"/>
        <v>0</v>
      </c>
      <c r="ML1280" s="129">
        <f t="shared" si="130"/>
        <v>0</v>
      </c>
      <c r="MM1280" s="129">
        <f t="shared" si="130"/>
        <v>0</v>
      </c>
      <c r="MN1280" s="129">
        <f t="shared" si="130"/>
        <v>0</v>
      </c>
      <c r="MO1280" s="129">
        <f t="shared" si="130"/>
        <v>0</v>
      </c>
      <c r="MP1280" s="129">
        <f t="shared" si="130"/>
        <v>0</v>
      </c>
      <c r="MQ1280" s="129">
        <f t="shared" si="130"/>
        <v>0</v>
      </c>
      <c r="MR1280" s="129">
        <f t="shared" si="130"/>
        <v>0</v>
      </c>
      <c r="MS1280" s="185" t="s">
        <v>699</v>
      </c>
      <c r="MT1280" s="185" t="s">
        <v>699</v>
      </c>
      <c r="MU1280" s="185" t="s">
        <v>699</v>
      </c>
      <c r="MV1280" s="185" t="s">
        <v>699</v>
      </c>
      <c r="MW1280" s="185" t="s">
        <v>699</v>
      </c>
      <c r="MX1280" s="185" t="s">
        <v>699</v>
      </c>
      <c r="MY1280" s="129">
        <f t="shared" ref="MY1280:NM1280" si="131">SUM(MY1281:MY1294)</f>
        <v>0</v>
      </c>
      <c r="MZ1280" s="129">
        <f t="shared" si="131"/>
        <v>0</v>
      </c>
      <c r="NA1280" s="129">
        <f t="shared" si="131"/>
        <v>0</v>
      </c>
      <c r="NB1280" s="129">
        <f t="shared" si="131"/>
        <v>0</v>
      </c>
      <c r="NC1280" s="129">
        <f t="shared" si="131"/>
        <v>0</v>
      </c>
      <c r="ND1280" s="129">
        <f t="shared" si="131"/>
        <v>0</v>
      </c>
      <c r="NE1280" s="129">
        <f t="shared" si="131"/>
        <v>0</v>
      </c>
      <c r="NF1280" s="129">
        <f t="shared" si="131"/>
        <v>0</v>
      </c>
      <c r="NG1280" s="129">
        <f t="shared" si="131"/>
        <v>0</v>
      </c>
      <c r="NH1280" s="129">
        <f t="shared" si="131"/>
        <v>0</v>
      </c>
      <c r="NI1280" s="129">
        <f t="shared" si="131"/>
        <v>0</v>
      </c>
      <c r="NJ1280" s="129">
        <f t="shared" si="131"/>
        <v>0</v>
      </c>
      <c r="NK1280" s="129">
        <f t="shared" si="131"/>
        <v>0</v>
      </c>
      <c r="NL1280" s="129">
        <f t="shared" si="131"/>
        <v>0</v>
      </c>
      <c r="NM1280" s="129">
        <f t="shared" si="131"/>
        <v>0</v>
      </c>
      <c r="NN1280" s="185" t="s">
        <v>699</v>
      </c>
      <c r="NO1280" s="185" t="s">
        <v>699</v>
      </c>
      <c r="NP1280" s="185" t="s">
        <v>699</v>
      </c>
      <c r="NQ1280" s="185" t="s">
        <v>699</v>
      </c>
      <c r="NR1280" s="185" t="s">
        <v>699</v>
      </c>
      <c r="NS1280" s="185" t="s">
        <v>699</v>
      </c>
      <c r="NT1280" s="129">
        <f t="shared" ref="NT1280:OH1280" si="132">SUM(NT1281:NT1294)</f>
        <v>0</v>
      </c>
      <c r="NU1280" s="129">
        <f t="shared" si="132"/>
        <v>0</v>
      </c>
      <c r="NV1280" s="129">
        <f t="shared" si="132"/>
        <v>0</v>
      </c>
      <c r="NW1280" s="129">
        <f t="shared" si="132"/>
        <v>0</v>
      </c>
      <c r="NX1280" s="129">
        <f t="shared" si="132"/>
        <v>0</v>
      </c>
      <c r="NY1280" s="129">
        <f t="shared" si="132"/>
        <v>0</v>
      </c>
      <c r="NZ1280" s="129">
        <f t="shared" si="132"/>
        <v>0</v>
      </c>
      <c r="OA1280" s="129">
        <f t="shared" si="132"/>
        <v>0</v>
      </c>
      <c r="OB1280" s="129">
        <f t="shared" si="132"/>
        <v>0</v>
      </c>
      <c r="OC1280" s="129">
        <f t="shared" si="132"/>
        <v>0</v>
      </c>
      <c r="OD1280" s="129">
        <f t="shared" si="132"/>
        <v>0</v>
      </c>
      <c r="OE1280" s="129">
        <f t="shared" si="132"/>
        <v>0</v>
      </c>
      <c r="OF1280" s="129">
        <f t="shared" si="132"/>
        <v>0</v>
      </c>
      <c r="OG1280" s="129">
        <f t="shared" si="132"/>
        <v>0</v>
      </c>
      <c r="OH1280" s="129">
        <f t="shared" si="132"/>
        <v>0</v>
      </c>
      <c r="OI1280" s="185" t="s">
        <v>699</v>
      </c>
      <c r="OJ1280" s="185" t="s">
        <v>699</v>
      </c>
      <c r="OK1280" s="185" t="s">
        <v>699</v>
      </c>
      <c r="OL1280" s="185" t="s">
        <v>699</v>
      </c>
      <c r="OM1280" s="185" t="s">
        <v>699</v>
      </c>
      <c r="ON1280" s="185" t="s">
        <v>699</v>
      </c>
      <c r="OO1280" s="129">
        <f t="shared" ref="OO1280:PC1280" si="133">SUM(OO1281:OO1294)</f>
        <v>0</v>
      </c>
      <c r="OP1280" s="129">
        <f t="shared" si="133"/>
        <v>0</v>
      </c>
      <c r="OQ1280" s="129">
        <f t="shared" si="133"/>
        <v>0</v>
      </c>
      <c r="OR1280" s="129">
        <f t="shared" si="133"/>
        <v>0</v>
      </c>
      <c r="OS1280" s="129">
        <f t="shared" si="133"/>
        <v>0</v>
      </c>
      <c r="OT1280" s="129">
        <f t="shared" si="133"/>
        <v>0</v>
      </c>
      <c r="OU1280" s="129">
        <f t="shared" si="133"/>
        <v>0</v>
      </c>
      <c r="OV1280" s="129">
        <f t="shared" si="133"/>
        <v>0</v>
      </c>
      <c r="OW1280" s="129">
        <f t="shared" si="133"/>
        <v>0</v>
      </c>
      <c r="OX1280" s="129">
        <f t="shared" si="133"/>
        <v>0</v>
      </c>
      <c r="OY1280" s="129">
        <f t="shared" si="133"/>
        <v>0</v>
      </c>
      <c r="OZ1280" s="129">
        <f t="shared" si="133"/>
        <v>0</v>
      </c>
      <c r="PA1280" s="129">
        <f t="shared" si="133"/>
        <v>0</v>
      </c>
      <c r="PB1280" s="129">
        <f t="shared" si="133"/>
        <v>0</v>
      </c>
      <c r="PC1280" s="129">
        <f t="shared" si="133"/>
        <v>0</v>
      </c>
      <c r="PD1280" s="185" t="s">
        <v>699</v>
      </c>
      <c r="PE1280" s="185" t="s">
        <v>699</v>
      </c>
      <c r="PF1280" s="185" t="s">
        <v>699</v>
      </c>
      <c r="PG1280" s="185" t="s">
        <v>699</v>
      </c>
      <c r="PH1280" s="185" t="s">
        <v>699</v>
      </c>
      <c r="PI1280" s="185" t="s">
        <v>699</v>
      </c>
      <c r="PJ1280" s="129">
        <f t="shared" ref="PJ1280:PX1280" si="134">SUM(PJ1281:PJ1294)</f>
        <v>0</v>
      </c>
      <c r="PK1280" s="129">
        <f t="shared" si="134"/>
        <v>0</v>
      </c>
      <c r="PL1280" s="129">
        <f t="shared" si="134"/>
        <v>0</v>
      </c>
      <c r="PM1280" s="129">
        <f t="shared" si="134"/>
        <v>0</v>
      </c>
      <c r="PN1280" s="129">
        <f t="shared" si="134"/>
        <v>0</v>
      </c>
      <c r="PO1280" s="129">
        <f t="shared" si="134"/>
        <v>0</v>
      </c>
      <c r="PP1280" s="129">
        <f t="shared" si="134"/>
        <v>0</v>
      </c>
      <c r="PQ1280" s="129">
        <f t="shared" si="134"/>
        <v>0</v>
      </c>
      <c r="PR1280" s="129">
        <f t="shared" si="134"/>
        <v>0</v>
      </c>
      <c r="PS1280" s="129">
        <f t="shared" si="134"/>
        <v>0</v>
      </c>
      <c r="PT1280" s="129">
        <f t="shared" si="134"/>
        <v>0</v>
      </c>
      <c r="PU1280" s="129">
        <f t="shared" si="134"/>
        <v>0</v>
      </c>
      <c r="PV1280" s="129">
        <f t="shared" si="134"/>
        <v>0</v>
      </c>
      <c r="PW1280" s="129">
        <f t="shared" si="134"/>
        <v>0</v>
      </c>
      <c r="PX1280" s="129">
        <f t="shared" si="134"/>
        <v>0</v>
      </c>
      <c r="PY1280" s="185" t="s">
        <v>699</v>
      </c>
      <c r="PZ1280" s="185" t="s">
        <v>699</v>
      </c>
      <c r="QA1280" s="185" t="s">
        <v>699</v>
      </c>
      <c r="QB1280" s="185" t="s">
        <v>699</v>
      </c>
      <c r="QC1280" s="185" t="s">
        <v>699</v>
      </c>
      <c r="QD1280" s="185" t="s">
        <v>699</v>
      </c>
      <c r="QE1280" s="129">
        <f t="shared" ref="QE1280:QS1280" si="135">SUM(QE1281:QE1294)</f>
        <v>0</v>
      </c>
      <c r="QF1280" s="129">
        <f t="shared" si="135"/>
        <v>0</v>
      </c>
      <c r="QG1280" s="129">
        <f t="shared" si="135"/>
        <v>0</v>
      </c>
      <c r="QH1280" s="129">
        <f t="shared" si="135"/>
        <v>0</v>
      </c>
      <c r="QI1280" s="129">
        <f t="shared" si="135"/>
        <v>0</v>
      </c>
      <c r="QJ1280" s="129">
        <f t="shared" si="135"/>
        <v>0</v>
      </c>
      <c r="QK1280" s="129">
        <f t="shared" si="135"/>
        <v>0</v>
      </c>
      <c r="QL1280" s="129">
        <f t="shared" si="135"/>
        <v>0</v>
      </c>
      <c r="QM1280" s="129">
        <f t="shared" si="135"/>
        <v>0</v>
      </c>
      <c r="QN1280" s="129">
        <f t="shared" si="135"/>
        <v>0</v>
      </c>
      <c r="QO1280" s="129">
        <f t="shared" si="135"/>
        <v>0</v>
      </c>
      <c r="QP1280" s="129">
        <f t="shared" si="135"/>
        <v>0</v>
      </c>
      <c r="QQ1280" s="129">
        <f t="shared" si="135"/>
        <v>0</v>
      </c>
      <c r="QR1280" s="129">
        <f t="shared" si="135"/>
        <v>0</v>
      </c>
      <c r="QS1280" s="129">
        <f t="shared" si="135"/>
        <v>0</v>
      </c>
      <c r="QT1280" s="185" t="s">
        <v>699</v>
      </c>
      <c r="QU1280" s="185" t="s">
        <v>699</v>
      </c>
      <c r="QV1280" s="185" t="s">
        <v>699</v>
      </c>
      <c r="QW1280" s="185" t="s">
        <v>699</v>
      </c>
      <c r="QX1280" s="185" t="s">
        <v>699</v>
      </c>
      <c r="QY1280" s="185" t="s">
        <v>699</v>
      </c>
      <c r="QZ1280" s="129">
        <f t="shared" ref="QZ1280:RN1280" si="136">SUM(QZ1281:QZ1294)</f>
        <v>0</v>
      </c>
      <c r="RA1280" s="129">
        <f t="shared" si="136"/>
        <v>0</v>
      </c>
      <c r="RB1280" s="129">
        <f t="shared" si="136"/>
        <v>0</v>
      </c>
      <c r="RC1280" s="129">
        <f t="shared" si="136"/>
        <v>0</v>
      </c>
      <c r="RD1280" s="129">
        <f t="shared" si="136"/>
        <v>0</v>
      </c>
      <c r="RE1280" s="129">
        <f t="shared" si="136"/>
        <v>0</v>
      </c>
      <c r="RF1280" s="129">
        <f t="shared" si="136"/>
        <v>0</v>
      </c>
      <c r="RG1280" s="129">
        <f t="shared" si="136"/>
        <v>0</v>
      </c>
      <c r="RH1280" s="129">
        <f t="shared" si="136"/>
        <v>0</v>
      </c>
      <c r="RI1280" s="129">
        <f t="shared" si="136"/>
        <v>0</v>
      </c>
      <c r="RJ1280" s="129">
        <f t="shared" si="136"/>
        <v>0</v>
      </c>
      <c r="RK1280" s="129">
        <f t="shared" si="136"/>
        <v>0</v>
      </c>
      <c r="RL1280" s="129">
        <f t="shared" si="136"/>
        <v>0</v>
      </c>
      <c r="RM1280" s="129">
        <f t="shared" si="136"/>
        <v>0</v>
      </c>
      <c r="RN1280" s="129">
        <f t="shared" si="136"/>
        <v>0</v>
      </c>
      <c r="RO1280" s="185" t="s">
        <v>699</v>
      </c>
      <c r="RP1280" s="185" t="s">
        <v>699</v>
      </c>
      <c r="RQ1280" s="185" t="s">
        <v>699</v>
      </c>
      <c r="RR1280" s="185" t="s">
        <v>699</v>
      </c>
      <c r="RS1280" s="185" t="s">
        <v>699</v>
      </c>
      <c r="RT1280" s="185" t="s">
        <v>699</v>
      </c>
      <c r="RU1280" s="129">
        <f t="shared" ref="RU1280:SI1280" si="137">SUM(RU1281:RU1294)</f>
        <v>0</v>
      </c>
      <c r="RV1280" s="129">
        <f t="shared" si="137"/>
        <v>0</v>
      </c>
      <c r="RW1280" s="129">
        <f t="shared" si="137"/>
        <v>0</v>
      </c>
      <c r="RX1280" s="129">
        <f t="shared" si="137"/>
        <v>0</v>
      </c>
      <c r="RY1280" s="129">
        <f t="shared" si="137"/>
        <v>0</v>
      </c>
      <c r="RZ1280" s="129">
        <f t="shared" si="137"/>
        <v>0</v>
      </c>
      <c r="SA1280" s="129">
        <f t="shared" si="137"/>
        <v>0</v>
      </c>
      <c r="SB1280" s="129">
        <f t="shared" si="137"/>
        <v>0</v>
      </c>
      <c r="SC1280" s="129">
        <f t="shared" si="137"/>
        <v>0</v>
      </c>
      <c r="SD1280" s="129">
        <f t="shared" si="137"/>
        <v>0</v>
      </c>
      <c r="SE1280" s="129">
        <f t="shared" si="137"/>
        <v>0</v>
      </c>
      <c r="SF1280" s="129">
        <f t="shared" si="137"/>
        <v>0</v>
      </c>
      <c r="SG1280" s="129">
        <f t="shared" si="137"/>
        <v>0</v>
      </c>
      <c r="SH1280" s="129">
        <f t="shared" si="137"/>
        <v>0</v>
      </c>
      <c r="SI1280" s="129">
        <f t="shared" si="137"/>
        <v>0</v>
      </c>
      <c r="SJ1280" s="185" t="s">
        <v>699</v>
      </c>
      <c r="SK1280" s="185" t="s">
        <v>699</v>
      </c>
      <c r="SL1280" s="185" t="s">
        <v>699</v>
      </c>
      <c r="SM1280" s="185" t="s">
        <v>699</v>
      </c>
      <c r="SN1280" s="185" t="s">
        <v>699</v>
      </c>
      <c r="SO1280" s="185" t="s">
        <v>699</v>
      </c>
      <c r="SP1280" s="129">
        <f t="shared" ref="SP1280:TD1280" si="138">SUM(SP1281:SP1294)</f>
        <v>0</v>
      </c>
      <c r="SQ1280" s="129">
        <f t="shared" si="138"/>
        <v>0</v>
      </c>
      <c r="SR1280" s="129">
        <f t="shared" si="138"/>
        <v>0</v>
      </c>
      <c r="SS1280" s="129">
        <f t="shared" si="138"/>
        <v>0</v>
      </c>
      <c r="ST1280" s="129">
        <f t="shared" si="138"/>
        <v>0</v>
      </c>
      <c r="SU1280" s="129">
        <f t="shared" si="138"/>
        <v>0</v>
      </c>
      <c r="SV1280" s="129">
        <f t="shared" si="138"/>
        <v>0</v>
      </c>
      <c r="SW1280" s="129">
        <f t="shared" si="138"/>
        <v>0</v>
      </c>
      <c r="SX1280" s="129">
        <f t="shared" si="138"/>
        <v>0</v>
      </c>
      <c r="SY1280" s="129">
        <f t="shared" si="138"/>
        <v>0</v>
      </c>
      <c r="SZ1280" s="129">
        <f t="shared" si="138"/>
        <v>0</v>
      </c>
      <c r="TA1280" s="129">
        <f t="shared" si="138"/>
        <v>0</v>
      </c>
      <c r="TB1280" s="129">
        <f t="shared" si="138"/>
        <v>0</v>
      </c>
      <c r="TC1280" s="129">
        <f t="shared" si="138"/>
        <v>0</v>
      </c>
      <c r="TD1280" s="129">
        <f t="shared" si="138"/>
        <v>0</v>
      </c>
      <c r="TE1280" s="185" t="s">
        <v>699</v>
      </c>
      <c r="TF1280" s="185" t="s">
        <v>699</v>
      </c>
      <c r="TG1280" s="185" t="s">
        <v>699</v>
      </c>
      <c r="TH1280" s="185" t="s">
        <v>699</v>
      </c>
      <c r="TI1280" s="185" t="s">
        <v>699</v>
      </c>
      <c r="TJ1280" s="185" t="s">
        <v>699</v>
      </c>
      <c r="TK1280" s="129">
        <f t="shared" ref="TK1280:TY1280" si="139">SUM(TK1281:TK1294)</f>
        <v>0</v>
      </c>
      <c r="TL1280" s="129">
        <f t="shared" si="139"/>
        <v>0</v>
      </c>
      <c r="TM1280" s="129">
        <f t="shared" si="139"/>
        <v>0</v>
      </c>
      <c r="TN1280" s="129">
        <f t="shared" si="139"/>
        <v>0</v>
      </c>
      <c r="TO1280" s="129">
        <f t="shared" si="139"/>
        <v>0</v>
      </c>
      <c r="TP1280" s="129">
        <f t="shared" si="139"/>
        <v>0</v>
      </c>
      <c r="TQ1280" s="129">
        <f t="shared" si="139"/>
        <v>0</v>
      </c>
      <c r="TR1280" s="129">
        <f t="shared" si="139"/>
        <v>0</v>
      </c>
      <c r="TS1280" s="129">
        <f t="shared" si="139"/>
        <v>0</v>
      </c>
      <c r="TT1280" s="129">
        <f t="shared" si="139"/>
        <v>0</v>
      </c>
      <c r="TU1280" s="129">
        <f t="shared" si="139"/>
        <v>0</v>
      </c>
      <c r="TV1280" s="129">
        <f t="shared" si="139"/>
        <v>0</v>
      </c>
      <c r="TW1280" s="129">
        <f t="shared" si="139"/>
        <v>0</v>
      </c>
      <c r="TX1280" s="129">
        <f t="shared" si="139"/>
        <v>0</v>
      </c>
      <c r="TY1280" s="129">
        <f t="shared" si="139"/>
        <v>0</v>
      </c>
      <c r="TZ1280" s="185" t="s">
        <v>699</v>
      </c>
      <c r="UA1280" s="185" t="s">
        <v>699</v>
      </c>
      <c r="UB1280" s="185" t="s">
        <v>699</v>
      </c>
      <c r="UC1280" s="185" t="s">
        <v>699</v>
      </c>
      <c r="UD1280" s="185" t="s">
        <v>699</v>
      </c>
      <c r="UE1280" s="185" t="s">
        <v>699</v>
      </c>
      <c r="UF1280" s="129">
        <f t="shared" ref="UF1280:UT1280" si="140">SUM(UF1281:UF1294)</f>
        <v>0</v>
      </c>
      <c r="UG1280" s="129">
        <f t="shared" si="140"/>
        <v>0</v>
      </c>
      <c r="UH1280" s="129">
        <f t="shared" si="140"/>
        <v>0</v>
      </c>
      <c r="UI1280" s="129">
        <f t="shared" si="140"/>
        <v>0</v>
      </c>
      <c r="UJ1280" s="129">
        <f t="shared" si="140"/>
        <v>0</v>
      </c>
      <c r="UK1280" s="129">
        <f t="shared" si="140"/>
        <v>0</v>
      </c>
      <c r="UL1280" s="129">
        <f t="shared" si="140"/>
        <v>55</v>
      </c>
      <c r="UM1280" s="129">
        <f t="shared" si="140"/>
        <v>55</v>
      </c>
      <c r="UN1280" s="129">
        <f t="shared" si="140"/>
        <v>55</v>
      </c>
      <c r="UO1280" s="129">
        <f t="shared" si="140"/>
        <v>4266951</v>
      </c>
      <c r="UP1280" s="129">
        <f t="shared" si="140"/>
        <v>4371537</v>
      </c>
      <c r="UQ1280" s="129">
        <f t="shared" si="140"/>
        <v>4512218</v>
      </c>
      <c r="UR1280" s="129">
        <f t="shared" si="140"/>
        <v>4132888</v>
      </c>
      <c r="US1280" s="129">
        <f t="shared" si="140"/>
        <v>4282082</v>
      </c>
      <c r="UT1280" s="129">
        <f t="shared" si="140"/>
        <v>4394014</v>
      </c>
      <c r="UU1280" s="185" t="s">
        <v>699</v>
      </c>
      <c r="UV1280" s="185" t="s">
        <v>699</v>
      </c>
      <c r="UW1280" s="185" t="s">
        <v>699</v>
      </c>
      <c r="UX1280" s="185" t="s">
        <v>699</v>
      </c>
      <c r="UY1280" s="185" t="s">
        <v>699</v>
      </c>
      <c r="UZ1280" s="185" t="s">
        <v>699</v>
      </c>
      <c r="VA1280" s="129">
        <f t="shared" ref="VA1280:VO1280" si="141">SUM(VA1281:VA1294)</f>
        <v>3038299.85</v>
      </c>
      <c r="VB1280" s="129">
        <f t="shared" si="141"/>
        <v>3191799.87</v>
      </c>
      <c r="VC1280" s="129">
        <f t="shared" si="141"/>
        <v>3319600.01</v>
      </c>
      <c r="VD1280" s="129">
        <f t="shared" si="141"/>
        <v>702360.75</v>
      </c>
      <c r="VE1280" s="129">
        <f t="shared" si="141"/>
        <v>742586.18</v>
      </c>
      <c r="VF1280" s="129">
        <f t="shared" si="141"/>
        <v>791085.3</v>
      </c>
      <c r="VG1280" s="129">
        <f t="shared" si="141"/>
        <v>0</v>
      </c>
      <c r="VH1280" s="129">
        <f t="shared" si="141"/>
        <v>0</v>
      </c>
      <c r="VI1280" s="129">
        <f t="shared" si="141"/>
        <v>0</v>
      </c>
      <c r="VJ1280" s="129">
        <f t="shared" si="141"/>
        <v>0</v>
      </c>
      <c r="VK1280" s="129">
        <f t="shared" si="141"/>
        <v>0</v>
      </c>
      <c r="VL1280" s="129">
        <f t="shared" si="141"/>
        <v>0</v>
      </c>
      <c r="VM1280" s="129">
        <f t="shared" si="141"/>
        <v>0</v>
      </c>
      <c r="VN1280" s="129">
        <f t="shared" si="141"/>
        <v>0</v>
      </c>
      <c r="VO1280" s="129">
        <f t="shared" si="141"/>
        <v>0</v>
      </c>
      <c r="VP1280" s="185" t="s">
        <v>699</v>
      </c>
      <c r="VQ1280" s="185" t="s">
        <v>699</v>
      </c>
      <c r="VR1280" s="185" t="s">
        <v>699</v>
      </c>
      <c r="VS1280" s="185" t="s">
        <v>699</v>
      </c>
      <c r="VT1280" s="185" t="s">
        <v>699</v>
      </c>
      <c r="VU1280" s="185" t="s">
        <v>699</v>
      </c>
      <c r="VV1280" s="129">
        <f t="shared" ref="VV1280:WJ1280" si="142">SUM(VV1281:VV1294)</f>
        <v>0</v>
      </c>
      <c r="VW1280" s="129">
        <f t="shared" si="142"/>
        <v>0</v>
      </c>
      <c r="VX1280" s="129">
        <f t="shared" si="142"/>
        <v>0</v>
      </c>
      <c r="VY1280" s="129">
        <f t="shared" si="142"/>
        <v>0</v>
      </c>
      <c r="VZ1280" s="129">
        <f t="shared" si="142"/>
        <v>0</v>
      </c>
      <c r="WA1280" s="129">
        <f t="shared" si="142"/>
        <v>0</v>
      </c>
      <c r="WB1280" s="129">
        <f t="shared" si="142"/>
        <v>0</v>
      </c>
      <c r="WC1280" s="129">
        <f t="shared" si="142"/>
        <v>0</v>
      </c>
      <c r="WD1280" s="129">
        <f t="shared" si="142"/>
        <v>0</v>
      </c>
      <c r="WE1280" s="129">
        <f t="shared" si="142"/>
        <v>0</v>
      </c>
      <c r="WF1280" s="129">
        <f t="shared" si="142"/>
        <v>0</v>
      </c>
      <c r="WG1280" s="129">
        <f t="shared" si="142"/>
        <v>0</v>
      </c>
      <c r="WH1280" s="129">
        <f t="shared" si="142"/>
        <v>0</v>
      </c>
      <c r="WI1280" s="129">
        <f t="shared" si="142"/>
        <v>0</v>
      </c>
      <c r="WJ1280" s="129">
        <f t="shared" si="142"/>
        <v>0</v>
      </c>
      <c r="WK1280" s="185" t="s">
        <v>699</v>
      </c>
      <c r="WL1280" s="185" t="s">
        <v>699</v>
      </c>
      <c r="WM1280" s="185" t="s">
        <v>699</v>
      </c>
      <c r="WN1280" s="185" t="s">
        <v>699</v>
      </c>
      <c r="WO1280" s="185" t="s">
        <v>699</v>
      </c>
      <c r="WP1280" s="185" t="s">
        <v>699</v>
      </c>
      <c r="WQ1280" s="129">
        <f t="shared" ref="WQ1280:XE1280" si="143">SUM(WQ1281:WQ1294)</f>
        <v>0</v>
      </c>
      <c r="WR1280" s="129">
        <f t="shared" si="143"/>
        <v>0</v>
      </c>
      <c r="WS1280" s="129">
        <f t="shared" si="143"/>
        <v>0</v>
      </c>
      <c r="WT1280" s="129">
        <f t="shared" si="143"/>
        <v>0</v>
      </c>
      <c r="WU1280" s="129">
        <f t="shared" si="143"/>
        <v>0</v>
      </c>
      <c r="WV1280" s="129">
        <f t="shared" si="143"/>
        <v>0</v>
      </c>
      <c r="WW1280" s="129">
        <f t="shared" si="143"/>
        <v>0</v>
      </c>
      <c r="WX1280" s="129">
        <f t="shared" si="143"/>
        <v>0</v>
      </c>
      <c r="WY1280" s="129">
        <f t="shared" si="143"/>
        <v>0</v>
      </c>
      <c r="WZ1280" s="129">
        <f t="shared" si="143"/>
        <v>0</v>
      </c>
      <c r="XA1280" s="129">
        <f t="shared" si="143"/>
        <v>0</v>
      </c>
      <c r="XB1280" s="129">
        <f t="shared" si="143"/>
        <v>0</v>
      </c>
      <c r="XC1280" s="129">
        <f t="shared" si="143"/>
        <v>0</v>
      </c>
      <c r="XD1280" s="129">
        <f t="shared" si="143"/>
        <v>0</v>
      </c>
      <c r="XE1280" s="129">
        <f t="shared" si="143"/>
        <v>0</v>
      </c>
      <c r="XF1280" s="185" t="s">
        <v>699</v>
      </c>
      <c r="XG1280" s="185" t="s">
        <v>699</v>
      </c>
      <c r="XH1280" s="185" t="s">
        <v>699</v>
      </c>
      <c r="XI1280" s="185" t="s">
        <v>699</v>
      </c>
      <c r="XJ1280" s="185" t="s">
        <v>699</v>
      </c>
      <c r="XK1280" s="185" t="s">
        <v>699</v>
      </c>
      <c r="XL1280" s="129">
        <f t="shared" ref="XL1280:XZ1280" si="144">SUM(XL1281:XL1294)</f>
        <v>0</v>
      </c>
      <c r="XM1280" s="129">
        <f t="shared" si="144"/>
        <v>0</v>
      </c>
      <c r="XN1280" s="129">
        <f t="shared" si="144"/>
        <v>0</v>
      </c>
      <c r="XO1280" s="129">
        <f t="shared" si="144"/>
        <v>0</v>
      </c>
      <c r="XP1280" s="129">
        <f t="shared" si="144"/>
        <v>0</v>
      </c>
      <c r="XQ1280" s="129">
        <f t="shared" si="144"/>
        <v>0</v>
      </c>
      <c r="XR1280" s="129">
        <f t="shared" si="144"/>
        <v>0</v>
      </c>
      <c r="XS1280" s="129">
        <f t="shared" si="144"/>
        <v>0</v>
      </c>
      <c r="XT1280" s="129">
        <f t="shared" si="144"/>
        <v>0</v>
      </c>
      <c r="XU1280" s="129">
        <f t="shared" si="144"/>
        <v>0</v>
      </c>
      <c r="XV1280" s="129">
        <f t="shared" si="144"/>
        <v>0</v>
      </c>
      <c r="XW1280" s="129">
        <f t="shared" si="144"/>
        <v>0</v>
      </c>
      <c r="XX1280" s="129">
        <f t="shared" si="144"/>
        <v>0</v>
      </c>
      <c r="XY1280" s="129">
        <f t="shared" si="144"/>
        <v>0</v>
      </c>
      <c r="XZ1280" s="129">
        <f t="shared" si="144"/>
        <v>0</v>
      </c>
      <c r="YA1280" s="185" t="s">
        <v>699</v>
      </c>
      <c r="YB1280" s="185" t="s">
        <v>699</v>
      </c>
      <c r="YC1280" s="185" t="s">
        <v>699</v>
      </c>
      <c r="YD1280" s="185" t="s">
        <v>699</v>
      </c>
      <c r="YE1280" s="185" t="s">
        <v>699</v>
      </c>
      <c r="YF1280" s="185" t="s">
        <v>699</v>
      </c>
      <c r="YG1280" s="129">
        <f t="shared" ref="YG1280:YL1280" si="145">SUM(YG1281:YG1294)</f>
        <v>0</v>
      </c>
      <c r="YH1280" s="129">
        <f t="shared" si="145"/>
        <v>0</v>
      </c>
      <c r="YI1280" s="129">
        <f t="shared" si="145"/>
        <v>0</v>
      </c>
      <c r="YJ1280" s="129">
        <f t="shared" si="145"/>
        <v>0</v>
      </c>
      <c r="YK1280" s="129">
        <f t="shared" si="145"/>
        <v>0</v>
      </c>
      <c r="YL1280" s="129">
        <f t="shared" si="145"/>
        <v>0</v>
      </c>
      <c r="YM1280" s="129">
        <f>SUM(YM1281:YM1294)</f>
        <v>55</v>
      </c>
      <c r="YN1280" s="129">
        <f t="shared" ref="YN1280:YU1280" si="146">SUM(YN1281:YN1294)</f>
        <v>55</v>
      </c>
      <c r="YO1280" s="129">
        <f t="shared" si="146"/>
        <v>55</v>
      </c>
      <c r="YP1280" s="129">
        <f t="shared" si="146"/>
        <v>4266951</v>
      </c>
      <c r="YQ1280" s="129">
        <f t="shared" si="146"/>
        <v>4371537</v>
      </c>
      <c r="YR1280" s="129">
        <f t="shared" si="146"/>
        <v>4512218</v>
      </c>
      <c r="YS1280" s="129">
        <f t="shared" si="146"/>
        <v>4132888</v>
      </c>
      <c r="YT1280" s="129">
        <f t="shared" si="146"/>
        <v>4282082</v>
      </c>
      <c r="YU1280" s="129">
        <f t="shared" si="146"/>
        <v>4394014</v>
      </c>
      <c r="YV1280" s="185" t="s">
        <v>699</v>
      </c>
      <c r="YW1280" s="185" t="s">
        <v>699</v>
      </c>
      <c r="YX1280" s="185" t="s">
        <v>699</v>
      </c>
      <c r="YY1280" s="185" t="s">
        <v>699</v>
      </c>
      <c r="YZ1280" s="185" t="s">
        <v>699</v>
      </c>
      <c r="ZA1280" s="185" t="s">
        <v>699</v>
      </c>
      <c r="ZB1280" s="129">
        <f t="shared" ref="ZB1280:ZG1280" si="147">SUM(ZB1281:ZB1294)</f>
        <v>3038299.85</v>
      </c>
      <c r="ZC1280" s="129">
        <f t="shared" si="147"/>
        <v>3191799.87</v>
      </c>
      <c r="ZD1280" s="129">
        <f t="shared" si="147"/>
        <v>3319600.01</v>
      </c>
      <c r="ZE1280" s="129">
        <f t="shared" si="147"/>
        <v>702360.75</v>
      </c>
      <c r="ZF1280" s="129">
        <f t="shared" si="147"/>
        <v>742586.18</v>
      </c>
      <c r="ZG1280" s="129">
        <f t="shared" si="147"/>
        <v>791085.3</v>
      </c>
    </row>
    <row r="1281" spans="1:683" ht="36" x14ac:dyDescent="0.25">
      <c r="A1281" s="174" t="s">
        <v>421</v>
      </c>
      <c r="B1281" s="174" t="s">
        <v>427</v>
      </c>
      <c r="C1281" s="5"/>
      <c r="D1281" s="340"/>
      <c r="E1281" s="163"/>
      <c r="F1281" s="110">
        <f t="shared" ref="F1281:H1294" si="148">F16</f>
        <v>90825</v>
      </c>
      <c r="G1281" s="110">
        <f t="shared" si="148"/>
        <v>93063</v>
      </c>
      <c r="H1281" s="110">
        <f t="shared" si="148"/>
        <v>96098</v>
      </c>
      <c r="I1281" s="97">
        <f t="shared" ref="I1281:K1294" si="149">F331</f>
        <v>83788</v>
      </c>
      <c r="J1281" s="97">
        <f t="shared" si="149"/>
        <v>86822</v>
      </c>
      <c r="K1281" s="97">
        <f t="shared" si="149"/>
        <v>89098</v>
      </c>
      <c r="L1281" s="102"/>
      <c r="M1281" s="102"/>
      <c r="N1281" s="102"/>
      <c r="O1281" s="97">
        <f>$F1281*L1281</f>
        <v>0</v>
      </c>
      <c r="P1281" s="97">
        <f>$G1281*M1281</f>
        <v>0</v>
      </c>
      <c r="Q1281" s="97">
        <f>$H1281*N1281</f>
        <v>0</v>
      </c>
      <c r="R1281" s="97">
        <f>$I1281*L1281</f>
        <v>0</v>
      </c>
      <c r="S1281" s="97">
        <f>$J1281*M1281</f>
        <v>0</v>
      </c>
      <c r="T1281" s="97">
        <f>$K1281*N1281</f>
        <v>0</v>
      </c>
      <c r="U1281" s="97">
        <f t="shared" ref="U1281:U1294" si="150">$F1281*U$1311</f>
        <v>0</v>
      </c>
      <c r="V1281" s="97">
        <f t="shared" ref="V1281:V1294" si="151">$G1281*V$1311</f>
        <v>0</v>
      </c>
      <c r="W1281" s="97">
        <f t="shared" ref="W1281:W1294" si="152">$H1281*W$1311</f>
        <v>0</v>
      </c>
      <c r="X1281" s="97">
        <f t="shared" ref="X1281:X1294" si="153">$I1281*X$1311</f>
        <v>0</v>
      </c>
      <c r="Y1281" s="97">
        <f t="shared" ref="Y1281:Y1294" si="154">$J1281*Y$1311</f>
        <v>0</v>
      </c>
      <c r="Z1281" s="97">
        <f t="shared" ref="Z1281:Z1294" si="155">$K1281*Z$1311</f>
        <v>0</v>
      </c>
      <c r="AA1281" s="97">
        <f>L1281*U1281</f>
        <v>0</v>
      </c>
      <c r="AB1281" s="97">
        <f t="shared" ref="AB1281:AC1294" si="156">M1281*V1281</f>
        <v>0</v>
      </c>
      <c r="AC1281" s="97">
        <f t="shared" si="156"/>
        <v>0</v>
      </c>
      <c r="AD1281" s="97">
        <f>L1281*X1281</f>
        <v>0</v>
      </c>
      <c r="AE1281" s="97">
        <f t="shared" ref="AE1281:AF1294" si="157">M1281*Y1281</f>
        <v>0</v>
      </c>
      <c r="AF1281" s="97">
        <f t="shared" si="157"/>
        <v>0</v>
      </c>
      <c r="AG1281" s="102"/>
      <c r="AH1281" s="102"/>
      <c r="AI1281" s="102"/>
      <c r="AJ1281" s="97">
        <f t="shared" ref="AJ1281:AJ1294" si="158">$F1281*AG1281</f>
        <v>0</v>
      </c>
      <c r="AK1281" s="97">
        <f t="shared" ref="AK1281:AK1294" si="159">$G1281*AH1281</f>
        <v>0</v>
      </c>
      <c r="AL1281" s="97">
        <f t="shared" ref="AL1281:AL1294" si="160">$H1281*AI1281</f>
        <v>0</v>
      </c>
      <c r="AM1281" s="97">
        <f t="shared" ref="AM1281:AM1294" si="161">$I1281*AG1281</f>
        <v>0</v>
      </c>
      <c r="AN1281" s="97">
        <f t="shared" ref="AN1281:AN1294" si="162">$J1281*AH1281</f>
        <v>0</v>
      </c>
      <c r="AO1281" s="97">
        <f t="shared" ref="AO1281:AO1294" si="163">$K1281*AI1281</f>
        <v>0</v>
      </c>
      <c r="AP1281" s="97">
        <f t="shared" ref="AP1281:AP1294" si="164">$F1281*AP$1311</f>
        <v>0</v>
      </c>
      <c r="AQ1281" s="97">
        <f t="shared" ref="AQ1281:AQ1294" si="165">$G1281*AQ$1311</f>
        <v>0</v>
      </c>
      <c r="AR1281" s="97">
        <f t="shared" ref="AR1281:AR1294" si="166">$H1281*AR$1311</f>
        <v>0</v>
      </c>
      <c r="AS1281" s="97">
        <f t="shared" ref="AS1281:AS1294" si="167">$I1281*AS$1311</f>
        <v>0</v>
      </c>
      <c r="AT1281" s="97">
        <f t="shared" ref="AT1281:AT1294" si="168">$J1281*AT$1311</f>
        <v>0</v>
      </c>
      <c r="AU1281" s="97">
        <f t="shared" ref="AU1281:AU1294" si="169">$K1281*AU$1311</f>
        <v>0</v>
      </c>
      <c r="AV1281" s="97">
        <f t="shared" ref="AV1281:AX1294" si="170">AG1281*AP1281</f>
        <v>0</v>
      </c>
      <c r="AW1281" s="97">
        <f t="shared" si="170"/>
        <v>0</v>
      </c>
      <c r="AX1281" s="97">
        <f t="shared" si="170"/>
        <v>0</v>
      </c>
      <c r="AY1281" s="97">
        <f t="shared" ref="AY1281:BA1294" si="171">AG1281*AS1281</f>
        <v>0</v>
      </c>
      <c r="AZ1281" s="97">
        <f t="shared" si="171"/>
        <v>0</v>
      </c>
      <c r="BA1281" s="97">
        <f t="shared" si="171"/>
        <v>0</v>
      </c>
      <c r="BB1281" s="102"/>
      <c r="BC1281" s="102"/>
      <c r="BD1281" s="102"/>
      <c r="BE1281" s="97">
        <f t="shared" ref="BE1281:BE1294" si="172">$F1281*BB1281</f>
        <v>0</v>
      </c>
      <c r="BF1281" s="97">
        <f t="shared" ref="BF1281:BF1294" si="173">$G1281*BC1281</f>
        <v>0</v>
      </c>
      <c r="BG1281" s="97">
        <f t="shared" ref="BG1281:BG1294" si="174">$H1281*BD1281</f>
        <v>0</v>
      </c>
      <c r="BH1281" s="97">
        <f t="shared" ref="BH1281:BH1294" si="175">$I1281*BB1281</f>
        <v>0</v>
      </c>
      <c r="BI1281" s="97">
        <f t="shared" ref="BI1281:BI1294" si="176">$J1281*BC1281</f>
        <v>0</v>
      </c>
      <c r="BJ1281" s="97">
        <f t="shared" ref="BJ1281:BJ1294" si="177">$K1281*BD1281</f>
        <v>0</v>
      </c>
      <c r="BK1281" s="97">
        <f t="shared" ref="BK1281:BK1294" si="178">$F1281*BK$1311</f>
        <v>0</v>
      </c>
      <c r="BL1281" s="97">
        <f t="shared" ref="BL1281:BL1294" si="179">$G1281*BL$1311</f>
        <v>0</v>
      </c>
      <c r="BM1281" s="97">
        <f t="shared" ref="BM1281:BM1294" si="180">$H1281*BM$1311</f>
        <v>0</v>
      </c>
      <c r="BN1281" s="97">
        <f t="shared" ref="BN1281:BN1294" si="181">$I1281*BN$1311</f>
        <v>0</v>
      </c>
      <c r="BO1281" s="97">
        <f t="shared" ref="BO1281:BO1294" si="182">$J1281*BO$1311</f>
        <v>0</v>
      </c>
      <c r="BP1281" s="97">
        <f t="shared" ref="BP1281:BP1294" si="183">$K1281*BP$1311</f>
        <v>0</v>
      </c>
      <c r="BQ1281" s="97">
        <f t="shared" ref="BQ1281:BS1294" si="184">BB1281*BK1281</f>
        <v>0</v>
      </c>
      <c r="BR1281" s="97">
        <f t="shared" si="184"/>
        <v>0</v>
      </c>
      <c r="BS1281" s="97">
        <f t="shared" si="184"/>
        <v>0</v>
      </c>
      <c r="BT1281" s="97">
        <f t="shared" ref="BT1281:BV1294" si="185">BB1281*BN1281</f>
        <v>0</v>
      </c>
      <c r="BU1281" s="97">
        <f t="shared" si="185"/>
        <v>0</v>
      </c>
      <c r="BV1281" s="97">
        <f t="shared" si="185"/>
        <v>0</v>
      </c>
      <c r="BW1281" s="102"/>
      <c r="BX1281" s="102"/>
      <c r="BY1281" s="102"/>
      <c r="BZ1281" s="97">
        <f t="shared" ref="BZ1281:BZ1294" si="186">$F1281*BW1281</f>
        <v>0</v>
      </c>
      <c r="CA1281" s="97">
        <f t="shared" ref="CA1281:CA1294" si="187">$G1281*BX1281</f>
        <v>0</v>
      </c>
      <c r="CB1281" s="97">
        <f t="shared" ref="CB1281:CB1294" si="188">$H1281*BY1281</f>
        <v>0</v>
      </c>
      <c r="CC1281" s="97">
        <f t="shared" ref="CC1281:CC1294" si="189">$I1281*BW1281</f>
        <v>0</v>
      </c>
      <c r="CD1281" s="97">
        <f t="shared" ref="CD1281:CD1294" si="190">$J1281*BX1281</f>
        <v>0</v>
      </c>
      <c r="CE1281" s="97">
        <f t="shared" ref="CE1281:CE1294" si="191">$K1281*BY1281</f>
        <v>0</v>
      </c>
      <c r="CF1281" s="97">
        <f t="shared" ref="CF1281:CF1294" si="192">$F1281*CF$1311</f>
        <v>0</v>
      </c>
      <c r="CG1281" s="97">
        <f t="shared" ref="CG1281:CG1294" si="193">$G1281*CG$1311</f>
        <v>0</v>
      </c>
      <c r="CH1281" s="97">
        <f t="shared" ref="CH1281:CH1294" si="194">$H1281*CH$1311</f>
        <v>0</v>
      </c>
      <c r="CI1281" s="97">
        <f t="shared" ref="CI1281:CI1294" si="195">$I1281*CI$1311</f>
        <v>0</v>
      </c>
      <c r="CJ1281" s="97">
        <f t="shared" ref="CJ1281:CJ1294" si="196">$J1281*CJ$1311</f>
        <v>0</v>
      </c>
      <c r="CK1281" s="97">
        <f t="shared" ref="CK1281:CK1294" si="197">$K1281*CK$1311</f>
        <v>0</v>
      </c>
      <c r="CL1281" s="97">
        <f t="shared" ref="CL1281:CN1294" si="198">BW1281*CF1281</f>
        <v>0</v>
      </c>
      <c r="CM1281" s="97">
        <f t="shared" si="198"/>
        <v>0</v>
      </c>
      <c r="CN1281" s="97">
        <f t="shared" si="198"/>
        <v>0</v>
      </c>
      <c r="CO1281" s="97">
        <f t="shared" ref="CO1281:CQ1294" si="199">BW1281*CI1281</f>
        <v>0</v>
      </c>
      <c r="CP1281" s="97">
        <f t="shared" si="199"/>
        <v>0</v>
      </c>
      <c r="CQ1281" s="97">
        <f t="shared" si="199"/>
        <v>0</v>
      </c>
      <c r="CR1281" s="102"/>
      <c r="CS1281" s="102"/>
      <c r="CT1281" s="102"/>
      <c r="CU1281" s="97">
        <f t="shared" ref="CU1281:CU1294" si="200">$F1281*CR1281</f>
        <v>0</v>
      </c>
      <c r="CV1281" s="97">
        <f t="shared" ref="CV1281:CV1294" si="201">$G1281*CS1281</f>
        <v>0</v>
      </c>
      <c r="CW1281" s="97">
        <f t="shared" ref="CW1281:CW1294" si="202">$H1281*CT1281</f>
        <v>0</v>
      </c>
      <c r="CX1281" s="97">
        <f t="shared" ref="CX1281:CX1294" si="203">$I1281*CR1281</f>
        <v>0</v>
      </c>
      <c r="CY1281" s="97">
        <f t="shared" ref="CY1281:CY1294" si="204">$J1281*CS1281</f>
        <v>0</v>
      </c>
      <c r="CZ1281" s="97">
        <f t="shared" ref="CZ1281:CZ1294" si="205">$K1281*CT1281</f>
        <v>0</v>
      </c>
      <c r="DA1281" s="97">
        <f t="shared" ref="DA1281:DA1294" si="206">$F1281*DA$1311</f>
        <v>0</v>
      </c>
      <c r="DB1281" s="97">
        <f t="shared" ref="DB1281:DB1294" si="207">$G1281*DB$1311</f>
        <v>0</v>
      </c>
      <c r="DC1281" s="97">
        <f t="shared" ref="DC1281:DC1294" si="208">$H1281*DC$1311</f>
        <v>0</v>
      </c>
      <c r="DD1281" s="97">
        <f t="shared" ref="DD1281:DD1294" si="209">$I1281*DD$1311</f>
        <v>0</v>
      </c>
      <c r="DE1281" s="97">
        <f t="shared" ref="DE1281:DE1294" si="210">$J1281*DE$1311</f>
        <v>0</v>
      </c>
      <c r="DF1281" s="97">
        <f t="shared" ref="DF1281:DF1294" si="211">$K1281*DF$1311</f>
        <v>0</v>
      </c>
      <c r="DG1281" s="97">
        <f t="shared" ref="DG1281:DI1294" si="212">CR1281*DA1281</f>
        <v>0</v>
      </c>
      <c r="DH1281" s="97">
        <f t="shared" si="212"/>
        <v>0</v>
      </c>
      <c r="DI1281" s="97">
        <f t="shared" si="212"/>
        <v>0</v>
      </c>
      <c r="DJ1281" s="97">
        <f t="shared" ref="DJ1281:DL1294" si="213">CR1281*DD1281</f>
        <v>0</v>
      </c>
      <c r="DK1281" s="97">
        <f t="shared" si="213"/>
        <v>0</v>
      </c>
      <c r="DL1281" s="97">
        <f t="shared" si="213"/>
        <v>0</v>
      </c>
      <c r="DM1281" s="102"/>
      <c r="DN1281" s="102"/>
      <c r="DO1281" s="102"/>
      <c r="DP1281" s="97">
        <f t="shared" ref="DP1281:DP1294" si="214">$F1281*DM1281</f>
        <v>0</v>
      </c>
      <c r="DQ1281" s="97">
        <f t="shared" ref="DQ1281:DQ1294" si="215">$G1281*DN1281</f>
        <v>0</v>
      </c>
      <c r="DR1281" s="97">
        <f t="shared" ref="DR1281:DR1294" si="216">$H1281*DO1281</f>
        <v>0</v>
      </c>
      <c r="DS1281" s="97">
        <f t="shared" ref="DS1281:DS1294" si="217">$I1281*DM1281</f>
        <v>0</v>
      </c>
      <c r="DT1281" s="97">
        <f t="shared" ref="DT1281:DT1294" si="218">$J1281*DN1281</f>
        <v>0</v>
      </c>
      <c r="DU1281" s="97">
        <f t="shared" ref="DU1281:DU1294" si="219">$K1281*DO1281</f>
        <v>0</v>
      </c>
      <c r="DV1281" s="97">
        <f t="shared" ref="DV1281:DV1294" si="220">$F1281*DV$1311</f>
        <v>0</v>
      </c>
      <c r="DW1281" s="97">
        <f t="shared" ref="DW1281:DW1294" si="221">$G1281*DW$1311</f>
        <v>0</v>
      </c>
      <c r="DX1281" s="97">
        <f t="shared" ref="DX1281:DX1294" si="222">$H1281*DX$1311</f>
        <v>0</v>
      </c>
      <c r="DY1281" s="97">
        <f t="shared" ref="DY1281:DY1294" si="223">$I1281*DY$1311</f>
        <v>0</v>
      </c>
      <c r="DZ1281" s="97">
        <f t="shared" ref="DZ1281:DZ1294" si="224">$J1281*DZ$1311</f>
        <v>0</v>
      </c>
      <c r="EA1281" s="97">
        <f t="shared" ref="EA1281:EA1294" si="225">$K1281*EA$1311</f>
        <v>0</v>
      </c>
      <c r="EB1281" s="97">
        <f t="shared" ref="EB1281:ED1294" si="226">DM1281*DV1281</f>
        <v>0</v>
      </c>
      <c r="EC1281" s="97">
        <f t="shared" si="226"/>
        <v>0</v>
      </c>
      <c r="ED1281" s="97">
        <f t="shared" si="226"/>
        <v>0</v>
      </c>
      <c r="EE1281" s="97">
        <f t="shared" ref="EE1281:EG1294" si="227">DM1281*DY1281</f>
        <v>0</v>
      </c>
      <c r="EF1281" s="97">
        <f t="shared" si="227"/>
        <v>0</v>
      </c>
      <c r="EG1281" s="97">
        <f t="shared" si="227"/>
        <v>0</v>
      </c>
      <c r="EH1281" s="102"/>
      <c r="EI1281" s="102"/>
      <c r="EJ1281" s="102"/>
      <c r="EK1281" s="97">
        <f t="shared" ref="EK1281:EK1294" si="228">$F1281*EH1281</f>
        <v>0</v>
      </c>
      <c r="EL1281" s="97">
        <f t="shared" ref="EL1281:EL1294" si="229">$G1281*EI1281</f>
        <v>0</v>
      </c>
      <c r="EM1281" s="97">
        <f t="shared" ref="EM1281:EM1294" si="230">$H1281*EJ1281</f>
        <v>0</v>
      </c>
      <c r="EN1281" s="97">
        <f t="shared" ref="EN1281:EN1294" si="231">$I1281*EH1281</f>
        <v>0</v>
      </c>
      <c r="EO1281" s="97">
        <f t="shared" ref="EO1281:EO1294" si="232">$J1281*EI1281</f>
        <v>0</v>
      </c>
      <c r="EP1281" s="97">
        <f t="shared" ref="EP1281:EP1294" si="233">$K1281*EJ1281</f>
        <v>0</v>
      </c>
      <c r="EQ1281" s="97">
        <f t="shared" ref="EQ1281:EQ1294" si="234">$F1281*EQ$1311</f>
        <v>0</v>
      </c>
      <c r="ER1281" s="97">
        <f t="shared" ref="ER1281:ER1294" si="235">$G1281*ER$1311</f>
        <v>0</v>
      </c>
      <c r="ES1281" s="97">
        <f t="shared" ref="ES1281:ES1294" si="236">$H1281*ES$1311</f>
        <v>0</v>
      </c>
      <c r="ET1281" s="97">
        <f t="shared" ref="ET1281:ET1294" si="237">$I1281*ET$1311</f>
        <v>0</v>
      </c>
      <c r="EU1281" s="97">
        <f t="shared" ref="EU1281:EU1294" si="238">$J1281*EU$1311</f>
        <v>0</v>
      </c>
      <c r="EV1281" s="97">
        <f t="shared" ref="EV1281:EV1294" si="239">$K1281*EV$1311</f>
        <v>0</v>
      </c>
      <c r="EW1281" s="97">
        <f t="shared" ref="EW1281:EY1294" si="240">EH1281*EQ1281</f>
        <v>0</v>
      </c>
      <c r="EX1281" s="97">
        <f t="shared" si="240"/>
        <v>0</v>
      </c>
      <c r="EY1281" s="97">
        <f t="shared" si="240"/>
        <v>0</v>
      </c>
      <c r="EZ1281" s="97">
        <f t="shared" ref="EZ1281:FB1294" si="241">EH1281*ET1281</f>
        <v>0</v>
      </c>
      <c r="FA1281" s="97">
        <f t="shared" si="241"/>
        <v>0</v>
      </c>
      <c r="FB1281" s="97">
        <f t="shared" si="241"/>
        <v>0</v>
      </c>
      <c r="FC1281" s="102"/>
      <c r="FD1281" s="102"/>
      <c r="FE1281" s="102"/>
      <c r="FF1281" s="97">
        <f t="shared" ref="FF1281:FF1294" si="242">$F1281*FC1281</f>
        <v>0</v>
      </c>
      <c r="FG1281" s="97">
        <f t="shared" ref="FG1281:FG1294" si="243">$G1281*FD1281</f>
        <v>0</v>
      </c>
      <c r="FH1281" s="97">
        <f t="shared" ref="FH1281:FH1294" si="244">$H1281*FE1281</f>
        <v>0</v>
      </c>
      <c r="FI1281" s="97">
        <f t="shared" ref="FI1281:FI1294" si="245">$I1281*FC1281</f>
        <v>0</v>
      </c>
      <c r="FJ1281" s="97">
        <f t="shared" ref="FJ1281:FJ1294" si="246">$J1281*FD1281</f>
        <v>0</v>
      </c>
      <c r="FK1281" s="97">
        <f t="shared" ref="FK1281:FK1294" si="247">$K1281*FE1281</f>
        <v>0</v>
      </c>
      <c r="FL1281" s="97">
        <f t="shared" ref="FL1281:FL1294" si="248">$F1281*FL$1311</f>
        <v>0</v>
      </c>
      <c r="FM1281" s="97">
        <f t="shared" ref="FM1281:FM1294" si="249">$G1281*FM$1311</f>
        <v>0</v>
      </c>
      <c r="FN1281" s="97">
        <f t="shared" ref="FN1281:FN1294" si="250">$H1281*FN$1311</f>
        <v>0</v>
      </c>
      <c r="FO1281" s="97">
        <f t="shared" ref="FO1281:FO1294" si="251">$I1281*FO$1311</f>
        <v>0</v>
      </c>
      <c r="FP1281" s="97">
        <f t="shared" ref="FP1281:FP1294" si="252">$J1281*FP$1311</f>
        <v>0</v>
      </c>
      <c r="FQ1281" s="97">
        <f t="shared" ref="FQ1281:FQ1294" si="253">$K1281*FQ$1311</f>
        <v>0</v>
      </c>
      <c r="FR1281" s="97">
        <f t="shared" ref="FR1281:FT1294" si="254">FC1281*FL1281</f>
        <v>0</v>
      </c>
      <c r="FS1281" s="97">
        <f t="shared" si="254"/>
        <v>0</v>
      </c>
      <c r="FT1281" s="97">
        <f t="shared" si="254"/>
        <v>0</v>
      </c>
      <c r="FU1281" s="97">
        <f t="shared" ref="FU1281:FW1294" si="255">FC1281*FO1281</f>
        <v>0</v>
      </c>
      <c r="FV1281" s="97">
        <f t="shared" si="255"/>
        <v>0</v>
      </c>
      <c r="FW1281" s="97">
        <f t="shared" si="255"/>
        <v>0</v>
      </c>
      <c r="FX1281" s="102"/>
      <c r="FY1281" s="102"/>
      <c r="FZ1281" s="102"/>
      <c r="GA1281" s="97">
        <f t="shared" ref="GA1281:GA1294" si="256">$F1281*FX1281</f>
        <v>0</v>
      </c>
      <c r="GB1281" s="97">
        <f t="shared" ref="GB1281:GB1294" si="257">$G1281*FY1281</f>
        <v>0</v>
      </c>
      <c r="GC1281" s="97">
        <f t="shared" ref="GC1281:GC1294" si="258">$H1281*FZ1281</f>
        <v>0</v>
      </c>
      <c r="GD1281" s="97">
        <f t="shared" ref="GD1281:GD1294" si="259">$I1281*FX1281</f>
        <v>0</v>
      </c>
      <c r="GE1281" s="97">
        <f t="shared" ref="GE1281:GE1294" si="260">$J1281*FY1281</f>
        <v>0</v>
      </c>
      <c r="GF1281" s="97">
        <f t="shared" ref="GF1281:GF1294" si="261">$K1281*FZ1281</f>
        <v>0</v>
      </c>
      <c r="GG1281" s="97">
        <f t="shared" ref="GG1281:GG1294" si="262">$F1281*GG$1311</f>
        <v>0</v>
      </c>
      <c r="GH1281" s="97">
        <f t="shared" ref="GH1281:GH1294" si="263">$G1281*GH$1311</f>
        <v>0</v>
      </c>
      <c r="GI1281" s="97">
        <f t="shared" ref="GI1281:GI1294" si="264">$H1281*GI$1311</f>
        <v>0</v>
      </c>
      <c r="GJ1281" s="97">
        <f t="shared" ref="GJ1281:GJ1294" si="265">$I1281*GJ$1311</f>
        <v>0</v>
      </c>
      <c r="GK1281" s="97">
        <f t="shared" ref="GK1281:GK1294" si="266">$J1281*GK$1311</f>
        <v>0</v>
      </c>
      <c r="GL1281" s="97">
        <f t="shared" ref="GL1281:GL1294" si="267">$K1281*GL$1311</f>
        <v>0</v>
      </c>
      <c r="GM1281" s="97">
        <f t="shared" ref="GM1281:GO1294" si="268">FX1281*GG1281</f>
        <v>0</v>
      </c>
      <c r="GN1281" s="97">
        <f t="shared" si="268"/>
        <v>0</v>
      </c>
      <c r="GO1281" s="97">
        <f t="shared" si="268"/>
        <v>0</v>
      </c>
      <c r="GP1281" s="97">
        <f t="shared" ref="GP1281:GR1294" si="269">FX1281*GJ1281</f>
        <v>0</v>
      </c>
      <c r="GQ1281" s="97">
        <f t="shared" si="269"/>
        <v>0</v>
      </c>
      <c r="GR1281" s="97">
        <f t="shared" si="269"/>
        <v>0</v>
      </c>
      <c r="GS1281" s="102"/>
      <c r="GT1281" s="102"/>
      <c r="GU1281" s="102"/>
      <c r="GV1281" s="97">
        <f t="shared" ref="GV1281:GV1294" si="270">$F1281*GS1281</f>
        <v>0</v>
      </c>
      <c r="GW1281" s="97">
        <f t="shared" ref="GW1281:GW1294" si="271">$G1281*GT1281</f>
        <v>0</v>
      </c>
      <c r="GX1281" s="97">
        <f t="shared" ref="GX1281:GX1294" si="272">$H1281*GU1281</f>
        <v>0</v>
      </c>
      <c r="GY1281" s="97">
        <f t="shared" ref="GY1281:GY1294" si="273">$I1281*GS1281</f>
        <v>0</v>
      </c>
      <c r="GZ1281" s="97">
        <f t="shared" ref="GZ1281:GZ1294" si="274">$J1281*GT1281</f>
        <v>0</v>
      </c>
      <c r="HA1281" s="97">
        <f t="shared" ref="HA1281:HA1294" si="275">$K1281*GU1281</f>
        <v>0</v>
      </c>
      <c r="HB1281" s="97">
        <f t="shared" ref="HB1281:HB1294" si="276">$F1281*HB$1311</f>
        <v>0</v>
      </c>
      <c r="HC1281" s="97">
        <f t="shared" ref="HC1281:HC1294" si="277">$G1281*HC$1311</f>
        <v>0</v>
      </c>
      <c r="HD1281" s="97">
        <f t="shared" ref="HD1281:HD1294" si="278">$H1281*HD$1311</f>
        <v>0</v>
      </c>
      <c r="HE1281" s="97">
        <f t="shared" ref="HE1281:HE1294" si="279">$I1281*HE$1311</f>
        <v>0</v>
      </c>
      <c r="HF1281" s="97">
        <f t="shared" ref="HF1281:HF1294" si="280">$J1281*HF$1311</f>
        <v>0</v>
      </c>
      <c r="HG1281" s="97">
        <f t="shared" ref="HG1281:HG1294" si="281">$K1281*HG$1311</f>
        <v>0</v>
      </c>
      <c r="HH1281" s="97">
        <f t="shared" ref="HH1281:HJ1294" si="282">GS1281*HB1281</f>
        <v>0</v>
      </c>
      <c r="HI1281" s="97">
        <f t="shared" si="282"/>
        <v>0</v>
      </c>
      <c r="HJ1281" s="97">
        <f t="shared" si="282"/>
        <v>0</v>
      </c>
      <c r="HK1281" s="97">
        <f t="shared" ref="HK1281:HM1294" si="283">GS1281*HE1281</f>
        <v>0</v>
      </c>
      <c r="HL1281" s="97">
        <f t="shared" si="283"/>
        <v>0</v>
      </c>
      <c r="HM1281" s="97">
        <f t="shared" si="283"/>
        <v>0</v>
      </c>
      <c r="HN1281" s="102"/>
      <c r="HO1281" s="102"/>
      <c r="HP1281" s="102"/>
      <c r="HQ1281" s="97">
        <f t="shared" ref="HQ1281:HQ1294" si="284">$F1281*HN1281</f>
        <v>0</v>
      </c>
      <c r="HR1281" s="97">
        <f t="shared" ref="HR1281:HR1294" si="285">$G1281*HO1281</f>
        <v>0</v>
      </c>
      <c r="HS1281" s="97">
        <f t="shared" ref="HS1281:HS1294" si="286">$H1281*HP1281</f>
        <v>0</v>
      </c>
      <c r="HT1281" s="97">
        <f t="shared" ref="HT1281:HT1294" si="287">$I1281*HN1281</f>
        <v>0</v>
      </c>
      <c r="HU1281" s="97">
        <f t="shared" ref="HU1281:HU1294" si="288">$J1281*HO1281</f>
        <v>0</v>
      </c>
      <c r="HV1281" s="97">
        <f t="shared" ref="HV1281:HV1294" si="289">$K1281*HP1281</f>
        <v>0</v>
      </c>
      <c r="HW1281" s="97">
        <f t="shared" ref="HW1281:HW1294" si="290">$F1281*HW$1311</f>
        <v>0</v>
      </c>
      <c r="HX1281" s="97">
        <f t="shared" ref="HX1281:HX1294" si="291">$G1281*HX$1311</f>
        <v>0</v>
      </c>
      <c r="HY1281" s="97">
        <f t="shared" ref="HY1281:HY1294" si="292">$H1281*HY$1311</f>
        <v>0</v>
      </c>
      <c r="HZ1281" s="97">
        <f t="shared" ref="HZ1281:HZ1294" si="293">$I1281*HZ$1311</f>
        <v>0</v>
      </c>
      <c r="IA1281" s="97">
        <f t="shared" ref="IA1281:IA1294" si="294">$J1281*IA$1311</f>
        <v>0</v>
      </c>
      <c r="IB1281" s="97">
        <f t="shared" ref="IB1281:IB1294" si="295">$K1281*IB$1311</f>
        <v>0</v>
      </c>
      <c r="IC1281" s="97">
        <f t="shared" ref="IC1281:IE1294" si="296">HN1281*HW1281</f>
        <v>0</v>
      </c>
      <c r="ID1281" s="97">
        <f t="shared" si="296"/>
        <v>0</v>
      </c>
      <c r="IE1281" s="97">
        <f t="shared" si="296"/>
        <v>0</v>
      </c>
      <c r="IF1281" s="97">
        <f t="shared" ref="IF1281:IH1294" si="297">HN1281*HZ1281</f>
        <v>0</v>
      </c>
      <c r="IG1281" s="97">
        <f t="shared" si="297"/>
        <v>0</v>
      </c>
      <c r="IH1281" s="97">
        <f t="shared" si="297"/>
        <v>0</v>
      </c>
      <c r="II1281" s="102"/>
      <c r="IJ1281" s="102"/>
      <c r="IK1281" s="102"/>
      <c r="IL1281" s="97">
        <f t="shared" ref="IL1281:IL1294" si="298">$F1281*II1281</f>
        <v>0</v>
      </c>
      <c r="IM1281" s="97">
        <f t="shared" ref="IM1281:IM1294" si="299">$G1281*IJ1281</f>
        <v>0</v>
      </c>
      <c r="IN1281" s="97">
        <f t="shared" ref="IN1281:IN1294" si="300">$H1281*IK1281</f>
        <v>0</v>
      </c>
      <c r="IO1281" s="97">
        <f t="shared" ref="IO1281:IO1294" si="301">$I1281*II1281</f>
        <v>0</v>
      </c>
      <c r="IP1281" s="97">
        <f t="shared" ref="IP1281:IP1294" si="302">$J1281*IJ1281</f>
        <v>0</v>
      </c>
      <c r="IQ1281" s="97">
        <f t="shared" ref="IQ1281:IQ1294" si="303">$K1281*IK1281</f>
        <v>0</v>
      </c>
      <c r="IR1281" s="97">
        <f t="shared" ref="IR1281:IR1294" si="304">$F1281*IR$1311</f>
        <v>0</v>
      </c>
      <c r="IS1281" s="97">
        <f t="shared" ref="IS1281:IS1294" si="305">$G1281*IS$1311</f>
        <v>0</v>
      </c>
      <c r="IT1281" s="97">
        <f t="shared" ref="IT1281:IT1294" si="306">$H1281*IT$1311</f>
        <v>0</v>
      </c>
      <c r="IU1281" s="97">
        <f t="shared" ref="IU1281:IU1294" si="307">$I1281*IU$1311</f>
        <v>0</v>
      </c>
      <c r="IV1281" s="97">
        <f t="shared" ref="IV1281:IV1294" si="308">$J1281*IV$1311</f>
        <v>0</v>
      </c>
      <c r="IW1281" s="97">
        <f t="shared" ref="IW1281:IW1294" si="309">$K1281*IW$1311</f>
        <v>0</v>
      </c>
      <c r="IX1281" s="97">
        <f t="shared" ref="IX1281:IZ1294" si="310">II1281*IR1281</f>
        <v>0</v>
      </c>
      <c r="IY1281" s="97">
        <f t="shared" si="310"/>
        <v>0</v>
      </c>
      <c r="IZ1281" s="97">
        <f t="shared" si="310"/>
        <v>0</v>
      </c>
      <c r="JA1281" s="97">
        <f t="shared" ref="JA1281:JC1294" si="311">II1281*IU1281</f>
        <v>0</v>
      </c>
      <c r="JB1281" s="97">
        <f t="shared" si="311"/>
        <v>0</v>
      </c>
      <c r="JC1281" s="97">
        <f t="shared" si="311"/>
        <v>0</v>
      </c>
      <c r="JD1281" s="102"/>
      <c r="JE1281" s="102"/>
      <c r="JF1281" s="102"/>
      <c r="JG1281" s="97">
        <f t="shared" ref="JG1281:JG1294" si="312">$F1281*JD1281</f>
        <v>0</v>
      </c>
      <c r="JH1281" s="97">
        <f t="shared" ref="JH1281:JH1294" si="313">$G1281*JE1281</f>
        <v>0</v>
      </c>
      <c r="JI1281" s="97">
        <f t="shared" ref="JI1281:JI1294" si="314">$H1281*JF1281</f>
        <v>0</v>
      </c>
      <c r="JJ1281" s="97">
        <f t="shared" ref="JJ1281:JJ1294" si="315">$I1281*JD1281</f>
        <v>0</v>
      </c>
      <c r="JK1281" s="97">
        <f t="shared" ref="JK1281:JK1294" si="316">$J1281*JE1281</f>
        <v>0</v>
      </c>
      <c r="JL1281" s="97">
        <f t="shared" ref="JL1281:JL1294" si="317">$K1281*JF1281</f>
        <v>0</v>
      </c>
      <c r="JM1281" s="97">
        <f t="shared" ref="JM1281:JM1294" si="318">$F1281*JM$1311</f>
        <v>0</v>
      </c>
      <c r="JN1281" s="97">
        <f t="shared" ref="JN1281:JN1294" si="319">$G1281*JN$1311</f>
        <v>0</v>
      </c>
      <c r="JO1281" s="97">
        <f t="shared" ref="JO1281:JO1294" si="320">$H1281*JO$1311</f>
        <v>0</v>
      </c>
      <c r="JP1281" s="97">
        <f t="shared" ref="JP1281:JP1294" si="321">$I1281*JP$1311</f>
        <v>0</v>
      </c>
      <c r="JQ1281" s="97">
        <f t="shared" ref="JQ1281:JQ1294" si="322">$J1281*JQ$1311</f>
        <v>0</v>
      </c>
      <c r="JR1281" s="97">
        <f t="shared" ref="JR1281:JR1294" si="323">$K1281*JR$1311</f>
        <v>0</v>
      </c>
      <c r="JS1281" s="97">
        <f t="shared" ref="JS1281:JU1294" si="324">JD1281*JM1281</f>
        <v>0</v>
      </c>
      <c r="JT1281" s="97">
        <f t="shared" si="324"/>
        <v>0</v>
      </c>
      <c r="JU1281" s="97">
        <f t="shared" si="324"/>
        <v>0</v>
      </c>
      <c r="JV1281" s="97">
        <f t="shared" ref="JV1281:JX1294" si="325">JD1281*JP1281</f>
        <v>0</v>
      </c>
      <c r="JW1281" s="97">
        <f t="shared" si="325"/>
        <v>0</v>
      </c>
      <c r="JX1281" s="97">
        <f t="shared" si="325"/>
        <v>0</v>
      </c>
      <c r="JY1281" s="102"/>
      <c r="JZ1281" s="102"/>
      <c r="KA1281" s="102"/>
      <c r="KB1281" s="97">
        <f t="shared" ref="KB1281:KB1294" si="326">$F1281*JY1281</f>
        <v>0</v>
      </c>
      <c r="KC1281" s="97">
        <f t="shared" ref="KC1281:KC1294" si="327">$G1281*JZ1281</f>
        <v>0</v>
      </c>
      <c r="KD1281" s="97">
        <f t="shared" ref="KD1281:KD1294" si="328">$H1281*KA1281</f>
        <v>0</v>
      </c>
      <c r="KE1281" s="97">
        <f t="shared" ref="KE1281:KE1294" si="329">$I1281*JY1281</f>
        <v>0</v>
      </c>
      <c r="KF1281" s="97">
        <f t="shared" ref="KF1281:KF1294" si="330">$J1281*JZ1281</f>
        <v>0</v>
      </c>
      <c r="KG1281" s="97">
        <f t="shared" ref="KG1281:KG1294" si="331">$K1281*KA1281</f>
        <v>0</v>
      </c>
      <c r="KH1281" s="97">
        <f t="shared" ref="KH1281:KH1294" si="332">$F1281*KH$1311</f>
        <v>0</v>
      </c>
      <c r="KI1281" s="97">
        <f t="shared" ref="KI1281:KI1294" si="333">$G1281*KI$1311</f>
        <v>0</v>
      </c>
      <c r="KJ1281" s="97">
        <f t="shared" ref="KJ1281:KJ1294" si="334">$H1281*KJ$1311</f>
        <v>0</v>
      </c>
      <c r="KK1281" s="97">
        <f t="shared" ref="KK1281:KK1294" si="335">$I1281*KK$1311</f>
        <v>0</v>
      </c>
      <c r="KL1281" s="97">
        <f t="shared" ref="KL1281:KL1294" si="336">$J1281*KL$1311</f>
        <v>0</v>
      </c>
      <c r="KM1281" s="97">
        <f t="shared" ref="KM1281:KM1294" si="337">$K1281*KM$1311</f>
        <v>0</v>
      </c>
      <c r="KN1281" s="97">
        <f t="shared" ref="KN1281:KP1294" si="338">JY1281*KH1281</f>
        <v>0</v>
      </c>
      <c r="KO1281" s="97">
        <f t="shared" si="338"/>
        <v>0</v>
      </c>
      <c r="KP1281" s="97">
        <f t="shared" si="338"/>
        <v>0</v>
      </c>
      <c r="KQ1281" s="97">
        <f t="shared" ref="KQ1281:KS1294" si="339">JY1281*KK1281</f>
        <v>0</v>
      </c>
      <c r="KR1281" s="97">
        <f t="shared" si="339"/>
        <v>0</v>
      </c>
      <c r="KS1281" s="97">
        <f t="shared" si="339"/>
        <v>0</v>
      </c>
      <c r="KT1281" s="102"/>
      <c r="KU1281" s="102"/>
      <c r="KV1281" s="102"/>
      <c r="KW1281" s="97">
        <f t="shared" ref="KW1281:KW1294" si="340">$F1281*KT1281</f>
        <v>0</v>
      </c>
      <c r="KX1281" s="97">
        <f t="shared" ref="KX1281:KX1294" si="341">$G1281*KU1281</f>
        <v>0</v>
      </c>
      <c r="KY1281" s="97">
        <f t="shared" ref="KY1281:KY1294" si="342">$H1281*KV1281</f>
        <v>0</v>
      </c>
      <c r="KZ1281" s="97">
        <f t="shared" ref="KZ1281:KZ1294" si="343">$I1281*KT1281</f>
        <v>0</v>
      </c>
      <c r="LA1281" s="97">
        <f t="shared" ref="LA1281:LA1294" si="344">$J1281*KU1281</f>
        <v>0</v>
      </c>
      <c r="LB1281" s="97">
        <f t="shared" ref="LB1281:LB1294" si="345">$K1281*KV1281</f>
        <v>0</v>
      </c>
      <c r="LC1281" s="97">
        <f t="shared" ref="LC1281:LC1294" si="346">$F1281*LC$1311</f>
        <v>0</v>
      </c>
      <c r="LD1281" s="97">
        <f t="shared" ref="LD1281:LD1294" si="347">$G1281*LD$1311</f>
        <v>0</v>
      </c>
      <c r="LE1281" s="97">
        <f t="shared" ref="LE1281:LE1294" si="348">$H1281*LE$1311</f>
        <v>0</v>
      </c>
      <c r="LF1281" s="97">
        <f t="shared" ref="LF1281:LF1294" si="349">$I1281*LF$1311</f>
        <v>0</v>
      </c>
      <c r="LG1281" s="97">
        <f t="shared" ref="LG1281:LG1294" si="350">$J1281*LG$1311</f>
        <v>0</v>
      </c>
      <c r="LH1281" s="97">
        <f t="shared" ref="LH1281:LH1294" si="351">$K1281*LH$1311</f>
        <v>0</v>
      </c>
      <c r="LI1281" s="97">
        <f t="shared" ref="LI1281:LK1294" si="352">KT1281*LC1281</f>
        <v>0</v>
      </c>
      <c r="LJ1281" s="97">
        <f t="shared" si="352"/>
        <v>0</v>
      </c>
      <c r="LK1281" s="97">
        <f t="shared" si="352"/>
        <v>0</v>
      </c>
      <c r="LL1281" s="97">
        <f t="shared" ref="LL1281:LN1294" si="353">KT1281*LF1281</f>
        <v>0</v>
      </c>
      <c r="LM1281" s="97">
        <f t="shared" si="353"/>
        <v>0</v>
      </c>
      <c r="LN1281" s="97">
        <f t="shared" si="353"/>
        <v>0</v>
      </c>
      <c r="LO1281" s="102"/>
      <c r="LP1281" s="102"/>
      <c r="LQ1281" s="102"/>
      <c r="LR1281" s="97">
        <f t="shared" ref="LR1281:LR1294" si="354">$F1281*LO1281</f>
        <v>0</v>
      </c>
      <c r="LS1281" s="97">
        <f t="shared" ref="LS1281:LS1294" si="355">$G1281*LP1281</f>
        <v>0</v>
      </c>
      <c r="LT1281" s="97">
        <f t="shared" ref="LT1281:LT1294" si="356">$H1281*LQ1281</f>
        <v>0</v>
      </c>
      <c r="LU1281" s="97">
        <f t="shared" ref="LU1281:LU1294" si="357">$I1281*LO1281</f>
        <v>0</v>
      </c>
      <c r="LV1281" s="97">
        <f t="shared" ref="LV1281:LV1294" si="358">$J1281*LP1281</f>
        <v>0</v>
      </c>
      <c r="LW1281" s="97">
        <f t="shared" ref="LW1281:LW1294" si="359">$K1281*LQ1281</f>
        <v>0</v>
      </c>
      <c r="LX1281" s="97">
        <f t="shared" ref="LX1281:LX1294" si="360">$F1281*LX$1311</f>
        <v>0</v>
      </c>
      <c r="LY1281" s="97">
        <f t="shared" ref="LY1281:LY1294" si="361">$G1281*LY$1311</f>
        <v>0</v>
      </c>
      <c r="LZ1281" s="97">
        <f t="shared" ref="LZ1281:LZ1294" si="362">$H1281*LZ$1311</f>
        <v>0</v>
      </c>
      <c r="MA1281" s="97">
        <f t="shared" ref="MA1281:MA1294" si="363">$I1281*MA$1311</f>
        <v>0</v>
      </c>
      <c r="MB1281" s="97">
        <f t="shared" ref="MB1281:MB1294" si="364">$J1281*MB$1311</f>
        <v>0</v>
      </c>
      <c r="MC1281" s="97">
        <f t="shared" ref="MC1281:MC1294" si="365">$K1281*MC$1311</f>
        <v>0</v>
      </c>
      <c r="MD1281" s="97">
        <f t="shared" ref="MD1281:MF1294" si="366">LO1281*LX1281</f>
        <v>0</v>
      </c>
      <c r="ME1281" s="97">
        <f t="shared" si="366"/>
        <v>0</v>
      </c>
      <c r="MF1281" s="97">
        <f t="shared" si="366"/>
        <v>0</v>
      </c>
      <c r="MG1281" s="97">
        <f t="shared" ref="MG1281:MI1294" si="367">LO1281*MA1281</f>
        <v>0</v>
      </c>
      <c r="MH1281" s="97">
        <f t="shared" si="367"/>
        <v>0</v>
      </c>
      <c r="MI1281" s="97">
        <f t="shared" si="367"/>
        <v>0</v>
      </c>
      <c r="MJ1281" s="102"/>
      <c r="MK1281" s="102"/>
      <c r="ML1281" s="102"/>
      <c r="MM1281" s="97">
        <f t="shared" ref="MM1281:MM1294" si="368">$F1281*MJ1281</f>
        <v>0</v>
      </c>
      <c r="MN1281" s="97">
        <f t="shared" ref="MN1281:MN1294" si="369">$G1281*MK1281</f>
        <v>0</v>
      </c>
      <c r="MO1281" s="97">
        <f t="shared" ref="MO1281:MO1294" si="370">$H1281*ML1281</f>
        <v>0</v>
      </c>
      <c r="MP1281" s="97">
        <f t="shared" ref="MP1281:MP1294" si="371">$I1281*MJ1281</f>
        <v>0</v>
      </c>
      <c r="MQ1281" s="97">
        <f t="shared" ref="MQ1281:MQ1294" si="372">$J1281*MK1281</f>
        <v>0</v>
      </c>
      <c r="MR1281" s="97">
        <f t="shared" ref="MR1281:MR1294" si="373">$K1281*ML1281</f>
        <v>0</v>
      </c>
      <c r="MS1281" s="97">
        <f t="shared" ref="MS1281:MS1294" si="374">$F1281*MS$1311</f>
        <v>0</v>
      </c>
      <c r="MT1281" s="97">
        <f t="shared" ref="MT1281:MT1294" si="375">$G1281*MT$1311</f>
        <v>0</v>
      </c>
      <c r="MU1281" s="97">
        <f t="shared" ref="MU1281:MU1294" si="376">$H1281*MU$1311</f>
        <v>0</v>
      </c>
      <c r="MV1281" s="97">
        <f t="shared" ref="MV1281:MV1294" si="377">$I1281*MV$1311</f>
        <v>0</v>
      </c>
      <c r="MW1281" s="97">
        <f t="shared" ref="MW1281:MW1294" si="378">$J1281*MW$1311</f>
        <v>0</v>
      </c>
      <c r="MX1281" s="97">
        <f t="shared" ref="MX1281:MX1294" si="379">$K1281*MX$1311</f>
        <v>0</v>
      </c>
      <c r="MY1281" s="97">
        <f t="shared" ref="MY1281:NA1294" si="380">MJ1281*MS1281</f>
        <v>0</v>
      </c>
      <c r="MZ1281" s="97">
        <f t="shared" si="380"/>
        <v>0</v>
      </c>
      <c r="NA1281" s="97">
        <f t="shared" si="380"/>
        <v>0</v>
      </c>
      <c r="NB1281" s="97">
        <f t="shared" ref="NB1281:ND1294" si="381">MJ1281*MV1281</f>
        <v>0</v>
      </c>
      <c r="NC1281" s="97">
        <f t="shared" si="381"/>
        <v>0</v>
      </c>
      <c r="ND1281" s="97">
        <f t="shared" si="381"/>
        <v>0</v>
      </c>
      <c r="NE1281" s="102"/>
      <c r="NF1281" s="102"/>
      <c r="NG1281" s="102"/>
      <c r="NH1281" s="97">
        <f t="shared" ref="NH1281:NH1294" si="382">$F1281*NE1281</f>
        <v>0</v>
      </c>
      <c r="NI1281" s="97">
        <f t="shared" ref="NI1281:NI1294" si="383">$G1281*NF1281</f>
        <v>0</v>
      </c>
      <c r="NJ1281" s="97">
        <f t="shared" ref="NJ1281:NJ1294" si="384">$H1281*NG1281</f>
        <v>0</v>
      </c>
      <c r="NK1281" s="97">
        <f t="shared" ref="NK1281:NK1294" si="385">$I1281*NE1281</f>
        <v>0</v>
      </c>
      <c r="NL1281" s="97">
        <f t="shared" ref="NL1281:NL1294" si="386">$J1281*NF1281</f>
        <v>0</v>
      </c>
      <c r="NM1281" s="97">
        <f t="shared" ref="NM1281:NM1294" si="387">$K1281*NG1281</f>
        <v>0</v>
      </c>
      <c r="NN1281" s="97">
        <f t="shared" ref="NN1281:NN1294" si="388">$F1281*NN$1311</f>
        <v>0</v>
      </c>
      <c r="NO1281" s="97">
        <f t="shared" ref="NO1281:NO1294" si="389">$G1281*NO$1311</f>
        <v>0</v>
      </c>
      <c r="NP1281" s="97">
        <f t="shared" ref="NP1281:NP1294" si="390">$H1281*NP$1311</f>
        <v>0</v>
      </c>
      <c r="NQ1281" s="97">
        <f t="shared" ref="NQ1281:NQ1294" si="391">$I1281*NQ$1311</f>
        <v>0</v>
      </c>
      <c r="NR1281" s="97">
        <f t="shared" ref="NR1281:NR1294" si="392">$J1281*NR$1311</f>
        <v>0</v>
      </c>
      <c r="NS1281" s="97">
        <f t="shared" ref="NS1281:NS1294" si="393">$K1281*NS$1311</f>
        <v>0</v>
      </c>
      <c r="NT1281" s="97">
        <f t="shared" ref="NT1281:NV1294" si="394">NE1281*NN1281</f>
        <v>0</v>
      </c>
      <c r="NU1281" s="97">
        <f t="shared" si="394"/>
        <v>0</v>
      </c>
      <c r="NV1281" s="97">
        <f t="shared" si="394"/>
        <v>0</v>
      </c>
      <c r="NW1281" s="97">
        <f t="shared" ref="NW1281:NY1294" si="395">NE1281*NQ1281</f>
        <v>0</v>
      </c>
      <c r="NX1281" s="97">
        <f t="shared" si="395"/>
        <v>0</v>
      </c>
      <c r="NY1281" s="97">
        <f t="shared" si="395"/>
        <v>0</v>
      </c>
      <c r="NZ1281" s="102"/>
      <c r="OA1281" s="102"/>
      <c r="OB1281" s="102"/>
      <c r="OC1281" s="97">
        <f t="shared" ref="OC1281:OC1294" si="396">$F1281*NZ1281</f>
        <v>0</v>
      </c>
      <c r="OD1281" s="97">
        <f t="shared" ref="OD1281:OD1294" si="397">$G1281*OA1281</f>
        <v>0</v>
      </c>
      <c r="OE1281" s="97">
        <f t="shared" ref="OE1281:OE1294" si="398">$H1281*OB1281</f>
        <v>0</v>
      </c>
      <c r="OF1281" s="97">
        <f t="shared" ref="OF1281:OF1294" si="399">$I1281*NZ1281</f>
        <v>0</v>
      </c>
      <c r="OG1281" s="97">
        <f t="shared" ref="OG1281:OG1294" si="400">$J1281*OA1281</f>
        <v>0</v>
      </c>
      <c r="OH1281" s="97">
        <f t="shared" ref="OH1281:OH1294" si="401">$K1281*OB1281</f>
        <v>0</v>
      </c>
      <c r="OI1281" s="97">
        <f t="shared" ref="OI1281:OI1294" si="402">$F1281*OI$1311</f>
        <v>0</v>
      </c>
      <c r="OJ1281" s="97">
        <f t="shared" ref="OJ1281:OJ1294" si="403">$G1281*OJ$1311</f>
        <v>0</v>
      </c>
      <c r="OK1281" s="97">
        <f t="shared" ref="OK1281:OK1294" si="404">$H1281*OK$1311</f>
        <v>0</v>
      </c>
      <c r="OL1281" s="97">
        <f t="shared" ref="OL1281:OL1294" si="405">$I1281*OL$1311</f>
        <v>0</v>
      </c>
      <c r="OM1281" s="97">
        <f t="shared" ref="OM1281:OM1294" si="406">$J1281*OM$1311</f>
        <v>0</v>
      </c>
      <c r="ON1281" s="97">
        <f t="shared" ref="ON1281:ON1294" si="407">$K1281*ON$1311</f>
        <v>0</v>
      </c>
      <c r="OO1281" s="97">
        <f t="shared" ref="OO1281:OQ1294" si="408">NZ1281*OI1281</f>
        <v>0</v>
      </c>
      <c r="OP1281" s="97">
        <f t="shared" si="408"/>
        <v>0</v>
      </c>
      <c r="OQ1281" s="97">
        <f t="shared" si="408"/>
        <v>0</v>
      </c>
      <c r="OR1281" s="97">
        <f t="shared" ref="OR1281:OT1294" si="409">NZ1281*OL1281</f>
        <v>0</v>
      </c>
      <c r="OS1281" s="97">
        <f t="shared" si="409"/>
        <v>0</v>
      </c>
      <c r="OT1281" s="97">
        <f t="shared" si="409"/>
        <v>0</v>
      </c>
      <c r="OU1281" s="102"/>
      <c r="OV1281" s="102"/>
      <c r="OW1281" s="102"/>
      <c r="OX1281" s="97">
        <f t="shared" ref="OX1281:OX1294" si="410">$F1281*OU1281</f>
        <v>0</v>
      </c>
      <c r="OY1281" s="97">
        <f t="shared" ref="OY1281:OY1294" si="411">$G1281*OV1281</f>
        <v>0</v>
      </c>
      <c r="OZ1281" s="97">
        <f t="shared" ref="OZ1281:OZ1294" si="412">$H1281*OW1281</f>
        <v>0</v>
      </c>
      <c r="PA1281" s="97">
        <f t="shared" ref="PA1281:PA1294" si="413">$I1281*OU1281</f>
        <v>0</v>
      </c>
      <c r="PB1281" s="97">
        <f t="shared" ref="PB1281:PB1294" si="414">$J1281*OV1281</f>
        <v>0</v>
      </c>
      <c r="PC1281" s="97">
        <f t="shared" ref="PC1281:PC1294" si="415">$K1281*OW1281</f>
        <v>0</v>
      </c>
      <c r="PD1281" s="97">
        <f t="shared" ref="PD1281:PD1294" si="416">$F1281*PD$1311</f>
        <v>0</v>
      </c>
      <c r="PE1281" s="97">
        <f t="shared" ref="PE1281:PE1294" si="417">$G1281*PE$1311</f>
        <v>0</v>
      </c>
      <c r="PF1281" s="97">
        <f t="shared" ref="PF1281:PF1294" si="418">$H1281*PF$1311</f>
        <v>0</v>
      </c>
      <c r="PG1281" s="97">
        <f t="shared" ref="PG1281:PG1294" si="419">$I1281*PG$1311</f>
        <v>0</v>
      </c>
      <c r="PH1281" s="97">
        <f t="shared" ref="PH1281:PH1294" si="420">$J1281*PH$1311</f>
        <v>0</v>
      </c>
      <c r="PI1281" s="97">
        <f t="shared" ref="PI1281:PI1294" si="421">$K1281*PI$1311</f>
        <v>0</v>
      </c>
      <c r="PJ1281" s="97">
        <f t="shared" ref="PJ1281:PL1294" si="422">OU1281*PD1281</f>
        <v>0</v>
      </c>
      <c r="PK1281" s="97">
        <f t="shared" si="422"/>
        <v>0</v>
      </c>
      <c r="PL1281" s="97">
        <f t="shared" si="422"/>
        <v>0</v>
      </c>
      <c r="PM1281" s="97">
        <f t="shared" ref="PM1281:PO1294" si="423">OU1281*PG1281</f>
        <v>0</v>
      </c>
      <c r="PN1281" s="97">
        <f t="shared" si="423"/>
        <v>0</v>
      </c>
      <c r="PO1281" s="97">
        <f t="shared" si="423"/>
        <v>0</v>
      </c>
      <c r="PP1281" s="102"/>
      <c r="PQ1281" s="102"/>
      <c r="PR1281" s="102"/>
      <c r="PS1281" s="97">
        <f t="shared" ref="PS1281:PS1294" si="424">$F1281*PP1281</f>
        <v>0</v>
      </c>
      <c r="PT1281" s="97">
        <f t="shared" ref="PT1281:PT1294" si="425">$G1281*PQ1281</f>
        <v>0</v>
      </c>
      <c r="PU1281" s="97">
        <f t="shared" ref="PU1281:PU1294" si="426">$H1281*PR1281</f>
        <v>0</v>
      </c>
      <c r="PV1281" s="97">
        <f t="shared" ref="PV1281:PV1294" si="427">$I1281*PP1281</f>
        <v>0</v>
      </c>
      <c r="PW1281" s="97">
        <f t="shared" ref="PW1281:PW1294" si="428">$J1281*PQ1281</f>
        <v>0</v>
      </c>
      <c r="PX1281" s="97">
        <f t="shared" ref="PX1281:PX1294" si="429">$K1281*PR1281</f>
        <v>0</v>
      </c>
      <c r="PY1281" s="97">
        <f t="shared" ref="PY1281:PY1294" si="430">$F1281*PY$1311</f>
        <v>0</v>
      </c>
      <c r="PZ1281" s="97">
        <f t="shared" ref="PZ1281:PZ1294" si="431">$G1281*PZ$1311</f>
        <v>0</v>
      </c>
      <c r="QA1281" s="97">
        <f t="shared" ref="QA1281:QA1294" si="432">$H1281*QA$1311</f>
        <v>0</v>
      </c>
      <c r="QB1281" s="97">
        <f t="shared" ref="QB1281:QB1294" si="433">$I1281*QB$1311</f>
        <v>0</v>
      </c>
      <c r="QC1281" s="97">
        <f t="shared" ref="QC1281:QC1294" si="434">$J1281*QC$1311</f>
        <v>0</v>
      </c>
      <c r="QD1281" s="97">
        <f t="shared" ref="QD1281:QD1294" si="435">$K1281*QD$1311</f>
        <v>0</v>
      </c>
      <c r="QE1281" s="97">
        <f t="shared" ref="QE1281:QG1294" si="436">PP1281*PY1281</f>
        <v>0</v>
      </c>
      <c r="QF1281" s="97">
        <f t="shared" si="436"/>
        <v>0</v>
      </c>
      <c r="QG1281" s="97">
        <f t="shared" si="436"/>
        <v>0</v>
      </c>
      <c r="QH1281" s="97">
        <f t="shared" ref="QH1281:QJ1294" si="437">PP1281*QB1281</f>
        <v>0</v>
      </c>
      <c r="QI1281" s="97">
        <f t="shared" si="437"/>
        <v>0</v>
      </c>
      <c r="QJ1281" s="97">
        <f t="shared" si="437"/>
        <v>0</v>
      </c>
      <c r="QK1281" s="102"/>
      <c r="QL1281" s="102"/>
      <c r="QM1281" s="102"/>
      <c r="QN1281" s="97">
        <f t="shared" ref="QN1281:QN1294" si="438">$F1281*QK1281</f>
        <v>0</v>
      </c>
      <c r="QO1281" s="97">
        <f t="shared" ref="QO1281:QO1294" si="439">$G1281*QL1281</f>
        <v>0</v>
      </c>
      <c r="QP1281" s="97">
        <f t="shared" ref="QP1281:QP1294" si="440">$H1281*QM1281</f>
        <v>0</v>
      </c>
      <c r="QQ1281" s="97">
        <f t="shared" ref="QQ1281:QQ1294" si="441">$I1281*QK1281</f>
        <v>0</v>
      </c>
      <c r="QR1281" s="97">
        <f t="shared" ref="QR1281:QR1294" si="442">$J1281*QL1281</f>
        <v>0</v>
      </c>
      <c r="QS1281" s="97">
        <f t="shared" ref="QS1281:QS1294" si="443">$K1281*QM1281</f>
        <v>0</v>
      </c>
      <c r="QT1281" s="97">
        <f t="shared" ref="QT1281:QT1294" si="444">$F1281*QT$1311</f>
        <v>0</v>
      </c>
      <c r="QU1281" s="97">
        <f t="shared" ref="QU1281:QU1294" si="445">$G1281*QU$1311</f>
        <v>0</v>
      </c>
      <c r="QV1281" s="97">
        <f t="shared" ref="QV1281:QV1294" si="446">$H1281*QV$1311</f>
        <v>0</v>
      </c>
      <c r="QW1281" s="97">
        <f t="shared" ref="QW1281:QW1294" si="447">$I1281*QW$1311</f>
        <v>0</v>
      </c>
      <c r="QX1281" s="97">
        <f t="shared" ref="QX1281:QX1294" si="448">$J1281*QX$1311</f>
        <v>0</v>
      </c>
      <c r="QY1281" s="97">
        <f t="shared" ref="QY1281:QY1294" si="449">$K1281*QY$1311</f>
        <v>0</v>
      </c>
      <c r="QZ1281" s="97">
        <f t="shared" ref="QZ1281:RB1294" si="450">QK1281*QT1281</f>
        <v>0</v>
      </c>
      <c r="RA1281" s="97">
        <f t="shared" si="450"/>
        <v>0</v>
      </c>
      <c r="RB1281" s="97">
        <f t="shared" si="450"/>
        <v>0</v>
      </c>
      <c r="RC1281" s="97">
        <f t="shared" ref="RC1281:RE1294" si="451">QK1281*QW1281</f>
        <v>0</v>
      </c>
      <c r="RD1281" s="97">
        <f t="shared" si="451"/>
        <v>0</v>
      </c>
      <c r="RE1281" s="97">
        <f t="shared" si="451"/>
        <v>0</v>
      </c>
      <c r="RF1281" s="102"/>
      <c r="RG1281" s="102"/>
      <c r="RH1281" s="102"/>
      <c r="RI1281" s="97">
        <f t="shared" ref="RI1281:RI1294" si="452">$F1281*RF1281</f>
        <v>0</v>
      </c>
      <c r="RJ1281" s="97">
        <f t="shared" ref="RJ1281:RJ1294" si="453">$G1281*RG1281</f>
        <v>0</v>
      </c>
      <c r="RK1281" s="97">
        <f t="shared" ref="RK1281:RK1294" si="454">$H1281*RH1281</f>
        <v>0</v>
      </c>
      <c r="RL1281" s="97">
        <f t="shared" ref="RL1281:RL1294" si="455">$I1281*RF1281</f>
        <v>0</v>
      </c>
      <c r="RM1281" s="97">
        <f t="shared" ref="RM1281:RM1294" si="456">$J1281*RG1281</f>
        <v>0</v>
      </c>
      <c r="RN1281" s="97">
        <f t="shared" ref="RN1281:RN1294" si="457">$K1281*RH1281</f>
        <v>0</v>
      </c>
      <c r="RO1281" s="97">
        <f t="shared" ref="RO1281:RO1294" si="458">$F1281*RO$1311</f>
        <v>0</v>
      </c>
      <c r="RP1281" s="97">
        <f t="shared" ref="RP1281:RP1294" si="459">$G1281*RP$1311</f>
        <v>0</v>
      </c>
      <c r="RQ1281" s="97">
        <f t="shared" ref="RQ1281:RQ1294" si="460">$H1281*RQ$1311</f>
        <v>0</v>
      </c>
      <c r="RR1281" s="97">
        <f t="shared" ref="RR1281:RR1294" si="461">$I1281*RR$1311</f>
        <v>0</v>
      </c>
      <c r="RS1281" s="97">
        <f t="shared" ref="RS1281:RS1294" si="462">$J1281*RS$1311</f>
        <v>0</v>
      </c>
      <c r="RT1281" s="97">
        <f t="shared" ref="RT1281:RT1294" si="463">$K1281*RT$1311</f>
        <v>0</v>
      </c>
      <c r="RU1281" s="97">
        <f t="shared" ref="RU1281:RW1294" si="464">RF1281*RO1281</f>
        <v>0</v>
      </c>
      <c r="RV1281" s="97">
        <f t="shared" si="464"/>
        <v>0</v>
      </c>
      <c r="RW1281" s="97">
        <f t="shared" si="464"/>
        <v>0</v>
      </c>
      <c r="RX1281" s="97">
        <f t="shared" ref="RX1281:RZ1294" si="465">RF1281*RR1281</f>
        <v>0</v>
      </c>
      <c r="RY1281" s="97">
        <f t="shared" si="465"/>
        <v>0</v>
      </c>
      <c r="RZ1281" s="97">
        <f t="shared" si="465"/>
        <v>0</v>
      </c>
      <c r="SA1281" s="102"/>
      <c r="SB1281" s="102"/>
      <c r="SC1281" s="102"/>
      <c r="SD1281" s="97">
        <f t="shared" ref="SD1281:SD1294" si="466">$F1281*SA1281</f>
        <v>0</v>
      </c>
      <c r="SE1281" s="97">
        <f t="shared" ref="SE1281:SE1294" si="467">$G1281*SB1281</f>
        <v>0</v>
      </c>
      <c r="SF1281" s="97">
        <f t="shared" ref="SF1281:SF1294" si="468">$H1281*SC1281</f>
        <v>0</v>
      </c>
      <c r="SG1281" s="97">
        <f t="shared" ref="SG1281:SG1294" si="469">$I1281*SA1281</f>
        <v>0</v>
      </c>
      <c r="SH1281" s="97">
        <f t="shared" ref="SH1281:SH1294" si="470">$J1281*SB1281</f>
        <v>0</v>
      </c>
      <c r="SI1281" s="97">
        <f t="shared" ref="SI1281:SI1294" si="471">$K1281*SC1281</f>
        <v>0</v>
      </c>
      <c r="SJ1281" s="97">
        <f t="shared" ref="SJ1281:SJ1294" si="472">$F1281*SJ$1311</f>
        <v>0</v>
      </c>
      <c r="SK1281" s="97">
        <f t="shared" ref="SK1281:SK1294" si="473">$G1281*SK$1311</f>
        <v>0</v>
      </c>
      <c r="SL1281" s="97">
        <f t="shared" ref="SL1281:SL1294" si="474">$H1281*SL$1311</f>
        <v>0</v>
      </c>
      <c r="SM1281" s="97">
        <f t="shared" ref="SM1281:SM1294" si="475">$I1281*SM$1311</f>
        <v>0</v>
      </c>
      <c r="SN1281" s="97">
        <f t="shared" ref="SN1281:SN1294" si="476">$J1281*SN$1311</f>
        <v>0</v>
      </c>
      <c r="SO1281" s="97">
        <f t="shared" ref="SO1281:SO1294" si="477">$K1281*SO$1311</f>
        <v>0</v>
      </c>
      <c r="SP1281" s="97">
        <f t="shared" ref="SP1281:SR1294" si="478">SA1281*SJ1281</f>
        <v>0</v>
      </c>
      <c r="SQ1281" s="97">
        <f t="shared" si="478"/>
        <v>0</v>
      </c>
      <c r="SR1281" s="97">
        <f t="shared" si="478"/>
        <v>0</v>
      </c>
      <c r="SS1281" s="97">
        <f t="shared" ref="SS1281:SU1294" si="479">SA1281*SM1281</f>
        <v>0</v>
      </c>
      <c r="ST1281" s="97">
        <f t="shared" si="479"/>
        <v>0</v>
      </c>
      <c r="SU1281" s="97">
        <f t="shared" si="479"/>
        <v>0</v>
      </c>
      <c r="SV1281" s="102"/>
      <c r="SW1281" s="102"/>
      <c r="SX1281" s="102"/>
      <c r="SY1281" s="97">
        <f t="shared" ref="SY1281:SY1294" si="480">$F1281*SV1281</f>
        <v>0</v>
      </c>
      <c r="SZ1281" s="97">
        <f t="shared" ref="SZ1281:SZ1294" si="481">$G1281*SW1281</f>
        <v>0</v>
      </c>
      <c r="TA1281" s="97">
        <f t="shared" ref="TA1281:TA1294" si="482">$H1281*SX1281</f>
        <v>0</v>
      </c>
      <c r="TB1281" s="97">
        <f t="shared" ref="TB1281:TB1294" si="483">$I1281*SV1281</f>
        <v>0</v>
      </c>
      <c r="TC1281" s="97">
        <f t="shared" ref="TC1281:TC1294" si="484">$J1281*SW1281</f>
        <v>0</v>
      </c>
      <c r="TD1281" s="97">
        <f t="shared" ref="TD1281:TD1294" si="485">$K1281*SX1281</f>
        <v>0</v>
      </c>
      <c r="TE1281" s="97">
        <f t="shared" ref="TE1281:TE1294" si="486">$F1281*TE$1311</f>
        <v>0</v>
      </c>
      <c r="TF1281" s="97">
        <f t="shared" ref="TF1281:TF1294" si="487">$G1281*TF$1311</f>
        <v>0</v>
      </c>
      <c r="TG1281" s="97">
        <f t="shared" ref="TG1281:TG1294" si="488">$H1281*TG$1311</f>
        <v>0</v>
      </c>
      <c r="TH1281" s="97">
        <f t="shared" ref="TH1281:TH1294" si="489">$I1281*TH$1311</f>
        <v>0</v>
      </c>
      <c r="TI1281" s="97">
        <f t="shared" ref="TI1281:TI1294" si="490">$J1281*TI$1311</f>
        <v>0</v>
      </c>
      <c r="TJ1281" s="97">
        <f t="shared" ref="TJ1281:TJ1294" si="491">$K1281*TJ$1311</f>
        <v>0</v>
      </c>
      <c r="TK1281" s="97">
        <f t="shared" ref="TK1281:TM1294" si="492">SV1281*TE1281</f>
        <v>0</v>
      </c>
      <c r="TL1281" s="97">
        <f t="shared" si="492"/>
        <v>0</v>
      </c>
      <c r="TM1281" s="97">
        <f t="shared" si="492"/>
        <v>0</v>
      </c>
      <c r="TN1281" s="97">
        <f t="shared" ref="TN1281:TP1294" si="493">SV1281*TH1281</f>
        <v>0</v>
      </c>
      <c r="TO1281" s="97">
        <f t="shared" si="493"/>
        <v>0</v>
      </c>
      <c r="TP1281" s="97">
        <f t="shared" si="493"/>
        <v>0</v>
      </c>
      <c r="TQ1281" s="102"/>
      <c r="TR1281" s="102"/>
      <c r="TS1281" s="102"/>
      <c r="TT1281" s="97">
        <f t="shared" ref="TT1281:TT1294" si="494">$F1281*TQ1281</f>
        <v>0</v>
      </c>
      <c r="TU1281" s="97">
        <f t="shared" ref="TU1281:TU1294" si="495">$G1281*TR1281</f>
        <v>0</v>
      </c>
      <c r="TV1281" s="97">
        <f t="shared" ref="TV1281:TV1294" si="496">$H1281*TS1281</f>
        <v>0</v>
      </c>
      <c r="TW1281" s="97">
        <f t="shared" ref="TW1281:TW1294" si="497">$I1281*TQ1281</f>
        <v>0</v>
      </c>
      <c r="TX1281" s="97">
        <f t="shared" ref="TX1281:TX1294" si="498">$J1281*TR1281</f>
        <v>0</v>
      </c>
      <c r="TY1281" s="97">
        <f t="shared" ref="TY1281:TY1294" si="499">$K1281*TS1281</f>
        <v>0</v>
      </c>
      <c r="TZ1281" s="97">
        <f t="shared" ref="TZ1281:TZ1294" si="500">$F1281*TZ$1311</f>
        <v>0</v>
      </c>
      <c r="UA1281" s="97">
        <f t="shared" ref="UA1281:UA1294" si="501">$G1281*UA$1311</f>
        <v>0</v>
      </c>
      <c r="UB1281" s="97">
        <f t="shared" ref="UB1281:UB1294" si="502">$H1281*UB$1311</f>
        <v>0</v>
      </c>
      <c r="UC1281" s="97">
        <f t="shared" ref="UC1281:UC1294" si="503">$I1281*UC$1311</f>
        <v>0</v>
      </c>
      <c r="UD1281" s="97">
        <f t="shared" ref="UD1281:UD1294" si="504">$J1281*UD$1311</f>
        <v>0</v>
      </c>
      <c r="UE1281" s="97">
        <f t="shared" ref="UE1281:UE1294" si="505">$K1281*UE$1311</f>
        <v>0</v>
      </c>
      <c r="UF1281" s="97">
        <f t="shared" ref="UF1281:UH1294" si="506">TQ1281*TZ1281</f>
        <v>0</v>
      </c>
      <c r="UG1281" s="97">
        <f t="shared" si="506"/>
        <v>0</v>
      </c>
      <c r="UH1281" s="97">
        <f t="shared" si="506"/>
        <v>0</v>
      </c>
      <c r="UI1281" s="97">
        <f t="shared" ref="UI1281:UK1294" si="507">TQ1281*UC1281</f>
        <v>0</v>
      </c>
      <c r="UJ1281" s="97">
        <f t="shared" si="507"/>
        <v>0</v>
      </c>
      <c r="UK1281" s="97">
        <f t="shared" si="507"/>
        <v>0</v>
      </c>
      <c r="UL1281" s="102">
        <v>19</v>
      </c>
      <c r="UM1281" s="102">
        <v>19</v>
      </c>
      <c r="UN1281" s="102">
        <v>19</v>
      </c>
      <c r="UO1281" s="97">
        <f t="shared" ref="UO1281:UO1294" si="508">$F1281*UL1281</f>
        <v>1725675</v>
      </c>
      <c r="UP1281" s="97">
        <f t="shared" ref="UP1281:UP1294" si="509">$G1281*UM1281</f>
        <v>1768197</v>
      </c>
      <c r="UQ1281" s="97">
        <f t="shared" ref="UQ1281:UQ1294" si="510">$H1281*UN1281</f>
        <v>1825862</v>
      </c>
      <c r="UR1281" s="97">
        <f t="shared" ref="UR1281:UR1294" si="511">$I1281*UL1281</f>
        <v>1591972</v>
      </c>
      <c r="US1281" s="97">
        <f t="shared" ref="US1281:US1294" si="512">$J1281*UM1281</f>
        <v>1649618</v>
      </c>
      <c r="UT1281" s="97">
        <f t="shared" ref="UT1281:UT1294" si="513">$K1281*UN1281</f>
        <v>1692862</v>
      </c>
      <c r="UU1281" s="97">
        <f t="shared" ref="UU1281:UU1294" si="514">$F1281*UU$1311</f>
        <v>64672.31</v>
      </c>
      <c r="UV1281" s="97">
        <f t="shared" ref="UV1281:UV1294" si="515">$G1281*UV$1311</f>
        <v>67948.289999999994</v>
      </c>
      <c r="UW1281" s="97">
        <f t="shared" ref="UW1281:UW1294" si="516">$H1281*UW$1311</f>
        <v>70698.47</v>
      </c>
      <c r="UX1281" s="97">
        <f t="shared" ref="UX1281:UX1294" si="517">$I1281*UX$1311</f>
        <v>14239.29</v>
      </c>
      <c r="UY1281" s="97">
        <f t="shared" ref="UY1281:UY1294" si="518">$J1281*UY$1311</f>
        <v>15056.42</v>
      </c>
      <c r="UZ1281" s="97">
        <f t="shared" ref="UZ1281:UZ1294" si="519">$K1281*UZ$1311</f>
        <v>16040.94</v>
      </c>
      <c r="VA1281" s="97">
        <f t="shared" ref="VA1281:VC1294" si="520">UL1281*UU1281</f>
        <v>1228773.8899999999</v>
      </c>
      <c r="VB1281" s="97">
        <f t="shared" si="520"/>
        <v>1291017.51</v>
      </c>
      <c r="VC1281" s="97">
        <f t="shared" si="520"/>
        <v>1343270.93</v>
      </c>
      <c r="VD1281" s="97">
        <f t="shared" ref="VD1281:VF1294" si="521">UL1281*UX1281</f>
        <v>270546.51</v>
      </c>
      <c r="VE1281" s="97">
        <f t="shared" si="521"/>
        <v>286071.98</v>
      </c>
      <c r="VF1281" s="97">
        <f t="shared" si="521"/>
        <v>304777.86</v>
      </c>
      <c r="VG1281" s="102"/>
      <c r="VH1281" s="102"/>
      <c r="VI1281" s="102"/>
      <c r="VJ1281" s="97">
        <f t="shared" ref="VJ1281:VJ1294" si="522">$F1281*VG1281</f>
        <v>0</v>
      </c>
      <c r="VK1281" s="97">
        <f t="shared" ref="VK1281:VK1294" si="523">$G1281*VH1281</f>
        <v>0</v>
      </c>
      <c r="VL1281" s="97">
        <f t="shared" ref="VL1281:VL1294" si="524">$H1281*VI1281</f>
        <v>0</v>
      </c>
      <c r="VM1281" s="97">
        <f t="shared" ref="VM1281:VM1294" si="525">$I1281*VG1281</f>
        <v>0</v>
      </c>
      <c r="VN1281" s="97">
        <f t="shared" ref="VN1281:VN1294" si="526">$J1281*VH1281</f>
        <v>0</v>
      </c>
      <c r="VO1281" s="97">
        <f t="shared" ref="VO1281:VO1294" si="527">$K1281*VI1281</f>
        <v>0</v>
      </c>
      <c r="VP1281" s="97">
        <f t="shared" ref="VP1281:VP1294" si="528">$F1281*VP$1311</f>
        <v>0</v>
      </c>
      <c r="VQ1281" s="97">
        <f t="shared" ref="VQ1281:VQ1294" si="529">$G1281*VQ$1311</f>
        <v>0</v>
      </c>
      <c r="VR1281" s="97">
        <f t="shared" ref="VR1281:VR1294" si="530">$H1281*VR$1311</f>
        <v>0</v>
      </c>
      <c r="VS1281" s="97">
        <f t="shared" ref="VS1281:VS1294" si="531">$I1281*VS$1311</f>
        <v>0</v>
      </c>
      <c r="VT1281" s="97">
        <f t="shared" ref="VT1281:VT1294" si="532">$J1281*VT$1311</f>
        <v>0</v>
      </c>
      <c r="VU1281" s="97">
        <f t="shared" ref="VU1281:VU1294" si="533">$K1281*VU$1311</f>
        <v>0</v>
      </c>
      <c r="VV1281" s="97">
        <f t="shared" ref="VV1281:VX1294" si="534">VG1281*VP1281</f>
        <v>0</v>
      </c>
      <c r="VW1281" s="97">
        <f t="shared" si="534"/>
        <v>0</v>
      </c>
      <c r="VX1281" s="97">
        <f t="shared" si="534"/>
        <v>0</v>
      </c>
      <c r="VY1281" s="97">
        <f t="shared" ref="VY1281:WA1294" si="535">VG1281*VS1281</f>
        <v>0</v>
      </c>
      <c r="VZ1281" s="97">
        <f t="shared" si="535"/>
        <v>0</v>
      </c>
      <c r="WA1281" s="97">
        <f t="shared" si="535"/>
        <v>0</v>
      </c>
      <c r="WB1281" s="102"/>
      <c r="WC1281" s="102"/>
      <c r="WD1281" s="102"/>
      <c r="WE1281" s="97">
        <f t="shared" ref="WE1281:WE1294" si="536">$F1281*WB1281</f>
        <v>0</v>
      </c>
      <c r="WF1281" s="97">
        <f t="shared" ref="WF1281:WF1294" si="537">$G1281*WC1281</f>
        <v>0</v>
      </c>
      <c r="WG1281" s="97">
        <f t="shared" ref="WG1281:WG1294" si="538">$H1281*WD1281</f>
        <v>0</v>
      </c>
      <c r="WH1281" s="97">
        <f t="shared" ref="WH1281:WH1294" si="539">$I1281*WB1281</f>
        <v>0</v>
      </c>
      <c r="WI1281" s="97">
        <f t="shared" ref="WI1281:WI1294" si="540">$J1281*WC1281</f>
        <v>0</v>
      </c>
      <c r="WJ1281" s="97">
        <f t="shared" ref="WJ1281:WJ1294" si="541">$K1281*WD1281</f>
        <v>0</v>
      </c>
      <c r="WK1281" s="97">
        <f t="shared" ref="WK1281:WK1294" si="542">$F1281*WK$1311</f>
        <v>0</v>
      </c>
      <c r="WL1281" s="97">
        <f t="shared" ref="WL1281:WL1294" si="543">$G1281*WL$1311</f>
        <v>0</v>
      </c>
      <c r="WM1281" s="97">
        <f t="shared" ref="WM1281:WM1294" si="544">$H1281*WM$1311</f>
        <v>0</v>
      </c>
      <c r="WN1281" s="97">
        <f t="shared" ref="WN1281:WN1294" si="545">$I1281*WN$1311</f>
        <v>0</v>
      </c>
      <c r="WO1281" s="97">
        <f t="shared" ref="WO1281:WO1294" si="546">$J1281*WO$1311</f>
        <v>0</v>
      </c>
      <c r="WP1281" s="97">
        <f t="shared" ref="WP1281:WP1294" si="547">$K1281*WP$1311</f>
        <v>0</v>
      </c>
      <c r="WQ1281" s="97">
        <f t="shared" ref="WQ1281:WS1294" si="548">WB1281*WK1281</f>
        <v>0</v>
      </c>
      <c r="WR1281" s="97">
        <f t="shared" si="548"/>
        <v>0</v>
      </c>
      <c r="WS1281" s="97">
        <f t="shared" si="548"/>
        <v>0</v>
      </c>
      <c r="WT1281" s="97">
        <f t="shared" ref="WT1281:WV1294" si="549">WB1281*WN1281</f>
        <v>0</v>
      </c>
      <c r="WU1281" s="97">
        <f t="shared" si="549"/>
        <v>0</v>
      </c>
      <c r="WV1281" s="97">
        <f t="shared" si="549"/>
        <v>0</v>
      </c>
      <c r="WW1281" s="102"/>
      <c r="WX1281" s="102"/>
      <c r="WY1281" s="102"/>
      <c r="WZ1281" s="97">
        <f t="shared" ref="WZ1281:WZ1294" si="550">$F1281*WW1281</f>
        <v>0</v>
      </c>
      <c r="XA1281" s="97">
        <f t="shared" ref="XA1281:XA1294" si="551">$G1281*WX1281</f>
        <v>0</v>
      </c>
      <c r="XB1281" s="97">
        <f t="shared" ref="XB1281:XB1294" si="552">$H1281*WY1281</f>
        <v>0</v>
      </c>
      <c r="XC1281" s="97">
        <f t="shared" ref="XC1281:XC1294" si="553">$I1281*WW1281</f>
        <v>0</v>
      </c>
      <c r="XD1281" s="97">
        <f t="shared" ref="XD1281:XD1294" si="554">$J1281*WX1281</f>
        <v>0</v>
      </c>
      <c r="XE1281" s="97">
        <f t="shared" ref="XE1281:XE1294" si="555">$K1281*WY1281</f>
        <v>0</v>
      </c>
      <c r="XF1281" s="97">
        <f t="shared" ref="XF1281:XF1294" si="556">$F1281*XF$1311</f>
        <v>0</v>
      </c>
      <c r="XG1281" s="97">
        <f t="shared" ref="XG1281:XG1294" si="557">$G1281*XG$1311</f>
        <v>0</v>
      </c>
      <c r="XH1281" s="97">
        <f t="shared" ref="XH1281:XH1294" si="558">$H1281*XH$1311</f>
        <v>0</v>
      </c>
      <c r="XI1281" s="97">
        <f t="shared" ref="XI1281:XI1294" si="559">$I1281*XI$1311</f>
        <v>0</v>
      </c>
      <c r="XJ1281" s="97">
        <f t="shared" ref="XJ1281:XJ1294" si="560">$J1281*XJ$1311</f>
        <v>0</v>
      </c>
      <c r="XK1281" s="97">
        <f t="shared" ref="XK1281:XK1294" si="561">$K1281*XK$1311</f>
        <v>0</v>
      </c>
      <c r="XL1281" s="97">
        <f t="shared" ref="XL1281:XN1294" si="562">WW1281*XF1281</f>
        <v>0</v>
      </c>
      <c r="XM1281" s="97">
        <f t="shared" si="562"/>
        <v>0</v>
      </c>
      <c r="XN1281" s="97">
        <f t="shared" si="562"/>
        <v>0</v>
      </c>
      <c r="XO1281" s="97">
        <f t="shared" ref="XO1281:XQ1294" si="563">WW1281*XI1281</f>
        <v>0</v>
      </c>
      <c r="XP1281" s="97">
        <f t="shared" si="563"/>
        <v>0</v>
      </c>
      <c r="XQ1281" s="97">
        <f t="shared" si="563"/>
        <v>0</v>
      </c>
      <c r="XR1281" s="102"/>
      <c r="XS1281" s="102"/>
      <c r="XT1281" s="102"/>
      <c r="XU1281" s="97">
        <f t="shared" ref="XU1281:XU1294" si="564">$F1281*XR1281</f>
        <v>0</v>
      </c>
      <c r="XV1281" s="97">
        <f t="shared" ref="XV1281:XV1294" si="565">$G1281*XS1281</f>
        <v>0</v>
      </c>
      <c r="XW1281" s="97">
        <f t="shared" ref="XW1281:XW1294" si="566">$H1281*XT1281</f>
        <v>0</v>
      </c>
      <c r="XX1281" s="97">
        <f t="shared" ref="XX1281:XX1294" si="567">$I1281*XR1281</f>
        <v>0</v>
      </c>
      <c r="XY1281" s="97">
        <f t="shared" ref="XY1281:XY1294" si="568">$J1281*XS1281</f>
        <v>0</v>
      </c>
      <c r="XZ1281" s="97">
        <f t="shared" ref="XZ1281:XZ1294" si="569">$K1281*XT1281</f>
        <v>0</v>
      </c>
      <c r="YA1281" s="97">
        <f t="shared" ref="YA1281:YA1294" si="570">$F1281*YA$1311</f>
        <v>0</v>
      </c>
      <c r="YB1281" s="97">
        <f t="shared" ref="YB1281:YB1294" si="571">$G1281*YB$1311</f>
        <v>0</v>
      </c>
      <c r="YC1281" s="97">
        <f t="shared" ref="YC1281:YC1294" si="572">$H1281*YC$1311</f>
        <v>0</v>
      </c>
      <c r="YD1281" s="97">
        <f t="shared" ref="YD1281:YD1294" si="573">$I1281*YD$1311</f>
        <v>0</v>
      </c>
      <c r="YE1281" s="97">
        <f t="shared" ref="YE1281:YE1294" si="574">$J1281*YE$1311</f>
        <v>0</v>
      </c>
      <c r="YF1281" s="97">
        <f t="shared" ref="YF1281:YF1294" si="575">$K1281*YF$1311</f>
        <v>0</v>
      </c>
      <c r="YG1281" s="97">
        <f t="shared" ref="YG1281:YI1294" si="576">XR1281*YA1281</f>
        <v>0</v>
      </c>
      <c r="YH1281" s="97">
        <f t="shared" si="576"/>
        <v>0</v>
      </c>
      <c r="YI1281" s="97">
        <f t="shared" si="576"/>
        <v>0</v>
      </c>
      <c r="YJ1281" s="97">
        <f t="shared" ref="YJ1281:YL1294" si="577">XR1281*YD1281</f>
        <v>0</v>
      </c>
      <c r="YK1281" s="97">
        <f t="shared" si="577"/>
        <v>0</v>
      </c>
      <c r="YL1281" s="97">
        <f t="shared" si="577"/>
        <v>0</v>
      </c>
      <c r="YM1281" s="145">
        <f>L1281+AG1281+BB1281+BW1281+CR1281+DM1281+EH1281+FC1281+FX1281+GS1281+HN1281+II1281+JD1281+JY1281+KT1281+LO1281+MJ1281+NE1281+NZ1281+OU1281+PP1281+QK1281+RF1281+SA1281+SV1281+TQ1281+UL1281+VG1281+WB1281+WW1281+XR1281</f>
        <v>19</v>
      </c>
      <c r="YN1281" s="145">
        <f t="shared" ref="YN1281:YO1294" si="578">M1281+AH1281+BC1281+BX1281+CS1281+DN1281+EI1281+FD1281+FY1281+GT1281+HO1281+IJ1281+JE1281+JZ1281+KU1281+LP1281+MK1281+NF1281+OA1281+OV1281+PQ1281+QL1281+RG1281+SB1281+SW1281+TR1281+UM1281+VH1281+WC1281+WX1281+XS1281</f>
        <v>19</v>
      </c>
      <c r="YO1281" s="145">
        <f t="shared" si="578"/>
        <v>19</v>
      </c>
      <c r="YP1281" s="97">
        <f t="shared" ref="YP1281:YP1294" si="579">$F1281*YM1281</f>
        <v>1725675</v>
      </c>
      <c r="YQ1281" s="97">
        <f t="shared" ref="YQ1281:YQ1294" si="580">$G1281*YN1281</f>
        <v>1768197</v>
      </c>
      <c r="YR1281" s="97">
        <f t="shared" ref="YR1281:YR1294" si="581">$H1281*YO1281</f>
        <v>1825862</v>
      </c>
      <c r="YS1281" s="97">
        <f t="shared" ref="YS1281:YS1294" si="582">$I1281*YM1281</f>
        <v>1591972</v>
      </c>
      <c r="YT1281" s="97">
        <f t="shared" ref="YT1281:YT1294" si="583">$J1281*YN1281</f>
        <v>1649618</v>
      </c>
      <c r="YU1281" s="97">
        <f t="shared" ref="YU1281:YU1294" si="584">$K1281*YO1281</f>
        <v>1692862</v>
      </c>
      <c r="YV1281" s="97">
        <f t="shared" ref="YV1281:YV1294" si="585">$F1281*YV$1311</f>
        <v>64672.31</v>
      </c>
      <c r="YW1281" s="97">
        <f t="shared" ref="YW1281:YW1294" si="586">$G1281*YW$1311</f>
        <v>67948.289999999994</v>
      </c>
      <c r="YX1281" s="97">
        <f t="shared" ref="YX1281:YX1294" si="587">$H1281*YX$1311</f>
        <v>70698.47</v>
      </c>
      <c r="YY1281" s="97">
        <f t="shared" ref="YY1281:YY1294" si="588">$I1281*YY$1311</f>
        <v>14239.29</v>
      </c>
      <c r="YZ1281" s="97">
        <f t="shared" ref="YZ1281:YZ1294" si="589">$J1281*YZ$1311</f>
        <v>15056.42</v>
      </c>
      <c r="ZA1281" s="97">
        <f t="shared" ref="ZA1281:ZA1294" si="590">$K1281*ZA$1311</f>
        <v>16040.94</v>
      </c>
      <c r="ZB1281" s="97">
        <f t="shared" ref="ZB1281:ZD1294" si="591">YM1281*YV1281</f>
        <v>1228773.8899999999</v>
      </c>
      <c r="ZC1281" s="97">
        <f t="shared" si="591"/>
        <v>1291017.51</v>
      </c>
      <c r="ZD1281" s="97">
        <f t="shared" si="591"/>
        <v>1343270.93</v>
      </c>
      <c r="ZE1281" s="97">
        <f t="shared" ref="ZE1281:ZG1294" si="592">YM1281*YY1281</f>
        <v>270546.51</v>
      </c>
      <c r="ZF1281" s="97">
        <f t="shared" si="592"/>
        <v>286071.98</v>
      </c>
      <c r="ZG1281" s="97">
        <f t="shared" si="592"/>
        <v>304777.86</v>
      </c>
    </row>
    <row r="1282" spans="1:683" ht="36" x14ac:dyDescent="0.25">
      <c r="A1282" s="174" t="s">
        <v>413</v>
      </c>
      <c r="B1282" s="174" t="s">
        <v>430</v>
      </c>
      <c r="C1282" s="5"/>
      <c r="D1282" s="340"/>
      <c r="E1282" s="163"/>
      <c r="F1282" s="110">
        <f t="shared" si="148"/>
        <v>70591</v>
      </c>
      <c r="G1282" s="110">
        <f t="shared" si="148"/>
        <v>72315</v>
      </c>
      <c r="H1282" s="110">
        <f t="shared" si="148"/>
        <v>74621</v>
      </c>
      <c r="I1282" s="97">
        <f t="shared" si="149"/>
        <v>70581</v>
      </c>
      <c r="J1282" s="97">
        <f t="shared" si="149"/>
        <v>73124</v>
      </c>
      <c r="K1282" s="97">
        <f t="shared" si="149"/>
        <v>75032</v>
      </c>
      <c r="L1282" s="102"/>
      <c r="M1282" s="102"/>
      <c r="N1282" s="102"/>
      <c r="O1282" s="97">
        <f t="shared" ref="O1282:O1294" si="593">$F1282*L1282</f>
        <v>0</v>
      </c>
      <c r="P1282" s="97">
        <f t="shared" ref="P1282:P1294" si="594">$G1282*M1282</f>
        <v>0</v>
      </c>
      <c r="Q1282" s="97">
        <f t="shared" ref="Q1282:Q1294" si="595">$H1282*N1282</f>
        <v>0</v>
      </c>
      <c r="R1282" s="97">
        <f t="shared" ref="R1282:R1294" si="596">$I1282*L1282</f>
        <v>0</v>
      </c>
      <c r="S1282" s="97">
        <f t="shared" ref="S1282:S1294" si="597">$J1282*M1282</f>
        <v>0</v>
      </c>
      <c r="T1282" s="97">
        <f t="shared" ref="T1282:T1294" si="598">$K1282*N1282</f>
        <v>0</v>
      </c>
      <c r="U1282" s="97">
        <f t="shared" si="150"/>
        <v>0</v>
      </c>
      <c r="V1282" s="97">
        <f t="shared" si="151"/>
        <v>0</v>
      </c>
      <c r="W1282" s="97">
        <f t="shared" si="152"/>
        <v>0</v>
      </c>
      <c r="X1282" s="97">
        <f t="shared" si="153"/>
        <v>0</v>
      </c>
      <c r="Y1282" s="97">
        <f t="shared" si="154"/>
        <v>0</v>
      </c>
      <c r="Z1282" s="97">
        <f t="shared" si="155"/>
        <v>0</v>
      </c>
      <c r="AA1282" s="97">
        <f t="shared" ref="AA1282:AA1294" si="599">L1282*U1282</f>
        <v>0</v>
      </c>
      <c r="AB1282" s="97">
        <f t="shared" si="156"/>
        <v>0</v>
      </c>
      <c r="AC1282" s="97">
        <f t="shared" si="156"/>
        <v>0</v>
      </c>
      <c r="AD1282" s="97">
        <f t="shared" ref="AD1282:AD1294" si="600">L1282*X1282</f>
        <v>0</v>
      </c>
      <c r="AE1282" s="97">
        <f t="shared" si="157"/>
        <v>0</v>
      </c>
      <c r="AF1282" s="97">
        <f t="shared" si="157"/>
        <v>0</v>
      </c>
      <c r="AG1282" s="102"/>
      <c r="AH1282" s="102"/>
      <c r="AI1282" s="102"/>
      <c r="AJ1282" s="97">
        <f t="shared" si="158"/>
        <v>0</v>
      </c>
      <c r="AK1282" s="97">
        <f t="shared" si="159"/>
        <v>0</v>
      </c>
      <c r="AL1282" s="97">
        <f t="shared" si="160"/>
        <v>0</v>
      </c>
      <c r="AM1282" s="97">
        <f t="shared" si="161"/>
        <v>0</v>
      </c>
      <c r="AN1282" s="97">
        <f t="shared" si="162"/>
        <v>0</v>
      </c>
      <c r="AO1282" s="97">
        <f t="shared" si="163"/>
        <v>0</v>
      </c>
      <c r="AP1282" s="97">
        <f t="shared" si="164"/>
        <v>0</v>
      </c>
      <c r="AQ1282" s="97">
        <f t="shared" si="165"/>
        <v>0</v>
      </c>
      <c r="AR1282" s="97">
        <f t="shared" si="166"/>
        <v>0</v>
      </c>
      <c r="AS1282" s="97">
        <f t="shared" si="167"/>
        <v>0</v>
      </c>
      <c r="AT1282" s="97">
        <f t="shared" si="168"/>
        <v>0</v>
      </c>
      <c r="AU1282" s="97">
        <f t="shared" si="169"/>
        <v>0</v>
      </c>
      <c r="AV1282" s="97">
        <f t="shared" si="170"/>
        <v>0</v>
      </c>
      <c r="AW1282" s="97">
        <f t="shared" si="170"/>
        <v>0</v>
      </c>
      <c r="AX1282" s="97">
        <f t="shared" si="170"/>
        <v>0</v>
      </c>
      <c r="AY1282" s="97">
        <f t="shared" si="171"/>
        <v>0</v>
      </c>
      <c r="AZ1282" s="97">
        <f t="shared" si="171"/>
        <v>0</v>
      </c>
      <c r="BA1282" s="97">
        <f t="shared" si="171"/>
        <v>0</v>
      </c>
      <c r="BB1282" s="102"/>
      <c r="BC1282" s="102"/>
      <c r="BD1282" s="102"/>
      <c r="BE1282" s="97">
        <f t="shared" si="172"/>
        <v>0</v>
      </c>
      <c r="BF1282" s="97">
        <f t="shared" si="173"/>
        <v>0</v>
      </c>
      <c r="BG1282" s="97">
        <f t="shared" si="174"/>
        <v>0</v>
      </c>
      <c r="BH1282" s="97">
        <f t="shared" si="175"/>
        <v>0</v>
      </c>
      <c r="BI1282" s="97">
        <f t="shared" si="176"/>
        <v>0</v>
      </c>
      <c r="BJ1282" s="97">
        <f t="shared" si="177"/>
        <v>0</v>
      </c>
      <c r="BK1282" s="97">
        <f t="shared" si="178"/>
        <v>0</v>
      </c>
      <c r="BL1282" s="97">
        <f t="shared" si="179"/>
        <v>0</v>
      </c>
      <c r="BM1282" s="97">
        <f t="shared" si="180"/>
        <v>0</v>
      </c>
      <c r="BN1282" s="97">
        <f t="shared" si="181"/>
        <v>0</v>
      </c>
      <c r="BO1282" s="97">
        <f t="shared" si="182"/>
        <v>0</v>
      </c>
      <c r="BP1282" s="97">
        <f t="shared" si="183"/>
        <v>0</v>
      </c>
      <c r="BQ1282" s="97">
        <f t="shared" si="184"/>
        <v>0</v>
      </c>
      <c r="BR1282" s="97">
        <f t="shared" si="184"/>
        <v>0</v>
      </c>
      <c r="BS1282" s="97">
        <f t="shared" si="184"/>
        <v>0</v>
      </c>
      <c r="BT1282" s="97">
        <f t="shared" si="185"/>
        <v>0</v>
      </c>
      <c r="BU1282" s="97">
        <f t="shared" si="185"/>
        <v>0</v>
      </c>
      <c r="BV1282" s="97">
        <f t="shared" si="185"/>
        <v>0</v>
      </c>
      <c r="BW1282" s="102"/>
      <c r="BX1282" s="102"/>
      <c r="BY1282" s="102"/>
      <c r="BZ1282" s="97">
        <f t="shared" si="186"/>
        <v>0</v>
      </c>
      <c r="CA1282" s="97">
        <f t="shared" si="187"/>
        <v>0</v>
      </c>
      <c r="CB1282" s="97">
        <f t="shared" si="188"/>
        <v>0</v>
      </c>
      <c r="CC1282" s="97">
        <f t="shared" si="189"/>
        <v>0</v>
      </c>
      <c r="CD1282" s="97">
        <f t="shared" si="190"/>
        <v>0</v>
      </c>
      <c r="CE1282" s="97">
        <f t="shared" si="191"/>
        <v>0</v>
      </c>
      <c r="CF1282" s="97">
        <f t="shared" si="192"/>
        <v>0</v>
      </c>
      <c r="CG1282" s="97">
        <f t="shared" si="193"/>
        <v>0</v>
      </c>
      <c r="CH1282" s="97">
        <f t="shared" si="194"/>
        <v>0</v>
      </c>
      <c r="CI1282" s="97">
        <f t="shared" si="195"/>
        <v>0</v>
      </c>
      <c r="CJ1282" s="97">
        <f t="shared" si="196"/>
        <v>0</v>
      </c>
      <c r="CK1282" s="97">
        <f t="shared" si="197"/>
        <v>0</v>
      </c>
      <c r="CL1282" s="97">
        <f t="shared" si="198"/>
        <v>0</v>
      </c>
      <c r="CM1282" s="97">
        <f t="shared" si="198"/>
        <v>0</v>
      </c>
      <c r="CN1282" s="97">
        <f t="shared" si="198"/>
        <v>0</v>
      </c>
      <c r="CO1282" s="97">
        <f t="shared" si="199"/>
        <v>0</v>
      </c>
      <c r="CP1282" s="97">
        <f t="shared" si="199"/>
        <v>0</v>
      </c>
      <c r="CQ1282" s="97">
        <f t="shared" si="199"/>
        <v>0</v>
      </c>
      <c r="CR1282" s="102"/>
      <c r="CS1282" s="102"/>
      <c r="CT1282" s="102"/>
      <c r="CU1282" s="97">
        <f t="shared" si="200"/>
        <v>0</v>
      </c>
      <c r="CV1282" s="97">
        <f t="shared" si="201"/>
        <v>0</v>
      </c>
      <c r="CW1282" s="97">
        <f t="shared" si="202"/>
        <v>0</v>
      </c>
      <c r="CX1282" s="97">
        <f t="shared" si="203"/>
        <v>0</v>
      </c>
      <c r="CY1282" s="97">
        <f t="shared" si="204"/>
        <v>0</v>
      </c>
      <c r="CZ1282" s="97">
        <f t="shared" si="205"/>
        <v>0</v>
      </c>
      <c r="DA1282" s="97">
        <f t="shared" si="206"/>
        <v>0</v>
      </c>
      <c r="DB1282" s="97">
        <f t="shared" si="207"/>
        <v>0</v>
      </c>
      <c r="DC1282" s="97">
        <f t="shared" si="208"/>
        <v>0</v>
      </c>
      <c r="DD1282" s="97">
        <f t="shared" si="209"/>
        <v>0</v>
      </c>
      <c r="DE1282" s="97">
        <f t="shared" si="210"/>
        <v>0</v>
      </c>
      <c r="DF1282" s="97">
        <f t="shared" si="211"/>
        <v>0</v>
      </c>
      <c r="DG1282" s="97">
        <f t="shared" si="212"/>
        <v>0</v>
      </c>
      <c r="DH1282" s="97">
        <f t="shared" si="212"/>
        <v>0</v>
      </c>
      <c r="DI1282" s="97">
        <f t="shared" si="212"/>
        <v>0</v>
      </c>
      <c r="DJ1282" s="97">
        <f t="shared" si="213"/>
        <v>0</v>
      </c>
      <c r="DK1282" s="97">
        <f t="shared" si="213"/>
        <v>0</v>
      </c>
      <c r="DL1282" s="97">
        <f t="shared" si="213"/>
        <v>0</v>
      </c>
      <c r="DM1282" s="102"/>
      <c r="DN1282" s="102"/>
      <c r="DO1282" s="102"/>
      <c r="DP1282" s="97">
        <f t="shared" si="214"/>
        <v>0</v>
      </c>
      <c r="DQ1282" s="97">
        <f t="shared" si="215"/>
        <v>0</v>
      </c>
      <c r="DR1282" s="97">
        <f t="shared" si="216"/>
        <v>0</v>
      </c>
      <c r="DS1282" s="97">
        <f t="shared" si="217"/>
        <v>0</v>
      </c>
      <c r="DT1282" s="97">
        <f t="shared" si="218"/>
        <v>0</v>
      </c>
      <c r="DU1282" s="97">
        <f t="shared" si="219"/>
        <v>0</v>
      </c>
      <c r="DV1282" s="97">
        <f t="shared" si="220"/>
        <v>0</v>
      </c>
      <c r="DW1282" s="97">
        <f t="shared" si="221"/>
        <v>0</v>
      </c>
      <c r="DX1282" s="97">
        <f t="shared" si="222"/>
        <v>0</v>
      </c>
      <c r="DY1282" s="97">
        <f t="shared" si="223"/>
        <v>0</v>
      </c>
      <c r="DZ1282" s="97">
        <f t="shared" si="224"/>
        <v>0</v>
      </c>
      <c r="EA1282" s="97">
        <f t="shared" si="225"/>
        <v>0</v>
      </c>
      <c r="EB1282" s="97">
        <f t="shared" si="226"/>
        <v>0</v>
      </c>
      <c r="EC1282" s="97">
        <f t="shared" si="226"/>
        <v>0</v>
      </c>
      <c r="ED1282" s="97">
        <f t="shared" si="226"/>
        <v>0</v>
      </c>
      <c r="EE1282" s="97">
        <f t="shared" si="227"/>
        <v>0</v>
      </c>
      <c r="EF1282" s="97">
        <f t="shared" si="227"/>
        <v>0</v>
      </c>
      <c r="EG1282" s="97">
        <f t="shared" si="227"/>
        <v>0</v>
      </c>
      <c r="EH1282" s="102"/>
      <c r="EI1282" s="102"/>
      <c r="EJ1282" s="102"/>
      <c r="EK1282" s="97">
        <f t="shared" si="228"/>
        <v>0</v>
      </c>
      <c r="EL1282" s="97">
        <f t="shared" si="229"/>
        <v>0</v>
      </c>
      <c r="EM1282" s="97">
        <f t="shared" si="230"/>
        <v>0</v>
      </c>
      <c r="EN1282" s="97">
        <f t="shared" si="231"/>
        <v>0</v>
      </c>
      <c r="EO1282" s="97">
        <f t="shared" si="232"/>
        <v>0</v>
      </c>
      <c r="EP1282" s="97">
        <f t="shared" si="233"/>
        <v>0</v>
      </c>
      <c r="EQ1282" s="97">
        <f t="shared" si="234"/>
        <v>0</v>
      </c>
      <c r="ER1282" s="97">
        <f t="shared" si="235"/>
        <v>0</v>
      </c>
      <c r="ES1282" s="97">
        <f t="shared" si="236"/>
        <v>0</v>
      </c>
      <c r="ET1282" s="97">
        <f t="shared" si="237"/>
        <v>0</v>
      </c>
      <c r="EU1282" s="97">
        <f t="shared" si="238"/>
        <v>0</v>
      </c>
      <c r="EV1282" s="97">
        <f t="shared" si="239"/>
        <v>0</v>
      </c>
      <c r="EW1282" s="97">
        <f t="shared" si="240"/>
        <v>0</v>
      </c>
      <c r="EX1282" s="97">
        <f t="shared" si="240"/>
        <v>0</v>
      </c>
      <c r="EY1282" s="97">
        <f t="shared" si="240"/>
        <v>0</v>
      </c>
      <c r="EZ1282" s="97">
        <f t="shared" si="241"/>
        <v>0</v>
      </c>
      <c r="FA1282" s="97">
        <f t="shared" si="241"/>
        <v>0</v>
      </c>
      <c r="FB1282" s="97">
        <f t="shared" si="241"/>
        <v>0</v>
      </c>
      <c r="FC1282" s="102"/>
      <c r="FD1282" s="102"/>
      <c r="FE1282" s="102"/>
      <c r="FF1282" s="97">
        <f t="shared" si="242"/>
        <v>0</v>
      </c>
      <c r="FG1282" s="97">
        <f t="shared" si="243"/>
        <v>0</v>
      </c>
      <c r="FH1282" s="97">
        <f t="shared" si="244"/>
        <v>0</v>
      </c>
      <c r="FI1282" s="97">
        <f t="shared" si="245"/>
        <v>0</v>
      </c>
      <c r="FJ1282" s="97">
        <f t="shared" si="246"/>
        <v>0</v>
      </c>
      <c r="FK1282" s="97">
        <f t="shared" si="247"/>
        <v>0</v>
      </c>
      <c r="FL1282" s="97">
        <f t="shared" si="248"/>
        <v>0</v>
      </c>
      <c r="FM1282" s="97">
        <f t="shared" si="249"/>
        <v>0</v>
      </c>
      <c r="FN1282" s="97">
        <f t="shared" si="250"/>
        <v>0</v>
      </c>
      <c r="FO1282" s="97">
        <f t="shared" si="251"/>
        <v>0</v>
      </c>
      <c r="FP1282" s="97">
        <f t="shared" si="252"/>
        <v>0</v>
      </c>
      <c r="FQ1282" s="97">
        <f t="shared" si="253"/>
        <v>0</v>
      </c>
      <c r="FR1282" s="97">
        <f t="shared" si="254"/>
        <v>0</v>
      </c>
      <c r="FS1282" s="97">
        <f t="shared" si="254"/>
        <v>0</v>
      </c>
      <c r="FT1282" s="97">
        <f t="shared" si="254"/>
        <v>0</v>
      </c>
      <c r="FU1282" s="97">
        <f t="shared" si="255"/>
        <v>0</v>
      </c>
      <c r="FV1282" s="97">
        <f t="shared" si="255"/>
        <v>0</v>
      </c>
      <c r="FW1282" s="97">
        <f t="shared" si="255"/>
        <v>0</v>
      </c>
      <c r="FX1282" s="102"/>
      <c r="FY1282" s="102"/>
      <c r="FZ1282" s="102"/>
      <c r="GA1282" s="97">
        <f t="shared" si="256"/>
        <v>0</v>
      </c>
      <c r="GB1282" s="97">
        <f t="shared" si="257"/>
        <v>0</v>
      </c>
      <c r="GC1282" s="97">
        <f t="shared" si="258"/>
        <v>0</v>
      </c>
      <c r="GD1282" s="97">
        <f t="shared" si="259"/>
        <v>0</v>
      </c>
      <c r="GE1282" s="97">
        <f t="shared" si="260"/>
        <v>0</v>
      </c>
      <c r="GF1282" s="97">
        <f t="shared" si="261"/>
        <v>0</v>
      </c>
      <c r="GG1282" s="97">
        <f t="shared" si="262"/>
        <v>0</v>
      </c>
      <c r="GH1282" s="97">
        <f t="shared" si="263"/>
        <v>0</v>
      </c>
      <c r="GI1282" s="97">
        <f t="shared" si="264"/>
        <v>0</v>
      </c>
      <c r="GJ1282" s="97">
        <f t="shared" si="265"/>
        <v>0</v>
      </c>
      <c r="GK1282" s="97">
        <f t="shared" si="266"/>
        <v>0</v>
      </c>
      <c r="GL1282" s="97">
        <f t="shared" si="267"/>
        <v>0</v>
      </c>
      <c r="GM1282" s="97">
        <f t="shared" si="268"/>
        <v>0</v>
      </c>
      <c r="GN1282" s="97">
        <f t="shared" si="268"/>
        <v>0</v>
      </c>
      <c r="GO1282" s="97">
        <f t="shared" si="268"/>
        <v>0</v>
      </c>
      <c r="GP1282" s="97">
        <f t="shared" si="269"/>
        <v>0</v>
      </c>
      <c r="GQ1282" s="97">
        <f t="shared" si="269"/>
        <v>0</v>
      </c>
      <c r="GR1282" s="97">
        <f t="shared" si="269"/>
        <v>0</v>
      </c>
      <c r="GS1282" s="102"/>
      <c r="GT1282" s="102"/>
      <c r="GU1282" s="102"/>
      <c r="GV1282" s="97">
        <f t="shared" si="270"/>
        <v>0</v>
      </c>
      <c r="GW1282" s="97">
        <f t="shared" si="271"/>
        <v>0</v>
      </c>
      <c r="GX1282" s="97">
        <f t="shared" si="272"/>
        <v>0</v>
      </c>
      <c r="GY1282" s="97">
        <f t="shared" si="273"/>
        <v>0</v>
      </c>
      <c r="GZ1282" s="97">
        <f t="shared" si="274"/>
        <v>0</v>
      </c>
      <c r="HA1282" s="97">
        <f t="shared" si="275"/>
        <v>0</v>
      </c>
      <c r="HB1282" s="97">
        <f t="shared" si="276"/>
        <v>0</v>
      </c>
      <c r="HC1282" s="97">
        <f t="shared" si="277"/>
        <v>0</v>
      </c>
      <c r="HD1282" s="97">
        <f t="shared" si="278"/>
        <v>0</v>
      </c>
      <c r="HE1282" s="97">
        <f t="shared" si="279"/>
        <v>0</v>
      </c>
      <c r="HF1282" s="97">
        <f t="shared" si="280"/>
        <v>0</v>
      </c>
      <c r="HG1282" s="97">
        <f t="shared" si="281"/>
        <v>0</v>
      </c>
      <c r="HH1282" s="97">
        <f t="shared" si="282"/>
        <v>0</v>
      </c>
      <c r="HI1282" s="97">
        <f t="shared" si="282"/>
        <v>0</v>
      </c>
      <c r="HJ1282" s="97">
        <f t="shared" si="282"/>
        <v>0</v>
      </c>
      <c r="HK1282" s="97">
        <f t="shared" si="283"/>
        <v>0</v>
      </c>
      <c r="HL1282" s="97">
        <f t="shared" si="283"/>
        <v>0</v>
      </c>
      <c r="HM1282" s="97">
        <f t="shared" si="283"/>
        <v>0</v>
      </c>
      <c r="HN1282" s="102"/>
      <c r="HO1282" s="102"/>
      <c r="HP1282" s="102"/>
      <c r="HQ1282" s="97">
        <f t="shared" si="284"/>
        <v>0</v>
      </c>
      <c r="HR1282" s="97">
        <f t="shared" si="285"/>
        <v>0</v>
      </c>
      <c r="HS1282" s="97">
        <f t="shared" si="286"/>
        <v>0</v>
      </c>
      <c r="HT1282" s="97">
        <f t="shared" si="287"/>
        <v>0</v>
      </c>
      <c r="HU1282" s="97">
        <f t="shared" si="288"/>
        <v>0</v>
      </c>
      <c r="HV1282" s="97">
        <f t="shared" si="289"/>
        <v>0</v>
      </c>
      <c r="HW1282" s="97">
        <f t="shared" si="290"/>
        <v>0</v>
      </c>
      <c r="HX1282" s="97">
        <f t="shared" si="291"/>
        <v>0</v>
      </c>
      <c r="HY1282" s="97">
        <f t="shared" si="292"/>
        <v>0</v>
      </c>
      <c r="HZ1282" s="97">
        <f t="shared" si="293"/>
        <v>0</v>
      </c>
      <c r="IA1282" s="97">
        <f t="shared" si="294"/>
        <v>0</v>
      </c>
      <c r="IB1282" s="97">
        <f t="shared" si="295"/>
        <v>0</v>
      </c>
      <c r="IC1282" s="97">
        <f t="shared" si="296"/>
        <v>0</v>
      </c>
      <c r="ID1282" s="97">
        <f t="shared" si="296"/>
        <v>0</v>
      </c>
      <c r="IE1282" s="97">
        <f t="shared" si="296"/>
        <v>0</v>
      </c>
      <c r="IF1282" s="97">
        <f t="shared" si="297"/>
        <v>0</v>
      </c>
      <c r="IG1282" s="97">
        <f t="shared" si="297"/>
        <v>0</v>
      </c>
      <c r="IH1282" s="97">
        <f t="shared" si="297"/>
        <v>0</v>
      </c>
      <c r="II1282" s="102"/>
      <c r="IJ1282" s="102"/>
      <c r="IK1282" s="102"/>
      <c r="IL1282" s="97">
        <f t="shared" si="298"/>
        <v>0</v>
      </c>
      <c r="IM1282" s="97">
        <f t="shared" si="299"/>
        <v>0</v>
      </c>
      <c r="IN1282" s="97">
        <f t="shared" si="300"/>
        <v>0</v>
      </c>
      <c r="IO1282" s="97">
        <f t="shared" si="301"/>
        <v>0</v>
      </c>
      <c r="IP1282" s="97">
        <f t="shared" si="302"/>
        <v>0</v>
      </c>
      <c r="IQ1282" s="97">
        <f t="shared" si="303"/>
        <v>0</v>
      </c>
      <c r="IR1282" s="97">
        <f t="shared" si="304"/>
        <v>0</v>
      </c>
      <c r="IS1282" s="97">
        <f t="shared" si="305"/>
        <v>0</v>
      </c>
      <c r="IT1282" s="97">
        <f t="shared" si="306"/>
        <v>0</v>
      </c>
      <c r="IU1282" s="97">
        <f t="shared" si="307"/>
        <v>0</v>
      </c>
      <c r="IV1282" s="97">
        <f t="shared" si="308"/>
        <v>0</v>
      </c>
      <c r="IW1282" s="97">
        <f t="shared" si="309"/>
        <v>0</v>
      </c>
      <c r="IX1282" s="97">
        <f t="shared" si="310"/>
        <v>0</v>
      </c>
      <c r="IY1282" s="97">
        <f t="shared" si="310"/>
        <v>0</v>
      </c>
      <c r="IZ1282" s="97">
        <f t="shared" si="310"/>
        <v>0</v>
      </c>
      <c r="JA1282" s="97">
        <f t="shared" si="311"/>
        <v>0</v>
      </c>
      <c r="JB1282" s="97">
        <f t="shared" si="311"/>
        <v>0</v>
      </c>
      <c r="JC1282" s="97">
        <f t="shared" si="311"/>
        <v>0</v>
      </c>
      <c r="JD1282" s="102"/>
      <c r="JE1282" s="102"/>
      <c r="JF1282" s="102"/>
      <c r="JG1282" s="97">
        <f t="shared" si="312"/>
        <v>0</v>
      </c>
      <c r="JH1282" s="97">
        <f t="shared" si="313"/>
        <v>0</v>
      </c>
      <c r="JI1282" s="97">
        <f t="shared" si="314"/>
        <v>0</v>
      </c>
      <c r="JJ1282" s="97">
        <f t="shared" si="315"/>
        <v>0</v>
      </c>
      <c r="JK1282" s="97">
        <f t="shared" si="316"/>
        <v>0</v>
      </c>
      <c r="JL1282" s="97">
        <f t="shared" si="317"/>
        <v>0</v>
      </c>
      <c r="JM1282" s="97">
        <f t="shared" si="318"/>
        <v>0</v>
      </c>
      <c r="JN1282" s="97">
        <f t="shared" si="319"/>
        <v>0</v>
      </c>
      <c r="JO1282" s="97">
        <f t="shared" si="320"/>
        <v>0</v>
      </c>
      <c r="JP1282" s="97">
        <f t="shared" si="321"/>
        <v>0</v>
      </c>
      <c r="JQ1282" s="97">
        <f t="shared" si="322"/>
        <v>0</v>
      </c>
      <c r="JR1282" s="97">
        <f t="shared" si="323"/>
        <v>0</v>
      </c>
      <c r="JS1282" s="97">
        <f t="shared" si="324"/>
        <v>0</v>
      </c>
      <c r="JT1282" s="97">
        <f t="shared" si="324"/>
        <v>0</v>
      </c>
      <c r="JU1282" s="97">
        <f t="shared" si="324"/>
        <v>0</v>
      </c>
      <c r="JV1282" s="97">
        <f t="shared" si="325"/>
        <v>0</v>
      </c>
      <c r="JW1282" s="97">
        <f t="shared" si="325"/>
        <v>0</v>
      </c>
      <c r="JX1282" s="97">
        <f t="shared" si="325"/>
        <v>0</v>
      </c>
      <c r="JY1282" s="102"/>
      <c r="JZ1282" s="102"/>
      <c r="KA1282" s="102"/>
      <c r="KB1282" s="97">
        <f t="shared" si="326"/>
        <v>0</v>
      </c>
      <c r="KC1282" s="97">
        <f t="shared" si="327"/>
        <v>0</v>
      </c>
      <c r="KD1282" s="97">
        <f t="shared" si="328"/>
        <v>0</v>
      </c>
      <c r="KE1282" s="97">
        <f t="shared" si="329"/>
        <v>0</v>
      </c>
      <c r="KF1282" s="97">
        <f t="shared" si="330"/>
        <v>0</v>
      </c>
      <c r="KG1282" s="97">
        <f t="shared" si="331"/>
        <v>0</v>
      </c>
      <c r="KH1282" s="97">
        <f t="shared" si="332"/>
        <v>0</v>
      </c>
      <c r="KI1282" s="97">
        <f t="shared" si="333"/>
        <v>0</v>
      </c>
      <c r="KJ1282" s="97">
        <f t="shared" si="334"/>
        <v>0</v>
      </c>
      <c r="KK1282" s="97">
        <f t="shared" si="335"/>
        <v>0</v>
      </c>
      <c r="KL1282" s="97">
        <f t="shared" si="336"/>
        <v>0</v>
      </c>
      <c r="KM1282" s="97">
        <f t="shared" si="337"/>
        <v>0</v>
      </c>
      <c r="KN1282" s="97">
        <f t="shared" si="338"/>
        <v>0</v>
      </c>
      <c r="KO1282" s="97">
        <f t="shared" si="338"/>
        <v>0</v>
      </c>
      <c r="KP1282" s="97">
        <f t="shared" si="338"/>
        <v>0</v>
      </c>
      <c r="KQ1282" s="97">
        <f t="shared" si="339"/>
        <v>0</v>
      </c>
      <c r="KR1282" s="97">
        <f t="shared" si="339"/>
        <v>0</v>
      </c>
      <c r="KS1282" s="97">
        <f t="shared" si="339"/>
        <v>0</v>
      </c>
      <c r="KT1282" s="102"/>
      <c r="KU1282" s="102"/>
      <c r="KV1282" s="102"/>
      <c r="KW1282" s="97">
        <f t="shared" si="340"/>
        <v>0</v>
      </c>
      <c r="KX1282" s="97">
        <f t="shared" si="341"/>
        <v>0</v>
      </c>
      <c r="KY1282" s="97">
        <f t="shared" si="342"/>
        <v>0</v>
      </c>
      <c r="KZ1282" s="97">
        <f t="shared" si="343"/>
        <v>0</v>
      </c>
      <c r="LA1282" s="97">
        <f t="shared" si="344"/>
        <v>0</v>
      </c>
      <c r="LB1282" s="97">
        <f t="shared" si="345"/>
        <v>0</v>
      </c>
      <c r="LC1282" s="97">
        <f t="shared" si="346"/>
        <v>0</v>
      </c>
      <c r="LD1282" s="97">
        <f t="shared" si="347"/>
        <v>0</v>
      </c>
      <c r="LE1282" s="97">
        <f t="shared" si="348"/>
        <v>0</v>
      </c>
      <c r="LF1282" s="97">
        <f t="shared" si="349"/>
        <v>0</v>
      </c>
      <c r="LG1282" s="97">
        <f t="shared" si="350"/>
        <v>0</v>
      </c>
      <c r="LH1282" s="97">
        <f t="shared" si="351"/>
        <v>0</v>
      </c>
      <c r="LI1282" s="97">
        <f t="shared" si="352"/>
        <v>0</v>
      </c>
      <c r="LJ1282" s="97">
        <f t="shared" si="352"/>
        <v>0</v>
      </c>
      <c r="LK1282" s="97">
        <f t="shared" si="352"/>
        <v>0</v>
      </c>
      <c r="LL1282" s="97">
        <f t="shared" si="353"/>
        <v>0</v>
      </c>
      <c r="LM1282" s="97">
        <f t="shared" si="353"/>
        <v>0</v>
      </c>
      <c r="LN1282" s="97">
        <f t="shared" si="353"/>
        <v>0</v>
      </c>
      <c r="LO1282" s="102"/>
      <c r="LP1282" s="102"/>
      <c r="LQ1282" s="102"/>
      <c r="LR1282" s="97">
        <f t="shared" si="354"/>
        <v>0</v>
      </c>
      <c r="LS1282" s="97">
        <f t="shared" si="355"/>
        <v>0</v>
      </c>
      <c r="LT1282" s="97">
        <f t="shared" si="356"/>
        <v>0</v>
      </c>
      <c r="LU1282" s="97">
        <f t="shared" si="357"/>
        <v>0</v>
      </c>
      <c r="LV1282" s="97">
        <f t="shared" si="358"/>
        <v>0</v>
      </c>
      <c r="LW1282" s="97">
        <f t="shared" si="359"/>
        <v>0</v>
      </c>
      <c r="LX1282" s="97">
        <f t="shared" si="360"/>
        <v>0</v>
      </c>
      <c r="LY1282" s="97">
        <f t="shared" si="361"/>
        <v>0</v>
      </c>
      <c r="LZ1282" s="97">
        <f t="shared" si="362"/>
        <v>0</v>
      </c>
      <c r="MA1282" s="97">
        <f t="shared" si="363"/>
        <v>0</v>
      </c>
      <c r="MB1282" s="97">
        <f t="shared" si="364"/>
        <v>0</v>
      </c>
      <c r="MC1282" s="97">
        <f t="shared" si="365"/>
        <v>0</v>
      </c>
      <c r="MD1282" s="97">
        <f t="shared" si="366"/>
        <v>0</v>
      </c>
      <c r="ME1282" s="97">
        <f t="shared" si="366"/>
        <v>0</v>
      </c>
      <c r="MF1282" s="97">
        <f t="shared" si="366"/>
        <v>0</v>
      </c>
      <c r="MG1282" s="97">
        <f t="shared" si="367"/>
        <v>0</v>
      </c>
      <c r="MH1282" s="97">
        <f t="shared" si="367"/>
        <v>0</v>
      </c>
      <c r="MI1282" s="97">
        <f t="shared" si="367"/>
        <v>0</v>
      </c>
      <c r="MJ1282" s="102"/>
      <c r="MK1282" s="102"/>
      <c r="ML1282" s="102"/>
      <c r="MM1282" s="97">
        <f t="shared" si="368"/>
        <v>0</v>
      </c>
      <c r="MN1282" s="97">
        <f t="shared" si="369"/>
        <v>0</v>
      </c>
      <c r="MO1282" s="97">
        <f t="shared" si="370"/>
        <v>0</v>
      </c>
      <c r="MP1282" s="97">
        <f t="shared" si="371"/>
        <v>0</v>
      </c>
      <c r="MQ1282" s="97">
        <f t="shared" si="372"/>
        <v>0</v>
      </c>
      <c r="MR1282" s="97">
        <f t="shared" si="373"/>
        <v>0</v>
      </c>
      <c r="MS1282" s="97">
        <f t="shared" si="374"/>
        <v>0</v>
      </c>
      <c r="MT1282" s="97">
        <f t="shared" si="375"/>
        <v>0</v>
      </c>
      <c r="MU1282" s="97">
        <f t="shared" si="376"/>
        <v>0</v>
      </c>
      <c r="MV1282" s="97">
        <f t="shared" si="377"/>
        <v>0</v>
      </c>
      <c r="MW1282" s="97">
        <f t="shared" si="378"/>
        <v>0</v>
      </c>
      <c r="MX1282" s="97">
        <f t="shared" si="379"/>
        <v>0</v>
      </c>
      <c r="MY1282" s="97">
        <f t="shared" si="380"/>
        <v>0</v>
      </c>
      <c r="MZ1282" s="97">
        <f t="shared" si="380"/>
        <v>0</v>
      </c>
      <c r="NA1282" s="97">
        <f t="shared" si="380"/>
        <v>0</v>
      </c>
      <c r="NB1282" s="97">
        <f t="shared" si="381"/>
        <v>0</v>
      </c>
      <c r="NC1282" s="97">
        <f t="shared" si="381"/>
        <v>0</v>
      </c>
      <c r="ND1282" s="97">
        <f t="shared" si="381"/>
        <v>0</v>
      </c>
      <c r="NE1282" s="102"/>
      <c r="NF1282" s="102"/>
      <c r="NG1282" s="102"/>
      <c r="NH1282" s="97">
        <f t="shared" si="382"/>
        <v>0</v>
      </c>
      <c r="NI1282" s="97">
        <f t="shared" si="383"/>
        <v>0</v>
      </c>
      <c r="NJ1282" s="97">
        <f t="shared" si="384"/>
        <v>0</v>
      </c>
      <c r="NK1282" s="97">
        <f t="shared" si="385"/>
        <v>0</v>
      </c>
      <c r="NL1282" s="97">
        <f t="shared" si="386"/>
        <v>0</v>
      </c>
      <c r="NM1282" s="97">
        <f t="shared" si="387"/>
        <v>0</v>
      </c>
      <c r="NN1282" s="97">
        <f t="shared" si="388"/>
        <v>0</v>
      </c>
      <c r="NO1282" s="97">
        <f t="shared" si="389"/>
        <v>0</v>
      </c>
      <c r="NP1282" s="97">
        <f t="shared" si="390"/>
        <v>0</v>
      </c>
      <c r="NQ1282" s="97">
        <f t="shared" si="391"/>
        <v>0</v>
      </c>
      <c r="NR1282" s="97">
        <f t="shared" si="392"/>
        <v>0</v>
      </c>
      <c r="NS1282" s="97">
        <f t="shared" si="393"/>
        <v>0</v>
      </c>
      <c r="NT1282" s="97">
        <f t="shared" si="394"/>
        <v>0</v>
      </c>
      <c r="NU1282" s="97">
        <f t="shared" si="394"/>
        <v>0</v>
      </c>
      <c r="NV1282" s="97">
        <f t="shared" si="394"/>
        <v>0</v>
      </c>
      <c r="NW1282" s="97">
        <f t="shared" si="395"/>
        <v>0</v>
      </c>
      <c r="NX1282" s="97">
        <f t="shared" si="395"/>
        <v>0</v>
      </c>
      <c r="NY1282" s="97">
        <f t="shared" si="395"/>
        <v>0</v>
      </c>
      <c r="NZ1282" s="102"/>
      <c r="OA1282" s="102"/>
      <c r="OB1282" s="102"/>
      <c r="OC1282" s="97">
        <f t="shared" si="396"/>
        <v>0</v>
      </c>
      <c r="OD1282" s="97">
        <f t="shared" si="397"/>
        <v>0</v>
      </c>
      <c r="OE1282" s="97">
        <f t="shared" si="398"/>
        <v>0</v>
      </c>
      <c r="OF1282" s="97">
        <f t="shared" si="399"/>
        <v>0</v>
      </c>
      <c r="OG1282" s="97">
        <f t="shared" si="400"/>
        <v>0</v>
      </c>
      <c r="OH1282" s="97">
        <f t="shared" si="401"/>
        <v>0</v>
      </c>
      <c r="OI1282" s="97">
        <f t="shared" si="402"/>
        <v>0</v>
      </c>
      <c r="OJ1282" s="97">
        <f t="shared" si="403"/>
        <v>0</v>
      </c>
      <c r="OK1282" s="97">
        <f t="shared" si="404"/>
        <v>0</v>
      </c>
      <c r="OL1282" s="97">
        <f t="shared" si="405"/>
        <v>0</v>
      </c>
      <c r="OM1282" s="97">
        <f t="shared" si="406"/>
        <v>0</v>
      </c>
      <c r="ON1282" s="97">
        <f t="shared" si="407"/>
        <v>0</v>
      </c>
      <c r="OO1282" s="97">
        <f t="shared" si="408"/>
        <v>0</v>
      </c>
      <c r="OP1282" s="97">
        <f t="shared" si="408"/>
        <v>0</v>
      </c>
      <c r="OQ1282" s="97">
        <f t="shared" si="408"/>
        <v>0</v>
      </c>
      <c r="OR1282" s="97">
        <f t="shared" si="409"/>
        <v>0</v>
      </c>
      <c r="OS1282" s="97">
        <f t="shared" si="409"/>
        <v>0</v>
      </c>
      <c r="OT1282" s="97">
        <f t="shared" si="409"/>
        <v>0</v>
      </c>
      <c r="OU1282" s="102"/>
      <c r="OV1282" s="102"/>
      <c r="OW1282" s="102"/>
      <c r="OX1282" s="97">
        <f t="shared" si="410"/>
        <v>0</v>
      </c>
      <c r="OY1282" s="97">
        <f t="shared" si="411"/>
        <v>0</v>
      </c>
      <c r="OZ1282" s="97">
        <f t="shared" si="412"/>
        <v>0</v>
      </c>
      <c r="PA1282" s="97">
        <f t="shared" si="413"/>
        <v>0</v>
      </c>
      <c r="PB1282" s="97">
        <f t="shared" si="414"/>
        <v>0</v>
      </c>
      <c r="PC1282" s="97">
        <f t="shared" si="415"/>
        <v>0</v>
      </c>
      <c r="PD1282" s="97">
        <f t="shared" si="416"/>
        <v>0</v>
      </c>
      <c r="PE1282" s="97">
        <f t="shared" si="417"/>
        <v>0</v>
      </c>
      <c r="PF1282" s="97">
        <f t="shared" si="418"/>
        <v>0</v>
      </c>
      <c r="PG1282" s="97">
        <f t="shared" si="419"/>
        <v>0</v>
      </c>
      <c r="PH1282" s="97">
        <f t="shared" si="420"/>
        <v>0</v>
      </c>
      <c r="PI1282" s="97">
        <f t="shared" si="421"/>
        <v>0</v>
      </c>
      <c r="PJ1282" s="97">
        <f t="shared" si="422"/>
        <v>0</v>
      </c>
      <c r="PK1282" s="97">
        <f t="shared" si="422"/>
        <v>0</v>
      </c>
      <c r="PL1282" s="97">
        <f t="shared" si="422"/>
        <v>0</v>
      </c>
      <c r="PM1282" s="97">
        <f t="shared" si="423"/>
        <v>0</v>
      </c>
      <c r="PN1282" s="97">
        <f t="shared" si="423"/>
        <v>0</v>
      </c>
      <c r="PO1282" s="97">
        <f t="shared" si="423"/>
        <v>0</v>
      </c>
      <c r="PP1282" s="102"/>
      <c r="PQ1282" s="102"/>
      <c r="PR1282" s="102"/>
      <c r="PS1282" s="97">
        <f t="shared" si="424"/>
        <v>0</v>
      </c>
      <c r="PT1282" s="97">
        <f t="shared" si="425"/>
        <v>0</v>
      </c>
      <c r="PU1282" s="97">
        <f t="shared" si="426"/>
        <v>0</v>
      </c>
      <c r="PV1282" s="97">
        <f t="shared" si="427"/>
        <v>0</v>
      </c>
      <c r="PW1282" s="97">
        <f t="shared" si="428"/>
        <v>0</v>
      </c>
      <c r="PX1282" s="97">
        <f t="shared" si="429"/>
        <v>0</v>
      </c>
      <c r="PY1282" s="97">
        <f t="shared" si="430"/>
        <v>0</v>
      </c>
      <c r="PZ1282" s="97">
        <f t="shared" si="431"/>
        <v>0</v>
      </c>
      <c r="QA1282" s="97">
        <f t="shared" si="432"/>
        <v>0</v>
      </c>
      <c r="QB1282" s="97">
        <f t="shared" si="433"/>
        <v>0</v>
      </c>
      <c r="QC1282" s="97">
        <f t="shared" si="434"/>
        <v>0</v>
      </c>
      <c r="QD1282" s="97">
        <f t="shared" si="435"/>
        <v>0</v>
      </c>
      <c r="QE1282" s="97">
        <f t="shared" si="436"/>
        <v>0</v>
      </c>
      <c r="QF1282" s="97">
        <f t="shared" si="436"/>
        <v>0</v>
      </c>
      <c r="QG1282" s="97">
        <f t="shared" si="436"/>
        <v>0</v>
      </c>
      <c r="QH1282" s="97">
        <f t="shared" si="437"/>
        <v>0</v>
      </c>
      <c r="QI1282" s="97">
        <f t="shared" si="437"/>
        <v>0</v>
      </c>
      <c r="QJ1282" s="97">
        <f t="shared" si="437"/>
        <v>0</v>
      </c>
      <c r="QK1282" s="102"/>
      <c r="QL1282" s="102"/>
      <c r="QM1282" s="102"/>
      <c r="QN1282" s="97">
        <f t="shared" si="438"/>
        <v>0</v>
      </c>
      <c r="QO1282" s="97">
        <f t="shared" si="439"/>
        <v>0</v>
      </c>
      <c r="QP1282" s="97">
        <f t="shared" si="440"/>
        <v>0</v>
      </c>
      <c r="QQ1282" s="97">
        <f t="shared" si="441"/>
        <v>0</v>
      </c>
      <c r="QR1282" s="97">
        <f t="shared" si="442"/>
        <v>0</v>
      </c>
      <c r="QS1282" s="97">
        <f t="shared" si="443"/>
        <v>0</v>
      </c>
      <c r="QT1282" s="97">
        <f t="shared" si="444"/>
        <v>0</v>
      </c>
      <c r="QU1282" s="97">
        <f t="shared" si="445"/>
        <v>0</v>
      </c>
      <c r="QV1282" s="97">
        <f t="shared" si="446"/>
        <v>0</v>
      </c>
      <c r="QW1282" s="97">
        <f t="shared" si="447"/>
        <v>0</v>
      </c>
      <c r="QX1282" s="97">
        <f t="shared" si="448"/>
        <v>0</v>
      </c>
      <c r="QY1282" s="97">
        <f t="shared" si="449"/>
        <v>0</v>
      </c>
      <c r="QZ1282" s="97">
        <f t="shared" si="450"/>
        <v>0</v>
      </c>
      <c r="RA1282" s="97">
        <f t="shared" si="450"/>
        <v>0</v>
      </c>
      <c r="RB1282" s="97">
        <f t="shared" si="450"/>
        <v>0</v>
      </c>
      <c r="RC1282" s="97">
        <f t="shared" si="451"/>
        <v>0</v>
      </c>
      <c r="RD1282" s="97">
        <f t="shared" si="451"/>
        <v>0</v>
      </c>
      <c r="RE1282" s="97">
        <f t="shared" si="451"/>
        <v>0</v>
      </c>
      <c r="RF1282" s="102"/>
      <c r="RG1282" s="102"/>
      <c r="RH1282" s="102"/>
      <c r="RI1282" s="97">
        <f t="shared" si="452"/>
        <v>0</v>
      </c>
      <c r="RJ1282" s="97">
        <f t="shared" si="453"/>
        <v>0</v>
      </c>
      <c r="RK1282" s="97">
        <f t="shared" si="454"/>
        <v>0</v>
      </c>
      <c r="RL1282" s="97">
        <f t="shared" si="455"/>
        <v>0</v>
      </c>
      <c r="RM1282" s="97">
        <f t="shared" si="456"/>
        <v>0</v>
      </c>
      <c r="RN1282" s="97">
        <f t="shared" si="457"/>
        <v>0</v>
      </c>
      <c r="RO1282" s="97">
        <f t="shared" si="458"/>
        <v>0</v>
      </c>
      <c r="RP1282" s="97">
        <f t="shared" si="459"/>
        <v>0</v>
      </c>
      <c r="RQ1282" s="97">
        <f t="shared" si="460"/>
        <v>0</v>
      </c>
      <c r="RR1282" s="97">
        <f t="shared" si="461"/>
        <v>0</v>
      </c>
      <c r="RS1282" s="97">
        <f t="shared" si="462"/>
        <v>0</v>
      </c>
      <c r="RT1282" s="97">
        <f t="shared" si="463"/>
        <v>0</v>
      </c>
      <c r="RU1282" s="97">
        <f t="shared" si="464"/>
        <v>0</v>
      </c>
      <c r="RV1282" s="97">
        <f t="shared" si="464"/>
        <v>0</v>
      </c>
      <c r="RW1282" s="97">
        <f t="shared" si="464"/>
        <v>0</v>
      </c>
      <c r="RX1282" s="97">
        <f t="shared" si="465"/>
        <v>0</v>
      </c>
      <c r="RY1282" s="97">
        <f t="shared" si="465"/>
        <v>0</v>
      </c>
      <c r="RZ1282" s="97">
        <f t="shared" si="465"/>
        <v>0</v>
      </c>
      <c r="SA1282" s="102"/>
      <c r="SB1282" s="102"/>
      <c r="SC1282" s="102"/>
      <c r="SD1282" s="97">
        <f t="shared" si="466"/>
        <v>0</v>
      </c>
      <c r="SE1282" s="97">
        <f t="shared" si="467"/>
        <v>0</v>
      </c>
      <c r="SF1282" s="97">
        <f t="shared" si="468"/>
        <v>0</v>
      </c>
      <c r="SG1282" s="97">
        <f t="shared" si="469"/>
        <v>0</v>
      </c>
      <c r="SH1282" s="97">
        <f t="shared" si="470"/>
        <v>0</v>
      </c>
      <c r="SI1282" s="97">
        <f t="shared" si="471"/>
        <v>0</v>
      </c>
      <c r="SJ1282" s="97">
        <f t="shared" si="472"/>
        <v>0</v>
      </c>
      <c r="SK1282" s="97">
        <f t="shared" si="473"/>
        <v>0</v>
      </c>
      <c r="SL1282" s="97">
        <f t="shared" si="474"/>
        <v>0</v>
      </c>
      <c r="SM1282" s="97">
        <f t="shared" si="475"/>
        <v>0</v>
      </c>
      <c r="SN1282" s="97">
        <f t="shared" si="476"/>
        <v>0</v>
      </c>
      <c r="SO1282" s="97">
        <f t="shared" si="477"/>
        <v>0</v>
      </c>
      <c r="SP1282" s="97">
        <f t="shared" si="478"/>
        <v>0</v>
      </c>
      <c r="SQ1282" s="97">
        <f t="shared" si="478"/>
        <v>0</v>
      </c>
      <c r="SR1282" s="97">
        <f t="shared" si="478"/>
        <v>0</v>
      </c>
      <c r="SS1282" s="97">
        <f t="shared" si="479"/>
        <v>0</v>
      </c>
      <c r="ST1282" s="97">
        <f t="shared" si="479"/>
        <v>0</v>
      </c>
      <c r="SU1282" s="97">
        <f t="shared" si="479"/>
        <v>0</v>
      </c>
      <c r="SV1282" s="102"/>
      <c r="SW1282" s="102"/>
      <c r="SX1282" s="102"/>
      <c r="SY1282" s="97">
        <f t="shared" si="480"/>
        <v>0</v>
      </c>
      <c r="SZ1282" s="97">
        <f t="shared" si="481"/>
        <v>0</v>
      </c>
      <c r="TA1282" s="97">
        <f t="shared" si="482"/>
        <v>0</v>
      </c>
      <c r="TB1282" s="97">
        <f t="shared" si="483"/>
        <v>0</v>
      </c>
      <c r="TC1282" s="97">
        <f t="shared" si="484"/>
        <v>0</v>
      </c>
      <c r="TD1282" s="97">
        <f t="shared" si="485"/>
        <v>0</v>
      </c>
      <c r="TE1282" s="97">
        <f t="shared" si="486"/>
        <v>0</v>
      </c>
      <c r="TF1282" s="97">
        <f t="shared" si="487"/>
        <v>0</v>
      </c>
      <c r="TG1282" s="97">
        <f t="shared" si="488"/>
        <v>0</v>
      </c>
      <c r="TH1282" s="97">
        <f t="shared" si="489"/>
        <v>0</v>
      </c>
      <c r="TI1282" s="97">
        <f t="shared" si="490"/>
        <v>0</v>
      </c>
      <c r="TJ1282" s="97">
        <f t="shared" si="491"/>
        <v>0</v>
      </c>
      <c r="TK1282" s="97">
        <f t="shared" si="492"/>
        <v>0</v>
      </c>
      <c r="TL1282" s="97">
        <f t="shared" si="492"/>
        <v>0</v>
      </c>
      <c r="TM1282" s="97">
        <f t="shared" si="492"/>
        <v>0</v>
      </c>
      <c r="TN1282" s="97">
        <f t="shared" si="493"/>
        <v>0</v>
      </c>
      <c r="TO1282" s="97">
        <f t="shared" si="493"/>
        <v>0</v>
      </c>
      <c r="TP1282" s="97">
        <f t="shared" si="493"/>
        <v>0</v>
      </c>
      <c r="TQ1282" s="102"/>
      <c r="TR1282" s="102"/>
      <c r="TS1282" s="102"/>
      <c r="TT1282" s="97">
        <f t="shared" si="494"/>
        <v>0</v>
      </c>
      <c r="TU1282" s="97">
        <f t="shared" si="495"/>
        <v>0</v>
      </c>
      <c r="TV1282" s="97">
        <f t="shared" si="496"/>
        <v>0</v>
      </c>
      <c r="TW1282" s="97">
        <f t="shared" si="497"/>
        <v>0</v>
      </c>
      <c r="TX1282" s="97">
        <f t="shared" si="498"/>
        <v>0</v>
      </c>
      <c r="TY1282" s="97">
        <f t="shared" si="499"/>
        <v>0</v>
      </c>
      <c r="TZ1282" s="97">
        <f t="shared" si="500"/>
        <v>0</v>
      </c>
      <c r="UA1282" s="97">
        <f t="shared" si="501"/>
        <v>0</v>
      </c>
      <c r="UB1282" s="97">
        <f t="shared" si="502"/>
        <v>0</v>
      </c>
      <c r="UC1282" s="97">
        <f t="shared" si="503"/>
        <v>0</v>
      </c>
      <c r="UD1282" s="97">
        <f t="shared" si="504"/>
        <v>0</v>
      </c>
      <c r="UE1282" s="97">
        <f t="shared" si="505"/>
        <v>0</v>
      </c>
      <c r="UF1282" s="97">
        <f t="shared" si="506"/>
        <v>0</v>
      </c>
      <c r="UG1282" s="97">
        <f t="shared" si="506"/>
        <v>0</v>
      </c>
      <c r="UH1282" s="97">
        <f t="shared" si="506"/>
        <v>0</v>
      </c>
      <c r="UI1282" s="97">
        <f t="shared" si="507"/>
        <v>0</v>
      </c>
      <c r="UJ1282" s="97">
        <f t="shared" si="507"/>
        <v>0</v>
      </c>
      <c r="UK1282" s="97">
        <f t="shared" si="507"/>
        <v>0</v>
      </c>
      <c r="UL1282" s="102">
        <v>36</v>
      </c>
      <c r="UM1282" s="102">
        <v>36</v>
      </c>
      <c r="UN1282" s="102">
        <v>36</v>
      </c>
      <c r="UO1282" s="97">
        <f t="shared" si="508"/>
        <v>2541276</v>
      </c>
      <c r="UP1282" s="97">
        <f t="shared" si="509"/>
        <v>2603340</v>
      </c>
      <c r="UQ1282" s="97">
        <f t="shared" si="510"/>
        <v>2686356</v>
      </c>
      <c r="UR1282" s="97">
        <f t="shared" si="511"/>
        <v>2540916</v>
      </c>
      <c r="US1282" s="97">
        <f t="shared" si="512"/>
        <v>2632464</v>
      </c>
      <c r="UT1282" s="97">
        <f t="shared" si="513"/>
        <v>2701152</v>
      </c>
      <c r="UU1282" s="97">
        <f t="shared" si="514"/>
        <v>50264.61</v>
      </c>
      <c r="UV1282" s="97">
        <f t="shared" si="515"/>
        <v>52799.51</v>
      </c>
      <c r="UW1282" s="97">
        <f t="shared" si="516"/>
        <v>54898.03</v>
      </c>
      <c r="UX1282" s="97">
        <f t="shared" si="517"/>
        <v>11994.84</v>
      </c>
      <c r="UY1282" s="97">
        <f t="shared" si="518"/>
        <v>12680.95</v>
      </c>
      <c r="UZ1282" s="97">
        <f t="shared" si="519"/>
        <v>13508.54</v>
      </c>
      <c r="VA1282" s="97">
        <f t="shared" si="520"/>
        <v>1809525.96</v>
      </c>
      <c r="VB1282" s="97">
        <f t="shared" si="520"/>
        <v>1900782.36</v>
      </c>
      <c r="VC1282" s="97">
        <f t="shared" si="520"/>
        <v>1976329.08</v>
      </c>
      <c r="VD1282" s="97">
        <f t="shared" si="521"/>
        <v>431814.24</v>
      </c>
      <c r="VE1282" s="97">
        <f t="shared" si="521"/>
        <v>456514.2</v>
      </c>
      <c r="VF1282" s="97">
        <f t="shared" si="521"/>
        <v>486307.44</v>
      </c>
      <c r="VG1282" s="102"/>
      <c r="VH1282" s="102"/>
      <c r="VI1282" s="102"/>
      <c r="VJ1282" s="97">
        <f t="shared" si="522"/>
        <v>0</v>
      </c>
      <c r="VK1282" s="97">
        <f t="shared" si="523"/>
        <v>0</v>
      </c>
      <c r="VL1282" s="97">
        <f t="shared" si="524"/>
        <v>0</v>
      </c>
      <c r="VM1282" s="97">
        <f t="shared" si="525"/>
        <v>0</v>
      </c>
      <c r="VN1282" s="97">
        <f t="shared" si="526"/>
        <v>0</v>
      </c>
      <c r="VO1282" s="97">
        <f t="shared" si="527"/>
        <v>0</v>
      </c>
      <c r="VP1282" s="97">
        <f t="shared" si="528"/>
        <v>0</v>
      </c>
      <c r="VQ1282" s="97">
        <f t="shared" si="529"/>
        <v>0</v>
      </c>
      <c r="VR1282" s="97">
        <f t="shared" si="530"/>
        <v>0</v>
      </c>
      <c r="VS1282" s="97">
        <f t="shared" si="531"/>
        <v>0</v>
      </c>
      <c r="VT1282" s="97">
        <f t="shared" si="532"/>
        <v>0</v>
      </c>
      <c r="VU1282" s="97">
        <f t="shared" si="533"/>
        <v>0</v>
      </c>
      <c r="VV1282" s="97">
        <f t="shared" si="534"/>
        <v>0</v>
      </c>
      <c r="VW1282" s="97">
        <f t="shared" si="534"/>
        <v>0</v>
      </c>
      <c r="VX1282" s="97">
        <f t="shared" si="534"/>
        <v>0</v>
      </c>
      <c r="VY1282" s="97">
        <f t="shared" si="535"/>
        <v>0</v>
      </c>
      <c r="VZ1282" s="97">
        <f t="shared" si="535"/>
        <v>0</v>
      </c>
      <c r="WA1282" s="97">
        <f t="shared" si="535"/>
        <v>0</v>
      </c>
      <c r="WB1282" s="102"/>
      <c r="WC1282" s="102"/>
      <c r="WD1282" s="102"/>
      <c r="WE1282" s="97">
        <f t="shared" si="536"/>
        <v>0</v>
      </c>
      <c r="WF1282" s="97">
        <f t="shared" si="537"/>
        <v>0</v>
      </c>
      <c r="WG1282" s="97">
        <f t="shared" si="538"/>
        <v>0</v>
      </c>
      <c r="WH1282" s="97">
        <f t="shared" si="539"/>
        <v>0</v>
      </c>
      <c r="WI1282" s="97">
        <f t="shared" si="540"/>
        <v>0</v>
      </c>
      <c r="WJ1282" s="97">
        <f t="shared" si="541"/>
        <v>0</v>
      </c>
      <c r="WK1282" s="97">
        <f t="shared" si="542"/>
        <v>0</v>
      </c>
      <c r="WL1282" s="97">
        <f t="shared" si="543"/>
        <v>0</v>
      </c>
      <c r="WM1282" s="97">
        <f t="shared" si="544"/>
        <v>0</v>
      </c>
      <c r="WN1282" s="97">
        <f t="shared" si="545"/>
        <v>0</v>
      </c>
      <c r="WO1282" s="97">
        <f t="shared" si="546"/>
        <v>0</v>
      </c>
      <c r="WP1282" s="97">
        <f t="shared" si="547"/>
        <v>0</v>
      </c>
      <c r="WQ1282" s="97">
        <f t="shared" si="548"/>
        <v>0</v>
      </c>
      <c r="WR1282" s="97">
        <f t="shared" si="548"/>
        <v>0</v>
      </c>
      <c r="WS1282" s="97">
        <f t="shared" si="548"/>
        <v>0</v>
      </c>
      <c r="WT1282" s="97">
        <f t="shared" si="549"/>
        <v>0</v>
      </c>
      <c r="WU1282" s="97">
        <f t="shared" si="549"/>
        <v>0</v>
      </c>
      <c r="WV1282" s="97">
        <f t="shared" si="549"/>
        <v>0</v>
      </c>
      <c r="WW1282" s="102"/>
      <c r="WX1282" s="102"/>
      <c r="WY1282" s="102"/>
      <c r="WZ1282" s="97">
        <f t="shared" si="550"/>
        <v>0</v>
      </c>
      <c r="XA1282" s="97">
        <f t="shared" si="551"/>
        <v>0</v>
      </c>
      <c r="XB1282" s="97">
        <f t="shared" si="552"/>
        <v>0</v>
      </c>
      <c r="XC1282" s="97">
        <f t="shared" si="553"/>
        <v>0</v>
      </c>
      <c r="XD1282" s="97">
        <f t="shared" si="554"/>
        <v>0</v>
      </c>
      <c r="XE1282" s="97">
        <f t="shared" si="555"/>
        <v>0</v>
      </c>
      <c r="XF1282" s="97">
        <f t="shared" si="556"/>
        <v>0</v>
      </c>
      <c r="XG1282" s="97">
        <f t="shared" si="557"/>
        <v>0</v>
      </c>
      <c r="XH1282" s="97">
        <f t="shared" si="558"/>
        <v>0</v>
      </c>
      <c r="XI1282" s="97">
        <f t="shared" si="559"/>
        <v>0</v>
      </c>
      <c r="XJ1282" s="97">
        <f t="shared" si="560"/>
        <v>0</v>
      </c>
      <c r="XK1282" s="97">
        <f t="shared" si="561"/>
        <v>0</v>
      </c>
      <c r="XL1282" s="97">
        <f t="shared" si="562"/>
        <v>0</v>
      </c>
      <c r="XM1282" s="97">
        <f t="shared" si="562"/>
        <v>0</v>
      </c>
      <c r="XN1282" s="97">
        <f t="shared" si="562"/>
        <v>0</v>
      </c>
      <c r="XO1282" s="97">
        <f t="shared" si="563"/>
        <v>0</v>
      </c>
      <c r="XP1282" s="97">
        <f t="shared" si="563"/>
        <v>0</v>
      </c>
      <c r="XQ1282" s="97">
        <f t="shared" si="563"/>
        <v>0</v>
      </c>
      <c r="XR1282" s="102"/>
      <c r="XS1282" s="102"/>
      <c r="XT1282" s="102"/>
      <c r="XU1282" s="97">
        <f t="shared" si="564"/>
        <v>0</v>
      </c>
      <c r="XV1282" s="97">
        <f t="shared" si="565"/>
        <v>0</v>
      </c>
      <c r="XW1282" s="97">
        <f t="shared" si="566"/>
        <v>0</v>
      </c>
      <c r="XX1282" s="97">
        <f t="shared" si="567"/>
        <v>0</v>
      </c>
      <c r="XY1282" s="97">
        <f t="shared" si="568"/>
        <v>0</v>
      </c>
      <c r="XZ1282" s="97">
        <f t="shared" si="569"/>
        <v>0</v>
      </c>
      <c r="YA1282" s="97">
        <f t="shared" si="570"/>
        <v>0</v>
      </c>
      <c r="YB1282" s="97">
        <f t="shared" si="571"/>
        <v>0</v>
      </c>
      <c r="YC1282" s="97">
        <f t="shared" si="572"/>
        <v>0</v>
      </c>
      <c r="YD1282" s="97">
        <f t="shared" si="573"/>
        <v>0</v>
      </c>
      <c r="YE1282" s="97">
        <f t="shared" si="574"/>
        <v>0</v>
      </c>
      <c r="YF1282" s="97">
        <f t="shared" si="575"/>
        <v>0</v>
      </c>
      <c r="YG1282" s="97">
        <f t="shared" si="576"/>
        <v>0</v>
      </c>
      <c r="YH1282" s="97">
        <f t="shared" si="576"/>
        <v>0</v>
      </c>
      <c r="YI1282" s="97">
        <f t="shared" si="576"/>
        <v>0</v>
      </c>
      <c r="YJ1282" s="97">
        <f t="shared" si="577"/>
        <v>0</v>
      </c>
      <c r="YK1282" s="97">
        <f t="shared" si="577"/>
        <v>0</v>
      </c>
      <c r="YL1282" s="97">
        <f t="shared" si="577"/>
        <v>0</v>
      </c>
      <c r="YM1282" s="145">
        <f t="shared" ref="YM1282:YM1294" si="601">L1282+AG1282+BB1282+BW1282+CR1282+DM1282+EH1282+FC1282+FX1282+GS1282+HN1282+II1282+JD1282+JY1282+KT1282+LO1282+MJ1282+NE1282+NZ1282+OU1282+PP1282+QK1282+RF1282+SA1282+SV1282+TQ1282+UL1282+VG1282+WB1282+WW1282+XR1282</f>
        <v>36</v>
      </c>
      <c r="YN1282" s="145">
        <f t="shared" si="578"/>
        <v>36</v>
      </c>
      <c r="YO1282" s="145">
        <f t="shared" si="578"/>
        <v>36</v>
      </c>
      <c r="YP1282" s="97">
        <f t="shared" si="579"/>
        <v>2541276</v>
      </c>
      <c r="YQ1282" s="97">
        <f t="shared" si="580"/>
        <v>2603340</v>
      </c>
      <c r="YR1282" s="97">
        <f t="shared" si="581"/>
        <v>2686356</v>
      </c>
      <c r="YS1282" s="97">
        <f t="shared" si="582"/>
        <v>2540916</v>
      </c>
      <c r="YT1282" s="97">
        <f t="shared" si="583"/>
        <v>2632464</v>
      </c>
      <c r="YU1282" s="97">
        <f t="shared" si="584"/>
        <v>2701152</v>
      </c>
      <c r="YV1282" s="97">
        <f t="shared" si="585"/>
        <v>50264.61</v>
      </c>
      <c r="YW1282" s="97">
        <f t="shared" si="586"/>
        <v>52799.51</v>
      </c>
      <c r="YX1282" s="97">
        <f t="shared" si="587"/>
        <v>54898.03</v>
      </c>
      <c r="YY1282" s="97">
        <f t="shared" si="588"/>
        <v>11994.84</v>
      </c>
      <c r="YZ1282" s="97">
        <f t="shared" si="589"/>
        <v>12680.95</v>
      </c>
      <c r="ZA1282" s="97">
        <f t="shared" si="590"/>
        <v>13508.54</v>
      </c>
      <c r="ZB1282" s="97">
        <f t="shared" si="591"/>
        <v>1809525.96</v>
      </c>
      <c r="ZC1282" s="97">
        <f t="shared" si="591"/>
        <v>1900782.36</v>
      </c>
      <c r="ZD1282" s="97">
        <f t="shared" si="591"/>
        <v>1976329.08</v>
      </c>
      <c r="ZE1282" s="97">
        <f t="shared" si="592"/>
        <v>431814.24</v>
      </c>
      <c r="ZF1282" s="97">
        <f t="shared" si="592"/>
        <v>456514.2</v>
      </c>
      <c r="ZG1282" s="97">
        <f t="shared" si="592"/>
        <v>486307.44</v>
      </c>
    </row>
    <row r="1283" spans="1:683" ht="36" hidden="1" customHeight="1" x14ac:dyDescent="0.25">
      <c r="A1283" s="174" t="s">
        <v>700</v>
      </c>
      <c r="B1283" s="174" t="s">
        <v>427</v>
      </c>
      <c r="C1283" s="5"/>
      <c r="D1283" s="340"/>
      <c r="E1283" s="163"/>
      <c r="F1283" s="110">
        <f t="shared" si="148"/>
        <v>70591</v>
      </c>
      <c r="G1283" s="110">
        <f t="shared" si="148"/>
        <v>72315</v>
      </c>
      <c r="H1283" s="110">
        <f t="shared" si="148"/>
        <v>74621</v>
      </c>
      <c r="I1283" s="97">
        <f t="shared" si="149"/>
        <v>70581</v>
      </c>
      <c r="J1283" s="97">
        <f t="shared" si="149"/>
        <v>73124</v>
      </c>
      <c r="K1283" s="97">
        <f t="shared" si="149"/>
        <v>75032</v>
      </c>
      <c r="L1283" s="102"/>
      <c r="M1283" s="102"/>
      <c r="N1283" s="102"/>
      <c r="O1283" s="97">
        <f t="shared" si="593"/>
        <v>0</v>
      </c>
      <c r="P1283" s="97">
        <f t="shared" si="594"/>
        <v>0</v>
      </c>
      <c r="Q1283" s="97">
        <f t="shared" si="595"/>
        <v>0</v>
      </c>
      <c r="R1283" s="97">
        <f t="shared" si="596"/>
        <v>0</v>
      </c>
      <c r="S1283" s="97">
        <f t="shared" si="597"/>
        <v>0</v>
      </c>
      <c r="T1283" s="97">
        <f t="shared" si="598"/>
        <v>0</v>
      </c>
      <c r="U1283" s="97">
        <f t="shared" si="150"/>
        <v>0</v>
      </c>
      <c r="V1283" s="97">
        <f t="shared" si="151"/>
        <v>0</v>
      </c>
      <c r="W1283" s="97">
        <f t="shared" si="152"/>
        <v>0</v>
      </c>
      <c r="X1283" s="97">
        <f t="shared" si="153"/>
        <v>0</v>
      </c>
      <c r="Y1283" s="97">
        <f t="shared" si="154"/>
        <v>0</v>
      </c>
      <c r="Z1283" s="97">
        <f t="shared" si="155"/>
        <v>0</v>
      </c>
      <c r="AA1283" s="97">
        <f t="shared" si="599"/>
        <v>0</v>
      </c>
      <c r="AB1283" s="97">
        <f t="shared" si="156"/>
        <v>0</v>
      </c>
      <c r="AC1283" s="97">
        <f t="shared" si="156"/>
        <v>0</v>
      </c>
      <c r="AD1283" s="97">
        <f t="shared" si="600"/>
        <v>0</v>
      </c>
      <c r="AE1283" s="97">
        <f t="shared" si="157"/>
        <v>0</v>
      </c>
      <c r="AF1283" s="97">
        <f t="shared" si="157"/>
        <v>0</v>
      </c>
      <c r="AG1283" s="102"/>
      <c r="AH1283" s="102"/>
      <c r="AI1283" s="102"/>
      <c r="AJ1283" s="97">
        <f t="shared" si="158"/>
        <v>0</v>
      </c>
      <c r="AK1283" s="97">
        <f t="shared" si="159"/>
        <v>0</v>
      </c>
      <c r="AL1283" s="97">
        <f t="shared" si="160"/>
        <v>0</v>
      </c>
      <c r="AM1283" s="97">
        <f t="shared" si="161"/>
        <v>0</v>
      </c>
      <c r="AN1283" s="97">
        <f t="shared" si="162"/>
        <v>0</v>
      </c>
      <c r="AO1283" s="97">
        <f t="shared" si="163"/>
        <v>0</v>
      </c>
      <c r="AP1283" s="97">
        <f t="shared" si="164"/>
        <v>0</v>
      </c>
      <c r="AQ1283" s="97">
        <f t="shared" si="165"/>
        <v>0</v>
      </c>
      <c r="AR1283" s="97">
        <f t="shared" si="166"/>
        <v>0</v>
      </c>
      <c r="AS1283" s="97">
        <f t="shared" si="167"/>
        <v>0</v>
      </c>
      <c r="AT1283" s="97">
        <f t="shared" si="168"/>
        <v>0</v>
      </c>
      <c r="AU1283" s="97">
        <f t="shared" si="169"/>
        <v>0</v>
      </c>
      <c r="AV1283" s="97">
        <f t="shared" si="170"/>
        <v>0</v>
      </c>
      <c r="AW1283" s="97">
        <f t="shared" si="170"/>
        <v>0</v>
      </c>
      <c r="AX1283" s="97">
        <f t="shared" si="170"/>
        <v>0</v>
      </c>
      <c r="AY1283" s="97">
        <f t="shared" si="171"/>
        <v>0</v>
      </c>
      <c r="AZ1283" s="97">
        <f t="shared" si="171"/>
        <v>0</v>
      </c>
      <c r="BA1283" s="97">
        <f t="shared" si="171"/>
        <v>0</v>
      </c>
      <c r="BB1283" s="102"/>
      <c r="BC1283" s="102"/>
      <c r="BD1283" s="102"/>
      <c r="BE1283" s="97">
        <f t="shared" si="172"/>
        <v>0</v>
      </c>
      <c r="BF1283" s="97">
        <f t="shared" si="173"/>
        <v>0</v>
      </c>
      <c r="BG1283" s="97">
        <f t="shared" si="174"/>
        <v>0</v>
      </c>
      <c r="BH1283" s="97">
        <f t="shared" si="175"/>
        <v>0</v>
      </c>
      <c r="BI1283" s="97">
        <f t="shared" si="176"/>
        <v>0</v>
      </c>
      <c r="BJ1283" s="97">
        <f t="shared" si="177"/>
        <v>0</v>
      </c>
      <c r="BK1283" s="97">
        <f t="shared" si="178"/>
        <v>0</v>
      </c>
      <c r="BL1283" s="97">
        <f t="shared" si="179"/>
        <v>0</v>
      </c>
      <c r="BM1283" s="97">
        <f t="shared" si="180"/>
        <v>0</v>
      </c>
      <c r="BN1283" s="97">
        <f t="shared" si="181"/>
        <v>0</v>
      </c>
      <c r="BO1283" s="97">
        <f t="shared" si="182"/>
        <v>0</v>
      </c>
      <c r="BP1283" s="97">
        <f t="shared" si="183"/>
        <v>0</v>
      </c>
      <c r="BQ1283" s="97">
        <f t="shared" si="184"/>
        <v>0</v>
      </c>
      <c r="BR1283" s="97">
        <f t="shared" si="184"/>
        <v>0</v>
      </c>
      <c r="BS1283" s="97">
        <f t="shared" si="184"/>
        <v>0</v>
      </c>
      <c r="BT1283" s="97">
        <f t="shared" si="185"/>
        <v>0</v>
      </c>
      <c r="BU1283" s="97">
        <f t="shared" si="185"/>
        <v>0</v>
      </c>
      <c r="BV1283" s="97">
        <f t="shared" si="185"/>
        <v>0</v>
      </c>
      <c r="BW1283" s="102"/>
      <c r="BX1283" s="102"/>
      <c r="BY1283" s="102"/>
      <c r="BZ1283" s="97">
        <f t="shared" si="186"/>
        <v>0</v>
      </c>
      <c r="CA1283" s="97">
        <f t="shared" si="187"/>
        <v>0</v>
      </c>
      <c r="CB1283" s="97">
        <f t="shared" si="188"/>
        <v>0</v>
      </c>
      <c r="CC1283" s="97">
        <f t="shared" si="189"/>
        <v>0</v>
      </c>
      <c r="CD1283" s="97">
        <f t="shared" si="190"/>
        <v>0</v>
      </c>
      <c r="CE1283" s="97">
        <f t="shared" si="191"/>
        <v>0</v>
      </c>
      <c r="CF1283" s="97">
        <f t="shared" si="192"/>
        <v>0</v>
      </c>
      <c r="CG1283" s="97">
        <f t="shared" si="193"/>
        <v>0</v>
      </c>
      <c r="CH1283" s="97">
        <f t="shared" si="194"/>
        <v>0</v>
      </c>
      <c r="CI1283" s="97">
        <f t="shared" si="195"/>
        <v>0</v>
      </c>
      <c r="CJ1283" s="97">
        <f t="shared" si="196"/>
        <v>0</v>
      </c>
      <c r="CK1283" s="97">
        <f t="shared" si="197"/>
        <v>0</v>
      </c>
      <c r="CL1283" s="97">
        <f t="shared" si="198"/>
        <v>0</v>
      </c>
      <c r="CM1283" s="97">
        <f t="shared" si="198"/>
        <v>0</v>
      </c>
      <c r="CN1283" s="97">
        <f t="shared" si="198"/>
        <v>0</v>
      </c>
      <c r="CO1283" s="97">
        <f t="shared" si="199"/>
        <v>0</v>
      </c>
      <c r="CP1283" s="97">
        <f t="shared" si="199"/>
        <v>0</v>
      </c>
      <c r="CQ1283" s="97">
        <f t="shared" si="199"/>
        <v>0</v>
      </c>
      <c r="CR1283" s="102"/>
      <c r="CS1283" s="102"/>
      <c r="CT1283" s="102"/>
      <c r="CU1283" s="97">
        <f t="shared" si="200"/>
        <v>0</v>
      </c>
      <c r="CV1283" s="97">
        <f t="shared" si="201"/>
        <v>0</v>
      </c>
      <c r="CW1283" s="97">
        <f t="shared" si="202"/>
        <v>0</v>
      </c>
      <c r="CX1283" s="97">
        <f t="shared" si="203"/>
        <v>0</v>
      </c>
      <c r="CY1283" s="97">
        <f t="shared" si="204"/>
        <v>0</v>
      </c>
      <c r="CZ1283" s="97">
        <f t="shared" si="205"/>
        <v>0</v>
      </c>
      <c r="DA1283" s="97">
        <f t="shared" si="206"/>
        <v>0</v>
      </c>
      <c r="DB1283" s="97">
        <f t="shared" si="207"/>
        <v>0</v>
      </c>
      <c r="DC1283" s="97">
        <f t="shared" si="208"/>
        <v>0</v>
      </c>
      <c r="DD1283" s="97">
        <f t="shared" si="209"/>
        <v>0</v>
      </c>
      <c r="DE1283" s="97">
        <f t="shared" si="210"/>
        <v>0</v>
      </c>
      <c r="DF1283" s="97">
        <f t="shared" si="211"/>
        <v>0</v>
      </c>
      <c r="DG1283" s="97">
        <f t="shared" si="212"/>
        <v>0</v>
      </c>
      <c r="DH1283" s="97">
        <f t="shared" si="212"/>
        <v>0</v>
      </c>
      <c r="DI1283" s="97">
        <f t="shared" si="212"/>
        <v>0</v>
      </c>
      <c r="DJ1283" s="97">
        <f t="shared" si="213"/>
        <v>0</v>
      </c>
      <c r="DK1283" s="97">
        <f t="shared" si="213"/>
        <v>0</v>
      </c>
      <c r="DL1283" s="97">
        <f t="shared" si="213"/>
        <v>0</v>
      </c>
      <c r="DM1283" s="102"/>
      <c r="DN1283" s="102"/>
      <c r="DO1283" s="102"/>
      <c r="DP1283" s="97">
        <f t="shared" si="214"/>
        <v>0</v>
      </c>
      <c r="DQ1283" s="97">
        <f t="shared" si="215"/>
        <v>0</v>
      </c>
      <c r="DR1283" s="97">
        <f t="shared" si="216"/>
        <v>0</v>
      </c>
      <c r="DS1283" s="97">
        <f t="shared" si="217"/>
        <v>0</v>
      </c>
      <c r="DT1283" s="97">
        <f t="shared" si="218"/>
        <v>0</v>
      </c>
      <c r="DU1283" s="97">
        <f t="shared" si="219"/>
        <v>0</v>
      </c>
      <c r="DV1283" s="97">
        <f t="shared" si="220"/>
        <v>0</v>
      </c>
      <c r="DW1283" s="97">
        <f t="shared" si="221"/>
        <v>0</v>
      </c>
      <c r="DX1283" s="97">
        <f t="shared" si="222"/>
        <v>0</v>
      </c>
      <c r="DY1283" s="97">
        <f t="shared" si="223"/>
        <v>0</v>
      </c>
      <c r="DZ1283" s="97">
        <f t="shared" si="224"/>
        <v>0</v>
      </c>
      <c r="EA1283" s="97">
        <f t="shared" si="225"/>
        <v>0</v>
      </c>
      <c r="EB1283" s="97">
        <f t="shared" si="226"/>
        <v>0</v>
      </c>
      <c r="EC1283" s="97">
        <f t="shared" si="226"/>
        <v>0</v>
      </c>
      <c r="ED1283" s="97">
        <f t="shared" si="226"/>
        <v>0</v>
      </c>
      <c r="EE1283" s="97">
        <f t="shared" si="227"/>
        <v>0</v>
      </c>
      <c r="EF1283" s="97">
        <f t="shared" si="227"/>
        <v>0</v>
      </c>
      <c r="EG1283" s="97">
        <f t="shared" si="227"/>
        <v>0</v>
      </c>
      <c r="EH1283" s="102"/>
      <c r="EI1283" s="102"/>
      <c r="EJ1283" s="102"/>
      <c r="EK1283" s="97">
        <f t="shared" si="228"/>
        <v>0</v>
      </c>
      <c r="EL1283" s="97">
        <f t="shared" si="229"/>
        <v>0</v>
      </c>
      <c r="EM1283" s="97">
        <f t="shared" si="230"/>
        <v>0</v>
      </c>
      <c r="EN1283" s="97">
        <f t="shared" si="231"/>
        <v>0</v>
      </c>
      <c r="EO1283" s="97">
        <f t="shared" si="232"/>
        <v>0</v>
      </c>
      <c r="EP1283" s="97">
        <f t="shared" si="233"/>
        <v>0</v>
      </c>
      <c r="EQ1283" s="97">
        <f t="shared" si="234"/>
        <v>0</v>
      </c>
      <c r="ER1283" s="97">
        <f t="shared" si="235"/>
        <v>0</v>
      </c>
      <c r="ES1283" s="97">
        <f t="shared" si="236"/>
        <v>0</v>
      </c>
      <c r="ET1283" s="97">
        <f t="shared" si="237"/>
        <v>0</v>
      </c>
      <c r="EU1283" s="97">
        <f t="shared" si="238"/>
        <v>0</v>
      </c>
      <c r="EV1283" s="97">
        <f t="shared" si="239"/>
        <v>0</v>
      </c>
      <c r="EW1283" s="97">
        <f t="shared" si="240"/>
        <v>0</v>
      </c>
      <c r="EX1283" s="97">
        <f t="shared" si="240"/>
        <v>0</v>
      </c>
      <c r="EY1283" s="97">
        <f t="shared" si="240"/>
        <v>0</v>
      </c>
      <c r="EZ1283" s="97">
        <f t="shared" si="241"/>
        <v>0</v>
      </c>
      <c r="FA1283" s="97">
        <f t="shared" si="241"/>
        <v>0</v>
      </c>
      <c r="FB1283" s="97">
        <f t="shared" si="241"/>
        <v>0</v>
      </c>
      <c r="FC1283" s="102"/>
      <c r="FD1283" s="102"/>
      <c r="FE1283" s="102"/>
      <c r="FF1283" s="97">
        <f t="shared" si="242"/>
        <v>0</v>
      </c>
      <c r="FG1283" s="97">
        <f t="shared" si="243"/>
        <v>0</v>
      </c>
      <c r="FH1283" s="97">
        <f t="shared" si="244"/>
        <v>0</v>
      </c>
      <c r="FI1283" s="97">
        <f t="shared" si="245"/>
        <v>0</v>
      </c>
      <c r="FJ1283" s="97">
        <f t="shared" si="246"/>
        <v>0</v>
      </c>
      <c r="FK1283" s="97">
        <f t="shared" si="247"/>
        <v>0</v>
      </c>
      <c r="FL1283" s="97">
        <f t="shared" si="248"/>
        <v>0</v>
      </c>
      <c r="FM1283" s="97">
        <f t="shared" si="249"/>
        <v>0</v>
      </c>
      <c r="FN1283" s="97">
        <f t="shared" si="250"/>
        <v>0</v>
      </c>
      <c r="FO1283" s="97">
        <f t="shared" si="251"/>
        <v>0</v>
      </c>
      <c r="FP1283" s="97">
        <f t="shared" si="252"/>
        <v>0</v>
      </c>
      <c r="FQ1283" s="97">
        <f t="shared" si="253"/>
        <v>0</v>
      </c>
      <c r="FR1283" s="97">
        <f t="shared" si="254"/>
        <v>0</v>
      </c>
      <c r="FS1283" s="97">
        <f t="shared" si="254"/>
        <v>0</v>
      </c>
      <c r="FT1283" s="97">
        <f t="shared" si="254"/>
        <v>0</v>
      </c>
      <c r="FU1283" s="97">
        <f t="shared" si="255"/>
        <v>0</v>
      </c>
      <c r="FV1283" s="97">
        <f t="shared" si="255"/>
        <v>0</v>
      </c>
      <c r="FW1283" s="97">
        <f t="shared" si="255"/>
        <v>0</v>
      </c>
      <c r="FX1283" s="102"/>
      <c r="FY1283" s="102"/>
      <c r="FZ1283" s="102"/>
      <c r="GA1283" s="97">
        <f t="shared" si="256"/>
        <v>0</v>
      </c>
      <c r="GB1283" s="97">
        <f t="shared" si="257"/>
        <v>0</v>
      </c>
      <c r="GC1283" s="97">
        <f t="shared" si="258"/>
        <v>0</v>
      </c>
      <c r="GD1283" s="97">
        <f t="shared" si="259"/>
        <v>0</v>
      </c>
      <c r="GE1283" s="97">
        <f t="shared" si="260"/>
        <v>0</v>
      </c>
      <c r="GF1283" s="97">
        <f t="shared" si="261"/>
        <v>0</v>
      </c>
      <c r="GG1283" s="97">
        <f t="shared" si="262"/>
        <v>0</v>
      </c>
      <c r="GH1283" s="97">
        <f t="shared" si="263"/>
        <v>0</v>
      </c>
      <c r="GI1283" s="97">
        <f t="shared" si="264"/>
        <v>0</v>
      </c>
      <c r="GJ1283" s="97">
        <f t="shared" si="265"/>
        <v>0</v>
      </c>
      <c r="GK1283" s="97">
        <f t="shared" si="266"/>
        <v>0</v>
      </c>
      <c r="GL1283" s="97">
        <f t="shared" si="267"/>
        <v>0</v>
      </c>
      <c r="GM1283" s="97">
        <f t="shared" si="268"/>
        <v>0</v>
      </c>
      <c r="GN1283" s="97">
        <f t="shared" si="268"/>
        <v>0</v>
      </c>
      <c r="GO1283" s="97">
        <f t="shared" si="268"/>
        <v>0</v>
      </c>
      <c r="GP1283" s="97">
        <f t="shared" si="269"/>
        <v>0</v>
      </c>
      <c r="GQ1283" s="97">
        <f t="shared" si="269"/>
        <v>0</v>
      </c>
      <c r="GR1283" s="97">
        <f t="shared" si="269"/>
        <v>0</v>
      </c>
      <c r="GS1283" s="102"/>
      <c r="GT1283" s="102"/>
      <c r="GU1283" s="102"/>
      <c r="GV1283" s="97">
        <f t="shared" si="270"/>
        <v>0</v>
      </c>
      <c r="GW1283" s="97">
        <f t="shared" si="271"/>
        <v>0</v>
      </c>
      <c r="GX1283" s="97">
        <f t="shared" si="272"/>
        <v>0</v>
      </c>
      <c r="GY1283" s="97">
        <f t="shared" si="273"/>
        <v>0</v>
      </c>
      <c r="GZ1283" s="97">
        <f t="shared" si="274"/>
        <v>0</v>
      </c>
      <c r="HA1283" s="97">
        <f t="shared" si="275"/>
        <v>0</v>
      </c>
      <c r="HB1283" s="97">
        <f t="shared" si="276"/>
        <v>0</v>
      </c>
      <c r="HC1283" s="97">
        <f t="shared" si="277"/>
        <v>0</v>
      </c>
      <c r="HD1283" s="97">
        <f t="shared" si="278"/>
        <v>0</v>
      </c>
      <c r="HE1283" s="97">
        <f t="shared" si="279"/>
        <v>0</v>
      </c>
      <c r="HF1283" s="97">
        <f t="shared" si="280"/>
        <v>0</v>
      </c>
      <c r="HG1283" s="97">
        <f t="shared" si="281"/>
        <v>0</v>
      </c>
      <c r="HH1283" s="97">
        <f t="shared" si="282"/>
        <v>0</v>
      </c>
      <c r="HI1283" s="97">
        <f t="shared" si="282"/>
        <v>0</v>
      </c>
      <c r="HJ1283" s="97">
        <f t="shared" si="282"/>
        <v>0</v>
      </c>
      <c r="HK1283" s="97">
        <f t="shared" si="283"/>
        <v>0</v>
      </c>
      <c r="HL1283" s="97">
        <f t="shared" si="283"/>
        <v>0</v>
      </c>
      <c r="HM1283" s="97">
        <f t="shared" si="283"/>
        <v>0</v>
      </c>
      <c r="HN1283" s="102"/>
      <c r="HO1283" s="102"/>
      <c r="HP1283" s="102"/>
      <c r="HQ1283" s="97">
        <f t="shared" si="284"/>
        <v>0</v>
      </c>
      <c r="HR1283" s="97">
        <f t="shared" si="285"/>
        <v>0</v>
      </c>
      <c r="HS1283" s="97">
        <f t="shared" si="286"/>
        <v>0</v>
      </c>
      <c r="HT1283" s="97">
        <f t="shared" si="287"/>
        <v>0</v>
      </c>
      <c r="HU1283" s="97">
        <f t="shared" si="288"/>
        <v>0</v>
      </c>
      <c r="HV1283" s="97">
        <f t="shared" si="289"/>
        <v>0</v>
      </c>
      <c r="HW1283" s="97">
        <f t="shared" si="290"/>
        <v>0</v>
      </c>
      <c r="HX1283" s="97">
        <f t="shared" si="291"/>
        <v>0</v>
      </c>
      <c r="HY1283" s="97">
        <f t="shared" si="292"/>
        <v>0</v>
      </c>
      <c r="HZ1283" s="97">
        <f t="shared" si="293"/>
        <v>0</v>
      </c>
      <c r="IA1283" s="97">
        <f t="shared" si="294"/>
        <v>0</v>
      </c>
      <c r="IB1283" s="97">
        <f t="shared" si="295"/>
        <v>0</v>
      </c>
      <c r="IC1283" s="97">
        <f t="shared" si="296"/>
        <v>0</v>
      </c>
      <c r="ID1283" s="97">
        <f t="shared" si="296"/>
        <v>0</v>
      </c>
      <c r="IE1283" s="97">
        <f t="shared" si="296"/>
        <v>0</v>
      </c>
      <c r="IF1283" s="97">
        <f t="shared" si="297"/>
        <v>0</v>
      </c>
      <c r="IG1283" s="97">
        <f t="shared" si="297"/>
        <v>0</v>
      </c>
      <c r="IH1283" s="97">
        <f t="shared" si="297"/>
        <v>0</v>
      </c>
      <c r="II1283" s="102"/>
      <c r="IJ1283" s="102"/>
      <c r="IK1283" s="102"/>
      <c r="IL1283" s="97">
        <f t="shared" si="298"/>
        <v>0</v>
      </c>
      <c r="IM1283" s="97">
        <f t="shared" si="299"/>
        <v>0</v>
      </c>
      <c r="IN1283" s="97">
        <f t="shared" si="300"/>
        <v>0</v>
      </c>
      <c r="IO1283" s="97">
        <f t="shared" si="301"/>
        <v>0</v>
      </c>
      <c r="IP1283" s="97">
        <f t="shared" si="302"/>
        <v>0</v>
      </c>
      <c r="IQ1283" s="97">
        <f t="shared" si="303"/>
        <v>0</v>
      </c>
      <c r="IR1283" s="97">
        <f t="shared" si="304"/>
        <v>0</v>
      </c>
      <c r="IS1283" s="97">
        <f t="shared" si="305"/>
        <v>0</v>
      </c>
      <c r="IT1283" s="97">
        <f t="shared" si="306"/>
        <v>0</v>
      </c>
      <c r="IU1283" s="97">
        <f t="shared" si="307"/>
        <v>0</v>
      </c>
      <c r="IV1283" s="97">
        <f t="shared" si="308"/>
        <v>0</v>
      </c>
      <c r="IW1283" s="97">
        <f t="shared" si="309"/>
        <v>0</v>
      </c>
      <c r="IX1283" s="97">
        <f t="shared" si="310"/>
        <v>0</v>
      </c>
      <c r="IY1283" s="97">
        <f t="shared" si="310"/>
        <v>0</v>
      </c>
      <c r="IZ1283" s="97">
        <f t="shared" si="310"/>
        <v>0</v>
      </c>
      <c r="JA1283" s="97">
        <f t="shared" si="311"/>
        <v>0</v>
      </c>
      <c r="JB1283" s="97">
        <f t="shared" si="311"/>
        <v>0</v>
      </c>
      <c r="JC1283" s="97">
        <f t="shared" si="311"/>
        <v>0</v>
      </c>
      <c r="JD1283" s="102"/>
      <c r="JE1283" s="102"/>
      <c r="JF1283" s="102"/>
      <c r="JG1283" s="97">
        <f t="shared" si="312"/>
        <v>0</v>
      </c>
      <c r="JH1283" s="97">
        <f t="shared" si="313"/>
        <v>0</v>
      </c>
      <c r="JI1283" s="97">
        <f t="shared" si="314"/>
        <v>0</v>
      </c>
      <c r="JJ1283" s="97">
        <f t="shared" si="315"/>
        <v>0</v>
      </c>
      <c r="JK1283" s="97">
        <f t="shared" si="316"/>
        <v>0</v>
      </c>
      <c r="JL1283" s="97">
        <f t="shared" si="317"/>
        <v>0</v>
      </c>
      <c r="JM1283" s="97">
        <f t="shared" si="318"/>
        <v>0</v>
      </c>
      <c r="JN1283" s="97">
        <f t="shared" si="319"/>
        <v>0</v>
      </c>
      <c r="JO1283" s="97">
        <f t="shared" si="320"/>
        <v>0</v>
      </c>
      <c r="JP1283" s="97">
        <f t="shared" si="321"/>
        <v>0</v>
      </c>
      <c r="JQ1283" s="97">
        <f t="shared" si="322"/>
        <v>0</v>
      </c>
      <c r="JR1283" s="97">
        <f t="shared" si="323"/>
        <v>0</v>
      </c>
      <c r="JS1283" s="97">
        <f t="shared" si="324"/>
        <v>0</v>
      </c>
      <c r="JT1283" s="97">
        <f t="shared" si="324"/>
        <v>0</v>
      </c>
      <c r="JU1283" s="97">
        <f t="shared" si="324"/>
        <v>0</v>
      </c>
      <c r="JV1283" s="97">
        <f t="shared" si="325"/>
        <v>0</v>
      </c>
      <c r="JW1283" s="97">
        <f t="shared" si="325"/>
        <v>0</v>
      </c>
      <c r="JX1283" s="97">
        <f t="shared" si="325"/>
        <v>0</v>
      </c>
      <c r="JY1283" s="102"/>
      <c r="JZ1283" s="102"/>
      <c r="KA1283" s="102"/>
      <c r="KB1283" s="97">
        <f t="shared" si="326"/>
        <v>0</v>
      </c>
      <c r="KC1283" s="97">
        <f t="shared" si="327"/>
        <v>0</v>
      </c>
      <c r="KD1283" s="97">
        <f t="shared" si="328"/>
        <v>0</v>
      </c>
      <c r="KE1283" s="97">
        <f t="shared" si="329"/>
        <v>0</v>
      </c>
      <c r="KF1283" s="97">
        <f t="shared" si="330"/>
        <v>0</v>
      </c>
      <c r="KG1283" s="97">
        <f t="shared" si="331"/>
        <v>0</v>
      </c>
      <c r="KH1283" s="97">
        <f t="shared" si="332"/>
        <v>0</v>
      </c>
      <c r="KI1283" s="97">
        <f t="shared" si="333"/>
        <v>0</v>
      </c>
      <c r="KJ1283" s="97">
        <f t="shared" si="334"/>
        <v>0</v>
      </c>
      <c r="KK1283" s="97">
        <f t="shared" si="335"/>
        <v>0</v>
      </c>
      <c r="KL1283" s="97">
        <f t="shared" si="336"/>
        <v>0</v>
      </c>
      <c r="KM1283" s="97">
        <f t="shared" si="337"/>
        <v>0</v>
      </c>
      <c r="KN1283" s="97">
        <f t="shared" si="338"/>
        <v>0</v>
      </c>
      <c r="KO1283" s="97">
        <f t="shared" si="338"/>
        <v>0</v>
      </c>
      <c r="KP1283" s="97">
        <f t="shared" si="338"/>
        <v>0</v>
      </c>
      <c r="KQ1283" s="97">
        <f t="shared" si="339"/>
        <v>0</v>
      </c>
      <c r="KR1283" s="97">
        <f t="shared" si="339"/>
        <v>0</v>
      </c>
      <c r="KS1283" s="97">
        <f t="shared" si="339"/>
        <v>0</v>
      </c>
      <c r="KT1283" s="102"/>
      <c r="KU1283" s="102"/>
      <c r="KV1283" s="102"/>
      <c r="KW1283" s="97">
        <f t="shared" si="340"/>
        <v>0</v>
      </c>
      <c r="KX1283" s="97">
        <f t="shared" si="341"/>
        <v>0</v>
      </c>
      <c r="KY1283" s="97">
        <f t="shared" si="342"/>
        <v>0</v>
      </c>
      <c r="KZ1283" s="97">
        <f t="shared" si="343"/>
        <v>0</v>
      </c>
      <c r="LA1283" s="97">
        <f t="shared" si="344"/>
        <v>0</v>
      </c>
      <c r="LB1283" s="97">
        <f t="shared" si="345"/>
        <v>0</v>
      </c>
      <c r="LC1283" s="97">
        <f t="shared" si="346"/>
        <v>0</v>
      </c>
      <c r="LD1283" s="97">
        <f t="shared" si="347"/>
        <v>0</v>
      </c>
      <c r="LE1283" s="97">
        <f t="shared" si="348"/>
        <v>0</v>
      </c>
      <c r="LF1283" s="97">
        <f t="shared" si="349"/>
        <v>0</v>
      </c>
      <c r="LG1283" s="97">
        <f t="shared" si="350"/>
        <v>0</v>
      </c>
      <c r="LH1283" s="97">
        <f t="shared" si="351"/>
        <v>0</v>
      </c>
      <c r="LI1283" s="97">
        <f t="shared" si="352"/>
        <v>0</v>
      </c>
      <c r="LJ1283" s="97">
        <f t="shared" si="352"/>
        <v>0</v>
      </c>
      <c r="LK1283" s="97">
        <f t="shared" si="352"/>
        <v>0</v>
      </c>
      <c r="LL1283" s="97">
        <f t="shared" si="353"/>
        <v>0</v>
      </c>
      <c r="LM1283" s="97">
        <f t="shared" si="353"/>
        <v>0</v>
      </c>
      <c r="LN1283" s="97">
        <f t="shared" si="353"/>
        <v>0</v>
      </c>
      <c r="LO1283" s="102"/>
      <c r="LP1283" s="102"/>
      <c r="LQ1283" s="102"/>
      <c r="LR1283" s="97">
        <f t="shared" si="354"/>
        <v>0</v>
      </c>
      <c r="LS1283" s="97">
        <f t="shared" si="355"/>
        <v>0</v>
      </c>
      <c r="LT1283" s="97">
        <f t="shared" si="356"/>
        <v>0</v>
      </c>
      <c r="LU1283" s="97">
        <f t="shared" si="357"/>
        <v>0</v>
      </c>
      <c r="LV1283" s="97">
        <f t="shared" si="358"/>
        <v>0</v>
      </c>
      <c r="LW1283" s="97">
        <f t="shared" si="359"/>
        <v>0</v>
      </c>
      <c r="LX1283" s="97">
        <f t="shared" si="360"/>
        <v>0</v>
      </c>
      <c r="LY1283" s="97">
        <f t="shared" si="361"/>
        <v>0</v>
      </c>
      <c r="LZ1283" s="97">
        <f t="shared" si="362"/>
        <v>0</v>
      </c>
      <c r="MA1283" s="97">
        <f t="shared" si="363"/>
        <v>0</v>
      </c>
      <c r="MB1283" s="97">
        <f t="shared" si="364"/>
        <v>0</v>
      </c>
      <c r="MC1283" s="97">
        <f t="shared" si="365"/>
        <v>0</v>
      </c>
      <c r="MD1283" s="97">
        <f t="shared" si="366"/>
        <v>0</v>
      </c>
      <c r="ME1283" s="97">
        <f t="shared" si="366"/>
        <v>0</v>
      </c>
      <c r="MF1283" s="97">
        <f t="shared" si="366"/>
        <v>0</v>
      </c>
      <c r="MG1283" s="97">
        <f t="shared" si="367"/>
        <v>0</v>
      </c>
      <c r="MH1283" s="97">
        <f t="shared" si="367"/>
        <v>0</v>
      </c>
      <c r="MI1283" s="97">
        <f t="shared" si="367"/>
        <v>0</v>
      </c>
      <c r="MJ1283" s="102"/>
      <c r="MK1283" s="102"/>
      <c r="ML1283" s="102"/>
      <c r="MM1283" s="97">
        <f t="shared" si="368"/>
        <v>0</v>
      </c>
      <c r="MN1283" s="97">
        <f t="shared" si="369"/>
        <v>0</v>
      </c>
      <c r="MO1283" s="97">
        <f t="shared" si="370"/>
        <v>0</v>
      </c>
      <c r="MP1283" s="97">
        <f t="shared" si="371"/>
        <v>0</v>
      </c>
      <c r="MQ1283" s="97">
        <f t="shared" si="372"/>
        <v>0</v>
      </c>
      <c r="MR1283" s="97">
        <f t="shared" si="373"/>
        <v>0</v>
      </c>
      <c r="MS1283" s="97">
        <f t="shared" si="374"/>
        <v>0</v>
      </c>
      <c r="MT1283" s="97">
        <f t="shared" si="375"/>
        <v>0</v>
      </c>
      <c r="MU1283" s="97">
        <f t="shared" si="376"/>
        <v>0</v>
      </c>
      <c r="MV1283" s="97">
        <f t="shared" si="377"/>
        <v>0</v>
      </c>
      <c r="MW1283" s="97">
        <f t="shared" si="378"/>
        <v>0</v>
      </c>
      <c r="MX1283" s="97">
        <f t="shared" si="379"/>
        <v>0</v>
      </c>
      <c r="MY1283" s="97">
        <f t="shared" si="380"/>
        <v>0</v>
      </c>
      <c r="MZ1283" s="97">
        <f t="shared" si="380"/>
        <v>0</v>
      </c>
      <c r="NA1283" s="97">
        <f t="shared" si="380"/>
        <v>0</v>
      </c>
      <c r="NB1283" s="97">
        <f t="shared" si="381"/>
        <v>0</v>
      </c>
      <c r="NC1283" s="97">
        <f t="shared" si="381"/>
        <v>0</v>
      </c>
      <c r="ND1283" s="97">
        <f t="shared" si="381"/>
        <v>0</v>
      </c>
      <c r="NE1283" s="102"/>
      <c r="NF1283" s="102"/>
      <c r="NG1283" s="102"/>
      <c r="NH1283" s="97">
        <f t="shared" si="382"/>
        <v>0</v>
      </c>
      <c r="NI1283" s="97">
        <f t="shared" si="383"/>
        <v>0</v>
      </c>
      <c r="NJ1283" s="97">
        <f t="shared" si="384"/>
        <v>0</v>
      </c>
      <c r="NK1283" s="97">
        <f t="shared" si="385"/>
        <v>0</v>
      </c>
      <c r="NL1283" s="97">
        <f t="shared" si="386"/>
        <v>0</v>
      </c>
      <c r="NM1283" s="97">
        <f t="shared" si="387"/>
        <v>0</v>
      </c>
      <c r="NN1283" s="97">
        <f t="shared" si="388"/>
        <v>0</v>
      </c>
      <c r="NO1283" s="97">
        <f t="shared" si="389"/>
        <v>0</v>
      </c>
      <c r="NP1283" s="97">
        <f t="shared" si="390"/>
        <v>0</v>
      </c>
      <c r="NQ1283" s="97">
        <f t="shared" si="391"/>
        <v>0</v>
      </c>
      <c r="NR1283" s="97">
        <f t="shared" si="392"/>
        <v>0</v>
      </c>
      <c r="NS1283" s="97">
        <f t="shared" si="393"/>
        <v>0</v>
      </c>
      <c r="NT1283" s="97">
        <f t="shared" si="394"/>
        <v>0</v>
      </c>
      <c r="NU1283" s="97">
        <f t="shared" si="394"/>
        <v>0</v>
      </c>
      <c r="NV1283" s="97">
        <f t="shared" si="394"/>
        <v>0</v>
      </c>
      <c r="NW1283" s="97">
        <f t="shared" si="395"/>
        <v>0</v>
      </c>
      <c r="NX1283" s="97">
        <f t="shared" si="395"/>
        <v>0</v>
      </c>
      <c r="NY1283" s="97">
        <f t="shared" si="395"/>
        <v>0</v>
      </c>
      <c r="NZ1283" s="102"/>
      <c r="OA1283" s="102"/>
      <c r="OB1283" s="102"/>
      <c r="OC1283" s="97">
        <f t="shared" si="396"/>
        <v>0</v>
      </c>
      <c r="OD1283" s="97">
        <f t="shared" si="397"/>
        <v>0</v>
      </c>
      <c r="OE1283" s="97">
        <f t="shared" si="398"/>
        <v>0</v>
      </c>
      <c r="OF1283" s="97">
        <f t="shared" si="399"/>
        <v>0</v>
      </c>
      <c r="OG1283" s="97">
        <f t="shared" si="400"/>
        <v>0</v>
      </c>
      <c r="OH1283" s="97">
        <f t="shared" si="401"/>
        <v>0</v>
      </c>
      <c r="OI1283" s="97">
        <f t="shared" si="402"/>
        <v>0</v>
      </c>
      <c r="OJ1283" s="97">
        <f t="shared" si="403"/>
        <v>0</v>
      </c>
      <c r="OK1283" s="97">
        <f t="shared" si="404"/>
        <v>0</v>
      </c>
      <c r="OL1283" s="97">
        <f t="shared" si="405"/>
        <v>0</v>
      </c>
      <c r="OM1283" s="97">
        <f t="shared" si="406"/>
        <v>0</v>
      </c>
      <c r="ON1283" s="97">
        <f t="shared" si="407"/>
        <v>0</v>
      </c>
      <c r="OO1283" s="97">
        <f t="shared" si="408"/>
        <v>0</v>
      </c>
      <c r="OP1283" s="97">
        <f t="shared" si="408"/>
        <v>0</v>
      </c>
      <c r="OQ1283" s="97">
        <f t="shared" si="408"/>
        <v>0</v>
      </c>
      <c r="OR1283" s="97">
        <f t="shared" si="409"/>
        <v>0</v>
      </c>
      <c r="OS1283" s="97">
        <f t="shared" si="409"/>
        <v>0</v>
      </c>
      <c r="OT1283" s="97">
        <f t="shared" si="409"/>
        <v>0</v>
      </c>
      <c r="OU1283" s="102"/>
      <c r="OV1283" s="102"/>
      <c r="OW1283" s="102"/>
      <c r="OX1283" s="97">
        <f t="shared" si="410"/>
        <v>0</v>
      </c>
      <c r="OY1283" s="97">
        <f t="shared" si="411"/>
        <v>0</v>
      </c>
      <c r="OZ1283" s="97">
        <f t="shared" si="412"/>
        <v>0</v>
      </c>
      <c r="PA1283" s="97">
        <f t="shared" si="413"/>
        <v>0</v>
      </c>
      <c r="PB1283" s="97">
        <f t="shared" si="414"/>
        <v>0</v>
      </c>
      <c r="PC1283" s="97">
        <f t="shared" si="415"/>
        <v>0</v>
      </c>
      <c r="PD1283" s="97">
        <f t="shared" si="416"/>
        <v>0</v>
      </c>
      <c r="PE1283" s="97">
        <f t="shared" si="417"/>
        <v>0</v>
      </c>
      <c r="PF1283" s="97">
        <f t="shared" si="418"/>
        <v>0</v>
      </c>
      <c r="PG1283" s="97">
        <f t="shared" si="419"/>
        <v>0</v>
      </c>
      <c r="PH1283" s="97">
        <f t="shared" si="420"/>
        <v>0</v>
      </c>
      <c r="PI1283" s="97">
        <f t="shared" si="421"/>
        <v>0</v>
      </c>
      <c r="PJ1283" s="97">
        <f t="shared" si="422"/>
        <v>0</v>
      </c>
      <c r="PK1283" s="97">
        <f t="shared" si="422"/>
        <v>0</v>
      </c>
      <c r="PL1283" s="97">
        <f t="shared" si="422"/>
        <v>0</v>
      </c>
      <c r="PM1283" s="97">
        <f t="shared" si="423"/>
        <v>0</v>
      </c>
      <c r="PN1283" s="97">
        <f t="shared" si="423"/>
        <v>0</v>
      </c>
      <c r="PO1283" s="97">
        <f t="shared" si="423"/>
        <v>0</v>
      </c>
      <c r="PP1283" s="102"/>
      <c r="PQ1283" s="102"/>
      <c r="PR1283" s="102"/>
      <c r="PS1283" s="97">
        <f t="shared" si="424"/>
        <v>0</v>
      </c>
      <c r="PT1283" s="97">
        <f t="shared" si="425"/>
        <v>0</v>
      </c>
      <c r="PU1283" s="97">
        <f t="shared" si="426"/>
        <v>0</v>
      </c>
      <c r="PV1283" s="97">
        <f t="shared" si="427"/>
        <v>0</v>
      </c>
      <c r="PW1283" s="97">
        <f t="shared" si="428"/>
        <v>0</v>
      </c>
      <c r="PX1283" s="97">
        <f t="shared" si="429"/>
        <v>0</v>
      </c>
      <c r="PY1283" s="97">
        <f t="shared" si="430"/>
        <v>0</v>
      </c>
      <c r="PZ1283" s="97">
        <f t="shared" si="431"/>
        <v>0</v>
      </c>
      <c r="QA1283" s="97">
        <f t="shared" si="432"/>
        <v>0</v>
      </c>
      <c r="QB1283" s="97">
        <f t="shared" si="433"/>
        <v>0</v>
      </c>
      <c r="QC1283" s="97">
        <f t="shared" si="434"/>
        <v>0</v>
      </c>
      <c r="QD1283" s="97">
        <f t="shared" si="435"/>
        <v>0</v>
      </c>
      <c r="QE1283" s="97">
        <f t="shared" si="436"/>
        <v>0</v>
      </c>
      <c r="QF1283" s="97">
        <f t="shared" si="436"/>
        <v>0</v>
      </c>
      <c r="QG1283" s="97">
        <f t="shared" si="436"/>
        <v>0</v>
      </c>
      <c r="QH1283" s="97">
        <f t="shared" si="437"/>
        <v>0</v>
      </c>
      <c r="QI1283" s="97">
        <f t="shared" si="437"/>
        <v>0</v>
      </c>
      <c r="QJ1283" s="97">
        <f t="shared" si="437"/>
        <v>0</v>
      </c>
      <c r="QK1283" s="102"/>
      <c r="QL1283" s="102"/>
      <c r="QM1283" s="102"/>
      <c r="QN1283" s="97">
        <f t="shared" si="438"/>
        <v>0</v>
      </c>
      <c r="QO1283" s="97">
        <f t="shared" si="439"/>
        <v>0</v>
      </c>
      <c r="QP1283" s="97">
        <f t="shared" si="440"/>
        <v>0</v>
      </c>
      <c r="QQ1283" s="97">
        <f t="shared" si="441"/>
        <v>0</v>
      </c>
      <c r="QR1283" s="97">
        <f t="shared" si="442"/>
        <v>0</v>
      </c>
      <c r="QS1283" s="97">
        <f t="shared" si="443"/>
        <v>0</v>
      </c>
      <c r="QT1283" s="97">
        <f t="shared" si="444"/>
        <v>0</v>
      </c>
      <c r="QU1283" s="97">
        <f t="shared" si="445"/>
        <v>0</v>
      </c>
      <c r="QV1283" s="97">
        <f t="shared" si="446"/>
        <v>0</v>
      </c>
      <c r="QW1283" s="97">
        <f t="shared" si="447"/>
        <v>0</v>
      </c>
      <c r="QX1283" s="97">
        <f t="shared" si="448"/>
        <v>0</v>
      </c>
      <c r="QY1283" s="97">
        <f t="shared" si="449"/>
        <v>0</v>
      </c>
      <c r="QZ1283" s="97">
        <f t="shared" si="450"/>
        <v>0</v>
      </c>
      <c r="RA1283" s="97">
        <f t="shared" si="450"/>
        <v>0</v>
      </c>
      <c r="RB1283" s="97">
        <f t="shared" si="450"/>
        <v>0</v>
      </c>
      <c r="RC1283" s="97">
        <f t="shared" si="451"/>
        <v>0</v>
      </c>
      <c r="RD1283" s="97">
        <f t="shared" si="451"/>
        <v>0</v>
      </c>
      <c r="RE1283" s="97">
        <f t="shared" si="451"/>
        <v>0</v>
      </c>
      <c r="RF1283" s="102"/>
      <c r="RG1283" s="102"/>
      <c r="RH1283" s="102"/>
      <c r="RI1283" s="97">
        <f t="shared" si="452"/>
        <v>0</v>
      </c>
      <c r="RJ1283" s="97">
        <f t="shared" si="453"/>
        <v>0</v>
      </c>
      <c r="RK1283" s="97">
        <f t="shared" si="454"/>
        <v>0</v>
      </c>
      <c r="RL1283" s="97">
        <f t="shared" si="455"/>
        <v>0</v>
      </c>
      <c r="RM1283" s="97">
        <f t="shared" si="456"/>
        <v>0</v>
      </c>
      <c r="RN1283" s="97">
        <f t="shared" si="457"/>
        <v>0</v>
      </c>
      <c r="RO1283" s="97">
        <f t="shared" si="458"/>
        <v>0</v>
      </c>
      <c r="RP1283" s="97">
        <f t="shared" si="459"/>
        <v>0</v>
      </c>
      <c r="RQ1283" s="97">
        <f t="shared" si="460"/>
        <v>0</v>
      </c>
      <c r="RR1283" s="97">
        <f t="shared" si="461"/>
        <v>0</v>
      </c>
      <c r="RS1283" s="97">
        <f t="shared" si="462"/>
        <v>0</v>
      </c>
      <c r="RT1283" s="97">
        <f t="shared" si="463"/>
        <v>0</v>
      </c>
      <c r="RU1283" s="97">
        <f t="shared" si="464"/>
        <v>0</v>
      </c>
      <c r="RV1283" s="97">
        <f t="shared" si="464"/>
        <v>0</v>
      </c>
      <c r="RW1283" s="97">
        <f t="shared" si="464"/>
        <v>0</v>
      </c>
      <c r="RX1283" s="97">
        <f t="shared" si="465"/>
        <v>0</v>
      </c>
      <c r="RY1283" s="97">
        <f t="shared" si="465"/>
        <v>0</v>
      </c>
      <c r="RZ1283" s="97">
        <f t="shared" si="465"/>
        <v>0</v>
      </c>
      <c r="SA1283" s="102"/>
      <c r="SB1283" s="102"/>
      <c r="SC1283" s="102"/>
      <c r="SD1283" s="97">
        <f t="shared" si="466"/>
        <v>0</v>
      </c>
      <c r="SE1283" s="97">
        <f t="shared" si="467"/>
        <v>0</v>
      </c>
      <c r="SF1283" s="97">
        <f t="shared" si="468"/>
        <v>0</v>
      </c>
      <c r="SG1283" s="97">
        <f t="shared" si="469"/>
        <v>0</v>
      </c>
      <c r="SH1283" s="97">
        <f t="shared" si="470"/>
        <v>0</v>
      </c>
      <c r="SI1283" s="97">
        <f t="shared" si="471"/>
        <v>0</v>
      </c>
      <c r="SJ1283" s="97">
        <f t="shared" si="472"/>
        <v>0</v>
      </c>
      <c r="SK1283" s="97">
        <f t="shared" si="473"/>
        <v>0</v>
      </c>
      <c r="SL1283" s="97">
        <f t="shared" si="474"/>
        <v>0</v>
      </c>
      <c r="SM1283" s="97">
        <f t="shared" si="475"/>
        <v>0</v>
      </c>
      <c r="SN1283" s="97">
        <f t="shared" si="476"/>
        <v>0</v>
      </c>
      <c r="SO1283" s="97">
        <f t="shared" si="477"/>
        <v>0</v>
      </c>
      <c r="SP1283" s="97">
        <f t="shared" si="478"/>
        <v>0</v>
      </c>
      <c r="SQ1283" s="97">
        <f t="shared" si="478"/>
        <v>0</v>
      </c>
      <c r="SR1283" s="97">
        <f t="shared" si="478"/>
        <v>0</v>
      </c>
      <c r="SS1283" s="97">
        <f t="shared" si="479"/>
        <v>0</v>
      </c>
      <c r="ST1283" s="97">
        <f t="shared" si="479"/>
        <v>0</v>
      </c>
      <c r="SU1283" s="97">
        <f t="shared" si="479"/>
        <v>0</v>
      </c>
      <c r="SV1283" s="102"/>
      <c r="SW1283" s="102"/>
      <c r="SX1283" s="102"/>
      <c r="SY1283" s="97">
        <f t="shared" si="480"/>
        <v>0</v>
      </c>
      <c r="SZ1283" s="97">
        <f t="shared" si="481"/>
        <v>0</v>
      </c>
      <c r="TA1283" s="97">
        <f t="shared" si="482"/>
        <v>0</v>
      </c>
      <c r="TB1283" s="97">
        <f t="shared" si="483"/>
        <v>0</v>
      </c>
      <c r="TC1283" s="97">
        <f t="shared" si="484"/>
        <v>0</v>
      </c>
      <c r="TD1283" s="97">
        <f t="shared" si="485"/>
        <v>0</v>
      </c>
      <c r="TE1283" s="97">
        <f t="shared" si="486"/>
        <v>0</v>
      </c>
      <c r="TF1283" s="97">
        <f t="shared" si="487"/>
        <v>0</v>
      </c>
      <c r="TG1283" s="97">
        <f t="shared" si="488"/>
        <v>0</v>
      </c>
      <c r="TH1283" s="97">
        <f t="shared" si="489"/>
        <v>0</v>
      </c>
      <c r="TI1283" s="97">
        <f t="shared" si="490"/>
        <v>0</v>
      </c>
      <c r="TJ1283" s="97">
        <f t="shared" si="491"/>
        <v>0</v>
      </c>
      <c r="TK1283" s="97">
        <f t="shared" si="492"/>
        <v>0</v>
      </c>
      <c r="TL1283" s="97">
        <f t="shared" si="492"/>
        <v>0</v>
      </c>
      <c r="TM1283" s="97">
        <f t="shared" si="492"/>
        <v>0</v>
      </c>
      <c r="TN1283" s="97">
        <f t="shared" si="493"/>
        <v>0</v>
      </c>
      <c r="TO1283" s="97">
        <f t="shared" si="493"/>
        <v>0</v>
      </c>
      <c r="TP1283" s="97">
        <f t="shared" si="493"/>
        <v>0</v>
      </c>
      <c r="TQ1283" s="102"/>
      <c r="TR1283" s="102"/>
      <c r="TS1283" s="102"/>
      <c r="TT1283" s="97">
        <f t="shared" si="494"/>
        <v>0</v>
      </c>
      <c r="TU1283" s="97">
        <f t="shared" si="495"/>
        <v>0</v>
      </c>
      <c r="TV1283" s="97">
        <f t="shared" si="496"/>
        <v>0</v>
      </c>
      <c r="TW1283" s="97">
        <f t="shared" si="497"/>
        <v>0</v>
      </c>
      <c r="TX1283" s="97">
        <f t="shared" si="498"/>
        <v>0</v>
      </c>
      <c r="TY1283" s="97">
        <f t="shared" si="499"/>
        <v>0</v>
      </c>
      <c r="TZ1283" s="97">
        <f t="shared" si="500"/>
        <v>0</v>
      </c>
      <c r="UA1283" s="97">
        <f t="shared" si="501"/>
        <v>0</v>
      </c>
      <c r="UB1283" s="97">
        <f t="shared" si="502"/>
        <v>0</v>
      </c>
      <c r="UC1283" s="97">
        <f t="shared" si="503"/>
        <v>0</v>
      </c>
      <c r="UD1283" s="97">
        <f t="shared" si="504"/>
        <v>0</v>
      </c>
      <c r="UE1283" s="97">
        <f t="shared" si="505"/>
        <v>0</v>
      </c>
      <c r="UF1283" s="97">
        <f t="shared" si="506"/>
        <v>0</v>
      </c>
      <c r="UG1283" s="97">
        <f t="shared" si="506"/>
        <v>0</v>
      </c>
      <c r="UH1283" s="97">
        <f t="shared" si="506"/>
        <v>0</v>
      </c>
      <c r="UI1283" s="97">
        <f t="shared" si="507"/>
        <v>0</v>
      </c>
      <c r="UJ1283" s="97">
        <f t="shared" si="507"/>
        <v>0</v>
      </c>
      <c r="UK1283" s="97">
        <f t="shared" si="507"/>
        <v>0</v>
      </c>
      <c r="UL1283" s="102"/>
      <c r="UM1283" s="102"/>
      <c r="UN1283" s="102"/>
      <c r="UO1283" s="97">
        <f t="shared" si="508"/>
        <v>0</v>
      </c>
      <c r="UP1283" s="97">
        <f t="shared" si="509"/>
        <v>0</v>
      </c>
      <c r="UQ1283" s="97">
        <f t="shared" si="510"/>
        <v>0</v>
      </c>
      <c r="UR1283" s="97">
        <f t="shared" si="511"/>
        <v>0</v>
      </c>
      <c r="US1283" s="97">
        <f t="shared" si="512"/>
        <v>0</v>
      </c>
      <c r="UT1283" s="97">
        <f t="shared" si="513"/>
        <v>0</v>
      </c>
      <c r="UU1283" s="97">
        <f t="shared" si="514"/>
        <v>50264.61</v>
      </c>
      <c r="UV1283" s="97">
        <f t="shared" si="515"/>
        <v>52799.51</v>
      </c>
      <c r="UW1283" s="97">
        <f t="shared" si="516"/>
        <v>54898.03</v>
      </c>
      <c r="UX1283" s="97">
        <f t="shared" si="517"/>
        <v>11994.84</v>
      </c>
      <c r="UY1283" s="97">
        <f t="shared" si="518"/>
        <v>12680.95</v>
      </c>
      <c r="UZ1283" s="97">
        <f t="shared" si="519"/>
        <v>13508.54</v>
      </c>
      <c r="VA1283" s="97">
        <f t="shared" si="520"/>
        <v>0</v>
      </c>
      <c r="VB1283" s="97">
        <f t="shared" si="520"/>
        <v>0</v>
      </c>
      <c r="VC1283" s="97">
        <f t="shared" si="520"/>
        <v>0</v>
      </c>
      <c r="VD1283" s="97">
        <f t="shared" si="521"/>
        <v>0</v>
      </c>
      <c r="VE1283" s="97">
        <f t="shared" si="521"/>
        <v>0</v>
      </c>
      <c r="VF1283" s="97">
        <f t="shared" si="521"/>
        <v>0</v>
      </c>
      <c r="VG1283" s="102"/>
      <c r="VH1283" s="102"/>
      <c r="VI1283" s="102"/>
      <c r="VJ1283" s="97">
        <f t="shared" si="522"/>
        <v>0</v>
      </c>
      <c r="VK1283" s="97">
        <f t="shared" si="523"/>
        <v>0</v>
      </c>
      <c r="VL1283" s="97">
        <f t="shared" si="524"/>
        <v>0</v>
      </c>
      <c r="VM1283" s="97">
        <f t="shared" si="525"/>
        <v>0</v>
      </c>
      <c r="VN1283" s="97">
        <f t="shared" si="526"/>
        <v>0</v>
      </c>
      <c r="VO1283" s="97">
        <f t="shared" si="527"/>
        <v>0</v>
      </c>
      <c r="VP1283" s="97">
        <f t="shared" si="528"/>
        <v>0</v>
      </c>
      <c r="VQ1283" s="97">
        <f t="shared" si="529"/>
        <v>0</v>
      </c>
      <c r="VR1283" s="97">
        <f t="shared" si="530"/>
        <v>0</v>
      </c>
      <c r="VS1283" s="97">
        <f t="shared" si="531"/>
        <v>0</v>
      </c>
      <c r="VT1283" s="97">
        <f t="shared" si="532"/>
        <v>0</v>
      </c>
      <c r="VU1283" s="97">
        <f t="shared" si="533"/>
        <v>0</v>
      </c>
      <c r="VV1283" s="97">
        <f t="shared" si="534"/>
        <v>0</v>
      </c>
      <c r="VW1283" s="97">
        <f t="shared" si="534"/>
        <v>0</v>
      </c>
      <c r="VX1283" s="97">
        <f t="shared" si="534"/>
        <v>0</v>
      </c>
      <c r="VY1283" s="97">
        <f t="shared" si="535"/>
        <v>0</v>
      </c>
      <c r="VZ1283" s="97">
        <f t="shared" si="535"/>
        <v>0</v>
      </c>
      <c r="WA1283" s="97">
        <f t="shared" si="535"/>
        <v>0</v>
      </c>
      <c r="WB1283" s="102"/>
      <c r="WC1283" s="102"/>
      <c r="WD1283" s="102"/>
      <c r="WE1283" s="97">
        <f t="shared" si="536"/>
        <v>0</v>
      </c>
      <c r="WF1283" s="97">
        <f t="shared" si="537"/>
        <v>0</v>
      </c>
      <c r="WG1283" s="97">
        <f t="shared" si="538"/>
        <v>0</v>
      </c>
      <c r="WH1283" s="97">
        <f t="shared" si="539"/>
        <v>0</v>
      </c>
      <c r="WI1283" s="97">
        <f t="shared" si="540"/>
        <v>0</v>
      </c>
      <c r="WJ1283" s="97">
        <f t="shared" si="541"/>
        <v>0</v>
      </c>
      <c r="WK1283" s="97">
        <f t="shared" si="542"/>
        <v>0</v>
      </c>
      <c r="WL1283" s="97">
        <f t="shared" si="543"/>
        <v>0</v>
      </c>
      <c r="WM1283" s="97">
        <f t="shared" si="544"/>
        <v>0</v>
      </c>
      <c r="WN1283" s="97">
        <f t="shared" si="545"/>
        <v>0</v>
      </c>
      <c r="WO1283" s="97">
        <f t="shared" si="546"/>
        <v>0</v>
      </c>
      <c r="WP1283" s="97">
        <f t="shared" si="547"/>
        <v>0</v>
      </c>
      <c r="WQ1283" s="97">
        <f t="shared" si="548"/>
        <v>0</v>
      </c>
      <c r="WR1283" s="97">
        <f t="shared" si="548"/>
        <v>0</v>
      </c>
      <c r="WS1283" s="97">
        <f t="shared" si="548"/>
        <v>0</v>
      </c>
      <c r="WT1283" s="97">
        <f t="shared" si="549"/>
        <v>0</v>
      </c>
      <c r="WU1283" s="97">
        <f t="shared" si="549"/>
        <v>0</v>
      </c>
      <c r="WV1283" s="97">
        <f t="shared" si="549"/>
        <v>0</v>
      </c>
      <c r="WW1283" s="102"/>
      <c r="WX1283" s="102"/>
      <c r="WY1283" s="102"/>
      <c r="WZ1283" s="97">
        <f t="shared" si="550"/>
        <v>0</v>
      </c>
      <c r="XA1283" s="97">
        <f t="shared" si="551"/>
        <v>0</v>
      </c>
      <c r="XB1283" s="97">
        <f t="shared" si="552"/>
        <v>0</v>
      </c>
      <c r="XC1283" s="97">
        <f t="shared" si="553"/>
        <v>0</v>
      </c>
      <c r="XD1283" s="97">
        <f t="shared" si="554"/>
        <v>0</v>
      </c>
      <c r="XE1283" s="97">
        <f t="shared" si="555"/>
        <v>0</v>
      </c>
      <c r="XF1283" s="97">
        <f t="shared" si="556"/>
        <v>0</v>
      </c>
      <c r="XG1283" s="97">
        <f t="shared" si="557"/>
        <v>0</v>
      </c>
      <c r="XH1283" s="97">
        <f t="shared" si="558"/>
        <v>0</v>
      </c>
      <c r="XI1283" s="97">
        <f t="shared" si="559"/>
        <v>0</v>
      </c>
      <c r="XJ1283" s="97">
        <f t="shared" si="560"/>
        <v>0</v>
      </c>
      <c r="XK1283" s="97">
        <f t="shared" si="561"/>
        <v>0</v>
      </c>
      <c r="XL1283" s="97">
        <f t="shared" si="562"/>
        <v>0</v>
      </c>
      <c r="XM1283" s="97">
        <f t="shared" si="562"/>
        <v>0</v>
      </c>
      <c r="XN1283" s="97">
        <f t="shared" si="562"/>
        <v>0</v>
      </c>
      <c r="XO1283" s="97">
        <f t="shared" si="563"/>
        <v>0</v>
      </c>
      <c r="XP1283" s="97">
        <f t="shared" si="563"/>
        <v>0</v>
      </c>
      <c r="XQ1283" s="97">
        <f t="shared" si="563"/>
        <v>0</v>
      </c>
      <c r="XR1283" s="102"/>
      <c r="XS1283" s="102"/>
      <c r="XT1283" s="102"/>
      <c r="XU1283" s="97">
        <f t="shared" si="564"/>
        <v>0</v>
      </c>
      <c r="XV1283" s="97">
        <f t="shared" si="565"/>
        <v>0</v>
      </c>
      <c r="XW1283" s="97">
        <f t="shared" si="566"/>
        <v>0</v>
      </c>
      <c r="XX1283" s="97">
        <f t="shared" si="567"/>
        <v>0</v>
      </c>
      <c r="XY1283" s="97">
        <f t="shared" si="568"/>
        <v>0</v>
      </c>
      <c r="XZ1283" s="97">
        <f t="shared" si="569"/>
        <v>0</v>
      </c>
      <c r="YA1283" s="97">
        <f t="shared" si="570"/>
        <v>0</v>
      </c>
      <c r="YB1283" s="97">
        <f t="shared" si="571"/>
        <v>0</v>
      </c>
      <c r="YC1283" s="97">
        <f t="shared" si="572"/>
        <v>0</v>
      </c>
      <c r="YD1283" s="97">
        <f t="shared" si="573"/>
        <v>0</v>
      </c>
      <c r="YE1283" s="97">
        <f t="shared" si="574"/>
        <v>0</v>
      </c>
      <c r="YF1283" s="97">
        <f t="shared" si="575"/>
        <v>0</v>
      </c>
      <c r="YG1283" s="97">
        <f t="shared" si="576"/>
        <v>0</v>
      </c>
      <c r="YH1283" s="97">
        <f t="shared" si="576"/>
        <v>0</v>
      </c>
      <c r="YI1283" s="97">
        <f t="shared" si="576"/>
        <v>0</v>
      </c>
      <c r="YJ1283" s="97">
        <f t="shared" si="577"/>
        <v>0</v>
      </c>
      <c r="YK1283" s="97">
        <f t="shared" si="577"/>
        <v>0</v>
      </c>
      <c r="YL1283" s="97">
        <f t="shared" si="577"/>
        <v>0</v>
      </c>
      <c r="YM1283" s="145">
        <f t="shared" si="601"/>
        <v>0</v>
      </c>
      <c r="YN1283" s="145">
        <f t="shared" si="578"/>
        <v>0</v>
      </c>
      <c r="YO1283" s="145">
        <f t="shared" si="578"/>
        <v>0</v>
      </c>
      <c r="YP1283" s="97">
        <f t="shared" si="579"/>
        <v>0</v>
      </c>
      <c r="YQ1283" s="97">
        <f t="shared" si="580"/>
        <v>0</v>
      </c>
      <c r="YR1283" s="97">
        <f t="shared" si="581"/>
        <v>0</v>
      </c>
      <c r="YS1283" s="97">
        <f t="shared" si="582"/>
        <v>0</v>
      </c>
      <c r="YT1283" s="97">
        <f t="shared" si="583"/>
        <v>0</v>
      </c>
      <c r="YU1283" s="97">
        <f t="shared" si="584"/>
        <v>0</v>
      </c>
      <c r="YV1283" s="97">
        <f t="shared" si="585"/>
        <v>50264.61</v>
      </c>
      <c r="YW1283" s="97">
        <f t="shared" si="586"/>
        <v>52799.51</v>
      </c>
      <c r="YX1283" s="97">
        <f t="shared" si="587"/>
        <v>54898.03</v>
      </c>
      <c r="YY1283" s="97">
        <f t="shared" si="588"/>
        <v>11994.84</v>
      </c>
      <c r="YZ1283" s="97">
        <f t="shared" si="589"/>
        <v>12680.95</v>
      </c>
      <c r="ZA1283" s="97">
        <f t="shared" si="590"/>
        <v>13508.54</v>
      </c>
      <c r="ZB1283" s="97">
        <f t="shared" si="591"/>
        <v>0</v>
      </c>
      <c r="ZC1283" s="97">
        <f t="shared" si="591"/>
        <v>0</v>
      </c>
      <c r="ZD1283" s="97">
        <f t="shared" si="591"/>
        <v>0</v>
      </c>
      <c r="ZE1283" s="97">
        <f t="shared" si="592"/>
        <v>0</v>
      </c>
      <c r="ZF1283" s="97">
        <f t="shared" si="592"/>
        <v>0</v>
      </c>
      <c r="ZG1283" s="97">
        <f t="shared" si="592"/>
        <v>0</v>
      </c>
    </row>
    <row r="1284" spans="1:683" ht="38.25" hidden="1" customHeight="1" x14ac:dyDescent="0.25">
      <c r="A1284" s="174" t="s">
        <v>414</v>
      </c>
      <c r="B1284" s="174" t="s">
        <v>430</v>
      </c>
      <c r="C1284" s="5"/>
      <c r="D1284" s="340"/>
      <c r="E1284" s="163"/>
      <c r="F1284" s="110">
        <f t="shared" si="148"/>
        <v>70591</v>
      </c>
      <c r="G1284" s="110">
        <f t="shared" si="148"/>
        <v>72315</v>
      </c>
      <c r="H1284" s="110">
        <f t="shared" si="148"/>
        <v>74621</v>
      </c>
      <c r="I1284" s="97">
        <f t="shared" si="149"/>
        <v>70581</v>
      </c>
      <c r="J1284" s="97">
        <f t="shared" si="149"/>
        <v>73124</v>
      </c>
      <c r="K1284" s="97">
        <f t="shared" si="149"/>
        <v>75032</v>
      </c>
      <c r="L1284" s="102"/>
      <c r="M1284" s="102"/>
      <c r="N1284" s="102"/>
      <c r="O1284" s="97">
        <f t="shared" si="593"/>
        <v>0</v>
      </c>
      <c r="P1284" s="97">
        <f t="shared" si="594"/>
        <v>0</v>
      </c>
      <c r="Q1284" s="97">
        <f t="shared" si="595"/>
        <v>0</v>
      </c>
      <c r="R1284" s="97">
        <f t="shared" si="596"/>
        <v>0</v>
      </c>
      <c r="S1284" s="97">
        <f t="shared" si="597"/>
        <v>0</v>
      </c>
      <c r="T1284" s="97">
        <f t="shared" si="598"/>
        <v>0</v>
      </c>
      <c r="U1284" s="97">
        <f t="shared" si="150"/>
        <v>0</v>
      </c>
      <c r="V1284" s="97">
        <f t="shared" si="151"/>
        <v>0</v>
      </c>
      <c r="W1284" s="97">
        <f t="shared" si="152"/>
        <v>0</v>
      </c>
      <c r="X1284" s="97">
        <f t="shared" si="153"/>
        <v>0</v>
      </c>
      <c r="Y1284" s="97">
        <f t="shared" si="154"/>
        <v>0</v>
      </c>
      <c r="Z1284" s="97">
        <f t="shared" si="155"/>
        <v>0</v>
      </c>
      <c r="AA1284" s="97">
        <f t="shared" si="599"/>
        <v>0</v>
      </c>
      <c r="AB1284" s="97">
        <f t="shared" si="156"/>
        <v>0</v>
      </c>
      <c r="AC1284" s="97">
        <f t="shared" si="156"/>
        <v>0</v>
      </c>
      <c r="AD1284" s="97">
        <f t="shared" si="600"/>
        <v>0</v>
      </c>
      <c r="AE1284" s="97">
        <f t="shared" si="157"/>
        <v>0</v>
      </c>
      <c r="AF1284" s="97">
        <f t="shared" si="157"/>
        <v>0</v>
      </c>
      <c r="AG1284" s="102"/>
      <c r="AH1284" s="102"/>
      <c r="AI1284" s="102"/>
      <c r="AJ1284" s="97">
        <f t="shared" si="158"/>
        <v>0</v>
      </c>
      <c r="AK1284" s="97">
        <f t="shared" si="159"/>
        <v>0</v>
      </c>
      <c r="AL1284" s="97">
        <f t="shared" si="160"/>
        <v>0</v>
      </c>
      <c r="AM1284" s="97">
        <f t="shared" si="161"/>
        <v>0</v>
      </c>
      <c r="AN1284" s="97">
        <f t="shared" si="162"/>
        <v>0</v>
      </c>
      <c r="AO1284" s="97">
        <f t="shared" si="163"/>
        <v>0</v>
      </c>
      <c r="AP1284" s="97">
        <f t="shared" si="164"/>
        <v>0</v>
      </c>
      <c r="AQ1284" s="97">
        <f t="shared" si="165"/>
        <v>0</v>
      </c>
      <c r="AR1284" s="97">
        <f t="shared" si="166"/>
        <v>0</v>
      </c>
      <c r="AS1284" s="97">
        <f t="shared" si="167"/>
        <v>0</v>
      </c>
      <c r="AT1284" s="97">
        <f t="shared" si="168"/>
        <v>0</v>
      </c>
      <c r="AU1284" s="97">
        <f t="shared" si="169"/>
        <v>0</v>
      </c>
      <c r="AV1284" s="97">
        <f t="shared" si="170"/>
        <v>0</v>
      </c>
      <c r="AW1284" s="97">
        <f t="shared" si="170"/>
        <v>0</v>
      </c>
      <c r="AX1284" s="97">
        <f t="shared" si="170"/>
        <v>0</v>
      </c>
      <c r="AY1284" s="97">
        <f t="shared" si="171"/>
        <v>0</v>
      </c>
      <c r="AZ1284" s="97">
        <f t="shared" si="171"/>
        <v>0</v>
      </c>
      <c r="BA1284" s="97">
        <f t="shared" si="171"/>
        <v>0</v>
      </c>
      <c r="BB1284" s="102"/>
      <c r="BC1284" s="102"/>
      <c r="BD1284" s="102"/>
      <c r="BE1284" s="97">
        <f t="shared" si="172"/>
        <v>0</v>
      </c>
      <c r="BF1284" s="97">
        <f t="shared" si="173"/>
        <v>0</v>
      </c>
      <c r="BG1284" s="97">
        <f t="shared" si="174"/>
        <v>0</v>
      </c>
      <c r="BH1284" s="97">
        <f t="shared" si="175"/>
        <v>0</v>
      </c>
      <c r="BI1284" s="97">
        <f t="shared" si="176"/>
        <v>0</v>
      </c>
      <c r="BJ1284" s="97">
        <f t="shared" si="177"/>
        <v>0</v>
      </c>
      <c r="BK1284" s="97">
        <f t="shared" si="178"/>
        <v>0</v>
      </c>
      <c r="BL1284" s="97">
        <f t="shared" si="179"/>
        <v>0</v>
      </c>
      <c r="BM1284" s="97">
        <f t="shared" si="180"/>
        <v>0</v>
      </c>
      <c r="BN1284" s="97">
        <f t="shared" si="181"/>
        <v>0</v>
      </c>
      <c r="BO1284" s="97">
        <f t="shared" si="182"/>
        <v>0</v>
      </c>
      <c r="BP1284" s="97">
        <f t="shared" si="183"/>
        <v>0</v>
      </c>
      <c r="BQ1284" s="97">
        <f t="shared" si="184"/>
        <v>0</v>
      </c>
      <c r="BR1284" s="97">
        <f t="shared" si="184"/>
        <v>0</v>
      </c>
      <c r="BS1284" s="97">
        <f t="shared" si="184"/>
        <v>0</v>
      </c>
      <c r="BT1284" s="97">
        <f t="shared" si="185"/>
        <v>0</v>
      </c>
      <c r="BU1284" s="97">
        <f t="shared" si="185"/>
        <v>0</v>
      </c>
      <c r="BV1284" s="97">
        <f t="shared" si="185"/>
        <v>0</v>
      </c>
      <c r="BW1284" s="102"/>
      <c r="BX1284" s="102"/>
      <c r="BY1284" s="102"/>
      <c r="BZ1284" s="97">
        <f t="shared" si="186"/>
        <v>0</v>
      </c>
      <c r="CA1284" s="97">
        <f t="shared" si="187"/>
        <v>0</v>
      </c>
      <c r="CB1284" s="97">
        <f t="shared" si="188"/>
        <v>0</v>
      </c>
      <c r="CC1284" s="97">
        <f t="shared" si="189"/>
        <v>0</v>
      </c>
      <c r="CD1284" s="97">
        <f t="shared" si="190"/>
        <v>0</v>
      </c>
      <c r="CE1284" s="97">
        <f t="shared" si="191"/>
        <v>0</v>
      </c>
      <c r="CF1284" s="97">
        <f t="shared" si="192"/>
        <v>0</v>
      </c>
      <c r="CG1284" s="97">
        <f t="shared" si="193"/>
        <v>0</v>
      </c>
      <c r="CH1284" s="97">
        <f t="shared" si="194"/>
        <v>0</v>
      </c>
      <c r="CI1284" s="97">
        <f t="shared" si="195"/>
        <v>0</v>
      </c>
      <c r="CJ1284" s="97">
        <f t="shared" si="196"/>
        <v>0</v>
      </c>
      <c r="CK1284" s="97">
        <f t="shared" si="197"/>
        <v>0</v>
      </c>
      <c r="CL1284" s="97">
        <f t="shared" si="198"/>
        <v>0</v>
      </c>
      <c r="CM1284" s="97">
        <f t="shared" si="198"/>
        <v>0</v>
      </c>
      <c r="CN1284" s="97">
        <f t="shared" si="198"/>
        <v>0</v>
      </c>
      <c r="CO1284" s="97">
        <f t="shared" si="199"/>
        <v>0</v>
      </c>
      <c r="CP1284" s="97">
        <f t="shared" si="199"/>
        <v>0</v>
      </c>
      <c r="CQ1284" s="97">
        <f t="shared" si="199"/>
        <v>0</v>
      </c>
      <c r="CR1284" s="102"/>
      <c r="CS1284" s="102"/>
      <c r="CT1284" s="102"/>
      <c r="CU1284" s="97">
        <f t="shared" si="200"/>
        <v>0</v>
      </c>
      <c r="CV1284" s="97">
        <f t="shared" si="201"/>
        <v>0</v>
      </c>
      <c r="CW1284" s="97">
        <f t="shared" si="202"/>
        <v>0</v>
      </c>
      <c r="CX1284" s="97">
        <f t="shared" si="203"/>
        <v>0</v>
      </c>
      <c r="CY1284" s="97">
        <f t="shared" si="204"/>
        <v>0</v>
      </c>
      <c r="CZ1284" s="97">
        <f t="shared" si="205"/>
        <v>0</v>
      </c>
      <c r="DA1284" s="97">
        <f t="shared" si="206"/>
        <v>0</v>
      </c>
      <c r="DB1284" s="97">
        <f t="shared" si="207"/>
        <v>0</v>
      </c>
      <c r="DC1284" s="97">
        <f t="shared" si="208"/>
        <v>0</v>
      </c>
      <c r="DD1284" s="97">
        <f t="shared" si="209"/>
        <v>0</v>
      </c>
      <c r="DE1284" s="97">
        <f t="shared" si="210"/>
        <v>0</v>
      </c>
      <c r="DF1284" s="97">
        <f t="shared" si="211"/>
        <v>0</v>
      </c>
      <c r="DG1284" s="97">
        <f t="shared" si="212"/>
        <v>0</v>
      </c>
      <c r="DH1284" s="97">
        <f t="shared" si="212"/>
        <v>0</v>
      </c>
      <c r="DI1284" s="97">
        <f t="shared" si="212"/>
        <v>0</v>
      </c>
      <c r="DJ1284" s="97">
        <f t="shared" si="213"/>
        <v>0</v>
      </c>
      <c r="DK1284" s="97">
        <f t="shared" si="213"/>
        <v>0</v>
      </c>
      <c r="DL1284" s="97">
        <f t="shared" si="213"/>
        <v>0</v>
      </c>
      <c r="DM1284" s="102"/>
      <c r="DN1284" s="102"/>
      <c r="DO1284" s="102"/>
      <c r="DP1284" s="97">
        <f t="shared" si="214"/>
        <v>0</v>
      </c>
      <c r="DQ1284" s="97">
        <f t="shared" si="215"/>
        <v>0</v>
      </c>
      <c r="DR1284" s="97">
        <f t="shared" si="216"/>
        <v>0</v>
      </c>
      <c r="DS1284" s="97">
        <f t="shared" si="217"/>
        <v>0</v>
      </c>
      <c r="DT1284" s="97">
        <f t="shared" si="218"/>
        <v>0</v>
      </c>
      <c r="DU1284" s="97">
        <f t="shared" si="219"/>
        <v>0</v>
      </c>
      <c r="DV1284" s="97">
        <f t="shared" si="220"/>
        <v>0</v>
      </c>
      <c r="DW1284" s="97">
        <f t="shared" si="221"/>
        <v>0</v>
      </c>
      <c r="DX1284" s="97">
        <f t="shared" si="222"/>
        <v>0</v>
      </c>
      <c r="DY1284" s="97">
        <f t="shared" si="223"/>
        <v>0</v>
      </c>
      <c r="DZ1284" s="97">
        <f t="shared" si="224"/>
        <v>0</v>
      </c>
      <c r="EA1284" s="97">
        <f t="shared" si="225"/>
        <v>0</v>
      </c>
      <c r="EB1284" s="97">
        <f t="shared" si="226"/>
        <v>0</v>
      </c>
      <c r="EC1284" s="97">
        <f t="shared" si="226"/>
        <v>0</v>
      </c>
      <c r="ED1284" s="97">
        <f t="shared" si="226"/>
        <v>0</v>
      </c>
      <c r="EE1284" s="97">
        <f t="shared" si="227"/>
        <v>0</v>
      </c>
      <c r="EF1284" s="97">
        <f t="shared" si="227"/>
        <v>0</v>
      </c>
      <c r="EG1284" s="97">
        <f t="shared" si="227"/>
        <v>0</v>
      </c>
      <c r="EH1284" s="102"/>
      <c r="EI1284" s="102"/>
      <c r="EJ1284" s="102"/>
      <c r="EK1284" s="97">
        <f t="shared" si="228"/>
        <v>0</v>
      </c>
      <c r="EL1284" s="97">
        <f t="shared" si="229"/>
        <v>0</v>
      </c>
      <c r="EM1284" s="97">
        <f t="shared" si="230"/>
        <v>0</v>
      </c>
      <c r="EN1284" s="97">
        <f t="shared" si="231"/>
        <v>0</v>
      </c>
      <c r="EO1284" s="97">
        <f t="shared" si="232"/>
        <v>0</v>
      </c>
      <c r="EP1284" s="97">
        <f t="shared" si="233"/>
        <v>0</v>
      </c>
      <c r="EQ1284" s="97">
        <f t="shared" si="234"/>
        <v>0</v>
      </c>
      <c r="ER1284" s="97">
        <f t="shared" si="235"/>
        <v>0</v>
      </c>
      <c r="ES1284" s="97">
        <f t="shared" si="236"/>
        <v>0</v>
      </c>
      <c r="ET1284" s="97">
        <f t="shared" si="237"/>
        <v>0</v>
      </c>
      <c r="EU1284" s="97">
        <f t="shared" si="238"/>
        <v>0</v>
      </c>
      <c r="EV1284" s="97">
        <f t="shared" si="239"/>
        <v>0</v>
      </c>
      <c r="EW1284" s="97">
        <f t="shared" si="240"/>
        <v>0</v>
      </c>
      <c r="EX1284" s="97">
        <f t="shared" si="240"/>
        <v>0</v>
      </c>
      <c r="EY1284" s="97">
        <f t="shared" si="240"/>
        <v>0</v>
      </c>
      <c r="EZ1284" s="97">
        <f t="shared" si="241"/>
        <v>0</v>
      </c>
      <c r="FA1284" s="97">
        <f t="shared" si="241"/>
        <v>0</v>
      </c>
      <c r="FB1284" s="97">
        <f t="shared" si="241"/>
        <v>0</v>
      </c>
      <c r="FC1284" s="102"/>
      <c r="FD1284" s="102"/>
      <c r="FE1284" s="102"/>
      <c r="FF1284" s="97">
        <f t="shared" si="242"/>
        <v>0</v>
      </c>
      <c r="FG1284" s="97">
        <f t="shared" si="243"/>
        <v>0</v>
      </c>
      <c r="FH1284" s="97">
        <f t="shared" si="244"/>
        <v>0</v>
      </c>
      <c r="FI1284" s="97">
        <f t="shared" si="245"/>
        <v>0</v>
      </c>
      <c r="FJ1284" s="97">
        <f t="shared" si="246"/>
        <v>0</v>
      </c>
      <c r="FK1284" s="97">
        <f t="shared" si="247"/>
        <v>0</v>
      </c>
      <c r="FL1284" s="97">
        <f t="shared" si="248"/>
        <v>0</v>
      </c>
      <c r="FM1284" s="97">
        <f t="shared" si="249"/>
        <v>0</v>
      </c>
      <c r="FN1284" s="97">
        <f t="shared" si="250"/>
        <v>0</v>
      </c>
      <c r="FO1284" s="97">
        <f t="shared" si="251"/>
        <v>0</v>
      </c>
      <c r="FP1284" s="97">
        <f t="shared" si="252"/>
        <v>0</v>
      </c>
      <c r="FQ1284" s="97">
        <f t="shared" si="253"/>
        <v>0</v>
      </c>
      <c r="FR1284" s="97">
        <f t="shared" si="254"/>
        <v>0</v>
      </c>
      <c r="FS1284" s="97">
        <f t="shared" si="254"/>
        <v>0</v>
      </c>
      <c r="FT1284" s="97">
        <f t="shared" si="254"/>
        <v>0</v>
      </c>
      <c r="FU1284" s="97">
        <f t="shared" si="255"/>
        <v>0</v>
      </c>
      <c r="FV1284" s="97">
        <f t="shared" si="255"/>
        <v>0</v>
      </c>
      <c r="FW1284" s="97">
        <f t="shared" si="255"/>
        <v>0</v>
      </c>
      <c r="FX1284" s="102"/>
      <c r="FY1284" s="102"/>
      <c r="FZ1284" s="102"/>
      <c r="GA1284" s="97">
        <f t="shared" si="256"/>
        <v>0</v>
      </c>
      <c r="GB1284" s="97">
        <f t="shared" si="257"/>
        <v>0</v>
      </c>
      <c r="GC1284" s="97">
        <f t="shared" si="258"/>
        <v>0</v>
      </c>
      <c r="GD1284" s="97">
        <f t="shared" si="259"/>
        <v>0</v>
      </c>
      <c r="GE1284" s="97">
        <f t="shared" si="260"/>
        <v>0</v>
      </c>
      <c r="GF1284" s="97">
        <f t="shared" si="261"/>
        <v>0</v>
      </c>
      <c r="GG1284" s="97">
        <f t="shared" si="262"/>
        <v>0</v>
      </c>
      <c r="GH1284" s="97">
        <f t="shared" si="263"/>
        <v>0</v>
      </c>
      <c r="GI1284" s="97">
        <f t="shared" si="264"/>
        <v>0</v>
      </c>
      <c r="GJ1284" s="97">
        <f t="shared" si="265"/>
        <v>0</v>
      </c>
      <c r="GK1284" s="97">
        <f t="shared" si="266"/>
        <v>0</v>
      </c>
      <c r="GL1284" s="97">
        <f t="shared" si="267"/>
        <v>0</v>
      </c>
      <c r="GM1284" s="97">
        <f t="shared" si="268"/>
        <v>0</v>
      </c>
      <c r="GN1284" s="97">
        <f t="shared" si="268"/>
        <v>0</v>
      </c>
      <c r="GO1284" s="97">
        <f t="shared" si="268"/>
        <v>0</v>
      </c>
      <c r="GP1284" s="97">
        <f t="shared" si="269"/>
        <v>0</v>
      </c>
      <c r="GQ1284" s="97">
        <f t="shared" si="269"/>
        <v>0</v>
      </c>
      <c r="GR1284" s="97">
        <f t="shared" si="269"/>
        <v>0</v>
      </c>
      <c r="GS1284" s="102"/>
      <c r="GT1284" s="102"/>
      <c r="GU1284" s="102"/>
      <c r="GV1284" s="97">
        <f t="shared" si="270"/>
        <v>0</v>
      </c>
      <c r="GW1284" s="97">
        <f t="shared" si="271"/>
        <v>0</v>
      </c>
      <c r="GX1284" s="97">
        <f t="shared" si="272"/>
        <v>0</v>
      </c>
      <c r="GY1284" s="97">
        <f t="shared" si="273"/>
        <v>0</v>
      </c>
      <c r="GZ1284" s="97">
        <f t="shared" si="274"/>
        <v>0</v>
      </c>
      <c r="HA1284" s="97">
        <f t="shared" si="275"/>
        <v>0</v>
      </c>
      <c r="HB1284" s="97">
        <f t="shared" si="276"/>
        <v>0</v>
      </c>
      <c r="HC1284" s="97">
        <f t="shared" si="277"/>
        <v>0</v>
      </c>
      <c r="HD1284" s="97">
        <f t="shared" si="278"/>
        <v>0</v>
      </c>
      <c r="HE1284" s="97">
        <f t="shared" si="279"/>
        <v>0</v>
      </c>
      <c r="HF1284" s="97">
        <f t="shared" si="280"/>
        <v>0</v>
      </c>
      <c r="HG1284" s="97">
        <f t="shared" si="281"/>
        <v>0</v>
      </c>
      <c r="HH1284" s="97">
        <f t="shared" si="282"/>
        <v>0</v>
      </c>
      <c r="HI1284" s="97">
        <f t="shared" si="282"/>
        <v>0</v>
      </c>
      <c r="HJ1284" s="97">
        <f t="shared" si="282"/>
        <v>0</v>
      </c>
      <c r="HK1284" s="97">
        <f t="shared" si="283"/>
        <v>0</v>
      </c>
      <c r="HL1284" s="97">
        <f t="shared" si="283"/>
        <v>0</v>
      </c>
      <c r="HM1284" s="97">
        <f t="shared" si="283"/>
        <v>0</v>
      </c>
      <c r="HN1284" s="102"/>
      <c r="HO1284" s="102"/>
      <c r="HP1284" s="102"/>
      <c r="HQ1284" s="97">
        <f t="shared" si="284"/>
        <v>0</v>
      </c>
      <c r="HR1284" s="97">
        <f t="shared" si="285"/>
        <v>0</v>
      </c>
      <c r="HS1284" s="97">
        <f t="shared" si="286"/>
        <v>0</v>
      </c>
      <c r="HT1284" s="97">
        <f t="shared" si="287"/>
        <v>0</v>
      </c>
      <c r="HU1284" s="97">
        <f t="shared" si="288"/>
        <v>0</v>
      </c>
      <c r="HV1284" s="97">
        <f t="shared" si="289"/>
        <v>0</v>
      </c>
      <c r="HW1284" s="97">
        <f t="shared" si="290"/>
        <v>0</v>
      </c>
      <c r="HX1284" s="97">
        <f t="shared" si="291"/>
        <v>0</v>
      </c>
      <c r="HY1284" s="97">
        <f t="shared" si="292"/>
        <v>0</v>
      </c>
      <c r="HZ1284" s="97">
        <f t="shared" si="293"/>
        <v>0</v>
      </c>
      <c r="IA1284" s="97">
        <f t="shared" si="294"/>
        <v>0</v>
      </c>
      <c r="IB1284" s="97">
        <f t="shared" si="295"/>
        <v>0</v>
      </c>
      <c r="IC1284" s="97">
        <f t="shared" si="296"/>
        <v>0</v>
      </c>
      <c r="ID1284" s="97">
        <f t="shared" si="296"/>
        <v>0</v>
      </c>
      <c r="IE1284" s="97">
        <f t="shared" si="296"/>
        <v>0</v>
      </c>
      <c r="IF1284" s="97">
        <f t="shared" si="297"/>
        <v>0</v>
      </c>
      <c r="IG1284" s="97">
        <f t="shared" si="297"/>
        <v>0</v>
      </c>
      <c r="IH1284" s="97">
        <f t="shared" si="297"/>
        <v>0</v>
      </c>
      <c r="II1284" s="102"/>
      <c r="IJ1284" s="102"/>
      <c r="IK1284" s="102"/>
      <c r="IL1284" s="97">
        <f t="shared" si="298"/>
        <v>0</v>
      </c>
      <c r="IM1284" s="97">
        <f t="shared" si="299"/>
        <v>0</v>
      </c>
      <c r="IN1284" s="97">
        <f t="shared" si="300"/>
        <v>0</v>
      </c>
      <c r="IO1284" s="97">
        <f t="shared" si="301"/>
        <v>0</v>
      </c>
      <c r="IP1284" s="97">
        <f t="shared" si="302"/>
        <v>0</v>
      </c>
      <c r="IQ1284" s="97">
        <f t="shared" si="303"/>
        <v>0</v>
      </c>
      <c r="IR1284" s="97">
        <f t="shared" si="304"/>
        <v>0</v>
      </c>
      <c r="IS1284" s="97">
        <f t="shared" si="305"/>
        <v>0</v>
      </c>
      <c r="IT1284" s="97">
        <f t="shared" si="306"/>
        <v>0</v>
      </c>
      <c r="IU1284" s="97">
        <f t="shared" si="307"/>
        <v>0</v>
      </c>
      <c r="IV1284" s="97">
        <f t="shared" si="308"/>
        <v>0</v>
      </c>
      <c r="IW1284" s="97">
        <f t="shared" si="309"/>
        <v>0</v>
      </c>
      <c r="IX1284" s="97">
        <f t="shared" si="310"/>
        <v>0</v>
      </c>
      <c r="IY1284" s="97">
        <f t="shared" si="310"/>
        <v>0</v>
      </c>
      <c r="IZ1284" s="97">
        <f t="shared" si="310"/>
        <v>0</v>
      </c>
      <c r="JA1284" s="97">
        <f t="shared" si="311"/>
        <v>0</v>
      </c>
      <c r="JB1284" s="97">
        <f t="shared" si="311"/>
        <v>0</v>
      </c>
      <c r="JC1284" s="97">
        <f t="shared" si="311"/>
        <v>0</v>
      </c>
      <c r="JD1284" s="102"/>
      <c r="JE1284" s="102"/>
      <c r="JF1284" s="102"/>
      <c r="JG1284" s="97">
        <f t="shared" si="312"/>
        <v>0</v>
      </c>
      <c r="JH1284" s="97">
        <f t="shared" si="313"/>
        <v>0</v>
      </c>
      <c r="JI1284" s="97">
        <f t="shared" si="314"/>
        <v>0</v>
      </c>
      <c r="JJ1284" s="97">
        <f t="shared" si="315"/>
        <v>0</v>
      </c>
      <c r="JK1284" s="97">
        <f t="shared" si="316"/>
        <v>0</v>
      </c>
      <c r="JL1284" s="97">
        <f t="shared" si="317"/>
        <v>0</v>
      </c>
      <c r="JM1284" s="97">
        <f t="shared" si="318"/>
        <v>0</v>
      </c>
      <c r="JN1284" s="97">
        <f t="shared" si="319"/>
        <v>0</v>
      </c>
      <c r="JO1284" s="97">
        <f t="shared" si="320"/>
        <v>0</v>
      </c>
      <c r="JP1284" s="97">
        <f t="shared" si="321"/>
        <v>0</v>
      </c>
      <c r="JQ1284" s="97">
        <f t="shared" si="322"/>
        <v>0</v>
      </c>
      <c r="JR1284" s="97">
        <f t="shared" si="323"/>
        <v>0</v>
      </c>
      <c r="JS1284" s="97">
        <f t="shared" si="324"/>
        <v>0</v>
      </c>
      <c r="JT1284" s="97">
        <f t="shared" si="324"/>
        <v>0</v>
      </c>
      <c r="JU1284" s="97">
        <f t="shared" si="324"/>
        <v>0</v>
      </c>
      <c r="JV1284" s="97">
        <f t="shared" si="325"/>
        <v>0</v>
      </c>
      <c r="JW1284" s="97">
        <f t="shared" si="325"/>
        <v>0</v>
      </c>
      <c r="JX1284" s="97">
        <f t="shared" si="325"/>
        <v>0</v>
      </c>
      <c r="JY1284" s="102"/>
      <c r="JZ1284" s="102"/>
      <c r="KA1284" s="102"/>
      <c r="KB1284" s="97">
        <f t="shared" si="326"/>
        <v>0</v>
      </c>
      <c r="KC1284" s="97">
        <f t="shared" si="327"/>
        <v>0</v>
      </c>
      <c r="KD1284" s="97">
        <f t="shared" si="328"/>
        <v>0</v>
      </c>
      <c r="KE1284" s="97">
        <f t="shared" si="329"/>
        <v>0</v>
      </c>
      <c r="KF1284" s="97">
        <f t="shared" si="330"/>
        <v>0</v>
      </c>
      <c r="KG1284" s="97">
        <f t="shared" si="331"/>
        <v>0</v>
      </c>
      <c r="KH1284" s="97">
        <f t="shared" si="332"/>
        <v>0</v>
      </c>
      <c r="KI1284" s="97">
        <f t="shared" si="333"/>
        <v>0</v>
      </c>
      <c r="KJ1284" s="97">
        <f t="shared" si="334"/>
        <v>0</v>
      </c>
      <c r="KK1284" s="97">
        <f t="shared" si="335"/>
        <v>0</v>
      </c>
      <c r="KL1284" s="97">
        <f t="shared" si="336"/>
        <v>0</v>
      </c>
      <c r="KM1284" s="97">
        <f t="shared" si="337"/>
        <v>0</v>
      </c>
      <c r="KN1284" s="97">
        <f t="shared" si="338"/>
        <v>0</v>
      </c>
      <c r="KO1284" s="97">
        <f t="shared" si="338"/>
        <v>0</v>
      </c>
      <c r="KP1284" s="97">
        <f t="shared" si="338"/>
        <v>0</v>
      </c>
      <c r="KQ1284" s="97">
        <f t="shared" si="339"/>
        <v>0</v>
      </c>
      <c r="KR1284" s="97">
        <f t="shared" si="339"/>
        <v>0</v>
      </c>
      <c r="KS1284" s="97">
        <f t="shared" si="339"/>
        <v>0</v>
      </c>
      <c r="KT1284" s="102"/>
      <c r="KU1284" s="102"/>
      <c r="KV1284" s="102"/>
      <c r="KW1284" s="97">
        <f t="shared" si="340"/>
        <v>0</v>
      </c>
      <c r="KX1284" s="97">
        <f t="shared" si="341"/>
        <v>0</v>
      </c>
      <c r="KY1284" s="97">
        <f t="shared" si="342"/>
        <v>0</v>
      </c>
      <c r="KZ1284" s="97">
        <f t="shared" si="343"/>
        <v>0</v>
      </c>
      <c r="LA1284" s="97">
        <f t="shared" si="344"/>
        <v>0</v>
      </c>
      <c r="LB1284" s="97">
        <f t="shared" si="345"/>
        <v>0</v>
      </c>
      <c r="LC1284" s="97">
        <f t="shared" si="346"/>
        <v>0</v>
      </c>
      <c r="LD1284" s="97">
        <f t="shared" si="347"/>
        <v>0</v>
      </c>
      <c r="LE1284" s="97">
        <f t="shared" si="348"/>
        <v>0</v>
      </c>
      <c r="LF1284" s="97">
        <f t="shared" si="349"/>
        <v>0</v>
      </c>
      <c r="LG1284" s="97">
        <f t="shared" si="350"/>
        <v>0</v>
      </c>
      <c r="LH1284" s="97">
        <f t="shared" si="351"/>
        <v>0</v>
      </c>
      <c r="LI1284" s="97">
        <f t="shared" si="352"/>
        <v>0</v>
      </c>
      <c r="LJ1284" s="97">
        <f t="shared" si="352"/>
        <v>0</v>
      </c>
      <c r="LK1284" s="97">
        <f t="shared" si="352"/>
        <v>0</v>
      </c>
      <c r="LL1284" s="97">
        <f t="shared" si="353"/>
        <v>0</v>
      </c>
      <c r="LM1284" s="97">
        <f t="shared" si="353"/>
        <v>0</v>
      </c>
      <c r="LN1284" s="97">
        <f t="shared" si="353"/>
        <v>0</v>
      </c>
      <c r="LO1284" s="102"/>
      <c r="LP1284" s="102"/>
      <c r="LQ1284" s="102"/>
      <c r="LR1284" s="97">
        <f t="shared" si="354"/>
        <v>0</v>
      </c>
      <c r="LS1284" s="97">
        <f t="shared" si="355"/>
        <v>0</v>
      </c>
      <c r="LT1284" s="97">
        <f t="shared" si="356"/>
        <v>0</v>
      </c>
      <c r="LU1284" s="97">
        <f t="shared" si="357"/>
        <v>0</v>
      </c>
      <c r="LV1284" s="97">
        <f t="shared" si="358"/>
        <v>0</v>
      </c>
      <c r="LW1284" s="97">
        <f t="shared" si="359"/>
        <v>0</v>
      </c>
      <c r="LX1284" s="97">
        <f t="shared" si="360"/>
        <v>0</v>
      </c>
      <c r="LY1284" s="97">
        <f t="shared" si="361"/>
        <v>0</v>
      </c>
      <c r="LZ1284" s="97">
        <f t="shared" si="362"/>
        <v>0</v>
      </c>
      <c r="MA1284" s="97">
        <f t="shared" si="363"/>
        <v>0</v>
      </c>
      <c r="MB1284" s="97">
        <f t="shared" si="364"/>
        <v>0</v>
      </c>
      <c r="MC1284" s="97">
        <f t="shared" si="365"/>
        <v>0</v>
      </c>
      <c r="MD1284" s="97">
        <f t="shared" si="366"/>
        <v>0</v>
      </c>
      <c r="ME1284" s="97">
        <f t="shared" si="366"/>
        <v>0</v>
      </c>
      <c r="MF1284" s="97">
        <f t="shared" si="366"/>
        <v>0</v>
      </c>
      <c r="MG1284" s="97">
        <f t="shared" si="367"/>
        <v>0</v>
      </c>
      <c r="MH1284" s="97">
        <f t="shared" si="367"/>
        <v>0</v>
      </c>
      <c r="MI1284" s="97">
        <f t="shared" si="367"/>
        <v>0</v>
      </c>
      <c r="MJ1284" s="102"/>
      <c r="MK1284" s="102"/>
      <c r="ML1284" s="102"/>
      <c r="MM1284" s="97">
        <f t="shared" si="368"/>
        <v>0</v>
      </c>
      <c r="MN1284" s="97">
        <f t="shared" si="369"/>
        <v>0</v>
      </c>
      <c r="MO1284" s="97">
        <f t="shared" si="370"/>
        <v>0</v>
      </c>
      <c r="MP1284" s="97">
        <f t="shared" si="371"/>
        <v>0</v>
      </c>
      <c r="MQ1284" s="97">
        <f t="shared" si="372"/>
        <v>0</v>
      </c>
      <c r="MR1284" s="97">
        <f t="shared" si="373"/>
        <v>0</v>
      </c>
      <c r="MS1284" s="97">
        <f t="shared" si="374"/>
        <v>0</v>
      </c>
      <c r="MT1284" s="97">
        <f t="shared" si="375"/>
        <v>0</v>
      </c>
      <c r="MU1284" s="97">
        <f t="shared" si="376"/>
        <v>0</v>
      </c>
      <c r="MV1284" s="97">
        <f t="shared" si="377"/>
        <v>0</v>
      </c>
      <c r="MW1284" s="97">
        <f t="shared" si="378"/>
        <v>0</v>
      </c>
      <c r="MX1284" s="97">
        <f t="shared" si="379"/>
        <v>0</v>
      </c>
      <c r="MY1284" s="97">
        <f t="shared" si="380"/>
        <v>0</v>
      </c>
      <c r="MZ1284" s="97">
        <f t="shared" si="380"/>
        <v>0</v>
      </c>
      <c r="NA1284" s="97">
        <f t="shared" si="380"/>
        <v>0</v>
      </c>
      <c r="NB1284" s="97">
        <f t="shared" si="381"/>
        <v>0</v>
      </c>
      <c r="NC1284" s="97">
        <f t="shared" si="381"/>
        <v>0</v>
      </c>
      <c r="ND1284" s="97">
        <f t="shared" si="381"/>
        <v>0</v>
      </c>
      <c r="NE1284" s="102"/>
      <c r="NF1284" s="102"/>
      <c r="NG1284" s="102"/>
      <c r="NH1284" s="97">
        <f t="shared" si="382"/>
        <v>0</v>
      </c>
      <c r="NI1284" s="97">
        <f t="shared" si="383"/>
        <v>0</v>
      </c>
      <c r="NJ1284" s="97">
        <f t="shared" si="384"/>
        <v>0</v>
      </c>
      <c r="NK1284" s="97">
        <f t="shared" si="385"/>
        <v>0</v>
      </c>
      <c r="NL1284" s="97">
        <f t="shared" si="386"/>
        <v>0</v>
      </c>
      <c r="NM1284" s="97">
        <f t="shared" si="387"/>
        <v>0</v>
      </c>
      <c r="NN1284" s="97">
        <f t="shared" si="388"/>
        <v>0</v>
      </c>
      <c r="NO1284" s="97">
        <f t="shared" si="389"/>
        <v>0</v>
      </c>
      <c r="NP1284" s="97">
        <f t="shared" si="390"/>
        <v>0</v>
      </c>
      <c r="NQ1284" s="97">
        <f t="shared" si="391"/>
        <v>0</v>
      </c>
      <c r="NR1284" s="97">
        <f t="shared" si="392"/>
        <v>0</v>
      </c>
      <c r="NS1284" s="97">
        <f t="shared" si="393"/>
        <v>0</v>
      </c>
      <c r="NT1284" s="97">
        <f t="shared" si="394"/>
        <v>0</v>
      </c>
      <c r="NU1284" s="97">
        <f t="shared" si="394"/>
        <v>0</v>
      </c>
      <c r="NV1284" s="97">
        <f t="shared" si="394"/>
        <v>0</v>
      </c>
      <c r="NW1284" s="97">
        <f t="shared" si="395"/>
        <v>0</v>
      </c>
      <c r="NX1284" s="97">
        <f t="shared" si="395"/>
        <v>0</v>
      </c>
      <c r="NY1284" s="97">
        <f t="shared" si="395"/>
        <v>0</v>
      </c>
      <c r="NZ1284" s="102"/>
      <c r="OA1284" s="102"/>
      <c r="OB1284" s="102"/>
      <c r="OC1284" s="97">
        <f t="shared" si="396"/>
        <v>0</v>
      </c>
      <c r="OD1284" s="97">
        <f t="shared" si="397"/>
        <v>0</v>
      </c>
      <c r="OE1284" s="97">
        <f t="shared" si="398"/>
        <v>0</v>
      </c>
      <c r="OF1284" s="97">
        <f t="shared" si="399"/>
        <v>0</v>
      </c>
      <c r="OG1284" s="97">
        <f t="shared" si="400"/>
        <v>0</v>
      </c>
      <c r="OH1284" s="97">
        <f t="shared" si="401"/>
        <v>0</v>
      </c>
      <c r="OI1284" s="97">
        <f t="shared" si="402"/>
        <v>0</v>
      </c>
      <c r="OJ1284" s="97">
        <f t="shared" si="403"/>
        <v>0</v>
      </c>
      <c r="OK1284" s="97">
        <f t="shared" si="404"/>
        <v>0</v>
      </c>
      <c r="OL1284" s="97">
        <f t="shared" si="405"/>
        <v>0</v>
      </c>
      <c r="OM1284" s="97">
        <f t="shared" si="406"/>
        <v>0</v>
      </c>
      <c r="ON1284" s="97">
        <f t="shared" si="407"/>
        <v>0</v>
      </c>
      <c r="OO1284" s="97">
        <f t="shared" si="408"/>
        <v>0</v>
      </c>
      <c r="OP1284" s="97">
        <f t="shared" si="408"/>
        <v>0</v>
      </c>
      <c r="OQ1284" s="97">
        <f t="shared" si="408"/>
        <v>0</v>
      </c>
      <c r="OR1284" s="97">
        <f t="shared" si="409"/>
        <v>0</v>
      </c>
      <c r="OS1284" s="97">
        <f t="shared" si="409"/>
        <v>0</v>
      </c>
      <c r="OT1284" s="97">
        <f t="shared" si="409"/>
        <v>0</v>
      </c>
      <c r="OU1284" s="102"/>
      <c r="OV1284" s="102"/>
      <c r="OW1284" s="102"/>
      <c r="OX1284" s="97">
        <f t="shared" si="410"/>
        <v>0</v>
      </c>
      <c r="OY1284" s="97">
        <f t="shared" si="411"/>
        <v>0</v>
      </c>
      <c r="OZ1284" s="97">
        <f t="shared" si="412"/>
        <v>0</v>
      </c>
      <c r="PA1284" s="97">
        <f t="shared" si="413"/>
        <v>0</v>
      </c>
      <c r="PB1284" s="97">
        <f t="shared" si="414"/>
        <v>0</v>
      </c>
      <c r="PC1284" s="97">
        <f t="shared" si="415"/>
        <v>0</v>
      </c>
      <c r="PD1284" s="97">
        <f t="shared" si="416"/>
        <v>0</v>
      </c>
      <c r="PE1284" s="97">
        <f t="shared" si="417"/>
        <v>0</v>
      </c>
      <c r="PF1284" s="97">
        <f t="shared" si="418"/>
        <v>0</v>
      </c>
      <c r="PG1284" s="97">
        <f t="shared" si="419"/>
        <v>0</v>
      </c>
      <c r="PH1284" s="97">
        <f t="shared" si="420"/>
        <v>0</v>
      </c>
      <c r="PI1284" s="97">
        <f t="shared" si="421"/>
        <v>0</v>
      </c>
      <c r="PJ1284" s="97">
        <f t="shared" si="422"/>
        <v>0</v>
      </c>
      <c r="PK1284" s="97">
        <f t="shared" si="422"/>
        <v>0</v>
      </c>
      <c r="PL1284" s="97">
        <f t="shared" si="422"/>
        <v>0</v>
      </c>
      <c r="PM1284" s="97">
        <f t="shared" si="423"/>
        <v>0</v>
      </c>
      <c r="PN1284" s="97">
        <f t="shared" si="423"/>
        <v>0</v>
      </c>
      <c r="PO1284" s="97">
        <f t="shared" si="423"/>
        <v>0</v>
      </c>
      <c r="PP1284" s="102"/>
      <c r="PQ1284" s="102"/>
      <c r="PR1284" s="102"/>
      <c r="PS1284" s="97">
        <f t="shared" si="424"/>
        <v>0</v>
      </c>
      <c r="PT1284" s="97">
        <f t="shared" si="425"/>
        <v>0</v>
      </c>
      <c r="PU1284" s="97">
        <f t="shared" si="426"/>
        <v>0</v>
      </c>
      <c r="PV1284" s="97">
        <f t="shared" si="427"/>
        <v>0</v>
      </c>
      <c r="PW1284" s="97">
        <f t="shared" si="428"/>
        <v>0</v>
      </c>
      <c r="PX1284" s="97">
        <f t="shared" si="429"/>
        <v>0</v>
      </c>
      <c r="PY1284" s="97">
        <f t="shared" si="430"/>
        <v>0</v>
      </c>
      <c r="PZ1284" s="97">
        <f t="shared" si="431"/>
        <v>0</v>
      </c>
      <c r="QA1284" s="97">
        <f t="shared" si="432"/>
        <v>0</v>
      </c>
      <c r="QB1284" s="97">
        <f t="shared" si="433"/>
        <v>0</v>
      </c>
      <c r="QC1284" s="97">
        <f t="shared" si="434"/>
        <v>0</v>
      </c>
      <c r="QD1284" s="97">
        <f t="shared" si="435"/>
        <v>0</v>
      </c>
      <c r="QE1284" s="97">
        <f t="shared" si="436"/>
        <v>0</v>
      </c>
      <c r="QF1284" s="97">
        <f t="shared" si="436"/>
        <v>0</v>
      </c>
      <c r="QG1284" s="97">
        <f t="shared" si="436"/>
        <v>0</v>
      </c>
      <c r="QH1284" s="97">
        <f t="shared" si="437"/>
        <v>0</v>
      </c>
      <c r="QI1284" s="97">
        <f t="shared" si="437"/>
        <v>0</v>
      </c>
      <c r="QJ1284" s="97">
        <f t="shared" si="437"/>
        <v>0</v>
      </c>
      <c r="QK1284" s="102"/>
      <c r="QL1284" s="102"/>
      <c r="QM1284" s="102"/>
      <c r="QN1284" s="97">
        <f t="shared" si="438"/>
        <v>0</v>
      </c>
      <c r="QO1284" s="97">
        <f t="shared" si="439"/>
        <v>0</v>
      </c>
      <c r="QP1284" s="97">
        <f t="shared" si="440"/>
        <v>0</v>
      </c>
      <c r="QQ1284" s="97">
        <f t="shared" si="441"/>
        <v>0</v>
      </c>
      <c r="QR1284" s="97">
        <f t="shared" si="442"/>
        <v>0</v>
      </c>
      <c r="QS1284" s="97">
        <f t="shared" si="443"/>
        <v>0</v>
      </c>
      <c r="QT1284" s="97">
        <f t="shared" si="444"/>
        <v>0</v>
      </c>
      <c r="QU1284" s="97">
        <f t="shared" si="445"/>
        <v>0</v>
      </c>
      <c r="QV1284" s="97">
        <f t="shared" si="446"/>
        <v>0</v>
      </c>
      <c r="QW1284" s="97">
        <f t="shared" si="447"/>
        <v>0</v>
      </c>
      <c r="QX1284" s="97">
        <f t="shared" si="448"/>
        <v>0</v>
      </c>
      <c r="QY1284" s="97">
        <f t="shared" si="449"/>
        <v>0</v>
      </c>
      <c r="QZ1284" s="97">
        <f t="shared" si="450"/>
        <v>0</v>
      </c>
      <c r="RA1284" s="97">
        <f t="shared" si="450"/>
        <v>0</v>
      </c>
      <c r="RB1284" s="97">
        <f t="shared" si="450"/>
        <v>0</v>
      </c>
      <c r="RC1284" s="97">
        <f t="shared" si="451"/>
        <v>0</v>
      </c>
      <c r="RD1284" s="97">
        <f t="shared" si="451"/>
        <v>0</v>
      </c>
      <c r="RE1284" s="97">
        <f t="shared" si="451"/>
        <v>0</v>
      </c>
      <c r="RF1284" s="102"/>
      <c r="RG1284" s="102"/>
      <c r="RH1284" s="102"/>
      <c r="RI1284" s="97">
        <f t="shared" si="452"/>
        <v>0</v>
      </c>
      <c r="RJ1284" s="97">
        <f t="shared" si="453"/>
        <v>0</v>
      </c>
      <c r="RK1284" s="97">
        <f t="shared" si="454"/>
        <v>0</v>
      </c>
      <c r="RL1284" s="97">
        <f t="shared" si="455"/>
        <v>0</v>
      </c>
      <c r="RM1284" s="97">
        <f t="shared" si="456"/>
        <v>0</v>
      </c>
      <c r="RN1284" s="97">
        <f t="shared" si="457"/>
        <v>0</v>
      </c>
      <c r="RO1284" s="97">
        <f t="shared" si="458"/>
        <v>0</v>
      </c>
      <c r="RP1284" s="97">
        <f t="shared" si="459"/>
        <v>0</v>
      </c>
      <c r="RQ1284" s="97">
        <f t="shared" si="460"/>
        <v>0</v>
      </c>
      <c r="RR1284" s="97">
        <f t="shared" si="461"/>
        <v>0</v>
      </c>
      <c r="RS1284" s="97">
        <f t="shared" si="462"/>
        <v>0</v>
      </c>
      <c r="RT1284" s="97">
        <f t="shared" si="463"/>
        <v>0</v>
      </c>
      <c r="RU1284" s="97">
        <f t="shared" si="464"/>
        <v>0</v>
      </c>
      <c r="RV1284" s="97">
        <f t="shared" si="464"/>
        <v>0</v>
      </c>
      <c r="RW1284" s="97">
        <f t="shared" si="464"/>
        <v>0</v>
      </c>
      <c r="RX1284" s="97">
        <f t="shared" si="465"/>
        <v>0</v>
      </c>
      <c r="RY1284" s="97">
        <f t="shared" si="465"/>
        <v>0</v>
      </c>
      <c r="RZ1284" s="97">
        <f t="shared" si="465"/>
        <v>0</v>
      </c>
      <c r="SA1284" s="102"/>
      <c r="SB1284" s="102"/>
      <c r="SC1284" s="102"/>
      <c r="SD1284" s="97">
        <f t="shared" si="466"/>
        <v>0</v>
      </c>
      <c r="SE1284" s="97">
        <f t="shared" si="467"/>
        <v>0</v>
      </c>
      <c r="SF1284" s="97">
        <f t="shared" si="468"/>
        <v>0</v>
      </c>
      <c r="SG1284" s="97">
        <f t="shared" si="469"/>
        <v>0</v>
      </c>
      <c r="SH1284" s="97">
        <f t="shared" si="470"/>
        <v>0</v>
      </c>
      <c r="SI1284" s="97">
        <f t="shared" si="471"/>
        <v>0</v>
      </c>
      <c r="SJ1284" s="97">
        <f t="shared" si="472"/>
        <v>0</v>
      </c>
      <c r="SK1284" s="97">
        <f t="shared" si="473"/>
        <v>0</v>
      </c>
      <c r="SL1284" s="97">
        <f t="shared" si="474"/>
        <v>0</v>
      </c>
      <c r="SM1284" s="97">
        <f t="shared" si="475"/>
        <v>0</v>
      </c>
      <c r="SN1284" s="97">
        <f t="shared" si="476"/>
        <v>0</v>
      </c>
      <c r="SO1284" s="97">
        <f t="shared" si="477"/>
        <v>0</v>
      </c>
      <c r="SP1284" s="97">
        <f t="shared" si="478"/>
        <v>0</v>
      </c>
      <c r="SQ1284" s="97">
        <f t="shared" si="478"/>
        <v>0</v>
      </c>
      <c r="SR1284" s="97">
        <f t="shared" si="478"/>
        <v>0</v>
      </c>
      <c r="SS1284" s="97">
        <f t="shared" si="479"/>
        <v>0</v>
      </c>
      <c r="ST1284" s="97">
        <f t="shared" si="479"/>
        <v>0</v>
      </c>
      <c r="SU1284" s="97">
        <f t="shared" si="479"/>
        <v>0</v>
      </c>
      <c r="SV1284" s="102"/>
      <c r="SW1284" s="102"/>
      <c r="SX1284" s="102"/>
      <c r="SY1284" s="97">
        <f t="shared" si="480"/>
        <v>0</v>
      </c>
      <c r="SZ1284" s="97">
        <f t="shared" si="481"/>
        <v>0</v>
      </c>
      <c r="TA1284" s="97">
        <f t="shared" si="482"/>
        <v>0</v>
      </c>
      <c r="TB1284" s="97">
        <f t="shared" si="483"/>
        <v>0</v>
      </c>
      <c r="TC1284" s="97">
        <f t="shared" si="484"/>
        <v>0</v>
      </c>
      <c r="TD1284" s="97">
        <f t="shared" si="485"/>
        <v>0</v>
      </c>
      <c r="TE1284" s="97">
        <f t="shared" si="486"/>
        <v>0</v>
      </c>
      <c r="TF1284" s="97">
        <f t="shared" si="487"/>
        <v>0</v>
      </c>
      <c r="TG1284" s="97">
        <f t="shared" si="488"/>
        <v>0</v>
      </c>
      <c r="TH1284" s="97">
        <f t="shared" si="489"/>
        <v>0</v>
      </c>
      <c r="TI1284" s="97">
        <f t="shared" si="490"/>
        <v>0</v>
      </c>
      <c r="TJ1284" s="97">
        <f t="shared" si="491"/>
        <v>0</v>
      </c>
      <c r="TK1284" s="97">
        <f t="shared" si="492"/>
        <v>0</v>
      </c>
      <c r="TL1284" s="97">
        <f t="shared" si="492"/>
        <v>0</v>
      </c>
      <c r="TM1284" s="97">
        <f t="shared" si="492"/>
        <v>0</v>
      </c>
      <c r="TN1284" s="97">
        <f t="shared" si="493"/>
        <v>0</v>
      </c>
      <c r="TO1284" s="97">
        <f t="shared" si="493"/>
        <v>0</v>
      </c>
      <c r="TP1284" s="97">
        <f t="shared" si="493"/>
        <v>0</v>
      </c>
      <c r="TQ1284" s="102"/>
      <c r="TR1284" s="102"/>
      <c r="TS1284" s="102"/>
      <c r="TT1284" s="97">
        <f t="shared" si="494"/>
        <v>0</v>
      </c>
      <c r="TU1284" s="97">
        <f t="shared" si="495"/>
        <v>0</v>
      </c>
      <c r="TV1284" s="97">
        <f t="shared" si="496"/>
        <v>0</v>
      </c>
      <c r="TW1284" s="97">
        <f t="shared" si="497"/>
        <v>0</v>
      </c>
      <c r="TX1284" s="97">
        <f t="shared" si="498"/>
        <v>0</v>
      </c>
      <c r="TY1284" s="97">
        <f t="shared" si="499"/>
        <v>0</v>
      </c>
      <c r="TZ1284" s="97">
        <f t="shared" si="500"/>
        <v>0</v>
      </c>
      <c r="UA1284" s="97">
        <f t="shared" si="501"/>
        <v>0</v>
      </c>
      <c r="UB1284" s="97">
        <f t="shared" si="502"/>
        <v>0</v>
      </c>
      <c r="UC1284" s="97">
        <f t="shared" si="503"/>
        <v>0</v>
      </c>
      <c r="UD1284" s="97">
        <f t="shared" si="504"/>
        <v>0</v>
      </c>
      <c r="UE1284" s="97">
        <f t="shared" si="505"/>
        <v>0</v>
      </c>
      <c r="UF1284" s="97">
        <f t="shared" si="506"/>
        <v>0</v>
      </c>
      <c r="UG1284" s="97">
        <f t="shared" si="506"/>
        <v>0</v>
      </c>
      <c r="UH1284" s="97">
        <f t="shared" si="506"/>
        <v>0</v>
      </c>
      <c r="UI1284" s="97">
        <f t="shared" si="507"/>
        <v>0</v>
      </c>
      <c r="UJ1284" s="97">
        <f t="shared" si="507"/>
        <v>0</v>
      </c>
      <c r="UK1284" s="97">
        <f t="shared" si="507"/>
        <v>0</v>
      </c>
      <c r="UL1284" s="102"/>
      <c r="UM1284" s="102"/>
      <c r="UN1284" s="102"/>
      <c r="UO1284" s="97">
        <f t="shared" si="508"/>
        <v>0</v>
      </c>
      <c r="UP1284" s="97">
        <f t="shared" si="509"/>
        <v>0</v>
      </c>
      <c r="UQ1284" s="97">
        <f t="shared" si="510"/>
        <v>0</v>
      </c>
      <c r="UR1284" s="97">
        <f t="shared" si="511"/>
        <v>0</v>
      </c>
      <c r="US1284" s="97">
        <f t="shared" si="512"/>
        <v>0</v>
      </c>
      <c r="UT1284" s="97">
        <f t="shared" si="513"/>
        <v>0</v>
      </c>
      <c r="UU1284" s="97">
        <f t="shared" si="514"/>
        <v>50264.61</v>
      </c>
      <c r="UV1284" s="97">
        <f t="shared" si="515"/>
        <v>52799.51</v>
      </c>
      <c r="UW1284" s="97">
        <f t="shared" si="516"/>
        <v>54898.03</v>
      </c>
      <c r="UX1284" s="97">
        <f t="shared" si="517"/>
        <v>11994.84</v>
      </c>
      <c r="UY1284" s="97">
        <f t="shared" si="518"/>
        <v>12680.95</v>
      </c>
      <c r="UZ1284" s="97">
        <f t="shared" si="519"/>
        <v>13508.54</v>
      </c>
      <c r="VA1284" s="97">
        <f t="shared" si="520"/>
        <v>0</v>
      </c>
      <c r="VB1284" s="97">
        <f t="shared" si="520"/>
        <v>0</v>
      </c>
      <c r="VC1284" s="97">
        <f t="shared" si="520"/>
        <v>0</v>
      </c>
      <c r="VD1284" s="97">
        <f t="shared" si="521"/>
        <v>0</v>
      </c>
      <c r="VE1284" s="97">
        <f t="shared" si="521"/>
        <v>0</v>
      </c>
      <c r="VF1284" s="97">
        <f t="shared" si="521"/>
        <v>0</v>
      </c>
      <c r="VG1284" s="102"/>
      <c r="VH1284" s="102"/>
      <c r="VI1284" s="102"/>
      <c r="VJ1284" s="97">
        <f t="shared" si="522"/>
        <v>0</v>
      </c>
      <c r="VK1284" s="97">
        <f t="shared" si="523"/>
        <v>0</v>
      </c>
      <c r="VL1284" s="97">
        <f t="shared" si="524"/>
        <v>0</v>
      </c>
      <c r="VM1284" s="97">
        <f t="shared" si="525"/>
        <v>0</v>
      </c>
      <c r="VN1284" s="97">
        <f t="shared" si="526"/>
        <v>0</v>
      </c>
      <c r="VO1284" s="97">
        <f t="shared" si="527"/>
        <v>0</v>
      </c>
      <c r="VP1284" s="97">
        <f t="shared" si="528"/>
        <v>0</v>
      </c>
      <c r="VQ1284" s="97">
        <f t="shared" si="529"/>
        <v>0</v>
      </c>
      <c r="VR1284" s="97">
        <f t="shared" si="530"/>
        <v>0</v>
      </c>
      <c r="VS1284" s="97">
        <f t="shared" si="531"/>
        <v>0</v>
      </c>
      <c r="VT1284" s="97">
        <f t="shared" si="532"/>
        <v>0</v>
      </c>
      <c r="VU1284" s="97">
        <f t="shared" si="533"/>
        <v>0</v>
      </c>
      <c r="VV1284" s="97">
        <f t="shared" si="534"/>
        <v>0</v>
      </c>
      <c r="VW1284" s="97">
        <f t="shared" si="534"/>
        <v>0</v>
      </c>
      <c r="VX1284" s="97">
        <f t="shared" si="534"/>
        <v>0</v>
      </c>
      <c r="VY1284" s="97">
        <f t="shared" si="535"/>
        <v>0</v>
      </c>
      <c r="VZ1284" s="97">
        <f t="shared" si="535"/>
        <v>0</v>
      </c>
      <c r="WA1284" s="97">
        <f t="shared" si="535"/>
        <v>0</v>
      </c>
      <c r="WB1284" s="102"/>
      <c r="WC1284" s="102"/>
      <c r="WD1284" s="102"/>
      <c r="WE1284" s="97">
        <f t="shared" si="536"/>
        <v>0</v>
      </c>
      <c r="WF1284" s="97">
        <f t="shared" si="537"/>
        <v>0</v>
      </c>
      <c r="WG1284" s="97">
        <f t="shared" si="538"/>
        <v>0</v>
      </c>
      <c r="WH1284" s="97">
        <f t="shared" si="539"/>
        <v>0</v>
      </c>
      <c r="WI1284" s="97">
        <f t="shared" si="540"/>
        <v>0</v>
      </c>
      <c r="WJ1284" s="97">
        <f t="shared" si="541"/>
        <v>0</v>
      </c>
      <c r="WK1284" s="97">
        <f t="shared" si="542"/>
        <v>0</v>
      </c>
      <c r="WL1284" s="97">
        <f t="shared" si="543"/>
        <v>0</v>
      </c>
      <c r="WM1284" s="97">
        <f t="shared" si="544"/>
        <v>0</v>
      </c>
      <c r="WN1284" s="97">
        <f t="shared" si="545"/>
        <v>0</v>
      </c>
      <c r="WO1284" s="97">
        <f t="shared" si="546"/>
        <v>0</v>
      </c>
      <c r="WP1284" s="97">
        <f t="shared" si="547"/>
        <v>0</v>
      </c>
      <c r="WQ1284" s="97">
        <f t="shared" si="548"/>
        <v>0</v>
      </c>
      <c r="WR1284" s="97">
        <f t="shared" si="548"/>
        <v>0</v>
      </c>
      <c r="WS1284" s="97">
        <f t="shared" si="548"/>
        <v>0</v>
      </c>
      <c r="WT1284" s="97">
        <f t="shared" si="549"/>
        <v>0</v>
      </c>
      <c r="WU1284" s="97">
        <f t="shared" si="549"/>
        <v>0</v>
      </c>
      <c r="WV1284" s="97">
        <f t="shared" si="549"/>
        <v>0</v>
      </c>
      <c r="WW1284" s="102"/>
      <c r="WX1284" s="102"/>
      <c r="WY1284" s="102"/>
      <c r="WZ1284" s="97">
        <f t="shared" si="550"/>
        <v>0</v>
      </c>
      <c r="XA1284" s="97">
        <f t="shared" si="551"/>
        <v>0</v>
      </c>
      <c r="XB1284" s="97">
        <f t="shared" si="552"/>
        <v>0</v>
      </c>
      <c r="XC1284" s="97">
        <f t="shared" si="553"/>
        <v>0</v>
      </c>
      <c r="XD1284" s="97">
        <f t="shared" si="554"/>
        <v>0</v>
      </c>
      <c r="XE1284" s="97">
        <f t="shared" si="555"/>
        <v>0</v>
      </c>
      <c r="XF1284" s="97">
        <f t="shared" si="556"/>
        <v>0</v>
      </c>
      <c r="XG1284" s="97">
        <f t="shared" si="557"/>
        <v>0</v>
      </c>
      <c r="XH1284" s="97">
        <f t="shared" si="558"/>
        <v>0</v>
      </c>
      <c r="XI1284" s="97">
        <f t="shared" si="559"/>
        <v>0</v>
      </c>
      <c r="XJ1284" s="97">
        <f t="shared" si="560"/>
        <v>0</v>
      </c>
      <c r="XK1284" s="97">
        <f t="shared" si="561"/>
        <v>0</v>
      </c>
      <c r="XL1284" s="97">
        <f t="shared" si="562"/>
        <v>0</v>
      </c>
      <c r="XM1284" s="97">
        <f t="shared" si="562"/>
        <v>0</v>
      </c>
      <c r="XN1284" s="97">
        <f t="shared" si="562"/>
        <v>0</v>
      </c>
      <c r="XO1284" s="97">
        <f t="shared" si="563"/>
        <v>0</v>
      </c>
      <c r="XP1284" s="97">
        <f t="shared" si="563"/>
        <v>0</v>
      </c>
      <c r="XQ1284" s="97">
        <f t="shared" si="563"/>
        <v>0</v>
      </c>
      <c r="XR1284" s="102"/>
      <c r="XS1284" s="102"/>
      <c r="XT1284" s="102"/>
      <c r="XU1284" s="97">
        <f t="shared" si="564"/>
        <v>0</v>
      </c>
      <c r="XV1284" s="97">
        <f t="shared" si="565"/>
        <v>0</v>
      </c>
      <c r="XW1284" s="97">
        <f t="shared" si="566"/>
        <v>0</v>
      </c>
      <c r="XX1284" s="97">
        <f t="shared" si="567"/>
        <v>0</v>
      </c>
      <c r="XY1284" s="97">
        <f t="shared" si="568"/>
        <v>0</v>
      </c>
      <c r="XZ1284" s="97">
        <f t="shared" si="569"/>
        <v>0</v>
      </c>
      <c r="YA1284" s="97">
        <f t="shared" si="570"/>
        <v>0</v>
      </c>
      <c r="YB1284" s="97">
        <f t="shared" si="571"/>
        <v>0</v>
      </c>
      <c r="YC1284" s="97">
        <f t="shared" si="572"/>
        <v>0</v>
      </c>
      <c r="YD1284" s="97">
        <f t="shared" si="573"/>
        <v>0</v>
      </c>
      <c r="YE1284" s="97">
        <f t="shared" si="574"/>
        <v>0</v>
      </c>
      <c r="YF1284" s="97">
        <f t="shared" si="575"/>
        <v>0</v>
      </c>
      <c r="YG1284" s="97">
        <f t="shared" si="576"/>
        <v>0</v>
      </c>
      <c r="YH1284" s="97">
        <f t="shared" si="576"/>
        <v>0</v>
      </c>
      <c r="YI1284" s="97">
        <f t="shared" si="576"/>
        <v>0</v>
      </c>
      <c r="YJ1284" s="97">
        <f t="shared" si="577"/>
        <v>0</v>
      </c>
      <c r="YK1284" s="97">
        <f t="shared" si="577"/>
        <v>0</v>
      </c>
      <c r="YL1284" s="97">
        <f t="shared" si="577"/>
        <v>0</v>
      </c>
      <c r="YM1284" s="145">
        <f t="shared" si="601"/>
        <v>0</v>
      </c>
      <c r="YN1284" s="145">
        <f t="shared" si="578"/>
        <v>0</v>
      </c>
      <c r="YO1284" s="145">
        <f t="shared" si="578"/>
        <v>0</v>
      </c>
      <c r="YP1284" s="97">
        <f t="shared" si="579"/>
        <v>0</v>
      </c>
      <c r="YQ1284" s="97">
        <f t="shared" si="580"/>
        <v>0</v>
      </c>
      <c r="YR1284" s="97">
        <f t="shared" si="581"/>
        <v>0</v>
      </c>
      <c r="YS1284" s="97">
        <f t="shared" si="582"/>
        <v>0</v>
      </c>
      <c r="YT1284" s="97">
        <f t="shared" si="583"/>
        <v>0</v>
      </c>
      <c r="YU1284" s="97">
        <f t="shared" si="584"/>
        <v>0</v>
      </c>
      <c r="YV1284" s="97">
        <f t="shared" si="585"/>
        <v>50264.61</v>
      </c>
      <c r="YW1284" s="97">
        <f t="shared" si="586"/>
        <v>52799.51</v>
      </c>
      <c r="YX1284" s="97">
        <f t="shared" si="587"/>
        <v>54898.03</v>
      </c>
      <c r="YY1284" s="97">
        <f t="shared" si="588"/>
        <v>11994.84</v>
      </c>
      <c r="YZ1284" s="97">
        <f t="shared" si="589"/>
        <v>12680.95</v>
      </c>
      <c r="ZA1284" s="97">
        <f t="shared" si="590"/>
        <v>13508.54</v>
      </c>
      <c r="ZB1284" s="97">
        <f t="shared" si="591"/>
        <v>0</v>
      </c>
      <c r="ZC1284" s="97">
        <f t="shared" si="591"/>
        <v>0</v>
      </c>
      <c r="ZD1284" s="97">
        <f t="shared" si="591"/>
        <v>0</v>
      </c>
      <c r="ZE1284" s="97">
        <f t="shared" si="592"/>
        <v>0</v>
      </c>
      <c r="ZF1284" s="97">
        <f t="shared" si="592"/>
        <v>0</v>
      </c>
      <c r="ZG1284" s="97">
        <f t="shared" si="592"/>
        <v>0</v>
      </c>
    </row>
    <row r="1285" spans="1:683" ht="39" hidden="1" customHeight="1" x14ac:dyDescent="0.25">
      <c r="A1285" s="174" t="s">
        <v>415</v>
      </c>
      <c r="B1285" s="174" t="s">
        <v>430</v>
      </c>
      <c r="C1285" s="5"/>
      <c r="D1285" s="340"/>
      <c r="E1285" s="163"/>
      <c r="F1285" s="110">
        <f t="shared" si="148"/>
        <v>70591</v>
      </c>
      <c r="G1285" s="110">
        <f t="shared" si="148"/>
        <v>72315</v>
      </c>
      <c r="H1285" s="110">
        <f t="shared" si="148"/>
        <v>74621</v>
      </c>
      <c r="I1285" s="97">
        <f t="shared" si="149"/>
        <v>70581</v>
      </c>
      <c r="J1285" s="97">
        <f t="shared" si="149"/>
        <v>73124</v>
      </c>
      <c r="K1285" s="97">
        <f t="shared" si="149"/>
        <v>75032</v>
      </c>
      <c r="L1285" s="102"/>
      <c r="M1285" s="102"/>
      <c r="N1285" s="102"/>
      <c r="O1285" s="97">
        <f t="shared" si="593"/>
        <v>0</v>
      </c>
      <c r="P1285" s="97">
        <f t="shared" si="594"/>
        <v>0</v>
      </c>
      <c r="Q1285" s="97">
        <f t="shared" si="595"/>
        <v>0</v>
      </c>
      <c r="R1285" s="97">
        <f t="shared" si="596"/>
        <v>0</v>
      </c>
      <c r="S1285" s="97">
        <f t="shared" si="597"/>
        <v>0</v>
      </c>
      <c r="T1285" s="97">
        <f t="shared" si="598"/>
        <v>0</v>
      </c>
      <c r="U1285" s="97">
        <f t="shared" si="150"/>
        <v>0</v>
      </c>
      <c r="V1285" s="97">
        <f t="shared" si="151"/>
        <v>0</v>
      </c>
      <c r="W1285" s="97">
        <f t="shared" si="152"/>
        <v>0</v>
      </c>
      <c r="X1285" s="97">
        <f t="shared" si="153"/>
        <v>0</v>
      </c>
      <c r="Y1285" s="97">
        <f t="shared" si="154"/>
        <v>0</v>
      </c>
      <c r="Z1285" s="97">
        <f t="shared" si="155"/>
        <v>0</v>
      </c>
      <c r="AA1285" s="97">
        <f t="shared" si="599"/>
        <v>0</v>
      </c>
      <c r="AB1285" s="97">
        <f t="shared" si="156"/>
        <v>0</v>
      </c>
      <c r="AC1285" s="97">
        <f t="shared" si="156"/>
        <v>0</v>
      </c>
      <c r="AD1285" s="97">
        <f t="shared" si="600"/>
        <v>0</v>
      </c>
      <c r="AE1285" s="97">
        <f t="shared" si="157"/>
        <v>0</v>
      </c>
      <c r="AF1285" s="97">
        <f t="shared" si="157"/>
        <v>0</v>
      </c>
      <c r="AG1285" s="102"/>
      <c r="AH1285" s="102"/>
      <c r="AI1285" s="102"/>
      <c r="AJ1285" s="97">
        <f t="shared" si="158"/>
        <v>0</v>
      </c>
      <c r="AK1285" s="97">
        <f t="shared" si="159"/>
        <v>0</v>
      </c>
      <c r="AL1285" s="97">
        <f t="shared" si="160"/>
        <v>0</v>
      </c>
      <c r="AM1285" s="97">
        <f t="shared" si="161"/>
        <v>0</v>
      </c>
      <c r="AN1285" s="97">
        <f t="shared" si="162"/>
        <v>0</v>
      </c>
      <c r="AO1285" s="97">
        <f t="shared" si="163"/>
        <v>0</v>
      </c>
      <c r="AP1285" s="97">
        <f t="shared" si="164"/>
        <v>0</v>
      </c>
      <c r="AQ1285" s="97">
        <f t="shared" si="165"/>
        <v>0</v>
      </c>
      <c r="AR1285" s="97">
        <f t="shared" si="166"/>
        <v>0</v>
      </c>
      <c r="AS1285" s="97">
        <f t="shared" si="167"/>
        <v>0</v>
      </c>
      <c r="AT1285" s="97">
        <f t="shared" si="168"/>
        <v>0</v>
      </c>
      <c r="AU1285" s="97">
        <f t="shared" si="169"/>
        <v>0</v>
      </c>
      <c r="AV1285" s="97">
        <f t="shared" si="170"/>
        <v>0</v>
      </c>
      <c r="AW1285" s="97">
        <f t="shared" si="170"/>
        <v>0</v>
      </c>
      <c r="AX1285" s="97">
        <f t="shared" si="170"/>
        <v>0</v>
      </c>
      <c r="AY1285" s="97">
        <f t="shared" si="171"/>
        <v>0</v>
      </c>
      <c r="AZ1285" s="97">
        <f t="shared" si="171"/>
        <v>0</v>
      </c>
      <c r="BA1285" s="97">
        <f t="shared" si="171"/>
        <v>0</v>
      </c>
      <c r="BB1285" s="102"/>
      <c r="BC1285" s="102"/>
      <c r="BD1285" s="102"/>
      <c r="BE1285" s="97">
        <f t="shared" si="172"/>
        <v>0</v>
      </c>
      <c r="BF1285" s="97">
        <f t="shared" si="173"/>
        <v>0</v>
      </c>
      <c r="BG1285" s="97">
        <f t="shared" si="174"/>
        <v>0</v>
      </c>
      <c r="BH1285" s="97">
        <f t="shared" si="175"/>
        <v>0</v>
      </c>
      <c r="BI1285" s="97">
        <f t="shared" si="176"/>
        <v>0</v>
      </c>
      <c r="BJ1285" s="97">
        <f t="shared" si="177"/>
        <v>0</v>
      </c>
      <c r="BK1285" s="97">
        <f t="shared" si="178"/>
        <v>0</v>
      </c>
      <c r="BL1285" s="97">
        <f t="shared" si="179"/>
        <v>0</v>
      </c>
      <c r="BM1285" s="97">
        <f t="shared" si="180"/>
        <v>0</v>
      </c>
      <c r="BN1285" s="97">
        <f t="shared" si="181"/>
        <v>0</v>
      </c>
      <c r="BO1285" s="97">
        <f t="shared" si="182"/>
        <v>0</v>
      </c>
      <c r="BP1285" s="97">
        <f t="shared" si="183"/>
        <v>0</v>
      </c>
      <c r="BQ1285" s="97">
        <f t="shared" si="184"/>
        <v>0</v>
      </c>
      <c r="BR1285" s="97">
        <f t="shared" si="184"/>
        <v>0</v>
      </c>
      <c r="BS1285" s="97">
        <f t="shared" si="184"/>
        <v>0</v>
      </c>
      <c r="BT1285" s="97">
        <f t="shared" si="185"/>
        <v>0</v>
      </c>
      <c r="BU1285" s="97">
        <f t="shared" si="185"/>
        <v>0</v>
      </c>
      <c r="BV1285" s="97">
        <f t="shared" si="185"/>
        <v>0</v>
      </c>
      <c r="BW1285" s="102"/>
      <c r="BX1285" s="102"/>
      <c r="BY1285" s="102"/>
      <c r="BZ1285" s="97">
        <f t="shared" si="186"/>
        <v>0</v>
      </c>
      <c r="CA1285" s="97">
        <f t="shared" si="187"/>
        <v>0</v>
      </c>
      <c r="CB1285" s="97">
        <f t="shared" si="188"/>
        <v>0</v>
      </c>
      <c r="CC1285" s="97">
        <f t="shared" si="189"/>
        <v>0</v>
      </c>
      <c r="CD1285" s="97">
        <f t="shared" si="190"/>
        <v>0</v>
      </c>
      <c r="CE1285" s="97">
        <f t="shared" si="191"/>
        <v>0</v>
      </c>
      <c r="CF1285" s="97">
        <f t="shared" si="192"/>
        <v>0</v>
      </c>
      <c r="CG1285" s="97">
        <f t="shared" si="193"/>
        <v>0</v>
      </c>
      <c r="CH1285" s="97">
        <f t="shared" si="194"/>
        <v>0</v>
      </c>
      <c r="CI1285" s="97">
        <f t="shared" si="195"/>
        <v>0</v>
      </c>
      <c r="CJ1285" s="97">
        <f t="shared" si="196"/>
        <v>0</v>
      </c>
      <c r="CK1285" s="97">
        <f t="shared" si="197"/>
        <v>0</v>
      </c>
      <c r="CL1285" s="97">
        <f t="shared" si="198"/>
        <v>0</v>
      </c>
      <c r="CM1285" s="97">
        <f t="shared" si="198"/>
        <v>0</v>
      </c>
      <c r="CN1285" s="97">
        <f t="shared" si="198"/>
        <v>0</v>
      </c>
      <c r="CO1285" s="97">
        <f t="shared" si="199"/>
        <v>0</v>
      </c>
      <c r="CP1285" s="97">
        <f t="shared" si="199"/>
        <v>0</v>
      </c>
      <c r="CQ1285" s="97">
        <f t="shared" si="199"/>
        <v>0</v>
      </c>
      <c r="CR1285" s="102"/>
      <c r="CS1285" s="102"/>
      <c r="CT1285" s="102"/>
      <c r="CU1285" s="97">
        <f t="shared" si="200"/>
        <v>0</v>
      </c>
      <c r="CV1285" s="97">
        <f t="shared" si="201"/>
        <v>0</v>
      </c>
      <c r="CW1285" s="97">
        <f t="shared" si="202"/>
        <v>0</v>
      </c>
      <c r="CX1285" s="97">
        <f t="shared" si="203"/>
        <v>0</v>
      </c>
      <c r="CY1285" s="97">
        <f t="shared" si="204"/>
        <v>0</v>
      </c>
      <c r="CZ1285" s="97">
        <f t="shared" si="205"/>
        <v>0</v>
      </c>
      <c r="DA1285" s="97">
        <f t="shared" si="206"/>
        <v>0</v>
      </c>
      <c r="DB1285" s="97">
        <f t="shared" si="207"/>
        <v>0</v>
      </c>
      <c r="DC1285" s="97">
        <f t="shared" si="208"/>
        <v>0</v>
      </c>
      <c r="DD1285" s="97">
        <f t="shared" si="209"/>
        <v>0</v>
      </c>
      <c r="DE1285" s="97">
        <f t="shared" si="210"/>
        <v>0</v>
      </c>
      <c r="DF1285" s="97">
        <f t="shared" si="211"/>
        <v>0</v>
      </c>
      <c r="DG1285" s="97">
        <f t="shared" si="212"/>
        <v>0</v>
      </c>
      <c r="DH1285" s="97">
        <f t="shared" si="212"/>
        <v>0</v>
      </c>
      <c r="DI1285" s="97">
        <f t="shared" si="212"/>
        <v>0</v>
      </c>
      <c r="DJ1285" s="97">
        <f t="shared" si="213"/>
        <v>0</v>
      </c>
      <c r="DK1285" s="97">
        <f t="shared" si="213"/>
        <v>0</v>
      </c>
      <c r="DL1285" s="97">
        <f t="shared" si="213"/>
        <v>0</v>
      </c>
      <c r="DM1285" s="102"/>
      <c r="DN1285" s="102"/>
      <c r="DO1285" s="102"/>
      <c r="DP1285" s="97">
        <f t="shared" si="214"/>
        <v>0</v>
      </c>
      <c r="DQ1285" s="97">
        <f t="shared" si="215"/>
        <v>0</v>
      </c>
      <c r="DR1285" s="97">
        <f t="shared" si="216"/>
        <v>0</v>
      </c>
      <c r="DS1285" s="97">
        <f t="shared" si="217"/>
        <v>0</v>
      </c>
      <c r="DT1285" s="97">
        <f t="shared" si="218"/>
        <v>0</v>
      </c>
      <c r="DU1285" s="97">
        <f t="shared" si="219"/>
        <v>0</v>
      </c>
      <c r="DV1285" s="97">
        <f t="shared" si="220"/>
        <v>0</v>
      </c>
      <c r="DW1285" s="97">
        <f t="shared" si="221"/>
        <v>0</v>
      </c>
      <c r="DX1285" s="97">
        <f t="shared" si="222"/>
        <v>0</v>
      </c>
      <c r="DY1285" s="97">
        <f t="shared" si="223"/>
        <v>0</v>
      </c>
      <c r="DZ1285" s="97">
        <f t="shared" si="224"/>
        <v>0</v>
      </c>
      <c r="EA1285" s="97">
        <f t="shared" si="225"/>
        <v>0</v>
      </c>
      <c r="EB1285" s="97">
        <f t="shared" si="226"/>
        <v>0</v>
      </c>
      <c r="EC1285" s="97">
        <f t="shared" si="226"/>
        <v>0</v>
      </c>
      <c r="ED1285" s="97">
        <f t="shared" si="226"/>
        <v>0</v>
      </c>
      <c r="EE1285" s="97">
        <f t="shared" si="227"/>
        <v>0</v>
      </c>
      <c r="EF1285" s="97">
        <f t="shared" si="227"/>
        <v>0</v>
      </c>
      <c r="EG1285" s="97">
        <f t="shared" si="227"/>
        <v>0</v>
      </c>
      <c r="EH1285" s="102"/>
      <c r="EI1285" s="102"/>
      <c r="EJ1285" s="102"/>
      <c r="EK1285" s="97">
        <f t="shared" si="228"/>
        <v>0</v>
      </c>
      <c r="EL1285" s="97">
        <f t="shared" si="229"/>
        <v>0</v>
      </c>
      <c r="EM1285" s="97">
        <f t="shared" si="230"/>
        <v>0</v>
      </c>
      <c r="EN1285" s="97">
        <f t="shared" si="231"/>
        <v>0</v>
      </c>
      <c r="EO1285" s="97">
        <f t="shared" si="232"/>
        <v>0</v>
      </c>
      <c r="EP1285" s="97">
        <f t="shared" si="233"/>
        <v>0</v>
      </c>
      <c r="EQ1285" s="97">
        <f t="shared" si="234"/>
        <v>0</v>
      </c>
      <c r="ER1285" s="97">
        <f t="shared" si="235"/>
        <v>0</v>
      </c>
      <c r="ES1285" s="97">
        <f t="shared" si="236"/>
        <v>0</v>
      </c>
      <c r="ET1285" s="97">
        <f t="shared" si="237"/>
        <v>0</v>
      </c>
      <c r="EU1285" s="97">
        <f t="shared" si="238"/>
        <v>0</v>
      </c>
      <c r="EV1285" s="97">
        <f t="shared" si="239"/>
        <v>0</v>
      </c>
      <c r="EW1285" s="97">
        <f t="shared" si="240"/>
        <v>0</v>
      </c>
      <c r="EX1285" s="97">
        <f t="shared" si="240"/>
        <v>0</v>
      </c>
      <c r="EY1285" s="97">
        <f t="shared" si="240"/>
        <v>0</v>
      </c>
      <c r="EZ1285" s="97">
        <f t="shared" si="241"/>
        <v>0</v>
      </c>
      <c r="FA1285" s="97">
        <f t="shared" si="241"/>
        <v>0</v>
      </c>
      <c r="FB1285" s="97">
        <f t="shared" si="241"/>
        <v>0</v>
      </c>
      <c r="FC1285" s="102"/>
      <c r="FD1285" s="102"/>
      <c r="FE1285" s="102"/>
      <c r="FF1285" s="97">
        <f t="shared" si="242"/>
        <v>0</v>
      </c>
      <c r="FG1285" s="97">
        <f t="shared" si="243"/>
        <v>0</v>
      </c>
      <c r="FH1285" s="97">
        <f t="shared" si="244"/>
        <v>0</v>
      </c>
      <c r="FI1285" s="97">
        <f t="shared" si="245"/>
        <v>0</v>
      </c>
      <c r="FJ1285" s="97">
        <f t="shared" si="246"/>
        <v>0</v>
      </c>
      <c r="FK1285" s="97">
        <f t="shared" si="247"/>
        <v>0</v>
      </c>
      <c r="FL1285" s="97">
        <f t="shared" si="248"/>
        <v>0</v>
      </c>
      <c r="FM1285" s="97">
        <f t="shared" si="249"/>
        <v>0</v>
      </c>
      <c r="FN1285" s="97">
        <f t="shared" si="250"/>
        <v>0</v>
      </c>
      <c r="FO1285" s="97">
        <f t="shared" si="251"/>
        <v>0</v>
      </c>
      <c r="FP1285" s="97">
        <f t="shared" si="252"/>
        <v>0</v>
      </c>
      <c r="FQ1285" s="97">
        <f t="shared" si="253"/>
        <v>0</v>
      </c>
      <c r="FR1285" s="97">
        <f t="shared" si="254"/>
        <v>0</v>
      </c>
      <c r="FS1285" s="97">
        <f t="shared" si="254"/>
        <v>0</v>
      </c>
      <c r="FT1285" s="97">
        <f t="shared" si="254"/>
        <v>0</v>
      </c>
      <c r="FU1285" s="97">
        <f t="shared" si="255"/>
        <v>0</v>
      </c>
      <c r="FV1285" s="97">
        <f t="shared" si="255"/>
        <v>0</v>
      </c>
      <c r="FW1285" s="97">
        <f t="shared" si="255"/>
        <v>0</v>
      </c>
      <c r="FX1285" s="102"/>
      <c r="FY1285" s="102"/>
      <c r="FZ1285" s="102"/>
      <c r="GA1285" s="97">
        <f t="shared" si="256"/>
        <v>0</v>
      </c>
      <c r="GB1285" s="97">
        <f t="shared" si="257"/>
        <v>0</v>
      </c>
      <c r="GC1285" s="97">
        <f t="shared" si="258"/>
        <v>0</v>
      </c>
      <c r="GD1285" s="97">
        <f t="shared" si="259"/>
        <v>0</v>
      </c>
      <c r="GE1285" s="97">
        <f t="shared" si="260"/>
        <v>0</v>
      </c>
      <c r="GF1285" s="97">
        <f t="shared" si="261"/>
        <v>0</v>
      </c>
      <c r="GG1285" s="97">
        <f t="shared" si="262"/>
        <v>0</v>
      </c>
      <c r="GH1285" s="97">
        <f t="shared" si="263"/>
        <v>0</v>
      </c>
      <c r="GI1285" s="97">
        <f t="shared" si="264"/>
        <v>0</v>
      </c>
      <c r="GJ1285" s="97">
        <f t="shared" si="265"/>
        <v>0</v>
      </c>
      <c r="GK1285" s="97">
        <f t="shared" si="266"/>
        <v>0</v>
      </c>
      <c r="GL1285" s="97">
        <f t="shared" si="267"/>
        <v>0</v>
      </c>
      <c r="GM1285" s="97">
        <f t="shared" si="268"/>
        <v>0</v>
      </c>
      <c r="GN1285" s="97">
        <f t="shared" si="268"/>
        <v>0</v>
      </c>
      <c r="GO1285" s="97">
        <f t="shared" si="268"/>
        <v>0</v>
      </c>
      <c r="GP1285" s="97">
        <f t="shared" si="269"/>
        <v>0</v>
      </c>
      <c r="GQ1285" s="97">
        <f t="shared" si="269"/>
        <v>0</v>
      </c>
      <c r="GR1285" s="97">
        <f t="shared" si="269"/>
        <v>0</v>
      </c>
      <c r="GS1285" s="102"/>
      <c r="GT1285" s="102"/>
      <c r="GU1285" s="102"/>
      <c r="GV1285" s="97">
        <f t="shared" si="270"/>
        <v>0</v>
      </c>
      <c r="GW1285" s="97">
        <f t="shared" si="271"/>
        <v>0</v>
      </c>
      <c r="GX1285" s="97">
        <f t="shared" si="272"/>
        <v>0</v>
      </c>
      <c r="GY1285" s="97">
        <f t="shared" si="273"/>
        <v>0</v>
      </c>
      <c r="GZ1285" s="97">
        <f t="shared" si="274"/>
        <v>0</v>
      </c>
      <c r="HA1285" s="97">
        <f t="shared" si="275"/>
        <v>0</v>
      </c>
      <c r="HB1285" s="97">
        <f t="shared" si="276"/>
        <v>0</v>
      </c>
      <c r="HC1285" s="97">
        <f t="shared" si="277"/>
        <v>0</v>
      </c>
      <c r="HD1285" s="97">
        <f t="shared" si="278"/>
        <v>0</v>
      </c>
      <c r="HE1285" s="97">
        <f t="shared" si="279"/>
        <v>0</v>
      </c>
      <c r="HF1285" s="97">
        <f t="shared" si="280"/>
        <v>0</v>
      </c>
      <c r="HG1285" s="97">
        <f t="shared" si="281"/>
        <v>0</v>
      </c>
      <c r="HH1285" s="97">
        <f t="shared" si="282"/>
        <v>0</v>
      </c>
      <c r="HI1285" s="97">
        <f t="shared" si="282"/>
        <v>0</v>
      </c>
      <c r="HJ1285" s="97">
        <f t="shared" si="282"/>
        <v>0</v>
      </c>
      <c r="HK1285" s="97">
        <f t="shared" si="283"/>
        <v>0</v>
      </c>
      <c r="HL1285" s="97">
        <f t="shared" si="283"/>
        <v>0</v>
      </c>
      <c r="HM1285" s="97">
        <f t="shared" si="283"/>
        <v>0</v>
      </c>
      <c r="HN1285" s="102"/>
      <c r="HO1285" s="102"/>
      <c r="HP1285" s="102"/>
      <c r="HQ1285" s="97">
        <f t="shared" si="284"/>
        <v>0</v>
      </c>
      <c r="HR1285" s="97">
        <f t="shared" si="285"/>
        <v>0</v>
      </c>
      <c r="HS1285" s="97">
        <f t="shared" si="286"/>
        <v>0</v>
      </c>
      <c r="HT1285" s="97">
        <f t="shared" si="287"/>
        <v>0</v>
      </c>
      <c r="HU1285" s="97">
        <f t="shared" si="288"/>
        <v>0</v>
      </c>
      <c r="HV1285" s="97">
        <f t="shared" si="289"/>
        <v>0</v>
      </c>
      <c r="HW1285" s="97">
        <f t="shared" si="290"/>
        <v>0</v>
      </c>
      <c r="HX1285" s="97">
        <f t="shared" si="291"/>
        <v>0</v>
      </c>
      <c r="HY1285" s="97">
        <f t="shared" si="292"/>
        <v>0</v>
      </c>
      <c r="HZ1285" s="97">
        <f t="shared" si="293"/>
        <v>0</v>
      </c>
      <c r="IA1285" s="97">
        <f t="shared" si="294"/>
        <v>0</v>
      </c>
      <c r="IB1285" s="97">
        <f t="shared" si="295"/>
        <v>0</v>
      </c>
      <c r="IC1285" s="97">
        <f t="shared" si="296"/>
        <v>0</v>
      </c>
      <c r="ID1285" s="97">
        <f t="shared" si="296"/>
        <v>0</v>
      </c>
      <c r="IE1285" s="97">
        <f t="shared" si="296"/>
        <v>0</v>
      </c>
      <c r="IF1285" s="97">
        <f t="shared" si="297"/>
        <v>0</v>
      </c>
      <c r="IG1285" s="97">
        <f t="shared" si="297"/>
        <v>0</v>
      </c>
      <c r="IH1285" s="97">
        <f t="shared" si="297"/>
        <v>0</v>
      </c>
      <c r="II1285" s="102"/>
      <c r="IJ1285" s="102"/>
      <c r="IK1285" s="102"/>
      <c r="IL1285" s="97">
        <f t="shared" si="298"/>
        <v>0</v>
      </c>
      <c r="IM1285" s="97">
        <f t="shared" si="299"/>
        <v>0</v>
      </c>
      <c r="IN1285" s="97">
        <f t="shared" si="300"/>
        <v>0</v>
      </c>
      <c r="IO1285" s="97">
        <f t="shared" si="301"/>
        <v>0</v>
      </c>
      <c r="IP1285" s="97">
        <f t="shared" si="302"/>
        <v>0</v>
      </c>
      <c r="IQ1285" s="97">
        <f t="shared" si="303"/>
        <v>0</v>
      </c>
      <c r="IR1285" s="97">
        <f t="shared" si="304"/>
        <v>0</v>
      </c>
      <c r="IS1285" s="97">
        <f t="shared" si="305"/>
        <v>0</v>
      </c>
      <c r="IT1285" s="97">
        <f t="shared" si="306"/>
        <v>0</v>
      </c>
      <c r="IU1285" s="97">
        <f t="shared" si="307"/>
        <v>0</v>
      </c>
      <c r="IV1285" s="97">
        <f t="shared" si="308"/>
        <v>0</v>
      </c>
      <c r="IW1285" s="97">
        <f t="shared" si="309"/>
        <v>0</v>
      </c>
      <c r="IX1285" s="97">
        <f t="shared" si="310"/>
        <v>0</v>
      </c>
      <c r="IY1285" s="97">
        <f t="shared" si="310"/>
        <v>0</v>
      </c>
      <c r="IZ1285" s="97">
        <f t="shared" si="310"/>
        <v>0</v>
      </c>
      <c r="JA1285" s="97">
        <f t="shared" si="311"/>
        <v>0</v>
      </c>
      <c r="JB1285" s="97">
        <f t="shared" si="311"/>
        <v>0</v>
      </c>
      <c r="JC1285" s="97">
        <f t="shared" si="311"/>
        <v>0</v>
      </c>
      <c r="JD1285" s="102"/>
      <c r="JE1285" s="102"/>
      <c r="JF1285" s="102"/>
      <c r="JG1285" s="97">
        <f t="shared" si="312"/>
        <v>0</v>
      </c>
      <c r="JH1285" s="97">
        <f t="shared" si="313"/>
        <v>0</v>
      </c>
      <c r="JI1285" s="97">
        <f t="shared" si="314"/>
        <v>0</v>
      </c>
      <c r="JJ1285" s="97">
        <f t="shared" si="315"/>
        <v>0</v>
      </c>
      <c r="JK1285" s="97">
        <f t="shared" si="316"/>
        <v>0</v>
      </c>
      <c r="JL1285" s="97">
        <f t="shared" si="317"/>
        <v>0</v>
      </c>
      <c r="JM1285" s="97">
        <f t="shared" si="318"/>
        <v>0</v>
      </c>
      <c r="JN1285" s="97">
        <f t="shared" si="319"/>
        <v>0</v>
      </c>
      <c r="JO1285" s="97">
        <f t="shared" si="320"/>
        <v>0</v>
      </c>
      <c r="JP1285" s="97">
        <f t="shared" si="321"/>
        <v>0</v>
      </c>
      <c r="JQ1285" s="97">
        <f t="shared" si="322"/>
        <v>0</v>
      </c>
      <c r="JR1285" s="97">
        <f t="shared" si="323"/>
        <v>0</v>
      </c>
      <c r="JS1285" s="97">
        <f t="shared" si="324"/>
        <v>0</v>
      </c>
      <c r="JT1285" s="97">
        <f t="shared" si="324"/>
        <v>0</v>
      </c>
      <c r="JU1285" s="97">
        <f t="shared" si="324"/>
        <v>0</v>
      </c>
      <c r="JV1285" s="97">
        <f t="shared" si="325"/>
        <v>0</v>
      </c>
      <c r="JW1285" s="97">
        <f t="shared" si="325"/>
        <v>0</v>
      </c>
      <c r="JX1285" s="97">
        <f t="shared" si="325"/>
        <v>0</v>
      </c>
      <c r="JY1285" s="102"/>
      <c r="JZ1285" s="102"/>
      <c r="KA1285" s="102"/>
      <c r="KB1285" s="97">
        <f t="shared" si="326"/>
        <v>0</v>
      </c>
      <c r="KC1285" s="97">
        <f t="shared" si="327"/>
        <v>0</v>
      </c>
      <c r="KD1285" s="97">
        <f t="shared" si="328"/>
        <v>0</v>
      </c>
      <c r="KE1285" s="97">
        <f t="shared" si="329"/>
        <v>0</v>
      </c>
      <c r="KF1285" s="97">
        <f t="shared" si="330"/>
        <v>0</v>
      </c>
      <c r="KG1285" s="97">
        <f t="shared" si="331"/>
        <v>0</v>
      </c>
      <c r="KH1285" s="97">
        <f t="shared" si="332"/>
        <v>0</v>
      </c>
      <c r="KI1285" s="97">
        <f t="shared" si="333"/>
        <v>0</v>
      </c>
      <c r="KJ1285" s="97">
        <f t="shared" si="334"/>
        <v>0</v>
      </c>
      <c r="KK1285" s="97">
        <f t="shared" si="335"/>
        <v>0</v>
      </c>
      <c r="KL1285" s="97">
        <f t="shared" si="336"/>
        <v>0</v>
      </c>
      <c r="KM1285" s="97">
        <f t="shared" si="337"/>
        <v>0</v>
      </c>
      <c r="KN1285" s="97">
        <f t="shared" si="338"/>
        <v>0</v>
      </c>
      <c r="KO1285" s="97">
        <f t="shared" si="338"/>
        <v>0</v>
      </c>
      <c r="KP1285" s="97">
        <f t="shared" si="338"/>
        <v>0</v>
      </c>
      <c r="KQ1285" s="97">
        <f t="shared" si="339"/>
        <v>0</v>
      </c>
      <c r="KR1285" s="97">
        <f t="shared" si="339"/>
        <v>0</v>
      </c>
      <c r="KS1285" s="97">
        <f t="shared" si="339"/>
        <v>0</v>
      </c>
      <c r="KT1285" s="102"/>
      <c r="KU1285" s="102"/>
      <c r="KV1285" s="102"/>
      <c r="KW1285" s="97">
        <f t="shared" si="340"/>
        <v>0</v>
      </c>
      <c r="KX1285" s="97">
        <f t="shared" si="341"/>
        <v>0</v>
      </c>
      <c r="KY1285" s="97">
        <f t="shared" si="342"/>
        <v>0</v>
      </c>
      <c r="KZ1285" s="97">
        <f t="shared" si="343"/>
        <v>0</v>
      </c>
      <c r="LA1285" s="97">
        <f t="shared" si="344"/>
        <v>0</v>
      </c>
      <c r="LB1285" s="97">
        <f t="shared" si="345"/>
        <v>0</v>
      </c>
      <c r="LC1285" s="97">
        <f t="shared" si="346"/>
        <v>0</v>
      </c>
      <c r="LD1285" s="97">
        <f t="shared" si="347"/>
        <v>0</v>
      </c>
      <c r="LE1285" s="97">
        <f t="shared" si="348"/>
        <v>0</v>
      </c>
      <c r="LF1285" s="97">
        <f t="shared" si="349"/>
        <v>0</v>
      </c>
      <c r="LG1285" s="97">
        <f t="shared" si="350"/>
        <v>0</v>
      </c>
      <c r="LH1285" s="97">
        <f t="shared" si="351"/>
        <v>0</v>
      </c>
      <c r="LI1285" s="97">
        <f t="shared" si="352"/>
        <v>0</v>
      </c>
      <c r="LJ1285" s="97">
        <f t="shared" si="352"/>
        <v>0</v>
      </c>
      <c r="LK1285" s="97">
        <f t="shared" si="352"/>
        <v>0</v>
      </c>
      <c r="LL1285" s="97">
        <f t="shared" si="353"/>
        <v>0</v>
      </c>
      <c r="LM1285" s="97">
        <f t="shared" si="353"/>
        <v>0</v>
      </c>
      <c r="LN1285" s="97">
        <f t="shared" si="353"/>
        <v>0</v>
      </c>
      <c r="LO1285" s="102"/>
      <c r="LP1285" s="102"/>
      <c r="LQ1285" s="102"/>
      <c r="LR1285" s="97">
        <f t="shared" si="354"/>
        <v>0</v>
      </c>
      <c r="LS1285" s="97">
        <f t="shared" si="355"/>
        <v>0</v>
      </c>
      <c r="LT1285" s="97">
        <f t="shared" si="356"/>
        <v>0</v>
      </c>
      <c r="LU1285" s="97">
        <f t="shared" si="357"/>
        <v>0</v>
      </c>
      <c r="LV1285" s="97">
        <f t="shared" si="358"/>
        <v>0</v>
      </c>
      <c r="LW1285" s="97">
        <f t="shared" si="359"/>
        <v>0</v>
      </c>
      <c r="LX1285" s="97">
        <f t="shared" si="360"/>
        <v>0</v>
      </c>
      <c r="LY1285" s="97">
        <f t="shared" si="361"/>
        <v>0</v>
      </c>
      <c r="LZ1285" s="97">
        <f t="shared" si="362"/>
        <v>0</v>
      </c>
      <c r="MA1285" s="97">
        <f t="shared" si="363"/>
        <v>0</v>
      </c>
      <c r="MB1285" s="97">
        <f t="shared" si="364"/>
        <v>0</v>
      </c>
      <c r="MC1285" s="97">
        <f t="shared" si="365"/>
        <v>0</v>
      </c>
      <c r="MD1285" s="97">
        <f t="shared" si="366"/>
        <v>0</v>
      </c>
      <c r="ME1285" s="97">
        <f t="shared" si="366"/>
        <v>0</v>
      </c>
      <c r="MF1285" s="97">
        <f t="shared" si="366"/>
        <v>0</v>
      </c>
      <c r="MG1285" s="97">
        <f t="shared" si="367"/>
        <v>0</v>
      </c>
      <c r="MH1285" s="97">
        <f t="shared" si="367"/>
        <v>0</v>
      </c>
      <c r="MI1285" s="97">
        <f t="shared" si="367"/>
        <v>0</v>
      </c>
      <c r="MJ1285" s="102"/>
      <c r="MK1285" s="102"/>
      <c r="ML1285" s="102"/>
      <c r="MM1285" s="97">
        <f t="shared" si="368"/>
        <v>0</v>
      </c>
      <c r="MN1285" s="97">
        <f t="shared" si="369"/>
        <v>0</v>
      </c>
      <c r="MO1285" s="97">
        <f t="shared" si="370"/>
        <v>0</v>
      </c>
      <c r="MP1285" s="97">
        <f t="shared" si="371"/>
        <v>0</v>
      </c>
      <c r="MQ1285" s="97">
        <f t="shared" si="372"/>
        <v>0</v>
      </c>
      <c r="MR1285" s="97">
        <f t="shared" si="373"/>
        <v>0</v>
      </c>
      <c r="MS1285" s="97">
        <f t="shared" si="374"/>
        <v>0</v>
      </c>
      <c r="MT1285" s="97">
        <f t="shared" si="375"/>
        <v>0</v>
      </c>
      <c r="MU1285" s="97">
        <f t="shared" si="376"/>
        <v>0</v>
      </c>
      <c r="MV1285" s="97">
        <f t="shared" si="377"/>
        <v>0</v>
      </c>
      <c r="MW1285" s="97">
        <f t="shared" si="378"/>
        <v>0</v>
      </c>
      <c r="MX1285" s="97">
        <f t="shared" si="379"/>
        <v>0</v>
      </c>
      <c r="MY1285" s="97">
        <f t="shared" si="380"/>
        <v>0</v>
      </c>
      <c r="MZ1285" s="97">
        <f t="shared" si="380"/>
        <v>0</v>
      </c>
      <c r="NA1285" s="97">
        <f t="shared" si="380"/>
        <v>0</v>
      </c>
      <c r="NB1285" s="97">
        <f t="shared" si="381"/>
        <v>0</v>
      </c>
      <c r="NC1285" s="97">
        <f t="shared" si="381"/>
        <v>0</v>
      </c>
      <c r="ND1285" s="97">
        <f t="shared" si="381"/>
        <v>0</v>
      </c>
      <c r="NE1285" s="102"/>
      <c r="NF1285" s="102"/>
      <c r="NG1285" s="102"/>
      <c r="NH1285" s="97">
        <f t="shared" si="382"/>
        <v>0</v>
      </c>
      <c r="NI1285" s="97">
        <f t="shared" si="383"/>
        <v>0</v>
      </c>
      <c r="NJ1285" s="97">
        <f t="shared" si="384"/>
        <v>0</v>
      </c>
      <c r="NK1285" s="97">
        <f t="shared" si="385"/>
        <v>0</v>
      </c>
      <c r="NL1285" s="97">
        <f t="shared" si="386"/>
        <v>0</v>
      </c>
      <c r="NM1285" s="97">
        <f t="shared" si="387"/>
        <v>0</v>
      </c>
      <c r="NN1285" s="97">
        <f t="shared" si="388"/>
        <v>0</v>
      </c>
      <c r="NO1285" s="97">
        <f t="shared" si="389"/>
        <v>0</v>
      </c>
      <c r="NP1285" s="97">
        <f t="shared" si="390"/>
        <v>0</v>
      </c>
      <c r="NQ1285" s="97">
        <f t="shared" si="391"/>
        <v>0</v>
      </c>
      <c r="NR1285" s="97">
        <f t="shared" si="392"/>
        <v>0</v>
      </c>
      <c r="NS1285" s="97">
        <f t="shared" si="393"/>
        <v>0</v>
      </c>
      <c r="NT1285" s="97">
        <f t="shared" si="394"/>
        <v>0</v>
      </c>
      <c r="NU1285" s="97">
        <f t="shared" si="394"/>
        <v>0</v>
      </c>
      <c r="NV1285" s="97">
        <f t="shared" si="394"/>
        <v>0</v>
      </c>
      <c r="NW1285" s="97">
        <f t="shared" si="395"/>
        <v>0</v>
      </c>
      <c r="NX1285" s="97">
        <f t="shared" si="395"/>
        <v>0</v>
      </c>
      <c r="NY1285" s="97">
        <f t="shared" si="395"/>
        <v>0</v>
      </c>
      <c r="NZ1285" s="102"/>
      <c r="OA1285" s="102"/>
      <c r="OB1285" s="102"/>
      <c r="OC1285" s="97">
        <f t="shared" si="396"/>
        <v>0</v>
      </c>
      <c r="OD1285" s="97">
        <f t="shared" si="397"/>
        <v>0</v>
      </c>
      <c r="OE1285" s="97">
        <f t="shared" si="398"/>
        <v>0</v>
      </c>
      <c r="OF1285" s="97">
        <f t="shared" si="399"/>
        <v>0</v>
      </c>
      <c r="OG1285" s="97">
        <f t="shared" si="400"/>
        <v>0</v>
      </c>
      <c r="OH1285" s="97">
        <f t="shared" si="401"/>
        <v>0</v>
      </c>
      <c r="OI1285" s="97">
        <f t="shared" si="402"/>
        <v>0</v>
      </c>
      <c r="OJ1285" s="97">
        <f t="shared" si="403"/>
        <v>0</v>
      </c>
      <c r="OK1285" s="97">
        <f t="shared" si="404"/>
        <v>0</v>
      </c>
      <c r="OL1285" s="97">
        <f t="shared" si="405"/>
        <v>0</v>
      </c>
      <c r="OM1285" s="97">
        <f t="shared" si="406"/>
        <v>0</v>
      </c>
      <c r="ON1285" s="97">
        <f t="shared" si="407"/>
        <v>0</v>
      </c>
      <c r="OO1285" s="97">
        <f t="shared" si="408"/>
        <v>0</v>
      </c>
      <c r="OP1285" s="97">
        <f t="shared" si="408"/>
        <v>0</v>
      </c>
      <c r="OQ1285" s="97">
        <f t="shared" si="408"/>
        <v>0</v>
      </c>
      <c r="OR1285" s="97">
        <f t="shared" si="409"/>
        <v>0</v>
      </c>
      <c r="OS1285" s="97">
        <f t="shared" si="409"/>
        <v>0</v>
      </c>
      <c r="OT1285" s="97">
        <f t="shared" si="409"/>
        <v>0</v>
      </c>
      <c r="OU1285" s="102"/>
      <c r="OV1285" s="102"/>
      <c r="OW1285" s="102"/>
      <c r="OX1285" s="97">
        <f t="shared" si="410"/>
        <v>0</v>
      </c>
      <c r="OY1285" s="97">
        <f t="shared" si="411"/>
        <v>0</v>
      </c>
      <c r="OZ1285" s="97">
        <f t="shared" si="412"/>
        <v>0</v>
      </c>
      <c r="PA1285" s="97">
        <f t="shared" si="413"/>
        <v>0</v>
      </c>
      <c r="PB1285" s="97">
        <f t="shared" si="414"/>
        <v>0</v>
      </c>
      <c r="PC1285" s="97">
        <f t="shared" si="415"/>
        <v>0</v>
      </c>
      <c r="PD1285" s="97">
        <f t="shared" si="416"/>
        <v>0</v>
      </c>
      <c r="PE1285" s="97">
        <f t="shared" si="417"/>
        <v>0</v>
      </c>
      <c r="PF1285" s="97">
        <f t="shared" si="418"/>
        <v>0</v>
      </c>
      <c r="PG1285" s="97">
        <f t="shared" si="419"/>
        <v>0</v>
      </c>
      <c r="PH1285" s="97">
        <f t="shared" si="420"/>
        <v>0</v>
      </c>
      <c r="PI1285" s="97">
        <f t="shared" si="421"/>
        <v>0</v>
      </c>
      <c r="PJ1285" s="97">
        <f t="shared" si="422"/>
        <v>0</v>
      </c>
      <c r="PK1285" s="97">
        <f t="shared" si="422"/>
        <v>0</v>
      </c>
      <c r="PL1285" s="97">
        <f t="shared" si="422"/>
        <v>0</v>
      </c>
      <c r="PM1285" s="97">
        <f t="shared" si="423"/>
        <v>0</v>
      </c>
      <c r="PN1285" s="97">
        <f t="shared" si="423"/>
        <v>0</v>
      </c>
      <c r="PO1285" s="97">
        <f t="shared" si="423"/>
        <v>0</v>
      </c>
      <c r="PP1285" s="102"/>
      <c r="PQ1285" s="102"/>
      <c r="PR1285" s="102"/>
      <c r="PS1285" s="97">
        <f t="shared" si="424"/>
        <v>0</v>
      </c>
      <c r="PT1285" s="97">
        <f t="shared" si="425"/>
        <v>0</v>
      </c>
      <c r="PU1285" s="97">
        <f t="shared" si="426"/>
        <v>0</v>
      </c>
      <c r="PV1285" s="97">
        <f t="shared" si="427"/>
        <v>0</v>
      </c>
      <c r="PW1285" s="97">
        <f t="shared" si="428"/>
        <v>0</v>
      </c>
      <c r="PX1285" s="97">
        <f t="shared" si="429"/>
        <v>0</v>
      </c>
      <c r="PY1285" s="97">
        <f t="shared" si="430"/>
        <v>0</v>
      </c>
      <c r="PZ1285" s="97">
        <f t="shared" si="431"/>
        <v>0</v>
      </c>
      <c r="QA1285" s="97">
        <f t="shared" si="432"/>
        <v>0</v>
      </c>
      <c r="QB1285" s="97">
        <f t="shared" si="433"/>
        <v>0</v>
      </c>
      <c r="QC1285" s="97">
        <f t="shared" si="434"/>
        <v>0</v>
      </c>
      <c r="QD1285" s="97">
        <f t="shared" si="435"/>
        <v>0</v>
      </c>
      <c r="QE1285" s="97">
        <f t="shared" si="436"/>
        <v>0</v>
      </c>
      <c r="QF1285" s="97">
        <f t="shared" si="436"/>
        <v>0</v>
      </c>
      <c r="QG1285" s="97">
        <f t="shared" si="436"/>
        <v>0</v>
      </c>
      <c r="QH1285" s="97">
        <f t="shared" si="437"/>
        <v>0</v>
      </c>
      <c r="QI1285" s="97">
        <f t="shared" si="437"/>
        <v>0</v>
      </c>
      <c r="QJ1285" s="97">
        <f t="shared" si="437"/>
        <v>0</v>
      </c>
      <c r="QK1285" s="102"/>
      <c r="QL1285" s="102"/>
      <c r="QM1285" s="102"/>
      <c r="QN1285" s="97">
        <f t="shared" si="438"/>
        <v>0</v>
      </c>
      <c r="QO1285" s="97">
        <f t="shared" si="439"/>
        <v>0</v>
      </c>
      <c r="QP1285" s="97">
        <f t="shared" si="440"/>
        <v>0</v>
      </c>
      <c r="QQ1285" s="97">
        <f t="shared" si="441"/>
        <v>0</v>
      </c>
      <c r="QR1285" s="97">
        <f t="shared" si="442"/>
        <v>0</v>
      </c>
      <c r="QS1285" s="97">
        <f t="shared" si="443"/>
        <v>0</v>
      </c>
      <c r="QT1285" s="97">
        <f t="shared" si="444"/>
        <v>0</v>
      </c>
      <c r="QU1285" s="97">
        <f t="shared" si="445"/>
        <v>0</v>
      </c>
      <c r="QV1285" s="97">
        <f t="shared" si="446"/>
        <v>0</v>
      </c>
      <c r="QW1285" s="97">
        <f t="shared" si="447"/>
        <v>0</v>
      </c>
      <c r="QX1285" s="97">
        <f t="shared" si="448"/>
        <v>0</v>
      </c>
      <c r="QY1285" s="97">
        <f t="shared" si="449"/>
        <v>0</v>
      </c>
      <c r="QZ1285" s="97">
        <f t="shared" si="450"/>
        <v>0</v>
      </c>
      <c r="RA1285" s="97">
        <f t="shared" si="450"/>
        <v>0</v>
      </c>
      <c r="RB1285" s="97">
        <f t="shared" si="450"/>
        <v>0</v>
      </c>
      <c r="RC1285" s="97">
        <f t="shared" si="451"/>
        <v>0</v>
      </c>
      <c r="RD1285" s="97">
        <f t="shared" si="451"/>
        <v>0</v>
      </c>
      <c r="RE1285" s="97">
        <f t="shared" si="451"/>
        <v>0</v>
      </c>
      <c r="RF1285" s="102"/>
      <c r="RG1285" s="102"/>
      <c r="RH1285" s="102"/>
      <c r="RI1285" s="97">
        <f t="shared" si="452"/>
        <v>0</v>
      </c>
      <c r="RJ1285" s="97">
        <f t="shared" si="453"/>
        <v>0</v>
      </c>
      <c r="RK1285" s="97">
        <f t="shared" si="454"/>
        <v>0</v>
      </c>
      <c r="RL1285" s="97">
        <f t="shared" si="455"/>
        <v>0</v>
      </c>
      <c r="RM1285" s="97">
        <f t="shared" si="456"/>
        <v>0</v>
      </c>
      <c r="RN1285" s="97">
        <f t="shared" si="457"/>
        <v>0</v>
      </c>
      <c r="RO1285" s="97">
        <f t="shared" si="458"/>
        <v>0</v>
      </c>
      <c r="RP1285" s="97">
        <f t="shared" si="459"/>
        <v>0</v>
      </c>
      <c r="RQ1285" s="97">
        <f t="shared" si="460"/>
        <v>0</v>
      </c>
      <c r="RR1285" s="97">
        <f t="shared" si="461"/>
        <v>0</v>
      </c>
      <c r="RS1285" s="97">
        <f t="shared" si="462"/>
        <v>0</v>
      </c>
      <c r="RT1285" s="97">
        <f t="shared" si="463"/>
        <v>0</v>
      </c>
      <c r="RU1285" s="97">
        <f t="shared" si="464"/>
        <v>0</v>
      </c>
      <c r="RV1285" s="97">
        <f t="shared" si="464"/>
        <v>0</v>
      </c>
      <c r="RW1285" s="97">
        <f t="shared" si="464"/>
        <v>0</v>
      </c>
      <c r="RX1285" s="97">
        <f t="shared" si="465"/>
        <v>0</v>
      </c>
      <c r="RY1285" s="97">
        <f t="shared" si="465"/>
        <v>0</v>
      </c>
      <c r="RZ1285" s="97">
        <f t="shared" si="465"/>
        <v>0</v>
      </c>
      <c r="SA1285" s="102"/>
      <c r="SB1285" s="102"/>
      <c r="SC1285" s="102"/>
      <c r="SD1285" s="97">
        <f t="shared" si="466"/>
        <v>0</v>
      </c>
      <c r="SE1285" s="97">
        <f t="shared" si="467"/>
        <v>0</v>
      </c>
      <c r="SF1285" s="97">
        <f t="shared" si="468"/>
        <v>0</v>
      </c>
      <c r="SG1285" s="97">
        <f t="shared" si="469"/>
        <v>0</v>
      </c>
      <c r="SH1285" s="97">
        <f t="shared" si="470"/>
        <v>0</v>
      </c>
      <c r="SI1285" s="97">
        <f t="shared" si="471"/>
        <v>0</v>
      </c>
      <c r="SJ1285" s="97">
        <f t="shared" si="472"/>
        <v>0</v>
      </c>
      <c r="SK1285" s="97">
        <f t="shared" si="473"/>
        <v>0</v>
      </c>
      <c r="SL1285" s="97">
        <f t="shared" si="474"/>
        <v>0</v>
      </c>
      <c r="SM1285" s="97">
        <f t="shared" si="475"/>
        <v>0</v>
      </c>
      <c r="SN1285" s="97">
        <f t="shared" si="476"/>
        <v>0</v>
      </c>
      <c r="SO1285" s="97">
        <f t="shared" si="477"/>
        <v>0</v>
      </c>
      <c r="SP1285" s="97">
        <f t="shared" si="478"/>
        <v>0</v>
      </c>
      <c r="SQ1285" s="97">
        <f t="shared" si="478"/>
        <v>0</v>
      </c>
      <c r="SR1285" s="97">
        <f t="shared" si="478"/>
        <v>0</v>
      </c>
      <c r="SS1285" s="97">
        <f t="shared" si="479"/>
        <v>0</v>
      </c>
      <c r="ST1285" s="97">
        <f t="shared" si="479"/>
        <v>0</v>
      </c>
      <c r="SU1285" s="97">
        <f t="shared" si="479"/>
        <v>0</v>
      </c>
      <c r="SV1285" s="102"/>
      <c r="SW1285" s="102"/>
      <c r="SX1285" s="102"/>
      <c r="SY1285" s="97">
        <f t="shared" si="480"/>
        <v>0</v>
      </c>
      <c r="SZ1285" s="97">
        <f t="shared" si="481"/>
        <v>0</v>
      </c>
      <c r="TA1285" s="97">
        <f t="shared" si="482"/>
        <v>0</v>
      </c>
      <c r="TB1285" s="97">
        <f t="shared" si="483"/>
        <v>0</v>
      </c>
      <c r="TC1285" s="97">
        <f t="shared" si="484"/>
        <v>0</v>
      </c>
      <c r="TD1285" s="97">
        <f t="shared" si="485"/>
        <v>0</v>
      </c>
      <c r="TE1285" s="97">
        <f t="shared" si="486"/>
        <v>0</v>
      </c>
      <c r="TF1285" s="97">
        <f t="shared" si="487"/>
        <v>0</v>
      </c>
      <c r="TG1285" s="97">
        <f t="shared" si="488"/>
        <v>0</v>
      </c>
      <c r="TH1285" s="97">
        <f t="shared" si="489"/>
        <v>0</v>
      </c>
      <c r="TI1285" s="97">
        <f t="shared" si="490"/>
        <v>0</v>
      </c>
      <c r="TJ1285" s="97">
        <f t="shared" si="491"/>
        <v>0</v>
      </c>
      <c r="TK1285" s="97">
        <f t="shared" si="492"/>
        <v>0</v>
      </c>
      <c r="TL1285" s="97">
        <f t="shared" si="492"/>
        <v>0</v>
      </c>
      <c r="TM1285" s="97">
        <f t="shared" si="492"/>
        <v>0</v>
      </c>
      <c r="TN1285" s="97">
        <f t="shared" si="493"/>
        <v>0</v>
      </c>
      <c r="TO1285" s="97">
        <f t="shared" si="493"/>
        <v>0</v>
      </c>
      <c r="TP1285" s="97">
        <f t="shared" si="493"/>
        <v>0</v>
      </c>
      <c r="TQ1285" s="102"/>
      <c r="TR1285" s="102"/>
      <c r="TS1285" s="102"/>
      <c r="TT1285" s="97">
        <f t="shared" si="494"/>
        <v>0</v>
      </c>
      <c r="TU1285" s="97">
        <f t="shared" si="495"/>
        <v>0</v>
      </c>
      <c r="TV1285" s="97">
        <f t="shared" si="496"/>
        <v>0</v>
      </c>
      <c r="TW1285" s="97">
        <f t="shared" si="497"/>
        <v>0</v>
      </c>
      <c r="TX1285" s="97">
        <f t="shared" si="498"/>
        <v>0</v>
      </c>
      <c r="TY1285" s="97">
        <f t="shared" si="499"/>
        <v>0</v>
      </c>
      <c r="TZ1285" s="97">
        <f t="shared" si="500"/>
        <v>0</v>
      </c>
      <c r="UA1285" s="97">
        <f t="shared" si="501"/>
        <v>0</v>
      </c>
      <c r="UB1285" s="97">
        <f t="shared" si="502"/>
        <v>0</v>
      </c>
      <c r="UC1285" s="97">
        <f t="shared" si="503"/>
        <v>0</v>
      </c>
      <c r="UD1285" s="97">
        <f t="shared" si="504"/>
        <v>0</v>
      </c>
      <c r="UE1285" s="97">
        <f t="shared" si="505"/>
        <v>0</v>
      </c>
      <c r="UF1285" s="97">
        <f t="shared" si="506"/>
        <v>0</v>
      </c>
      <c r="UG1285" s="97">
        <f t="shared" si="506"/>
        <v>0</v>
      </c>
      <c r="UH1285" s="97">
        <f t="shared" si="506"/>
        <v>0</v>
      </c>
      <c r="UI1285" s="97">
        <f t="shared" si="507"/>
        <v>0</v>
      </c>
      <c r="UJ1285" s="97">
        <f t="shared" si="507"/>
        <v>0</v>
      </c>
      <c r="UK1285" s="97">
        <f t="shared" si="507"/>
        <v>0</v>
      </c>
      <c r="UL1285" s="102"/>
      <c r="UM1285" s="102"/>
      <c r="UN1285" s="102"/>
      <c r="UO1285" s="97">
        <f t="shared" si="508"/>
        <v>0</v>
      </c>
      <c r="UP1285" s="97">
        <f t="shared" si="509"/>
        <v>0</v>
      </c>
      <c r="UQ1285" s="97">
        <f t="shared" si="510"/>
        <v>0</v>
      </c>
      <c r="UR1285" s="97">
        <f t="shared" si="511"/>
        <v>0</v>
      </c>
      <c r="US1285" s="97">
        <f t="shared" si="512"/>
        <v>0</v>
      </c>
      <c r="UT1285" s="97">
        <f t="shared" si="513"/>
        <v>0</v>
      </c>
      <c r="UU1285" s="97">
        <f t="shared" si="514"/>
        <v>50264.61</v>
      </c>
      <c r="UV1285" s="97">
        <f t="shared" si="515"/>
        <v>52799.51</v>
      </c>
      <c r="UW1285" s="97">
        <f t="shared" si="516"/>
        <v>54898.03</v>
      </c>
      <c r="UX1285" s="97">
        <f t="shared" si="517"/>
        <v>11994.84</v>
      </c>
      <c r="UY1285" s="97">
        <f t="shared" si="518"/>
        <v>12680.95</v>
      </c>
      <c r="UZ1285" s="97">
        <f t="shared" si="519"/>
        <v>13508.54</v>
      </c>
      <c r="VA1285" s="97">
        <f t="shared" si="520"/>
        <v>0</v>
      </c>
      <c r="VB1285" s="97">
        <f t="shared" si="520"/>
        <v>0</v>
      </c>
      <c r="VC1285" s="97">
        <f t="shared" si="520"/>
        <v>0</v>
      </c>
      <c r="VD1285" s="97">
        <f t="shared" si="521"/>
        <v>0</v>
      </c>
      <c r="VE1285" s="97">
        <f t="shared" si="521"/>
        <v>0</v>
      </c>
      <c r="VF1285" s="97">
        <f t="shared" si="521"/>
        <v>0</v>
      </c>
      <c r="VG1285" s="102"/>
      <c r="VH1285" s="102"/>
      <c r="VI1285" s="102"/>
      <c r="VJ1285" s="97">
        <f t="shared" si="522"/>
        <v>0</v>
      </c>
      <c r="VK1285" s="97">
        <f t="shared" si="523"/>
        <v>0</v>
      </c>
      <c r="VL1285" s="97">
        <f t="shared" si="524"/>
        <v>0</v>
      </c>
      <c r="VM1285" s="97">
        <f t="shared" si="525"/>
        <v>0</v>
      </c>
      <c r="VN1285" s="97">
        <f t="shared" si="526"/>
        <v>0</v>
      </c>
      <c r="VO1285" s="97">
        <f t="shared" si="527"/>
        <v>0</v>
      </c>
      <c r="VP1285" s="97">
        <f t="shared" si="528"/>
        <v>0</v>
      </c>
      <c r="VQ1285" s="97">
        <f t="shared" si="529"/>
        <v>0</v>
      </c>
      <c r="VR1285" s="97">
        <f t="shared" si="530"/>
        <v>0</v>
      </c>
      <c r="VS1285" s="97">
        <f t="shared" si="531"/>
        <v>0</v>
      </c>
      <c r="VT1285" s="97">
        <f t="shared" si="532"/>
        <v>0</v>
      </c>
      <c r="VU1285" s="97">
        <f t="shared" si="533"/>
        <v>0</v>
      </c>
      <c r="VV1285" s="97">
        <f t="shared" si="534"/>
        <v>0</v>
      </c>
      <c r="VW1285" s="97">
        <f t="shared" si="534"/>
        <v>0</v>
      </c>
      <c r="VX1285" s="97">
        <f t="shared" si="534"/>
        <v>0</v>
      </c>
      <c r="VY1285" s="97">
        <f t="shared" si="535"/>
        <v>0</v>
      </c>
      <c r="VZ1285" s="97">
        <f t="shared" si="535"/>
        <v>0</v>
      </c>
      <c r="WA1285" s="97">
        <f t="shared" si="535"/>
        <v>0</v>
      </c>
      <c r="WB1285" s="102"/>
      <c r="WC1285" s="102"/>
      <c r="WD1285" s="102"/>
      <c r="WE1285" s="97">
        <f t="shared" si="536"/>
        <v>0</v>
      </c>
      <c r="WF1285" s="97">
        <f t="shared" si="537"/>
        <v>0</v>
      </c>
      <c r="WG1285" s="97">
        <f t="shared" si="538"/>
        <v>0</v>
      </c>
      <c r="WH1285" s="97">
        <f t="shared" si="539"/>
        <v>0</v>
      </c>
      <c r="WI1285" s="97">
        <f t="shared" si="540"/>
        <v>0</v>
      </c>
      <c r="WJ1285" s="97">
        <f t="shared" si="541"/>
        <v>0</v>
      </c>
      <c r="WK1285" s="97">
        <f t="shared" si="542"/>
        <v>0</v>
      </c>
      <c r="WL1285" s="97">
        <f t="shared" si="543"/>
        <v>0</v>
      </c>
      <c r="WM1285" s="97">
        <f t="shared" si="544"/>
        <v>0</v>
      </c>
      <c r="WN1285" s="97">
        <f t="shared" si="545"/>
        <v>0</v>
      </c>
      <c r="WO1285" s="97">
        <f t="shared" si="546"/>
        <v>0</v>
      </c>
      <c r="WP1285" s="97">
        <f t="shared" si="547"/>
        <v>0</v>
      </c>
      <c r="WQ1285" s="97">
        <f t="shared" si="548"/>
        <v>0</v>
      </c>
      <c r="WR1285" s="97">
        <f t="shared" si="548"/>
        <v>0</v>
      </c>
      <c r="WS1285" s="97">
        <f t="shared" si="548"/>
        <v>0</v>
      </c>
      <c r="WT1285" s="97">
        <f t="shared" si="549"/>
        <v>0</v>
      </c>
      <c r="WU1285" s="97">
        <f t="shared" si="549"/>
        <v>0</v>
      </c>
      <c r="WV1285" s="97">
        <f t="shared" si="549"/>
        <v>0</v>
      </c>
      <c r="WW1285" s="102"/>
      <c r="WX1285" s="102"/>
      <c r="WY1285" s="102"/>
      <c r="WZ1285" s="97">
        <f t="shared" si="550"/>
        <v>0</v>
      </c>
      <c r="XA1285" s="97">
        <f t="shared" si="551"/>
        <v>0</v>
      </c>
      <c r="XB1285" s="97">
        <f t="shared" si="552"/>
        <v>0</v>
      </c>
      <c r="XC1285" s="97">
        <f t="shared" si="553"/>
        <v>0</v>
      </c>
      <c r="XD1285" s="97">
        <f t="shared" si="554"/>
        <v>0</v>
      </c>
      <c r="XE1285" s="97">
        <f t="shared" si="555"/>
        <v>0</v>
      </c>
      <c r="XF1285" s="97">
        <f t="shared" si="556"/>
        <v>0</v>
      </c>
      <c r="XG1285" s="97">
        <f t="shared" si="557"/>
        <v>0</v>
      </c>
      <c r="XH1285" s="97">
        <f t="shared" si="558"/>
        <v>0</v>
      </c>
      <c r="XI1285" s="97">
        <f t="shared" si="559"/>
        <v>0</v>
      </c>
      <c r="XJ1285" s="97">
        <f t="shared" si="560"/>
        <v>0</v>
      </c>
      <c r="XK1285" s="97">
        <f t="shared" si="561"/>
        <v>0</v>
      </c>
      <c r="XL1285" s="97">
        <f t="shared" si="562"/>
        <v>0</v>
      </c>
      <c r="XM1285" s="97">
        <f t="shared" si="562"/>
        <v>0</v>
      </c>
      <c r="XN1285" s="97">
        <f t="shared" si="562"/>
        <v>0</v>
      </c>
      <c r="XO1285" s="97">
        <f t="shared" si="563"/>
        <v>0</v>
      </c>
      <c r="XP1285" s="97">
        <f t="shared" si="563"/>
        <v>0</v>
      </c>
      <c r="XQ1285" s="97">
        <f t="shared" si="563"/>
        <v>0</v>
      </c>
      <c r="XR1285" s="102"/>
      <c r="XS1285" s="102"/>
      <c r="XT1285" s="102"/>
      <c r="XU1285" s="97">
        <f t="shared" si="564"/>
        <v>0</v>
      </c>
      <c r="XV1285" s="97">
        <f t="shared" si="565"/>
        <v>0</v>
      </c>
      <c r="XW1285" s="97">
        <f t="shared" si="566"/>
        <v>0</v>
      </c>
      <c r="XX1285" s="97">
        <f t="shared" si="567"/>
        <v>0</v>
      </c>
      <c r="XY1285" s="97">
        <f t="shared" si="568"/>
        <v>0</v>
      </c>
      <c r="XZ1285" s="97">
        <f t="shared" si="569"/>
        <v>0</v>
      </c>
      <c r="YA1285" s="97">
        <f t="shared" si="570"/>
        <v>0</v>
      </c>
      <c r="YB1285" s="97">
        <f t="shared" si="571"/>
        <v>0</v>
      </c>
      <c r="YC1285" s="97">
        <f t="shared" si="572"/>
        <v>0</v>
      </c>
      <c r="YD1285" s="97">
        <f t="shared" si="573"/>
        <v>0</v>
      </c>
      <c r="YE1285" s="97">
        <f t="shared" si="574"/>
        <v>0</v>
      </c>
      <c r="YF1285" s="97">
        <f t="shared" si="575"/>
        <v>0</v>
      </c>
      <c r="YG1285" s="97">
        <f t="shared" si="576"/>
        <v>0</v>
      </c>
      <c r="YH1285" s="97">
        <f t="shared" si="576"/>
        <v>0</v>
      </c>
      <c r="YI1285" s="97">
        <f t="shared" si="576"/>
        <v>0</v>
      </c>
      <c r="YJ1285" s="97">
        <f t="shared" si="577"/>
        <v>0</v>
      </c>
      <c r="YK1285" s="97">
        <f t="shared" si="577"/>
        <v>0</v>
      </c>
      <c r="YL1285" s="97">
        <f t="shared" si="577"/>
        <v>0</v>
      </c>
      <c r="YM1285" s="145">
        <f t="shared" si="601"/>
        <v>0</v>
      </c>
      <c r="YN1285" s="145">
        <f t="shared" si="578"/>
        <v>0</v>
      </c>
      <c r="YO1285" s="145">
        <f t="shared" si="578"/>
        <v>0</v>
      </c>
      <c r="YP1285" s="97">
        <f t="shared" si="579"/>
        <v>0</v>
      </c>
      <c r="YQ1285" s="97">
        <f t="shared" si="580"/>
        <v>0</v>
      </c>
      <c r="YR1285" s="97">
        <f t="shared" si="581"/>
        <v>0</v>
      </c>
      <c r="YS1285" s="97">
        <f t="shared" si="582"/>
        <v>0</v>
      </c>
      <c r="YT1285" s="97">
        <f t="shared" si="583"/>
        <v>0</v>
      </c>
      <c r="YU1285" s="97">
        <f t="shared" si="584"/>
        <v>0</v>
      </c>
      <c r="YV1285" s="97">
        <f t="shared" si="585"/>
        <v>50264.61</v>
      </c>
      <c r="YW1285" s="97">
        <f t="shared" si="586"/>
        <v>52799.51</v>
      </c>
      <c r="YX1285" s="97">
        <f t="shared" si="587"/>
        <v>54898.03</v>
      </c>
      <c r="YY1285" s="97">
        <f t="shared" si="588"/>
        <v>11994.84</v>
      </c>
      <c r="YZ1285" s="97">
        <f t="shared" si="589"/>
        <v>12680.95</v>
      </c>
      <c r="ZA1285" s="97">
        <f t="shared" si="590"/>
        <v>13508.54</v>
      </c>
      <c r="ZB1285" s="97">
        <f t="shared" si="591"/>
        <v>0</v>
      </c>
      <c r="ZC1285" s="97">
        <f t="shared" si="591"/>
        <v>0</v>
      </c>
      <c r="ZD1285" s="97">
        <f t="shared" si="591"/>
        <v>0</v>
      </c>
      <c r="ZE1285" s="97">
        <f t="shared" si="592"/>
        <v>0</v>
      </c>
      <c r="ZF1285" s="97">
        <f t="shared" si="592"/>
        <v>0</v>
      </c>
      <c r="ZG1285" s="97">
        <f t="shared" si="592"/>
        <v>0</v>
      </c>
    </row>
    <row r="1286" spans="1:683" ht="48" hidden="1" x14ac:dyDescent="0.25">
      <c r="A1286" s="92" t="s">
        <v>416</v>
      </c>
      <c r="B1286" s="174" t="s">
        <v>429</v>
      </c>
      <c r="C1286" s="5"/>
      <c r="D1286" s="340"/>
      <c r="E1286" s="163"/>
      <c r="F1286" s="110">
        <f t="shared" si="148"/>
        <v>181375</v>
      </c>
      <c r="G1286" s="110">
        <f t="shared" si="148"/>
        <v>186356</v>
      </c>
      <c r="H1286" s="110">
        <f t="shared" si="148"/>
        <v>192446</v>
      </c>
      <c r="I1286" s="97">
        <f t="shared" si="149"/>
        <v>119840</v>
      </c>
      <c r="J1286" s="97">
        <f t="shared" si="149"/>
        <v>124214</v>
      </c>
      <c r="K1286" s="97">
        <f t="shared" si="149"/>
        <v>127495</v>
      </c>
      <c r="L1286" s="102"/>
      <c r="M1286" s="102"/>
      <c r="N1286" s="102"/>
      <c r="O1286" s="97">
        <f t="shared" si="593"/>
        <v>0</v>
      </c>
      <c r="P1286" s="97">
        <f t="shared" si="594"/>
        <v>0</v>
      </c>
      <c r="Q1286" s="97">
        <f t="shared" si="595"/>
        <v>0</v>
      </c>
      <c r="R1286" s="97">
        <f t="shared" si="596"/>
        <v>0</v>
      </c>
      <c r="S1286" s="97">
        <f t="shared" si="597"/>
        <v>0</v>
      </c>
      <c r="T1286" s="97">
        <f t="shared" si="598"/>
        <v>0</v>
      </c>
      <c r="U1286" s="97">
        <f t="shared" si="150"/>
        <v>0</v>
      </c>
      <c r="V1286" s="97">
        <f t="shared" si="151"/>
        <v>0</v>
      </c>
      <c r="W1286" s="97">
        <f t="shared" si="152"/>
        <v>0</v>
      </c>
      <c r="X1286" s="97">
        <f t="shared" si="153"/>
        <v>0</v>
      </c>
      <c r="Y1286" s="97">
        <f t="shared" si="154"/>
        <v>0</v>
      </c>
      <c r="Z1286" s="97">
        <f t="shared" si="155"/>
        <v>0</v>
      </c>
      <c r="AA1286" s="97">
        <f t="shared" si="599"/>
        <v>0</v>
      </c>
      <c r="AB1286" s="97">
        <f t="shared" si="156"/>
        <v>0</v>
      </c>
      <c r="AC1286" s="97">
        <f t="shared" si="156"/>
        <v>0</v>
      </c>
      <c r="AD1286" s="97">
        <f t="shared" si="600"/>
        <v>0</v>
      </c>
      <c r="AE1286" s="97">
        <f t="shared" si="157"/>
        <v>0</v>
      </c>
      <c r="AF1286" s="97">
        <f t="shared" si="157"/>
        <v>0</v>
      </c>
      <c r="AG1286" s="102"/>
      <c r="AH1286" s="102"/>
      <c r="AI1286" s="102"/>
      <c r="AJ1286" s="97">
        <f t="shared" si="158"/>
        <v>0</v>
      </c>
      <c r="AK1286" s="97">
        <f t="shared" si="159"/>
        <v>0</v>
      </c>
      <c r="AL1286" s="97">
        <f t="shared" si="160"/>
        <v>0</v>
      </c>
      <c r="AM1286" s="97">
        <f t="shared" si="161"/>
        <v>0</v>
      </c>
      <c r="AN1286" s="97">
        <f t="shared" si="162"/>
        <v>0</v>
      </c>
      <c r="AO1286" s="97">
        <f t="shared" si="163"/>
        <v>0</v>
      </c>
      <c r="AP1286" s="97">
        <f t="shared" si="164"/>
        <v>0</v>
      </c>
      <c r="AQ1286" s="97">
        <f t="shared" si="165"/>
        <v>0</v>
      </c>
      <c r="AR1286" s="97">
        <f t="shared" si="166"/>
        <v>0</v>
      </c>
      <c r="AS1286" s="97">
        <f t="shared" si="167"/>
        <v>0</v>
      </c>
      <c r="AT1286" s="97">
        <f t="shared" si="168"/>
        <v>0</v>
      </c>
      <c r="AU1286" s="97">
        <f t="shared" si="169"/>
        <v>0</v>
      </c>
      <c r="AV1286" s="97">
        <f t="shared" si="170"/>
        <v>0</v>
      </c>
      <c r="AW1286" s="97">
        <f t="shared" si="170"/>
        <v>0</v>
      </c>
      <c r="AX1286" s="97">
        <f t="shared" si="170"/>
        <v>0</v>
      </c>
      <c r="AY1286" s="97">
        <f t="shared" si="171"/>
        <v>0</v>
      </c>
      <c r="AZ1286" s="97">
        <f t="shared" si="171"/>
        <v>0</v>
      </c>
      <c r="BA1286" s="97">
        <f t="shared" si="171"/>
        <v>0</v>
      </c>
      <c r="BB1286" s="102"/>
      <c r="BC1286" s="102"/>
      <c r="BD1286" s="102"/>
      <c r="BE1286" s="97">
        <f t="shared" si="172"/>
        <v>0</v>
      </c>
      <c r="BF1286" s="97">
        <f t="shared" si="173"/>
        <v>0</v>
      </c>
      <c r="BG1286" s="97">
        <f t="shared" si="174"/>
        <v>0</v>
      </c>
      <c r="BH1286" s="97">
        <f t="shared" si="175"/>
        <v>0</v>
      </c>
      <c r="BI1286" s="97">
        <f t="shared" si="176"/>
        <v>0</v>
      </c>
      <c r="BJ1286" s="97">
        <f t="shared" si="177"/>
        <v>0</v>
      </c>
      <c r="BK1286" s="97">
        <f t="shared" si="178"/>
        <v>0</v>
      </c>
      <c r="BL1286" s="97">
        <f t="shared" si="179"/>
        <v>0</v>
      </c>
      <c r="BM1286" s="97">
        <f t="shared" si="180"/>
        <v>0</v>
      </c>
      <c r="BN1286" s="97">
        <f t="shared" si="181"/>
        <v>0</v>
      </c>
      <c r="BO1286" s="97">
        <f t="shared" si="182"/>
        <v>0</v>
      </c>
      <c r="BP1286" s="97">
        <f t="shared" si="183"/>
        <v>0</v>
      </c>
      <c r="BQ1286" s="97">
        <f t="shared" si="184"/>
        <v>0</v>
      </c>
      <c r="BR1286" s="97">
        <f t="shared" si="184"/>
        <v>0</v>
      </c>
      <c r="BS1286" s="97">
        <f t="shared" si="184"/>
        <v>0</v>
      </c>
      <c r="BT1286" s="97">
        <f t="shared" si="185"/>
        <v>0</v>
      </c>
      <c r="BU1286" s="97">
        <f t="shared" si="185"/>
        <v>0</v>
      </c>
      <c r="BV1286" s="97">
        <f t="shared" si="185"/>
        <v>0</v>
      </c>
      <c r="BW1286" s="102"/>
      <c r="BX1286" s="102"/>
      <c r="BY1286" s="102"/>
      <c r="BZ1286" s="97">
        <f t="shared" si="186"/>
        <v>0</v>
      </c>
      <c r="CA1286" s="97">
        <f t="shared" si="187"/>
        <v>0</v>
      </c>
      <c r="CB1286" s="97">
        <f t="shared" si="188"/>
        <v>0</v>
      </c>
      <c r="CC1286" s="97">
        <f t="shared" si="189"/>
        <v>0</v>
      </c>
      <c r="CD1286" s="97">
        <f t="shared" si="190"/>
        <v>0</v>
      </c>
      <c r="CE1286" s="97">
        <f t="shared" si="191"/>
        <v>0</v>
      </c>
      <c r="CF1286" s="97">
        <f t="shared" si="192"/>
        <v>0</v>
      </c>
      <c r="CG1286" s="97">
        <f t="shared" si="193"/>
        <v>0</v>
      </c>
      <c r="CH1286" s="97">
        <f t="shared" si="194"/>
        <v>0</v>
      </c>
      <c r="CI1286" s="97">
        <f t="shared" si="195"/>
        <v>0</v>
      </c>
      <c r="CJ1286" s="97">
        <f t="shared" si="196"/>
        <v>0</v>
      </c>
      <c r="CK1286" s="97">
        <f t="shared" si="197"/>
        <v>0</v>
      </c>
      <c r="CL1286" s="97">
        <f t="shared" si="198"/>
        <v>0</v>
      </c>
      <c r="CM1286" s="97">
        <f t="shared" si="198"/>
        <v>0</v>
      </c>
      <c r="CN1286" s="97">
        <f t="shared" si="198"/>
        <v>0</v>
      </c>
      <c r="CO1286" s="97">
        <f t="shared" si="199"/>
        <v>0</v>
      </c>
      <c r="CP1286" s="97">
        <f t="shared" si="199"/>
        <v>0</v>
      </c>
      <c r="CQ1286" s="97">
        <f t="shared" si="199"/>
        <v>0</v>
      </c>
      <c r="CR1286" s="102"/>
      <c r="CS1286" s="102"/>
      <c r="CT1286" s="102"/>
      <c r="CU1286" s="97">
        <f t="shared" si="200"/>
        <v>0</v>
      </c>
      <c r="CV1286" s="97">
        <f t="shared" si="201"/>
        <v>0</v>
      </c>
      <c r="CW1286" s="97">
        <f t="shared" si="202"/>
        <v>0</v>
      </c>
      <c r="CX1286" s="97">
        <f t="shared" si="203"/>
        <v>0</v>
      </c>
      <c r="CY1286" s="97">
        <f t="shared" si="204"/>
        <v>0</v>
      </c>
      <c r="CZ1286" s="97">
        <f t="shared" si="205"/>
        <v>0</v>
      </c>
      <c r="DA1286" s="97">
        <f t="shared" si="206"/>
        <v>0</v>
      </c>
      <c r="DB1286" s="97">
        <f t="shared" si="207"/>
        <v>0</v>
      </c>
      <c r="DC1286" s="97">
        <f t="shared" si="208"/>
        <v>0</v>
      </c>
      <c r="DD1286" s="97">
        <f t="shared" si="209"/>
        <v>0</v>
      </c>
      <c r="DE1286" s="97">
        <f t="shared" si="210"/>
        <v>0</v>
      </c>
      <c r="DF1286" s="97">
        <f t="shared" si="211"/>
        <v>0</v>
      </c>
      <c r="DG1286" s="97">
        <f t="shared" si="212"/>
        <v>0</v>
      </c>
      <c r="DH1286" s="97">
        <f t="shared" si="212"/>
        <v>0</v>
      </c>
      <c r="DI1286" s="97">
        <f t="shared" si="212"/>
        <v>0</v>
      </c>
      <c r="DJ1286" s="97">
        <f t="shared" si="213"/>
        <v>0</v>
      </c>
      <c r="DK1286" s="97">
        <f t="shared" si="213"/>
        <v>0</v>
      </c>
      <c r="DL1286" s="97">
        <f t="shared" si="213"/>
        <v>0</v>
      </c>
      <c r="DM1286" s="102"/>
      <c r="DN1286" s="102"/>
      <c r="DO1286" s="102"/>
      <c r="DP1286" s="97">
        <f t="shared" si="214"/>
        <v>0</v>
      </c>
      <c r="DQ1286" s="97">
        <f t="shared" si="215"/>
        <v>0</v>
      </c>
      <c r="DR1286" s="97">
        <f t="shared" si="216"/>
        <v>0</v>
      </c>
      <c r="DS1286" s="97">
        <f t="shared" si="217"/>
        <v>0</v>
      </c>
      <c r="DT1286" s="97">
        <f t="shared" si="218"/>
        <v>0</v>
      </c>
      <c r="DU1286" s="97">
        <f t="shared" si="219"/>
        <v>0</v>
      </c>
      <c r="DV1286" s="97">
        <f t="shared" si="220"/>
        <v>0</v>
      </c>
      <c r="DW1286" s="97">
        <f t="shared" si="221"/>
        <v>0</v>
      </c>
      <c r="DX1286" s="97">
        <f t="shared" si="222"/>
        <v>0</v>
      </c>
      <c r="DY1286" s="97">
        <f t="shared" si="223"/>
        <v>0</v>
      </c>
      <c r="DZ1286" s="97">
        <f t="shared" si="224"/>
        <v>0</v>
      </c>
      <c r="EA1286" s="97">
        <f t="shared" si="225"/>
        <v>0</v>
      </c>
      <c r="EB1286" s="97">
        <f t="shared" si="226"/>
        <v>0</v>
      </c>
      <c r="EC1286" s="97">
        <f t="shared" si="226"/>
        <v>0</v>
      </c>
      <c r="ED1286" s="97">
        <f t="shared" si="226"/>
        <v>0</v>
      </c>
      <c r="EE1286" s="97">
        <f t="shared" si="227"/>
        <v>0</v>
      </c>
      <c r="EF1286" s="97">
        <f t="shared" si="227"/>
        <v>0</v>
      </c>
      <c r="EG1286" s="97">
        <f t="shared" si="227"/>
        <v>0</v>
      </c>
      <c r="EH1286" s="102"/>
      <c r="EI1286" s="102"/>
      <c r="EJ1286" s="102"/>
      <c r="EK1286" s="97">
        <f t="shared" si="228"/>
        <v>0</v>
      </c>
      <c r="EL1286" s="97">
        <f t="shared" si="229"/>
        <v>0</v>
      </c>
      <c r="EM1286" s="97">
        <f t="shared" si="230"/>
        <v>0</v>
      </c>
      <c r="EN1286" s="97">
        <f t="shared" si="231"/>
        <v>0</v>
      </c>
      <c r="EO1286" s="97">
        <f t="shared" si="232"/>
        <v>0</v>
      </c>
      <c r="EP1286" s="97">
        <f t="shared" si="233"/>
        <v>0</v>
      </c>
      <c r="EQ1286" s="97">
        <f t="shared" si="234"/>
        <v>0</v>
      </c>
      <c r="ER1286" s="97">
        <f t="shared" si="235"/>
        <v>0</v>
      </c>
      <c r="ES1286" s="97">
        <f t="shared" si="236"/>
        <v>0</v>
      </c>
      <c r="ET1286" s="97">
        <f t="shared" si="237"/>
        <v>0</v>
      </c>
      <c r="EU1286" s="97">
        <f t="shared" si="238"/>
        <v>0</v>
      </c>
      <c r="EV1286" s="97">
        <f t="shared" si="239"/>
        <v>0</v>
      </c>
      <c r="EW1286" s="97">
        <f t="shared" si="240"/>
        <v>0</v>
      </c>
      <c r="EX1286" s="97">
        <f t="shared" si="240"/>
        <v>0</v>
      </c>
      <c r="EY1286" s="97">
        <f t="shared" si="240"/>
        <v>0</v>
      </c>
      <c r="EZ1286" s="97">
        <f t="shared" si="241"/>
        <v>0</v>
      </c>
      <c r="FA1286" s="97">
        <f t="shared" si="241"/>
        <v>0</v>
      </c>
      <c r="FB1286" s="97">
        <f t="shared" si="241"/>
        <v>0</v>
      </c>
      <c r="FC1286" s="102"/>
      <c r="FD1286" s="102"/>
      <c r="FE1286" s="102"/>
      <c r="FF1286" s="97">
        <f t="shared" si="242"/>
        <v>0</v>
      </c>
      <c r="FG1286" s="97">
        <f t="shared" si="243"/>
        <v>0</v>
      </c>
      <c r="FH1286" s="97">
        <f t="shared" si="244"/>
        <v>0</v>
      </c>
      <c r="FI1286" s="97">
        <f t="shared" si="245"/>
        <v>0</v>
      </c>
      <c r="FJ1286" s="97">
        <f t="shared" si="246"/>
        <v>0</v>
      </c>
      <c r="FK1286" s="97">
        <f t="shared" si="247"/>
        <v>0</v>
      </c>
      <c r="FL1286" s="97">
        <f t="shared" si="248"/>
        <v>0</v>
      </c>
      <c r="FM1286" s="97">
        <f t="shared" si="249"/>
        <v>0</v>
      </c>
      <c r="FN1286" s="97">
        <f t="shared" si="250"/>
        <v>0</v>
      </c>
      <c r="FO1286" s="97">
        <f t="shared" si="251"/>
        <v>0</v>
      </c>
      <c r="FP1286" s="97">
        <f t="shared" si="252"/>
        <v>0</v>
      </c>
      <c r="FQ1286" s="97">
        <f t="shared" si="253"/>
        <v>0</v>
      </c>
      <c r="FR1286" s="97">
        <f t="shared" si="254"/>
        <v>0</v>
      </c>
      <c r="FS1286" s="97">
        <f t="shared" si="254"/>
        <v>0</v>
      </c>
      <c r="FT1286" s="97">
        <f t="shared" si="254"/>
        <v>0</v>
      </c>
      <c r="FU1286" s="97">
        <f t="shared" si="255"/>
        <v>0</v>
      </c>
      <c r="FV1286" s="97">
        <f t="shared" si="255"/>
        <v>0</v>
      </c>
      <c r="FW1286" s="97">
        <f t="shared" si="255"/>
        <v>0</v>
      </c>
      <c r="FX1286" s="102"/>
      <c r="FY1286" s="102"/>
      <c r="FZ1286" s="102"/>
      <c r="GA1286" s="97">
        <f t="shared" si="256"/>
        <v>0</v>
      </c>
      <c r="GB1286" s="97">
        <f t="shared" si="257"/>
        <v>0</v>
      </c>
      <c r="GC1286" s="97">
        <f t="shared" si="258"/>
        <v>0</v>
      </c>
      <c r="GD1286" s="97">
        <f t="shared" si="259"/>
        <v>0</v>
      </c>
      <c r="GE1286" s="97">
        <f t="shared" si="260"/>
        <v>0</v>
      </c>
      <c r="GF1286" s="97">
        <f t="shared" si="261"/>
        <v>0</v>
      </c>
      <c r="GG1286" s="97">
        <f t="shared" si="262"/>
        <v>0</v>
      </c>
      <c r="GH1286" s="97">
        <f t="shared" si="263"/>
        <v>0</v>
      </c>
      <c r="GI1286" s="97">
        <f t="shared" si="264"/>
        <v>0</v>
      </c>
      <c r="GJ1286" s="97">
        <f t="shared" si="265"/>
        <v>0</v>
      </c>
      <c r="GK1286" s="97">
        <f t="shared" si="266"/>
        <v>0</v>
      </c>
      <c r="GL1286" s="97">
        <f t="shared" si="267"/>
        <v>0</v>
      </c>
      <c r="GM1286" s="97">
        <f t="shared" si="268"/>
        <v>0</v>
      </c>
      <c r="GN1286" s="97">
        <f t="shared" si="268"/>
        <v>0</v>
      </c>
      <c r="GO1286" s="97">
        <f t="shared" si="268"/>
        <v>0</v>
      </c>
      <c r="GP1286" s="97">
        <f t="shared" si="269"/>
        <v>0</v>
      </c>
      <c r="GQ1286" s="97">
        <f t="shared" si="269"/>
        <v>0</v>
      </c>
      <c r="GR1286" s="97">
        <f t="shared" si="269"/>
        <v>0</v>
      </c>
      <c r="GS1286" s="102"/>
      <c r="GT1286" s="102"/>
      <c r="GU1286" s="102"/>
      <c r="GV1286" s="97">
        <f t="shared" si="270"/>
        <v>0</v>
      </c>
      <c r="GW1286" s="97">
        <f t="shared" si="271"/>
        <v>0</v>
      </c>
      <c r="GX1286" s="97">
        <f t="shared" si="272"/>
        <v>0</v>
      </c>
      <c r="GY1286" s="97">
        <f t="shared" si="273"/>
        <v>0</v>
      </c>
      <c r="GZ1286" s="97">
        <f t="shared" si="274"/>
        <v>0</v>
      </c>
      <c r="HA1286" s="97">
        <f t="shared" si="275"/>
        <v>0</v>
      </c>
      <c r="HB1286" s="97">
        <f t="shared" si="276"/>
        <v>0</v>
      </c>
      <c r="HC1286" s="97">
        <f t="shared" si="277"/>
        <v>0</v>
      </c>
      <c r="HD1286" s="97">
        <f t="shared" si="278"/>
        <v>0</v>
      </c>
      <c r="HE1286" s="97">
        <f t="shared" si="279"/>
        <v>0</v>
      </c>
      <c r="HF1286" s="97">
        <f t="shared" si="280"/>
        <v>0</v>
      </c>
      <c r="HG1286" s="97">
        <f t="shared" si="281"/>
        <v>0</v>
      </c>
      <c r="HH1286" s="97">
        <f t="shared" si="282"/>
        <v>0</v>
      </c>
      <c r="HI1286" s="97">
        <f t="shared" si="282"/>
        <v>0</v>
      </c>
      <c r="HJ1286" s="97">
        <f t="shared" si="282"/>
        <v>0</v>
      </c>
      <c r="HK1286" s="97">
        <f t="shared" si="283"/>
        <v>0</v>
      </c>
      <c r="HL1286" s="97">
        <f t="shared" si="283"/>
        <v>0</v>
      </c>
      <c r="HM1286" s="97">
        <f t="shared" si="283"/>
        <v>0</v>
      </c>
      <c r="HN1286" s="102"/>
      <c r="HO1286" s="102"/>
      <c r="HP1286" s="102"/>
      <c r="HQ1286" s="97">
        <f t="shared" si="284"/>
        <v>0</v>
      </c>
      <c r="HR1286" s="97">
        <f t="shared" si="285"/>
        <v>0</v>
      </c>
      <c r="HS1286" s="97">
        <f t="shared" si="286"/>
        <v>0</v>
      </c>
      <c r="HT1286" s="97">
        <f t="shared" si="287"/>
        <v>0</v>
      </c>
      <c r="HU1286" s="97">
        <f t="shared" si="288"/>
        <v>0</v>
      </c>
      <c r="HV1286" s="97">
        <f t="shared" si="289"/>
        <v>0</v>
      </c>
      <c r="HW1286" s="97">
        <f t="shared" si="290"/>
        <v>0</v>
      </c>
      <c r="HX1286" s="97">
        <f t="shared" si="291"/>
        <v>0</v>
      </c>
      <c r="HY1286" s="97">
        <f t="shared" si="292"/>
        <v>0</v>
      </c>
      <c r="HZ1286" s="97">
        <f t="shared" si="293"/>
        <v>0</v>
      </c>
      <c r="IA1286" s="97">
        <f t="shared" si="294"/>
        <v>0</v>
      </c>
      <c r="IB1286" s="97">
        <f t="shared" si="295"/>
        <v>0</v>
      </c>
      <c r="IC1286" s="97">
        <f t="shared" si="296"/>
        <v>0</v>
      </c>
      <c r="ID1286" s="97">
        <f t="shared" si="296"/>
        <v>0</v>
      </c>
      <c r="IE1286" s="97">
        <f t="shared" si="296"/>
        <v>0</v>
      </c>
      <c r="IF1286" s="97">
        <f t="shared" si="297"/>
        <v>0</v>
      </c>
      <c r="IG1286" s="97">
        <f t="shared" si="297"/>
        <v>0</v>
      </c>
      <c r="IH1286" s="97">
        <f t="shared" si="297"/>
        <v>0</v>
      </c>
      <c r="II1286" s="102"/>
      <c r="IJ1286" s="102"/>
      <c r="IK1286" s="102"/>
      <c r="IL1286" s="97">
        <f t="shared" si="298"/>
        <v>0</v>
      </c>
      <c r="IM1286" s="97">
        <f t="shared" si="299"/>
        <v>0</v>
      </c>
      <c r="IN1286" s="97">
        <f t="shared" si="300"/>
        <v>0</v>
      </c>
      <c r="IO1286" s="97">
        <f t="shared" si="301"/>
        <v>0</v>
      </c>
      <c r="IP1286" s="97">
        <f t="shared" si="302"/>
        <v>0</v>
      </c>
      <c r="IQ1286" s="97">
        <f t="shared" si="303"/>
        <v>0</v>
      </c>
      <c r="IR1286" s="97">
        <f t="shared" si="304"/>
        <v>0</v>
      </c>
      <c r="IS1286" s="97">
        <f t="shared" si="305"/>
        <v>0</v>
      </c>
      <c r="IT1286" s="97">
        <f t="shared" si="306"/>
        <v>0</v>
      </c>
      <c r="IU1286" s="97">
        <f t="shared" si="307"/>
        <v>0</v>
      </c>
      <c r="IV1286" s="97">
        <f t="shared" si="308"/>
        <v>0</v>
      </c>
      <c r="IW1286" s="97">
        <f t="shared" si="309"/>
        <v>0</v>
      </c>
      <c r="IX1286" s="97">
        <f t="shared" si="310"/>
        <v>0</v>
      </c>
      <c r="IY1286" s="97">
        <f t="shared" si="310"/>
        <v>0</v>
      </c>
      <c r="IZ1286" s="97">
        <f t="shared" si="310"/>
        <v>0</v>
      </c>
      <c r="JA1286" s="97">
        <f t="shared" si="311"/>
        <v>0</v>
      </c>
      <c r="JB1286" s="97">
        <f t="shared" si="311"/>
        <v>0</v>
      </c>
      <c r="JC1286" s="97">
        <f t="shared" si="311"/>
        <v>0</v>
      </c>
      <c r="JD1286" s="102"/>
      <c r="JE1286" s="102"/>
      <c r="JF1286" s="102"/>
      <c r="JG1286" s="97">
        <f t="shared" si="312"/>
        <v>0</v>
      </c>
      <c r="JH1286" s="97">
        <f t="shared" si="313"/>
        <v>0</v>
      </c>
      <c r="JI1286" s="97">
        <f t="shared" si="314"/>
        <v>0</v>
      </c>
      <c r="JJ1286" s="97">
        <f t="shared" si="315"/>
        <v>0</v>
      </c>
      <c r="JK1286" s="97">
        <f t="shared" si="316"/>
        <v>0</v>
      </c>
      <c r="JL1286" s="97">
        <f t="shared" si="317"/>
        <v>0</v>
      </c>
      <c r="JM1286" s="97">
        <f t="shared" si="318"/>
        <v>0</v>
      </c>
      <c r="JN1286" s="97">
        <f t="shared" si="319"/>
        <v>0</v>
      </c>
      <c r="JO1286" s="97">
        <f t="shared" si="320"/>
        <v>0</v>
      </c>
      <c r="JP1286" s="97">
        <f t="shared" si="321"/>
        <v>0</v>
      </c>
      <c r="JQ1286" s="97">
        <f t="shared" si="322"/>
        <v>0</v>
      </c>
      <c r="JR1286" s="97">
        <f t="shared" si="323"/>
        <v>0</v>
      </c>
      <c r="JS1286" s="97">
        <f t="shared" si="324"/>
        <v>0</v>
      </c>
      <c r="JT1286" s="97">
        <f t="shared" si="324"/>
        <v>0</v>
      </c>
      <c r="JU1286" s="97">
        <f t="shared" si="324"/>
        <v>0</v>
      </c>
      <c r="JV1286" s="97">
        <f t="shared" si="325"/>
        <v>0</v>
      </c>
      <c r="JW1286" s="97">
        <f t="shared" si="325"/>
        <v>0</v>
      </c>
      <c r="JX1286" s="97">
        <f t="shared" si="325"/>
        <v>0</v>
      </c>
      <c r="JY1286" s="102"/>
      <c r="JZ1286" s="102"/>
      <c r="KA1286" s="102"/>
      <c r="KB1286" s="97">
        <f t="shared" si="326"/>
        <v>0</v>
      </c>
      <c r="KC1286" s="97">
        <f t="shared" si="327"/>
        <v>0</v>
      </c>
      <c r="KD1286" s="97">
        <f t="shared" si="328"/>
        <v>0</v>
      </c>
      <c r="KE1286" s="97">
        <f t="shared" si="329"/>
        <v>0</v>
      </c>
      <c r="KF1286" s="97">
        <f t="shared" si="330"/>
        <v>0</v>
      </c>
      <c r="KG1286" s="97">
        <f t="shared" si="331"/>
        <v>0</v>
      </c>
      <c r="KH1286" s="97">
        <f t="shared" si="332"/>
        <v>0</v>
      </c>
      <c r="KI1286" s="97">
        <f t="shared" si="333"/>
        <v>0</v>
      </c>
      <c r="KJ1286" s="97">
        <f t="shared" si="334"/>
        <v>0</v>
      </c>
      <c r="KK1286" s="97">
        <f t="shared" si="335"/>
        <v>0</v>
      </c>
      <c r="KL1286" s="97">
        <f t="shared" si="336"/>
        <v>0</v>
      </c>
      <c r="KM1286" s="97">
        <f t="shared" si="337"/>
        <v>0</v>
      </c>
      <c r="KN1286" s="97">
        <f t="shared" si="338"/>
        <v>0</v>
      </c>
      <c r="KO1286" s="97">
        <f t="shared" si="338"/>
        <v>0</v>
      </c>
      <c r="KP1286" s="97">
        <f t="shared" si="338"/>
        <v>0</v>
      </c>
      <c r="KQ1286" s="97">
        <f t="shared" si="339"/>
        <v>0</v>
      </c>
      <c r="KR1286" s="97">
        <f t="shared" si="339"/>
        <v>0</v>
      </c>
      <c r="KS1286" s="97">
        <f t="shared" si="339"/>
        <v>0</v>
      </c>
      <c r="KT1286" s="102"/>
      <c r="KU1286" s="102"/>
      <c r="KV1286" s="102"/>
      <c r="KW1286" s="97">
        <f t="shared" si="340"/>
        <v>0</v>
      </c>
      <c r="KX1286" s="97">
        <f t="shared" si="341"/>
        <v>0</v>
      </c>
      <c r="KY1286" s="97">
        <f t="shared" si="342"/>
        <v>0</v>
      </c>
      <c r="KZ1286" s="97">
        <f t="shared" si="343"/>
        <v>0</v>
      </c>
      <c r="LA1286" s="97">
        <f t="shared" si="344"/>
        <v>0</v>
      </c>
      <c r="LB1286" s="97">
        <f t="shared" si="345"/>
        <v>0</v>
      </c>
      <c r="LC1286" s="97">
        <f t="shared" si="346"/>
        <v>0</v>
      </c>
      <c r="LD1286" s="97">
        <f t="shared" si="347"/>
        <v>0</v>
      </c>
      <c r="LE1286" s="97">
        <f t="shared" si="348"/>
        <v>0</v>
      </c>
      <c r="LF1286" s="97">
        <f t="shared" si="349"/>
        <v>0</v>
      </c>
      <c r="LG1286" s="97">
        <f t="shared" si="350"/>
        <v>0</v>
      </c>
      <c r="LH1286" s="97">
        <f t="shared" si="351"/>
        <v>0</v>
      </c>
      <c r="LI1286" s="97">
        <f t="shared" si="352"/>
        <v>0</v>
      </c>
      <c r="LJ1286" s="97">
        <f t="shared" si="352"/>
        <v>0</v>
      </c>
      <c r="LK1286" s="97">
        <f t="shared" si="352"/>
        <v>0</v>
      </c>
      <c r="LL1286" s="97">
        <f t="shared" si="353"/>
        <v>0</v>
      </c>
      <c r="LM1286" s="97">
        <f t="shared" si="353"/>
        <v>0</v>
      </c>
      <c r="LN1286" s="97">
        <f t="shared" si="353"/>
        <v>0</v>
      </c>
      <c r="LO1286" s="102"/>
      <c r="LP1286" s="102"/>
      <c r="LQ1286" s="102"/>
      <c r="LR1286" s="97">
        <f t="shared" si="354"/>
        <v>0</v>
      </c>
      <c r="LS1286" s="97">
        <f t="shared" si="355"/>
        <v>0</v>
      </c>
      <c r="LT1286" s="97">
        <f t="shared" si="356"/>
        <v>0</v>
      </c>
      <c r="LU1286" s="97">
        <f t="shared" si="357"/>
        <v>0</v>
      </c>
      <c r="LV1286" s="97">
        <f t="shared" si="358"/>
        <v>0</v>
      </c>
      <c r="LW1286" s="97">
        <f t="shared" si="359"/>
        <v>0</v>
      </c>
      <c r="LX1286" s="97">
        <f t="shared" si="360"/>
        <v>0</v>
      </c>
      <c r="LY1286" s="97">
        <f t="shared" si="361"/>
        <v>0</v>
      </c>
      <c r="LZ1286" s="97">
        <f t="shared" si="362"/>
        <v>0</v>
      </c>
      <c r="MA1286" s="97">
        <f t="shared" si="363"/>
        <v>0</v>
      </c>
      <c r="MB1286" s="97">
        <f t="shared" si="364"/>
        <v>0</v>
      </c>
      <c r="MC1286" s="97">
        <f t="shared" si="365"/>
        <v>0</v>
      </c>
      <c r="MD1286" s="97">
        <f t="shared" si="366"/>
        <v>0</v>
      </c>
      <c r="ME1286" s="97">
        <f t="shared" si="366"/>
        <v>0</v>
      </c>
      <c r="MF1286" s="97">
        <f t="shared" si="366"/>
        <v>0</v>
      </c>
      <c r="MG1286" s="97">
        <f t="shared" si="367"/>
        <v>0</v>
      </c>
      <c r="MH1286" s="97">
        <f t="shared" si="367"/>
        <v>0</v>
      </c>
      <c r="MI1286" s="97">
        <f t="shared" si="367"/>
        <v>0</v>
      </c>
      <c r="MJ1286" s="102"/>
      <c r="MK1286" s="102"/>
      <c r="ML1286" s="102"/>
      <c r="MM1286" s="97">
        <f t="shared" si="368"/>
        <v>0</v>
      </c>
      <c r="MN1286" s="97">
        <f t="shared" si="369"/>
        <v>0</v>
      </c>
      <c r="MO1286" s="97">
        <f t="shared" si="370"/>
        <v>0</v>
      </c>
      <c r="MP1286" s="97">
        <f t="shared" si="371"/>
        <v>0</v>
      </c>
      <c r="MQ1286" s="97">
        <f t="shared" si="372"/>
        <v>0</v>
      </c>
      <c r="MR1286" s="97">
        <f t="shared" si="373"/>
        <v>0</v>
      </c>
      <c r="MS1286" s="97">
        <f t="shared" si="374"/>
        <v>0</v>
      </c>
      <c r="MT1286" s="97">
        <f t="shared" si="375"/>
        <v>0</v>
      </c>
      <c r="MU1286" s="97">
        <f t="shared" si="376"/>
        <v>0</v>
      </c>
      <c r="MV1286" s="97">
        <f t="shared" si="377"/>
        <v>0</v>
      </c>
      <c r="MW1286" s="97">
        <f t="shared" si="378"/>
        <v>0</v>
      </c>
      <c r="MX1286" s="97">
        <f t="shared" si="379"/>
        <v>0</v>
      </c>
      <c r="MY1286" s="97">
        <f t="shared" si="380"/>
        <v>0</v>
      </c>
      <c r="MZ1286" s="97">
        <f t="shared" si="380"/>
        <v>0</v>
      </c>
      <c r="NA1286" s="97">
        <f t="shared" si="380"/>
        <v>0</v>
      </c>
      <c r="NB1286" s="97">
        <f t="shared" si="381"/>
        <v>0</v>
      </c>
      <c r="NC1286" s="97">
        <f t="shared" si="381"/>
        <v>0</v>
      </c>
      <c r="ND1286" s="97">
        <f t="shared" si="381"/>
        <v>0</v>
      </c>
      <c r="NE1286" s="102"/>
      <c r="NF1286" s="102"/>
      <c r="NG1286" s="102"/>
      <c r="NH1286" s="97">
        <f t="shared" si="382"/>
        <v>0</v>
      </c>
      <c r="NI1286" s="97">
        <f t="shared" si="383"/>
        <v>0</v>
      </c>
      <c r="NJ1286" s="97">
        <f t="shared" si="384"/>
        <v>0</v>
      </c>
      <c r="NK1286" s="97">
        <f t="shared" si="385"/>
        <v>0</v>
      </c>
      <c r="NL1286" s="97">
        <f t="shared" si="386"/>
        <v>0</v>
      </c>
      <c r="NM1286" s="97">
        <f t="shared" si="387"/>
        <v>0</v>
      </c>
      <c r="NN1286" s="97">
        <f t="shared" si="388"/>
        <v>0</v>
      </c>
      <c r="NO1286" s="97">
        <f t="shared" si="389"/>
        <v>0</v>
      </c>
      <c r="NP1286" s="97">
        <f t="shared" si="390"/>
        <v>0</v>
      </c>
      <c r="NQ1286" s="97">
        <f t="shared" si="391"/>
        <v>0</v>
      </c>
      <c r="NR1286" s="97">
        <f t="shared" si="392"/>
        <v>0</v>
      </c>
      <c r="NS1286" s="97">
        <f t="shared" si="393"/>
        <v>0</v>
      </c>
      <c r="NT1286" s="97">
        <f t="shared" si="394"/>
        <v>0</v>
      </c>
      <c r="NU1286" s="97">
        <f t="shared" si="394"/>
        <v>0</v>
      </c>
      <c r="NV1286" s="97">
        <f t="shared" si="394"/>
        <v>0</v>
      </c>
      <c r="NW1286" s="97">
        <f t="shared" si="395"/>
        <v>0</v>
      </c>
      <c r="NX1286" s="97">
        <f t="shared" si="395"/>
        <v>0</v>
      </c>
      <c r="NY1286" s="97">
        <f t="shared" si="395"/>
        <v>0</v>
      </c>
      <c r="NZ1286" s="102"/>
      <c r="OA1286" s="102"/>
      <c r="OB1286" s="102"/>
      <c r="OC1286" s="97">
        <f t="shared" si="396"/>
        <v>0</v>
      </c>
      <c r="OD1286" s="97">
        <f t="shared" si="397"/>
        <v>0</v>
      </c>
      <c r="OE1286" s="97">
        <f t="shared" si="398"/>
        <v>0</v>
      </c>
      <c r="OF1286" s="97">
        <f t="shared" si="399"/>
        <v>0</v>
      </c>
      <c r="OG1286" s="97">
        <f t="shared" si="400"/>
        <v>0</v>
      </c>
      <c r="OH1286" s="97">
        <f t="shared" si="401"/>
        <v>0</v>
      </c>
      <c r="OI1286" s="97">
        <f t="shared" si="402"/>
        <v>0</v>
      </c>
      <c r="OJ1286" s="97">
        <f t="shared" si="403"/>
        <v>0</v>
      </c>
      <c r="OK1286" s="97">
        <f t="shared" si="404"/>
        <v>0</v>
      </c>
      <c r="OL1286" s="97">
        <f t="shared" si="405"/>
        <v>0</v>
      </c>
      <c r="OM1286" s="97">
        <f t="shared" si="406"/>
        <v>0</v>
      </c>
      <c r="ON1286" s="97">
        <f t="shared" si="407"/>
        <v>0</v>
      </c>
      <c r="OO1286" s="97">
        <f t="shared" si="408"/>
        <v>0</v>
      </c>
      <c r="OP1286" s="97">
        <f t="shared" si="408"/>
        <v>0</v>
      </c>
      <c r="OQ1286" s="97">
        <f t="shared" si="408"/>
        <v>0</v>
      </c>
      <c r="OR1286" s="97">
        <f t="shared" si="409"/>
        <v>0</v>
      </c>
      <c r="OS1286" s="97">
        <f t="shared" si="409"/>
        <v>0</v>
      </c>
      <c r="OT1286" s="97">
        <f t="shared" si="409"/>
        <v>0</v>
      </c>
      <c r="OU1286" s="102"/>
      <c r="OV1286" s="102"/>
      <c r="OW1286" s="102"/>
      <c r="OX1286" s="97">
        <f t="shared" si="410"/>
        <v>0</v>
      </c>
      <c r="OY1286" s="97">
        <f t="shared" si="411"/>
        <v>0</v>
      </c>
      <c r="OZ1286" s="97">
        <f t="shared" si="412"/>
        <v>0</v>
      </c>
      <c r="PA1286" s="97">
        <f t="shared" si="413"/>
        <v>0</v>
      </c>
      <c r="PB1286" s="97">
        <f t="shared" si="414"/>
        <v>0</v>
      </c>
      <c r="PC1286" s="97">
        <f t="shared" si="415"/>
        <v>0</v>
      </c>
      <c r="PD1286" s="97">
        <f t="shared" si="416"/>
        <v>0</v>
      </c>
      <c r="PE1286" s="97">
        <f t="shared" si="417"/>
        <v>0</v>
      </c>
      <c r="PF1286" s="97">
        <f t="shared" si="418"/>
        <v>0</v>
      </c>
      <c r="PG1286" s="97">
        <f t="shared" si="419"/>
        <v>0</v>
      </c>
      <c r="PH1286" s="97">
        <f t="shared" si="420"/>
        <v>0</v>
      </c>
      <c r="PI1286" s="97">
        <f t="shared" si="421"/>
        <v>0</v>
      </c>
      <c r="PJ1286" s="97">
        <f t="shared" si="422"/>
        <v>0</v>
      </c>
      <c r="PK1286" s="97">
        <f t="shared" si="422"/>
        <v>0</v>
      </c>
      <c r="PL1286" s="97">
        <f t="shared" si="422"/>
        <v>0</v>
      </c>
      <c r="PM1286" s="97">
        <f t="shared" si="423"/>
        <v>0</v>
      </c>
      <c r="PN1286" s="97">
        <f t="shared" si="423"/>
        <v>0</v>
      </c>
      <c r="PO1286" s="97">
        <f t="shared" si="423"/>
        <v>0</v>
      </c>
      <c r="PP1286" s="102"/>
      <c r="PQ1286" s="102"/>
      <c r="PR1286" s="102"/>
      <c r="PS1286" s="97">
        <f t="shared" si="424"/>
        <v>0</v>
      </c>
      <c r="PT1286" s="97">
        <f t="shared" si="425"/>
        <v>0</v>
      </c>
      <c r="PU1286" s="97">
        <f t="shared" si="426"/>
        <v>0</v>
      </c>
      <c r="PV1286" s="97">
        <f t="shared" si="427"/>
        <v>0</v>
      </c>
      <c r="PW1286" s="97">
        <f t="shared" si="428"/>
        <v>0</v>
      </c>
      <c r="PX1286" s="97">
        <f t="shared" si="429"/>
        <v>0</v>
      </c>
      <c r="PY1286" s="97">
        <f t="shared" si="430"/>
        <v>0</v>
      </c>
      <c r="PZ1286" s="97">
        <f t="shared" si="431"/>
        <v>0</v>
      </c>
      <c r="QA1286" s="97">
        <f t="shared" si="432"/>
        <v>0</v>
      </c>
      <c r="QB1286" s="97">
        <f t="shared" si="433"/>
        <v>0</v>
      </c>
      <c r="QC1286" s="97">
        <f t="shared" si="434"/>
        <v>0</v>
      </c>
      <c r="QD1286" s="97">
        <f t="shared" si="435"/>
        <v>0</v>
      </c>
      <c r="QE1286" s="97">
        <f t="shared" si="436"/>
        <v>0</v>
      </c>
      <c r="QF1286" s="97">
        <f t="shared" si="436"/>
        <v>0</v>
      </c>
      <c r="QG1286" s="97">
        <f t="shared" si="436"/>
        <v>0</v>
      </c>
      <c r="QH1286" s="97">
        <f t="shared" si="437"/>
        <v>0</v>
      </c>
      <c r="QI1286" s="97">
        <f t="shared" si="437"/>
        <v>0</v>
      </c>
      <c r="QJ1286" s="97">
        <f t="shared" si="437"/>
        <v>0</v>
      </c>
      <c r="QK1286" s="102"/>
      <c r="QL1286" s="102"/>
      <c r="QM1286" s="102"/>
      <c r="QN1286" s="97">
        <f t="shared" si="438"/>
        <v>0</v>
      </c>
      <c r="QO1286" s="97">
        <f t="shared" si="439"/>
        <v>0</v>
      </c>
      <c r="QP1286" s="97">
        <f t="shared" si="440"/>
        <v>0</v>
      </c>
      <c r="QQ1286" s="97">
        <f t="shared" si="441"/>
        <v>0</v>
      </c>
      <c r="QR1286" s="97">
        <f t="shared" si="442"/>
        <v>0</v>
      </c>
      <c r="QS1286" s="97">
        <f t="shared" si="443"/>
        <v>0</v>
      </c>
      <c r="QT1286" s="97">
        <f t="shared" si="444"/>
        <v>0</v>
      </c>
      <c r="QU1286" s="97">
        <f t="shared" si="445"/>
        <v>0</v>
      </c>
      <c r="QV1286" s="97">
        <f t="shared" si="446"/>
        <v>0</v>
      </c>
      <c r="QW1286" s="97">
        <f t="shared" si="447"/>
        <v>0</v>
      </c>
      <c r="QX1286" s="97">
        <f t="shared" si="448"/>
        <v>0</v>
      </c>
      <c r="QY1286" s="97">
        <f t="shared" si="449"/>
        <v>0</v>
      </c>
      <c r="QZ1286" s="97">
        <f t="shared" si="450"/>
        <v>0</v>
      </c>
      <c r="RA1286" s="97">
        <f t="shared" si="450"/>
        <v>0</v>
      </c>
      <c r="RB1286" s="97">
        <f t="shared" si="450"/>
        <v>0</v>
      </c>
      <c r="RC1286" s="97">
        <f t="shared" si="451"/>
        <v>0</v>
      </c>
      <c r="RD1286" s="97">
        <f t="shared" si="451"/>
        <v>0</v>
      </c>
      <c r="RE1286" s="97">
        <f t="shared" si="451"/>
        <v>0</v>
      </c>
      <c r="RF1286" s="102"/>
      <c r="RG1286" s="102"/>
      <c r="RH1286" s="102"/>
      <c r="RI1286" s="97">
        <f t="shared" si="452"/>
        <v>0</v>
      </c>
      <c r="RJ1286" s="97">
        <f t="shared" si="453"/>
        <v>0</v>
      </c>
      <c r="RK1286" s="97">
        <f t="shared" si="454"/>
        <v>0</v>
      </c>
      <c r="RL1286" s="97">
        <f t="shared" si="455"/>
        <v>0</v>
      </c>
      <c r="RM1286" s="97">
        <f t="shared" si="456"/>
        <v>0</v>
      </c>
      <c r="RN1286" s="97">
        <f t="shared" si="457"/>
        <v>0</v>
      </c>
      <c r="RO1286" s="97">
        <f t="shared" si="458"/>
        <v>0</v>
      </c>
      <c r="RP1286" s="97">
        <f t="shared" si="459"/>
        <v>0</v>
      </c>
      <c r="RQ1286" s="97">
        <f t="shared" si="460"/>
        <v>0</v>
      </c>
      <c r="RR1286" s="97">
        <f t="shared" si="461"/>
        <v>0</v>
      </c>
      <c r="RS1286" s="97">
        <f t="shared" si="462"/>
        <v>0</v>
      </c>
      <c r="RT1286" s="97">
        <f t="shared" si="463"/>
        <v>0</v>
      </c>
      <c r="RU1286" s="97">
        <f t="shared" si="464"/>
        <v>0</v>
      </c>
      <c r="RV1286" s="97">
        <f t="shared" si="464"/>
        <v>0</v>
      </c>
      <c r="RW1286" s="97">
        <f t="shared" si="464"/>
        <v>0</v>
      </c>
      <c r="RX1286" s="97">
        <f t="shared" si="465"/>
        <v>0</v>
      </c>
      <c r="RY1286" s="97">
        <f t="shared" si="465"/>
        <v>0</v>
      </c>
      <c r="RZ1286" s="97">
        <f t="shared" si="465"/>
        <v>0</v>
      </c>
      <c r="SA1286" s="102"/>
      <c r="SB1286" s="102"/>
      <c r="SC1286" s="102"/>
      <c r="SD1286" s="97">
        <f t="shared" si="466"/>
        <v>0</v>
      </c>
      <c r="SE1286" s="97">
        <f t="shared" si="467"/>
        <v>0</v>
      </c>
      <c r="SF1286" s="97">
        <f t="shared" si="468"/>
        <v>0</v>
      </c>
      <c r="SG1286" s="97">
        <f t="shared" si="469"/>
        <v>0</v>
      </c>
      <c r="SH1286" s="97">
        <f t="shared" si="470"/>
        <v>0</v>
      </c>
      <c r="SI1286" s="97">
        <f t="shared" si="471"/>
        <v>0</v>
      </c>
      <c r="SJ1286" s="97">
        <f t="shared" si="472"/>
        <v>0</v>
      </c>
      <c r="SK1286" s="97">
        <f t="shared" si="473"/>
        <v>0</v>
      </c>
      <c r="SL1286" s="97">
        <f t="shared" si="474"/>
        <v>0</v>
      </c>
      <c r="SM1286" s="97">
        <f t="shared" si="475"/>
        <v>0</v>
      </c>
      <c r="SN1286" s="97">
        <f t="shared" si="476"/>
        <v>0</v>
      </c>
      <c r="SO1286" s="97">
        <f t="shared" si="477"/>
        <v>0</v>
      </c>
      <c r="SP1286" s="97">
        <f t="shared" si="478"/>
        <v>0</v>
      </c>
      <c r="SQ1286" s="97">
        <f t="shared" si="478"/>
        <v>0</v>
      </c>
      <c r="SR1286" s="97">
        <f t="shared" si="478"/>
        <v>0</v>
      </c>
      <c r="SS1286" s="97">
        <f t="shared" si="479"/>
        <v>0</v>
      </c>
      <c r="ST1286" s="97">
        <f t="shared" si="479"/>
        <v>0</v>
      </c>
      <c r="SU1286" s="97">
        <f t="shared" si="479"/>
        <v>0</v>
      </c>
      <c r="SV1286" s="102"/>
      <c r="SW1286" s="102"/>
      <c r="SX1286" s="102"/>
      <c r="SY1286" s="97">
        <f t="shared" si="480"/>
        <v>0</v>
      </c>
      <c r="SZ1286" s="97">
        <f t="shared" si="481"/>
        <v>0</v>
      </c>
      <c r="TA1286" s="97">
        <f t="shared" si="482"/>
        <v>0</v>
      </c>
      <c r="TB1286" s="97">
        <f t="shared" si="483"/>
        <v>0</v>
      </c>
      <c r="TC1286" s="97">
        <f t="shared" si="484"/>
        <v>0</v>
      </c>
      <c r="TD1286" s="97">
        <f t="shared" si="485"/>
        <v>0</v>
      </c>
      <c r="TE1286" s="97">
        <f t="shared" si="486"/>
        <v>0</v>
      </c>
      <c r="TF1286" s="97">
        <f t="shared" si="487"/>
        <v>0</v>
      </c>
      <c r="TG1286" s="97">
        <f t="shared" si="488"/>
        <v>0</v>
      </c>
      <c r="TH1286" s="97">
        <f t="shared" si="489"/>
        <v>0</v>
      </c>
      <c r="TI1286" s="97">
        <f t="shared" si="490"/>
        <v>0</v>
      </c>
      <c r="TJ1286" s="97">
        <f t="shared" si="491"/>
        <v>0</v>
      </c>
      <c r="TK1286" s="97">
        <f t="shared" si="492"/>
        <v>0</v>
      </c>
      <c r="TL1286" s="97">
        <f t="shared" si="492"/>
        <v>0</v>
      </c>
      <c r="TM1286" s="97">
        <f t="shared" si="492"/>
        <v>0</v>
      </c>
      <c r="TN1286" s="97">
        <f t="shared" si="493"/>
        <v>0</v>
      </c>
      <c r="TO1286" s="97">
        <f t="shared" si="493"/>
        <v>0</v>
      </c>
      <c r="TP1286" s="97">
        <f t="shared" si="493"/>
        <v>0</v>
      </c>
      <c r="TQ1286" s="102"/>
      <c r="TR1286" s="102"/>
      <c r="TS1286" s="102"/>
      <c r="TT1286" s="97">
        <f t="shared" si="494"/>
        <v>0</v>
      </c>
      <c r="TU1286" s="97">
        <f t="shared" si="495"/>
        <v>0</v>
      </c>
      <c r="TV1286" s="97">
        <f t="shared" si="496"/>
        <v>0</v>
      </c>
      <c r="TW1286" s="97">
        <f t="shared" si="497"/>
        <v>0</v>
      </c>
      <c r="TX1286" s="97">
        <f t="shared" si="498"/>
        <v>0</v>
      </c>
      <c r="TY1286" s="97">
        <f t="shared" si="499"/>
        <v>0</v>
      </c>
      <c r="TZ1286" s="97">
        <f t="shared" si="500"/>
        <v>0</v>
      </c>
      <c r="UA1286" s="97">
        <f t="shared" si="501"/>
        <v>0</v>
      </c>
      <c r="UB1286" s="97">
        <f t="shared" si="502"/>
        <v>0</v>
      </c>
      <c r="UC1286" s="97">
        <f t="shared" si="503"/>
        <v>0</v>
      </c>
      <c r="UD1286" s="97">
        <f t="shared" si="504"/>
        <v>0</v>
      </c>
      <c r="UE1286" s="97">
        <f t="shared" si="505"/>
        <v>0</v>
      </c>
      <c r="UF1286" s="97">
        <f t="shared" si="506"/>
        <v>0</v>
      </c>
      <c r="UG1286" s="97">
        <f t="shared" si="506"/>
        <v>0</v>
      </c>
      <c r="UH1286" s="97">
        <f t="shared" si="506"/>
        <v>0</v>
      </c>
      <c r="UI1286" s="97">
        <f t="shared" si="507"/>
        <v>0</v>
      </c>
      <c r="UJ1286" s="97">
        <f t="shared" si="507"/>
        <v>0</v>
      </c>
      <c r="UK1286" s="97">
        <f t="shared" si="507"/>
        <v>0</v>
      </c>
      <c r="UL1286" s="102"/>
      <c r="UM1286" s="102"/>
      <c r="UN1286" s="102"/>
      <c r="UO1286" s="97">
        <f t="shared" si="508"/>
        <v>0</v>
      </c>
      <c r="UP1286" s="97">
        <f t="shared" si="509"/>
        <v>0</v>
      </c>
      <c r="UQ1286" s="97">
        <f t="shared" si="510"/>
        <v>0</v>
      </c>
      <c r="UR1286" s="97">
        <f t="shared" si="511"/>
        <v>0</v>
      </c>
      <c r="US1286" s="97">
        <f t="shared" si="512"/>
        <v>0</v>
      </c>
      <c r="UT1286" s="97">
        <f t="shared" si="513"/>
        <v>0</v>
      </c>
      <c r="UU1286" s="97">
        <f t="shared" si="514"/>
        <v>129148.81</v>
      </c>
      <c r="UV1286" s="97">
        <f t="shared" si="515"/>
        <v>136064.51999999999</v>
      </c>
      <c r="UW1286" s="97">
        <f t="shared" si="516"/>
        <v>141580.87</v>
      </c>
      <c r="UX1286" s="97">
        <f t="shared" si="517"/>
        <v>20366.12</v>
      </c>
      <c r="UY1286" s="97">
        <f t="shared" si="518"/>
        <v>21540.83</v>
      </c>
      <c r="UZ1286" s="97">
        <f t="shared" si="519"/>
        <v>22953.83</v>
      </c>
      <c r="VA1286" s="97">
        <f t="shared" si="520"/>
        <v>0</v>
      </c>
      <c r="VB1286" s="97">
        <f t="shared" si="520"/>
        <v>0</v>
      </c>
      <c r="VC1286" s="97">
        <f t="shared" si="520"/>
        <v>0</v>
      </c>
      <c r="VD1286" s="97">
        <f t="shared" si="521"/>
        <v>0</v>
      </c>
      <c r="VE1286" s="97">
        <f t="shared" si="521"/>
        <v>0</v>
      </c>
      <c r="VF1286" s="97">
        <f t="shared" si="521"/>
        <v>0</v>
      </c>
      <c r="VG1286" s="102"/>
      <c r="VH1286" s="102"/>
      <c r="VI1286" s="102"/>
      <c r="VJ1286" s="97">
        <f t="shared" si="522"/>
        <v>0</v>
      </c>
      <c r="VK1286" s="97">
        <f t="shared" si="523"/>
        <v>0</v>
      </c>
      <c r="VL1286" s="97">
        <f t="shared" si="524"/>
        <v>0</v>
      </c>
      <c r="VM1286" s="97">
        <f t="shared" si="525"/>
        <v>0</v>
      </c>
      <c r="VN1286" s="97">
        <f t="shared" si="526"/>
        <v>0</v>
      </c>
      <c r="VO1286" s="97">
        <f t="shared" si="527"/>
        <v>0</v>
      </c>
      <c r="VP1286" s="97">
        <f t="shared" si="528"/>
        <v>0</v>
      </c>
      <c r="VQ1286" s="97">
        <f t="shared" si="529"/>
        <v>0</v>
      </c>
      <c r="VR1286" s="97">
        <f t="shared" si="530"/>
        <v>0</v>
      </c>
      <c r="VS1286" s="97">
        <f t="shared" si="531"/>
        <v>0</v>
      </c>
      <c r="VT1286" s="97">
        <f t="shared" si="532"/>
        <v>0</v>
      </c>
      <c r="VU1286" s="97">
        <f t="shared" si="533"/>
        <v>0</v>
      </c>
      <c r="VV1286" s="97">
        <f t="shared" si="534"/>
        <v>0</v>
      </c>
      <c r="VW1286" s="97">
        <f t="shared" si="534"/>
        <v>0</v>
      </c>
      <c r="VX1286" s="97">
        <f t="shared" si="534"/>
        <v>0</v>
      </c>
      <c r="VY1286" s="97">
        <f t="shared" si="535"/>
        <v>0</v>
      </c>
      <c r="VZ1286" s="97">
        <f t="shared" si="535"/>
        <v>0</v>
      </c>
      <c r="WA1286" s="97">
        <f t="shared" si="535"/>
        <v>0</v>
      </c>
      <c r="WB1286" s="102"/>
      <c r="WC1286" s="102"/>
      <c r="WD1286" s="102"/>
      <c r="WE1286" s="97">
        <f t="shared" si="536"/>
        <v>0</v>
      </c>
      <c r="WF1286" s="97">
        <f t="shared" si="537"/>
        <v>0</v>
      </c>
      <c r="WG1286" s="97">
        <f t="shared" si="538"/>
        <v>0</v>
      </c>
      <c r="WH1286" s="97">
        <f t="shared" si="539"/>
        <v>0</v>
      </c>
      <c r="WI1286" s="97">
        <f t="shared" si="540"/>
        <v>0</v>
      </c>
      <c r="WJ1286" s="97">
        <f t="shared" si="541"/>
        <v>0</v>
      </c>
      <c r="WK1286" s="97">
        <f t="shared" si="542"/>
        <v>0</v>
      </c>
      <c r="WL1286" s="97">
        <f t="shared" si="543"/>
        <v>0</v>
      </c>
      <c r="WM1286" s="97">
        <f t="shared" si="544"/>
        <v>0</v>
      </c>
      <c r="WN1286" s="97">
        <f t="shared" si="545"/>
        <v>0</v>
      </c>
      <c r="WO1286" s="97">
        <f t="shared" si="546"/>
        <v>0</v>
      </c>
      <c r="WP1286" s="97">
        <f t="shared" si="547"/>
        <v>0</v>
      </c>
      <c r="WQ1286" s="97">
        <f t="shared" si="548"/>
        <v>0</v>
      </c>
      <c r="WR1286" s="97">
        <f t="shared" si="548"/>
        <v>0</v>
      </c>
      <c r="WS1286" s="97">
        <f t="shared" si="548"/>
        <v>0</v>
      </c>
      <c r="WT1286" s="97">
        <f t="shared" si="549"/>
        <v>0</v>
      </c>
      <c r="WU1286" s="97">
        <f t="shared" si="549"/>
        <v>0</v>
      </c>
      <c r="WV1286" s="97">
        <f t="shared" si="549"/>
        <v>0</v>
      </c>
      <c r="WW1286" s="102"/>
      <c r="WX1286" s="102"/>
      <c r="WY1286" s="102"/>
      <c r="WZ1286" s="97">
        <f t="shared" si="550"/>
        <v>0</v>
      </c>
      <c r="XA1286" s="97">
        <f t="shared" si="551"/>
        <v>0</v>
      </c>
      <c r="XB1286" s="97">
        <f t="shared" si="552"/>
        <v>0</v>
      </c>
      <c r="XC1286" s="97">
        <f t="shared" si="553"/>
        <v>0</v>
      </c>
      <c r="XD1286" s="97">
        <f t="shared" si="554"/>
        <v>0</v>
      </c>
      <c r="XE1286" s="97">
        <f t="shared" si="555"/>
        <v>0</v>
      </c>
      <c r="XF1286" s="97">
        <f t="shared" si="556"/>
        <v>0</v>
      </c>
      <c r="XG1286" s="97">
        <f t="shared" si="557"/>
        <v>0</v>
      </c>
      <c r="XH1286" s="97">
        <f t="shared" si="558"/>
        <v>0</v>
      </c>
      <c r="XI1286" s="97">
        <f t="shared" si="559"/>
        <v>0</v>
      </c>
      <c r="XJ1286" s="97">
        <f t="shared" si="560"/>
        <v>0</v>
      </c>
      <c r="XK1286" s="97">
        <f t="shared" si="561"/>
        <v>0</v>
      </c>
      <c r="XL1286" s="97">
        <f t="shared" si="562"/>
        <v>0</v>
      </c>
      <c r="XM1286" s="97">
        <f t="shared" si="562"/>
        <v>0</v>
      </c>
      <c r="XN1286" s="97">
        <f t="shared" si="562"/>
        <v>0</v>
      </c>
      <c r="XO1286" s="97">
        <f t="shared" si="563"/>
        <v>0</v>
      </c>
      <c r="XP1286" s="97">
        <f t="shared" si="563"/>
        <v>0</v>
      </c>
      <c r="XQ1286" s="97">
        <f t="shared" si="563"/>
        <v>0</v>
      </c>
      <c r="XR1286" s="102"/>
      <c r="XS1286" s="102"/>
      <c r="XT1286" s="102"/>
      <c r="XU1286" s="97">
        <f t="shared" si="564"/>
        <v>0</v>
      </c>
      <c r="XV1286" s="97">
        <f t="shared" si="565"/>
        <v>0</v>
      </c>
      <c r="XW1286" s="97">
        <f t="shared" si="566"/>
        <v>0</v>
      </c>
      <c r="XX1286" s="97">
        <f t="shared" si="567"/>
        <v>0</v>
      </c>
      <c r="XY1286" s="97">
        <f t="shared" si="568"/>
        <v>0</v>
      </c>
      <c r="XZ1286" s="97">
        <f t="shared" si="569"/>
        <v>0</v>
      </c>
      <c r="YA1286" s="97">
        <f t="shared" si="570"/>
        <v>0</v>
      </c>
      <c r="YB1286" s="97">
        <f t="shared" si="571"/>
        <v>0</v>
      </c>
      <c r="YC1286" s="97">
        <f t="shared" si="572"/>
        <v>0</v>
      </c>
      <c r="YD1286" s="97">
        <f t="shared" si="573"/>
        <v>0</v>
      </c>
      <c r="YE1286" s="97">
        <f t="shared" si="574"/>
        <v>0</v>
      </c>
      <c r="YF1286" s="97">
        <f t="shared" si="575"/>
        <v>0</v>
      </c>
      <c r="YG1286" s="97">
        <f t="shared" si="576"/>
        <v>0</v>
      </c>
      <c r="YH1286" s="97">
        <f t="shared" si="576"/>
        <v>0</v>
      </c>
      <c r="YI1286" s="97">
        <f t="shared" si="576"/>
        <v>0</v>
      </c>
      <c r="YJ1286" s="97">
        <f t="shared" si="577"/>
        <v>0</v>
      </c>
      <c r="YK1286" s="97">
        <f t="shared" si="577"/>
        <v>0</v>
      </c>
      <c r="YL1286" s="97">
        <f t="shared" si="577"/>
        <v>0</v>
      </c>
      <c r="YM1286" s="145">
        <f t="shared" si="601"/>
        <v>0</v>
      </c>
      <c r="YN1286" s="145">
        <f t="shared" si="578"/>
        <v>0</v>
      </c>
      <c r="YO1286" s="145">
        <f t="shared" si="578"/>
        <v>0</v>
      </c>
      <c r="YP1286" s="97">
        <f t="shared" si="579"/>
        <v>0</v>
      </c>
      <c r="YQ1286" s="97">
        <f t="shared" si="580"/>
        <v>0</v>
      </c>
      <c r="YR1286" s="97">
        <f t="shared" si="581"/>
        <v>0</v>
      </c>
      <c r="YS1286" s="97">
        <f t="shared" si="582"/>
        <v>0</v>
      </c>
      <c r="YT1286" s="97">
        <f t="shared" si="583"/>
        <v>0</v>
      </c>
      <c r="YU1286" s="97">
        <f t="shared" si="584"/>
        <v>0</v>
      </c>
      <c r="YV1286" s="97">
        <f t="shared" si="585"/>
        <v>129148.81</v>
      </c>
      <c r="YW1286" s="97">
        <f t="shared" si="586"/>
        <v>136064.51999999999</v>
      </c>
      <c r="YX1286" s="97">
        <f t="shared" si="587"/>
        <v>141580.87</v>
      </c>
      <c r="YY1286" s="97">
        <f t="shared" si="588"/>
        <v>20366.12</v>
      </c>
      <c r="YZ1286" s="97">
        <f t="shared" si="589"/>
        <v>21540.83</v>
      </c>
      <c r="ZA1286" s="97">
        <f t="shared" si="590"/>
        <v>22953.83</v>
      </c>
      <c r="ZB1286" s="97">
        <f t="shared" si="591"/>
        <v>0</v>
      </c>
      <c r="ZC1286" s="97">
        <f t="shared" si="591"/>
        <v>0</v>
      </c>
      <c r="ZD1286" s="97">
        <f t="shared" si="591"/>
        <v>0</v>
      </c>
      <c r="ZE1286" s="97">
        <f t="shared" si="592"/>
        <v>0</v>
      </c>
      <c r="ZF1286" s="97">
        <f t="shared" si="592"/>
        <v>0</v>
      </c>
      <c r="ZG1286" s="97">
        <f t="shared" si="592"/>
        <v>0</v>
      </c>
    </row>
    <row r="1287" spans="1:683" ht="86.25" hidden="1" customHeight="1" x14ac:dyDescent="0.25">
      <c r="A1287" s="98" t="s">
        <v>417</v>
      </c>
      <c r="B1287" s="174" t="s">
        <v>429</v>
      </c>
      <c r="C1287" s="5"/>
      <c r="D1287" s="340"/>
      <c r="E1287" s="163"/>
      <c r="F1287" s="110">
        <f t="shared" si="148"/>
        <v>216533</v>
      </c>
      <c r="G1287" s="110">
        <f t="shared" si="148"/>
        <v>222509</v>
      </c>
      <c r="H1287" s="110">
        <f t="shared" si="148"/>
        <v>229817</v>
      </c>
      <c r="I1287" s="97">
        <f t="shared" si="149"/>
        <v>143371</v>
      </c>
      <c r="J1287" s="97">
        <f t="shared" si="149"/>
        <v>148620</v>
      </c>
      <c r="K1287" s="97">
        <f t="shared" si="149"/>
        <v>152557</v>
      </c>
      <c r="L1287" s="102"/>
      <c r="M1287" s="102"/>
      <c r="N1287" s="102"/>
      <c r="O1287" s="97">
        <f t="shared" si="593"/>
        <v>0</v>
      </c>
      <c r="P1287" s="97">
        <f t="shared" si="594"/>
        <v>0</v>
      </c>
      <c r="Q1287" s="97">
        <f t="shared" si="595"/>
        <v>0</v>
      </c>
      <c r="R1287" s="97">
        <f t="shared" si="596"/>
        <v>0</v>
      </c>
      <c r="S1287" s="97">
        <f t="shared" si="597"/>
        <v>0</v>
      </c>
      <c r="T1287" s="97">
        <f t="shared" si="598"/>
        <v>0</v>
      </c>
      <c r="U1287" s="97">
        <f t="shared" si="150"/>
        <v>0</v>
      </c>
      <c r="V1287" s="97">
        <f t="shared" si="151"/>
        <v>0</v>
      </c>
      <c r="W1287" s="97">
        <f t="shared" si="152"/>
        <v>0</v>
      </c>
      <c r="X1287" s="97">
        <f t="shared" si="153"/>
        <v>0</v>
      </c>
      <c r="Y1287" s="97">
        <f t="shared" si="154"/>
        <v>0</v>
      </c>
      <c r="Z1287" s="97">
        <f t="shared" si="155"/>
        <v>0</v>
      </c>
      <c r="AA1287" s="97">
        <f t="shared" si="599"/>
        <v>0</v>
      </c>
      <c r="AB1287" s="97">
        <f t="shared" si="156"/>
        <v>0</v>
      </c>
      <c r="AC1287" s="97">
        <f t="shared" si="156"/>
        <v>0</v>
      </c>
      <c r="AD1287" s="97">
        <f t="shared" si="600"/>
        <v>0</v>
      </c>
      <c r="AE1287" s="97">
        <f t="shared" si="157"/>
        <v>0</v>
      </c>
      <c r="AF1287" s="97">
        <f t="shared" si="157"/>
        <v>0</v>
      </c>
      <c r="AG1287" s="102"/>
      <c r="AH1287" s="102"/>
      <c r="AI1287" s="102"/>
      <c r="AJ1287" s="97">
        <f t="shared" si="158"/>
        <v>0</v>
      </c>
      <c r="AK1287" s="97">
        <f t="shared" si="159"/>
        <v>0</v>
      </c>
      <c r="AL1287" s="97">
        <f t="shared" si="160"/>
        <v>0</v>
      </c>
      <c r="AM1287" s="97">
        <f t="shared" si="161"/>
        <v>0</v>
      </c>
      <c r="AN1287" s="97">
        <f t="shared" si="162"/>
        <v>0</v>
      </c>
      <c r="AO1287" s="97">
        <f t="shared" si="163"/>
        <v>0</v>
      </c>
      <c r="AP1287" s="97">
        <f t="shared" si="164"/>
        <v>0</v>
      </c>
      <c r="AQ1287" s="97">
        <f t="shared" si="165"/>
        <v>0</v>
      </c>
      <c r="AR1287" s="97">
        <f t="shared" si="166"/>
        <v>0</v>
      </c>
      <c r="AS1287" s="97">
        <f t="shared" si="167"/>
        <v>0</v>
      </c>
      <c r="AT1287" s="97">
        <f t="shared" si="168"/>
        <v>0</v>
      </c>
      <c r="AU1287" s="97">
        <f t="shared" si="169"/>
        <v>0</v>
      </c>
      <c r="AV1287" s="97">
        <f t="shared" si="170"/>
        <v>0</v>
      </c>
      <c r="AW1287" s="97">
        <f t="shared" si="170"/>
        <v>0</v>
      </c>
      <c r="AX1287" s="97">
        <f t="shared" si="170"/>
        <v>0</v>
      </c>
      <c r="AY1287" s="97">
        <f t="shared" si="171"/>
        <v>0</v>
      </c>
      <c r="AZ1287" s="97">
        <f t="shared" si="171"/>
        <v>0</v>
      </c>
      <c r="BA1287" s="97">
        <f t="shared" si="171"/>
        <v>0</v>
      </c>
      <c r="BB1287" s="102"/>
      <c r="BC1287" s="102"/>
      <c r="BD1287" s="102"/>
      <c r="BE1287" s="97">
        <f t="shared" si="172"/>
        <v>0</v>
      </c>
      <c r="BF1287" s="97">
        <f t="shared" si="173"/>
        <v>0</v>
      </c>
      <c r="BG1287" s="97">
        <f t="shared" si="174"/>
        <v>0</v>
      </c>
      <c r="BH1287" s="97">
        <f t="shared" si="175"/>
        <v>0</v>
      </c>
      <c r="BI1287" s="97">
        <f t="shared" si="176"/>
        <v>0</v>
      </c>
      <c r="BJ1287" s="97">
        <f t="shared" si="177"/>
        <v>0</v>
      </c>
      <c r="BK1287" s="97">
        <f t="shared" si="178"/>
        <v>0</v>
      </c>
      <c r="BL1287" s="97">
        <f t="shared" si="179"/>
        <v>0</v>
      </c>
      <c r="BM1287" s="97">
        <f t="shared" si="180"/>
        <v>0</v>
      </c>
      <c r="BN1287" s="97">
        <f t="shared" si="181"/>
        <v>0</v>
      </c>
      <c r="BO1287" s="97">
        <f t="shared" si="182"/>
        <v>0</v>
      </c>
      <c r="BP1287" s="97">
        <f t="shared" si="183"/>
        <v>0</v>
      </c>
      <c r="BQ1287" s="97">
        <f t="shared" si="184"/>
        <v>0</v>
      </c>
      <c r="BR1287" s="97">
        <f t="shared" si="184"/>
        <v>0</v>
      </c>
      <c r="BS1287" s="97">
        <f t="shared" si="184"/>
        <v>0</v>
      </c>
      <c r="BT1287" s="97">
        <f t="shared" si="185"/>
        <v>0</v>
      </c>
      <c r="BU1287" s="97">
        <f t="shared" si="185"/>
        <v>0</v>
      </c>
      <c r="BV1287" s="97">
        <f t="shared" si="185"/>
        <v>0</v>
      </c>
      <c r="BW1287" s="102"/>
      <c r="BX1287" s="102"/>
      <c r="BY1287" s="102"/>
      <c r="BZ1287" s="97">
        <f t="shared" si="186"/>
        <v>0</v>
      </c>
      <c r="CA1287" s="97">
        <f t="shared" si="187"/>
        <v>0</v>
      </c>
      <c r="CB1287" s="97">
        <f t="shared" si="188"/>
        <v>0</v>
      </c>
      <c r="CC1287" s="97">
        <f t="shared" si="189"/>
        <v>0</v>
      </c>
      <c r="CD1287" s="97">
        <f t="shared" si="190"/>
        <v>0</v>
      </c>
      <c r="CE1287" s="97">
        <f t="shared" si="191"/>
        <v>0</v>
      </c>
      <c r="CF1287" s="97">
        <f t="shared" si="192"/>
        <v>0</v>
      </c>
      <c r="CG1287" s="97">
        <f t="shared" si="193"/>
        <v>0</v>
      </c>
      <c r="CH1287" s="97">
        <f t="shared" si="194"/>
        <v>0</v>
      </c>
      <c r="CI1287" s="97">
        <f t="shared" si="195"/>
        <v>0</v>
      </c>
      <c r="CJ1287" s="97">
        <f t="shared" si="196"/>
        <v>0</v>
      </c>
      <c r="CK1287" s="97">
        <f t="shared" si="197"/>
        <v>0</v>
      </c>
      <c r="CL1287" s="97">
        <f t="shared" si="198"/>
        <v>0</v>
      </c>
      <c r="CM1287" s="97">
        <f t="shared" si="198"/>
        <v>0</v>
      </c>
      <c r="CN1287" s="97">
        <f t="shared" si="198"/>
        <v>0</v>
      </c>
      <c r="CO1287" s="97">
        <f t="shared" si="199"/>
        <v>0</v>
      </c>
      <c r="CP1287" s="97">
        <f t="shared" si="199"/>
        <v>0</v>
      </c>
      <c r="CQ1287" s="97">
        <f t="shared" si="199"/>
        <v>0</v>
      </c>
      <c r="CR1287" s="102"/>
      <c r="CS1287" s="102"/>
      <c r="CT1287" s="102"/>
      <c r="CU1287" s="97">
        <f t="shared" si="200"/>
        <v>0</v>
      </c>
      <c r="CV1287" s="97">
        <f t="shared" si="201"/>
        <v>0</v>
      </c>
      <c r="CW1287" s="97">
        <f t="shared" si="202"/>
        <v>0</v>
      </c>
      <c r="CX1287" s="97">
        <f t="shared" si="203"/>
        <v>0</v>
      </c>
      <c r="CY1287" s="97">
        <f t="shared" si="204"/>
        <v>0</v>
      </c>
      <c r="CZ1287" s="97">
        <f t="shared" si="205"/>
        <v>0</v>
      </c>
      <c r="DA1287" s="97">
        <f t="shared" si="206"/>
        <v>0</v>
      </c>
      <c r="DB1287" s="97">
        <f t="shared" si="207"/>
        <v>0</v>
      </c>
      <c r="DC1287" s="97">
        <f t="shared" si="208"/>
        <v>0</v>
      </c>
      <c r="DD1287" s="97">
        <f t="shared" si="209"/>
        <v>0</v>
      </c>
      <c r="DE1287" s="97">
        <f t="shared" si="210"/>
        <v>0</v>
      </c>
      <c r="DF1287" s="97">
        <f t="shared" si="211"/>
        <v>0</v>
      </c>
      <c r="DG1287" s="97">
        <f t="shared" si="212"/>
        <v>0</v>
      </c>
      <c r="DH1287" s="97">
        <f t="shared" si="212"/>
        <v>0</v>
      </c>
      <c r="DI1287" s="97">
        <f t="shared" si="212"/>
        <v>0</v>
      </c>
      <c r="DJ1287" s="97">
        <f t="shared" si="213"/>
        <v>0</v>
      </c>
      <c r="DK1287" s="97">
        <f t="shared" si="213"/>
        <v>0</v>
      </c>
      <c r="DL1287" s="97">
        <f t="shared" si="213"/>
        <v>0</v>
      </c>
      <c r="DM1287" s="102"/>
      <c r="DN1287" s="102"/>
      <c r="DO1287" s="102"/>
      <c r="DP1287" s="97">
        <f t="shared" si="214"/>
        <v>0</v>
      </c>
      <c r="DQ1287" s="97">
        <f t="shared" si="215"/>
        <v>0</v>
      </c>
      <c r="DR1287" s="97">
        <f t="shared" si="216"/>
        <v>0</v>
      </c>
      <c r="DS1287" s="97">
        <f t="shared" si="217"/>
        <v>0</v>
      </c>
      <c r="DT1287" s="97">
        <f t="shared" si="218"/>
        <v>0</v>
      </c>
      <c r="DU1287" s="97">
        <f t="shared" si="219"/>
        <v>0</v>
      </c>
      <c r="DV1287" s="97">
        <f t="shared" si="220"/>
        <v>0</v>
      </c>
      <c r="DW1287" s="97">
        <f t="shared" si="221"/>
        <v>0</v>
      </c>
      <c r="DX1287" s="97">
        <f t="shared" si="222"/>
        <v>0</v>
      </c>
      <c r="DY1287" s="97">
        <f t="shared" si="223"/>
        <v>0</v>
      </c>
      <c r="DZ1287" s="97">
        <f t="shared" si="224"/>
        <v>0</v>
      </c>
      <c r="EA1287" s="97">
        <f t="shared" si="225"/>
        <v>0</v>
      </c>
      <c r="EB1287" s="97">
        <f t="shared" si="226"/>
        <v>0</v>
      </c>
      <c r="EC1287" s="97">
        <f t="shared" si="226"/>
        <v>0</v>
      </c>
      <c r="ED1287" s="97">
        <f t="shared" si="226"/>
        <v>0</v>
      </c>
      <c r="EE1287" s="97">
        <f t="shared" si="227"/>
        <v>0</v>
      </c>
      <c r="EF1287" s="97">
        <f t="shared" si="227"/>
        <v>0</v>
      </c>
      <c r="EG1287" s="97">
        <f t="shared" si="227"/>
        <v>0</v>
      </c>
      <c r="EH1287" s="102"/>
      <c r="EI1287" s="102"/>
      <c r="EJ1287" s="102"/>
      <c r="EK1287" s="97">
        <f t="shared" si="228"/>
        <v>0</v>
      </c>
      <c r="EL1287" s="97">
        <f t="shared" si="229"/>
        <v>0</v>
      </c>
      <c r="EM1287" s="97">
        <f t="shared" si="230"/>
        <v>0</v>
      </c>
      <c r="EN1287" s="97">
        <f t="shared" si="231"/>
        <v>0</v>
      </c>
      <c r="EO1287" s="97">
        <f t="shared" si="232"/>
        <v>0</v>
      </c>
      <c r="EP1287" s="97">
        <f t="shared" si="233"/>
        <v>0</v>
      </c>
      <c r="EQ1287" s="97">
        <f t="shared" si="234"/>
        <v>0</v>
      </c>
      <c r="ER1287" s="97">
        <f t="shared" si="235"/>
        <v>0</v>
      </c>
      <c r="ES1287" s="97">
        <f t="shared" si="236"/>
        <v>0</v>
      </c>
      <c r="ET1287" s="97">
        <f t="shared" si="237"/>
        <v>0</v>
      </c>
      <c r="EU1287" s="97">
        <f t="shared" si="238"/>
        <v>0</v>
      </c>
      <c r="EV1287" s="97">
        <f t="shared" si="239"/>
        <v>0</v>
      </c>
      <c r="EW1287" s="97">
        <f t="shared" si="240"/>
        <v>0</v>
      </c>
      <c r="EX1287" s="97">
        <f t="shared" si="240"/>
        <v>0</v>
      </c>
      <c r="EY1287" s="97">
        <f t="shared" si="240"/>
        <v>0</v>
      </c>
      <c r="EZ1287" s="97">
        <f t="shared" si="241"/>
        <v>0</v>
      </c>
      <c r="FA1287" s="97">
        <f t="shared" si="241"/>
        <v>0</v>
      </c>
      <c r="FB1287" s="97">
        <f t="shared" si="241"/>
        <v>0</v>
      </c>
      <c r="FC1287" s="102"/>
      <c r="FD1287" s="102"/>
      <c r="FE1287" s="102"/>
      <c r="FF1287" s="97">
        <f t="shared" si="242"/>
        <v>0</v>
      </c>
      <c r="FG1287" s="97">
        <f t="shared" si="243"/>
        <v>0</v>
      </c>
      <c r="FH1287" s="97">
        <f t="shared" si="244"/>
        <v>0</v>
      </c>
      <c r="FI1287" s="97">
        <f t="shared" si="245"/>
        <v>0</v>
      </c>
      <c r="FJ1287" s="97">
        <f t="shared" si="246"/>
        <v>0</v>
      </c>
      <c r="FK1287" s="97">
        <f t="shared" si="247"/>
        <v>0</v>
      </c>
      <c r="FL1287" s="97">
        <f t="shared" si="248"/>
        <v>0</v>
      </c>
      <c r="FM1287" s="97">
        <f t="shared" si="249"/>
        <v>0</v>
      </c>
      <c r="FN1287" s="97">
        <f t="shared" si="250"/>
        <v>0</v>
      </c>
      <c r="FO1287" s="97">
        <f t="shared" si="251"/>
        <v>0</v>
      </c>
      <c r="FP1287" s="97">
        <f t="shared" si="252"/>
        <v>0</v>
      </c>
      <c r="FQ1287" s="97">
        <f t="shared" si="253"/>
        <v>0</v>
      </c>
      <c r="FR1287" s="97">
        <f t="shared" si="254"/>
        <v>0</v>
      </c>
      <c r="FS1287" s="97">
        <f t="shared" si="254"/>
        <v>0</v>
      </c>
      <c r="FT1287" s="97">
        <f t="shared" si="254"/>
        <v>0</v>
      </c>
      <c r="FU1287" s="97">
        <f t="shared" si="255"/>
        <v>0</v>
      </c>
      <c r="FV1287" s="97">
        <f t="shared" si="255"/>
        <v>0</v>
      </c>
      <c r="FW1287" s="97">
        <f t="shared" si="255"/>
        <v>0</v>
      </c>
      <c r="FX1287" s="102"/>
      <c r="FY1287" s="102"/>
      <c r="FZ1287" s="102"/>
      <c r="GA1287" s="97">
        <f t="shared" si="256"/>
        <v>0</v>
      </c>
      <c r="GB1287" s="97">
        <f t="shared" si="257"/>
        <v>0</v>
      </c>
      <c r="GC1287" s="97">
        <f t="shared" si="258"/>
        <v>0</v>
      </c>
      <c r="GD1287" s="97">
        <f t="shared" si="259"/>
        <v>0</v>
      </c>
      <c r="GE1287" s="97">
        <f t="shared" si="260"/>
        <v>0</v>
      </c>
      <c r="GF1287" s="97">
        <f t="shared" si="261"/>
        <v>0</v>
      </c>
      <c r="GG1287" s="97">
        <f t="shared" si="262"/>
        <v>0</v>
      </c>
      <c r="GH1287" s="97">
        <f t="shared" si="263"/>
        <v>0</v>
      </c>
      <c r="GI1287" s="97">
        <f t="shared" si="264"/>
        <v>0</v>
      </c>
      <c r="GJ1287" s="97">
        <f t="shared" si="265"/>
        <v>0</v>
      </c>
      <c r="GK1287" s="97">
        <f t="shared" si="266"/>
        <v>0</v>
      </c>
      <c r="GL1287" s="97">
        <f t="shared" si="267"/>
        <v>0</v>
      </c>
      <c r="GM1287" s="97">
        <f t="shared" si="268"/>
        <v>0</v>
      </c>
      <c r="GN1287" s="97">
        <f t="shared" si="268"/>
        <v>0</v>
      </c>
      <c r="GO1287" s="97">
        <f t="shared" si="268"/>
        <v>0</v>
      </c>
      <c r="GP1287" s="97">
        <f t="shared" si="269"/>
        <v>0</v>
      </c>
      <c r="GQ1287" s="97">
        <f t="shared" si="269"/>
        <v>0</v>
      </c>
      <c r="GR1287" s="97">
        <f t="shared" si="269"/>
        <v>0</v>
      </c>
      <c r="GS1287" s="102"/>
      <c r="GT1287" s="102"/>
      <c r="GU1287" s="102"/>
      <c r="GV1287" s="97">
        <f t="shared" si="270"/>
        <v>0</v>
      </c>
      <c r="GW1287" s="97">
        <f t="shared" si="271"/>
        <v>0</v>
      </c>
      <c r="GX1287" s="97">
        <f t="shared" si="272"/>
        <v>0</v>
      </c>
      <c r="GY1287" s="97">
        <f t="shared" si="273"/>
        <v>0</v>
      </c>
      <c r="GZ1287" s="97">
        <f t="shared" si="274"/>
        <v>0</v>
      </c>
      <c r="HA1287" s="97">
        <f t="shared" si="275"/>
        <v>0</v>
      </c>
      <c r="HB1287" s="97">
        <f t="shared" si="276"/>
        <v>0</v>
      </c>
      <c r="HC1287" s="97">
        <f t="shared" si="277"/>
        <v>0</v>
      </c>
      <c r="HD1287" s="97">
        <f t="shared" si="278"/>
        <v>0</v>
      </c>
      <c r="HE1287" s="97">
        <f t="shared" si="279"/>
        <v>0</v>
      </c>
      <c r="HF1287" s="97">
        <f t="shared" si="280"/>
        <v>0</v>
      </c>
      <c r="HG1287" s="97">
        <f t="shared" si="281"/>
        <v>0</v>
      </c>
      <c r="HH1287" s="97">
        <f t="shared" si="282"/>
        <v>0</v>
      </c>
      <c r="HI1287" s="97">
        <f t="shared" si="282"/>
        <v>0</v>
      </c>
      <c r="HJ1287" s="97">
        <f t="shared" si="282"/>
        <v>0</v>
      </c>
      <c r="HK1287" s="97">
        <f t="shared" si="283"/>
        <v>0</v>
      </c>
      <c r="HL1287" s="97">
        <f t="shared" si="283"/>
        <v>0</v>
      </c>
      <c r="HM1287" s="97">
        <f t="shared" si="283"/>
        <v>0</v>
      </c>
      <c r="HN1287" s="102"/>
      <c r="HO1287" s="102"/>
      <c r="HP1287" s="102"/>
      <c r="HQ1287" s="97">
        <f t="shared" si="284"/>
        <v>0</v>
      </c>
      <c r="HR1287" s="97">
        <f t="shared" si="285"/>
        <v>0</v>
      </c>
      <c r="HS1287" s="97">
        <f t="shared" si="286"/>
        <v>0</v>
      </c>
      <c r="HT1287" s="97">
        <f t="shared" si="287"/>
        <v>0</v>
      </c>
      <c r="HU1287" s="97">
        <f t="shared" si="288"/>
        <v>0</v>
      </c>
      <c r="HV1287" s="97">
        <f t="shared" si="289"/>
        <v>0</v>
      </c>
      <c r="HW1287" s="97">
        <f t="shared" si="290"/>
        <v>0</v>
      </c>
      <c r="HX1287" s="97">
        <f t="shared" si="291"/>
        <v>0</v>
      </c>
      <c r="HY1287" s="97">
        <f t="shared" si="292"/>
        <v>0</v>
      </c>
      <c r="HZ1287" s="97">
        <f t="shared" si="293"/>
        <v>0</v>
      </c>
      <c r="IA1287" s="97">
        <f t="shared" si="294"/>
        <v>0</v>
      </c>
      <c r="IB1287" s="97">
        <f t="shared" si="295"/>
        <v>0</v>
      </c>
      <c r="IC1287" s="97">
        <f t="shared" si="296"/>
        <v>0</v>
      </c>
      <c r="ID1287" s="97">
        <f t="shared" si="296"/>
        <v>0</v>
      </c>
      <c r="IE1287" s="97">
        <f t="shared" si="296"/>
        <v>0</v>
      </c>
      <c r="IF1287" s="97">
        <f t="shared" si="297"/>
        <v>0</v>
      </c>
      <c r="IG1287" s="97">
        <f t="shared" si="297"/>
        <v>0</v>
      </c>
      <c r="IH1287" s="97">
        <f t="shared" si="297"/>
        <v>0</v>
      </c>
      <c r="II1287" s="102"/>
      <c r="IJ1287" s="102"/>
      <c r="IK1287" s="102"/>
      <c r="IL1287" s="97">
        <f t="shared" si="298"/>
        <v>0</v>
      </c>
      <c r="IM1287" s="97">
        <f t="shared" si="299"/>
        <v>0</v>
      </c>
      <c r="IN1287" s="97">
        <f t="shared" si="300"/>
        <v>0</v>
      </c>
      <c r="IO1287" s="97">
        <f t="shared" si="301"/>
        <v>0</v>
      </c>
      <c r="IP1287" s="97">
        <f t="shared" si="302"/>
        <v>0</v>
      </c>
      <c r="IQ1287" s="97">
        <f t="shared" si="303"/>
        <v>0</v>
      </c>
      <c r="IR1287" s="97">
        <f t="shared" si="304"/>
        <v>0</v>
      </c>
      <c r="IS1287" s="97">
        <f t="shared" si="305"/>
        <v>0</v>
      </c>
      <c r="IT1287" s="97">
        <f t="shared" si="306"/>
        <v>0</v>
      </c>
      <c r="IU1287" s="97">
        <f t="shared" si="307"/>
        <v>0</v>
      </c>
      <c r="IV1287" s="97">
        <f t="shared" si="308"/>
        <v>0</v>
      </c>
      <c r="IW1287" s="97">
        <f t="shared" si="309"/>
        <v>0</v>
      </c>
      <c r="IX1287" s="97">
        <f t="shared" si="310"/>
        <v>0</v>
      </c>
      <c r="IY1287" s="97">
        <f t="shared" si="310"/>
        <v>0</v>
      </c>
      <c r="IZ1287" s="97">
        <f t="shared" si="310"/>
        <v>0</v>
      </c>
      <c r="JA1287" s="97">
        <f t="shared" si="311"/>
        <v>0</v>
      </c>
      <c r="JB1287" s="97">
        <f t="shared" si="311"/>
        <v>0</v>
      </c>
      <c r="JC1287" s="97">
        <f t="shared" si="311"/>
        <v>0</v>
      </c>
      <c r="JD1287" s="102"/>
      <c r="JE1287" s="102"/>
      <c r="JF1287" s="102"/>
      <c r="JG1287" s="97">
        <f t="shared" si="312"/>
        <v>0</v>
      </c>
      <c r="JH1287" s="97">
        <f t="shared" si="313"/>
        <v>0</v>
      </c>
      <c r="JI1287" s="97">
        <f t="shared" si="314"/>
        <v>0</v>
      </c>
      <c r="JJ1287" s="97">
        <f t="shared" si="315"/>
        <v>0</v>
      </c>
      <c r="JK1287" s="97">
        <f t="shared" si="316"/>
        <v>0</v>
      </c>
      <c r="JL1287" s="97">
        <f t="shared" si="317"/>
        <v>0</v>
      </c>
      <c r="JM1287" s="97">
        <f t="shared" si="318"/>
        <v>0</v>
      </c>
      <c r="JN1287" s="97">
        <f t="shared" si="319"/>
        <v>0</v>
      </c>
      <c r="JO1287" s="97">
        <f t="shared" si="320"/>
        <v>0</v>
      </c>
      <c r="JP1287" s="97">
        <f t="shared" si="321"/>
        <v>0</v>
      </c>
      <c r="JQ1287" s="97">
        <f t="shared" si="322"/>
        <v>0</v>
      </c>
      <c r="JR1287" s="97">
        <f t="shared" si="323"/>
        <v>0</v>
      </c>
      <c r="JS1287" s="97">
        <f t="shared" si="324"/>
        <v>0</v>
      </c>
      <c r="JT1287" s="97">
        <f t="shared" si="324"/>
        <v>0</v>
      </c>
      <c r="JU1287" s="97">
        <f t="shared" si="324"/>
        <v>0</v>
      </c>
      <c r="JV1287" s="97">
        <f t="shared" si="325"/>
        <v>0</v>
      </c>
      <c r="JW1287" s="97">
        <f t="shared" si="325"/>
        <v>0</v>
      </c>
      <c r="JX1287" s="97">
        <f t="shared" si="325"/>
        <v>0</v>
      </c>
      <c r="JY1287" s="102"/>
      <c r="JZ1287" s="102"/>
      <c r="KA1287" s="102"/>
      <c r="KB1287" s="97">
        <f t="shared" si="326"/>
        <v>0</v>
      </c>
      <c r="KC1287" s="97">
        <f t="shared" si="327"/>
        <v>0</v>
      </c>
      <c r="KD1287" s="97">
        <f t="shared" si="328"/>
        <v>0</v>
      </c>
      <c r="KE1287" s="97">
        <f t="shared" si="329"/>
        <v>0</v>
      </c>
      <c r="KF1287" s="97">
        <f t="shared" si="330"/>
        <v>0</v>
      </c>
      <c r="KG1287" s="97">
        <f t="shared" si="331"/>
        <v>0</v>
      </c>
      <c r="KH1287" s="97">
        <f t="shared" si="332"/>
        <v>0</v>
      </c>
      <c r="KI1287" s="97">
        <f t="shared" si="333"/>
        <v>0</v>
      </c>
      <c r="KJ1287" s="97">
        <f t="shared" si="334"/>
        <v>0</v>
      </c>
      <c r="KK1287" s="97">
        <f t="shared" si="335"/>
        <v>0</v>
      </c>
      <c r="KL1287" s="97">
        <f t="shared" si="336"/>
        <v>0</v>
      </c>
      <c r="KM1287" s="97">
        <f t="shared" si="337"/>
        <v>0</v>
      </c>
      <c r="KN1287" s="97">
        <f t="shared" si="338"/>
        <v>0</v>
      </c>
      <c r="KO1287" s="97">
        <f t="shared" si="338"/>
        <v>0</v>
      </c>
      <c r="KP1287" s="97">
        <f t="shared" si="338"/>
        <v>0</v>
      </c>
      <c r="KQ1287" s="97">
        <f t="shared" si="339"/>
        <v>0</v>
      </c>
      <c r="KR1287" s="97">
        <f t="shared" si="339"/>
        <v>0</v>
      </c>
      <c r="KS1287" s="97">
        <f t="shared" si="339"/>
        <v>0</v>
      </c>
      <c r="KT1287" s="102"/>
      <c r="KU1287" s="102"/>
      <c r="KV1287" s="102"/>
      <c r="KW1287" s="97">
        <f t="shared" si="340"/>
        <v>0</v>
      </c>
      <c r="KX1287" s="97">
        <f t="shared" si="341"/>
        <v>0</v>
      </c>
      <c r="KY1287" s="97">
        <f t="shared" si="342"/>
        <v>0</v>
      </c>
      <c r="KZ1287" s="97">
        <f t="shared" si="343"/>
        <v>0</v>
      </c>
      <c r="LA1287" s="97">
        <f t="shared" si="344"/>
        <v>0</v>
      </c>
      <c r="LB1287" s="97">
        <f t="shared" si="345"/>
        <v>0</v>
      </c>
      <c r="LC1287" s="97">
        <f t="shared" si="346"/>
        <v>0</v>
      </c>
      <c r="LD1287" s="97">
        <f t="shared" si="347"/>
        <v>0</v>
      </c>
      <c r="LE1287" s="97">
        <f t="shared" si="348"/>
        <v>0</v>
      </c>
      <c r="LF1287" s="97">
        <f t="shared" si="349"/>
        <v>0</v>
      </c>
      <c r="LG1287" s="97">
        <f t="shared" si="350"/>
        <v>0</v>
      </c>
      <c r="LH1287" s="97">
        <f t="shared" si="351"/>
        <v>0</v>
      </c>
      <c r="LI1287" s="97">
        <f t="shared" si="352"/>
        <v>0</v>
      </c>
      <c r="LJ1287" s="97">
        <f t="shared" si="352"/>
        <v>0</v>
      </c>
      <c r="LK1287" s="97">
        <f t="shared" si="352"/>
        <v>0</v>
      </c>
      <c r="LL1287" s="97">
        <f t="shared" si="353"/>
        <v>0</v>
      </c>
      <c r="LM1287" s="97">
        <f t="shared" si="353"/>
        <v>0</v>
      </c>
      <c r="LN1287" s="97">
        <f t="shared" si="353"/>
        <v>0</v>
      </c>
      <c r="LO1287" s="102"/>
      <c r="LP1287" s="102"/>
      <c r="LQ1287" s="102"/>
      <c r="LR1287" s="97">
        <f t="shared" si="354"/>
        <v>0</v>
      </c>
      <c r="LS1287" s="97">
        <f t="shared" si="355"/>
        <v>0</v>
      </c>
      <c r="LT1287" s="97">
        <f t="shared" si="356"/>
        <v>0</v>
      </c>
      <c r="LU1287" s="97">
        <f t="shared" si="357"/>
        <v>0</v>
      </c>
      <c r="LV1287" s="97">
        <f t="shared" si="358"/>
        <v>0</v>
      </c>
      <c r="LW1287" s="97">
        <f t="shared" si="359"/>
        <v>0</v>
      </c>
      <c r="LX1287" s="97">
        <f t="shared" si="360"/>
        <v>0</v>
      </c>
      <c r="LY1287" s="97">
        <f t="shared" si="361"/>
        <v>0</v>
      </c>
      <c r="LZ1287" s="97">
        <f t="shared" si="362"/>
        <v>0</v>
      </c>
      <c r="MA1287" s="97">
        <f t="shared" si="363"/>
        <v>0</v>
      </c>
      <c r="MB1287" s="97">
        <f t="shared" si="364"/>
        <v>0</v>
      </c>
      <c r="MC1287" s="97">
        <f t="shared" si="365"/>
        <v>0</v>
      </c>
      <c r="MD1287" s="97">
        <f t="shared" si="366"/>
        <v>0</v>
      </c>
      <c r="ME1287" s="97">
        <f t="shared" si="366"/>
        <v>0</v>
      </c>
      <c r="MF1287" s="97">
        <f t="shared" si="366"/>
        <v>0</v>
      </c>
      <c r="MG1287" s="97">
        <f t="shared" si="367"/>
        <v>0</v>
      </c>
      <c r="MH1287" s="97">
        <f t="shared" si="367"/>
        <v>0</v>
      </c>
      <c r="MI1287" s="97">
        <f t="shared" si="367"/>
        <v>0</v>
      </c>
      <c r="MJ1287" s="102"/>
      <c r="MK1287" s="102"/>
      <c r="ML1287" s="102"/>
      <c r="MM1287" s="97">
        <f t="shared" si="368"/>
        <v>0</v>
      </c>
      <c r="MN1287" s="97">
        <f t="shared" si="369"/>
        <v>0</v>
      </c>
      <c r="MO1287" s="97">
        <f t="shared" si="370"/>
        <v>0</v>
      </c>
      <c r="MP1287" s="97">
        <f t="shared" si="371"/>
        <v>0</v>
      </c>
      <c r="MQ1287" s="97">
        <f t="shared" si="372"/>
        <v>0</v>
      </c>
      <c r="MR1287" s="97">
        <f t="shared" si="373"/>
        <v>0</v>
      </c>
      <c r="MS1287" s="97">
        <f t="shared" si="374"/>
        <v>0</v>
      </c>
      <c r="MT1287" s="97">
        <f t="shared" si="375"/>
        <v>0</v>
      </c>
      <c r="MU1287" s="97">
        <f t="shared" si="376"/>
        <v>0</v>
      </c>
      <c r="MV1287" s="97">
        <f t="shared" si="377"/>
        <v>0</v>
      </c>
      <c r="MW1287" s="97">
        <f t="shared" si="378"/>
        <v>0</v>
      </c>
      <c r="MX1287" s="97">
        <f t="shared" si="379"/>
        <v>0</v>
      </c>
      <c r="MY1287" s="97">
        <f t="shared" si="380"/>
        <v>0</v>
      </c>
      <c r="MZ1287" s="97">
        <f t="shared" si="380"/>
        <v>0</v>
      </c>
      <c r="NA1287" s="97">
        <f t="shared" si="380"/>
        <v>0</v>
      </c>
      <c r="NB1287" s="97">
        <f t="shared" si="381"/>
        <v>0</v>
      </c>
      <c r="NC1287" s="97">
        <f t="shared" si="381"/>
        <v>0</v>
      </c>
      <c r="ND1287" s="97">
        <f t="shared" si="381"/>
        <v>0</v>
      </c>
      <c r="NE1287" s="102"/>
      <c r="NF1287" s="102"/>
      <c r="NG1287" s="102"/>
      <c r="NH1287" s="97">
        <f t="shared" si="382"/>
        <v>0</v>
      </c>
      <c r="NI1287" s="97">
        <f t="shared" si="383"/>
        <v>0</v>
      </c>
      <c r="NJ1287" s="97">
        <f t="shared" si="384"/>
        <v>0</v>
      </c>
      <c r="NK1287" s="97">
        <f t="shared" si="385"/>
        <v>0</v>
      </c>
      <c r="NL1287" s="97">
        <f t="shared" si="386"/>
        <v>0</v>
      </c>
      <c r="NM1287" s="97">
        <f t="shared" si="387"/>
        <v>0</v>
      </c>
      <c r="NN1287" s="97">
        <f t="shared" si="388"/>
        <v>0</v>
      </c>
      <c r="NO1287" s="97">
        <f t="shared" si="389"/>
        <v>0</v>
      </c>
      <c r="NP1287" s="97">
        <f t="shared" si="390"/>
        <v>0</v>
      </c>
      <c r="NQ1287" s="97">
        <f t="shared" si="391"/>
        <v>0</v>
      </c>
      <c r="NR1287" s="97">
        <f t="shared" si="392"/>
        <v>0</v>
      </c>
      <c r="NS1287" s="97">
        <f t="shared" si="393"/>
        <v>0</v>
      </c>
      <c r="NT1287" s="97">
        <f t="shared" si="394"/>
        <v>0</v>
      </c>
      <c r="NU1287" s="97">
        <f t="shared" si="394"/>
        <v>0</v>
      </c>
      <c r="NV1287" s="97">
        <f t="shared" si="394"/>
        <v>0</v>
      </c>
      <c r="NW1287" s="97">
        <f t="shared" si="395"/>
        <v>0</v>
      </c>
      <c r="NX1287" s="97">
        <f t="shared" si="395"/>
        <v>0</v>
      </c>
      <c r="NY1287" s="97">
        <f t="shared" si="395"/>
        <v>0</v>
      </c>
      <c r="NZ1287" s="102"/>
      <c r="OA1287" s="102"/>
      <c r="OB1287" s="102"/>
      <c r="OC1287" s="97">
        <f t="shared" si="396"/>
        <v>0</v>
      </c>
      <c r="OD1287" s="97">
        <f t="shared" si="397"/>
        <v>0</v>
      </c>
      <c r="OE1287" s="97">
        <f t="shared" si="398"/>
        <v>0</v>
      </c>
      <c r="OF1287" s="97">
        <f t="shared" si="399"/>
        <v>0</v>
      </c>
      <c r="OG1287" s="97">
        <f t="shared" si="400"/>
        <v>0</v>
      </c>
      <c r="OH1287" s="97">
        <f t="shared" si="401"/>
        <v>0</v>
      </c>
      <c r="OI1287" s="97">
        <f t="shared" si="402"/>
        <v>0</v>
      </c>
      <c r="OJ1287" s="97">
        <f t="shared" si="403"/>
        <v>0</v>
      </c>
      <c r="OK1287" s="97">
        <f t="shared" si="404"/>
        <v>0</v>
      </c>
      <c r="OL1287" s="97">
        <f t="shared" si="405"/>
        <v>0</v>
      </c>
      <c r="OM1287" s="97">
        <f t="shared" si="406"/>
        <v>0</v>
      </c>
      <c r="ON1287" s="97">
        <f t="shared" si="407"/>
        <v>0</v>
      </c>
      <c r="OO1287" s="97">
        <f t="shared" si="408"/>
        <v>0</v>
      </c>
      <c r="OP1287" s="97">
        <f t="shared" si="408"/>
        <v>0</v>
      </c>
      <c r="OQ1287" s="97">
        <f t="shared" si="408"/>
        <v>0</v>
      </c>
      <c r="OR1287" s="97">
        <f t="shared" si="409"/>
        <v>0</v>
      </c>
      <c r="OS1287" s="97">
        <f t="shared" si="409"/>
        <v>0</v>
      </c>
      <c r="OT1287" s="97">
        <f t="shared" si="409"/>
        <v>0</v>
      </c>
      <c r="OU1287" s="102"/>
      <c r="OV1287" s="102"/>
      <c r="OW1287" s="102"/>
      <c r="OX1287" s="97">
        <f t="shared" si="410"/>
        <v>0</v>
      </c>
      <c r="OY1287" s="97">
        <f t="shared" si="411"/>
        <v>0</v>
      </c>
      <c r="OZ1287" s="97">
        <f t="shared" si="412"/>
        <v>0</v>
      </c>
      <c r="PA1287" s="97">
        <f t="shared" si="413"/>
        <v>0</v>
      </c>
      <c r="PB1287" s="97">
        <f t="shared" si="414"/>
        <v>0</v>
      </c>
      <c r="PC1287" s="97">
        <f t="shared" si="415"/>
        <v>0</v>
      </c>
      <c r="PD1287" s="97">
        <f t="shared" si="416"/>
        <v>0</v>
      </c>
      <c r="PE1287" s="97">
        <f t="shared" si="417"/>
        <v>0</v>
      </c>
      <c r="PF1287" s="97">
        <f t="shared" si="418"/>
        <v>0</v>
      </c>
      <c r="PG1287" s="97">
        <f t="shared" si="419"/>
        <v>0</v>
      </c>
      <c r="PH1287" s="97">
        <f t="shared" si="420"/>
        <v>0</v>
      </c>
      <c r="PI1287" s="97">
        <f t="shared" si="421"/>
        <v>0</v>
      </c>
      <c r="PJ1287" s="97">
        <f t="shared" si="422"/>
        <v>0</v>
      </c>
      <c r="PK1287" s="97">
        <f t="shared" si="422"/>
        <v>0</v>
      </c>
      <c r="PL1287" s="97">
        <f t="shared" si="422"/>
        <v>0</v>
      </c>
      <c r="PM1287" s="97">
        <f t="shared" si="423"/>
        <v>0</v>
      </c>
      <c r="PN1287" s="97">
        <f t="shared" si="423"/>
        <v>0</v>
      </c>
      <c r="PO1287" s="97">
        <f t="shared" si="423"/>
        <v>0</v>
      </c>
      <c r="PP1287" s="102"/>
      <c r="PQ1287" s="102"/>
      <c r="PR1287" s="102"/>
      <c r="PS1287" s="97">
        <f t="shared" si="424"/>
        <v>0</v>
      </c>
      <c r="PT1287" s="97">
        <f t="shared" si="425"/>
        <v>0</v>
      </c>
      <c r="PU1287" s="97">
        <f t="shared" si="426"/>
        <v>0</v>
      </c>
      <c r="PV1287" s="97">
        <f t="shared" si="427"/>
        <v>0</v>
      </c>
      <c r="PW1287" s="97">
        <f t="shared" si="428"/>
        <v>0</v>
      </c>
      <c r="PX1287" s="97">
        <f t="shared" si="429"/>
        <v>0</v>
      </c>
      <c r="PY1287" s="97">
        <f t="shared" si="430"/>
        <v>0</v>
      </c>
      <c r="PZ1287" s="97">
        <f t="shared" si="431"/>
        <v>0</v>
      </c>
      <c r="QA1287" s="97">
        <f t="shared" si="432"/>
        <v>0</v>
      </c>
      <c r="QB1287" s="97">
        <f t="shared" si="433"/>
        <v>0</v>
      </c>
      <c r="QC1287" s="97">
        <f t="shared" si="434"/>
        <v>0</v>
      </c>
      <c r="QD1287" s="97">
        <f t="shared" si="435"/>
        <v>0</v>
      </c>
      <c r="QE1287" s="97">
        <f t="shared" si="436"/>
        <v>0</v>
      </c>
      <c r="QF1287" s="97">
        <f t="shared" si="436"/>
        <v>0</v>
      </c>
      <c r="QG1287" s="97">
        <f t="shared" si="436"/>
        <v>0</v>
      </c>
      <c r="QH1287" s="97">
        <f t="shared" si="437"/>
        <v>0</v>
      </c>
      <c r="QI1287" s="97">
        <f t="shared" si="437"/>
        <v>0</v>
      </c>
      <c r="QJ1287" s="97">
        <f t="shared" si="437"/>
        <v>0</v>
      </c>
      <c r="QK1287" s="102"/>
      <c r="QL1287" s="102"/>
      <c r="QM1287" s="102"/>
      <c r="QN1287" s="97">
        <f t="shared" si="438"/>
        <v>0</v>
      </c>
      <c r="QO1287" s="97">
        <f t="shared" si="439"/>
        <v>0</v>
      </c>
      <c r="QP1287" s="97">
        <f t="shared" si="440"/>
        <v>0</v>
      </c>
      <c r="QQ1287" s="97">
        <f t="shared" si="441"/>
        <v>0</v>
      </c>
      <c r="QR1287" s="97">
        <f t="shared" si="442"/>
        <v>0</v>
      </c>
      <c r="QS1287" s="97">
        <f t="shared" si="443"/>
        <v>0</v>
      </c>
      <c r="QT1287" s="97">
        <f t="shared" si="444"/>
        <v>0</v>
      </c>
      <c r="QU1287" s="97">
        <f t="shared" si="445"/>
        <v>0</v>
      </c>
      <c r="QV1287" s="97">
        <f t="shared" si="446"/>
        <v>0</v>
      </c>
      <c r="QW1287" s="97">
        <f t="shared" si="447"/>
        <v>0</v>
      </c>
      <c r="QX1287" s="97">
        <f t="shared" si="448"/>
        <v>0</v>
      </c>
      <c r="QY1287" s="97">
        <f t="shared" si="449"/>
        <v>0</v>
      </c>
      <c r="QZ1287" s="97">
        <f t="shared" si="450"/>
        <v>0</v>
      </c>
      <c r="RA1287" s="97">
        <f t="shared" si="450"/>
        <v>0</v>
      </c>
      <c r="RB1287" s="97">
        <f t="shared" si="450"/>
        <v>0</v>
      </c>
      <c r="RC1287" s="97">
        <f t="shared" si="451"/>
        <v>0</v>
      </c>
      <c r="RD1287" s="97">
        <f t="shared" si="451"/>
        <v>0</v>
      </c>
      <c r="RE1287" s="97">
        <f t="shared" si="451"/>
        <v>0</v>
      </c>
      <c r="RF1287" s="102"/>
      <c r="RG1287" s="102"/>
      <c r="RH1287" s="102"/>
      <c r="RI1287" s="97">
        <f t="shared" si="452"/>
        <v>0</v>
      </c>
      <c r="RJ1287" s="97">
        <f t="shared" si="453"/>
        <v>0</v>
      </c>
      <c r="RK1287" s="97">
        <f t="shared" si="454"/>
        <v>0</v>
      </c>
      <c r="RL1287" s="97">
        <f t="shared" si="455"/>
        <v>0</v>
      </c>
      <c r="RM1287" s="97">
        <f t="shared" si="456"/>
        <v>0</v>
      </c>
      <c r="RN1287" s="97">
        <f t="shared" si="457"/>
        <v>0</v>
      </c>
      <c r="RO1287" s="97">
        <f t="shared" si="458"/>
        <v>0</v>
      </c>
      <c r="RP1287" s="97">
        <f t="shared" si="459"/>
        <v>0</v>
      </c>
      <c r="RQ1287" s="97">
        <f t="shared" si="460"/>
        <v>0</v>
      </c>
      <c r="RR1287" s="97">
        <f t="shared" si="461"/>
        <v>0</v>
      </c>
      <c r="RS1287" s="97">
        <f t="shared" si="462"/>
        <v>0</v>
      </c>
      <c r="RT1287" s="97">
        <f t="shared" si="463"/>
        <v>0</v>
      </c>
      <c r="RU1287" s="97">
        <f t="shared" si="464"/>
        <v>0</v>
      </c>
      <c r="RV1287" s="97">
        <f t="shared" si="464"/>
        <v>0</v>
      </c>
      <c r="RW1287" s="97">
        <f t="shared" si="464"/>
        <v>0</v>
      </c>
      <c r="RX1287" s="97">
        <f t="shared" si="465"/>
        <v>0</v>
      </c>
      <c r="RY1287" s="97">
        <f t="shared" si="465"/>
        <v>0</v>
      </c>
      <c r="RZ1287" s="97">
        <f t="shared" si="465"/>
        <v>0</v>
      </c>
      <c r="SA1287" s="102"/>
      <c r="SB1287" s="102"/>
      <c r="SC1287" s="102"/>
      <c r="SD1287" s="97">
        <f t="shared" si="466"/>
        <v>0</v>
      </c>
      <c r="SE1287" s="97">
        <f t="shared" si="467"/>
        <v>0</v>
      </c>
      <c r="SF1287" s="97">
        <f t="shared" si="468"/>
        <v>0</v>
      </c>
      <c r="SG1287" s="97">
        <f t="shared" si="469"/>
        <v>0</v>
      </c>
      <c r="SH1287" s="97">
        <f t="shared" si="470"/>
        <v>0</v>
      </c>
      <c r="SI1287" s="97">
        <f t="shared" si="471"/>
        <v>0</v>
      </c>
      <c r="SJ1287" s="97">
        <f t="shared" si="472"/>
        <v>0</v>
      </c>
      <c r="SK1287" s="97">
        <f t="shared" si="473"/>
        <v>0</v>
      </c>
      <c r="SL1287" s="97">
        <f t="shared" si="474"/>
        <v>0</v>
      </c>
      <c r="SM1287" s="97">
        <f t="shared" si="475"/>
        <v>0</v>
      </c>
      <c r="SN1287" s="97">
        <f t="shared" si="476"/>
        <v>0</v>
      </c>
      <c r="SO1287" s="97">
        <f t="shared" si="477"/>
        <v>0</v>
      </c>
      <c r="SP1287" s="97">
        <f t="shared" si="478"/>
        <v>0</v>
      </c>
      <c r="SQ1287" s="97">
        <f t="shared" si="478"/>
        <v>0</v>
      </c>
      <c r="SR1287" s="97">
        <f t="shared" si="478"/>
        <v>0</v>
      </c>
      <c r="SS1287" s="97">
        <f t="shared" si="479"/>
        <v>0</v>
      </c>
      <c r="ST1287" s="97">
        <f t="shared" si="479"/>
        <v>0</v>
      </c>
      <c r="SU1287" s="97">
        <f t="shared" si="479"/>
        <v>0</v>
      </c>
      <c r="SV1287" s="102"/>
      <c r="SW1287" s="102"/>
      <c r="SX1287" s="102"/>
      <c r="SY1287" s="97">
        <f t="shared" si="480"/>
        <v>0</v>
      </c>
      <c r="SZ1287" s="97">
        <f t="shared" si="481"/>
        <v>0</v>
      </c>
      <c r="TA1287" s="97">
        <f t="shared" si="482"/>
        <v>0</v>
      </c>
      <c r="TB1287" s="97">
        <f t="shared" si="483"/>
        <v>0</v>
      </c>
      <c r="TC1287" s="97">
        <f t="shared" si="484"/>
        <v>0</v>
      </c>
      <c r="TD1287" s="97">
        <f t="shared" si="485"/>
        <v>0</v>
      </c>
      <c r="TE1287" s="97">
        <f t="shared" si="486"/>
        <v>0</v>
      </c>
      <c r="TF1287" s="97">
        <f t="shared" si="487"/>
        <v>0</v>
      </c>
      <c r="TG1287" s="97">
        <f t="shared" si="488"/>
        <v>0</v>
      </c>
      <c r="TH1287" s="97">
        <f t="shared" si="489"/>
        <v>0</v>
      </c>
      <c r="TI1287" s="97">
        <f t="shared" si="490"/>
        <v>0</v>
      </c>
      <c r="TJ1287" s="97">
        <f t="shared" si="491"/>
        <v>0</v>
      </c>
      <c r="TK1287" s="97">
        <f t="shared" si="492"/>
        <v>0</v>
      </c>
      <c r="TL1287" s="97">
        <f t="shared" si="492"/>
        <v>0</v>
      </c>
      <c r="TM1287" s="97">
        <f t="shared" si="492"/>
        <v>0</v>
      </c>
      <c r="TN1287" s="97">
        <f t="shared" si="493"/>
        <v>0</v>
      </c>
      <c r="TO1287" s="97">
        <f t="shared" si="493"/>
        <v>0</v>
      </c>
      <c r="TP1287" s="97">
        <f t="shared" si="493"/>
        <v>0</v>
      </c>
      <c r="TQ1287" s="102"/>
      <c r="TR1287" s="102"/>
      <c r="TS1287" s="102"/>
      <c r="TT1287" s="97">
        <f t="shared" si="494"/>
        <v>0</v>
      </c>
      <c r="TU1287" s="97">
        <f t="shared" si="495"/>
        <v>0</v>
      </c>
      <c r="TV1287" s="97">
        <f t="shared" si="496"/>
        <v>0</v>
      </c>
      <c r="TW1287" s="97">
        <f t="shared" si="497"/>
        <v>0</v>
      </c>
      <c r="TX1287" s="97">
        <f t="shared" si="498"/>
        <v>0</v>
      </c>
      <c r="TY1287" s="97">
        <f t="shared" si="499"/>
        <v>0</v>
      </c>
      <c r="TZ1287" s="97">
        <f t="shared" si="500"/>
        <v>0</v>
      </c>
      <c r="UA1287" s="97">
        <f t="shared" si="501"/>
        <v>0</v>
      </c>
      <c r="UB1287" s="97">
        <f t="shared" si="502"/>
        <v>0</v>
      </c>
      <c r="UC1287" s="97">
        <f t="shared" si="503"/>
        <v>0</v>
      </c>
      <c r="UD1287" s="97">
        <f t="shared" si="504"/>
        <v>0</v>
      </c>
      <c r="UE1287" s="97">
        <f t="shared" si="505"/>
        <v>0</v>
      </c>
      <c r="UF1287" s="97">
        <f t="shared" si="506"/>
        <v>0</v>
      </c>
      <c r="UG1287" s="97">
        <f t="shared" si="506"/>
        <v>0</v>
      </c>
      <c r="UH1287" s="97">
        <f t="shared" si="506"/>
        <v>0</v>
      </c>
      <c r="UI1287" s="97">
        <f t="shared" si="507"/>
        <v>0</v>
      </c>
      <c r="UJ1287" s="97">
        <f t="shared" si="507"/>
        <v>0</v>
      </c>
      <c r="UK1287" s="97">
        <f t="shared" si="507"/>
        <v>0</v>
      </c>
      <c r="UL1287" s="102"/>
      <c r="UM1287" s="102"/>
      <c r="UN1287" s="102"/>
      <c r="UO1287" s="97">
        <f t="shared" si="508"/>
        <v>0</v>
      </c>
      <c r="UP1287" s="97">
        <f t="shared" si="509"/>
        <v>0</v>
      </c>
      <c r="UQ1287" s="97">
        <f t="shared" si="510"/>
        <v>0</v>
      </c>
      <c r="UR1287" s="97">
        <f t="shared" si="511"/>
        <v>0</v>
      </c>
      <c r="US1287" s="97">
        <f t="shared" si="512"/>
        <v>0</v>
      </c>
      <c r="UT1287" s="97">
        <f t="shared" si="513"/>
        <v>0</v>
      </c>
      <c r="UU1287" s="97">
        <f t="shared" si="514"/>
        <v>154183.21</v>
      </c>
      <c r="UV1287" s="97">
        <f t="shared" si="515"/>
        <v>162460.99</v>
      </c>
      <c r="UW1287" s="97">
        <f t="shared" si="516"/>
        <v>169074.39</v>
      </c>
      <c r="UX1287" s="97">
        <f t="shared" si="517"/>
        <v>24365.08</v>
      </c>
      <c r="UY1287" s="97">
        <f t="shared" si="518"/>
        <v>25773.25</v>
      </c>
      <c r="UZ1287" s="97">
        <f t="shared" si="519"/>
        <v>27465.91</v>
      </c>
      <c r="VA1287" s="97">
        <f t="shared" si="520"/>
        <v>0</v>
      </c>
      <c r="VB1287" s="97">
        <f t="shared" si="520"/>
        <v>0</v>
      </c>
      <c r="VC1287" s="97">
        <f t="shared" si="520"/>
        <v>0</v>
      </c>
      <c r="VD1287" s="97">
        <f t="shared" si="521"/>
        <v>0</v>
      </c>
      <c r="VE1287" s="97">
        <f t="shared" si="521"/>
        <v>0</v>
      </c>
      <c r="VF1287" s="97">
        <f t="shared" si="521"/>
        <v>0</v>
      </c>
      <c r="VG1287" s="102"/>
      <c r="VH1287" s="102"/>
      <c r="VI1287" s="102"/>
      <c r="VJ1287" s="97">
        <f t="shared" si="522"/>
        <v>0</v>
      </c>
      <c r="VK1287" s="97">
        <f t="shared" si="523"/>
        <v>0</v>
      </c>
      <c r="VL1287" s="97">
        <f t="shared" si="524"/>
        <v>0</v>
      </c>
      <c r="VM1287" s="97">
        <f t="shared" si="525"/>
        <v>0</v>
      </c>
      <c r="VN1287" s="97">
        <f t="shared" si="526"/>
        <v>0</v>
      </c>
      <c r="VO1287" s="97">
        <f t="shared" si="527"/>
        <v>0</v>
      </c>
      <c r="VP1287" s="97">
        <f t="shared" si="528"/>
        <v>0</v>
      </c>
      <c r="VQ1287" s="97">
        <f t="shared" si="529"/>
        <v>0</v>
      </c>
      <c r="VR1287" s="97">
        <f t="shared" si="530"/>
        <v>0</v>
      </c>
      <c r="VS1287" s="97">
        <f t="shared" si="531"/>
        <v>0</v>
      </c>
      <c r="VT1287" s="97">
        <f t="shared" si="532"/>
        <v>0</v>
      </c>
      <c r="VU1287" s="97">
        <f t="shared" si="533"/>
        <v>0</v>
      </c>
      <c r="VV1287" s="97">
        <f t="shared" si="534"/>
        <v>0</v>
      </c>
      <c r="VW1287" s="97">
        <f t="shared" si="534"/>
        <v>0</v>
      </c>
      <c r="VX1287" s="97">
        <f t="shared" si="534"/>
        <v>0</v>
      </c>
      <c r="VY1287" s="97">
        <f t="shared" si="535"/>
        <v>0</v>
      </c>
      <c r="VZ1287" s="97">
        <f t="shared" si="535"/>
        <v>0</v>
      </c>
      <c r="WA1287" s="97">
        <f t="shared" si="535"/>
        <v>0</v>
      </c>
      <c r="WB1287" s="102"/>
      <c r="WC1287" s="102"/>
      <c r="WD1287" s="102"/>
      <c r="WE1287" s="97">
        <f t="shared" si="536"/>
        <v>0</v>
      </c>
      <c r="WF1287" s="97">
        <f t="shared" si="537"/>
        <v>0</v>
      </c>
      <c r="WG1287" s="97">
        <f t="shared" si="538"/>
        <v>0</v>
      </c>
      <c r="WH1287" s="97">
        <f t="shared" si="539"/>
        <v>0</v>
      </c>
      <c r="WI1287" s="97">
        <f t="shared" si="540"/>
        <v>0</v>
      </c>
      <c r="WJ1287" s="97">
        <f t="shared" si="541"/>
        <v>0</v>
      </c>
      <c r="WK1287" s="97">
        <f t="shared" si="542"/>
        <v>0</v>
      </c>
      <c r="WL1287" s="97">
        <f t="shared" si="543"/>
        <v>0</v>
      </c>
      <c r="WM1287" s="97">
        <f t="shared" si="544"/>
        <v>0</v>
      </c>
      <c r="WN1287" s="97">
        <f t="shared" si="545"/>
        <v>0</v>
      </c>
      <c r="WO1287" s="97">
        <f t="shared" si="546"/>
        <v>0</v>
      </c>
      <c r="WP1287" s="97">
        <f t="shared" si="547"/>
        <v>0</v>
      </c>
      <c r="WQ1287" s="97">
        <f t="shared" si="548"/>
        <v>0</v>
      </c>
      <c r="WR1287" s="97">
        <f t="shared" si="548"/>
        <v>0</v>
      </c>
      <c r="WS1287" s="97">
        <f t="shared" si="548"/>
        <v>0</v>
      </c>
      <c r="WT1287" s="97">
        <f t="shared" si="549"/>
        <v>0</v>
      </c>
      <c r="WU1287" s="97">
        <f t="shared" si="549"/>
        <v>0</v>
      </c>
      <c r="WV1287" s="97">
        <f t="shared" si="549"/>
        <v>0</v>
      </c>
      <c r="WW1287" s="102"/>
      <c r="WX1287" s="102"/>
      <c r="WY1287" s="102"/>
      <c r="WZ1287" s="97">
        <f t="shared" si="550"/>
        <v>0</v>
      </c>
      <c r="XA1287" s="97">
        <f t="shared" si="551"/>
        <v>0</v>
      </c>
      <c r="XB1287" s="97">
        <f t="shared" si="552"/>
        <v>0</v>
      </c>
      <c r="XC1287" s="97">
        <f t="shared" si="553"/>
        <v>0</v>
      </c>
      <c r="XD1287" s="97">
        <f t="shared" si="554"/>
        <v>0</v>
      </c>
      <c r="XE1287" s="97">
        <f t="shared" si="555"/>
        <v>0</v>
      </c>
      <c r="XF1287" s="97">
        <f t="shared" si="556"/>
        <v>0</v>
      </c>
      <c r="XG1287" s="97">
        <f t="shared" si="557"/>
        <v>0</v>
      </c>
      <c r="XH1287" s="97">
        <f t="shared" si="558"/>
        <v>0</v>
      </c>
      <c r="XI1287" s="97">
        <f t="shared" si="559"/>
        <v>0</v>
      </c>
      <c r="XJ1287" s="97">
        <f t="shared" si="560"/>
        <v>0</v>
      </c>
      <c r="XK1287" s="97">
        <f t="shared" si="561"/>
        <v>0</v>
      </c>
      <c r="XL1287" s="97">
        <f t="shared" si="562"/>
        <v>0</v>
      </c>
      <c r="XM1287" s="97">
        <f t="shared" si="562"/>
        <v>0</v>
      </c>
      <c r="XN1287" s="97">
        <f t="shared" si="562"/>
        <v>0</v>
      </c>
      <c r="XO1287" s="97">
        <f t="shared" si="563"/>
        <v>0</v>
      </c>
      <c r="XP1287" s="97">
        <f t="shared" si="563"/>
        <v>0</v>
      </c>
      <c r="XQ1287" s="97">
        <f t="shared" si="563"/>
        <v>0</v>
      </c>
      <c r="XR1287" s="102"/>
      <c r="XS1287" s="102"/>
      <c r="XT1287" s="102"/>
      <c r="XU1287" s="97">
        <f t="shared" si="564"/>
        <v>0</v>
      </c>
      <c r="XV1287" s="97">
        <f t="shared" si="565"/>
        <v>0</v>
      </c>
      <c r="XW1287" s="97">
        <f t="shared" si="566"/>
        <v>0</v>
      </c>
      <c r="XX1287" s="97">
        <f t="shared" si="567"/>
        <v>0</v>
      </c>
      <c r="XY1287" s="97">
        <f t="shared" si="568"/>
        <v>0</v>
      </c>
      <c r="XZ1287" s="97">
        <f t="shared" si="569"/>
        <v>0</v>
      </c>
      <c r="YA1287" s="97">
        <f t="shared" si="570"/>
        <v>0</v>
      </c>
      <c r="YB1287" s="97">
        <f t="shared" si="571"/>
        <v>0</v>
      </c>
      <c r="YC1287" s="97">
        <f t="shared" si="572"/>
        <v>0</v>
      </c>
      <c r="YD1287" s="97">
        <f t="shared" si="573"/>
        <v>0</v>
      </c>
      <c r="YE1287" s="97">
        <f t="shared" si="574"/>
        <v>0</v>
      </c>
      <c r="YF1287" s="97">
        <f t="shared" si="575"/>
        <v>0</v>
      </c>
      <c r="YG1287" s="97">
        <f t="shared" si="576"/>
        <v>0</v>
      </c>
      <c r="YH1287" s="97">
        <f t="shared" si="576"/>
        <v>0</v>
      </c>
      <c r="YI1287" s="97">
        <f t="shared" si="576"/>
        <v>0</v>
      </c>
      <c r="YJ1287" s="97">
        <f t="shared" si="577"/>
        <v>0</v>
      </c>
      <c r="YK1287" s="97">
        <f t="shared" si="577"/>
        <v>0</v>
      </c>
      <c r="YL1287" s="97">
        <f t="shared" si="577"/>
        <v>0</v>
      </c>
      <c r="YM1287" s="145">
        <f t="shared" si="601"/>
        <v>0</v>
      </c>
      <c r="YN1287" s="145">
        <f t="shared" si="578"/>
        <v>0</v>
      </c>
      <c r="YO1287" s="145">
        <f t="shared" si="578"/>
        <v>0</v>
      </c>
      <c r="YP1287" s="97">
        <f t="shared" si="579"/>
        <v>0</v>
      </c>
      <c r="YQ1287" s="97">
        <f t="shared" si="580"/>
        <v>0</v>
      </c>
      <c r="YR1287" s="97">
        <f t="shared" si="581"/>
        <v>0</v>
      </c>
      <c r="YS1287" s="97">
        <f t="shared" si="582"/>
        <v>0</v>
      </c>
      <c r="YT1287" s="97">
        <f t="shared" si="583"/>
        <v>0</v>
      </c>
      <c r="YU1287" s="97">
        <f t="shared" si="584"/>
        <v>0</v>
      </c>
      <c r="YV1287" s="97">
        <f t="shared" si="585"/>
        <v>154183.21</v>
      </c>
      <c r="YW1287" s="97">
        <f t="shared" si="586"/>
        <v>162460.99</v>
      </c>
      <c r="YX1287" s="97">
        <f t="shared" si="587"/>
        <v>169074.39</v>
      </c>
      <c r="YY1287" s="97">
        <f t="shared" si="588"/>
        <v>24365.08</v>
      </c>
      <c r="YZ1287" s="97">
        <f t="shared" si="589"/>
        <v>25773.25</v>
      </c>
      <c r="ZA1287" s="97">
        <f t="shared" si="590"/>
        <v>27465.91</v>
      </c>
      <c r="ZB1287" s="97">
        <f t="shared" si="591"/>
        <v>0</v>
      </c>
      <c r="ZC1287" s="97">
        <f t="shared" si="591"/>
        <v>0</v>
      </c>
      <c r="ZD1287" s="97">
        <f t="shared" si="591"/>
        <v>0</v>
      </c>
      <c r="ZE1287" s="97">
        <f t="shared" si="592"/>
        <v>0</v>
      </c>
      <c r="ZF1287" s="97">
        <f t="shared" si="592"/>
        <v>0</v>
      </c>
      <c r="ZG1287" s="97">
        <f t="shared" si="592"/>
        <v>0</v>
      </c>
    </row>
    <row r="1288" spans="1:683" ht="86.25" hidden="1" customHeight="1" x14ac:dyDescent="0.25">
      <c r="A1288" s="98" t="s">
        <v>422</v>
      </c>
      <c r="B1288" s="174" t="s">
        <v>428</v>
      </c>
      <c r="C1288" s="5"/>
      <c r="D1288" s="340"/>
      <c r="E1288" s="163"/>
      <c r="F1288" s="110">
        <f t="shared" si="148"/>
        <v>359154</v>
      </c>
      <c r="G1288" s="110">
        <f t="shared" si="148"/>
        <v>369258</v>
      </c>
      <c r="H1288" s="110">
        <f t="shared" si="148"/>
        <v>381556</v>
      </c>
      <c r="I1288" s="97">
        <f t="shared" si="149"/>
        <v>211027</v>
      </c>
      <c r="J1288" s="97">
        <f t="shared" si="149"/>
        <v>218790</v>
      </c>
      <c r="K1288" s="97">
        <f t="shared" si="149"/>
        <v>224613</v>
      </c>
      <c r="L1288" s="102"/>
      <c r="M1288" s="102"/>
      <c r="N1288" s="102"/>
      <c r="O1288" s="97">
        <f t="shared" si="593"/>
        <v>0</v>
      </c>
      <c r="P1288" s="97">
        <f t="shared" si="594"/>
        <v>0</v>
      </c>
      <c r="Q1288" s="97">
        <f t="shared" si="595"/>
        <v>0</v>
      </c>
      <c r="R1288" s="97">
        <f t="shared" si="596"/>
        <v>0</v>
      </c>
      <c r="S1288" s="97">
        <f t="shared" si="597"/>
        <v>0</v>
      </c>
      <c r="T1288" s="97">
        <f t="shared" si="598"/>
        <v>0</v>
      </c>
      <c r="U1288" s="97">
        <f t="shared" si="150"/>
        <v>0</v>
      </c>
      <c r="V1288" s="97">
        <f t="shared" si="151"/>
        <v>0</v>
      </c>
      <c r="W1288" s="97">
        <f t="shared" si="152"/>
        <v>0</v>
      </c>
      <c r="X1288" s="97">
        <f t="shared" si="153"/>
        <v>0</v>
      </c>
      <c r="Y1288" s="97">
        <f t="shared" si="154"/>
        <v>0</v>
      </c>
      <c r="Z1288" s="97">
        <f t="shared" si="155"/>
        <v>0</v>
      </c>
      <c r="AA1288" s="97">
        <f t="shared" si="599"/>
        <v>0</v>
      </c>
      <c r="AB1288" s="97">
        <f t="shared" si="156"/>
        <v>0</v>
      </c>
      <c r="AC1288" s="97">
        <f t="shared" si="156"/>
        <v>0</v>
      </c>
      <c r="AD1288" s="97">
        <f t="shared" si="600"/>
        <v>0</v>
      </c>
      <c r="AE1288" s="97">
        <f t="shared" si="157"/>
        <v>0</v>
      </c>
      <c r="AF1288" s="97">
        <f t="shared" si="157"/>
        <v>0</v>
      </c>
      <c r="AG1288" s="102"/>
      <c r="AH1288" s="102"/>
      <c r="AI1288" s="102"/>
      <c r="AJ1288" s="97">
        <f t="shared" si="158"/>
        <v>0</v>
      </c>
      <c r="AK1288" s="97">
        <f t="shared" si="159"/>
        <v>0</v>
      </c>
      <c r="AL1288" s="97">
        <f t="shared" si="160"/>
        <v>0</v>
      </c>
      <c r="AM1288" s="97">
        <f t="shared" si="161"/>
        <v>0</v>
      </c>
      <c r="AN1288" s="97">
        <f t="shared" si="162"/>
        <v>0</v>
      </c>
      <c r="AO1288" s="97">
        <f t="shared" si="163"/>
        <v>0</v>
      </c>
      <c r="AP1288" s="97">
        <f t="shared" si="164"/>
        <v>0</v>
      </c>
      <c r="AQ1288" s="97">
        <f t="shared" si="165"/>
        <v>0</v>
      </c>
      <c r="AR1288" s="97">
        <f t="shared" si="166"/>
        <v>0</v>
      </c>
      <c r="AS1288" s="97">
        <f t="shared" si="167"/>
        <v>0</v>
      </c>
      <c r="AT1288" s="97">
        <f t="shared" si="168"/>
        <v>0</v>
      </c>
      <c r="AU1288" s="97">
        <f t="shared" si="169"/>
        <v>0</v>
      </c>
      <c r="AV1288" s="97">
        <f t="shared" si="170"/>
        <v>0</v>
      </c>
      <c r="AW1288" s="97">
        <f t="shared" si="170"/>
        <v>0</v>
      </c>
      <c r="AX1288" s="97">
        <f t="shared" si="170"/>
        <v>0</v>
      </c>
      <c r="AY1288" s="97">
        <f t="shared" si="171"/>
        <v>0</v>
      </c>
      <c r="AZ1288" s="97">
        <f t="shared" si="171"/>
        <v>0</v>
      </c>
      <c r="BA1288" s="97">
        <f t="shared" si="171"/>
        <v>0</v>
      </c>
      <c r="BB1288" s="102"/>
      <c r="BC1288" s="102"/>
      <c r="BD1288" s="102"/>
      <c r="BE1288" s="97">
        <f t="shared" si="172"/>
        <v>0</v>
      </c>
      <c r="BF1288" s="97">
        <f t="shared" si="173"/>
        <v>0</v>
      </c>
      <c r="BG1288" s="97">
        <f t="shared" si="174"/>
        <v>0</v>
      </c>
      <c r="BH1288" s="97">
        <f t="shared" si="175"/>
        <v>0</v>
      </c>
      <c r="BI1288" s="97">
        <f t="shared" si="176"/>
        <v>0</v>
      </c>
      <c r="BJ1288" s="97">
        <f t="shared" si="177"/>
        <v>0</v>
      </c>
      <c r="BK1288" s="97">
        <f t="shared" si="178"/>
        <v>0</v>
      </c>
      <c r="BL1288" s="97">
        <f t="shared" si="179"/>
        <v>0</v>
      </c>
      <c r="BM1288" s="97">
        <f t="shared" si="180"/>
        <v>0</v>
      </c>
      <c r="BN1288" s="97">
        <f t="shared" si="181"/>
        <v>0</v>
      </c>
      <c r="BO1288" s="97">
        <f t="shared" si="182"/>
        <v>0</v>
      </c>
      <c r="BP1288" s="97">
        <f t="shared" si="183"/>
        <v>0</v>
      </c>
      <c r="BQ1288" s="97">
        <f t="shared" si="184"/>
        <v>0</v>
      </c>
      <c r="BR1288" s="97">
        <f t="shared" si="184"/>
        <v>0</v>
      </c>
      <c r="BS1288" s="97">
        <f t="shared" si="184"/>
        <v>0</v>
      </c>
      <c r="BT1288" s="97">
        <f t="shared" si="185"/>
        <v>0</v>
      </c>
      <c r="BU1288" s="97">
        <f t="shared" si="185"/>
        <v>0</v>
      </c>
      <c r="BV1288" s="97">
        <f t="shared" si="185"/>
        <v>0</v>
      </c>
      <c r="BW1288" s="102"/>
      <c r="BX1288" s="102"/>
      <c r="BY1288" s="102"/>
      <c r="BZ1288" s="97">
        <f t="shared" si="186"/>
        <v>0</v>
      </c>
      <c r="CA1288" s="97">
        <f t="shared" si="187"/>
        <v>0</v>
      </c>
      <c r="CB1288" s="97">
        <f t="shared" si="188"/>
        <v>0</v>
      </c>
      <c r="CC1288" s="97">
        <f t="shared" si="189"/>
        <v>0</v>
      </c>
      <c r="CD1288" s="97">
        <f t="shared" si="190"/>
        <v>0</v>
      </c>
      <c r="CE1288" s="97">
        <f t="shared" si="191"/>
        <v>0</v>
      </c>
      <c r="CF1288" s="97">
        <f t="shared" si="192"/>
        <v>0</v>
      </c>
      <c r="CG1288" s="97">
        <f t="shared" si="193"/>
        <v>0</v>
      </c>
      <c r="CH1288" s="97">
        <f t="shared" si="194"/>
        <v>0</v>
      </c>
      <c r="CI1288" s="97">
        <f t="shared" si="195"/>
        <v>0</v>
      </c>
      <c r="CJ1288" s="97">
        <f t="shared" si="196"/>
        <v>0</v>
      </c>
      <c r="CK1288" s="97">
        <f t="shared" si="197"/>
        <v>0</v>
      </c>
      <c r="CL1288" s="97">
        <f t="shared" si="198"/>
        <v>0</v>
      </c>
      <c r="CM1288" s="97">
        <f t="shared" si="198"/>
        <v>0</v>
      </c>
      <c r="CN1288" s="97">
        <f t="shared" si="198"/>
        <v>0</v>
      </c>
      <c r="CO1288" s="97">
        <f t="shared" si="199"/>
        <v>0</v>
      </c>
      <c r="CP1288" s="97">
        <f t="shared" si="199"/>
        <v>0</v>
      </c>
      <c r="CQ1288" s="97">
        <f t="shared" si="199"/>
        <v>0</v>
      </c>
      <c r="CR1288" s="102"/>
      <c r="CS1288" s="102"/>
      <c r="CT1288" s="102"/>
      <c r="CU1288" s="97">
        <f t="shared" si="200"/>
        <v>0</v>
      </c>
      <c r="CV1288" s="97">
        <f t="shared" si="201"/>
        <v>0</v>
      </c>
      <c r="CW1288" s="97">
        <f t="shared" si="202"/>
        <v>0</v>
      </c>
      <c r="CX1288" s="97">
        <f t="shared" si="203"/>
        <v>0</v>
      </c>
      <c r="CY1288" s="97">
        <f t="shared" si="204"/>
        <v>0</v>
      </c>
      <c r="CZ1288" s="97">
        <f t="shared" si="205"/>
        <v>0</v>
      </c>
      <c r="DA1288" s="97">
        <f t="shared" si="206"/>
        <v>0</v>
      </c>
      <c r="DB1288" s="97">
        <f t="shared" si="207"/>
        <v>0</v>
      </c>
      <c r="DC1288" s="97">
        <f t="shared" si="208"/>
        <v>0</v>
      </c>
      <c r="DD1288" s="97">
        <f t="shared" si="209"/>
        <v>0</v>
      </c>
      <c r="DE1288" s="97">
        <f t="shared" si="210"/>
        <v>0</v>
      </c>
      <c r="DF1288" s="97">
        <f t="shared" si="211"/>
        <v>0</v>
      </c>
      <c r="DG1288" s="97">
        <f t="shared" si="212"/>
        <v>0</v>
      </c>
      <c r="DH1288" s="97">
        <f t="shared" si="212"/>
        <v>0</v>
      </c>
      <c r="DI1288" s="97">
        <f t="shared" si="212"/>
        <v>0</v>
      </c>
      <c r="DJ1288" s="97">
        <f t="shared" si="213"/>
        <v>0</v>
      </c>
      <c r="DK1288" s="97">
        <f t="shared" si="213"/>
        <v>0</v>
      </c>
      <c r="DL1288" s="97">
        <f t="shared" si="213"/>
        <v>0</v>
      </c>
      <c r="DM1288" s="102"/>
      <c r="DN1288" s="102"/>
      <c r="DO1288" s="102"/>
      <c r="DP1288" s="97">
        <f t="shared" si="214"/>
        <v>0</v>
      </c>
      <c r="DQ1288" s="97">
        <f t="shared" si="215"/>
        <v>0</v>
      </c>
      <c r="DR1288" s="97">
        <f t="shared" si="216"/>
        <v>0</v>
      </c>
      <c r="DS1288" s="97">
        <f t="shared" si="217"/>
        <v>0</v>
      </c>
      <c r="DT1288" s="97">
        <f t="shared" si="218"/>
        <v>0</v>
      </c>
      <c r="DU1288" s="97">
        <f t="shared" si="219"/>
        <v>0</v>
      </c>
      <c r="DV1288" s="97">
        <f t="shared" si="220"/>
        <v>0</v>
      </c>
      <c r="DW1288" s="97">
        <f t="shared" si="221"/>
        <v>0</v>
      </c>
      <c r="DX1288" s="97">
        <f t="shared" si="222"/>
        <v>0</v>
      </c>
      <c r="DY1288" s="97">
        <f t="shared" si="223"/>
        <v>0</v>
      </c>
      <c r="DZ1288" s="97">
        <f t="shared" si="224"/>
        <v>0</v>
      </c>
      <c r="EA1288" s="97">
        <f t="shared" si="225"/>
        <v>0</v>
      </c>
      <c r="EB1288" s="97">
        <f t="shared" si="226"/>
        <v>0</v>
      </c>
      <c r="EC1288" s="97">
        <f t="shared" si="226"/>
        <v>0</v>
      </c>
      <c r="ED1288" s="97">
        <f t="shared" si="226"/>
        <v>0</v>
      </c>
      <c r="EE1288" s="97">
        <f t="shared" si="227"/>
        <v>0</v>
      </c>
      <c r="EF1288" s="97">
        <f t="shared" si="227"/>
        <v>0</v>
      </c>
      <c r="EG1288" s="97">
        <f t="shared" si="227"/>
        <v>0</v>
      </c>
      <c r="EH1288" s="102"/>
      <c r="EI1288" s="102"/>
      <c r="EJ1288" s="102"/>
      <c r="EK1288" s="97">
        <f t="shared" si="228"/>
        <v>0</v>
      </c>
      <c r="EL1288" s="97">
        <f t="shared" si="229"/>
        <v>0</v>
      </c>
      <c r="EM1288" s="97">
        <f t="shared" si="230"/>
        <v>0</v>
      </c>
      <c r="EN1288" s="97">
        <f t="shared" si="231"/>
        <v>0</v>
      </c>
      <c r="EO1288" s="97">
        <f t="shared" si="232"/>
        <v>0</v>
      </c>
      <c r="EP1288" s="97">
        <f t="shared" si="233"/>
        <v>0</v>
      </c>
      <c r="EQ1288" s="97">
        <f t="shared" si="234"/>
        <v>0</v>
      </c>
      <c r="ER1288" s="97">
        <f t="shared" si="235"/>
        <v>0</v>
      </c>
      <c r="ES1288" s="97">
        <f t="shared" si="236"/>
        <v>0</v>
      </c>
      <c r="ET1288" s="97">
        <f t="shared" si="237"/>
        <v>0</v>
      </c>
      <c r="EU1288" s="97">
        <f t="shared" si="238"/>
        <v>0</v>
      </c>
      <c r="EV1288" s="97">
        <f t="shared" si="239"/>
        <v>0</v>
      </c>
      <c r="EW1288" s="97">
        <f t="shared" si="240"/>
        <v>0</v>
      </c>
      <c r="EX1288" s="97">
        <f t="shared" si="240"/>
        <v>0</v>
      </c>
      <c r="EY1288" s="97">
        <f t="shared" si="240"/>
        <v>0</v>
      </c>
      <c r="EZ1288" s="97">
        <f t="shared" si="241"/>
        <v>0</v>
      </c>
      <c r="FA1288" s="97">
        <f t="shared" si="241"/>
        <v>0</v>
      </c>
      <c r="FB1288" s="97">
        <f t="shared" si="241"/>
        <v>0</v>
      </c>
      <c r="FC1288" s="102"/>
      <c r="FD1288" s="102"/>
      <c r="FE1288" s="102"/>
      <c r="FF1288" s="97">
        <f t="shared" si="242"/>
        <v>0</v>
      </c>
      <c r="FG1288" s="97">
        <f t="shared" si="243"/>
        <v>0</v>
      </c>
      <c r="FH1288" s="97">
        <f t="shared" si="244"/>
        <v>0</v>
      </c>
      <c r="FI1288" s="97">
        <f t="shared" si="245"/>
        <v>0</v>
      </c>
      <c r="FJ1288" s="97">
        <f t="shared" si="246"/>
        <v>0</v>
      </c>
      <c r="FK1288" s="97">
        <f t="shared" si="247"/>
        <v>0</v>
      </c>
      <c r="FL1288" s="97">
        <f t="shared" si="248"/>
        <v>0</v>
      </c>
      <c r="FM1288" s="97">
        <f t="shared" si="249"/>
        <v>0</v>
      </c>
      <c r="FN1288" s="97">
        <f t="shared" si="250"/>
        <v>0</v>
      </c>
      <c r="FO1288" s="97">
        <f t="shared" si="251"/>
        <v>0</v>
      </c>
      <c r="FP1288" s="97">
        <f t="shared" si="252"/>
        <v>0</v>
      </c>
      <c r="FQ1288" s="97">
        <f t="shared" si="253"/>
        <v>0</v>
      </c>
      <c r="FR1288" s="97">
        <f t="shared" si="254"/>
        <v>0</v>
      </c>
      <c r="FS1288" s="97">
        <f t="shared" si="254"/>
        <v>0</v>
      </c>
      <c r="FT1288" s="97">
        <f t="shared" si="254"/>
        <v>0</v>
      </c>
      <c r="FU1288" s="97">
        <f t="shared" si="255"/>
        <v>0</v>
      </c>
      <c r="FV1288" s="97">
        <f t="shared" si="255"/>
        <v>0</v>
      </c>
      <c r="FW1288" s="97">
        <f t="shared" si="255"/>
        <v>0</v>
      </c>
      <c r="FX1288" s="102"/>
      <c r="FY1288" s="102"/>
      <c r="FZ1288" s="102"/>
      <c r="GA1288" s="97">
        <f t="shared" si="256"/>
        <v>0</v>
      </c>
      <c r="GB1288" s="97">
        <f t="shared" si="257"/>
        <v>0</v>
      </c>
      <c r="GC1288" s="97">
        <f t="shared" si="258"/>
        <v>0</v>
      </c>
      <c r="GD1288" s="97">
        <f t="shared" si="259"/>
        <v>0</v>
      </c>
      <c r="GE1288" s="97">
        <f t="shared" si="260"/>
        <v>0</v>
      </c>
      <c r="GF1288" s="97">
        <f t="shared" si="261"/>
        <v>0</v>
      </c>
      <c r="GG1288" s="97">
        <f t="shared" si="262"/>
        <v>0</v>
      </c>
      <c r="GH1288" s="97">
        <f t="shared" si="263"/>
        <v>0</v>
      </c>
      <c r="GI1288" s="97">
        <f t="shared" si="264"/>
        <v>0</v>
      </c>
      <c r="GJ1288" s="97">
        <f t="shared" si="265"/>
        <v>0</v>
      </c>
      <c r="GK1288" s="97">
        <f t="shared" si="266"/>
        <v>0</v>
      </c>
      <c r="GL1288" s="97">
        <f t="shared" si="267"/>
        <v>0</v>
      </c>
      <c r="GM1288" s="97">
        <f t="shared" si="268"/>
        <v>0</v>
      </c>
      <c r="GN1288" s="97">
        <f t="shared" si="268"/>
        <v>0</v>
      </c>
      <c r="GO1288" s="97">
        <f t="shared" si="268"/>
        <v>0</v>
      </c>
      <c r="GP1288" s="97">
        <f t="shared" si="269"/>
        <v>0</v>
      </c>
      <c r="GQ1288" s="97">
        <f t="shared" si="269"/>
        <v>0</v>
      </c>
      <c r="GR1288" s="97">
        <f t="shared" si="269"/>
        <v>0</v>
      </c>
      <c r="GS1288" s="102"/>
      <c r="GT1288" s="102"/>
      <c r="GU1288" s="102"/>
      <c r="GV1288" s="97">
        <f t="shared" si="270"/>
        <v>0</v>
      </c>
      <c r="GW1288" s="97">
        <f t="shared" si="271"/>
        <v>0</v>
      </c>
      <c r="GX1288" s="97">
        <f t="shared" si="272"/>
        <v>0</v>
      </c>
      <c r="GY1288" s="97">
        <f t="shared" si="273"/>
        <v>0</v>
      </c>
      <c r="GZ1288" s="97">
        <f t="shared" si="274"/>
        <v>0</v>
      </c>
      <c r="HA1288" s="97">
        <f t="shared" si="275"/>
        <v>0</v>
      </c>
      <c r="HB1288" s="97">
        <f t="shared" si="276"/>
        <v>0</v>
      </c>
      <c r="HC1288" s="97">
        <f t="shared" si="277"/>
        <v>0</v>
      </c>
      <c r="HD1288" s="97">
        <f t="shared" si="278"/>
        <v>0</v>
      </c>
      <c r="HE1288" s="97">
        <f t="shared" si="279"/>
        <v>0</v>
      </c>
      <c r="HF1288" s="97">
        <f t="shared" si="280"/>
        <v>0</v>
      </c>
      <c r="HG1288" s="97">
        <f t="shared" si="281"/>
        <v>0</v>
      </c>
      <c r="HH1288" s="97">
        <f t="shared" si="282"/>
        <v>0</v>
      </c>
      <c r="HI1288" s="97">
        <f t="shared" si="282"/>
        <v>0</v>
      </c>
      <c r="HJ1288" s="97">
        <f t="shared" si="282"/>
        <v>0</v>
      </c>
      <c r="HK1288" s="97">
        <f t="shared" si="283"/>
        <v>0</v>
      </c>
      <c r="HL1288" s="97">
        <f t="shared" si="283"/>
        <v>0</v>
      </c>
      <c r="HM1288" s="97">
        <f t="shared" si="283"/>
        <v>0</v>
      </c>
      <c r="HN1288" s="102"/>
      <c r="HO1288" s="102"/>
      <c r="HP1288" s="102"/>
      <c r="HQ1288" s="97">
        <f t="shared" si="284"/>
        <v>0</v>
      </c>
      <c r="HR1288" s="97">
        <f t="shared" si="285"/>
        <v>0</v>
      </c>
      <c r="HS1288" s="97">
        <f t="shared" si="286"/>
        <v>0</v>
      </c>
      <c r="HT1288" s="97">
        <f t="shared" si="287"/>
        <v>0</v>
      </c>
      <c r="HU1288" s="97">
        <f t="shared" si="288"/>
        <v>0</v>
      </c>
      <c r="HV1288" s="97">
        <f t="shared" si="289"/>
        <v>0</v>
      </c>
      <c r="HW1288" s="97">
        <f t="shared" si="290"/>
        <v>0</v>
      </c>
      <c r="HX1288" s="97">
        <f t="shared" si="291"/>
        <v>0</v>
      </c>
      <c r="HY1288" s="97">
        <f t="shared" si="292"/>
        <v>0</v>
      </c>
      <c r="HZ1288" s="97">
        <f t="shared" si="293"/>
        <v>0</v>
      </c>
      <c r="IA1288" s="97">
        <f t="shared" si="294"/>
        <v>0</v>
      </c>
      <c r="IB1288" s="97">
        <f t="shared" si="295"/>
        <v>0</v>
      </c>
      <c r="IC1288" s="97">
        <f t="shared" si="296"/>
        <v>0</v>
      </c>
      <c r="ID1288" s="97">
        <f t="shared" si="296"/>
        <v>0</v>
      </c>
      <c r="IE1288" s="97">
        <f t="shared" si="296"/>
        <v>0</v>
      </c>
      <c r="IF1288" s="97">
        <f t="shared" si="297"/>
        <v>0</v>
      </c>
      <c r="IG1288" s="97">
        <f t="shared" si="297"/>
        <v>0</v>
      </c>
      <c r="IH1288" s="97">
        <f t="shared" si="297"/>
        <v>0</v>
      </c>
      <c r="II1288" s="102"/>
      <c r="IJ1288" s="102"/>
      <c r="IK1288" s="102"/>
      <c r="IL1288" s="97">
        <f t="shared" si="298"/>
        <v>0</v>
      </c>
      <c r="IM1288" s="97">
        <f t="shared" si="299"/>
        <v>0</v>
      </c>
      <c r="IN1288" s="97">
        <f t="shared" si="300"/>
        <v>0</v>
      </c>
      <c r="IO1288" s="97">
        <f t="shared" si="301"/>
        <v>0</v>
      </c>
      <c r="IP1288" s="97">
        <f t="shared" si="302"/>
        <v>0</v>
      </c>
      <c r="IQ1288" s="97">
        <f t="shared" si="303"/>
        <v>0</v>
      </c>
      <c r="IR1288" s="97">
        <f t="shared" si="304"/>
        <v>0</v>
      </c>
      <c r="IS1288" s="97">
        <f t="shared" si="305"/>
        <v>0</v>
      </c>
      <c r="IT1288" s="97">
        <f t="shared" si="306"/>
        <v>0</v>
      </c>
      <c r="IU1288" s="97">
        <f t="shared" si="307"/>
        <v>0</v>
      </c>
      <c r="IV1288" s="97">
        <f t="shared" si="308"/>
        <v>0</v>
      </c>
      <c r="IW1288" s="97">
        <f t="shared" si="309"/>
        <v>0</v>
      </c>
      <c r="IX1288" s="97">
        <f t="shared" si="310"/>
        <v>0</v>
      </c>
      <c r="IY1288" s="97">
        <f t="shared" si="310"/>
        <v>0</v>
      </c>
      <c r="IZ1288" s="97">
        <f t="shared" si="310"/>
        <v>0</v>
      </c>
      <c r="JA1288" s="97">
        <f t="shared" si="311"/>
        <v>0</v>
      </c>
      <c r="JB1288" s="97">
        <f t="shared" si="311"/>
        <v>0</v>
      </c>
      <c r="JC1288" s="97">
        <f t="shared" si="311"/>
        <v>0</v>
      </c>
      <c r="JD1288" s="102"/>
      <c r="JE1288" s="102"/>
      <c r="JF1288" s="102"/>
      <c r="JG1288" s="97">
        <f t="shared" si="312"/>
        <v>0</v>
      </c>
      <c r="JH1288" s="97">
        <f t="shared" si="313"/>
        <v>0</v>
      </c>
      <c r="JI1288" s="97">
        <f t="shared" si="314"/>
        <v>0</v>
      </c>
      <c r="JJ1288" s="97">
        <f t="shared" si="315"/>
        <v>0</v>
      </c>
      <c r="JK1288" s="97">
        <f t="shared" si="316"/>
        <v>0</v>
      </c>
      <c r="JL1288" s="97">
        <f t="shared" si="317"/>
        <v>0</v>
      </c>
      <c r="JM1288" s="97">
        <f t="shared" si="318"/>
        <v>0</v>
      </c>
      <c r="JN1288" s="97">
        <f t="shared" si="319"/>
        <v>0</v>
      </c>
      <c r="JO1288" s="97">
        <f t="shared" si="320"/>
        <v>0</v>
      </c>
      <c r="JP1288" s="97">
        <f t="shared" si="321"/>
        <v>0</v>
      </c>
      <c r="JQ1288" s="97">
        <f t="shared" si="322"/>
        <v>0</v>
      </c>
      <c r="JR1288" s="97">
        <f t="shared" si="323"/>
        <v>0</v>
      </c>
      <c r="JS1288" s="97">
        <f t="shared" si="324"/>
        <v>0</v>
      </c>
      <c r="JT1288" s="97">
        <f t="shared" si="324"/>
        <v>0</v>
      </c>
      <c r="JU1288" s="97">
        <f t="shared" si="324"/>
        <v>0</v>
      </c>
      <c r="JV1288" s="97">
        <f t="shared" si="325"/>
        <v>0</v>
      </c>
      <c r="JW1288" s="97">
        <f t="shared" si="325"/>
        <v>0</v>
      </c>
      <c r="JX1288" s="97">
        <f t="shared" si="325"/>
        <v>0</v>
      </c>
      <c r="JY1288" s="102"/>
      <c r="JZ1288" s="102"/>
      <c r="KA1288" s="102"/>
      <c r="KB1288" s="97">
        <f t="shared" si="326"/>
        <v>0</v>
      </c>
      <c r="KC1288" s="97">
        <f t="shared" si="327"/>
        <v>0</v>
      </c>
      <c r="KD1288" s="97">
        <f t="shared" si="328"/>
        <v>0</v>
      </c>
      <c r="KE1288" s="97">
        <f t="shared" si="329"/>
        <v>0</v>
      </c>
      <c r="KF1288" s="97">
        <f t="shared" si="330"/>
        <v>0</v>
      </c>
      <c r="KG1288" s="97">
        <f t="shared" si="331"/>
        <v>0</v>
      </c>
      <c r="KH1288" s="97">
        <f t="shared" si="332"/>
        <v>0</v>
      </c>
      <c r="KI1288" s="97">
        <f t="shared" si="333"/>
        <v>0</v>
      </c>
      <c r="KJ1288" s="97">
        <f t="shared" si="334"/>
        <v>0</v>
      </c>
      <c r="KK1288" s="97">
        <f t="shared" si="335"/>
        <v>0</v>
      </c>
      <c r="KL1288" s="97">
        <f t="shared" si="336"/>
        <v>0</v>
      </c>
      <c r="KM1288" s="97">
        <f t="shared" si="337"/>
        <v>0</v>
      </c>
      <c r="KN1288" s="97">
        <f t="shared" si="338"/>
        <v>0</v>
      </c>
      <c r="KO1288" s="97">
        <f t="shared" si="338"/>
        <v>0</v>
      </c>
      <c r="KP1288" s="97">
        <f t="shared" si="338"/>
        <v>0</v>
      </c>
      <c r="KQ1288" s="97">
        <f t="shared" si="339"/>
        <v>0</v>
      </c>
      <c r="KR1288" s="97">
        <f t="shared" si="339"/>
        <v>0</v>
      </c>
      <c r="KS1288" s="97">
        <f t="shared" si="339"/>
        <v>0</v>
      </c>
      <c r="KT1288" s="102"/>
      <c r="KU1288" s="102"/>
      <c r="KV1288" s="102"/>
      <c r="KW1288" s="97">
        <f t="shared" si="340"/>
        <v>0</v>
      </c>
      <c r="KX1288" s="97">
        <f t="shared" si="341"/>
        <v>0</v>
      </c>
      <c r="KY1288" s="97">
        <f t="shared" si="342"/>
        <v>0</v>
      </c>
      <c r="KZ1288" s="97">
        <f t="shared" si="343"/>
        <v>0</v>
      </c>
      <c r="LA1288" s="97">
        <f t="shared" si="344"/>
        <v>0</v>
      </c>
      <c r="LB1288" s="97">
        <f t="shared" si="345"/>
        <v>0</v>
      </c>
      <c r="LC1288" s="97">
        <f t="shared" si="346"/>
        <v>0</v>
      </c>
      <c r="LD1288" s="97">
        <f t="shared" si="347"/>
        <v>0</v>
      </c>
      <c r="LE1288" s="97">
        <f t="shared" si="348"/>
        <v>0</v>
      </c>
      <c r="LF1288" s="97">
        <f t="shared" si="349"/>
        <v>0</v>
      </c>
      <c r="LG1288" s="97">
        <f t="shared" si="350"/>
        <v>0</v>
      </c>
      <c r="LH1288" s="97">
        <f t="shared" si="351"/>
        <v>0</v>
      </c>
      <c r="LI1288" s="97">
        <f t="shared" si="352"/>
        <v>0</v>
      </c>
      <c r="LJ1288" s="97">
        <f t="shared" si="352"/>
        <v>0</v>
      </c>
      <c r="LK1288" s="97">
        <f t="shared" si="352"/>
        <v>0</v>
      </c>
      <c r="LL1288" s="97">
        <f t="shared" si="353"/>
        <v>0</v>
      </c>
      <c r="LM1288" s="97">
        <f t="shared" si="353"/>
        <v>0</v>
      </c>
      <c r="LN1288" s="97">
        <f t="shared" si="353"/>
        <v>0</v>
      </c>
      <c r="LO1288" s="102"/>
      <c r="LP1288" s="102"/>
      <c r="LQ1288" s="102"/>
      <c r="LR1288" s="97">
        <f t="shared" si="354"/>
        <v>0</v>
      </c>
      <c r="LS1288" s="97">
        <f t="shared" si="355"/>
        <v>0</v>
      </c>
      <c r="LT1288" s="97">
        <f t="shared" si="356"/>
        <v>0</v>
      </c>
      <c r="LU1288" s="97">
        <f t="shared" si="357"/>
        <v>0</v>
      </c>
      <c r="LV1288" s="97">
        <f t="shared" si="358"/>
        <v>0</v>
      </c>
      <c r="LW1288" s="97">
        <f t="shared" si="359"/>
        <v>0</v>
      </c>
      <c r="LX1288" s="97">
        <f t="shared" si="360"/>
        <v>0</v>
      </c>
      <c r="LY1288" s="97">
        <f t="shared" si="361"/>
        <v>0</v>
      </c>
      <c r="LZ1288" s="97">
        <f t="shared" si="362"/>
        <v>0</v>
      </c>
      <c r="MA1288" s="97">
        <f t="shared" si="363"/>
        <v>0</v>
      </c>
      <c r="MB1288" s="97">
        <f t="shared" si="364"/>
        <v>0</v>
      </c>
      <c r="MC1288" s="97">
        <f t="shared" si="365"/>
        <v>0</v>
      </c>
      <c r="MD1288" s="97">
        <f t="shared" si="366"/>
        <v>0</v>
      </c>
      <c r="ME1288" s="97">
        <f t="shared" si="366"/>
        <v>0</v>
      </c>
      <c r="MF1288" s="97">
        <f t="shared" si="366"/>
        <v>0</v>
      </c>
      <c r="MG1288" s="97">
        <f t="shared" si="367"/>
        <v>0</v>
      </c>
      <c r="MH1288" s="97">
        <f t="shared" si="367"/>
        <v>0</v>
      </c>
      <c r="MI1288" s="97">
        <f t="shared" si="367"/>
        <v>0</v>
      </c>
      <c r="MJ1288" s="102"/>
      <c r="MK1288" s="102"/>
      <c r="ML1288" s="102"/>
      <c r="MM1288" s="97">
        <f t="shared" si="368"/>
        <v>0</v>
      </c>
      <c r="MN1288" s="97">
        <f t="shared" si="369"/>
        <v>0</v>
      </c>
      <c r="MO1288" s="97">
        <f t="shared" si="370"/>
        <v>0</v>
      </c>
      <c r="MP1288" s="97">
        <f t="shared" si="371"/>
        <v>0</v>
      </c>
      <c r="MQ1288" s="97">
        <f t="shared" si="372"/>
        <v>0</v>
      </c>
      <c r="MR1288" s="97">
        <f t="shared" si="373"/>
        <v>0</v>
      </c>
      <c r="MS1288" s="97">
        <f t="shared" si="374"/>
        <v>0</v>
      </c>
      <c r="MT1288" s="97">
        <f t="shared" si="375"/>
        <v>0</v>
      </c>
      <c r="MU1288" s="97">
        <f t="shared" si="376"/>
        <v>0</v>
      </c>
      <c r="MV1288" s="97">
        <f t="shared" si="377"/>
        <v>0</v>
      </c>
      <c r="MW1288" s="97">
        <f t="shared" si="378"/>
        <v>0</v>
      </c>
      <c r="MX1288" s="97">
        <f t="shared" si="379"/>
        <v>0</v>
      </c>
      <c r="MY1288" s="97">
        <f t="shared" si="380"/>
        <v>0</v>
      </c>
      <c r="MZ1288" s="97">
        <f t="shared" si="380"/>
        <v>0</v>
      </c>
      <c r="NA1288" s="97">
        <f t="shared" si="380"/>
        <v>0</v>
      </c>
      <c r="NB1288" s="97">
        <f t="shared" si="381"/>
        <v>0</v>
      </c>
      <c r="NC1288" s="97">
        <f t="shared" si="381"/>
        <v>0</v>
      </c>
      <c r="ND1288" s="97">
        <f t="shared" si="381"/>
        <v>0</v>
      </c>
      <c r="NE1288" s="102"/>
      <c r="NF1288" s="102"/>
      <c r="NG1288" s="102"/>
      <c r="NH1288" s="97">
        <f t="shared" si="382"/>
        <v>0</v>
      </c>
      <c r="NI1288" s="97">
        <f t="shared" si="383"/>
        <v>0</v>
      </c>
      <c r="NJ1288" s="97">
        <f t="shared" si="384"/>
        <v>0</v>
      </c>
      <c r="NK1288" s="97">
        <f t="shared" si="385"/>
        <v>0</v>
      </c>
      <c r="NL1288" s="97">
        <f t="shared" si="386"/>
        <v>0</v>
      </c>
      <c r="NM1288" s="97">
        <f t="shared" si="387"/>
        <v>0</v>
      </c>
      <c r="NN1288" s="97">
        <f t="shared" si="388"/>
        <v>0</v>
      </c>
      <c r="NO1288" s="97">
        <f t="shared" si="389"/>
        <v>0</v>
      </c>
      <c r="NP1288" s="97">
        <f t="shared" si="390"/>
        <v>0</v>
      </c>
      <c r="NQ1288" s="97">
        <f t="shared" si="391"/>
        <v>0</v>
      </c>
      <c r="NR1288" s="97">
        <f t="shared" si="392"/>
        <v>0</v>
      </c>
      <c r="NS1288" s="97">
        <f t="shared" si="393"/>
        <v>0</v>
      </c>
      <c r="NT1288" s="97">
        <f t="shared" si="394"/>
        <v>0</v>
      </c>
      <c r="NU1288" s="97">
        <f t="shared" si="394"/>
        <v>0</v>
      </c>
      <c r="NV1288" s="97">
        <f t="shared" si="394"/>
        <v>0</v>
      </c>
      <c r="NW1288" s="97">
        <f t="shared" si="395"/>
        <v>0</v>
      </c>
      <c r="NX1288" s="97">
        <f t="shared" si="395"/>
        <v>0</v>
      </c>
      <c r="NY1288" s="97">
        <f t="shared" si="395"/>
        <v>0</v>
      </c>
      <c r="NZ1288" s="102"/>
      <c r="OA1288" s="102"/>
      <c r="OB1288" s="102"/>
      <c r="OC1288" s="97">
        <f t="shared" si="396"/>
        <v>0</v>
      </c>
      <c r="OD1288" s="97">
        <f t="shared" si="397"/>
        <v>0</v>
      </c>
      <c r="OE1288" s="97">
        <f t="shared" si="398"/>
        <v>0</v>
      </c>
      <c r="OF1288" s="97">
        <f t="shared" si="399"/>
        <v>0</v>
      </c>
      <c r="OG1288" s="97">
        <f t="shared" si="400"/>
        <v>0</v>
      </c>
      <c r="OH1288" s="97">
        <f t="shared" si="401"/>
        <v>0</v>
      </c>
      <c r="OI1288" s="97">
        <f t="shared" si="402"/>
        <v>0</v>
      </c>
      <c r="OJ1288" s="97">
        <f t="shared" si="403"/>
        <v>0</v>
      </c>
      <c r="OK1288" s="97">
        <f t="shared" si="404"/>
        <v>0</v>
      </c>
      <c r="OL1288" s="97">
        <f t="shared" si="405"/>
        <v>0</v>
      </c>
      <c r="OM1288" s="97">
        <f t="shared" si="406"/>
        <v>0</v>
      </c>
      <c r="ON1288" s="97">
        <f t="shared" si="407"/>
        <v>0</v>
      </c>
      <c r="OO1288" s="97">
        <f t="shared" si="408"/>
        <v>0</v>
      </c>
      <c r="OP1288" s="97">
        <f t="shared" si="408"/>
        <v>0</v>
      </c>
      <c r="OQ1288" s="97">
        <f t="shared" si="408"/>
        <v>0</v>
      </c>
      <c r="OR1288" s="97">
        <f t="shared" si="409"/>
        <v>0</v>
      </c>
      <c r="OS1288" s="97">
        <f t="shared" si="409"/>
        <v>0</v>
      </c>
      <c r="OT1288" s="97">
        <f t="shared" si="409"/>
        <v>0</v>
      </c>
      <c r="OU1288" s="102"/>
      <c r="OV1288" s="102"/>
      <c r="OW1288" s="102"/>
      <c r="OX1288" s="97">
        <f t="shared" si="410"/>
        <v>0</v>
      </c>
      <c r="OY1288" s="97">
        <f t="shared" si="411"/>
        <v>0</v>
      </c>
      <c r="OZ1288" s="97">
        <f t="shared" si="412"/>
        <v>0</v>
      </c>
      <c r="PA1288" s="97">
        <f t="shared" si="413"/>
        <v>0</v>
      </c>
      <c r="PB1288" s="97">
        <f t="shared" si="414"/>
        <v>0</v>
      </c>
      <c r="PC1288" s="97">
        <f t="shared" si="415"/>
        <v>0</v>
      </c>
      <c r="PD1288" s="97">
        <f t="shared" si="416"/>
        <v>0</v>
      </c>
      <c r="PE1288" s="97">
        <f t="shared" si="417"/>
        <v>0</v>
      </c>
      <c r="PF1288" s="97">
        <f t="shared" si="418"/>
        <v>0</v>
      </c>
      <c r="PG1288" s="97">
        <f t="shared" si="419"/>
        <v>0</v>
      </c>
      <c r="PH1288" s="97">
        <f t="shared" si="420"/>
        <v>0</v>
      </c>
      <c r="PI1288" s="97">
        <f t="shared" si="421"/>
        <v>0</v>
      </c>
      <c r="PJ1288" s="97">
        <f t="shared" si="422"/>
        <v>0</v>
      </c>
      <c r="PK1288" s="97">
        <f t="shared" si="422"/>
        <v>0</v>
      </c>
      <c r="PL1288" s="97">
        <f t="shared" si="422"/>
        <v>0</v>
      </c>
      <c r="PM1288" s="97">
        <f t="shared" si="423"/>
        <v>0</v>
      </c>
      <c r="PN1288" s="97">
        <f t="shared" si="423"/>
        <v>0</v>
      </c>
      <c r="PO1288" s="97">
        <f t="shared" si="423"/>
        <v>0</v>
      </c>
      <c r="PP1288" s="102"/>
      <c r="PQ1288" s="102"/>
      <c r="PR1288" s="102"/>
      <c r="PS1288" s="97">
        <f t="shared" si="424"/>
        <v>0</v>
      </c>
      <c r="PT1288" s="97">
        <f t="shared" si="425"/>
        <v>0</v>
      </c>
      <c r="PU1288" s="97">
        <f t="shared" si="426"/>
        <v>0</v>
      </c>
      <c r="PV1288" s="97">
        <f t="shared" si="427"/>
        <v>0</v>
      </c>
      <c r="PW1288" s="97">
        <f t="shared" si="428"/>
        <v>0</v>
      </c>
      <c r="PX1288" s="97">
        <f t="shared" si="429"/>
        <v>0</v>
      </c>
      <c r="PY1288" s="97">
        <f t="shared" si="430"/>
        <v>0</v>
      </c>
      <c r="PZ1288" s="97">
        <f t="shared" si="431"/>
        <v>0</v>
      </c>
      <c r="QA1288" s="97">
        <f t="shared" si="432"/>
        <v>0</v>
      </c>
      <c r="QB1288" s="97">
        <f t="shared" si="433"/>
        <v>0</v>
      </c>
      <c r="QC1288" s="97">
        <f t="shared" si="434"/>
        <v>0</v>
      </c>
      <c r="QD1288" s="97">
        <f t="shared" si="435"/>
        <v>0</v>
      </c>
      <c r="QE1288" s="97">
        <f t="shared" si="436"/>
        <v>0</v>
      </c>
      <c r="QF1288" s="97">
        <f t="shared" si="436"/>
        <v>0</v>
      </c>
      <c r="QG1288" s="97">
        <f t="shared" si="436"/>
        <v>0</v>
      </c>
      <c r="QH1288" s="97">
        <f t="shared" si="437"/>
        <v>0</v>
      </c>
      <c r="QI1288" s="97">
        <f t="shared" si="437"/>
        <v>0</v>
      </c>
      <c r="QJ1288" s="97">
        <f t="shared" si="437"/>
        <v>0</v>
      </c>
      <c r="QK1288" s="102"/>
      <c r="QL1288" s="102"/>
      <c r="QM1288" s="102"/>
      <c r="QN1288" s="97">
        <f t="shared" si="438"/>
        <v>0</v>
      </c>
      <c r="QO1288" s="97">
        <f t="shared" si="439"/>
        <v>0</v>
      </c>
      <c r="QP1288" s="97">
        <f t="shared" si="440"/>
        <v>0</v>
      </c>
      <c r="QQ1288" s="97">
        <f t="shared" si="441"/>
        <v>0</v>
      </c>
      <c r="QR1288" s="97">
        <f t="shared" si="442"/>
        <v>0</v>
      </c>
      <c r="QS1288" s="97">
        <f t="shared" si="443"/>
        <v>0</v>
      </c>
      <c r="QT1288" s="97">
        <f t="shared" si="444"/>
        <v>0</v>
      </c>
      <c r="QU1288" s="97">
        <f t="shared" si="445"/>
        <v>0</v>
      </c>
      <c r="QV1288" s="97">
        <f t="shared" si="446"/>
        <v>0</v>
      </c>
      <c r="QW1288" s="97">
        <f t="shared" si="447"/>
        <v>0</v>
      </c>
      <c r="QX1288" s="97">
        <f t="shared" si="448"/>
        <v>0</v>
      </c>
      <c r="QY1288" s="97">
        <f t="shared" si="449"/>
        <v>0</v>
      </c>
      <c r="QZ1288" s="97">
        <f t="shared" si="450"/>
        <v>0</v>
      </c>
      <c r="RA1288" s="97">
        <f t="shared" si="450"/>
        <v>0</v>
      </c>
      <c r="RB1288" s="97">
        <f t="shared" si="450"/>
        <v>0</v>
      </c>
      <c r="RC1288" s="97">
        <f t="shared" si="451"/>
        <v>0</v>
      </c>
      <c r="RD1288" s="97">
        <f t="shared" si="451"/>
        <v>0</v>
      </c>
      <c r="RE1288" s="97">
        <f t="shared" si="451"/>
        <v>0</v>
      </c>
      <c r="RF1288" s="102"/>
      <c r="RG1288" s="102"/>
      <c r="RH1288" s="102"/>
      <c r="RI1288" s="97">
        <f t="shared" si="452"/>
        <v>0</v>
      </c>
      <c r="RJ1288" s="97">
        <f t="shared" si="453"/>
        <v>0</v>
      </c>
      <c r="RK1288" s="97">
        <f t="shared" si="454"/>
        <v>0</v>
      </c>
      <c r="RL1288" s="97">
        <f t="shared" si="455"/>
        <v>0</v>
      </c>
      <c r="RM1288" s="97">
        <f t="shared" si="456"/>
        <v>0</v>
      </c>
      <c r="RN1288" s="97">
        <f t="shared" si="457"/>
        <v>0</v>
      </c>
      <c r="RO1288" s="97">
        <f t="shared" si="458"/>
        <v>0</v>
      </c>
      <c r="RP1288" s="97">
        <f t="shared" si="459"/>
        <v>0</v>
      </c>
      <c r="RQ1288" s="97">
        <f t="shared" si="460"/>
        <v>0</v>
      </c>
      <c r="RR1288" s="97">
        <f t="shared" si="461"/>
        <v>0</v>
      </c>
      <c r="RS1288" s="97">
        <f t="shared" si="462"/>
        <v>0</v>
      </c>
      <c r="RT1288" s="97">
        <f t="shared" si="463"/>
        <v>0</v>
      </c>
      <c r="RU1288" s="97">
        <f t="shared" si="464"/>
        <v>0</v>
      </c>
      <c r="RV1288" s="97">
        <f t="shared" si="464"/>
        <v>0</v>
      </c>
      <c r="RW1288" s="97">
        <f t="shared" si="464"/>
        <v>0</v>
      </c>
      <c r="RX1288" s="97">
        <f t="shared" si="465"/>
        <v>0</v>
      </c>
      <c r="RY1288" s="97">
        <f t="shared" si="465"/>
        <v>0</v>
      </c>
      <c r="RZ1288" s="97">
        <f t="shared" si="465"/>
        <v>0</v>
      </c>
      <c r="SA1288" s="102"/>
      <c r="SB1288" s="102"/>
      <c r="SC1288" s="102"/>
      <c r="SD1288" s="97">
        <f t="shared" si="466"/>
        <v>0</v>
      </c>
      <c r="SE1288" s="97">
        <f t="shared" si="467"/>
        <v>0</v>
      </c>
      <c r="SF1288" s="97">
        <f t="shared" si="468"/>
        <v>0</v>
      </c>
      <c r="SG1288" s="97">
        <f t="shared" si="469"/>
        <v>0</v>
      </c>
      <c r="SH1288" s="97">
        <f t="shared" si="470"/>
        <v>0</v>
      </c>
      <c r="SI1288" s="97">
        <f t="shared" si="471"/>
        <v>0</v>
      </c>
      <c r="SJ1288" s="97">
        <f t="shared" si="472"/>
        <v>0</v>
      </c>
      <c r="SK1288" s="97">
        <f t="shared" si="473"/>
        <v>0</v>
      </c>
      <c r="SL1288" s="97">
        <f t="shared" si="474"/>
        <v>0</v>
      </c>
      <c r="SM1288" s="97">
        <f t="shared" si="475"/>
        <v>0</v>
      </c>
      <c r="SN1288" s="97">
        <f t="shared" si="476"/>
        <v>0</v>
      </c>
      <c r="SO1288" s="97">
        <f t="shared" si="477"/>
        <v>0</v>
      </c>
      <c r="SP1288" s="97">
        <f t="shared" si="478"/>
        <v>0</v>
      </c>
      <c r="SQ1288" s="97">
        <f t="shared" si="478"/>
        <v>0</v>
      </c>
      <c r="SR1288" s="97">
        <f t="shared" si="478"/>
        <v>0</v>
      </c>
      <c r="SS1288" s="97">
        <f t="shared" si="479"/>
        <v>0</v>
      </c>
      <c r="ST1288" s="97">
        <f t="shared" si="479"/>
        <v>0</v>
      </c>
      <c r="SU1288" s="97">
        <f t="shared" si="479"/>
        <v>0</v>
      </c>
      <c r="SV1288" s="102"/>
      <c r="SW1288" s="102"/>
      <c r="SX1288" s="102"/>
      <c r="SY1288" s="97">
        <f t="shared" si="480"/>
        <v>0</v>
      </c>
      <c r="SZ1288" s="97">
        <f t="shared" si="481"/>
        <v>0</v>
      </c>
      <c r="TA1288" s="97">
        <f t="shared" si="482"/>
        <v>0</v>
      </c>
      <c r="TB1288" s="97">
        <f t="shared" si="483"/>
        <v>0</v>
      </c>
      <c r="TC1288" s="97">
        <f t="shared" si="484"/>
        <v>0</v>
      </c>
      <c r="TD1288" s="97">
        <f t="shared" si="485"/>
        <v>0</v>
      </c>
      <c r="TE1288" s="97">
        <f t="shared" si="486"/>
        <v>0</v>
      </c>
      <c r="TF1288" s="97">
        <f t="shared" si="487"/>
        <v>0</v>
      </c>
      <c r="TG1288" s="97">
        <f t="shared" si="488"/>
        <v>0</v>
      </c>
      <c r="TH1288" s="97">
        <f t="shared" si="489"/>
        <v>0</v>
      </c>
      <c r="TI1288" s="97">
        <f t="shared" si="490"/>
        <v>0</v>
      </c>
      <c r="TJ1288" s="97">
        <f t="shared" si="491"/>
        <v>0</v>
      </c>
      <c r="TK1288" s="97">
        <f t="shared" si="492"/>
        <v>0</v>
      </c>
      <c r="TL1288" s="97">
        <f t="shared" si="492"/>
        <v>0</v>
      </c>
      <c r="TM1288" s="97">
        <f t="shared" si="492"/>
        <v>0</v>
      </c>
      <c r="TN1288" s="97">
        <f t="shared" si="493"/>
        <v>0</v>
      </c>
      <c r="TO1288" s="97">
        <f t="shared" si="493"/>
        <v>0</v>
      </c>
      <c r="TP1288" s="97">
        <f t="shared" si="493"/>
        <v>0</v>
      </c>
      <c r="TQ1288" s="102"/>
      <c r="TR1288" s="102"/>
      <c r="TS1288" s="102"/>
      <c r="TT1288" s="97">
        <f t="shared" si="494"/>
        <v>0</v>
      </c>
      <c r="TU1288" s="97">
        <f t="shared" si="495"/>
        <v>0</v>
      </c>
      <c r="TV1288" s="97">
        <f t="shared" si="496"/>
        <v>0</v>
      </c>
      <c r="TW1288" s="97">
        <f t="shared" si="497"/>
        <v>0</v>
      </c>
      <c r="TX1288" s="97">
        <f t="shared" si="498"/>
        <v>0</v>
      </c>
      <c r="TY1288" s="97">
        <f t="shared" si="499"/>
        <v>0</v>
      </c>
      <c r="TZ1288" s="97">
        <f t="shared" si="500"/>
        <v>0</v>
      </c>
      <c r="UA1288" s="97">
        <f t="shared" si="501"/>
        <v>0</v>
      </c>
      <c r="UB1288" s="97">
        <f t="shared" si="502"/>
        <v>0</v>
      </c>
      <c r="UC1288" s="97">
        <f t="shared" si="503"/>
        <v>0</v>
      </c>
      <c r="UD1288" s="97">
        <f t="shared" si="504"/>
        <v>0</v>
      </c>
      <c r="UE1288" s="97">
        <f t="shared" si="505"/>
        <v>0</v>
      </c>
      <c r="UF1288" s="97">
        <f t="shared" si="506"/>
        <v>0</v>
      </c>
      <c r="UG1288" s="97">
        <f t="shared" si="506"/>
        <v>0</v>
      </c>
      <c r="UH1288" s="97">
        <f t="shared" si="506"/>
        <v>0</v>
      </c>
      <c r="UI1288" s="97">
        <f t="shared" si="507"/>
        <v>0</v>
      </c>
      <c r="UJ1288" s="97">
        <f t="shared" si="507"/>
        <v>0</v>
      </c>
      <c r="UK1288" s="97">
        <f t="shared" si="507"/>
        <v>0</v>
      </c>
      <c r="UL1288" s="102"/>
      <c r="UM1288" s="102"/>
      <c r="UN1288" s="102"/>
      <c r="UO1288" s="97">
        <f t="shared" si="508"/>
        <v>0</v>
      </c>
      <c r="UP1288" s="97">
        <f t="shared" si="509"/>
        <v>0</v>
      </c>
      <c r="UQ1288" s="97">
        <f t="shared" si="510"/>
        <v>0</v>
      </c>
      <c r="UR1288" s="97">
        <f t="shared" si="511"/>
        <v>0</v>
      </c>
      <c r="US1288" s="97">
        <f t="shared" si="512"/>
        <v>0</v>
      </c>
      <c r="UT1288" s="97">
        <f t="shared" si="513"/>
        <v>0</v>
      </c>
      <c r="UU1288" s="97">
        <f t="shared" si="514"/>
        <v>255737.08</v>
      </c>
      <c r="UV1288" s="97">
        <f t="shared" si="515"/>
        <v>269607.15999999997</v>
      </c>
      <c r="UW1288" s="97">
        <f t="shared" si="516"/>
        <v>280707.46999999997</v>
      </c>
      <c r="UX1288" s="97">
        <f t="shared" si="517"/>
        <v>35862.83</v>
      </c>
      <c r="UY1288" s="97">
        <f t="shared" si="518"/>
        <v>37941.93</v>
      </c>
      <c r="UZ1288" s="97">
        <f t="shared" si="519"/>
        <v>40438.67</v>
      </c>
      <c r="VA1288" s="97">
        <f t="shared" si="520"/>
        <v>0</v>
      </c>
      <c r="VB1288" s="97">
        <f t="shared" si="520"/>
        <v>0</v>
      </c>
      <c r="VC1288" s="97">
        <f t="shared" si="520"/>
        <v>0</v>
      </c>
      <c r="VD1288" s="97">
        <f t="shared" si="521"/>
        <v>0</v>
      </c>
      <c r="VE1288" s="97">
        <f t="shared" si="521"/>
        <v>0</v>
      </c>
      <c r="VF1288" s="97">
        <f t="shared" si="521"/>
        <v>0</v>
      </c>
      <c r="VG1288" s="102"/>
      <c r="VH1288" s="102"/>
      <c r="VI1288" s="102"/>
      <c r="VJ1288" s="97">
        <f t="shared" si="522"/>
        <v>0</v>
      </c>
      <c r="VK1288" s="97">
        <f t="shared" si="523"/>
        <v>0</v>
      </c>
      <c r="VL1288" s="97">
        <f t="shared" si="524"/>
        <v>0</v>
      </c>
      <c r="VM1288" s="97">
        <f t="shared" si="525"/>
        <v>0</v>
      </c>
      <c r="VN1288" s="97">
        <f t="shared" si="526"/>
        <v>0</v>
      </c>
      <c r="VO1288" s="97">
        <f t="shared" si="527"/>
        <v>0</v>
      </c>
      <c r="VP1288" s="97">
        <f t="shared" si="528"/>
        <v>0</v>
      </c>
      <c r="VQ1288" s="97">
        <f t="shared" si="529"/>
        <v>0</v>
      </c>
      <c r="VR1288" s="97">
        <f t="shared" si="530"/>
        <v>0</v>
      </c>
      <c r="VS1288" s="97">
        <f t="shared" si="531"/>
        <v>0</v>
      </c>
      <c r="VT1288" s="97">
        <f t="shared" si="532"/>
        <v>0</v>
      </c>
      <c r="VU1288" s="97">
        <f t="shared" si="533"/>
        <v>0</v>
      </c>
      <c r="VV1288" s="97">
        <f t="shared" si="534"/>
        <v>0</v>
      </c>
      <c r="VW1288" s="97">
        <f t="shared" si="534"/>
        <v>0</v>
      </c>
      <c r="VX1288" s="97">
        <f t="shared" si="534"/>
        <v>0</v>
      </c>
      <c r="VY1288" s="97">
        <f t="shared" si="535"/>
        <v>0</v>
      </c>
      <c r="VZ1288" s="97">
        <f t="shared" si="535"/>
        <v>0</v>
      </c>
      <c r="WA1288" s="97">
        <f t="shared" si="535"/>
        <v>0</v>
      </c>
      <c r="WB1288" s="102"/>
      <c r="WC1288" s="102"/>
      <c r="WD1288" s="102"/>
      <c r="WE1288" s="97">
        <f t="shared" si="536"/>
        <v>0</v>
      </c>
      <c r="WF1288" s="97">
        <f t="shared" si="537"/>
        <v>0</v>
      </c>
      <c r="WG1288" s="97">
        <f t="shared" si="538"/>
        <v>0</v>
      </c>
      <c r="WH1288" s="97">
        <f t="shared" si="539"/>
        <v>0</v>
      </c>
      <c r="WI1288" s="97">
        <f t="shared" si="540"/>
        <v>0</v>
      </c>
      <c r="WJ1288" s="97">
        <f t="shared" si="541"/>
        <v>0</v>
      </c>
      <c r="WK1288" s="97">
        <f t="shared" si="542"/>
        <v>0</v>
      </c>
      <c r="WL1288" s="97">
        <f t="shared" si="543"/>
        <v>0</v>
      </c>
      <c r="WM1288" s="97">
        <f t="shared" si="544"/>
        <v>0</v>
      </c>
      <c r="WN1288" s="97">
        <f t="shared" si="545"/>
        <v>0</v>
      </c>
      <c r="WO1288" s="97">
        <f t="shared" si="546"/>
        <v>0</v>
      </c>
      <c r="WP1288" s="97">
        <f t="shared" si="547"/>
        <v>0</v>
      </c>
      <c r="WQ1288" s="97">
        <f t="shared" si="548"/>
        <v>0</v>
      </c>
      <c r="WR1288" s="97">
        <f t="shared" si="548"/>
        <v>0</v>
      </c>
      <c r="WS1288" s="97">
        <f t="shared" si="548"/>
        <v>0</v>
      </c>
      <c r="WT1288" s="97">
        <f t="shared" si="549"/>
        <v>0</v>
      </c>
      <c r="WU1288" s="97">
        <f t="shared" si="549"/>
        <v>0</v>
      </c>
      <c r="WV1288" s="97">
        <f t="shared" si="549"/>
        <v>0</v>
      </c>
      <c r="WW1288" s="102"/>
      <c r="WX1288" s="102"/>
      <c r="WY1288" s="102"/>
      <c r="WZ1288" s="97">
        <f t="shared" si="550"/>
        <v>0</v>
      </c>
      <c r="XA1288" s="97">
        <f t="shared" si="551"/>
        <v>0</v>
      </c>
      <c r="XB1288" s="97">
        <f t="shared" si="552"/>
        <v>0</v>
      </c>
      <c r="XC1288" s="97">
        <f t="shared" si="553"/>
        <v>0</v>
      </c>
      <c r="XD1288" s="97">
        <f t="shared" si="554"/>
        <v>0</v>
      </c>
      <c r="XE1288" s="97">
        <f t="shared" si="555"/>
        <v>0</v>
      </c>
      <c r="XF1288" s="97">
        <f t="shared" si="556"/>
        <v>0</v>
      </c>
      <c r="XG1288" s="97">
        <f t="shared" si="557"/>
        <v>0</v>
      </c>
      <c r="XH1288" s="97">
        <f t="shared" si="558"/>
        <v>0</v>
      </c>
      <c r="XI1288" s="97">
        <f t="shared" si="559"/>
        <v>0</v>
      </c>
      <c r="XJ1288" s="97">
        <f t="shared" si="560"/>
        <v>0</v>
      </c>
      <c r="XK1288" s="97">
        <f t="shared" si="561"/>
        <v>0</v>
      </c>
      <c r="XL1288" s="97">
        <f t="shared" si="562"/>
        <v>0</v>
      </c>
      <c r="XM1288" s="97">
        <f t="shared" si="562"/>
        <v>0</v>
      </c>
      <c r="XN1288" s="97">
        <f t="shared" si="562"/>
        <v>0</v>
      </c>
      <c r="XO1288" s="97">
        <f t="shared" si="563"/>
        <v>0</v>
      </c>
      <c r="XP1288" s="97">
        <f t="shared" si="563"/>
        <v>0</v>
      </c>
      <c r="XQ1288" s="97">
        <f t="shared" si="563"/>
        <v>0</v>
      </c>
      <c r="XR1288" s="102"/>
      <c r="XS1288" s="102"/>
      <c r="XT1288" s="102"/>
      <c r="XU1288" s="97">
        <f t="shared" si="564"/>
        <v>0</v>
      </c>
      <c r="XV1288" s="97">
        <f t="shared" si="565"/>
        <v>0</v>
      </c>
      <c r="XW1288" s="97">
        <f t="shared" si="566"/>
        <v>0</v>
      </c>
      <c r="XX1288" s="97">
        <f t="shared" si="567"/>
        <v>0</v>
      </c>
      <c r="XY1288" s="97">
        <f t="shared" si="568"/>
        <v>0</v>
      </c>
      <c r="XZ1288" s="97">
        <f t="shared" si="569"/>
        <v>0</v>
      </c>
      <c r="YA1288" s="97">
        <f t="shared" si="570"/>
        <v>0</v>
      </c>
      <c r="YB1288" s="97">
        <f t="shared" si="571"/>
        <v>0</v>
      </c>
      <c r="YC1288" s="97">
        <f t="shared" si="572"/>
        <v>0</v>
      </c>
      <c r="YD1288" s="97">
        <f t="shared" si="573"/>
        <v>0</v>
      </c>
      <c r="YE1288" s="97">
        <f t="shared" si="574"/>
        <v>0</v>
      </c>
      <c r="YF1288" s="97">
        <f t="shared" si="575"/>
        <v>0</v>
      </c>
      <c r="YG1288" s="97">
        <f t="shared" si="576"/>
        <v>0</v>
      </c>
      <c r="YH1288" s="97">
        <f t="shared" si="576"/>
        <v>0</v>
      </c>
      <c r="YI1288" s="97">
        <f t="shared" si="576"/>
        <v>0</v>
      </c>
      <c r="YJ1288" s="97">
        <f t="shared" si="577"/>
        <v>0</v>
      </c>
      <c r="YK1288" s="97">
        <f t="shared" si="577"/>
        <v>0</v>
      </c>
      <c r="YL1288" s="97">
        <f t="shared" si="577"/>
        <v>0</v>
      </c>
      <c r="YM1288" s="145">
        <f t="shared" si="601"/>
        <v>0</v>
      </c>
      <c r="YN1288" s="145">
        <f>M1288+AH1288+BC1288+BX1288+CS1288+DN1288+EI1288+FD1288+FY1288+GT1288+HO1288+IJ1288+JE1288+JZ1288+KU1288+LP1288+MK1288+NF1288+OA1288+OV1288+PQ1288+QL1288+RG1288+SB1288+SW1288+TR1288+UM1288+VH1288+WC1288+WX1288+XS1288</f>
        <v>0</v>
      </c>
      <c r="YO1288" s="145">
        <f t="shared" si="578"/>
        <v>0</v>
      </c>
      <c r="YP1288" s="97">
        <f t="shared" si="579"/>
        <v>0</v>
      </c>
      <c r="YQ1288" s="97">
        <f t="shared" si="580"/>
        <v>0</v>
      </c>
      <c r="YR1288" s="97">
        <f t="shared" si="581"/>
        <v>0</v>
      </c>
      <c r="YS1288" s="97">
        <f t="shared" si="582"/>
        <v>0</v>
      </c>
      <c r="YT1288" s="97">
        <f t="shared" si="583"/>
        <v>0</v>
      </c>
      <c r="YU1288" s="97">
        <f t="shared" si="584"/>
        <v>0</v>
      </c>
      <c r="YV1288" s="97">
        <f t="shared" si="585"/>
        <v>255737.08</v>
      </c>
      <c r="YW1288" s="97">
        <f t="shared" si="586"/>
        <v>269607.15999999997</v>
      </c>
      <c r="YX1288" s="97">
        <f t="shared" si="587"/>
        <v>280707.46999999997</v>
      </c>
      <c r="YY1288" s="97">
        <f t="shared" si="588"/>
        <v>35862.83</v>
      </c>
      <c r="YZ1288" s="97">
        <f t="shared" si="589"/>
        <v>37941.93</v>
      </c>
      <c r="ZA1288" s="97">
        <f t="shared" si="590"/>
        <v>40438.67</v>
      </c>
      <c r="ZB1288" s="97">
        <f t="shared" si="591"/>
        <v>0</v>
      </c>
      <c r="ZC1288" s="97">
        <f t="shared" si="591"/>
        <v>0</v>
      </c>
      <c r="ZD1288" s="97">
        <f t="shared" si="591"/>
        <v>0</v>
      </c>
      <c r="ZE1288" s="97">
        <f t="shared" si="592"/>
        <v>0</v>
      </c>
      <c r="ZF1288" s="97">
        <f t="shared" si="592"/>
        <v>0</v>
      </c>
      <c r="ZG1288" s="97">
        <f t="shared" si="592"/>
        <v>0</v>
      </c>
    </row>
    <row r="1289" spans="1:683" ht="87.75" hidden="1" customHeight="1" x14ac:dyDescent="0.25">
      <c r="A1289" s="98" t="s">
        <v>418</v>
      </c>
      <c r="B1289" s="174" t="s">
        <v>429</v>
      </c>
      <c r="C1289" s="5"/>
      <c r="D1289" s="340"/>
      <c r="E1289" s="163"/>
      <c r="F1289" s="110">
        <f t="shared" si="148"/>
        <v>269268</v>
      </c>
      <c r="G1289" s="110">
        <f t="shared" si="148"/>
        <v>276739</v>
      </c>
      <c r="H1289" s="110">
        <f t="shared" si="148"/>
        <v>285874</v>
      </c>
      <c r="I1289" s="97">
        <f t="shared" si="149"/>
        <v>178682</v>
      </c>
      <c r="J1289" s="97">
        <f t="shared" si="149"/>
        <v>185243</v>
      </c>
      <c r="K1289" s="97">
        <f t="shared" si="149"/>
        <v>190164</v>
      </c>
      <c r="L1289" s="102"/>
      <c r="M1289" s="102"/>
      <c r="N1289" s="102"/>
      <c r="O1289" s="97">
        <f t="shared" si="593"/>
        <v>0</v>
      </c>
      <c r="P1289" s="97">
        <f t="shared" si="594"/>
        <v>0</v>
      </c>
      <c r="Q1289" s="97">
        <f t="shared" si="595"/>
        <v>0</v>
      </c>
      <c r="R1289" s="97">
        <f t="shared" si="596"/>
        <v>0</v>
      </c>
      <c r="S1289" s="97">
        <f t="shared" si="597"/>
        <v>0</v>
      </c>
      <c r="T1289" s="97">
        <f t="shared" si="598"/>
        <v>0</v>
      </c>
      <c r="U1289" s="97">
        <f t="shared" si="150"/>
        <v>0</v>
      </c>
      <c r="V1289" s="97">
        <f t="shared" si="151"/>
        <v>0</v>
      </c>
      <c r="W1289" s="97">
        <f t="shared" si="152"/>
        <v>0</v>
      </c>
      <c r="X1289" s="97">
        <f t="shared" si="153"/>
        <v>0</v>
      </c>
      <c r="Y1289" s="97">
        <f t="shared" si="154"/>
        <v>0</v>
      </c>
      <c r="Z1289" s="97">
        <f t="shared" si="155"/>
        <v>0</v>
      </c>
      <c r="AA1289" s="97">
        <f t="shared" si="599"/>
        <v>0</v>
      </c>
      <c r="AB1289" s="97">
        <f t="shared" si="156"/>
        <v>0</v>
      </c>
      <c r="AC1289" s="97">
        <f t="shared" si="156"/>
        <v>0</v>
      </c>
      <c r="AD1289" s="97">
        <f t="shared" si="600"/>
        <v>0</v>
      </c>
      <c r="AE1289" s="97">
        <f t="shared" si="157"/>
        <v>0</v>
      </c>
      <c r="AF1289" s="97">
        <f t="shared" si="157"/>
        <v>0</v>
      </c>
      <c r="AG1289" s="102"/>
      <c r="AH1289" s="102"/>
      <c r="AI1289" s="102"/>
      <c r="AJ1289" s="97">
        <f t="shared" si="158"/>
        <v>0</v>
      </c>
      <c r="AK1289" s="97">
        <f t="shared" si="159"/>
        <v>0</v>
      </c>
      <c r="AL1289" s="97">
        <f t="shared" si="160"/>
        <v>0</v>
      </c>
      <c r="AM1289" s="97">
        <f t="shared" si="161"/>
        <v>0</v>
      </c>
      <c r="AN1289" s="97">
        <f t="shared" si="162"/>
        <v>0</v>
      </c>
      <c r="AO1289" s="97">
        <f t="shared" si="163"/>
        <v>0</v>
      </c>
      <c r="AP1289" s="97">
        <f t="shared" si="164"/>
        <v>0</v>
      </c>
      <c r="AQ1289" s="97">
        <f t="shared" si="165"/>
        <v>0</v>
      </c>
      <c r="AR1289" s="97">
        <f t="shared" si="166"/>
        <v>0</v>
      </c>
      <c r="AS1289" s="97">
        <f t="shared" si="167"/>
        <v>0</v>
      </c>
      <c r="AT1289" s="97">
        <f t="shared" si="168"/>
        <v>0</v>
      </c>
      <c r="AU1289" s="97">
        <f t="shared" si="169"/>
        <v>0</v>
      </c>
      <c r="AV1289" s="97">
        <f t="shared" si="170"/>
        <v>0</v>
      </c>
      <c r="AW1289" s="97">
        <f t="shared" si="170"/>
        <v>0</v>
      </c>
      <c r="AX1289" s="97">
        <f t="shared" si="170"/>
        <v>0</v>
      </c>
      <c r="AY1289" s="97">
        <f t="shared" si="171"/>
        <v>0</v>
      </c>
      <c r="AZ1289" s="97">
        <f t="shared" si="171"/>
        <v>0</v>
      </c>
      <c r="BA1289" s="97">
        <f t="shared" si="171"/>
        <v>0</v>
      </c>
      <c r="BB1289" s="102"/>
      <c r="BC1289" s="102"/>
      <c r="BD1289" s="102"/>
      <c r="BE1289" s="97">
        <f t="shared" si="172"/>
        <v>0</v>
      </c>
      <c r="BF1289" s="97">
        <f t="shared" si="173"/>
        <v>0</v>
      </c>
      <c r="BG1289" s="97">
        <f t="shared" si="174"/>
        <v>0</v>
      </c>
      <c r="BH1289" s="97">
        <f t="shared" si="175"/>
        <v>0</v>
      </c>
      <c r="BI1289" s="97">
        <f t="shared" si="176"/>
        <v>0</v>
      </c>
      <c r="BJ1289" s="97">
        <f t="shared" si="177"/>
        <v>0</v>
      </c>
      <c r="BK1289" s="97">
        <f t="shared" si="178"/>
        <v>0</v>
      </c>
      <c r="BL1289" s="97">
        <f t="shared" si="179"/>
        <v>0</v>
      </c>
      <c r="BM1289" s="97">
        <f t="shared" si="180"/>
        <v>0</v>
      </c>
      <c r="BN1289" s="97">
        <f t="shared" si="181"/>
        <v>0</v>
      </c>
      <c r="BO1289" s="97">
        <f t="shared" si="182"/>
        <v>0</v>
      </c>
      <c r="BP1289" s="97">
        <f t="shared" si="183"/>
        <v>0</v>
      </c>
      <c r="BQ1289" s="97">
        <f t="shared" si="184"/>
        <v>0</v>
      </c>
      <c r="BR1289" s="97">
        <f t="shared" si="184"/>
        <v>0</v>
      </c>
      <c r="BS1289" s="97">
        <f t="shared" si="184"/>
        <v>0</v>
      </c>
      <c r="BT1289" s="97">
        <f t="shared" si="185"/>
        <v>0</v>
      </c>
      <c r="BU1289" s="97">
        <f t="shared" si="185"/>
        <v>0</v>
      </c>
      <c r="BV1289" s="97">
        <f t="shared" si="185"/>
        <v>0</v>
      </c>
      <c r="BW1289" s="102"/>
      <c r="BX1289" s="102"/>
      <c r="BY1289" s="102"/>
      <c r="BZ1289" s="97">
        <f t="shared" si="186"/>
        <v>0</v>
      </c>
      <c r="CA1289" s="97">
        <f t="shared" si="187"/>
        <v>0</v>
      </c>
      <c r="CB1289" s="97">
        <f t="shared" si="188"/>
        <v>0</v>
      </c>
      <c r="CC1289" s="97">
        <f t="shared" si="189"/>
        <v>0</v>
      </c>
      <c r="CD1289" s="97">
        <f t="shared" si="190"/>
        <v>0</v>
      </c>
      <c r="CE1289" s="97">
        <f t="shared" si="191"/>
        <v>0</v>
      </c>
      <c r="CF1289" s="97">
        <f t="shared" si="192"/>
        <v>0</v>
      </c>
      <c r="CG1289" s="97">
        <f t="shared" si="193"/>
        <v>0</v>
      </c>
      <c r="CH1289" s="97">
        <f t="shared" si="194"/>
        <v>0</v>
      </c>
      <c r="CI1289" s="97">
        <f t="shared" si="195"/>
        <v>0</v>
      </c>
      <c r="CJ1289" s="97">
        <f t="shared" si="196"/>
        <v>0</v>
      </c>
      <c r="CK1289" s="97">
        <f t="shared" si="197"/>
        <v>0</v>
      </c>
      <c r="CL1289" s="97">
        <f t="shared" si="198"/>
        <v>0</v>
      </c>
      <c r="CM1289" s="97">
        <f t="shared" si="198"/>
        <v>0</v>
      </c>
      <c r="CN1289" s="97">
        <f t="shared" si="198"/>
        <v>0</v>
      </c>
      <c r="CO1289" s="97">
        <f t="shared" si="199"/>
        <v>0</v>
      </c>
      <c r="CP1289" s="97">
        <f t="shared" si="199"/>
        <v>0</v>
      </c>
      <c r="CQ1289" s="97">
        <f t="shared" si="199"/>
        <v>0</v>
      </c>
      <c r="CR1289" s="102"/>
      <c r="CS1289" s="102"/>
      <c r="CT1289" s="102"/>
      <c r="CU1289" s="97">
        <f t="shared" si="200"/>
        <v>0</v>
      </c>
      <c r="CV1289" s="97">
        <f t="shared" si="201"/>
        <v>0</v>
      </c>
      <c r="CW1289" s="97">
        <f t="shared" si="202"/>
        <v>0</v>
      </c>
      <c r="CX1289" s="97">
        <f t="shared" si="203"/>
        <v>0</v>
      </c>
      <c r="CY1289" s="97">
        <f t="shared" si="204"/>
        <v>0</v>
      </c>
      <c r="CZ1289" s="97">
        <f t="shared" si="205"/>
        <v>0</v>
      </c>
      <c r="DA1289" s="97">
        <f t="shared" si="206"/>
        <v>0</v>
      </c>
      <c r="DB1289" s="97">
        <f t="shared" si="207"/>
        <v>0</v>
      </c>
      <c r="DC1289" s="97">
        <f t="shared" si="208"/>
        <v>0</v>
      </c>
      <c r="DD1289" s="97">
        <f t="shared" si="209"/>
        <v>0</v>
      </c>
      <c r="DE1289" s="97">
        <f t="shared" si="210"/>
        <v>0</v>
      </c>
      <c r="DF1289" s="97">
        <f t="shared" si="211"/>
        <v>0</v>
      </c>
      <c r="DG1289" s="97">
        <f t="shared" si="212"/>
        <v>0</v>
      </c>
      <c r="DH1289" s="97">
        <f t="shared" si="212"/>
        <v>0</v>
      </c>
      <c r="DI1289" s="97">
        <f t="shared" si="212"/>
        <v>0</v>
      </c>
      <c r="DJ1289" s="97">
        <f t="shared" si="213"/>
        <v>0</v>
      </c>
      <c r="DK1289" s="97">
        <f t="shared" si="213"/>
        <v>0</v>
      </c>
      <c r="DL1289" s="97">
        <f t="shared" si="213"/>
        <v>0</v>
      </c>
      <c r="DM1289" s="102"/>
      <c r="DN1289" s="102"/>
      <c r="DO1289" s="102"/>
      <c r="DP1289" s="97">
        <f t="shared" si="214"/>
        <v>0</v>
      </c>
      <c r="DQ1289" s="97">
        <f t="shared" si="215"/>
        <v>0</v>
      </c>
      <c r="DR1289" s="97">
        <f t="shared" si="216"/>
        <v>0</v>
      </c>
      <c r="DS1289" s="97">
        <f t="shared" si="217"/>
        <v>0</v>
      </c>
      <c r="DT1289" s="97">
        <f t="shared" si="218"/>
        <v>0</v>
      </c>
      <c r="DU1289" s="97">
        <f t="shared" si="219"/>
        <v>0</v>
      </c>
      <c r="DV1289" s="97">
        <f t="shared" si="220"/>
        <v>0</v>
      </c>
      <c r="DW1289" s="97">
        <f t="shared" si="221"/>
        <v>0</v>
      </c>
      <c r="DX1289" s="97">
        <f t="shared" si="222"/>
        <v>0</v>
      </c>
      <c r="DY1289" s="97">
        <f t="shared" si="223"/>
        <v>0</v>
      </c>
      <c r="DZ1289" s="97">
        <f t="shared" si="224"/>
        <v>0</v>
      </c>
      <c r="EA1289" s="97">
        <f t="shared" si="225"/>
        <v>0</v>
      </c>
      <c r="EB1289" s="97">
        <f t="shared" si="226"/>
        <v>0</v>
      </c>
      <c r="EC1289" s="97">
        <f t="shared" si="226"/>
        <v>0</v>
      </c>
      <c r="ED1289" s="97">
        <f t="shared" si="226"/>
        <v>0</v>
      </c>
      <c r="EE1289" s="97">
        <f t="shared" si="227"/>
        <v>0</v>
      </c>
      <c r="EF1289" s="97">
        <f t="shared" si="227"/>
        <v>0</v>
      </c>
      <c r="EG1289" s="97">
        <f t="shared" si="227"/>
        <v>0</v>
      </c>
      <c r="EH1289" s="102"/>
      <c r="EI1289" s="102"/>
      <c r="EJ1289" s="102"/>
      <c r="EK1289" s="97">
        <f t="shared" si="228"/>
        <v>0</v>
      </c>
      <c r="EL1289" s="97">
        <f t="shared" si="229"/>
        <v>0</v>
      </c>
      <c r="EM1289" s="97">
        <f t="shared" si="230"/>
        <v>0</v>
      </c>
      <c r="EN1289" s="97">
        <f t="shared" si="231"/>
        <v>0</v>
      </c>
      <c r="EO1289" s="97">
        <f t="shared" si="232"/>
        <v>0</v>
      </c>
      <c r="EP1289" s="97">
        <f t="shared" si="233"/>
        <v>0</v>
      </c>
      <c r="EQ1289" s="97">
        <f t="shared" si="234"/>
        <v>0</v>
      </c>
      <c r="ER1289" s="97">
        <f t="shared" si="235"/>
        <v>0</v>
      </c>
      <c r="ES1289" s="97">
        <f t="shared" si="236"/>
        <v>0</v>
      </c>
      <c r="ET1289" s="97">
        <f t="shared" si="237"/>
        <v>0</v>
      </c>
      <c r="EU1289" s="97">
        <f t="shared" si="238"/>
        <v>0</v>
      </c>
      <c r="EV1289" s="97">
        <f t="shared" si="239"/>
        <v>0</v>
      </c>
      <c r="EW1289" s="97">
        <f t="shared" si="240"/>
        <v>0</v>
      </c>
      <c r="EX1289" s="97">
        <f t="shared" si="240"/>
        <v>0</v>
      </c>
      <c r="EY1289" s="97">
        <f t="shared" si="240"/>
        <v>0</v>
      </c>
      <c r="EZ1289" s="97">
        <f t="shared" si="241"/>
        <v>0</v>
      </c>
      <c r="FA1289" s="97">
        <f t="shared" si="241"/>
        <v>0</v>
      </c>
      <c r="FB1289" s="97">
        <f t="shared" si="241"/>
        <v>0</v>
      </c>
      <c r="FC1289" s="102"/>
      <c r="FD1289" s="102"/>
      <c r="FE1289" s="102"/>
      <c r="FF1289" s="97">
        <f t="shared" si="242"/>
        <v>0</v>
      </c>
      <c r="FG1289" s="97">
        <f t="shared" si="243"/>
        <v>0</v>
      </c>
      <c r="FH1289" s="97">
        <f t="shared" si="244"/>
        <v>0</v>
      </c>
      <c r="FI1289" s="97">
        <f t="shared" si="245"/>
        <v>0</v>
      </c>
      <c r="FJ1289" s="97">
        <f t="shared" si="246"/>
        <v>0</v>
      </c>
      <c r="FK1289" s="97">
        <f t="shared" si="247"/>
        <v>0</v>
      </c>
      <c r="FL1289" s="97">
        <f t="shared" si="248"/>
        <v>0</v>
      </c>
      <c r="FM1289" s="97">
        <f t="shared" si="249"/>
        <v>0</v>
      </c>
      <c r="FN1289" s="97">
        <f t="shared" si="250"/>
        <v>0</v>
      </c>
      <c r="FO1289" s="97">
        <f t="shared" si="251"/>
        <v>0</v>
      </c>
      <c r="FP1289" s="97">
        <f t="shared" si="252"/>
        <v>0</v>
      </c>
      <c r="FQ1289" s="97">
        <f t="shared" si="253"/>
        <v>0</v>
      </c>
      <c r="FR1289" s="97">
        <f t="shared" si="254"/>
        <v>0</v>
      </c>
      <c r="FS1289" s="97">
        <f t="shared" si="254"/>
        <v>0</v>
      </c>
      <c r="FT1289" s="97">
        <f t="shared" si="254"/>
        <v>0</v>
      </c>
      <c r="FU1289" s="97">
        <f t="shared" si="255"/>
        <v>0</v>
      </c>
      <c r="FV1289" s="97">
        <f t="shared" si="255"/>
        <v>0</v>
      </c>
      <c r="FW1289" s="97">
        <f t="shared" si="255"/>
        <v>0</v>
      </c>
      <c r="FX1289" s="102"/>
      <c r="FY1289" s="102"/>
      <c r="FZ1289" s="102"/>
      <c r="GA1289" s="97">
        <f t="shared" si="256"/>
        <v>0</v>
      </c>
      <c r="GB1289" s="97">
        <f t="shared" si="257"/>
        <v>0</v>
      </c>
      <c r="GC1289" s="97">
        <f t="shared" si="258"/>
        <v>0</v>
      </c>
      <c r="GD1289" s="97">
        <f t="shared" si="259"/>
        <v>0</v>
      </c>
      <c r="GE1289" s="97">
        <f t="shared" si="260"/>
        <v>0</v>
      </c>
      <c r="GF1289" s="97">
        <f t="shared" si="261"/>
        <v>0</v>
      </c>
      <c r="GG1289" s="97">
        <f t="shared" si="262"/>
        <v>0</v>
      </c>
      <c r="GH1289" s="97">
        <f t="shared" si="263"/>
        <v>0</v>
      </c>
      <c r="GI1289" s="97">
        <f t="shared" si="264"/>
        <v>0</v>
      </c>
      <c r="GJ1289" s="97">
        <f t="shared" si="265"/>
        <v>0</v>
      </c>
      <c r="GK1289" s="97">
        <f t="shared" si="266"/>
        <v>0</v>
      </c>
      <c r="GL1289" s="97">
        <f t="shared" si="267"/>
        <v>0</v>
      </c>
      <c r="GM1289" s="97">
        <f t="shared" si="268"/>
        <v>0</v>
      </c>
      <c r="GN1289" s="97">
        <f t="shared" si="268"/>
        <v>0</v>
      </c>
      <c r="GO1289" s="97">
        <f t="shared" si="268"/>
        <v>0</v>
      </c>
      <c r="GP1289" s="97">
        <f t="shared" si="269"/>
        <v>0</v>
      </c>
      <c r="GQ1289" s="97">
        <f t="shared" si="269"/>
        <v>0</v>
      </c>
      <c r="GR1289" s="97">
        <f t="shared" si="269"/>
        <v>0</v>
      </c>
      <c r="GS1289" s="102"/>
      <c r="GT1289" s="102"/>
      <c r="GU1289" s="102"/>
      <c r="GV1289" s="97">
        <f t="shared" si="270"/>
        <v>0</v>
      </c>
      <c r="GW1289" s="97">
        <f t="shared" si="271"/>
        <v>0</v>
      </c>
      <c r="GX1289" s="97">
        <f t="shared" si="272"/>
        <v>0</v>
      </c>
      <c r="GY1289" s="97">
        <f t="shared" si="273"/>
        <v>0</v>
      </c>
      <c r="GZ1289" s="97">
        <f t="shared" si="274"/>
        <v>0</v>
      </c>
      <c r="HA1289" s="97">
        <f t="shared" si="275"/>
        <v>0</v>
      </c>
      <c r="HB1289" s="97">
        <f t="shared" si="276"/>
        <v>0</v>
      </c>
      <c r="HC1289" s="97">
        <f t="shared" si="277"/>
        <v>0</v>
      </c>
      <c r="HD1289" s="97">
        <f t="shared" si="278"/>
        <v>0</v>
      </c>
      <c r="HE1289" s="97">
        <f t="shared" si="279"/>
        <v>0</v>
      </c>
      <c r="HF1289" s="97">
        <f t="shared" si="280"/>
        <v>0</v>
      </c>
      <c r="HG1289" s="97">
        <f t="shared" si="281"/>
        <v>0</v>
      </c>
      <c r="HH1289" s="97">
        <f t="shared" si="282"/>
        <v>0</v>
      </c>
      <c r="HI1289" s="97">
        <f t="shared" si="282"/>
        <v>0</v>
      </c>
      <c r="HJ1289" s="97">
        <f t="shared" si="282"/>
        <v>0</v>
      </c>
      <c r="HK1289" s="97">
        <f t="shared" si="283"/>
        <v>0</v>
      </c>
      <c r="HL1289" s="97">
        <f t="shared" si="283"/>
        <v>0</v>
      </c>
      <c r="HM1289" s="97">
        <f t="shared" si="283"/>
        <v>0</v>
      </c>
      <c r="HN1289" s="102"/>
      <c r="HO1289" s="102"/>
      <c r="HP1289" s="102"/>
      <c r="HQ1289" s="97">
        <f t="shared" si="284"/>
        <v>0</v>
      </c>
      <c r="HR1289" s="97">
        <f t="shared" si="285"/>
        <v>0</v>
      </c>
      <c r="HS1289" s="97">
        <f t="shared" si="286"/>
        <v>0</v>
      </c>
      <c r="HT1289" s="97">
        <f t="shared" si="287"/>
        <v>0</v>
      </c>
      <c r="HU1289" s="97">
        <f t="shared" si="288"/>
        <v>0</v>
      </c>
      <c r="HV1289" s="97">
        <f t="shared" si="289"/>
        <v>0</v>
      </c>
      <c r="HW1289" s="97">
        <f t="shared" si="290"/>
        <v>0</v>
      </c>
      <c r="HX1289" s="97">
        <f t="shared" si="291"/>
        <v>0</v>
      </c>
      <c r="HY1289" s="97">
        <f t="shared" si="292"/>
        <v>0</v>
      </c>
      <c r="HZ1289" s="97">
        <f t="shared" si="293"/>
        <v>0</v>
      </c>
      <c r="IA1289" s="97">
        <f t="shared" si="294"/>
        <v>0</v>
      </c>
      <c r="IB1289" s="97">
        <f t="shared" si="295"/>
        <v>0</v>
      </c>
      <c r="IC1289" s="97">
        <f t="shared" si="296"/>
        <v>0</v>
      </c>
      <c r="ID1289" s="97">
        <f t="shared" si="296"/>
        <v>0</v>
      </c>
      <c r="IE1289" s="97">
        <f t="shared" si="296"/>
        <v>0</v>
      </c>
      <c r="IF1289" s="97">
        <f t="shared" si="297"/>
        <v>0</v>
      </c>
      <c r="IG1289" s="97">
        <f t="shared" si="297"/>
        <v>0</v>
      </c>
      <c r="IH1289" s="97">
        <f t="shared" si="297"/>
        <v>0</v>
      </c>
      <c r="II1289" s="102"/>
      <c r="IJ1289" s="102"/>
      <c r="IK1289" s="102"/>
      <c r="IL1289" s="97">
        <f t="shared" si="298"/>
        <v>0</v>
      </c>
      <c r="IM1289" s="97">
        <f t="shared" si="299"/>
        <v>0</v>
      </c>
      <c r="IN1289" s="97">
        <f t="shared" si="300"/>
        <v>0</v>
      </c>
      <c r="IO1289" s="97">
        <f t="shared" si="301"/>
        <v>0</v>
      </c>
      <c r="IP1289" s="97">
        <f t="shared" si="302"/>
        <v>0</v>
      </c>
      <c r="IQ1289" s="97">
        <f t="shared" si="303"/>
        <v>0</v>
      </c>
      <c r="IR1289" s="97">
        <f t="shared" si="304"/>
        <v>0</v>
      </c>
      <c r="IS1289" s="97">
        <f t="shared" si="305"/>
        <v>0</v>
      </c>
      <c r="IT1289" s="97">
        <f t="shared" si="306"/>
        <v>0</v>
      </c>
      <c r="IU1289" s="97">
        <f t="shared" si="307"/>
        <v>0</v>
      </c>
      <c r="IV1289" s="97">
        <f t="shared" si="308"/>
        <v>0</v>
      </c>
      <c r="IW1289" s="97">
        <f t="shared" si="309"/>
        <v>0</v>
      </c>
      <c r="IX1289" s="97">
        <f t="shared" si="310"/>
        <v>0</v>
      </c>
      <c r="IY1289" s="97">
        <f t="shared" si="310"/>
        <v>0</v>
      </c>
      <c r="IZ1289" s="97">
        <f t="shared" si="310"/>
        <v>0</v>
      </c>
      <c r="JA1289" s="97">
        <f t="shared" si="311"/>
        <v>0</v>
      </c>
      <c r="JB1289" s="97">
        <f t="shared" si="311"/>
        <v>0</v>
      </c>
      <c r="JC1289" s="97">
        <f t="shared" si="311"/>
        <v>0</v>
      </c>
      <c r="JD1289" s="102"/>
      <c r="JE1289" s="102"/>
      <c r="JF1289" s="102"/>
      <c r="JG1289" s="97">
        <f t="shared" si="312"/>
        <v>0</v>
      </c>
      <c r="JH1289" s="97">
        <f t="shared" si="313"/>
        <v>0</v>
      </c>
      <c r="JI1289" s="97">
        <f t="shared" si="314"/>
        <v>0</v>
      </c>
      <c r="JJ1289" s="97">
        <f t="shared" si="315"/>
        <v>0</v>
      </c>
      <c r="JK1289" s="97">
        <f t="shared" si="316"/>
        <v>0</v>
      </c>
      <c r="JL1289" s="97">
        <f t="shared" si="317"/>
        <v>0</v>
      </c>
      <c r="JM1289" s="97">
        <f t="shared" si="318"/>
        <v>0</v>
      </c>
      <c r="JN1289" s="97">
        <f t="shared" si="319"/>
        <v>0</v>
      </c>
      <c r="JO1289" s="97">
        <f t="shared" si="320"/>
        <v>0</v>
      </c>
      <c r="JP1289" s="97">
        <f t="shared" si="321"/>
        <v>0</v>
      </c>
      <c r="JQ1289" s="97">
        <f t="shared" si="322"/>
        <v>0</v>
      </c>
      <c r="JR1289" s="97">
        <f t="shared" si="323"/>
        <v>0</v>
      </c>
      <c r="JS1289" s="97">
        <f t="shared" si="324"/>
        <v>0</v>
      </c>
      <c r="JT1289" s="97">
        <f t="shared" si="324"/>
        <v>0</v>
      </c>
      <c r="JU1289" s="97">
        <f t="shared" si="324"/>
        <v>0</v>
      </c>
      <c r="JV1289" s="97">
        <f t="shared" si="325"/>
        <v>0</v>
      </c>
      <c r="JW1289" s="97">
        <f t="shared" si="325"/>
        <v>0</v>
      </c>
      <c r="JX1289" s="97">
        <f t="shared" si="325"/>
        <v>0</v>
      </c>
      <c r="JY1289" s="102"/>
      <c r="JZ1289" s="102"/>
      <c r="KA1289" s="102"/>
      <c r="KB1289" s="97">
        <f t="shared" si="326"/>
        <v>0</v>
      </c>
      <c r="KC1289" s="97">
        <f t="shared" si="327"/>
        <v>0</v>
      </c>
      <c r="KD1289" s="97">
        <f t="shared" si="328"/>
        <v>0</v>
      </c>
      <c r="KE1289" s="97">
        <f t="shared" si="329"/>
        <v>0</v>
      </c>
      <c r="KF1289" s="97">
        <f t="shared" si="330"/>
        <v>0</v>
      </c>
      <c r="KG1289" s="97">
        <f t="shared" si="331"/>
        <v>0</v>
      </c>
      <c r="KH1289" s="97">
        <f t="shared" si="332"/>
        <v>0</v>
      </c>
      <c r="KI1289" s="97">
        <f t="shared" si="333"/>
        <v>0</v>
      </c>
      <c r="KJ1289" s="97">
        <f t="shared" si="334"/>
        <v>0</v>
      </c>
      <c r="KK1289" s="97">
        <f t="shared" si="335"/>
        <v>0</v>
      </c>
      <c r="KL1289" s="97">
        <f t="shared" si="336"/>
        <v>0</v>
      </c>
      <c r="KM1289" s="97">
        <f t="shared" si="337"/>
        <v>0</v>
      </c>
      <c r="KN1289" s="97">
        <f t="shared" si="338"/>
        <v>0</v>
      </c>
      <c r="KO1289" s="97">
        <f t="shared" si="338"/>
        <v>0</v>
      </c>
      <c r="KP1289" s="97">
        <f t="shared" si="338"/>
        <v>0</v>
      </c>
      <c r="KQ1289" s="97">
        <f t="shared" si="339"/>
        <v>0</v>
      </c>
      <c r="KR1289" s="97">
        <f t="shared" si="339"/>
        <v>0</v>
      </c>
      <c r="KS1289" s="97">
        <f t="shared" si="339"/>
        <v>0</v>
      </c>
      <c r="KT1289" s="102"/>
      <c r="KU1289" s="102"/>
      <c r="KV1289" s="102"/>
      <c r="KW1289" s="97">
        <f t="shared" si="340"/>
        <v>0</v>
      </c>
      <c r="KX1289" s="97">
        <f t="shared" si="341"/>
        <v>0</v>
      </c>
      <c r="KY1289" s="97">
        <f t="shared" si="342"/>
        <v>0</v>
      </c>
      <c r="KZ1289" s="97">
        <f t="shared" si="343"/>
        <v>0</v>
      </c>
      <c r="LA1289" s="97">
        <f t="shared" si="344"/>
        <v>0</v>
      </c>
      <c r="LB1289" s="97">
        <f t="shared" si="345"/>
        <v>0</v>
      </c>
      <c r="LC1289" s="97">
        <f t="shared" si="346"/>
        <v>0</v>
      </c>
      <c r="LD1289" s="97">
        <f t="shared" si="347"/>
        <v>0</v>
      </c>
      <c r="LE1289" s="97">
        <f t="shared" si="348"/>
        <v>0</v>
      </c>
      <c r="LF1289" s="97">
        <f t="shared" si="349"/>
        <v>0</v>
      </c>
      <c r="LG1289" s="97">
        <f t="shared" si="350"/>
        <v>0</v>
      </c>
      <c r="LH1289" s="97">
        <f t="shared" si="351"/>
        <v>0</v>
      </c>
      <c r="LI1289" s="97">
        <f t="shared" si="352"/>
        <v>0</v>
      </c>
      <c r="LJ1289" s="97">
        <f t="shared" si="352"/>
        <v>0</v>
      </c>
      <c r="LK1289" s="97">
        <f t="shared" si="352"/>
        <v>0</v>
      </c>
      <c r="LL1289" s="97">
        <f t="shared" si="353"/>
        <v>0</v>
      </c>
      <c r="LM1289" s="97">
        <f t="shared" si="353"/>
        <v>0</v>
      </c>
      <c r="LN1289" s="97">
        <f t="shared" si="353"/>
        <v>0</v>
      </c>
      <c r="LO1289" s="102"/>
      <c r="LP1289" s="102"/>
      <c r="LQ1289" s="102"/>
      <c r="LR1289" s="97">
        <f t="shared" si="354"/>
        <v>0</v>
      </c>
      <c r="LS1289" s="97">
        <f t="shared" si="355"/>
        <v>0</v>
      </c>
      <c r="LT1289" s="97">
        <f t="shared" si="356"/>
        <v>0</v>
      </c>
      <c r="LU1289" s="97">
        <f t="shared" si="357"/>
        <v>0</v>
      </c>
      <c r="LV1289" s="97">
        <f t="shared" si="358"/>
        <v>0</v>
      </c>
      <c r="LW1289" s="97">
        <f t="shared" si="359"/>
        <v>0</v>
      </c>
      <c r="LX1289" s="97">
        <f t="shared" si="360"/>
        <v>0</v>
      </c>
      <c r="LY1289" s="97">
        <f t="shared" si="361"/>
        <v>0</v>
      </c>
      <c r="LZ1289" s="97">
        <f t="shared" si="362"/>
        <v>0</v>
      </c>
      <c r="MA1289" s="97">
        <f t="shared" si="363"/>
        <v>0</v>
      </c>
      <c r="MB1289" s="97">
        <f t="shared" si="364"/>
        <v>0</v>
      </c>
      <c r="MC1289" s="97">
        <f t="shared" si="365"/>
        <v>0</v>
      </c>
      <c r="MD1289" s="97">
        <f t="shared" si="366"/>
        <v>0</v>
      </c>
      <c r="ME1289" s="97">
        <f t="shared" si="366"/>
        <v>0</v>
      </c>
      <c r="MF1289" s="97">
        <f t="shared" si="366"/>
        <v>0</v>
      </c>
      <c r="MG1289" s="97">
        <f t="shared" si="367"/>
        <v>0</v>
      </c>
      <c r="MH1289" s="97">
        <f t="shared" si="367"/>
        <v>0</v>
      </c>
      <c r="MI1289" s="97">
        <f t="shared" si="367"/>
        <v>0</v>
      </c>
      <c r="MJ1289" s="102"/>
      <c r="MK1289" s="102"/>
      <c r="ML1289" s="102"/>
      <c r="MM1289" s="97">
        <f t="shared" si="368"/>
        <v>0</v>
      </c>
      <c r="MN1289" s="97">
        <f t="shared" si="369"/>
        <v>0</v>
      </c>
      <c r="MO1289" s="97">
        <f t="shared" si="370"/>
        <v>0</v>
      </c>
      <c r="MP1289" s="97">
        <f t="shared" si="371"/>
        <v>0</v>
      </c>
      <c r="MQ1289" s="97">
        <f t="shared" si="372"/>
        <v>0</v>
      </c>
      <c r="MR1289" s="97">
        <f t="shared" si="373"/>
        <v>0</v>
      </c>
      <c r="MS1289" s="97">
        <f t="shared" si="374"/>
        <v>0</v>
      </c>
      <c r="MT1289" s="97">
        <f t="shared" si="375"/>
        <v>0</v>
      </c>
      <c r="MU1289" s="97">
        <f t="shared" si="376"/>
        <v>0</v>
      </c>
      <c r="MV1289" s="97">
        <f t="shared" si="377"/>
        <v>0</v>
      </c>
      <c r="MW1289" s="97">
        <f t="shared" si="378"/>
        <v>0</v>
      </c>
      <c r="MX1289" s="97">
        <f t="shared" si="379"/>
        <v>0</v>
      </c>
      <c r="MY1289" s="97">
        <f t="shared" si="380"/>
        <v>0</v>
      </c>
      <c r="MZ1289" s="97">
        <f t="shared" si="380"/>
        <v>0</v>
      </c>
      <c r="NA1289" s="97">
        <f t="shared" si="380"/>
        <v>0</v>
      </c>
      <c r="NB1289" s="97">
        <f t="shared" si="381"/>
        <v>0</v>
      </c>
      <c r="NC1289" s="97">
        <f t="shared" si="381"/>
        <v>0</v>
      </c>
      <c r="ND1289" s="97">
        <f t="shared" si="381"/>
        <v>0</v>
      </c>
      <c r="NE1289" s="102"/>
      <c r="NF1289" s="102"/>
      <c r="NG1289" s="102"/>
      <c r="NH1289" s="97">
        <f t="shared" si="382"/>
        <v>0</v>
      </c>
      <c r="NI1289" s="97">
        <f t="shared" si="383"/>
        <v>0</v>
      </c>
      <c r="NJ1289" s="97">
        <f t="shared" si="384"/>
        <v>0</v>
      </c>
      <c r="NK1289" s="97">
        <f t="shared" si="385"/>
        <v>0</v>
      </c>
      <c r="NL1289" s="97">
        <f t="shared" si="386"/>
        <v>0</v>
      </c>
      <c r="NM1289" s="97">
        <f t="shared" si="387"/>
        <v>0</v>
      </c>
      <c r="NN1289" s="97">
        <f t="shared" si="388"/>
        <v>0</v>
      </c>
      <c r="NO1289" s="97">
        <f t="shared" si="389"/>
        <v>0</v>
      </c>
      <c r="NP1289" s="97">
        <f t="shared" si="390"/>
        <v>0</v>
      </c>
      <c r="NQ1289" s="97">
        <f t="shared" si="391"/>
        <v>0</v>
      </c>
      <c r="NR1289" s="97">
        <f t="shared" si="392"/>
        <v>0</v>
      </c>
      <c r="NS1289" s="97">
        <f t="shared" si="393"/>
        <v>0</v>
      </c>
      <c r="NT1289" s="97">
        <f t="shared" si="394"/>
        <v>0</v>
      </c>
      <c r="NU1289" s="97">
        <f t="shared" si="394"/>
        <v>0</v>
      </c>
      <c r="NV1289" s="97">
        <f t="shared" si="394"/>
        <v>0</v>
      </c>
      <c r="NW1289" s="97">
        <f t="shared" si="395"/>
        <v>0</v>
      </c>
      <c r="NX1289" s="97">
        <f t="shared" si="395"/>
        <v>0</v>
      </c>
      <c r="NY1289" s="97">
        <f t="shared" si="395"/>
        <v>0</v>
      </c>
      <c r="NZ1289" s="102"/>
      <c r="OA1289" s="102"/>
      <c r="OB1289" s="102"/>
      <c r="OC1289" s="97">
        <f t="shared" si="396"/>
        <v>0</v>
      </c>
      <c r="OD1289" s="97">
        <f t="shared" si="397"/>
        <v>0</v>
      </c>
      <c r="OE1289" s="97">
        <f t="shared" si="398"/>
        <v>0</v>
      </c>
      <c r="OF1289" s="97">
        <f t="shared" si="399"/>
        <v>0</v>
      </c>
      <c r="OG1289" s="97">
        <f t="shared" si="400"/>
        <v>0</v>
      </c>
      <c r="OH1289" s="97">
        <f t="shared" si="401"/>
        <v>0</v>
      </c>
      <c r="OI1289" s="97">
        <f t="shared" si="402"/>
        <v>0</v>
      </c>
      <c r="OJ1289" s="97">
        <f t="shared" si="403"/>
        <v>0</v>
      </c>
      <c r="OK1289" s="97">
        <f t="shared" si="404"/>
        <v>0</v>
      </c>
      <c r="OL1289" s="97">
        <f t="shared" si="405"/>
        <v>0</v>
      </c>
      <c r="OM1289" s="97">
        <f t="shared" si="406"/>
        <v>0</v>
      </c>
      <c r="ON1289" s="97">
        <f t="shared" si="407"/>
        <v>0</v>
      </c>
      <c r="OO1289" s="97">
        <f t="shared" si="408"/>
        <v>0</v>
      </c>
      <c r="OP1289" s="97">
        <f t="shared" si="408"/>
        <v>0</v>
      </c>
      <c r="OQ1289" s="97">
        <f t="shared" si="408"/>
        <v>0</v>
      </c>
      <c r="OR1289" s="97">
        <f t="shared" si="409"/>
        <v>0</v>
      </c>
      <c r="OS1289" s="97">
        <f t="shared" si="409"/>
        <v>0</v>
      </c>
      <c r="OT1289" s="97">
        <f t="shared" si="409"/>
        <v>0</v>
      </c>
      <c r="OU1289" s="102"/>
      <c r="OV1289" s="102"/>
      <c r="OW1289" s="102"/>
      <c r="OX1289" s="97">
        <f t="shared" si="410"/>
        <v>0</v>
      </c>
      <c r="OY1289" s="97">
        <f t="shared" si="411"/>
        <v>0</v>
      </c>
      <c r="OZ1289" s="97">
        <f t="shared" si="412"/>
        <v>0</v>
      </c>
      <c r="PA1289" s="97">
        <f t="shared" si="413"/>
        <v>0</v>
      </c>
      <c r="PB1289" s="97">
        <f t="shared" si="414"/>
        <v>0</v>
      </c>
      <c r="PC1289" s="97">
        <f t="shared" si="415"/>
        <v>0</v>
      </c>
      <c r="PD1289" s="97">
        <f t="shared" si="416"/>
        <v>0</v>
      </c>
      <c r="PE1289" s="97">
        <f t="shared" si="417"/>
        <v>0</v>
      </c>
      <c r="PF1289" s="97">
        <f t="shared" si="418"/>
        <v>0</v>
      </c>
      <c r="PG1289" s="97">
        <f t="shared" si="419"/>
        <v>0</v>
      </c>
      <c r="PH1289" s="97">
        <f t="shared" si="420"/>
        <v>0</v>
      </c>
      <c r="PI1289" s="97">
        <f t="shared" si="421"/>
        <v>0</v>
      </c>
      <c r="PJ1289" s="97">
        <f t="shared" si="422"/>
        <v>0</v>
      </c>
      <c r="PK1289" s="97">
        <f t="shared" si="422"/>
        <v>0</v>
      </c>
      <c r="PL1289" s="97">
        <f t="shared" si="422"/>
        <v>0</v>
      </c>
      <c r="PM1289" s="97">
        <f t="shared" si="423"/>
        <v>0</v>
      </c>
      <c r="PN1289" s="97">
        <f t="shared" si="423"/>
        <v>0</v>
      </c>
      <c r="PO1289" s="97">
        <f t="shared" si="423"/>
        <v>0</v>
      </c>
      <c r="PP1289" s="102"/>
      <c r="PQ1289" s="102"/>
      <c r="PR1289" s="102"/>
      <c r="PS1289" s="97">
        <f t="shared" si="424"/>
        <v>0</v>
      </c>
      <c r="PT1289" s="97">
        <f t="shared" si="425"/>
        <v>0</v>
      </c>
      <c r="PU1289" s="97">
        <f t="shared" si="426"/>
        <v>0</v>
      </c>
      <c r="PV1289" s="97">
        <f t="shared" si="427"/>
        <v>0</v>
      </c>
      <c r="PW1289" s="97">
        <f t="shared" si="428"/>
        <v>0</v>
      </c>
      <c r="PX1289" s="97">
        <f t="shared" si="429"/>
        <v>0</v>
      </c>
      <c r="PY1289" s="97">
        <f t="shared" si="430"/>
        <v>0</v>
      </c>
      <c r="PZ1289" s="97">
        <f t="shared" si="431"/>
        <v>0</v>
      </c>
      <c r="QA1289" s="97">
        <f t="shared" si="432"/>
        <v>0</v>
      </c>
      <c r="QB1289" s="97">
        <f t="shared" si="433"/>
        <v>0</v>
      </c>
      <c r="QC1289" s="97">
        <f t="shared" si="434"/>
        <v>0</v>
      </c>
      <c r="QD1289" s="97">
        <f t="shared" si="435"/>
        <v>0</v>
      </c>
      <c r="QE1289" s="97">
        <f t="shared" si="436"/>
        <v>0</v>
      </c>
      <c r="QF1289" s="97">
        <f t="shared" si="436"/>
        <v>0</v>
      </c>
      <c r="QG1289" s="97">
        <f t="shared" si="436"/>
        <v>0</v>
      </c>
      <c r="QH1289" s="97">
        <f t="shared" si="437"/>
        <v>0</v>
      </c>
      <c r="QI1289" s="97">
        <f t="shared" si="437"/>
        <v>0</v>
      </c>
      <c r="QJ1289" s="97">
        <f t="shared" si="437"/>
        <v>0</v>
      </c>
      <c r="QK1289" s="102"/>
      <c r="QL1289" s="102"/>
      <c r="QM1289" s="102"/>
      <c r="QN1289" s="97">
        <f t="shared" si="438"/>
        <v>0</v>
      </c>
      <c r="QO1289" s="97">
        <f t="shared" si="439"/>
        <v>0</v>
      </c>
      <c r="QP1289" s="97">
        <f t="shared" si="440"/>
        <v>0</v>
      </c>
      <c r="QQ1289" s="97">
        <f t="shared" si="441"/>
        <v>0</v>
      </c>
      <c r="QR1289" s="97">
        <f t="shared" si="442"/>
        <v>0</v>
      </c>
      <c r="QS1289" s="97">
        <f t="shared" si="443"/>
        <v>0</v>
      </c>
      <c r="QT1289" s="97">
        <f t="shared" si="444"/>
        <v>0</v>
      </c>
      <c r="QU1289" s="97">
        <f t="shared" si="445"/>
        <v>0</v>
      </c>
      <c r="QV1289" s="97">
        <f t="shared" si="446"/>
        <v>0</v>
      </c>
      <c r="QW1289" s="97">
        <f t="shared" si="447"/>
        <v>0</v>
      </c>
      <c r="QX1289" s="97">
        <f t="shared" si="448"/>
        <v>0</v>
      </c>
      <c r="QY1289" s="97">
        <f t="shared" si="449"/>
        <v>0</v>
      </c>
      <c r="QZ1289" s="97">
        <f t="shared" si="450"/>
        <v>0</v>
      </c>
      <c r="RA1289" s="97">
        <f t="shared" si="450"/>
        <v>0</v>
      </c>
      <c r="RB1289" s="97">
        <f t="shared" si="450"/>
        <v>0</v>
      </c>
      <c r="RC1289" s="97">
        <f t="shared" si="451"/>
        <v>0</v>
      </c>
      <c r="RD1289" s="97">
        <f t="shared" si="451"/>
        <v>0</v>
      </c>
      <c r="RE1289" s="97">
        <f t="shared" si="451"/>
        <v>0</v>
      </c>
      <c r="RF1289" s="102"/>
      <c r="RG1289" s="102"/>
      <c r="RH1289" s="102"/>
      <c r="RI1289" s="97">
        <f t="shared" si="452"/>
        <v>0</v>
      </c>
      <c r="RJ1289" s="97">
        <f t="shared" si="453"/>
        <v>0</v>
      </c>
      <c r="RK1289" s="97">
        <f t="shared" si="454"/>
        <v>0</v>
      </c>
      <c r="RL1289" s="97">
        <f t="shared" si="455"/>
        <v>0</v>
      </c>
      <c r="RM1289" s="97">
        <f t="shared" si="456"/>
        <v>0</v>
      </c>
      <c r="RN1289" s="97">
        <f t="shared" si="457"/>
        <v>0</v>
      </c>
      <c r="RO1289" s="97">
        <f t="shared" si="458"/>
        <v>0</v>
      </c>
      <c r="RP1289" s="97">
        <f t="shared" si="459"/>
        <v>0</v>
      </c>
      <c r="RQ1289" s="97">
        <f t="shared" si="460"/>
        <v>0</v>
      </c>
      <c r="RR1289" s="97">
        <f t="shared" si="461"/>
        <v>0</v>
      </c>
      <c r="RS1289" s="97">
        <f t="shared" si="462"/>
        <v>0</v>
      </c>
      <c r="RT1289" s="97">
        <f t="shared" si="463"/>
        <v>0</v>
      </c>
      <c r="RU1289" s="97">
        <f t="shared" si="464"/>
        <v>0</v>
      </c>
      <c r="RV1289" s="97">
        <f t="shared" si="464"/>
        <v>0</v>
      </c>
      <c r="RW1289" s="97">
        <f t="shared" si="464"/>
        <v>0</v>
      </c>
      <c r="RX1289" s="97">
        <f t="shared" si="465"/>
        <v>0</v>
      </c>
      <c r="RY1289" s="97">
        <f t="shared" si="465"/>
        <v>0</v>
      </c>
      <c r="RZ1289" s="97">
        <f t="shared" si="465"/>
        <v>0</v>
      </c>
      <c r="SA1289" s="102"/>
      <c r="SB1289" s="102"/>
      <c r="SC1289" s="102"/>
      <c r="SD1289" s="97">
        <f t="shared" si="466"/>
        <v>0</v>
      </c>
      <c r="SE1289" s="97">
        <f t="shared" si="467"/>
        <v>0</v>
      </c>
      <c r="SF1289" s="97">
        <f t="shared" si="468"/>
        <v>0</v>
      </c>
      <c r="SG1289" s="97">
        <f t="shared" si="469"/>
        <v>0</v>
      </c>
      <c r="SH1289" s="97">
        <f t="shared" si="470"/>
        <v>0</v>
      </c>
      <c r="SI1289" s="97">
        <f t="shared" si="471"/>
        <v>0</v>
      </c>
      <c r="SJ1289" s="97">
        <f t="shared" si="472"/>
        <v>0</v>
      </c>
      <c r="SK1289" s="97">
        <f t="shared" si="473"/>
        <v>0</v>
      </c>
      <c r="SL1289" s="97">
        <f t="shared" si="474"/>
        <v>0</v>
      </c>
      <c r="SM1289" s="97">
        <f t="shared" si="475"/>
        <v>0</v>
      </c>
      <c r="SN1289" s="97">
        <f t="shared" si="476"/>
        <v>0</v>
      </c>
      <c r="SO1289" s="97">
        <f t="shared" si="477"/>
        <v>0</v>
      </c>
      <c r="SP1289" s="97">
        <f t="shared" si="478"/>
        <v>0</v>
      </c>
      <c r="SQ1289" s="97">
        <f t="shared" si="478"/>
        <v>0</v>
      </c>
      <c r="SR1289" s="97">
        <f t="shared" si="478"/>
        <v>0</v>
      </c>
      <c r="SS1289" s="97">
        <f t="shared" si="479"/>
        <v>0</v>
      </c>
      <c r="ST1289" s="97">
        <f t="shared" si="479"/>
        <v>0</v>
      </c>
      <c r="SU1289" s="97">
        <f t="shared" si="479"/>
        <v>0</v>
      </c>
      <c r="SV1289" s="102"/>
      <c r="SW1289" s="102"/>
      <c r="SX1289" s="102"/>
      <c r="SY1289" s="97">
        <f t="shared" si="480"/>
        <v>0</v>
      </c>
      <c r="SZ1289" s="97">
        <f t="shared" si="481"/>
        <v>0</v>
      </c>
      <c r="TA1289" s="97">
        <f t="shared" si="482"/>
        <v>0</v>
      </c>
      <c r="TB1289" s="97">
        <f t="shared" si="483"/>
        <v>0</v>
      </c>
      <c r="TC1289" s="97">
        <f t="shared" si="484"/>
        <v>0</v>
      </c>
      <c r="TD1289" s="97">
        <f t="shared" si="485"/>
        <v>0</v>
      </c>
      <c r="TE1289" s="97">
        <f t="shared" si="486"/>
        <v>0</v>
      </c>
      <c r="TF1289" s="97">
        <f t="shared" si="487"/>
        <v>0</v>
      </c>
      <c r="TG1289" s="97">
        <f t="shared" si="488"/>
        <v>0</v>
      </c>
      <c r="TH1289" s="97">
        <f t="shared" si="489"/>
        <v>0</v>
      </c>
      <c r="TI1289" s="97">
        <f t="shared" si="490"/>
        <v>0</v>
      </c>
      <c r="TJ1289" s="97">
        <f t="shared" si="491"/>
        <v>0</v>
      </c>
      <c r="TK1289" s="97">
        <f t="shared" si="492"/>
        <v>0</v>
      </c>
      <c r="TL1289" s="97">
        <f t="shared" si="492"/>
        <v>0</v>
      </c>
      <c r="TM1289" s="97">
        <f t="shared" si="492"/>
        <v>0</v>
      </c>
      <c r="TN1289" s="97">
        <f t="shared" si="493"/>
        <v>0</v>
      </c>
      <c r="TO1289" s="97">
        <f t="shared" si="493"/>
        <v>0</v>
      </c>
      <c r="TP1289" s="97">
        <f t="shared" si="493"/>
        <v>0</v>
      </c>
      <c r="TQ1289" s="102"/>
      <c r="TR1289" s="102"/>
      <c r="TS1289" s="102"/>
      <c r="TT1289" s="97">
        <f t="shared" si="494"/>
        <v>0</v>
      </c>
      <c r="TU1289" s="97">
        <f t="shared" si="495"/>
        <v>0</v>
      </c>
      <c r="TV1289" s="97">
        <f t="shared" si="496"/>
        <v>0</v>
      </c>
      <c r="TW1289" s="97">
        <f t="shared" si="497"/>
        <v>0</v>
      </c>
      <c r="TX1289" s="97">
        <f t="shared" si="498"/>
        <v>0</v>
      </c>
      <c r="TY1289" s="97">
        <f t="shared" si="499"/>
        <v>0</v>
      </c>
      <c r="TZ1289" s="97">
        <f t="shared" si="500"/>
        <v>0</v>
      </c>
      <c r="UA1289" s="97">
        <f t="shared" si="501"/>
        <v>0</v>
      </c>
      <c r="UB1289" s="97">
        <f t="shared" si="502"/>
        <v>0</v>
      </c>
      <c r="UC1289" s="97">
        <f t="shared" si="503"/>
        <v>0</v>
      </c>
      <c r="UD1289" s="97">
        <f t="shared" si="504"/>
        <v>0</v>
      </c>
      <c r="UE1289" s="97">
        <f t="shared" si="505"/>
        <v>0</v>
      </c>
      <c r="UF1289" s="97">
        <f t="shared" si="506"/>
        <v>0</v>
      </c>
      <c r="UG1289" s="97">
        <f t="shared" si="506"/>
        <v>0</v>
      </c>
      <c r="UH1289" s="97">
        <f t="shared" si="506"/>
        <v>0</v>
      </c>
      <c r="UI1289" s="97">
        <f t="shared" si="507"/>
        <v>0</v>
      </c>
      <c r="UJ1289" s="97">
        <f t="shared" si="507"/>
        <v>0</v>
      </c>
      <c r="UK1289" s="97">
        <f t="shared" si="507"/>
        <v>0</v>
      </c>
      <c r="UL1289" s="102"/>
      <c r="UM1289" s="102"/>
      <c r="UN1289" s="102"/>
      <c r="UO1289" s="97">
        <f t="shared" si="508"/>
        <v>0</v>
      </c>
      <c r="UP1289" s="97">
        <f t="shared" si="509"/>
        <v>0</v>
      </c>
      <c r="UQ1289" s="97">
        <f t="shared" si="510"/>
        <v>0</v>
      </c>
      <c r="UR1289" s="97">
        <f t="shared" si="511"/>
        <v>0</v>
      </c>
      <c r="US1289" s="97">
        <f t="shared" si="512"/>
        <v>0</v>
      </c>
      <c r="UT1289" s="97">
        <f t="shared" si="513"/>
        <v>0</v>
      </c>
      <c r="UU1289" s="97">
        <f t="shared" si="514"/>
        <v>191733.39</v>
      </c>
      <c r="UV1289" s="97">
        <f t="shared" si="515"/>
        <v>202056.06</v>
      </c>
      <c r="UW1289" s="97">
        <f t="shared" si="516"/>
        <v>210315.04</v>
      </c>
      <c r="UX1289" s="97">
        <f t="shared" si="517"/>
        <v>30365.98</v>
      </c>
      <c r="UY1289" s="97">
        <f t="shared" si="518"/>
        <v>32124.31</v>
      </c>
      <c r="UZ1289" s="97">
        <f t="shared" si="519"/>
        <v>34236.57</v>
      </c>
      <c r="VA1289" s="97">
        <f t="shared" si="520"/>
        <v>0</v>
      </c>
      <c r="VB1289" s="97">
        <f t="shared" si="520"/>
        <v>0</v>
      </c>
      <c r="VC1289" s="97">
        <f t="shared" si="520"/>
        <v>0</v>
      </c>
      <c r="VD1289" s="97">
        <f t="shared" si="521"/>
        <v>0</v>
      </c>
      <c r="VE1289" s="97">
        <f t="shared" si="521"/>
        <v>0</v>
      </c>
      <c r="VF1289" s="97">
        <f t="shared" si="521"/>
        <v>0</v>
      </c>
      <c r="VG1289" s="102"/>
      <c r="VH1289" s="102"/>
      <c r="VI1289" s="102"/>
      <c r="VJ1289" s="97">
        <f t="shared" si="522"/>
        <v>0</v>
      </c>
      <c r="VK1289" s="97">
        <f t="shared" si="523"/>
        <v>0</v>
      </c>
      <c r="VL1289" s="97">
        <f t="shared" si="524"/>
        <v>0</v>
      </c>
      <c r="VM1289" s="97">
        <f t="shared" si="525"/>
        <v>0</v>
      </c>
      <c r="VN1289" s="97">
        <f t="shared" si="526"/>
        <v>0</v>
      </c>
      <c r="VO1289" s="97">
        <f t="shared" si="527"/>
        <v>0</v>
      </c>
      <c r="VP1289" s="97">
        <f t="shared" si="528"/>
        <v>0</v>
      </c>
      <c r="VQ1289" s="97">
        <f t="shared" si="529"/>
        <v>0</v>
      </c>
      <c r="VR1289" s="97">
        <f t="shared" si="530"/>
        <v>0</v>
      </c>
      <c r="VS1289" s="97">
        <f t="shared" si="531"/>
        <v>0</v>
      </c>
      <c r="VT1289" s="97">
        <f t="shared" si="532"/>
        <v>0</v>
      </c>
      <c r="VU1289" s="97">
        <f t="shared" si="533"/>
        <v>0</v>
      </c>
      <c r="VV1289" s="97">
        <f t="shared" si="534"/>
        <v>0</v>
      </c>
      <c r="VW1289" s="97">
        <f t="shared" si="534"/>
        <v>0</v>
      </c>
      <c r="VX1289" s="97">
        <f t="shared" si="534"/>
        <v>0</v>
      </c>
      <c r="VY1289" s="97">
        <f t="shared" si="535"/>
        <v>0</v>
      </c>
      <c r="VZ1289" s="97">
        <f t="shared" si="535"/>
        <v>0</v>
      </c>
      <c r="WA1289" s="97">
        <f t="shared" si="535"/>
        <v>0</v>
      </c>
      <c r="WB1289" s="102"/>
      <c r="WC1289" s="102"/>
      <c r="WD1289" s="102"/>
      <c r="WE1289" s="97">
        <f t="shared" si="536"/>
        <v>0</v>
      </c>
      <c r="WF1289" s="97">
        <f t="shared" si="537"/>
        <v>0</v>
      </c>
      <c r="WG1289" s="97">
        <f t="shared" si="538"/>
        <v>0</v>
      </c>
      <c r="WH1289" s="97">
        <f t="shared" si="539"/>
        <v>0</v>
      </c>
      <c r="WI1289" s="97">
        <f t="shared" si="540"/>
        <v>0</v>
      </c>
      <c r="WJ1289" s="97">
        <f t="shared" si="541"/>
        <v>0</v>
      </c>
      <c r="WK1289" s="97">
        <f t="shared" si="542"/>
        <v>0</v>
      </c>
      <c r="WL1289" s="97">
        <f t="shared" si="543"/>
        <v>0</v>
      </c>
      <c r="WM1289" s="97">
        <f t="shared" si="544"/>
        <v>0</v>
      </c>
      <c r="WN1289" s="97">
        <f t="shared" si="545"/>
        <v>0</v>
      </c>
      <c r="WO1289" s="97">
        <f t="shared" si="546"/>
        <v>0</v>
      </c>
      <c r="WP1289" s="97">
        <f t="shared" si="547"/>
        <v>0</v>
      </c>
      <c r="WQ1289" s="97">
        <f t="shared" si="548"/>
        <v>0</v>
      </c>
      <c r="WR1289" s="97">
        <f t="shared" si="548"/>
        <v>0</v>
      </c>
      <c r="WS1289" s="97">
        <f t="shared" si="548"/>
        <v>0</v>
      </c>
      <c r="WT1289" s="97">
        <f t="shared" si="549"/>
        <v>0</v>
      </c>
      <c r="WU1289" s="97">
        <f t="shared" si="549"/>
        <v>0</v>
      </c>
      <c r="WV1289" s="97">
        <f t="shared" si="549"/>
        <v>0</v>
      </c>
      <c r="WW1289" s="102"/>
      <c r="WX1289" s="102"/>
      <c r="WY1289" s="102"/>
      <c r="WZ1289" s="97">
        <f t="shared" si="550"/>
        <v>0</v>
      </c>
      <c r="XA1289" s="97">
        <f t="shared" si="551"/>
        <v>0</v>
      </c>
      <c r="XB1289" s="97">
        <f t="shared" si="552"/>
        <v>0</v>
      </c>
      <c r="XC1289" s="97">
        <f t="shared" si="553"/>
        <v>0</v>
      </c>
      <c r="XD1289" s="97">
        <f t="shared" si="554"/>
        <v>0</v>
      </c>
      <c r="XE1289" s="97">
        <f t="shared" si="555"/>
        <v>0</v>
      </c>
      <c r="XF1289" s="97">
        <f t="shared" si="556"/>
        <v>0</v>
      </c>
      <c r="XG1289" s="97">
        <f t="shared" si="557"/>
        <v>0</v>
      </c>
      <c r="XH1289" s="97">
        <f t="shared" si="558"/>
        <v>0</v>
      </c>
      <c r="XI1289" s="97">
        <f t="shared" si="559"/>
        <v>0</v>
      </c>
      <c r="XJ1289" s="97">
        <f t="shared" si="560"/>
        <v>0</v>
      </c>
      <c r="XK1289" s="97">
        <f t="shared" si="561"/>
        <v>0</v>
      </c>
      <c r="XL1289" s="97">
        <f t="shared" si="562"/>
        <v>0</v>
      </c>
      <c r="XM1289" s="97">
        <f t="shared" si="562"/>
        <v>0</v>
      </c>
      <c r="XN1289" s="97">
        <f t="shared" si="562"/>
        <v>0</v>
      </c>
      <c r="XO1289" s="97">
        <f t="shared" si="563"/>
        <v>0</v>
      </c>
      <c r="XP1289" s="97">
        <f t="shared" si="563"/>
        <v>0</v>
      </c>
      <c r="XQ1289" s="97">
        <f t="shared" si="563"/>
        <v>0</v>
      </c>
      <c r="XR1289" s="102"/>
      <c r="XS1289" s="102"/>
      <c r="XT1289" s="102"/>
      <c r="XU1289" s="97">
        <f t="shared" si="564"/>
        <v>0</v>
      </c>
      <c r="XV1289" s="97">
        <f t="shared" si="565"/>
        <v>0</v>
      </c>
      <c r="XW1289" s="97">
        <f t="shared" si="566"/>
        <v>0</v>
      </c>
      <c r="XX1289" s="97">
        <f t="shared" si="567"/>
        <v>0</v>
      </c>
      <c r="XY1289" s="97">
        <f t="shared" si="568"/>
        <v>0</v>
      </c>
      <c r="XZ1289" s="97">
        <f t="shared" si="569"/>
        <v>0</v>
      </c>
      <c r="YA1289" s="97">
        <f t="shared" si="570"/>
        <v>0</v>
      </c>
      <c r="YB1289" s="97">
        <f t="shared" si="571"/>
        <v>0</v>
      </c>
      <c r="YC1289" s="97">
        <f t="shared" si="572"/>
        <v>0</v>
      </c>
      <c r="YD1289" s="97">
        <f t="shared" si="573"/>
        <v>0</v>
      </c>
      <c r="YE1289" s="97">
        <f t="shared" si="574"/>
        <v>0</v>
      </c>
      <c r="YF1289" s="97">
        <f t="shared" si="575"/>
        <v>0</v>
      </c>
      <c r="YG1289" s="97">
        <f t="shared" si="576"/>
        <v>0</v>
      </c>
      <c r="YH1289" s="97">
        <f t="shared" si="576"/>
        <v>0</v>
      </c>
      <c r="YI1289" s="97">
        <f t="shared" si="576"/>
        <v>0</v>
      </c>
      <c r="YJ1289" s="97">
        <f t="shared" si="577"/>
        <v>0</v>
      </c>
      <c r="YK1289" s="97">
        <f t="shared" si="577"/>
        <v>0</v>
      </c>
      <c r="YL1289" s="97">
        <f t="shared" si="577"/>
        <v>0</v>
      </c>
      <c r="YM1289" s="145">
        <f t="shared" si="601"/>
        <v>0</v>
      </c>
      <c r="YN1289" s="145">
        <f t="shared" si="578"/>
        <v>0</v>
      </c>
      <c r="YO1289" s="145">
        <f t="shared" si="578"/>
        <v>0</v>
      </c>
      <c r="YP1289" s="97">
        <f t="shared" si="579"/>
        <v>0</v>
      </c>
      <c r="YQ1289" s="97">
        <f t="shared" si="580"/>
        <v>0</v>
      </c>
      <c r="YR1289" s="97">
        <f t="shared" si="581"/>
        <v>0</v>
      </c>
      <c r="YS1289" s="97">
        <f t="shared" si="582"/>
        <v>0</v>
      </c>
      <c r="YT1289" s="97">
        <f t="shared" si="583"/>
        <v>0</v>
      </c>
      <c r="YU1289" s="97">
        <f t="shared" si="584"/>
        <v>0</v>
      </c>
      <c r="YV1289" s="97">
        <f t="shared" si="585"/>
        <v>191733.39</v>
      </c>
      <c r="YW1289" s="97">
        <f t="shared" si="586"/>
        <v>202056.06</v>
      </c>
      <c r="YX1289" s="97">
        <f t="shared" si="587"/>
        <v>210315.04</v>
      </c>
      <c r="YY1289" s="97">
        <f t="shared" si="588"/>
        <v>30365.98</v>
      </c>
      <c r="YZ1289" s="97">
        <f t="shared" si="589"/>
        <v>32124.31</v>
      </c>
      <c r="ZA1289" s="97">
        <f t="shared" si="590"/>
        <v>34236.57</v>
      </c>
      <c r="ZB1289" s="97">
        <f t="shared" si="591"/>
        <v>0</v>
      </c>
      <c r="ZC1289" s="97">
        <f t="shared" si="591"/>
        <v>0</v>
      </c>
      <c r="ZD1289" s="97">
        <f t="shared" si="591"/>
        <v>0</v>
      </c>
      <c r="ZE1289" s="97">
        <f t="shared" si="592"/>
        <v>0</v>
      </c>
      <c r="ZF1289" s="97">
        <f t="shared" si="592"/>
        <v>0</v>
      </c>
      <c r="ZG1289" s="97">
        <f t="shared" si="592"/>
        <v>0</v>
      </c>
    </row>
    <row r="1290" spans="1:683" ht="24" hidden="1" x14ac:dyDescent="0.25">
      <c r="A1290" s="92" t="s">
        <v>423</v>
      </c>
      <c r="B1290" s="174" t="s">
        <v>427</v>
      </c>
      <c r="C1290" s="5"/>
      <c r="D1290" s="340"/>
      <c r="E1290" s="163"/>
      <c r="F1290" s="110">
        <f t="shared" si="148"/>
        <v>90825</v>
      </c>
      <c r="G1290" s="110">
        <f t="shared" si="148"/>
        <v>93063</v>
      </c>
      <c r="H1290" s="110">
        <f t="shared" si="148"/>
        <v>96098</v>
      </c>
      <c r="I1290" s="97">
        <f t="shared" si="149"/>
        <v>83788</v>
      </c>
      <c r="J1290" s="97">
        <f t="shared" si="149"/>
        <v>86822</v>
      </c>
      <c r="K1290" s="97">
        <f t="shared" si="149"/>
        <v>89098</v>
      </c>
      <c r="L1290" s="102"/>
      <c r="M1290" s="102"/>
      <c r="N1290" s="102"/>
      <c r="O1290" s="97">
        <f t="shared" si="593"/>
        <v>0</v>
      </c>
      <c r="P1290" s="97">
        <f t="shared" si="594"/>
        <v>0</v>
      </c>
      <c r="Q1290" s="97">
        <f t="shared" si="595"/>
        <v>0</v>
      </c>
      <c r="R1290" s="97">
        <f t="shared" si="596"/>
        <v>0</v>
      </c>
      <c r="S1290" s="97">
        <f t="shared" si="597"/>
        <v>0</v>
      </c>
      <c r="T1290" s="97">
        <f t="shared" si="598"/>
        <v>0</v>
      </c>
      <c r="U1290" s="97">
        <f t="shared" si="150"/>
        <v>0</v>
      </c>
      <c r="V1290" s="97">
        <f t="shared" si="151"/>
        <v>0</v>
      </c>
      <c r="W1290" s="97">
        <f t="shared" si="152"/>
        <v>0</v>
      </c>
      <c r="X1290" s="97">
        <f t="shared" si="153"/>
        <v>0</v>
      </c>
      <c r="Y1290" s="97">
        <f t="shared" si="154"/>
        <v>0</v>
      </c>
      <c r="Z1290" s="97">
        <f t="shared" si="155"/>
        <v>0</v>
      </c>
      <c r="AA1290" s="97">
        <f t="shared" si="599"/>
        <v>0</v>
      </c>
      <c r="AB1290" s="97">
        <f t="shared" si="156"/>
        <v>0</v>
      </c>
      <c r="AC1290" s="97">
        <f t="shared" si="156"/>
        <v>0</v>
      </c>
      <c r="AD1290" s="97">
        <f t="shared" si="600"/>
        <v>0</v>
      </c>
      <c r="AE1290" s="97">
        <f t="shared" si="157"/>
        <v>0</v>
      </c>
      <c r="AF1290" s="97">
        <f t="shared" si="157"/>
        <v>0</v>
      </c>
      <c r="AG1290" s="102"/>
      <c r="AH1290" s="102"/>
      <c r="AI1290" s="102"/>
      <c r="AJ1290" s="97">
        <f t="shared" si="158"/>
        <v>0</v>
      </c>
      <c r="AK1290" s="97">
        <f t="shared" si="159"/>
        <v>0</v>
      </c>
      <c r="AL1290" s="97">
        <f t="shared" si="160"/>
        <v>0</v>
      </c>
      <c r="AM1290" s="97">
        <f t="shared" si="161"/>
        <v>0</v>
      </c>
      <c r="AN1290" s="97">
        <f t="shared" si="162"/>
        <v>0</v>
      </c>
      <c r="AO1290" s="97">
        <f t="shared" si="163"/>
        <v>0</v>
      </c>
      <c r="AP1290" s="97">
        <f t="shared" si="164"/>
        <v>0</v>
      </c>
      <c r="AQ1290" s="97">
        <f t="shared" si="165"/>
        <v>0</v>
      </c>
      <c r="AR1290" s="97">
        <f t="shared" si="166"/>
        <v>0</v>
      </c>
      <c r="AS1290" s="97">
        <f t="shared" si="167"/>
        <v>0</v>
      </c>
      <c r="AT1290" s="97">
        <f t="shared" si="168"/>
        <v>0</v>
      </c>
      <c r="AU1290" s="97">
        <f t="shared" si="169"/>
        <v>0</v>
      </c>
      <c r="AV1290" s="97">
        <f t="shared" si="170"/>
        <v>0</v>
      </c>
      <c r="AW1290" s="97">
        <f t="shared" si="170"/>
        <v>0</v>
      </c>
      <c r="AX1290" s="97">
        <f t="shared" si="170"/>
        <v>0</v>
      </c>
      <c r="AY1290" s="97">
        <f t="shared" si="171"/>
        <v>0</v>
      </c>
      <c r="AZ1290" s="97">
        <f t="shared" si="171"/>
        <v>0</v>
      </c>
      <c r="BA1290" s="97">
        <f t="shared" si="171"/>
        <v>0</v>
      </c>
      <c r="BB1290" s="102"/>
      <c r="BC1290" s="102"/>
      <c r="BD1290" s="102"/>
      <c r="BE1290" s="97">
        <f t="shared" si="172"/>
        <v>0</v>
      </c>
      <c r="BF1290" s="97">
        <f t="shared" si="173"/>
        <v>0</v>
      </c>
      <c r="BG1290" s="97">
        <f t="shared" si="174"/>
        <v>0</v>
      </c>
      <c r="BH1290" s="97">
        <f t="shared" si="175"/>
        <v>0</v>
      </c>
      <c r="BI1290" s="97">
        <f t="shared" si="176"/>
        <v>0</v>
      </c>
      <c r="BJ1290" s="97">
        <f t="shared" si="177"/>
        <v>0</v>
      </c>
      <c r="BK1290" s="97">
        <f t="shared" si="178"/>
        <v>0</v>
      </c>
      <c r="BL1290" s="97">
        <f t="shared" si="179"/>
        <v>0</v>
      </c>
      <c r="BM1290" s="97">
        <f t="shared" si="180"/>
        <v>0</v>
      </c>
      <c r="BN1290" s="97">
        <f t="shared" si="181"/>
        <v>0</v>
      </c>
      <c r="BO1290" s="97">
        <f t="shared" si="182"/>
        <v>0</v>
      </c>
      <c r="BP1290" s="97">
        <f t="shared" si="183"/>
        <v>0</v>
      </c>
      <c r="BQ1290" s="97">
        <f t="shared" si="184"/>
        <v>0</v>
      </c>
      <c r="BR1290" s="97">
        <f t="shared" si="184"/>
        <v>0</v>
      </c>
      <c r="BS1290" s="97">
        <f t="shared" si="184"/>
        <v>0</v>
      </c>
      <c r="BT1290" s="97">
        <f t="shared" si="185"/>
        <v>0</v>
      </c>
      <c r="BU1290" s="97">
        <f t="shared" si="185"/>
        <v>0</v>
      </c>
      <c r="BV1290" s="97">
        <f t="shared" si="185"/>
        <v>0</v>
      </c>
      <c r="BW1290" s="102"/>
      <c r="BX1290" s="102"/>
      <c r="BY1290" s="102"/>
      <c r="BZ1290" s="97">
        <f t="shared" si="186"/>
        <v>0</v>
      </c>
      <c r="CA1290" s="97">
        <f t="shared" si="187"/>
        <v>0</v>
      </c>
      <c r="CB1290" s="97">
        <f t="shared" si="188"/>
        <v>0</v>
      </c>
      <c r="CC1290" s="97">
        <f t="shared" si="189"/>
        <v>0</v>
      </c>
      <c r="CD1290" s="97">
        <f t="shared" si="190"/>
        <v>0</v>
      </c>
      <c r="CE1290" s="97">
        <f t="shared" si="191"/>
        <v>0</v>
      </c>
      <c r="CF1290" s="97">
        <f t="shared" si="192"/>
        <v>0</v>
      </c>
      <c r="CG1290" s="97">
        <f t="shared" si="193"/>
        <v>0</v>
      </c>
      <c r="CH1290" s="97">
        <f t="shared" si="194"/>
        <v>0</v>
      </c>
      <c r="CI1290" s="97">
        <f t="shared" si="195"/>
        <v>0</v>
      </c>
      <c r="CJ1290" s="97">
        <f t="shared" si="196"/>
        <v>0</v>
      </c>
      <c r="CK1290" s="97">
        <f t="shared" si="197"/>
        <v>0</v>
      </c>
      <c r="CL1290" s="97">
        <f t="shared" si="198"/>
        <v>0</v>
      </c>
      <c r="CM1290" s="97">
        <f t="shared" si="198"/>
        <v>0</v>
      </c>
      <c r="CN1290" s="97">
        <f t="shared" si="198"/>
        <v>0</v>
      </c>
      <c r="CO1290" s="97">
        <f t="shared" si="199"/>
        <v>0</v>
      </c>
      <c r="CP1290" s="97">
        <f t="shared" si="199"/>
        <v>0</v>
      </c>
      <c r="CQ1290" s="97">
        <f t="shared" si="199"/>
        <v>0</v>
      </c>
      <c r="CR1290" s="102"/>
      <c r="CS1290" s="102"/>
      <c r="CT1290" s="102"/>
      <c r="CU1290" s="97">
        <f t="shared" si="200"/>
        <v>0</v>
      </c>
      <c r="CV1290" s="97">
        <f t="shared" si="201"/>
        <v>0</v>
      </c>
      <c r="CW1290" s="97">
        <f t="shared" si="202"/>
        <v>0</v>
      </c>
      <c r="CX1290" s="97">
        <f t="shared" si="203"/>
        <v>0</v>
      </c>
      <c r="CY1290" s="97">
        <f t="shared" si="204"/>
        <v>0</v>
      </c>
      <c r="CZ1290" s="97">
        <f t="shared" si="205"/>
        <v>0</v>
      </c>
      <c r="DA1290" s="97">
        <f t="shared" si="206"/>
        <v>0</v>
      </c>
      <c r="DB1290" s="97">
        <f t="shared" si="207"/>
        <v>0</v>
      </c>
      <c r="DC1290" s="97">
        <f t="shared" si="208"/>
        <v>0</v>
      </c>
      <c r="DD1290" s="97">
        <f t="shared" si="209"/>
        <v>0</v>
      </c>
      <c r="DE1290" s="97">
        <f t="shared" si="210"/>
        <v>0</v>
      </c>
      <c r="DF1290" s="97">
        <f t="shared" si="211"/>
        <v>0</v>
      </c>
      <c r="DG1290" s="97">
        <f t="shared" si="212"/>
        <v>0</v>
      </c>
      <c r="DH1290" s="97">
        <f t="shared" si="212"/>
        <v>0</v>
      </c>
      <c r="DI1290" s="97">
        <f t="shared" si="212"/>
        <v>0</v>
      </c>
      <c r="DJ1290" s="97">
        <f t="shared" si="213"/>
        <v>0</v>
      </c>
      <c r="DK1290" s="97">
        <f t="shared" si="213"/>
        <v>0</v>
      </c>
      <c r="DL1290" s="97">
        <f t="shared" si="213"/>
        <v>0</v>
      </c>
      <c r="DM1290" s="102"/>
      <c r="DN1290" s="102"/>
      <c r="DO1290" s="102"/>
      <c r="DP1290" s="97">
        <f t="shared" si="214"/>
        <v>0</v>
      </c>
      <c r="DQ1290" s="97">
        <f t="shared" si="215"/>
        <v>0</v>
      </c>
      <c r="DR1290" s="97">
        <f t="shared" si="216"/>
        <v>0</v>
      </c>
      <c r="DS1290" s="97">
        <f t="shared" si="217"/>
        <v>0</v>
      </c>
      <c r="DT1290" s="97">
        <f t="shared" si="218"/>
        <v>0</v>
      </c>
      <c r="DU1290" s="97">
        <f t="shared" si="219"/>
        <v>0</v>
      </c>
      <c r="DV1290" s="97">
        <f t="shared" si="220"/>
        <v>0</v>
      </c>
      <c r="DW1290" s="97">
        <f t="shared" si="221"/>
        <v>0</v>
      </c>
      <c r="DX1290" s="97">
        <f t="shared" si="222"/>
        <v>0</v>
      </c>
      <c r="DY1290" s="97">
        <f t="shared" si="223"/>
        <v>0</v>
      </c>
      <c r="DZ1290" s="97">
        <f t="shared" si="224"/>
        <v>0</v>
      </c>
      <c r="EA1290" s="97">
        <f t="shared" si="225"/>
        <v>0</v>
      </c>
      <c r="EB1290" s="97">
        <f t="shared" si="226"/>
        <v>0</v>
      </c>
      <c r="EC1290" s="97">
        <f t="shared" si="226"/>
        <v>0</v>
      </c>
      <c r="ED1290" s="97">
        <f t="shared" si="226"/>
        <v>0</v>
      </c>
      <c r="EE1290" s="97">
        <f t="shared" si="227"/>
        <v>0</v>
      </c>
      <c r="EF1290" s="97">
        <f t="shared" si="227"/>
        <v>0</v>
      </c>
      <c r="EG1290" s="97">
        <f t="shared" si="227"/>
        <v>0</v>
      </c>
      <c r="EH1290" s="102"/>
      <c r="EI1290" s="102"/>
      <c r="EJ1290" s="102"/>
      <c r="EK1290" s="97">
        <f t="shared" si="228"/>
        <v>0</v>
      </c>
      <c r="EL1290" s="97">
        <f t="shared" si="229"/>
        <v>0</v>
      </c>
      <c r="EM1290" s="97">
        <f t="shared" si="230"/>
        <v>0</v>
      </c>
      <c r="EN1290" s="97">
        <f t="shared" si="231"/>
        <v>0</v>
      </c>
      <c r="EO1290" s="97">
        <f t="shared" si="232"/>
        <v>0</v>
      </c>
      <c r="EP1290" s="97">
        <f t="shared" si="233"/>
        <v>0</v>
      </c>
      <c r="EQ1290" s="97">
        <f t="shared" si="234"/>
        <v>0</v>
      </c>
      <c r="ER1290" s="97">
        <f t="shared" si="235"/>
        <v>0</v>
      </c>
      <c r="ES1290" s="97">
        <f t="shared" si="236"/>
        <v>0</v>
      </c>
      <c r="ET1290" s="97">
        <f t="shared" si="237"/>
        <v>0</v>
      </c>
      <c r="EU1290" s="97">
        <f t="shared" si="238"/>
        <v>0</v>
      </c>
      <c r="EV1290" s="97">
        <f t="shared" si="239"/>
        <v>0</v>
      </c>
      <c r="EW1290" s="97">
        <f t="shared" si="240"/>
        <v>0</v>
      </c>
      <c r="EX1290" s="97">
        <f t="shared" si="240"/>
        <v>0</v>
      </c>
      <c r="EY1290" s="97">
        <f t="shared" si="240"/>
        <v>0</v>
      </c>
      <c r="EZ1290" s="97">
        <f t="shared" si="241"/>
        <v>0</v>
      </c>
      <c r="FA1290" s="97">
        <f t="shared" si="241"/>
        <v>0</v>
      </c>
      <c r="FB1290" s="97">
        <f t="shared" si="241"/>
        <v>0</v>
      </c>
      <c r="FC1290" s="102"/>
      <c r="FD1290" s="102"/>
      <c r="FE1290" s="102"/>
      <c r="FF1290" s="97">
        <f t="shared" si="242"/>
        <v>0</v>
      </c>
      <c r="FG1290" s="97">
        <f t="shared" si="243"/>
        <v>0</v>
      </c>
      <c r="FH1290" s="97">
        <f t="shared" si="244"/>
        <v>0</v>
      </c>
      <c r="FI1290" s="97">
        <f t="shared" si="245"/>
        <v>0</v>
      </c>
      <c r="FJ1290" s="97">
        <f t="shared" si="246"/>
        <v>0</v>
      </c>
      <c r="FK1290" s="97">
        <f t="shared" si="247"/>
        <v>0</v>
      </c>
      <c r="FL1290" s="97">
        <f t="shared" si="248"/>
        <v>0</v>
      </c>
      <c r="FM1290" s="97">
        <f t="shared" si="249"/>
        <v>0</v>
      </c>
      <c r="FN1290" s="97">
        <f t="shared" si="250"/>
        <v>0</v>
      </c>
      <c r="FO1290" s="97">
        <f t="shared" si="251"/>
        <v>0</v>
      </c>
      <c r="FP1290" s="97">
        <f t="shared" si="252"/>
        <v>0</v>
      </c>
      <c r="FQ1290" s="97">
        <f t="shared" si="253"/>
        <v>0</v>
      </c>
      <c r="FR1290" s="97">
        <f t="shared" si="254"/>
        <v>0</v>
      </c>
      <c r="FS1290" s="97">
        <f t="shared" si="254"/>
        <v>0</v>
      </c>
      <c r="FT1290" s="97">
        <f t="shared" si="254"/>
        <v>0</v>
      </c>
      <c r="FU1290" s="97">
        <f t="shared" si="255"/>
        <v>0</v>
      </c>
      <c r="FV1290" s="97">
        <f t="shared" si="255"/>
        <v>0</v>
      </c>
      <c r="FW1290" s="97">
        <f t="shared" si="255"/>
        <v>0</v>
      </c>
      <c r="FX1290" s="102"/>
      <c r="FY1290" s="102"/>
      <c r="FZ1290" s="102"/>
      <c r="GA1290" s="97">
        <f t="shared" si="256"/>
        <v>0</v>
      </c>
      <c r="GB1290" s="97">
        <f t="shared" si="257"/>
        <v>0</v>
      </c>
      <c r="GC1290" s="97">
        <f t="shared" si="258"/>
        <v>0</v>
      </c>
      <c r="GD1290" s="97">
        <f t="shared" si="259"/>
        <v>0</v>
      </c>
      <c r="GE1290" s="97">
        <f t="shared" si="260"/>
        <v>0</v>
      </c>
      <c r="GF1290" s="97">
        <f t="shared" si="261"/>
        <v>0</v>
      </c>
      <c r="GG1290" s="97">
        <f t="shared" si="262"/>
        <v>0</v>
      </c>
      <c r="GH1290" s="97">
        <f t="shared" si="263"/>
        <v>0</v>
      </c>
      <c r="GI1290" s="97">
        <f t="shared" si="264"/>
        <v>0</v>
      </c>
      <c r="GJ1290" s="97">
        <f t="shared" si="265"/>
        <v>0</v>
      </c>
      <c r="GK1290" s="97">
        <f t="shared" si="266"/>
        <v>0</v>
      </c>
      <c r="GL1290" s="97">
        <f t="shared" si="267"/>
        <v>0</v>
      </c>
      <c r="GM1290" s="97">
        <f t="shared" si="268"/>
        <v>0</v>
      </c>
      <c r="GN1290" s="97">
        <f t="shared" si="268"/>
        <v>0</v>
      </c>
      <c r="GO1290" s="97">
        <f t="shared" si="268"/>
        <v>0</v>
      </c>
      <c r="GP1290" s="97">
        <f t="shared" si="269"/>
        <v>0</v>
      </c>
      <c r="GQ1290" s="97">
        <f t="shared" si="269"/>
        <v>0</v>
      </c>
      <c r="GR1290" s="97">
        <f t="shared" si="269"/>
        <v>0</v>
      </c>
      <c r="GS1290" s="102"/>
      <c r="GT1290" s="102"/>
      <c r="GU1290" s="102"/>
      <c r="GV1290" s="97">
        <f t="shared" si="270"/>
        <v>0</v>
      </c>
      <c r="GW1290" s="97">
        <f t="shared" si="271"/>
        <v>0</v>
      </c>
      <c r="GX1290" s="97">
        <f t="shared" si="272"/>
        <v>0</v>
      </c>
      <c r="GY1290" s="97">
        <f t="shared" si="273"/>
        <v>0</v>
      </c>
      <c r="GZ1290" s="97">
        <f t="shared" si="274"/>
        <v>0</v>
      </c>
      <c r="HA1290" s="97">
        <f t="shared" si="275"/>
        <v>0</v>
      </c>
      <c r="HB1290" s="97">
        <f t="shared" si="276"/>
        <v>0</v>
      </c>
      <c r="HC1290" s="97">
        <f t="shared" si="277"/>
        <v>0</v>
      </c>
      <c r="HD1290" s="97">
        <f t="shared" si="278"/>
        <v>0</v>
      </c>
      <c r="HE1290" s="97">
        <f t="shared" si="279"/>
        <v>0</v>
      </c>
      <c r="HF1290" s="97">
        <f t="shared" si="280"/>
        <v>0</v>
      </c>
      <c r="HG1290" s="97">
        <f t="shared" si="281"/>
        <v>0</v>
      </c>
      <c r="HH1290" s="97">
        <f t="shared" si="282"/>
        <v>0</v>
      </c>
      <c r="HI1290" s="97">
        <f t="shared" si="282"/>
        <v>0</v>
      </c>
      <c r="HJ1290" s="97">
        <f t="shared" si="282"/>
        <v>0</v>
      </c>
      <c r="HK1290" s="97">
        <f t="shared" si="283"/>
        <v>0</v>
      </c>
      <c r="HL1290" s="97">
        <f t="shared" si="283"/>
        <v>0</v>
      </c>
      <c r="HM1290" s="97">
        <f t="shared" si="283"/>
        <v>0</v>
      </c>
      <c r="HN1290" s="102"/>
      <c r="HO1290" s="102"/>
      <c r="HP1290" s="102"/>
      <c r="HQ1290" s="97">
        <f t="shared" si="284"/>
        <v>0</v>
      </c>
      <c r="HR1290" s="97">
        <f t="shared" si="285"/>
        <v>0</v>
      </c>
      <c r="HS1290" s="97">
        <f t="shared" si="286"/>
        <v>0</v>
      </c>
      <c r="HT1290" s="97">
        <f t="shared" si="287"/>
        <v>0</v>
      </c>
      <c r="HU1290" s="97">
        <f t="shared" si="288"/>
        <v>0</v>
      </c>
      <c r="HV1290" s="97">
        <f t="shared" si="289"/>
        <v>0</v>
      </c>
      <c r="HW1290" s="97">
        <f t="shared" si="290"/>
        <v>0</v>
      </c>
      <c r="HX1290" s="97">
        <f t="shared" si="291"/>
        <v>0</v>
      </c>
      <c r="HY1290" s="97">
        <f t="shared" si="292"/>
        <v>0</v>
      </c>
      <c r="HZ1290" s="97">
        <f t="shared" si="293"/>
        <v>0</v>
      </c>
      <c r="IA1290" s="97">
        <f t="shared" si="294"/>
        <v>0</v>
      </c>
      <c r="IB1290" s="97">
        <f t="shared" si="295"/>
        <v>0</v>
      </c>
      <c r="IC1290" s="97">
        <f t="shared" si="296"/>
        <v>0</v>
      </c>
      <c r="ID1290" s="97">
        <f t="shared" si="296"/>
        <v>0</v>
      </c>
      <c r="IE1290" s="97">
        <f t="shared" si="296"/>
        <v>0</v>
      </c>
      <c r="IF1290" s="97">
        <f t="shared" si="297"/>
        <v>0</v>
      </c>
      <c r="IG1290" s="97">
        <f t="shared" si="297"/>
        <v>0</v>
      </c>
      <c r="IH1290" s="97">
        <f t="shared" si="297"/>
        <v>0</v>
      </c>
      <c r="II1290" s="102"/>
      <c r="IJ1290" s="102"/>
      <c r="IK1290" s="102"/>
      <c r="IL1290" s="97">
        <f t="shared" si="298"/>
        <v>0</v>
      </c>
      <c r="IM1290" s="97">
        <f t="shared" si="299"/>
        <v>0</v>
      </c>
      <c r="IN1290" s="97">
        <f t="shared" si="300"/>
        <v>0</v>
      </c>
      <c r="IO1290" s="97">
        <f t="shared" si="301"/>
        <v>0</v>
      </c>
      <c r="IP1290" s="97">
        <f t="shared" si="302"/>
        <v>0</v>
      </c>
      <c r="IQ1290" s="97">
        <f t="shared" si="303"/>
        <v>0</v>
      </c>
      <c r="IR1290" s="97">
        <f t="shared" si="304"/>
        <v>0</v>
      </c>
      <c r="IS1290" s="97">
        <f t="shared" si="305"/>
        <v>0</v>
      </c>
      <c r="IT1290" s="97">
        <f t="shared" si="306"/>
        <v>0</v>
      </c>
      <c r="IU1290" s="97">
        <f t="shared" si="307"/>
        <v>0</v>
      </c>
      <c r="IV1290" s="97">
        <f t="shared" si="308"/>
        <v>0</v>
      </c>
      <c r="IW1290" s="97">
        <f t="shared" si="309"/>
        <v>0</v>
      </c>
      <c r="IX1290" s="97">
        <f t="shared" si="310"/>
        <v>0</v>
      </c>
      <c r="IY1290" s="97">
        <f t="shared" si="310"/>
        <v>0</v>
      </c>
      <c r="IZ1290" s="97">
        <f t="shared" si="310"/>
        <v>0</v>
      </c>
      <c r="JA1290" s="97">
        <f t="shared" si="311"/>
        <v>0</v>
      </c>
      <c r="JB1290" s="97">
        <f t="shared" si="311"/>
        <v>0</v>
      </c>
      <c r="JC1290" s="97">
        <f t="shared" si="311"/>
        <v>0</v>
      </c>
      <c r="JD1290" s="102"/>
      <c r="JE1290" s="102"/>
      <c r="JF1290" s="102"/>
      <c r="JG1290" s="97">
        <f t="shared" si="312"/>
        <v>0</v>
      </c>
      <c r="JH1290" s="97">
        <f t="shared" si="313"/>
        <v>0</v>
      </c>
      <c r="JI1290" s="97">
        <f t="shared" si="314"/>
        <v>0</v>
      </c>
      <c r="JJ1290" s="97">
        <f t="shared" si="315"/>
        <v>0</v>
      </c>
      <c r="JK1290" s="97">
        <f t="shared" si="316"/>
        <v>0</v>
      </c>
      <c r="JL1290" s="97">
        <f t="shared" si="317"/>
        <v>0</v>
      </c>
      <c r="JM1290" s="97">
        <f t="shared" si="318"/>
        <v>0</v>
      </c>
      <c r="JN1290" s="97">
        <f t="shared" si="319"/>
        <v>0</v>
      </c>
      <c r="JO1290" s="97">
        <f t="shared" si="320"/>
        <v>0</v>
      </c>
      <c r="JP1290" s="97">
        <f t="shared" si="321"/>
        <v>0</v>
      </c>
      <c r="JQ1290" s="97">
        <f t="shared" si="322"/>
        <v>0</v>
      </c>
      <c r="JR1290" s="97">
        <f t="shared" si="323"/>
        <v>0</v>
      </c>
      <c r="JS1290" s="97">
        <f t="shared" si="324"/>
        <v>0</v>
      </c>
      <c r="JT1290" s="97">
        <f t="shared" si="324"/>
        <v>0</v>
      </c>
      <c r="JU1290" s="97">
        <f t="shared" si="324"/>
        <v>0</v>
      </c>
      <c r="JV1290" s="97">
        <f t="shared" si="325"/>
        <v>0</v>
      </c>
      <c r="JW1290" s="97">
        <f t="shared" si="325"/>
        <v>0</v>
      </c>
      <c r="JX1290" s="97">
        <f t="shared" si="325"/>
        <v>0</v>
      </c>
      <c r="JY1290" s="102"/>
      <c r="JZ1290" s="102"/>
      <c r="KA1290" s="102"/>
      <c r="KB1290" s="97">
        <f t="shared" si="326"/>
        <v>0</v>
      </c>
      <c r="KC1290" s="97">
        <f t="shared" si="327"/>
        <v>0</v>
      </c>
      <c r="KD1290" s="97">
        <f t="shared" si="328"/>
        <v>0</v>
      </c>
      <c r="KE1290" s="97">
        <f t="shared" si="329"/>
        <v>0</v>
      </c>
      <c r="KF1290" s="97">
        <f t="shared" si="330"/>
        <v>0</v>
      </c>
      <c r="KG1290" s="97">
        <f t="shared" si="331"/>
        <v>0</v>
      </c>
      <c r="KH1290" s="97">
        <f t="shared" si="332"/>
        <v>0</v>
      </c>
      <c r="KI1290" s="97">
        <f t="shared" si="333"/>
        <v>0</v>
      </c>
      <c r="KJ1290" s="97">
        <f t="shared" si="334"/>
        <v>0</v>
      </c>
      <c r="KK1290" s="97">
        <f t="shared" si="335"/>
        <v>0</v>
      </c>
      <c r="KL1290" s="97">
        <f t="shared" si="336"/>
        <v>0</v>
      </c>
      <c r="KM1290" s="97">
        <f t="shared" si="337"/>
        <v>0</v>
      </c>
      <c r="KN1290" s="97">
        <f t="shared" si="338"/>
        <v>0</v>
      </c>
      <c r="KO1290" s="97">
        <f t="shared" si="338"/>
        <v>0</v>
      </c>
      <c r="KP1290" s="97">
        <f t="shared" si="338"/>
        <v>0</v>
      </c>
      <c r="KQ1290" s="97">
        <f t="shared" si="339"/>
        <v>0</v>
      </c>
      <c r="KR1290" s="97">
        <f t="shared" si="339"/>
        <v>0</v>
      </c>
      <c r="KS1290" s="97">
        <f t="shared" si="339"/>
        <v>0</v>
      </c>
      <c r="KT1290" s="102"/>
      <c r="KU1290" s="102"/>
      <c r="KV1290" s="102"/>
      <c r="KW1290" s="97">
        <f t="shared" si="340"/>
        <v>0</v>
      </c>
      <c r="KX1290" s="97">
        <f t="shared" si="341"/>
        <v>0</v>
      </c>
      <c r="KY1290" s="97">
        <f t="shared" si="342"/>
        <v>0</v>
      </c>
      <c r="KZ1290" s="97">
        <f t="shared" si="343"/>
        <v>0</v>
      </c>
      <c r="LA1290" s="97">
        <f t="shared" si="344"/>
        <v>0</v>
      </c>
      <c r="LB1290" s="97">
        <f t="shared" si="345"/>
        <v>0</v>
      </c>
      <c r="LC1290" s="97">
        <f t="shared" si="346"/>
        <v>0</v>
      </c>
      <c r="LD1290" s="97">
        <f t="shared" si="347"/>
        <v>0</v>
      </c>
      <c r="LE1290" s="97">
        <f t="shared" si="348"/>
        <v>0</v>
      </c>
      <c r="LF1290" s="97">
        <f t="shared" si="349"/>
        <v>0</v>
      </c>
      <c r="LG1290" s="97">
        <f t="shared" si="350"/>
        <v>0</v>
      </c>
      <c r="LH1290" s="97">
        <f t="shared" si="351"/>
        <v>0</v>
      </c>
      <c r="LI1290" s="97">
        <f t="shared" si="352"/>
        <v>0</v>
      </c>
      <c r="LJ1290" s="97">
        <f t="shared" si="352"/>
        <v>0</v>
      </c>
      <c r="LK1290" s="97">
        <f t="shared" si="352"/>
        <v>0</v>
      </c>
      <c r="LL1290" s="97">
        <f t="shared" si="353"/>
        <v>0</v>
      </c>
      <c r="LM1290" s="97">
        <f t="shared" si="353"/>
        <v>0</v>
      </c>
      <c r="LN1290" s="97">
        <f t="shared" si="353"/>
        <v>0</v>
      </c>
      <c r="LO1290" s="102"/>
      <c r="LP1290" s="102"/>
      <c r="LQ1290" s="102"/>
      <c r="LR1290" s="97">
        <f t="shared" si="354"/>
        <v>0</v>
      </c>
      <c r="LS1290" s="97">
        <f t="shared" si="355"/>
        <v>0</v>
      </c>
      <c r="LT1290" s="97">
        <f t="shared" si="356"/>
        <v>0</v>
      </c>
      <c r="LU1290" s="97">
        <f t="shared" si="357"/>
        <v>0</v>
      </c>
      <c r="LV1290" s="97">
        <f t="shared" si="358"/>
        <v>0</v>
      </c>
      <c r="LW1290" s="97">
        <f t="shared" si="359"/>
        <v>0</v>
      </c>
      <c r="LX1290" s="97">
        <f t="shared" si="360"/>
        <v>0</v>
      </c>
      <c r="LY1290" s="97">
        <f t="shared" si="361"/>
        <v>0</v>
      </c>
      <c r="LZ1290" s="97">
        <f t="shared" si="362"/>
        <v>0</v>
      </c>
      <c r="MA1290" s="97">
        <f t="shared" si="363"/>
        <v>0</v>
      </c>
      <c r="MB1290" s="97">
        <f t="shared" si="364"/>
        <v>0</v>
      </c>
      <c r="MC1290" s="97">
        <f t="shared" si="365"/>
        <v>0</v>
      </c>
      <c r="MD1290" s="97">
        <f t="shared" si="366"/>
        <v>0</v>
      </c>
      <c r="ME1290" s="97">
        <f t="shared" si="366"/>
        <v>0</v>
      </c>
      <c r="MF1290" s="97">
        <f t="shared" si="366"/>
        <v>0</v>
      </c>
      <c r="MG1290" s="97">
        <f t="shared" si="367"/>
        <v>0</v>
      </c>
      <c r="MH1290" s="97">
        <f t="shared" si="367"/>
        <v>0</v>
      </c>
      <c r="MI1290" s="97">
        <f t="shared" si="367"/>
        <v>0</v>
      </c>
      <c r="MJ1290" s="102"/>
      <c r="MK1290" s="102"/>
      <c r="ML1290" s="102"/>
      <c r="MM1290" s="97">
        <f t="shared" si="368"/>
        <v>0</v>
      </c>
      <c r="MN1290" s="97">
        <f t="shared" si="369"/>
        <v>0</v>
      </c>
      <c r="MO1290" s="97">
        <f t="shared" si="370"/>
        <v>0</v>
      </c>
      <c r="MP1290" s="97">
        <f t="shared" si="371"/>
        <v>0</v>
      </c>
      <c r="MQ1290" s="97">
        <f t="shared" si="372"/>
        <v>0</v>
      </c>
      <c r="MR1290" s="97">
        <f t="shared" si="373"/>
        <v>0</v>
      </c>
      <c r="MS1290" s="97">
        <f t="shared" si="374"/>
        <v>0</v>
      </c>
      <c r="MT1290" s="97">
        <f t="shared" si="375"/>
        <v>0</v>
      </c>
      <c r="MU1290" s="97">
        <f t="shared" si="376"/>
        <v>0</v>
      </c>
      <c r="MV1290" s="97">
        <f t="shared" si="377"/>
        <v>0</v>
      </c>
      <c r="MW1290" s="97">
        <f t="shared" si="378"/>
        <v>0</v>
      </c>
      <c r="MX1290" s="97">
        <f t="shared" si="379"/>
        <v>0</v>
      </c>
      <c r="MY1290" s="97">
        <f t="shared" si="380"/>
        <v>0</v>
      </c>
      <c r="MZ1290" s="97">
        <f t="shared" si="380"/>
        <v>0</v>
      </c>
      <c r="NA1290" s="97">
        <f t="shared" si="380"/>
        <v>0</v>
      </c>
      <c r="NB1290" s="97">
        <f t="shared" si="381"/>
        <v>0</v>
      </c>
      <c r="NC1290" s="97">
        <f t="shared" si="381"/>
        <v>0</v>
      </c>
      <c r="ND1290" s="97">
        <f t="shared" si="381"/>
        <v>0</v>
      </c>
      <c r="NE1290" s="102"/>
      <c r="NF1290" s="102"/>
      <c r="NG1290" s="102"/>
      <c r="NH1290" s="97">
        <f t="shared" si="382"/>
        <v>0</v>
      </c>
      <c r="NI1290" s="97">
        <f t="shared" si="383"/>
        <v>0</v>
      </c>
      <c r="NJ1290" s="97">
        <f t="shared" si="384"/>
        <v>0</v>
      </c>
      <c r="NK1290" s="97">
        <f t="shared" si="385"/>
        <v>0</v>
      </c>
      <c r="NL1290" s="97">
        <f t="shared" si="386"/>
        <v>0</v>
      </c>
      <c r="NM1290" s="97">
        <f t="shared" si="387"/>
        <v>0</v>
      </c>
      <c r="NN1290" s="97">
        <f t="shared" si="388"/>
        <v>0</v>
      </c>
      <c r="NO1290" s="97">
        <f t="shared" si="389"/>
        <v>0</v>
      </c>
      <c r="NP1290" s="97">
        <f t="shared" si="390"/>
        <v>0</v>
      </c>
      <c r="NQ1290" s="97">
        <f t="shared" si="391"/>
        <v>0</v>
      </c>
      <c r="NR1290" s="97">
        <f t="shared" si="392"/>
        <v>0</v>
      </c>
      <c r="NS1290" s="97">
        <f t="shared" si="393"/>
        <v>0</v>
      </c>
      <c r="NT1290" s="97">
        <f t="shared" si="394"/>
        <v>0</v>
      </c>
      <c r="NU1290" s="97">
        <f t="shared" si="394"/>
        <v>0</v>
      </c>
      <c r="NV1290" s="97">
        <f t="shared" si="394"/>
        <v>0</v>
      </c>
      <c r="NW1290" s="97">
        <f t="shared" si="395"/>
        <v>0</v>
      </c>
      <c r="NX1290" s="97">
        <f t="shared" si="395"/>
        <v>0</v>
      </c>
      <c r="NY1290" s="97">
        <f t="shared" si="395"/>
        <v>0</v>
      </c>
      <c r="NZ1290" s="102"/>
      <c r="OA1290" s="102"/>
      <c r="OB1290" s="102"/>
      <c r="OC1290" s="97">
        <f t="shared" si="396"/>
        <v>0</v>
      </c>
      <c r="OD1290" s="97">
        <f t="shared" si="397"/>
        <v>0</v>
      </c>
      <c r="OE1290" s="97">
        <f t="shared" si="398"/>
        <v>0</v>
      </c>
      <c r="OF1290" s="97">
        <f t="shared" si="399"/>
        <v>0</v>
      </c>
      <c r="OG1290" s="97">
        <f t="shared" si="400"/>
        <v>0</v>
      </c>
      <c r="OH1290" s="97">
        <f t="shared" si="401"/>
        <v>0</v>
      </c>
      <c r="OI1290" s="97">
        <f t="shared" si="402"/>
        <v>0</v>
      </c>
      <c r="OJ1290" s="97">
        <f t="shared" si="403"/>
        <v>0</v>
      </c>
      <c r="OK1290" s="97">
        <f t="shared" si="404"/>
        <v>0</v>
      </c>
      <c r="OL1290" s="97">
        <f t="shared" si="405"/>
        <v>0</v>
      </c>
      <c r="OM1290" s="97">
        <f t="shared" si="406"/>
        <v>0</v>
      </c>
      <c r="ON1290" s="97">
        <f t="shared" si="407"/>
        <v>0</v>
      </c>
      <c r="OO1290" s="97">
        <f t="shared" si="408"/>
        <v>0</v>
      </c>
      <c r="OP1290" s="97">
        <f t="shared" si="408"/>
        <v>0</v>
      </c>
      <c r="OQ1290" s="97">
        <f t="shared" si="408"/>
        <v>0</v>
      </c>
      <c r="OR1290" s="97">
        <f t="shared" si="409"/>
        <v>0</v>
      </c>
      <c r="OS1290" s="97">
        <f t="shared" si="409"/>
        <v>0</v>
      </c>
      <c r="OT1290" s="97">
        <f t="shared" si="409"/>
        <v>0</v>
      </c>
      <c r="OU1290" s="102"/>
      <c r="OV1290" s="102"/>
      <c r="OW1290" s="102"/>
      <c r="OX1290" s="97">
        <f t="shared" si="410"/>
        <v>0</v>
      </c>
      <c r="OY1290" s="97">
        <f t="shared" si="411"/>
        <v>0</v>
      </c>
      <c r="OZ1290" s="97">
        <f t="shared" si="412"/>
        <v>0</v>
      </c>
      <c r="PA1290" s="97">
        <f t="shared" si="413"/>
        <v>0</v>
      </c>
      <c r="PB1290" s="97">
        <f t="shared" si="414"/>
        <v>0</v>
      </c>
      <c r="PC1290" s="97">
        <f t="shared" si="415"/>
        <v>0</v>
      </c>
      <c r="PD1290" s="97">
        <f t="shared" si="416"/>
        <v>0</v>
      </c>
      <c r="PE1290" s="97">
        <f t="shared" si="417"/>
        <v>0</v>
      </c>
      <c r="PF1290" s="97">
        <f t="shared" si="418"/>
        <v>0</v>
      </c>
      <c r="PG1290" s="97">
        <f t="shared" si="419"/>
        <v>0</v>
      </c>
      <c r="PH1290" s="97">
        <f t="shared" si="420"/>
        <v>0</v>
      </c>
      <c r="PI1290" s="97">
        <f t="shared" si="421"/>
        <v>0</v>
      </c>
      <c r="PJ1290" s="97">
        <f t="shared" si="422"/>
        <v>0</v>
      </c>
      <c r="PK1290" s="97">
        <f t="shared" si="422"/>
        <v>0</v>
      </c>
      <c r="PL1290" s="97">
        <f t="shared" si="422"/>
        <v>0</v>
      </c>
      <c r="PM1290" s="97">
        <f t="shared" si="423"/>
        <v>0</v>
      </c>
      <c r="PN1290" s="97">
        <f t="shared" si="423"/>
        <v>0</v>
      </c>
      <c r="PO1290" s="97">
        <f t="shared" si="423"/>
        <v>0</v>
      </c>
      <c r="PP1290" s="102"/>
      <c r="PQ1290" s="102"/>
      <c r="PR1290" s="102"/>
      <c r="PS1290" s="97">
        <f t="shared" si="424"/>
        <v>0</v>
      </c>
      <c r="PT1290" s="97">
        <f t="shared" si="425"/>
        <v>0</v>
      </c>
      <c r="PU1290" s="97">
        <f t="shared" si="426"/>
        <v>0</v>
      </c>
      <c r="PV1290" s="97">
        <f t="shared" si="427"/>
        <v>0</v>
      </c>
      <c r="PW1290" s="97">
        <f t="shared" si="428"/>
        <v>0</v>
      </c>
      <c r="PX1290" s="97">
        <f t="shared" si="429"/>
        <v>0</v>
      </c>
      <c r="PY1290" s="97">
        <f t="shared" si="430"/>
        <v>0</v>
      </c>
      <c r="PZ1290" s="97">
        <f t="shared" si="431"/>
        <v>0</v>
      </c>
      <c r="QA1290" s="97">
        <f t="shared" si="432"/>
        <v>0</v>
      </c>
      <c r="QB1290" s="97">
        <f t="shared" si="433"/>
        <v>0</v>
      </c>
      <c r="QC1290" s="97">
        <f t="shared" si="434"/>
        <v>0</v>
      </c>
      <c r="QD1290" s="97">
        <f t="shared" si="435"/>
        <v>0</v>
      </c>
      <c r="QE1290" s="97">
        <f t="shared" si="436"/>
        <v>0</v>
      </c>
      <c r="QF1290" s="97">
        <f t="shared" si="436"/>
        <v>0</v>
      </c>
      <c r="QG1290" s="97">
        <f t="shared" si="436"/>
        <v>0</v>
      </c>
      <c r="QH1290" s="97">
        <f t="shared" si="437"/>
        <v>0</v>
      </c>
      <c r="QI1290" s="97">
        <f t="shared" si="437"/>
        <v>0</v>
      </c>
      <c r="QJ1290" s="97">
        <f t="shared" si="437"/>
        <v>0</v>
      </c>
      <c r="QK1290" s="102"/>
      <c r="QL1290" s="102"/>
      <c r="QM1290" s="102"/>
      <c r="QN1290" s="97">
        <f t="shared" si="438"/>
        <v>0</v>
      </c>
      <c r="QO1290" s="97">
        <f t="shared" si="439"/>
        <v>0</v>
      </c>
      <c r="QP1290" s="97">
        <f t="shared" si="440"/>
        <v>0</v>
      </c>
      <c r="QQ1290" s="97">
        <f t="shared" si="441"/>
        <v>0</v>
      </c>
      <c r="QR1290" s="97">
        <f t="shared" si="442"/>
        <v>0</v>
      </c>
      <c r="QS1290" s="97">
        <f t="shared" si="443"/>
        <v>0</v>
      </c>
      <c r="QT1290" s="97">
        <f t="shared" si="444"/>
        <v>0</v>
      </c>
      <c r="QU1290" s="97">
        <f t="shared" si="445"/>
        <v>0</v>
      </c>
      <c r="QV1290" s="97">
        <f t="shared" si="446"/>
        <v>0</v>
      </c>
      <c r="QW1290" s="97">
        <f t="shared" si="447"/>
        <v>0</v>
      </c>
      <c r="QX1290" s="97">
        <f t="shared" si="448"/>
        <v>0</v>
      </c>
      <c r="QY1290" s="97">
        <f t="shared" si="449"/>
        <v>0</v>
      </c>
      <c r="QZ1290" s="97">
        <f t="shared" si="450"/>
        <v>0</v>
      </c>
      <c r="RA1290" s="97">
        <f t="shared" si="450"/>
        <v>0</v>
      </c>
      <c r="RB1290" s="97">
        <f t="shared" si="450"/>
        <v>0</v>
      </c>
      <c r="RC1290" s="97">
        <f t="shared" si="451"/>
        <v>0</v>
      </c>
      <c r="RD1290" s="97">
        <f t="shared" si="451"/>
        <v>0</v>
      </c>
      <c r="RE1290" s="97">
        <f t="shared" si="451"/>
        <v>0</v>
      </c>
      <c r="RF1290" s="102"/>
      <c r="RG1290" s="102"/>
      <c r="RH1290" s="102"/>
      <c r="RI1290" s="97">
        <f t="shared" si="452"/>
        <v>0</v>
      </c>
      <c r="RJ1290" s="97">
        <f t="shared" si="453"/>
        <v>0</v>
      </c>
      <c r="RK1290" s="97">
        <f t="shared" si="454"/>
        <v>0</v>
      </c>
      <c r="RL1290" s="97">
        <f t="shared" si="455"/>
        <v>0</v>
      </c>
      <c r="RM1290" s="97">
        <f t="shared" si="456"/>
        <v>0</v>
      </c>
      <c r="RN1290" s="97">
        <f t="shared" si="457"/>
        <v>0</v>
      </c>
      <c r="RO1290" s="97">
        <f t="shared" si="458"/>
        <v>0</v>
      </c>
      <c r="RP1290" s="97">
        <f t="shared" si="459"/>
        <v>0</v>
      </c>
      <c r="RQ1290" s="97">
        <f t="shared" si="460"/>
        <v>0</v>
      </c>
      <c r="RR1290" s="97">
        <f t="shared" si="461"/>
        <v>0</v>
      </c>
      <c r="RS1290" s="97">
        <f t="shared" si="462"/>
        <v>0</v>
      </c>
      <c r="RT1290" s="97">
        <f t="shared" si="463"/>
        <v>0</v>
      </c>
      <c r="RU1290" s="97">
        <f t="shared" si="464"/>
        <v>0</v>
      </c>
      <c r="RV1290" s="97">
        <f t="shared" si="464"/>
        <v>0</v>
      </c>
      <c r="RW1290" s="97">
        <f t="shared" si="464"/>
        <v>0</v>
      </c>
      <c r="RX1290" s="97">
        <f t="shared" si="465"/>
        <v>0</v>
      </c>
      <c r="RY1290" s="97">
        <f t="shared" si="465"/>
        <v>0</v>
      </c>
      <c r="RZ1290" s="97">
        <f t="shared" si="465"/>
        <v>0</v>
      </c>
      <c r="SA1290" s="102"/>
      <c r="SB1290" s="102"/>
      <c r="SC1290" s="102"/>
      <c r="SD1290" s="97">
        <f t="shared" si="466"/>
        <v>0</v>
      </c>
      <c r="SE1290" s="97">
        <f t="shared" si="467"/>
        <v>0</v>
      </c>
      <c r="SF1290" s="97">
        <f t="shared" si="468"/>
        <v>0</v>
      </c>
      <c r="SG1290" s="97">
        <f t="shared" si="469"/>
        <v>0</v>
      </c>
      <c r="SH1290" s="97">
        <f t="shared" si="470"/>
        <v>0</v>
      </c>
      <c r="SI1290" s="97">
        <f t="shared" si="471"/>
        <v>0</v>
      </c>
      <c r="SJ1290" s="97">
        <f t="shared" si="472"/>
        <v>0</v>
      </c>
      <c r="SK1290" s="97">
        <f t="shared" si="473"/>
        <v>0</v>
      </c>
      <c r="SL1290" s="97">
        <f t="shared" si="474"/>
        <v>0</v>
      </c>
      <c r="SM1290" s="97">
        <f t="shared" si="475"/>
        <v>0</v>
      </c>
      <c r="SN1290" s="97">
        <f t="shared" si="476"/>
        <v>0</v>
      </c>
      <c r="SO1290" s="97">
        <f t="shared" si="477"/>
        <v>0</v>
      </c>
      <c r="SP1290" s="97">
        <f t="shared" si="478"/>
        <v>0</v>
      </c>
      <c r="SQ1290" s="97">
        <f t="shared" si="478"/>
        <v>0</v>
      </c>
      <c r="SR1290" s="97">
        <f t="shared" si="478"/>
        <v>0</v>
      </c>
      <c r="SS1290" s="97">
        <f t="shared" si="479"/>
        <v>0</v>
      </c>
      <c r="ST1290" s="97">
        <f t="shared" si="479"/>
        <v>0</v>
      </c>
      <c r="SU1290" s="97">
        <f t="shared" si="479"/>
        <v>0</v>
      </c>
      <c r="SV1290" s="102"/>
      <c r="SW1290" s="102"/>
      <c r="SX1290" s="102"/>
      <c r="SY1290" s="97">
        <f t="shared" si="480"/>
        <v>0</v>
      </c>
      <c r="SZ1290" s="97">
        <f t="shared" si="481"/>
        <v>0</v>
      </c>
      <c r="TA1290" s="97">
        <f t="shared" si="482"/>
        <v>0</v>
      </c>
      <c r="TB1290" s="97">
        <f t="shared" si="483"/>
        <v>0</v>
      </c>
      <c r="TC1290" s="97">
        <f t="shared" si="484"/>
        <v>0</v>
      </c>
      <c r="TD1290" s="97">
        <f t="shared" si="485"/>
        <v>0</v>
      </c>
      <c r="TE1290" s="97">
        <f t="shared" si="486"/>
        <v>0</v>
      </c>
      <c r="TF1290" s="97">
        <f t="shared" si="487"/>
        <v>0</v>
      </c>
      <c r="TG1290" s="97">
        <f t="shared" si="488"/>
        <v>0</v>
      </c>
      <c r="TH1290" s="97">
        <f t="shared" si="489"/>
        <v>0</v>
      </c>
      <c r="TI1290" s="97">
        <f t="shared" si="490"/>
        <v>0</v>
      </c>
      <c r="TJ1290" s="97">
        <f t="shared" si="491"/>
        <v>0</v>
      </c>
      <c r="TK1290" s="97">
        <f t="shared" si="492"/>
        <v>0</v>
      </c>
      <c r="TL1290" s="97">
        <f t="shared" si="492"/>
        <v>0</v>
      </c>
      <c r="TM1290" s="97">
        <f t="shared" si="492"/>
        <v>0</v>
      </c>
      <c r="TN1290" s="97">
        <f t="shared" si="493"/>
        <v>0</v>
      </c>
      <c r="TO1290" s="97">
        <f t="shared" si="493"/>
        <v>0</v>
      </c>
      <c r="TP1290" s="97">
        <f t="shared" si="493"/>
        <v>0</v>
      </c>
      <c r="TQ1290" s="102"/>
      <c r="TR1290" s="102"/>
      <c r="TS1290" s="102"/>
      <c r="TT1290" s="97">
        <f t="shared" si="494"/>
        <v>0</v>
      </c>
      <c r="TU1290" s="97">
        <f t="shared" si="495"/>
        <v>0</v>
      </c>
      <c r="TV1290" s="97">
        <f t="shared" si="496"/>
        <v>0</v>
      </c>
      <c r="TW1290" s="97">
        <f t="shared" si="497"/>
        <v>0</v>
      </c>
      <c r="TX1290" s="97">
        <f t="shared" si="498"/>
        <v>0</v>
      </c>
      <c r="TY1290" s="97">
        <f t="shared" si="499"/>
        <v>0</v>
      </c>
      <c r="TZ1290" s="97">
        <f t="shared" si="500"/>
        <v>0</v>
      </c>
      <c r="UA1290" s="97">
        <f t="shared" si="501"/>
        <v>0</v>
      </c>
      <c r="UB1290" s="97">
        <f t="shared" si="502"/>
        <v>0</v>
      </c>
      <c r="UC1290" s="97">
        <f t="shared" si="503"/>
        <v>0</v>
      </c>
      <c r="UD1290" s="97">
        <f t="shared" si="504"/>
        <v>0</v>
      </c>
      <c r="UE1290" s="97">
        <f t="shared" si="505"/>
        <v>0</v>
      </c>
      <c r="UF1290" s="97">
        <f t="shared" si="506"/>
        <v>0</v>
      </c>
      <c r="UG1290" s="97">
        <f t="shared" si="506"/>
        <v>0</v>
      </c>
      <c r="UH1290" s="97">
        <f t="shared" si="506"/>
        <v>0</v>
      </c>
      <c r="UI1290" s="97">
        <f t="shared" si="507"/>
        <v>0</v>
      </c>
      <c r="UJ1290" s="97">
        <f t="shared" si="507"/>
        <v>0</v>
      </c>
      <c r="UK1290" s="97">
        <f t="shared" si="507"/>
        <v>0</v>
      </c>
      <c r="UL1290" s="102"/>
      <c r="UM1290" s="102"/>
      <c r="UN1290" s="102"/>
      <c r="UO1290" s="97">
        <f t="shared" si="508"/>
        <v>0</v>
      </c>
      <c r="UP1290" s="97">
        <f t="shared" si="509"/>
        <v>0</v>
      </c>
      <c r="UQ1290" s="97">
        <f t="shared" si="510"/>
        <v>0</v>
      </c>
      <c r="UR1290" s="97">
        <f t="shared" si="511"/>
        <v>0</v>
      </c>
      <c r="US1290" s="97">
        <f t="shared" si="512"/>
        <v>0</v>
      </c>
      <c r="UT1290" s="97">
        <f t="shared" si="513"/>
        <v>0</v>
      </c>
      <c r="UU1290" s="97">
        <f t="shared" si="514"/>
        <v>64672.31</v>
      </c>
      <c r="UV1290" s="97">
        <f t="shared" si="515"/>
        <v>67948.289999999994</v>
      </c>
      <c r="UW1290" s="97">
        <f t="shared" si="516"/>
        <v>70698.47</v>
      </c>
      <c r="UX1290" s="97">
        <f t="shared" si="517"/>
        <v>14239.29</v>
      </c>
      <c r="UY1290" s="97">
        <f t="shared" si="518"/>
        <v>15056.42</v>
      </c>
      <c r="UZ1290" s="97">
        <f t="shared" si="519"/>
        <v>16040.94</v>
      </c>
      <c r="VA1290" s="97">
        <f t="shared" si="520"/>
        <v>0</v>
      </c>
      <c r="VB1290" s="97">
        <f t="shared" si="520"/>
        <v>0</v>
      </c>
      <c r="VC1290" s="97">
        <f t="shared" si="520"/>
        <v>0</v>
      </c>
      <c r="VD1290" s="97">
        <f t="shared" si="521"/>
        <v>0</v>
      </c>
      <c r="VE1290" s="97">
        <f t="shared" si="521"/>
        <v>0</v>
      </c>
      <c r="VF1290" s="97">
        <f t="shared" si="521"/>
        <v>0</v>
      </c>
      <c r="VG1290" s="102"/>
      <c r="VH1290" s="102"/>
      <c r="VI1290" s="102"/>
      <c r="VJ1290" s="97">
        <f t="shared" si="522"/>
        <v>0</v>
      </c>
      <c r="VK1290" s="97">
        <f t="shared" si="523"/>
        <v>0</v>
      </c>
      <c r="VL1290" s="97">
        <f t="shared" si="524"/>
        <v>0</v>
      </c>
      <c r="VM1290" s="97">
        <f t="shared" si="525"/>
        <v>0</v>
      </c>
      <c r="VN1290" s="97">
        <f t="shared" si="526"/>
        <v>0</v>
      </c>
      <c r="VO1290" s="97">
        <f t="shared" si="527"/>
        <v>0</v>
      </c>
      <c r="VP1290" s="97">
        <f t="shared" si="528"/>
        <v>0</v>
      </c>
      <c r="VQ1290" s="97">
        <f t="shared" si="529"/>
        <v>0</v>
      </c>
      <c r="VR1290" s="97">
        <f t="shared" si="530"/>
        <v>0</v>
      </c>
      <c r="VS1290" s="97">
        <f t="shared" si="531"/>
        <v>0</v>
      </c>
      <c r="VT1290" s="97">
        <f t="shared" si="532"/>
        <v>0</v>
      </c>
      <c r="VU1290" s="97">
        <f t="shared" si="533"/>
        <v>0</v>
      </c>
      <c r="VV1290" s="97">
        <f t="shared" si="534"/>
        <v>0</v>
      </c>
      <c r="VW1290" s="97">
        <f t="shared" si="534"/>
        <v>0</v>
      </c>
      <c r="VX1290" s="97">
        <f t="shared" si="534"/>
        <v>0</v>
      </c>
      <c r="VY1290" s="97">
        <f t="shared" si="535"/>
        <v>0</v>
      </c>
      <c r="VZ1290" s="97">
        <f t="shared" si="535"/>
        <v>0</v>
      </c>
      <c r="WA1290" s="97">
        <f t="shared" si="535"/>
        <v>0</v>
      </c>
      <c r="WB1290" s="102"/>
      <c r="WC1290" s="102"/>
      <c r="WD1290" s="102"/>
      <c r="WE1290" s="97">
        <f t="shared" si="536"/>
        <v>0</v>
      </c>
      <c r="WF1290" s="97">
        <f t="shared" si="537"/>
        <v>0</v>
      </c>
      <c r="WG1290" s="97">
        <f t="shared" si="538"/>
        <v>0</v>
      </c>
      <c r="WH1290" s="97">
        <f t="shared" si="539"/>
        <v>0</v>
      </c>
      <c r="WI1290" s="97">
        <f t="shared" si="540"/>
        <v>0</v>
      </c>
      <c r="WJ1290" s="97">
        <f t="shared" si="541"/>
        <v>0</v>
      </c>
      <c r="WK1290" s="97">
        <f t="shared" si="542"/>
        <v>0</v>
      </c>
      <c r="WL1290" s="97">
        <f t="shared" si="543"/>
        <v>0</v>
      </c>
      <c r="WM1290" s="97">
        <f t="shared" si="544"/>
        <v>0</v>
      </c>
      <c r="WN1290" s="97">
        <f t="shared" si="545"/>
        <v>0</v>
      </c>
      <c r="WO1290" s="97">
        <f t="shared" si="546"/>
        <v>0</v>
      </c>
      <c r="WP1290" s="97">
        <f t="shared" si="547"/>
        <v>0</v>
      </c>
      <c r="WQ1290" s="97">
        <f t="shared" si="548"/>
        <v>0</v>
      </c>
      <c r="WR1290" s="97">
        <f t="shared" si="548"/>
        <v>0</v>
      </c>
      <c r="WS1290" s="97">
        <f t="shared" si="548"/>
        <v>0</v>
      </c>
      <c r="WT1290" s="97">
        <f t="shared" si="549"/>
        <v>0</v>
      </c>
      <c r="WU1290" s="97">
        <f t="shared" si="549"/>
        <v>0</v>
      </c>
      <c r="WV1290" s="97">
        <f t="shared" si="549"/>
        <v>0</v>
      </c>
      <c r="WW1290" s="102"/>
      <c r="WX1290" s="102"/>
      <c r="WY1290" s="102"/>
      <c r="WZ1290" s="97">
        <f t="shared" si="550"/>
        <v>0</v>
      </c>
      <c r="XA1290" s="97">
        <f t="shared" si="551"/>
        <v>0</v>
      </c>
      <c r="XB1290" s="97">
        <f t="shared" si="552"/>
        <v>0</v>
      </c>
      <c r="XC1290" s="97">
        <f t="shared" si="553"/>
        <v>0</v>
      </c>
      <c r="XD1290" s="97">
        <f t="shared" si="554"/>
        <v>0</v>
      </c>
      <c r="XE1290" s="97">
        <f t="shared" si="555"/>
        <v>0</v>
      </c>
      <c r="XF1290" s="97">
        <f t="shared" si="556"/>
        <v>0</v>
      </c>
      <c r="XG1290" s="97">
        <f t="shared" si="557"/>
        <v>0</v>
      </c>
      <c r="XH1290" s="97">
        <f t="shared" si="558"/>
        <v>0</v>
      </c>
      <c r="XI1290" s="97">
        <f t="shared" si="559"/>
        <v>0</v>
      </c>
      <c r="XJ1290" s="97">
        <f t="shared" si="560"/>
        <v>0</v>
      </c>
      <c r="XK1290" s="97">
        <f t="shared" si="561"/>
        <v>0</v>
      </c>
      <c r="XL1290" s="97">
        <f t="shared" si="562"/>
        <v>0</v>
      </c>
      <c r="XM1290" s="97">
        <f t="shared" si="562"/>
        <v>0</v>
      </c>
      <c r="XN1290" s="97">
        <f t="shared" si="562"/>
        <v>0</v>
      </c>
      <c r="XO1290" s="97">
        <f t="shared" si="563"/>
        <v>0</v>
      </c>
      <c r="XP1290" s="97">
        <f t="shared" si="563"/>
        <v>0</v>
      </c>
      <c r="XQ1290" s="97">
        <f t="shared" si="563"/>
        <v>0</v>
      </c>
      <c r="XR1290" s="102"/>
      <c r="XS1290" s="102"/>
      <c r="XT1290" s="102"/>
      <c r="XU1290" s="97">
        <f t="shared" si="564"/>
        <v>0</v>
      </c>
      <c r="XV1290" s="97">
        <f t="shared" si="565"/>
        <v>0</v>
      </c>
      <c r="XW1290" s="97">
        <f t="shared" si="566"/>
        <v>0</v>
      </c>
      <c r="XX1290" s="97">
        <f t="shared" si="567"/>
        <v>0</v>
      </c>
      <c r="XY1290" s="97">
        <f t="shared" si="568"/>
        <v>0</v>
      </c>
      <c r="XZ1290" s="97">
        <f t="shared" si="569"/>
        <v>0</v>
      </c>
      <c r="YA1290" s="97">
        <f t="shared" si="570"/>
        <v>0</v>
      </c>
      <c r="YB1290" s="97">
        <f t="shared" si="571"/>
        <v>0</v>
      </c>
      <c r="YC1290" s="97">
        <f t="shared" si="572"/>
        <v>0</v>
      </c>
      <c r="YD1290" s="97">
        <f t="shared" si="573"/>
        <v>0</v>
      </c>
      <c r="YE1290" s="97">
        <f t="shared" si="574"/>
        <v>0</v>
      </c>
      <c r="YF1290" s="97">
        <f t="shared" si="575"/>
        <v>0</v>
      </c>
      <c r="YG1290" s="97">
        <f t="shared" si="576"/>
        <v>0</v>
      </c>
      <c r="YH1290" s="97">
        <f t="shared" si="576"/>
        <v>0</v>
      </c>
      <c r="YI1290" s="97">
        <f t="shared" si="576"/>
        <v>0</v>
      </c>
      <c r="YJ1290" s="97">
        <f t="shared" si="577"/>
        <v>0</v>
      </c>
      <c r="YK1290" s="97">
        <f t="shared" si="577"/>
        <v>0</v>
      </c>
      <c r="YL1290" s="97">
        <f t="shared" si="577"/>
        <v>0</v>
      </c>
      <c r="YM1290" s="145">
        <f t="shared" si="601"/>
        <v>0</v>
      </c>
      <c r="YN1290" s="145">
        <f t="shared" si="578"/>
        <v>0</v>
      </c>
      <c r="YO1290" s="145">
        <f t="shared" si="578"/>
        <v>0</v>
      </c>
      <c r="YP1290" s="97">
        <f t="shared" si="579"/>
        <v>0</v>
      </c>
      <c r="YQ1290" s="97">
        <f t="shared" si="580"/>
        <v>0</v>
      </c>
      <c r="YR1290" s="97">
        <f t="shared" si="581"/>
        <v>0</v>
      </c>
      <c r="YS1290" s="97">
        <f t="shared" si="582"/>
        <v>0</v>
      </c>
      <c r="YT1290" s="97">
        <f t="shared" si="583"/>
        <v>0</v>
      </c>
      <c r="YU1290" s="97">
        <f t="shared" si="584"/>
        <v>0</v>
      </c>
      <c r="YV1290" s="97">
        <f t="shared" si="585"/>
        <v>64672.31</v>
      </c>
      <c r="YW1290" s="97">
        <f t="shared" si="586"/>
        <v>67948.289999999994</v>
      </c>
      <c r="YX1290" s="97">
        <f t="shared" si="587"/>
        <v>70698.47</v>
      </c>
      <c r="YY1290" s="97">
        <f t="shared" si="588"/>
        <v>14239.29</v>
      </c>
      <c r="YZ1290" s="97">
        <f t="shared" si="589"/>
        <v>15056.42</v>
      </c>
      <c r="ZA1290" s="97">
        <f t="shared" si="590"/>
        <v>16040.94</v>
      </c>
      <c r="ZB1290" s="97">
        <f t="shared" si="591"/>
        <v>0</v>
      </c>
      <c r="ZC1290" s="97">
        <f t="shared" si="591"/>
        <v>0</v>
      </c>
      <c r="ZD1290" s="97">
        <f t="shared" si="591"/>
        <v>0</v>
      </c>
      <c r="ZE1290" s="97">
        <f t="shared" si="592"/>
        <v>0</v>
      </c>
      <c r="ZF1290" s="97">
        <f t="shared" si="592"/>
        <v>0</v>
      </c>
      <c r="ZG1290" s="97">
        <f t="shared" si="592"/>
        <v>0</v>
      </c>
    </row>
    <row r="1291" spans="1:683" ht="24" hidden="1" x14ac:dyDescent="0.25">
      <c r="A1291" s="174" t="s">
        <v>419</v>
      </c>
      <c r="B1291" s="174" t="s">
        <v>430</v>
      </c>
      <c r="C1291" s="5"/>
      <c r="D1291" s="340"/>
      <c r="E1291" s="163"/>
      <c r="F1291" s="110">
        <f t="shared" si="148"/>
        <v>70591</v>
      </c>
      <c r="G1291" s="110">
        <f t="shared" si="148"/>
        <v>72315</v>
      </c>
      <c r="H1291" s="110">
        <f t="shared" si="148"/>
        <v>74621</v>
      </c>
      <c r="I1291" s="97">
        <f t="shared" si="149"/>
        <v>70581</v>
      </c>
      <c r="J1291" s="97">
        <f t="shared" si="149"/>
        <v>73124</v>
      </c>
      <c r="K1291" s="97">
        <f t="shared" si="149"/>
        <v>75032</v>
      </c>
      <c r="L1291" s="102"/>
      <c r="M1291" s="102"/>
      <c r="N1291" s="102"/>
      <c r="O1291" s="97">
        <f t="shared" si="593"/>
        <v>0</v>
      </c>
      <c r="P1291" s="97">
        <f t="shared" si="594"/>
        <v>0</v>
      </c>
      <c r="Q1291" s="97">
        <f t="shared" si="595"/>
        <v>0</v>
      </c>
      <c r="R1291" s="97">
        <f t="shared" si="596"/>
        <v>0</v>
      </c>
      <c r="S1291" s="97">
        <f t="shared" si="597"/>
        <v>0</v>
      </c>
      <c r="T1291" s="97">
        <f t="shared" si="598"/>
        <v>0</v>
      </c>
      <c r="U1291" s="97">
        <f t="shared" si="150"/>
        <v>0</v>
      </c>
      <c r="V1291" s="97">
        <f t="shared" si="151"/>
        <v>0</v>
      </c>
      <c r="W1291" s="97">
        <f t="shared" si="152"/>
        <v>0</v>
      </c>
      <c r="X1291" s="97">
        <f t="shared" si="153"/>
        <v>0</v>
      </c>
      <c r="Y1291" s="97">
        <f t="shared" si="154"/>
        <v>0</v>
      </c>
      <c r="Z1291" s="97">
        <f t="shared" si="155"/>
        <v>0</v>
      </c>
      <c r="AA1291" s="97">
        <f t="shared" si="599"/>
        <v>0</v>
      </c>
      <c r="AB1291" s="97">
        <f t="shared" si="156"/>
        <v>0</v>
      </c>
      <c r="AC1291" s="97">
        <f t="shared" si="156"/>
        <v>0</v>
      </c>
      <c r="AD1291" s="97">
        <f t="shared" si="600"/>
        <v>0</v>
      </c>
      <c r="AE1291" s="97">
        <f t="shared" si="157"/>
        <v>0</v>
      </c>
      <c r="AF1291" s="97">
        <f t="shared" si="157"/>
        <v>0</v>
      </c>
      <c r="AG1291" s="102"/>
      <c r="AH1291" s="102"/>
      <c r="AI1291" s="102"/>
      <c r="AJ1291" s="97">
        <f t="shared" si="158"/>
        <v>0</v>
      </c>
      <c r="AK1291" s="97">
        <f t="shared" si="159"/>
        <v>0</v>
      </c>
      <c r="AL1291" s="97">
        <f t="shared" si="160"/>
        <v>0</v>
      </c>
      <c r="AM1291" s="97">
        <f t="shared" si="161"/>
        <v>0</v>
      </c>
      <c r="AN1291" s="97">
        <f t="shared" si="162"/>
        <v>0</v>
      </c>
      <c r="AO1291" s="97">
        <f t="shared" si="163"/>
        <v>0</v>
      </c>
      <c r="AP1291" s="97">
        <f t="shared" si="164"/>
        <v>0</v>
      </c>
      <c r="AQ1291" s="97">
        <f t="shared" si="165"/>
        <v>0</v>
      </c>
      <c r="AR1291" s="97">
        <f t="shared" si="166"/>
        <v>0</v>
      </c>
      <c r="AS1291" s="97">
        <f t="shared" si="167"/>
        <v>0</v>
      </c>
      <c r="AT1291" s="97">
        <f t="shared" si="168"/>
        <v>0</v>
      </c>
      <c r="AU1291" s="97">
        <f t="shared" si="169"/>
        <v>0</v>
      </c>
      <c r="AV1291" s="97">
        <f t="shared" si="170"/>
        <v>0</v>
      </c>
      <c r="AW1291" s="97">
        <f t="shared" si="170"/>
        <v>0</v>
      </c>
      <c r="AX1291" s="97">
        <f t="shared" si="170"/>
        <v>0</v>
      </c>
      <c r="AY1291" s="97">
        <f t="shared" si="171"/>
        <v>0</v>
      </c>
      <c r="AZ1291" s="97">
        <f t="shared" si="171"/>
        <v>0</v>
      </c>
      <c r="BA1291" s="97">
        <f t="shared" si="171"/>
        <v>0</v>
      </c>
      <c r="BB1291" s="102"/>
      <c r="BC1291" s="102"/>
      <c r="BD1291" s="102"/>
      <c r="BE1291" s="97">
        <f t="shared" si="172"/>
        <v>0</v>
      </c>
      <c r="BF1291" s="97">
        <f t="shared" si="173"/>
        <v>0</v>
      </c>
      <c r="BG1291" s="97">
        <f t="shared" si="174"/>
        <v>0</v>
      </c>
      <c r="BH1291" s="97">
        <f t="shared" si="175"/>
        <v>0</v>
      </c>
      <c r="BI1291" s="97">
        <f t="shared" si="176"/>
        <v>0</v>
      </c>
      <c r="BJ1291" s="97">
        <f t="shared" si="177"/>
        <v>0</v>
      </c>
      <c r="BK1291" s="97">
        <f t="shared" si="178"/>
        <v>0</v>
      </c>
      <c r="BL1291" s="97">
        <f t="shared" si="179"/>
        <v>0</v>
      </c>
      <c r="BM1291" s="97">
        <f t="shared" si="180"/>
        <v>0</v>
      </c>
      <c r="BN1291" s="97">
        <f t="shared" si="181"/>
        <v>0</v>
      </c>
      <c r="BO1291" s="97">
        <f t="shared" si="182"/>
        <v>0</v>
      </c>
      <c r="BP1291" s="97">
        <f t="shared" si="183"/>
        <v>0</v>
      </c>
      <c r="BQ1291" s="97">
        <f t="shared" si="184"/>
        <v>0</v>
      </c>
      <c r="BR1291" s="97">
        <f t="shared" si="184"/>
        <v>0</v>
      </c>
      <c r="BS1291" s="97">
        <f t="shared" si="184"/>
        <v>0</v>
      </c>
      <c r="BT1291" s="97">
        <f t="shared" si="185"/>
        <v>0</v>
      </c>
      <c r="BU1291" s="97">
        <f t="shared" si="185"/>
        <v>0</v>
      </c>
      <c r="BV1291" s="97">
        <f t="shared" si="185"/>
        <v>0</v>
      </c>
      <c r="BW1291" s="102"/>
      <c r="BX1291" s="102"/>
      <c r="BY1291" s="102"/>
      <c r="BZ1291" s="97">
        <f t="shared" si="186"/>
        <v>0</v>
      </c>
      <c r="CA1291" s="97">
        <f t="shared" si="187"/>
        <v>0</v>
      </c>
      <c r="CB1291" s="97">
        <f t="shared" si="188"/>
        <v>0</v>
      </c>
      <c r="CC1291" s="97">
        <f t="shared" si="189"/>
        <v>0</v>
      </c>
      <c r="CD1291" s="97">
        <f t="shared" si="190"/>
        <v>0</v>
      </c>
      <c r="CE1291" s="97">
        <f t="shared" si="191"/>
        <v>0</v>
      </c>
      <c r="CF1291" s="97">
        <f t="shared" si="192"/>
        <v>0</v>
      </c>
      <c r="CG1291" s="97">
        <f t="shared" si="193"/>
        <v>0</v>
      </c>
      <c r="CH1291" s="97">
        <f t="shared" si="194"/>
        <v>0</v>
      </c>
      <c r="CI1291" s="97">
        <f t="shared" si="195"/>
        <v>0</v>
      </c>
      <c r="CJ1291" s="97">
        <f t="shared" si="196"/>
        <v>0</v>
      </c>
      <c r="CK1291" s="97">
        <f t="shared" si="197"/>
        <v>0</v>
      </c>
      <c r="CL1291" s="97">
        <f t="shared" si="198"/>
        <v>0</v>
      </c>
      <c r="CM1291" s="97">
        <f t="shared" si="198"/>
        <v>0</v>
      </c>
      <c r="CN1291" s="97">
        <f t="shared" si="198"/>
        <v>0</v>
      </c>
      <c r="CO1291" s="97">
        <f t="shared" si="199"/>
        <v>0</v>
      </c>
      <c r="CP1291" s="97">
        <f t="shared" si="199"/>
        <v>0</v>
      </c>
      <c r="CQ1291" s="97">
        <f t="shared" si="199"/>
        <v>0</v>
      </c>
      <c r="CR1291" s="102"/>
      <c r="CS1291" s="102"/>
      <c r="CT1291" s="102"/>
      <c r="CU1291" s="97">
        <f t="shared" si="200"/>
        <v>0</v>
      </c>
      <c r="CV1291" s="97">
        <f t="shared" si="201"/>
        <v>0</v>
      </c>
      <c r="CW1291" s="97">
        <f t="shared" si="202"/>
        <v>0</v>
      </c>
      <c r="CX1291" s="97">
        <f t="shared" si="203"/>
        <v>0</v>
      </c>
      <c r="CY1291" s="97">
        <f t="shared" si="204"/>
        <v>0</v>
      </c>
      <c r="CZ1291" s="97">
        <f t="shared" si="205"/>
        <v>0</v>
      </c>
      <c r="DA1291" s="97">
        <f t="shared" si="206"/>
        <v>0</v>
      </c>
      <c r="DB1291" s="97">
        <f t="shared" si="207"/>
        <v>0</v>
      </c>
      <c r="DC1291" s="97">
        <f t="shared" si="208"/>
        <v>0</v>
      </c>
      <c r="DD1291" s="97">
        <f t="shared" si="209"/>
        <v>0</v>
      </c>
      <c r="DE1291" s="97">
        <f t="shared" si="210"/>
        <v>0</v>
      </c>
      <c r="DF1291" s="97">
        <f t="shared" si="211"/>
        <v>0</v>
      </c>
      <c r="DG1291" s="97">
        <f t="shared" si="212"/>
        <v>0</v>
      </c>
      <c r="DH1291" s="97">
        <f t="shared" si="212"/>
        <v>0</v>
      </c>
      <c r="DI1291" s="97">
        <f t="shared" si="212"/>
        <v>0</v>
      </c>
      <c r="DJ1291" s="97">
        <f t="shared" si="213"/>
        <v>0</v>
      </c>
      <c r="DK1291" s="97">
        <f t="shared" si="213"/>
        <v>0</v>
      </c>
      <c r="DL1291" s="97">
        <f t="shared" si="213"/>
        <v>0</v>
      </c>
      <c r="DM1291" s="102"/>
      <c r="DN1291" s="102"/>
      <c r="DO1291" s="102"/>
      <c r="DP1291" s="97">
        <f t="shared" si="214"/>
        <v>0</v>
      </c>
      <c r="DQ1291" s="97">
        <f t="shared" si="215"/>
        <v>0</v>
      </c>
      <c r="DR1291" s="97">
        <f t="shared" si="216"/>
        <v>0</v>
      </c>
      <c r="DS1291" s="97">
        <f t="shared" si="217"/>
        <v>0</v>
      </c>
      <c r="DT1291" s="97">
        <f t="shared" si="218"/>
        <v>0</v>
      </c>
      <c r="DU1291" s="97">
        <f t="shared" si="219"/>
        <v>0</v>
      </c>
      <c r="DV1291" s="97">
        <f t="shared" si="220"/>
        <v>0</v>
      </c>
      <c r="DW1291" s="97">
        <f t="shared" si="221"/>
        <v>0</v>
      </c>
      <c r="DX1291" s="97">
        <f t="shared" si="222"/>
        <v>0</v>
      </c>
      <c r="DY1291" s="97">
        <f t="shared" si="223"/>
        <v>0</v>
      </c>
      <c r="DZ1291" s="97">
        <f t="shared" si="224"/>
        <v>0</v>
      </c>
      <c r="EA1291" s="97">
        <f t="shared" si="225"/>
        <v>0</v>
      </c>
      <c r="EB1291" s="97">
        <f t="shared" si="226"/>
        <v>0</v>
      </c>
      <c r="EC1291" s="97">
        <f t="shared" si="226"/>
        <v>0</v>
      </c>
      <c r="ED1291" s="97">
        <f t="shared" si="226"/>
        <v>0</v>
      </c>
      <c r="EE1291" s="97">
        <f t="shared" si="227"/>
        <v>0</v>
      </c>
      <c r="EF1291" s="97">
        <f t="shared" si="227"/>
        <v>0</v>
      </c>
      <c r="EG1291" s="97">
        <f t="shared" si="227"/>
        <v>0</v>
      </c>
      <c r="EH1291" s="102"/>
      <c r="EI1291" s="102"/>
      <c r="EJ1291" s="102"/>
      <c r="EK1291" s="97">
        <f t="shared" si="228"/>
        <v>0</v>
      </c>
      <c r="EL1291" s="97">
        <f t="shared" si="229"/>
        <v>0</v>
      </c>
      <c r="EM1291" s="97">
        <f t="shared" si="230"/>
        <v>0</v>
      </c>
      <c r="EN1291" s="97">
        <f t="shared" si="231"/>
        <v>0</v>
      </c>
      <c r="EO1291" s="97">
        <f t="shared" si="232"/>
        <v>0</v>
      </c>
      <c r="EP1291" s="97">
        <f t="shared" si="233"/>
        <v>0</v>
      </c>
      <c r="EQ1291" s="97">
        <f t="shared" si="234"/>
        <v>0</v>
      </c>
      <c r="ER1291" s="97">
        <f t="shared" si="235"/>
        <v>0</v>
      </c>
      <c r="ES1291" s="97">
        <f t="shared" si="236"/>
        <v>0</v>
      </c>
      <c r="ET1291" s="97">
        <f t="shared" si="237"/>
        <v>0</v>
      </c>
      <c r="EU1291" s="97">
        <f t="shared" si="238"/>
        <v>0</v>
      </c>
      <c r="EV1291" s="97">
        <f t="shared" si="239"/>
        <v>0</v>
      </c>
      <c r="EW1291" s="97">
        <f t="shared" si="240"/>
        <v>0</v>
      </c>
      <c r="EX1291" s="97">
        <f t="shared" si="240"/>
        <v>0</v>
      </c>
      <c r="EY1291" s="97">
        <f t="shared" si="240"/>
        <v>0</v>
      </c>
      <c r="EZ1291" s="97">
        <f t="shared" si="241"/>
        <v>0</v>
      </c>
      <c r="FA1291" s="97">
        <f t="shared" si="241"/>
        <v>0</v>
      </c>
      <c r="FB1291" s="97">
        <f t="shared" si="241"/>
        <v>0</v>
      </c>
      <c r="FC1291" s="102"/>
      <c r="FD1291" s="102"/>
      <c r="FE1291" s="102"/>
      <c r="FF1291" s="97">
        <f t="shared" si="242"/>
        <v>0</v>
      </c>
      <c r="FG1291" s="97">
        <f t="shared" si="243"/>
        <v>0</v>
      </c>
      <c r="FH1291" s="97">
        <f t="shared" si="244"/>
        <v>0</v>
      </c>
      <c r="FI1291" s="97">
        <f t="shared" si="245"/>
        <v>0</v>
      </c>
      <c r="FJ1291" s="97">
        <f t="shared" si="246"/>
        <v>0</v>
      </c>
      <c r="FK1291" s="97">
        <f t="shared" si="247"/>
        <v>0</v>
      </c>
      <c r="FL1291" s="97">
        <f t="shared" si="248"/>
        <v>0</v>
      </c>
      <c r="FM1291" s="97">
        <f t="shared" si="249"/>
        <v>0</v>
      </c>
      <c r="FN1291" s="97">
        <f t="shared" si="250"/>
        <v>0</v>
      </c>
      <c r="FO1291" s="97">
        <f t="shared" si="251"/>
        <v>0</v>
      </c>
      <c r="FP1291" s="97">
        <f t="shared" si="252"/>
        <v>0</v>
      </c>
      <c r="FQ1291" s="97">
        <f t="shared" si="253"/>
        <v>0</v>
      </c>
      <c r="FR1291" s="97">
        <f t="shared" si="254"/>
        <v>0</v>
      </c>
      <c r="FS1291" s="97">
        <f t="shared" si="254"/>
        <v>0</v>
      </c>
      <c r="FT1291" s="97">
        <f t="shared" si="254"/>
        <v>0</v>
      </c>
      <c r="FU1291" s="97">
        <f t="shared" si="255"/>
        <v>0</v>
      </c>
      <c r="FV1291" s="97">
        <f t="shared" si="255"/>
        <v>0</v>
      </c>
      <c r="FW1291" s="97">
        <f t="shared" si="255"/>
        <v>0</v>
      </c>
      <c r="FX1291" s="102"/>
      <c r="FY1291" s="102"/>
      <c r="FZ1291" s="102"/>
      <c r="GA1291" s="97">
        <f t="shared" si="256"/>
        <v>0</v>
      </c>
      <c r="GB1291" s="97">
        <f t="shared" si="257"/>
        <v>0</v>
      </c>
      <c r="GC1291" s="97">
        <f t="shared" si="258"/>
        <v>0</v>
      </c>
      <c r="GD1291" s="97">
        <f t="shared" si="259"/>
        <v>0</v>
      </c>
      <c r="GE1291" s="97">
        <f t="shared" si="260"/>
        <v>0</v>
      </c>
      <c r="GF1291" s="97">
        <f t="shared" si="261"/>
        <v>0</v>
      </c>
      <c r="GG1291" s="97">
        <f t="shared" si="262"/>
        <v>0</v>
      </c>
      <c r="GH1291" s="97">
        <f t="shared" si="263"/>
        <v>0</v>
      </c>
      <c r="GI1291" s="97">
        <f t="shared" si="264"/>
        <v>0</v>
      </c>
      <c r="GJ1291" s="97">
        <f t="shared" si="265"/>
        <v>0</v>
      </c>
      <c r="GK1291" s="97">
        <f t="shared" si="266"/>
        <v>0</v>
      </c>
      <c r="GL1291" s="97">
        <f t="shared" si="267"/>
        <v>0</v>
      </c>
      <c r="GM1291" s="97">
        <f t="shared" si="268"/>
        <v>0</v>
      </c>
      <c r="GN1291" s="97">
        <f t="shared" si="268"/>
        <v>0</v>
      </c>
      <c r="GO1291" s="97">
        <f t="shared" si="268"/>
        <v>0</v>
      </c>
      <c r="GP1291" s="97">
        <f t="shared" si="269"/>
        <v>0</v>
      </c>
      <c r="GQ1291" s="97">
        <f t="shared" si="269"/>
        <v>0</v>
      </c>
      <c r="GR1291" s="97">
        <f t="shared" si="269"/>
        <v>0</v>
      </c>
      <c r="GS1291" s="102"/>
      <c r="GT1291" s="102"/>
      <c r="GU1291" s="102"/>
      <c r="GV1291" s="97">
        <f t="shared" si="270"/>
        <v>0</v>
      </c>
      <c r="GW1291" s="97">
        <f t="shared" si="271"/>
        <v>0</v>
      </c>
      <c r="GX1291" s="97">
        <f t="shared" si="272"/>
        <v>0</v>
      </c>
      <c r="GY1291" s="97">
        <f t="shared" si="273"/>
        <v>0</v>
      </c>
      <c r="GZ1291" s="97">
        <f t="shared" si="274"/>
        <v>0</v>
      </c>
      <c r="HA1291" s="97">
        <f t="shared" si="275"/>
        <v>0</v>
      </c>
      <c r="HB1291" s="97">
        <f t="shared" si="276"/>
        <v>0</v>
      </c>
      <c r="HC1291" s="97">
        <f t="shared" si="277"/>
        <v>0</v>
      </c>
      <c r="HD1291" s="97">
        <f t="shared" si="278"/>
        <v>0</v>
      </c>
      <c r="HE1291" s="97">
        <f t="shared" si="279"/>
        <v>0</v>
      </c>
      <c r="HF1291" s="97">
        <f t="shared" si="280"/>
        <v>0</v>
      </c>
      <c r="HG1291" s="97">
        <f t="shared" si="281"/>
        <v>0</v>
      </c>
      <c r="HH1291" s="97">
        <f t="shared" si="282"/>
        <v>0</v>
      </c>
      <c r="HI1291" s="97">
        <f t="shared" si="282"/>
        <v>0</v>
      </c>
      <c r="HJ1291" s="97">
        <f t="shared" si="282"/>
        <v>0</v>
      </c>
      <c r="HK1291" s="97">
        <f t="shared" si="283"/>
        <v>0</v>
      </c>
      <c r="HL1291" s="97">
        <f t="shared" si="283"/>
        <v>0</v>
      </c>
      <c r="HM1291" s="97">
        <f t="shared" si="283"/>
        <v>0</v>
      </c>
      <c r="HN1291" s="102"/>
      <c r="HO1291" s="102"/>
      <c r="HP1291" s="102"/>
      <c r="HQ1291" s="97">
        <f t="shared" si="284"/>
        <v>0</v>
      </c>
      <c r="HR1291" s="97">
        <f t="shared" si="285"/>
        <v>0</v>
      </c>
      <c r="HS1291" s="97">
        <f t="shared" si="286"/>
        <v>0</v>
      </c>
      <c r="HT1291" s="97">
        <f t="shared" si="287"/>
        <v>0</v>
      </c>
      <c r="HU1291" s="97">
        <f t="shared" si="288"/>
        <v>0</v>
      </c>
      <c r="HV1291" s="97">
        <f t="shared" si="289"/>
        <v>0</v>
      </c>
      <c r="HW1291" s="97">
        <f t="shared" si="290"/>
        <v>0</v>
      </c>
      <c r="HX1291" s="97">
        <f t="shared" si="291"/>
        <v>0</v>
      </c>
      <c r="HY1291" s="97">
        <f t="shared" si="292"/>
        <v>0</v>
      </c>
      <c r="HZ1291" s="97">
        <f t="shared" si="293"/>
        <v>0</v>
      </c>
      <c r="IA1291" s="97">
        <f t="shared" si="294"/>
        <v>0</v>
      </c>
      <c r="IB1291" s="97">
        <f t="shared" si="295"/>
        <v>0</v>
      </c>
      <c r="IC1291" s="97">
        <f t="shared" si="296"/>
        <v>0</v>
      </c>
      <c r="ID1291" s="97">
        <f t="shared" si="296"/>
        <v>0</v>
      </c>
      <c r="IE1291" s="97">
        <f t="shared" si="296"/>
        <v>0</v>
      </c>
      <c r="IF1291" s="97">
        <f t="shared" si="297"/>
        <v>0</v>
      </c>
      <c r="IG1291" s="97">
        <f t="shared" si="297"/>
        <v>0</v>
      </c>
      <c r="IH1291" s="97">
        <f t="shared" si="297"/>
        <v>0</v>
      </c>
      <c r="II1291" s="102"/>
      <c r="IJ1291" s="102"/>
      <c r="IK1291" s="102"/>
      <c r="IL1291" s="97">
        <f t="shared" si="298"/>
        <v>0</v>
      </c>
      <c r="IM1291" s="97">
        <f t="shared" si="299"/>
        <v>0</v>
      </c>
      <c r="IN1291" s="97">
        <f t="shared" si="300"/>
        <v>0</v>
      </c>
      <c r="IO1291" s="97">
        <f t="shared" si="301"/>
        <v>0</v>
      </c>
      <c r="IP1291" s="97">
        <f t="shared" si="302"/>
        <v>0</v>
      </c>
      <c r="IQ1291" s="97">
        <f t="shared" si="303"/>
        <v>0</v>
      </c>
      <c r="IR1291" s="97">
        <f t="shared" si="304"/>
        <v>0</v>
      </c>
      <c r="IS1291" s="97">
        <f t="shared" si="305"/>
        <v>0</v>
      </c>
      <c r="IT1291" s="97">
        <f t="shared" si="306"/>
        <v>0</v>
      </c>
      <c r="IU1291" s="97">
        <f t="shared" si="307"/>
        <v>0</v>
      </c>
      <c r="IV1291" s="97">
        <f t="shared" si="308"/>
        <v>0</v>
      </c>
      <c r="IW1291" s="97">
        <f t="shared" si="309"/>
        <v>0</v>
      </c>
      <c r="IX1291" s="97">
        <f t="shared" si="310"/>
        <v>0</v>
      </c>
      <c r="IY1291" s="97">
        <f t="shared" si="310"/>
        <v>0</v>
      </c>
      <c r="IZ1291" s="97">
        <f t="shared" si="310"/>
        <v>0</v>
      </c>
      <c r="JA1291" s="97">
        <f t="shared" si="311"/>
        <v>0</v>
      </c>
      <c r="JB1291" s="97">
        <f t="shared" si="311"/>
        <v>0</v>
      </c>
      <c r="JC1291" s="97">
        <f t="shared" si="311"/>
        <v>0</v>
      </c>
      <c r="JD1291" s="102"/>
      <c r="JE1291" s="102"/>
      <c r="JF1291" s="102"/>
      <c r="JG1291" s="97">
        <f t="shared" si="312"/>
        <v>0</v>
      </c>
      <c r="JH1291" s="97">
        <f t="shared" si="313"/>
        <v>0</v>
      </c>
      <c r="JI1291" s="97">
        <f t="shared" si="314"/>
        <v>0</v>
      </c>
      <c r="JJ1291" s="97">
        <f t="shared" si="315"/>
        <v>0</v>
      </c>
      <c r="JK1291" s="97">
        <f t="shared" si="316"/>
        <v>0</v>
      </c>
      <c r="JL1291" s="97">
        <f t="shared" si="317"/>
        <v>0</v>
      </c>
      <c r="JM1291" s="97">
        <f t="shared" si="318"/>
        <v>0</v>
      </c>
      <c r="JN1291" s="97">
        <f t="shared" si="319"/>
        <v>0</v>
      </c>
      <c r="JO1291" s="97">
        <f t="shared" si="320"/>
        <v>0</v>
      </c>
      <c r="JP1291" s="97">
        <f t="shared" si="321"/>
        <v>0</v>
      </c>
      <c r="JQ1291" s="97">
        <f t="shared" si="322"/>
        <v>0</v>
      </c>
      <c r="JR1291" s="97">
        <f t="shared" si="323"/>
        <v>0</v>
      </c>
      <c r="JS1291" s="97">
        <f t="shared" si="324"/>
        <v>0</v>
      </c>
      <c r="JT1291" s="97">
        <f t="shared" si="324"/>
        <v>0</v>
      </c>
      <c r="JU1291" s="97">
        <f t="shared" si="324"/>
        <v>0</v>
      </c>
      <c r="JV1291" s="97">
        <f t="shared" si="325"/>
        <v>0</v>
      </c>
      <c r="JW1291" s="97">
        <f t="shared" si="325"/>
        <v>0</v>
      </c>
      <c r="JX1291" s="97">
        <f t="shared" si="325"/>
        <v>0</v>
      </c>
      <c r="JY1291" s="102"/>
      <c r="JZ1291" s="102"/>
      <c r="KA1291" s="102"/>
      <c r="KB1291" s="97">
        <f t="shared" si="326"/>
        <v>0</v>
      </c>
      <c r="KC1291" s="97">
        <f t="shared" si="327"/>
        <v>0</v>
      </c>
      <c r="KD1291" s="97">
        <f t="shared" si="328"/>
        <v>0</v>
      </c>
      <c r="KE1291" s="97">
        <f t="shared" si="329"/>
        <v>0</v>
      </c>
      <c r="KF1291" s="97">
        <f t="shared" si="330"/>
        <v>0</v>
      </c>
      <c r="KG1291" s="97">
        <f t="shared" si="331"/>
        <v>0</v>
      </c>
      <c r="KH1291" s="97">
        <f t="shared" si="332"/>
        <v>0</v>
      </c>
      <c r="KI1291" s="97">
        <f t="shared" si="333"/>
        <v>0</v>
      </c>
      <c r="KJ1291" s="97">
        <f t="shared" si="334"/>
        <v>0</v>
      </c>
      <c r="KK1291" s="97">
        <f t="shared" si="335"/>
        <v>0</v>
      </c>
      <c r="KL1291" s="97">
        <f t="shared" si="336"/>
        <v>0</v>
      </c>
      <c r="KM1291" s="97">
        <f t="shared" si="337"/>
        <v>0</v>
      </c>
      <c r="KN1291" s="97">
        <f t="shared" si="338"/>
        <v>0</v>
      </c>
      <c r="KO1291" s="97">
        <f t="shared" si="338"/>
        <v>0</v>
      </c>
      <c r="KP1291" s="97">
        <f t="shared" si="338"/>
        <v>0</v>
      </c>
      <c r="KQ1291" s="97">
        <f t="shared" si="339"/>
        <v>0</v>
      </c>
      <c r="KR1291" s="97">
        <f t="shared" si="339"/>
        <v>0</v>
      </c>
      <c r="KS1291" s="97">
        <f t="shared" si="339"/>
        <v>0</v>
      </c>
      <c r="KT1291" s="102"/>
      <c r="KU1291" s="102"/>
      <c r="KV1291" s="102"/>
      <c r="KW1291" s="97">
        <f t="shared" si="340"/>
        <v>0</v>
      </c>
      <c r="KX1291" s="97">
        <f t="shared" si="341"/>
        <v>0</v>
      </c>
      <c r="KY1291" s="97">
        <f t="shared" si="342"/>
        <v>0</v>
      </c>
      <c r="KZ1291" s="97">
        <f t="shared" si="343"/>
        <v>0</v>
      </c>
      <c r="LA1291" s="97">
        <f t="shared" si="344"/>
        <v>0</v>
      </c>
      <c r="LB1291" s="97">
        <f t="shared" si="345"/>
        <v>0</v>
      </c>
      <c r="LC1291" s="97">
        <f t="shared" si="346"/>
        <v>0</v>
      </c>
      <c r="LD1291" s="97">
        <f t="shared" si="347"/>
        <v>0</v>
      </c>
      <c r="LE1291" s="97">
        <f t="shared" si="348"/>
        <v>0</v>
      </c>
      <c r="LF1291" s="97">
        <f t="shared" si="349"/>
        <v>0</v>
      </c>
      <c r="LG1291" s="97">
        <f t="shared" si="350"/>
        <v>0</v>
      </c>
      <c r="LH1291" s="97">
        <f t="shared" si="351"/>
        <v>0</v>
      </c>
      <c r="LI1291" s="97">
        <f t="shared" si="352"/>
        <v>0</v>
      </c>
      <c r="LJ1291" s="97">
        <f t="shared" si="352"/>
        <v>0</v>
      </c>
      <c r="LK1291" s="97">
        <f t="shared" si="352"/>
        <v>0</v>
      </c>
      <c r="LL1291" s="97">
        <f t="shared" si="353"/>
        <v>0</v>
      </c>
      <c r="LM1291" s="97">
        <f t="shared" si="353"/>
        <v>0</v>
      </c>
      <c r="LN1291" s="97">
        <f t="shared" si="353"/>
        <v>0</v>
      </c>
      <c r="LO1291" s="102"/>
      <c r="LP1291" s="102"/>
      <c r="LQ1291" s="102"/>
      <c r="LR1291" s="97">
        <f t="shared" si="354"/>
        <v>0</v>
      </c>
      <c r="LS1291" s="97">
        <f t="shared" si="355"/>
        <v>0</v>
      </c>
      <c r="LT1291" s="97">
        <f t="shared" si="356"/>
        <v>0</v>
      </c>
      <c r="LU1291" s="97">
        <f t="shared" si="357"/>
        <v>0</v>
      </c>
      <c r="LV1291" s="97">
        <f t="shared" si="358"/>
        <v>0</v>
      </c>
      <c r="LW1291" s="97">
        <f t="shared" si="359"/>
        <v>0</v>
      </c>
      <c r="LX1291" s="97">
        <f t="shared" si="360"/>
        <v>0</v>
      </c>
      <c r="LY1291" s="97">
        <f t="shared" si="361"/>
        <v>0</v>
      </c>
      <c r="LZ1291" s="97">
        <f t="shared" si="362"/>
        <v>0</v>
      </c>
      <c r="MA1291" s="97">
        <f t="shared" si="363"/>
        <v>0</v>
      </c>
      <c r="MB1291" s="97">
        <f t="shared" si="364"/>
        <v>0</v>
      </c>
      <c r="MC1291" s="97">
        <f t="shared" si="365"/>
        <v>0</v>
      </c>
      <c r="MD1291" s="97">
        <f t="shared" si="366"/>
        <v>0</v>
      </c>
      <c r="ME1291" s="97">
        <f t="shared" si="366"/>
        <v>0</v>
      </c>
      <c r="MF1291" s="97">
        <f t="shared" si="366"/>
        <v>0</v>
      </c>
      <c r="MG1291" s="97">
        <f t="shared" si="367"/>
        <v>0</v>
      </c>
      <c r="MH1291" s="97">
        <f t="shared" si="367"/>
        <v>0</v>
      </c>
      <c r="MI1291" s="97">
        <f t="shared" si="367"/>
        <v>0</v>
      </c>
      <c r="MJ1291" s="102"/>
      <c r="MK1291" s="102"/>
      <c r="ML1291" s="102"/>
      <c r="MM1291" s="97">
        <f t="shared" si="368"/>
        <v>0</v>
      </c>
      <c r="MN1291" s="97">
        <f t="shared" si="369"/>
        <v>0</v>
      </c>
      <c r="MO1291" s="97">
        <f t="shared" si="370"/>
        <v>0</v>
      </c>
      <c r="MP1291" s="97">
        <f t="shared" si="371"/>
        <v>0</v>
      </c>
      <c r="MQ1291" s="97">
        <f t="shared" si="372"/>
        <v>0</v>
      </c>
      <c r="MR1291" s="97">
        <f t="shared" si="373"/>
        <v>0</v>
      </c>
      <c r="MS1291" s="97">
        <f t="shared" si="374"/>
        <v>0</v>
      </c>
      <c r="MT1291" s="97">
        <f t="shared" si="375"/>
        <v>0</v>
      </c>
      <c r="MU1291" s="97">
        <f t="shared" si="376"/>
        <v>0</v>
      </c>
      <c r="MV1291" s="97">
        <f t="shared" si="377"/>
        <v>0</v>
      </c>
      <c r="MW1291" s="97">
        <f t="shared" si="378"/>
        <v>0</v>
      </c>
      <c r="MX1291" s="97">
        <f t="shared" si="379"/>
        <v>0</v>
      </c>
      <c r="MY1291" s="97">
        <f t="shared" si="380"/>
        <v>0</v>
      </c>
      <c r="MZ1291" s="97">
        <f t="shared" si="380"/>
        <v>0</v>
      </c>
      <c r="NA1291" s="97">
        <f t="shared" si="380"/>
        <v>0</v>
      </c>
      <c r="NB1291" s="97">
        <f t="shared" si="381"/>
        <v>0</v>
      </c>
      <c r="NC1291" s="97">
        <f t="shared" si="381"/>
        <v>0</v>
      </c>
      <c r="ND1291" s="97">
        <f t="shared" si="381"/>
        <v>0</v>
      </c>
      <c r="NE1291" s="102"/>
      <c r="NF1291" s="102"/>
      <c r="NG1291" s="102"/>
      <c r="NH1291" s="97">
        <f t="shared" si="382"/>
        <v>0</v>
      </c>
      <c r="NI1291" s="97">
        <f t="shared" si="383"/>
        <v>0</v>
      </c>
      <c r="NJ1291" s="97">
        <f t="shared" si="384"/>
        <v>0</v>
      </c>
      <c r="NK1291" s="97">
        <f t="shared" si="385"/>
        <v>0</v>
      </c>
      <c r="NL1291" s="97">
        <f t="shared" si="386"/>
        <v>0</v>
      </c>
      <c r="NM1291" s="97">
        <f t="shared" si="387"/>
        <v>0</v>
      </c>
      <c r="NN1291" s="97">
        <f t="shared" si="388"/>
        <v>0</v>
      </c>
      <c r="NO1291" s="97">
        <f t="shared" si="389"/>
        <v>0</v>
      </c>
      <c r="NP1291" s="97">
        <f t="shared" si="390"/>
        <v>0</v>
      </c>
      <c r="NQ1291" s="97">
        <f t="shared" si="391"/>
        <v>0</v>
      </c>
      <c r="NR1291" s="97">
        <f t="shared" si="392"/>
        <v>0</v>
      </c>
      <c r="NS1291" s="97">
        <f t="shared" si="393"/>
        <v>0</v>
      </c>
      <c r="NT1291" s="97">
        <f t="shared" si="394"/>
        <v>0</v>
      </c>
      <c r="NU1291" s="97">
        <f t="shared" si="394"/>
        <v>0</v>
      </c>
      <c r="NV1291" s="97">
        <f t="shared" si="394"/>
        <v>0</v>
      </c>
      <c r="NW1291" s="97">
        <f t="shared" si="395"/>
        <v>0</v>
      </c>
      <c r="NX1291" s="97">
        <f t="shared" si="395"/>
        <v>0</v>
      </c>
      <c r="NY1291" s="97">
        <f t="shared" si="395"/>
        <v>0</v>
      </c>
      <c r="NZ1291" s="102"/>
      <c r="OA1291" s="102"/>
      <c r="OB1291" s="102"/>
      <c r="OC1291" s="97">
        <f t="shared" si="396"/>
        <v>0</v>
      </c>
      <c r="OD1291" s="97">
        <f t="shared" si="397"/>
        <v>0</v>
      </c>
      <c r="OE1291" s="97">
        <f t="shared" si="398"/>
        <v>0</v>
      </c>
      <c r="OF1291" s="97">
        <f t="shared" si="399"/>
        <v>0</v>
      </c>
      <c r="OG1291" s="97">
        <f t="shared" si="400"/>
        <v>0</v>
      </c>
      <c r="OH1291" s="97">
        <f t="shared" si="401"/>
        <v>0</v>
      </c>
      <c r="OI1291" s="97">
        <f t="shared" si="402"/>
        <v>0</v>
      </c>
      <c r="OJ1291" s="97">
        <f t="shared" si="403"/>
        <v>0</v>
      </c>
      <c r="OK1291" s="97">
        <f t="shared" si="404"/>
        <v>0</v>
      </c>
      <c r="OL1291" s="97">
        <f t="shared" si="405"/>
        <v>0</v>
      </c>
      <c r="OM1291" s="97">
        <f t="shared" si="406"/>
        <v>0</v>
      </c>
      <c r="ON1291" s="97">
        <f t="shared" si="407"/>
        <v>0</v>
      </c>
      <c r="OO1291" s="97">
        <f t="shared" si="408"/>
        <v>0</v>
      </c>
      <c r="OP1291" s="97">
        <f t="shared" si="408"/>
        <v>0</v>
      </c>
      <c r="OQ1291" s="97">
        <f t="shared" si="408"/>
        <v>0</v>
      </c>
      <c r="OR1291" s="97">
        <f t="shared" si="409"/>
        <v>0</v>
      </c>
      <c r="OS1291" s="97">
        <f t="shared" si="409"/>
        <v>0</v>
      </c>
      <c r="OT1291" s="97">
        <f t="shared" si="409"/>
        <v>0</v>
      </c>
      <c r="OU1291" s="102"/>
      <c r="OV1291" s="102"/>
      <c r="OW1291" s="102"/>
      <c r="OX1291" s="97">
        <f t="shared" si="410"/>
        <v>0</v>
      </c>
      <c r="OY1291" s="97">
        <f t="shared" si="411"/>
        <v>0</v>
      </c>
      <c r="OZ1291" s="97">
        <f t="shared" si="412"/>
        <v>0</v>
      </c>
      <c r="PA1291" s="97">
        <f t="shared" si="413"/>
        <v>0</v>
      </c>
      <c r="PB1291" s="97">
        <f t="shared" si="414"/>
        <v>0</v>
      </c>
      <c r="PC1291" s="97">
        <f t="shared" si="415"/>
        <v>0</v>
      </c>
      <c r="PD1291" s="97">
        <f t="shared" si="416"/>
        <v>0</v>
      </c>
      <c r="PE1291" s="97">
        <f t="shared" si="417"/>
        <v>0</v>
      </c>
      <c r="PF1291" s="97">
        <f t="shared" si="418"/>
        <v>0</v>
      </c>
      <c r="PG1291" s="97">
        <f t="shared" si="419"/>
        <v>0</v>
      </c>
      <c r="PH1291" s="97">
        <f t="shared" si="420"/>
        <v>0</v>
      </c>
      <c r="PI1291" s="97">
        <f t="shared" si="421"/>
        <v>0</v>
      </c>
      <c r="PJ1291" s="97">
        <f t="shared" si="422"/>
        <v>0</v>
      </c>
      <c r="PK1291" s="97">
        <f t="shared" si="422"/>
        <v>0</v>
      </c>
      <c r="PL1291" s="97">
        <f t="shared" si="422"/>
        <v>0</v>
      </c>
      <c r="PM1291" s="97">
        <f t="shared" si="423"/>
        <v>0</v>
      </c>
      <c r="PN1291" s="97">
        <f t="shared" si="423"/>
        <v>0</v>
      </c>
      <c r="PO1291" s="97">
        <f t="shared" si="423"/>
        <v>0</v>
      </c>
      <c r="PP1291" s="102"/>
      <c r="PQ1291" s="102"/>
      <c r="PR1291" s="102"/>
      <c r="PS1291" s="97">
        <f t="shared" si="424"/>
        <v>0</v>
      </c>
      <c r="PT1291" s="97">
        <f t="shared" si="425"/>
        <v>0</v>
      </c>
      <c r="PU1291" s="97">
        <f t="shared" si="426"/>
        <v>0</v>
      </c>
      <c r="PV1291" s="97">
        <f t="shared" si="427"/>
        <v>0</v>
      </c>
      <c r="PW1291" s="97">
        <f t="shared" si="428"/>
        <v>0</v>
      </c>
      <c r="PX1291" s="97">
        <f t="shared" si="429"/>
        <v>0</v>
      </c>
      <c r="PY1291" s="97">
        <f t="shared" si="430"/>
        <v>0</v>
      </c>
      <c r="PZ1291" s="97">
        <f t="shared" si="431"/>
        <v>0</v>
      </c>
      <c r="QA1291" s="97">
        <f t="shared" si="432"/>
        <v>0</v>
      </c>
      <c r="QB1291" s="97">
        <f t="shared" si="433"/>
        <v>0</v>
      </c>
      <c r="QC1291" s="97">
        <f t="shared" si="434"/>
        <v>0</v>
      </c>
      <c r="QD1291" s="97">
        <f t="shared" si="435"/>
        <v>0</v>
      </c>
      <c r="QE1291" s="97">
        <f t="shared" si="436"/>
        <v>0</v>
      </c>
      <c r="QF1291" s="97">
        <f t="shared" si="436"/>
        <v>0</v>
      </c>
      <c r="QG1291" s="97">
        <f t="shared" si="436"/>
        <v>0</v>
      </c>
      <c r="QH1291" s="97">
        <f t="shared" si="437"/>
        <v>0</v>
      </c>
      <c r="QI1291" s="97">
        <f t="shared" si="437"/>
        <v>0</v>
      </c>
      <c r="QJ1291" s="97">
        <f t="shared" si="437"/>
        <v>0</v>
      </c>
      <c r="QK1291" s="102"/>
      <c r="QL1291" s="102"/>
      <c r="QM1291" s="102"/>
      <c r="QN1291" s="97">
        <f t="shared" si="438"/>
        <v>0</v>
      </c>
      <c r="QO1291" s="97">
        <f t="shared" si="439"/>
        <v>0</v>
      </c>
      <c r="QP1291" s="97">
        <f t="shared" si="440"/>
        <v>0</v>
      </c>
      <c r="QQ1291" s="97">
        <f t="shared" si="441"/>
        <v>0</v>
      </c>
      <c r="QR1291" s="97">
        <f t="shared" si="442"/>
        <v>0</v>
      </c>
      <c r="QS1291" s="97">
        <f t="shared" si="443"/>
        <v>0</v>
      </c>
      <c r="QT1291" s="97">
        <f t="shared" si="444"/>
        <v>0</v>
      </c>
      <c r="QU1291" s="97">
        <f t="shared" si="445"/>
        <v>0</v>
      </c>
      <c r="QV1291" s="97">
        <f t="shared" si="446"/>
        <v>0</v>
      </c>
      <c r="QW1291" s="97">
        <f t="shared" si="447"/>
        <v>0</v>
      </c>
      <c r="QX1291" s="97">
        <f t="shared" si="448"/>
        <v>0</v>
      </c>
      <c r="QY1291" s="97">
        <f t="shared" si="449"/>
        <v>0</v>
      </c>
      <c r="QZ1291" s="97">
        <f t="shared" si="450"/>
        <v>0</v>
      </c>
      <c r="RA1291" s="97">
        <f t="shared" si="450"/>
        <v>0</v>
      </c>
      <c r="RB1291" s="97">
        <f t="shared" si="450"/>
        <v>0</v>
      </c>
      <c r="RC1291" s="97">
        <f t="shared" si="451"/>
        <v>0</v>
      </c>
      <c r="RD1291" s="97">
        <f t="shared" si="451"/>
        <v>0</v>
      </c>
      <c r="RE1291" s="97">
        <f t="shared" si="451"/>
        <v>0</v>
      </c>
      <c r="RF1291" s="102"/>
      <c r="RG1291" s="102"/>
      <c r="RH1291" s="102"/>
      <c r="RI1291" s="97">
        <f t="shared" si="452"/>
        <v>0</v>
      </c>
      <c r="RJ1291" s="97">
        <f t="shared" si="453"/>
        <v>0</v>
      </c>
      <c r="RK1291" s="97">
        <f t="shared" si="454"/>
        <v>0</v>
      </c>
      <c r="RL1291" s="97">
        <f t="shared" si="455"/>
        <v>0</v>
      </c>
      <c r="RM1291" s="97">
        <f t="shared" si="456"/>
        <v>0</v>
      </c>
      <c r="RN1291" s="97">
        <f t="shared" si="457"/>
        <v>0</v>
      </c>
      <c r="RO1291" s="97">
        <f t="shared" si="458"/>
        <v>0</v>
      </c>
      <c r="RP1291" s="97">
        <f t="shared" si="459"/>
        <v>0</v>
      </c>
      <c r="RQ1291" s="97">
        <f t="shared" si="460"/>
        <v>0</v>
      </c>
      <c r="RR1291" s="97">
        <f t="shared" si="461"/>
        <v>0</v>
      </c>
      <c r="RS1291" s="97">
        <f t="shared" si="462"/>
        <v>0</v>
      </c>
      <c r="RT1291" s="97">
        <f t="shared" si="463"/>
        <v>0</v>
      </c>
      <c r="RU1291" s="97">
        <f t="shared" si="464"/>
        <v>0</v>
      </c>
      <c r="RV1291" s="97">
        <f t="shared" si="464"/>
        <v>0</v>
      </c>
      <c r="RW1291" s="97">
        <f t="shared" si="464"/>
        <v>0</v>
      </c>
      <c r="RX1291" s="97">
        <f t="shared" si="465"/>
        <v>0</v>
      </c>
      <c r="RY1291" s="97">
        <f t="shared" si="465"/>
        <v>0</v>
      </c>
      <c r="RZ1291" s="97">
        <f t="shared" si="465"/>
        <v>0</v>
      </c>
      <c r="SA1291" s="102"/>
      <c r="SB1291" s="102"/>
      <c r="SC1291" s="102"/>
      <c r="SD1291" s="97">
        <f t="shared" si="466"/>
        <v>0</v>
      </c>
      <c r="SE1291" s="97">
        <f t="shared" si="467"/>
        <v>0</v>
      </c>
      <c r="SF1291" s="97">
        <f t="shared" si="468"/>
        <v>0</v>
      </c>
      <c r="SG1291" s="97">
        <f t="shared" si="469"/>
        <v>0</v>
      </c>
      <c r="SH1291" s="97">
        <f t="shared" si="470"/>
        <v>0</v>
      </c>
      <c r="SI1291" s="97">
        <f t="shared" si="471"/>
        <v>0</v>
      </c>
      <c r="SJ1291" s="97">
        <f t="shared" si="472"/>
        <v>0</v>
      </c>
      <c r="SK1291" s="97">
        <f t="shared" si="473"/>
        <v>0</v>
      </c>
      <c r="SL1291" s="97">
        <f t="shared" si="474"/>
        <v>0</v>
      </c>
      <c r="SM1291" s="97">
        <f t="shared" si="475"/>
        <v>0</v>
      </c>
      <c r="SN1291" s="97">
        <f t="shared" si="476"/>
        <v>0</v>
      </c>
      <c r="SO1291" s="97">
        <f t="shared" si="477"/>
        <v>0</v>
      </c>
      <c r="SP1291" s="97">
        <f t="shared" si="478"/>
        <v>0</v>
      </c>
      <c r="SQ1291" s="97">
        <f t="shared" si="478"/>
        <v>0</v>
      </c>
      <c r="SR1291" s="97">
        <f t="shared" si="478"/>
        <v>0</v>
      </c>
      <c r="SS1291" s="97">
        <f t="shared" si="479"/>
        <v>0</v>
      </c>
      <c r="ST1291" s="97">
        <f t="shared" si="479"/>
        <v>0</v>
      </c>
      <c r="SU1291" s="97">
        <f t="shared" si="479"/>
        <v>0</v>
      </c>
      <c r="SV1291" s="102"/>
      <c r="SW1291" s="102"/>
      <c r="SX1291" s="102"/>
      <c r="SY1291" s="97">
        <f t="shared" si="480"/>
        <v>0</v>
      </c>
      <c r="SZ1291" s="97">
        <f t="shared" si="481"/>
        <v>0</v>
      </c>
      <c r="TA1291" s="97">
        <f t="shared" si="482"/>
        <v>0</v>
      </c>
      <c r="TB1291" s="97">
        <f t="shared" si="483"/>
        <v>0</v>
      </c>
      <c r="TC1291" s="97">
        <f t="shared" si="484"/>
        <v>0</v>
      </c>
      <c r="TD1291" s="97">
        <f t="shared" si="485"/>
        <v>0</v>
      </c>
      <c r="TE1291" s="97">
        <f t="shared" si="486"/>
        <v>0</v>
      </c>
      <c r="TF1291" s="97">
        <f t="shared" si="487"/>
        <v>0</v>
      </c>
      <c r="TG1291" s="97">
        <f t="shared" si="488"/>
        <v>0</v>
      </c>
      <c r="TH1291" s="97">
        <f t="shared" si="489"/>
        <v>0</v>
      </c>
      <c r="TI1291" s="97">
        <f t="shared" si="490"/>
        <v>0</v>
      </c>
      <c r="TJ1291" s="97">
        <f t="shared" si="491"/>
        <v>0</v>
      </c>
      <c r="TK1291" s="97">
        <f t="shared" si="492"/>
        <v>0</v>
      </c>
      <c r="TL1291" s="97">
        <f t="shared" si="492"/>
        <v>0</v>
      </c>
      <c r="TM1291" s="97">
        <f t="shared" si="492"/>
        <v>0</v>
      </c>
      <c r="TN1291" s="97">
        <f t="shared" si="493"/>
        <v>0</v>
      </c>
      <c r="TO1291" s="97">
        <f t="shared" si="493"/>
        <v>0</v>
      </c>
      <c r="TP1291" s="97">
        <f t="shared" si="493"/>
        <v>0</v>
      </c>
      <c r="TQ1291" s="102"/>
      <c r="TR1291" s="102"/>
      <c r="TS1291" s="102"/>
      <c r="TT1291" s="97">
        <f t="shared" si="494"/>
        <v>0</v>
      </c>
      <c r="TU1291" s="97">
        <f t="shared" si="495"/>
        <v>0</v>
      </c>
      <c r="TV1291" s="97">
        <f t="shared" si="496"/>
        <v>0</v>
      </c>
      <c r="TW1291" s="97">
        <f t="shared" si="497"/>
        <v>0</v>
      </c>
      <c r="TX1291" s="97">
        <f t="shared" si="498"/>
        <v>0</v>
      </c>
      <c r="TY1291" s="97">
        <f t="shared" si="499"/>
        <v>0</v>
      </c>
      <c r="TZ1291" s="97">
        <f t="shared" si="500"/>
        <v>0</v>
      </c>
      <c r="UA1291" s="97">
        <f t="shared" si="501"/>
        <v>0</v>
      </c>
      <c r="UB1291" s="97">
        <f t="shared" si="502"/>
        <v>0</v>
      </c>
      <c r="UC1291" s="97">
        <f t="shared" si="503"/>
        <v>0</v>
      </c>
      <c r="UD1291" s="97">
        <f t="shared" si="504"/>
        <v>0</v>
      </c>
      <c r="UE1291" s="97">
        <f t="shared" si="505"/>
        <v>0</v>
      </c>
      <c r="UF1291" s="97">
        <f t="shared" si="506"/>
        <v>0</v>
      </c>
      <c r="UG1291" s="97">
        <f t="shared" si="506"/>
        <v>0</v>
      </c>
      <c r="UH1291" s="97">
        <f t="shared" si="506"/>
        <v>0</v>
      </c>
      <c r="UI1291" s="97">
        <f t="shared" si="507"/>
        <v>0</v>
      </c>
      <c r="UJ1291" s="97">
        <f t="shared" si="507"/>
        <v>0</v>
      </c>
      <c r="UK1291" s="97">
        <f t="shared" si="507"/>
        <v>0</v>
      </c>
      <c r="UL1291" s="102"/>
      <c r="UM1291" s="102"/>
      <c r="UN1291" s="102"/>
      <c r="UO1291" s="97">
        <f t="shared" si="508"/>
        <v>0</v>
      </c>
      <c r="UP1291" s="97">
        <f t="shared" si="509"/>
        <v>0</v>
      </c>
      <c r="UQ1291" s="97">
        <f t="shared" si="510"/>
        <v>0</v>
      </c>
      <c r="UR1291" s="97">
        <f t="shared" si="511"/>
        <v>0</v>
      </c>
      <c r="US1291" s="97">
        <f t="shared" si="512"/>
        <v>0</v>
      </c>
      <c r="UT1291" s="97">
        <f t="shared" si="513"/>
        <v>0</v>
      </c>
      <c r="UU1291" s="97">
        <f t="shared" si="514"/>
        <v>50264.61</v>
      </c>
      <c r="UV1291" s="97">
        <f t="shared" si="515"/>
        <v>52799.51</v>
      </c>
      <c r="UW1291" s="97">
        <f t="shared" si="516"/>
        <v>54898.03</v>
      </c>
      <c r="UX1291" s="97">
        <f t="shared" si="517"/>
        <v>11994.84</v>
      </c>
      <c r="UY1291" s="97">
        <f t="shared" si="518"/>
        <v>12680.95</v>
      </c>
      <c r="UZ1291" s="97">
        <f t="shared" si="519"/>
        <v>13508.54</v>
      </c>
      <c r="VA1291" s="97">
        <f t="shared" si="520"/>
        <v>0</v>
      </c>
      <c r="VB1291" s="97">
        <f t="shared" si="520"/>
        <v>0</v>
      </c>
      <c r="VC1291" s="97">
        <f t="shared" si="520"/>
        <v>0</v>
      </c>
      <c r="VD1291" s="97">
        <f t="shared" si="521"/>
        <v>0</v>
      </c>
      <c r="VE1291" s="97">
        <f t="shared" si="521"/>
        <v>0</v>
      </c>
      <c r="VF1291" s="97">
        <f t="shared" si="521"/>
        <v>0</v>
      </c>
      <c r="VG1291" s="102"/>
      <c r="VH1291" s="102"/>
      <c r="VI1291" s="102"/>
      <c r="VJ1291" s="97">
        <f t="shared" si="522"/>
        <v>0</v>
      </c>
      <c r="VK1291" s="97">
        <f t="shared" si="523"/>
        <v>0</v>
      </c>
      <c r="VL1291" s="97">
        <f t="shared" si="524"/>
        <v>0</v>
      </c>
      <c r="VM1291" s="97">
        <f t="shared" si="525"/>
        <v>0</v>
      </c>
      <c r="VN1291" s="97">
        <f t="shared" si="526"/>
        <v>0</v>
      </c>
      <c r="VO1291" s="97">
        <f t="shared" si="527"/>
        <v>0</v>
      </c>
      <c r="VP1291" s="97">
        <f t="shared" si="528"/>
        <v>0</v>
      </c>
      <c r="VQ1291" s="97">
        <f t="shared" si="529"/>
        <v>0</v>
      </c>
      <c r="VR1291" s="97">
        <f t="shared" si="530"/>
        <v>0</v>
      </c>
      <c r="VS1291" s="97">
        <f t="shared" si="531"/>
        <v>0</v>
      </c>
      <c r="VT1291" s="97">
        <f t="shared" si="532"/>
        <v>0</v>
      </c>
      <c r="VU1291" s="97">
        <f t="shared" si="533"/>
        <v>0</v>
      </c>
      <c r="VV1291" s="97">
        <f t="shared" si="534"/>
        <v>0</v>
      </c>
      <c r="VW1291" s="97">
        <f t="shared" si="534"/>
        <v>0</v>
      </c>
      <c r="VX1291" s="97">
        <f t="shared" si="534"/>
        <v>0</v>
      </c>
      <c r="VY1291" s="97">
        <f t="shared" si="535"/>
        <v>0</v>
      </c>
      <c r="VZ1291" s="97">
        <f t="shared" si="535"/>
        <v>0</v>
      </c>
      <c r="WA1291" s="97">
        <f t="shared" si="535"/>
        <v>0</v>
      </c>
      <c r="WB1291" s="102"/>
      <c r="WC1291" s="102"/>
      <c r="WD1291" s="102"/>
      <c r="WE1291" s="97">
        <f t="shared" si="536"/>
        <v>0</v>
      </c>
      <c r="WF1291" s="97">
        <f t="shared" si="537"/>
        <v>0</v>
      </c>
      <c r="WG1291" s="97">
        <f t="shared" si="538"/>
        <v>0</v>
      </c>
      <c r="WH1291" s="97">
        <f t="shared" si="539"/>
        <v>0</v>
      </c>
      <c r="WI1291" s="97">
        <f t="shared" si="540"/>
        <v>0</v>
      </c>
      <c r="WJ1291" s="97">
        <f t="shared" si="541"/>
        <v>0</v>
      </c>
      <c r="WK1291" s="97">
        <f t="shared" si="542"/>
        <v>0</v>
      </c>
      <c r="WL1291" s="97">
        <f t="shared" si="543"/>
        <v>0</v>
      </c>
      <c r="WM1291" s="97">
        <f t="shared" si="544"/>
        <v>0</v>
      </c>
      <c r="WN1291" s="97">
        <f t="shared" si="545"/>
        <v>0</v>
      </c>
      <c r="WO1291" s="97">
        <f t="shared" si="546"/>
        <v>0</v>
      </c>
      <c r="WP1291" s="97">
        <f t="shared" si="547"/>
        <v>0</v>
      </c>
      <c r="WQ1291" s="97">
        <f t="shared" si="548"/>
        <v>0</v>
      </c>
      <c r="WR1291" s="97">
        <f t="shared" si="548"/>
        <v>0</v>
      </c>
      <c r="WS1291" s="97">
        <f t="shared" si="548"/>
        <v>0</v>
      </c>
      <c r="WT1291" s="97">
        <f t="shared" si="549"/>
        <v>0</v>
      </c>
      <c r="WU1291" s="97">
        <f t="shared" si="549"/>
        <v>0</v>
      </c>
      <c r="WV1291" s="97">
        <f t="shared" si="549"/>
        <v>0</v>
      </c>
      <c r="WW1291" s="102"/>
      <c r="WX1291" s="102"/>
      <c r="WY1291" s="102"/>
      <c r="WZ1291" s="97">
        <f t="shared" si="550"/>
        <v>0</v>
      </c>
      <c r="XA1291" s="97">
        <f t="shared" si="551"/>
        <v>0</v>
      </c>
      <c r="XB1291" s="97">
        <f t="shared" si="552"/>
        <v>0</v>
      </c>
      <c r="XC1291" s="97">
        <f t="shared" si="553"/>
        <v>0</v>
      </c>
      <c r="XD1291" s="97">
        <f t="shared" si="554"/>
        <v>0</v>
      </c>
      <c r="XE1291" s="97">
        <f t="shared" si="555"/>
        <v>0</v>
      </c>
      <c r="XF1291" s="97">
        <f t="shared" si="556"/>
        <v>0</v>
      </c>
      <c r="XG1291" s="97">
        <f t="shared" si="557"/>
        <v>0</v>
      </c>
      <c r="XH1291" s="97">
        <f t="shared" si="558"/>
        <v>0</v>
      </c>
      <c r="XI1291" s="97">
        <f t="shared" si="559"/>
        <v>0</v>
      </c>
      <c r="XJ1291" s="97">
        <f t="shared" si="560"/>
        <v>0</v>
      </c>
      <c r="XK1291" s="97">
        <f t="shared" si="561"/>
        <v>0</v>
      </c>
      <c r="XL1291" s="97">
        <f t="shared" si="562"/>
        <v>0</v>
      </c>
      <c r="XM1291" s="97">
        <f t="shared" si="562"/>
        <v>0</v>
      </c>
      <c r="XN1291" s="97">
        <f t="shared" si="562"/>
        <v>0</v>
      </c>
      <c r="XO1291" s="97">
        <f t="shared" si="563"/>
        <v>0</v>
      </c>
      <c r="XP1291" s="97">
        <f t="shared" si="563"/>
        <v>0</v>
      </c>
      <c r="XQ1291" s="97">
        <f t="shared" si="563"/>
        <v>0</v>
      </c>
      <c r="XR1291" s="102"/>
      <c r="XS1291" s="102"/>
      <c r="XT1291" s="102"/>
      <c r="XU1291" s="97">
        <f t="shared" si="564"/>
        <v>0</v>
      </c>
      <c r="XV1291" s="97">
        <f t="shared" si="565"/>
        <v>0</v>
      </c>
      <c r="XW1291" s="97">
        <f t="shared" si="566"/>
        <v>0</v>
      </c>
      <c r="XX1291" s="97">
        <f t="shared" si="567"/>
        <v>0</v>
      </c>
      <c r="XY1291" s="97">
        <f t="shared" si="568"/>
        <v>0</v>
      </c>
      <c r="XZ1291" s="97">
        <f t="shared" si="569"/>
        <v>0</v>
      </c>
      <c r="YA1291" s="97">
        <f t="shared" si="570"/>
        <v>0</v>
      </c>
      <c r="YB1291" s="97">
        <f t="shared" si="571"/>
        <v>0</v>
      </c>
      <c r="YC1291" s="97">
        <f t="shared" si="572"/>
        <v>0</v>
      </c>
      <c r="YD1291" s="97">
        <f t="shared" si="573"/>
        <v>0</v>
      </c>
      <c r="YE1291" s="97">
        <f t="shared" si="574"/>
        <v>0</v>
      </c>
      <c r="YF1291" s="97">
        <f t="shared" si="575"/>
        <v>0</v>
      </c>
      <c r="YG1291" s="97">
        <f t="shared" si="576"/>
        <v>0</v>
      </c>
      <c r="YH1291" s="97">
        <f t="shared" si="576"/>
        <v>0</v>
      </c>
      <c r="YI1291" s="97">
        <f t="shared" si="576"/>
        <v>0</v>
      </c>
      <c r="YJ1291" s="97">
        <f t="shared" si="577"/>
        <v>0</v>
      </c>
      <c r="YK1291" s="97">
        <f t="shared" si="577"/>
        <v>0</v>
      </c>
      <c r="YL1291" s="97">
        <f t="shared" si="577"/>
        <v>0</v>
      </c>
      <c r="YM1291" s="145">
        <f t="shared" si="601"/>
        <v>0</v>
      </c>
      <c r="YN1291" s="145">
        <f t="shared" si="578"/>
        <v>0</v>
      </c>
      <c r="YO1291" s="145">
        <f t="shared" si="578"/>
        <v>0</v>
      </c>
      <c r="YP1291" s="97">
        <f t="shared" si="579"/>
        <v>0</v>
      </c>
      <c r="YQ1291" s="97">
        <f t="shared" si="580"/>
        <v>0</v>
      </c>
      <c r="YR1291" s="97">
        <f t="shared" si="581"/>
        <v>0</v>
      </c>
      <c r="YS1291" s="97">
        <f t="shared" si="582"/>
        <v>0</v>
      </c>
      <c r="YT1291" s="97">
        <f t="shared" si="583"/>
        <v>0</v>
      </c>
      <c r="YU1291" s="97">
        <f t="shared" si="584"/>
        <v>0</v>
      </c>
      <c r="YV1291" s="97">
        <f t="shared" si="585"/>
        <v>50264.61</v>
      </c>
      <c r="YW1291" s="97">
        <f t="shared" si="586"/>
        <v>52799.51</v>
      </c>
      <c r="YX1291" s="97">
        <f t="shared" si="587"/>
        <v>54898.03</v>
      </c>
      <c r="YY1291" s="97">
        <f t="shared" si="588"/>
        <v>11994.84</v>
      </c>
      <c r="YZ1291" s="97">
        <f t="shared" si="589"/>
        <v>12680.95</v>
      </c>
      <c r="ZA1291" s="97">
        <f t="shared" si="590"/>
        <v>13508.54</v>
      </c>
      <c r="ZB1291" s="97">
        <f t="shared" si="591"/>
        <v>0</v>
      </c>
      <c r="ZC1291" s="97">
        <f t="shared" si="591"/>
        <v>0</v>
      </c>
      <c r="ZD1291" s="97">
        <f t="shared" si="591"/>
        <v>0</v>
      </c>
      <c r="ZE1291" s="97">
        <f t="shared" si="592"/>
        <v>0</v>
      </c>
      <c r="ZF1291" s="97">
        <f t="shared" si="592"/>
        <v>0</v>
      </c>
      <c r="ZG1291" s="97">
        <f t="shared" si="592"/>
        <v>0</v>
      </c>
    </row>
    <row r="1292" spans="1:683" ht="24" hidden="1" x14ac:dyDescent="0.25">
      <c r="A1292" s="92" t="s">
        <v>424</v>
      </c>
      <c r="B1292" s="174" t="s">
        <v>427</v>
      </c>
      <c r="C1292" s="5"/>
      <c r="D1292" s="340"/>
      <c r="E1292" s="163"/>
      <c r="F1292" s="110">
        <f t="shared" si="148"/>
        <v>143426</v>
      </c>
      <c r="G1292" s="110">
        <f t="shared" si="148"/>
        <v>147231</v>
      </c>
      <c r="H1292" s="110">
        <f t="shared" si="148"/>
        <v>152085</v>
      </c>
      <c r="I1292" s="97">
        <f t="shared" si="149"/>
        <v>127478</v>
      </c>
      <c r="J1292" s="97">
        <f t="shared" si="149"/>
        <v>132137</v>
      </c>
      <c r="K1292" s="97">
        <f t="shared" si="149"/>
        <v>135630</v>
      </c>
      <c r="L1292" s="102"/>
      <c r="M1292" s="102"/>
      <c r="N1292" s="102"/>
      <c r="O1292" s="97">
        <f t="shared" si="593"/>
        <v>0</v>
      </c>
      <c r="P1292" s="97">
        <f t="shared" si="594"/>
        <v>0</v>
      </c>
      <c r="Q1292" s="97">
        <f t="shared" si="595"/>
        <v>0</v>
      </c>
      <c r="R1292" s="97">
        <f t="shared" si="596"/>
        <v>0</v>
      </c>
      <c r="S1292" s="97">
        <f t="shared" si="597"/>
        <v>0</v>
      </c>
      <c r="T1292" s="97">
        <f t="shared" si="598"/>
        <v>0</v>
      </c>
      <c r="U1292" s="97">
        <f t="shared" si="150"/>
        <v>0</v>
      </c>
      <c r="V1292" s="97">
        <f t="shared" si="151"/>
        <v>0</v>
      </c>
      <c r="W1292" s="97">
        <f t="shared" si="152"/>
        <v>0</v>
      </c>
      <c r="X1292" s="97">
        <f t="shared" si="153"/>
        <v>0</v>
      </c>
      <c r="Y1292" s="97">
        <f t="shared" si="154"/>
        <v>0</v>
      </c>
      <c r="Z1292" s="97">
        <f t="shared" si="155"/>
        <v>0</v>
      </c>
      <c r="AA1292" s="97">
        <f t="shared" si="599"/>
        <v>0</v>
      </c>
      <c r="AB1292" s="97">
        <f t="shared" si="156"/>
        <v>0</v>
      </c>
      <c r="AC1292" s="97">
        <f t="shared" si="156"/>
        <v>0</v>
      </c>
      <c r="AD1292" s="97">
        <f t="shared" si="600"/>
        <v>0</v>
      </c>
      <c r="AE1292" s="97">
        <f t="shared" si="157"/>
        <v>0</v>
      </c>
      <c r="AF1292" s="97">
        <f t="shared" si="157"/>
        <v>0</v>
      </c>
      <c r="AG1292" s="102"/>
      <c r="AH1292" s="102"/>
      <c r="AI1292" s="102"/>
      <c r="AJ1292" s="97">
        <f t="shared" si="158"/>
        <v>0</v>
      </c>
      <c r="AK1292" s="97">
        <f t="shared" si="159"/>
        <v>0</v>
      </c>
      <c r="AL1292" s="97">
        <f t="shared" si="160"/>
        <v>0</v>
      </c>
      <c r="AM1292" s="97">
        <f t="shared" si="161"/>
        <v>0</v>
      </c>
      <c r="AN1292" s="97">
        <f t="shared" si="162"/>
        <v>0</v>
      </c>
      <c r="AO1292" s="97">
        <f t="shared" si="163"/>
        <v>0</v>
      </c>
      <c r="AP1292" s="97">
        <f t="shared" si="164"/>
        <v>0</v>
      </c>
      <c r="AQ1292" s="97">
        <f t="shared" si="165"/>
        <v>0</v>
      </c>
      <c r="AR1292" s="97">
        <f t="shared" si="166"/>
        <v>0</v>
      </c>
      <c r="AS1292" s="97">
        <f t="shared" si="167"/>
        <v>0</v>
      </c>
      <c r="AT1292" s="97">
        <f t="shared" si="168"/>
        <v>0</v>
      </c>
      <c r="AU1292" s="97">
        <f t="shared" si="169"/>
        <v>0</v>
      </c>
      <c r="AV1292" s="97">
        <f t="shared" si="170"/>
        <v>0</v>
      </c>
      <c r="AW1292" s="97">
        <f t="shared" si="170"/>
        <v>0</v>
      </c>
      <c r="AX1292" s="97">
        <f t="shared" si="170"/>
        <v>0</v>
      </c>
      <c r="AY1292" s="97">
        <f t="shared" si="171"/>
        <v>0</v>
      </c>
      <c r="AZ1292" s="97">
        <f t="shared" si="171"/>
        <v>0</v>
      </c>
      <c r="BA1292" s="97">
        <f t="shared" si="171"/>
        <v>0</v>
      </c>
      <c r="BB1292" s="102"/>
      <c r="BC1292" s="102"/>
      <c r="BD1292" s="102"/>
      <c r="BE1292" s="97">
        <f t="shared" si="172"/>
        <v>0</v>
      </c>
      <c r="BF1292" s="97">
        <f t="shared" si="173"/>
        <v>0</v>
      </c>
      <c r="BG1292" s="97">
        <f t="shared" si="174"/>
        <v>0</v>
      </c>
      <c r="BH1292" s="97">
        <f t="shared" si="175"/>
        <v>0</v>
      </c>
      <c r="BI1292" s="97">
        <f t="shared" si="176"/>
        <v>0</v>
      </c>
      <c r="BJ1292" s="97">
        <f t="shared" si="177"/>
        <v>0</v>
      </c>
      <c r="BK1292" s="97">
        <f t="shared" si="178"/>
        <v>0</v>
      </c>
      <c r="BL1292" s="97">
        <f t="shared" si="179"/>
        <v>0</v>
      </c>
      <c r="BM1292" s="97">
        <f t="shared" si="180"/>
        <v>0</v>
      </c>
      <c r="BN1292" s="97">
        <f t="shared" si="181"/>
        <v>0</v>
      </c>
      <c r="BO1292" s="97">
        <f t="shared" si="182"/>
        <v>0</v>
      </c>
      <c r="BP1292" s="97">
        <f t="shared" si="183"/>
        <v>0</v>
      </c>
      <c r="BQ1292" s="97">
        <f t="shared" si="184"/>
        <v>0</v>
      </c>
      <c r="BR1292" s="97">
        <f t="shared" si="184"/>
        <v>0</v>
      </c>
      <c r="BS1292" s="97">
        <f t="shared" si="184"/>
        <v>0</v>
      </c>
      <c r="BT1292" s="97">
        <f t="shared" si="185"/>
        <v>0</v>
      </c>
      <c r="BU1292" s="97">
        <f t="shared" si="185"/>
        <v>0</v>
      </c>
      <c r="BV1292" s="97">
        <f t="shared" si="185"/>
        <v>0</v>
      </c>
      <c r="BW1292" s="102"/>
      <c r="BX1292" s="102"/>
      <c r="BY1292" s="102"/>
      <c r="BZ1292" s="97">
        <f t="shared" si="186"/>
        <v>0</v>
      </c>
      <c r="CA1292" s="97">
        <f t="shared" si="187"/>
        <v>0</v>
      </c>
      <c r="CB1292" s="97">
        <f t="shared" si="188"/>
        <v>0</v>
      </c>
      <c r="CC1292" s="97">
        <f t="shared" si="189"/>
        <v>0</v>
      </c>
      <c r="CD1292" s="97">
        <f t="shared" si="190"/>
        <v>0</v>
      </c>
      <c r="CE1292" s="97">
        <f t="shared" si="191"/>
        <v>0</v>
      </c>
      <c r="CF1292" s="97">
        <f t="shared" si="192"/>
        <v>0</v>
      </c>
      <c r="CG1292" s="97">
        <f t="shared" si="193"/>
        <v>0</v>
      </c>
      <c r="CH1292" s="97">
        <f t="shared" si="194"/>
        <v>0</v>
      </c>
      <c r="CI1292" s="97">
        <f t="shared" si="195"/>
        <v>0</v>
      </c>
      <c r="CJ1292" s="97">
        <f t="shared" si="196"/>
        <v>0</v>
      </c>
      <c r="CK1292" s="97">
        <f t="shared" si="197"/>
        <v>0</v>
      </c>
      <c r="CL1292" s="97">
        <f t="shared" si="198"/>
        <v>0</v>
      </c>
      <c r="CM1292" s="97">
        <f t="shared" si="198"/>
        <v>0</v>
      </c>
      <c r="CN1292" s="97">
        <f t="shared" si="198"/>
        <v>0</v>
      </c>
      <c r="CO1292" s="97">
        <f t="shared" si="199"/>
        <v>0</v>
      </c>
      <c r="CP1292" s="97">
        <f t="shared" si="199"/>
        <v>0</v>
      </c>
      <c r="CQ1292" s="97">
        <f t="shared" si="199"/>
        <v>0</v>
      </c>
      <c r="CR1292" s="102"/>
      <c r="CS1292" s="102"/>
      <c r="CT1292" s="102"/>
      <c r="CU1292" s="97">
        <f t="shared" si="200"/>
        <v>0</v>
      </c>
      <c r="CV1292" s="97">
        <f t="shared" si="201"/>
        <v>0</v>
      </c>
      <c r="CW1292" s="97">
        <f t="shared" si="202"/>
        <v>0</v>
      </c>
      <c r="CX1292" s="97">
        <f t="shared" si="203"/>
        <v>0</v>
      </c>
      <c r="CY1292" s="97">
        <f t="shared" si="204"/>
        <v>0</v>
      </c>
      <c r="CZ1292" s="97">
        <f t="shared" si="205"/>
        <v>0</v>
      </c>
      <c r="DA1292" s="97">
        <f t="shared" si="206"/>
        <v>0</v>
      </c>
      <c r="DB1292" s="97">
        <f t="shared" si="207"/>
        <v>0</v>
      </c>
      <c r="DC1292" s="97">
        <f t="shared" si="208"/>
        <v>0</v>
      </c>
      <c r="DD1292" s="97">
        <f t="shared" si="209"/>
        <v>0</v>
      </c>
      <c r="DE1292" s="97">
        <f t="shared" si="210"/>
        <v>0</v>
      </c>
      <c r="DF1292" s="97">
        <f t="shared" si="211"/>
        <v>0</v>
      </c>
      <c r="DG1292" s="97">
        <f t="shared" si="212"/>
        <v>0</v>
      </c>
      <c r="DH1292" s="97">
        <f t="shared" si="212"/>
        <v>0</v>
      </c>
      <c r="DI1292" s="97">
        <f t="shared" si="212"/>
        <v>0</v>
      </c>
      <c r="DJ1292" s="97">
        <f t="shared" si="213"/>
        <v>0</v>
      </c>
      <c r="DK1292" s="97">
        <f t="shared" si="213"/>
        <v>0</v>
      </c>
      <c r="DL1292" s="97">
        <f t="shared" si="213"/>
        <v>0</v>
      </c>
      <c r="DM1292" s="102"/>
      <c r="DN1292" s="102"/>
      <c r="DO1292" s="102"/>
      <c r="DP1292" s="97">
        <f t="shared" si="214"/>
        <v>0</v>
      </c>
      <c r="DQ1292" s="97">
        <f t="shared" si="215"/>
        <v>0</v>
      </c>
      <c r="DR1292" s="97">
        <f t="shared" si="216"/>
        <v>0</v>
      </c>
      <c r="DS1292" s="97">
        <f t="shared" si="217"/>
        <v>0</v>
      </c>
      <c r="DT1292" s="97">
        <f t="shared" si="218"/>
        <v>0</v>
      </c>
      <c r="DU1292" s="97">
        <f t="shared" si="219"/>
        <v>0</v>
      </c>
      <c r="DV1292" s="97">
        <f t="shared" si="220"/>
        <v>0</v>
      </c>
      <c r="DW1292" s="97">
        <f t="shared" si="221"/>
        <v>0</v>
      </c>
      <c r="DX1292" s="97">
        <f t="shared" si="222"/>
        <v>0</v>
      </c>
      <c r="DY1292" s="97">
        <f t="shared" si="223"/>
        <v>0</v>
      </c>
      <c r="DZ1292" s="97">
        <f t="shared" si="224"/>
        <v>0</v>
      </c>
      <c r="EA1292" s="97">
        <f t="shared" si="225"/>
        <v>0</v>
      </c>
      <c r="EB1292" s="97">
        <f t="shared" si="226"/>
        <v>0</v>
      </c>
      <c r="EC1292" s="97">
        <f t="shared" si="226"/>
        <v>0</v>
      </c>
      <c r="ED1292" s="97">
        <f t="shared" si="226"/>
        <v>0</v>
      </c>
      <c r="EE1292" s="97">
        <f t="shared" si="227"/>
        <v>0</v>
      </c>
      <c r="EF1292" s="97">
        <f t="shared" si="227"/>
        <v>0</v>
      </c>
      <c r="EG1292" s="97">
        <f t="shared" si="227"/>
        <v>0</v>
      </c>
      <c r="EH1292" s="102"/>
      <c r="EI1292" s="102"/>
      <c r="EJ1292" s="102"/>
      <c r="EK1292" s="97">
        <f t="shared" si="228"/>
        <v>0</v>
      </c>
      <c r="EL1292" s="97">
        <f t="shared" si="229"/>
        <v>0</v>
      </c>
      <c r="EM1292" s="97">
        <f t="shared" si="230"/>
        <v>0</v>
      </c>
      <c r="EN1292" s="97">
        <f t="shared" si="231"/>
        <v>0</v>
      </c>
      <c r="EO1292" s="97">
        <f t="shared" si="232"/>
        <v>0</v>
      </c>
      <c r="EP1292" s="97">
        <f t="shared" si="233"/>
        <v>0</v>
      </c>
      <c r="EQ1292" s="97">
        <f t="shared" si="234"/>
        <v>0</v>
      </c>
      <c r="ER1292" s="97">
        <f t="shared" si="235"/>
        <v>0</v>
      </c>
      <c r="ES1292" s="97">
        <f t="shared" si="236"/>
        <v>0</v>
      </c>
      <c r="ET1292" s="97">
        <f t="shared" si="237"/>
        <v>0</v>
      </c>
      <c r="EU1292" s="97">
        <f t="shared" si="238"/>
        <v>0</v>
      </c>
      <c r="EV1292" s="97">
        <f t="shared" si="239"/>
        <v>0</v>
      </c>
      <c r="EW1292" s="97">
        <f t="shared" si="240"/>
        <v>0</v>
      </c>
      <c r="EX1292" s="97">
        <f t="shared" si="240"/>
        <v>0</v>
      </c>
      <c r="EY1292" s="97">
        <f t="shared" si="240"/>
        <v>0</v>
      </c>
      <c r="EZ1292" s="97">
        <f t="shared" si="241"/>
        <v>0</v>
      </c>
      <c r="FA1292" s="97">
        <f t="shared" si="241"/>
        <v>0</v>
      </c>
      <c r="FB1292" s="97">
        <f t="shared" si="241"/>
        <v>0</v>
      </c>
      <c r="FC1292" s="102"/>
      <c r="FD1292" s="102"/>
      <c r="FE1292" s="102"/>
      <c r="FF1292" s="97">
        <f t="shared" si="242"/>
        <v>0</v>
      </c>
      <c r="FG1292" s="97">
        <f t="shared" si="243"/>
        <v>0</v>
      </c>
      <c r="FH1292" s="97">
        <f t="shared" si="244"/>
        <v>0</v>
      </c>
      <c r="FI1292" s="97">
        <f t="shared" si="245"/>
        <v>0</v>
      </c>
      <c r="FJ1292" s="97">
        <f t="shared" si="246"/>
        <v>0</v>
      </c>
      <c r="FK1292" s="97">
        <f t="shared" si="247"/>
        <v>0</v>
      </c>
      <c r="FL1292" s="97">
        <f t="shared" si="248"/>
        <v>0</v>
      </c>
      <c r="FM1292" s="97">
        <f t="shared" si="249"/>
        <v>0</v>
      </c>
      <c r="FN1292" s="97">
        <f t="shared" si="250"/>
        <v>0</v>
      </c>
      <c r="FO1292" s="97">
        <f t="shared" si="251"/>
        <v>0</v>
      </c>
      <c r="FP1292" s="97">
        <f t="shared" si="252"/>
        <v>0</v>
      </c>
      <c r="FQ1292" s="97">
        <f t="shared" si="253"/>
        <v>0</v>
      </c>
      <c r="FR1292" s="97">
        <f t="shared" si="254"/>
        <v>0</v>
      </c>
      <c r="FS1292" s="97">
        <f t="shared" si="254"/>
        <v>0</v>
      </c>
      <c r="FT1292" s="97">
        <f t="shared" si="254"/>
        <v>0</v>
      </c>
      <c r="FU1292" s="97">
        <f t="shared" si="255"/>
        <v>0</v>
      </c>
      <c r="FV1292" s="97">
        <f t="shared" si="255"/>
        <v>0</v>
      </c>
      <c r="FW1292" s="97">
        <f t="shared" si="255"/>
        <v>0</v>
      </c>
      <c r="FX1292" s="102"/>
      <c r="FY1292" s="102"/>
      <c r="FZ1292" s="102"/>
      <c r="GA1292" s="97">
        <f t="shared" si="256"/>
        <v>0</v>
      </c>
      <c r="GB1292" s="97">
        <f t="shared" si="257"/>
        <v>0</v>
      </c>
      <c r="GC1292" s="97">
        <f t="shared" si="258"/>
        <v>0</v>
      </c>
      <c r="GD1292" s="97">
        <f t="shared" si="259"/>
        <v>0</v>
      </c>
      <c r="GE1292" s="97">
        <f t="shared" si="260"/>
        <v>0</v>
      </c>
      <c r="GF1292" s="97">
        <f t="shared" si="261"/>
        <v>0</v>
      </c>
      <c r="GG1292" s="97">
        <f t="shared" si="262"/>
        <v>0</v>
      </c>
      <c r="GH1292" s="97">
        <f t="shared" si="263"/>
        <v>0</v>
      </c>
      <c r="GI1292" s="97">
        <f t="shared" si="264"/>
        <v>0</v>
      </c>
      <c r="GJ1292" s="97">
        <f t="shared" si="265"/>
        <v>0</v>
      </c>
      <c r="GK1292" s="97">
        <f t="shared" si="266"/>
        <v>0</v>
      </c>
      <c r="GL1292" s="97">
        <f t="shared" si="267"/>
        <v>0</v>
      </c>
      <c r="GM1292" s="97">
        <f t="shared" si="268"/>
        <v>0</v>
      </c>
      <c r="GN1292" s="97">
        <f t="shared" si="268"/>
        <v>0</v>
      </c>
      <c r="GO1292" s="97">
        <f t="shared" si="268"/>
        <v>0</v>
      </c>
      <c r="GP1292" s="97">
        <f t="shared" si="269"/>
        <v>0</v>
      </c>
      <c r="GQ1292" s="97">
        <f t="shared" si="269"/>
        <v>0</v>
      </c>
      <c r="GR1292" s="97">
        <f t="shared" si="269"/>
        <v>0</v>
      </c>
      <c r="GS1292" s="102"/>
      <c r="GT1292" s="102"/>
      <c r="GU1292" s="102"/>
      <c r="GV1292" s="97">
        <f t="shared" si="270"/>
        <v>0</v>
      </c>
      <c r="GW1292" s="97">
        <f t="shared" si="271"/>
        <v>0</v>
      </c>
      <c r="GX1292" s="97">
        <f t="shared" si="272"/>
        <v>0</v>
      </c>
      <c r="GY1292" s="97">
        <f t="shared" si="273"/>
        <v>0</v>
      </c>
      <c r="GZ1292" s="97">
        <f t="shared" si="274"/>
        <v>0</v>
      </c>
      <c r="HA1292" s="97">
        <f t="shared" si="275"/>
        <v>0</v>
      </c>
      <c r="HB1292" s="97">
        <f t="shared" si="276"/>
        <v>0</v>
      </c>
      <c r="HC1292" s="97">
        <f t="shared" si="277"/>
        <v>0</v>
      </c>
      <c r="HD1292" s="97">
        <f t="shared" si="278"/>
        <v>0</v>
      </c>
      <c r="HE1292" s="97">
        <f t="shared" si="279"/>
        <v>0</v>
      </c>
      <c r="HF1292" s="97">
        <f t="shared" si="280"/>
        <v>0</v>
      </c>
      <c r="HG1292" s="97">
        <f t="shared" si="281"/>
        <v>0</v>
      </c>
      <c r="HH1292" s="97">
        <f t="shared" si="282"/>
        <v>0</v>
      </c>
      <c r="HI1292" s="97">
        <f t="shared" si="282"/>
        <v>0</v>
      </c>
      <c r="HJ1292" s="97">
        <f t="shared" si="282"/>
        <v>0</v>
      </c>
      <c r="HK1292" s="97">
        <f t="shared" si="283"/>
        <v>0</v>
      </c>
      <c r="HL1292" s="97">
        <f t="shared" si="283"/>
        <v>0</v>
      </c>
      <c r="HM1292" s="97">
        <f t="shared" si="283"/>
        <v>0</v>
      </c>
      <c r="HN1292" s="102"/>
      <c r="HO1292" s="102"/>
      <c r="HP1292" s="102"/>
      <c r="HQ1292" s="97">
        <f t="shared" si="284"/>
        <v>0</v>
      </c>
      <c r="HR1292" s="97">
        <f t="shared" si="285"/>
        <v>0</v>
      </c>
      <c r="HS1292" s="97">
        <f t="shared" si="286"/>
        <v>0</v>
      </c>
      <c r="HT1292" s="97">
        <f t="shared" si="287"/>
        <v>0</v>
      </c>
      <c r="HU1292" s="97">
        <f t="shared" si="288"/>
        <v>0</v>
      </c>
      <c r="HV1292" s="97">
        <f t="shared" si="289"/>
        <v>0</v>
      </c>
      <c r="HW1292" s="97">
        <f t="shared" si="290"/>
        <v>0</v>
      </c>
      <c r="HX1292" s="97">
        <f t="shared" si="291"/>
        <v>0</v>
      </c>
      <c r="HY1292" s="97">
        <f t="shared" si="292"/>
        <v>0</v>
      </c>
      <c r="HZ1292" s="97">
        <f t="shared" si="293"/>
        <v>0</v>
      </c>
      <c r="IA1292" s="97">
        <f t="shared" si="294"/>
        <v>0</v>
      </c>
      <c r="IB1292" s="97">
        <f t="shared" si="295"/>
        <v>0</v>
      </c>
      <c r="IC1292" s="97">
        <f t="shared" si="296"/>
        <v>0</v>
      </c>
      <c r="ID1292" s="97">
        <f t="shared" si="296"/>
        <v>0</v>
      </c>
      <c r="IE1292" s="97">
        <f t="shared" si="296"/>
        <v>0</v>
      </c>
      <c r="IF1292" s="97">
        <f t="shared" si="297"/>
        <v>0</v>
      </c>
      <c r="IG1292" s="97">
        <f t="shared" si="297"/>
        <v>0</v>
      </c>
      <c r="IH1292" s="97">
        <f t="shared" si="297"/>
        <v>0</v>
      </c>
      <c r="II1292" s="102"/>
      <c r="IJ1292" s="102"/>
      <c r="IK1292" s="102"/>
      <c r="IL1292" s="97">
        <f t="shared" si="298"/>
        <v>0</v>
      </c>
      <c r="IM1292" s="97">
        <f t="shared" si="299"/>
        <v>0</v>
      </c>
      <c r="IN1292" s="97">
        <f t="shared" si="300"/>
        <v>0</v>
      </c>
      <c r="IO1292" s="97">
        <f t="shared" si="301"/>
        <v>0</v>
      </c>
      <c r="IP1292" s="97">
        <f t="shared" si="302"/>
        <v>0</v>
      </c>
      <c r="IQ1292" s="97">
        <f t="shared" si="303"/>
        <v>0</v>
      </c>
      <c r="IR1292" s="97">
        <f t="shared" si="304"/>
        <v>0</v>
      </c>
      <c r="IS1292" s="97">
        <f t="shared" si="305"/>
        <v>0</v>
      </c>
      <c r="IT1292" s="97">
        <f t="shared" si="306"/>
        <v>0</v>
      </c>
      <c r="IU1292" s="97">
        <f t="shared" si="307"/>
        <v>0</v>
      </c>
      <c r="IV1292" s="97">
        <f t="shared" si="308"/>
        <v>0</v>
      </c>
      <c r="IW1292" s="97">
        <f t="shared" si="309"/>
        <v>0</v>
      </c>
      <c r="IX1292" s="97">
        <f t="shared" si="310"/>
        <v>0</v>
      </c>
      <c r="IY1292" s="97">
        <f t="shared" si="310"/>
        <v>0</v>
      </c>
      <c r="IZ1292" s="97">
        <f t="shared" si="310"/>
        <v>0</v>
      </c>
      <c r="JA1292" s="97">
        <f t="shared" si="311"/>
        <v>0</v>
      </c>
      <c r="JB1292" s="97">
        <f t="shared" si="311"/>
        <v>0</v>
      </c>
      <c r="JC1292" s="97">
        <f t="shared" si="311"/>
        <v>0</v>
      </c>
      <c r="JD1292" s="102"/>
      <c r="JE1292" s="102"/>
      <c r="JF1292" s="102"/>
      <c r="JG1292" s="97">
        <f t="shared" si="312"/>
        <v>0</v>
      </c>
      <c r="JH1292" s="97">
        <f t="shared" si="313"/>
        <v>0</v>
      </c>
      <c r="JI1292" s="97">
        <f t="shared" si="314"/>
        <v>0</v>
      </c>
      <c r="JJ1292" s="97">
        <f t="shared" si="315"/>
        <v>0</v>
      </c>
      <c r="JK1292" s="97">
        <f t="shared" si="316"/>
        <v>0</v>
      </c>
      <c r="JL1292" s="97">
        <f t="shared" si="317"/>
        <v>0</v>
      </c>
      <c r="JM1292" s="97">
        <f t="shared" si="318"/>
        <v>0</v>
      </c>
      <c r="JN1292" s="97">
        <f t="shared" si="319"/>
        <v>0</v>
      </c>
      <c r="JO1292" s="97">
        <f t="shared" si="320"/>
        <v>0</v>
      </c>
      <c r="JP1292" s="97">
        <f t="shared" si="321"/>
        <v>0</v>
      </c>
      <c r="JQ1292" s="97">
        <f t="shared" si="322"/>
        <v>0</v>
      </c>
      <c r="JR1292" s="97">
        <f t="shared" si="323"/>
        <v>0</v>
      </c>
      <c r="JS1292" s="97">
        <f t="shared" si="324"/>
        <v>0</v>
      </c>
      <c r="JT1292" s="97">
        <f t="shared" si="324"/>
        <v>0</v>
      </c>
      <c r="JU1292" s="97">
        <f t="shared" si="324"/>
        <v>0</v>
      </c>
      <c r="JV1292" s="97">
        <f t="shared" si="325"/>
        <v>0</v>
      </c>
      <c r="JW1292" s="97">
        <f t="shared" si="325"/>
        <v>0</v>
      </c>
      <c r="JX1292" s="97">
        <f t="shared" si="325"/>
        <v>0</v>
      </c>
      <c r="JY1292" s="102"/>
      <c r="JZ1292" s="102"/>
      <c r="KA1292" s="102"/>
      <c r="KB1292" s="97">
        <f t="shared" si="326"/>
        <v>0</v>
      </c>
      <c r="KC1292" s="97">
        <f t="shared" si="327"/>
        <v>0</v>
      </c>
      <c r="KD1292" s="97">
        <f t="shared" si="328"/>
        <v>0</v>
      </c>
      <c r="KE1292" s="97">
        <f t="shared" si="329"/>
        <v>0</v>
      </c>
      <c r="KF1292" s="97">
        <f t="shared" si="330"/>
        <v>0</v>
      </c>
      <c r="KG1292" s="97">
        <f t="shared" si="331"/>
        <v>0</v>
      </c>
      <c r="KH1292" s="97">
        <f t="shared" si="332"/>
        <v>0</v>
      </c>
      <c r="KI1292" s="97">
        <f t="shared" si="333"/>
        <v>0</v>
      </c>
      <c r="KJ1292" s="97">
        <f t="shared" si="334"/>
        <v>0</v>
      </c>
      <c r="KK1292" s="97">
        <f t="shared" si="335"/>
        <v>0</v>
      </c>
      <c r="KL1292" s="97">
        <f t="shared" si="336"/>
        <v>0</v>
      </c>
      <c r="KM1292" s="97">
        <f t="shared" si="337"/>
        <v>0</v>
      </c>
      <c r="KN1292" s="97">
        <f t="shared" si="338"/>
        <v>0</v>
      </c>
      <c r="KO1292" s="97">
        <f t="shared" si="338"/>
        <v>0</v>
      </c>
      <c r="KP1292" s="97">
        <f t="shared" si="338"/>
        <v>0</v>
      </c>
      <c r="KQ1292" s="97">
        <f t="shared" si="339"/>
        <v>0</v>
      </c>
      <c r="KR1292" s="97">
        <f t="shared" si="339"/>
        <v>0</v>
      </c>
      <c r="KS1292" s="97">
        <f t="shared" si="339"/>
        <v>0</v>
      </c>
      <c r="KT1292" s="102"/>
      <c r="KU1292" s="102"/>
      <c r="KV1292" s="102"/>
      <c r="KW1292" s="97">
        <f t="shared" si="340"/>
        <v>0</v>
      </c>
      <c r="KX1292" s="97">
        <f t="shared" si="341"/>
        <v>0</v>
      </c>
      <c r="KY1292" s="97">
        <f t="shared" si="342"/>
        <v>0</v>
      </c>
      <c r="KZ1292" s="97">
        <f t="shared" si="343"/>
        <v>0</v>
      </c>
      <c r="LA1292" s="97">
        <f t="shared" si="344"/>
        <v>0</v>
      </c>
      <c r="LB1292" s="97">
        <f t="shared" si="345"/>
        <v>0</v>
      </c>
      <c r="LC1292" s="97">
        <f t="shared" si="346"/>
        <v>0</v>
      </c>
      <c r="LD1292" s="97">
        <f t="shared" si="347"/>
        <v>0</v>
      </c>
      <c r="LE1292" s="97">
        <f t="shared" si="348"/>
        <v>0</v>
      </c>
      <c r="LF1292" s="97">
        <f t="shared" si="349"/>
        <v>0</v>
      </c>
      <c r="LG1292" s="97">
        <f t="shared" si="350"/>
        <v>0</v>
      </c>
      <c r="LH1292" s="97">
        <f t="shared" si="351"/>
        <v>0</v>
      </c>
      <c r="LI1292" s="97">
        <f t="shared" si="352"/>
        <v>0</v>
      </c>
      <c r="LJ1292" s="97">
        <f t="shared" si="352"/>
        <v>0</v>
      </c>
      <c r="LK1292" s="97">
        <f t="shared" si="352"/>
        <v>0</v>
      </c>
      <c r="LL1292" s="97">
        <f t="shared" si="353"/>
        <v>0</v>
      </c>
      <c r="LM1292" s="97">
        <f t="shared" si="353"/>
        <v>0</v>
      </c>
      <c r="LN1292" s="97">
        <f t="shared" si="353"/>
        <v>0</v>
      </c>
      <c r="LO1292" s="102"/>
      <c r="LP1292" s="102"/>
      <c r="LQ1292" s="102"/>
      <c r="LR1292" s="97">
        <f t="shared" si="354"/>
        <v>0</v>
      </c>
      <c r="LS1292" s="97">
        <f t="shared" si="355"/>
        <v>0</v>
      </c>
      <c r="LT1292" s="97">
        <f t="shared" si="356"/>
        <v>0</v>
      </c>
      <c r="LU1292" s="97">
        <f t="shared" si="357"/>
        <v>0</v>
      </c>
      <c r="LV1292" s="97">
        <f t="shared" si="358"/>
        <v>0</v>
      </c>
      <c r="LW1292" s="97">
        <f t="shared" si="359"/>
        <v>0</v>
      </c>
      <c r="LX1292" s="97">
        <f t="shared" si="360"/>
        <v>0</v>
      </c>
      <c r="LY1292" s="97">
        <f t="shared" si="361"/>
        <v>0</v>
      </c>
      <c r="LZ1292" s="97">
        <f t="shared" si="362"/>
        <v>0</v>
      </c>
      <c r="MA1292" s="97">
        <f t="shared" si="363"/>
        <v>0</v>
      </c>
      <c r="MB1292" s="97">
        <f t="shared" si="364"/>
        <v>0</v>
      </c>
      <c r="MC1292" s="97">
        <f t="shared" si="365"/>
        <v>0</v>
      </c>
      <c r="MD1292" s="97">
        <f t="shared" si="366"/>
        <v>0</v>
      </c>
      <c r="ME1292" s="97">
        <f t="shared" si="366"/>
        <v>0</v>
      </c>
      <c r="MF1292" s="97">
        <f t="shared" si="366"/>
        <v>0</v>
      </c>
      <c r="MG1292" s="97">
        <f t="shared" si="367"/>
        <v>0</v>
      </c>
      <c r="MH1292" s="97">
        <f t="shared" si="367"/>
        <v>0</v>
      </c>
      <c r="MI1292" s="97">
        <f t="shared" si="367"/>
        <v>0</v>
      </c>
      <c r="MJ1292" s="102"/>
      <c r="MK1292" s="102"/>
      <c r="ML1292" s="102"/>
      <c r="MM1292" s="97">
        <f t="shared" si="368"/>
        <v>0</v>
      </c>
      <c r="MN1292" s="97">
        <f t="shared" si="369"/>
        <v>0</v>
      </c>
      <c r="MO1292" s="97">
        <f t="shared" si="370"/>
        <v>0</v>
      </c>
      <c r="MP1292" s="97">
        <f t="shared" si="371"/>
        <v>0</v>
      </c>
      <c r="MQ1292" s="97">
        <f t="shared" si="372"/>
        <v>0</v>
      </c>
      <c r="MR1292" s="97">
        <f t="shared" si="373"/>
        <v>0</v>
      </c>
      <c r="MS1292" s="97">
        <f t="shared" si="374"/>
        <v>0</v>
      </c>
      <c r="MT1292" s="97">
        <f t="shared" si="375"/>
        <v>0</v>
      </c>
      <c r="MU1292" s="97">
        <f t="shared" si="376"/>
        <v>0</v>
      </c>
      <c r="MV1292" s="97">
        <f t="shared" si="377"/>
        <v>0</v>
      </c>
      <c r="MW1292" s="97">
        <f t="shared" si="378"/>
        <v>0</v>
      </c>
      <c r="MX1292" s="97">
        <f t="shared" si="379"/>
        <v>0</v>
      </c>
      <c r="MY1292" s="97">
        <f t="shared" si="380"/>
        <v>0</v>
      </c>
      <c r="MZ1292" s="97">
        <f t="shared" si="380"/>
        <v>0</v>
      </c>
      <c r="NA1292" s="97">
        <f t="shared" si="380"/>
        <v>0</v>
      </c>
      <c r="NB1292" s="97">
        <f t="shared" si="381"/>
        <v>0</v>
      </c>
      <c r="NC1292" s="97">
        <f t="shared" si="381"/>
        <v>0</v>
      </c>
      <c r="ND1292" s="97">
        <f t="shared" si="381"/>
        <v>0</v>
      </c>
      <c r="NE1292" s="102"/>
      <c r="NF1292" s="102"/>
      <c r="NG1292" s="102"/>
      <c r="NH1292" s="97">
        <f t="shared" si="382"/>
        <v>0</v>
      </c>
      <c r="NI1292" s="97">
        <f t="shared" si="383"/>
        <v>0</v>
      </c>
      <c r="NJ1292" s="97">
        <f t="shared" si="384"/>
        <v>0</v>
      </c>
      <c r="NK1292" s="97">
        <f t="shared" si="385"/>
        <v>0</v>
      </c>
      <c r="NL1292" s="97">
        <f t="shared" si="386"/>
        <v>0</v>
      </c>
      <c r="NM1292" s="97">
        <f t="shared" si="387"/>
        <v>0</v>
      </c>
      <c r="NN1292" s="97">
        <f t="shared" si="388"/>
        <v>0</v>
      </c>
      <c r="NO1292" s="97">
        <f t="shared" si="389"/>
        <v>0</v>
      </c>
      <c r="NP1292" s="97">
        <f t="shared" si="390"/>
        <v>0</v>
      </c>
      <c r="NQ1292" s="97">
        <f t="shared" si="391"/>
        <v>0</v>
      </c>
      <c r="NR1292" s="97">
        <f t="shared" si="392"/>
        <v>0</v>
      </c>
      <c r="NS1292" s="97">
        <f t="shared" si="393"/>
        <v>0</v>
      </c>
      <c r="NT1292" s="97">
        <f t="shared" si="394"/>
        <v>0</v>
      </c>
      <c r="NU1292" s="97">
        <f t="shared" si="394"/>
        <v>0</v>
      </c>
      <c r="NV1292" s="97">
        <f t="shared" si="394"/>
        <v>0</v>
      </c>
      <c r="NW1292" s="97">
        <f t="shared" si="395"/>
        <v>0</v>
      </c>
      <c r="NX1292" s="97">
        <f t="shared" si="395"/>
        <v>0</v>
      </c>
      <c r="NY1292" s="97">
        <f t="shared" si="395"/>
        <v>0</v>
      </c>
      <c r="NZ1292" s="102"/>
      <c r="OA1292" s="102"/>
      <c r="OB1292" s="102"/>
      <c r="OC1292" s="97">
        <f t="shared" si="396"/>
        <v>0</v>
      </c>
      <c r="OD1292" s="97">
        <f t="shared" si="397"/>
        <v>0</v>
      </c>
      <c r="OE1292" s="97">
        <f t="shared" si="398"/>
        <v>0</v>
      </c>
      <c r="OF1292" s="97">
        <f t="shared" si="399"/>
        <v>0</v>
      </c>
      <c r="OG1292" s="97">
        <f t="shared" si="400"/>
        <v>0</v>
      </c>
      <c r="OH1292" s="97">
        <f t="shared" si="401"/>
        <v>0</v>
      </c>
      <c r="OI1292" s="97">
        <f t="shared" si="402"/>
        <v>0</v>
      </c>
      <c r="OJ1292" s="97">
        <f t="shared" si="403"/>
        <v>0</v>
      </c>
      <c r="OK1292" s="97">
        <f t="shared" si="404"/>
        <v>0</v>
      </c>
      <c r="OL1292" s="97">
        <f t="shared" si="405"/>
        <v>0</v>
      </c>
      <c r="OM1292" s="97">
        <f t="shared" si="406"/>
        <v>0</v>
      </c>
      <c r="ON1292" s="97">
        <f t="shared" si="407"/>
        <v>0</v>
      </c>
      <c r="OO1292" s="97">
        <f t="shared" si="408"/>
        <v>0</v>
      </c>
      <c r="OP1292" s="97">
        <f t="shared" si="408"/>
        <v>0</v>
      </c>
      <c r="OQ1292" s="97">
        <f t="shared" si="408"/>
        <v>0</v>
      </c>
      <c r="OR1292" s="97">
        <f t="shared" si="409"/>
        <v>0</v>
      </c>
      <c r="OS1292" s="97">
        <f t="shared" si="409"/>
        <v>0</v>
      </c>
      <c r="OT1292" s="97">
        <f t="shared" si="409"/>
        <v>0</v>
      </c>
      <c r="OU1292" s="102"/>
      <c r="OV1292" s="102"/>
      <c r="OW1292" s="102"/>
      <c r="OX1292" s="97">
        <f t="shared" si="410"/>
        <v>0</v>
      </c>
      <c r="OY1292" s="97">
        <f t="shared" si="411"/>
        <v>0</v>
      </c>
      <c r="OZ1292" s="97">
        <f t="shared" si="412"/>
        <v>0</v>
      </c>
      <c r="PA1292" s="97">
        <f t="shared" si="413"/>
        <v>0</v>
      </c>
      <c r="PB1292" s="97">
        <f t="shared" si="414"/>
        <v>0</v>
      </c>
      <c r="PC1292" s="97">
        <f t="shared" si="415"/>
        <v>0</v>
      </c>
      <c r="PD1292" s="97">
        <f t="shared" si="416"/>
        <v>0</v>
      </c>
      <c r="PE1292" s="97">
        <f t="shared" si="417"/>
        <v>0</v>
      </c>
      <c r="PF1292" s="97">
        <f t="shared" si="418"/>
        <v>0</v>
      </c>
      <c r="PG1292" s="97">
        <f t="shared" si="419"/>
        <v>0</v>
      </c>
      <c r="PH1292" s="97">
        <f t="shared" si="420"/>
        <v>0</v>
      </c>
      <c r="PI1292" s="97">
        <f t="shared" si="421"/>
        <v>0</v>
      </c>
      <c r="PJ1292" s="97">
        <f t="shared" si="422"/>
        <v>0</v>
      </c>
      <c r="PK1292" s="97">
        <f t="shared" si="422"/>
        <v>0</v>
      </c>
      <c r="PL1292" s="97">
        <f t="shared" si="422"/>
        <v>0</v>
      </c>
      <c r="PM1292" s="97">
        <f t="shared" si="423"/>
        <v>0</v>
      </c>
      <c r="PN1292" s="97">
        <f t="shared" si="423"/>
        <v>0</v>
      </c>
      <c r="PO1292" s="97">
        <f t="shared" si="423"/>
        <v>0</v>
      </c>
      <c r="PP1292" s="102"/>
      <c r="PQ1292" s="102"/>
      <c r="PR1292" s="102"/>
      <c r="PS1292" s="97">
        <f t="shared" si="424"/>
        <v>0</v>
      </c>
      <c r="PT1292" s="97">
        <f t="shared" si="425"/>
        <v>0</v>
      </c>
      <c r="PU1292" s="97">
        <f t="shared" si="426"/>
        <v>0</v>
      </c>
      <c r="PV1292" s="97">
        <f t="shared" si="427"/>
        <v>0</v>
      </c>
      <c r="PW1292" s="97">
        <f t="shared" si="428"/>
        <v>0</v>
      </c>
      <c r="PX1292" s="97">
        <f t="shared" si="429"/>
        <v>0</v>
      </c>
      <c r="PY1292" s="97">
        <f t="shared" si="430"/>
        <v>0</v>
      </c>
      <c r="PZ1292" s="97">
        <f t="shared" si="431"/>
        <v>0</v>
      </c>
      <c r="QA1292" s="97">
        <f t="shared" si="432"/>
        <v>0</v>
      </c>
      <c r="QB1292" s="97">
        <f t="shared" si="433"/>
        <v>0</v>
      </c>
      <c r="QC1292" s="97">
        <f t="shared" si="434"/>
        <v>0</v>
      </c>
      <c r="QD1292" s="97">
        <f t="shared" si="435"/>
        <v>0</v>
      </c>
      <c r="QE1292" s="97">
        <f t="shared" si="436"/>
        <v>0</v>
      </c>
      <c r="QF1292" s="97">
        <f t="shared" si="436"/>
        <v>0</v>
      </c>
      <c r="QG1292" s="97">
        <f t="shared" si="436"/>
        <v>0</v>
      </c>
      <c r="QH1292" s="97">
        <f t="shared" si="437"/>
        <v>0</v>
      </c>
      <c r="QI1292" s="97">
        <f t="shared" si="437"/>
        <v>0</v>
      </c>
      <c r="QJ1292" s="97">
        <f t="shared" si="437"/>
        <v>0</v>
      </c>
      <c r="QK1292" s="102"/>
      <c r="QL1292" s="102"/>
      <c r="QM1292" s="102"/>
      <c r="QN1292" s="97">
        <f t="shared" si="438"/>
        <v>0</v>
      </c>
      <c r="QO1292" s="97">
        <f t="shared" si="439"/>
        <v>0</v>
      </c>
      <c r="QP1292" s="97">
        <f t="shared" si="440"/>
        <v>0</v>
      </c>
      <c r="QQ1292" s="97">
        <f t="shared" si="441"/>
        <v>0</v>
      </c>
      <c r="QR1292" s="97">
        <f t="shared" si="442"/>
        <v>0</v>
      </c>
      <c r="QS1292" s="97">
        <f t="shared" si="443"/>
        <v>0</v>
      </c>
      <c r="QT1292" s="97">
        <f t="shared" si="444"/>
        <v>0</v>
      </c>
      <c r="QU1292" s="97">
        <f t="shared" si="445"/>
        <v>0</v>
      </c>
      <c r="QV1292" s="97">
        <f t="shared" si="446"/>
        <v>0</v>
      </c>
      <c r="QW1292" s="97">
        <f t="shared" si="447"/>
        <v>0</v>
      </c>
      <c r="QX1292" s="97">
        <f t="shared" si="448"/>
        <v>0</v>
      </c>
      <c r="QY1292" s="97">
        <f t="shared" si="449"/>
        <v>0</v>
      </c>
      <c r="QZ1292" s="97">
        <f t="shared" si="450"/>
        <v>0</v>
      </c>
      <c r="RA1292" s="97">
        <f t="shared" si="450"/>
        <v>0</v>
      </c>
      <c r="RB1292" s="97">
        <f t="shared" si="450"/>
        <v>0</v>
      </c>
      <c r="RC1292" s="97">
        <f t="shared" si="451"/>
        <v>0</v>
      </c>
      <c r="RD1292" s="97">
        <f t="shared" si="451"/>
        <v>0</v>
      </c>
      <c r="RE1292" s="97">
        <f t="shared" si="451"/>
        <v>0</v>
      </c>
      <c r="RF1292" s="102"/>
      <c r="RG1292" s="102"/>
      <c r="RH1292" s="102"/>
      <c r="RI1292" s="97">
        <f t="shared" si="452"/>
        <v>0</v>
      </c>
      <c r="RJ1292" s="97">
        <f t="shared" si="453"/>
        <v>0</v>
      </c>
      <c r="RK1292" s="97">
        <f t="shared" si="454"/>
        <v>0</v>
      </c>
      <c r="RL1292" s="97">
        <f t="shared" si="455"/>
        <v>0</v>
      </c>
      <c r="RM1292" s="97">
        <f t="shared" si="456"/>
        <v>0</v>
      </c>
      <c r="RN1292" s="97">
        <f t="shared" si="457"/>
        <v>0</v>
      </c>
      <c r="RO1292" s="97">
        <f t="shared" si="458"/>
        <v>0</v>
      </c>
      <c r="RP1292" s="97">
        <f t="shared" si="459"/>
        <v>0</v>
      </c>
      <c r="RQ1292" s="97">
        <f t="shared" si="460"/>
        <v>0</v>
      </c>
      <c r="RR1292" s="97">
        <f t="shared" si="461"/>
        <v>0</v>
      </c>
      <c r="RS1292" s="97">
        <f t="shared" si="462"/>
        <v>0</v>
      </c>
      <c r="RT1292" s="97">
        <f t="shared" si="463"/>
        <v>0</v>
      </c>
      <c r="RU1292" s="97">
        <f t="shared" si="464"/>
        <v>0</v>
      </c>
      <c r="RV1292" s="97">
        <f t="shared" si="464"/>
        <v>0</v>
      </c>
      <c r="RW1292" s="97">
        <f t="shared" si="464"/>
        <v>0</v>
      </c>
      <c r="RX1292" s="97">
        <f t="shared" si="465"/>
        <v>0</v>
      </c>
      <c r="RY1292" s="97">
        <f t="shared" si="465"/>
        <v>0</v>
      </c>
      <c r="RZ1292" s="97">
        <f t="shared" si="465"/>
        <v>0</v>
      </c>
      <c r="SA1292" s="102"/>
      <c r="SB1292" s="102"/>
      <c r="SC1292" s="102"/>
      <c r="SD1292" s="97">
        <f t="shared" si="466"/>
        <v>0</v>
      </c>
      <c r="SE1292" s="97">
        <f t="shared" si="467"/>
        <v>0</v>
      </c>
      <c r="SF1292" s="97">
        <f t="shared" si="468"/>
        <v>0</v>
      </c>
      <c r="SG1292" s="97">
        <f t="shared" si="469"/>
        <v>0</v>
      </c>
      <c r="SH1292" s="97">
        <f t="shared" si="470"/>
        <v>0</v>
      </c>
      <c r="SI1292" s="97">
        <f t="shared" si="471"/>
        <v>0</v>
      </c>
      <c r="SJ1292" s="97">
        <f t="shared" si="472"/>
        <v>0</v>
      </c>
      <c r="SK1292" s="97">
        <f t="shared" si="473"/>
        <v>0</v>
      </c>
      <c r="SL1292" s="97">
        <f t="shared" si="474"/>
        <v>0</v>
      </c>
      <c r="SM1292" s="97">
        <f t="shared" si="475"/>
        <v>0</v>
      </c>
      <c r="SN1292" s="97">
        <f t="shared" si="476"/>
        <v>0</v>
      </c>
      <c r="SO1292" s="97">
        <f t="shared" si="477"/>
        <v>0</v>
      </c>
      <c r="SP1292" s="97">
        <f t="shared" si="478"/>
        <v>0</v>
      </c>
      <c r="SQ1292" s="97">
        <f t="shared" si="478"/>
        <v>0</v>
      </c>
      <c r="SR1292" s="97">
        <f t="shared" si="478"/>
        <v>0</v>
      </c>
      <c r="SS1292" s="97">
        <f t="shared" si="479"/>
        <v>0</v>
      </c>
      <c r="ST1292" s="97">
        <f t="shared" si="479"/>
        <v>0</v>
      </c>
      <c r="SU1292" s="97">
        <f t="shared" si="479"/>
        <v>0</v>
      </c>
      <c r="SV1292" s="102"/>
      <c r="SW1292" s="102"/>
      <c r="SX1292" s="102"/>
      <c r="SY1292" s="97">
        <f t="shared" si="480"/>
        <v>0</v>
      </c>
      <c r="SZ1292" s="97">
        <f t="shared" si="481"/>
        <v>0</v>
      </c>
      <c r="TA1292" s="97">
        <f t="shared" si="482"/>
        <v>0</v>
      </c>
      <c r="TB1292" s="97">
        <f t="shared" si="483"/>
        <v>0</v>
      </c>
      <c r="TC1292" s="97">
        <f t="shared" si="484"/>
        <v>0</v>
      </c>
      <c r="TD1292" s="97">
        <f t="shared" si="485"/>
        <v>0</v>
      </c>
      <c r="TE1292" s="97">
        <f t="shared" si="486"/>
        <v>0</v>
      </c>
      <c r="TF1292" s="97">
        <f t="shared" si="487"/>
        <v>0</v>
      </c>
      <c r="TG1292" s="97">
        <f t="shared" si="488"/>
        <v>0</v>
      </c>
      <c r="TH1292" s="97">
        <f t="shared" si="489"/>
        <v>0</v>
      </c>
      <c r="TI1292" s="97">
        <f t="shared" si="490"/>
        <v>0</v>
      </c>
      <c r="TJ1292" s="97">
        <f t="shared" si="491"/>
        <v>0</v>
      </c>
      <c r="TK1292" s="97">
        <f t="shared" si="492"/>
        <v>0</v>
      </c>
      <c r="TL1292" s="97">
        <f t="shared" si="492"/>
        <v>0</v>
      </c>
      <c r="TM1292" s="97">
        <f t="shared" si="492"/>
        <v>0</v>
      </c>
      <c r="TN1292" s="97">
        <f t="shared" si="493"/>
        <v>0</v>
      </c>
      <c r="TO1292" s="97">
        <f t="shared" si="493"/>
        <v>0</v>
      </c>
      <c r="TP1292" s="97">
        <f t="shared" si="493"/>
        <v>0</v>
      </c>
      <c r="TQ1292" s="102"/>
      <c r="TR1292" s="102"/>
      <c r="TS1292" s="102"/>
      <c r="TT1292" s="97">
        <f t="shared" si="494"/>
        <v>0</v>
      </c>
      <c r="TU1292" s="97">
        <f t="shared" si="495"/>
        <v>0</v>
      </c>
      <c r="TV1292" s="97">
        <f t="shared" si="496"/>
        <v>0</v>
      </c>
      <c r="TW1292" s="97">
        <f t="shared" si="497"/>
        <v>0</v>
      </c>
      <c r="TX1292" s="97">
        <f t="shared" si="498"/>
        <v>0</v>
      </c>
      <c r="TY1292" s="97">
        <f t="shared" si="499"/>
        <v>0</v>
      </c>
      <c r="TZ1292" s="97">
        <f t="shared" si="500"/>
        <v>0</v>
      </c>
      <c r="UA1292" s="97">
        <f t="shared" si="501"/>
        <v>0</v>
      </c>
      <c r="UB1292" s="97">
        <f t="shared" si="502"/>
        <v>0</v>
      </c>
      <c r="UC1292" s="97">
        <f t="shared" si="503"/>
        <v>0</v>
      </c>
      <c r="UD1292" s="97">
        <f t="shared" si="504"/>
        <v>0</v>
      </c>
      <c r="UE1292" s="97">
        <f t="shared" si="505"/>
        <v>0</v>
      </c>
      <c r="UF1292" s="97">
        <f t="shared" si="506"/>
        <v>0</v>
      </c>
      <c r="UG1292" s="97">
        <f t="shared" si="506"/>
        <v>0</v>
      </c>
      <c r="UH1292" s="97">
        <f t="shared" si="506"/>
        <v>0</v>
      </c>
      <c r="UI1292" s="97">
        <f t="shared" si="507"/>
        <v>0</v>
      </c>
      <c r="UJ1292" s="97">
        <f t="shared" si="507"/>
        <v>0</v>
      </c>
      <c r="UK1292" s="97">
        <f t="shared" si="507"/>
        <v>0</v>
      </c>
      <c r="UL1292" s="102"/>
      <c r="UM1292" s="102"/>
      <c r="UN1292" s="102"/>
      <c r="UO1292" s="97">
        <f t="shared" si="508"/>
        <v>0</v>
      </c>
      <c r="UP1292" s="97">
        <f t="shared" si="509"/>
        <v>0</v>
      </c>
      <c r="UQ1292" s="97">
        <f t="shared" si="510"/>
        <v>0</v>
      </c>
      <c r="UR1292" s="97">
        <f t="shared" si="511"/>
        <v>0</v>
      </c>
      <c r="US1292" s="97">
        <f t="shared" si="512"/>
        <v>0</v>
      </c>
      <c r="UT1292" s="97">
        <f t="shared" si="513"/>
        <v>0</v>
      </c>
      <c r="UU1292" s="97">
        <f t="shared" si="514"/>
        <v>102127.07</v>
      </c>
      <c r="UV1292" s="97">
        <f t="shared" si="515"/>
        <v>107498.1</v>
      </c>
      <c r="UW1292" s="97">
        <f t="shared" si="516"/>
        <v>111887.63</v>
      </c>
      <c r="UX1292" s="97">
        <f t="shared" si="517"/>
        <v>21664.16</v>
      </c>
      <c r="UY1292" s="97">
        <f t="shared" si="518"/>
        <v>22914.82</v>
      </c>
      <c r="UZ1292" s="97">
        <f t="shared" si="519"/>
        <v>24418.43</v>
      </c>
      <c r="VA1292" s="97">
        <f t="shared" si="520"/>
        <v>0</v>
      </c>
      <c r="VB1292" s="97">
        <f t="shared" si="520"/>
        <v>0</v>
      </c>
      <c r="VC1292" s="97">
        <f t="shared" si="520"/>
        <v>0</v>
      </c>
      <c r="VD1292" s="97">
        <f t="shared" si="521"/>
        <v>0</v>
      </c>
      <c r="VE1292" s="97">
        <f t="shared" si="521"/>
        <v>0</v>
      </c>
      <c r="VF1292" s="97">
        <f t="shared" si="521"/>
        <v>0</v>
      </c>
      <c r="VG1292" s="102"/>
      <c r="VH1292" s="102"/>
      <c r="VI1292" s="102"/>
      <c r="VJ1292" s="97">
        <f t="shared" si="522"/>
        <v>0</v>
      </c>
      <c r="VK1292" s="97">
        <f t="shared" si="523"/>
        <v>0</v>
      </c>
      <c r="VL1292" s="97">
        <f t="shared" si="524"/>
        <v>0</v>
      </c>
      <c r="VM1292" s="97">
        <f t="shared" si="525"/>
        <v>0</v>
      </c>
      <c r="VN1292" s="97">
        <f t="shared" si="526"/>
        <v>0</v>
      </c>
      <c r="VO1292" s="97">
        <f t="shared" si="527"/>
        <v>0</v>
      </c>
      <c r="VP1292" s="97">
        <f t="shared" si="528"/>
        <v>0</v>
      </c>
      <c r="VQ1292" s="97">
        <f t="shared" si="529"/>
        <v>0</v>
      </c>
      <c r="VR1292" s="97">
        <f t="shared" si="530"/>
        <v>0</v>
      </c>
      <c r="VS1292" s="97">
        <f t="shared" si="531"/>
        <v>0</v>
      </c>
      <c r="VT1292" s="97">
        <f t="shared" si="532"/>
        <v>0</v>
      </c>
      <c r="VU1292" s="97">
        <f t="shared" si="533"/>
        <v>0</v>
      </c>
      <c r="VV1292" s="97">
        <f t="shared" si="534"/>
        <v>0</v>
      </c>
      <c r="VW1292" s="97">
        <f t="shared" si="534"/>
        <v>0</v>
      </c>
      <c r="VX1292" s="97">
        <f t="shared" si="534"/>
        <v>0</v>
      </c>
      <c r="VY1292" s="97">
        <f t="shared" si="535"/>
        <v>0</v>
      </c>
      <c r="VZ1292" s="97">
        <f t="shared" si="535"/>
        <v>0</v>
      </c>
      <c r="WA1292" s="97">
        <f t="shared" si="535"/>
        <v>0</v>
      </c>
      <c r="WB1292" s="102"/>
      <c r="WC1292" s="102"/>
      <c r="WD1292" s="102"/>
      <c r="WE1292" s="97">
        <f t="shared" si="536"/>
        <v>0</v>
      </c>
      <c r="WF1292" s="97">
        <f t="shared" si="537"/>
        <v>0</v>
      </c>
      <c r="WG1292" s="97">
        <f t="shared" si="538"/>
        <v>0</v>
      </c>
      <c r="WH1292" s="97">
        <f t="shared" si="539"/>
        <v>0</v>
      </c>
      <c r="WI1292" s="97">
        <f t="shared" si="540"/>
        <v>0</v>
      </c>
      <c r="WJ1292" s="97">
        <f t="shared" si="541"/>
        <v>0</v>
      </c>
      <c r="WK1292" s="97">
        <f t="shared" si="542"/>
        <v>0</v>
      </c>
      <c r="WL1292" s="97">
        <f t="shared" si="543"/>
        <v>0</v>
      </c>
      <c r="WM1292" s="97">
        <f t="shared" si="544"/>
        <v>0</v>
      </c>
      <c r="WN1292" s="97">
        <f t="shared" si="545"/>
        <v>0</v>
      </c>
      <c r="WO1292" s="97">
        <f t="shared" si="546"/>
        <v>0</v>
      </c>
      <c r="WP1292" s="97">
        <f t="shared" si="547"/>
        <v>0</v>
      </c>
      <c r="WQ1292" s="97">
        <f t="shared" si="548"/>
        <v>0</v>
      </c>
      <c r="WR1292" s="97">
        <f t="shared" si="548"/>
        <v>0</v>
      </c>
      <c r="WS1292" s="97">
        <f t="shared" si="548"/>
        <v>0</v>
      </c>
      <c r="WT1292" s="97">
        <f t="shared" si="549"/>
        <v>0</v>
      </c>
      <c r="WU1292" s="97">
        <f t="shared" si="549"/>
        <v>0</v>
      </c>
      <c r="WV1292" s="97">
        <f t="shared" si="549"/>
        <v>0</v>
      </c>
      <c r="WW1292" s="102"/>
      <c r="WX1292" s="102"/>
      <c r="WY1292" s="102"/>
      <c r="WZ1292" s="97">
        <f t="shared" si="550"/>
        <v>0</v>
      </c>
      <c r="XA1292" s="97">
        <f t="shared" si="551"/>
        <v>0</v>
      </c>
      <c r="XB1292" s="97">
        <f t="shared" si="552"/>
        <v>0</v>
      </c>
      <c r="XC1292" s="97">
        <f t="shared" si="553"/>
        <v>0</v>
      </c>
      <c r="XD1292" s="97">
        <f t="shared" si="554"/>
        <v>0</v>
      </c>
      <c r="XE1292" s="97">
        <f t="shared" si="555"/>
        <v>0</v>
      </c>
      <c r="XF1292" s="97">
        <f t="shared" si="556"/>
        <v>0</v>
      </c>
      <c r="XG1292" s="97">
        <f t="shared" si="557"/>
        <v>0</v>
      </c>
      <c r="XH1292" s="97">
        <f t="shared" si="558"/>
        <v>0</v>
      </c>
      <c r="XI1292" s="97">
        <f t="shared" si="559"/>
        <v>0</v>
      </c>
      <c r="XJ1292" s="97">
        <f t="shared" si="560"/>
        <v>0</v>
      </c>
      <c r="XK1292" s="97">
        <f t="shared" si="561"/>
        <v>0</v>
      </c>
      <c r="XL1292" s="97">
        <f t="shared" si="562"/>
        <v>0</v>
      </c>
      <c r="XM1292" s="97">
        <f t="shared" si="562"/>
        <v>0</v>
      </c>
      <c r="XN1292" s="97">
        <f t="shared" si="562"/>
        <v>0</v>
      </c>
      <c r="XO1292" s="97">
        <f t="shared" si="563"/>
        <v>0</v>
      </c>
      <c r="XP1292" s="97">
        <f t="shared" si="563"/>
        <v>0</v>
      </c>
      <c r="XQ1292" s="97">
        <f t="shared" si="563"/>
        <v>0</v>
      </c>
      <c r="XR1292" s="102"/>
      <c r="XS1292" s="102"/>
      <c r="XT1292" s="102"/>
      <c r="XU1292" s="97">
        <f t="shared" si="564"/>
        <v>0</v>
      </c>
      <c r="XV1292" s="97">
        <f t="shared" si="565"/>
        <v>0</v>
      </c>
      <c r="XW1292" s="97">
        <f t="shared" si="566"/>
        <v>0</v>
      </c>
      <c r="XX1292" s="97">
        <f t="shared" si="567"/>
        <v>0</v>
      </c>
      <c r="XY1292" s="97">
        <f t="shared" si="568"/>
        <v>0</v>
      </c>
      <c r="XZ1292" s="97">
        <f t="shared" si="569"/>
        <v>0</v>
      </c>
      <c r="YA1292" s="97">
        <f t="shared" si="570"/>
        <v>0</v>
      </c>
      <c r="YB1292" s="97">
        <f t="shared" si="571"/>
        <v>0</v>
      </c>
      <c r="YC1292" s="97">
        <f t="shared" si="572"/>
        <v>0</v>
      </c>
      <c r="YD1292" s="97">
        <f t="shared" si="573"/>
        <v>0</v>
      </c>
      <c r="YE1292" s="97">
        <f t="shared" si="574"/>
        <v>0</v>
      </c>
      <c r="YF1292" s="97">
        <f t="shared" si="575"/>
        <v>0</v>
      </c>
      <c r="YG1292" s="97">
        <f t="shared" si="576"/>
        <v>0</v>
      </c>
      <c r="YH1292" s="97">
        <f t="shared" si="576"/>
        <v>0</v>
      </c>
      <c r="YI1292" s="97">
        <f t="shared" si="576"/>
        <v>0</v>
      </c>
      <c r="YJ1292" s="97">
        <f t="shared" si="577"/>
        <v>0</v>
      </c>
      <c r="YK1292" s="97">
        <f t="shared" si="577"/>
        <v>0</v>
      </c>
      <c r="YL1292" s="97">
        <f t="shared" si="577"/>
        <v>0</v>
      </c>
      <c r="YM1292" s="145">
        <f t="shared" si="601"/>
        <v>0</v>
      </c>
      <c r="YN1292" s="145">
        <f t="shared" si="578"/>
        <v>0</v>
      </c>
      <c r="YO1292" s="145">
        <f t="shared" si="578"/>
        <v>0</v>
      </c>
      <c r="YP1292" s="97">
        <f t="shared" si="579"/>
        <v>0</v>
      </c>
      <c r="YQ1292" s="97">
        <f t="shared" si="580"/>
        <v>0</v>
      </c>
      <c r="YR1292" s="97">
        <f t="shared" si="581"/>
        <v>0</v>
      </c>
      <c r="YS1292" s="97">
        <f t="shared" si="582"/>
        <v>0</v>
      </c>
      <c r="YT1292" s="97">
        <f t="shared" si="583"/>
        <v>0</v>
      </c>
      <c r="YU1292" s="97">
        <f t="shared" si="584"/>
        <v>0</v>
      </c>
      <c r="YV1292" s="97">
        <f t="shared" si="585"/>
        <v>102127.07</v>
      </c>
      <c r="YW1292" s="97">
        <f t="shared" si="586"/>
        <v>107498.1</v>
      </c>
      <c r="YX1292" s="97">
        <f t="shared" si="587"/>
        <v>111887.63</v>
      </c>
      <c r="YY1292" s="97">
        <f t="shared" si="588"/>
        <v>21664.16</v>
      </c>
      <c r="YZ1292" s="97">
        <f t="shared" si="589"/>
        <v>22914.82</v>
      </c>
      <c r="ZA1292" s="97">
        <f t="shared" si="590"/>
        <v>24418.43</v>
      </c>
      <c r="ZB1292" s="97">
        <f t="shared" si="591"/>
        <v>0</v>
      </c>
      <c r="ZC1292" s="97">
        <f t="shared" si="591"/>
        <v>0</v>
      </c>
      <c r="ZD1292" s="97">
        <f t="shared" si="591"/>
        <v>0</v>
      </c>
      <c r="ZE1292" s="97">
        <f t="shared" si="592"/>
        <v>0</v>
      </c>
      <c r="ZF1292" s="97">
        <f t="shared" si="592"/>
        <v>0</v>
      </c>
      <c r="ZG1292" s="97">
        <f t="shared" si="592"/>
        <v>0</v>
      </c>
    </row>
    <row r="1293" spans="1:683" ht="24" hidden="1" x14ac:dyDescent="0.25">
      <c r="A1293" s="174" t="s">
        <v>420</v>
      </c>
      <c r="B1293" s="174" t="s">
        <v>430</v>
      </c>
      <c r="C1293" s="5"/>
      <c r="D1293" s="340"/>
      <c r="E1293" s="163"/>
      <c r="F1293" s="110">
        <f t="shared" si="148"/>
        <v>105007</v>
      </c>
      <c r="G1293" s="110">
        <f t="shared" si="148"/>
        <v>107184</v>
      </c>
      <c r="H1293" s="110">
        <f t="shared" si="148"/>
        <v>110649</v>
      </c>
      <c r="I1293" s="97">
        <f t="shared" si="149"/>
        <v>103024</v>
      </c>
      <c r="J1293" s="97">
        <f t="shared" si="149"/>
        <v>106773</v>
      </c>
      <c r="K1293" s="97">
        <f t="shared" si="149"/>
        <v>109585</v>
      </c>
      <c r="L1293" s="102"/>
      <c r="M1293" s="102"/>
      <c r="N1293" s="102"/>
      <c r="O1293" s="97">
        <f t="shared" si="593"/>
        <v>0</v>
      </c>
      <c r="P1293" s="97">
        <f t="shared" si="594"/>
        <v>0</v>
      </c>
      <c r="Q1293" s="97">
        <f t="shared" si="595"/>
        <v>0</v>
      </c>
      <c r="R1293" s="97">
        <f t="shared" si="596"/>
        <v>0</v>
      </c>
      <c r="S1293" s="97">
        <f t="shared" si="597"/>
        <v>0</v>
      </c>
      <c r="T1293" s="97">
        <f t="shared" si="598"/>
        <v>0</v>
      </c>
      <c r="U1293" s="97">
        <f t="shared" si="150"/>
        <v>0</v>
      </c>
      <c r="V1293" s="97">
        <f t="shared" si="151"/>
        <v>0</v>
      </c>
      <c r="W1293" s="97">
        <f t="shared" si="152"/>
        <v>0</v>
      </c>
      <c r="X1293" s="97">
        <f t="shared" si="153"/>
        <v>0</v>
      </c>
      <c r="Y1293" s="97">
        <f t="shared" si="154"/>
        <v>0</v>
      </c>
      <c r="Z1293" s="97">
        <f t="shared" si="155"/>
        <v>0</v>
      </c>
      <c r="AA1293" s="97">
        <f t="shared" si="599"/>
        <v>0</v>
      </c>
      <c r="AB1293" s="97">
        <f t="shared" si="156"/>
        <v>0</v>
      </c>
      <c r="AC1293" s="97">
        <f t="shared" si="156"/>
        <v>0</v>
      </c>
      <c r="AD1293" s="97">
        <f t="shared" si="600"/>
        <v>0</v>
      </c>
      <c r="AE1293" s="97">
        <f t="shared" si="157"/>
        <v>0</v>
      </c>
      <c r="AF1293" s="97">
        <f t="shared" si="157"/>
        <v>0</v>
      </c>
      <c r="AG1293" s="102"/>
      <c r="AH1293" s="102"/>
      <c r="AI1293" s="102"/>
      <c r="AJ1293" s="97">
        <f t="shared" si="158"/>
        <v>0</v>
      </c>
      <c r="AK1293" s="97">
        <f t="shared" si="159"/>
        <v>0</v>
      </c>
      <c r="AL1293" s="97">
        <f t="shared" si="160"/>
        <v>0</v>
      </c>
      <c r="AM1293" s="97">
        <f t="shared" si="161"/>
        <v>0</v>
      </c>
      <c r="AN1293" s="97">
        <f t="shared" si="162"/>
        <v>0</v>
      </c>
      <c r="AO1293" s="97">
        <f t="shared" si="163"/>
        <v>0</v>
      </c>
      <c r="AP1293" s="97">
        <f t="shared" si="164"/>
        <v>0</v>
      </c>
      <c r="AQ1293" s="97">
        <f t="shared" si="165"/>
        <v>0</v>
      </c>
      <c r="AR1293" s="97">
        <f t="shared" si="166"/>
        <v>0</v>
      </c>
      <c r="AS1293" s="97">
        <f t="shared" si="167"/>
        <v>0</v>
      </c>
      <c r="AT1293" s="97">
        <f t="shared" si="168"/>
        <v>0</v>
      </c>
      <c r="AU1293" s="97">
        <f t="shared" si="169"/>
        <v>0</v>
      </c>
      <c r="AV1293" s="97">
        <f t="shared" si="170"/>
        <v>0</v>
      </c>
      <c r="AW1293" s="97">
        <f t="shared" si="170"/>
        <v>0</v>
      </c>
      <c r="AX1293" s="97">
        <f t="shared" si="170"/>
        <v>0</v>
      </c>
      <c r="AY1293" s="97">
        <f t="shared" si="171"/>
        <v>0</v>
      </c>
      <c r="AZ1293" s="97">
        <f t="shared" si="171"/>
        <v>0</v>
      </c>
      <c r="BA1293" s="97">
        <f t="shared" si="171"/>
        <v>0</v>
      </c>
      <c r="BB1293" s="102"/>
      <c r="BC1293" s="102"/>
      <c r="BD1293" s="102"/>
      <c r="BE1293" s="97">
        <f t="shared" si="172"/>
        <v>0</v>
      </c>
      <c r="BF1293" s="97">
        <f t="shared" si="173"/>
        <v>0</v>
      </c>
      <c r="BG1293" s="97">
        <f t="shared" si="174"/>
        <v>0</v>
      </c>
      <c r="BH1293" s="97">
        <f t="shared" si="175"/>
        <v>0</v>
      </c>
      <c r="BI1293" s="97">
        <f t="shared" si="176"/>
        <v>0</v>
      </c>
      <c r="BJ1293" s="97">
        <f t="shared" si="177"/>
        <v>0</v>
      </c>
      <c r="BK1293" s="97">
        <f t="shared" si="178"/>
        <v>0</v>
      </c>
      <c r="BL1293" s="97">
        <f t="shared" si="179"/>
        <v>0</v>
      </c>
      <c r="BM1293" s="97">
        <f t="shared" si="180"/>
        <v>0</v>
      </c>
      <c r="BN1293" s="97">
        <f t="shared" si="181"/>
        <v>0</v>
      </c>
      <c r="BO1293" s="97">
        <f t="shared" si="182"/>
        <v>0</v>
      </c>
      <c r="BP1293" s="97">
        <f t="shared" si="183"/>
        <v>0</v>
      </c>
      <c r="BQ1293" s="97">
        <f t="shared" si="184"/>
        <v>0</v>
      </c>
      <c r="BR1293" s="97">
        <f t="shared" si="184"/>
        <v>0</v>
      </c>
      <c r="BS1293" s="97">
        <f t="shared" si="184"/>
        <v>0</v>
      </c>
      <c r="BT1293" s="97">
        <f t="shared" si="185"/>
        <v>0</v>
      </c>
      <c r="BU1293" s="97">
        <f t="shared" si="185"/>
        <v>0</v>
      </c>
      <c r="BV1293" s="97">
        <f t="shared" si="185"/>
        <v>0</v>
      </c>
      <c r="BW1293" s="102"/>
      <c r="BX1293" s="102"/>
      <c r="BY1293" s="102"/>
      <c r="BZ1293" s="97">
        <f t="shared" si="186"/>
        <v>0</v>
      </c>
      <c r="CA1293" s="97">
        <f t="shared" si="187"/>
        <v>0</v>
      </c>
      <c r="CB1293" s="97">
        <f t="shared" si="188"/>
        <v>0</v>
      </c>
      <c r="CC1293" s="97">
        <f t="shared" si="189"/>
        <v>0</v>
      </c>
      <c r="CD1293" s="97">
        <f t="shared" si="190"/>
        <v>0</v>
      </c>
      <c r="CE1293" s="97">
        <f t="shared" si="191"/>
        <v>0</v>
      </c>
      <c r="CF1293" s="97">
        <f t="shared" si="192"/>
        <v>0</v>
      </c>
      <c r="CG1293" s="97">
        <f t="shared" si="193"/>
        <v>0</v>
      </c>
      <c r="CH1293" s="97">
        <f t="shared" si="194"/>
        <v>0</v>
      </c>
      <c r="CI1293" s="97">
        <f t="shared" si="195"/>
        <v>0</v>
      </c>
      <c r="CJ1293" s="97">
        <f t="shared" si="196"/>
        <v>0</v>
      </c>
      <c r="CK1293" s="97">
        <f t="shared" si="197"/>
        <v>0</v>
      </c>
      <c r="CL1293" s="97">
        <f t="shared" si="198"/>
        <v>0</v>
      </c>
      <c r="CM1293" s="97">
        <f t="shared" si="198"/>
        <v>0</v>
      </c>
      <c r="CN1293" s="97">
        <f t="shared" si="198"/>
        <v>0</v>
      </c>
      <c r="CO1293" s="97">
        <f t="shared" si="199"/>
        <v>0</v>
      </c>
      <c r="CP1293" s="97">
        <f t="shared" si="199"/>
        <v>0</v>
      </c>
      <c r="CQ1293" s="97">
        <f t="shared" si="199"/>
        <v>0</v>
      </c>
      <c r="CR1293" s="102"/>
      <c r="CS1293" s="102"/>
      <c r="CT1293" s="102"/>
      <c r="CU1293" s="97">
        <f t="shared" si="200"/>
        <v>0</v>
      </c>
      <c r="CV1293" s="97">
        <f t="shared" si="201"/>
        <v>0</v>
      </c>
      <c r="CW1293" s="97">
        <f t="shared" si="202"/>
        <v>0</v>
      </c>
      <c r="CX1293" s="97">
        <f t="shared" si="203"/>
        <v>0</v>
      </c>
      <c r="CY1293" s="97">
        <f t="shared" si="204"/>
        <v>0</v>
      </c>
      <c r="CZ1293" s="97">
        <f t="shared" si="205"/>
        <v>0</v>
      </c>
      <c r="DA1293" s="97">
        <f t="shared" si="206"/>
        <v>0</v>
      </c>
      <c r="DB1293" s="97">
        <f t="shared" si="207"/>
        <v>0</v>
      </c>
      <c r="DC1293" s="97">
        <f t="shared" si="208"/>
        <v>0</v>
      </c>
      <c r="DD1293" s="97">
        <f t="shared" si="209"/>
        <v>0</v>
      </c>
      <c r="DE1293" s="97">
        <f t="shared" si="210"/>
        <v>0</v>
      </c>
      <c r="DF1293" s="97">
        <f t="shared" si="211"/>
        <v>0</v>
      </c>
      <c r="DG1293" s="97">
        <f t="shared" si="212"/>
        <v>0</v>
      </c>
      <c r="DH1293" s="97">
        <f t="shared" si="212"/>
        <v>0</v>
      </c>
      <c r="DI1293" s="97">
        <f t="shared" si="212"/>
        <v>0</v>
      </c>
      <c r="DJ1293" s="97">
        <f t="shared" si="213"/>
        <v>0</v>
      </c>
      <c r="DK1293" s="97">
        <f t="shared" si="213"/>
        <v>0</v>
      </c>
      <c r="DL1293" s="97">
        <f t="shared" si="213"/>
        <v>0</v>
      </c>
      <c r="DM1293" s="102"/>
      <c r="DN1293" s="102"/>
      <c r="DO1293" s="102"/>
      <c r="DP1293" s="97">
        <f t="shared" si="214"/>
        <v>0</v>
      </c>
      <c r="DQ1293" s="97">
        <f t="shared" si="215"/>
        <v>0</v>
      </c>
      <c r="DR1293" s="97">
        <f t="shared" si="216"/>
        <v>0</v>
      </c>
      <c r="DS1293" s="97">
        <f t="shared" si="217"/>
        <v>0</v>
      </c>
      <c r="DT1293" s="97">
        <f t="shared" si="218"/>
        <v>0</v>
      </c>
      <c r="DU1293" s="97">
        <f t="shared" si="219"/>
        <v>0</v>
      </c>
      <c r="DV1293" s="97">
        <f t="shared" si="220"/>
        <v>0</v>
      </c>
      <c r="DW1293" s="97">
        <f t="shared" si="221"/>
        <v>0</v>
      </c>
      <c r="DX1293" s="97">
        <f t="shared" si="222"/>
        <v>0</v>
      </c>
      <c r="DY1293" s="97">
        <f t="shared" si="223"/>
        <v>0</v>
      </c>
      <c r="DZ1293" s="97">
        <f t="shared" si="224"/>
        <v>0</v>
      </c>
      <c r="EA1293" s="97">
        <f t="shared" si="225"/>
        <v>0</v>
      </c>
      <c r="EB1293" s="97">
        <f t="shared" si="226"/>
        <v>0</v>
      </c>
      <c r="EC1293" s="97">
        <f t="shared" si="226"/>
        <v>0</v>
      </c>
      <c r="ED1293" s="97">
        <f t="shared" si="226"/>
        <v>0</v>
      </c>
      <c r="EE1293" s="97">
        <f t="shared" si="227"/>
        <v>0</v>
      </c>
      <c r="EF1293" s="97">
        <f t="shared" si="227"/>
        <v>0</v>
      </c>
      <c r="EG1293" s="97">
        <f t="shared" si="227"/>
        <v>0</v>
      </c>
      <c r="EH1293" s="102"/>
      <c r="EI1293" s="102"/>
      <c r="EJ1293" s="102"/>
      <c r="EK1293" s="97">
        <f t="shared" si="228"/>
        <v>0</v>
      </c>
      <c r="EL1293" s="97">
        <f t="shared" si="229"/>
        <v>0</v>
      </c>
      <c r="EM1293" s="97">
        <f t="shared" si="230"/>
        <v>0</v>
      </c>
      <c r="EN1293" s="97">
        <f t="shared" si="231"/>
        <v>0</v>
      </c>
      <c r="EO1293" s="97">
        <f t="shared" si="232"/>
        <v>0</v>
      </c>
      <c r="EP1293" s="97">
        <f t="shared" si="233"/>
        <v>0</v>
      </c>
      <c r="EQ1293" s="97">
        <f t="shared" si="234"/>
        <v>0</v>
      </c>
      <c r="ER1293" s="97">
        <f t="shared" si="235"/>
        <v>0</v>
      </c>
      <c r="ES1293" s="97">
        <f t="shared" si="236"/>
        <v>0</v>
      </c>
      <c r="ET1293" s="97">
        <f t="shared" si="237"/>
        <v>0</v>
      </c>
      <c r="EU1293" s="97">
        <f t="shared" si="238"/>
        <v>0</v>
      </c>
      <c r="EV1293" s="97">
        <f t="shared" si="239"/>
        <v>0</v>
      </c>
      <c r="EW1293" s="97">
        <f t="shared" si="240"/>
        <v>0</v>
      </c>
      <c r="EX1293" s="97">
        <f t="shared" si="240"/>
        <v>0</v>
      </c>
      <c r="EY1293" s="97">
        <f t="shared" si="240"/>
        <v>0</v>
      </c>
      <c r="EZ1293" s="97">
        <f t="shared" si="241"/>
        <v>0</v>
      </c>
      <c r="FA1293" s="97">
        <f t="shared" si="241"/>
        <v>0</v>
      </c>
      <c r="FB1293" s="97">
        <f t="shared" si="241"/>
        <v>0</v>
      </c>
      <c r="FC1293" s="102"/>
      <c r="FD1293" s="102"/>
      <c r="FE1293" s="102"/>
      <c r="FF1293" s="97">
        <f t="shared" si="242"/>
        <v>0</v>
      </c>
      <c r="FG1293" s="97">
        <f t="shared" si="243"/>
        <v>0</v>
      </c>
      <c r="FH1293" s="97">
        <f t="shared" si="244"/>
        <v>0</v>
      </c>
      <c r="FI1293" s="97">
        <f t="shared" si="245"/>
        <v>0</v>
      </c>
      <c r="FJ1293" s="97">
        <f t="shared" si="246"/>
        <v>0</v>
      </c>
      <c r="FK1293" s="97">
        <f t="shared" si="247"/>
        <v>0</v>
      </c>
      <c r="FL1293" s="97">
        <f t="shared" si="248"/>
        <v>0</v>
      </c>
      <c r="FM1293" s="97">
        <f t="shared" si="249"/>
        <v>0</v>
      </c>
      <c r="FN1293" s="97">
        <f t="shared" si="250"/>
        <v>0</v>
      </c>
      <c r="FO1293" s="97">
        <f t="shared" si="251"/>
        <v>0</v>
      </c>
      <c r="FP1293" s="97">
        <f t="shared" si="252"/>
        <v>0</v>
      </c>
      <c r="FQ1293" s="97">
        <f t="shared" si="253"/>
        <v>0</v>
      </c>
      <c r="FR1293" s="97">
        <f t="shared" si="254"/>
        <v>0</v>
      </c>
      <c r="FS1293" s="97">
        <f t="shared" si="254"/>
        <v>0</v>
      </c>
      <c r="FT1293" s="97">
        <f t="shared" si="254"/>
        <v>0</v>
      </c>
      <c r="FU1293" s="97">
        <f t="shared" si="255"/>
        <v>0</v>
      </c>
      <c r="FV1293" s="97">
        <f t="shared" si="255"/>
        <v>0</v>
      </c>
      <c r="FW1293" s="97">
        <f t="shared" si="255"/>
        <v>0</v>
      </c>
      <c r="FX1293" s="102"/>
      <c r="FY1293" s="102"/>
      <c r="FZ1293" s="102"/>
      <c r="GA1293" s="97">
        <f t="shared" si="256"/>
        <v>0</v>
      </c>
      <c r="GB1293" s="97">
        <f t="shared" si="257"/>
        <v>0</v>
      </c>
      <c r="GC1293" s="97">
        <f t="shared" si="258"/>
        <v>0</v>
      </c>
      <c r="GD1293" s="97">
        <f t="shared" si="259"/>
        <v>0</v>
      </c>
      <c r="GE1293" s="97">
        <f t="shared" si="260"/>
        <v>0</v>
      </c>
      <c r="GF1293" s="97">
        <f t="shared" si="261"/>
        <v>0</v>
      </c>
      <c r="GG1293" s="97">
        <f t="shared" si="262"/>
        <v>0</v>
      </c>
      <c r="GH1293" s="97">
        <f t="shared" si="263"/>
        <v>0</v>
      </c>
      <c r="GI1293" s="97">
        <f t="shared" si="264"/>
        <v>0</v>
      </c>
      <c r="GJ1293" s="97">
        <f t="shared" si="265"/>
        <v>0</v>
      </c>
      <c r="GK1293" s="97">
        <f t="shared" si="266"/>
        <v>0</v>
      </c>
      <c r="GL1293" s="97">
        <f t="shared" si="267"/>
        <v>0</v>
      </c>
      <c r="GM1293" s="97">
        <f t="shared" si="268"/>
        <v>0</v>
      </c>
      <c r="GN1293" s="97">
        <f t="shared" si="268"/>
        <v>0</v>
      </c>
      <c r="GO1293" s="97">
        <f t="shared" si="268"/>
        <v>0</v>
      </c>
      <c r="GP1293" s="97">
        <f t="shared" si="269"/>
        <v>0</v>
      </c>
      <c r="GQ1293" s="97">
        <f t="shared" si="269"/>
        <v>0</v>
      </c>
      <c r="GR1293" s="97">
        <f t="shared" si="269"/>
        <v>0</v>
      </c>
      <c r="GS1293" s="102"/>
      <c r="GT1293" s="102"/>
      <c r="GU1293" s="102"/>
      <c r="GV1293" s="97">
        <f t="shared" si="270"/>
        <v>0</v>
      </c>
      <c r="GW1293" s="97">
        <f t="shared" si="271"/>
        <v>0</v>
      </c>
      <c r="GX1293" s="97">
        <f t="shared" si="272"/>
        <v>0</v>
      </c>
      <c r="GY1293" s="97">
        <f t="shared" si="273"/>
        <v>0</v>
      </c>
      <c r="GZ1293" s="97">
        <f t="shared" si="274"/>
        <v>0</v>
      </c>
      <c r="HA1293" s="97">
        <f t="shared" si="275"/>
        <v>0</v>
      </c>
      <c r="HB1293" s="97">
        <f t="shared" si="276"/>
        <v>0</v>
      </c>
      <c r="HC1293" s="97">
        <f t="shared" si="277"/>
        <v>0</v>
      </c>
      <c r="HD1293" s="97">
        <f t="shared" si="278"/>
        <v>0</v>
      </c>
      <c r="HE1293" s="97">
        <f t="shared" si="279"/>
        <v>0</v>
      </c>
      <c r="HF1293" s="97">
        <f t="shared" si="280"/>
        <v>0</v>
      </c>
      <c r="HG1293" s="97">
        <f t="shared" si="281"/>
        <v>0</v>
      </c>
      <c r="HH1293" s="97">
        <f t="shared" si="282"/>
        <v>0</v>
      </c>
      <c r="HI1293" s="97">
        <f t="shared" si="282"/>
        <v>0</v>
      </c>
      <c r="HJ1293" s="97">
        <f t="shared" si="282"/>
        <v>0</v>
      </c>
      <c r="HK1293" s="97">
        <f t="shared" si="283"/>
        <v>0</v>
      </c>
      <c r="HL1293" s="97">
        <f t="shared" si="283"/>
        <v>0</v>
      </c>
      <c r="HM1293" s="97">
        <f t="shared" si="283"/>
        <v>0</v>
      </c>
      <c r="HN1293" s="102"/>
      <c r="HO1293" s="102"/>
      <c r="HP1293" s="102"/>
      <c r="HQ1293" s="97">
        <f t="shared" si="284"/>
        <v>0</v>
      </c>
      <c r="HR1293" s="97">
        <f t="shared" si="285"/>
        <v>0</v>
      </c>
      <c r="HS1293" s="97">
        <f t="shared" si="286"/>
        <v>0</v>
      </c>
      <c r="HT1293" s="97">
        <f t="shared" si="287"/>
        <v>0</v>
      </c>
      <c r="HU1293" s="97">
        <f t="shared" si="288"/>
        <v>0</v>
      </c>
      <c r="HV1293" s="97">
        <f t="shared" si="289"/>
        <v>0</v>
      </c>
      <c r="HW1293" s="97">
        <f t="shared" si="290"/>
        <v>0</v>
      </c>
      <c r="HX1293" s="97">
        <f t="shared" si="291"/>
        <v>0</v>
      </c>
      <c r="HY1293" s="97">
        <f t="shared" si="292"/>
        <v>0</v>
      </c>
      <c r="HZ1293" s="97">
        <f t="shared" si="293"/>
        <v>0</v>
      </c>
      <c r="IA1293" s="97">
        <f t="shared" si="294"/>
        <v>0</v>
      </c>
      <c r="IB1293" s="97">
        <f t="shared" si="295"/>
        <v>0</v>
      </c>
      <c r="IC1293" s="97">
        <f t="shared" si="296"/>
        <v>0</v>
      </c>
      <c r="ID1293" s="97">
        <f t="shared" si="296"/>
        <v>0</v>
      </c>
      <c r="IE1293" s="97">
        <f t="shared" si="296"/>
        <v>0</v>
      </c>
      <c r="IF1293" s="97">
        <f t="shared" si="297"/>
        <v>0</v>
      </c>
      <c r="IG1293" s="97">
        <f t="shared" si="297"/>
        <v>0</v>
      </c>
      <c r="IH1293" s="97">
        <f t="shared" si="297"/>
        <v>0</v>
      </c>
      <c r="II1293" s="102"/>
      <c r="IJ1293" s="102"/>
      <c r="IK1293" s="102"/>
      <c r="IL1293" s="97">
        <f t="shared" si="298"/>
        <v>0</v>
      </c>
      <c r="IM1293" s="97">
        <f t="shared" si="299"/>
        <v>0</v>
      </c>
      <c r="IN1293" s="97">
        <f t="shared" si="300"/>
        <v>0</v>
      </c>
      <c r="IO1293" s="97">
        <f t="shared" si="301"/>
        <v>0</v>
      </c>
      <c r="IP1293" s="97">
        <f t="shared" si="302"/>
        <v>0</v>
      </c>
      <c r="IQ1293" s="97">
        <f t="shared" si="303"/>
        <v>0</v>
      </c>
      <c r="IR1293" s="97">
        <f t="shared" si="304"/>
        <v>0</v>
      </c>
      <c r="IS1293" s="97">
        <f t="shared" si="305"/>
        <v>0</v>
      </c>
      <c r="IT1293" s="97">
        <f t="shared" si="306"/>
        <v>0</v>
      </c>
      <c r="IU1293" s="97">
        <f t="shared" si="307"/>
        <v>0</v>
      </c>
      <c r="IV1293" s="97">
        <f t="shared" si="308"/>
        <v>0</v>
      </c>
      <c r="IW1293" s="97">
        <f t="shared" si="309"/>
        <v>0</v>
      </c>
      <c r="IX1293" s="97">
        <f t="shared" si="310"/>
        <v>0</v>
      </c>
      <c r="IY1293" s="97">
        <f t="shared" si="310"/>
        <v>0</v>
      </c>
      <c r="IZ1293" s="97">
        <f t="shared" si="310"/>
        <v>0</v>
      </c>
      <c r="JA1293" s="97">
        <f t="shared" si="311"/>
        <v>0</v>
      </c>
      <c r="JB1293" s="97">
        <f t="shared" si="311"/>
        <v>0</v>
      </c>
      <c r="JC1293" s="97">
        <f t="shared" si="311"/>
        <v>0</v>
      </c>
      <c r="JD1293" s="102"/>
      <c r="JE1293" s="102"/>
      <c r="JF1293" s="102"/>
      <c r="JG1293" s="97">
        <f t="shared" si="312"/>
        <v>0</v>
      </c>
      <c r="JH1293" s="97">
        <f t="shared" si="313"/>
        <v>0</v>
      </c>
      <c r="JI1293" s="97">
        <f t="shared" si="314"/>
        <v>0</v>
      </c>
      <c r="JJ1293" s="97">
        <f t="shared" si="315"/>
        <v>0</v>
      </c>
      <c r="JK1293" s="97">
        <f t="shared" si="316"/>
        <v>0</v>
      </c>
      <c r="JL1293" s="97">
        <f t="shared" si="317"/>
        <v>0</v>
      </c>
      <c r="JM1293" s="97">
        <f t="shared" si="318"/>
        <v>0</v>
      </c>
      <c r="JN1293" s="97">
        <f t="shared" si="319"/>
        <v>0</v>
      </c>
      <c r="JO1293" s="97">
        <f t="shared" si="320"/>
        <v>0</v>
      </c>
      <c r="JP1293" s="97">
        <f t="shared" si="321"/>
        <v>0</v>
      </c>
      <c r="JQ1293" s="97">
        <f t="shared" si="322"/>
        <v>0</v>
      </c>
      <c r="JR1293" s="97">
        <f t="shared" si="323"/>
        <v>0</v>
      </c>
      <c r="JS1293" s="97">
        <f t="shared" si="324"/>
        <v>0</v>
      </c>
      <c r="JT1293" s="97">
        <f t="shared" si="324"/>
        <v>0</v>
      </c>
      <c r="JU1293" s="97">
        <f t="shared" si="324"/>
        <v>0</v>
      </c>
      <c r="JV1293" s="97">
        <f t="shared" si="325"/>
        <v>0</v>
      </c>
      <c r="JW1293" s="97">
        <f t="shared" si="325"/>
        <v>0</v>
      </c>
      <c r="JX1293" s="97">
        <f t="shared" si="325"/>
        <v>0</v>
      </c>
      <c r="JY1293" s="102"/>
      <c r="JZ1293" s="102"/>
      <c r="KA1293" s="102"/>
      <c r="KB1293" s="97">
        <f t="shared" si="326"/>
        <v>0</v>
      </c>
      <c r="KC1293" s="97">
        <f t="shared" si="327"/>
        <v>0</v>
      </c>
      <c r="KD1293" s="97">
        <f t="shared" si="328"/>
        <v>0</v>
      </c>
      <c r="KE1293" s="97">
        <f t="shared" si="329"/>
        <v>0</v>
      </c>
      <c r="KF1293" s="97">
        <f t="shared" si="330"/>
        <v>0</v>
      </c>
      <c r="KG1293" s="97">
        <f t="shared" si="331"/>
        <v>0</v>
      </c>
      <c r="KH1293" s="97">
        <f t="shared" si="332"/>
        <v>0</v>
      </c>
      <c r="KI1293" s="97">
        <f t="shared" si="333"/>
        <v>0</v>
      </c>
      <c r="KJ1293" s="97">
        <f t="shared" si="334"/>
        <v>0</v>
      </c>
      <c r="KK1293" s="97">
        <f t="shared" si="335"/>
        <v>0</v>
      </c>
      <c r="KL1293" s="97">
        <f t="shared" si="336"/>
        <v>0</v>
      </c>
      <c r="KM1293" s="97">
        <f t="shared" si="337"/>
        <v>0</v>
      </c>
      <c r="KN1293" s="97">
        <f t="shared" si="338"/>
        <v>0</v>
      </c>
      <c r="KO1293" s="97">
        <f t="shared" si="338"/>
        <v>0</v>
      </c>
      <c r="KP1293" s="97">
        <f t="shared" si="338"/>
        <v>0</v>
      </c>
      <c r="KQ1293" s="97">
        <f t="shared" si="339"/>
        <v>0</v>
      </c>
      <c r="KR1293" s="97">
        <f t="shared" si="339"/>
        <v>0</v>
      </c>
      <c r="KS1293" s="97">
        <f t="shared" si="339"/>
        <v>0</v>
      </c>
      <c r="KT1293" s="102"/>
      <c r="KU1293" s="102"/>
      <c r="KV1293" s="102"/>
      <c r="KW1293" s="97">
        <f t="shared" si="340"/>
        <v>0</v>
      </c>
      <c r="KX1293" s="97">
        <f t="shared" si="341"/>
        <v>0</v>
      </c>
      <c r="KY1293" s="97">
        <f t="shared" si="342"/>
        <v>0</v>
      </c>
      <c r="KZ1293" s="97">
        <f t="shared" si="343"/>
        <v>0</v>
      </c>
      <c r="LA1293" s="97">
        <f t="shared" si="344"/>
        <v>0</v>
      </c>
      <c r="LB1293" s="97">
        <f t="shared" si="345"/>
        <v>0</v>
      </c>
      <c r="LC1293" s="97">
        <f t="shared" si="346"/>
        <v>0</v>
      </c>
      <c r="LD1293" s="97">
        <f t="shared" si="347"/>
        <v>0</v>
      </c>
      <c r="LE1293" s="97">
        <f t="shared" si="348"/>
        <v>0</v>
      </c>
      <c r="LF1293" s="97">
        <f t="shared" si="349"/>
        <v>0</v>
      </c>
      <c r="LG1293" s="97">
        <f t="shared" si="350"/>
        <v>0</v>
      </c>
      <c r="LH1293" s="97">
        <f t="shared" si="351"/>
        <v>0</v>
      </c>
      <c r="LI1293" s="97">
        <f t="shared" si="352"/>
        <v>0</v>
      </c>
      <c r="LJ1293" s="97">
        <f t="shared" si="352"/>
        <v>0</v>
      </c>
      <c r="LK1293" s="97">
        <f t="shared" si="352"/>
        <v>0</v>
      </c>
      <c r="LL1293" s="97">
        <f t="shared" si="353"/>
        <v>0</v>
      </c>
      <c r="LM1293" s="97">
        <f t="shared" si="353"/>
        <v>0</v>
      </c>
      <c r="LN1293" s="97">
        <f t="shared" si="353"/>
        <v>0</v>
      </c>
      <c r="LO1293" s="102"/>
      <c r="LP1293" s="102"/>
      <c r="LQ1293" s="102"/>
      <c r="LR1293" s="97">
        <f t="shared" si="354"/>
        <v>0</v>
      </c>
      <c r="LS1293" s="97">
        <f t="shared" si="355"/>
        <v>0</v>
      </c>
      <c r="LT1293" s="97">
        <f t="shared" si="356"/>
        <v>0</v>
      </c>
      <c r="LU1293" s="97">
        <f t="shared" si="357"/>
        <v>0</v>
      </c>
      <c r="LV1293" s="97">
        <f t="shared" si="358"/>
        <v>0</v>
      </c>
      <c r="LW1293" s="97">
        <f t="shared" si="359"/>
        <v>0</v>
      </c>
      <c r="LX1293" s="97">
        <f t="shared" si="360"/>
        <v>0</v>
      </c>
      <c r="LY1293" s="97">
        <f t="shared" si="361"/>
        <v>0</v>
      </c>
      <c r="LZ1293" s="97">
        <f t="shared" si="362"/>
        <v>0</v>
      </c>
      <c r="MA1293" s="97">
        <f t="shared" si="363"/>
        <v>0</v>
      </c>
      <c r="MB1293" s="97">
        <f t="shared" si="364"/>
        <v>0</v>
      </c>
      <c r="MC1293" s="97">
        <f t="shared" si="365"/>
        <v>0</v>
      </c>
      <c r="MD1293" s="97">
        <f t="shared" si="366"/>
        <v>0</v>
      </c>
      <c r="ME1293" s="97">
        <f t="shared" si="366"/>
        <v>0</v>
      </c>
      <c r="MF1293" s="97">
        <f t="shared" si="366"/>
        <v>0</v>
      </c>
      <c r="MG1293" s="97">
        <f t="shared" si="367"/>
        <v>0</v>
      </c>
      <c r="MH1293" s="97">
        <f t="shared" si="367"/>
        <v>0</v>
      </c>
      <c r="MI1293" s="97">
        <f t="shared" si="367"/>
        <v>0</v>
      </c>
      <c r="MJ1293" s="102"/>
      <c r="MK1293" s="102"/>
      <c r="ML1293" s="102"/>
      <c r="MM1293" s="97">
        <f t="shared" si="368"/>
        <v>0</v>
      </c>
      <c r="MN1293" s="97">
        <f t="shared" si="369"/>
        <v>0</v>
      </c>
      <c r="MO1293" s="97">
        <f t="shared" si="370"/>
        <v>0</v>
      </c>
      <c r="MP1293" s="97">
        <f t="shared" si="371"/>
        <v>0</v>
      </c>
      <c r="MQ1293" s="97">
        <f t="shared" si="372"/>
        <v>0</v>
      </c>
      <c r="MR1293" s="97">
        <f t="shared" si="373"/>
        <v>0</v>
      </c>
      <c r="MS1293" s="97">
        <f t="shared" si="374"/>
        <v>0</v>
      </c>
      <c r="MT1293" s="97">
        <f t="shared" si="375"/>
        <v>0</v>
      </c>
      <c r="MU1293" s="97">
        <f t="shared" si="376"/>
        <v>0</v>
      </c>
      <c r="MV1293" s="97">
        <f t="shared" si="377"/>
        <v>0</v>
      </c>
      <c r="MW1293" s="97">
        <f t="shared" si="378"/>
        <v>0</v>
      </c>
      <c r="MX1293" s="97">
        <f t="shared" si="379"/>
        <v>0</v>
      </c>
      <c r="MY1293" s="97">
        <f t="shared" si="380"/>
        <v>0</v>
      </c>
      <c r="MZ1293" s="97">
        <f t="shared" si="380"/>
        <v>0</v>
      </c>
      <c r="NA1293" s="97">
        <f t="shared" si="380"/>
        <v>0</v>
      </c>
      <c r="NB1293" s="97">
        <f t="shared" si="381"/>
        <v>0</v>
      </c>
      <c r="NC1293" s="97">
        <f t="shared" si="381"/>
        <v>0</v>
      </c>
      <c r="ND1293" s="97">
        <f t="shared" si="381"/>
        <v>0</v>
      </c>
      <c r="NE1293" s="102"/>
      <c r="NF1293" s="102"/>
      <c r="NG1293" s="102"/>
      <c r="NH1293" s="97">
        <f t="shared" si="382"/>
        <v>0</v>
      </c>
      <c r="NI1293" s="97">
        <f t="shared" si="383"/>
        <v>0</v>
      </c>
      <c r="NJ1293" s="97">
        <f t="shared" si="384"/>
        <v>0</v>
      </c>
      <c r="NK1293" s="97">
        <f t="shared" si="385"/>
        <v>0</v>
      </c>
      <c r="NL1293" s="97">
        <f t="shared" si="386"/>
        <v>0</v>
      </c>
      <c r="NM1293" s="97">
        <f t="shared" si="387"/>
        <v>0</v>
      </c>
      <c r="NN1293" s="97">
        <f t="shared" si="388"/>
        <v>0</v>
      </c>
      <c r="NO1293" s="97">
        <f t="shared" si="389"/>
        <v>0</v>
      </c>
      <c r="NP1293" s="97">
        <f t="shared" si="390"/>
        <v>0</v>
      </c>
      <c r="NQ1293" s="97">
        <f t="shared" si="391"/>
        <v>0</v>
      </c>
      <c r="NR1293" s="97">
        <f t="shared" si="392"/>
        <v>0</v>
      </c>
      <c r="NS1293" s="97">
        <f t="shared" si="393"/>
        <v>0</v>
      </c>
      <c r="NT1293" s="97">
        <f t="shared" si="394"/>
        <v>0</v>
      </c>
      <c r="NU1293" s="97">
        <f t="shared" si="394"/>
        <v>0</v>
      </c>
      <c r="NV1293" s="97">
        <f t="shared" si="394"/>
        <v>0</v>
      </c>
      <c r="NW1293" s="97">
        <f t="shared" si="395"/>
        <v>0</v>
      </c>
      <c r="NX1293" s="97">
        <f t="shared" si="395"/>
        <v>0</v>
      </c>
      <c r="NY1293" s="97">
        <f t="shared" si="395"/>
        <v>0</v>
      </c>
      <c r="NZ1293" s="102"/>
      <c r="OA1293" s="102"/>
      <c r="OB1293" s="102"/>
      <c r="OC1293" s="97">
        <f t="shared" si="396"/>
        <v>0</v>
      </c>
      <c r="OD1293" s="97">
        <f t="shared" si="397"/>
        <v>0</v>
      </c>
      <c r="OE1293" s="97">
        <f t="shared" si="398"/>
        <v>0</v>
      </c>
      <c r="OF1293" s="97">
        <f t="shared" si="399"/>
        <v>0</v>
      </c>
      <c r="OG1293" s="97">
        <f t="shared" si="400"/>
        <v>0</v>
      </c>
      <c r="OH1293" s="97">
        <f t="shared" si="401"/>
        <v>0</v>
      </c>
      <c r="OI1293" s="97">
        <f t="shared" si="402"/>
        <v>0</v>
      </c>
      <c r="OJ1293" s="97">
        <f t="shared" si="403"/>
        <v>0</v>
      </c>
      <c r="OK1293" s="97">
        <f t="shared" si="404"/>
        <v>0</v>
      </c>
      <c r="OL1293" s="97">
        <f t="shared" si="405"/>
        <v>0</v>
      </c>
      <c r="OM1293" s="97">
        <f t="shared" si="406"/>
        <v>0</v>
      </c>
      <c r="ON1293" s="97">
        <f t="shared" si="407"/>
        <v>0</v>
      </c>
      <c r="OO1293" s="97">
        <f t="shared" si="408"/>
        <v>0</v>
      </c>
      <c r="OP1293" s="97">
        <f t="shared" si="408"/>
        <v>0</v>
      </c>
      <c r="OQ1293" s="97">
        <f t="shared" si="408"/>
        <v>0</v>
      </c>
      <c r="OR1293" s="97">
        <f t="shared" si="409"/>
        <v>0</v>
      </c>
      <c r="OS1293" s="97">
        <f t="shared" si="409"/>
        <v>0</v>
      </c>
      <c r="OT1293" s="97">
        <f t="shared" si="409"/>
        <v>0</v>
      </c>
      <c r="OU1293" s="102"/>
      <c r="OV1293" s="102"/>
      <c r="OW1293" s="102"/>
      <c r="OX1293" s="97">
        <f t="shared" si="410"/>
        <v>0</v>
      </c>
      <c r="OY1293" s="97">
        <f t="shared" si="411"/>
        <v>0</v>
      </c>
      <c r="OZ1293" s="97">
        <f t="shared" si="412"/>
        <v>0</v>
      </c>
      <c r="PA1293" s="97">
        <f t="shared" si="413"/>
        <v>0</v>
      </c>
      <c r="PB1293" s="97">
        <f t="shared" si="414"/>
        <v>0</v>
      </c>
      <c r="PC1293" s="97">
        <f t="shared" si="415"/>
        <v>0</v>
      </c>
      <c r="PD1293" s="97">
        <f t="shared" si="416"/>
        <v>0</v>
      </c>
      <c r="PE1293" s="97">
        <f t="shared" si="417"/>
        <v>0</v>
      </c>
      <c r="PF1293" s="97">
        <f t="shared" si="418"/>
        <v>0</v>
      </c>
      <c r="PG1293" s="97">
        <f t="shared" si="419"/>
        <v>0</v>
      </c>
      <c r="PH1293" s="97">
        <f t="shared" si="420"/>
        <v>0</v>
      </c>
      <c r="PI1293" s="97">
        <f t="shared" si="421"/>
        <v>0</v>
      </c>
      <c r="PJ1293" s="97">
        <f t="shared" si="422"/>
        <v>0</v>
      </c>
      <c r="PK1293" s="97">
        <f t="shared" si="422"/>
        <v>0</v>
      </c>
      <c r="PL1293" s="97">
        <f t="shared" si="422"/>
        <v>0</v>
      </c>
      <c r="PM1293" s="97">
        <f t="shared" si="423"/>
        <v>0</v>
      </c>
      <c r="PN1293" s="97">
        <f t="shared" si="423"/>
        <v>0</v>
      </c>
      <c r="PO1293" s="97">
        <f t="shared" si="423"/>
        <v>0</v>
      </c>
      <c r="PP1293" s="102"/>
      <c r="PQ1293" s="102"/>
      <c r="PR1293" s="102"/>
      <c r="PS1293" s="97">
        <f t="shared" si="424"/>
        <v>0</v>
      </c>
      <c r="PT1293" s="97">
        <f t="shared" si="425"/>
        <v>0</v>
      </c>
      <c r="PU1293" s="97">
        <f t="shared" si="426"/>
        <v>0</v>
      </c>
      <c r="PV1293" s="97">
        <f t="shared" si="427"/>
        <v>0</v>
      </c>
      <c r="PW1293" s="97">
        <f t="shared" si="428"/>
        <v>0</v>
      </c>
      <c r="PX1293" s="97">
        <f t="shared" si="429"/>
        <v>0</v>
      </c>
      <c r="PY1293" s="97">
        <f t="shared" si="430"/>
        <v>0</v>
      </c>
      <c r="PZ1293" s="97">
        <f t="shared" si="431"/>
        <v>0</v>
      </c>
      <c r="QA1293" s="97">
        <f t="shared" si="432"/>
        <v>0</v>
      </c>
      <c r="QB1293" s="97">
        <f t="shared" si="433"/>
        <v>0</v>
      </c>
      <c r="QC1293" s="97">
        <f t="shared" si="434"/>
        <v>0</v>
      </c>
      <c r="QD1293" s="97">
        <f t="shared" si="435"/>
        <v>0</v>
      </c>
      <c r="QE1293" s="97">
        <f t="shared" si="436"/>
        <v>0</v>
      </c>
      <c r="QF1293" s="97">
        <f t="shared" si="436"/>
        <v>0</v>
      </c>
      <c r="QG1293" s="97">
        <f t="shared" si="436"/>
        <v>0</v>
      </c>
      <c r="QH1293" s="97">
        <f t="shared" si="437"/>
        <v>0</v>
      </c>
      <c r="QI1293" s="97">
        <f t="shared" si="437"/>
        <v>0</v>
      </c>
      <c r="QJ1293" s="97">
        <f t="shared" si="437"/>
        <v>0</v>
      </c>
      <c r="QK1293" s="102"/>
      <c r="QL1293" s="102"/>
      <c r="QM1293" s="102"/>
      <c r="QN1293" s="97">
        <f t="shared" si="438"/>
        <v>0</v>
      </c>
      <c r="QO1293" s="97">
        <f t="shared" si="439"/>
        <v>0</v>
      </c>
      <c r="QP1293" s="97">
        <f t="shared" si="440"/>
        <v>0</v>
      </c>
      <c r="QQ1293" s="97">
        <f t="shared" si="441"/>
        <v>0</v>
      </c>
      <c r="QR1293" s="97">
        <f t="shared" si="442"/>
        <v>0</v>
      </c>
      <c r="QS1293" s="97">
        <f t="shared" si="443"/>
        <v>0</v>
      </c>
      <c r="QT1293" s="97">
        <f t="shared" si="444"/>
        <v>0</v>
      </c>
      <c r="QU1293" s="97">
        <f t="shared" si="445"/>
        <v>0</v>
      </c>
      <c r="QV1293" s="97">
        <f t="shared" si="446"/>
        <v>0</v>
      </c>
      <c r="QW1293" s="97">
        <f t="shared" si="447"/>
        <v>0</v>
      </c>
      <c r="QX1293" s="97">
        <f t="shared" si="448"/>
        <v>0</v>
      </c>
      <c r="QY1293" s="97">
        <f t="shared" si="449"/>
        <v>0</v>
      </c>
      <c r="QZ1293" s="97">
        <f t="shared" si="450"/>
        <v>0</v>
      </c>
      <c r="RA1293" s="97">
        <f t="shared" si="450"/>
        <v>0</v>
      </c>
      <c r="RB1293" s="97">
        <f t="shared" si="450"/>
        <v>0</v>
      </c>
      <c r="RC1293" s="97">
        <f t="shared" si="451"/>
        <v>0</v>
      </c>
      <c r="RD1293" s="97">
        <f t="shared" si="451"/>
        <v>0</v>
      </c>
      <c r="RE1293" s="97">
        <f t="shared" si="451"/>
        <v>0</v>
      </c>
      <c r="RF1293" s="102"/>
      <c r="RG1293" s="102"/>
      <c r="RH1293" s="102"/>
      <c r="RI1293" s="97">
        <f t="shared" si="452"/>
        <v>0</v>
      </c>
      <c r="RJ1293" s="97">
        <f t="shared" si="453"/>
        <v>0</v>
      </c>
      <c r="RK1293" s="97">
        <f t="shared" si="454"/>
        <v>0</v>
      </c>
      <c r="RL1293" s="97">
        <f t="shared" si="455"/>
        <v>0</v>
      </c>
      <c r="RM1293" s="97">
        <f t="shared" si="456"/>
        <v>0</v>
      </c>
      <c r="RN1293" s="97">
        <f t="shared" si="457"/>
        <v>0</v>
      </c>
      <c r="RO1293" s="97">
        <f t="shared" si="458"/>
        <v>0</v>
      </c>
      <c r="RP1293" s="97">
        <f t="shared" si="459"/>
        <v>0</v>
      </c>
      <c r="RQ1293" s="97">
        <f t="shared" si="460"/>
        <v>0</v>
      </c>
      <c r="RR1293" s="97">
        <f t="shared" si="461"/>
        <v>0</v>
      </c>
      <c r="RS1293" s="97">
        <f t="shared" si="462"/>
        <v>0</v>
      </c>
      <c r="RT1293" s="97">
        <f t="shared" si="463"/>
        <v>0</v>
      </c>
      <c r="RU1293" s="97">
        <f t="shared" si="464"/>
        <v>0</v>
      </c>
      <c r="RV1293" s="97">
        <f t="shared" si="464"/>
        <v>0</v>
      </c>
      <c r="RW1293" s="97">
        <f t="shared" si="464"/>
        <v>0</v>
      </c>
      <c r="RX1293" s="97">
        <f t="shared" si="465"/>
        <v>0</v>
      </c>
      <c r="RY1293" s="97">
        <f t="shared" si="465"/>
        <v>0</v>
      </c>
      <c r="RZ1293" s="97">
        <f t="shared" si="465"/>
        <v>0</v>
      </c>
      <c r="SA1293" s="102"/>
      <c r="SB1293" s="102"/>
      <c r="SC1293" s="102"/>
      <c r="SD1293" s="97">
        <f t="shared" si="466"/>
        <v>0</v>
      </c>
      <c r="SE1293" s="97">
        <f t="shared" si="467"/>
        <v>0</v>
      </c>
      <c r="SF1293" s="97">
        <f t="shared" si="468"/>
        <v>0</v>
      </c>
      <c r="SG1293" s="97">
        <f t="shared" si="469"/>
        <v>0</v>
      </c>
      <c r="SH1293" s="97">
        <f t="shared" si="470"/>
        <v>0</v>
      </c>
      <c r="SI1293" s="97">
        <f t="shared" si="471"/>
        <v>0</v>
      </c>
      <c r="SJ1293" s="97">
        <f t="shared" si="472"/>
        <v>0</v>
      </c>
      <c r="SK1293" s="97">
        <f t="shared" si="473"/>
        <v>0</v>
      </c>
      <c r="SL1293" s="97">
        <f t="shared" si="474"/>
        <v>0</v>
      </c>
      <c r="SM1293" s="97">
        <f t="shared" si="475"/>
        <v>0</v>
      </c>
      <c r="SN1293" s="97">
        <f t="shared" si="476"/>
        <v>0</v>
      </c>
      <c r="SO1293" s="97">
        <f t="shared" si="477"/>
        <v>0</v>
      </c>
      <c r="SP1293" s="97">
        <f t="shared" si="478"/>
        <v>0</v>
      </c>
      <c r="SQ1293" s="97">
        <f t="shared" si="478"/>
        <v>0</v>
      </c>
      <c r="SR1293" s="97">
        <f t="shared" si="478"/>
        <v>0</v>
      </c>
      <c r="SS1293" s="97">
        <f t="shared" si="479"/>
        <v>0</v>
      </c>
      <c r="ST1293" s="97">
        <f t="shared" si="479"/>
        <v>0</v>
      </c>
      <c r="SU1293" s="97">
        <f t="shared" si="479"/>
        <v>0</v>
      </c>
      <c r="SV1293" s="102"/>
      <c r="SW1293" s="102"/>
      <c r="SX1293" s="102"/>
      <c r="SY1293" s="97">
        <f t="shared" si="480"/>
        <v>0</v>
      </c>
      <c r="SZ1293" s="97">
        <f t="shared" si="481"/>
        <v>0</v>
      </c>
      <c r="TA1293" s="97">
        <f t="shared" si="482"/>
        <v>0</v>
      </c>
      <c r="TB1293" s="97">
        <f t="shared" si="483"/>
        <v>0</v>
      </c>
      <c r="TC1293" s="97">
        <f t="shared" si="484"/>
        <v>0</v>
      </c>
      <c r="TD1293" s="97">
        <f t="shared" si="485"/>
        <v>0</v>
      </c>
      <c r="TE1293" s="97">
        <f t="shared" si="486"/>
        <v>0</v>
      </c>
      <c r="TF1293" s="97">
        <f t="shared" si="487"/>
        <v>0</v>
      </c>
      <c r="TG1293" s="97">
        <f t="shared" si="488"/>
        <v>0</v>
      </c>
      <c r="TH1293" s="97">
        <f t="shared" si="489"/>
        <v>0</v>
      </c>
      <c r="TI1293" s="97">
        <f t="shared" si="490"/>
        <v>0</v>
      </c>
      <c r="TJ1293" s="97">
        <f t="shared" si="491"/>
        <v>0</v>
      </c>
      <c r="TK1293" s="97">
        <f t="shared" si="492"/>
        <v>0</v>
      </c>
      <c r="TL1293" s="97">
        <f t="shared" si="492"/>
        <v>0</v>
      </c>
      <c r="TM1293" s="97">
        <f t="shared" si="492"/>
        <v>0</v>
      </c>
      <c r="TN1293" s="97">
        <f t="shared" si="493"/>
        <v>0</v>
      </c>
      <c r="TO1293" s="97">
        <f t="shared" si="493"/>
        <v>0</v>
      </c>
      <c r="TP1293" s="97">
        <f t="shared" si="493"/>
        <v>0</v>
      </c>
      <c r="TQ1293" s="102"/>
      <c r="TR1293" s="102"/>
      <c r="TS1293" s="102"/>
      <c r="TT1293" s="97">
        <f t="shared" si="494"/>
        <v>0</v>
      </c>
      <c r="TU1293" s="97">
        <f t="shared" si="495"/>
        <v>0</v>
      </c>
      <c r="TV1293" s="97">
        <f t="shared" si="496"/>
        <v>0</v>
      </c>
      <c r="TW1293" s="97">
        <f t="shared" si="497"/>
        <v>0</v>
      </c>
      <c r="TX1293" s="97">
        <f t="shared" si="498"/>
        <v>0</v>
      </c>
      <c r="TY1293" s="97">
        <f t="shared" si="499"/>
        <v>0</v>
      </c>
      <c r="TZ1293" s="97">
        <f t="shared" si="500"/>
        <v>0</v>
      </c>
      <c r="UA1293" s="97">
        <f t="shared" si="501"/>
        <v>0</v>
      </c>
      <c r="UB1293" s="97">
        <f t="shared" si="502"/>
        <v>0</v>
      </c>
      <c r="UC1293" s="97">
        <f t="shared" si="503"/>
        <v>0</v>
      </c>
      <c r="UD1293" s="97">
        <f t="shared" si="504"/>
        <v>0</v>
      </c>
      <c r="UE1293" s="97">
        <f t="shared" si="505"/>
        <v>0</v>
      </c>
      <c r="UF1293" s="97">
        <f t="shared" si="506"/>
        <v>0</v>
      </c>
      <c r="UG1293" s="97">
        <f t="shared" si="506"/>
        <v>0</v>
      </c>
      <c r="UH1293" s="97">
        <f t="shared" si="506"/>
        <v>0</v>
      </c>
      <c r="UI1293" s="97">
        <f t="shared" si="507"/>
        <v>0</v>
      </c>
      <c r="UJ1293" s="97">
        <f t="shared" si="507"/>
        <v>0</v>
      </c>
      <c r="UK1293" s="97">
        <f t="shared" si="507"/>
        <v>0</v>
      </c>
      <c r="UL1293" s="102"/>
      <c r="UM1293" s="102"/>
      <c r="UN1293" s="102"/>
      <c r="UO1293" s="97">
        <f t="shared" si="508"/>
        <v>0</v>
      </c>
      <c r="UP1293" s="97">
        <f t="shared" si="509"/>
        <v>0</v>
      </c>
      <c r="UQ1293" s="97">
        <f t="shared" si="510"/>
        <v>0</v>
      </c>
      <c r="UR1293" s="97">
        <f t="shared" si="511"/>
        <v>0</v>
      </c>
      <c r="US1293" s="97">
        <f t="shared" si="512"/>
        <v>0</v>
      </c>
      <c r="UT1293" s="97">
        <f t="shared" si="513"/>
        <v>0</v>
      </c>
      <c r="UU1293" s="97">
        <f t="shared" si="514"/>
        <v>74770.67</v>
      </c>
      <c r="UV1293" s="97">
        <f t="shared" si="515"/>
        <v>78258.490000000005</v>
      </c>
      <c r="UW1293" s="97">
        <f t="shared" si="516"/>
        <v>81403.520000000004</v>
      </c>
      <c r="UX1293" s="97">
        <f t="shared" si="517"/>
        <v>17508.34</v>
      </c>
      <c r="UY1293" s="97">
        <f t="shared" si="518"/>
        <v>18516.27</v>
      </c>
      <c r="UZ1293" s="97">
        <f t="shared" si="519"/>
        <v>19729.36</v>
      </c>
      <c r="VA1293" s="97">
        <f t="shared" si="520"/>
        <v>0</v>
      </c>
      <c r="VB1293" s="97">
        <f t="shared" si="520"/>
        <v>0</v>
      </c>
      <c r="VC1293" s="97">
        <f t="shared" si="520"/>
        <v>0</v>
      </c>
      <c r="VD1293" s="97">
        <f t="shared" si="521"/>
        <v>0</v>
      </c>
      <c r="VE1293" s="97">
        <f t="shared" si="521"/>
        <v>0</v>
      </c>
      <c r="VF1293" s="97">
        <f t="shared" si="521"/>
        <v>0</v>
      </c>
      <c r="VG1293" s="102"/>
      <c r="VH1293" s="102"/>
      <c r="VI1293" s="102"/>
      <c r="VJ1293" s="97">
        <f t="shared" si="522"/>
        <v>0</v>
      </c>
      <c r="VK1293" s="97">
        <f t="shared" si="523"/>
        <v>0</v>
      </c>
      <c r="VL1293" s="97">
        <f t="shared" si="524"/>
        <v>0</v>
      </c>
      <c r="VM1293" s="97">
        <f t="shared" si="525"/>
        <v>0</v>
      </c>
      <c r="VN1293" s="97">
        <f t="shared" si="526"/>
        <v>0</v>
      </c>
      <c r="VO1293" s="97">
        <f t="shared" si="527"/>
        <v>0</v>
      </c>
      <c r="VP1293" s="97">
        <f t="shared" si="528"/>
        <v>0</v>
      </c>
      <c r="VQ1293" s="97">
        <f t="shared" si="529"/>
        <v>0</v>
      </c>
      <c r="VR1293" s="97">
        <f t="shared" si="530"/>
        <v>0</v>
      </c>
      <c r="VS1293" s="97">
        <f t="shared" si="531"/>
        <v>0</v>
      </c>
      <c r="VT1293" s="97">
        <f t="shared" si="532"/>
        <v>0</v>
      </c>
      <c r="VU1293" s="97">
        <f t="shared" si="533"/>
        <v>0</v>
      </c>
      <c r="VV1293" s="97">
        <f t="shared" si="534"/>
        <v>0</v>
      </c>
      <c r="VW1293" s="97">
        <f t="shared" si="534"/>
        <v>0</v>
      </c>
      <c r="VX1293" s="97">
        <f t="shared" si="534"/>
        <v>0</v>
      </c>
      <c r="VY1293" s="97">
        <f t="shared" si="535"/>
        <v>0</v>
      </c>
      <c r="VZ1293" s="97">
        <f t="shared" si="535"/>
        <v>0</v>
      </c>
      <c r="WA1293" s="97">
        <f t="shared" si="535"/>
        <v>0</v>
      </c>
      <c r="WB1293" s="102"/>
      <c r="WC1293" s="102"/>
      <c r="WD1293" s="102"/>
      <c r="WE1293" s="97">
        <f t="shared" si="536"/>
        <v>0</v>
      </c>
      <c r="WF1293" s="97">
        <f t="shared" si="537"/>
        <v>0</v>
      </c>
      <c r="WG1293" s="97">
        <f t="shared" si="538"/>
        <v>0</v>
      </c>
      <c r="WH1293" s="97">
        <f t="shared" si="539"/>
        <v>0</v>
      </c>
      <c r="WI1293" s="97">
        <f t="shared" si="540"/>
        <v>0</v>
      </c>
      <c r="WJ1293" s="97">
        <f t="shared" si="541"/>
        <v>0</v>
      </c>
      <c r="WK1293" s="97">
        <f t="shared" si="542"/>
        <v>0</v>
      </c>
      <c r="WL1293" s="97">
        <f t="shared" si="543"/>
        <v>0</v>
      </c>
      <c r="WM1293" s="97">
        <f t="shared" si="544"/>
        <v>0</v>
      </c>
      <c r="WN1293" s="97">
        <f t="shared" si="545"/>
        <v>0</v>
      </c>
      <c r="WO1293" s="97">
        <f t="shared" si="546"/>
        <v>0</v>
      </c>
      <c r="WP1293" s="97">
        <f t="shared" si="547"/>
        <v>0</v>
      </c>
      <c r="WQ1293" s="97">
        <f t="shared" si="548"/>
        <v>0</v>
      </c>
      <c r="WR1293" s="97">
        <f t="shared" si="548"/>
        <v>0</v>
      </c>
      <c r="WS1293" s="97">
        <f t="shared" si="548"/>
        <v>0</v>
      </c>
      <c r="WT1293" s="97">
        <f t="shared" si="549"/>
        <v>0</v>
      </c>
      <c r="WU1293" s="97">
        <f t="shared" si="549"/>
        <v>0</v>
      </c>
      <c r="WV1293" s="97">
        <f t="shared" si="549"/>
        <v>0</v>
      </c>
      <c r="WW1293" s="102"/>
      <c r="WX1293" s="102"/>
      <c r="WY1293" s="102"/>
      <c r="WZ1293" s="97">
        <f t="shared" si="550"/>
        <v>0</v>
      </c>
      <c r="XA1293" s="97">
        <f t="shared" si="551"/>
        <v>0</v>
      </c>
      <c r="XB1293" s="97">
        <f t="shared" si="552"/>
        <v>0</v>
      </c>
      <c r="XC1293" s="97">
        <f t="shared" si="553"/>
        <v>0</v>
      </c>
      <c r="XD1293" s="97">
        <f t="shared" si="554"/>
        <v>0</v>
      </c>
      <c r="XE1293" s="97">
        <f t="shared" si="555"/>
        <v>0</v>
      </c>
      <c r="XF1293" s="97">
        <f t="shared" si="556"/>
        <v>0</v>
      </c>
      <c r="XG1293" s="97">
        <f t="shared" si="557"/>
        <v>0</v>
      </c>
      <c r="XH1293" s="97">
        <f t="shared" si="558"/>
        <v>0</v>
      </c>
      <c r="XI1293" s="97">
        <f t="shared" si="559"/>
        <v>0</v>
      </c>
      <c r="XJ1293" s="97">
        <f t="shared" si="560"/>
        <v>0</v>
      </c>
      <c r="XK1293" s="97">
        <f t="shared" si="561"/>
        <v>0</v>
      </c>
      <c r="XL1293" s="97">
        <f t="shared" si="562"/>
        <v>0</v>
      </c>
      <c r="XM1293" s="97">
        <f t="shared" si="562"/>
        <v>0</v>
      </c>
      <c r="XN1293" s="97">
        <f t="shared" si="562"/>
        <v>0</v>
      </c>
      <c r="XO1293" s="97">
        <f t="shared" si="563"/>
        <v>0</v>
      </c>
      <c r="XP1293" s="97">
        <f t="shared" si="563"/>
        <v>0</v>
      </c>
      <c r="XQ1293" s="97">
        <f t="shared" si="563"/>
        <v>0</v>
      </c>
      <c r="XR1293" s="102"/>
      <c r="XS1293" s="102"/>
      <c r="XT1293" s="102"/>
      <c r="XU1293" s="97">
        <f t="shared" si="564"/>
        <v>0</v>
      </c>
      <c r="XV1293" s="97">
        <f t="shared" si="565"/>
        <v>0</v>
      </c>
      <c r="XW1293" s="97">
        <f t="shared" si="566"/>
        <v>0</v>
      </c>
      <c r="XX1293" s="97">
        <f t="shared" si="567"/>
        <v>0</v>
      </c>
      <c r="XY1293" s="97">
        <f t="shared" si="568"/>
        <v>0</v>
      </c>
      <c r="XZ1293" s="97">
        <f t="shared" si="569"/>
        <v>0</v>
      </c>
      <c r="YA1293" s="97">
        <f t="shared" si="570"/>
        <v>0</v>
      </c>
      <c r="YB1293" s="97">
        <f t="shared" si="571"/>
        <v>0</v>
      </c>
      <c r="YC1293" s="97">
        <f t="shared" si="572"/>
        <v>0</v>
      </c>
      <c r="YD1293" s="97">
        <f t="shared" si="573"/>
        <v>0</v>
      </c>
      <c r="YE1293" s="97">
        <f t="shared" si="574"/>
        <v>0</v>
      </c>
      <c r="YF1293" s="97">
        <f t="shared" si="575"/>
        <v>0</v>
      </c>
      <c r="YG1293" s="97">
        <f t="shared" si="576"/>
        <v>0</v>
      </c>
      <c r="YH1293" s="97">
        <f t="shared" si="576"/>
        <v>0</v>
      </c>
      <c r="YI1293" s="97">
        <f t="shared" si="576"/>
        <v>0</v>
      </c>
      <c r="YJ1293" s="97">
        <f t="shared" si="577"/>
        <v>0</v>
      </c>
      <c r="YK1293" s="97">
        <f t="shared" si="577"/>
        <v>0</v>
      </c>
      <c r="YL1293" s="97">
        <f t="shared" si="577"/>
        <v>0</v>
      </c>
      <c r="YM1293" s="145">
        <f t="shared" si="601"/>
        <v>0</v>
      </c>
      <c r="YN1293" s="145">
        <f t="shared" si="578"/>
        <v>0</v>
      </c>
      <c r="YO1293" s="145">
        <f t="shared" si="578"/>
        <v>0</v>
      </c>
      <c r="YP1293" s="97">
        <f t="shared" si="579"/>
        <v>0</v>
      </c>
      <c r="YQ1293" s="97">
        <f t="shared" si="580"/>
        <v>0</v>
      </c>
      <c r="YR1293" s="97">
        <f t="shared" si="581"/>
        <v>0</v>
      </c>
      <c r="YS1293" s="97">
        <f t="shared" si="582"/>
        <v>0</v>
      </c>
      <c r="YT1293" s="97">
        <f t="shared" si="583"/>
        <v>0</v>
      </c>
      <c r="YU1293" s="97">
        <f t="shared" si="584"/>
        <v>0</v>
      </c>
      <c r="YV1293" s="97">
        <f t="shared" si="585"/>
        <v>74770.67</v>
      </c>
      <c r="YW1293" s="97">
        <f t="shared" si="586"/>
        <v>78258.490000000005</v>
      </c>
      <c r="YX1293" s="97">
        <f t="shared" si="587"/>
        <v>81403.520000000004</v>
      </c>
      <c r="YY1293" s="97">
        <f t="shared" si="588"/>
        <v>17508.34</v>
      </c>
      <c r="YZ1293" s="97">
        <f t="shared" si="589"/>
        <v>18516.27</v>
      </c>
      <c r="ZA1293" s="97">
        <f t="shared" si="590"/>
        <v>19729.36</v>
      </c>
      <c r="ZB1293" s="97">
        <f t="shared" si="591"/>
        <v>0</v>
      </c>
      <c r="ZC1293" s="97">
        <f t="shared" si="591"/>
        <v>0</v>
      </c>
      <c r="ZD1293" s="97">
        <f t="shared" si="591"/>
        <v>0</v>
      </c>
      <c r="ZE1293" s="97">
        <f t="shared" si="592"/>
        <v>0</v>
      </c>
      <c r="ZF1293" s="97">
        <f t="shared" si="592"/>
        <v>0</v>
      </c>
      <c r="ZG1293" s="97">
        <f t="shared" si="592"/>
        <v>0</v>
      </c>
    </row>
    <row r="1294" spans="1:683" ht="15" hidden="1" customHeight="1" x14ac:dyDescent="0.25">
      <c r="A1294" s="340"/>
      <c r="B1294" s="174"/>
      <c r="C1294" s="5"/>
      <c r="D1294" s="340"/>
      <c r="E1294" s="163"/>
      <c r="F1294" s="110">
        <f t="shared" si="148"/>
        <v>5590</v>
      </c>
      <c r="G1294" s="110">
        <f t="shared" si="148"/>
        <v>5590</v>
      </c>
      <c r="H1294" s="110">
        <f t="shared" si="148"/>
        <v>5590</v>
      </c>
      <c r="I1294" s="97">
        <f t="shared" si="149"/>
        <v>2156</v>
      </c>
      <c r="J1294" s="97">
        <f t="shared" si="149"/>
        <v>2156</v>
      </c>
      <c r="K1294" s="97">
        <f t="shared" si="149"/>
        <v>2156</v>
      </c>
      <c r="L1294" s="102"/>
      <c r="M1294" s="102"/>
      <c r="N1294" s="102"/>
      <c r="O1294" s="97">
        <f t="shared" si="593"/>
        <v>0</v>
      </c>
      <c r="P1294" s="97">
        <f t="shared" si="594"/>
        <v>0</v>
      </c>
      <c r="Q1294" s="97">
        <f t="shared" si="595"/>
        <v>0</v>
      </c>
      <c r="R1294" s="97">
        <f t="shared" si="596"/>
        <v>0</v>
      </c>
      <c r="S1294" s="97">
        <f t="shared" si="597"/>
        <v>0</v>
      </c>
      <c r="T1294" s="97">
        <f t="shared" si="598"/>
        <v>0</v>
      </c>
      <c r="U1294" s="97">
        <f t="shared" si="150"/>
        <v>0</v>
      </c>
      <c r="V1294" s="97">
        <f t="shared" si="151"/>
        <v>0</v>
      </c>
      <c r="W1294" s="97">
        <f t="shared" si="152"/>
        <v>0</v>
      </c>
      <c r="X1294" s="97">
        <f t="shared" si="153"/>
        <v>0</v>
      </c>
      <c r="Y1294" s="97">
        <f t="shared" si="154"/>
        <v>0</v>
      </c>
      <c r="Z1294" s="97">
        <f t="shared" si="155"/>
        <v>0</v>
      </c>
      <c r="AA1294" s="97">
        <f t="shared" si="599"/>
        <v>0</v>
      </c>
      <c r="AB1294" s="97">
        <f t="shared" si="156"/>
        <v>0</v>
      </c>
      <c r="AC1294" s="97">
        <f t="shared" si="156"/>
        <v>0</v>
      </c>
      <c r="AD1294" s="97">
        <f t="shared" si="600"/>
        <v>0</v>
      </c>
      <c r="AE1294" s="97">
        <f t="shared" si="157"/>
        <v>0</v>
      </c>
      <c r="AF1294" s="97">
        <f t="shared" si="157"/>
        <v>0</v>
      </c>
      <c r="AG1294" s="102"/>
      <c r="AH1294" s="102"/>
      <c r="AI1294" s="102"/>
      <c r="AJ1294" s="97">
        <f t="shared" si="158"/>
        <v>0</v>
      </c>
      <c r="AK1294" s="97">
        <f t="shared" si="159"/>
        <v>0</v>
      </c>
      <c r="AL1294" s="97">
        <f t="shared" si="160"/>
        <v>0</v>
      </c>
      <c r="AM1294" s="97">
        <f t="shared" si="161"/>
        <v>0</v>
      </c>
      <c r="AN1294" s="97">
        <f t="shared" si="162"/>
        <v>0</v>
      </c>
      <c r="AO1294" s="97">
        <f t="shared" si="163"/>
        <v>0</v>
      </c>
      <c r="AP1294" s="97">
        <f t="shared" si="164"/>
        <v>0</v>
      </c>
      <c r="AQ1294" s="97">
        <f t="shared" si="165"/>
        <v>0</v>
      </c>
      <c r="AR1294" s="97">
        <f t="shared" si="166"/>
        <v>0</v>
      </c>
      <c r="AS1294" s="97">
        <f t="shared" si="167"/>
        <v>0</v>
      </c>
      <c r="AT1294" s="97">
        <f t="shared" si="168"/>
        <v>0</v>
      </c>
      <c r="AU1294" s="97">
        <f t="shared" si="169"/>
        <v>0</v>
      </c>
      <c r="AV1294" s="97">
        <f t="shared" si="170"/>
        <v>0</v>
      </c>
      <c r="AW1294" s="97">
        <f t="shared" si="170"/>
        <v>0</v>
      </c>
      <c r="AX1294" s="97">
        <f t="shared" si="170"/>
        <v>0</v>
      </c>
      <c r="AY1294" s="97">
        <f t="shared" si="171"/>
        <v>0</v>
      </c>
      <c r="AZ1294" s="97">
        <f t="shared" si="171"/>
        <v>0</v>
      </c>
      <c r="BA1294" s="97">
        <f t="shared" si="171"/>
        <v>0</v>
      </c>
      <c r="BB1294" s="102"/>
      <c r="BC1294" s="102"/>
      <c r="BD1294" s="102"/>
      <c r="BE1294" s="97">
        <f t="shared" si="172"/>
        <v>0</v>
      </c>
      <c r="BF1294" s="97">
        <f t="shared" si="173"/>
        <v>0</v>
      </c>
      <c r="BG1294" s="97">
        <f t="shared" si="174"/>
        <v>0</v>
      </c>
      <c r="BH1294" s="97">
        <f t="shared" si="175"/>
        <v>0</v>
      </c>
      <c r="BI1294" s="97">
        <f t="shared" si="176"/>
        <v>0</v>
      </c>
      <c r="BJ1294" s="97">
        <f t="shared" si="177"/>
        <v>0</v>
      </c>
      <c r="BK1294" s="97">
        <f t="shared" si="178"/>
        <v>0</v>
      </c>
      <c r="BL1294" s="97">
        <f t="shared" si="179"/>
        <v>0</v>
      </c>
      <c r="BM1294" s="97">
        <f t="shared" si="180"/>
        <v>0</v>
      </c>
      <c r="BN1294" s="97">
        <f t="shared" si="181"/>
        <v>0</v>
      </c>
      <c r="BO1294" s="97">
        <f t="shared" si="182"/>
        <v>0</v>
      </c>
      <c r="BP1294" s="97">
        <f t="shared" si="183"/>
        <v>0</v>
      </c>
      <c r="BQ1294" s="97">
        <f t="shared" si="184"/>
        <v>0</v>
      </c>
      <c r="BR1294" s="97">
        <f t="shared" si="184"/>
        <v>0</v>
      </c>
      <c r="BS1294" s="97">
        <f t="shared" si="184"/>
        <v>0</v>
      </c>
      <c r="BT1294" s="97">
        <f t="shared" si="185"/>
        <v>0</v>
      </c>
      <c r="BU1294" s="97">
        <f t="shared" si="185"/>
        <v>0</v>
      </c>
      <c r="BV1294" s="97">
        <f t="shared" si="185"/>
        <v>0</v>
      </c>
      <c r="BW1294" s="102"/>
      <c r="BX1294" s="102"/>
      <c r="BY1294" s="102"/>
      <c r="BZ1294" s="97">
        <f t="shared" si="186"/>
        <v>0</v>
      </c>
      <c r="CA1294" s="97">
        <f t="shared" si="187"/>
        <v>0</v>
      </c>
      <c r="CB1294" s="97">
        <f t="shared" si="188"/>
        <v>0</v>
      </c>
      <c r="CC1294" s="97">
        <f t="shared" si="189"/>
        <v>0</v>
      </c>
      <c r="CD1294" s="97">
        <f t="shared" si="190"/>
        <v>0</v>
      </c>
      <c r="CE1294" s="97">
        <f t="shared" si="191"/>
        <v>0</v>
      </c>
      <c r="CF1294" s="97">
        <f t="shared" si="192"/>
        <v>0</v>
      </c>
      <c r="CG1294" s="97">
        <f t="shared" si="193"/>
        <v>0</v>
      </c>
      <c r="CH1294" s="97">
        <f t="shared" si="194"/>
        <v>0</v>
      </c>
      <c r="CI1294" s="97">
        <f t="shared" si="195"/>
        <v>0</v>
      </c>
      <c r="CJ1294" s="97">
        <f t="shared" si="196"/>
        <v>0</v>
      </c>
      <c r="CK1294" s="97">
        <f t="shared" si="197"/>
        <v>0</v>
      </c>
      <c r="CL1294" s="97">
        <f t="shared" si="198"/>
        <v>0</v>
      </c>
      <c r="CM1294" s="97">
        <f t="shared" si="198"/>
        <v>0</v>
      </c>
      <c r="CN1294" s="97">
        <f t="shared" si="198"/>
        <v>0</v>
      </c>
      <c r="CO1294" s="97">
        <f t="shared" si="199"/>
        <v>0</v>
      </c>
      <c r="CP1294" s="97">
        <f t="shared" si="199"/>
        <v>0</v>
      </c>
      <c r="CQ1294" s="97">
        <f t="shared" si="199"/>
        <v>0</v>
      </c>
      <c r="CR1294" s="102"/>
      <c r="CS1294" s="102"/>
      <c r="CT1294" s="102"/>
      <c r="CU1294" s="97">
        <f t="shared" si="200"/>
        <v>0</v>
      </c>
      <c r="CV1294" s="97">
        <f t="shared" si="201"/>
        <v>0</v>
      </c>
      <c r="CW1294" s="97">
        <f t="shared" si="202"/>
        <v>0</v>
      </c>
      <c r="CX1294" s="97">
        <f t="shared" si="203"/>
        <v>0</v>
      </c>
      <c r="CY1294" s="97">
        <f t="shared" si="204"/>
        <v>0</v>
      </c>
      <c r="CZ1294" s="97">
        <f t="shared" si="205"/>
        <v>0</v>
      </c>
      <c r="DA1294" s="97">
        <f t="shared" si="206"/>
        <v>0</v>
      </c>
      <c r="DB1294" s="97">
        <f t="shared" si="207"/>
        <v>0</v>
      </c>
      <c r="DC1294" s="97">
        <f t="shared" si="208"/>
        <v>0</v>
      </c>
      <c r="DD1294" s="97">
        <f t="shared" si="209"/>
        <v>0</v>
      </c>
      <c r="DE1294" s="97">
        <f t="shared" si="210"/>
        <v>0</v>
      </c>
      <c r="DF1294" s="97">
        <f t="shared" si="211"/>
        <v>0</v>
      </c>
      <c r="DG1294" s="97">
        <f t="shared" si="212"/>
        <v>0</v>
      </c>
      <c r="DH1294" s="97">
        <f t="shared" si="212"/>
        <v>0</v>
      </c>
      <c r="DI1294" s="97">
        <f t="shared" si="212"/>
        <v>0</v>
      </c>
      <c r="DJ1294" s="97">
        <f t="shared" si="213"/>
        <v>0</v>
      </c>
      <c r="DK1294" s="97">
        <f t="shared" si="213"/>
        <v>0</v>
      </c>
      <c r="DL1294" s="97">
        <f t="shared" si="213"/>
        <v>0</v>
      </c>
      <c r="DM1294" s="102"/>
      <c r="DN1294" s="102"/>
      <c r="DO1294" s="102"/>
      <c r="DP1294" s="97">
        <f t="shared" si="214"/>
        <v>0</v>
      </c>
      <c r="DQ1294" s="97">
        <f t="shared" si="215"/>
        <v>0</v>
      </c>
      <c r="DR1294" s="97">
        <f t="shared" si="216"/>
        <v>0</v>
      </c>
      <c r="DS1294" s="97">
        <f t="shared" si="217"/>
        <v>0</v>
      </c>
      <c r="DT1294" s="97">
        <f t="shared" si="218"/>
        <v>0</v>
      </c>
      <c r="DU1294" s="97">
        <f t="shared" si="219"/>
        <v>0</v>
      </c>
      <c r="DV1294" s="97">
        <f t="shared" si="220"/>
        <v>0</v>
      </c>
      <c r="DW1294" s="97">
        <f t="shared" si="221"/>
        <v>0</v>
      </c>
      <c r="DX1294" s="97">
        <f t="shared" si="222"/>
        <v>0</v>
      </c>
      <c r="DY1294" s="97">
        <f t="shared" si="223"/>
        <v>0</v>
      </c>
      <c r="DZ1294" s="97">
        <f t="shared" si="224"/>
        <v>0</v>
      </c>
      <c r="EA1294" s="97">
        <f t="shared" si="225"/>
        <v>0</v>
      </c>
      <c r="EB1294" s="97">
        <f t="shared" si="226"/>
        <v>0</v>
      </c>
      <c r="EC1294" s="97">
        <f t="shared" si="226"/>
        <v>0</v>
      </c>
      <c r="ED1294" s="97">
        <f t="shared" si="226"/>
        <v>0</v>
      </c>
      <c r="EE1294" s="97">
        <f t="shared" si="227"/>
        <v>0</v>
      </c>
      <c r="EF1294" s="97">
        <f t="shared" si="227"/>
        <v>0</v>
      </c>
      <c r="EG1294" s="97">
        <f t="shared" si="227"/>
        <v>0</v>
      </c>
      <c r="EH1294" s="102"/>
      <c r="EI1294" s="102"/>
      <c r="EJ1294" s="102"/>
      <c r="EK1294" s="97">
        <f t="shared" si="228"/>
        <v>0</v>
      </c>
      <c r="EL1294" s="97">
        <f t="shared" si="229"/>
        <v>0</v>
      </c>
      <c r="EM1294" s="97">
        <f t="shared" si="230"/>
        <v>0</v>
      </c>
      <c r="EN1294" s="97">
        <f t="shared" si="231"/>
        <v>0</v>
      </c>
      <c r="EO1294" s="97">
        <f t="shared" si="232"/>
        <v>0</v>
      </c>
      <c r="EP1294" s="97">
        <f t="shared" si="233"/>
        <v>0</v>
      </c>
      <c r="EQ1294" s="97">
        <f t="shared" si="234"/>
        <v>0</v>
      </c>
      <c r="ER1294" s="97">
        <f t="shared" si="235"/>
        <v>0</v>
      </c>
      <c r="ES1294" s="97">
        <f t="shared" si="236"/>
        <v>0</v>
      </c>
      <c r="ET1294" s="97">
        <f t="shared" si="237"/>
        <v>0</v>
      </c>
      <c r="EU1294" s="97">
        <f t="shared" si="238"/>
        <v>0</v>
      </c>
      <c r="EV1294" s="97">
        <f t="shared" si="239"/>
        <v>0</v>
      </c>
      <c r="EW1294" s="97">
        <f t="shared" si="240"/>
        <v>0</v>
      </c>
      <c r="EX1294" s="97">
        <f t="shared" si="240"/>
        <v>0</v>
      </c>
      <c r="EY1294" s="97">
        <f t="shared" si="240"/>
        <v>0</v>
      </c>
      <c r="EZ1294" s="97">
        <f t="shared" si="241"/>
        <v>0</v>
      </c>
      <c r="FA1294" s="97">
        <f t="shared" si="241"/>
        <v>0</v>
      </c>
      <c r="FB1294" s="97">
        <f t="shared" si="241"/>
        <v>0</v>
      </c>
      <c r="FC1294" s="102"/>
      <c r="FD1294" s="102"/>
      <c r="FE1294" s="102"/>
      <c r="FF1294" s="97">
        <f t="shared" si="242"/>
        <v>0</v>
      </c>
      <c r="FG1294" s="97">
        <f t="shared" si="243"/>
        <v>0</v>
      </c>
      <c r="FH1294" s="97">
        <f t="shared" si="244"/>
        <v>0</v>
      </c>
      <c r="FI1294" s="97">
        <f t="shared" si="245"/>
        <v>0</v>
      </c>
      <c r="FJ1294" s="97">
        <f t="shared" si="246"/>
        <v>0</v>
      </c>
      <c r="FK1294" s="97">
        <f t="shared" si="247"/>
        <v>0</v>
      </c>
      <c r="FL1294" s="97">
        <f t="shared" si="248"/>
        <v>0</v>
      </c>
      <c r="FM1294" s="97">
        <f t="shared" si="249"/>
        <v>0</v>
      </c>
      <c r="FN1294" s="97">
        <f t="shared" si="250"/>
        <v>0</v>
      </c>
      <c r="FO1294" s="97">
        <f t="shared" si="251"/>
        <v>0</v>
      </c>
      <c r="FP1294" s="97">
        <f t="shared" si="252"/>
        <v>0</v>
      </c>
      <c r="FQ1294" s="97">
        <f t="shared" si="253"/>
        <v>0</v>
      </c>
      <c r="FR1294" s="97">
        <f t="shared" si="254"/>
        <v>0</v>
      </c>
      <c r="FS1294" s="97">
        <f t="shared" si="254"/>
        <v>0</v>
      </c>
      <c r="FT1294" s="97">
        <f t="shared" si="254"/>
        <v>0</v>
      </c>
      <c r="FU1294" s="97">
        <f t="shared" si="255"/>
        <v>0</v>
      </c>
      <c r="FV1294" s="97">
        <f t="shared" si="255"/>
        <v>0</v>
      </c>
      <c r="FW1294" s="97">
        <f t="shared" si="255"/>
        <v>0</v>
      </c>
      <c r="FX1294" s="102"/>
      <c r="FY1294" s="102"/>
      <c r="FZ1294" s="102"/>
      <c r="GA1294" s="97">
        <f t="shared" si="256"/>
        <v>0</v>
      </c>
      <c r="GB1294" s="97">
        <f t="shared" si="257"/>
        <v>0</v>
      </c>
      <c r="GC1294" s="97">
        <f t="shared" si="258"/>
        <v>0</v>
      </c>
      <c r="GD1294" s="97">
        <f t="shared" si="259"/>
        <v>0</v>
      </c>
      <c r="GE1294" s="97">
        <f t="shared" si="260"/>
        <v>0</v>
      </c>
      <c r="GF1294" s="97">
        <f t="shared" si="261"/>
        <v>0</v>
      </c>
      <c r="GG1294" s="97">
        <f t="shared" si="262"/>
        <v>0</v>
      </c>
      <c r="GH1294" s="97">
        <f t="shared" si="263"/>
        <v>0</v>
      </c>
      <c r="GI1294" s="97">
        <f t="shared" si="264"/>
        <v>0</v>
      </c>
      <c r="GJ1294" s="97">
        <f t="shared" si="265"/>
        <v>0</v>
      </c>
      <c r="GK1294" s="97">
        <f t="shared" si="266"/>
        <v>0</v>
      </c>
      <c r="GL1294" s="97">
        <f t="shared" si="267"/>
        <v>0</v>
      </c>
      <c r="GM1294" s="97">
        <f t="shared" si="268"/>
        <v>0</v>
      </c>
      <c r="GN1294" s="97">
        <f t="shared" si="268"/>
        <v>0</v>
      </c>
      <c r="GO1294" s="97">
        <f t="shared" si="268"/>
        <v>0</v>
      </c>
      <c r="GP1294" s="97">
        <f t="shared" si="269"/>
        <v>0</v>
      </c>
      <c r="GQ1294" s="97">
        <f t="shared" si="269"/>
        <v>0</v>
      </c>
      <c r="GR1294" s="97">
        <f t="shared" si="269"/>
        <v>0</v>
      </c>
      <c r="GS1294" s="102"/>
      <c r="GT1294" s="102"/>
      <c r="GU1294" s="102"/>
      <c r="GV1294" s="97">
        <f t="shared" si="270"/>
        <v>0</v>
      </c>
      <c r="GW1294" s="97">
        <f t="shared" si="271"/>
        <v>0</v>
      </c>
      <c r="GX1294" s="97">
        <f t="shared" si="272"/>
        <v>0</v>
      </c>
      <c r="GY1294" s="97">
        <f t="shared" si="273"/>
        <v>0</v>
      </c>
      <c r="GZ1294" s="97">
        <f t="shared" si="274"/>
        <v>0</v>
      </c>
      <c r="HA1294" s="97">
        <f t="shared" si="275"/>
        <v>0</v>
      </c>
      <c r="HB1294" s="97">
        <f t="shared" si="276"/>
        <v>0</v>
      </c>
      <c r="HC1294" s="97">
        <f t="shared" si="277"/>
        <v>0</v>
      </c>
      <c r="HD1294" s="97">
        <f t="shared" si="278"/>
        <v>0</v>
      </c>
      <c r="HE1294" s="97">
        <f t="shared" si="279"/>
        <v>0</v>
      </c>
      <c r="HF1294" s="97">
        <f t="shared" si="280"/>
        <v>0</v>
      </c>
      <c r="HG1294" s="97">
        <f t="shared" si="281"/>
        <v>0</v>
      </c>
      <c r="HH1294" s="97">
        <f t="shared" si="282"/>
        <v>0</v>
      </c>
      <c r="HI1294" s="97">
        <f t="shared" si="282"/>
        <v>0</v>
      </c>
      <c r="HJ1294" s="97">
        <f t="shared" si="282"/>
        <v>0</v>
      </c>
      <c r="HK1294" s="97">
        <f t="shared" si="283"/>
        <v>0</v>
      </c>
      <c r="HL1294" s="97">
        <f t="shared" si="283"/>
        <v>0</v>
      </c>
      <c r="HM1294" s="97">
        <f t="shared" si="283"/>
        <v>0</v>
      </c>
      <c r="HN1294" s="102"/>
      <c r="HO1294" s="102"/>
      <c r="HP1294" s="102"/>
      <c r="HQ1294" s="97">
        <f t="shared" si="284"/>
        <v>0</v>
      </c>
      <c r="HR1294" s="97">
        <f t="shared" si="285"/>
        <v>0</v>
      </c>
      <c r="HS1294" s="97">
        <f t="shared" si="286"/>
        <v>0</v>
      </c>
      <c r="HT1294" s="97">
        <f t="shared" si="287"/>
        <v>0</v>
      </c>
      <c r="HU1294" s="97">
        <f t="shared" si="288"/>
        <v>0</v>
      </c>
      <c r="HV1294" s="97">
        <f t="shared" si="289"/>
        <v>0</v>
      </c>
      <c r="HW1294" s="97">
        <f t="shared" si="290"/>
        <v>0</v>
      </c>
      <c r="HX1294" s="97">
        <f t="shared" si="291"/>
        <v>0</v>
      </c>
      <c r="HY1294" s="97">
        <f t="shared" si="292"/>
        <v>0</v>
      </c>
      <c r="HZ1294" s="97">
        <f t="shared" si="293"/>
        <v>0</v>
      </c>
      <c r="IA1294" s="97">
        <f t="shared" si="294"/>
        <v>0</v>
      </c>
      <c r="IB1294" s="97">
        <f t="shared" si="295"/>
        <v>0</v>
      </c>
      <c r="IC1294" s="97">
        <f t="shared" si="296"/>
        <v>0</v>
      </c>
      <c r="ID1294" s="97">
        <f t="shared" si="296"/>
        <v>0</v>
      </c>
      <c r="IE1294" s="97">
        <f t="shared" si="296"/>
        <v>0</v>
      </c>
      <c r="IF1294" s="97">
        <f t="shared" si="297"/>
        <v>0</v>
      </c>
      <c r="IG1294" s="97">
        <f t="shared" si="297"/>
        <v>0</v>
      </c>
      <c r="IH1294" s="97">
        <f t="shared" si="297"/>
        <v>0</v>
      </c>
      <c r="II1294" s="102"/>
      <c r="IJ1294" s="102"/>
      <c r="IK1294" s="102"/>
      <c r="IL1294" s="97">
        <f t="shared" si="298"/>
        <v>0</v>
      </c>
      <c r="IM1294" s="97">
        <f t="shared" si="299"/>
        <v>0</v>
      </c>
      <c r="IN1294" s="97">
        <f t="shared" si="300"/>
        <v>0</v>
      </c>
      <c r="IO1294" s="97">
        <f t="shared" si="301"/>
        <v>0</v>
      </c>
      <c r="IP1294" s="97">
        <f t="shared" si="302"/>
        <v>0</v>
      </c>
      <c r="IQ1294" s="97">
        <f t="shared" si="303"/>
        <v>0</v>
      </c>
      <c r="IR1294" s="97">
        <f t="shared" si="304"/>
        <v>0</v>
      </c>
      <c r="IS1294" s="97">
        <f t="shared" si="305"/>
        <v>0</v>
      </c>
      <c r="IT1294" s="97">
        <f t="shared" si="306"/>
        <v>0</v>
      </c>
      <c r="IU1294" s="97">
        <f t="shared" si="307"/>
        <v>0</v>
      </c>
      <c r="IV1294" s="97">
        <f t="shared" si="308"/>
        <v>0</v>
      </c>
      <c r="IW1294" s="97">
        <f t="shared" si="309"/>
        <v>0</v>
      </c>
      <c r="IX1294" s="97">
        <f t="shared" si="310"/>
        <v>0</v>
      </c>
      <c r="IY1294" s="97">
        <f t="shared" si="310"/>
        <v>0</v>
      </c>
      <c r="IZ1294" s="97">
        <f t="shared" si="310"/>
        <v>0</v>
      </c>
      <c r="JA1294" s="97">
        <f t="shared" si="311"/>
        <v>0</v>
      </c>
      <c r="JB1294" s="97">
        <f t="shared" si="311"/>
        <v>0</v>
      </c>
      <c r="JC1294" s="97">
        <f t="shared" si="311"/>
        <v>0</v>
      </c>
      <c r="JD1294" s="102"/>
      <c r="JE1294" s="102"/>
      <c r="JF1294" s="102"/>
      <c r="JG1294" s="97">
        <f t="shared" si="312"/>
        <v>0</v>
      </c>
      <c r="JH1294" s="97">
        <f t="shared" si="313"/>
        <v>0</v>
      </c>
      <c r="JI1294" s="97">
        <f t="shared" si="314"/>
        <v>0</v>
      </c>
      <c r="JJ1294" s="97">
        <f t="shared" si="315"/>
        <v>0</v>
      </c>
      <c r="JK1294" s="97">
        <f t="shared" si="316"/>
        <v>0</v>
      </c>
      <c r="JL1294" s="97">
        <f t="shared" si="317"/>
        <v>0</v>
      </c>
      <c r="JM1294" s="97">
        <f t="shared" si="318"/>
        <v>0</v>
      </c>
      <c r="JN1294" s="97">
        <f t="shared" si="319"/>
        <v>0</v>
      </c>
      <c r="JO1294" s="97">
        <f t="shared" si="320"/>
        <v>0</v>
      </c>
      <c r="JP1294" s="97">
        <f t="shared" si="321"/>
        <v>0</v>
      </c>
      <c r="JQ1294" s="97">
        <f t="shared" si="322"/>
        <v>0</v>
      </c>
      <c r="JR1294" s="97">
        <f t="shared" si="323"/>
        <v>0</v>
      </c>
      <c r="JS1294" s="97">
        <f t="shared" si="324"/>
        <v>0</v>
      </c>
      <c r="JT1294" s="97">
        <f t="shared" si="324"/>
        <v>0</v>
      </c>
      <c r="JU1294" s="97">
        <f t="shared" si="324"/>
        <v>0</v>
      </c>
      <c r="JV1294" s="97">
        <f t="shared" si="325"/>
        <v>0</v>
      </c>
      <c r="JW1294" s="97">
        <f t="shared" si="325"/>
        <v>0</v>
      </c>
      <c r="JX1294" s="97">
        <f t="shared" si="325"/>
        <v>0</v>
      </c>
      <c r="JY1294" s="102"/>
      <c r="JZ1294" s="102"/>
      <c r="KA1294" s="102"/>
      <c r="KB1294" s="97">
        <f t="shared" si="326"/>
        <v>0</v>
      </c>
      <c r="KC1294" s="97">
        <f t="shared" si="327"/>
        <v>0</v>
      </c>
      <c r="KD1294" s="97">
        <f t="shared" si="328"/>
        <v>0</v>
      </c>
      <c r="KE1294" s="97">
        <f t="shared" si="329"/>
        <v>0</v>
      </c>
      <c r="KF1294" s="97">
        <f t="shared" si="330"/>
        <v>0</v>
      </c>
      <c r="KG1294" s="97">
        <f t="shared" si="331"/>
        <v>0</v>
      </c>
      <c r="KH1294" s="97">
        <f t="shared" si="332"/>
        <v>0</v>
      </c>
      <c r="KI1294" s="97">
        <f t="shared" si="333"/>
        <v>0</v>
      </c>
      <c r="KJ1294" s="97">
        <f t="shared" si="334"/>
        <v>0</v>
      </c>
      <c r="KK1294" s="97">
        <f t="shared" si="335"/>
        <v>0</v>
      </c>
      <c r="KL1294" s="97">
        <f t="shared" si="336"/>
        <v>0</v>
      </c>
      <c r="KM1294" s="97">
        <f t="shared" si="337"/>
        <v>0</v>
      </c>
      <c r="KN1294" s="97">
        <f t="shared" si="338"/>
        <v>0</v>
      </c>
      <c r="KO1294" s="97">
        <f t="shared" si="338"/>
        <v>0</v>
      </c>
      <c r="KP1294" s="97">
        <f t="shared" si="338"/>
        <v>0</v>
      </c>
      <c r="KQ1294" s="97">
        <f t="shared" si="339"/>
        <v>0</v>
      </c>
      <c r="KR1294" s="97">
        <f t="shared" si="339"/>
        <v>0</v>
      </c>
      <c r="KS1294" s="97">
        <f t="shared" si="339"/>
        <v>0</v>
      </c>
      <c r="KT1294" s="102"/>
      <c r="KU1294" s="102"/>
      <c r="KV1294" s="102"/>
      <c r="KW1294" s="97">
        <f t="shared" si="340"/>
        <v>0</v>
      </c>
      <c r="KX1294" s="97">
        <f t="shared" si="341"/>
        <v>0</v>
      </c>
      <c r="KY1294" s="97">
        <f t="shared" si="342"/>
        <v>0</v>
      </c>
      <c r="KZ1294" s="97">
        <f t="shared" si="343"/>
        <v>0</v>
      </c>
      <c r="LA1294" s="97">
        <f t="shared" si="344"/>
        <v>0</v>
      </c>
      <c r="LB1294" s="97">
        <f t="shared" si="345"/>
        <v>0</v>
      </c>
      <c r="LC1294" s="97">
        <f t="shared" si="346"/>
        <v>0</v>
      </c>
      <c r="LD1294" s="97">
        <f t="shared" si="347"/>
        <v>0</v>
      </c>
      <c r="LE1294" s="97">
        <f t="shared" si="348"/>
        <v>0</v>
      </c>
      <c r="LF1294" s="97">
        <f t="shared" si="349"/>
        <v>0</v>
      </c>
      <c r="LG1294" s="97">
        <f t="shared" si="350"/>
        <v>0</v>
      </c>
      <c r="LH1294" s="97">
        <f t="shared" si="351"/>
        <v>0</v>
      </c>
      <c r="LI1294" s="97">
        <f t="shared" si="352"/>
        <v>0</v>
      </c>
      <c r="LJ1294" s="97">
        <f t="shared" si="352"/>
        <v>0</v>
      </c>
      <c r="LK1294" s="97">
        <f t="shared" si="352"/>
        <v>0</v>
      </c>
      <c r="LL1294" s="97">
        <f t="shared" si="353"/>
        <v>0</v>
      </c>
      <c r="LM1294" s="97">
        <f t="shared" si="353"/>
        <v>0</v>
      </c>
      <c r="LN1294" s="97">
        <f t="shared" si="353"/>
        <v>0</v>
      </c>
      <c r="LO1294" s="102"/>
      <c r="LP1294" s="102"/>
      <c r="LQ1294" s="102"/>
      <c r="LR1294" s="97">
        <f t="shared" si="354"/>
        <v>0</v>
      </c>
      <c r="LS1294" s="97">
        <f t="shared" si="355"/>
        <v>0</v>
      </c>
      <c r="LT1294" s="97">
        <f t="shared" si="356"/>
        <v>0</v>
      </c>
      <c r="LU1294" s="97">
        <f t="shared" si="357"/>
        <v>0</v>
      </c>
      <c r="LV1294" s="97">
        <f t="shared" si="358"/>
        <v>0</v>
      </c>
      <c r="LW1294" s="97">
        <f t="shared" si="359"/>
        <v>0</v>
      </c>
      <c r="LX1294" s="97">
        <f t="shared" si="360"/>
        <v>0</v>
      </c>
      <c r="LY1294" s="97">
        <f t="shared" si="361"/>
        <v>0</v>
      </c>
      <c r="LZ1294" s="97">
        <f t="shared" si="362"/>
        <v>0</v>
      </c>
      <c r="MA1294" s="97">
        <f t="shared" si="363"/>
        <v>0</v>
      </c>
      <c r="MB1294" s="97">
        <f t="shared" si="364"/>
        <v>0</v>
      </c>
      <c r="MC1294" s="97">
        <f t="shared" si="365"/>
        <v>0</v>
      </c>
      <c r="MD1294" s="97">
        <f t="shared" si="366"/>
        <v>0</v>
      </c>
      <c r="ME1294" s="97">
        <f t="shared" si="366"/>
        <v>0</v>
      </c>
      <c r="MF1294" s="97">
        <f t="shared" si="366"/>
        <v>0</v>
      </c>
      <c r="MG1294" s="97">
        <f t="shared" si="367"/>
        <v>0</v>
      </c>
      <c r="MH1294" s="97">
        <f t="shared" si="367"/>
        <v>0</v>
      </c>
      <c r="MI1294" s="97">
        <f t="shared" si="367"/>
        <v>0</v>
      </c>
      <c r="MJ1294" s="102"/>
      <c r="MK1294" s="102"/>
      <c r="ML1294" s="102"/>
      <c r="MM1294" s="97">
        <f t="shared" si="368"/>
        <v>0</v>
      </c>
      <c r="MN1294" s="97">
        <f t="shared" si="369"/>
        <v>0</v>
      </c>
      <c r="MO1294" s="97">
        <f t="shared" si="370"/>
        <v>0</v>
      </c>
      <c r="MP1294" s="97">
        <f t="shared" si="371"/>
        <v>0</v>
      </c>
      <c r="MQ1294" s="97">
        <f t="shared" si="372"/>
        <v>0</v>
      </c>
      <c r="MR1294" s="97">
        <f t="shared" si="373"/>
        <v>0</v>
      </c>
      <c r="MS1294" s="97">
        <f t="shared" si="374"/>
        <v>0</v>
      </c>
      <c r="MT1294" s="97">
        <f t="shared" si="375"/>
        <v>0</v>
      </c>
      <c r="MU1294" s="97">
        <f t="shared" si="376"/>
        <v>0</v>
      </c>
      <c r="MV1294" s="97">
        <f t="shared" si="377"/>
        <v>0</v>
      </c>
      <c r="MW1294" s="97">
        <f t="shared" si="378"/>
        <v>0</v>
      </c>
      <c r="MX1294" s="97">
        <f t="shared" si="379"/>
        <v>0</v>
      </c>
      <c r="MY1294" s="97">
        <f t="shared" si="380"/>
        <v>0</v>
      </c>
      <c r="MZ1294" s="97">
        <f t="shared" si="380"/>
        <v>0</v>
      </c>
      <c r="NA1294" s="97">
        <f t="shared" si="380"/>
        <v>0</v>
      </c>
      <c r="NB1294" s="97">
        <f t="shared" si="381"/>
        <v>0</v>
      </c>
      <c r="NC1294" s="97">
        <f t="shared" si="381"/>
        <v>0</v>
      </c>
      <c r="ND1294" s="97">
        <f t="shared" si="381"/>
        <v>0</v>
      </c>
      <c r="NE1294" s="102"/>
      <c r="NF1294" s="102"/>
      <c r="NG1294" s="102"/>
      <c r="NH1294" s="97">
        <f t="shared" si="382"/>
        <v>0</v>
      </c>
      <c r="NI1294" s="97">
        <f t="shared" si="383"/>
        <v>0</v>
      </c>
      <c r="NJ1294" s="97">
        <f t="shared" si="384"/>
        <v>0</v>
      </c>
      <c r="NK1294" s="97">
        <f t="shared" si="385"/>
        <v>0</v>
      </c>
      <c r="NL1294" s="97">
        <f t="shared" si="386"/>
        <v>0</v>
      </c>
      <c r="NM1294" s="97">
        <f t="shared" si="387"/>
        <v>0</v>
      </c>
      <c r="NN1294" s="97">
        <f t="shared" si="388"/>
        <v>0</v>
      </c>
      <c r="NO1294" s="97">
        <f t="shared" si="389"/>
        <v>0</v>
      </c>
      <c r="NP1294" s="97">
        <f t="shared" si="390"/>
        <v>0</v>
      </c>
      <c r="NQ1294" s="97">
        <f t="shared" si="391"/>
        <v>0</v>
      </c>
      <c r="NR1294" s="97">
        <f t="shared" si="392"/>
        <v>0</v>
      </c>
      <c r="NS1294" s="97">
        <f t="shared" si="393"/>
        <v>0</v>
      </c>
      <c r="NT1294" s="97">
        <f t="shared" si="394"/>
        <v>0</v>
      </c>
      <c r="NU1294" s="97">
        <f t="shared" si="394"/>
        <v>0</v>
      </c>
      <c r="NV1294" s="97">
        <f t="shared" si="394"/>
        <v>0</v>
      </c>
      <c r="NW1294" s="97">
        <f t="shared" si="395"/>
        <v>0</v>
      </c>
      <c r="NX1294" s="97">
        <f t="shared" si="395"/>
        <v>0</v>
      </c>
      <c r="NY1294" s="97">
        <f t="shared" si="395"/>
        <v>0</v>
      </c>
      <c r="NZ1294" s="102"/>
      <c r="OA1294" s="102"/>
      <c r="OB1294" s="102"/>
      <c r="OC1294" s="97">
        <f t="shared" si="396"/>
        <v>0</v>
      </c>
      <c r="OD1294" s="97">
        <f t="shared" si="397"/>
        <v>0</v>
      </c>
      <c r="OE1294" s="97">
        <f t="shared" si="398"/>
        <v>0</v>
      </c>
      <c r="OF1294" s="97">
        <f t="shared" si="399"/>
        <v>0</v>
      </c>
      <c r="OG1294" s="97">
        <f t="shared" si="400"/>
        <v>0</v>
      </c>
      <c r="OH1294" s="97">
        <f t="shared" si="401"/>
        <v>0</v>
      </c>
      <c r="OI1294" s="97">
        <f t="shared" si="402"/>
        <v>0</v>
      </c>
      <c r="OJ1294" s="97">
        <f t="shared" si="403"/>
        <v>0</v>
      </c>
      <c r="OK1294" s="97">
        <f t="shared" si="404"/>
        <v>0</v>
      </c>
      <c r="OL1294" s="97">
        <f t="shared" si="405"/>
        <v>0</v>
      </c>
      <c r="OM1294" s="97">
        <f t="shared" si="406"/>
        <v>0</v>
      </c>
      <c r="ON1294" s="97">
        <f t="shared" si="407"/>
        <v>0</v>
      </c>
      <c r="OO1294" s="97">
        <f t="shared" si="408"/>
        <v>0</v>
      </c>
      <c r="OP1294" s="97">
        <f t="shared" si="408"/>
        <v>0</v>
      </c>
      <c r="OQ1294" s="97">
        <f t="shared" si="408"/>
        <v>0</v>
      </c>
      <c r="OR1294" s="97">
        <f t="shared" si="409"/>
        <v>0</v>
      </c>
      <c r="OS1294" s="97">
        <f t="shared" si="409"/>
        <v>0</v>
      </c>
      <c r="OT1294" s="97">
        <f t="shared" si="409"/>
        <v>0</v>
      </c>
      <c r="OU1294" s="102"/>
      <c r="OV1294" s="102"/>
      <c r="OW1294" s="102"/>
      <c r="OX1294" s="97">
        <f t="shared" si="410"/>
        <v>0</v>
      </c>
      <c r="OY1294" s="97">
        <f t="shared" si="411"/>
        <v>0</v>
      </c>
      <c r="OZ1294" s="97">
        <f t="shared" si="412"/>
        <v>0</v>
      </c>
      <c r="PA1294" s="97">
        <f t="shared" si="413"/>
        <v>0</v>
      </c>
      <c r="PB1294" s="97">
        <f t="shared" si="414"/>
        <v>0</v>
      </c>
      <c r="PC1294" s="97">
        <f t="shared" si="415"/>
        <v>0</v>
      </c>
      <c r="PD1294" s="97">
        <f t="shared" si="416"/>
        <v>0</v>
      </c>
      <c r="PE1294" s="97">
        <f t="shared" si="417"/>
        <v>0</v>
      </c>
      <c r="PF1294" s="97">
        <f t="shared" si="418"/>
        <v>0</v>
      </c>
      <c r="PG1294" s="97">
        <f t="shared" si="419"/>
        <v>0</v>
      </c>
      <c r="PH1294" s="97">
        <f t="shared" si="420"/>
        <v>0</v>
      </c>
      <c r="PI1294" s="97">
        <f t="shared" si="421"/>
        <v>0</v>
      </c>
      <c r="PJ1294" s="97">
        <f t="shared" si="422"/>
        <v>0</v>
      </c>
      <c r="PK1294" s="97">
        <f t="shared" si="422"/>
        <v>0</v>
      </c>
      <c r="PL1294" s="97">
        <f t="shared" si="422"/>
        <v>0</v>
      </c>
      <c r="PM1294" s="97">
        <f t="shared" si="423"/>
        <v>0</v>
      </c>
      <c r="PN1294" s="97">
        <f t="shared" si="423"/>
        <v>0</v>
      </c>
      <c r="PO1294" s="97">
        <f t="shared" si="423"/>
        <v>0</v>
      </c>
      <c r="PP1294" s="102"/>
      <c r="PQ1294" s="102"/>
      <c r="PR1294" s="102"/>
      <c r="PS1294" s="97">
        <f t="shared" si="424"/>
        <v>0</v>
      </c>
      <c r="PT1294" s="97">
        <f t="shared" si="425"/>
        <v>0</v>
      </c>
      <c r="PU1294" s="97">
        <f t="shared" si="426"/>
        <v>0</v>
      </c>
      <c r="PV1294" s="97">
        <f t="shared" si="427"/>
        <v>0</v>
      </c>
      <c r="PW1294" s="97">
        <f t="shared" si="428"/>
        <v>0</v>
      </c>
      <c r="PX1294" s="97">
        <f t="shared" si="429"/>
        <v>0</v>
      </c>
      <c r="PY1294" s="97">
        <f t="shared" si="430"/>
        <v>0</v>
      </c>
      <c r="PZ1294" s="97">
        <f t="shared" si="431"/>
        <v>0</v>
      </c>
      <c r="QA1294" s="97">
        <f t="shared" si="432"/>
        <v>0</v>
      </c>
      <c r="QB1294" s="97">
        <f t="shared" si="433"/>
        <v>0</v>
      </c>
      <c r="QC1294" s="97">
        <f t="shared" si="434"/>
        <v>0</v>
      </c>
      <c r="QD1294" s="97">
        <f t="shared" si="435"/>
        <v>0</v>
      </c>
      <c r="QE1294" s="97">
        <f t="shared" si="436"/>
        <v>0</v>
      </c>
      <c r="QF1294" s="97">
        <f t="shared" si="436"/>
        <v>0</v>
      </c>
      <c r="QG1294" s="97">
        <f t="shared" si="436"/>
        <v>0</v>
      </c>
      <c r="QH1294" s="97">
        <f t="shared" si="437"/>
        <v>0</v>
      </c>
      <c r="QI1294" s="97">
        <f t="shared" si="437"/>
        <v>0</v>
      </c>
      <c r="QJ1294" s="97">
        <f t="shared" si="437"/>
        <v>0</v>
      </c>
      <c r="QK1294" s="102"/>
      <c r="QL1294" s="102"/>
      <c r="QM1294" s="102"/>
      <c r="QN1294" s="97">
        <f t="shared" si="438"/>
        <v>0</v>
      </c>
      <c r="QO1294" s="97">
        <f t="shared" si="439"/>
        <v>0</v>
      </c>
      <c r="QP1294" s="97">
        <f t="shared" si="440"/>
        <v>0</v>
      </c>
      <c r="QQ1294" s="97">
        <f t="shared" si="441"/>
        <v>0</v>
      </c>
      <c r="QR1294" s="97">
        <f t="shared" si="442"/>
        <v>0</v>
      </c>
      <c r="QS1294" s="97">
        <f t="shared" si="443"/>
        <v>0</v>
      </c>
      <c r="QT1294" s="97">
        <f t="shared" si="444"/>
        <v>0</v>
      </c>
      <c r="QU1294" s="97">
        <f t="shared" si="445"/>
        <v>0</v>
      </c>
      <c r="QV1294" s="97">
        <f t="shared" si="446"/>
        <v>0</v>
      </c>
      <c r="QW1294" s="97">
        <f t="shared" si="447"/>
        <v>0</v>
      </c>
      <c r="QX1294" s="97">
        <f t="shared" si="448"/>
        <v>0</v>
      </c>
      <c r="QY1294" s="97">
        <f t="shared" si="449"/>
        <v>0</v>
      </c>
      <c r="QZ1294" s="97">
        <f t="shared" si="450"/>
        <v>0</v>
      </c>
      <c r="RA1294" s="97">
        <f t="shared" si="450"/>
        <v>0</v>
      </c>
      <c r="RB1294" s="97">
        <f t="shared" si="450"/>
        <v>0</v>
      </c>
      <c r="RC1294" s="97">
        <f t="shared" si="451"/>
        <v>0</v>
      </c>
      <c r="RD1294" s="97">
        <f t="shared" si="451"/>
        <v>0</v>
      </c>
      <c r="RE1294" s="97">
        <f t="shared" si="451"/>
        <v>0</v>
      </c>
      <c r="RF1294" s="102"/>
      <c r="RG1294" s="102"/>
      <c r="RH1294" s="102"/>
      <c r="RI1294" s="97">
        <f t="shared" si="452"/>
        <v>0</v>
      </c>
      <c r="RJ1294" s="97">
        <f t="shared" si="453"/>
        <v>0</v>
      </c>
      <c r="RK1294" s="97">
        <f t="shared" si="454"/>
        <v>0</v>
      </c>
      <c r="RL1294" s="97">
        <f t="shared" si="455"/>
        <v>0</v>
      </c>
      <c r="RM1294" s="97">
        <f t="shared" si="456"/>
        <v>0</v>
      </c>
      <c r="RN1294" s="97">
        <f t="shared" si="457"/>
        <v>0</v>
      </c>
      <c r="RO1294" s="97">
        <f t="shared" si="458"/>
        <v>0</v>
      </c>
      <c r="RP1294" s="97">
        <f t="shared" si="459"/>
        <v>0</v>
      </c>
      <c r="RQ1294" s="97">
        <f t="shared" si="460"/>
        <v>0</v>
      </c>
      <c r="RR1294" s="97">
        <f t="shared" si="461"/>
        <v>0</v>
      </c>
      <c r="RS1294" s="97">
        <f t="shared" si="462"/>
        <v>0</v>
      </c>
      <c r="RT1294" s="97">
        <f t="shared" si="463"/>
        <v>0</v>
      </c>
      <c r="RU1294" s="97">
        <f t="shared" si="464"/>
        <v>0</v>
      </c>
      <c r="RV1294" s="97">
        <f t="shared" si="464"/>
        <v>0</v>
      </c>
      <c r="RW1294" s="97">
        <f t="shared" si="464"/>
        <v>0</v>
      </c>
      <c r="RX1294" s="97">
        <f t="shared" si="465"/>
        <v>0</v>
      </c>
      <c r="RY1294" s="97">
        <f t="shared" si="465"/>
        <v>0</v>
      </c>
      <c r="RZ1294" s="97">
        <f t="shared" si="465"/>
        <v>0</v>
      </c>
      <c r="SA1294" s="102"/>
      <c r="SB1294" s="102"/>
      <c r="SC1294" s="102"/>
      <c r="SD1294" s="97">
        <f t="shared" si="466"/>
        <v>0</v>
      </c>
      <c r="SE1294" s="97">
        <f t="shared" si="467"/>
        <v>0</v>
      </c>
      <c r="SF1294" s="97">
        <f t="shared" si="468"/>
        <v>0</v>
      </c>
      <c r="SG1294" s="97">
        <f t="shared" si="469"/>
        <v>0</v>
      </c>
      <c r="SH1294" s="97">
        <f t="shared" si="470"/>
        <v>0</v>
      </c>
      <c r="SI1294" s="97">
        <f t="shared" si="471"/>
        <v>0</v>
      </c>
      <c r="SJ1294" s="97">
        <f t="shared" si="472"/>
        <v>0</v>
      </c>
      <c r="SK1294" s="97">
        <f t="shared" si="473"/>
        <v>0</v>
      </c>
      <c r="SL1294" s="97">
        <f t="shared" si="474"/>
        <v>0</v>
      </c>
      <c r="SM1294" s="97">
        <f t="shared" si="475"/>
        <v>0</v>
      </c>
      <c r="SN1294" s="97">
        <f t="shared" si="476"/>
        <v>0</v>
      </c>
      <c r="SO1294" s="97">
        <f t="shared" si="477"/>
        <v>0</v>
      </c>
      <c r="SP1294" s="97">
        <f t="shared" si="478"/>
        <v>0</v>
      </c>
      <c r="SQ1294" s="97">
        <f t="shared" si="478"/>
        <v>0</v>
      </c>
      <c r="SR1294" s="97">
        <f t="shared" si="478"/>
        <v>0</v>
      </c>
      <c r="SS1294" s="97">
        <f t="shared" si="479"/>
        <v>0</v>
      </c>
      <c r="ST1294" s="97">
        <f t="shared" si="479"/>
        <v>0</v>
      </c>
      <c r="SU1294" s="97">
        <f t="shared" si="479"/>
        <v>0</v>
      </c>
      <c r="SV1294" s="102"/>
      <c r="SW1294" s="102"/>
      <c r="SX1294" s="102"/>
      <c r="SY1294" s="97">
        <f t="shared" si="480"/>
        <v>0</v>
      </c>
      <c r="SZ1294" s="97">
        <f t="shared" si="481"/>
        <v>0</v>
      </c>
      <c r="TA1294" s="97">
        <f t="shared" si="482"/>
        <v>0</v>
      </c>
      <c r="TB1294" s="97">
        <f t="shared" si="483"/>
        <v>0</v>
      </c>
      <c r="TC1294" s="97">
        <f t="shared" si="484"/>
        <v>0</v>
      </c>
      <c r="TD1294" s="97">
        <f t="shared" si="485"/>
        <v>0</v>
      </c>
      <c r="TE1294" s="97">
        <f t="shared" si="486"/>
        <v>0</v>
      </c>
      <c r="TF1294" s="97">
        <f t="shared" si="487"/>
        <v>0</v>
      </c>
      <c r="TG1294" s="97">
        <f t="shared" si="488"/>
        <v>0</v>
      </c>
      <c r="TH1294" s="97">
        <f t="shared" si="489"/>
        <v>0</v>
      </c>
      <c r="TI1294" s="97">
        <f t="shared" si="490"/>
        <v>0</v>
      </c>
      <c r="TJ1294" s="97">
        <f t="shared" si="491"/>
        <v>0</v>
      </c>
      <c r="TK1294" s="97">
        <f t="shared" si="492"/>
        <v>0</v>
      </c>
      <c r="TL1294" s="97">
        <f t="shared" si="492"/>
        <v>0</v>
      </c>
      <c r="TM1294" s="97">
        <f t="shared" si="492"/>
        <v>0</v>
      </c>
      <c r="TN1294" s="97">
        <f t="shared" si="493"/>
        <v>0</v>
      </c>
      <c r="TO1294" s="97">
        <f t="shared" si="493"/>
        <v>0</v>
      </c>
      <c r="TP1294" s="97">
        <f t="shared" si="493"/>
        <v>0</v>
      </c>
      <c r="TQ1294" s="102"/>
      <c r="TR1294" s="102"/>
      <c r="TS1294" s="102"/>
      <c r="TT1294" s="97">
        <f t="shared" si="494"/>
        <v>0</v>
      </c>
      <c r="TU1294" s="97">
        <f t="shared" si="495"/>
        <v>0</v>
      </c>
      <c r="TV1294" s="97">
        <f t="shared" si="496"/>
        <v>0</v>
      </c>
      <c r="TW1294" s="97">
        <f t="shared" si="497"/>
        <v>0</v>
      </c>
      <c r="TX1294" s="97">
        <f t="shared" si="498"/>
        <v>0</v>
      </c>
      <c r="TY1294" s="97">
        <f t="shared" si="499"/>
        <v>0</v>
      </c>
      <c r="TZ1294" s="97">
        <f t="shared" si="500"/>
        <v>0</v>
      </c>
      <c r="UA1294" s="97">
        <f t="shared" si="501"/>
        <v>0</v>
      </c>
      <c r="UB1294" s="97">
        <f t="shared" si="502"/>
        <v>0</v>
      </c>
      <c r="UC1294" s="97">
        <f t="shared" si="503"/>
        <v>0</v>
      </c>
      <c r="UD1294" s="97">
        <f t="shared" si="504"/>
        <v>0</v>
      </c>
      <c r="UE1294" s="97">
        <f t="shared" si="505"/>
        <v>0</v>
      </c>
      <c r="UF1294" s="97">
        <f t="shared" si="506"/>
        <v>0</v>
      </c>
      <c r="UG1294" s="97">
        <f t="shared" si="506"/>
        <v>0</v>
      </c>
      <c r="UH1294" s="97">
        <f t="shared" si="506"/>
        <v>0</v>
      </c>
      <c r="UI1294" s="97">
        <f t="shared" si="507"/>
        <v>0</v>
      </c>
      <c r="UJ1294" s="97">
        <f t="shared" si="507"/>
        <v>0</v>
      </c>
      <c r="UK1294" s="97">
        <f t="shared" si="507"/>
        <v>0</v>
      </c>
      <c r="UL1294" s="102"/>
      <c r="UM1294" s="102"/>
      <c r="UN1294" s="102"/>
      <c r="UO1294" s="97">
        <f t="shared" si="508"/>
        <v>0</v>
      </c>
      <c r="UP1294" s="97">
        <f t="shared" si="509"/>
        <v>0</v>
      </c>
      <c r="UQ1294" s="97">
        <f t="shared" si="510"/>
        <v>0</v>
      </c>
      <c r="UR1294" s="97">
        <f t="shared" si="511"/>
        <v>0</v>
      </c>
      <c r="US1294" s="97">
        <f t="shared" si="512"/>
        <v>0</v>
      </c>
      <c r="UT1294" s="97">
        <f t="shared" si="513"/>
        <v>0</v>
      </c>
      <c r="UU1294" s="97">
        <f t="shared" si="514"/>
        <v>3980.38</v>
      </c>
      <c r="UV1294" s="97">
        <f t="shared" si="515"/>
        <v>4081.44</v>
      </c>
      <c r="UW1294" s="97">
        <f t="shared" si="516"/>
        <v>4112.51</v>
      </c>
      <c r="UX1294" s="97">
        <f t="shared" si="517"/>
        <v>366.4</v>
      </c>
      <c r="UY1294" s="97">
        <f t="shared" si="518"/>
        <v>373.89</v>
      </c>
      <c r="UZ1294" s="97">
        <f t="shared" si="519"/>
        <v>388.16</v>
      </c>
      <c r="VA1294" s="97">
        <f t="shared" si="520"/>
        <v>0</v>
      </c>
      <c r="VB1294" s="97">
        <f t="shared" si="520"/>
        <v>0</v>
      </c>
      <c r="VC1294" s="97">
        <f t="shared" si="520"/>
        <v>0</v>
      </c>
      <c r="VD1294" s="97">
        <f t="shared" si="521"/>
        <v>0</v>
      </c>
      <c r="VE1294" s="97">
        <f t="shared" si="521"/>
        <v>0</v>
      </c>
      <c r="VF1294" s="97">
        <f t="shared" si="521"/>
        <v>0</v>
      </c>
      <c r="VG1294" s="102"/>
      <c r="VH1294" s="102"/>
      <c r="VI1294" s="102"/>
      <c r="VJ1294" s="97">
        <f t="shared" si="522"/>
        <v>0</v>
      </c>
      <c r="VK1294" s="97">
        <f t="shared" si="523"/>
        <v>0</v>
      </c>
      <c r="VL1294" s="97">
        <f t="shared" si="524"/>
        <v>0</v>
      </c>
      <c r="VM1294" s="97">
        <f t="shared" si="525"/>
        <v>0</v>
      </c>
      <c r="VN1294" s="97">
        <f t="shared" si="526"/>
        <v>0</v>
      </c>
      <c r="VO1294" s="97">
        <f t="shared" si="527"/>
        <v>0</v>
      </c>
      <c r="VP1294" s="97">
        <f t="shared" si="528"/>
        <v>0</v>
      </c>
      <c r="VQ1294" s="97">
        <f t="shared" si="529"/>
        <v>0</v>
      </c>
      <c r="VR1294" s="97">
        <f t="shared" si="530"/>
        <v>0</v>
      </c>
      <c r="VS1294" s="97">
        <f t="shared" si="531"/>
        <v>0</v>
      </c>
      <c r="VT1294" s="97">
        <f t="shared" si="532"/>
        <v>0</v>
      </c>
      <c r="VU1294" s="97">
        <f t="shared" si="533"/>
        <v>0</v>
      </c>
      <c r="VV1294" s="97">
        <f t="shared" si="534"/>
        <v>0</v>
      </c>
      <c r="VW1294" s="97">
        <f t="shared" si="534"/>
        <v>0</v>
      </c>
      <c r="VX1294" s="97">
        <f t="shared" si="534"/>
        <v>0</v>
      </c>
      <c r="VY1294" s="97">
        <f t="shared" si="535"/>
        <v>0</v>
      </c>
      <c r="VZ1294" s="97">
        <f t="shared" si="535"/>
        <v>0</v>
      </c>
      <c r="WA1294" s="97">
        <f t="shared" si="535"/>
        <v>0</v>
      </c>
      <c r="WB1294" s="102"/>
      <c r="WC1294" s="102"/>
      <c r="WD1294" s="102"/>
      <c r="WE1294" s="97">
        <f t="shared" si="536"/>
        <v>0</v>
      </c>
      <c r="WF1294" s="97">
        <f t="shared" si="537"/>
        <v>0</v>
      </c>
      <c r="WG1294" s="97">
        <f t="shared" si="538"/>
        <v>0</v>
      </c>
      <c r="WH1294" s="97">
        <f t="shared" si="539"/>
        <v>0</v>
      </c>
      <c r="WI1294" s="97">
        <f t="shared" si="540"/>
        <v>0</v>
      </c>
      <c r="WJ1294" s="97">
        <f t="shared" si="541"/>
        <v>0</v>
      </c>
      <c r="WK1294" s="97">
        <f t="shared" si="542"/>
        <v>0</v>
      </c>
      <c r="WL1294" s="97">
        <f t="shared" si="543"/>
        <v>0</v>
      </c>
      <c r="WM1294" s="97">
        <f t="shared" si="544"/>
        <v>0</v>
      </c>
      <c r="WN1294" s="97">
        <f t="shared" si="545"/>
        <v>0</v>
      </c>
      <c r="WO1294" s="97">
        <f t="shared" si="546"/>
        <v>0</v>
      </c>
      <c r="WP1294" s="97">
        <f t="shared" si="547"/>
        <v>0</v>
      </c>
      <c r="WQ1294" s="97">
        <f t="shared" si="548"/>
        <v>0</v>
      </c>
      <c r="WR1294" s="97">
        <f t="shared" si="548"/>
        <v>0</v>
      </c>
      <c r="WS1294" s="97">
        <f t="shared" si="548"/>
        <v>0</v>
      </c>
      <c r="WT1294" s="97">
        <f t="shared" si="549"/>
        <v>0</v>
      </c>
      <c r="WU1294" s="97">
        <f t="shared" si="549"/>
        <v>0</v>
      </c>
      <c r="WV1294" s="97">
        <f t="shared" si="549"/>
        <v>0</v>
      </c>
      <c r="WW1294" s="102"/>
      <c r="WX1294" s="102"/>
      <c r="WY1294" s="102"/>
      <c r="WZ1294" s="97">
        <f t="shared" si="550"/>
        <v>0</v>
      </c>
      <c r="XA1294" s="97">
        <f t="shared" si="551"/>
        <v>0</v>
      </c>
      <c r="XB1294" s="97">
        <f t="shared" si="552"/>
        <v>0</v>
      </c>
      <c r="XC1294" s="97">
        <f t="shared" si="553"/>
        <v>0</v>
      </c>
      <c r="XD1294" s="97">
        <f t="shared" si="554"/>
        <v>0</v>
      </c>
      <c r="XE1294" s="97">
        <f t="shared" si="555"/>
        <v>0</v>
      </c>
      <c r="XF1294" s="97">
        <f t="shared" si="556"/>
        <v>0</v>
      </c>
      <c r="XG1294" s="97">
        <f t="shared" si="557"/>
        <v>0</v>
      </c>
      <c r="XH1294" s="97">
        <f t="shared" si="558"/>
        <v>0</v>
      </c>
      <c r="XI1294" s="97">
        <f t="shared" si="559"/>
        <v>0</v>
      </c>
      <c r="XJ1294" s="97">
        <f t="shared" si="560"/>
        <v>0</v>
      </c>
      <c r="XK1294" s="97">
        <f t="shared" si="561"/>
        <v>0</v>
      </c>
      <c r="XL1294" s="97">
        <f t="shared" si="562"/>
        <v>0</v>
      </c>
      <c r="XM1294" s="97">
        <f t="shared" si="562"/>
        <v>0</v>
      </c>
      <c r="XN1294" s="97">
        <f t="shared" si="562"/>
        <v>0</v>
      </c>
      <c r="XO1294" s="97">
        <f t="shared" si="563"/>
        <v>0</v>
      </c>
      <c r="XP1294" s="97">
        <f t="shared" si="563"/>
        <v>0</v>
      </c>
      <c r="XQ1294" s="97">
        <f t="shared" si="563"/>
        <v>0</v>
      </c>
      <c r="XR1294" s="102"/>
      <c r="XS1294" s="102"/>
      <c r="XT1294" s="102"/>
      <c r="XU1294" s="97">
        <f t="shared" si="564"/>
        <v>0</v>
      </c>
      <c r="XV1294" s="97">
        <f t="shared" si="565"/>
        <v>0</v>
      </c>
      <c r="XW1294" s="97">
        <f t="shared" si="566"/>
        <v>0</v>
      </c>
      <c r="XX1294" s="97">
        <f t="shared" si="567"/>
        <v>0</v>
      </c>
      <c r="XY1294" s="97">
        <f t="shared" si="568"/>
        <v>0</v>
      </c>
      <c r="XZ1294" s="97">
        <f t="shared" si="569"/>
        <v>0</v>
      </c>
      <c r="YA1294" s="97">
        <f t="shared" si="570"/>
        <v>0</v>
      </c>
      <c r="YB1294" s="97">
        <f t="shared" si="571"/>
        <v>0</v>
      </c>
      <c r="YC1294" s="97">
        <f t="shared" si="572"/>
        <v>0</v>
      </c>
      <c r="YD1294" s="97">
        <f t="shared" si="573"/>
        <v>0</v>
      </c>
      <c r="YE1294" s="97">
        <f t="shared" si="574"/>
        <v>0</v>
      </c>
      <c r="YF1294" s="97">
        <f t="shared" si="575"/>
        <v>0</v>
      </c>
      <c r="YG1294" s="97">
        <f t="shared" si="576"/>
        <v>0</v>
      </c>
      <c r="YH1294" s="97">
        <f t="shared" si="576"/>
        <v>0</v>
      </c>
      <c r="YI1294" s="97">
        <f t="shared" si="576"/>
        <v>0</v>
      </c>
      <c r="YJ1294" s="97">
        <f t="shared" si="577"/>
        <v>0</v>
      </c>
      <c r="YK1294" s="97">
        <f t="shared" si="577"/>
        <v>0</v>
      </c>
      <c r="YL1294" s="97">
        <f t="shared" si="577"/>
        <v>0</v>
      </c>
      <c r="YM1294" s="145">
        <f t="shared" si="601"/>
        <v>0</v>
      </c>
      <c r="YN1294" s="145">
        <f t="shared" si="578"/>
        <v>0</v>
      </c>
      <c r="YO1294" s="145">
        <f t="shared" si="578"/>
        <v>0</v>
      </c>
      <c r="YP1294" s="97">
        <f t="shared" si="579"/>
        <v>0</v>
      </c>
      <c r="YQ1294" s="97">
        <f t="shared" si="580"/>
        <v>0</v>
      </c>
      <c r="YR1294" s="97">
        <f t="shared" si="581"/>
        <v>0</v>
      </c>
      <c r="YS1294" s="97">
        <f t="shared" si="582"/>
        <v>0</v>
      </c>
      <c r="YT1294" s="97">
        <f t="shared" si="583"/>
        <v>0</v>
      </c>
      <c r="YU1294" s="97">
        <f t="shared" si="584"/>
        <v>0</v>
      </c>
      <c r="YV1294" s="97">
        <f t="shared" si="585"/>
        <v>3980.38</v>
      </c>
      <c r="YW1294" s="97">
        <f t="shared" si="586"/>
        <v>4081.44</v>
      </c>
      <c r="YX1294" s="97">
        <f t="shared" si="587"/>
        <v>4112.51</v>
      </c>
      <c r="YY1294" s="97">
        <f t="shared" si="588"/>
        <v>366.4</v>
      </c>
      <c r="YZ1294" s="97">
        <f t="shared" si="589"/>
        <v>373.89</v>
      </c>
      <c r="ZA1294" s="97">
        <f t="shared" si="590"/>
        <v>388.16</v>
      </c>
      <c r="ZB1294" s="97">
        <f t="shared" si="591"/>
        <v>0</v>
      </c>
      <c r="ZC1294" s="97">
        <f t="shared" si="591"/>
        <v>0</v>
      </c>
      <c r="ZD1294" s="97">
        <f t="shared" si="591"/>
        <v>0</v>
      </c>
      <c r="ZE1294" s="97">
        <f t="shared" si="592"/>
        <v>0</v>
      </c>
      <c r="ZF1294" s="97">
        <f t="shared" si="592"/>
        <v>0</v>
      </c>
      <c r="ZG1294" s="97">
        <f t="shared" si="592"/>
        <v>0</v>
      </c>
    </row>
    <row r="1295" spans="1:683" s="158" customFormat="1" ht="24" customHeight="1" x14ac:dyDescent="0.25">
      <c r="A1295" s="184" t="s">
        <v>701</v>
      </c>
      <c r="B1295" s="331"/>
    </row>
    <row r="1296" spans="1:683" x14ac:dyDescent="0.25">
      <c r="A1296" s="114" t="s">
        <v>596</v>
      </c>
      <c r="B1296" s="106"/>
      <c r="C1296" s="113" t="s">
        <v>448</v>
      </c>
      <c r="D1296" s="1279"/>
      <c r="E1296" s="1280"/>
      <c r="F1296" s="185" t="s">
        <v>699</v>
      </c>
      <c r="G1296" s="185" t="s">
        <v>699</v>
      </c>
      <c r="H1296" s="185" t="s">
        <v>699</v>
      </c>
      <c r="I1296" s="185" t="s">
        <v>699</v>
      </c>
      <c r="J1296" s="185" t="s">
        <v>699</v>
      </c>
      <c r="K1296" s="185" t="s">
        <v>699</v>
      </c>
      <c r="L1296" s="129">
        <f>SUM(L1297:L1308)</f>
        <v>0</v>
      </c>
      <c r="M1296" s="129">
        <f t="shared" ref="M1296:T1296" si="602">SUM(M1297:M1308)</f>
        <v>0</v>
      </c>
      <c r="N1296" s="129">
        <f t="shared" si="602"/>
        <v>0</v>
      </c>
      <c r="O1296" s="129">
        <f t="shared" si="602"/>
        <v>0</v>
      </c>
      <c r="P1296" s="129">
        <f t="shared" si="602"/>
        <v>0</v>
      </c>
      <c r="Q1296" s="129">
        <f t="shared" si="602"/>
        <v>0</v>
      </c>
      <c r="R1296" s="129">
        <f t="shared" si="602"/>
        <v>0</v>
      </c>
      <c r="S1296" s="129">
        <f t="shared" si="602"/>
        <v>0</v>
      </c>
      <c r="T1296" s="129">
        <f t="shared" si="602"/>
        <v>0</v>
      </c>
      <c r="U1296" s="185" t="s">
        <v>699</v>
      </c>
      <c r="V1296" s="185" t="s">
        <v>699</v>
      </c>
      <c r="W1296" s="185" t="s">
        <v>699</v>
      </c>
      <c r="X1296" s="185" t="s">
        <v>699</v>
      </c>
      <c r="Y1296" s="185" t="s">
        <v>699</v>
      </c>
      <c r="Z1296" s="185" t="s">
        <v>699</v>
      </c>
      <c r="AA1296" s="129">
        <f t="shared" ref="AA1296:AO1296" si="603">SUM(AA1297:AA1308)</f>
        <v>0</v>
      </c>
      <c r="AB1296" s="129">
        <f t="shared" si="603"/>
        <v>0</v>
      </c>
      <c r="AC1296" s="129">
        <f t="shared" si="603"/>
        <v>0</v>
      </c>
      <c r="AD1296" s="129">
        <f t="shared" si="603"/>
        <v>0</v>
      </c>
      <c r="AE1296" s="129">
        <f t="shared" si="603"/>
        <v>0</v>
      </c>
      <c r="AF1296" s="129">
        <f t="shared" si="603"/>
        <v>0</v>
      </c>
      <c r="AG1296" s="129">
        <f t="shared" si="603"/>
        <v>0</v>
      </c>
      <c r="AH1296" s="129">
        <f t="shared" si="603"/>
        <v>0</v>
      </c>
      <c r="AI1296" s="129">
        <f t="shared" si="603"/>
        <v>0</v>
      </c>
      <c r="AJ1296" s="129">
        <f t="shared" si="603"/>
        <v>0</v>
      </c>
      <c r="AK1296" s="129">
        <f t="shared" si="603"/>
        <v>0</v>
      </c>
      <c r="AL1296" s="129">
        <f t="shared" si="603"/>
        <v>0</v>
      </c>
      <c r="AM1296" s="129">
        <f t="shared" si="603"/>
        <v>0</v>
      </c>
      <c r="AN1296" s="129">
        <f t="shared" si="603"/>
        <v>0</v>
      </c>
      <c r="AO1296" s="129">
        <f t="shared" si="603"/>
        <v>0</v>
      </c>
      <c r="AP1296" s="185" t="s">
        <v>699</v>
      </c>
      <c r="AQ1296" s="185" t="s">
        <v>699</v>
      </c>
      <c r="AR1296" s="185" t="s">
        <v>699</v>
      </c>
      <c r="AS1296" s="185" t="s">
        <v>699</v>
      </c>
      <c r="AT1296" s="185" t="s">
        <v>699</v>
      </c>
      <c r="AU1296" s="185" t="s">
        <v>699</v>
      </c>
      <c r="AV1296" s="129">
        <f t="shared" ref="AV1296:BJ1296" si="604">SUM(AV1297:AV1308)</f>
        <v>0</v>
      </c>
      <c r="AW1296" s="129">
        <f t="shared" si="604"/>
        <v>0</v>
      </c>
      <c r="AX1296" s="129">
        <f t="shared" si="604"/>
        <v>0</v>
      </c>
      <c r="AY1296" s="129">
        <f t="shared" si="604"/>
        <v>0</v>
      </c>
      <c r="AZ1296" s="129">
        <f t="shared" si="604"/>
        <v>0</v>
      </c>
      <c r="BA1296" s="129">
        <f t="shared" si="604"/>
        <v>0</v>
      </c>
      <c r="BB1296" s="129">
        <f t="shared" si="604"/>
        <v>0</v>
      </c>
      <c r="BC1296" s="129">
        <f t="shared" si="604"/>
        <v>0</v>
      </c>
      <c r="BD1296" s="129">
        <f t="shared" si="604"/>
        <v>0</v>
      </c>
      <c r="BE1296" s="129">
        <f t="shared" si="604"/>
        <v>0</v>
      </c>
      <c r="BF1296" s="129">
        <f t="shared" si="604"/>
        <v>0</v>
      </c>
      <c r="BG1296" s="129">
        <f t="shared" si="604"/>
        <v>0</v>
      </c>
      <c r="BH1296" s="129">
        <f t="shared" si="604"/>
        <v>0</v>
      </c>
      <c r="BI1296" s="129">
        <f t="shared" si="604"/>
        <v>0</v>
      </c>
      <c r="BJ1296" s="129">
        <f t="shared" si="604"/>
        <v>0</v>
      </c>
      <c r="BK1296" s="185" t="s">
        <v>699</v>
      </c>
      <c r="BL1296" s="185" t="s">
        <v>699</v>
      </c>
      <c r="BM1296" s="185" t="s">
        <v>699</v>
      </c>
      <c r="BN1296" s="185" t="s">
        <v>699</v>
      </c>
      <c r="BO1296" s="185" t="s">
        <v>699</v>
      </c>
      <c r="BP1296" s="185" t="s">
        <v>699</v>
      </c>
      <c r="BQ1296" s="129">
        <f t="shared" ref="BQ1296:CE1296" si="605">SUM(BQ1297:BQ1308)</f>
        <v>0</v>
      </c>
      <c r="BR1296" s="129">
        <f t="shared" si="605"/>
        <v>0</v>
      </c>
      <c r="BS1296" s="129">
        <f t="shared" si="605"/>
        <v>0</v>
      </c>
      <c r="BT1296" s="129">
        <f t="shared" si="605"/>
        <v>0</v>
      </c>
      <c r="BU1296" s="129">
        <f t="shared" si="605"/>
        <v>0</v>
      </c>
      <c r="BV1296" s="129">
        <f t="shared" si="605"/>
        <v>0</v>
      </c>
      <c r="BW1296" s="129">
        <f t="shared" si="605"/>
        <v>0</v>
      </c>
      <c r="BX1296" s="129">
        <f t="shared" si="605"/>
        <v>0</v>
      </c>
      <c r="BY1296" s="129">
        <f t="shared" si="605"/>
        <v>0</v>
      </c>
      <c r="BZ1296" s="129">
        <f t="shared" si="605"/>
        <v>0</v>
      </c>
      <c r="CA1296" s="129">
        <f t="shared" si="605"/>
        <v>0</v>
      </c>
      <c r="CB1296" s="129">
        <f t="shared" si="605"/>
        <v>0</v>
      </c>
      <c r="CC1296" s="129">
        <f t="shared" si="605"/>
        <v>0</v>
      </c>
      <c r="CD1296" s="129">
        <f t="shared" si="605"/>
        <v>0</v>
      </c>
      <c r="CE1296" s="129">
        <f t="shared" si="605"/>
        <v>0</v>
      </c>
      <c r="CF1296" s="185" t="s">
        <v>699</v>
      </c>
      <c r="CG1296" s="185" t="s">
        <v>699</v>
      </c>
      <c r="CH1296" s="185" t="s">
        <v>699</v>
      </c>
      <c r="CI1296" s="185" t="s">
        <v>699</v>
      </c>
      <c r="CJ1296" s="185" t="s">
        <v>699</v>
      </c>
      <c r="CK1296" s="185" t="s">
        <v>699</v>
      </c>
      <c r="CL1296" s="129">
        <f t="shared" ref="CL1296:CZ1296" si="606">SUM(CL1297:CL1308)</f>
        <v>0</v>
      </c>
      <c r="CM1296" s="129">
        <f t="shared" si="606"/>
        <v>0</v>
      </c>
      <c r="CN1296" s="129">
        <f t="shared" si="606"/>
        <v>0</v>
      </c>
      <c r="CO1296" s="129">
        <f t="shared" si="606"/>
        <v>0</v>
      </c>
      <c r="CP1296" s="129">
        <f t="shared" si="606"/>
        <v>0</v>
      </c>
      <c r="CQ1296" s="129">
        <f t="shared" si="606"/>
        <v>0</v>
      </c>
      <c r="CR1296" s="129">
        <f t="shared" si="606"/>
        <v>0</v>
      </c>
      <c r="CS1296" s="129">
        <f t="shared" si="606"/>
        <v>0</v>
      </c>
      <c r="CT1296" s="129">
        <f t="shared" si="606"/>
        <v>0</v>
      </c>
      <c r="CU1296" s="129">
        <f t="shared" si="606"/>
        <v>0</v>
      </c>
      <c r="CV1296" s="129">
        <f t="shared" si="606"/>
        <v>0</v>
      </c>
      <c r="CW1296" s="129">
        <f t="shared" si="606"/>
        <v>0</v>
      </c>
      <c r="CX1296" s="129">
        <f t="shared" si="606"/>
        <v>0</v>
      </c>
      <c r="CY1296" s="129">
        <f t="shared" si="606"/>
        <v>0</v>
      </c>
      <c r="CZ1296" s="129">
        <f t="shared" si="606"/>
        <v>0</v>
      </c>
      <c r="DA1296" s="185" t="s">
        <v>699</v>
      </c>
      <c r="DB1296" s="185" t="s">
        <v>699</v>
      </c>
      <c r="DC1296" s="185" t="s">
        <v>699</v>
      </c>
      <c r="DD1296" s="185" t="s">
        <v>699</v>
      </c>
      <c r="DE1296" s="185" t="s">
        <v>699</v>
      </c>
      <c r="DF1296" s="185" t="s">
        <v>699</v>
      </c>
      <c r="DG1296" s="129">
        <f t="shared" ref="DG1296:DU1296" si="607">SUM(DG1297:DG1308)</f>
        <v>0</v>
      </c>
      <c r="DH1296" s="129">
        <f t="shared" si="607"/>
        <v>0</v>
      </c>
      <c r="DI1296" s="129">
        <f t="shared" si="607"/>
        <v>0</v>
      </c>
      <c r="DJ1296" s="129">
        <f t="shared" si="607"/>
        <v>0</v>
      </c>
      <c r="DK1296" s="129">
        <f t="shared" si="607"/>
        <v>0</v>
      </c>
      <c r="DL1296" s="129">
        <f t="shared" si="607"/>
        <v>0</v>
      </c>
      <c r="DM1296" s="129">
        <f t="shared" si="607"/>
        <v>0</v>
      </c>
      <c r="DN1296" s="129">
        <f t="shared" si="607"/>
        <v>0</v>
      </c>
      <c r="DO1296" s="129">
        <f t="shared" si="607"/>
        <v>0</v>
      </c>
      <c r="DP1296" s="129">
        <f t="shared" si="607"/>
        <v>0</v>
      </c>
      <c r="DQ1296" s="129">
        <f t="shared" si="607"/>
        <v>0</v>
      </c>
      <c r="DR1296" s="129">
        <f t="shared" si="607"/>
        <v>0</v>
      </c>
      <c r="DS1296" s="129">
        <f t="shared" si="607"/>
        <v>0</v>
      </c>
      <c r="DT1296" s="129">
        <f t="shared" si="607"/>
        <v>0</v>
      </c>
      <c r="DU1296" s="129">
        <f t="shared" si="607"/>
        <v>0</v>
      </c>
      <c r="DV1296" s="185" t="s">
        <v>699</v>
      </c>
      <c r="DW1296" s="185" t="s">
        <v>699</v>
      </c>
      <c r="DX1296" s="185" t="s">
        <v>699</v>
      </c>
      <c r="DY1296" s="185" t="s">
        <v>699</v>
      </c>
      <c r="DZ1296" s="185" t="s">
        <v>699</v>
      </c>
      <c r="EA1296" s="185" t="s">
        <v>699</v>
      </c>
      <c r="EB1296" s="129">
        <f t="shared" ref="EB1296:EP1296" si="608">SUM(EB1297:EB1308)</f>
        <v>0</v>
      </c>
      <c r="EC1296" s="129">
        <f t="shared" si="608"/>
        <v>0</v>
      </c>
      <c r="ED1296" s="129">
        <f t="shared" si="608"/>
        <v>0</v>
      </c>
      <c r="EE1296" s="129">
        <f t="shared" si="608"/>
        <v>0</v>
      </c>
      <c r="EF1296" s="129">
        <f t="shared" si="608"/>
        <v>0</v>
      </c>
      <c r="EG1296" s="129">
        <f t="shared" si="608"/>
        <v>0</v>
      </c>
      <c r="EH1296" s="129">
        <f t="shared" si="608"/>
        <v>0</v>
      </c>
      <c r="EI1296" s="129">
        <f t="shared" si="608"/>
        <v>0</v>
      </c>
      <c r="EJ1296" s="129">
        <f t="shared" si="608"/>
        <v>0</v>
      </c>
      <c r="EK1296" s="129">
        <f t="shared" si="608"/>
        <v>0</v>
      </c>
      <c r="EL1296" s="129">
        <f t="shared" si="608"/>
        <v>0</v>
      </c>
      <c r="EM1296" s="129">
        <f t="shared" si="608"/>
        <v>0</v>
      </c>
      <c r="EN1296" s="129">
        <f t="shared" si="608"/>
        <v>0</v>
      </c>
      <c r="EO1296" s="129">
        <f t="shared" si="608"/>
        <v>0</v>
      </c>
      <c r="EP1296" s="129">
        <f t="shared" si="608"/>
        <v>0</v>
      </c>
      <c r="EQ1296" s="185" t="s">
        <v>699</v>
      </c>
      <c r="ER1296" s="185" t="s">
        <v>699</v>
      </c>
      <c r="ES1296" s="185" t="s">
        <v>699</v>
      </c>
      <c r="ET1296" s="185" t="s">
        <v>699</v>
      </c>
      <c r="EU1296" s="185" t="s">
        <v>699</v>
      </c>
      <c r="EV1296" s="185" t="s">
        <v>699</v>
      </c>
      <c r="EW1296" s="129">
        <f t="shared" ref="EW1296:FK1296" si="609">SUM(EW1297:EW1308)</f>
        <v>0</v>
      </c>
      <c r="EX1296" s="129">
        <f t="shared" si="609"/>
        <v>0</v>
      </c>
      <c r="EY1296" s="129">
        <f t="shared" si="609"/>
        <v>0</v>
      </c>
      <c r="EZ1296" s="129">
        <f t="shared" si="609"/>
        <v>0</v>
      </c>
      <c r="FA1296" s="129">
        <f t="shared" si="609"/>
        <v>0</v>
      </c>
      <c r="FB1296" s="129">
        <f t="shared" si="609"/>
        <v>0</v>
      </c>
      <c r="FC1296" s="129">
        <f t="shared" si="609"/>
        <v>0</v>
      </c>
      <c r="FD1296" s="129">
        <f t="shared" si="609"/>
        <v>0</v>
      </c>
      <c r="FE1296" s="129">
        <f t="shared" si="609"/>
        <v>0</v>
      </c>
      <c r="FF1296" s="129">
        <f t="shared" si="609"/>
        <v>0</v>
      </c>
      <c r="FG1296" s="129">
        <f t="shared" si="609"/>
        <v>0</v>
      </c>
      <c r="FH1296" s="129">
        <f t="shared" si="609"/>
        <v>0</v>
      </c>
      <c r="FI1296" s="129">
        <f t="shared" si="609"/>
        <v>0</v>
      </c>
      <c r="FJ1296" s="129">
        <f t="shared" si="609"/>
        <v>0</v>
      </c>
      <c r="FK1296" s="129">
        <f t="shared" si="609"/>
        <v>0</v>
      </c>
      <c r="FL1296" s="185" t="s">
        <v>699</v>
      </c>
      <c r="FM1296" s="185" t="s">
        <v>699</v>
      </c>
      <c r="FN1296" s="185" t="s">
        <v>699</v>
      </c>
      <c r="FO1296" s="185" t="s">
        <v>699</v>
      </c>
      <c r="FP1296" s="185" t="s">
        <v>699</v>
      </c>
      <c r="FQ1296" s="185" t="s">
        <v>699</v>
      </c>
      <c r="FR1296" s="129">
        <f t="shared" ref="FR1296:GF1296" si="610">SUM(FR1297:FR1308)</f>
        <v>0</v>
      </c>
      <c r="FS1296" s="129">
        <f t="shared" si="610"/>
        <v>0</v>
      </c>
      <c r="FT1296" s="129">
        <f t="shared" si="610"/>
        <v>0</v>
      </c>
      <c r="FU1296" s="129">
        <f t="shared" si="610"/>
        <v>0</v>
      </c>
      <c r="FV1296" s="129">
        <f t="shared" si="610"/>
        <v>0</v>
      </c>
      <c r="FW1296" s="129">
        <f t="shared" si="610"/>
        <v>0</v>
      </c>
      <c r="FX1296" s="129">
        <f t="shared" si="610"/>
        <v>0</v>
      </c>
      <c r="FY1296" s="129">
        <f t="shared" si="610"/>
        <v>0</v>
      </c>
      <c r="FZ1296" s="129">
        <f t="shared" si="610"/>
        <v>0</v>
      </c>
      <c r="GA1296" s="129">
        <f t="shared" si="610"/>
        <v>0</v>
      </c>
      <c r="GB1296" s="129">
        <f t="shared" si="610"/>
        <v>0</v>
      </c>
      <c r="GC1296" s="129">
        <f t="shared" si="610"/>
        <v>0</v>
      </c>
      <c r="GD1296" s="129">
        <f t="shared" si="610"/>
        <v>0</v>
      </c>
      <c r="GE1296" s="129">
        <f t="shared" si="610"/>
        <v>0</v>
      </c>
      <c r="GF1296" s="129">
        <f t="shared" si="610"/>
        <v>0</v>
      </c>
      <c r="GG1296" s="185" t="s">
        <v>699</v>
      </c>
      <c r="GH1296" s="185" t="s">
        <v>699</v>
      </c>
      <c r="GI1296" s="185" t="s">
        <v>699</v>
      </c>
      <c r="GJ1296" s="185" t="s">
        <v>699</v>
      </c>
      <c r="GK1296" s="185" t="s">
        <v>699</v>
      </c>
      <c r="GL1296" s="185" t="s">
        <v>699</v>
      </c>
      <c r="GM1296" s="129">
        <f t="shared" ref="GM1296:HA1296" si="611">SUM(GM1297:GM1308)</f>
        <v>0</v>
      </c>
      <c r="GN1296" s="129">
        <f t="shared" si="611"/>
        <v>0</v>
      </c>
      <c r="GO1296" s="129">
        <f t="shared" si="611"/>
        <v>0</v>
      </c>
      <c r="GP1296" s="129">
        <f t="shared" si="611"/>
        <v>0</v>
      </c>
      <c r="GQ1296" s="129">
        <f t="shared" si="611"/>
        <v>0</v>
      </c>
      <c r="GR1296" s="129">
        <f t="shared" si="611"/>
        <v>0</v>
      </c>
      <c r="GS1296" s="129">
        <f t="shared" si="611"/>
        <v>0</v>
      </c>
      <c r="GT1296" s="129">
        <f t="shared" si="611"/>
        <v>0</v>
      </c>
      <c r="GU1296" s="129">
        <f t="shared" si="611"/>
        <v>0</v>
      </c>
      <c r="GV1296" s="129">
        <f t="shared" si="611"/>
        <v>0</v>
      </c>
      <c r="GW1296" s="129">
        <f t="shared" si="611"/>
        <v>0</v>
      </c>
      <c r="GX1296" s="129">
        <f t="shared" si="611"/>
        <v>0</v>
      </c>
      <c r="GY1296" s="129">
        <f t="shared" si="611"/>
        <v>0</v>
      </c>
      <c r="GZ1296" s="129">
        <f t="shared" si="611"/>
        <v>0</v>
      </c>
      <c r="HA1296" s="129">
        <f t="shared" si="611"/>
        <v>0</v>
      </c>
      <c r="HB1296" s="185" t="s">
        <v>699</v>
      </c>
      <c r="HC1296" s="185" t="s">
        <v>699</v>
      </c>
      <c r="HD1296" s="185" t="s">
        <v>699</v>
      </c>
      <c r="HE1296" s="185" t="s">
        <v>699</v>
      </c>
      <c r="HF1296" s="185" t="s">
        <v>699</v>
      </c>
      <c r="HG1296" s="185" t="s">
        <v>699</v>
      </c>
      <c r="HH1296" s="129">
        <f t="shared" ref="HH1296:HV1296" si="612">SUM(HH1297:HH1308)</f>
        <v>0</v>
      </c>
      <c r="HI1296" s="129">
        <f t="shared" si="612"/>
        <v>0</v>
      </c>
      <c r="HJ1296" s="129">
        <f t="shared" si="612"/>
        <v>0</v>
      </c>
      <c r="HK1296" s="129">
        <f t="shared" si="612"/>
        <v>0</v>
      </c>
      <c r="HL1296" s="129">
        <f t="shared" si="612"/>
        <v>0</v>
      </c>
      <c r="HM1296" s="129">
        <f t="shared" si="612"/>
        <v>0</v>
      </c>
      <c r="HN1296" s="129">
        <f t="shared" si="612"/>
        <v>0</v>
      </c>
      <c r="HO1296" s="129">
        <f t="shared" si="612"/>
        <v>0</v>
      </c>
      <c r="HP1296" s="129">
        <f t="shared" si="612"/>
        <v>0</v>
      </c>
      <c r="HQ1296" s="129">
        <f t="shared" si="612"/>
        <v>0</v>
      </c>
      <c r="HR1296" s="129">
        <f t="shared" si="612"/>
        <v>0</v>
      </c>
      <c r="HS1296" s="129">
        <f t="shared" si="612"/>
        <v>0</v>
      </c>
      <c r="HT1296" s="129">
        <f t="shared" si="612"/>
        <v>0</v>
      </c>
      <c r="HU1296" s="129">
        <f t="shared" si="612"/>
        <v>0</v>
      </c>
      <c r="HV1296" s="129">
        <f t="shared" si="612"/>
        <v>0</v>
      </c>
      <c r="HW1296" s="185" t="s">
        <v>699</v>
      </c>
      <c r="HX1296" s="185" t="s">
        <v>699</v>
      </c>
      <c r="HY1296" s="185" t="s">
        <v>699</v>
      </c>
      <c r="HZ1296" s="185" t="s">
        <v>699</v>
      </c>
      <c r="IA1296" s="185" t="s">
        <v>699</v>
      </c>
      <c r="IB1296" s="185" t="s">
        <v>699</v>
      </c>
      <c r="IC1296" s="129">
        <f t="shared" ref="IC1296:IQ1296" si="613">SUM(IC1297:IC1308)</f>
        <v>0</v>
      </c>
      <c r="ID1296" s="129">
        <f t="shared" si="613"/>
        <v>0</v>
      </c>
      <c r="IE1296" s="129">
        <f t="shared" si="613"/>
        <v>0</v>
      </c>
      <c r="IF1296" s="129">
        <f t="shared" si="613"/>
        <v>0</v>
      </c>
      <c r="IG1296" s="129">
        <f t="shared" si="613"/>
        <v>0</v>
      </c>
      <c r="IH1296" s="129">
        <f t="shared" si="613"/>
        <v>0</v>
      </c>
      <c r="II1296" s="129">
        <f t="shared" si="613"/>
        <v>0</v>
      </c>
      <c r="IJ1296" s="129">
        <f t="shared" si="613"/>
        <v>0</v>
      </c>
      <c r="IK1296" s="129">
        <f t="shared" si="613"/>
        <v>0</v>
      </c>
      <c r="IL1296" s="129">
        <f t="shared" si="613"/>
        <v>0</v>
      </c>
      <c r="IM1296" s="129">
        <f t="shared" si="613"/>
        <v>0</v>
      </c>
      <c r="IN1296" s="129">
        <f t="shared" si="613"/>
        <v>0</v>
      </c>
      <c r="IO1296" s="129">
        <f t="shared" si="613"/>
        <v>0</v>
      </c>
      <c r="IP1296" s="129">
        <f t="shared" si="613"/>
        <v>0</v>
      </c>
      <c r="IQ1296" s="129">
        <f t="shared" si="613"/>
        <v>0</v>
      </c>
      <c r="IR1296" s="185" t="s">
        <v>699</v>
      </c>
      <c r="IS1296" s="185" t="s">
        <v>699</v>
      </c>
      <c r="IT1296" s="185" t="s">
        <v>699</v>
      </c>
      <c r="IU1296" s="185" t="s">
        <v>699</v>
      </c>
      <c r="IV1296" s="185" t="s">
        <v>699</v>
      </c>
      <c r="IW1296" s="185" t="s">
        <v>699</v>
      </c>
      <c r="IX1296" s="129">
        <f t="shared" ref="IX1296:JL1296" si="614">SUM(IX1297:IX1308)</f>
        <v>0</v>
      </c>
      <c r="IY1296" s="129">
        <f t="shared" si="614"/>
        <v>0</v>
      </c>
      <c r="IZ1296" s="129">
        <f t="shared" si="614"/>
        <v>0</v>
      </c>
      <c r="JA1296" s="129">
        <f t="shared" si="614"/>
        <v>0</v>
      </c>
      <c r="JB1296" s="129">
        <f t="shared" si="614"/>
        <v>0</v>
      </c>
      <c r="JC1296" s="129">
        <f t="shared" si="614"/>
        <v>0</v>
      </c>
      <c r="JD1296" s="129">
        <f t="shared" si="614"/>
        <v>0</v>
      </c>
      <c r="JE1296" s="129">
        <f t="shared" si="614"/>
        <v>0</v>
      </c>
      <c r="JF1296" s="129">
        <f t="shared" si="614"/>
        <v>0</v>
      </c>
      <c r="JG1296" s="129">
        <f t="shared" si="614"/>
        <v>0</v>
      </c>
      <c r="JH1296" s="129">
        <f t="shared" si="614"/>
        <v>0</v>
      </c>
      <c r="JI1296" s="129">
        <f t="shared" si="614"/>
        <v>0</v>
      </c>
      <c r="JJ1296" s="129">
        <f t="shared" si="614"/>
        <v>0</v>
      </c>
      <c r="JK1296" s="129">
        <f t="shared" si="614"/>
        <v>0</v>
      </c>
      <c r="JL1296" s="129">
        <f t="shared" si="614"/>
        <v>0</v>
      </c>
      <c r="JM1296" s="185" t="s">
        <v>699</v>
      </c>
      <c r="JN1296" s="185" t="s">
        <v>699</v>
      </c>
      <c r="JO1296" s="185" t="s">
        <v>699</v>
      </c>
      <c r="JP1296" s="185" t="s">
        <v>699</v>
      </c>
      <c r="JQ1296" s="185" t="s">
        <v>699</v>
      </c>
      <c r="JR1296" s="185" t="s">
        <v>699</v>
      </c>
      <c r="JS1296" s="129">
        <f t="shared" ref="JS1296:KG1296" si="615">SUM(JS1297:JS1308)</f>
        <v>0</v>
      </c>
      <c r="JT1296" s="129">
        <f t="shared" si="615"/>
        <v>0</v>
      </c>
      <c r="JU1296" s="129">
        <f t="shared" si="615"/>
        <v>0</v>
      </c>
      <c r="JV1296" s="129">
        <f t="shared" si="615"/>
        <v>0</v>
      </c>
      <c r="JW1296" s="129">
        <f t="shared" si="615"/>
        <v>0</v>
      </c>
      <c r="JX1296" s="129">
        <f t="shared" si="615"/>
        <v>0</v>
      </c>
      <c r="JY1296" s="129">
        <f t="shared" si="615"/>
        <v>0</v>
      </c>
      <c r="JZ1296" s="129">
        <f t="shared" si="615"/>
        <v>0</v>
      </c>
      <c r="KA1296" s="129">
        <f t="shared" si="615"/>
        <v>0</v>
      </c>
      <c r="KB1296" s="129">
        <f t="shared" si="615"/>
        <v>0</v>
      </c>
      <c r="KC1296" s="129">
        <f t="shared" si="615"/>
        <v>0</v>
      </c>
      <c r="KD1296" s="129">
        <f t="shared" si="615"/>
        <v>0</v>
      </c>
      <c r="KE1296" s="129">
        <f t="shared" si="615"/>
        <v>0</v>
      </c>
      <c r="KF1296" s="129">
        <f t="shared" si="615"/>
        <v>0</v>
      </c>
      <c r="KG1296" s="129">
        <f t="shared" si="615"/>
        <v>0</v>
      </c>
      <c r="KH1296" s="185" t="s">
        <v>699</v>
      </c>
      <c r="KI1296" s="185" t="s">
        <v>699</v>
      </c>
      <c r="KJ1296" s="185" t="s">
        <v>699</v>
      </c>
      <c r="KK1296" s="185" t="s">
        <v>699</v>
      </c>
      <c r="KL1296" s="185" t="s">
        <v>699</v>
      </c>
      <c r="KM1296" s="185" t="s">
        <v>699</v>
      </c>
      <c r="KN1296" s="129">
        <f t="shared" ref="KN1296:LB1296" si="616">SUM(KN1297:KN1308)</f>
        <v>0</v>
      </c>
      <c r="KO1296" s="129">
        <f t="shared" si="616"/>
        <v>0</v>
      </c>
      <c r="KP1296" s="129">
        <f t="shared" si="616"/>
        <v>0</v>
      </c>
      <c r="KQ1296" s="129">
        <f t="shared" si="616"/>
        <v>0</v>
      </c>
      <c r="KR1296" s="129">
        <f t="shared" si="616"/>
        <v>0</v>
      </c>
      <c r="KS1296" s="129">
        <f t="shared" si="616"/>
        <v>0</v>
      </c>
      <c r="KT1296" s="129">
        <f t="shared" si="616"/>
        <v>0</v>
      </c>
      <c r="KU1296" s="129">
        <f t="shared" si="616"/>
        <v>0</v>
      </c>
      <c r="KV1296" s="129">
        <f t="shared" si="616"/>
        <v>0</v>
      </c>
      <c r="KW1296" s="129">
        <f t="shared" si="616"/>
        <v>0</v>
      </c>
      <c r="KX1296" s="129">
        <f t="shared" si="616"/>
        <v>0</v>
      </c>
      <c r="KY1296" s="129">
        <f t="shared" si="616"/>
        <v>0</v>
      </c>
      <c r="KZ1296" s="129">
        <f t="shared" si="616"/>
        <v>0</v>
      </c>
      <c r="LA1296" s="129">
        <f t="shared" si="616"/>
        <v>0</v>
      </c>
      <c r="LB1296" s="129">
        <f t="shared" si="616"/>
        <v>0</v>
      </c>
      <c r="LC1296" s="185" t="s">
        <v>699</v>
      </c>
      <c r="LD1296" s="185" t="s">
        <v>699</v>
      </c>
      <c r="LE1296" s="185" t="s">
        <v>699</v>
      </c>
      <c r="LF1296" s="185" t="s">
        <v>699</v>
      </c>
      <c r="LG1296" s="185" t="s">
        <v>699</v>
      </c>
      <c r="LH1296" s="185" t="s">
        <v>699</v>
      </c>
      <c r="LI1296" s="129">
        <f t="shared" ref="LI1296:LW1296" si="617">SUM(LI1297:LI1308)</f>
        <v>0</v>
      </c>
      <c r="LJ1296" s="129">
        <f t="shared" si="617"/>
        <v>0</v>
      </c>
      <c r="LK1296" s="129">
        <f t="shared" si="617"/>
        <v>0</v>
      </c>
      <c r="LL1296" s="129">
        <f t="shared" si="617"/>
        <v>0</v>
      </c>
      <c r="LM1296" s="129">
        <f t="shared" si="617"/>
        <v>0</v>
      </c>
      <c r="LN1296" s="129">
        <f t="shared" si="617"/>
        <v>0</v>
      </c>
      <c r="LO1296" s="129">
        <f t="shared" si="617"/>
        <v>0</v>
      </c>
      <c r="LP1296" s="129">
        <f t="shared" si="617"/>
        <v>0</v>
      </c>
      <c r="LQ1296" s="129">
        <f t="shared" si="617"/>
        <v>0</v>
      </c>
      <c r="LR1296" s="129">
        <f t="shared" si="617"/>
        <v>0</v>
      </c>
      <c r="LS1296" s="129">
        <f t="shared" si="617"/>
        <v>0</v>
      </c>
      <c r="LT1296" s="129">
        <f t="shared" si="617"/>
        <v>0</v>
      </c>
      <c r="LU1296" s="129">
        <f t="shared" si="617"/>
        <v>0</v>
      </c>
      <c r="LV1296" s="129">
        <f t="shared" si="617"/>
        <v>0</v>
      </c>
      <c r="LW1296" s="129">
        <f t="shared" si="617"/>
        <v>0</v>
      </c>
      <c r="LX1296" s="185" t="s">
        <v>699</v>
      </c>
      <c r="LY1296" s="185" t="s">
        <v>699</v>
      </c>
      <c r="LZ1296" s="185" t="s">
        <v>699</v>
      </c>
      <c r="MA1296" s="185" t="s">
        <v>699</v>
      </c>
      <c r="MB1296" s="185" t="s">
        <v>699</v>
      </c>
      <c r="MC1296" s="185" t="s">
        <v>699</v>
      </c>
      <c r="MD1296" s="129">
        <f t="shared" ref="MD1296:MR1296" si="618">SUM(MD1297:MD1308)</f>
        <v>0</v>
      </c>
      <c r="ME1296" s="129">
        <f t="shared" si="618"/>
        <v>0</v>
      </c>
      <c r="MF1296" s="129">
        <f t="shared" si="618"/>
        <v>0</v>
      </c>
      <c r="MG1296" s="129">
        <f t="shared" si="618"/>
        <v>0</v>
      </c>
      <c r="MH1296" s="129">
        <f t="shared" si="618"/>
        <v>0</v>
      </c>
      <c r="MI1296" s="129">
        <f t="shared" si="618"/>
        <v>0</v>
      </c>
      <c r="MJ1296" s="129">
        <f t="shared" si="618"/>
        <v>0</v>
      </c>
      <c r="MK1296" s="129">
        <f t="shared" si="618"/>
        <v>0</v>
      </c>
      <c r="ML1296" s="129">
        <f t="shared" si="618"/>
        <v>0</v>
      </c>
      <c r="MM1296" s="129">
        <f t="shared" si="618"/>
        <v>0</v>
      </c>
      <c r="MN1296" s="129">
        <f t="shared" si="618"/>
        <v>0</v>
      </c>
      <c r="MO1296" s="129">
        <f t="shared" si="618"/>
        <v>0</v>
      </c>
      <c r="MP1296" s="129">
        <f t="shared" si="618"/>
        <v>0</v>
      </c>
      <c r="MQ1296" s="129">
        <f t="shared" si="618"/>
        <v>0</v>
      </c>
      <c r="MR1296" s="129">
        <f t="shared" si="618"/>
        <v>0</v>
      </c>
      <c r="MS1296" s="185" t="s">
        <v>699</v>
      </c>
      <c r="MT1296" s="185" t="s">
        <v>699</v>
      </c>
      <c r="MU1296" s="185" t="s">
        <v>699</v>
      </c>
      <c r="MV1296" s="185" t="s">
        <v>699</v>
      </c>
      <c r="MW1296" s="185" t="s">
        <v>699</v>
      </c>
      <c r="MX1296" s="185" t="s">
        <v>699</v>
      </c>
      <c r="MY1296" s="129">
        <f t="shared" ref="MY1296:NM1296" si="619">SUM(MY1297:MY1308)</f>
        <v>0</v>
      </c>
      <c r="MZ1296" s="129">
        <f t="shared" si="619"/>
        <v>0</v>
      </c>
      <c r="NA1296" s="129">
        <f t="shared" si="619"/>
        <v>0</v>
      </c>
      <c r="NB1296" s="129">
        <f t="shared" si="619"/>
        <v>0</v>
      </c>
      <c r="NC1296" s="129">
        <f t="shared" si="619"/>
        <v>0</v>
      </c>
      <c r="ND1296" s="129">
        <f t="shared" si="619"/>
        <v>0</v>
      </c>
      <c r="NE1296" s="129">
        <f t="shared" si="619"/>
        <v>0</v>
      </c>
      <c r="NF1296" s="129">
        <f t="shared" si="619"/>
        <v>0</v>
      </c>
      <c r="NG1296" s="129">
        <f t="shared" si="619"/>
        <v>0</v>
      </c>
      <c r="NH1296" s="129">
        <f t="shared" si="619"/>
        <v>0</v>
      </c>
      <c r="NI1296" s="129">
        <f t="shared" si="619"/>
        <v>0</v>
      </c>
      <c r="NJ1296" s="129">
        <f t="shared" si="619"/>
        <v>0</v>
      </c>
      <c r="NK1296" s="129">
        <f t="shared" si="619"/>
        <v>0</v>
      </c>
      <c r="NL1296" s="129">
        <f t="shared" si="619"/>
        <v>0</v>
      </c>
      <c r="NM1296" s="129">
        <f t="shared" si="619"/>
        <v>0</v>
      </c>
      <c r="NN1296" s="185" t="s">
        <v>699</v>
      </c>
      <c r="NO1296" s="185" t="s">
        <v>699</v>
      </c>
      <c r="NP1296" s="185" t="s">
        <v>699</v>
      </c>
      <c r="NQ1296" s="185" t="s">
        <v>699</v>
      </c>
      <c r="NR1296" s="185" t="s">
        <v>699</v>
      </c>
      <c r="NS1296" s="185" t="s">
        <v>699</v>
      </c>
      <c r="NT1296" s="129">
        <f t="shared" ref="NT1296:OH1296" si="620">SUM(NT1297:NT1308)</f>
        <v>0</v>
      </c>
      <c r="NU1296" s="129">
        <f t="shared" si="620"/>
        <v>0</v>
      </c>
      <c r="NV1296" s="129">
        <f t="shared" si="620"/>
        <v>0</v>
      </c>
      <c r="NW1296" s="129">
        <f t="shared" si="620"/>
        <v>0</v>
      </c>
      <c r="NX1296" s="129">
        <f t="shared" si="620"/>
        <v>0</v>
      </c>
      <c r="NY1296" s="129">
        <f t="shared" si="620"/>
        <v>0</v>
      </c>
      <c r="NZ1296" s="129">
        <f t="shared" si="620"/>
        <v>0</v>
      </c>
      <c r="OA1296" s="129">
        <f t="shared" si="620"/>
        <v>0</v>
      </c>
      <c r="OB1296" s="129">
        <f t="shared" si="620"/>
        <v>0</v>
      </c>
      <c r="OC1296" s="129">
        <f t="shared" si="620"/>
        <v>0</v>
      </c>
      <c r="OD1296" s="129">
        <f t="shared" si="620"/>
        <v>0</v>
      </c>
      <c r="OE1296" s="129">
        <f t="shared" si="620"/>
        <v>0</v>
      </c>
      <c r="OF1296" s="129">
        <f t="shared" si="620"/>
        <v>0</v>
      </c>
      <c r="OG1296" s="129">
        <f t="shared" si="620"/>
        <v>0</v>
      </c>
      <c r="OH1296" s="129">
        <f t="shared" si="620"/>
        <v>0</v>
      </c>
      <c r="OI1296" s="185" t="s">
        <v>699</v>
      </c>
      <c r="OJ1296" s="185" t="s">
        <v>699</v>
      </c>
      <c r="OK1296" s="185" t="s">
        <v>699</v>
      </c>
      <c r="OL1296" s="185" t="s">
        <v>699</v>
      </c>
      <c r="OM1296" s="185" t="s">
        <v>699</v>
      </c>
      <c r="ON1296" s="185" t="s">
        <v>699</v>
      </c>
      <c r="OO1296" s="129">
        <f t="shared" ref="OO1296:PC1296" si="621">SUM(OO1297:OO1308)</f>
        <v>0</v>
      </c>
      <c r="OP1296" s="129">
        <f t="shared" si="621"/>
        <v>0</v>
      </c>
      <c r="OQ1296" s="129">
        <f t="shared" si="621"/>
        <v>0</v>
      </c>
      <c r="OR1296" s="129">
        <f t="shared" si="621"/>
        <v>0</v>
      </c>
      <c r="OS1296" s="129">
        <f t="shared" si="621"/>
        <v>0</v>
      </c>
      <c r="OT1296" s="129">
        <f t="shared" si="621"/>
        <v>0</v>
      </c>
      <c r="OU1296" s="129">
        <f t="shared" si="621"/>
        <v>0</v>
      </c>
      <c r="OV1296" s="129">
        <f t="shared" si="621"/>
        <v>0</v>
      </c>
      <c r="OW1296" s="129">
        <f t="shared" si="621"/>
        <v>0</v>
      </c>
      <c r="OX1296" s="129">
        <f t="shared" si="621"/>
        <v>0</v>
      </c>
      <c r="OY1296" s="129">
        <f t="shared" si="621"/>
        <v>0</v>
      </c>
      <c r="OZ1296" s="129">
        <f t="shared" si="621"/>
        <v>0</v>
      </c>
      <c r="PA1296" s="129">
        <f t="shared" si="621"/>
        <v>0</v>
      </c>
      <c r="PB1296" s="129">
        <f t="shared" si="621"/>
        <v>0</v>
      </c>
      <c r="PC1296" s="129">
        <f t="shared" si="621"/>
        <v>0</v>
      </c>
      <c r="PD1296" s="185" t="s">
        <v>699</v>
      </c>
      <c r="PE1296" s="185" t="s">
        <v>699</v>
      </c>
      <c r="PF1296" s="185" t="s">
        <v>699</v>
      </c>
      <c r="PG1296" s="185" t="s">
        <v>699</v>
      </c>
      <c r="PH1296" s="185" t="s">
        <v>699</v>
      </c>
      <c r="PI1296" s="185" t="s">
        <v>699</v>
      </c>
      <c r="PJ1296" s="129">
        <f t="shared" ref="PJ1296:PX1296" si="622">SUM(PJ1297:PJ1308)</f>
        <v>0</v>
      </c>
      <c r="PK1296" s="129">
        <f t="shared" si="622"/>
        <v>0</v>
      </c>
      <c r="PL1296" s="129">
        <f t="shared" si="622"/>
        <v>0</v>
      </c>
      <c r="PM1296" s="129">
        <f t="shared" si="622"/>
        <v>0</v>
      </c>
      <c r="PN1296" s="129">
        <f t="shared" si="622"/>
        <v>0</v>
      </c>
      <c r="PO1296" s="129">
        <f t="shared" si="622"/>
        <v>0</v>
      </c>
      <c r="PP1296" s="129">
        <f t="shared" si="622"/>
        <v>0</v>
      </c>
      <c r="PQ1296" s="129">
        <f t="shared" si="622"/>
        <v>0</v>
      </c>
      <c r="PR1296" s="129">
        <f t="shared" si="622"/>
        <v>0</v>
      </c>
      <c r="PS1296" s="129">
        <f t="shared" si="622"/>
        <v>0</v>
      </c>
      <c r="PT1296" s="129">
        <f t="shared" si="622"/>
        <v>0</v>
      </c>
      <c r="PU1296" s="129">
        <f t="shared" si="622"/>
        <v>0</v>
      </c>
      <c r="PV1296" s="129">
        <f t="shared" si="622"/>
        <v>0</v>
      </c>
      <c r="PW1296" s="129">
        <f t="shared" si="622"/>
        <v>0</v>
      </c>
      <c r="PX1296" s="129">
        <f t="shared" si="622"/>
        <v>0</v>
      </c>
      <c r="PY1296" s="185" t="s">
        <v>699</v>
      </c>
      <c r="PZ1296" s="185" t="s">
        <v>699</v>
      </c>
      <c r="QA1296" s="185" t="s">
        <v>699</v>
      </c>
      <c r="QB1296" s="185" t="s">
        <v>699</v>
      </c>
      <c r="QC1296" s="185" t="s">
        <v>699</v>
      </c>
      <c r="QD1296" s="185" t="s">
        <v>699</v>
      </c>
      <c r="QE1296" s="129">
        <f t="shared" ref="QE1296:QS1296" si="623">SUM(QE1297:QE1308)</f>
        <v>0</v>
      </c>
      <c r="QF1296" s="129">
        <f t="shared" si="623"/>
        <v>0</v>
      </c>
      <c r="QG1296" s="129">
        <f t="shared" si="623"/>
        <v>0</v>
      </c>
      <c r="QH1296" s="129">
        <f t="shared" si="623"/>
        <v>0</v>
      </c>
      <c r="QI1296" s="129">
        <f t="shared" si="623"/>
        <v>0</v>
      </c>
      <c r="QJ1296" s="129">
        <f t="shared" si="623"/>
        <v>0</v>
      </c>
      <c r="QK1296" s="129">
        <f t="shared" si="623"/>
        <v>0</v>
      </c>
      <c r="QL1296" s="129">
        <f t="shared" si="623"/>
        <v>0</v>
      </c>
      <c r="QM1296" s="129">
        <f t="shared" si="623"/>
        <v>0</v>
      </c>
      <c r="QN1296" s="129">
        <f t="shared" si="623"/>
        <v>0</v>
      </c>
      <c r="QO1296" s="129">
        <f t="shared" si="623"/>
        <v>0</v>
      </c>
      <c r="QP1296" s="129">
        <f t="shared" si="623"/>
        <v>0</v>
      </c>
      <c r="QQ1296" s="129">
        <f t="shared" si="623"/>
        <v>0</v>
      </c>
      <c r="QR1296" s="129">
        <f t="shared" si="623"/>
        <v>0</v>
      </c>
      <c r="QS1296" s="129">
        <f t="shared" si="623"/>
        <v>0</v>
      </c>
      <c r="QT1296" s="185" t="s">
        <v>699</v>
      </c>
      <c r="QU1296" s="185" t="s">
        <v>699</v>
      </c>
      <c r="QV1296" s="185" t="s">
        <v>699</v>
      </c>
      <c r="QW1296" s="185" t="s">
        <v>699</v>
      </c>
      <c r="QX1296" s="185" t="s">
        <v>699</v>
      </c>
      <c r="QY1296" s="185" t="s">
        <v>699</v>
      </c>
      <c r="QZ1296" s="129">
        <f t="shared" ref="QZ1296:RN1296" si="624">SUM(QZ1297:QZ1308)</f>
        <v>0</v>
      </c>
      <c r="RA1296" s="129">
        <f t="shared" si="624"/>
        <v>0</v>
      </c>
      <c r="RB1296" s="129">
        <f t="shared" si="624"/>
        <v>0</v>
      </c>
      <c r="RC1296" s="129">
        <f t="shared" si="624"/>
        <v>0</v>
      </c>
      <c r="RD1296" s="129">
        <f t="shared" si="624"/>
        <v>0</v>
      </c>
      <c r="RE1296" s="129">
        <f t="shared" si="624"/>
        <v>0</v>
      </c>
      <c r="RF1296" s="129">
        <f t="shared" si="624"/>
        <v>0</v>
      </c>
      <c r="RG1296" s="129">
        <f t="shared" si="624"/>
        <v>0</v>
      </c>
      <c r="RH1296" s="129">
        <f t="shared" si="624"/>
        <v>0</v>
      </c>
      <c r="RI1296" s="129">
        <f t="shared" si="624"/>
        <v>0</v>
      </c>
      <c r="RJ1296" s="129">
        <f t="shared" si="624"/>
        <v>0</v>
      </c>
      <c r="RK1296" s="129">
        <f t="shared" si="624"/>
        <v>0</v>
      </c>
      <c r="RL1296" s="129">
        <f t="shared" si="624"/>
        <v>0</v>
      </c>
      <c r="RM1296" s="129">
        <f t="shared" si="624"/>
        <v>0</v>
      </c>
      <c r="RN1296" s="129">
        <f t="shared" si="624"/>
        <v>0</v>
      </c>
      <c r="RO1296" s="185" t="s">
        <v>699</v>
      </c>
      <c r="RP1296" s="185" t="s">
        <v>699</v>
      </c>
      <c r="RQ1296" s="185" t="s">
        <v>699</v>
      </c>
      <c r="RR1296" s="185" t="s">
        <v>699</v>
      </c>
      <c r="RS1296" s="185" t="s">
        <v>699</v>
      </c>
      <c r="RT1296" s="185" t="s">
        <v>699</v>
      </c>
      <c r="RU1296" s="129">
        <f t="shared" ref="RU1296:SI1296" si="625">SUM(RU1297:RU1308)</f>
        <v>0</v>
      </c>
      <c r="RV1296" s="129">
        <f t="shared" si="625"/>
        <v>0</v>
      </c>
      <c r="RW1296" s="129">
        <f t="shared" si="625"/>
        <v>0</v>
      </c>
      <c r="RX1296" s="129">
        <f t="shared" si="625"/>
        <v>0</v>
      </c>
      <c r="RY1296" s="129">
        <f t="shared" si="625"/>
        <v>0</v>
      </c>
      <c r="RZ1296" s="129">
        <f t="shared" si="625"/>
        <v>0</v>
      </c>
      <c r="SA1296" s="129">
        <f t="shared" si="625"/>
        <v>0</v>
      </c>
      <c r="SB1296" s="129">
        <f t="shared" si="625"/>
        <v>0</v>
      </c>
      <c r="SC1296" s="129">
        <f t="shared" si="625"/>
        <v>0</v>
      </c>
      <c r="SD1296" s="129">
        <f t="shared" si="625"/>
        <v>0</v>
      </c>
      <c r="SE1296" s="129">
        <f t="shared" si="625"/>
        <v>0</v>
      </c>
      <c r="SF1296" s="129">
        <f t="shared" si="625"/>
        <v>0</v>
      </c>
      <c r="SG1296" s="129">
        <f t="shared" si="625"/>
        <v>0</v>
      </c>
      <c r="SH1296" s="129">
        <f t="shared" si="625"/>
        <v>0</v>
      </c>
      <c r="SI1296" s="129">
        <f t="shared" si="625"/>
        <v>0</v>
      </c>
      <c r="SJ1296" s="185" t="s">
        <v>699</v>
      </c>
      <c r="SK1296" s="185" t="s">
        <v>699</v>
      </c>
      <c r="SL1296" s="185" t="s">
        <v>699</v>
      </c>
      <c r="SM1296" s="185" t="s">
        <v>699</v>
      </c>
      <c r="SN1296" s="185" t="s">
        <v>699</v>
      </c>
      <c r="SO1296" s="185" t="s">
        <v>699</v>
      </c>
      <c r="SP1296" s="129">
        <f t="shared" ref="SP1296:TD1296" si="626">SUM(SP1297:SP1308)</f>
        <v>0</v>
      </c>
      <c r="SQ1296" s="129">
        <f t="shared" si="626"/>
        <v>0</v>
      </c>
      <c r="SR1296" s="129">
        <f t="shared" si="626"/>
        <v>0</v>
      </c>
      <c r="SS1296" s="129">
        <f t="shared" si="626"/>
        <v>0</v>
      </c>
      <c r="ST1296" s="129">
        <f t="shared" si="626"/>
        <v>0</v>
      </c>
      <c r="SU1296" s="129">
        <f t="shared" si="626"/>
        <v>0</v>
      </c>
      <c r="SV1296" s="129">
        <f t="shared" si="626"/>
        <v>0</v>
      </c>
      <c r="SW1296" s="129">
        <f t="shared" si="626"/>
        <v>0</v>
      </c>
      <c r="SX1296" s="129">
        <f t="shared" si="626"/>
        <v>0</v>
      </c>
      <c r="SY1296" s="129">
        <f t="shared" si="626"/>
        <v>0</v>
      </c>
      <c r="SZ1296" s="129">
        <f t="shared" si="626"/>
        <v>0</v>
      </c>
      <c r="TA1296" s="129">
        <f t="shared" si="626"/>
        <v>0</v>
      </c>
      <c r="TB1296" s="129">
        <f t="shared" si="626"/>
        <v>0</v>
      </c>
      <c r="TC1296" s="129">
        <f t="shared" si="626"/>
        <v>0</v>
      </c>
      <c r="TD1296" s="129">
        <f t="shared" si="626"/>
        <v>0</v>
      </c>
      <c r="TE1296" s="185" t="s">
        <v>699</v>
      </c>
      <c r="TF1296" s="185" t="s">
        <v>699</v>
      </c>
      <c r="TG1296" s="185" t="s">
        <v>699</v>
      </c>
      <c r="TH1296" s="185" t="s">
        <v>699</v>
      </c>
      <c r="TI1296" s="185" t="s">
        <v>699</v>
      </c>
      <c r="TJ1296" s="185" t="s">
        <v>699</v>
      </c>
      <c r="TK1296" s="129">
        <f t="shared" ref="TK1296:TY1296" si="627">SUM(TK1297:TK1308)</f>
        <v>0</v>
      </c>
      <c r="TL1296" s="129">
        <f t="shared" si="627"/>
        <v>0</v>
      </c>
      <c r="TM1296" s="129">
        <f t="shared" si="627"/>
        <v>0</v>
      </c>
      <c r="TN1296" s="129">
        <f t="shared" si="627"/>
        <v>0</v>
      </c>
      <c r="TO1296" s="129">
        <f t="shared" si="627"/>
        <v>0</v>
      </c>
      <c r="TP1296" s="129">
        <f t="shared" si="627"/>
        <v>0</v>
      </c>
      <c r="TQ1296" s="129">
        <f t="shared" si="627"/>
        <v>0</v>
      </c>
      <c r="TR1296" s="129">
        <f t="shared" si="627"/>
        <v>0</v>
      </c>
      <c r="TS1296" s="129">
        <f t="shared" si="627"/>
        <v>0</v>
      </c>
      <c r="TT1296" s="129">
        <f t="shared" si="627"/>
        <v>0</v>
      </c>
      <c r="TU1296" s="129">
        <f t="shared" si="627"/>
        <v>0</v>
      </c>
      <c r="TV1296" s="129">
        <f t="shared" si="627"/>
        <v>0</v>
      </c>
      <c r="TW1296" s="129">
        <f t="shared" si="627"/>
        <v>0</v>
      </c>
      <c r="TX1296" s="129">
        <f t="shared" si="627"/>
        <v>0</v>
      </c>
      <c r="TY1296" s="129">
        <f t="shared" si="627"/>
        <v>0</v>
      </c>
      <c r="TZ1296" s="185" t="s">
        <v>699</v>
      </c>
      <c r="UA1296" s="185" t="s">
        <v>699</v>
      </c>
      <c r="UB1296" s="185" t="s">
        <v>699</v>
      </c>
      <c r="UC1296" s="185" t="s">
        <v>699</v>
      </c>
      <c r="UD1296" s="185" t="s">
        <v>699</v>
      </c>
      <c r="UE1296" s="185" t="s">
        <v>699</v>
      </c>
      <c r="UF1296" s="129">
        <f t="shared" ref="UF1296:UT1296" si="628">SUM(UF1297:UF1308)</f>
        <v>0</v>
      </c>
      <c r="UG1296" s="129">
        <f t="shared" si="628"/>
        <v>0</v>
      </c>
      <c r="UH1296" s="129">
        <f t="shared" si="628"/>
        <v>0</v>
      </c>
      <c r="UI1296" s="129">
        <f t="shared" si="628"/>
        <v>0</v>
      </c>
      <c r="UJ1296" s="129">
        <f t="shared" si="628"/>
        <v>0</v>
      </c>
      <c r="UK1296" s="129">
        <f t="shared" si="628"/>
        <v>0</v>
      </c>
      <c r="UL1296" s="129">
        <f t="shared" si="628"/>
        <v>55</v>
      </c>
      <c r="UM1296" s="129">
        <f t="shared" si="628"/>
        <v>55</v>
      </c>
      <c r="UN1296" s="129">
        <f t="shared" si="628"/>
        <v>55</v>
      </c>
      <c r="UO1296" s="129">
        <f t="shared" si="628"/>
        <v>0</v>
      </c>
      <c r="UP1296" s="129">
        <f t="shared" si="628"/>
        <v>0</v>
      </c>
      <c r="UQ1296" s="129">
        <f t="shared" si="628"/>
        <v>0</v>
      </c>
      <c r="UR1296" s="129">
        <f t="shared" si="628"/>
        <v>453321.11</v>
      </c>
      <c r="US1296" s="129">
        <f t="shared" si="628"/>
        <v>453321.11</v>
      </c>
      <c r="UT1296" s="129">
        <f t="shared" si="628"/>
        <v>453321.11</v>
      </c>
      <c r="UU1296" s="185" t="s">
        <v>699</v>
      </c>
      <c r="UV1296" s="185" t="s">
        <v>699</v>
      </c>
      <c r="UW1296" s="185" t="s">
        <v>699</v>
      </c>
      <c r="UX1296" s="185" t="s">
        <v>699</v>
      </c>
      <c r="UY1296" s="185" t="s">
        <v>699</v>
      </c>
      <c r="UZ1296" s="185" t="s">
        <v>699</v>
      </c>
      <c r="VA1296" s="129">
        <f t="shared" ref="VA1296:VO1296" si="629">SUM(VA1297:VA1308)</f>
        <v>0</v>
      </c>
      <c r="VB1296" s="129">
        <f t="shared" si="629"/>
        <v>0</v>
      </c>
      <c r="VC1296" s="129">
        <f t="shared" si="629"/>
        <v>0</v>
      </c>
      <c r="VD1296" s="129">
        <f t="shared" si="629"/>
        <v>77039.31</v>
      </c>
      <c r="VE1296" s="129">
        <f t="shared" si="629"/>
        <v>78613.66</v>
      </c>
      <c r="VF1296" s="129">
        <f t="shared" si="629"/>
        <v>81614.509999999995</v>
      </c>
      <c r="VG1296" s="129">
        <f t="shared" si="629"/>
        <v>0</v>
      </c>
      <c r="VH1296" s="129">
        <f t="shared" si="629"/>
        <v>0</v>
      </c>
      <c r="VI1296" s="129">
        <f t="shared" si="629"/>
        <v>0</v>
      </c>
      <c r="VJ1296" s="129">
        <f t="shared" si="629"/>
        <v>0</v>
      </c>
      <c r="VK1296" s="129">
        <f t="shared" si="629"/>
        <v>0</v>
      </c>
      <c r="VL1296" s="129">
        <f t="shared" si="629"/>
        <v>0</v>
      </c>
      <c r="VM1296" s="129">
        <f t="shared" si="629"/>
        <v>0</v>
      </c>
      <c r="VN1296" s="129">
        <f t="shared" si="629"/>
        <v>0</v>
      </c>
      <c r="VO1296" s="129">
        <f t="shared" si="629"/>
        <v>0</v>
      </c>
      <c r="VP1296" s="185" t="s">
        <v>699</v>
      </c>
      <c r="VQ1296" s="185" t="s">
        <v>699</v>
      </c>
      <c r="VR1296" s="185" t="s">
        <v>699</v>
      </c>
      <c r="VS1296" s="185" t="s">
        <v>699</v>
      </c>
      <c r="VT1296" s="185" t="s">
        <v>699</v>
      </c>
      <c r="VU1296" s="185" t="s">
        <v>699</v>
      </c>
      <c r="VV1296" s="129">
        <f t="shared" ref="VV1296:WJ1296" si="630">SUM(VV1297:VV1308)</f>
        <v>0</v>
      </c>
      <c r="VW1296" s="129">
        <f t="shared" si="630"/>
        <v>0</v>
      </c>
      <c r="VX1296" s="129">
        <f t="shared" si="630"/>
        <v>0</v>
      </c>
      <c r="VY1296" s="129">
        <f t="shared" si="630"/>
        <v>0</v>
      </c>
      <c r="VZ1296" s="129">
        <f t="shared" si="630"/>
        <v>0</v>
      </c>
      <c r="WA1296" s="129">
        <f t="shared" si="630"/>
        <v>0</v>
      </c>
      <c r="WB1296" s="129">
        <f t="shared" si="630"/>
        <v>0</v>
      </c>
      <c r="WC1296" s="129">
        <f t="shared" si="630"/>
        <v>0</v>
      </c>
      <c r="WD1296" s="129">
        <f t="shared" si="630"/>
        <v>0</v>
      </c>
      <c r="WE1296" s="129">
        <f t="shared" si="630"/>
        <v>0</v>
      </c>
      <c r="WF1296" s="129">
        <f t="shared" si="630"/>
        <v>0</v>
      </c>
      <c r="WG1296" s="129">
        <f t="shared" si="630"/>
        <v>0</v>
      </c>
      <c r="WH1296" s="129">
        <f t="shared" si="630"/>
        <v>0</v>
      </c>
      <c r="WI1296" s="129">
        <f t="shared" si="630"/>
        <v>0</v>
      </c>
      <c r="WJ1296" s="129">
        <f t="shared" si="630"/>
        <v>0</v>
      </c>
      <c r="WK1296" s="185" t="s">
        <v>699</v>
      </c>
      <c r="WL1296" s="185" t="s">
        <v>699</v>
      </c>
      <c r="WM1296" s="185" t="s">
        <v>699</v>
      </c>
      <c r="WN1296" s="185" t="s">
        <v>699</v>
      </c>
      <c r="WO1296" s="185" t="s">
        <v>699</v>
      </c>
      <c r="WP1296" s="185" t="s">
        <v>699</v>
      </c>
      <c r="WQ1296" s="129">
        <f t="shared" ref="WQ1296:XE1296" si="631">SUM(WQ1297:WQ1308)</f>
        <v>0</v>
      </c>
      <c r="WR1296" s="129">
        <f t="shared" si="631"/>
        <v>0</v>
      </c>
      <c r="WS1296" s="129">
        <f t="shared" si="631"/>
        <v>0</v>
      </c>
      <c r="WT1296" s="129">
        <f t="shared" si="631"/>
        <v>0</v>
      </c>
      <c r="WU1296" s="129">
        <f t="shared" si="631"/>
        <v>0</v>
      </c>
      <c r="WV1296" s="129">
        <f t="shared" si="631"/>
        <v>0</v>
      </c>
      <c r="WW1296" s="129">
        <f t="shared" si="631"/>
        <v>0</v>
      </c>
      <c r="WX1296" s="129">
        <f t="shared" si="631"/>
        <v>0</v>
      </c>
      <c r="WY1296" s="129">
        <f t="shared" si="631"/>
        <v>0</v>
      </c>
      <c r="WZ1296" s="129">
        <f t="shared" si="631"/>
        <v>0</v>
      </c>
      <c r="XA1296" s="129">
        <f t="shared" si="631"/>
        <v>0</v>
      </c>
      <c r="XB1296" s="129">
        <f t="shared" si="631"/>
        <v>0</v>
      </c>
      <c r="XC1296" s="129">
        <f t="shared" si="631"/>
        <v>0</v>
      </c>
      <c r="XD1296" s="129">
        <f t="shared" si="631"/>
        <v>0</v>
      </c>
      <c r="XE1296" s="129">
        <f t="shared" si="631"/>
        <v>0</v>
      </c>
      <c r="XF1296" s="185" t="s">
        <v>699</v>
      </c>
      <c r="XG1296" s="185" t="s">
        <v>699</v>
      </c>
      <c r="XH1296" s="185" t="s">
        <v>699</v>
      </c>
      <c r="XI1296" s="185" t="s">
        <v>699</v>
      </c>
      <c r="XJ1296" s="185" t="s">
        <v>699</v>
      </c>
      <c r="XK1296" s="185" t="s">
        <v>699</v>
      </c>
      <c r="XL1296" s="129">
        <f t="shared" ref="XL1296:XZ1296" si="632">SUM(XL1297:XL1308)</f>
        <v>0</v>
      </c>
      <c r="XM1296" s="129">
        <f t="shared" si="632"/>
        <v>0</v>
      </c>
      <c r="XN1296" s="129">
        <f t="shared" si="632"/>
        <v>0</v>
      </c>
      <c r="XO1296" s="129">
        <f t="shared" si="632"/>
        <v>0</v>
      </c>
      <c r="XP1296" s="129">
        <f t="shared" si="632"/>
        <v>0</v>
      </c>
      <c r="XQ1296" s="129">
        <f t="shared" si="632"/>
        <v>0</v>
      </c>
      <c r="XR1296" s="129">
        <f t="shared" si="632"/>
        <v>0</v>
      </c>
      <c r="XS1296" s="129">
        <f t="shared" si="632"/>
        <v>0</v>
      </c>
      <c r="XT1296" s="129">
        <f t="shared" si="632"/>
        <v>0</v>
      </c>
      <c r="XU1296" s="129">
        <f t="shared" si="632"/>
        <v>0</v>
      </c>
      <c r="XV1296" s="129">
        <f t="shared" si="632"/>
        <v>0</v>
      </c>
      <c r="XW1296" s="129">
        <f t="shared" si="632"/>
        <v>0</v>
      </c>
      <c r="XX1296" s="129">
        <f t="shared" si="632"/>
        <v>0</v>
      </c>
      <c r="XY1296" s="129">
        <f t="shared" si="632"/>
        <v>0</v>
      </c>
      <c r="XZ1296" s="129">
        <f t="shared" si="632"/>
        <v>0</v>
      </c>
      <c r="YA1296" s="185" t="s">
        <v>699</v>
      </c>
      <c r="YB1296" s="185" t="s">
        <v>699</v>
      </c>
      <c r="YC1296" s="185" t="s">
        <v>699</v>
      </c>
      <c r="YD1296" s="185" t="s">
        <v>699</v>
      </c>
      <c r="YE1296" s="185" t="s">
        <v>699</v>
      </c>
      <c r="YF1296" s="185" t="s">
        <v>699</v>
      </c>
      <c r="YG1296" s="129">
        <f t="shared" ref="YG1296:YL1296" si="633">SUM(YG1297:YG1308)</f>
        <v>0</v>
      </c>
      <c r="YH1296" s="129">
        <f t="shared" si="633"/>
        <v>0</v>
      </c>
      <c r="YI1296" s="129">
        <f t="shared" si="633"/>
        <v>0</v>
      </c>
      <c r="YJ1296" s="129">
        <f t="shared" si="633"/>
        <v>0</v>
      </c>
      <c r="YK1296" s="129">
        <f t="shared" si="633"/>
        <v>0</v>
      </c>
      <c r="YL1296" s="129">
        <f t="shared" si="633"/>
        <v>0</v>
      </c>
      <c r="YM1296" s="129">
        <f>SUM(YM1297:YM1308)</f>
        <v>55</v>
      </c>
      <c r="YN1296" s="129">
        <f t="shared" ref="YN1296:YU1296" si="634">SUM(YN1297:YN1308)</f>
        <v>55</v>
      </c>
      <c r="YO1296" s="129">
        <f t="shared" si="634"/>
        <v>55</v>
      </c>
      <c r="YP1296" s="129">
        <f t="shared" si="634"/>
        <v>0</v>
      </c>
      <c r="YQ1296" s="129">
        <f t="shared" si="634"/>
        <v>0</v>
      </c>
      <c r="YR1296" s="129">
        <f t="shared" si="634"/>
        <v>0</v>
      </c>
      <c r="YS1296" s="129">
        <f t="shared" si="634"/>
        <v>453321.11</v>
      </c>
      <c r="YT1296" s="129">
        <f t="shared" si="634"/>
        <v>453321.11</v>
      </c>
      <c r="YU1296" s="129">
        <f t="shared" si="634"/>
        <v>453321.11</v>
      </c>
      <c r="YV1296" s="185" t="s">
        <v>699</v>
      </c>
      <c r="YW1296" s="185" t="s">
        <v>699</v>
      </c>
      <c r="YX1296" s="185" t="s">
        <v>699</v>
      </c>
      <c r="YY1296" s="185" t="s">
        <v>699</v>
      </c>
      <c r="YZ1296" s="185" t="s">
        <v>699</v>
      </c>
      <c r="ZA1296" s="185" t="s">
        <v>699</v>
      </c>
      <c r="ZB1296" s="129">
        <f t="shared" ref="ZB1296:ZG1296" si="635">SUM(ZB1297:ZB1308)</f>
        <v>0</v>
      </c>
      <c r="ZC1296" s="129">
        <f t="shared" si="635"/>
        <v>0</v>
      </c>
      <c r="ZD1296" s="129">
        <f t="shared" si="635"/>
        <v>0</v>
      </c>
      <c r="ZE1296" s="129">
        <f t="shared" si="635"/>
        <v>77039.31</v>
      </c>
      <c r="ZF1296" s="129">
        <f t="shared" si="635"/>
        <v>78613.66</v>
      </c>
      <c r="ZG1296" s="129">
        <f t="shared" si="635"/>
        <v>81614.509999999995</v>
      </c>
    </row>
    <row r="1297" spans="1:683" ht="24" hidden="1" x14ac:dyDescent="0.25">
      <c r="A1297" s="12" t="s">
        <v>702</v>
      </c>
      <c r="B1297" s="174" t="s">
        <v>432</v>
      </c>
      <c r="C1297" s="5"/>
      <c r="D1297" s="340"/>
      <c r="E1297" s="163"/>
      <c r="F1297" s="110"/>
      <c r="G1297" s="110"/>
      <c r="H1297" s="110"/>
      <c r="I1297" s="97">
        <f t="shared" ref="I1297:I1308" si="636">F31+F346</f>
        <v>24133.919999999998</v>
      </c>
      <c r="J1297" s="97">
        <f t="shared" ref="J1297:K1297" si="637">G31+G346</f>
        <v>24133.919999999998</v>
      </c>
      <c r="K1297" s="97">
        <f t="shared" si="637"/>
        <v>24133.919999999998</v>
      </c>
      <c r="L1297" s="102"/>
      <c r="M1297" s="102"/>
      <c r="N1297" s="102"/>
      <c r="O1297" s="123"/>
      <c r="P1297" s="123"/>
      <c r="Q1297" s="123"/>
      <c r="R1297" s="97">
        <f>$I1297*L1297</f>
        <v>0</v>
      </c>
      <c r="S1297" s="97">
        <f>$J1297*M1297</f>
        <v>0</v>
      </c>
      <c r="T1297" s="97">
        <f>$K1297*N1297</f>
        <v>0</v>
      </c>
      <c r="U1297" s="123"/>
      <c r="V1297" s="123"/>
      <c r="W1297" s="123"/>
      <c r="X1297" s="97">
        <f t="shared" ref="X1297:X1308" si="638">$I1297*X$1311</f>
        <v>0</v>
      </c>
      <c r="Y1297" s="97">
        <f t="shared" ref="Y1297:Y1308" si="639">$J1297*Y$1311</f>
        <v>0</v>
      </c>
      <c r="Z1297" s="97">
        <f t="shared" ref="Z1297:Z1308" si="640">$K1297*Z$1311</f>
        <v>0</v>
      </c>
      <c r="AA1297" s="123"/>
      <c r="AB1297" s="123"/>
      <c r="AC1297" s="123"/>
      <c r="AD1297" s="97">
        <f t="shared" ref="AD1297:AF1308" si="641">L1297*X1297</f>
        <v>0</v>
      </c>
      <c r="AE1297" s="97">
        <f t="shared" si="641"/>
        <v>0</v>
      </c>
      <c r="AF1297" s="97">
        <f t="shared" si="641"/>
        <v>0</v>
      </c>
      <c r="AG1297" s="102"/>
      <c r="AH1297" s="102"/>
      <c r="AI1297" s="102"/>
      <c r="AJ1297" s="123"/>
      <c r="AK1297" s="123"/>
      <c r="AL1297" s="123"/>
      <c r="AM1297" s="97">
        <f t="shared" ref="AM1297:AM1308" si="642">$I1297*AG1297</f>
        <v>0</v>
      </c>
      <c r="AN1297" s="97">
        <f t="shared" ref="AN1297:AN1308" si="643">$J1297*AH1297</f>
        <v>0</v>
      </c>
      <c r="AO1297" s="97">
        <f t="shared" ref="AO1297:AO1308" si="644">$K1297*AI1297</f>
        <v>0</v>
      </c>
      <c r="AP1297" s="123"/>
      <c r="AQ1297" s="123"/>
      <c r="AR1297" s="123"/>
      <c r="AS1297" s="97">
        <f t="shared" ref="AS1297:AS1308" si="645">$I1297*AS$1311</f>
        <v>0</v>
      </c>
      <c r="AT1297" s="97">
        <f t="shared" ref="AT1297:AT1308" si="646">$J1297*AT$1311</f>
        <v>0</v>
      </c>
      <c r="AU1297" s="97">
        <f t="shared" ref="AU1297:AU1308" si="647">$K1297*AU$1311</f>
        <v>0</v>
      </c>
      <c r="AV1297" s="123"/>
      <c r="AW1297" s="123"/>
      <c r="AX1297" s="123"/>
      <c r="AY1297" s="97">
        <f t="shared" ref="AY1297:BA1308" si="648">AG1297*AS1297</f>
        <v>0</v>
      </c>
      <c r="AZ1297" s="97">
        <f t="shared" si="648"/>
        <v>0</v>
      </c>
      <c r="BA1297" s="97">
        <f t="shared" si="648"/>
        <v>0</v>
      </c>
      <c r="BB1297" s="102"/>
      <c r="BC1297" s="102"/>
      <c r="BD1297" s="102"/>
      <c r="BE1297" s="123"/>
      <c r="BF1297" s="123"/>
      <c r="BG1297" s="123"/>
      <c r="BH1297" s="97">
        <f t="shared" ref="BH1297:BH1308" si="649">$I1297*BB1297</f>
        <v>0</v>
      </c>
      <c r="BI1297" s="97">
        <f t="shared" ref="BI1297:BI1308" si="650">$J1297*BC1297</f>
        <v>0</v>
      </c>
      <c r="BJ1297" s="97">
        <f t="shared" ref="BJ1297:BJ1308" si="651">$K1297*BD1297</f>
        <v>0</v>
      </c>
      <c r="BK1297" s="123"/>
      <c r="BL1297" s="123"/>
      <c r="BM1297" s="123"/>
      <c r="BN1297" s="97">
        <f t="shared" ref="BN1297:BN1308" si="652">$I1297*BN$1311</f>
        <v>0</v>
      </c>
      <c r="BO1297" s="97">
        <f t="shared" ref="BO1297:BO1308" si="653">$J1297*BO$1311</f>
        <v>0</v>
      </c>
      <c r="BP1297" s="97">
        <f t="shared" ref="BP1297:BP1308" si="654">$K1297*BP$1311</f>
        <v>0</v>
      </c>
      <c r="BQ1297" s="123"/>
      <c r="BR1297" s="123"/>
      <c r="BS1297" s="123"/>
      <c r="BT1297" s="97">
        <f t="shared" ref="BT1297:BV1308" si="655">BB1297*BN1297</f>
        <v>0</v>
      </c>
      <c r="BU1297" s="97">
        <f t="shared" si="655"/>
        <v>0</v>
      </c>
      <c r="BV1297" s="97">
        <f t="shared" si="655"/>
        <v>0</v>
      </c>
      <c r="BW1297" s="102"/>
      <c r="BX1297" s="102"/>
      <c r="BY1297" s="102"/>
      <c r="BZ1297" s="123"/>
      <c r="CA1297" s="123"/>
      <c r="CB1297" s="123"/>
      <c r="CC1297" s="97">
        <f t="shared" ref="CC1297:CC1308" si="656">$I1297*BW1297</f>
        <v>0</v>
      </c>
      <c r="CD1297" s="97">
        <f t="shared" ref="CD1297:CD1308" si="657">$J1297*BX1297</f>
        <v>0</v>
      </c>
      <c r="CE1297" s="97">
        <f t="shared" ref="CE1297:CE1308" si="658">$K1297*BY1297</f>
        <v>0</v>
      </c>
      <c r="CF1297" s="123"/>
      <c r="CG1297" s="123"/>
      <c r="CH1297" s="123"/>
      <c r="CI1297" s="97">
        <f t="shared" ref="CI1297:CI1308" si="659">$I1297*CI$1311</f>
        <v>0</v>
      </c>
      <c r="CJ1297" s="97">
        <f t="shared" ref="CJ1297:CJ1308" si="660">$J1297*CJ$1311</f>
        <v>0</v>
      </c>
      <c r="CK1297" s="97">
        <f t="shared" ref="CK1297:CK1308" si="661">$K1297*CK$1311</f>
        <v>0</v>
      </c>
      <c r="CL1297" s="123"/>
      <c r="CM1297" s="123"/>
      <c r="CN1297" s="123"/>
      <c r="CO1297" s="97">
        <f t="shared" ref="CO1297:CQ1308" si="662">BW1297*CI1297</f>
        <v>0</v>
      </c>
      <c r="CP1297" s="97">
        <f t="shared" si="662"/>
        <v>0</v>
      </c>
      <c r="CQ1297" s="97">
        <f t="shared" si="662"/>
        <v>0</v>
      </c>
      <c r="CR1297" s="102"/>
      <c r="CS1297" s="102"/>
      <c r="CT1297" s="102"/>
      <c r="CU1297" s="123"/>
      <c r="CV1297" s="123"/>
      <c r="CW1297" s="123"/>
      <c r="CX1297" s="97">
        <f t="shared" ref="CX1297:CX1308" si="663">$I1297*CR1297</f>
        <v>0</v>
      </c>
      <c r="CY1297" s="97">
        <f t="shared" ref="CY1297:CY1308" si="664">$J1297*CS1297</f>
        <v>0</v>
      </c>
      <c r="CZ1297" s="97">
        <f t="shared" ref="CZ1297:CZ1308" si="665">$K1297*CT1297</f>
        <v>0</v>
      </c>
      <c r="DA1297" s="123"/>
      <c r="DB1297" s="123"/>
      <c r="DC1297" s="123"/>
      <c r="DD1297" s="97">
        <f t="shared" ref="DD1297:DD1308" si="666">$I1297*DD$1311</f>
        <v>0</v>
      </c>
      <c r="DE1297" s="97">
        <f t="shared" ref="DE1297:DE1308" si="667">$J1297*DE$1311</f>
        <v>0</v>
      </c>
      <c r="DF1297" s="97">
        <f t="shared" ref="DF1297:DF1308" si="668">$K1297*DF$1311</f>
        <v>0</v>
      </c>
      <c r="DG1297" s="123"/>
      <c r="DH1297" s="123"/>
      <c r="DI1297" s="123"/>
      <c r="DJ1297" s="97">
        <f t="shared" ref="DJ1297:DL1308" si="669">CR1297*DD1297</f>
        <v>0</v>
      </c>
      <c r="DK1297" s="97">
        <f t="shared" si="669"/>
        <v>0</v>
      </c>
      <c r="DL1297" s="97">
        <f t="shared" si="669"/>
        <v>0</v>
      </c>
      <c r="DM1297" s="102"/>
      <c r="DN1297" s="102"/>
      <c r="DO1297" s="102"/>
      <c r="DP1297" s="123"/>
      <c r="DQ1297" s="123"/>
      <c r="DR1297" s="123"/>
      <c r="DS1297" s="97">
        <f t="shared" ref="DS1297:DS1308" si="670">$I1297*DM1297</f>
        <v>0</v>
      </c>
      <c r="DT1297" s="97">
        <f t="shared" ref="DT1297:DT1308" si="671">$J1297*DN1297</f>
        <v>0</v>
      </c>
      <c r="DU1297" s="97">
        <f t="shared" ref="DU1297:DU1308" si="672">$K1297*DO1297</f>
        <v>0</v>
      </c>
      <c r="DV1297" s="123"/>
      <c r="DW1297" s="123"/>
      <c r="DX1297" s="123"/>
      <c r="DY1297" s="97">
        <f t="shared" ref="DY1297:DY1308" si="673">$I1297*DY$1311</f>
        <v>0</v>
      </c>
      <c r="DZ1297" s="97">
        <f t="shared" ref="DZ1297:DZ1308" si="674">$J1297*DZ$1311</f>
        <v>0</v>
      </c>
      <c r="EA1297" s="97">
        <f t="shared" ref="EA1297:EA1308" si="675">$K1297*EA$1311</f>
        <v>0</v>
      </c>
      <c r="EB1297" s="123"/>
      <c r="EC1297" s="123"/>
      <c r="ED1297" s="123"/>
      <c r="EE1297" s="97">
        <f t="shared" ref="EE1297:EG1308" si="676">DM1297*DY1297</f>
        <v>0</v>
      </c>
      <c r="EF1297" s="97">
        <f t="shared" si="676"/>
        <v>0</v>
      </c>
      <c r="EG1297" s="97">
        <f t="shared" si="676"/>
        <v>0</v>
      </c>
      <c r="EH1297" s="102"/>
      <c r="EI1297" s="102"/>
      <c r="EJ1297" s="102"/>
      <c r="EK1297" s="123"/>
      <c r="EL1297" s="123"/>
      <c r="EM1297" s="123"/>
      <c r="EN1297" s="97">
        <f t="shared" ref="EN1297:EN1308" si="677">$I1297*EH1297</f>
        <v>0</v>
      </c>
      <c r="EO1297" s="97">
        <f t="shared" ref="EO1297:EO1308" si="678">$J1297*EI1297</f>
        <v>0</v>
      </c>
      <c r="EP1297" s="97">
        <f t="shared" ref="EP1297:EP1308" si="679">$K1297*EJ1297</f>
        <v>0</v>
      </c>
      <c r="EQ1297" s="123"/>
      <c r="ER1297" s="123"/>
      <c r="ES1297" s="123"/>
      <c r="ET1297" s="97">
        <f t="shared" ref="ET1297:ET1308" si="680">$I1297*ET$1311</f>
        <v>0</v>
      </c>
      <c r="EU1297" s="97">
        <f t="shared" ref="EU1297:EU1308" si="681">$J1297*EU$1311</f>
        <v>0</v>
      </c>
      <c r="EV1297" s="97">
        <f t="shared" ref="EV1297:EV1308" si="682">$K1297*EV$1311</f>
        <v>0</v>
      </c>
      <c r="EW1297" s="123"/>
      <c r="EX1297" s="123"/>
      <c r="EY1297" s="123"/>
      <c r="EZ1297" s="97">
        <f t="shared" ref="EZ1297:FB1308" si="683">EH1297*ET1297</f>
        <v>0</v>
      </c>
      <c r="FA1297" s="97">
        <f t="shared" si="683"/>
        <v>0</v>
      </c>
      <c r="FB1297" s="97">
        <f t="shared" si="683"/>
        <v>0</v>
      </c>
      <c r="FC1297" s="102"/>
      <c r="FD1297" s="102"/>
      <c r="FE1297" s="102"/>
      <c r="FF1297" s="123"/>
      <c r="FG1297" s="123"/>
      <c r="FH1297" s="123"/>
      <c r="FI1297" s="97">
        <f t="shared" ref="FI1297:FI1308" si="684">$I1297*FC1297</f>
        <v>0</v>
      </c>
      <c r="FJ1297" s="97">
        <f t="shared" ref="FJ1297:FJ1308" si="685">$J1297*FD1297</f>
        <v>0</v>
      </c>
      <c r="FK1297" s="97">
        <f t="shared" ref="FK1297:FK1308" si="686">$K1297*FE1297</f>
        <v>0</v>
      </c>
      <c r="FL1297" s="123"/>
      <c r="FM1297" s="123"/>
      <c r="FN1297" s="123"/>
      <c r="FO1297" s="97">
        <f t="shared" ref="FO1297:FO1308" si="687">$I1297*FO$1311</f>
        <v>0</v>
      </c>
      <c r="FP1297" s="97">
        <f t="shared" ref="FP1297:FP1308" si="688">$J1297*FP$1311</f>
        <v>0</v>
      </c>
      <c r="FQ1297" s="97">
        <f t="shared" ref="FQ1297:FQ1308" si="689">$K1297*FQ$1311</f>
        <v>0</v>
      </c>
      <c r="FR1297" s="123"/>
      <c r="FS1297" s="123"/>
      <c r="FT1297" s="123"/>
      <c r="FU1297" s="97">
        <f t="shared" ref="FU1297:FW1308" si="690">FC1297*FO1297</f>
        <v>0</v>
      </c>
      <c r="FV1297" s="97">
        <f t="shared" si="690"/>
        <v>0</v>
      </c>
      <c r="FW1297" s="97">
        <f t="shared" si="690"/>
        <v>0</v>
      </c>
      <c r="FX1297" s="102"/>
      <c r="FY1297" s="102"/>
      <c r="FZ1297" s="102"/>
      <c r="GA1297" s="123"/>
      <c r="GB1297" s="123"/>
      <c r="GC1297" s="123"/>
      <c r="GD1297" s="97">
        <f t="shared" ref="GD1297:GD1308" si="691">$I1297*FX1297</f>
        <v>0</v>
      </c>
      <c r="GE1297" s="97">
        <f t="shared" ref="GE1297:GE1308" si="692">$J1297*FY1297</f>
        <v>0</v>
      </c>
      <c r="GF1297" s="97">
        <f t="shared" ref="GF1297:GF1308" si="693">$K1297*FZ1297</f>
        <v>0</v>
      </c>
      <c r="GG1297" s="123"/>
      <c r="GH1297" s="123"/>
      <c r="GI1297" s="123"/>
      <c r="GJ1297" s="97">
        <f t="shared" ref="GJ1297:GJ1308" si="694">$I1297*GJ$1311</f>
        <v>0</v>
      </c>
      <c r="GK1297" s="97">
        <f t="shared" ref="GK1297:GK1308" si="695">$J1297*GK$1311</f>
        <v>0</v>
      </c>
      <c r="GL1297" s="97">
        <f t="shared" ref="GL1297:GL1308" si="696">$K1297*GL$1311</f>
        <v>0</v>
      </c>
      <c r="GM1297" s="123"/>
      <c r="GN1297" s="123"/>
      <c r="GO1297" s="123"/>
      <c r="GP1297" s="97">
        <f t="shared" ref="GP1297:GR1308" si="697">FX1297*GJ1297</f>
        <v>0</v>
      </c>
      <c r="GQ1297" s="97">
        <f t="shared" si="697"/>
        <v>0</v>
      </c>
      <c r="GR1297" s="97">
        <f t="shared" si="697"/>
        <v>0</v>
      </c>
      <c r="GS1297" s="102"/>
      <c r="GT1297" s="102"/>
      <c r="GU1297" s="102"/>
      <c r="GV1297" s="123"/>
      <c r="GW1297" s="123"/>
      <c r="GX1297" s="123"/>
      <c r="GY1297" s="97">
        <f t="shared" ref="GY1297:GY1308" si="698">$I1297*GS1297</f>
        <v>0</v>
      </c>
      <c r="GZ1297" s="97">
        <f t="shared" ref="GZ1297:GZ1308" si="699">$J1297*GT1297</f>
        <v>0</v>
      </c>
      <c r="HA1297" s="97">
        <f t="shared" ref="HA1297:HA1308" si="700">$K1297*GU1297</f>
        <v>0</v>
      </c>
      <c r="HB1297" s="123"/>
      <c r="HC1297" s="123"/>
      <c r="HD1297" s="123"/>
      <c r="HE1297" s="97">
        <f t="shared" ref="HE1297:HE1308" si="701">$I1297*HE$1311</f>
        <v>0</v>
      </c>
      <c r="HF1297" s="97">
        <f t="shared" ref="HF1297:HF1308" si="702">$J1297*HF$1311</f>
        <v>0</v>
      </c>
      <c r="HG1297" s="97">
        <f t="shared" ref="HG1297:HG1308" si="703">$K1297*HG$1311</f>
        <v>0</v>
      </c>
      <c r="HH1297" s="123"/>
      <c r="HI1297" s="123"/>
      <c r="HJ1297" s="123"/>
      <c r="HK1297" s="97">
        <f t="shared" ref="HK1297:HM1308" si="704">GS1297*HE1297</f>
        <v>0</v>
      </c>
      <c r="HL1297" s="97">
        <f t="shared" si="704"/>
        <v>0</v>
      </c>
      <c r="HM1297" s="97">
        <f t="shared" si="704"/>
        <v>0</v>
      </c>
      <c r="HN1297" s="102"/>
      <c r="HO1297" s="102"/>
      <c r="HP1297" s="102"/>
      <c r="HQ1297" s="123"/>
      <c r="HR1297" s="123"/>
      <c r="HS1297" s="123"/>
      <c r="HT1297" s="97">
        <f t="shared" ref="HT1297:HT1308" si="705">$I1297*HN1297</f>
        <v>0</v>
      </c>
      <c r="HU1297" s="97">
        <f t="shared" ref="HU1297:HU1308" si="706">$J1297*HO1297</f>
        <v>0</v>
      </c>
      <c r="HV1297" s="97">
        <f t="shared" ref="HV1297:HV1308" si="707">$K1297*HP1297</f>
        <v>0</v>
      </c>
      <c r="HW1297" s="123"/>
      <c r="HX1297" s="123"/>
      <c r="HY1297" s="123"/>
      <c r="HZ1297" s="97">
        <f t="shared" ref="HZ1297:HZ1308" si="708">$I1297*HZ$1311</f>
        <v>0</v>
      </c>
      <c r="IA1297" s="97">
        <f t="shared" ref="IA1297:IA1308" si="709">$J1297*IA$1311</f>
        <v>0</v>
      </c>
      <c r="IB1297" s="97">
        <f t="shared" ref="IB1297:IB1308" si="710">$K1297*IB$1311</f>
        <v>0</v>
      </c>
      <c r="IC1297" s="123"/>
      <c r="ID1297" s="123"/>
      <c r="IE1297" s="123"/>
      <c r="IF1297" s="97">
        <f t="shared" ref="IF1297:IH1308" si="711">HN1297*HZ1297</f>
        <v>0</v>
      </c>
      <c r="IG1297" s="97">
        <f t="shared" si="711"/>
        <v>0</v>
      </c>
      <c r="IH1297" s="97">
        <f t="shared" si="711"/>
        <v>0</v>
      </c>
      <c r="II1297" s="102"/>
      <c r="IJ1297" s="102"/>
      <c r="IK1297" s="102"/>
      <c r="IL1297" s="123"/>
      <c r="IM1297" s="123"/>
      <c r="IN1297" s="123"/>
      <c r="IO1297" s="97">
        <f t="shared" ref="IO1297:IO1308" si="712">$I1297*II1297</f>
        <v>0</v>
      </c>
      <c r="IP1297" s="97">
        <f t="shared" ref="IP1297:IP1308" si="713">$J1297*IJ1297</f>
        <v>0</v>
      </c>
      <c r="IQ1297" s="97">
        <f t="shared" ref="IQ1297:IQ1308" si="714">$K1297*IK1297</f>
        <v>0</v>
      </c>
      <c r="IR1297" s="123"/>
      <c r="IS1297" s="123"/>
      <c r="IT1297" s="123"/>
      <c r="IU1297" s="97">
        <f t="shared" ref="IU1297:IU1308" si="715">$I1297*IU$1311</f>
        <v>0</v>
      </c>
      <c r="IV1297" s="97">
        <f t="shared" ref="IV1297:IV1308" si="716">$J1297*IV$1311</f>
        <v>0</v>
      </c>
      <c r="IW1297" s="97">
        <f t="shared" ref="IW1297:IW1308" si="717">$K1297*IW$1311</f>
        <v>0</v>
      </c>
      <c r="IX1297" s="123"/>
      <c r="IY1297" s="123"/>
      <c r="IZ1297" s="123"/>
      <c r="JA1297" s="97">
        <f t="shared" ref="JA1297:JC1308" si="718">II1297*IU1297</f>
        <v>0</v>
      </c>
      <c r="JB1297" s="97">
        <f t="shared" si="718"/>
        <v>0</v>
      </c>
      <c r="JC1297" s="97">
        <f t="shared" si="718"/>
        <v>0</v>
      </c>
      <c r="JD1297" s="102"/>
      <c r="JE1297" s="102"/>
      <c r="JF1297" s="102"/>
      <c r="JG1297" s="123"/>
      <c r="JH1297" s="123"/>
      <c r="JI1297" s="123"/>
      <c r="JJ1297" s="97">
        <f t="shared" ref="JJ1297:JJ1308" si="719">$I1297*JD1297</f>
        <v>0</v>
      </c>
      <c r="JK1297" s="97">
        <f t="shared" ref="JK1297:JK1308" si="720">$J1297*JE1297</f>
        <v>0</v>
      </c>
      <c r="JL1297" s="97">
        <f t="shared" ref="JL1297:JL1308" si="721">$K1297*JF1297</f>
        <v>0</v>
      </c>
      <c r="JM1297" s="123"/>
      <c r="JN1297" s="123"/>
      <c r="JO1297" s="123"/>
      <c r="JP1297" s="97">
        <f t="shared" ref="JP1297:JP1308" si="722">$I1297*JP$1311</f>
        <v>0</v>
      </c>
      <c r="JQ1297" s="97">
        <f t="shared" ref="JQ1297:JQ1308" si="723">$J1297*JQ$1311</f>
        <v>0</v>
      </c>
      <c r="JR1297" s="97">
        <f t="shared" ref="JR1297:JR1308" si="724">$K1297*JR$1311</f>
        <v>0</v>
      </c>
      <c r="JS1297" s="123"/>
      <c r="JT1297" s="123"/>
      <c r="JU1297" s="123"/>
      <c r="JV1297" s="97">
        <f t="shared" ref="JV1297:JX1308" si="725">JD1297*JP1297</f>
        <v>0</v>
      </c>
      <c r="JW1297" s="97">
        <f t="shared" si="725"/>
        <v>0</v>
      </c>
      <c r="JX1297" s="97">
        <f t="shared" si="725"/>
        <v>0</v>
      </c>
      <c r="JY1297" s="102"/>
      <c r="JZ1297" s="102"/>
      <c r="KA1297" s="102"/>
      <c r="KB1297" s="123"/>
      <c r="KC1297" s="123"/>
      <c r="KD1297" s="123"/>
      <c r="KE1297" s="97">
        <f t="shared" ref="KE1297:KE1308" si="726">$I1297*JY1297</f>
        <v>0</v>
      </c>
      <c r="KF1297" s="97">
        <f t="shared" ref="KF1297:KF1308" si="727">$J1297*JZ1297</f>
        <v>0</v>
      </c>
      <c r="KG1297" s="97">
        <f t="shared" ref="KG1297:KG1308" si="728">$K1297*KA1297</f>
        <v>0</v>
      </c>
      <c r="KH1297" s="123"/>
      <c r="KI1297" s="123"/>
      <c r="KJ1297" s="123"/>
      <c r="KK1297" s="97">
        <f t="shared" ref="KK1297:KK1308" si="729">$I1297*KK$1311</f>
        <v>0</v>
      </c>
      <c r="KL1297" s="97">
        <f t="shared" ref="KL1297:KL1308" si="730">$J1297*KL$1311</f>
        <v>0</v>
      </c>
      <c r="KM1297" s="97">
        <f t="shared" ref="KM1297:KM1308" si="731">$K1297*KM$1311</f>
        <v>0</v>
      </c>
      <c r="KN1297" s="123"/>
      <c r="KO1297" s="123"/>
      <c r="KP1297" s="123"/>
      <c r="KQ1297" s="97">
        <f t="shared" ref="KQ1297:KS1308" si="732">JY1297*KK1297</f>
        <v>0</v>
      </c>
      <c r="KR1297" s="97">
        <f t="shared" si="732"/>
        <v>0</v>
      </c>
      <c r="KS1297" s="97">
        <f t="shared" si="732"/>
        <v>0</v>
      </c>
      <c r="KT1297" s="102"/>
      <c r="KU1297" s="102"/>
      <c r="KV1297" s="102"/>
      <c r="KW1297" s="123"/>
      <c r="KX1297" s="123"/>
      <c r="KY1297" s="123"/>
      <c r="KZ1297" s="97">
        <f t="shared" ref="KZ1297:KZ1308" si="733">$I1297*KT1297</f>
        <v>0</v>
      </c>
      <c r="LA1297" s="97">
        <f t="shared" ref="LA1297:LA1308" si="734">$J1297*KU1297</f>
        <v>0</v>
      </c>
      <c r="LB1297" s="97">
        <f t="shared" ref="LB1297:LB1308" si="735">$K1297*KV1297</f>
        <v>0</v>
      </c>
      <c r="LC1297" s="123"/>
      <c r="LD1297" s="123"/>
      <c r="LE1297" s="123"/>
      <c r="LF1297" s="97">
        <f t="shared" ref="LF1297:LF1308" si="736">$I1297*LF$1311</f>
        <v>0</v>
      </c>
      <c r="LG1297" s="97">
        <f t="shared" ref="LG1297:LG1308" si="737">$J1297*LG$1311</f>
        <v>0</v>
      </c>
      <c r="LH1297" s="97">
        <f t="shared" ref="LH1297:LH1308" si="738">$K1297*LH$1311</f>
        <v>0</v>
      </c>
      <c r="LI1297" s="123"/>
      <c r="LJ1297" s="123"/>
      <c r="LK1297" s="123"/>
      <c r="LL1297" s="97">
        <f t="shared" ref="LL1297:LN1308" si="739">KT1297*LF1297</f>
        <v>0</v>
      </c>
      <c r="LM1297" s="97">
        <f t="shared" si="739"/>
        <v>0</v>
      </c>
      <c r="LN1297" s="97">
        <f t="shared" si="739"/>
        <v>0</v>
      </c>
      <c r="LO1297" s="102"/>
      <c r="LP1297" s="102"/>
      <c r="LQ1297" s="102"/>
      <c r="LR1297" s="123"/>
      <c r="LS1297" s="123"/>
      <c r="LT1297" s="123"/>
      <c r="LU1297" s="97">
        <f t="shared" ref="LU1297:LU1308" si="740">$I1297*LO1297</f>
        <v>0</v>
      </c>
      <c r="LV1297" s="97">
        <f t="shared" ref="LV1297:LV1308" si="741">$J1297*LP1297</f>
        <v>0</v>
      </c>
      <c r="LW1297" s="97">
        <f t="shared" ref="LW1297:LW1308" si="742">$K1297*LQ1297</f>
        <v>0</v>
      </c>
      <c r="LX1297" s="123"/>
      <c r="LY1297" s="123"/>
      <c r="LZ1297" s="123"/>
      <c r="MA1297" s="97">
        <f t="shared" ref="MA1297:MA1308" si="743">$I1297*MA$1311</f>
        <v>0</v>
      </c>
      <c r="MB1297" s="97">
        <f t="shared" ref="MB1297:MB1308" si="744">$J1297*MB$1311</f>
        <v>0</v>
      </c>
      <c r="MC1297" s="97">
        <f t="shared" ref="MC1297:MC1308" si="745">$K1297*MC$1311</f>
        <v>0</v>
      </c>
      <c r="MD1297" s="123"/>
      <c r="ME1297" s="123"/>
      <c r="MF1297" s="123"/>
      <c r="MG1297" s="97">
        <f t="shared" ref="MG1297:MI1308" si="746">LO1297*MA1297</f>
        <v>0</v>
      </c>
      <c r="MH1297" s="97">
        <f t="shared" si="746"/>
        <v>0</v>
      </c>
      <c r="MI1297" s="97">
        <f t="shared" si="746"/>
        <v>0</v>
      </c>
      <c r="MJ1297" s="102"/>
      <c r="MK1297" s="102"/>
      <c r="ML1297" s="102"/>
      <c r="MM1297" s="123"/>
      <c r="MN1297" s="123"/>
      <c r="MO1297" s="123"/>
      <c r="MP1297" s="97">
        <f t="shared" ref="MP1297:MP1308" si="747">$I1297*MJ1297</f>
        <v>0</v>
      </c>
      <c r="MQ1297" s="97">
        <f t="shared" ref="MQ1297:MQ1308" si="748">$J1297*MK1297</f>
        <v>0</v>
      </c>
      <c r="MR1297" s="97">
        <f t="shared" ref="MR1297:MR1308" si="749">$K1297*ML1297</f>
        <v>0</v>
      </c>
      <c r="MS1297" s="123"/>
      <c r="MT1297" s="123"/>
      <c r="MU1297" s="123"/>
      <c r="MV1297" s="97">
        <f t="shared" ref="MV1297:MV1308" si="750">$I1297*MV$1311</f>
        <v>0</v>
      </c>
      <c r="MW1297" s="97">
        <f t="shared" ref="MW1297:MW1308" si="751">$J1297*MW$1311</f>
        <v>0</v>
      </c>
      <c r="MX1297" s="97">
        <f t="shared" ref="MX1297:MX1308" si="752">$K1297*MX$1311</f>
        <v>0</v>
      </c>
      <c r="MY1297" s="123"/>
      <c r="MZ1297" s="123"/>
      <c r="NA1297" s="123"/>
      <c r="NB1297" s="97">
        <f t="shared" ref="NB1297:ND1308" si="753">MJ1297*MV1297</f>
        <v>0</v>
      </c>
      <c r="NC1297" s="97">
        <f t="shared" si="753"/>
        <v>0</v>
      </c>
      <c r="ND1297" s="97">
        <f t="shared" si="753"/>
        <v>0</v>
      </c>
      <c r="NE1297" s="102"/>
      <c r="NF1297" s="102"/>
      <c r="NG1297" s="102"/>
      <c r="NH1297" s="123"/>
      <c r="NI1297" s="123"/>
      <c r="NJ1297" s="123"/>
      <c r="NK1297" s="97">
        <f t="shared" ref="NK1297:NK1308" si="754">$I1297*NE1297</f>
        <v>0</v>
      </c>
      <c r="NL1297" s="97">
        <f t="shared" ref="NL1297:NL1308" si="755">$J1297*NF1297</f>
        <v>0</v>
      </c>
      <c r="NM1297" s="97">
        <f t="shared" ref="NM1297:NM1308" si="756">$K1297*NG1297</f>
        <v>0</v>
      </c>
      <c r="NN1297" s="123"/>
      <c r="NO1297" s="123"/>
      <c r="NP1297" s="123"/>
      <c r="NQ1297" s="97">
        <f t="shared" ref="NQ1297:NQ1308" si="757">$I1297*NQ$1311</f>
        <v>0</v>
      </c>
      <c r="NR1297" s="97">
        <f t="shared" ref="NR1297:NR1308" si="758">$J1297*NR$1311</f>
        <v>0</v>
      </c>
      <c r="NS1297" s="97">
        <f t="shared" ref="NS1297:NS1308" si="759">$K1297*NS$1311</f>
        <v>0</v>
      </c>
      <c r="NT1297" s="123"/>
      <c r="NU1297" s="123"/>
      <c r="NV1297" s="123"/>
      <c r="NW1297" s="97">
        <f t="shared" ref="NW1297:NY1308" si="760">NE1297*NQ1297</f>
        <v>0</v>
      </c>
      <c r="NX1297" s="97">
        <f t="shared" si="760"/>
        <v>0</v>
      </c>
      <c r="NY1297" s="97">
        <f t="shared" si="760"/>
        <v>0</v>
      </c>
      <c r="NZ1297" s="102"/>
      <c r="OA1297" s="102"/>
      <c r="OB1297" s="102"/>
      <c r="OC1297" s="123"/>
      <c r="OD1297" s="123"/>
      <c r="OE1297" s="123"/>
      <c r="OF1297" s="97">
        <f t="shared" ref="OF1297:OF1308" si="761">$I1297*NZ1297</f>
        <v>0</v>
      </c>
      <c r="OG1297" s="97">
        <f t="shared" ref="OG1297:OG1308" si="762">$J1297*OA1297</f>
        <v>0</v>
      </c>
      <c r="OH1297" s="97">
        <f t="shared" ref="OH1297:OH1308" si="763">$K1297*OB1297</f>
        <v>0</v>
      </c>
      <c r="OI1297" s="123"/>
      <c r="OJ1297" s="123"/>
      <c r="OK1297" s="123"/>
      <c r="OL1297" s="97">
        <f t="shared" ref="OL1297:OL1308" si="764">$I1297*OL$1311</f>
        <v>0</v>
      </c>
      <c r="OM1297" s="97">
        <f t="shared" ref="OM1297:OM1308" si="765">$J1297*OM$1311</f>
        <v>0</v>
      </c>
      <c r="ON1297" s="97">
        <f t="shared" ref="ON1297:ON1308" si="766">$K1297*ON$1311</f>
        <v>0</v>
      </c>
      <c r="OO1297" s="123"/>
      <c r="OP1297" s="123"/>
      <c r="OQ1297" s="123"/>
      <c r="OR1297" s="97">
        <f t="shared" ref="OR1297:OT1308" si="767">NZ1297*OL1297</f>
        <v>0</v>
      </c>
      <c r="OS1297" s="97">
        <f t="shared" si="767"/>
        <v>0</v>
      </c>
      <c r="OT1297" s="97">
        <f t="shared" si="767"/>
        <v>0</v>
      </c>
      <c r="OU1297" s="102"/>
      <c r="OV1297" s="102"/>
      <c r="OW1297" s="102"/>
      <c r="OX1297" s="123"/>
      <c r="OY1297" s="123"/>
      <c r="OZ1297" s="123"/>
      <c r="PA1297" s="97">
        <f t="shared" ref="PA1297:PA1308" si="768">$I1297*OU1297</f>
        <v>0</v>
      </c>
      <c r="PB1297" s="97">
        <f t="shared" ref="PB1297:PB1308" si="769">$J1297*OV1297</f>
        <v>0</v>
      </c>
      <c r="PC1297" s="97">
        <f t="shared" ref="PC1297:PC1308" si="770">$K1297*OW1297</f>
        <v>0</v>
      </c>
      <c r="PD1297" s="123"/>
      <c r="PE1297" s="123"/>
      <c r="PF1297" s="123"/>
      <c r="PG1297" s="97">
        <f t="shared" ref="PG1297:PG1308" si="771">$I1297*PG$1311</f>
        <v>0</v>
      </c>
      <c r="PH1297" s="97">
        <f t="shared" ref="PH1297:PH1308" si="772">$J1297*PH$1311</f>
        <v>0</v>
      </c>
      <c r="PI1297" s="97">
        <f t="shared" ref="PI1297:PI1308" si="773">$K1297*PI$1311</f>
        <v>0</v>
      </c>
      <c r="PJ1297" s="123"/>
      <c r="PK1297" s="123"/>
      <c r="PL1297" s="123"/>
      <c r="PM1297" s="97">
        <f t="shared" ref="PM1297:PO1308" si="774">OU1297*PG1297</f>
        <v>0</v>
      </c>
      <c r="PN1297" s="97">
        <f t="shared" si="774"/>
        <v>0</v>
      </c>
      <c r="PO1297" s="97">
        <f t="shared" si="774"/>
        <v>0</v>
      </c>
      <c r="PP1297" s="102"/>
      <c r="PQ1297" s="102"/>
      <c r="PR1297" s="102"/>
      <c r="PS1297" s="123"/>
      <c r="PT1297" s="123"/>
      <c r="PU1297" s="123"/>
      <c r="PV1297" s="97">
        <f t="shared" ref="PV1297:PV1308" si="775">$I1297*PP1297</f>
        <v>0</v>
      </c>
      <c r="PW1297" s="97">
        <f t="shared" ref="PW1297:PW1308" si="776">$J1297*PQ1297</f>
        <v>0</v>
      </c>
      <c r="PX1297" s="97">
        <f t="shared" ref="PX1297:PX1308" si="777">$K1297*PR1297</f>
        <v>0</v>
      </c>
      <c r="PY1297" s="123"/>
      <c r="PZ1297" s="123"/>
      <c r="QA1297" s="123"/>
      <c r="QB1297" s="97">
        <f t="shared" ref="QB1297:QB1308" si="778">$I1297*QB$1311</f>
        <v>0</v>
      </c>
      <c r="QC1297" s="97">
        <f t="shared" ref="QC1297:QC1308" si="779">$J1297*QC$1311</f>
        <v>0</v>
      </c>
      <c r="QD1297" s="97">
        <f t="shared" ref="QD1297:QD1308" si="780">$K1297*QD$1311</f>
        <v>0</v>
      </c>
      <c r="QE1297" s="123"/>
      <c r="QF1297" s="123"/>
      <c r="QG1297" s="123"/>
      <c r="QH1297" s="97">
        <f t="shared" ref="QH1297:QJ1308" si="781">PP1297*QB1297</f>
        <v>0</v>
      </c>
      <c r="QI1297" s="97">
        <f t="shared" si="781"/>
        <v>0</v>
      </c>
      <c r="QJ1297" s="97">
        <f t="shared" si="781"/>
        <v>0</v>
      </c>
      <c r="QK1297" s="102"/>
      <c r="QL1297" s="102"/>
      <c r="QM1297" s="102"/>
      <c r="QN1297" s="123"/>
      <c r="QO1297" s="123"/>
      <c r="QP1297" s="123"/>
      <c r="QQ1297" s="97">
        <f t="shared" ref="QQ1297:QQ1308" si="782">$I1297*QK1297</f>
        <v>0</v>
      </c>
      <c r="QR1297" s="97">
        <f t="shared" ref="QR1297:QR1308" si="783">$J1297*QL1297</f>
        <v>0</v>
      </c>
      <c r="QS1297" s="97">
        <f t="shared" ref="QS1297:QS1308" si="784">$K1297*QM1297</f>
        <v>0</v>
      </c>
      <c r="QT1297" s="123"/>
      <c r="QU1297" s="123"/>
      <c r="QV1297" s="123"/>
      <c r="QW1297" s="97">
        <f t="shared" ref="QW1297:QW1308" si="785">$I1297*QW$1311</f>
        <v>0</v>
      </c>
      <c r="QX1297" s="97">
        <f t="shared" ref="QX1297:QX1308" si="786">$J1297*QX$1311</f>
        <v>0</v>
      </c>
      <c r="QY1297" s="97">
        <f t="shared" ref="QY1297:QY1308" si="787">$K1297*QY$1311</f>
        <v>0</v>
      </c>
      <c r="QZ1297" s="123"/>
      <c r="RA1297" s="123"/>
      <c r="RB1297" s="123"/>
      <c r="RC1297" s="97">
        <f t="shared" ref="RC1297:RE1308" si="788">QK1297*QW1297</f>
        <v>0</v>
      </c>
      <c r="RD1297" s="97">
        <f t="shared" si="788"/>
        <v>0</v>
      </c>
      <c r="RE1297" s="97">
        <f t="shared" si="788"/>
        <v>0</v>
      </c>
      <c r="RF1297" s="102"/>
      <c r="RG1297" s="102"/>
      <c r="RH1297" s="102"/>
      <c r="RI1297" s="123"/>
      <c r="RJ1297" s="123"/>
      <c r="RK1297" s="123"/>
      <c r="RL1297" s="97">
        <f t="shared" ref="RL1297:RL1308" si="789">$I1297*RF1297</f>
        <v>0</v>
      </c>
      <c r="RM1297" s="97">
        <f t="shared" ref="RM1297:RM1308" si="790">$J1297*RG1297</f>
        <v>0</v>
      </c>
      <c r="RN1297" s="97">
        <f t="shared" ref="RN1297:RN1308" si="791">$K1297*RH1297</f>
        <v>0</v>
      </c>
      <c r="RO1297" s="123"/>
      <c r="RP1297" s="123"/>
      <c r="RQ1297" s="123"/>
      <c r="RR1297" s="97">
        <f t="shared" ref="RR1297:RR1308" si="792">$I1297*RR$1311</f>
        <v>0</v>
      </c>
      <c r="RS1297" s="97">
        <f t="shared" ref="RS1297:RS1308" si="793">$J1297*RS$1311</f>
        <v>0</v>
      </c>
      <c r="RT1297" s="97">
        <f t="shared" ref="RT1297:RT1308" si="794">$K1297*RT$1311</f>
        <v>0</v>
      </c>
      <c r="RU1297" s="123"/>
      <c r="RV1297" s="123"/>
      <c r="RW1297" s="123"/>
      <c r="RX1297" s="97">
        <f t="shared" ref="RX1297:RZ1308" si="795">RF1297*RR1297</f>
        <v>0</v>
      </c>
      <c r="RY1297" s="97">
        <f t="shared" si="795"/>
        <v>0</v>
      </c>
      <c r="RZ1297" s="97">
        <f t="shared" si="795"/>
        <v>0</v>
      </c>
      <c r="SA1297" s="102"/>
      <c r="SB1297" s="102"/>
      <c r="SC1297" s="102"/>
      <c r="SD1297" s="123"/>
      <c r="SE1297" s="123"/>
      <c r="SF1297" s="123"/>
      <c r="SG1297" s="97">
        <f t="shared" ref="SG1297:SG1308" si="796">$I1297*SA1297</f>
        <v>0</v>
      </c>
      <c r="SH1297" s="97">
        <f t="shared" ref="SH1297:SH1308" si="797">$J1297*SB1297</f>
        <v>0</v>
      </c>
      <c r="SI1297" s="97">
        <f t="shared" ref="SI1297:SI1308" si="798">$K1297*SC1297</f>
        <v>0</v>
      </c>
      <c r="SJ1297" s="123"/>
      <c r="SK1297" s="123"/>
      <c r="SL1297" s="123"/>
      <c r="SM1297" s="97">
        <f t="shared" ref="SM1297:SM1308" si="799">$I1297*SM$1311</f>
        <v>0</v>
      </c>
      <c r="SN1297" s="97">
        <f t="shared" ref="SN1297:SN1308" si="800">$J1297*SN$1311</f>
        <v>0</v>
      </c>
      <c r="SO1297" s="97">
        <f t="shared" ref="SO1297:SO1308" si="801">$K1297*SO$1311</f>
        <v>0</v>
      </c>
      <c r="SP1297" s="123"/>
      <c r="SQ1297" s="123"/>
      <c r="SR1297" s="123"/>
      <c r="SS1297" s="97">
        <f t="shared" ref="SS1297:SU1308" si="802">SA1297*SM1297</f>
        <v>0</v>
      </c>
      <c r="ST1297" s="97">
        <f t="shared" si="802"/>
        <v>0</v>
      </c>
      <c r="SU1297" s="97">
        <f t="shared" si="802"/>
        <v>0</v>
      </c>
      <c r="SV1297" s="102"/>
      <c r="SW1297" s="102"/>
      <c r="SX1297" s="102"/>
      <c r="SY1297" s="123"/>
      <c r="SZ1297" s="123"/>
      <c r="TA1297" s="123"/>
      <c r="TB1297" s="97">
        <f t="shared" ref="TB1297:TB1308" si="803">$I1297*SV1297</f>
        <v>0</v>
      </c>
      <c r="TC1297" s="97">
        <f t="shared" ref="TC1297:TC1308" si="804">$J1297*SW1297</f>
        <v>0</v>
      </c>
      <c r="TD1297" s="97">
        <f t="shared" ref="TD1297:TD1308" si="805">$K1297*SX1297</f>
        <v>0</v>
      </c>
      <c r="TE1297" s="123"/>
      <c r="TF1297" s="123"/>
      <c r="TG1297" s="123"/>
      <c r="TH1297" s="97">
        <f t="shared" ref="TH1297:TH1308" si="806">$I1297*TH$1311</f>
        <v>0</v>
      </c>
      <c r="TI1297" s="97">
        <f t="shared" ref="TI1297:TI1308" si="807">$J1297*TI$1311</f>
        <v>0</v>
      </c>
      <c r="TJ1297" s="97">
        <f t="shared" ref="TJ1297:TJ1308" si="808">$K1297*TJ$1311</f>
        <v>0</v>
      </c>
      <c r="TK1297" s="123"/>
      <c r="TL1297" s="123"/>
      <c r="TM1297" s="123"/>
      <c r="TN1297" s="97">
        <f t="shared" ref="TN1297:TP1308" si="809">SV1297*TH1297</f>
        <v>0</v>
      </c>
      <c r="TO1297" s="97">
        <f t="shared" si="809"/>
        <v>0</v>
      </c>
      <c r="TP1297" s="97">
        <f t="shared" si="809"/>
        <v>0</v>
      </c>
      <c r="TQ1297" s="102"/>
      <c r="TR1297" s="102"/>
      <c r="TS1297" s="102"/>
      <c r="TT1297" s="123"/>
      <c r="TU1297" s="123"/>
      <c r="TV1297" s="123"/>
      <c r="TW1297" s="97">
        <f t="shared" ref="TW1297:TW1308" si="810">$I1297*TQ1297</f>
        <v>0</v>
      </c>
      <c r="TX1297" s="97">
        <f t="shared" ref="TX1297:TX1308" si="811">$J1297*TR1297</f>
        <v>0</v>
      </c>
      <c r="TY1297" s="97">
        <f t="shared" ref="TY1297:TY1308" si="812">$K1297*TS1297</f>
        <v>0</v>
      </c>
      <c r="TZ1297" s="123"/>
      <c r="UA1297" s="123"/>
      <c r="UB1297" s="123"/>
      <c r="UC1297" s="97">
        <f t="shared" ref="UC1297:UC1308" si="813">$I1297*UC$1311</f>
        <v>0</v>
      </c>
      <c r="UD1297" s="97">
        <f t="shared" ref="UD1297:UD1308" si="814">$J1297*UD$1311</f>
        <v>0</v>
      </c>
      <c r="UE1297" s="97">
        <f t="shared" ref="UE1297:UE1308" si="815">$K1297*UE$1311</f>
        <v>0</v>
      </c>
      <c r="UF1297" s="123"/>
      <c r="UG1297" s="123"/>
      <c r="UH1297" s="123"/>
      <c r="UI1297" s="97">
        <f t="shared" ref="UI1297:UK1308" si="816">TQ1297*UC1297</f>
        <v>0</v>
      </c>
      <c r="UJ1297" s="97">
        <f t="shared" si="816"/>
        <v>0</v>
      </c>
      <c r="UK1297" s="97">
        <f t="shared" si="816"/>
        <v>0</v>
      </c>
      <c r="UL1297" s="102"/>
      <c r="UM1297" s="102"/>
      <c r="UN1297" s="102"/>
      <c r="UO1297" s="123"/>
      <c r="UP1297" s="123"/>
      <c r="UQ1297" s="123"/>
      <c r="UR1297" s="97">
        <f t="shared" ref="UR1297:UR1308" si="817">$I1297*UL1297</f>
        <v>0</v>
      </c>
      <c r="US1297" s="97">
        <f t="shared" ref="US1297:US1308" si="818">$J1297*UM1297</f>
        <v>0</v>
      </c>
      <c r="UT1297" s="97">
        <f t="shared" ref="UT1297:UT1308" si="819">$K1297*UN1297</f>
        <v>0</v>
      </c>
      <c r="UU1297" s="123"/>
      <c r="UV1297" s="123"/>
      <c r="UW1297" s="123"/>
      <c r="UX1297" s="97">
        <f t="shared" ref="UX1297:UX1308" si="820">$I1297*UX$1311</f>
        <v>4101.42</v>
      </c>
      <c r="UY1297" s="97">
        <f t="shared" ref="UY1297:UY1308" si="821">$J1297*UY$1311</f>
        <v>4185.24</v>
      </c>
      <c r="UZ1297" s="97">
        <f t="shared" ref="UZ1297:UZ1308" si="822">$K1297*UZ$1311</f>
        <v>4345</v>
      </c>
      <c r="VA1297" s="123"/>
      <c r="VB1297" s="123"/>
      <c r="VC1297" s="123"/>
      <c r="VD1297" s="97">
        <f t="shared" ref="VD1297:VF1308" si="823">UL1297*UX1297</f>
        <v>0</v>
      </c>
      <c r="VE1297" s="97">
        <f t="shared" si="823"/>
        <v>0</v>
      </c>
      <c r="VF1297" s="97">
        <f t="shared" si="823"/>
        <v>0</v>
      </c>
      <c r="VG1297" s="102"/>
      <c r="VH1297" s="102"/>
      <c r="VI1297" s="102"/>
      <c r="VJ1297" s="123"/>
      <c r="VK1297" s="123"/>
      <c r="VL1297" s="123"/>
      <c r="VM1297" s="97">
        <f t="shared" ref="VM1297:VM1308" si="824">$I1297*VG1297</f>
        <v>0</v>
      </c>
      <c r="VN1297" s="97">
        <f t="shared" ref="VN1297:VN1308" si="825">$J1297*VH1297</f>
        <v>0</v>
      </c>
      <c r="VO1297" s="97">
        <f t="shared" ref="VO1297:VO1308" si="826">$K1297*VI1297</f>
        <v>0</v>
      </c>
      <c r="VP1297" s="123"/>
      <c r="VQ1297" s="123"/>
      <c r="VR1297" s="123"/>
      <c r="VS1297" s="97">
        <f t="shared" ref="VS1297:VS1308" si="827">$I1297*VS$1311</f>
        <v>0</v>
      </c>
      <c r="VT1297" s="97">
        <f t="shared" ref="VT1297:VT1308" si="828">$J1297*VT$1311</f>
        <v>0</v>
      </c>
      <c r="VU1297" s="97">
        <f t="shared" ref="VU1297:VU1308" si="829">$K1297*VU$1311</f>
        <v>0</v>
      </c>
      <c r="VV1297" s="123"/>
      <c r="VW1297" s="123"/>
      <c r="VX1297" s="123"/>
      <c r="VY1297" s="97">
        <f t="shared" ref="VY1297:WA1308" si="830">VG1297*VS1297</f>
        <v>0</v>
      </c>
      <c r="VZ1297" s="97">
        <f t="shared" si="830"/>
        <v>0</v>
      </c>
      <c r="WA1297" s="97">
        <f t="shared" si="830"/>
        <v>0</v>
      </c>
      <c r="WB1297" s="102"/>
      <c r="WC1297" s="102"/>
      <c r="WD1297" s="102"/>
      <c r="WE1297" s="123"/>
      <c r="WF1297" s="123"/>
      <c r="WG1297" s="123"/>
      <c r="WH1297" s="97">
        <f t="shared" ref="WH1297:WH1308" si="831">$I1297*WB1297</f>
        <v>0</v>
      </c>
      <c r="WI1297" s="97">
        <f t="shared" ref="WI1297:WI1308" si="832">$J1297*WC1297</f>
        <v>0</v>
      </c>
      <c r="WJ1297" s="97">
        <f t="shared" ref="WJ1297:WJ1308" si="833">$K1297*WD1297</f>
        <v>0</v>
      </c>
      <c r="WK1297" s="123"/>
      <c r="WL1297" s="123"/>
      <c r="WM1297" s="123"/>
      <c r="WN1297" s="97">
        <f t="shared" ref="WN1297:WN1308" si="834">$I1297*WN$1311</f>
        <v>0</v>
      </c>
      <c r="WO1297" s="97">
        <f t="shared" ref="WO1297:WO1308" si="835">$J1297*WO$1311</f>
        <v>0</v>
      </c>
      <c r="WP1297" s="97">
        <f t="shared" ref="WP1297:WP1308" si="836">$K1297*WP$1311</f>
        <v>0</v>
      </c>
      <c r="WQ1297" s="123"/>
      <c r="WR1297" s="123"/>
      <c r="WS1297" s="123"/>
      <c r="WT1297" s="97">
        <f t="shared" ref="WT1297:WV1308" si="837">WB1297*WN1297</f>
        <v>0</v>
      </c>
      <c r="WU1297" s="97">
        <f t="shared" si="837"/>
        <v>0</v>
      </c>
      <c r="WV1297" s="97">
        <f t="shared" si="837"/>
        <v>0</v>
      </c>
      <c r="WW1297" s="102"/>
      <c r="WX1297" s="102"/>
      <c r="WY1297" s="102"/>
      <c r="WZ1297" s="123"/>
      <c r="XA1297" s="123"/>
      <c r="XB1297" s="123"/>
      <c r="XC1297" s="97">
        <f t="shared" ref="XC1297:XC1308" si="838">$I1297*WW1297</f>
        <v>0</v>
      </c>
      <c r="XD1297" s="97">
        <f t="shared" ref="XD1297:XD1308" si="839">$J1297*WX1297</f>
        <v>0</v>
      </c>
      <c r="XE1297" s="97">
        <f t="shared" ref="XE1297:XE1308" si="840">$K1297*WY1297</f>
        <v>0</v>
      </c>
      <c r="XF1297" s="123"/>
      <c r="XG1297" s="123"/>
      <c r="XH1297" s="123"/>
      <c r="XI1297" s="97">
        <f t="shared" ref="XI1297:XI1308" si="841">$I1297*XI$1311</f>
        <v>0</v>
      </c>
      <c r="XJ1297" s="97">
        <f t="shared" ref="XJ1297:XJ1308" si="842">$J1297*XJ$1311</f>
        <v>0</v>
      </c>
      <c r="XK1297" s="97">
        <f t="shared" ref="XK1297:XK1308" si="843">$K1297*XK$1311</f>
        <v>0</v>
      </c>
      <c r="XL1297" s="123"/>
      <c r="XM1297" s="123"/>
      <c r="XN1297" s="123"/>
      <c r="XO1297" s="97">
        <f t="shared" ref="XO1297:XQ1308" si="844">WW1297*XI1297</f>
        <v>0</v>
      </c>
      <c r="XP1297" s="97">
        <f t="shared" si="844"/>
        <v>0</v>
      </c>
      <c r="XQ1297" s="97">
        <f t="shared" si="844"/>
        <v>0</v>
      </c>
      <c r="XR1297" s="102"/>
      <c r="XS1297" s="102"/>
      <c r="XT1297" s="102"/>
      <c r="XU1297" s="123"/>
      <c r="XV1297" s="123"/>
      <c r="XW1297" s="123"/>
      <c r="XX1297" s="97">
        <f t="shared" ref="XX1297:XX1308" si="845">$I1297*XR1297</f>
        <v>0</v>
      </c>
      <c r="XY1297" s="97">
        <f t="shared" ref="XY1297:XY1308" si="846">$J1297*XS1297</f>
        <v>0</v>
      </c>
      <c r="XZ1297" s="97">
        <f t="shared" ref="XZ1297:XZ1308" si="847">$K1297*XT1297</f>
        <v>0</v>
      </c>
      <c r="YA1297" s="123"/>
      <c r="YB1297" s="123"/>
      <c r="YC1297" s="123"/>
      <c r="YD1297" s="97">
        <f t="shared" ref="YD1297:YD1308" si="848">$I1297*YD$1311</f>
        <v>0</v>
      </c>
      <c r="YE1297" s="97">
        <f t="shared" ref="YE1297:YE1308" si="849">$J1297*YE$1311</f>
        <v>0</v>
      </c>
      <c r="YF1297" s="97">
        <f t="shared" ref="YF1297:YF1308" si="850">$K1297*YF$1311</f>
        <v>0</v>
      </c>
      <c r="YG1297" s="123"/>
      <c r="YH1297" s="123"/>
      <c r="YI1297" s="123"/>
      <c r="YJ1297" s="97">
        <f t="shared" ref="YJ1297:YL1308" si="851">XR1297*YD1297</f>
        <v>0</v>
      </c>
      <c r="YK1297" s="97">
        <f t="shared" si="851"/>
        <v>0</v>
      </c>
      <c r="YL1297" s="97">
        <f t="shared" si="851"/>
        <v>0</v>
      </c>
      <c r="YM1297" s="145">
        <f t="shared" ref="YM1297:YO1308" si="852">L1297+AG1297+BB1297+BW1297+CR1297+DM1297+EH1297+FC1297+FX1297+GS1297+HN1297+II1297+JD1297+JY1297+KT1297+LO1297+MJ1297+NE1297+NZ1297+OU1297+PP1297+QK1297+RF1297+SA1297+SV1297+TQ1297+UL1297+VG1297+WB1297+WW1297+XR1297</f>
        <v>0</v>
      </c>
      <c r="YN1297" s="145">
        <f t="shared" si="852"/>
        <v>0</v>
      </c>
      <c r="YO1297" s="145">
        <f t="shared" si="852"/>
        <v>0</v>
      </c>
      <c r="YP1297" s="123"/>
      <c r="YQ1297" s="123"/>
      <c r="YR1297" s="123"/>
      <c r="YS1297" s="97">
        <f t="shared" ref="YS1297:YS1308" si="853">$I1297*YM1297</f>
        <v>0</v>
      </c>
      <c r="YT1297" s="97">
        <f t="shared" ref="YT1297:YT1308" si="854">$J1297*YN1297</f>
        <v>0</v>
      </c>
      <c r="YU1297" s="97">
        <f t="shared" ref="YU1297:YU1308" si="855">$K1297*YO1297</f>
        <v>0</v>
      </c>
      <c r="YV1297" s="123"/>
      <c r="YW1297" s="123"/>
      <c r="YX1297" s="123"/>
      <c r="YY1297" s="97">
        <f t="shared" ref="YY1297:YY1308" si="856">$I1297*YY$1311</f>
        <v>4101.42</v>
      </c>
      <c r="YZ1297" s="97">
        <f t="shared" ref="YZ1297:YZ1308" si="857">$J1297*YZ$1311</f>
        <v>4185.24</v>
      </c>
      <c r="ZA1297" s="97">
        <f t="shared" ref="ZA1297:ZA1308" si="858">$K1297*ZA$1311</f>
        <v>4345</v>
      </c>
      <c r="ZB1297" s="123"/>
      <c r="ZC1297" s="123"/>
      <c r="ZD1297" s="123"/>
      <c r="ZE1297" s="97">
        <f t="shared" ref="ZE1297:ZG1308" si="859">YM1297*YY1297</f>
        <v>0</v>
      </c>
      <c r="ZF1297" s="97">
        <f t="shared" si="859"/>
        <v>0</v>
      </c>
      <c r="ZG1297" s="97">
        <f t="shared" si="859"/>
        <v>0</v>
      </c>
    </row>
    <row r="1298" spans="1:683" ht="36" hidden="1" x14ac:dyDescent="0.25">
      <c r="A1298" s="12" t="s">
        <v>703</v>
      </c>
      <c r="B1298" s="174" t="s">
        <v>433</v>
      </c>
      <c r="C1298" s="5"/>
      <c r="D1298" s="340"/>
      <c r="E1298" s="163"/>
      <c r="F1298" s="110"/>
      <c r="G1298" s="110"/>
      <c r="H1298" s="110"/>
      <c r="I1298" s="97">
        <f t="shared" si="636"/>
        <v>24133.919999999998</v>
      </c>
      <c r="J1298" s="97">
        <f t="shared" ref="J1298:J1308" si="860">G32+G347</f>
        <v>24133.919999999998</v>
      </c>
      <c r="K1298" s="97">
        <f t="shared" ref="K1298:K1308" si="861">H32+H347</f>
        <v>24133.919999999998</v>
      </c>
      <c r="L1298" s="102"/>
      <c r="M1298" s="102"/>
      <c r="N1298" s="102"/>
      <c r="O1298" s="123"/>
      <c r="P1298" s="123"/>
      <c r="Q1298" s="123"/>
      <c r="R1298" s="97">
        <f t="shared" ref="R1298:R1308" si="862">$I1298*L1298</f>
        <v>0</v>
      </c>
      <c r="S1298" s="97">
        <f t="shared" ref="S1298:S1308" si="863">$J1298*M1298</f>
        <v>0</v>
      </c>
      <c r="T1298" s="97">
        <f t="shared" ref="T1298:T1308" si="864">$K1298*N1298</f>
        <v>0</v>
      </c>
      <c r="U1298" s="123"/>
      <c r="V1298" s="123"/>
      <c r="W1298" s="123"/>
      <c r="X1298" s="97">
        <f t="shared" si="638"/>
        <v>0</v>
      </c>
      <c r="Y1298" s="97">
        <f t="shared" si="639"/>
        <v>0</v>
      </c>
      <c r="Z1298" s="97">
        <f t="shared" si="640"/>
        <v>0</v>
      </c>
      <c r="AA1298" s="123"/>
      <c r="AB1298" s="123"/>
      <c r="AC1298" s="123"/>
      <c r="AD1298" s="97">
        <f t="shared" si="641"/>
        <v>0</v>
      </c>
      <c r="AE1298" s="97">
        <f t="shared" si="641"/>
        <v>0</v>
      </c>
      <c r="AF1298" s="97">
        <f t="shared" si="641"/>
        <v>0</v>
      </c>
      <c r="AG1298" s="102"/>
      <c r="AH1298" s="102"/>
      <c r="AI1298" s="102"/>
      <c r="AJ1298" s="123"/>
      <c r="AK1298" s="123"/>
      <c r="AL1298" s="123"/>
      <c r="AM1298" s="97">
        <f t="shared" si="642"/>
        <v>0</v>
      </c>
      <c r="AN1298" s="97">
        <f t="shared" si="643"/>
        <v>0</v>
      </c>
      <c r="AO1298" s="97">
        <f t="shared" si="644"/>
        <v>0</v>
      </c>
      <c r="AP1298" s="123"/>
      <c r="AQ1298" s="123"/>
      <c r="AR1298" s="123"/>
      <c r="AS1298" s="97">
        <f t="shared" si="645"/>
        <v>0</v>
      </c>
      <c r="AT1298" s="97">
        <f t="shared" si="646"/>
        <v>0</v>
      </c>
      <c r="AU1298" s="97">
        <f t="shared" si="647"/>
        <v>0</v>
      </c>
      <c r="AV1298" s="123"/>
      <c r="AW1298" s="123"/>
      <c r="AX1298" s="123"/>
      <c r="AY1298" s="97">
        <f t="shared" si="648"/>
        <v>0</v>
      </c>
      <c r="AZ1298" s="97">
        <f t="shared" si="648"/>
        <v>0</v>
      </c>
      <c r="BA1298" s="97">
        <f t="shared" si="648"/>
        <v>0</v>
      </c>
      <c r="BB1298" s="102"/>
      <c r="BC1298" s="102"/>
      <c r="BD1298" s="102"/>
      <c r="BE1298" s="123"/>
      <c r="BF1298" s="123"/>
      <c r="BG1298" s="123"/>
      <c r="BH1298" s="97">
        <f t="shared" si="649"/>
        <v>0</v>
      </c>
      <c r="BI1298" s="97">
        <f t="shared" si="650"/>
        <v>0</v>
      </c>
      <c r="BJ1298" s="97">
        <f t="shared" si="651"/>
        <v>0</v>
      </c>
      <c r="BK1298" s="123"/>
      <c r="BL1298" s="123"/>
      <c r="BM1298" s="123"/>
      <c r="BN1298" s="97">
        <f t="shared" si="652"/>
        <v>0</v>
      </c>
      <c r="BO1298" s="97">
        <f t="shared" si="653"/>
        <v>0</v>
      </c>
      <c r="BP1298" s="97">
        <f t="shared" si="654"/>
        <v>0</v>
      </c>
      <c r="BQ1298" s="123"/>
      <c r="BR1298" s="123"/>
      <c r="BS1298" s="123"/>
      <c r="BT1298" s="97">
        <f t="shared" si="655"/>
        <v>0</v>
      </c>
      <c r="BU1298" s="97">
        <f t="shared" si="655"/>
        <v>0</v>
      </c>
      <c r="BV1298" s="97">
        <f t="shared" si="655"/>
        <v>0</v>
      </c>
      <c r="BW1298" s="102"/>
      <c r="BX1298" s="102"/>
      <c r="BY1298" s="102"/>
      <c r="BZ1298" s="123"/>
      <c r="CA1298" s="123"/>
      <c r="CB1298" s="123"/>
      <c r="CC1298" s="97">
        <f t="shared" si="656"/>
        <v>0</v>
      </c>
      <c r="CD1298" s="97">
        <f t="shared" si="657"/>
        <v>0</v>
      </c>
      <c r="CE1298" s="97">
        <f t="shared" si="658"/>
        <v>0</v>
      </c>
      <c r="CF1298" s="123"/>
      <c r="CG1298" s="123"/>
      <c r="CH1298" s="123"/>
      <c r="CI1298" s="97">
        <f t="shared" si="659"/>
        <v>0</v>
      </c>
      <c r="CJ1298" s="97">
        <f t="shared" si="660"/>
        <v>0</v>
      </c>
      <c r="CK1298" s="97">
        <f t="shared" si="661"/>
        <v>0</v>
      </c>
      <c r="CL1298" s="123"/>
      <c r="CM1298" s="123"/>
      <c r="CN1298" s="123"/>
      <c r="CO1298" s="97">
        <f t="shared" si="662"/>
        <v>0</v>
      </c>
      <c r="CP1298" s="97">
        <f t="shared" si="662"/>
        <v>0</v>
      </c>
      <c r="CQ1298" s="97">
        <f t="shared" si="662"/>
        <v>0</v>
      </c>
      <c r="CR1298" s="102"/>
      <c r="CS1298" s="102"/>
      <c r="CT1298" s="102"/>
      <c r="CU1298" s="123"/>
      <c r="CV1298" s="123"/>
      <c r="CW1298" s="123"/>
      <c r="CX1298" s="97">
        <f t="shared" si="663"/>
        <v>0</v>
      </c>
      <c r="CY1298" s="97">
        <f t="shared" si="664"/>
        <v>0</v>
      </c>
      <c r="CZ1298" s="97">
        <f t="shared" si="665"/>
        <v>0</v>
      </c>
      <c r="DA1298" s="123"/>
      <c r="DB1298" s="123"/>
      <c r="DC1298" s="123"/>
      <c r="DD1298" s="97">
        <f t="shared" si="666"/>
        <v>0</v>
      </c>
      <c r="DE1298" s="97">
        <f t="shared" si="667"/>
        <v>0</v>
      </c>
      <c r="DF1298" s="97">
        <f t="shared" si="668"/>
        <v>0</v>
      </c>
      <c r="DG1298" s="123"/>
      <c r="DH1298" s="123"/>
      <c r="DI1298" s="123"/>
      <c r="DJ1298" s="97">
        <f t="shared" si="669"/>
        <v>0</v>
      </c>
      <c r="DK1298" s="97">
        <f t="shared" si="669"/>
        <v>0</v>
      </c>
      <c r="DL1298" s="97">
        <f t="shared" si="669"/>
        <v>0</v>
      </c>
      <c r="DM1298" s="102"/>
      <c r="DN1298" s="102"/>
      <c r="DO1298" s="102"/>
      <c r="DP1298" s="123"/>
      <c r="DQ1298" s="123"/>
      <c r="DR1298" s="123"/>
      <c r="DS1298" s="97">
        <f t="shared" si="670"/>
        <v>0</v>
      </c>
      <c r="DT1298" s="97">
        <f t="shared" si="671"/>
        <v>0</v>
      </c>
      <c r="DU1298" s="97">
        <f t="shared" si="672"/>
        <v>0</v>
      </c>
      <c r="DV1298" s="123"/>
      <c r="DW1298" s="123"/>
      <c r="DX1298" s="123"/>
      <c r="DY1298" s="97">
        <f t="shared" si="673"/>
        <v>0</v>
      </c>
      <c r="DZ1298" s="97">
        <f t="shared" si="674"/>
        <v>0</v>
      </c>
      <c r="EA1298" s="97">
        <f t="shared" si="675"/>
        <v>0</v>
      </c>
      <c r="EB1298" s="123"/>
      <c r="EC1298" s="123"/>
      <c r="ED1298" s="123"/>
      <c r="EE1298" s="97">
        <f t="shared" si="676"/>
        <v>0</v>
      </c>
      <c r="EF1298" s="97">
        <f t="shared" si="676"/>
        <v>0</v>
      </c>
      <c r="EG1298" s="97">
        <f t="shared" si="676"/>
        <v>0</v>
      </c>
      <c r="EH1298" s="102"/>
      <c r="EI1298" s="102"/>
      <c r="EJ1298" s="102"/>
      <c r="EK1298" s="123"/>
      <c r="EL1298" s="123"/>
      <c r="EM1298" s="123"/>
      <c r="EN1298" s="97">
        <f t="shared" si="677"/>
        <v>0</v>
      </c>
      <c r="EO1298" s="97">
        <f t="shared" si="678"/>
        <v>0</v>
      </c>
      <c r="EP1298" s="97">
        <f t="shared" si="679"/>
        <v>0</v>
      </c>
      <c r="EQ1298" s="123"/>
      <c r="ER1298" s="123"/>
      <c r="ES1298" s="123"/>
      <c r="ET1298" s="97">
        <f t="shared" si="680"/>
        <v>0</v>
      </c>
      <c r="EU1298" s="97">
        <f t="shared" si="681"/>
        <v>0</v>
      </c>
      <c r="EV1298" s="97">
        <f t="shared" si="682"/>
        <v>0</v>
      </c>
      <c r="EW1298" s="123"/>
      <c r="EX1298" s="123"/>
      <c r="EY1298" s="123"/>
      <c r="EZ1298" s="97">
        <f t="shared" si="683"/>
        <v>0</v>
      </c>
      <c r="FA1298" s="97">
        <f t="shared" si="683"/>
        <v>0</v>
      </c>
      <c r="FB1298" s="97">
        <f t="shared" si="683"/>
        <v>0</v>
      </c>
      <c r="FC1298" s="102"/>
      <c r="FD1298" s="102"/>
      <c r="FE1298" s="102"/>
      <c r="FF1298" s="123"/>
      <c r="FG1298" s="123"/>
      <c r="FH1298" s="123"/>
      <c r="FI1298" s="97">
        <f t="shared" si="684"/>
        <v>0</v>
      </c>
      <c r="FJ1298" s="97">
        <f t="shared" si="685"/>
        <v>0</v>
      </c>
      <c r="FK1298" s="97">
        <f t="shared" si="686"/>
        <v>0</v>
      </c>
      <c r="FL1298" s="123"/>
      <c r="FM1298" s="123"/>
      <c r="FN1298" s="123"/>
      <c r="FO1298" s="97">
        <f t="shared" si="687"/>
        <v>0</v>
      </c>
      <c r="FP1298" s="97">
        <f t="shared" si="688"/>
        <v>0</v>
      </c>
      <c r="FQ1298" s="97">
        <f t="shared" si="689"/>
        <v>0</v>
      </c>
      <c r="FR1298" s="123"/>
      <c r="FS1298" s="123"/>
      <c r="FT1298" s="123"/>
      <c r="FU1298" s="97">
        <f t="shared" si="690"/>
        <v>0</v>
      </c>
      <c r="FV1298" s="97">
        <f t="shared" si="690"/>
        <v>0</v>
      </c>
      <c r="FW1298" s="97">
        <f t="shared" si="690"/>
        <v>0</v>
      </c>
      <c r="FX1298" s="102"/>
      <c r="FY1298" s="102"/>
      <c r="FZ1298" s="102"/>
      <c r="GA1298" s="123"/>
      <c r="GB1298" s="123"/>
      <c r="GC1298" s="123"/>
      <c r="GD1298" s="97">
        <f t="shared" si="691"/>
        <v>0</v>
      </c>
      <c r="GE1298" s="97">
        <f t="shared" si="692"/>
        <v>0</v>
      </c>
      <c r="GF1298" s="97">
        <f t="shared" si="693"/>
        <v>0</v>
      </c>
      <c r="GG1298" s="123"/>
      <c r="GH1298" s="123"/>
      <c r="GI1298" s="123"/>
      <c r="GJ1298" s="97">
        <f t="shared" si="694"/>
        <v>0</v>
      </c>
      <c r="GK1298" s="97">
        <f t="shared" si="695"/>
        <v>0</v>
      </c>
      <c r="GL1298" s="97">
        <f t="shared" si="696"/>
        <v>0</v>
      </c>
      <c r="GM1298" s="123"/>
      <c r="GN1298" s="123"/>
      <c r="GO1298" s="123"/>
      <c r="GP1298" s="97">
        <f t="shared" si="697"/>
        <v>0</v>
      </c>
      <c r="GQ1298" s="97">
        <f t="shared" si="697"/>
        <v>0</v>
      </c>
      <c r="GR1298" s="97">
        <f t="shared" si="697"/>
        <v>0</v>
      </c>
      <c r="GS1298" s="102"/>
      <c r="GT1298" s="102"/>
      <c r="GU1298" s="102"/>
      <c r="GV1298" s="123"/>
      <c r="GW1298" s="123"/>
      <c r="GX1298" s="123"/>
      <c r="GY1298" s="97">
        <f t="shared" si="698"/>
        <v>0</v>
      </c>
      <c r="GZ1298" s="97">
        <f t="shared" si="699"/>
        <v>0</v>
      </c>
      <c r="HA1298" s="97">
        <f t="shared" si="700"/>
        <v>0</v>
      </c>
      <c r="HB1298" s="123"/>
      <c r="HC1298" s="123"/>
      <c r="HD1298" s="123"/>
      <c r="HE1298" s="97">
        <f t="shared" si="701"/>
        <v>0</v>
      </c>
      <c r="HF1298" s="97">
        <f t="shared" si="702"/>
        <v>0</v>
      </c>
      <c r="HG1298" s="97">
        <f t="shared" si="703"/>
        <v>0</v>
      </c>
      <c r="HH1298" s="123"/>
      <c r="HI1298" s="123"/>
      <c r="HJ1298" s="123"/>
      <c r="HK1298" s="97">
        <f t="shared" si="704"/>
        <v>0</v>
      </c>
      <c r="HL1298" s="97">
        <f t="shared" si="704"/>
        <v>0</v>
      </c>
      <c r="HM1298" s="97">
        <f t="shared" si="704"/>
        <v>0</v>
      </c>
      <c r="HN1298" s="102"/>
      <c r="HO1298" s="102"/>
      <c r="HP1298" s="102"/>
      <c r="HQ1298" s="123"/>
      <c r="HR1298" s="123"/>
      <c r="HS1298" s="123"/>
      <c r="HT1298" s="97">
        <f t="shared" si="705"/>
        <v>0</v>
      </c>
      <c r="HU1298" s="97">
        <f t="shared" si="706"/>
        <v>0</v>
      </c>
      <c r="HV1298" s="97">
        <f t="shared" si="707"/>
        <v>0</v>
      </c>
      <c r="HW1298" s="123"/>
      <c r="HX1298" s="123"/>
      <c r="HY1298" s="123"/>
      <c r="HZ1298" s="97">
        <f t="shared" si="708"/>
        <v>0</v>
      </c>
      <c r="IA1298" s="97">
        <f t="shared" si="709"/>
        <v>0</v>
      </c>
      <c r="IB1298" s="97">
        <f t="shared" si="710"/>
        <v>0</v>
      </c>
      <c r="IC1298" s="123"/>
      <c r="ID1298" s="123"/>
      <c r="IE1298" s="123"/>
      <c r="IF1298" s="97">
        <f t="shared" si="711"/>
        <v>0</v>
      </c>
      <c r="IG1298" s="97">
        <f t="shared" si="711"/>
        <v>0</v>
      </c>
      <c r="IH1298" s="97">
        <f t="shared" si="711"/>
        <v>0</v>
      </c>
      <c r="II1298" s="102"/>
      <c r="IJ1298" s="102"/>
      <c r="IK1298" s="102"/>
      <c r="IL1298" s="123"/>
      <c r="IM1298" s="123"/>
      <c r="IN1298" s="123"/>
      <c r="IO1298" s="97">
        <f t="shared" si="712"/>
        <v>0</v>
      </c>
      <c r="IP1298" s="97">
        <f t="shared" si="713"/>
        <v>0</v>
      </c>
      <c r="IQ1298" s="97">
        <f t="shared" si="714"/>
        <v>0</v>
      </c>
      <c r="IR1298" s="123"/>
      <c r="IS1298" s="123"/>
      <c r="IT1298" s="123"/>
      <c r="IU1298" s="97">
        <f t="shared" si="715"/>
        <v>0</v>
      </c>
      <c r="IV1298" s="97">
        <f t="shared" si="716"/>
        <v>0</v>
      </c>
      <c r="IW1298" s="97">
        <f t="shared" si="717"/>
        <v>0</v>
      </c>
      <c r="IX1298" s="123"/>
      <c r="IY1298" s="123"/>
      <c r="IZ1298" s="123"/>
      <c r="JA1298" s="97">
        <f t="shared" si="718"/>
        <v>0</v>
      </c>
      <c r="JB1298" s="97">
        <f t="shared" si="718"/>
        <v>0</v>
      </c>
      <c r="JC1298" s="97">
        <f t="shared" si="718"/>
        <v>0</v>
      </c>
      <c r="JD1298" s="102"/>
      <c r="JE1298" s="102"/>
      <c r="JF1298" s="102"/>
      <c r="JG1298" s="123"/>
      <c r="JH1298" s="123"/>
      <c r="JI1298" s="123"/>
      <c r="JJ1298" s="97">
        <f t="shared" si="719"/>
        <v>0</v>
      </c>
      <c r="JK1298" s="97">
        <f t="shared" si="720"/>
        <v>0</v>
      </c>
      <c r="JL1298" s="97">
        <f t="shared" si="721"/>
        <v>0</v>
      </c>
      <c r="JM1298" s="123"/>
      <c r="JN1298" s="123"/>
      <c r="JO1298" s="123"/>
      <c r="JP1298" s="97">
        <f t="shared" si="722"/>
        <v>0</v>
      </c>
      <c r="JQ1298" s="97">
        <f t="shared" si="723"/>
        <v>0</v>
      </c>
      <c r="JR1298" s="97">
        <f t="shared" si="724"/>
        <v>0</v>
      </c>
      <c r="JS1298" s="123"/>
      <c r="JT1298" s="123"/>
      <c r="JU1298" s="123"/>
      <c r="JV1298" s="97">
        <f t="shared" si="725"/>
        <v>0</v>
      </c>
      <c r="JW1298" s="97">
        <f t="shared" si="725"/>
        <v>0</v>
      </c>
      <c r="JX1298" s="97">
        <f t="shared" si="725"/>
        <v>0</v>
      </c>
      <c r="JY1298" s="102"/>
      <c r="JZ1298" s="102"/>
      <c r="KA1298" s="102"/>
      <c r="KB1298" s="123"/>
      <c r="KC1298" s="123"/>
      <c r="KD1298" s="123"/>
      <c r="KE1298" s="97">
        <f t="shared" si="726"/>
        <v>0</v>
      </c>
      <c r="KF1298" s="97">
        <f t="shared" si="727"/>
        <v>0</v>
      </c>
      <c r="KG1298" s="97">
        <f t="shared" si="728"/>
        <v>0</v>
      </c>
      <c r="KH1298" s="123"/>
      <c r="KI1298" s="123"/>
      <c r="KJ1298" s="123"/>
      <c r="KK1298" s="97">
        <f t="shared" si="729"/>
        <v>0</v>
      </c>
      <c r="KL1298" s="97">
        <f t="shared" si="730"/>
        <v>0</v>
      </c>
      <c r="KM1298" s="97">
        <f t="shared" si="731"/>
        <v>0</v>
      </c>
      <c r="KN1298" s="123"/>
      <c r="KO1298" s="123"/>
      <c r="KP1298" s="123"/>
      <c r="KQ1298" s="97">
        <f t="shared" si="732"/>
        <v>0</v>
      </c>
      <c r="KR1298" s="97">
        <f t="shared" si="732"/>
        <v>0</v>
      </c>
      <c r="KS1298" s="97">
        <f t="shared" si="732"/>
        <v>0</v>
      </c>
      <c r="KT1298" s="102"/>
      <c r="KU1298" s="102"/>
      <c r="KV1298" s="102"/>
      <c r="KW1298" s="123"/>
      <c r="KX1298" s="123"/>
      <c r="KY1298" s="123"/>
      <c r="KZ1298" s="97">
        <f t="shared" si="733"/>
        <v>0</v>
      </c>
      <c r="LA1298" s="97">
        <f t="shared" si="734"/>
        <v>0</v>
      </c>
      <c r="LB1298" s="97">
        <f t="shared" si="735"/>
        <v>0</v>
      </c>
      <c r="LC1298" s="123"/>
      <c r="LD1298" s="123"/>
      <c r="LE1298" s="123"/>
      <c r="LF1298" s="97">
        <f t="shared" si="736"/>
        <v>0</v>
      </c>
      <c r="LG1298" s="97">
        <f t="shared" si="737"/>
        <v>0</v>
      </c>
      <c r="LH1298" s="97">
        <f t="shared" si="738"/>
        <v>0</v>
      </c>
      <c r="LI1298" s="123"/>
      <c r="LJ1298" s="123"/>
      <c r="LK1298" s="123"/>
      <c r="LL1298" s="97">
        <f t="shared" si="739"/>
        <v>0</v>
      </c>
      <c r="LM1298" s="97">
        <f t="shared" si="739"/>
        <v>0</v>
      </c>
      <c r="LN1298" s="97">
        <f t="shared" si="739"/>
        <v>0</v>
      </c>
      <c r="LO1298" s="102"/>
      <c r="LP1298" s="102"/>
      <c r="LQ1298" s="102"/>
      <c r="LR1298" s="123"/>
      <c r="LS1298" s="123"/>
      <c r="LT1298" s="123"/>
      <c r="LU1298" s="97">
        <f t="shared" si="740"/>
        <v>0</v>
      </c>
      <c r="LV1298" s="97">
        <f t="shared" si="741"/>
        <v>0</v>
      </c>
      <c r="LW1298" s="97">
        <f t="shared" si="742"/>
        <v>0</v>
      </c>
      <c r="LX1298" s="123"/>
      <c r="LY1298" s="123"/>
      <c r="LZ1298" s="123"/>
      <c r="MA1298" s="97">
        <f t="shared" si="743"/>
        <v>0</v>
      </c>
      <c r="MB1298" s="97">
        <f t="shared" si="744"/>
        <v>0</v>
      </c>
      <c r="MC1298" s="97">
        <f t="shared" si="745"/>
        <v>0</v>
      </c>
      <c r="MD1298" s="123"/>
      <c r="ME1298" s="123"/>
      <c r="MF1298" s="123"/>
      <c r="MG1298" s="97">
        <f t="shared" si="746"/>
        <v>0</v>
      </c>
      <c r="MH1298" s="97">
        <f t="shared" si="746"/>
        <v>0</v>
      </c>
      <c r="MI1298" s="97">
        <f t="shared" si="746"/>
        <v>0</v>
      </c>
      <c r="MJ1298" s="102"/>
      <c r="MK1298" s="102"/>
      <c r="ML1298" s="102"/>
      <c r="MM1298" s="123"/>
      <c r="MN1298" s="123"/>
      <c r="MO1298" s="123"/>
      <c r="MP1298" s="97">
        <f t="shared" si="747"/>
        <v>0</v>
      </c>
      <c r="MQ1298" s="97">
        <f t="shared" si="748"/>
        <v>0</v>
      </c>
      <c r="MR1298" s="97">
        <f t="shared" si="749"/>
        <v>0</v>
      </c>
      <c r="MS1298" s="123"/>
      <c r="MT1298" s="123"/>
      <c r="MU1298" s="123"/>
      <c r="MV1298" s="97">
        <f t="shared" si="750"/>
        <v>0</v>
      </c>
      <c r="MW1298" s="97">
        <f t="shared" si="751"/>
        <v>0</v>
      </c>
      <c r="MX1298" s="97">
        <f t="shared" si="752"/>
        <v>0</v>
      </c>
      <c r="MY1298" s="123"/>
      <c r="MZ1298" s="123"/>
      <c r="NA1298" s="123"/>
      <c r="NB1298" s="97">
        <f t="shared" si="753"/>
        <v>0</v>
      </c>
      <c r="NC1298" s="97">
        <f t="shared" si="753"/>
        <v>0</v>
      </c>
      <c r="ND1298" s="97">
        <f t="shared" si="753"/>
        <v>0</v>
      </c>
      <c r="NE1298" s="102"/>
      <c r="NF1298" s="102"/>
      <c r="NG1298" s="102"/>
      <c r="NH1298" s="123"/>
      <c r="NI1298" s="123"/>
      <c r="NJ1298" s="123"/>
      <c r="NK1298" s="97">
        <f t="shared" si="754"/>
        <v>0</v>
      </c>
      <c r="NL1298" s="97">
        <f t="shared" si="755"/>
        <v>0</v>
      </c>
      <c r="NM1298" s="97">
        <f t="shared" si="756"/>
        <v>0</v>
      </c>
      <c r="NN1298" s="123"/>
      <c r="NO1298" s="123"/>
      <c r="NP1298" s="123"/>
      <c r="NQ1298" s="97">
        <f t="shared" si="757"/>
        <v>0</v>
      </c>
      <c r="NR1298" s="97">
        <f t="shared" si="758"/>
        <v>0</v>
      </c>
      <c r="NS1298" s="97">
        <f t="shared" si="759"/>
        <v>0</v>
      </c>
      <c r="NT1298" s="123"/>
      <c r="NU1298" s="123"/>
      <c r="NV1298" s="123"/>
      <c r="NW1298" s="97">
        <f t="shared" si="760"/>
        <v>0</v>
      </c>
      <c r="NX1298" s="97">
        <f t="shared" si="760"/>
        <v>0</v>
      </c>
      <c r="NY1298" s="97">
        <f t="shared" si="760"/>
        <v>0</v>
      </c>
      <c r="NZ1298" s="102"/>
      <c r="OA1298" s="102"/>
      <c r="OB1298" s="102"/>
      <c r="OC1298" s="123"/>
      <c r="OD1298" s="123"/>
      <c r="OE1298" s="123"/>
      <c r="OF1298" s="97">
        <f t="shared" si="761"/>
        <v>0</v>
      </c>
      <c r="OG1298" s="97">
        <f t="shared" si="762"/>
        <v>0</v>
      </c>
      <c r="OH1298" s="97">
        <f t="shared" si="763"/>
        <v>0</v>
      </c>
      <c r="OI1298" s="123"/>
      <c r="OJ1298" s="123"/>
      <c r="OK1298" s="123"/>
      <c r="OL1298" s="97">
        <f t="shared" si="764"/>
        <v>0</v>
      </c>
      <c r="OM1298" s="97">
        <f t="shared" si="765"/>
        <v>0</v>
      </c>
      <c r="ON1298" s="97">
        <f t="shared" si="766"/>
        <v>0</v>
      </c>
      <c r="OO1298" s="123"/>
      <c r="OP1298" s="123"/>
      <c r="OQ1298" s="123"/>
      <c r="OR1298" s="97">
        <f t="shared" si="767"/>
        <v>0</v>
      </c>
      <c r="OS1298" s="97">
        <f t="shared" si="767"/>
        <v>0</v>
      </c>
      <c r="OT1298" s="97">
        <f t="shared" si="767"/>
        <v>0</v>
      </c>
      <c r="OU1298" s="102"/>
      <c r="OV1298" s="102"/>
      <c r="OW1298" s="102"/>
      <c r="OX1298" s="123"/>
      <c r="OY1298" s="123"/>
      <c r="OZ1298" s="123"/>
      <c r="PA1298" s="97">
        <f t="shared" si="768"/>
        <v>0</v>
      </c>
      <c r="PB1298" s="97">
        <f t="shared" si="769"/>
        <v>0</v>
      </c>
      <c r="PC1298" s="97">
        <f t="shared" si="770"/>
        <v>0</v>
      </c>
      <c r="PD1298" s="123"/>
      <c r="PE1298" s="123"/>
      <c r="PF1298" s="123"/>
      <c r="PG1298" s="97">
        <f t="shared" si="771"/>
        <v>0</v>
      </c>
      <c r="PH1298" s="97">
        <f t="shared" si="772"/>
        <v>0</v>
      </c>
      <c r="PI1298" s="97">
        <f t="shared" si="773"/>
        <v>0</v>
      </c>
      <c r="PJ1298" s="123"/>
      <c r="PK1298" s="123"/>
      <c r="PL1298" s="123"/>
      <c r="PM1298" s="97">
        <f t="shared" si="774"/>
        <v>0</v>
      </c>
      <c r="PN1298" s="97">
        <f t="shared" si="774"/>
        <v>0</v>
      </c>
      <c r="PO1298" s="97">
        <f t="shared" si="774"/>
        <v>0</v>
      </c>
      <c r="PP1298" s="102"/>
      <c r="PQ1298" s="102"/>
      <c r="PR1298" s="102"/>
      <c r="PS1298" s="123"/>
      <c r="PT1298" s="123"/>
      <c r="PU1298" s="123"/>
      <c r="PV1298" s="97">
        <f t="shared" si="775"/>
        <v>0</v>
      </c>
      <c r="PW1298" s="97">
        <f t="shared" si="776"/>
        <v>0</v>
      </c>
      <c r="PX1298" s="97">
        <f t="shared" si="777"/>
        <v>0</v>
      </c>
      <c r="PY1298" s="123"/>
      <c r="PZ1298" s="123"/>
      <c r="QA1298" s="123"/>
      <c r="QB1298" s="97">
        <f t="shared" si="778"/>
        <v>0</v>
      </c>
      <c r="QC1298" s="97">
        <f t="shared" si="779"/>
        <v>0</v>
      </c>
      <c r="QD1298" s="97">
        <f t="shared" si="780"/>
        <v>0</v>
      </c>
      <c r="QE1298" s="123"/>
      <c r="QF1298" s="123"/>
      <c r="QG1298" s="123"/>
      <c r="QH1298" s="97">
        <f t="shared" si="781"/>
        <v>0</v>
      </c>
      <c r="QI1298" s="97">
        <f t="shared" si="781"/>
        <v>0</v>
      </c>
      <c r="QJ1298" s="97">
        <f t="shared" si="781"/>
        <v>0</v>
      </c>
      <c r="QK1298" s="102"/>
      <c r="QL1298" s="102"/>
      <c r="QM1298" s="102"/>
      <c r="QN1298" s="123"/>
      <c r="QO1298" s="123"/>
      <c r="QP1298" s="123"/>
      <c r="QQ1298" s="97">
        <f t="shared" si="782"/>
        <v>0</v>
      </c>
      <c r="QR1298" s="97">
        <f t="shared" si="783"/>
        <v>0</v>
      </c>
      <c r="QS1298" s="97">
        <f t="shared" si="784"/>
        <v>0</v>
      </c>
      <c r="QT1298" s="123"/>
      <c r="QU1298" s="123"/>
      <c r="QV1298" s="123"/>
      <c r="QW1298" s="97">
        <f t="shared" si="785"/>
        <v>0</v>
      </c>
      <c r="QX1298" s="97">
        <f t="shared" si="786"/>
        <v>0</v>
      </c>
      <c r="QY1298" s="97">
        <f t="shared" si="787"/>
        <v>0</v>
      </c>
      <c r="QZ1298" s="123"/>
      <c r="RA1298" s="123"/>
      <c r="RB1298" s="123"/>
      <c r="RC1298" s="97">
        <f t="shared" si="788"/>
        <v>0</v>
      </c>
      <c r="RD1298" s="97">
        <f t="shared" si="788"/>
        <v>0</v>
      </c>
      <c r="RE1298" s="97">
        <f t="shared" si="788"/>
        <v>0</v>
      </c>
      <c r="RF1298" s="102"/>
      <c r="RG1298" s="102"/>
      <c r="RH1298" s="102"/>
      <c r="RI1298" s="123"/>
      <c r="RJ1298" s="123"/>
      <c r="RK1298" s="123"/>
      <c r="RL1298" s="97">
        <f t="shared" si="789"/>
        <v>0</v>
      </c>
      <c r="RM1298" s="97">
        <f t="shared" si="790"/>
        <v>0</v>
      </c>
      <c r="RN1298" s="97">
        <f t="shared" si="791"/>
        <v>0</v>
      </c>
      <c r="RO1298" s="123"/>
      <c r="RP1298" s="123"/>
      <c r="RQ1298" s="123"/>
      <c r="RR1298" s="97">
        <f t="shared" si="792"/>
        <v>0</v>
      </c>
      <c r="RS1298" s="97">
        <f t="shared" si="793"/>
        <v>0</v>
      </c>
      <c r="RT1298" s="97">
        <f t="shared" si="794"/>
        <v>0</v>
      </c>
      <c r="RU1298" s="123"/>
      <c r="RV1298" s="123"/>
      <c r="RW1298" s="123"/>
      <c r="RX1298" s="97">
        <f t="shared" si="795"/>
        <v>0</v>
      </c>
      <c r="RY1298" s="97">
        <f t="shared" si="795"/>
        <v>0</v>
      </c>
      <c r="RZ1298" s="97">
        <f t="shared" si="795"/>
        <v>0</v>
      </c>
      <c r="SA1298" s="102"/>
      <c r="SB1298" s="102"/>
      <c r="SC1298" s="102"/>
      <c r="SD1298" s="123"/>
      <c r="SE1298" s="123"/>
      <c r="SF1298" s="123"/>
      <c r="SG1298" s="97">
        <f t="shared" si="796"/>
        <v>0</v>
      </c>
      <c r="SH1298" s="97">
        <f t="shared" si="797"/>
        <v>0</v>
      </c>
      <c r="SI1298" s="97">
        <f t="shared" si="798"/>
        <v>0</v>
      </c>
      <c r="SJ1298" s="123"/>
      <c r="SK1298" s="123"/>
      <c r="SL1298" s="123"/>
      <c r="SM1298" s="97">
        <f t="shared" si="799"/>
        <v>0</v>
      </c>
      <c r="SN1298" s="97">
        <f t="shared" si="800"/>
        <v>0</v>
      </c>
      <c r="SO1298" s="97">
        <f t="shared" si="801"/>
        <v>0</v>
      </c>
      <c r="SP1298" s="123"/>
      <c r="SQ1298" s="123"/>
      <c r="SR1298" s="123"/>
      <c r="SS1298" s="97">
        <f t="shared" si="802"/>
        <v>0</v>
      </c>
      <c r="ST1298" s="97">
        <f t="shared" si="802"/>
        <v>0</v>
      </c>
      <c r="SU1298" s="97">
        <f t="shared" si="802"/>
        <v>0</v>
      </c>
      <c r="SV1298" s="102"/>
      <c r="SW1298" s="102"/>
      <c r="SX1298" s="102"/>
      <c r="SY1298" s="123"/>
      <c r="SZ1298" s="123"/>
      <c r="TA1298" s="123"/>
      <c r="TB1298" s="97">
        <f t="shared" si="803"/>
        <v>0</v>
      </c>
      <c r="TC1298" s="97">
        <f t="shared" si="804"/>
        <v>0</v>
      </c>
      <c r="TD1298" s="97">
        <f t="shared" si="805"/>
        <v>0</v>
      </c>
      <c r="TE1298" s="123"/>
      <c r="TF1298" s="123"/>
      <c r="TG1298" s="123"/>
      <c r="TH1298" s="97">
        <f t="shared" si="806"/>
        <v>0</v>
      </c>
      <c r="TI1298" s="97">
        <f t="shared" si="807"/>
        <v>0</v>
      </c>
      <c r="TJ1298" s="97">
        <f t="shared" si="808"/>
        <v>0</v>
      </c>
      <c r="TK1298" s="123"/>
      <c r="TL1298" s="123"/>
      <c r="TM1298" s="123"/>
      <c r="TN1298" s="97">
        <f t="shared" si="809"/>
        <v>0</v>
      </c>
      <c r="TO1298" s="97">
        <f t="shared" si="809"/>
        <v>0</v>
      </c>
      <c r="TP1298" s="97">
        <f t="shared" si="809"/>
        <v>0</v>
      </c>
      <c r="TQ1298" s="102"/>
      <c r="TR1298" s="102"/>
      <c r="TS1298" s="102"/>
      <c r="TT1298" s="123"/>
      <c r="TU1298" s="123"/>
      <c r="TV1298" s="123"/>
      <c r="TW1298" s="97">
        <f t="shared" si="810"/>
        <v>0</v>
      </c>
      <c r="TX1298" s="97">
        <f t="shared" si="811"/>
        <v>0</v>
      </c>
      <c r="TY1298" s="97">
        <f t="shared" si="812"/>
        <v>0</v>
      </c>
      <c r="TZ1298" s="123"/>
      <c r="UA1298" s="123"/>
      <c r="UB1298" s="123"/>
      <c r="UC1298" s="97">
        <f t="shared" si="813"/>
        <v>0</v>
      </c>
      <c r="UD1298" s="97">
        <f t="shared" si="814"/>
        <v>0</v>
      </c>
      <c r="UE1298" s="97">
        <f t="shared" si="815"/>
        <v>0</v>
      </c>
      <c r="UF1298" s="123"/>
      <c r="UG1298" s="123"/>
      <c r="UH1298" s="123"/>
      <c r="UI1298" s="97">
        <f t="shared" si="816"/>
        <v>0</v>
      </c>
      <c r="UJ1298" s="97">
        <f t="shared" si="816"/>
        <v>0</v>
      </c>
      <c r="UK1298" s="97">
        <f t="shared" si="816"/>
        <v>0</v>
      </c>
      <c r="UL1298" s="102"/>
      <c r="UM1298" s="102"/>
      <c r="UN1298" s="102"/>
      <c r="UO1298" s="123"/>
      <c r="UP1298" s="123"/>
      <c r="UQ1298" s="123"/>
      <c r="UR1298" s="97">
        <f t="shared" si="817"/>
        <v>0</v>
      </c>
      <c r="US1298" s="97">
        <f t="shared" si="818"/>
        <v>0</v>
      </c>
      <c r="UT1298" s="97">
        <f t="shared" si="819"/>
        <v>0</v>
      </c>
      <c r="UU1298" s="123"/>
      <c r="UV1298" s="123"/>
      <c r="UW1298" s="123"/>
      <c r="UX1298" s="97">
        <f t="shared" si="820"/>
        <v>4101.42</v>
      </c>
      <c r="UY1298" s="97">
        <f t="shared" si="821"/>
        <v>4185.24</v>
      </c>
      <c r="UZ1298" s="97">
        <f t="shared" si="822"/>
        <v>4345</v>
      </c>
      <c r="VA1298" s="123"/>
      <c r="VB1298" s="123"/>
      <c r="VC1298" s="123"/>
      <c r="VD1298" s="97">
        <f t="shared" si="823"/>
        <v>0</v>
      </c>
      <c r="VE1298" s="97">
        <f t="shared" si="823"/>
        <v>0</v>
      </c>
      <c r="VF1298" s="97">
        <f t="shared" si="823"/>
        <v>0</v>
      </c>
      <c r="VG1298" s="102"/>
      <c r="VH1298" s="102"/>
      <c r="VI1298" s="102"/>
      <c r="VJ1298" s="123"/>
      <c r="VK1298" s="123"/>
      <c r="VL1298" s="123"/>
      <c r="VM1298" s="97">
        <f t="shared" si="824"/>
        <v>0</v>
      </c>
      <c r="VN1298" s="97">
        <f t="shared" si="825"/>
        <v>0</v>
      </c>
      <c r="VO1298" s="97">
        <f t="shared" si="826"/>
        <v>0</v>
      </c>
      <c r="VP1298" s="123"/>
      <c r="VQ1298" s="123"/>
      <c r="VR1298" s="123"/>
      <c r="VS1298" s="97">
        <f t="shared" si="827"/>
        <v>0</v>
      </c>
      <c r="VT1298" s="97">
        <f t="shared" si="828"/>
        <v>0</v>
      </c>
      <c r="VU1298" s="97">
        <f t="shared" si="829"/>
        <v>0</v>
      </c>
      <c r="VV1298" s="123"/>
      <c r="VW1298" s="123"/>
      <c r="VX1298" s="123"/>
      <c r="VY1298" s="97">
        <f t="shared" si="830"/>
        <v>0</v>
      </c>
      <c r="VZ1298" s="97">
        <f t="shared" si="830"/>
        <v>0</v>
      </c>
      <c r="WA1298" s="97">
        <f t="shared" si="830"/>
        <v>0</v>
      </c>
      <c r="WB1298" s="102"/>
      <c r="WC1298" s="102"/>
      <c r="WD1298" s="102"/>
      <c r="WE1298" s="123"/>
      <c r="WF1298" s="123"/>
      <c r="WG1298" s="123"/>
      <c r="WH1298" s="97">
        <f t="shared" si="831"/>
        <v>0</v>
      </c>
      <c r="WI1298" s="97">
        <f t="shared" si="832"/>
        <v>0</v>
      </c>
      <c r="WJ1298" s="97">
        <f t="shared" si="833"/>
        <v>0</v>
      </c>
      <c r="WK1298" s="123"/>
      <c r="WL1298" s="123"/>
      <c r="WM1298" s="123"/>
      <c r="WN1298" s="97">
        <f t="shared" si="834"/>
        <v>0</v>
      </c>
      <c r="WO1298" s="97">
        <f t="shared" si="835"/>
        <v>0</v>
      </c>
      <c r="WP1298" s="97">
        <f t="shared" si="836"/>
        <v>0</v>
      </c>
      <c r="WQ1298" s="123"/>
      <c r="WR1298" s="123"/>
      <c r="WS1298" s="123"/>
      <c r="WT1298" s="97">
        <f t="shared" si="837"/>
        <v>0</v>
      </c>
      <c r="WU1298" s="97">
        <f t="shared" si="837"/>
        <v>0</v>
      </c>
      <c r="WV1298" s="97">
        <f t="shared" si="837"/>
        <v>0</v>
      </c>
      <c r="WW1298" s="102"/>
      <c r="WX1298" s="102"/>
      <c r="WY1298" s="102"/>
      <c r="WZ1298" s="123"/>
      <c r="XA1298" s="123"/>
      <c r="XB1298" s="123"/>
      <c r="XC1298" s="97">
        <f t="shared" si="838"/>
        <v>0</v>
      </c>
      <c r="XD1298" s="97">
        <f t="shared" si="839"/>
        <v>0</v>
      </c>
      <c r="XE1298" s="97">
        <f t="shared" si="840"/>
        <v>0</v>
      </c>
      <c r="XF1298" s="123"/>
      <c r="XG1298" s="123"/>
      <c r="XH1298" s="123"/>
      <c r="XI1298" s="97">
        <f t="shared" si="841"/>
        <v>0</v>
      </c>
      <c r="XJ1298" s="97">
        <f t="shared" si="842"/>
        <v>0</v>
      </c>
      <c r="XK1298" s="97">
        <f t="shared" si="843"/>
        <v>0</v>
      </c>
      <c r="XL1298" s="123"/>
      <c r="XM1298" s="123"/>
      <c r="XN1298" s="123"/>
      <c r="XO1298" s="97">
        <f t="shared" si="844"/>
        <v>0</v>
      </c>
      <c r="XP1298" s="97">
        <f t="shared" si="844"/>
        <v>0</v>
      </c>
      <c r="XQ1298" s="97">
        <f t="shared" si="844"/>
        <v>0</v>
      </c>
      <c r="XR1298" s="102"/>
      <c r="XS1298" s="102"/>
      <c r="XT1298" s="102"/>
      <c r="XU1298" s="123"/>
      <c r="XV1298" s="123"/>
      <c r="XW1298" s="123"/>
      <c r="XX1298" s="97">
        <f t="shared" si="845"/>
        <v>0</v>
      </c>
      <c r="XY1298" s="97">
        <f t="shared" si="846"/>
        <v>0</v>
      </c>
      <c r="XZ1298" s="97">
        <f t="shared" si="847"/>
        <v>0</v>
      </c>
      <c r="YA1298" s="123"/>
      <c r="YB1298" s="123"/>
      <c r="YC1298" s="123"/>
      <c r="YD1298" s="97">
        <f t="shared" si="848"/>
        <v>0</v>
      </c>
      <c r="YE1298" s="97">
        <f t="shared" si="849"/>
        <v>0</v>
      </c>
      <c r="YF1298" s="97">
        <f t="shared" si="850"/>
        <v>0</v>
      </c>
      <c r="YG1298" s="123"/>
      <c r="YH1298" s="123"/>
      <c r="YI1298" s="123"/>
      <c r="YJ1298" s="97">
        <f t="shared" si="851"/>
        <v>0</v>
      </c>
      <c r="YK1298" s="97">
        <f t="shared" si="851"/>
        <v>0</v>
      </c>
      <c r="YL1298" s="97">
        <f t="shared" si="851"/>
        <v>0</v>
      </c>
      <c r="YM1298" s="145">
        <f t="shared" si="852"/>
        <v>0</v>
      </c>
      <c r="YN1298" s="145">
        <f t="shared" si="852"/>
        <v>0</v>
      </c>
      <c r="YO1298" s="145">
        <f t="shared" si="852"/>
        <v>0</v>
      </c>
      <c r="YP1298" s="123"/>
      <c r="YQ1298" s="123"/>
      <c r="YR1298" s="123"/>
      <c r="YS1298" s="97">
        <f t="shared" si="853"/>
        <v>0</v>
      </c>
      <c r="YT1298" s="97">
        <f t="shared" si="854"/>
        <v>0</v>
      </c>
      <c r="YU1298" s="97">
        <f t="shared" si="855"/>
        <v>0</v>
      </c>
      <c r="YV1298" s="123"/>
      <c r="YW1298" s="123"/>
      <c r="YX1298" s="123"/>
      <c r="YY1298" s="97">
        <f t="shared" si="856"/>
        <v>4101.42</v>
      </c>
      <c r="YZ1298" s="97">
        <f t="shared" si="857"/>
        <v>4185.24</v>
      </c>
      <c r="ZA1298" s="97">
        <f t="shared" si="858"/>
        <v>4345</v>
      </c>
      <c r="ZB1298" s="123"/>
      <c r="ZC1298" s="123"/>
      <c r="ZD1298" s="123"/>
      <c r="ZE1298" s="97">
        <f t="shared" si="859"/>
        <v>0</v>
      </c>
      <c r="ZF1298" s="97">
        <f t="shared" si="859"/>
        <v>0</v>
      </c>
      <c r="ZG1298" s="97">
        <f t="shared" si="859"/>
        <v>0</v>
      </c>
    </row>
    <row r="1299" spans="1:683" ht="24" hidden="1" x14ac:dyDescent="0.25">
      <c r="A1299" s="12" t="s">
        <v>704</v>
      </c>
      <c r="B1299" s="174" t="s">
        <v>434</v>
      </c>
      <c r="C1299" s="5"/>
      <c r="D1299" s="340"/>
      <c r="E1299" s="163"/>
      <c r="F1299" s="110"/>
      <c r="G1299" s="110"/>
      <c r="H1299" s="110"/>
      <c r="I1299" s="97">
        <f t="shared" si="636"/>
        <v>24133.919999999998</v>
      </c>
      <c r="J1299" s="97">
        <f t="shared" si="860"/>
        <v>24133.919999999998</v>
      </c>
      <c r="K1299" s="97">
        <f t="shared" si="861"/>
        <v>24133.919999999998</v>
      </c>
      <c r="L1299" s="102"/>
      <c r="M1299" s="102"/>
      <c r="N1299" s="102"/>
      <c r="O1299" s="123"/>
      <c r="P1299" s="123"/>
      <c r="Q1299" s="123"/>
      <c r="R1299" s="97">
        <f t="shared" si="862"/>
        <v>0</v>
      </c>
      <c r="S1299" s="97">
        <f t="shared" si="863"/>
        <v>0</v>
      </c>
      <c r="T1299" s="97">
        <f t="shared" si="864"/>
        <v>0</v>
      </c>
      <c r="U1299" s="123"/>
      <c r="V1299" s="123"/>
      <c r="W1299" s="123"/>
      <c r="X1299" s="97">
        <f t="shared" si="638"/>
        <v>0</v>
      </c>
      <c r="Y1299" s="97">
        <f t="shared" si="639"/>
        <v>0</v>
      </c>
      <c r="Z1299" s="97">
        <f t="shared" si="640"/>
        <v>0</v>
      </c>
      <c r="AA1299" s="123"/>
      <c r="AB1299" s="123"/>
      <c r="AC1299" s="123"/>
      <c r="AD1299" s="97">
        <f t="shared" si="641"/>
        <v>0</v>
      </c>
      <c r="AE1299" s="97">
        <f t="shared" si="641"/>
        <v>0</v>
      </c>
      <c r="AF1299" s="97">
        <f t="shared" si="641"/>
        <v>0</v>
      </c>
      <c r="AG1299" s="102"/>
      <c r="AH1299" s="102"/>
      <c r="AI1299" s="102"/>
      <c r="AJ1299" s="123"/>
      <c r="AK1299" s="123"/>
      <c r="AL1299" s="123"/>
      <c r="AM1299" s="97">
        <f t="shared" si="642"/>
        <v>0</v>
      </c>
      <c r="AN1299" s="97">
        <f t="shared" si="643"/>
        <v>0</v>
      </c>
      <c r="AO1299" s="97">
        <f t="shared" si="644"/>
        <v>0</v>
      </c>
      <c r="AP1299" s="123"/>
      <c r="AQ1299" s="123"/>
      <c r="AR1299" s="123"/>
      <c r="AS1299" s="97">
        <f t="shared" si="645"/>
        <v>0</v>
      </c>
      <c r="AT1299" s="97">
        <f t="shared" si="646"/>
        <v>0</v>
      </c>
      <c r="AU1299" s="97">
        <f t="shared" si="647"/>
        <v>0</v>
      </c>
      <c r="AV1299" s="123"/>
      <c r="AW1299" s="123"/>
      <c r="AX1299" s="123"/>
      <c r="AY1299" s="97">
        <f t="shared" si="648"/>
        <v>0</v>
      </c>
      <c r="AZ1299" s="97">
        <f t="shared" si="648"/>
        <v>0</v>
      </c>
      <c r="BA1299" s="97">
        <f t="shared" si="648"/>
        <v>0</v>
      </c>
      <c r="BB1299" s="102"/>
      <c r="BC1299" s="102"/>
      <c r="BD1299" s="102"/>
      <c r="BE1299" s="123"/>
      <c r="BF1299" s="123"/>
      <c r="BG1299" s="123"/>
      <c r="BH1299" s="97">
        <f t="shared" si="649"/>
        <v>0</v>
      </c>
      <c r="BI1299" s="97">
        <f t="shared" si="650"/>
        <v>0</v>
      </c>
      <c r="BJ1299" s="97">
        <f t="shared" si="651"/>
        <v>0</v>
      </c>
      <c r="BK1299" s="123"/>
      <c r="BL1299" s="123"/>
      <c r="BM1299" s="123"/>
      <c r="BN1299" s="97">
        <f t="shared" si="652"/>
        <v>0</v>
      </c>
      <c r="BO1299" s="97">
        <f t="shared" si="653"/>
        <v>0</v>
      </c>
      <c r="BP1299" s="97">
        <f t="shared" si="654"/>
        <v>0</v>
      </c>
      <c r="BQ1299" s="123"/>
      <c r="BR1299" s="123"/>
      <c r="BS1299" s="123"/>
      <c r="BT1299" s="97">
        <f t="shared" si="655"/>
        <v>0</v>
      </c>
      <c r="BU1299" s="97">
        <f t="shared" si="655"/>
        <v>0</v>
      </c>
      <c r="BV1299" s="97">
        <f t="shared" si="655"/>
        <v>0</v>
      </c>
      <c r="BW1299" s="102"/>
      <c r="BX1299" s="102"/>
      <c r="BY1299" s="102"/>
      <c r="BZ1299" s="123"/>
      <c r="CA1299" s="123"/>
      <c r="CB1299" s="123"/>
      <c r="CC1299" s="97">
        <f t="shared" si="656"/>
        <v>0</v>
      </c>
      <c r="CD1299" s="97">
        <f t="shared" si="657"/>
        <v>0</v>
      </c>
      <c r="CE1299" s="97">
        <f t="shared" si="658"/>
        <v>0</v>
      </c>
      <c r="CF1299" s="123"/>
      <c r="CG1299" s="123"/>
      <c r="CH1299" s="123"/>
      <c r="CI1299" s="97">
        <f t="shared" si="659"/>
        <v>0</v>
      </c>
      <c r="CJ1299" s="97">
        <f t="shared" si="660"/>
        <v>0</v>
      </c>
      <c r="CK1299" s="97">
        <f t="shared" si="661"/>
        <v>0</v>
      </c>
      <c r="CL1299" s="123"/>
      <c r="CM1299" s="123"/>
      <c r="CN1299" s="123"/>
      <c r="CO1299" s="97">
        <f t="shared" si="662"/>
        <v>0</v>
      </c>
      <c r="CP1299" s="97">
        <f t="shared" si="662"/>
        <v>0</v>
      </c>
      <c r="CQ1299" s="97">
        <f t="shared" si="662"/>
        <v>0</v>
      </c>
      <c r="CR1299" s="102"/>
      <c r="CS1299" s="102"/>
      <c r="CT1299" s="102"/>
      <c r="CU1299" s="123"/>
      <c r="CV1299" s="123"/>
      <c r="CW1299" s="123"/>
      <c r="CX1299" s="97">
        <f t="shared" si="663"/>
        <v>0</v>
      </c>
      <c r="CY1299" s="97">
        <f t="shared" si="664"/>
        <v>0</v>
      </c>
      <c r="CZ1299" s="97">
        <f t="shared" si="665"/>
        <v>0</v>
      </c>
      <c r="DA1299" s="123"/>
      <c r="DB1299" s="123"/>
      <c r="DC1299" s="123"/>
      <c r="DD1299" s="97">
        <f t="shared" si="666"/>
        <v>0</v>
      </c>
      <c r="DE1299" s="97">
        <f t="shared" si="667"/>
        <v>0</v>
      </c>
      <c r="DF1299" s="97">
        <f t="shared" si="668"/>
        <v>0</v>
      </c>
      <c r="DG1299" s="123"/>
      <c r="DH1299" s="123"/>
      <c r="DI1299" s="123"/>
      <c r="DJ1299" s="97">
        <f t="shared" si="669"/>
        <v>0</v>
      </c>
      <c r="DK1299" s="97">
        <f t="shared" si="669"/>
        <v>0</v>
      </c>
      <c r="DL1299" s="97">
        <f t="shared" si="669"/>
        <v>0</v>
      </c>
      <c r="DM1299" s="102"/>
      <c r="DN1299" s="102"/>
      <c r="DO1299" s="102"/>
      <c r="DP1299" s="123"/>
      <c r="DQ1299" s="123"/>
      <c r="DR1299" s="123"/>
      <c r="DS1299" s="97">
        <f t="shared" si="670"/>
        <v>0</v>
      </c>
      <c r="DT1299" s="97">
        <f t="shared" si="671"/>
        <v>0</v>
      </c>
      <c r="DU1299" s="97">
        <f t="shared" si="672"/>
        <v>0</v>
      </c>
      <c r="DV1299" s="123"/>
      <c r="DW1299" s="123"/>
      <c r="DX1299" s="123"/>
      <c r="DY1299" s="97">
        <f t="shared" si="673"/>
        <v>0</v>
      </c>
      <c r="DZ1299" s="97">
        <f t="shared" si="674"/>
        <v>0</v>
      </c>
      <c r="EA1299" s="97">
        <f t="shared" si="675"/>
        <v>0</v>
      </c>
      <c r="EB1299" s="123"/>
      <c r="EC1299" s="123"/>
      <c r="ED1299" s="123"/>
      <c r="EE1299" s="97">
        <f t="shared" si="676"/>
        <v>0</v>
      </c>
      <c r="EF1299" s="97">
        <f t="shared" si="676"/>
        <v>0</v>
      </c>
      <c r="EG1299" s="97">
        <f t="shared" si="676"/>
        <v>0</v>
      </c>
      <c r="EH1299" s="102"/>
      <c r="EI1299" s="102"/>
      <c r="EJ1299" s="102"/>
      <c r="EK1299" s="123"/>
      <c r="EL1299" s="123"/>
      <c r="EM1299" s="123"/>
      <c r="EN1299" s="97">
        <f t="shared" si="677"/>
        <v>0</v>
      </c>
      <c r="EO1299" s="97">
        <f t="shared" si="678"/>
        <v>0</v>
      </c>
      <c r="EP1299" s="97">
        <f t="shared" si="679"/>
        <v>0</v>
      </c>
      <c r="EQ1299" s="123"/>
      <c r="ER1299" s="123"/>
      <c r="ES1299" s="123"/>
      <c r="ET1299" s="97">
        <f t="shared" si="680"/>
        <v>0</v>
      </c>
      <c r="EU1299" s="97">
        <f t="shared" si="681"/>
        <v>0</v>
      </c>
      <c r="EV1299" s="97">
        <f t="shared" si="682"/>
        <v>0</v>
      </c>
      <c r="EW1299" s="123"/>
      <c r="EX1299" s="123"/>
      <c r="EY1299" s="123"/>
      <c r="EZ1299" s="97">
        <f t="shared" si="683"/>
        <v>0</v>
      </c>
      <c r="FA1299" s="97">
        <f t="shared" si="683"/>
        <v>0</v>
      </c>
      <c r="FB1299" s="97">
        <f t="shared" si="683"/>
        <v>0</v>
      </c>
      <c r="FC1299" s="102"/>
      <c r="FD1299" s="102"/>
      <c r="FE1299" s="102"/>
      <c r="FF1299" s="123"/>
      <c r="FG1299" s="123"/>
      <c r="FH1299" s="123"/>
      <c r="FI1299" s="97">
        <f t="shared" si="684"/>
        <v>0</v>
      </c>
      <c r="FJ1299" s="97">
        <f t="shared" si="685"/>
        <v>0</v>
      </c>
      <c r="FK1299" s="97">
        <f t="shared" si="686"/>
        <v>0</v>
      </c>
      <c r="FL1299" s="123"/>
      <c r="FM1299" s="123"/>
      <c r="FN1299" s="123"/>
      <c r="FO1299" s="97">
        <f t="shared" si="687"/>
        <v>0</v>
      </c>
      <c r="FP1299" s="97">
        <f t="shared" si="688"/>
        <v>0</v>
      </c>
      <c r="FQ1299" s="97">
        <f t="shared" si="689"/>
        <v>0</v>
      </c>
      <c r="FR1299" s="123"/>
      <c r="FS1299" s="123"/>
      <c r="FT1299" s="123"/>
      <c r="FU1299" s="97">
        <f t="shared" si="690"/>
        <v>0</v>
      </c>
      <c r="FV1299" s="97">
        <f t="shared" si="690"/>
        <v>0</v>
      </c>
      <c r="FW1299" s="97">
        <f t="shared" si="690"/>
        <v>0</v>
      </c>
      <c r="FX1299" s="102"/>
      <c r="FY1299" s="102"/>
      <c r="FZ1299" s="102"/>
      <c r="GA1299" s="123"/>
      <c r="GB1299" s="123"/>
      <c r="GC1299" s="123"/>
      <c r="GD1299" s="97">
        <f t="shared" si="691"/>
        <v>0</v>
      </c>
      <c r="GE1299" s="97">
        <f t="shared" si="692"/>
        <v>0</v>
      </c>
      <c r="GF1299" s="97">
        <f t="shared" si="693"/>
        <v>0</v>
      </c>
      <c r="GG1299" s="123"/>
      <c r="GH1299" s="123"/>
      <c r="GI1299" s="123"/>
      <c r="GJ1299" s="97">
        <f t="shared" si="694"/>
        <v>0</v>
      </c>
      <c r="GK1299" s="97">
        <f t="shared" si="695"/>
        <v>0</v>
      </c>
      <c r="GL1299" s="97">
        <f t="shared" si="696"/>
        <v>0</v>
      </c>
      <c r="GM1299" s="123"/>
      <c r="GN1299" s="123"/>
      <c r="GO1299" s="123"/>
      <c r="GP1299" s="97">
        <f t="shared" si="697"/>
        <v>0</v>
      </c>
      <c r="GQ1299" s="97">
        <f t="shared" si="697"/>
        <v>0</v>
      </c>
      <c r="GR1299" s="97">
        <f t="shared" si="697"/>
        <v>0</v>
      </c>
      <c r="GS1299" s="102"/>
      <c r="GT1299" s="102"/>
      <c r="GU1299" s="102"/>
      <c r="GV1299" s="123"/>
      <c r="GW1299" s="123"/>
      <c r="GX1299" s="123"/>
      <c r="GY1299" s="97">
        <f t="shared" si="698"/>
        <v>0</v>
      </c>
      <c r="GZ1299" s="97">
        <f t="shared" si="699"/>
        <v>0</v>
      </c>
      <c r="HA1299" s="97">
        <f t="shared" si="700"/>
        <v>0</v>
      </c>
      <c r="HB1299" s="123"/>
      <c r="HC1299" s="123"/>
      <c r="HD1299" s="123"/>
      <c r="HE1299" s="97">
        <f t="shared" si="701"/>
        <v>0</v>
      </c>
      <c r="HF1299" s="97">
        <f t="shared" si="702"/>
        <v>0</v>
      </c>
      <c r="HG1299" s="97">
        <f t="shared" si="703"/>
        <v>0</v>
      </c>
      <c r="HH1299" s="123"/>
      <c r="HI1299" s="123"/>
      <c r="HJ1299" s="123"/>
      <c r="HK1299" s="97">
        <f t="shared" si="704"/>
        <v>0</v>
      </c>
      <c r="HL1299" s="97">
        <f t="shared" si="704"/>
        <v>0</v>
      </c>
      <c r="HM1299" s="97">
        <f t="shared" si="704"/>
        <v>0</v>
      </c>
      <c r="HN1299" s="102"/>
      <c r="HO1299" s="102"/>
      <c r="HP1299" s="102"/>
      <c r="HQ1299" s="123"/>
      <c r="HR1299" s="123"/>
      <c r="HS1299" s="123"/>
      <c r="HT1299" s="97">
        <f t="shared" si="705"/>
        <v>0</v>
      </c>
      <c r="HU1299" s="97">
        <f t="shared" si="706"/>
        <v>0</v>
      </c>
      <c r="HV1299" s="97">
        <f t="shared" si="707"/>
        <v>0</v>
      </c>
      <c r="HW1299" s="123"/>
      <c r="HX1299" s="123"/>
      <c r="HY1299" s="123"/>
      <c r="HZ1299" s="97">
        <f t="shared" si="708"/>
        <v>0</v>
      </c>
      <c r="IA1299" s="97">
        <f t="shared" si="709"/>
        <v>0</v>
      </c>
      <c r="IB1299" s="97">
        <f t="shared" si="710"/>
        <v>0</v>
      </c>
      <c r="IC1299" s="123"/>
      <c r="ID1299" s="123"/>
      <c r="IE1299" s="123"/>
      <c r="IF1299" s="97">
        <f t="shared" si="711"/>
        <v>0</v>
      </c>
      <c r="IG1299" s="97">
        <f t="shared" si="711"/>
        <v>0</v>
      </c>
      <c r="IH1299" s="97">
        <f t="shared" si="711"/>
        <v>0</v>
      </c>
      <c r="II1299" s="102"/>
      <c r="IJ1299" s="102"/>
      <c r="IK1299" s="102"/>
      <c r="IL1299" s="123"/>
      <c r="IM1299" s="123"/>
      <c r="IN1299" s="123"/>
      <c r="IO1299" s="97">
        <f t="shared" si="712"/>
        <v>0</v>
      </c>
      <c r="IP1299" s="97">
        <f t="shared" si="713"/>
        <v>0</v>
      </c>
      <c r="IQ1299" s="97">
        <f t="shared" si="714"/>
        <v>0</v>
      </c>
      <c r="IR1299" s="123"/>
      <c r="IS1299" s="123"/>
      <c r="IT1299" s="123"/>
      <c r="IU1299" s="97">
        <f t="shared" si="715"/>
        <v>0</v>
      </c>
      <c r="IV1299" s="97">
        <f t="shared" si="716"/>
        <v>0</v>
      </c>
      <c r="IW1299" s="97">
        <f t="shared" si="717"/>
        <v>0</v>
      </c>
      <c r="IX1299" s="123"/>
      <c r="IY1299" s="123"/>
      <c r="IZ1299" s="123"/>
      <c r="JA1299" s="97">
        <f t="shared" si="718"/>
        <v>0</v>
      </c>
      <c r="JB1299" s="97">
        <f t="shared" si="718"/>
        <v>0</v>
      </c>
      <c r="JC1299" s="97">
        <f t="shared" si="718"/>
        <v>0</v>
      </c>
      <c r="JD1299" s="102"/>
      <c r="JE1299" s="102"/>
      <c r="JF1299" s="102"/>
      <c r="JG1299" s="123"/>
      <c r="JH1299" s="123"/>
      <c r="JI1299" s="123"/>
      <c r="JJ1299" s="97">
        <f t="shared" si="719"/>
        <v>0</v>
      </c>
      <c r="JK1299" s="97">
        <f t="shared" si="720"/>
        <v>0</v>
      </c>
      <c r="JL1299" s="97">
        <f t="shared" si="721"/>
        <v>0</v>
      </c>
      <c r="JM1299" s="123"/>
      <c r="JN1299" s="123"/>
      <c r="JO1299" s="123"/>
      <c r="JP1299" s="97">
        <f t="shared" si="722"/>
        <v>0</v>
      </c>
      <c r="JQ1299" s="97">
        <f t="shared" si="723"/>
        <v>0</v>
      </c>
      <c r="JR1299" s="97">
        <f t="shared" si="724"/>
        <v>0</v>
      </c>
      <c r="JS1299" s="123"/>
      <c r="JT1299" s="123"/>
      <c r="JU1299" s="123"/>
      <c r="JV1299" s="97">
        <f t="shared" si="725"/>
        <v>0</v>
      </c>
      <c r="JW1299" s="97">
        <f t="shared" si="725"/>
        <v>0</v>
      </c>
      <c r="JX1299" s="97">
        <f t="shared" si="725"/>
        <v>0</v>
      </c>
      <c r="JY1299" s="102"/>
      <c r="JZ1299" s="102"/>
      <c r="KA1299" s="102"/>
      <c r="KB1299" s="123"/>
      <c r="KC1299" s="123"/>
      <c r="KD1299" s="123"/>
      <c r="KE1299" s="97">
        <f t="shared" si="726"/>
        <v>0</v>
      </c>
      <c r="KF1299" s="97">
        <f t="shared" si="727"/>
        <v>0</v>
      </c>
      <c r="KG1299" s="97">
        <f t="shared" si="728"/>
        <v>0</v>
      </c>
      <c r="KH1299" s="123"/>
      <c r="KI1299" s="123"/>
      <c r="KJ1299" s="123"/>
      <c r="KK1299" s="97">
        <f t="shared" si="729"/>
        <v>0</v>
      </c>
      <c r="KL1299" s="97">
        <f t="shared" si="730"/>
        <v>0</v>
      </c>
      <c r="KM1299" s="97">
        <f t="shared" si="731"/>
        <v>0</v>
      </c>
      <c r="KN1299" s="123"/>
      <c r="KO1299" s="123"/>
      <c r="KP1299" s="123"/>
      <c r="KQ1299" s="97">
        <f t="shared" si="732"/>
        <v>0</v>
      </c>
      <c r="KR1299" s="97">
        <f t="shared" si="732"/>
        <v>0</v>
      </c>
      <c r="KS1299" s="97">
        <f t="shared" si="732"/>
        <v>0</v>
      </c>
      <c r="KT1299" s="102"/>
      <c r="KU1299" s="102"/>
      <c r="KV1299" s="102"/>
      <c r="KW1299" s="123"/>
      <c r="KX1299" s="123"/>
      <c r="KY1299" s="123"/>
      <c r="KZ1299" s="97">
        <f t="shared" si="733"/>
        <v>0</v>
      </c>
      <c r="LA1299" s="97">
        <f t="shared" si="734"/>
        <v>0</v>
      </c>
      <c r="LB1299" s="97">
        <f t="shared" si="735"/>
        <v>0</v>
      </c>
      <c r="LC1299" s="123"/>
      <c r="LD1299" s="123"/>
      <c r="LE1299" s="123"/>
      <c r="LF1299" s="97">
        <f t="shared" si="736"/>
        <v>0</v>
      </c>
      <c r="LG1299" s="97">
        <f t="shared" si="737"/>
        <v>0</v>
      </c>
      <c r="LH1299" s="97">
        <f t="shared" si="738"/>
        <v>0</v>
      </c>
      <c r="LI1299" s="123"/>
      <c r="LJ1299" s="123"/>
      <c r="LK1299" s="123"/>
      <c r="LL1299" s="97">
        <f t="shared" si="739"/>
        <v>0</v>
      </c>
      <c r="LM1299" s="97">
        <f t="shared" si="739"/>
        <v>0</v>
      </c>
      <c r="LN1299" s="97">
        <f t="shared" si="739"/>
        <v>0</v>
      </c>
      <c r="LO1299" s="102"/>
      <c r="LP1299" s="102"/>
      <c r="LQ1299" s="102"/>
      <c r="LR1299" s="123"/>
      <c r="LS1299" s="123"/>
      <c r="LT1299" s="123"/>
      <c r="LU1299" s="97">
        <f t="shared" si="740"/>
        <v>0</v>
      </c>
      <c r="LV1299" s="97">
        <f t="shared" si="741"/>
        <v>0</v>
      </c>
      <c r="LW1299" s="97">
        <f t="shared" si="742"/>
        <v>0</v>
      </c>
      <c r="LX1299" s="123"/>
      <c r="LY1299" s="123"/>
      <c r="LZ1299" s="123"/>
      <c r="MA1299" s="97">
        <f t="shared" si="743"/>
        <v>0</v>
      </c>
      <c r="MB1299" s="97">
        <f t="shared" si="744"/>
        <v>0</v>
      </c>
      <c r="MC1299" s="97">
        <f t="shared" si="745"/>
        <v>0</v>
      </c>
      <c r="MD1299" s="123"/>
      <c r="ME1299" s="123"/>
      <c r="MF1299" s="123"/>
      <c r="MG1299" s="97">
        <f t="shared" si="746"/>
        <v>0</v>
      </c>
      <c r="MH1299" s="97">
        <f t="shared" si="746"/>
        <v>0</v>
      </c>
      <c r="MI1299" s="97">
        <f t="shared" si="746"/>
        <v>0</v>
      </c>
      <c r="MJ1299" s="102"/>
      <c r="MK1299" s="102"/>
      <c r="ML1299" s="102"/>
      <c r="MM1299" s="123"/>
      <c r="MN1299" s="123"/>
      <c r="MO1299" s="123"/>
      <c r="MP1299" s="97">
        <f t="shared" si="747"/>
        <v>0</v>
      </c>
      <c r="MQ1299" s="97">
        <f t="shared" si="748"/>
        <v>0</v>
      </c>
      <c r="MR1299" s="97">
        <f t="shared" si="749"/>
        <v>0</v>
      </c>
      <c r="MS1299" s="123"/>
      <c r="MT1299" s="123"/>
      <c r="MU1299" s="123"/>
      <c r="MV1299" s="97">
        <f t="shared" si="750"/>
        <v>0</v>
      </c>
      <c r="MW1299" s="97">
        <f t="shared" si="751"/>
        <v>0</v>
      </c>
      <c r="MX1299" s="97">
        <f t="shared" si="752"/>
        <v>0</v>
      </c>
      <c r="MY1299" s="123"/>
      <c r="MZ1299" s="123"/>
      <c r="NA1299" s="123"/>
      <c r="NB1299" s="97">
        <f t="shared" si="753"/>
        <v>0</v>
      </c>
      <c r="NC1299" s="97">
        <f t="shared" si="753"/>
        <v>0</v>
      </c>
      <c r="ND1299" s="97">
        <f t="shared" si="753"/>
        <v>0</v>
      </c>
      <c r="NE1299" s="102"/>
      <c r="NF1299" s="102"/>
      <c r="NG1299" s="102"/>
      <c r="NH1299" s="123"/>
      <c r="NI1299" s="123"/>
      <c r="NJ1299" s="123"/>
      <c r="NK1299" s="97">
        <f t="shared" si="754"/>
        <v>0</v>
      </c>
      <c r="NL1299" s="97">
        <f t="shared" si="755"/>
        <v>0</v>
      </c>
      <c r="NM1299" s="97">
        <f t="shared" si="756"/>
        <v>0</v>
      </c>
      <c r="NN1299" s="123"/>
      <c r="NO1299" s="123"/>
      <c r="NP1299" s="123"/>
      <c r="NQ1299" s="97">
        <f t="shared" si="757"/>
        <v>0</v>
      </c>
      <c r="NR1299" s="97">
        <f t="shared" si="758"/>
        <v>0</v>
      </c>
      <c r="NS1299" s="97">
        <f t="shared" si="759"/>
        <v>0</v>
      </c>
      <c r="NT1299" s="123"/>
      <c r="NU1299" s="123"/>
      <c r="NV1299" s="123"/>
      <c r="NW1299" s="97">
        <f t="shared" si="760"/>
        <v>0</v>
      </c>
      <c r="NX1299" s="97">
        <f t="shared" si="760"/>
        <v>0</v>
      </c>
      <c r="NY1299" s="97">
        <f t="shared" si="760"/>
        <v>0</v>
      </c>
      <c r="NZ1299" s="102"/>
      <c r="OA1299" s="102"/>
      <c r="OB1299" s="102"/>
      <c r="OC1299" s="123"/>
      <c r="OD1299" s="123"/>
      <c r="OE1299" s="123"/>
      <c r="OF1299" s="97">
        <f t="shared" si="761"/>
        <v>0</v>
      </c>
      <c r="OG1299" s="97">
        <f t="shared" si="762"/>
        <v>0</v>
      </c>
      <c r="OH1299" s="97">
        <f t="shared" si="763"/>
        <v>0</v>
      </c>
      <c r="OI1299" s="123"/>
      <c r="OJ1299" s="123"/>
      <c r="OK1299" s="123"/>
      <c r="OL1299" s="97">
        <f t="shared" si="764"/>
        <v>0</v>
      </c>
      <c r="OM1299" s="97">
        <f t="shared" si="765"/>
        <v>0</v>
      </c>
      <c r="ON1299" s="97">
        <f t="shared" si="766"/>
        <v>0</v>
      </c>
      <c r="OO1299" s="123"/>
      <c r="OP1299" s="123"/>
      <c r="OQ1299" s="123"/>
      <c r="OR1299" s="97">
        <f t="shared" si="767"/>
        <v>0</v>
      </c>
      <c r="OS1299" s="97">
        <f t="shared" si="767"/>
        <v>0</v>
      </c>
      <c r="OT1299" s="97">
        <f t="shared" si="767"/>
        <v>0</v>
      </c>
      <c r="OU1299" s="102"/>
      <c r="OV1299" s="102"/>
      <c r="OW1299" s="102"/>
      <c r="OX1299" s="123"/>
      <c r="OY1299" s="123"/>
      <c r="OZ1299" s="123"/>
      <c r="PA1299" s="97">
        <f t="shared" si="768"/>
        <v>0</v>
      </c>
      <c r="PB1299" s="97">
        <f t="shared" si="769"/>
        <v>0</v>
      </c>
      <c r="PC1299" s="97">
        <f t="shared" si="770"/>
        <v>0</v>
      </c>
      <c r="PD1299" s="123"/>
      <c r="PE1299" s="123"/>
      <c r="PF1299" s="123"/>
      <c r="PG1299" s="97">
        <f t="shared" si="771"/>
        <v>0</v>
      </c>
      <c r="PH1299" s="97">
        <f t="shared" si="772"/>
        <v>0</v>
      </c>
      <c r="PI1299" s="97">
        <f t="shared" si="773"/>
        <v>0</v>
      </c>
      <c r="PJ1299" s="123"/>
      <c r="PK1299" s="123"/>
      <c r="PL1299" s="123"/>
      <c r="PM1299" s="97">
        <f t="shared" si="774"/>
        <v>0</v>
      </c>
      <c r="PN1299" s="97">
        <f t="shared" si="774"/>
        <v>0</v>
      </c>
      <c r="PO1299" s="97">
        <f t="shared" si="774"/>
        <v>0</v>
      </c>
      <c r="PP1299" s="102"/>
      <c r="PQ1299" s="102"/>
      <c r="PR1299" s="102"/>
      <c r="PS1299" s="123"/>
      <c r="PT1299" s="123"/>
      <c r="PU1299" s="123"/>
      <c r="PV1299" s="97">
        <f t="shared" si="775"/>
        <v>0</v>
      </c>
      <c r="PW1299" s="97">
        <f t="shared" si="776"/>
        <v>0</v>
      </c>
      <c r="PX1299" s="97">
        <f t="shared" si="777"/>
        <v>0</v>
      </c>
      <c r="PY1299" s="123"/>
      <c r="PZ1299" s="123"/>
      <c r="QA1299" s="123"/>
      <c r="QB1299" s="97">
        <f t="shared" si="778"/>
        <v>0</v>
      </c>
      <c r="QC1299" s="97">
        <f t="shared" si="779"/>
        <v>0</v>
      </c>
      <c r="QD1299" s="97">
        <f t="shared" si="780"/>
        <v>0</v>
      </c>
      <c r="QE1299" s="123"/>
      <c r="QF1299" s="123"/>
      <c r="QG1299" s="123"/>
      <c r="QH1299" s="97">
        <f t="shared" si="781"/>
        <v>0</v>
      </c>
      <c r="QI1299" s="97">
        <f t="shared" si="781"/>
        <v>0</v>
      </c>
      <c r="QJ1299" s="97">
        <f t="shared" si="781"/>
        <v>0</v>
      </c>
      <c r="QK1299" s="102"/>
      <c r="QL1299" s="102"/>
      <c r="QM1299" s="102"/>
      <c r="QN1299" s="123"/>
      <c r="QO1299" s="123"/>
      <c r="QP1299" s="123"/>
      <c r="QQ1299" s="97">
        <f t="shared" si="782"/>
        <v>0</v>
      </c>
      <c r="QR1299" s="97">
        <f t="shared" si="783"/>
        <v>0</v>
      </c>
      <c r="QS1299" s="97">
        <f t="shared" si="784"/>
        <v>0</v>
      </c>
      <c r="QT1299" s="123"/>
      <c r="QU1299" s="123"/>
      <c r="QV1299" s="123"/>
      <c r="QW1299" s="97">
        <f t="shared" si="785"/>
        <v>0</v>
      </c>
      <c r="QX1299" s="97">
        <f t="shared" si="786"/>
        <v>0</v>
      </c>
      <c r="QY1299" s="97">
        <f t="shared" si="787"/>
        <v>0</v>
      </c>
      <c r="QZ1299" s="123"/>
      <c r="RA1299" s="123"/>
      <c r="RB1299" s="123"/>
      <c r="RC1299" s="97">
        <f t="shared" si="788"/>
        <v>0</v>
      </c>
      <c r="RD1299" s="97">
        <f t="shared" si="788"/>
        <v>0</v>
      </c>
      <c r="RE1299" s="97">
        <f t="shared" si="788"/>
        <v>0</v>
      </c>
      <c r="RF1299" s="102"/>
      <c r="RG1299" s="102"/>
      <c r="RH1299" s="102"/>
      <c r="RI1299" s="123"/>
      <c r="RJ1299" s="123"/>
      <c r="RK1299" s="123"/>
      <c r="RL1299" s="97">
        <f t="shared" si="789"/>
        <v>0</v>
      </c>
      <c r="RM1299" s="97">
        <f t="shared" si="790"/>
        <v>0</v>
      </c>
      <c r="RN1299" s="97">
        <f t="shared" si="791"/>
        <v>0</v>
      </c>
      <c r="RO1299" s="123"/>
      <c r="RP1299" s="123"/>
      <c r="RQ1299" s="123"/>
      <c r="RR1299" s="97">
        <f t="shared" si="792"/>
        <v>0</v>
      </c>
      <c r="RS1299" s="97">
        <f t="shared" si="793"/>
        <v>0</v>
      </c>
      <c r="RT1299" s="97">
        <f t="shared" si="794"/>
        <v>0</v>
      </c>
      <c r="RU1299" s="123"/>
      <c r="RV1299" s="123"/>
      <c r="RW1299" s="123"/>
      <c r="RX1299" s="97">
        <f t="shared" si="795"/>
        <v>0</v>
      </c>
      <c r="RY1299" s="97">
        <f t="shared" si="795"/>
        <v>0</v>
      </c>
      <c r="RZ1299" s="97">
        <f t="shared" si="795"/>
        <v>0</v>
      </c>
      <c r="SA1299" s="102"/>
      <c r="SB1299" s="102"/>
      <c r="SC1299" s="102"/>
      <c r="SD1299" s="123"/>
      <c r="SE1299" s="123"/>
      <c r="SF1299" s="123"/>
      <c r="SG1299" s="97">
        <f t="shared" si="796"/>
        <v>0</v>
      </c>
      <c r="SH1299" s="97">
        <f t="shared" si="797"/>
        <v>0</v>
      </c>
      <c r="SI1299" s="97">
        <f t="shared" si="798"/>
        <v>0</v>
      </c>
      <c r="SJ1299" s="123"/>
      <c r="SK1299" s="123"/>
      <c r="SL1299" s="123"/>
      <c r="SM1299" s="97">
        <f t="shared" si="799"/>
        <v>0</v>
      </c>
      <c r="SN1299" s="97">
        <f t="shared" si="800"/>
        <v>0</v>
      </c>
      <c r="SO1299" s="97">
        <f t="shared" si="801"/>
        <v>0</v>
      </c>
      <c r="SP1299" s="123"/>
      <c r="SQ1299" s="123"/>
      <c r="SR1299" s="123"/>
      <c r="SS1299" s="97">
        <f t="shared" si="802"/>
        <v>0</v>
      </c>
      <c r="ST1299" s="97">
        <f t="shared" si="802"/>
        <v>0</v>
      </c>
      <c r="SU1299" s="97">
        <f t="shared" si="802"/>
        <v>0</v>
      </c>
      <c r="SV1299" s="102"/>
      <c r="SW1299" s="102"/>
      <c r="SX1299" s="102"/>
      <c r="SY1299" s="123"/>
      <c r="SZ1299" s="123"/>
      <c r="TA1299" s="123"/>
      <c r="TB1299" s="97">
        <f t="shared" si="803"/>
        <v>0</v>
      </c>
      <c r="TC1299" s="97">
        <f t="shared" si="804"/>
        <v>0</v>
      </c>
      <c r="TD1299" s="97">
        <f t="shared" si="805"/>
        <v>0</v>
      </c>
      <c r="TE1299" s="123"/>
      <c r="TF1299" s="123"/>
      <c r="TG1299" s="123"/>
      <c r="TH1299" s="97">
        <f t="shared" si="806"/>
        <v>0</v>
      </c>
      <c r="TI1299" s="97">
        <f t="shared" si="807"/>
        <v>0</v>
      </c>
      <c r="TJ1299" s="97">
        <f t="shared" si="808"/>
        <v>0</v>
      </c>
      <c r="TK1299" s="123"/>
      <c r="TL1299" s="123"/>
      <c r="TM1299" s="123"/>
      <c r="TN1299" s="97">
        <f t="shared" si="809"/>
        <v>0</v>
      </c>
      <c r="TO1299" s="97">
        <f t="shared" si="809"/>
        <v>0</v>
      </c>
      <c r="TP1299" s="97">
        <f t="shared" si="809"/>
        <v>0</v>
      </c>
      <c r="TQ1299" s="102"/>
      <c r="TR1299" s="102"/>
      <c r="TS1299" s="102"/>
      <c r="TT1299" s="123"/>
      <c r="TU1299" s="123"/>
      <c r="TV1299" s="123"/>
      <c r="TW1299" s="97">
        <f t="shared" si="810"/>
        <v>0</v>
      </c>
      <c r="TX1299" s="97">
        <f t="shared" si="811"/>
        <v>0</v>
      </c>
      <c r="TY1299" s="97">
        <f t="shared" si="812"/>
        <v>0</v>
      </c>
      <c r="TZ1299" s="123"/>
      <c r="UA1299" s="123"/>
      <c r="UB1299" s="123"/>
      <c r="UC1299" s="97">
        <f t="shared" si="813"/>
        <v>0</v>
      </c>
      <c r="UD1299" s="97">
        <f t="shared" si="814"/>
        <v>0</v>
      </c>
      <c r="UE1299" s="97">
        <f t="shared" si="815"/>
        <v>0</v>
      </c>
      <c r="UF1299" s="123"/>
      <c r="UG1299" s="123"/>
      <c r="UH1299" s="123"/>
      <c r="UI1299" s="97">
        <f t="shared" si="816"/>
        <v>0</v>
      </c>
      <c r="UJ1299" s="97">
        <f t="shared" si="816"/>
        <v>0</v>
      </c>
      <c r="UK1299" s="97">
        <f t="shared" si="816"/>
        <v>0</v>
      </c>
      <c r="UL1299" s="102"/>
      <c r="UM1299" s="102"/>
      <c r="UN1299" s="102"/>
      <c r="UO1299" s="123"/>
      <c r="UP1299" s="123"/>
      <c r="UQ1299" s="123"/>
      <c r="UR1299" s="97">
        <f t="shared" si="817"/>
        <v>0</v>
      </c>
      <c r="US1299" s="97">
        <f t="shared" si="818"/>
        <v>0</v>
      </c>
      <c r="UT1299" s="97">
        <f t="shared" si="819"/>
        <v>0</v>
      </c>
      <c r="UU1299" s="123"/>
      <c r="UV1299" s="123"/>
      <c r="UW1299" s="123"/>
      <c r="UX1299" s="97">
        <f t="shared" si="820"/>
        <v>4101.42</v>
      </c>
      <c r="UY1299" s="97">
        <f t="shared" si="821"/>
        <v>4185.24</v>
      </c>
      <c r="UZ1299" s="97">
        <f t="shared" si="822"/>
        <v>4345</v>
      </c>
      <c r="VA1299" s="123"/>
      <c r="VB1299" s="123"/>
      <c r="VC1299" s="123"/>
      <c r="VD1299" s="97">
        <f t="shared" si="823"/>
        <v>0</v>
      </c>
      <c r="VE1299" s="97">
        <f t="shared" si="823"/>
        <v>0</v>
      </c>
      <c r="VF1299" s="97">
        <f t="shared" si="823"/>
        <v>0</v>
      </c>
      <c r="VG1299" s="102"/>
      <c r="VH1299" s="102"/>
      <c r="VI1299" s="102"/>
      <c r="VJ1299" s="123"/>
      <c r="VK1299" s="123"/>
      <c r="VL1299" s="123"/>
      <c r="VM1299" s="97">
        <f t="shared" si="824"/>
        <v>0</v>
      </c>
      <c r="VN1299" s="97">
        <f t="shared" si="825"/>
        <v>0</v>
      </c>
      <c r="VO1299" s="97">
        <f t="shared" si="826"/>
        <v>0</v>
      </c>
      <c r="VP1299" s="123"/>
      <c r="VQ1299" s="123"/>
      <c r="VR1299" s="123"/>
      <c r="VS1299" s="97">
        <f t="shared" si="827"/>
        <v>0</v>
      </c>
      <c r="VT1299" s="97">
        <f t="shared" si="828"/>
        <v>0</v>
      </c>
      <c r="VU1299" s="97">
        <f t="shared" si="829"/>
        <v>0</v>
      </c>
      <c r="VV1299" s="123"/>
      <c r="VW1299" s="123"/>
      <c r="VX1299" s="123"/>
      <c r="VY1299" s="97">
        <f t="shared" si="830"/>
        <v>0</v>
      </c>
      <c r="VZ1299" s="97">
        <f t="shared" si="830"/>
        <v>0</v>
      </c>
      <c r="WA1299" s="97">
        <f t="shared" si="830"/>
        <v>0</v>
      </c>
      <c r="WB1299" s="102"/>
      <c r="WC1299" s="102"/>
      <c r="WD1299" s="102"/>
      <c r="WE1299" s="123"/>
      <c r="WF1299" s="123"/>
      <c r="WG1299" s="123"/>
      <c r="WH1299" s="97">
        <f t="shared" si="831"/>
        <v>0</v>
      </c>
      <c r="WI1299" s="97">
        <f t="shared" si="832"/>
        <v>0</v>
      </c>
      <c r="WJ1299" s="97">
        <f t="shared" si="833"/>
        <v>0</v>
      </c>
      <c r="WK1299" s="123"/>
      <c r="WL1299" s="123"/>
      <c r="WM1299" s="123"/>
      <c r="WN1299" s="97">
        <f t="shared" si="834"/>
        <v>0</v>
      </c>
      <c r="WO1299" s="97">
        <f t="shared" si="835"/>
        <v>0</v>
      </c>
      <c r="WP1299" s="97">
        <f t="shared" si="836"/>
        <v>0</v>
      </c>
      <c r="WQ1299" s="123"/>
      <c r="WR1299" s="123"/>
      <c r="WS1299" s="123"/>
      <c r="WT1299" s="97">
        <f t="shared" si="837"/>
        <v>0</v>
      </c>
      <c r="WU1299" s="97">
        <f t="shared" si="837"/>
        <v>0</v>
      </c>
      <c r="WV1299" s="97">
        <f t="shared" si="837"/>
        <v>0</v>
      </c>
      <c r="WW1299" s="102"/>
      <c r="WX1299" s="102"/>
      <c r="WY1299" s="102"/>
      <c r="WZ1299" s="123"/>
      <c r="XA1299" s="123"/>
      <c r="XB1299" s="123"/>
      <c r="XC1299" s="97">
        <f t="shared" si="838"/>
        <v>0</v>
      </c>
      <c r="XD1299" s="97">
        <f t="shared" si="839"/>
        <v>0</v>
      </c>
      <c r="XE1299" s="97">
        <f t="shared" si="840"/>
        <v>0</v>
      </c>
      <c r="XF1299" s="123"/>
      <c r="XG1299" s="123"/>
      <c r="XH1299" s="123"/>
      <c r="XI1299" s="97">
        <f t="shared" si="841"/>
        <v>0</v>
      </c>
      <c r="XJ1299" s="97">
        <f t="shared" si="842"/>
        <v>0</v>
      </c>
      <c r="XK1299" s="97">
        <f t="shared" si="843"/>
        <v>0</v>
      </c>
      <c r="XL1299" s="123"/>
      <c r="XM1299" s="123"/>
      <c r="XN1299" s="123"/>
      <c r="XO1299" s="97">
        <f t="shared" si="844"/>
        <v>0</v>
      </c>
      <c r="XP1299" s="97">
        <f t="shared" si="844"/>
        <v>0</v>
      </c>
      <c r="XQ1299" s="97">
        <f t="shared" si="844"/>
        <v>0</v>
      </c>
      <c r="XR1299" s="102"/>
      <c r="XS1299" s="102"/>
      <c r="XT1299" s="102"/>
      <c r="XU1299" s="123"/>
      <c r="XV1299" s="123"/>
      <c r="XW1299" s="123"/>
      <c r="XX1299" s="97">
        <f t="shared" si="845"/>
        <v>0</v>
      </c>
      <c r="XY1299" s="97">
        <f t="shared" si="846"/>
        <v>0</v>
      </c>
      <c r="XZ1299" s="97">
        <f t="shared" si="847"/>
        <v>0</v>
      </c>
      <c r="YA1299" s="123"/>
      <c r="YB1299" s="123"/>
      <c r="YC1299" s="123"/>
      <c r="YD1299" s="97">
        <f t="shared" si="848"/>
        <v>0</v>
      </c>
      <c r="YE1299" s="97">
        <f t="shared" si="849"/>
        <v>0</v>
      </c>
      <c r="YF1299" s="97">
        <f t="shared" si="850"/>
        <v>0</v>
      </c>
      <c r="YG1299" s="123"/>
      <c r="YH1299" s="123"/>
      <c r="YI1299" s="123"/>
      <c r="YJ1299" s="97">
        <f t="shared" si="851"/>
        <v>0</v>
      </c>
      <c r="YK1299" s="97">
        <f t="shared" si="851"/>
        <v>0</v>
      </c>
      <c r="YL1299" s="97">
        <f t="shared" si="851"/>
        <v>0</v>
      </c>
      <c r="YM1299" s="145">
        <f t="shared" si="852"/>
        <v>0</v>
      </c>
      <c r="YN1299" s="145">
        <f t="shared" si="852"/>
        <v>0</v>
      </c>
      <c r="YO1299" s="145">
        <f t="shared" si="852"/>
        <v>0</v>
      </c>
      <c r="YP1299" s="123"/>
      <c r="YQ1299" s="123"/>
      <c r="YR1299" s="123"/>
      <c r="YS1299" s="97">
        <f t="shared" si="853"/>
        <v>0</v>
      </c>
      <c r="YT1299" s="97">
        <f t="shared" si="854"/>
        <v>0</v>
      </c>
      <c r="YU1299" s="97">
        <f t="shared" si="855"/>
        <v>0</v>
      </c>
      <c r="YV1299" s="123"/>
      <c r="YW1299" s="123"/>
      <c r="YX1299" s="123"/>
      <c r="YY1299" s="97">
        <f t="shared" si="856"/>
        <v>4101.42</v>
      </c>
      <c r="YZ1299" s="97">
        <f t="shared" si="857"/>
        <v>4185.24</v>
      </c>
      <c r="ZA1299" s="97">
        <f t="shared" si="858"/>
        <v>4345</v>
      </c>
      <c r="ZB1299" s="123"/>
      <c r="ZC1299" s="123"/>
      <c r="ZD1299" s="123"/>
      <c r="ZE1299" s="97">
        <f t="shared" si="859"/>
        <v>0</v>
      </c>
      <c r="ZF1299" s="97">
        <f t="shared" si="859"/>
        <v>0</v>
      </c>
      <c r="ZG1299" s="97">
        <f t="shared" si="859"/>
        <v>0</v>
      </c>
    </row>
    <row r="1300" spans="1:683" s="435" customFormat="1" ht="48" hidden="1" x14ac:dyDescent="0.25">
      <c r="A1300" s="641" t="s">
        <v>1407</v>
      </c>
      <c r="B1300" s="174" t="s">
        <v>435</v>
      </c>
      <c r="C1300" s="5"/>
      <c r="D1300" s="436"/>
      <c r="E1300" s="163"/>
      <c r="F1300" s="110"/>
      <c r="G1300" s="110"/>
      <c r="H1300" s="110"/>
      <c r="I1300" s="97">
        <f t="shared" si="636"/>
        <v>24133.919999999998</v>
      </c>
      <c r="J1300" s="97">
        <f t="shared" si="860"/>
        <v>24133.919999999998</v>
      </c>
      <c r="K1300" s="97">
        <f t="shared" si="861"/>
        <v>24133.919999999998</v>
      </c>
      <c r="L1300" s="102"/>
      <c r="M1300" s="102"/>
      <c r="N1300" s="102"/>
      <c r="O1300" s="123"/>
      <c r="P1300" s="123"/>
      <c r="Q1300" s="123"/>
      <c r="R1300" s="97">
        <f t="shared" ref="R1300" si="865">$I1300*L1300</f>
        <v>0</v>
      </c>
      <c r="S1300" s="97">
        <f t="shared" ref="S1300" si="866">$J1300*M1300</f>
        <v>0</v>
      </c>
      <c r="T1300" s="97">
        <f t="shared" ref="T1300" si="867">$K1300*N1300</f>
        <v>0</v>
      </c>
      <c r="U1300" s="123"/>
      <c r="V1300" s="123"/>
      <c r="W1300" s="123"/>
      <c r="X1300" s="97">
        <f t="shared" si="638"/>
        <v>0</v>
      </c>
      <c r="Y1300" s="97">
        <f t="shared" si="639"/>
        <v>0</v>
      </c>
      <c r="Z1300" s="97">
        <f t="shared" si="640"/>
        <v>0</v>
      </c>
      <c r="AA1300" s="123"/>
      <c r="AB1300" s="123"/>
      <c r="AC1300" s="123"/>
      <c r="AD1300" s="97">
        <f t="shared" ref="AD1300" si="868">L1300*X1300</f>
        <v>0</v>
      </c>
      <c r="AE1300" s="97">
        <f t="shared" ref="AE1300" si="869">M1300*Y1300</f>
        <v>0</v>
      </c>
      <c r="AF1300" s="97">
        <f t="shared" ref="AF1300" si="870">N1300*Z1300</f>
        <v>0</v>
      </c>
      <c r="AG1300" s="102"/>
      <c r="AH1300" s="102"/>
      <c r="AI1300" s="102"/>
      <c r="AJ1300" s="123"/>
      <c r="AK1300" s="123"/>
      <c r="AL1300" s="123"/>
      <c r="AM1300" s="97">
        <f t="shared" ref="AM1300" si="871">$I1300*AG1300</f>
        <v>0</v>
      </c>
      <c r="AN1300" s="97">
        <f t="shared" ref="AN1300" si="872">$J1300*AH1300</f>
        <v>0</v>
      </c>
      <c r="AO1300" s="97">
        <f t="shared" ref="AO1300" si="873">$K1300*AI1300</f>
        <v>0</v>
      </c>
      <c r="AP1300" s="123"/>
      <c r="AQ1300" s="123"/>
      <c r="AR1300" s="123"/>
      <c r="AS1300" s="97">
        <f t="shared" si="645"/>
        <v>0</v>
      </c>
      <c r="AT1300" s="97">
        <f t="shared" si="646"/>
        <v>0</v>
      </c>
      <c r="AU1300" s="97">
        <f t="shared" si="647"/>
        <v>0</v>
      </c>
      <c r="AV1300" s="123"/>
      <c r="AW1300" s="123"/>
      <c r="AX1300" s="123"/>
      <c r="AY1300" s="97">
        <f t="shared" ref="AY1300" si="874">AG1300*AS1300</f>
        <v>0</v>
      </c>
      <c r="AZ1300" s="97">
        <f t="shared" ref="AZ1300" si="875">AH1300*AT1300</f>
        <v>0</v>
      </c>
      <c r="BA1300" s="97">
        <f t="shared" ref="BA1300" si="876">AI1300*AU1300</f>
        <v>0</v>
      </c>
      <c r="BB1300" s="102"/>
      <c r="BC1300" s="102"/>
      <c r="BD1300" s="102"/>
      <c r="BE1300" s="123"/>
      <c r="BF1300" s="123"/>
      <c r="BG1300" s="123"/>
      <c r="BH1300" s="97">
        <f t="shared" ref="BH1300" si="877">$I1300*BB1300</f>
        <v>0</v>
      </c>
      <c r="BI1300" s="97">
        <f t="shared" ref="BI1300" si="878">$J1300*BC1300</f>
        <v>0</v>
      </c>
      <c r="BJ1300" s="97">
        <f t="shared" ref="BJ1300" si="879">$K1300*BD1300</f>
        <v>0</v>
      </c>
      <c r="BK1300" s="123"/>
      <c r="BL1300" s="123"/>
      <c r="BM1300" s="123"/>
      <c r="BN1300" s="97">
        <f t="shared" si="652"/>
        <v>0</v>
      </c>
      <c r="BO1300" s="97">
        <f t="shared" si="653"/>
        <v>0</v>
      </c>
      <c r="BP1300" s="97">
        <f t="shared" si="654"/>
        <v>0</v>
      </c>
      <c r="BQ1300" s="123"/>
      <c r="BR1300" s="123"/>
      <c r="BS1300" s="123"/>
      <c r="BT1300" s="97">
        <f t="shared" ref="BT1300" si="880">BB1300*BN1300</f>
        <v>0</v>
      </c>
      <c r="BU1300" s="97">
        <f t="shared" ref="BU1300" si="881">BC1300*BO1300</f>
        <v>0</v>
      </c>
      <c r="BV1300" s="97">
        <f t="shared" ref="BV1300" si="882">BD1300*BP1300</f>
        <v>0</v>
      </c>
      <c r="BW1300" s="102"/>
      <c r="BX1300" s="102"/>
      <c r="BY1300" s="102"/>
      <c r="BZ1300" s="123"/>
      <c r="CA1300" s="123"/>
      <c r="CB1300" s="123"/>
      <c r="CC1300" s="97">
        <f t="shared" ref="CC1300" si="883">$I1300*BW1300</f>
        <v>0</v>
      </c>
      <c r="CD1300" s="97">
        <f t="shared" ref="CD1300" si="884">$J1300*BX1300</f>
        <v>0</v>
      </c>
      <c r="CE1300" s="97">
        <f t="shared" ref="CE1300" si="885">$K1300*BY1300</f>
        <v>0</v>
      </c>
      <c r="CF1300" s="123"/>
      <c r="CG1300" s="123"/>
      <c r="CH1300" s="123"/>
      <c r="CI1300" s="97">
        <f t="shared" si="659"/>
        <v>0</v>
      </c>
      <c r="CJ1300" s="97">
        <f t="shared" si="660"/>
        <v>0</v>
      </c>
      <c r="CK1300" s="97">
        <f t="shared" si="661"/>
        <v>0</v>
      </c>
      <c r="CL1300" s="123"/>
      <c r="CM1300" s="123"/>
      <c r="CN1300" s="123"/>
      <c r="CO1300" s="97">
        <f t="shared" ref="CO1300" si="886">BW1300*CI1300</f>
        <v>0</v>
      </c>
      <c r="CP1300" s="97">
        <f t="shared" ref="CP1300" si="887">BX1300*CJ1300</f>
        <v>0</v>
      </c>
      <c r="CQ1300" s="97">
        <f t="shared" ref="CQ1300" si="888">BY1300*CK1300</f>
        <v>0</v>
      </c>
      <c r="CR1300" s="102"/>
      <c r="CS1300" s="102"/>
      <c r="CT1300" s="102"/>
      <c r="CU1300" s="123"/>
      <c r="CV1300" s="123"/>
      <c r="CW1300" s="123"/>
      <c r="CX1300" s="97">
        <f t="shared" ref="CX1300" si="889">$I1300*CR1300</f>
        <v>0</v>
      </c>
      <c r="CY1300" s="97">
        <f t="shared" ref="CY1300" si="890">$J1300*CS1300</f>
        <v>0</v>
      </c>
      <c r="CZ1300" s="97">
        <f t="shared" ref="CZ1300" si="891">$K1300*CT1300</f>
        <v>0</v>
      </c>
      <c r="DA1300" s="123"/>
      <c r="DB1300" s="123"/>
      <c r="DC1300" s="123"/>
      <c r="DD1300" s="97">
        <f t="shared" si="666"/>
        <v>0</v>
      </c>
      <c r="DE1300" s="97">
        <f t="shared" si="667"/>
        <v>0</v>
      </c>
      <c r="DF1300" s="97">
        <f t="shared" si="668"/>
        <v>0</v>
      </c>
      <c r="DG1300" s="123"/>
      <c r="DH1300" s="123"/>
      <c r="DI1300" s="123"/>
      <c r="DJ1300" s="97">
        <f t="shared" ref="DJ1300" si="892">CR1300*DD1300</f>
        <v>0</v>
      </c>
      <c r="DK1300" s="97">
        <f t="shared" ref="DK1300" si="893">CS1300*DE1300</f>
        <v>0</v>
      </c>
      <c r="DL1300" s="97">
        <f t="shared" ref="DL1300" si="894">CT1300*DF1300</f>
        <v>0</v>
      </c>
      <c r="DM1300" s="102"/>
      <c r="DN1300" s="102"/>
      <c r="DO1300" s="102"/>
      <c r="DP1300" s="123"/>
      <c r="DQ1300" s="123"/>
      <c r="DR1300" s="123"/>
      <c r="DS1300" s="97">
        <f t="shared" ref="DS1300" si="895">$I1300*DM1300</f>
        <v>0</v>
      </c>
      <c r="DT1300" s="97">
        <f t="shared" ref="DT1300" si="896">$J1300*DN1300</f>
        <v>0</v>
      </c>
      <c r="DU1300" s="97">
        <f t="shared" ref="DU1300" si="897">$K1300*DO1300</f>
        <v>0</v>
      </c>
      <c r="DV1300" s="123"/>
      <c r="DW1300" s="123"/>
      <c r="DX1300" s="123"/>
      <c r="DY1300" s="97">
        <f t="shared" si="673"/>
        <v>0</v>
      </c>
      <c r="DZ1300" s="97">
        <f t="shared" si="674"/>
        <v>0</v>
      </c>
      <c r="EA1300" s="97">
        <f t="shared" si="675"/>
        <v>0</v>
      </c>
      <c r="EB1300" s="123"/>
      <c r="EC1300" s="123"/>
      <c r="ED1300" s="123"/>
      <c r="EE1300" s="97">
        <f t="shared" ref="EE1300" si="898">DM1300*DY1300</f>
        <v>0</v>
      </c>
      <c r="EF1300" s="97">
        <f t="shared" ref="EF1300" si="899">DN1300*DZ1300</f>
        <v>0</v>
      </c>
      <c r="EG1300" s="97">
        <f t="shared" ref="EG1300" si="900">DO1300*EA1300</f>
        <v>0</v>
      </c>
      <c r="EH1300" s="102"/>
      <c r="EI1300" s="102"/>
      <c r="EJ1300" s="102"/>
      <c r="EK1300" s="123"/>
      <c r="EL1300" s="123"/>
      <c r="EM1300" s="123"/>
      <c r="EN1300" s="97">
        <f t="shared" ref="EN1300" si="901">$I1300*EH1300</f>
        <v>0</v>
      </c>
      <c r="EO1300" s="97">
        <f t="shared" ref="EO1300" si="902">$J1300*EI1300</f>
        <v>0</v>
      </c>
      <c r="EP1300" s="97">
        <f t="shared" ref="EP1300" si="903">$K1300*EJ1300</f>
        <v>0</v>
      </c>
      <c r="EQ1300" s="123"/>
      <c r="ER1300" s="123"/>
      <c r="ES1300" s="123"/>
      <c r="ET1300" s="97">
        <f t="shared" si="680"/>
        <v>0</v>
      </c>
      <c r="EU1300" s="97">
        <f t="shared" si="681"/>
        <v>0</v>
      </c>
      <c r="EV1300" s="97">
        <f t="shared" si="682"/>
        <v>0</v>
      </c>
      <c r="EW1300" s="123"/>
      <c r="EX1300" s="123"/>
      <c r="EY1300" s="123"/>
      <c r="EZ1300" s="97">
        <f t="shared" ref="EZ1300" si="904">EH1300*ET1300</f>
        <v>0</v>
      </c>
      <c r="FA1300" s="97">
        <f t="shared" ref="FA1300" si="905">EI1300*EU1300</f>
        <v>0</v>
      </c>
      <c r="FB1300" s="97">
        <f t="shared" ref="FB1300" si="906">EJ1300*EV1300</f>
        <v>0</v>
      </c>
      <c r="FC1300" s="102"/>
      <c r="FD1300" s="102"/>
      <c r="FE1300" s="102"/>
      <c r="FF1300" s="123"/>
      <c r="FG1300" s="123"/>
      <c r="FH1300" s="123"/>
      <c r="FI1300" s="97">
        <f t="shared" ref="FI1300" si="907">$I1300*FC1300</f>
        <v>0</v>
      </c>
      <c r="FJ1300" s="97">
        <f t="shared" ref="FJ1300" si="908">$J1300*FD1300</f>
        <v>0</v>
      </c>
      <c r="FK1300" s="97">
        <f t="shared" ref="FK1300" si="909">$K1300*FE1300</f>
        <v>0</v>
      </c>
      <c r="FL1300" s="123"/>
      <c r="FM1300" s="123"/>
      <c r="FN1300" s="123"/>
      <c r="FO1300" s="97">
        <f t="shared" si="687"/>
        <v>0</v>
      </c>
      <c r="FP1300" s="97">
        <f t="shared" si="688"/>
        <v>0</v>
      </c>
      <c r="FQ1300" s="97">
        <f t="shared" si="689"/>
        <v>0</v>
      </c>
      <c r="FR1300" s="123"/>
      <c r="FS1300" s="123"/>
      <c r="FT1300" s="123"/>
      <c r="FU1300" s="97">
        <f t="shared" ref="FU1300" si="910">FC1300*FO1300</f>
        <v>0</v>
      </c>
      <c r="FV1300" s="97">
        <f t="shared" ref="FV1300" si="911">FD1300*FP1300</f>
        <v>0</v>
      </c>
      <c r="FW1300" s="97">
        <f t="shared" ref="FW1300" si="912">FE1300*FQ1300</f>
        <v>0</v>
      </c>
      <c r="FX1300" s="102"/>
      <c r="FY1300" s="102"/>
      <c r="FZ1300" s="102"/>
      <c r="GA1300" s="123"/>
      <c r="GB1300" s="123"/>
      <c r="GC1300" s="123"/>
      <c r="GD1300" s="97">
        <f t="shared" ref="GD1300" si="913">$I1300*FX1300</f>
        <v>0</v>
      </c>
      <c r="GE1300" s="97">
        <f t="shared" ref="GE1300" si="914">$J1300*FY1300</f>
        <v>0</v>
      </c>
      <c r="GF1300" s="97">
        <f t="shared" ref="GF1300" si="915">$K1300*FZ1300</f>
        <v>0</v>
      </c>
      <c r="GG1300" s="123"/>
      <c r="GH1300" s="123"/>
      <c r="GI1300" s="123"/>
      <c r="GJ1300" s="97">
        <f t="shared" si="694"/>
        <v>0</v>
      </c>
      <c r="GK1300" s="97">
        <f t="shared" si="695"/>
        <v>0</v>
      </c>
      <c r="GL1300" s="97">
        <f t="shared" si="696"/>
        <v>0</v>
      </c>
      <c r="GM1300" s="123"/>
      <c r="GN1300" s="123"/>
      <c r="GO1300" s="123"/>
      <c r="GP1300" s="97">
        <f t="shared" ref="GP1300" si="916">FX1300*GJ1300</f>
        <v>0</v>
      </c>
      <c r="GQ1300" s="97">
        <f t="shared" ref="GQ1300" si="917">FY1300*GK1300</f>
        <v>0</v>
      </c>
      <c r="GR1300" s="97">
        <f t="shared" ref="GR1300" si="918">FZ1300*GL1300</f>
        <v>0</v>
      </c>
      <c r="GS1300" s="102"/>
      <c r="GT1300" s="102"/>
      <c r="GU1300" s="102"/>
      <c r="GV1300" s="123"/>
      <c r="GW1300" s="123"/>
      <c r="GX1300" s="123"/>
      <c r="GY1300" s="97">
        <f t="shared" ref="GY1300" si="919">$I1300*GS1300</f>
        <v>0</v>
      </c>
      <c r="GZ1300" s="97">
        <f t="shared" ref="GZ1300" si="920">$J1300*GT1300</f>
        <v>0</v>
      </c>
      <c r="HA1300" s="97">
        <f t="shared" ref="HA1300" si="921">$K1300*GU1300</f>
        <v>0</v>
      </c>
      <c r="HB1300" s="123"/>
      <c r="HC1300" s="123"/>
      <c r="HD1300" s="123"/>
      <c r="HE1300" s="97">
        <f t="shared" si="701"/>
        <v>0</v>
      </c>
      <c r="HF1300" s="97">
        <f t="shared" si="702"/>
        <v>0</v>
      </c>
      <c r="HG1300" s="97">
        <f t="shared" si="703"/>
        <v>0</v>
      </c>
      <c r="HH1300" s="123"/>
      <c r="HI1300" s="123"/>
      <c r="HJ1300" s="123"/>
      <c r="HK1300" s="97">
        <f t="shared" ref="HK1300" si="922">GS1300*HE1300</f>
        <v>0</v>
      </c>
      <c r="HL1300" s="97">
        <f t="shared" ref="HL1300" si="923">GT1300*HF1300</f>
        <v>0</v>
      </c>
      <c r="HM1300" s="97">
        <f t="shared" ref="HM1300" si="924">GU1300*HG1300</f>
        <v>0</v>
      </c>
      <c r="HN1300" s="102"/>
      <c r="HO1300" s="102"/>
      <c r="HP1300" s="102"/>
      <c r="HQ1300" s="123"/>
      <c r="HR1300" s="123"/>
      <c r="HS1300" s="123"/>
      <c r="HT1300" s="97">
        <f t="shared" ref="HT1300" si="925">$I1300*HN1300</f>
        <v>0</v>
      </c>
      <c r="HU1300" s="97">
        <f t="shared" ref="HU1300" si="926">$J1300*HO1300</f>
        <v>0</v>
      </c>
      <c r="HV1300" s="97">
        <f t="shared" ref="HV1300" si="927">$K1300*HP1300</f>
        <v>0</v>
      </c>
      <c r="HW1300" s="123"/>
      <c r="HX1300" s="123"/>
      <c r="HY1300" s="123"/>
      <c r="HZ1300" s="97">
        <f t="shared" si="708"/>
        <v>0</v>
      </c>
      <c r="IA1300" s="97">
        <f t="shared" si="709"/>
        <v>0</v>
      </c>
      <c r="IB1300" s="97">
        <f t="shared" si="710"/>
        <v>0</v>
      </c>
      <c r="IC1300" s="123"/>
      <c r="ID1300" s="123"/>
      <c r="IE1300" s="123"/>
      <c r="IF1300" s="97">
        <f t="shared" ref="IF1300" si="928">HN1300*HZ1300</f>
        <v>0</v>
      </c>
      <c r="IG1300" s="97">
        <f t="shared" ref="IG1300" si="929">HO1300*IA1300</f>
        <v>0</v>
      </c>
      <c r="IH1300" s="97">
        <f t="shared" ref="IH1300" si="930">HP1300*IB1300</f>
        <v>0</v>
      </c>
      <c r="II1300" s="102"/>
      <c r="IJ1300" s="102"/>
      <c r="IK1300" s="102"/>
      <c r="IL1300" s="123"/>
      <c r="IM1300" s="123"/>
      <c r="IN1300" s="123"/>
      <c r="IO1300" s="97">
        <f t="shared" ref="IO1300" si="931">$I1300*II1300</f>
        <v>0</v>
      </c>
      <c r="IP1300" s="97">
        <f t="shared" ref="IP1300" si="932">$J1300*IJ1300</f>
        <v>0</v>
      </c>
      <c r="IQ1300" s="97">
        <f t="shared" ref="IQ1300" si="933">$K1300*IK1300</f>
        <v>0</v>
      </c>
      <c r="IR1300" s="123"/>
      <c r="IS1300" s="123"/>
      <c r="IT1300" s="123"/>
      <c r="IU1300" s="97">
        <f t="shared" si="715"/>
        <v>0</v>
      </c>
      <c r="IV1300" s="97">
        <f t="shared" si="716"/>
        <v>0</v>
      </c>
      <c r="IW1300" s="97">
        <f t="shared" si="717"/>
        <v>0</v>
      </c>
      <c r="IX1300" s="123"/>
      <c r="IY1300" s="123"/>
      <c r="IZ1300" s="123"/>
      <c r="JA1300" s="97">
        <f t="shared" ref="JA1300" si="934">II1300*IU1300</f>
        <v>0</v>
      </c>
      <c r="JB1300" s="97">
        <f t="shared" ref="JB1300" si="935">IJ1300*IV1300</f>
        <v>0</v>
      </c>
      <c r="JC1300" s="97">
        <f t="shared" ref="JC1300" si="936">IK1300*IW1300</f>
        <v>0</v>
      </c>
      <c r="JD1300" s="102"/>
      <c r="JE1300" s="102"/>
      <c r="JF1300" s="102"/>
      <c r="JG1300" s="123"/>
      <c r="JH1300" s="123"/>
      <c r="JI1300" s="123"/>
      <c r="JJ1300" s="97">
        <f t="shared" ref="JJ1300" si="937">$I1300*JD1300</f>
        <v>0</v>
      </c>
      <c r="JK1300" s="97">
        <f t="shared" ref="JK1300" si="938">$J1300*JE1300</f>
        <v>0</v>
      </c>
      <c r="JL1300" s="97">
        <f t="shared" ref="JL1300" si="939">$K1300*JF1300</f>
        <v>0</v>
      </c>
      <c r="JM1300" s="123"/>
      <c r="JN1300" s="123"/>
      <c r="JO1300" s="123"/>
      <c r="JP1300" s="97">
        <f t="shared" si="722"/>
        <v>0</v>
      </c>
      <c r="JQ1300" s="97">
        <f t="shared" si="723"/>
        <v>0</v>
      </c>
      <c r="JR1300" s="97">
        <f t="shared" si="724"/>
        <v>0</v>
      </c>
      <c r="JS1300" s="123"/>
      <c r="JT1300" s="123"/>
      <c r="JU1300" s="123"/>
      <c r="JV1300" s="97">
        <f t="shared" ref="JV1300" si="940">JD1300*JP1300</f>
        <v>0</v>
      </c>
      <c r="JW1300" s="97">
        <f t="shared" ref="JW1300" si="941">JE1300*JQ1300</f>
        <v>0</v>
      </c>
      <c r="JX1300" s="97">
        <f t="shared" ref="JX1300" si="942">JF1300*JR1300</f>
        <v>0</v>
      </c>
      <c r="JY1300" s="102"/>
      <c r="JZ1300" s="102"/>
      <c r="KA1300" s="102"/>
      <c r="KB1300" s="123"/>
      <c r="KC1300" s="123"/>
      <c r="KD1300" s="123"/>
      <c r="KE1300" s="97">
        <f t="shared" ref="KE1300" si="943">$I1300*JY1300</f>
        <v>0</v>
      </c>
      <c r="KF1300" s="97">
        <f t="shared" ref="KF1300" si="944">$J1300*JZ1300</f>
        <v>0</v>
      </c>
      <c r="KG1300" s="97">
        <f t="shared" ref="KG1300" si="945">$K1300*KA1300</f>
        <v>0</v>
      </c>
      <c r="KH1300" s="123"/>
      <c r="KI1300" s="123"/>
      <c r="KJ1300" s="123"/>
      <c r="KK1300" s="97">
        <f t="shared" si="729"/>
        <v>0</v>
      </c>
      <c r="KL1300" s="97">
        <f t="shared" si="730"/>
        <v>0</v>
      </c>
      <c r="KM1300" s="97">
        <f t="shared" si="731"/>
        <v>0</v>
      </c>
      <c r="KN1300" s="123"/>
      <c r="KO1300" s="123"/>
      <c r="KP1300" s="123"/>
      <c r="KQ1300" s="97">
        <f t="shared" ref="KQ1300" si="946">JY1300*KK1300</f>
        <v>0</v>
      </c>
      <c r="KR1300" s="97">
        <f t="shared" ref="KR1300" si="947">JZ1300*KL1300</f>
        <v>0</v>
      </c>
      <c r="KS1300" s="97">
        <f t="shared" ref="KS1300" si="948">KA1300*KM1300</f>
        <v>0</v>
      </c>
      <c r="KT1300" s="102"/>
      <c r="KU1300" s="102"/>
      <c r="KV1300" s="102"/>
      <c r="KW1300" s="123"/>
      <c r="KX1300" s="123"/>
      <c r="KY1300" s="123"/>
      <c r="KZ1300" s="97">
        <f t="shared" ref="KZ1300" si="949">$I1300*KT1300</f>
        <v>0</v>
      </c>
      <c r="LA1300" s="97">
        <f t="shared" ref="LA1300" si="950">$J1300*KU1300</f>
        <v>0</v>
      </c>
      <c r="LB1300" s="97">
        <f t="shared" ref="LB1300" si="951">$K1300*KV1300</f>
        <v>0</v>
      </c>
      <c r="LC1300" s="123"/>
      <c r="LD1300" s="123"/>
      <c r="LE1300" s="123"/>
      <c r="LF1300" s="97">
        <f t="shared" si="736"/>
        <v>0</v>
      </c>
      <c r="LG1300" s="97">
        <f t="shared" si="737"/>
        <v>0</v>
      </c>
      <c r="LH1300" s="97">
        <f t="shared" si="738"/>
        <v>0</v>
      </c>
      <c r="LI1300" s="123"/>
      <c r="LJ1300" s="123"/>
      <c r="LK1300" s="123"/>
      <c r="LL1300" s="97">
        <f t="shared" ref="LL1300" si="952">KT1300*LF1300</f>
        <v>0</v>
      </c>
      <c r="LM1300" s="97">
        <f t="shared" ref="LM1300" si="953">KU1300*LG1300</f>
        <v>0</v>
      </c>
      <c r="LN1300" s="97">
        <f t="shared" ref="LN1300" si="954">KV1300*LH1300</f>
        <v>0</v>
      </c>
      <c r="LO1300" s="102"/>
      <c r="LP1300" s="102"/>
      <c r="LQ1300" s="102"/>
      <c r="LR1300" s="123"/>
      <c r="LS1300" s="123"/>
      <c r="LT1300" s="123"/>
      <c r="LU1300" s="97">
        <f t="shared" ref="LU1300" si="955">$I1300*LO1300</f>
        <v>0</v>
      </c>
      <c r="LV1300" s="97">
        <f t="shared" ref="LV1300" si="956">$J1300*LP1300</f>
        <v>0</v>
      </c>
      <c r="LW1300" s="97">
        <f t="shared" ref="LW1300" si="957">$K1300*LQ1300</f>
        <v>0</v>
      </c>
      <c r="LX1300" s="123"/>
      <c r="LY1300" s="123"/>
      <c r="LZ1300" s="123"/>
      <c r="MA1300" s="97">
        <f t="shared" si="743"/>
        <v>0</v>
      </c>
      <c r="MB1300" s="97">
        <f t="shared" si="744"/>
        <v>0</v>
      </c>
      <c r="MC1300" s="97">
        <f t="shared" si="745"/>
        <v>0</v>
      </c>
      <c r="MD1300" s="123"/>
      <c r="ME1300" s="123"/>
      <c r="MF1300" s="123"/>
      <c r="MG1300" s="97">
        <f t="shared" ref="MG1300" si="958">LO1300*MA1300</f>
        <v>0</v>
      </c>
      <c r="MH1300" s="97">
        <f t="shared" ref="MH1300" si="959">LP1300*MB1300</f>
        <v>0</v>
      </c>
      <c r="MI1300" s="97">
        <f t="shared" ref="MI1300" si="960">LQ1300*MC1300</f>
        <v>0</v>
      </c>
      <c r="MJ1300" s="102"/>
      <c r="MK1300" s="102"/>
      <c r="ML1300" s="102"/>
      <c r="MM1300" s="123"/>
      <c r="MN1300" s="123"/>
      <c r="MO1300" s="123"/>
      <c r="MP1300" s="97">
        <f t="shared" ref="MP1300" si="961">$I1300*MJ1300</f>
        <v>0</v>
      </c>
      <c r="MQ1300" s="97">
        <f t="shared" ref="MQ1300" si="962">$J1300*MK1300</f>
        <v>0</v>
      </c>
      <c r="MR1300" s="97">
        <f t="shared" ref="MR1300" si="963">$K1300*ML1300</f>
        <v>0</v>
      </c>
      <c r="MS1300" s="123"/>
      <c r="MT1300" s="123"/>
      <c r="MU1300" s="123"/>
      <c r="MV1300" s="97">
        <f t="shared" si="750"/>
        <v>0</v>
      </c>
      <c r="MW1300" s="97">
        <f t="shared" si="751"/>
        <v>0</v>
      </c>
      <c r="MX1300" s="97">
        <f t="shared" si="752"/>
        <v>0</v>
      </c>
      <c r="MY1300" s="123"/>
      <c r="MZ1300" s="123"/>
      <c r="NA1300" s="123"/>
      <c r="NB1300" s="97">
        <f t="shared" ref="NB1300" si="964">MJ1300*MV1300</f>
        <v>0</v>
      </c>
      <c r="NC1300" s="97">
        <f t="shared" ref="NC1300" si="965">MK1300*MW1300</f>
        <v>0</v>
      </c>
      <c r="ND1300" s="97">
        <f t="shared" ref="ND1300" si="966">ML1300*MX1300</f>
        <v>0</v>
      </c>
      <c r="NE1300" s="102"/>
      <c r="NF1300" s="102"/>
      <c r="NG1300" s="102"/>
      <c r="NH1300" s="123"/>
      <c r="NI1300" s="123"/>
      <c r="NJ1300" s="123"/>
      <c r="NK1300" s="97">
        <f t="shared" ref="NK1300" si="967">$I1300*NE1300</f>
        <v>0</v>
      </c>
      <c r="NL1300" s="97">
        <f t="shared" ref="NL1300" si="968">$J1300*NF1300</f>
        <v>0</v>
      </c>
      <c r="NM1300" s="97">
        <f t="shared" ref="NM1300" si="969">$K1300*NG1300</f>
        <v>0</v>
      </c>
      <c r="NN1300" s="123"/>
      <c r="NO1300" s="123"/>
      <c r="NP1300" s="123"/>
      <c r="NQ1300" s="97">
        <f t="shared" si="757"/>
        <v>0</v>
      </c>
      <c r="NR1300" s="97">
        <f t="shared" si="758"/>
        <v>0</v>
      </c>
      <c r="NS1300" s="97">
        <f t="shared" si="759"/>
        <v>0</v>
      </c>
      <c r="NT1300" s="123"/>
      <c r="NU1300" s="123"/>
      <c r="NV1300" s="123"/>
      <c r="NW1300" s="97">
        <f t="shared" ref="NW1300" si="970">NE1300*NQ1300</f>
        <v>0</v>
      </c>
      <c r="NX1300" s="97">
        <f t="shared" ref="NX1300" si="971">NF1300*NR1300</f>
        <v>0</v>
      </c>
      <c r="NY1300" s="97">
        <f t="shared" ref="NY1300" si="972">NG1300*NS1300</f>
        <v>0</v>
      </c>
      <c r="NZ1300" s="102"/>
      <c r="OA1300" s="102"/>
      <c r="OB1300" s="102"/>
      <c r="OC1300" s="123"/>
      <c r="OD1300" s="123"/>
      <c r="OE1300" s="123"/>
      <c r="OF1300" s="97">
        <f t="shared" ref="OF1300" si="973">$I1300*NZ1300</f>
        <v>0</v>
      </c>
      <c r="OG1300" s="97">
        <f t="shared" ref="OG1300" si="974">$J1300*OA1300</f>
        <v>0</v>
      </c>
      <c r="OH1300" s="97">
        <f t="shared" ref="OH1300" si="975">$K1300*OB1300</f>
        <v>0</v>
      </c>
      <c r="OI1300" s="123"/>
      <c r="OJ1300" s="123"/>
      <c r="OK1300" s="123"/>
      <c r="OL1300" s="97">
        <f t="shared" si="764"/>
        <v>0</v>
      </c>
      <c r="OM1300" s="97">
        <f t="shared" si="765"/>
        <v>0</v>
      </c>
      <c r="ON1300" s="97">
        <f t="shared" si="766"/>
        <v>0</v>
      </c>
      <c r="OO1300" s="123"/>
      <c r="OP1300" s="123"/>
      <c r="OQ1300" s="123"/>
      <c r="OR1300" s="97">
        <f t="shared" ref="OR1300" si="976">NZ1300*OL1300</f>
        <v>0</v>
      </c>
      <c r="OS1300" s="97">
        <f t="shared" ref="OS1300" si="977">OA1300*OM1300</f>
        <v>0</v>
      </c>
      <c r="OT1300" s="97">
        <f t="shared" ref="OT1300" si="978">OB1300*ON1300</f>
        <v>0</v>
      </c>
      <c r="OU1300" s="102"/>
      <c r="OV1300" s="102"/>
      <c r="OW1300" s="102"/>
      <c r="OX1300" s="123"/>
      <c r="OY1300" s="123"/>
      <c r="OZ1300" s="123"/>
      <c r="PA1300" s="97">
        <f t="shared" ref="PA1300" si="979">$I1300*OU1300</f>
        <v>0</v>
      </c>
      <c r="PB1300" s="97">
        <f t="shared" ref="PB1300" si="980">$J1300*OV1300</f>
        <v>0</v>
      </c>
      <c r="PC1300" s="97">
        <f t="shared" ref="PC1300" si="981">$K1300*OW1300</f>
        <v>0</v>
      </c>
      <c r="PD1300" s="123"/>
      <c r="PE1300" s="123"/>
      <c r="PF1300" s="123"/>
      <c r="PG1300" s="97">
        <f t="shared" si="771"/>
        <v>0</v>
      </c>
      <c r="PH1300" s="97">
        <f t="shared" si="772"/>
        <v>0</v>
      </c>
      <c r="PI1300" s="97">
        <f t="shared" si="773"/>
        <v>0</v>
      </c>
      <c r="PJ1300" s="123"/>
      <c r="PK1300" s="123"/>
      <c r="PL1300" s="123"/>
      <c r="PM1300" s="97">
        <f t="shared" ref="PM1300" si="982">OU1300*PG1300</f>
        <v>0</v>
      </c>
      <c r="PN1300" s="97">
        <f t="shared" ref="PN1300" si="983">OV1300*PH1300</f>
        <v>0</v>
      </c>
      <c r="PO1300" s="97">
        <f t="shared" ref="PO1300" si="984">OW1300*PI1300</f>
        <v>0</v>
      </c>
      <c r="PP1300" s="102"/>
      <c r="PQ1300" s="102"/>
      <c r="PR1300" s="102"/>
      <c r="PS1300" s="123"/>
      <c r="PT1300" s="123"/>
      <c r="PU1300" s="123"/>
      <c r="PV1300" s="97">
        <f t="shared" ref="PV1300" si="985">$I1300*PP1300</f>
        <v>0</v>
      </c>
      <c r="PW1300" s="97">
        <f t="shared" ref="PW1300" si="986">$J1300*PQ1300</f>
        <v>0</v>
      </c>
      <c r="PX1300" s="97">
        <f t="shared" ref="PX1300" si="987">$K1300*PR1300</f>
        <v>0</v>
      </c>
      <c r="PY1300" s="123"/>
      <c r="PZ1300" s="123"/>
      <c r="QA1300" s="123"/>
      <c r="QB1300" s="97">
        <f t="shared" si="778"/>
        <v>0</v>
      </c>
      <c r="QC1300" s="97">
        <f t="shared" si="779"/>
        <v>0</v>
      </c>
      <c r="QD1300" s="97">
        <f t="shared" si="780"/>
        <v>0</v>
      </c>
      <c r="QE1300" s="123"/>
      <c r="QF1300" s="123"/>
      <c r="QG1300" s="123"/>
      <c r="QH1300" s="97">
        <f t="shared" ref="QH1300" si="988">PP1300*QB1300</f>
        <v>0</v>
      </c>
      <c r="QI1300" s="97">
        <f t="shared" ref="QI1300" si="989">PQ1300*QC1300</f>
        <v>0</v>
      </c>
      <c r="QJ1300" s="97">
        <f t="shared" ref="QJ1300" si="990">PR1300*QD1300</f>
        <v>0</v>
      </c>
      <c r="QK1300" s="102"/>
      <c r="QL1300" s="102"/>
      <c r="QM1300" s="102"/>
      <c r="QN1300" s="123"/>
      <c r="QO1300" s="123"/>
      <c r="QP1300" s="123"/>
      <c r="QQ1300" s="97">
        <f t="shared" ref="QQ1300" si="991">$I1300*QK1300</f>
        <v>0</v>
      </c>
      <c r="QR1300" s="97">
        <f t="shared" ref="QR1300" si="992">$J1300*QL1300</f>
        <v>0</v>
      </c>
      <c r="QS1300" s="97">
        <f t="shared" ref="QS1300" si="993">$K1300*QM1300</f>
        <v>0</v>
      </c>
      <c r="QT1300" s="123"/>
      <c r="QU1300" s="123"/>
      <c r="QV1300" s="123"/>
      <c r="QW1300" s="97">
        <f t="shared" si="785"/>
        <v>0</v>
      </c>
      <c r="QX1300" s="97">
        <f t="shared" si="786"/>
        <v>0</v>
      </c>
      <c r="QY1300" s="97">
        <f t="shared" si="787"/>
        <v>0</v>
      </c>
      <c r="QZ1300" s="123"/>
      <c r="RA1300" s="123"/>
      <c r="RB1300" s="123"/>
      <c r="RC1300" s="97">
        <f t="shared" ref="RC1300" si="994">QK1300*QW1300</f>
        <v>0</v>
      </c>
      <c r="RD1300" s="97">
        <f t="shared" ref="RD1300" si="995">QL1300*QX1300</f>
        <v>0</v>
      </c>
      <c r="RE1300" s="97">
        <f t="shared" ref="RE1300" si="996">QM1300*QY1300</f>
        <v>0</v>
      </c>
      <c r="RF1300" s="102"/>
      <c r="RG1300" s="102"/>
      <c r="RH1300" s="102"/>
      <c r="RI1300" s="123"/>
      <c r="RJ1300" s="123"/>
      <c r="RK1300" s="123"/>
      <c r="RL1300" s="97">
        <f t="shared" ref="RL1300" si="997">$I1300*RF1300</f>
        <v>0</v>
      </c>
      <c r="RM1300" s="97">
        <f t="shared" ref="RM1300" si="998">$J1300*RG1300</f>
        <v>0</v>
      </c>
      <c r="RN1300" s="97">
        <f t="shared" ref="RN1300" si="999">$K1300*RH1300</f>
        <v>0</v>
      </c>
      <c r="RO1300" s="123"/>
      <c r="RP1300" s="123"/>
      <c r="RQ1300" s="123"/>
      <c r="RR1300" s="97">
        <f t="shared" si="792"/>
        <v>0</v>
      </c>
      <c r="RS1300" s="97">
        <f t="shared" si="793"/>
        <v>0</v>
      </c>
      <c r="RT1300" s="97">
        <f t="shared" si="794"/>
        <v>0</v>
      </c>
      <c r="RU1300" s="123"/>
      <c r="RV1300" s="123"/>
      <c r="RW1300" s="123"/>
      <c r="RX1300" s="97">
        <f t="shared" ref="RX1300" si="1000">RF1300*RR1300</f>
        <v>0</v>
      </c>
      <c r="RY1300" s="97">
        <f t="shared" ref="RY1300" si="1001">RG1300*RS1300</f>
        <v>0</v>
      </c>
      <c r="RZ1300" s="97">
        <f t="shared" ref="RZ1300" si="1002">RH1300*RT1300</f>
        <v>0</v>
      </c>
      <c r="SA1300" s="102"/>
      <c r="SB1300" s="102"/>
      <c r="SC1300" s="102"/>
      <c r="SD1300" s="123"/>
      <c r="SE1300" s="123"/>
      <c r="SF1300" s="123"/>
      <c r="SG1300" s="97">
        <f t="shared" ref="SG1300" si="1003">$I1300*SA1300</f>
        <v>0</v>
      </c>
      <c r="SH1300" s="97">
        <f t="shared" ref="SH1300" si="1004">$J1300*SB1300</f>
        <v>0</v>
      </c>
      <c r="SI1300" s="97">
        <f t="shared" ref="SI1300" si="1005">$K1300*SC1300</f>
        <v>0</v>
      </c>
      <c r="SJ1300" s="123"/>
      <c r="SK1300" s="123"/>
      <c r="SL1300" s="123"/>
      <c r="SM1300" s="97">
        <f t="shared" si="799"/>
        <v>0</v>
      </c>
      <c r="SN1300" s="97">
        <f t="shared" si="800"/>
        <v>0</v>
      </c>
      <c r="SO1300" s="97">
        <f t="shared" si="801"/>
        <v>0</v>
      </c>
      <c r="SP1300" s="123"/>
      <c r="SQ1300" s="123"/>
      <c r="SR1300" s="123"/>
      <c r="SS1300" s="97">
        <f t="shared" ref="SS1300" si="1006">SA1300*SM1300</f>
        <v>0</v>
      </c>
      <c r="ST1300" s="97">
        <f t="shared" ref="ST1300" si="1007">SB1300*SN1300</f>
        <v>0</v>
      </c>
      <c r="SU1300" s="97">
        <f t="shared" ref="SU1300" si="1008">SC1300*SO1300</f>
        <v>0</v>
      </c>
      <c r="SV1300" s="102"/>
      <c r="SW1300" s="102"/>
      <c r="SX1300" s="102"/>
      <c r="SY1300" s="123"/>
      <c r="SZ1300" s="123"/>
      <c r="TA1300" s="123"/>
      <c r="TB1300" s="97">
        <f t="shared" ref="TB1300" si="1009">$I1300*SV1300</f>
        <v>0</v>
      </c>
      <c r="TC1300" s="97">
        <f t="shared" ref="TC1300" si="1010">$J1300*SW1300</f>
        <v>0</v>
      </c>
      <c r="TD1300" s="97">
        <f t="shared" ref="TD1300" si="1011">$K1300*SX1300</f>
        <v>0</v>
      </c>
      <c r="TE1300" s="123"/>
      <c r="TF1300" s="123"/>
      <c r="TG1300" s="123"/>
      <c r="TH1300" s="97">
        <f t="shared" si="806"/>
        <v>0</v>
      </c>
      <c r="TI1300" s="97">
        <f t="shared" si="807"/>
        <v>0</v>
      </c>
      <c r="TJ1300" s="97">
        <f t="shared" si="808"/>
        <v>0</v>
      </c>
      <c r="TK1300" s="123"/>
      <c r="TL1300" s="123"/>
      <c r="TM1300" s="123"/>
      <c r="TN1300" s="97">
        <f t="shared" ref="TN1300" si="1012">SV1300*TH1300</f>
        <v>0</v>
      </c>
      <c r="TO1300" s="97">
        <f t="shared" ref="TO1300" si="1013">SW1300*TI1300</f>
        <v>0</v>
      </c>
      <c r="TP1300" s="97">
        <f t="shared" ref="TP1300" si="1014">SX1300*TJ1300</f>
        <v>0</v>
      </c>
      <c r="TQ1300" s="102"/>
      <c r="TR1300" s="102"/>
      <c r="TS1300" s="102"/>
      <c r="TT1300" s="123"/>
      <c r="TU1300" s="123"/>
      <c r="TV1300" s="123"/>
      <c r="TW1300" s="97">
        <f t="shared" ref="TW1300" si="1015">$I1300*TQ1300</f>
        <v>0</v>
      </c>
      <c r="TX1300" s="97">
        <f t="shared" ref="TX1300" si="1016">$J1300*TR1300</f>
        <v>0</v>
      </c>
      <c r="TY1300" s="97">
        <f t="shared" ref="TY1300" si="1017">$K1300*TS1300</f>
        <v>0</v>
      </c>
      <c r="TZ1300" s="123"/>
      <c r="UA1300" s="123"/>
      <c r="UB1300" s="123"/>
      <c r="UC1300" s="97">
        <f t="shared" si="813"/>
        <v>0</v>
      </c>
      <c r="UD1300" s="97">
        <f t="shared" si="814"/>
        <v>0</v>
      </c>
      <c r="UE1300" s="97">
        <f t="shared" si="815"/>
        <v>0</v>
      </c>
      <c r="UF1300" s="123"/>
      <c r="UG1300" s="123"/>
      <c r="UH1300" s="123"/>
      <c r="UI1300" s="97">
        <f t="shared" ref="UI1300" si="1018">TQ1300*UC1300</f>
        <v>0</v>
      </c>
      <c r="UJ1300" s="97">
        <f t="shared" ref="UJ1300" si="1019">TR1300*UD1300</f>
        <v>0</v>
      </c>
      <c r="UK1300" s="97">
        <f t="shared" ref="UK1300" si="1020">TS1300*UE1300</f>
        <v>0</v>
      </c>
      <c r="UL1300" s="102"/>
      <c r="UM1300" s="102"/>
      <c r="UN1300" s="102"/>
      <c r="UO1300" s="123"/>
      <c r="UP1300" s="123"/>
      <c r="UQ1300" s="123"/>
      <c r="UR1300" s="97">
        <f t="shared" ref="UR1300" si="1021">$I1300*UL1300</f>
        <v>0</v>
      </c>
      <c r="US1300" s="97">
        <f t="shared" ref="US1300" si="1022">$J1300*UM1300</f>
        <v>0</v>
      </c>
      <c r="UT1300" s="97">
        <f t="shared" ref="UT1300" si="1023">$K1300*UN1300</f>
        <v>0</v>
      </c>
      <c r="UU1300" s="123"/>
      <c r="UV1300" s="123"/>
      <c r="UW1300" s="123"/>
      <c r="UX1300" s="97">
        <f t="shared" si="820"/>
        <v>4101.42</v>
      </c>
      <c r="UY1300" s="97">
        <f t="shared" si="821"/>
        <v>4185.24</v>
      </c>
      <c r="UZ1300" s="97">
        <f t="shared" si="822"/>
        <v>4345</v>
      </c>
      <c r="VA1300" s="123"/>
      <c r="VB1300" s="123"/>
      <c r="VC1300" s="123"/>
      <c r="VD1300" s="97">
        <f t="shared" ref="VD1300" si="1024">UL1300*UX1300</f>
        <v>0</v>
      </c>
      <c r="VE1300" s="97">
        <f t="shared" ref="VE1300" si="1025">UM1300*UY1300</f>
        <v>0</v>
      </c>
      <c r="VF1300" s="97">
        <f t="shared" ref="VF1300" si="1026">UN1300*UZ1300</f>
        <v>0</v>
      </c>
      <c r="VG1300" s="102"/>
      <c r="VH1300" s="102"/>
      <c r="VI1300" s="102"/>
      <c r="VJ1300" s="123"/>
      <c r="VK1300" s="123"/>
      <c r="VL1300" s="123"/>
      <c r="VM1300" s="97">
        <f t="shared" ref="VM1300" si="1027">$I1300*VG1300</f>
        <v>0</v>
      </c>
      <c r="VN1300" s="97">
        <f t="shared" ref="VN1300" si="1028">$J1300*VH1300</f>
        <v>0</v>
      </c>
      <c r="VO1300" s="97">
        <f t="shared" ref="VO1300" si="1029">$K1300*VI1300</f>
        <v>0</v>
      </c>
      <c r="VP1300" s="123"/>
      <c r="VQ1300" s="123"/>
      <c r="VR1300" s="123"/>
      <c r="VS1300" s="97">
        <f t="shared" si="827"/>
        <v>0</v>
      </c>
      <c r="VT1300" s="97">
        <f t="shared" si="828"/>
        <v>0</v>
      </c>
      <c r="VU1300" s="97">
        <f t="shared" si="829"/>
        <v>0</v>
      </c>
      <c r="VV1300" s="123"/>
      <c r="VW1300" s="123"/>
      <c r="VX1300" s="123"/>
      <c r="VY1300" s="97">
        <f t="shared" ref="VY1300" si="1030">VG1300*VS1300</f>
        <v>0</v>
      </c>
      <c r="VZ1300" s="97">
        <f t="shared" ref="VZ1300" si="1031">VH1300*VT1300</f>
        <v>0</v>
      </c>
      <c r="WA1300" s="97">
        <f t="shared" ref="WA1300" si="1032">VI1300*VU1300</f>
        <v>0</v>
      </c>
      <c r="WB1300" s="102"/>
      <c r="WC1300" s="102"/>
      <c r="WD1300" s="102"/>
      <c r="WE1300" s="123"/>
      <c r="WF1300" s="123"/>
      <c r="WG1300" s="123"/>
      <c r="WH1300" s="97">
        <f t="shared" ref="WH1300" si="1033">$I1300*WB1300</f>
        <v>0</v>
      </c>
      <c r="WI1300" s="97">
        <f t="shared" ref="WI1300" si="1034">$J1300*WC1300</f>
        <v>0</v>
      </c>
      <c r="WJ1300" s="97">
        <f t="shared" ref="WJ1300" si="1035">$K1300*WD1300</f>
        <v>0</v>
      </c>
      <c r="WK1300" s="123"/>
      <c r="WL1300" s="123"/>
      <c r="WM1300" s="123"/>
      <c r="WN1300" s="97">
        <f t="shared" si="834"/>
        <v>0</v>
      </c>
      <c r="WO1300" s="97">
        <f t="shared" si="835"/>
        <v>0</v>
      </c>
      <c r="WP1300" s="97">
        <f t="shared" si="836"/>
        <v>0</v>
      </c>
      <c r="WQ1300" s="123"/>
      <c r="WR1300" s="123"/>
      <c r="WS1300" s="123"/>
      <c r="WT1300" s="97">
        <f t="shared" ref="WT1300" si="1036">WB1300*WN1300</f>
        <v>0</v>
      </c>
      <c r="WU1300" s="97">
        <f t="shared" ref="WU1300" si="1037">WC1300*WO1300</f>
        <v>0</v>
      </c>
      <c r="WV1300" s="97">
        <f t="shared" ref="WV1300" si="1038">WD1300*WP1300</f>
        <v>0</v>
      </c>
      <c r="WW1300" s="102"/>
      <c r="WX1300" s="102"/>
      <c r="WY1300" s="102"/>
      <c r="WZ1300" s="123"/>
      <c r="XA1300" s="123"/>
      <c r="XB1300" s="123"/>
      <c r="XC1300" s="97">
        <f t="shared" ref="XC1300" si="1039">$I1300*WW1300</f>
        <v>0</v>
      </c>
      <c r="XD1300" s="97">
        <f t="shared" ref="XD1300" si="1040">$J1300*WX1300</f>
        <v>0</v>
      </c>
      <c r="XE1300" s="97">
        <f t="shared" ref="XE1300" si="1041">$K1300*WY1300</f>
        <v>0</v>
      </c>
      <c r="XF1300" s="123"/>
      <c r="XG1300" s="123"/>
      <c r="XH1300" s="123"/>
      <c r="XI1300" s="97">
        <f t="shared" si="841"/>
        <v>0</v>
      </c>
      <c r="XJ1300" s="97">
        <f t="shared" si="842"/>
        <v>0</v>
      </c>
      <c r="XK1300" s="97">
        <f t="shared" si="843"/>
        <v>0</v>
      </c>
      <c r="XL1300" s="123"/>
      <c r="XM1300" s="123"/>
      <c r="XN1300" s="123"/>
      <c r="XO1300" s="97">
        <f t="shared" ref="XO1300" si="1042">WW1300*XI1300</f>
        <v>0</v>
      </c>
      <c r="XP1300" s="97">
        <f t="shared" ref="XP1300" si="1043">WX1300*XJ1300</f>
        <v>0</v>
      </c>
      <c r="XQ1300" s="97">
        <f t="shared" ref="XQ1300" si="1044">WY1300*XK1300</f>
        <v>0</v>
      </c>
      <c r="XR1300" s="102"/>
      <c r="XS1300" s="102"/>
      <c r="XT1300" s="102"/>
      <c r="XU1300" s="123"/>
      <c r="XV1300" s="123"/>
      <c r="XW1300" s="123"/>
      <c r="XX1300" s="97">
        <f t="shared" ref="XX1300" si="1045">$I1300*XR1300</f>
        <v>0</v>
      </c>
      <c r="XY1300" s="97">
        <f t="shared" ref="XY1300" si="1046">$J1300*XS1300</f>
        <v>0</v>
      </c>
      <c r="XZ1300" s="97">
        <f t="shared" ref="XZ1300" si="1047">$K1300*XT1300</f>
        <v>0</v>
      </c>
      <c r="YA1300" s="123"/>
      <c r="YB1300" s="123"/>
      <c r="YC1300" s="123"/>
      <c r="YD1300" s="97">
        <f t="shared" si="848"/>
        <v>0</v>
      </c>
      <c r="YE1300" s="97">
        <f t="shared" si="849"/>
        <v>0</v>
      </c>
      <c r="YF1300" s="97">
        <f t="shared" si="850"/>
        <v>0</v>
      </c>
      <c r="YG1300" s="123"/>
      <c r="YH1300" s="123"/>
      <c r="YI1300" s="123"/>
      <c r="YJ1300" s="97">
        <f t="shared" ref="YJ1300" si="1048">XR1300*YD1300</f>
        <v>0</v>
      </c>
      <c r="YK1300" s="97">
        <f t="shared" ref="YK1300" si="1049">XS1300*YE1300</f>
        <v>0</v>
      </c>
      <c r="YL1300" s="97">
        <f t="shared" ref="YL1300" si="1050">XT1300*YF1300</f>
        <v>0</v>
      </c>
      <c r="YM1300" s="145">
        <f t="shared" ref="YM1300" si="1051">L1300+AG1300+BB1300+BW1300+CR1300+DM1300+EH1300+FC1300+FX1300+GS1300+HN1300+II1300+JD1300+JY1300+KT1300+LO1300+MJ1300+NE1300+NZ1300+OU1300+PP1300+QK1300+RF1300+SA1300+SV1300+TQ1300+UL1300+VG1300+WB1300+WW1300+XR1300</f>
        <v>0</v>
      </c>
      <c r="YN1300" s="145">
        <f t="shared" ref="YN1300" si="1052">M1300+AH1300+BC1300+BX1300+CS1300+DN1300+EI1300+FD1300+FY1300+GT1300+HO1300+IJ1300+JE1300+JZ1300+KU1300+LP1300+MK1300+NF1300+OA1300+OV1300+PQ1300+QL1300+RG1300+SB1300+SW1300+TR1300+UM1300+VH1300+WC1300+WX1300+XS1300</f>
        <v>0</v>
      </c>
      <c r="YO1300" s="145">
        <f t="shared" ref="YO1300" si="1053">N1300+AI1300+BD1300+BY1300+CT1300+DO1300+EJ1300+FE1300+FZ1300+GU1300+HP1300+IK1300+JF1300+KA1300+KV1300+LQ1300+ML1300+NG1300+OB1300+OW1300+PR1300+QM1300+RH1300+SC1300+SX1300+TS1300+UN1300+VI1300+WD1300+WY1300+XT1300</f>
        <v>0</v>
      </c>
      <c r="YP1300" s="123"/>
      <c r="YQ1300" s="123"/>
      <c r="YR1300" s="123"/>
      <c r="YS1300" s="97">
        <f t="shared" ref="YS1300" si="1054">$I1300*YM1300</f>
        <v>0</v>
      </c>
      <c r="YT1300" s="97">
        <f t="shared" ref="YT1300" si="1055">$J1300*YN1300</f>
        <v>0</v>
      </c>
      <c r="YU1300" s="97">
        <f t="shared" ref="YU1300" si="1056">$K1300*YO1300</f>
        <v>0</v>
      </c>
      <c r="YV1300" s="123"/>
      <c r="YW1300" s="123"/>
      <c r="YX1300" s="123"/>
      <c r="YY1300" s="97">
        <f t="shared" si="856"/>
        <v>4101.42</v>
      </c>
      <c r="YZ1300" s="97">
        <f t="shared" si="857"/>
        <v>4185.24</v>
      </c>
      <c r="ZA1300" s="97">
        <f t="shared" si="858"/>
        <v>4345</v>
      </c>
      <c r="ZB1300" s="123"/>
      <c r="ZC1300" s="123"/>
      <c r="ZD1300" s="123"/>
      <c r="ZE1300" s="97">
        <f t="shared" ref="ZE1300" si="1057">YM1300*YY1300</f>
        <v>0</v>
      </c>
      <c r="ZF1300" s="97">
        <f t="shared" ref="ZF1300" si="1058">YN1300*YZ1300</f>
        <v>0</v>
      </c>
      <c r="ZG1300" s="97">
        <f t="shared" ref="ZG1300" si="1059">YO1300*ZA1300</f>
        <v>0</v>
      </c>
    </row>
    <row r="1301" spans="1:683" ht="36" x14ac:dyDescent="0.25">
      <c r="A1301" s="12" t="s">
        <v>948</v>
      </c>
      <c r="B1301" s="174" t="s">
        <v>435</v>
      </c>
      <c r="C1301" s="5"/>
      <c r="D1301" s="340"/>
      <c r="E1301" s="163"/>
      <c r="F1301" s="110"/>
      <c r="G1301" s="110"/>
      <c r="H1301" s="110"/>
      <c r="I1301" s="97">
        <f t="shared" si="636"/>
        <v>11203.7</v>
      </c>
      <c r="J1301" s="97">
        <f t="shared" si="860"/>
        <v>11203.7</v>
      </c>
      <c r="K1301" s="97">
        <f t="shared" si="861"/>
        <v>11203.7</v>
      </c>
      <c r="L1301" s="102"/>
      <c r="M1301" s="102"/>
      <c r="N1301" s="102"/>
      <c r="O1301" s="123"/>
      <c r="P1301" s="123"/>
      <c r="Q1301" s="123"/>
      <c r="R1301" s="97">
        <f t="shared" si="862"/>
        <v>0</v>
      </c>
      <c r="S1301" s="97">
        <f t="shared" si="863"/>
        <v>0</v>
      </c>
      <c r="T1301" s="97">
        <f t="shared" si="864"/>
        <v>0</v>
      </c>
      <c r="U1301" s="123"/>
      <c r="V1301" s="123"/>
      <c r="W1301" s="123"/>
      <c r="X1301" s="97">
        <f t="shared" si="638"/>
        <v>0</v>
      </c>
      <c r="Y1301" s="97">
        <f t="shared" si="639"/>
        <v>0</v>
      </c>
      <c r="Z1301" s="97">
        <f t="shared" si="640"/>
        <v>0</v>
      </c>
      <c r="AA1301" s="123"/>
      <c r="AB1301" s="123"/>
      <c r="AC1301" s="123"/>
      <c r="AD1301" s="97">
        <f t="shared" si="641"/>
        <v>0</v>
      </c>
      <c r="AE1301" s="97">
        <f t="shared" si="641"/>
        <v>0</v>
      </c>
      <c r="AF1301" s="97">
        <f t="shared" si="641"/>
        <v>0</v>
      </c>
      <c r="AG1301" s="102"/>
      <c r="AH1301" s="102"/>
      <c r="AI1301" s="102"/>
      <c r="AJ1301" s="123"/>
      <c r="AK1301" s="123"/>
      <c r="AL1301" s="123"/>
      <c r="AM1301" s="97">
        <f t="shared" si="642"/>
        <v>0</v>
      </c>
      <c r="AN1301" s="97">
        <f t="shared" si="643"/>
        <v>0</v>
      </c>
      <c r="AO1301" s="97">
        <f t="shared" si="644"/>
        <v>0</v>
      </c>
      <c r="AP1301" s="123"/>
      <c r="AQ1301" s="123"/>
      <c r="AR1301" s="123"/>
      <c r="AS1301" s="97">
        <f t="shared" si="645"/>
        <v>0</v>
      </c>
      <c r="AT1301" s="97">
        <f t="shared" si="646"/>
        <v>0</v>
      </c>
      <c r="AU1301" s="97">
        <f t="shared" si="647"/>
        <v>0</v>
      </c>
      <c r="AV1301" s="123"/>
      <c r="AW1301" s="123"/>
      <c r="AX1301" s="123"/>
      <c r="AY1301" s="97">
        <f t="shared" si="648"/>
        <v>0</v>
      </c>
      <c r="AZ1301" s="97">
        <f t="shared" si="648"/>
        <v>0</v>
      </c>
      <c r="BA1301" s="97">
        <f t="shared" si="648"/>
        <v>0</v>
      </c>
      <c r="BB1301" s="102"/>
      <c r="BC1301" s="102"/>
      <c r="BD1301" s="102"/>
      <c r="BE1301" s="123"/>
      <c r="BF1301" s="123"/>
      <c r="BG1301" s="123"/>
      <c r="BH1301" s="97">
        <f t="shared" si="649"/>
        <v>0</v>
      </c>
      <c r="BI1301" s="97">
        <f t="shared" si="650"/>
        <v>0</v>
      </c>
      <c r="BJ1301" s="97">
        <f t="shared" si="651"/>
        <v>0</v>
      </c>
      <c r="BK1301" s="123"/>
      <c r="BL1301" s="123"/>
      <c r="BM1301" s="123"/>
      <c r="BN1301" s="97">
        <f t="shared" si="652"/>
        <v>0</v>
      </c>
      <c r="BO1301" s="97">
        <f t="shared" si="653"/>
        <v>0</v>
      </c>
      <c r="BP1301" s="97">
        <f t="shared" si="654"/>
        <v>0</v>
      </c>
      <c r="BQ1301" s="123"/>
      <c r="BR1301" s="123"/>
      <c r="BS1301" s="123"/>
      <c r="BT1301" s="97">
        <f t="shared" si="655"/>
        <v>0</v>
      </c>
      <c r="BU1301" s="97">
        <f t="shared" si="655"/>
        <v>0</v>
      </c>
      <c r="BV1301" s="97">
        <f t="shared" si="655"/>
        <v>0</v>
      </c>
      <c r="BW1301" s="102"/>
      <c r="BX1301" s="102"/>
      <c r="BY1301" s="102"/>
      <c r="BZ1301" s="123"/>
      <c r="CA1301" s="123"/>
      <c r="CB1301" s="123"/>
      <c r="CC1301" s="97">
        <f t="shared" si="656"/>
        <v>0</v>
      </c>
      <c r="CD1301" s="97">
        <f t="shared" si="657"/>
        <v>0</v>
      </c>
      <c r="CE1301" s="97">
        <f t="shared" si="658"/>
        <v>0</v>
      </c>
      <c r="CF1301" s="123"/>
      <c r="CG1301" s="123"/>
      <c r="CH1301" s="123"/>
      <c r="CI1301" s="97">
        <f t="shared" si="659"/>
        <v>0</v>
      </c>
      <c r="CJ1301" s="97">
        <f t="shared" si="660"/>
        <v>0</v>
      </c>
      <c r="CK1301" s="97">
        <f t="shared" si="661"/>
        <v>0</v>
      </c>
      <c r="CL1301" s="123"/>
      <c r="CM1301" s="123"/>
      <c r="CN1301" s="123"/>
      <c r="CO1301" s="97">
        <f t="shared" si="662"/>
        <v>0</v>
      </c>
      <c r="CP1301" s="97">
        <f t="shared" si="662"/>
        <v>0</v>
      </c>
      <c r="CQ1301" s="97">
        <f t="shared" si="662"/>
        <v>0</v>
      </c>
      <c r="CR1301" s="102"/>
      <c r="CS1301" s="102"/>
      <c r="CT1301" s="102"/>
      <c r="CU1301" s="123"/>
      <c r="CV1301" s="123"/>
      <c r="CW1301" s="123"/>
      <c r="CX1301" s="97">
        <f t="shared" si="663"/>
        <v>0</v>
      </c>
      <c r="CY1301" s="97">
        <f t="shared" si="664"/>
        <v>0</v>
      </c>
      <c r="CZ1301" s="97">
        <f t="shared" si="665"/>
        <v>0</v>
      </c>
      <c r="DA1301" s="123"/>
      <c r="DB1301" s="123"/>
      <c r="DC1301" s="123"/>
      <c r="DD1301" s="97">
        <f t="shared" si="666"/>
        <v>0</v>
      </c>
      <c r="DE1301" s="97">
        <f t="shared" si="667"/>
        <v>0</v>
      </c>
      <c r="DF1301" s="97">
        <f t="shared" si="668"/>
        <v>0</v>
      </c>
      <c r="DG1301" s="123"/>
      <c r="DH1301" s="123"/>
      <c r="DI1301" s="123"/>
      <c r="DJ1301" s="97">
        <f t="shared" si="669"/>
        <v>0</v>
      </c>
      <c r="DK1301" s="97">
        <f t="shared" si="669"/>
        <v>0</v>
      </c>
      <c r="DL1301" s="97">
        <f t="shared" si="669"/>
        <v>0</v>
      </c>
      <c r="DM1301" s="102"/>
      <c r="DN1301" s="102"/>
      <c r="DO1301" s="102"/>
      <c r="DP1301" s="123"/>
      <c r="DQ1301" s="123"/>
      <c r="DR1301" s="123"/>
      <c r="DS1301" s="97">
        <f t="shared" si="670"/>
        <v>0</v>
      </c>
      <c r="DT1301" s="97">
        <f t="shared" si="671"/>
        <v>0</v>
      </c>
      <c r="DU1301" s="97">
        <f t="shared" si="672"/>
        <v>0</v>
      </c>
      <c r="DV1301" s="123"/>
      <c r="DW1301" s="123"/>
      <c r="DX1301" s="123"/>
      <c r="DY1301" s="97">
        <f t="shared" si="673"/>
        <v>0</v>
      </c>
      <c r="DZ1301" s="97">
        <f t="shared" si="674"/>
        <v>0</v>
      </c>
      <c r="EA1301" s="97">
        <f t="shared" si="675"/>
        <v>0</v>
      </c>
      <c r="EB1301" s="123"/>
      <c r="EC1301" s="123"/>
      <c r="ED1301" s="123"/>
      <c r="EE1301" s="97">
        <f t="shared" si="676"/>
        <v>0</v>
      </c>
      <c r="EF1301" s="97">
        <f t="shared" si="676"/>
        <v>0</v>
      </c>
      <c r="EG1301" s="97">
        <f t="shared" si="676"/>
        <v>0</v>
      </c>
      <c r="EH1301" s="102"/>
      <c r="EI1301" s="102"/>
      <c r="EJ1301" s="102"/>
      <c r="EK1301" s="123"/>
      <c r="EL1301" s="123"/>
      <c r="EM1301" s="123"/>
      <c r="EN1301" s="97">
        <f t="shared" si="677"/>
        <v>0</v>
      </c>
      <c r="EO1301" s="97">
        <f t="shared" si="678"/>
        <v>0</v>
      </c>
      <c r="EP1301" s="97">
        <f t="shared" si="679"/>
        <v>0</v>
      </c>
      <c r="EQ1301" s="123"/>
      <c r="ER1301" s="123"/>
      <c r="ES1301" s="123"/>
      <c r="ET1301" s="97">
        <f t="shared" si="680"/>
        <v>0</v>
      </c>
      <c r="EU1301" s="97">
        <f t="shared" si="681"/>
        <v>0</v>
      </c>
      <c r="EV1301" s="97">
        <f t="shared" si="682"/>
        <v>0</v>
      </c>
      <c r="EW1301" s="123"/>
      <c r="EX1301" s="123"/>
      <c r="EY1301" s="123"/>
      <c r="EZ1301" s="97">
        <f t="shared" si="683"/>
        <v>0</v>
      </c>
      <c r="FA1301" s="97">
        <f t="shared" si="683"/>
        <v>0</v>
      </c>
      <c r="FB1301" s="97">
        <f t="shared" si="683"/>
        <v>0</v>
      </c>
      <c r="FC1301" s="102"/>
      <c r="FD1301" s="102"/>
      <c r="FE1301" s="102"/>
      <c r="FF1301" s="123"/>
      <c r="FG1301" s="123"/>
      <c r="FH1301" s="123"/>
      <c r="FI1301" s="97">
        <f t="shared" si="684"/>
        <v>0</v>
      </c>
      <c r="FJ1301" s="97">
        <f t="shared" si="685"/>
        <v>0</v>
      </c>
      <c r="FK1301" s="97">
        <f t="shared" si="686"/>
        <v>0</v>
      </c>
      <c r="FL1301" s="123"/>
      <c r="FM1301" s="123"/>
      <c r="FN1301" s="123"/>
      <c r="FO1301" s="97">
        <f t="shared" si="687"/>
        <v>0</v>
      </c>
      <c r="FP1301" s="97">
        <f t="shared" si="688"/>
        <v>0</v>
      </c>
      <c r="FQ1301" s="97">
        <f t="shared" si="689"/>
        <v>0</v>
      </c>
      <c r="FR1301" s="123"/>
      <c r="FS1301" s="123"/>
      <c r="FT1301" s="123"/>
      <c r="FU1301" s="97">
        <f t="shared" si="690"/>
        <v>0</v>
      </c>
      <c r="FV1301" s="97">
        <f t="shared" si="690"/>
        <v>0</v>
      </c>
      <c r="FW1301" s="97">
        <f t="shared" si="690"/>
        <v>0</v>
      </c>
      <c r="FX1301" s="102"/>
      <c r="FY1301" s="102"/>
      <c r="FZ1301" s="102"/>
      <c r="GA1301" s="123"/>
      <c r="GB1301" s="123"/>
      <c r="GC1301" s="123"/>
      <c r="GD1301" s="97">
        <f t="shared" si="691"/>
        <v>0</v>
      </c>
      <c r="GE1301" s="97">
        <f t="shared" si="692"/>
        <v>0</v>
      </c>
      <c r="GF1301" s="97">
        <f t="shared" si="693"/>
        <v>0</v>
      </c>
      <c r="GG1301" s="123"/>
      <c r="GH1301" s="123"/>
      <c r="GI1301" s="123"/>
      <c r="GJ1301" s="97">
        <f t="shared" si="694"/>
        <v>0</v>
      </c>
      <c r="GK1301" s="97">
        <f t="shared" si="695"/>
        <v>0</v>
      </c>
      <c r="GL1301" s="97">
        <f t="shared" si="696"/>
        <v>0</v>
      </c>
      <c r="GM1301" s="123"/>
      <c r="GN1301" s="123"/>
      <c r="GO1301" s="123"/>
      <c r="GP1301" s="97">
        <f t="shared" si="697"/>
        <v>0</v>
      </c>
      <c r="GQ1301" s="97">
        <f t="shared" si="697"/>
        <v>0</v>
      </c>
      <c r="GR1301" s="97">
        <f t="shared" si="697"/>
        <v>0</v>
      </c>
      <c r="GS1301" s="102"/>
      <c r="GT1301" s="102"/>
      <c r="GU1301" s="102"/>
      <c r="GV1301" s="123"/>
      <c r="GW1301" s="123"/>
      <c r="GX1301" s="123"/>
      <c r="GY1301" s="97">
        <f t="shared" si="698"/>
        <v>0</v>
      </c>
      <c r="GZ1301" s="97">
        <f t="shared" si="699"/>
        <v>0</v>
      </c>
      <c r="HA1301" s="97">
        <f t="shared" si="700"/>
        <v>0</v>
      </c>
      <c r="HB1301" s="123"/>
      <c r="HC1301" s="123"/>
      <c r="HD1301" s="123"/>
      <c r="HE1301" s="97">
        <f t="shared" si="701"/>
        <v>0</v>
      </c>
      <c r="HF1301" s="97">
        <f t="shared" si="702"/>
        <v>0</v>
      </c>
      <c r="HG1301" s="97">
        <f t="shared" si="703"/>
        <v>0</v>
      </c>
      <c r="HH1301" s="123"/>
      <c r="HI1301" s="123"/>
      <c r="HJ1301" s="123"/>
      <c r="HK1301" s="97">
        <f t="shared" si="704"/>
        <v>0</v>
      </c>
      <c r="HL1301" s="97">
        <f t="shared" si="704"/>
        <v>0</v>
      </c>
      <c r="HM1301" s="97">
        <f t="shared" si="704"/>
        <v>0</v>
      </c>
      <c r="HN1301" s="102"/>
      <c r="HO1301" s="102"/>
      <c r="HP1301" s="102"/>
      <c r="HQ1301" s="123"/>
      <c r="HR1301" s="123"/>
      <c r="HS1301" s="123"/>
      <c r="HT1301" s="97">
        <f t="shared" si="705"/>
        <v>0</v>
      </c>
      <c r="HU1301" s="97">
        <f t="shared" si="706"/>
        <v>0</v>
      </c>
      <c r="HV1301" s="97">
        <f t="shared" si="707"/>
        <v>0</v>
      </c>
      <c r="HW1301" s="123"/>
      <c r="HX1301" s="123"/>
      <c r="HY1301" s="123"/>
      <c r="HZ1301" s="97">
        <f t="shared" si="708"/>
        <v>0</v>
      </c>
      <c r="IA1301" s="97">
        <f t="shared" si="709"/>
        <v>0</v>
      </c>
      <c r="IB1301" s="97">
        <f t="shared" si="710"/>
        <v>0</v>
      </c>
      <c r="IC1301" s="123"/>
      <c r="ID1301" s="123"/>
      <c r="IE1301" s="123"/>
      <c r="IF1301" s="97">
        <f t="shared" si="711"/>
        <v>0</v>
      </c>
      <c r="IG1301" s="97">
        <f t="shared" si="711"/>
        <v>0</v>
      </c>
      <c r="IH1301" s="97">
        <f t="shared" si="711"/>
        <v>0</v>
      </c>
      <c r="II1301" s="102"/>
      <c r="IJ1301" s="102"/>
      <c r="IK1301" s="102"/>
      <c r="IL1301" s="123"/>
      <c r="IM1301" s="123"/>
      <c r="IN1301" s="123"/>
      <c r="IO1301" s="97">
        <f t="shared" si="712"/>
        <v>0</v>
      </c>
      <c r="IP1301" s="97">
        <f t="shared" si="713"/>
        <v>0</v>
      </c>
      <c r="IQ1301" s="97">
        <f t="shared" si="714"/>
        <v>0</v>
      </c>
      <c r="IR1301" s="123"/>
      <c r="IS1301" s="123"/>
      <c r="IT1301" s="123"/>
      <c r="IU1301" s="97">
        <f t="shared" si="715"/>
        <v>0</v>
      </c>
      <c r="IV1301" s="97">
        <f t="shared" si="716"/>
        <v>0</v>
      </c>
      <c r="IW1301" s="97">
        <f t="shared" si="717"/>
        <v>0</v>
      </c>
      <c r="IX1301" s="123"/>
      <c r="IY1301" s="123"/>
      <c r="IZ1301" s="123"/>
      <c r="JA1301" s="97">
        <f t="shared" si="718"/>
        <v>0</v>
      </c>
      <c r="JB1301" s="97">
        <f t="shared" si="718"/>
        <v>0</v>
      </c>
      <c r="JC1301" s="97">
        <f t="shared" si="718"/>
        <v>0</v>
      </c>
      <c r="JD1301" s="102"/>
      <c r="JE1301" s="102"/>
      <c r="JF1301" s="102"/>
      <c r="JG1301" s="123"/>
      <c r="JH1301" s="123"/>
      <c r="JI1301" s="123"/>
      <c r="JJ1301" s="97">
        <f t="shared" si="719"/>
        <v>0</v>
      </c>
      <c r="JK1301" s="97">
        <f t="shared" si="720"/>
        <v>0</v>
      </c>
      <c r="JL1301" s="97">
        <f t="shared" si="721"/>
        <v>0</v>
      </c>
      <c r="JM1301" s="123"/>
      <c r="JN1301" s="123"/>
      <c r="JO1301" s="123"/>
      <c r="JP1301" s="97">
        <f t="shared" si="722"/>
        <v>0</v>
      </c>
      <c r="JQ1301" s="97">
        <f t="shared" si="723"/>
        <v>0</v>
      </c>
      <c r="JR1301" s="97">
        <f t="shared" si="724"/>
        <v>0</v>
      </c>
      <c r="JS1301" s="123"/>
      <c r="JT1301" s="123"/>
      <c r="JU1301" s="123"/>
      <c r="JV1301" s="97">
        <f t="shared" si="725"/>
        <v>0</v>
      </c>
      <c r="JW1301" s="97">
        <f t="shared" si="725"/>
        <v>0</v>
      </c>
      <c r="JX1301" s="97">
        <f t="shared" si="725"/>
        <v>0</v>
      </c>
      <c r="JY1301" s="102"/>
      <c r="JZ1301" s="102"/>
      <c r="KA1301" s="102"/>
      <c r="KB1301" s="123"/>
      <c r="KC1301" s="123"/>
      <c r="KD1301" s="123"/>
      <c r="KE1301" s="97">
        <f t="shared" si="726"/>
        <v>0</v>
      </c>
      <c r="KF1301" s="97">
        <f t="shared" si="727"/>
        <v>0</v>
      </c>
      <c r="KG1301" s="97">
        <f t="shared" si="728"/>
        <v>0</v>
      </c>
      <c r="KH1301" s="123"/>
      <c r="KI1301" s="123"/>
      <c r="KJ1301" s="123"/>
      <c r="KK1301" s="97">
        <f t="shared" si="729"/>
        <v>0</v>
      </c>
      <c r="KL1301" s="97">
        <f t="shared" si="730"/>
        <v>0</v>
      </c>
      <c r="KM1301" s="97">
        <f t="shared" si="731"/>
        <v>0</v>
      </c>
      <c r="KN1301" s="123"/>
      <c r="KO1301" s="123"/>
      <c r="KP1301" s="123"/>
      <c r="KQ1301" s="97">
        <f t="shared" si="732"/>
        <v>0</v>
      </c>
      <c r="KR1301" s="97">
        <f t="shared" si="732"/>
        <v>0</v>
      </c>
      <c r="KS1301" s="97">
        <f t="shared" si="732"/>
        <v>0</v>
      </c>
      <c r="KT1301" s="102"/>
      <c r="KU1301" s="102"/>
      <c r="KV1301" s="102"/>
      <c r="KW1301" s="123"/>
      <c r="KX1301" s="123"/>
      <c r="KY1301" s="123"/>
      <c r="KZ1301" s="97">
        <f t="shared" si="733"/>
        <v>0</v>
      </c>
      <c r="LA1301" s="97">
        <f t="shared" si="734"/>
        <v>0</v>
      </c>
      <c r="LB1301" s="97">
        <f t="shared" si="735"/>
        <v>0</v>
      </c>
      <c r="LC1301" s="123"/>
      <c r="LD1301" s="123"/>
      <c r="LE1301" s="123"/>
      <c r="LF1301" s="97">
        <f t="shared" si="736"/>
        <v>0</v>
      </c>
      <c r="LG1301" s="97">
        <f t="shared" si="737"/>
        <v>0</v>
      </c>
      <c r="LH1301" s="97">
        <f t="shared" si="738"/>
        <v>0</v>
      </c>
      <c r="LI1301" s="123"/>
      <c r="LJ1301" s="123"/>
      <c r="LK1301" s="123"/>
      <c r="LL1301" s="97">
        <f t="shared" si="739"/>
        <v>0</v>
      </c>
      <c r="LM1301" s="97">
        <f t="shared" si="739"/>
        <v>0</v>
      </c>
      <c r="LN1301" s="97">
        <f t="shared" si="739"/>
        <v>0</v>
      </c>
      <c r="LO1301" s="102"/>
      <c r="LP1301" s="102"/>
      <c r="LQ1301" s="102"/>
      <c r="LR1301" s="123"/>
      <c r="LS1301" s="123"/>
      <c r="LT1301" s="123"/>
      <c r="LU1301" s="97">
        <f t="shared" si="740"/>
        <v>0</v>
      </c>
      <c r="LV1301" s="97">
        <f t="shared" si="741"/>
        <v>0</v>
      </c>
      <c r="LW1301" s="97">
        <f t="shared" si="742"/>
        <v>0</v>
      </c>
      <c r="LX1301" s="123"/>
      <c r="LY1301" s="123"/>
      <c r="LZ1301" s="123"/>
      <c r="MA1301" s="97">
        <f t="shared" si="743"/>
        <v>0</v>
      </c>
      <c r="MB1301" s="97">
        <f t="shared" si="744"/>
        <v>0</v>
      </c>
      <c r="MC1301" s="97">
        <f t="shared" si="745"/>
        <v>0</v>
      </c>
      <c r="MD1301" s="123"/>
      <c r="ME1301" s="123"/>
      <c r="MF1301" s="123"/>
      <c r="MG1301" s="97">
        <f t="shared" si="746"/>
        <v>0</v>
      </c>
      <c r="MH1301" s="97">
        <f t="shared" si="746"/>
        <v>0</v>
      </c>
      <c r="MI1301" s="97">
        <f t="shared" si="746"/>
        <v>0</v>
      </c>
      <c r="MJ1301" s="102"/>
      <c r="MK1301" s="102"/>
      <c r="ML1301" s="102"/>
      <c r="MM1301" s="123"/>
      <c r="MN1301" s="123"/>
      <c r="MO1301" s="123"/>
      <c r="MP1301" s="97">
        <f t="shared" si="747"/>
        <v>0</v>
      </c>
      <c r="MQ1301" s="97">
        <f t="shared" si="748"/>
        <v>0</v>
      </c>
      <c r="MR1301" s="97">
        <f t="shared" si="749"/>
        <v>0</v>
      </c>
      <c r="MS1301" s="123"/>
      <c r="MT1301" s="123"/>
      <c r="MU1301" s="123"/>
      <c r="MV1301" s="97">
        <f t="shared" si="750"/>
        <v>0</v>
      </c>
      <c r="MW1301" s="97">
        <f t="shared" si="751"/>
        <v>0</v>
      </c>
      <c r="MX1301" s="97">
        <f t="shared" si="752"/>
        <v>0</v>
      </c>
      <c r="MY1301" s="123"/>
      <c r="MZ1301" s="123"/>
      <c r="NA1301" s="123"/>
      <c r="NB1301" s="97">
        <f t="shared" si="753"/>
        <v>0</v>
      </c>
      <c r="NC1301" s="97">
        <f t="shared" si="753"/>
        <v>0</v>
      </c>
      <c r="ND1301" s="97">
        <f t="shared" si="753"/>
        <v>0</v>
      </c>
      <c r="NE1301" s="102"/>
      <c r="NF1301" s="102"/>
      <c r="NG1301" s="102"/>
      <c r="NH1301" s="123"/>
      <c r="NI1301" s="123"/>
      <c r="NJ1301" s="123"/>
      <c r="NK1301" s="97">
        <f t="shared" si="754"/>
        <v>0</v>
      </c>
      <c r="NL1301" s="97">
        <f t="shared" si="755"/>
        <v>0</v>
      </c>
      <c r="NM1301" s="97">
        <f t="shared" si="756"/>
        <v>0</v>
      </c>
      <c r="NN1301" s="123"/>
      <c r="NO1301" s="123"/>
      <c r="NP1301" s="123"/>
      <c r="NQ1301" s="97">
        <f t="shared" si="757"/>
        <v>0</v>
      </c>
      <c r="NR1301" s="97">
        <f t="shared" si="758"/>
        <v>0</v>
      </c>
      <c r="NS1301" s="97">
        <f t="shared" si="759"/>
        <v>0</v>
      </c>
      <c r="NT1301" s="123"/>
      <c r="NU1301" s="123"/>
      <c r="NV1301" s="123"/>
      <c r="NW1301" s="97">
        <f t="shared" si="760"/>
        <v>0</v>
      </c>
      <c r="NX1301" s="97">
        <f t="shared" si="760"/>
        <v>0</v>
      </c>
      <c r="NY1301" s="97">
        <f t="shared" si="760"/>
        <v>0</v>
      </c>
      <c r="NZ1301" s="102"/>
      <c r="OA1301" s="102"/>
      <c r="OB1301" s="102"/>
      <c r="OC1301" s="123"/>
      <c r="OD1301" s="123"/>
      <c r="OE1301" s="123"/>
      <c r="OF1301" s="97">
        <f t="shared" si="761"/>
        <v>0</v>
      </c>
      <c r="OG1301" s="97">
        <f t="shared" si="762"/>
        <v>0</v>
      </c>
      <c r="OH1301" s="97">
        <f t="shared" si="763"/>
        <v>0</v>
      </c>
      <c r="OI1301" s="123"/>
      <c r="OJ1301" s="123"/>
      <c r="OK1301" s="123"/>
      <c r="OL1301" s="97">
        <f t="shared" si="764"/>
        <v>0</v>
      </c>
      <c r="OM1301" s="97">
        <f t="shared" si="765"/>
        <v>0</v>
      </c>
      <c r="ON1301" s="97">
        <f t="shared" si="766"/>
        <v>0</v>
      </c>
      <c r="OO1301" s="123"/>
      <c r="OP1301" s="123"/>
      <c r="OQ1301" s="123"/>
      <c r="OR1301" s="97">
        <f t="shared" si="767"/>
        <v>0</v>
      </c>
      <c r="OS1301" s="97">
        <f t="shared" si="767"/>
        <v>0</v>
      </c>
      <c r="OT1301" s="97">
        <f t="shared" si="767"/>
        <v>0</v>
      </c>
      <c r="OU1301" s="102"/>
      <c r="OV1301" s="102"/>
      <c r="OW1301" s="102"/>
      <c r="OX1301" s="123"/>
      <c r="OY1301" s="123"/>
      <c r="OZ1301" s="123"/>
      <c r="PA1301" s="97">
        <f t="shared" si="768"/>
        <v>0</v>
      </c>
      <c r="PB1301" s="97">
        <f t="shared" si="769"/>
        <v>0</v>
      </c>
      <c r="PC1301" s="97">
        <f t="shared" si="770"/>
        <v>0</v>
      </c>
      <c r="PD1301" s="123"/>
      <c r="PE1301" s="123"/>
      <c r="PF1301" s="123"/>
      <c r="PG1301" s="97">
        <f t="shared" si="771"/>
        <v>0</v>
      </c>
      <c r="PH1301" s="97">
        <f t="shared" si="772"/>
        <v>0</v>
      </c>
      <c r="PI1301" s="97">
        <f t="shared" si="773"/>
        <v>0</v>
      </c>
      <c r="PJ1301" s="123"/>
      <c r="PK1301" s="123"/>
      <c r="PL1301" s="123"/>
      <c r="PM1301" s="97">
        <f t="shared" si="774"/>
        <v>0</v>
      </c>
      <c r="PN1301" s="97">
        <f t="shared" si="774"/>
        <v>0</v>
      </c>
      <c r="PO1301" s="97">
        <f t="shared" si="774"/>
        <v>0</v>
      </c>
      <c r="PP1301" s="102"/>
      <c r="PQ1301" s="102"/>
      <c r="PR1301" s="102"/>
      <c r="PS1301" s="123"/>
      <c r="PT1301" s="123"/>
      <c r="PU1301" s="123"/>
      <c r="PV1301" s="97">
        <f t="shared" si="775"/>
        <v>0</v>
      </c>
      <c r="PW1301" s="97">
        <f t="shared" si="776"/>
        <v>0</v>
      </c>
      <c r="PX1301" s="97">
        <f t="shared" si="777"/>
        <v>0</v>
      </c>
      <c r="PY1301" s="123"/>
      <c r="PZ1301" s="123"/>
      <c r="QA1301" s="123"/>
      <c r="QB1301" s="97">
        <f t="shared" si="778"/>
        <v>0</v>
      </c>
      <c r="QC1301" s="97">
        <f t="shared" si="779"/>
        <v>0</v>
      </c>
      <c r="QD1301" s="97">
        <f t="shared" si="780"/>
        <v>0</v>
      </c>
      <c r="QE1301" s="123"/>
      <c r="QF1301" s="123"/>
      <c r="QG1301" s="123"/>
      <c r="QH1301" s="97">
        <f t="shared" si="781"/>
        <v>0</v>
      </c>
      <c r="QI1301" s="97">
        <f t="shared" si="781"/>
        <v>0</v>
      </c>
      <c r="QJ1301" s="97">
        <f t="shared" si="781"/>
        <v>0</v>
      </c>
      <c r="QK1301" s="102"/>
      <c r="QL1301" s="102"/>
      <c r="QM1301" s="102"/>
      <c r="QN1301" s="123"/>
      <c r="QO1301" s="123"/>
      <c r="QP1301" s="123"/>
      <c r="QQ1301" s="97">
        <f t="shared" si="782"/>
        <v>0</v>
      </c>
      <c r="QR1301" s="97">
        <f t="shared" si="783"/>
        <v>0</v>
      </c>
      <c r="QS1301" s="97">
        <f t="shared" si="784"/>
        <v>0</v>
      </c>
      <c r="QT1301" s="123"/>
      <c r="QU1301" s="123"/>
      <c r="QV1301" s="123"/>
      <c r="QW1301" s="97">
        <f t="shared" si="785"/>
        <v>0</v>
      </c>
      <c r="QX1301" s="97">
        <f t="shared" si="786"/>
        <v>0</v>
      </c>
      <c r="QY1301" s="97">
        <f t="shared" si="787"/>
        <v>0</v>
      </c>
      <c r="QZ1301" s="123"/>
      <c r="RA1301" s="123"/>
      <c r="RB1301" s="123"/>
      <c r="RC1301" s="97">
        <f t="shared" si="788"/>
        <v>0</v>
      </c>
      <c r="RD1301" s="97">
        <f t="shared" si="788"/>
        <v>0</v>
      </c>
      <c r="RE1301" s="97">
        <f t="shared" si="788"/>
        <v>0</v>
      </c>
      <c r="RF1301" s="102"/>
      <c r="RG1301" s="102"/>
      <c r="RH1301" s="102"/>
      <c r="RI1301" s="123"/>
      <c r="RJ1301" s="123"/>
      <c r="RK1301" s="123"/>
      <c r="RL1301" s="97">
        <f t="shared" si="789"/>
        <v>0</v>
      </c>
      <c r="RM1301" s="97">
        <f t="shared" si="790"/>
        <v>0</v>
      </c>
      <c r="RN1301" s="97">
        <f t="shared" si="791"/>
        <v>0</v>
      </c>
      <c r="RO1301" s="123"/>
      <c r="RP1301" s="123"/>
      <c r="RQ1301" s="123"/>
      <c r="RR1301" s="97">
        <f t="shared" si="792"/>
        <v>0</v>
      </c>
      <c r="RS1301" s="97">
        <f t="shared" si="793"/>
        <v>0</v>
      </c>
      <c r="RT1301" s="97">
        <f t="shared" si="794"/>
        <v>0</v>
      </c>
      <c r="RU1301" s="123"/>
      <c r="RV1301" s="123"/>
      <c r="RW1301" s="123"/>
      <c r="RX1301" s="97">
        <f t="shared" si="795"/>
        <v>0</v>
      </c>
      <c r="RY1301" s="97">
        <f t="shared" si="795"/>
        <v>0</v>
      </c>
      <c r="RZ1301" s="97">
        <f t="shared" si="795"/>
        <v>0</v>
      </c>
      <c r="SA1301" s="102"/>
      <c r="SB1301" s="102"/>
      <c r="SC1301" s="102"/>
      <c r="SD1301" s="123"/>
      <c r="SE1301" s="123"/>
      <c r="SF1301" s="123"/>
      <c r="SG1301" s="97">
        <f t="shared" si="796"/>
        <v>0</v>
      </c>
      <c r="SH1301" s="97">
        <f t="shared" si="797"/>
        <v>0</v>
      </c>
      <c r="SI1301" s="97">
        <f t="shared" si="798"/>
        <v>0</v>
      </c>
      <c r="SJ1301" s="123"/>
      <c r="SK1301" s="123"/>
      <c r="SL1301" s="123"/>
      <c r="SM1301" s="97">
        <f t="shared" si="799"/>
        <v>0</v>
      </c>
      <c r="SN1301" s="97">
        <f t="shared" si="800"/>
        <v>0</v>
      </c>
      <c r="SO1301" s="97">
        <f t="shared" si="801"/>
        <v>0</v>
      </c>
      <c r="SP1301" s="123"/>
      <c r="SQ1301" s="123"/>
      <c r="SR1301" s="123"/>
      <c r="SS1301" s="97">
        <f t="shared" si="802"/>
        <v>0</v>
      </c>
      <c r="ST1301" s="97">
        <f t="shared" si="802"/>
        <v>0</v>
      </c>
      <c r="SU1301" s="97">
        <f t="shared" si="802"/>
        <v>0</v>
      </c>
      <c r="SV1301" s="102"/>
      <c r="SW1301" s="102"/>
      <c r="SX1301" s="102"/>
      <c r="SY1301" s="123"/>
      <c r="SZ1301" s="123"/>
      <c r="TA1301" s="123"/>
      <c r="TB1301" s="97">
        <f t="shared" si="803"/>
        <v>0</v>
      </c>
      <c r="TC1301" s="97">
        <f t="shared" si="804"/>
        <v>0</v>
      </c>
      <c r="TD1301" s="97">
        <f t="shared" si="805"/>
        <v>0</v>
      </c>
      <c r="TE1301" s="123"/>
      <c r="TF1301" s="123"/>
      <c r="TG1301" s="123"/>
      <c r="TH1301" s="97">
        <f t="shared" si="806"/>
        <v>0</v>
      </c>
      <c r="TI1301" s="97">
        <f t="shared" si="807"/>
        <v>0</v>
      </c>
      <c r="TJ1301" s="97">
        <f t="shared" si="808"/>
        <v>0</v>
      </c>
      <c r="TK1301" s="123"/>
      <c r="TL1301" s="123"/>
      <c r="TM1301" s="123"/>
      <c r="TN1301" s="97">
        <f t="shared" si="809"/>
        <v>0</v>
      </c>
      <c r="TO1301" s="97">
        <f t="shared" si="809"/>
        <v>0</v>
      </c>
      <c r="TP1301" s="97">
        <f t="shared" si="809"/>
        <v>0</v>
      </c>
      <c r="TQ1301" s="102"/>
      <c r="TR1301" s="102"/>
      <c r="TS1301" s="102"/>
      <c r="TT1301" s="123"/>
      <c r="TU1301" s="123"/>
      <c r="TV1301" s="123"/>
      <c r="TW1301" s="97">
        <f t="shared" si="810"/>
        <v>0</v>
      </c>
      <c r="TX1301" s="97">
        <f t="shared" si="811"/>
        <v>0</v>
      </c>
      <c r="TY1301" s="97">
        <f t="shared" si="812"/>
        <v>0</v>
      </c>
      <c r="TZ1301" s="123"/>
      <c r="UA1301" s="123"/>
      <c r="UB1301" s="123"/>
      <c r="UC1301" s="97">
        <f t="shared" si="813"/>
        <v>0</v>
      </c>
      <c r="UD1301" s="97">
        <f t="shared" si="814"/>
        <v>0</v>
      </c>
      <c r="UE1301" s="97">
        <f t="shared" si="815"/>
        <v>0</v>
      </c>
      <c r="UF1301" s="123"/>
      <c r="UG1301" s="123"/>
      <c r="UH1301" s="123"/>
      <c r="UI1301" s="97">
        <f t="shared" si="816"/>
        <v>0</v>
      </c>
      <c r="UJ1301" s="97">
        <f t="shared" si="816"/>
        <v>0</v>
      </c>
      <c r="UK1301" s="97">
        <f t="shared" si="816"/>
        <v>0</v>
      </c>
      <c r="UL1301" s="102">
        <v>5</v>
      </c>
      <c r="UM1301" s="102">
        <v>5</v>
      </c>
      <c r="UN1301" s="102">
        <v>5</v>
      </c>
      <c r="UO1301" s="123"/>
      <c r="UP1301" s="123"/>
      <c r="UQ1301" s="123"/>
      <c r="UR1301" s="97">
        <f t="shared" si="817"/>
        <v>56018.5</v>
      </c>
      <c r="US1301" s="97">
        <f t="shared" si="818"/>
        <v>56018.5</v>
      </c>
      <c r="UT1301" s="97">
        <f t="shared" si="819"/>
        <v>56018.5</v>
      </c>
      <c r="UU1301" s="123"/>
      <c r="UV1301" s="123"/>
      <c r="UW1301" s="123"/>
      <c r="UX1301" s="97">
        <f t="shared" si="820"/>
        <v>1904</v>
      </c>
      <c r="UY1301" s="97">
        <f t="shared" si="821"/>
        <v>1942.91</v>
      </c>
      <c r="UZ1301" s="97">
        <f t="shared" si="822"/>
        <v>2017.08</v>
      </c>
      <c r="VA1301" s="123"/>
      <c r="VB1301" s="123"/>
      <c r="VC1301" s="123"/>
      <c r="VD1301" s="97">
        <f t="shared" si="823"/>
        <v>9520</v>
      </c>
      <c r="VE1301" s="97">
        <f t="shared" si="823"/>
        <v>9714.5499999999993</v>
      </c>
      <c r="VF1301" s="97">
        <f t="shared" si="823"/>
        <v>10085.4</v>
      </c>
      <c r="VG1301" s="102"/>
      <c r="VH1301" s="102"/>
      <c r="VI1301" s="102"/>
      <c r="VJ1301" s="123"/>
      <c r="VK1301" s="123"/>
      <c r="VL1301" s="123"/>
      <c r="VM1301" s="97">
        <f t="shared" si="824"/>
        <v>0</v>
      </c>
      <c r="VN1301" s="97">
        <f t="shared" si="825"/>
        <v>0</v>
      </c>
      <c r="VO1301" s="97">
        <f t="shared" si="826"/>
        <v>0</v>
      </c>
      <c r="VP1301" s="123"/>
      <c r="VQ1301" s="123"/>
      <c r="VR1301" s="123"/>
      <c r="VS1301" s="97">
        <f t="shared" si="827"/>
        <v>0</v>
      </c>
      <c r="VT1301" s="97">
        <f t="shared" si="828"/>
        <v>0</v>
      </c>
      <c r="VU1301" s="97">
        <f t="shared" si="829"/>
        <v>0</v>
      </c>
      <c r="VV1301" s="123"/>
      <c r="VW1301" s="123"/>
      <c r="VX1301" s="123"/>
      <c r="VY1301" s="97">
        <f t="shared" si="830"/>
        <v>0</v>
      </c>
      <c r="VZ1301" s="97">
        <f t="shared" si="830"/>
        <v>0</v>
      </c>
      <c r="WA1301" s="97">
        <f t="shared" si="830"/>
        <v>0</v>
      </c>
      <c r="WB1301" s="102"/>
      <c r="WC1301" s="102"/>
      <c r="WD1301" s="102"/>
      <c r="WE1301" s="123"/>
      <c r="WF1301" s="123"/>
      <c r="WG1301" s="123"/>
      <c r="WH1301" s="97">
        <f t="shared" si="831"/>
        <v>0</v>
      </c>
      <c r="WI1301" s="97">
        <f t="shared" si="832"/>
        <v>0</v>
      </c>
      <c r="WJ1301" s="97">
        <f t="shared" si="833"/>
        <v>0</v>
      </c>
      <c r="WK1301" s="123"/>
      <c r="WL1301" s="123"/>
      <c r="WM1301" s="123"/>
      <c r="WN1301" s="97">
        <f t="shared" si="834"/>
        <v>0</v>
      </c>
      <c r="WO1301" s="97">
        <f t="shared" si="835"/>
        <v>0</v>
      </c>
      <c r="WP1301" s="97">
        <f t="shared" si="836"/>
        <v>0</v>
      </c>
      <c r="WQ1301" s="123"/>
      <c r="WR1301" s="123"/>
      <c r="WS1301" s="123"/>
      <c r="WT1301" s="97">
        <f t="shared" si="837"/>
        <v>0</v>
      </c>
      <c r="WU1301" s="97">
        <f t="shared" si="837"/>
        <v>0</v>
      </c>
      <c r="WV1301" s="97">
        <f t="shared" si="837"/>
        <v>0</v>
      </c>
      <c r="WW1301" s="102"/>
      <c r="WX1301" s="102"/>
      <c r="WY1301" s="102"/>
      <c r="WZ1301" s="123"/>
      <c r="XA1301" s="123"/>
      <c r="XB1301" s="123"/>
      <c r="XC1301" s="97">
        <f t="shared" si="838"/>
        <v>0</v>
      </c>
      <c r="XD1301" s="97">
        <f t="shared" si="839"/>
        <v>0</v>
      </c>
      <c r="XE1301" s="97">
        <f t="shared" si="840"/>
        <v>0</v>
      </c>
      <c r="XF1301" s="123"/>
      <c r="XG1301" s="123"/>
      <c r="XH1301" s="123"/>
      <c r="XI1301" s="97">
        <f t="shared" si="841"/>
        <v>0</v>
      </c>
      <c r="XJ1301" s="97">
        <f t="shared" si="842"/>
        <v>0</v>
      </c>
      <c r="XK1301" s="97">
        <f t="shared" si="843"/>
        <v>0</v>
      </c>
      <c r="XL1301" s="123"/>
      <c r="XM1301" s="123"/>
      <c r="XN1301" s="123"/>
      <c r="XO1301" s="97">
        <f t="shared" si="844"/>
        <v>0</v>
      </c>
      <c r="XP1301" s="97">
        <f t="shared" si="844"/>
        <v>0</v>
      </c>
      <c r="XQ1301" s="97">
        <f t="shared" si="844"/>
        <v>0</v>
      </c>
      <c r="XR1301" s="102"/>
      <c r="XS1301" s="102"/>
      <c r="XT1301" s="102"/>
      <c r="XU1301" s="123"/>
      <c r="XV1301" s="123"/>
      <c r="XW1301" s="123"/>
      <c r="XX1301" s="97">
        <f t="shared" si="845"/>
        <v>0</v>
      </c>
      <c r="XY1301" s="97">
        <f t="shared" si="846"/>
        <v>0</v>
      </c>
      <c r="XZ1301" s="97">
        <f t="shared" si="847"/>
        <v>0</v>
      </c>
      <c r="YA1301" s="123"/>
      <c r="YB1301" s="123"/>
      <c r="YC1301" s="123"/>
      <c r="YD1301" s="97">
        <f t="shared" si="848"/>
        <v>0</v>
      </c>
      <c r="YE1301" s="97">
        <f t="shared" si="849"/>
        <v>0</v>
      </c>
      <c r="YF1301" s="97">
        <f t="shared" si="850"/>
        <v>0</v>
      </c>
      <c r="YG1301" s="123"/>
      <c r="YH1301" s="123"/>
      <c r="YI1301" s="123"/>
      <c r="YJ1301" s="97">
        <f t="shared" si="851"/>
        <v>0</v>
      </c>
      <c r="YK1301" s="97">
        <f t="shared" si="851"/>
        <v>0</v>
      </c>
      <c r="YL1301" s="97">
        <f t="shared" si="851"/>
        <v>0</v>
      </c>
      <c r="YM1301" s="145">
        <f t="shared" si="852"/>
        <v>5</v>
      </c>
      <c r="YN1301" s="145">
        <f t="shared" si="852"/>
        <v>5</v>
      </c>
      <c r="YO1301" s="145">
        <f t="shared" si="852"/>
        <v>5</v>
      </c>
      <c r="YP1301" s="123"/>
      <c r="YQ1301" s="123"/>
      <c r="YR1301" s="123"/>
      <c r="YS1301" s="97">
        <f t="shared" si="853"/>
        <v>56018.5</v>
      </c>
      <c r="YT1301" s="97">
        <f t="shared" si="854"/>
        <v>56018.5</v>
      </c>
      <c r="YU1301" s="97">
        <f t="shared" si="855"/>
        <v>56018.5</v>
      </c>
      <c r="YV1301" s="123"/>
      <c r="YW1301" s="123"/>
      <c r="YX1301" s="123"/>
      <c r="YY1301" s="97">
        <f t="shared" si="856"/>
        <v>1904</v>
      </c>
      <c r="YZ1301" s="97">
        <f t="shared" si="857"/>
        <v>1942.91</v>
      </c>
      <c r="ZA1301" s="97">
        <f t="shared" si="858"/>
        <v>2017.08</v>
      </c>
      <c r="ZB1301" s="123"/>
      <c r="ZC1301" s="123"/>
      <c r="ZD1301" s="123"/>
      <c r="ZE1301" s="97">
        <f t="shared" si="859"/>
        <v>9520</v>
      </c>
      <c r="ZF1301" s="97">
        <f t="shared" si="859"/>
        <v>9714.5499999999993</v>
      </c>
      <c r="ZG1301" s="97">
        <f t="shared" si="859"/>
        <v>10085.4</v>
      </c>
    </row>
    <row r="1302" spans="1:683" ht="36" x14ac:dyDescent="0.25">
      <c r="A1302" s="12" t="s">
        <v>705</v>
      </c>
      <c r="B1302" s="174" t="s">
        <v>436</v>
      </c>
      <c r="C1302" s="5"/>
      <c r="D1302" s="340"/>
      <c r="E1302" s="163"/>
      <c r="F1302" s="110"/>
      <c r="G1302" s="110"/>
      <c r="H1302" s="110"/>
      <c r="I1302" s="97">
        <f t="shared" si="636"/>
        <v>5662.17</v>
      </c>
      <c r="J1302" s="97">
        <f t="shared" si="860"/>
        <v>5662.17</v>
      </c>
      <c r="K1302" s="97">
        <f t="shared" si="861"/>
        <v>5662.17</v>
      </c>
      <c r="L1302" s="102"/>
      <c r="M1302" s="102"/>
      <c r="N1302" s="102"/>
      <c r="O1302" s="123"/>
      <c r="P1302" s="123"/>
      <c r="Q1302" s="123"/>
      <c r="R1302" s="97">
        <f t="shared" si="862"/>
        <v>0</v>
      </c>
      <c r="S1302" s="97">
        <f t="shared" si="863"/>
        <v>0</v>
      </c>
      <c r="T1302" s="97">
        <f t="shared" si="864"/>
        <v>0</v>
      </c>
      <c r="U1302" s="123"/>
      <c r="V1302" s="123"/>
      <c r="W1302" s="123"/>
      <c r="X1302" s="97">
        <f t="shared" si="638"/>
        <v>0</v>
      </c>
      <c r="Y1302" s="97">
        <f t="shared" si="639"/>
        <v>0</v>
      </c>
      <c r="Z1302" s="97">
        <f t="shared" si="640"/>
        <v>0</v>
      </c>
      <c r="AA1302" s="123"/>
      <c r="AB1302" s="123"/>
      <c r="AC1302" s="123"/>
      <c r="AD1302" s="97">
        <f t="shared" si="641"/>
        <v>0</v>
      </c>
      <c r="AE1302" s="97">
        <f t="shared" si="641"/>
        <v>0</v>
      </c>
      <c r="AF1302" s="97">
        <f t="shared" si="641"/>
        <v>0</v>
      </c>
      <c r="AG1302" s="102"/>
      <c r="AH1302" s="102"/>
      <c r="AI1302" s="102"/>
      <c r="AJ1302" s="123"/>
      <c r="AK1302" s="123"/>
      <c r="AL1302" s="123"/>
      <c r="AM1302" s="97">
        <f t="shared" si="642"/>
        <v>0</v>
      </c>
      <c r="AN1302" s="97">
        <f t="shared" si="643"/>
        <v>0</v>
      </c>
      <c r="AO1302" s="97">
        <f t="shared" si="644"/>
        <v>0</v>
      </c>
      <c r="AP1302" s="123"/>
      <c r="AQ1302" s="123"/>
      <c r="AR1302" s="123"/>
      <c r="AS1302" s="97">
        <f t="shared" si="645"/>
        <v>0</v>
      </c>
      <c r="AT1302" s="97">
        <f t="shared" si="646"/>
        <v>0</v>
      </c>
      <c r="AU1302" s="97">
        <f t="shared" si="647"/>
        <v>0</v>
      </c>
      <c r="AV1302" s="123"/>
      <c r="AW1302" s="123"/>
      <c r="AX1302" s="123"/>
      <c r="AY1302" s="97">
        <f t="shared" si="648"/>
        <v>0</v>
      </c>
      <c r="AZ1302" s="97">
        <f t="shared" si="648"/>
        <v>0</v>
      </c>
      <c r="BA1302" s="97">
        <f t="shared" si="648"/>
        <v>0</v>
      </c>
      <c r="BB1302" s="102"/>
      <c r="BC1302" s="102"/>
      <c r="BD1302" s="102"/>
      <c r="BE1302" s="123"/>
      <c r="BF1302" s="123"/>
      <c r="BG1302" s="123"/>
      <c r="BH1302" s="97">
        <f t="shared" si="649"/>
        <v>0</v>
      </c>
      <c r="BI1302" s="97">
        <f t="shared" si="650"/>
        <v>0</v>
      </c>
      <c r="BJ1302" s="97">
        <f t="shared" si="651"/>
        <v>0</v>
      </c>
      <c r="BK1302" s="123"/>
      <c r="BL1302" s="123"/>
      <c r="BM1302" s="123"/>
      <c r="BN1302" s="97">
        <f t="shared" si="652"/>
        <v>0</v>
      </c>
      <c r="BO1302" s="97">
        <f t="shared" si="653"/>
        <v>0</v>
      </c>
      <c r="BP1302" s="97">
        <f t="shared" si="654"/>
        <v>0</v>
      </c>
      <c r="BQ1302" s="123"/>
      <c r="BR1302" s="123"/>
      <c r="BS1302" s="123"/>
      <c r="BT1302" s="97">
        <f t="shared" si="655"/>
        <v>0</v>
      </c>
      <c r="BU1302" s="97">
        <f t="shared" si="655"/>
        <v>0</v>
      </c>
      <c r="BV1302" s="97">
        <f t="shared" si="655"/>
        <v>0</v>
      </c>
      <c r="BW1302" s="102"/>
      <c r="BX1302" s="102"/>
      <c r="BY1302" s="102"/>
      <c r="BZ1302" s="123"/>
      <c r="CA1302" s="123"/>
      <c r="CB1302" s="123"/>
      <c r="CC1302" s="97">
        <f t="shared" si="656"/>
        <v>0</v>
      </c>
      <c r="CD1302" s="97">
        <f t="shared" si="657"/>
        <v>0</v>
      </c>
      <c r="CE1302" s="97">
        <f t="shared" si="658"/>
        <v>0</v>
      </c>
      <c r="CF1302" s="123"/>
      <c r="CG1302" s="123"/>
      <c r="CH1302" s="123"/>
      <c r="CI1302" s="97">
        <f t="shared" si="659"/>
        <v>0</v>
      </c>
      <c r="CJ1302" s="97">
        <f t="shared" si="660"/>
        <v>0</v>
      </c>
      <c r="CK1302" s="97">
        <f t="shared" si="661"/>
        <v>0</v>
      </c>
      <c r="CL1302" s="123"/>
      <c r="CM1302" s="123"/>
      <c r="CN1302" s="123"/>
      <c r="CO1302" s="97">
        <f t="shared" si="662"/>
        <v>0</v>
      </c>
      <c r="CP1302" s="97">
        <f t="shared" si="662"/>
        <v>0</v>
      </c>
      <c r="CQ1302" s="97">
        <f t="shared" si="662"/>
        <v>0</v>
      </c>
      <c r="CR1302" s="102"/>
      <c r="CS1302" s="102"/>
      <c r="CT1302" s="102"/>
      <c r="CU1302" s="123"/>
      <c r="CV1302" s="123"/>
      <c r="CW1302" s="123"/>
      <c r="CX1302" s="97">
        <f t="shared" si="663"/>
        <v>0</v>
      </c>
      <c r="CY1302" s="97">
        <f t="shared" si="664"/>
        <v>0</v>
      </c>
      <c r="CZ1302" s="97">
        <f t="shared" si="665"/>
        <v>0</v>
      </c>
      <c r="DA1302" s="123"/>
      <c r="DB1302" s="123"/>
      <c r="DC1302" s="123"/>
      <c r="DD1302" s="97">
        <f t="shared" si="666"/>
        <v>0</v>
      </c>
      <c r="DE1302" s="97">
        <f t="shared" si="667"/>
        <v>0</v>
      </c>
      <c r="DF1302" s="97">
        <f t="shared" si="668"/>
        <v>0</v>
      </c>
      <c r="DG1302" s="123"/>
      <c r="DH1302" s="123"/>
      <c r="DI1302" s="123"/>
      <c r="DJ1302" s="97">
        <f t="shared" si="669"/>
        <v>0</v>
      </c>
      <c r="DK1302" s="97">
        <f t="shared" si="669"/>
        <v>0</v>
      </c>
      <c r="DL1302" s="97">
        <f t="shared" si="669"/>
        <v>0</v>
      </c>
      <c r="DM1302" s="102"/>
      <c r="DN1302" s="102"/>
      <c r="DO1302" s="102"/>
      <c r="DP1302" s="123"/>
      <c r="DQ1302" s="123"/>
      <c r="DR1302" s="123"/>
      <c r="DS1302" s="97">
        <f t="shared" si="670"/>
        <v>0</v>
      </c>
      <c r="DT1302" s="97">
        <f t="shared" si="671"/>
        <v>0</v>
      </c>
      <c r="DU1302" s="97">
        <f t="shared" si="672"/>
        <v>0</v>
      </c>
      <c r="DV1302" s="123"/>
      <c r="DW1302" s="123"/>
      <c r="DX1302" s="123"/>
      <c r="DY1302" s="97">
        <f t="shared" si="673"/>
        <v>0</v>
      </c>
      <c r="DZ1302" s="97">
        <f t="shared" si="674"/>
        <v>0</v>
      </c>
      <c r="EA1302" s="97">
        <f t="shared" si="675"/>
        <v>0</v>
      </c>
      <c r="EB1302" s="123"/>
      <c r="EC1302" s="123"/>
      <c r="ED1302" s="123"/>
      <c r="EE1302" s="97">
        <f t="shared" si="676"/>
        <v>0</v>
      </c>
      <c r="EF1302" s="97">
        <f t="shared" si="676"/>
        <v>0</v>
      </c>
      <c r="EG1302" s="97">
        <f t="shared" si="676"/>
        <v>0</v>
      </c>
      <c r="EH1302" s="102"/>
      <c r="EI1302" s="102"/>
      <c r="EJ1302" s="102"/>
      <c r="EK1302" s="123"/>
      <c r="EL1302" s="123"/>
      <c r="EM1302" s="123"/>
      <c r="EN1302" s="97">
        <f t="shared" si="677"/>
        <v>0</v>
      </c>
      <c r="EO1302" s="97">
        <f t="shared" si="678"/>
        <v>0</v>
      </c>
      <c r="EP1302" s="97">
        <f t="shared" si="679"/>
        <v>0</v>
      </c>
      <c r="EQ1302" s="123"/>
      <c r="ER1302" s="123"/>
      <c r="ES1302" s="123"/>
      <c r="ET1302" s="97">
        <f t="shared" si="680"/>
        <v>0</v>
      </c>
      <c r="EU1302" s="97">
        <f t="shared" si="681"/>
        <v>0</v>
      </c>
      <c r="EV1302" s="97">
        <f t="shared" si="682"/>
        <v>0</v>
      </c>
      <c r="EW1302" s="123"/>
      <c r="EX1302" s="123"/>
      <c r="EY1302" s="123"/>
      <c r="EZ1302" s="97">
        <f t="shared" si="683"/>
        <v>0</v>
      </c>
      <c r="FA1302" s="97">
        <f t="shared" si="683"/>
        <v>0</v>
      </c>
      <c r="FB1302" s="97">
        <f t="shared" si="683"/>
        <v>0</v>
      </c>
      <c r="FC1302" s="102"/>
      <c r="FD1302" s="102"/>
      <c r="FE1302" s="102"/>
      <c r="FF1302" s="123"/>
      <c r="FG1302" s="123"/>
      <c r="FH1302" s="123"/>
      <c r="FI1302" s="97">
        <f t="shared" si="684"/>
        <v>0</v>
      </c>
      <c r="FJ1302" s="97">
        <f t="shared" si="685"/>
        <v>0</v>
      </c>
      <c r="FK1302" s="97">
        <f t="shared" si="686"/>
        <v>0</v>
      </c>
      <c r="FL1302" s="123"/>
      <c r="FM1302" s="123"/>
      <c r="FN1302" s="123"/>
      <c r="FO1302" s="97">
        <f t="shared" si="687"/>
        <v>0</v>
      </c>
      <c r="FP1302" s="97">
        <f t="shared" si="688"/>
        <v>0</v>
      </c>
      <c r="FQ1302" s="97">
        <f t="shared" si="689"/>
        <v>0</v>
      </c>
      <c r="FR1302" s="123"/>
      <c r="FS1302" s="123"/>
      <c r="FT1302" s="123"/>
      <c r="FU1302" s="97">
        <f t="shared" si="690"/>
        <v>0</v>
      </c>
      <c r="FV1302" s="97">
        <f t="shared" si="690"/>
        <v>0</v>
      </c>
      <c r="FW1302" s="97">
        <f t="shared" si="690"/>
        <v>0</v>
      </c>
      <c r="FX1302" s="102"/>
      <c r="FY1302" s="102"/>
      <c r="FZ1302" s="102"/>
      <c r="GA1302" s="123"/>
      <c r="GB1302" s="123"/>
      <c r="GC1302" s="123"/>
      <c r="GD1302" s="97">
        <f t="shared" si="691"/>
        <v>0</v>
      </c>
      <c r="GE1302" s="97">
        <f t="shared" si="692"/>
        <v>0</v>
      </c>
      <c r="GF1302" s="97">
        <f t="shared" si="693"/>
        <v>0</v>
      </c>
      <c r="GG1302" s="123"/>
      <c r="GH1302" s="123"/>
      <c r="GI1302" s="123"/>
      <c r="GJ1302" s="97">
        <f t="shared" si="694"/>
        <v>0</v>
      </c>
      <c r="GK1302" s="97">
        <f t="shared" si="695"/>
        <v>0</v>
      </c>
      <c r="GL1302" s="97">
        <f t="shared" si="696"/>
        <v>0</v>
      </c>
      <c r="GM1302" s="123"/>
      <c r="GN1302" s="123"/>
      <c r="GO1302" s="123"/>
      <c r="GP1302" s="97">
        <f t="shared" si="697"/>
        <v>0</v>
      </c>
      <c r="GQ1302" s="97">
        <f t="shared" si="697"/>
        <v>0</v>
      </c>
      <c r="GR1302" s="97">
        <f t="shared" si="697"/>
        <v>0</v>
      </c>
      <c r="GS1302" s="102"/>
      <c r="GT1302" s="102"/>
      <c r="GU1302" s="102"/>
      <c r="GV1302" s="123"/>
      <c r="GW1302" s="123"/>
      <c r="GX1302" s="123"/>
      <c r="GY1302" s="97">
        <f t="shared" si="698"/>
        <v>0</v>
      </c>
      <c r="GZ1302" s="97">
        <f t="shared" si="699"/>
        <v>0</v>
      </c>
      <c r="HA1302" s="97">
        <f t="shared" si="700"/>
        <v>0</v>
      </c>
      <c r="HB1302" s="123"/>
      <c r="HC1302" s="123"/>
      <c r="HD1302" s="123"/>
      <c r="HE1302" s="97">
        <f t="shared" si="701"/>
        <v>0</v>
      </c>
      <c r="HF1302" s="97">
        <f t="shared" si="702"/>
        <v>0</v>
      </c>
      <c r="HG1302" s="97">
        <f t="shared" si="703"/>
        <v>0</v>
      </c>
      <c r="HH1302" s="123"/>
      <c r="HI1302" s="123"/>
      <c r="HJ1302" s="123"/>
      <c r="HK1302" s="97">
        <f t="shared" si="704"/>
        <v>0</v>
      </c>
      <c r="HL1302" s="97">
        <f t="shared" si="704"/>
        <v>0</v>
      </c>
      <c r="HM1302" s="97">
        <f t="shared" si="704"/>
        <v>0</v>
      </c>
      <c r="HN1302" s="102"/>
      <c r="HO1302" s="102"/>
      <c r="HP1302" s="102"/>
      <c r="HQ1302" s="123"/>
      <c r="HR1302" s="123"/>
      <c r="HS1302" s="123"/>
      <c r="HT1302" s="97">
        <f t="shared" si="705"/>
        <v>0</v>
      </c>
      <c r="HU1302" s="97">
        <f t="shared" si="706"/>
        <v>0</v>
      </c>
      <c r="HV1302" s="97">
        <f t="shared" si="707"/>
        <v>0</v>
      </c>
      <c r="HW1302" s="123"/>
      <c r="HX1302" s="123"/>
      <c r="HY1302" s="123"/>
      <c r="HZ1302" s="97">
        <f t="shared" si="708"/>
        <v>0</v>
      </c>
      <c r="IA1302" s="97">
        <f t="shared" si="709"/>
        <v>0</v>
      </c>
      <c r="IB1302" s="97">
        <f t="shared" si="710"/>
        <v>0</v>
      </c>
      <c r="IC1302" s="123"/>
      <c r="ID1302" s="123"/>
      <c r="IE1302" s="123"/>
      <c r="IF1302" s="97">
        <f t="shared" si="711"/>
        <v>0</v>
      </c>
      <c r="IG1302" s="97">
        <f t="shared" si="711"/>
        <v>0</v>
      </c>
      <c r="IH1302" s="97">
        <f t="shared" si="711"/>
        <v>0</v>
      </c>
      <c r="II1302" s="102"/>
      <c r="IJ1302" s="102"/>
      <c r="IK1302" s="102"/>
      <c r="IL1302" s="123"/>
      <c r="IM1302" s="123"/>
      <c r="IN1302" s="123"/>
      <c r="IO1302" s="97">
        <f t="shared" si="712"/>
        <v>0</v>
      </c>
      <c r="IP1302" s="97">
        <f t="shared" si="713"/>
        <v>0</v>
      </c>
      <c r="IQ1302" s="97">
        <f t="shared" si="714"/>
        <v>0</v>
      </c>
      <c r="IR1302" s="123"/>
      <c r="IS1302" s="123"/>
      <c r="IT1302" s="123"/>
      <c r="IU1302" s="97">
        <f t="shared" si="715"/>
        <v>0</v>
      </c>
      <c r="IV1302" s="97">
        <f t="shared" si="716"/>
        <v>0</v>
      </c>
      <c r="IW1302" s="97">
        <f t="shared" si="717"/>
        <v>0</v>
      </c>
      <c r="IX1302" s="123"/>
      <c r="IY1302" s="123"/>
      <c r="IZ1302" s="123"/>
      <c r="JA1302" s="97">
        <f t="shared" si="718"/>
        <v>0</v>
      </c>
      <c r="JB1302" s="97">
        <f t="shared" si="718"/>
        <v>0</v>
      </c>
      <c r="JC1302" s="97">
        <f t="shared" si="718"/>
        <v>0</v>
      </c>
      <c r="JD1302" s="102"/>
      <c r="JE1302" s="102"/>
      <c r="JF1302" s="102"/>
      <c r="JG1302" s="123"/>
      <c r="JH1302" s="123"/>
      <c r="JI1302" s="123"/>
      <c r="JJ1302" s="97">
        <f t="shared" si="719"/>
        <v>0</v>
      </c>
      <c r="JK1302" s="97">
        <f t="shared" si="720"/>
        <v>0</v>
      </c>
      <c r="JL1302" s="97">
        <f t="shared" si="721"/>
        <v>0</v>
      </c>
      <c r="JM1302" s="123"/>
      <c r="JN1302" s="123"/>
      <c r="JO1302" s="123"/>
      <c r="JP1302" s="97">
        <f t="shared" si="722"/>
        <v>0</v>
      </c>
      <c r="JQ1302" s="97">
        <f t="shared" si="723"/>
        <v>0</v>
      </c>
      <c r="JR1302" s="97">
        <f t="shared" si="724"/>
        <v>0</v>
      </c>
      <c r="JS1302" s="123"/>
      <c r="JT1302" s="123"/>
      <c r="JU1302" s="123"/>
      <c r="JV1302" s="97">
        <f t="shared" si="725"/>
        <v>0</v>
      </c>
      <c r="JW1302" s="97">
        <f t="shared" si="725"/>
        <v>0</v>
      </c>
      <c r="JX1302" s="97">
        <f t="shared" si="725"/>
        <v>0</v>
      </c>
      <c r="JY1302" s="102"/>
      <c r="JZ1302" s="102"/>
      <c r="KA1302" s="102"/>
      <c r="KB1302" s="123"/>
      <c r="KC1302" s="123"/>
      <c r="KD1302" s="123"/>
      <c r="KE1302" s="97">
        <f t="shared" si="726"/>
        <v>0</v>
      </c>
      <c r="KF1302" s="97">
        <f t="shared" si="727"/>
        <v>0</v>
      </c>
      <c r="KG1302" s="97">
        <f t="shared" si="728"/>
        <v>0</v>
      </c>
      <c r="KH1302" s="123"/>
      <c r="KI1302" s="123"/>
      <c r="KJ1302" s="123"/>
      <c r="KK1302" s="97">
        <f t="shared" si="729"/>
        <v>0</v>
      </c>
      <c r="KL1302" s="97">
        <f t="shared" si="730"/>
        <v>0</v>
      </c>
      <c r="KM1302" s="97">
        <f t="shared" si="731"/>
        <v>0</v>
      </c>
      <c r="KN1302" s="123"/>
      <c r="KO1302" s="123"/>
      <c r="KP1302" s="123"/>
      <c r="KQ1302" s="97">
        <f t="shared" si="732"/>
        <v>0</v>
      </c>
      <c r="KR1302" s="97">
        <f t="shared" si="732"/>
        <v>0</v>
      </c>
      <c r="KS1302" s="97">
        <f t="shared" si="732"/>
        <v>0</v>
      </c>
      <c r="KT1302" s="102"/>
      <c r="KU1302" s="102"/>
      <c r="KV1302" s="102"/>
      <c r="KW1302" s="123"/>
      <c r="KX1302" s="123"/>
      <c r="KY1302" s="123"/>
      <c r="KZ1302" s="97">
        <f t="shared" si="733"/>
        <v>0</v>
      </c>
      <c r="LA1302" s="97">
        <f t="shared" si="734"/>
        <v>0</v>
      </c>
      <c r="LB1302" s="97">
        <f t="shared" si="735"/>
        <v>0</v>
      </c>
      <c r="LC1302" s="123"/>
      <c r="LD1302" s="123"/>
      <c r="LE1302" s="123"/>
      <c r="LF1302" s="97">
        <f t="shared" si="736"/>
        <v>0</v>
      </c>
      <c r="LG1302" s="97">
        <f t="shared" si="737"/>
        <v>0</v>
      </c>
      <c r="LH1302" s="97">
        <f t="shared" si="738"/>
        <v>0</v>
      </c>
      <c r="LI1302" s="123"/>
      <c r="LJ1302" s="123"/>
      <c r="LK1302" s="123"/>
      <c r="LL1302" s="97">
        <f t="shared" si="739"/>
        <v>0</v>
      </c>
      <c r="LM1302" s="97">
        <f t="shared" si="739"/>
        <v>0</v>
      </c>
      <c r="LN1302" s="97">
        <f t="shared" si="739"/>
        <v>0</v>
      </c>
      <c r="LO1302" s="102"/>
      <c r="LP1302" s="102"/>
      <c r="LQ1302" s="102"/>
      <c r="LR1302" s="123"/>
      <c r="LS1302" s="123"/>
      <c r="LT1302" s="123"/>
      <c r="LU1302" s="97">
        <f t="shared" si="740"/>
        <v>0</v>
      </c>
      <c r="LV1302" s="97">
        <f t="shared" si="741"/>
        <v>0</v>
      </c>
      <c r="LW1302" s="97">
        <f t="shared" si="742"/>
        <v>0</v>
      </c>
      <c r="LX1302" s="123"/>
      <c r="LY1302" s="123"/>
      <c r="LZ1302" s="123"/>
      <c r="MA1302" s="97">
        <f t="shared" si="743"/>
        <v>0</v>
      </c>
      <c r="MB1302" s="97">
        <f t="shared" si="744"/>
        <v>0</v>
      </c>
      <c r="MC1302" s="97">
        <f t="shared" si="745"/>
        <v>0</v>
      </c>
      <c r="MD1302" s="123"/>
      <c r="ME1302" s="123"/>
      <c r="MF1302" s="123"/>
      <c r="MG1302" s="97">
        <f t="shared" si="746"/>
        <v>0</v>
      </c>
      <c r="MH1302" s="97">
        <f t="shared" si="746"/>
        <v>0</v>
      </c>
      <c r="MI1302" s="97">
        <f t="shared" si="746"/>
        <v>0</v>
      </c>
      <c r="MJ1302" s="102"/>
      <c r="MK1302" s="102"/>
      <c r="ML1302" s="102"/>
      <c r="MM1302" s="123"/>
      <c r="MN1302" s="123"/>
      <c r="MO1302" s="123"/>
      <c r="MP1302" s="97">
        <f t="shared" si="747"/>
        <v>0</v>
      </c>
      <c r="MQ1302" s="97">
        <f t="shared" si="748"/>
        <v>0</v>
      </c>
      <c r="MR1302" s="97">
        <f t="shared" si="749"/>
        <v>0</v>
      </c>
      <c r="MS1302" s="123"/>
      <c r="MT1302" s="123"/>
      <c r="MU1302" s="123"/>
      <c r="MV1302" s="97">
        <f t="shared" si="750"/>
        <v>0</v>
      </c>
      <c r="MW1302" s="97">
        <f t="shared" si="751"/>
        <v>0</v>
      </c>
      <c r="MX1302" s="97">
        <f t="shared" si="752"/>
        <v>0</v>
      </c>
      <c r="MY1302" s="123"/>
      <c r="MZ1302" s="123"/>
      <c r="NA1302" s="123"/>
      <c r="NB1302" s="97">
        <f t="shared" si="753"/>
        <v>0</v>
      </c>
      <c r="NC1302" s="97">
        <f t="shared" si="753"/>
        <v>0</v>
      </c>
      <c r="ND1302" s="97">
        <f t="shared" si="753"/>
        <v>0</v>
      </c>
      <c r="NE1302" s="102"/>
      <c r="NF1302" s="102"/>
      <c r="NG1302" s="102"/>
      <c r="NH1302" s="123"/>
      <c r="NI1302" s="123"/>
      <c r="NJ1302" s="123"/>
      <c r="NK1302" s="97">
        <f t="shared" si="754"/>
        <v>0</v>
      </c>
      <c r="NL1302" s="97">
        <f t="shared" si="755"/>
        <v>0</v>
      </c>
      <c r="NM1302" s="97">
        <f t="shared" si="756"/>
        <v>0</v>
      </c>
      <c r="NN1302" s="123"/>
      <c r="NO1302" s="123"/>
      <c r="NP1302" s="123"/>
      <c r="NQ1302" s="97">
        <f t="shared" si="757"/>
        <v>0</v>
      </c>
      <c r="NR1302" s="97">
        <f t="shared" si="758"/>
        <v>0</v>
      </c>
      <c r="NS1302" s="97">
        <f t="shared" si="759"/>
        <v>0</v>
      </c>
      <c r="NT1302" s="123"/>
      <c r="NU1302" s="123"/>
      <c r="NV1302" s="123"/>
      <c r="NW1302" s="97">
        <f t="shared" si="760"/>
        <v>0</v>
      </c>
      <c r="NX1302" s="97">
        <f t="shared" si="760"/>
        <v>0</v>
      </c>
      <c r="NY1302" s="97">
        <f t="shared" si="760"/>
        <v>0</v>
      </c>
      <c r="NZ1302" s="102"/>
      <c r="OA1302" s="102"/>
      <c r="OB1302" s="102"/>
      <c r="OC1302" s="123"/>
      <c r="OD1302" s="123"/>
      <c r="OE1302" s="123"/>
      <c r="OF1302" s="97">
        <f t="shared" si="761"/>
        <v>0</v>
      </c>
      <c r="OG1302" s="97">
        <f t="shared" si="762"/>
        <v>0</v>
      </c>
      <c r="OH1302" s="97">
        <f t="shared" si="763"/>
        <v>0</v>
      </c>
      <c r="OI1302" s="123"/>
      <c r="OJ1302" s="123"/>
      <c r="OK1302" s="123"/>
      <c r="OL1302" s="97">
        <f t="shared" si="764"/>
        <v>0</v>
      </c>
      <c r="OM1302" s="97">
        <f t="shared" si="765"/>
        <v>0</v>
      </c>
      <c r="ON1302" s="97">
        <f t="shared" si="766"/>
        <v>0</v>
      </c>
      <c r="OO1302" s="123"/>
      <c r="OP1302" s="123"/>
      <c r="OQ1302" s="123"/>
      <c r="OR1302" s="97">
        <f t="shared" si="767"/>
        <v>0</v>
      </c>
      <c r="OS1302" s="97">
        <f t="shared" si="767"/>
        <v>0</v>
      </c>
      <c r="OT1302" s="97">
        <f t="shared" si="767"/>
        <v>0</v>
      </c>
      <c r="OU1302" s="102"/>
      <c r="OV1302" s="102"/>
      <c r="OW1302" s="102"/>
      <c r="OX1302" s="123"/>
      <c r="OY1302" s="123"/>
      <c r="OZ1302" s="123"/>
      <c r="PA1302" s="97">
        <f t="shared" si="768"/>
        <v>0</v>
      </c>
      <c r="PB1302" s="97">
        <f t="shared" si="769"/>
        <v>0</v>
      </c>
      <c r="PC1302" s="97">
        <f t="shared" si="770"/>
        <v>0</v>
      </c>
      <c r="PD1302" s="123"/>
      <c r="PE1302" s="123"/>
      <c r="PF1302" s="123"/>
      <c r="PG1302" s="97">
        <f t="shared" si="771"/>
        <v>0</v>
      </c>
      <c r="PH1302" s="97">
        <f t="shared" si="772"/>
        <v>0</v>
      </c>
      <c r="PI1302" s="97">
        <f t="shared" si="773"/>
        <v>0</v>
      </c>
      <c r="PJ1302" s="123"/>
      <c r="PK1302" s="123"/>
      <c r="PL1302" s="123"/>
      <c r="PM1302" s="97">
        <f t="shared" si="774"/>
        <v>0</v>
      </c>
      <c r="PN1302" s="97">
        <f t="shared" si="774"/>
        <v>0</v>
      </c>
      <c r="PO1302" s="97">
        <f t="shared" si="774"/>
        <v>0</v>
      </c>
      <c r="PP1302" s="102"/>
      <c r="PQ1302" s="102"/>
      <c r="PR1302" s="102"/>
      <c r="PS1302" s="123"/>
      <c r="PT1302" s="123"/>
      <c r="PU1302" s="123"/>
      <c r="PV1302" s="97">
        <f t="shared" si="775"/>
        <v>0</v>
      </c>
      <c r="PW1302" s="97">
        <f t="shared" si="776"/>
        <v>0</v>
      </c>
      <c r="PX1302" s="97">
        <f t="shared" si="777"/>
        <v>0</v>
      </c>
      <c r="PY1302" s="123"/>
      <c r="PZ1302" s="123"/>
      <c r="QA1302" s="123"/>
      <c r="QB1302" s="97">
        <f t="shared" si="778"/>
        <v>0</v>
      </c>
      <c r="QC1302" s="97">
        <f t="shared" si="779"/>
        <v>0</v>
      </c>
      <c r="QD1302" s="97">
        <f t="shared" si="780"/>
        <v>0</v>
      </c>
      <c r="QE1302" s="123"/>
      <c r="QF1302" s="123"/>
      <c r="QG1302" s="123"/>
      <c r="QH1302" s="97">
        <f t="shared" si="781"/>
        <v>0</v>
      </c>
      <c r="QI1302" s="97">
        <f t="shared" si="781"/>
        <v>0</v>
      </c>
      <c r="QJ1302" s="97">
        <f t="shared" si="781"/>
        <v>0</v>
      </c>
      <c r="QK1302" s="102"/>
      <c r="QL1302" s="102"/>
      <c r="QM1302" s="102"/>
      <c r="QN1302" s="123"/>
      <c r="QO1302" s="123"/>
      <c r="QP1302" s="123"/>
      <c r="QQ1302" s="97">
        <f t="shared" si="782"/>
        <v>0</v>
      </c>
      <c r="QR1302" s="97">
        <f t="shared" si="783"/>
        <v>0</v>
      </c>
      <c r="QS1302" s="97">
        <f t="shared" si="784"/>
        <v>0</v>
      </c>
      <c r="QT1302" s="123"/>
      <c r="QU1302" s="123"/>
      <c r="QV1302" s="123"/>
      <c r="QW1302" s="97">
        <f t="shared" si="785"/>
        <v>0</v>
      </c>
      <c r="QX1302" s="97">
        <f t="shared" si="786"/>
        <v>0</v>
      </c>
      <c r="QY1302" s="97">
        <f t="shared" si="787"/>
        <v>0</v>
      </c>
      <c r="QZ1302" s="123"/>
      <c r="RA1302" s="123"/>
      <c r="RB1302" s="123"/>
      <c r="RC1302" s="97">
        <f t="shared" si="788"/>
        <v>0</v>
      </c>
      <c r="RD1302" s="97">
        <f t="shared" si="788"/>
        <v>0</v>
      </c>
      <c r="RE1302" s="97">
        <f t="shared" si="788"/>
        <v>0</v>
      </c>
      <c r="RF1302" s="102"/>
      <c r="RG1302" s="102"/>
      <c r="RH1302" s="102"/>
      <c r="RI1302" s="123"/>
      <c r="RJ1302" s="123"/>
      <c r="RK1302" s="123"/>
      <c r="RL1302" s="97">
        <f t="shared" si="789"/>
        <v>0</v>
      </c>
      <c r="RM1302" s="97">
        <f t="shared" si="790"/>
        <v>0</v>
      </c>
      <c r="RN1302" s="97">
        <f t="shared" si="791"/>
        <v>0</v>
      </c>
      <c r="RO1302" s="123"/>
      <c r="RP1302" s="123"/>
      <c r="RQ1302" s="123"/>
      <c r="RR1302" s="97">
        <f t="shared" si="792"/>
        <v>0</v>
      </c>
      <c r="RS1302" s="97">
        <f t="shared" si="793"/>
        <v>0</v>
      </c>
      <c r="RT1302" s="97">
        <f t="shared" si="794"/>
        <v>0</v>
      </c>
      <c r="RU1302" s="123"/>
      <c r="RV1302" s="123"/>
      <c r="RW1302" s="123"/>
      <c r="RX1302" s="97">
        <f t="shared" si="795"/>
        <v>0</v>
      </c>
      <c r="RY1302" s="97">
        <f t="shared" si="795"/>
        <v>0</v>
      </c>
      <c r="RZ1302" s="97">
        <f t="shared" si="795"/>
        <v>0</v>
      </c>
      <c r="SA1302" s="102"/>
      <c r="SB1302" s="102"/>
      <c r="SC1302" s="102"/>
      <c r="SD1302" s="123"/>
      <c r="SE1302" s="123"/>
      <c r="SF1302" s="123"/>
      <c r="SG1302" s="97">
        <f t="shared" si="796"/>
        <v>0</v>
      </c>
      <c r="SH1302" s="97">
        <f t="shared" si="797"/>
        <v>0</v>
      </c>
      <c r="SI1302" s="97">
        <f t="shared" si="798"/>
        <v>0</v>
      </c>
      <c r="SJ1302" s="123"/>
      <c r="SK1302" s="123"/>
      <c r="SL1302" s="123"/>
      <c r="SM1302" s="97">
        <f t="shared" si="799"/>
        <v>0</v>
      </c>
      <c r="SN1302" s="97">
        <f t="shared" si="800"/>
        <v>0</v>
      </c>
      <c r="SO1302" s="97">
        <f t="shared" si="801"/>
        <v>0</v>
      </c>
      <c r="SP1302" s="123"/>
      <c r="SQ1302" s="123"/>
      <c r="SR1302" s="123"/>
      <c r="SS1302" s="97">
        <f t="shared" si="802"/>
        <v>0</v>
      </c>
      <c r="ST1302" s="97">
        <f t="shared" si="802"/>
        <v>0</v>
      </c>
      <c r="SU1302" s="97">
        <f t="shared" si="802"/>
        <v>0</v>
      </c>
      <c r="SV1302" s="102"/>
      <c r="SW1302" s="102"/>
      <c r="SX1302" s="102"/>
      <c r="SY1302" s="123"/>
      <c r="SZ1302" s="123"/>
      <c r="TA1302" s="123"/>
      <c r="TB1302" s="97">
        <f t="shared" si="803"/>
        <v>0</v>
      </c>
      <c r="TC1302" s="97">
        <f t="shared" si="804"/>
        <v>0</v>
      </c>
      <c r="TD1302" s="97">
        <f t="shared" si="805"/>
        <v>0</v>
      </c>
      <c r="TE1302" s="123"/>
      <c r="TF1302" s="123"/>
      <c r="TG1302" s="123"/>
      <c r="TH1302" s="97">
        <f t="shared" si="806"/>
        <v>0</v>
      </c>
      <c r="TI1302" s="97">
        <f t="shared" si="807"/>
        <v>0</v>
      </c>
      <c r="TJ1302" s="97">
        <f t="shared" si="808"/>
        <v>0</v>
      </c>
      <c r="TK1302" s="123"/>
      <c r="TL1302" s="123"/>
      <c r="TM1302" s="123"/>
      <c r="TN1302" s="97">
        <f t="shared" si="809"/>
        <v>0</v>
      </c>
      <c r="TO1302" s="97">
        <f t="shared" si="809"/>
        <v>0</v>
      </c>
      <c r="TP1302" s="97">
        <f t="shared" si="809"/>
        <v>0</v>
      </c>
      <c r="TQ1302" s="102"/>
      <c r="TR1302" s="102"/>
      <c r="TS1302" s="102"/>
      <c r="TT1302" s="123"/>
      <c r="TU1302" s="123"/>
      <c r="TV1302" s="123"/>
      <c r="TW1302" s="97">
        <f t="shared" si="810"/>
        <v>0</v>
      </c>
      <c r="TX1302" s="97">
        <f t="shared" si="811"/>
        <v>0</v>
      </c>
      <c r="TY1302" s="97">
        <f t="shared" si="812"/>
        <v>0</v>
      </c>
      <c r="TZ1302" s="123"/>
      <c r="UA1302" s="123"/>
      <c r="UB1302" s="123"/>
      <c r="UC1302" s="97">
        <f t="shared" si="813"/>
        <v>0</v>
      </c>
      <c r="UD1302" s="97">
        <f t="shared" si="814"/>
        <v>0</v>
      </c>
      <c r="UE1302" s="97">
        <f t="shared" si="815"/>
        <v>0</v>
      </c>
      <c r="UF1302" s="123"/>
      <c r="UG1302" s="123"/>
      <c r="UH1302" s="123"/>
      <c r="UI1302" s="97">
        <f t="shared" si="816"/>
        <v>0</v>
      </c>
      <c r="UJ1302" s="97">
        <f t="shared" si="816"/>
        <v>0</v>
      </c>
      <c r="UK1302" s="97">
        <f t="shared" si="816"/>
        <v>0</v>
      </c>
      <c r="UL1302" s="102">
        <v>14</v>
      </c>
      <c r="UM1302" s="102">
        <v>14</v>
      </c>
      <c r="UN1302" s="102">
        <v>14</v>
      </c>
      <c r="UO1302" s="123"/>
      <c r="UP1302" s="123"/>
      <c r="UQ1302" s="123"/>
      <c r="UR1302" s="97">
        <f t="shared" si="817"/>
        <v>79270.38</v>
      </c>
      <c r="US1302" s="97">
        <f t="shared" si="818"/>
        <v>79270.38</v>
      </c>
      <c r="UT1302" s="97">
        <f t="shared" si="819"/>
        <v>79270.38</v>
      </c>
      <c r="UU1302" s="123"/>
      <c r="UV1302" s="123"/>
      <c r="UW1302" s="123"/>
      <c r="UX1302" s="97">
        <f t="shared" si="820"/>
        <v>962.25</v>
      </c>
      <c r="UY1302" s="97">
        <f t="shared" si="821"/>
        <v>981.92</v>
      </c>
      <c r="UZ1302" s="97">
        <f t="shared" si="822"/>
        <v>1019.4</v>
      </c>
      <c r="VA1302" s="123"/>
      <c r="VB1302" s="123"/>
      <c r="VC1302" s="123"/>
      <c r="VD1302" s="97">
        <f t="shared" si="823"/>
        <v>13471.5</v>
      </c>
      <c r="VE1302" s="97">
        <f t="shared" si="823"/>
        <v>13746.88</v>
      </c>
      <c r="VF1302" s="97">
        <f t="shared" si="823"/>
        <v>14271.6</v>
      </c>
      <c r="VG1302" s="102"/>
      <c r="VH1302" s="102"/>
      <c r="VI1302" s="102"/>
      <c r="VJ1302" s="123"/>
      <c r="VK1302" s="123"/>
      <c r="VL1302" s="123"/>
      <c r="VM1302" s="97">
        <f t="shared" si="824"/>
        <v>0</v>
      </c>
      <c r="VN1302" s="97">
        <f t="shared" si="825"/>
        <v>0</v>
      </c>
      <c r="VO1302" s="97">
        <f t="shared" si="826"/>
        <v>0</v>
      </c>
      <c r="VP1302" s="123"/>
      <c r="VQ1302" s="123"/>
      <c r="VR1302" s="123"/>
      <c r="VS1302" s="97">
        <f t="shared" si="827"/>
        <v>0</v>
      </c>
      <c r="VT1302" s="97">
        <f t="shared" si="828"/>
        <v>0</v>
      </c>
      <c r="VU1302" s="97">
        <f t="shared" si="829"/>
        <v>0</v>
      </c>
      <c r="VV1302" s="123"/>
      <c r="VW1302" s="123"/>
      <c r="VX1302" s="123"/>
      <c r="VY1302" s="97">
        <f t="shared" si="830"/>
        <v>0</v>
      </c>
      <c r="VZ1302" s="97">
        <f t="shared" si="830"/>
        <v>0</v>
      </c>
      <c r="WA1302" s="97">
        <f t="shared" si="830"/>
        <v>0</v>
      </c>
      <c r="WB1302" s="102"/>
      <c r="WC1302" s="102"/>
      <c r="WD1302" s="102"/>
      <c r="WE1302" s="123"/>
      <c r="WF1302" s="123"/>
      <c r="WG1302" s="123"/>
      <c r="WH1302" s="97">
        <f t="shared" si="831"/>
        <v>0</v>
      </c>
      <c r="WI1302" s="97">
        <f t="shared" si="832"/>
        <v>0</v>
      </c>
      <c r="WJ1302" s="97">
        <f t="shared" si="833"/>
        <v>0</v>
      </c>
      <c r="WK1302" s="123"/>
      <c r="WL1302" s="123"/>
      <c r="WM1302" s="123"/>
      <c r="WN1302" s="97">
        <f t="shared" si="834"/>
        <v>0</v>
      </c>
      <c r="WO1302" s="97">
        <f t="shared" si="835"/>
        <v>0</v>
      </c>
      <c r="WP1302" s="97">
        <f t="shared" si="836"/>
        <v>0</v>
      </c>
      <c r="WQ1302" s="123"/>
      <c r="WR1302" s="123"/>
      <c r="WS1302" s="123"/>
      <c r="WT1302" s="97">
        <f t="shared" si="837"/>
        <v>0</v>
      </c>
      <c r="WU1302" s="97">
        <f t="shared" si="837"/>
        <v>0</v>
      </c>
      <c r="WV1302" s="97">
        <f t="shared" si="837"/>
        <v>0</v>
      </c>
      <c r="WW1302" s="102"/>
      <c r="WX1302" s="102"/>
      <c r="WY1302" s="102"/>
      <c r="WZ1302" s="123"/>
      <c r="XA1302" s="123"/>
      <c r="XB1302" s="123"/>
      <c r="XC1302" s="97">
        <f t="shared" si="838"/>
        <v>0</v>
      </c>
      <c r="XD1302" s="97">
        <f t="shared" si="839"/>
        <v>0</v>
      </c>
      <c r="XE1302" s="97">
        <f t="shared" si="840"/>
        <v>0</v>
      </c>
      <c r="XF1302" s="123"/>
      <c r="XG1302" s="123"/>
      <c r="XH1302" s="123"/>
      <c r="XI1302" s="97">
        <f t="shared" si="841"/>
        <v>0</v>
      </c>
      <c r="XJ1302" s="97">
        <f t="shared" si="842"/>
        <v>0</v>
      </c>
      <c r="XK1302" s="97">
        <f t="shared" si="843"/>
        <v>0</v>
      </c>
      <c r="XL1302" s="123"/>
      <c r="XM1302" s="123"/>
      <c r="XN1302" s="123"/>
      <c r="XO1302" s="97">
        <f t="shared" si="844"/>
        <v>0</v>
      </c>
      <c r="XP1302" s="97">
        <f t="shared" si="844"/>
        <v>0</v>
      </c>
      <c r="XQ1302" s="97">
        <f t="shared" si="844"/>
        <v>0</v>
      </c>
      <c r="XR1302" s="102"/>
      <c r="XS1302" s="102"/>
      <c r="XT1302" s="102"/>
      <c r="XU1302" s="123"/>
      <c r="XV1302" s="123"/>
      <c r="XW1302" s="123"/>
      <c r="XX1302" s="97">
        <f t="shared" si="845"/>
        <v>0</v>
      </c>
      <c r="XY1302" s="97">
        <f t="shared" si="846"/>
        <v>0</v>
      </c>
      <c r="XZ1302" s="97">
        <f t="shared" si="847"/>
        <v>0</v>
      </c>
      <c r="YA1302" s="123"/>
      <c r="YB1302" s="123"/>
      <c r="YC1302" s="123"/>
      <c r="YD1302" s="97">
        <f t="shared" si="848"/>
        <v>0</v>
      </c>
      <c r="YE1302" s="97">
        <f t="shared" si="849"/>
        <v>0</v>
      </c>
      <c r="YF1302" s="97">
        <f t="shared" si="850"/>
        <v>0</v>
      </c>
      <c r="YG1302" s="123"/>
      <c r="YH1302" s="123"/>
      <c r="YI1302" s="123"/>
      <c r="YJ1302" s="97">
        <f t="shared" si="851"/>
        <v>0</v>
      </c>
      <c r="YK1302" s="97">
        <f t="shared" si="851"/>
        <v>0</v>
      </c>
      <c r="YL1302" s="97">
        <f t="shared" si="851"/>
        <v>0</v>
      </c>
      <c r="YM1302" s="145">
        <f t="shared" si="852"/>
        <v>14</v>
      </c>
      <c r="YN1302" s="145">
        <f t="shared" si="852"/>
        <v>14</v>
      </c>
      <c r="YO1302" s="145">
        <f t="shared" si="852"/>
        <v>14</v>
      </c>
      <c r="YP1302" s="123"/>
      <c r="YQ1302" s="123"/>
      <c r="YR1302" s="123"/>
      <c r="YS1302" s="97">
        <f t="shared" si="853"/>
        <v>79270.38</v>
      </c>
      <c r="YT1302" s="97">
        <f t="shared" si="854"/>
        <v>79270.38</v>
      </c>
      <c r="YU1302" s="97">
        <f t="shared" si="855"/>
        <v>79270.38</v>
      </c>
      <c r="YV1302" s="123"/>
      <c r="YW1302" s="123"/>
      <c r="YX1302" s="123"/>
      <c r="YY1302" s="97">
        <f t="shared" si="856"/>
        <v>962.25</v>
      </c>
      <c r="YZ1302" s="97">
        <f t="shared" si="857"/>
        <v>981.92</v>
      </c>
      <c r="ZA1302" s="97">
        <f t="shared" si="858"/>
        <v>1019.4</v>
      </c>
      <c r="ZB1302" s="123"/>
      <c r="ZC1302" s="123"/>
      <c r="ZD1302" s="123"/>
      <c r="ZE1302" s="97">
        <f t="shared" si="859"/>
        <v>13471.5</v>
      </c>
      <c r="ZF1302" s="97">
        <f t="shared" si="859"/>
        <v>13746.88</v>
      </c>
      <c r="ZG1302" s="97">
        <f t="shared" si="859"/>
        <v>14271.6</v>
      </c>
    </row>
    <row r="1303" spans="1:683" ht="36" hidden="1" x14ac:dyDescent="0.25">
      <c r="A1303" s="98" t="s">
        <v>706</v>
      </c>
      <c r="B1303" s="174" t="s">
        <v>437</v>
      </c>
      <c r="C1303" s="5"/>
      <c r="D1303" s="340"/>
      <c r="E1303" s="163"/>
      <c r="F1303" s="110"/>
      <c r="G1303" s="110"/>
      <c r="H1303" s="110"/>
      <c r="I1303" s="97">
        <f t="shared" si="636"/>
        <v>28838.38</v>
      </c>
      <c r="J1303" s="97">
        <f t="shared" si="860"/>
        <v>28838.38</v>
      </c>
      <c r="K1303" s="97">
        <f t="shared" si="861"/>
        <v>28838.38</v>
      </c>
      <c r="L1303" s="102"/>
      <c r="M1303" s="102"/>
      <c r="N1303" s="102"/>
      <c r="O1303" s="123"/>
      <c r="P1303" s="123"/>
      <c r="Q1303" s="123"/>
      <c r="R1303" s="97">
        <f t="shared" si="862"/>
        <v>0</v>
      </c>
      <c r="S1303" s="97">
        <f t="shared" si="863"/>
        <v>0</v>
      </c>
      <c r="T1303" s="97">
        <f t="shared" si="864"/>
        <v>0</v>
      </c>
      <c r="U1303" s="123"/>
      <c r="V1303" s="123"/>
      <c r="W1303" s="123"/>
      <c r="X1303" s="97">
        <f t="shared" si="638"/>
        <v>0</v>
      </c>
      <c r="Y1303" s="97">
        <f t="shared" si="639"/>
        <v>0</v>
      </c>
      <c r="Z1303" s="97">
        <f t="shared" si="640"/>
        <v>0</v>
      </c>
      <c r="AA1303" s="123"/>
      <c r="AB1303" s="123"/>
      <c r="AC1303" s="123"/>
      <c r="AD1303" s="97">
        <f t="shared" si="641"/>
        <v>0</v>
      </c>
      <c r="AE1303" s="97">
        <f t="shared" si="641"/>
        <v>0</v>
      </c>
      <c r="AF1303" s="97">
        <f t="shared" si="641"/>
        <v>0</v>
      </c>
      <c r="AG1303" s="102"/>
      <c r="AH1303" s="102"/>
      <c r="AI1303" s="102"/>
      <c r="AJ1303" s="123"/>
      <c r="AK1303" s="123"/>
      <c r="AL1303" s="123"/>
      <c r="AM1303" s="97">
        <f t="shared" si="642"/>
        <v>0</v>
      </c>
      <c r="AN1303" s="97">
        <f t="shared" si="643"/>
        <v>0</v>
      </c>
      <c r="AO1303" s="97">
        <f t="shared" si="644"/>
        <v>0</v>
      </c>
      <c r="AP1303" s="123"/>
      <c r="AQ1303" s="123"/>
      <c r="AR1303" s="123"/>
      <c r="AS1303" s="97">
        <f t="shared" si="645"/>
        <v>0</v>
      </c>
      <c r="AT1303" s="97">
        <f t="shared" si="646"/>
        <v>0</v>
      </c>
      <c r="AU1303" s="97">
        <f t="shared" si="647"/>
        <v>0</v>
      </c>
      <c r="AV1303" s="123"/>
      <c r="AW1303" s="123"/>
      <c r="AX1303" s="123"/>
      <c r="AY1303" s="97">
        <f t="shared" si="648"/>
        <v>0</v>
      </c>
      <c r="AZ1303" s="97">
        <f t="shared" si="648"/>
        <v>0</v>
      </c>
      <c r="BA1303" s="97">
        <f t="shared" si="648"/>
        <v>0</v>
      </c>
      <c r="BB1303" s="102"/>
      <c r="BC1303" s="102"/>
      <c r="BD1303" s="102"/>
      <c r="BE1303" s="123"/>
      <c r="BF1303" s="123"/>
      <c r="BG1303" s="123"/>
      <c r="BH1303" s="97">
        <f t="shared" si="649"/>
        <v>0</v>
      </c>
      <c r="BI1303" s="97">
        <f t="shared" si="650"/>
        <v>0</v>
      </c>
      <c r="BJ1303" s="97">
        <f t="shared" si="651"/>
        <v>0</v>
      </c>
      <c r="BK1303" s="123"/>
      <c r="BL1303" s="123"/>
      <c r="BM1303" s="123"/>
      <c r="BN1303" s="97">
        <f t="shared" si="652"/>
        <v>0</v>
      </c>
      <c r="BO1303" s="97">
        <f t="shared" si="653"/>
        <v>0</v>
      </c>
      <c r="BP1303" s="97">
        <f t="shared" si="654"/>
        <v>0</v>
      </c>
      <c r="BQ1303" s="123"/>
      <c r="BR1303" s="123"/>
      <c r="BS1303" s="123"/>
      <c r="BT1303" s="97">
        <f t="shared" si="655"/>
        <v>0</v>
      </c>
      <c r="BU1303" s="97">
        <f t="shared" si="655"/>
        <v>0</v>
      </c>
      <c r="BV1303" s="97">
        <f t="shared" si="655"/>
        <v>0</v>
      </c>
      <c r="BW1303" s="102"/>
      <c r="BX1303" s="102"/>
      <c r="BY1303" s="102"/>
      <c r="BZ1303" s="123"/>
      <c r="CA1303" s="123"/>
      <c r="CB1303" s="123"/>
      <c r="CC1303" s="97">
        <f t="shared" si="656"/>
        <v>0</v>
      </c>
      <c r="CD1303" s="97">
        <f t="shared" si="657"/>
        <v>0</v>
      </c>
      <c r="CE1303" s="97">
        <f t="shared" si="658"/>
        <v>0</v>
      </c>
      <c r="CF1303" s="123"/>
      <c r="CG1303" s="123"/>
      <c r="CH1303" s="123"/>
      <c r="CI1303" s="97">
        <f t="shared" si="659"/>
        <v>0</v>
      </c>
      <c r="CJ1303" s="97">
        <f t="shared" si="660"/>
        <v>0</v>
      </c>
      <c r="CK1303" s="97">
        <f t="shared" si="661"/>
        <v>0</v>
      </c>
      <c r="CL1303" s="123"/>
      <c r="CM1303" s="123"/>
      <c r="CN1303" s="123"/>
      <c r="CO1303" s="97">
        <f t="shared" si="662"/>
        <v>0</v>
      </c>
      <c r="CP1303" s="97">
        <f t="shared" si="662"/>
        <v>0</v>
      </c>
      <c r="CQ1303" s="97">
        <f t="shared" si="662"/>
        <v>0</v>
      </c>
      <c r="CR1303" s="102"/>
      <c r="CS1303" s="102"/>
      <c r="CT1303" s="102"/>
      <c r="CU1303" s="123"/>
      <c r="CV1303" s="123"/>
      <c r="CW1303" s="123"/>
      <c r="CX1303" s="97">
        <f t="shared" si="663"/>
        <v>0</v>
      </c>
      <c r="CY1303" s="97">
        <f t="shared" si="664"/>
        <v>0</v>
      </c>
      <c r="CZ1303" s="97">
        <f t="shared" si="665"/>
        <v>0</v>
      </c>
      <c r="DA1303" s="123"/>
      <c r="DB1303" s="123"/>
      <c r="DC1303" s="123"/>
      <c r="DD1303" s="97">
        <f t="shared" si="666"/>
        <v>0</v>
      </c>
      <c r="DE1303" s="97">
        <f t="shared" si="667"/>
        <v>0</v>
      </c>
      <c r="DF1303" s="97">
        <f t="shared" si="668"/>
        <v>0</v>
      </c>
      <c r="DG1303" s="123"/>
      <c r="DH1303" s="123"/>
      <c r="DI1303" s="123"/>
      <c r="DJ1303" s="97">
        <f t="shared" si="669"/>
        <v>0</v>
      </c>
      <c r="DK1303" s="97">
        <f t="shared" si="669"/>
        <v>0</v>
      </c>
      <c r="DL1303" s="97">
        <f t="shared" si="669"/>
        <v>0</v>
      </c>
      <c r="DM1303" s="102"/>
      <c r="DN1303" s="102"/>
      <c r="DO1303" s="102"/>
      <c r="DP1303" s="123"/>
      <c r="DQ1303" s="123"/>
      <c r="DR1303" s="123"/>
      <c r="DS1303" s="97">
        <f t="shared" si="670"/>
        <v>0</v>
      </c>
      <c r="DT1303" s="97">
        <f t="shared" si="671"/>
        <v>0</v>
      </c>
      <c r="DU1303" s="97">
        <f t="shared" si="672"/>
        <v>0</v>
      </c>
      <c r="DV1303" s="123"/>
      <c r="DW1303" s="123"/>
      <c r="DX1303" s="123"/>
      <c r="DY1303" s="97">
        <f t="shared" si="673"/>
        <v>0</v>
      </c>
      <c r="DZ1303" s="97">
        <f t="shared" si="674"/>
        <v>0</v>
      </c>
      <c r="EA1303" s="97">
        <f t="shared" si="675"/>
        <v>0</v>
      </c>
      <c r="EB1303" s="123"/>
      <c r="EC1303" s="123"/>
      <c r="ED1303" s="123"/>
      <c r="EE1303" s="97">
        <f t="shared" si="676"/>
        <v>0</v>
      </c>
      <c r="EF1303" s="97">
        <f t="shared" si="676"/>
        <v>0</v>
      </c>
      <c r="EG1303" s="97">
        <f t="shared" si="676"/>
        <v>0</v>
      </c>
      <c r="EH1303" s="102"/>
      <c r="EI1303" s="102"/>
      <c r="EJ1303" s="102"/>
      <c r="EK1303" s="123"/>
      <c r="EL1303" s="123"/>
      <c r="EM1303" s="123"/>
      <c r="EN1303" s="97">
        <f t="shared" si="677"/>
        <v>0</v>
      </c>
      <c r="EO1303" s="97">
        <f t="shared" si="678"/>
        <v>0</v>
      </c>
      <c r="EP1303" s="97">
        <f t="shared" si="679"/>
        <v>0</v>
      </c>
      <c r="EQ1303" s="123"/>
      <c r="ER1303" s="123"/>
      <c r="ES1303" s="123"/>
      <c r="ET1303" s="97">
        <f t="shared" si="680"/>
        <v>0</v>
      </c>
      <c r="EU1303" s="97">
        <f t="shared" si="681"/>
        <v>0</v>
      </c>
      <c r="EV1303" s="97">
        <f t="shared" si="682"/>
        <v>0</v>
      </c>
      <c r="EW1303" s="123"/>
      <c r="EX1303" s="123"/>
      <c r="EY1303" s="123"/>
      <c r="EZ1303" s="97">
        <f t="shared" si="683"/>
        <v>0</v>
      </c>
      <c r="FA1303" s="97">
        <f t="shared" si="683"/>
        <v>0</v>
      </c>
      <c r="FB1303" s="97">
        <f t="shared" si="683"/>
        <v>0</v>
      </c>
      <c r="FC1303" s="102"/>
      <c r="FD1303" s="102"/>
      <c r="FE1303" s="102"/>
      <c r="FF1303" s="123"/>
      <c r="FG1303" s="123"/>
      <c r="FH1303" s="123"/>
      <c r="FI1303" s="97">
        <f t="shared" si="684"/>
        <v>0</v>
      </c>
      <c r="FJ1303" s="97">
        <f t="shared" si="685"/>
        <v>0</v>
      </c>
      <c r="FK1303" s="97">
        <f t="shared" si="686"/>
        <v>0</v>
      </c>
      <c r="FL1303" s="123"/>
      <c r="FM1303" s="123"/>
      <c r="FN1303" s="123"/>
      <c r="FO1303" s="97">
        <f t="shared" si="687"/>
        <v>0</v>
      </c>
      <c r="FP1303" s="97">
        <f t="shared" si="688"/>
        <v>0</v>
      </c>
      <c r="FQ1303" s="97">
        <f t="shared" si="689"/>
        <v>0</v>
      </c>
      <c r="FR1303" s="123"/>
      <c r="FS1303" s="123"/>
      <c r="FT1303" s="123"/>
      <c r="FU1303" s="97">
        <f t="shared" si="690"/>
        <v>0</v>
      </c>
      <c r="FV1303" s="97">
        <f t="shared" si="690"/>
        <v>0</v>
      </c>
      <c r="FW1303" s="97">
        <f t="shared" si="690"/>
        <v>0</v>
      </c>
      <c r="FX1303" s="102"/>
      <c r="FY1303" s="102"/>
      <c r="FZ1303" s="102"/>
      <c r="GA1303" s="123"/>
      <c r="GB1303" s="123"/>
      <c r="GC1303" s="123"/>
      <c r="GD1303" s="97">
        <f t="shared" si="691"/>
        <v>0</v>
      </c>
      <c r="GE1303" s="97">
        <f t="shared" si="692"/>
        <v>0</v>
      </c>
      <c r="GF1303" s="97">
        <f t="shared" si="693"/>
        <v>0</v>
      </c>
      <c r="GG1303" s="123"/>
      <c r="GH1303" s="123"/>
      <c r="GI1303" s="123"/>
      <c r="GJ1303" s="97">
        <f t="shared" si="694"/>
        <v>0</v>
      </c>
      <c r="GK1303" s="97">
        <f t="shared" si="695"/>
        <v>0</v>
      </c>
      <c r="GL1303" s="97">
        <f t="shared" si="696"/>
        <v>0</v>
      </c>
      <c r="GM1303" s="123"/>
      <c r="GN1303" s="123"/>
      <c r="GO1303" s="123"/>
      <c r="GP1303" s="97">
        <f t="shared" si="697"/>
        <v>0</v>
      </c>
      <c r="GQ1303" s="97">
        <f t="shared" si="697"/>
        <v>0</v>
      </c>
      <c r="GR1303" s="97">
        <f t="shared" si="697"/>
        <v>0</v>
      </c>
      <c r="GS1303" s="102"/>
      <c r="GT1303" s="102"/>
      <c r="GU1303" s="102"/>
      <c r="GV1303" s="123"/>
      <c r="GW1303" s="123"/>
      <c r="GX1303" s="123"/>
      <c r="GY1303" s="97">
        <f t="shared" si="698"/>
        <v>0</v>
      </c>
      <c r="GZ1303" s="97">
        <f t="shared" si="699"/>
        <v>0</v>
      </c>
      <c r="HA1303" s="97">
        <f t="shared" si="700"/>
        <v>0</v>
      </c>
      <c r="HB1303" s="123"/>
      <c r="HC1303" s="123"/>
      <c r="HD1303" s="123"/>
      <c r="HE1303" s="97">
        <f t="shared" si="701"/>
        <v>0</v>
      </c>
      <c r="HF1303" s="97">
        <f t="shared" si="702"/>
        <v>0</v>
      </c>
      <c r="HG1303" s="97">
        <f t="shared" si="703"/>
        <v>0</v>
      </c>
      <c r="HH1303" s="123"/>
      <c r="HI1303" s="123"/>
      <c r="HJ1303" s="123"/>
      <c r="HK1303" s="97">
        <f t="shared" si="704"/>
        <v>0</v>
      </c>
      <c r="HL1303" s="97">
        <f t="shared" si="704"/>
        <v>0</v>
      </c>
      <c r="HM1303" s="97">
        <f t="shared" si="704"/>
        <v>0</v>
      </c>
      <c r="HN1303" s="102"/>
      <c r="HO1303" s="102"/>
      <c r="HP1303" s="102"/>
      <c r="HQ1303" s="123"/>
      <c r="HR1303" s="123"/>
      <c r="HS1303" s="123"/>
      <c r="HT1303" s="97">
        <f t="shared" si="705"/>
        <v>0</v>
      </c>
      <c r="HU1303" s="97">
        <f t="shared" si="706"/>
        <v>0</v>
      </c>
      <c r="HV1303" s="97">
        <f t="shared" si="707"/>
        <v>0</v>
      </c>
      <c r="HW1303" s="123"/>
      <c r="HX1303" s="123"/>
      <c r="HY1303" s="123"/>
      <c r="HZ1303" s="97">
        <f t="shared" si="708"/>
        <v>0</v>
      </c>
      <c r="IA1303" s="97">
        <f t="shared" si="709"/>
        <v>0</v>
      </c>
      <c r="IB1303" s="97">
        <f t="shared" si="710"/>
        <v>0</v>
      </c>
      <c r="IC1303" s="123"/>
      <c r="ID1303" s="123"/>
      <c r="IE1303" s="123"/>
      <c r="IF1303" s="97">
        <f t="shared" si="711"/>
        <v>0</v>
      </c>
      <c r="IG1303" s="97">
        <f t="shared" si="711"/>
        <v>0</v>
      </c>
      <c r="IH1303" s="97">
        <f t="shared" si="711"/>
        <v>0</v>
      </c>
      <c r="II1303" s="102"/>
      <c r="IJ1303" s="102"/>
      <c r="IK1303" s="102"/>
      <c r="IL1303" s="123"/>
      <c r="IM1303" s="123"/>
      <c r="IN1303" s="123"/>
      <c r="IO1303" s="97">
        <f t="shared" si="712"/>
        <v>0</v>
      </c>
      <c r="IP1303" s="97">
        <f t="shared" si="713"/>
        <v>0</v>
      </c>
      <c r="IQ1303" s="97">
        <f t="shared" si="714"/>
        <v>0</v>
      </c>
      <c r="IR1303" s="123"/>
      <c r="IS1303" s="123"/>
      <c r="IT1303" s="123"/>
      <c r="IU1303" s="97">
        <f t="shared" si="715"/>
        <v>0</v>
      </c>
      <c r="IV1303" s="97">
        <f t="shared" si="716"/>
        <v>0</v>
      </c>
      <c r="IW1303" s="97">
        <f t="shared" si="717"/>
        <v>0</v>
      </c>
      <c r="IX1303" s="123"/>
      <c r="IY1303" s="123"/>
      <c r="IZ1303" s="123"/>
      <c r="JA1303" s="97">
        <f t="shared" si="718"/>
        <v>0</v>
      </c>
      <c r="JB1303" s="97">
        <f t="shared" si="718"/>
        <v>0</v>
      </c>
      <c r="JC1303" s="97">
        <f t="shared" si="718"/>
        <v>0</v>
      </c>
      <c r="JD1303" s="102"/>
      <c r="JE1303" s="102"/>
      <c r="JF1303" s="102"/>
      <c r="JG1303" s="123"/>
      <c r="JH1303" s="123"/>
      <c r="JI1303" s="123"/>
      <c r="JJ1303" s="97">
        <f t="shared" si="719"/>
        <v>0</v>
      </c>
      <c r="JK1303" s="97">
        <f t="shared" si="720"/>
        <v>0</v>
      </c>
      <c r="JL1303" s="97">
        <f t="shared" si="721"/>
        <v>0</v>
      </c>
      <c r="JM1303" s="123"/>
      <c r="JN1303" s="123"/>
      <c r="JO1303" s="123"/>
      <c r="JP1303" s="97">
        <f t="shared" si="722"/>
        <v>0</v>
      </c>
      <c r="JQ1303" s="97">
        <f t="shared" si="723"/>
        <v>0</v>
      </c>
      <c r="JR1303" s="97">
        <f t="shared" si="724"/>
        <v>0</v>
      </c>
      <c r="JS1303" s="123"/>
      <c r="JT1303" s="123"/>
      <c r="JU1303" s="123"/>
      <c r="JV1303" s="97">
        <f t="shared" si="725"/>
        <v>0</v>
      </c>
      <c r="JW1303" s="97">
        <f t="shared" si="725"/>
        <v>0</v>
      </c>
      <c r="JX1303" s="97">
        <f t="shared" si="725"/>
        <v>0</v>
      </c>
      <c r="JY1303" s="102"/>
      <c r="JZ1303" s="102"/>
      <c r="KA1303" s="102"/>
      <c r="KB1303" s="123"/>
      <c r="KC1303" s="123"/>
      <c r="KD1303" s="123"/>
      <c r="KE1303" s="97">
        <f t="shared" si="726"/>
        <v>0</v>
      </c>
      <c r="KF1303" s="97">
        <f t="shared" si="727"/>
        <v>0</v>
      </c>
      <c r="KG1303" s="97">
        <f t="shared" si="728"/>
        <v>0</v>
      </c>
      <c r="KH1303" s="123"/>
      <c r="KI1303" s="123"/>
      <c r="KJ1303" s="123"/>
      <c r="KK1303" s="97">
        <f t="shared" si="729"/>
        <v>0</v>
      </c>
      <c r="KL1303" s="97">
        <f t="shared" si="730"/>
        <v>0</v>
      </c>
      <c r="KM1303" s="97">
        <f t="shared" si="731"/>
        <v>0</v>
      </c>
      <c r="KN1303" s="123"/>
      <c r="KO1303" s="123"/>
      <c r="KP1303" s="123"/>
      <c r="KQ1303" s="97">
        <f t="shared" si="732"/>
        <v>0</v>
      </c>
      <c r="KR1303" s="97">
        <f t="shared" si="732"/>
        <v>0</v>
      </c>
      <c r="KS1303" s="97">
        <f t="shared" si="732"/>
        <v>0</v>
      </c>
      <c r="KT1303" s="102"/>
      <c r="KU1303" s="102"/>
      <c r="KV1303" s="102"/>
      <c r="KW1303" s="123"/>
      <c r="KX1303" s="123"/>
      <c r="KY1303" s="123"/>
      <c r="KZ1303" s="97">
        <f t="shared" si="733"/>
        <v>0</v>
      </c>
      <c r="LA1303" s="97">
        <f t="shared" si="734"/>
        <v>0</v>
      </c>
      <c r="LB1303" s="97">
        <f t="shared" si="735"/>
        <v>0</v>
      </c>
      <c r="LC1303" s="123"/>
      <c r="LD1303" s="123"/>
      <c r="LE1303" s="123"/>
      <c r="LF1303" s="97">
        <f t="shared" si="736"/>
        <v>0</v>
      </c>
      <c r="LG1303" s="97">
        <f t="shared" si="737"/>
        <v>0</v>
      </c>
      <c r="LH1303" s="97">
        <f t="shared" si="738"/>
        <v>0</v>
      </c>
      <c r="LI1303" s="123"/>
      <c r="LJ1303" s="123"/>
      <c r="LK1303" s="123"/>
      <c r="LL1303" s="97">
        <f t="shared" si="739"/>
        <v>0</v>
      </c>
      <c r="LM1303" s="97">
        <f t="shared" si="739"/>
        <v>0</v>
      </c>
      <c r="LN1303" s="97">
        <f t="shared" si="739"/>
        <v>0</v>
      </c>
      <c r="LO1303" s="102"/>
      <c r="LP1303" s="102"/>
      <c r="LQ1303" s="102"/>
      <c r="LR1303" s="123"/>
      <c r="LS1303" s="123"/>
      <c r="LT1303" s="123"/>
      <c r="LU1303" s="97">
        <f t="shared" si="740"/>
        <v>0</v>
      </c>
      <c r="LV1303" s="97">
        <f t="shared" si="741"/>
        <v>0</v>
      </c>
      <c r="LW1303" s="97">
        <f t="shared" si="742"/>
        <v>0</v>
      </c>
      <c r="LX1303" s="123"/>
      <c r="LY1303" s="123"/>
      <c r="LZ1303" s="123"/>
      <c r="MA1303" s="97">
        <f t="shared" si="743"/>
        <v>0</v>
      </c>
      <c r="MB1303" s="97">
        <f t="shared" si="744"/>
        <v>0</v>
      </c>
      <c r="MC1303" s="97">
        <f t="shared" si="745"/>
        <v>0</v>
      </c>
      <c r="MD1303" s="123"/>
      <c r="ME1303" s="123"/>
      <c r="MF1303" s="123"/>
      <c r="MG1303" s="97">
        <f t="shared" si="746"/>
        <v>0</v>
      </c>
      <c r="MH1303" s="97">
        <f t="shared" si="746"/>
        <v>0</v>
      </c>
      <c r="MI1303" s="97">
        <f t="shared" si="746"/>
        <v>0</v>
      </c>
      <c r="MJ1303" s="102"/>
      <c r="MK1303" s="102"/>
      <c r="ML1303" s="102"/>
      <c r="MM1303" s="123"/>
      <c r="MN1303" s="123"/>
      <c r="MO1303" s="123"/>
      <c r="MP1303" s="97">
        <f t="shared" si="747"/>
        <v>0</v>
      </c>
      <c r="MQ1303" s="97">
        <f t="shared" si="748"/>
        <v>0</v>
      </c>
      <c r="MR1303" s="97">
        <f t="shared" si="749"/>
        <v>0</v>
      </c>
      <c r="MS1303" s="123"/>
      <c r="MT1303" s="123"/>
      <c r="MU1303" s="123"/>
      <c r="MV1303" s="97">
        <f t="shared" si="750"/>
        <v>0</v>
      </c>
      <c r="MW1303" s="97">
        <f t="shared" si="751"/>
        <v>0</v>
      </c>
      <c r="MX1303" s="97">
        <f t="shared" si="752"/>
        <v>0</v>
      </c>
      <c r="MY1303" s="123"/>
      <c r="MZ1303" s="123"/>
      <c r="NA1303" s="123"/>
      <c r="NB1303" s="97">
        <f t="shared" si="753"/>
        <v>0</v>
      </c>
      <c r="NC1303" s="97">
        <f t="shared" si="753"/>
        <v>0</v>
      </c>
      <c r="ND1303" s="97">
        <f t="shared" si="753"/>
        <v>0</v>
      </c>
      <c r="NE1303" s="102"/>
      <c r="NF1303" s="102"/>
      <c r="NG1303" s="102"/>
      <c r="NH1303" s="123"/>
      <c r="NI1303" s="123"/>
      <c r="NJ1303" s="123"/>
      <c r="NK1303" s="97">
        <f t="shared" si="754"/>
        <v>0</v>
      </c>
      <c r="NL1303" s="97">
        <f t="shared" si="755"/>
        <v>0</v>
      </c>
      <c r="NM1303" s="97">
        <f t="shared" si="756"/>
        <v>0</v>
      </c>
      <c r="NN1303" s="123"/>
      <c r="NO1303" s="123"/>
      <c r="NP1303" s="123"/>
      <c r="NQ1303" s="97">
        <f t="shared" si="757"/>
        <v>0</v>
      </c>
      <c r="NR1303" s="97">
        <f t="shared" si="758"/>
        <v>0</v>
      </c>
      <c r="NS1303" s="97">
        <f t="shared" si="759"/>
        <v>0</v>
      </c>
      <c r="NT1303" s="123"/>
      <c r="NU1303" s="123"/>
      <c r="NV1303" s="123"/>
      <c r="NW1303" s="97">
        <f t="shared" si="760"/>
        <v>0</v>
      </c>
      <c r="NX1303" s="97">
        <f t="shared" si="760"/>
        <v>0</v>
      </c>
      <c r="NY1303" s="97">
        <f t="shared" si="760"/>
        <v>0</v>
      </c>
      <c r="NZ1303" s="102"/>
      <c r="OA1303" s="102"/>
      <c r="OB1303" s="102"/>
      <c r="OC1303" s="123"/>
      <c r="OD1303" s="123"/>
      <c r="OE1303" s="123"/>
      <c r="OF1303" s="97">
        <f t="shared" si="761"/>
        <v>0</v>
      </c>
      <c r="OG1303" s="97">
        <f t="shared" si="762"/>
        <v>0</v>
      </c>
      <c r="OH1303" s="97">
        <f t="shared" si="763"/>
        <v>0</v>
      </c>
      <c r="OI1303" s="123"/>
      <c r="OJ1303" s="123"/>
      <c r="OK1303" s="123"/>
      <c r="OL1303" s="97">
        <f t="shared" si="764"/>
        <v>0</v>
      </c>
      <c r="OM1303" s="97">
        <f t="shared" si="765"/>
        <v>0</v>
      </c>
      <c r="ON1303" s="97">
        <f t="shared" si="766"/>
        <v>0</v>
      </c>
      <c r="OO1303" s="123"/>
      <c r="OP1303" s="123"/>
      <c r="OQ1303" s="123"/>
      <c r="OR1303" s="97">
        <f t="shared" si="767"/>
        <v>0</v>
      </c>
      <c r="OS1303" s="97">
        <f t="shared" si="767"/>
        <v>0</v>
      </c>
      <c r="OT1303" s="97">
        <f t="shared" si="767"/>
        <v>0</v>
      </c>
      <c r="OU1303" s="102"/>
      <c r="OV1303" s="102"/>
      <c r="OW1303" s="102"/>
      <c r="OX1303" s="123"/>
      <c r="OY1303" s="123"/>
      <c r="OZ1303" s="123"/>
      <c r="PA1303" s="97">
        <f t="shared" si="768"/>
        <v>0</v>
      </c>
      <c r="PB1303" s="97">
        <f t="shared" si="769"/>
        <v>0</v>
      </c>
      <c r="PC1303" s="97">
        <f t="shared" si="770"/>
        <v>0</v>
      </c>
      <c r="PD1303" s="123"/>
      <c r="PE1303" s="123"/>
      <c r="PF1303" s="123"/>
      <c r="PG1303" s="97">
        <f t="shared" si="771"/>
        <v>0</v>
      </c>
      <c r="PH1303" s="97">
        <f t="shared" si="772"/>
        <v>0</v>
      </c>
      <c r="PI1303" s="97">
        <f t="shared" si="773"/>
        <v>0</v>
      </c>
      <c r="PJ1303" s="123"/>
      <c r="PK1303" s="123"/>
      <c r="PL1303" s="123"/>
      <c r="PM1303" s="97">
        <f t="shared" si="774"/>
        <v>0</v>
      </c>
      <c r="PN1303" s="97">
        <f t="shared" si="774"/>
        <v>0</v>
      </c>
      <c r="PO1303" s="97">
        <f t="shared" si="774"/>
        <v>0</v>
      </c>
      <c r="PP1303" s="102"/>
      <c r="PQ1303" s="102"/>
      <c r="PR1303" s="102"/>
      <c r="PS1303" s="123"/>
      <c r="PT1303" s="123"/>
      <c r="PU1303" s="123"/>
      <c r="PV1303" s="97">
        <f t="shared" si="775"/>
        <v>0</v>
      </c>
      <c r="PW1303" s="97">
        <f t="shared" si="776"/>
        <v>0</v>
      </c>
      <c r="PX1303" s="97">
        <f t="shared" si="777"/>
        <v>0</v>
      </c>
      <c r="PY1303" s="123"/>
      <c r="PZ1303" s="123"/>
      <c r="QA1303" s="123"/>
      <c r="QB1303" s="97">
        <f t="shared" si="778"/>
        <v>0</v>
      </c>
      <c r="QC1303" s="97">
        <f t="shared" si="779"/>
        <v>0</v>
      </c>
      <c r="QD1303" s="97">
        <f t="shared" si="780"/>
        <v>0</v>
      </c>
      <c r="QE1303" s="123"/>
      <c r="QF1303" s="123"/>
      <c r="QG1303" s="123"/>
      <c r="QH1303" s="97">
        <f t="shared" si="781"/>
        <v>0</v>
      </c>
      <c r="QI1303" s="97">
        <f t="shared" si="781"/>
        <v>0</v>
      </c>
      <c r="QJ1303" s="97">
        <f t="shared" si="781"/>
        <v>0</v>
      </c>
      <c r="QK1303" s="102"/>
      <c r="QL1303" s="102"/>
      <c r="QM1303" s="102"/>
      <c r="QN1303" s="123"/>
      <c r="QO1303" s="123"/>
      <c r="QP1303" s="123"/>
      <c r="QQ1303" s="97">
        <f t="shared" si="782"/>
        <v>0</v>
      </c>
      <c r="QR1303" s="97">
        <f t="shared" si="783"/>
        <v>0</v>
      </c>
      <c r="QS1303" s="97">
        <f t="shared" si="784"/>
        <v>0</v>
      </c>
      <c r="QT1303" s="123"/>
      <c r="QU1303" s="123"/>
      <c r="QV1303" s="123"/>
      <c r="QW1303" s="97">
        <f t="shared" si="785"/>
        <v>0</v>
      </c>
      <c r="QX1303" s="97">
        <f t="shared" si="786"/>
        <v>0</v>
      </c>
      <c r="QY1303" s="97">
        <f t="shared" si="787"/>
        <v>0</v>
      </c>
      <c r="QZ1303" s="123"/>
      <c r="RA1303" s="123"/>
      <c r="RB1303" s="123"/>
      <c r="RC1303" s="97">
        <f t="shared" si="788"/>
        <v>0</v>
      </c>
      <c r="RD1303" s="97">
        <f t="shared" si="788"/>
        <v>0</v>
      </c>
      <c r="RE1303" s="97">
        <f t="shared" si="788"/>
        <v>0</v>
      </c>
      <c r="RF1303" s="102"/>
      <c r="RG1303" s="102"/>
      <c r="RH1303" s="102"/>
      <c r="RI1303" s="123"/>
      <c r="RJ1303" s="123"/>
      <c r="RK1303" s="123"/>
      <c r="RL1303" s="97">
        <f t="shared" si="789"/>
        <v>0</v>
      </c>
      <c r="RM1303" s="97">
        <f t="shared" si="790"/>
        <v>0</v>
      </c>
      <c r="RN1303" s="97">
        <f t="shared" si="791"/>
        <v>0</v>
      </c>
      <c r="RO1303" s="123"/>
      <c r="RP1303" s="123"/>
      <c r="RQ1303" s="123"/>
      <c r="RR1303" s="97">
        <f t="shared" si="792"/>
        <v>0</v>
      </c>
      <c r="RS1303" s="97">
        <f t="shared" si="793"/>
        <v>0</v>
      </c>
      <c r="RT1303" s="97">
        <f t="shared" si="794"/>
        <v>0</v>
      </c>
      <c r="RU1303" s="123"/>
      <c r="RV1303" s="123"/>
      <c r="RW1303" s="123"/>
      <c r="RX1303" s="97">
        <f t="shared" si="795"/>
        <v>0</v>
      </c>
      <c r="RY1303" s="97">
        <f t="shared" si="795"/>
        <v>0</v>
      </c>
      <c r="RZ1303" s="97">
        <f t="shared" si="795"/>
        <v>0</v>
      </c>
      <c r="SA1303" s="102"/>
      <c r="SB1303" s="102"/>
      <c r="SC1303" s="102"/>
      <c r="SD1303" s="123"/>
      <c r="SE1303" s="123"/>
      <c r="SF1303" s="123"/>
      <c r="SG1303" s="97">
        <f t="shared" si="796"/>
        <v>0</v>
      </c>
      <c r="SH1303" s="97">
        <f t="shared" si="797"/>
        <v>0</v>
      </c>
      <c r="SI1303" s="97">
        <f t="shared" si="798"/>
        <v>0</v>
      </c>
      <c r="SJ1303" s="123"/>
      <c r="SK1303" s="123"/>
      <c r="SL1303" s="123"/>
      <c r="SM1303" s="97">
        <f t="shared" si="799"/>
        <v>0</v>
      </c>
      <c r="SN1303" s="97">
        <f t="shared" si="800"/>
        <v>0</v>
      </c>
      <c r="SO1303" s="97">
        <f t="shared" si="801"/>
        <v>0</v>
      </c>
      <c r="SP1303" s="123"/>
      <c r="SQ1303" s="123"/>
      <c r="SR1303" s="123"/>
      <c r="SS1303" s="97">
        <f t="shared" si="802"/>
        <v>0</v>
      </c>
      <c r="ST1303" s="97">
        <f t="shared" si="802"/>
        <v>0</v>
      </c>
      <c r="SU1303" s="97">
        <f t="shared" si="802"/>
        <v>0</v>
      </c>
      <c r="SV1303" s="102"/>
      <c r="SW1303" s="102"/>
      <c r="SX1303" s="102"/>
      <c r="SY1303" s="123"/>
      <c r="SZ1303" s="123"/>
      <c r="TA1303" s="123"/>
      <c r="TB1303" s="97">
        <f t="shared" si="803"/>
        <v>0</v>
      </c>
      <c r="TC1303" s="97">
        <f t="shared" si="804"/>
        <v>0</v>
      </c>
      <c r="TD1303" s="97">
        <f t="shared" si="805"/>
        <v>0</v>
      </c>
      <c r="TE1303" s="123"/>
      <c r="TF1303" s="123"/>
      <c r="TG1303" s="123"/>
      <c r="TH1303" s="97">
        <f t="shared" si="806"/>
        <v>0</v>
      </c>
      <c r="TI1303" s="97">
        <f t="shared" si="807"/>
        <v>0</v>
      </c>
      <c r="TJ1303" s="97">
        <f t="shared" si="808"/>
        <v>0</v>
      </c>
      <c r="TK1303" s="123"/>
      <c r="TL1303" s="123"/>
      <c r="TM1303" s="123"/>
      <c r="TN1303" s="97">
        <f t="shared" si="809"/>
        <v>0</v>
      </c>
      <c r="TO1303" s="97">
        <f t="shared" si="809"/>
        <v>0</v>
      </c>
      <c r="TP1303" s="97">
        <f t="shared" si="809"/>
        <v>0</v>
      </c>
      <c r="TQ1303" s="102"/>
      <c r="TR1303" s="102"/>
      <c r="TS1303" s="102"/>
      <c r="TT1303" s="123"/>
      <c r="TU1303" s="123"/>
      <c r="TV1303" s="123"/>
      <c r="TW1303" s="97">
        <f t="shared" si="810"/>
        <v>0</v>
      </c>
      <c r="TX1303" s="97">
        <f t="shared" si="811"/>
        <v>0</v>
      </c>
      <c r="TY1303" s="97">
        <f t="shared" si="812"/>
        <v>0</v>
      </c>
      <c r="TZ1303" s="123"/>
      <c r="UA1303" s="123"/>
      <c r="UB1303" s="123"/>
      <c r="UC1303" s="97">
        <f t="shared" si="813"/>
        <v>0</v>
      </c>
      <c r="UD1303" s="97">
        <f t="shared" si="814"/>
        <v>0</v>
      </c>
      <c r="UE1303" s="97">
        <f t="shared" si="815"/>
        <v>0</v>
      </c>
      <c r="UF1303" s="123"/>
      <c r="UG1303" s="123"/>
      <c r="UH1303" s="123"/>
      <c r="UI1303" s="97">
        <f t="shared" si="816"/>
        <v>0</v>
      </c>
      <c r="UJ1303" s="97">
        <f t="shared" si="816"/>
        <v>0</v>
      </c>
      <c r="UK1303" s="97">
        <f t="shared" si="816"/>
        <v>0</v>
      </c>
      <c r="UL1303" s="102"/>
      <c r="UM1303" s="102"/>
      <c r="UN1303" s="102"/>
      <c r="UO1303" s="123"/>
      <c r="UP1303" s="123"/>
      <c r="UQ1303" s="123"/>
      <c r="UR1303" s="97">
        <f t="shared" si="817"/>
        <v>0</v>
      </c>
      <c r="US1303" s="97">
        <f t="shared" si="818"/>
        <v>0</v>
      </c>
      <c r="UT1303" s="97">
        <f t="shared" si="819"/>
        <v>0</v>
      </c>
      <c r="UU1303" s="123"/>
      <c r="UV1303" s="123"/>
      <c r="UW1303" s="123"/>
      <c r="UX1303" s="97">
        <f t="shared" si="820"/>
        <v>4900.92</v>
      </c>
      <c r="UY1303" s="97">
        <f t="shared" si="821"/>
        <v>5001.07</v>
      </c>
      <c r="UZ1303" s="97">
        <f t="shared" si="822"/>
        <v>5191.9799999999996</v>
      </c>
      <c r="VA1303" s="123"/>
      <c r="VB1303" s="123"/>
      <c r="VC1303" s="123"/>
      <c r="VD1303" s="97">
        <f t="shared" si="823"/>
        <v>0</v>
      </c>
      <c r="VE1303" s="97">
        <f t="shared" si="823"/>
        <v>0</v>
      </c>
      <c r="VF1303" s="97">
        <f t="shared" si="823"/>
        <v>0</v>
      </c>
      <c r="VG1303" s="102"/>
      <c r="VH1303" s="102"/>
      <c r="VI1303" s="102"/>
      <c r="VJ1303" s="123"/>
      <c r="VK1303" s="123"/>
      <c r="VL1303" s="123"/>
      <c r="VM1303" s="97">
        <f t="shared" si="824"/>
        <v>0</v>
      </c>
      <c r="VN1303" s="97">
        <f t="shared" si="825"/>
        <v>0</v>
      </c>
      <c r="VO1303" s="97">
        <f t="shared" si="826"/>
        <v>0</v>
      </c>
      <c r="VP1303" s="123"/>
      <c r="VQ1303" s="123"/>
      <c r="VR1303" s="123"/>
      <c r="VS1303" s="97">
        <f t="shared" si="827"/>
        <v>0</v>
      </c>
      <c r="VT1303" s="97">
        <f t="shared" si="828"/>
        <v>0</v>
      </c>
      <c r="VU1303" s="97">
        <f t="shared" si="829"/>
        <v>0</v>
      </c>
      <c r="VV1303" s="123"/>
      <c r="VW1303" s="123"/>
      <c r="VX1303" s="123"/>
      <c r="VY1303" s="97">
        <f t="shared" si="830"/>
        <v>0</v>
      </c>
      <c r="VZ1303" s="97">
        <f t="shared" si="830"/>
        <v>0</v>
      </c>
      <c r="WA1303" s="97">
        <f t="shared" si="830"/>
        <v>0</v>
      </c>
      <c r="WB1303" s="102"/>
      <c r="WC1303" s="102"/>
      <c r="WD1303" s="102"/>
      <c r="WE1303" s="123"/>
      <c r="WF1303" s="123"/>
      <c r="WG1303" s="123"/>
      <c r="WH1303" s="97">
        <f t="shared" si="831"/>
        <v>0</v>
      </c>
      <c r="WI1303" s="97">
        <f t="shared" si="832"/>
        <v>0</v>
      </c>
      <c r="WJ1303" s="97">
        <f t="shared" si="833"/>
        <v>0</v>
      </c>
      <c r="WK1303" s="123"/>
      <c r="WL1303" s="123"/>
      <c r="WM1303" s="123"/>
      <c r="WN1303" s="97">
        <f t="shared" si="834"/>
        <v>0</v>
      </c>
      <c r="WO1303" s="97">
        <f t="shared" si="835"/>
        <v>0</v>
      </c>
      <c r="WP1303" s="97">
        <f t="shared" si="836"/>
        <v>0</v>
      </c>
      <c r="WQ1303" s="123"/>
      <c r="WR1303" s="123"/>
      <c r="WS1303" s="123"/>
      <c r="WT1303" s="97">
        <f t="shared" si="837"/>
        <v>0</v>
      </c>
      <c r="WU1303" s="97">
        <f t="shared" si="837"/>
        <v>0</v>
      </c>
      <c r="WV1303" s="97">
        <f t="shared" si="837"/>
        <v>0</v>
      </c>
      <c r="WW1303" s="102"/>
      <c r="WX1303" s="102"/>
      <c r="WY1303" s="102"/>
      <c r="WZ1303" s="123"/>
      <c r="XA1303" s="123"/>
      <c r="XB1303" s="123"/>
      <c r="XC1303" s="97">
        <f t="shared" si="838"/>
        <v>0</v>
      </c>
      <c r="XD1303" s="97">
        <f t="shared" si="839"/>
        <v>0</v>
      </c>
      <c r="XE1303" s="97">
        <f t="shared" si="840"/>
        <v>0</v>
      </c>
      <c r="XF1303" s="123"/>
      <c r="XG1303" s="123"/>
      <c r="XH1303" s="123"/>
      <c r="XI1303" s="97">
        <f t="shared" si="841"/>
        <v>0</v>
      </c>
      <c r="XJ1303" s="97">
        <f t="shared" si="842"/>
        <v>0</v>
      </c>
      <c r="XK1303" s="97">
        <f t="shared" si="843"/>
        <v>0</v>
      </c>
      <c r="XL1303" s="123"/>
      <c r="XM1303" s="123"/>
      <c r="XN1303" s="123"/>
      <c r="XO1303" s="97">
        <f t="shared" si="844"/>
        <v>0</v>
      </c>
      <c r="XP1303" s="97">
        <f t="shared" si="844"/>
        <v>0</v>
      </c>
      <c r="XQ1303" s="97">
        <f t="shared" si="844"/>
        <v>0</v>
      </c>
      <c r="XR1303" s="102"/>
      <c r="XS1303" s="102"/>
      <c r="XT1303" s="102"/>
      <c r="XU1303" s="123"/>
      <c r="XV1303" s="123"/>
      <c r="XW1303" s="123"/>
      <c r="XX1303" s="97">
        <f t="shared" si="845"/>
        <v>0</v>
      </c>
      <c r="XY1303" s="97">
        <f t="shared" si="846"/>
        <v>0</v>
      </c>
      <c r="XZ1303" s="97">
        <f t="shared" si="847"/>
        <v>0</v>
      </c>
      <c r="YA1303" s="123"/>
      <c r="YB1303" s="123"/>
      <c r="YC1303" s="123"/>
      <c r="YD1303" s="97">
        <f t="shared" si="848"/>
        <v>0</v>
      </c>
      <c r="YE1303" s="97">
        <f t="shared" si="849"/>
        <v>0</v>
      </c>
      <c r="YF1303" s="97">
        <f t="shared" si="850"/>
        <v>0</v>
      </c>
      <c r="YG1303" s="123"/>
      <c r="YH1303" s="123"/>
      <c r="YI1303" s="123"/>
      <c r="YJ1303" s="97">
        <f t="shared" si="851"/>
        <v>0</v>
      </c>
      <c r="YK1303" s="97">
        <f t="shared" si="851"/>
        <v>0</v>
      </c>
      <c r="YL1303" s="97">
        <f t="shared" si="851"/>
        <v>0</v>
      </c>
      <c r="YM1303" s="145">
        <f t="shared" si="852"/>
        <v>0</v>
      </c>
      <c r="YN1303" s="145">
        <f t="shared" si="852"/>
        <v>0</v>
      </c>
      <c r="YO1303" s="145">
        <f t="shared" si="852"/>
        <v>0</v>
      </c>
      <c r="YP1303" s="123"/>
      <c r="YQ1303" s="123"/>
      <c r="YR1303" s="123"/>
      <c r="YS1303" s="97">
        <f t="shared" si="853"/>
        <v>0</v>
      </c>
      <c r="YT1303" s="97">
        <f t="shared" si="854"/>
        <v>0</v>
      </c>
      <c r="YU1303" s="97">
        <f t="shared" si="855"/>
        <v>0</v>
      </c>
      <c r="YV1303" s="123"/>
      <c r="YW1303" s="123"/>
      <c r="YX1303" s="123"/>
      <c r="YY1303" s="97">
        <f t="shared" si="856"/>
        <v>4900.92</v>
      </c>
      <c r="YZ1303" s="97">
        <f t="shared" si="857"/>
        <v>5001.07</v>
      </c>
      <c r="ZA1303" s="97">
        <f t="shared" si="858"/>
        <v>5191.9799999999996</v>
      </c>
      <c r="ZB1303" s="123"/>
      <c r="ZC1303" s="123"/>
      <c r="ZD1303" s="123"/>
      <c r="ZE1303" s="97">
        <f t="shared" si="859"/>
        <v>0</v>
      </c>
      <c r="ZF1303" s="97">
        <f t="shared" si="859"/>
        <v>0</v>
      </c>
      <c r="ZG1303" s="97">
        <f t="shared" si="859"/>
        <v>0</v>
      </c>
    </row>
    <row r="1304" spans="1:683" ht="36" hidden="1" x14ac:dyDescent="0.25">
      <c r="A1304" s="98" t="s">
        <v>707</v>
      </c>
      <c r="B1304" s="174" t="s">
        <v>438</v>
      </c>
      <c r="C1304" s="5"/>
      <c r="D1304" s="340"/>
      <c r="E1304" s="163"/>
      <c r="F1304" s="110"/>
      <c r="G1304" s="110"/>
      <c r="H1304" s="110"/>
      <c r="I1304" s="97">
        <f t="shared" si="636"/>
        <v>28838.38</v>
      </c>
      <c r="J1304" s="97">
        <f t="shared" si="860"/>
        <v>28838.38</v>
      </c>
      <c r="K1304" s="97">
        <f t="shared" si="861"/>
        <v>28838.38</v>
      </c>
      <c r="L1304" s="102"/>
      <c r="M1304" s="102"/>
      <c r="N1304" s="102"/>
      <c r="O1304" s="123"/>
      <c r="P1304" s="123"/>
      <c r="Q1304" s="123"/>
      <c r="R1304" s="97">
        <f t="shared" si="862"/>
        <v>0</v>
      </c>
      <c r="S1304" s="97">
        <f t="shared" si="863"/>
        <v>0</v>
      </c>
      <c r="T1304" s="97">
        <f t="shared" si="864"/>
        <v>0</v>
      </c>
      <c r="U1304" s="123"/>
      <c r="V1304" s="123"/>
      <c r="W1304" s="123"/>
      <c r="X1304" s="97">
        <f t="shared" si="638"/>
        <v>0</v>
      </c>
      <c r="Y1304" s="97">
        <f t="shared" si="639"/>
        <v>0</v>
      </c>
      <c r="Z1304" s="97">
        <f t="shared" si="640"/>
        <v>0</v>
      </c>
      <c r="AA1304" s="123"/>
      <c r="AB1304" s="123"/>
      <c r="AC1304" s="123"/>
      <c r="AD1304" s="97">
        <f t="shared" si="641"/>
        <v>0</v>
      </c>
      <c r="AE1304" s="97">
        <f t="shared" si="641"/>
        <v>0</v>
      </c>
      <c r="AF1304" s="97">
        <f t="shared" si="641"/>
        <v>0</v>
      </c>
      <c r="AG1304" s="102"/>
      <c r="AH1304" s="102"/>
      <c r="AI1304" s="102"/>
      <c r="AJ1304" s="123"/>
      <c r="AK1304" s="123"/>
      <c r="AL1304" s="123"/>
      <c r="AM1304" s="97">
        <f t="shared" si="642"/>
        <v>0</v>
      </c>
      <c r="AN1304" s="97">
        <f t="shared" si="643"/>
        <v>0</v>
      </c>
      <c r="AO1304" s="97">
        <f t="shared" si="644"/>
        <v>0</v>
      </c>
      <c r="AP1304" s="123"/>
      <c r="AQ1304" s="123"/>
      <c r="AR1304" s="123"/>
      <c r="AS1304" s="97">
        <f t="shared" si="645"/>
        <v>0</v>
      </c>
      <c r="AT1304" s="97">
        <f t="shared" si="646"/>
        <v>0</v>
      </c>
      <c r="AU1304" s="97">
        <f t="shared" si="647"/>
        <v>0</v>
      </c>
      <c r="AV1304" s="123"/>
      <c r="AW1304" s="123"/>
      <c r="AX1304" s="123"/>
      <c r="AY1304" s="97">
        <f t="shared" si="648"/>
        <v>0</v>
      </c>
      <c r="AZ1304" s="97">
        <f t="shared" si="648"/>
        <v>0</v>
      </c>
      <c r="BA1304" s="97">
        <f t="shared" si="648"/>
        <v>0</v>
      </c>
      <c r="BB1304" s="102"/>
      <c r="BC1304" s="102"/>
      <c r="BD1304" s="102"/>
      <c r="BE1304" s="123"/>
      <c r="BF1304" s="123"/>
      <c r="BG1304" s="123"/>
      <c r="BH1304" s="97">
        <f t="shared" si="649"/>
        <v>0</v>
      </c>
      <c r="BI1304" s="97">
        <f t="shared" si="650"/>
        <v>0</v>
      </c>
      <c r="BJ1304" s="97">
        <f t="shared" si="651"/>
        <v>0</v>
      </c>
      <c r="BK1304" s="123"/>
      <c r="BL1304" s="123"/>
      <c r="BM1304" s="123"/>
      <c r="BN1304" s="97">
        <f t="shared" si="652"/>
        <v>0</v>
      </c>
      <c r="BO1304" s="97">
        <f t="shared" si="653"/>
        <v>0</v>
      </c>
      <c r="BP1304" s="97">
        <f t="shared" si="654"/>
        <v>0</v>
      </c>
      <c r="BQ1304" s="123"/>
      <c r="BR1304" s="123"/>
      <c r="BS1304" s="123"/>
      <c r="BT1304" s="97">
        <f t="shared" si="655"/>
        <v>0</v>
      </c>
      <c r="BU1304" s="97">
        <f t="shared" si="655"/>
        <v>0</v>
      </c>
      <c r="BV1304" s="97">
        <f t="shared" si="655"/>
        <v>0</v>
      </c>
      <c r="BW1304" s="102"/>
      <c r="BX1304" s="102"/>
      <c r="BY1304" s="102"/>
      <c r="BZ1304" s="123"/>
      <c r="CA1304" s="123"/>
      <c r="CB1304" s="123"/>
      <c r="CC1304" s="97">
        <f t="shared" si="656"/>
        <v>0</v>
      </c>
      <c r="CD1304" s="97">
        <f t="shared" si="657"/>
        <v>0</v>
      </c>
      <c r="CE1304" s="97">
        <f t="shared" si="658"/>
        <v>0</v>
      </c>
      <c r="CF1304" s="123"/>
      <c r="CG1304" s="123"/>
      <c r="CH1304" s="123"/>
      <c r="CI1304" s="97">
        <f t="shared" si="659"/>
        <v>0</v>
      </c>
      <c r="CJ1304" s="97">
        <f t="shared" si="660"/>
        <v>0</v>
      </c>
      <c r="CK1304" s="97">
        <f t="shared" si="661"/>
        <v>0</v>
      </c>
      <c r="CL1304" s="123"/>
      <c r="CM1304" s="123"/>
      <c r="CN1304" s="123"/>
      <c r="CO1304" s="97">
        <f t="shared" si="662"/>
        <v>0</v>
      </c>
      <c r="CP1304" s="97">
        <f t="shared" si="662"/>
        <v>0</v>
      </c>
      <c r="CQ1304" s="97">
        <f t="shared" si="662"/>
        <v>0</v>
      </c>
      <c r="CR1304" s="102"/>
      <c r="CS1304" s="102"/>
      <c r="CT1304" s="102"/>
      <c r="CU1304" s="123"/>
      <c r="CV1304" s="123"/>
      <c r="CW1304" s="123"/>
      <c r="CX1304" s="97">
        <f t="shared" si="663"/>
        <v>0</v>
      </c>
      <c r="CY1304" s="97">
        <f t="shared" si="664"/>
        <v>0</v>
      </c>
      <c r="CZ1304" s="97">
        <f t="shared" si="665"/>
        <v>0</v>
      </c>
      <c r="DA1304" s="123"/>
      <c r="DB1304" s="123"/>
      <c r="DC1304" s="123"/>
      <c r="DD1304" s="97">
        <f t="shared" si="666"/>
        <v>0</v>
      </c>
      <c r="DE1304" s="97">
        <f t="shared" si="667"/>
        <v>0</v>
      </c>
      <c r="DF1304" s="97">
        <f t="shared" si="668"/>
        <v>0</v>
      </c>
      <c r="DG1304" s="123"/>
      <c r="DH1304" s="123"/>
      <c r="DI1304" s="123"/>
      <c r="DJ1304" s="97">
        <f t="shared" si="669"/>
        <v>0</v>
      </c>
      <c r="DK1304" s="97">
        <f t="shared" si="669"/>
        <v>0</v>
      </c>
      <c r="DL1304" s="97">
        <f t="shared" si="669"/>
        <v>0</v>
      </c>
      <c r="DM1304" s="102"/>
      <c r="DN1304" s="102"/>
      <c r="DO1304" s="102"/>
      <c r="DP1304" s="123"/>
      <c r="DQ1304" s="123"/>
      <c r="DR1304" s="123"/>
      <c r="DS1304" s="97">
        <f t="shared" si="670"/>
        <v>0</v>
      </c>
      <c r="DT1304" s="97">
        <f t="shared" si="671"/>
        <v>0</v>
      </c>
      <c r="DU1304" s="97">
        <f t="shared" si="672"/>
        <v>0</v>
      </c>
      <c r="DV1304" s="123"/>
      <c r="DW1304" s="123"/>
      <c r="DX1304" s="123"/>
      <c r="DY1304" s="97">
        <f t="shared" si="673"/>
        <v>0</v>
      </c>
      <c r="DZ1304" s="97">
        <f t="shared" si="674"/>
        <v>0</v>
      </c>
      <c r="EA1304" s="97">
        <f t="shared" si="675"/>
        <v>0</v>
      </c>
      <c r="EB1304" s="123"/>
      <c r="EC1304" s="123"/>
      <c r="ED1304" s="123"/>
      <c r="EE1304" s="97">
        <f t="shared" si="676"/>
        <v>0</v>
      </c>
      <c r="EF1304" s="97">
        <f t="shared" si="676"/>
        <v>0</v>
      </c>
      <c r="EG1304" s="97">
        <f t="shared" si="676"/>
        <v>0</v>
      </c>
      <c r="EH1304" s="102"/>
      <c r="EI1304" s="102"/>
      <c r="EJ1304" s="102"/>
      <c r="EK1304" s="123"/>
      <c r="EL1304" s="123"/>
      <c r="EM1304" s="123"/>
      <c r="EN1304" s="97">
        <f t="shared" si="677"/>
        <v>0</v>
      </c>
      <c r="EO1304" s="97">
        <f t="shared" si="678"/>
        <v>0</v>
      </c>
      <c r="EP1304" s="97">
        <f t="shared" si="679"/>
        <v>0</v>
      </c>
      <c r="EQ1304" s="123"/>
      <c r="ER1304" s="123"/>
      <c r="ES1304" s="123"/>
      <c r="ET1304" s="97">
        <f t="shared" si="680"/>
        <v>0</v>
      </c>
      <c r="EU1304" s="97">
        <f t="shared" si="681"/>
        <v>0</v>
      </c>
      <c r="EV1304" s="97">
        <f t="shared" si="682"/>
        <v>0</v>
      </c>
      <c r="EW1304" s="123"/>
      <c r="EX1304" s="123"/>
      <c r="EY1304" s="123"/>
      <c r="EZ1304" s="97">
        <f t="shared" si="683"/>
        <v>0</v>
      </c>
      <c r="FA1304" s="97">
        <f t="shared" si="683"/>
        <v>0</v>
      </c>
      <c r="FB1304" s="97">
        <f t="shared" si="683"/>
        <v>0</v>
      </c>
      <c r="FC1304" s="102"/>
      <c r="FD1304" s="102"/>
      <c r="FE1304" s="102"/>
      <c r="FF1304" s="123"/>
      <c r="FG1304" s="123"/>
      <c r="FH1304" s="123"/>
      <c r="FI1304" s="97">
        <f t="shared" si="684"/>
        <v>0</v>
      </c>
      <c r="FJ1304" s="97">
        <f t="shared" si="685"/>
        <v>0</v>
      </c>
      <c r="FK1304" s="97">
        <f t="shared" si="686"/>
        <v>0</v>
      </c>
      <c r="FL1304" s="123"/>
      <c r="FM1304" s="123"/>
      <c r="FN1304" s="123"/>
      <c r="FO1304" s="97">
        <f t="shared" si="687"/>
        <v>0</v>
      </c>
      <c r="FP1304" s="97">
        <f t="shared" si="688"/>
        <v>0</v>
      </c>
      <c r="FQ1304" s="97">
        <f t="shared" si="689"/>
        <v>0</v>
      </c>
      <c r="FR1304" s="123"/>
      <c r="FS1304" s="123"/>
      <c r="FT1304" s="123"/>
      <c r="FU1304" s="97">
        <f t="shared" si="690"/>
        <v>0</v>
      </c>
      <c r="FV1304" s="97">
        <f t="shared" si="690"/>
        <v>0</v>
      </c>
      <c r="FW1304" s="97">
        <f t="shared" si="690"/>
        <v>0</v>
      </c>
      <c r="FX1304" s="102"/>
      <c r="FY1304" s="102"/>
      <c r="FZ1304" s="102"/>
      <c r="GA1304" s="123"/>
      <c r="GB1304" s="123"/>
      <c r="GC1304" s="123"/>
      <c r="GD1304" s="97">
        <f t="shared" si="691"/>
        <v>0</v>
      </c>
      <c r="GE1304" s="97">
        <f t="shared" si="692"/>
        <v>0</v>
      </c>
      <c r="GF1304" s="97">
        <f t="shared" si="693"/>
        <v>0</v>
      </c>
      <c r="GG1304" s="123"/>
      <c r="GH1304" s="123"/>
      <c r="GI1304" s="123"/>
      <c r="GJ1304" s="97">
        <f t="shared" si="694"/>
        <v>0</v>
      </c>
      <c r="GK1304" s="97">
        <f t="shared" si="695"/>
        <v>0</v>
      </c>
      <c r="GL1304" s="97">
        <f t="shared" si="696"/>
        <v>0</v>
      </c>
      <c r="GM1304" s="123"/>
      <c r="GN1304" s="123"/>
      <c r="GO1304" s="123"/>
      <c r="GP1304" s="97">
        <f t="shared" si="697"/>
        <v>0</v>
      </c>
      <c r="GQ1304" s="97">
        <f t="shared" si="697"/>
        <v>0</v>
      </c>
      <c r="GR1304" s="97">
        <f t="shared" si="697"/>
        <v>0</v>
      </c>
      <c r="GS1304" s="102"/>
      <c r="GT1304" s="102"/>
      <c r="GU1304" s="102"/>
      <c r="GV1304" s="123"/>
      <c r="GW1304" s="123"/>
      <c r="GX1304" s="123"/>
      <c r="GY1304" s="97">
        <f t="shared" si="698"/>
        <v>0</v>
      </c>
      <c r="GZ1304" s="97">
        <f t="shared" si="699"/>
        <v>0</v>
      </c>
      <c r="HA1304" s="97">
        <f t="shared" si="700"/>
        <v>0</v>
      </c>
      <c r="HB1304" s="123"/>
      <c r="HC1304" s="123"/>
      <c r="HD1304" s="123"/>
      <c r="HE1304" s="97">
        <f t="shared" si="701"/>
        <v>0</v>
      </c>
      <c r="HF1304" s="97">
        <f t="shared" si="702"/>
        <v>0</v>
      </c>
      <c r="HG1304" s="97">
        <f t="shared" si="703"/>
        <v>0</v>
      </c>
      <c r="HH1304" s="123"/>
      <c r="HI1304" s="123"/>
      <c r="HJ1304" s="123"/>
      <c r="HK1304" s="97">
        <f t="shared" si="704"/>
        <v>0</v>
      </c>
      <c r="HL1304" s="97">
        <f t="shared" si="704"/>
        <v>0</v>
      </c>
      <c r="HM1304" s="97">
        <f t="shared" si="704"/>
        <v>0</v>
      </c>
      <c r="HN1304" s="102"/>
      <c r="HO1304" s="102"/>
      <c r="HP1304" s="102"/>
      <c r="HQ1304" s="123"/>
      <c r="HR1304" s="123"/>
      <c r="HS1304" s="123"/>
      <c r="HT1304" s="97">
        <f t="shared" si="705"/>
        <v>0</v>
      </c>
      <c r="HU1304" s="97">
        <f t="shared" si="706"/>
        <v>0</v>
      </c>
      <c r="HV1304" s="97">
        <f t="shared" si="707"/>
        <v>0</v>
      </c>
      <c r="HW1304" s="123"/>
      <c r="HX1304" s="123"/>
      <c r="HY1304" s="123"/>
      <c r="HZ1304" s="97">
        <f t="shared" si="708"/>
        <v>0</v>
      </c>
      <c r="IA1304" s="97">
        <f t="shared" si="709"/>
        <v>0</v>
      </c>
      <c r="IB1304" s="97">
        <f t="shared" si="710"/>
        <v>0</v>
      </c>
      <c r="IC1304" s="123"/>
      <c r="ID1304" s="123"/>
      <c r="IE1304" s="123"/>
      <c r="IF1304" s="97">
        <f t="shared" si="711"/>
        <v>0</v>
      </c>
      <c r="IG1304" s="97">
        <f t="shared" si="711"/>
        <v>0</v>
      </c>
      <c r="IH1304" s="97">
        <f t="shared" si="711"/>
        <v>0</v>
      </c>
      <c r="II1304" s="102"/>
      <c r="IJ1304" s="102"/>
      <c r="IK1304" s="102"/>
      <c r="IL1304" s="123"/>
      <c r="IM1304" s="123"/>
      <c r="IN1304" s="123"/>
      <c r="IO1304" s="97">
        <f t="shared" si="712"/>
        <v>0</v>
      </c>
      <c r="IP1304" s="97">
        <f t="shared" si="713"/>
        <v>0</v>
      </c>
      <c r="IQ1304" s="97">
        <f t="shared" si="714"/>
        <v>0</v>
      </c>
      <c r="IR1304" s="123"/>
      <c r="IS1304" s="123"/>
      <c r="IT1304" s="123"/>
      <c r="IU1304" s="97">
        <f t="shared" si="715"/>
        <v>0</v>
      </c>
      <c r="IV1304" s="97">
        <f t="shared" si="716"/>
        <v>0</v>
      </c>
      <c r="IW1304" s="97">
        <f t="shared" si="717"/>
        <v>0</v>
      </c>
      <c r="IX1304" s="123"/>
      <c r="IY1304" s="123"/>
      <c r="IZ1304" s="123"/>
      <c r="JA1304" s="97">
        <f t="shared" si="718"/>
        <v>0</v>
      </c>
      <c r="JB1304" s="97">
        <f t="shared" si="718"/>
        <v>0</v>
      </c>
      <c r="JC1304" s="97">
        <f t="shared" si="718"/>
        <v>0</v>
      </c>
      <c r="JD1304" s="102"/>
      <c r="JE1304" s="102"/>
      <c r="JF1304" s="102"/>
      <c r="JG1304" s="123"/>
      <c r="JH1304" s="123"/>
      <c r="JI1304" s="123"/>
      <c r="JJ1304" s="97">
        <f t="shared" si="719"/>
        <v>0</v>
      </c>
      <c r="JK1304" s="97">
        <f t="shared" si="720"/>
        <v>0</v>
      </c>
      <c r="JL1304" s="97">
        <f t="shared" si="721"/>
        <v>0</v>
      </c>
      <c r="JM1304" s="123"/>
      <c r="JN1304" s="123"/>
      <c r="JO1304" s="123"/>
      <c r="JP1304" s="97">
        <f t="shared" si="722"/>
        <v>0</v>
      </c>
      <c r="JQ1304" s="97">
        <f t="shared" si="723"/>
        <v>0</v>
      </c>
      <c r="JR1304" s="97">
        <f t="shared" si="724"/>
        <v>0</v>
      </c>
      <c r="JS1304" s="123"/>
      <c r="JT1304" s="123"/>
      <c r="JU1304" s="123"/>
      <c r="JV1304" s="97">
        <f t="shared" si="725"/>
        <v>0</v>
      </c>
      <c r="JW1304" s="97">
        <f t="shared" si="725"/>
        <v>0</v>
      </c>
      <c r="JX1304" s="97">
        <f t="shared" si="725"/>
        <v>0</v>
      </c>
      <c r="JY1304" s="102"/>
      <c r="JZ1304" s="102"/>
      <c r="KA1304" s="102"/>
      <c r="KB1304" s="123"/>
      <c r="KC1304" s="123"/>
      <c r="KD1304" s="123"/>
      <c r="KE1304" s="97">
        <f t="shared" si="726"/>
        <v>0</v>
      </c>
      <c r="KF1304" s="97">
        <f t="shared" si="727"/>
        <v>0</v>
      </c>
      <c r="KG1304" s="97">
        <f t="shared" si="728"/>
        <v>0</v>
      </c>
      <c r="KH1304" s="123"/>
      <c r="KI1304" s="123"/>
      <c r="KJ1304" s="123"/>
      <c r="KK1304" s="97">
        <f t="shared" si="729"/>
        <v>0</v>
      </c>
      <c r="KL1304" s="97">
        <f t="shared" si="730"/>
        <v>0</v>
      </c>
      <c r="KM1304" s="97">
        <f t="shared" si="731"/>
        <v>0</v>
      </c>
      <c r="KN1304" s="123"/>
      <c r="KO1304" s="123"/>
      <c r="KP1304" s="123"/>
      <c r="KQ1304" s="97">
        <f t="shared" si="732"/>
        <v>0</v>
      </c>
      <c r="KR1304" s="97">
        <f t="shared" si="732"/>
        <v>0</v>
      </c>
      <c r="KS1304" s="97">
        <f t="shared" si="732"/>
        <v>0</v>
      </c>
      <c r="KT1304" s="102"/>
      <c r="KU1304" s="102"/>
      <c r="KV1304" s="102"/>
      <c r="KW1304" s="123"/>
      <c r="KX1304" s="123"/>
      <c r="KY1304" s="123"/>
      <c r="KZ1304" s="97">
        <f t="shared" si="733"/>
        <v>0</v>
      </c>
      <c r="LA1304" s="97">
        <f t="shared" si="734"/>
        <v>0</v>
      </c>
      <c r="LB1304" s="97">
        <f t="shared" si="735"/>
        <v>0</v>
      </c>
      <c r="LC1304" s="123"/>
      <c r="LD1304" s="123"/>
      <c r="LE1304" s="123"/>
      <c r="LF1304" s="97">
        <f t="shared" si="736"/>
        <v>0</v>
      </c>
      <c r="LG1304" s="97">
        <f t="shared" si="737"/>
        <v>0</v>
      </c>
      <c r="LH1304" s="97">
        <f t="shared" si="738"/>
        <v>0</v>
      </c>
      <c r="LI1304" s="123"/>
      <c r="LJ1304" s="123"/>
      <c r="LK1304" s="123"/>
      <c r="LL1304" s="97">
        <f t="shared" si="739"/>
        <v>0</v>
      </c>
      <c r="LM1304" s="97">
        <f t="shared" si="739"/>
        <v>0</v>
      </c>
      <c r="LN1304" s="97">
        <f t="shared" si="739"/>
        <v>0</v>
      </c>
      <c r="LO1304" s="102"/>
      <c r="LP1304" s="102"/>
      <c r="LQ1304" s="102"/>
      <c r="LR1304" s="123"/>
      <c r="LS1304" s="123"/>
      <c r="LT1304" s="123"/>
      <c r="LU1304" s="97">
        <f t="shared" si="740"/>
        <v>0</v>
      </c>
      <c r="LV1304" s="97">
        <f t="shared" si="741"/>
        <v>0</v>
      </c>
      <c r="LW1304" s="97">
        <f t="shared" si="742"/>
        <v>0</v>
      </c>
      <c r="LX1304" s="123"/>
      <c r="LY1304" s="123"/>
      <c r="LZ1304" s="123"/>
      <c r="MA1304" s="97">
        <f t="shared" si="743"/>
        <v>0</v>
      </c>
      <c r="MB1304" s="97">
        <f t="shared" si="744"/>
        <v>0</v>
      </c>
      <c r="MC1304" s="97">
        <f t="shared" si="745"/>
        <v>0</v>
      </c>
      <c r="MD1304" s="123"/>
      <c r="ME1304" s="123"/>
      <c r="MF1304" s="123"/>
      <c r="MG1304" s="97">
        <f t="shared" si="746"/>
        <v>0</v>
      </c>
      <c r="MH1304" s="97">
        <f t="shared" si="746"/>
        <v>0</v>
      </c>
      <c r="MI1304" s="97">
        <f t="shared" si="746"/>
        <v>0</v>
      </c>
      <c r="MJ1304" s="102"/>
      <c r="MK1304" s="102"/>
      <c r="ML1304" s="102"/>
      <c r="MM1304" s="123"/>
      <c r="MN1304" s="123"/>
      <c r="MO1304" s="123"/>
      <c r="MP1304" s="97">
        <f t="shared" si="747"/>
        <v>0</v>
      </c>
      <c r="MQ1304" s="97">
        <f t="shared" si="748"/>
        <v>0</v>
      </c>
      <c r="MR1304" s="97">
        <f t="shared" si="749"/>
        <v>0</v>
      </c>
      <c r="MS1304" s="123"/>
      <c r="MT1304" s="123"/>
      <c r="MU1304" s="123"/>
      <c r="MV1304" s="97">
        <f t="shared" si="750"/>
        <v>0</v>
      </c>
      <c r="MW1304" s="97">
        <f t="shared" si="751"/>
        <v>0</v>
      </c>
      <c r="MX1304" s="97">
        <f t="shared" si="752"/>
        <v>0</v>
      </c>
      <c r="MY1304" s="123"/>
      <c r="MZ1304" s="123"/>
      <c r="NA1304" s="123"/>
      <c r="NB1304" s="97">
        <f t="shared" si="753"/>
        <v>0</v>
      </c>
      <c r="NC1304" s="97">
        <f t="shared" si="753"/>
        <v>0</v>
      </c>
      <c r="ND1304" s="97">
        <f t="shared" si="753"/>
        <v>0</v>
      </c>
      <c r="NE1304" s="102"/>
      <c r="NF1304" s="102"/>
      <c r="NG1304" s="102"/>
      <c r="NH1304" s="123"/>
      <c r="NI1304" s="123"/>
      <c r="NJ1304" s="123"/>
      <c r="NK1304" s="97">
        <f t="shared" si="754"/>
        <v>0</v>
      </c>
      <c r="NL1304" s="97">
        <f t="shared" si="755"/>
        <v>0</v>
      </c>
      <c r="NM1304" s="97">
        <f t="shared" si="756"/>
        <v>0</v>
      </c>
      <c r="NN1304" s="123"/>
      <c r="NO1304" s="123"/>
      <c r="NP1304" s="123"/>
      <c r="NQ1304" s="97">
        <f t="shared" si="757"/>
        <v>0</v>
      </c>
      <c r="NR1304" s="97">
        <f t="shared" si="758"/>
        <v>0</v>
      </c>
      <c r="NS1304" s="97">
        <f t="shared" si="759"/>
        <v>0</v>
      </c>
      <c r="NT1304" s="123"/>
      <c r="NU1304" s="123"/>
      <c r="NV1304" s="123"/>
      <c r="NW1304" s="97">
        <f t="shared" si="760"/>
        <v>0</v>
      </c>
      <c r="NX1304" s="97">
        <f t="shared" si="760"/>
        <v>0</v>
      </c>
      <c r="NY1304" s="97">
        <f t="shared" si="760"/>
        <v>0</v>
      </c>
      <c r="NZ1304" s="102"/>
      <c r="OA1304" s="102"/>
      <c r="OB1304" s="102"/>
      <c r="OC1304" s="123"/>
      <c r="OD1304" s="123"/>
      <c r="OE1304" s="123"/>
      <c r="OF1304" s="97">
        <f t="shared" si="761"/>
        <v>0</v>
      </c>
      <c r="OG1304" s="97">
        <f t="shared" si="762"/>
        <v>0</v>
      </c>
      <c r="OH1304" s="97">
        <f t="shared" si="763"/>
        <v>0</v>
      </c>
      <c r="OI1304" s="123"/>
      <c r="OJ1304" s="123"/>
      <c r="OK1304" s="123"/>
      <c r="OL1304" s="97">
        <f t="shared" si="764"/>
        <v>0</v>
      </c>
      <c r="OM1304" s="97">
        <f t="shared" si="765"/>
        <v>0</v>
      </c>
      <c r="ON1304" s="97">
        <f t="shared" si="766"/>
        <v>0</v>
      </c>
      <c r="OO1304" s="123"/>
      <c r="OP1304" s="123"/>
      <c r="OQ1304" s="123"/>
      <c r="OR1304" s="97">
        <f t="shared" si="767"/>
        <v>0</v>
      </c>
      <c r="OS1304" s="97">
        <f t="shared" si="767"/>
        <v>0</v>
      </c>
      <c r="OT1304" s="97">
        <f t="shared" si="767"/>
        <v>0</v>
      </c>
      <c r="OU1304" s="102"/>
      <c r="OV1304" s="102"/>
      <c r="OW1304" s="102"/>
      <c r="OX1304" s="123"/>
      <c r="OY1304" s="123"/>
      <c r="OZ1304" s="123"/>
      <c r="PA1304" s="97">
        <f t="shared" si="768"/>
        <v>0</v>
      </c>
      <c r="PB1304" s="97">
        <f t="shared" si="769"/>
        <v>0</v>
      </c>
      <c r="PC1304" s="97">
        <f t="shared" si="770"/>
        <v>0</v>
      </c>
      <c r="PD1304" s="123"/>
      <c r="PE1304" s="123"/>
      <c r="PF1304" s="123"/>
      <c r="PG1304" s="97">
        <f t="shared" si="771"/>
        <v>0</v>
      </c>
      <c r="PH1304" s="97">
        <f t="shared" si="772"/>
        <v>0</v>
      </c>
      <c r="PI1304" s="97">
        <f t="shared" si="773"/>
        <v>0</v>
      </c>
      <c r="PJ1304" s="123"/>
      <c r="PK1304" s="123"/>
      <c r="PL1304" s="123"/>
      <c r="PM1304" s="97">
        <f t="shared" si="774"/>
        <v>0</v>
      </c>
      <c r="PN1304" s="97">
        <f t="shared" si="774"/>
        <v>0</v>
      </c>
      <c r="PO1304" s="97">
        <f t="shared" si="774"/>
        <v>0</v>
      </c>
      <c r="PP1304" s="102"/>
      <c r="PQ1304" s="102"/>
      <c r="PR1304" s="102"/>
      <c r="PS1304" s="123"/>
      <c r="PT1304" s="123"/>
      <c r="PU1304" s="123"/>
      <c r="PV1304" s="97">
        <f t="shared" si="775"/>
        <v>0</v>
      </c>
      <c r="PW1304" s="97">
        <f t="shared" si="776"/>
        <v>0</v>
      </c>
      <c r="PX1304" s="97">
        <f t="shared" si="777"/>
        <v>0</v>
      </c>
      <c r="PY1304" s="123"/>
      <c r="PZ1304" s="123"/>
      <c r="QA1304" s="123"/>
      <c r="QB1304" s="97">
        <f t="shared" si="778"/>
        <v>0</v>
      </c>
      <c r="QC1304" s="97">
        <f t="shared" si="779"/>
        <v>0</v>
      </c>
      <c r="QD1304" s="97">
        <f t="shared" si="780"/>
        <v>0</v>
      </c>
      <c r="QE1304" s="123"/>
      <c r="QF1304" s="123"/>
      <c r="QG1304" s="123"/>
      <c r="QH1304" s="97">
        <f t="shared" si="781"/>
        <v>0</v>
      </c>
      <c r="QI1304" s="97">
        <f t="shared" si="781"/>
        <v>0</v>
      </c>
      <c r="QJ1304" s="97">
        <f t="shared" si="781"/>
        <v>0</v>
      </c>
      <c r="QK1304" s="102"/>
      <c r="QL1304" s="102"/>
      <c r="QM1304" s="102"/>
      <c r="QN1304" s="123"/>
      <c r="QO1304" s="123"/>
      <c r="QP1304" s="123"/>
      <c r="QQ1304" s="97">
        <f t="shared" si="782"/>
        <v>0</v>
      </c>
      <c r="QR1304" s="97">
        <f t="shared" si="783"/>
        <v>0</v>
      </c>
      <c r="QS1304" s="97">
        <f t="shared" si="784"/>
        <v>0</v>
      </c>
      <c r="QT1304" s="123"/>
      <c r="QU1304" s="123"/>
      <c r="QV1304" s="123"/>
      <c r="QW1304" s="97">
        <f t="shared" si="785"/>
        <v>0</v>
      </c>
      <c r="QX1304" s="97">
        <f t="shared" si="786"/>
        <v>0</v>
      </c>
      <c r="QY1304" s="97">
        <f t="shared" si="787"/>
        <v>0</v>
      </c>
      <c r="QZ1304" s="123"/>
      <c r="RA1304" s="123"/>
      <c r="RB1304" s="123"/>
      <c r="RC1304" s="97">
        <f t="shared" si="788"/>
        <v>0</v>
      </c>
      <c r="RD1304" s="97">
        <f t="shared" si="788"/>
        <v>0</v>
      </c>
      <c r="RE1304" s="97">
        <f t="shared" si="788"/>
        <v>0</v>
      </c>
      <c r="RF1304" s="102"/>
      <c r="RG1304" s="102"/>
      <c r="RH1304" s="102"/>
      <c r="RI1304" s="123"/>
      <c r="RJ1304" s="123"/>
      <c r="RK1304" s="123"/>
      <c r="RL1304" s="97">
        <f t="shared" si="789"/>
        <v>0</v>
      </c>
      <c r="RM1304" s="97">
        <f t="shared" si="790"/>
        <v>0</v>
      </c>
      <c r="RN1304" s="97">
        <f t="shared" si="791"/>
        <v>0</v>
      </c>
      <c r="RO1304" s="123"/>
      <c r="RP1304" s="123"/>
      <c r="RQ1304" s="123"/>
      <c r="RR1304" s="97">
        <f t="shared" si="792"/>
        <v>0</v>
      </c>
      <c r="RS1304" s="97">
        <f t="shared" si="793"/>
        <v>0</v>
      </c>
      <c r="RT1304" s="97">
        <f t="shared" si="794"/>
        <v>0</v>
      </c>
      <c r="RU1304" s="123"/>
      <c r="RV1304" s="123"/>
      <c r="RW1304" s="123"/>
      <c r="RX1304" s="97">
        <f t="shared" si="795"/>
        <v>0</v>
      </c>
      <c r="RY1304" s="97">
        <f t="shared" si="795"/>
        <v>0</v>
      </c>
      <c r="RZ1304" s="97">
        <f t="shared" si="795"/>
        <v>0</v>
      </c>
      <c r="SA1304" s="102"/>
      <c r="SB1304" s="102"/>
      <c r="SC1304" s="102"/>
      <c r="SD1304" s="123"/>
      <c r="SE1304" s="123"/>
      <c r="SF1304" s="123"/>
      <c r="SG1304" s="97">
        <f t="shared" si="796"/>
        <v>0</v>
      </c>
      <c r="SH1304" s="97">
        <f t="shared" si="797"/>
        <v>0</v>
      </c>
      <c r="SI1304" s="97">
        <f t="shared" si="798"/>
        <v>0</v>
      </c>
      <c r="SJ1304" s="123"/>
      <c r="SK1304" s="123"/>
      <c r="SL1304" s="123"/>
      <c r="SM1304" s="97">
        <f t="shared" si="799"/>
        <v>0</v>
      </c>
      <c r="SN1304" s="97">
        <f t="shared" si="800"/>
        <v>0</v>
      </c>
      <c r="SO1304" s="97">
        <f t="shared" si="801"/>
        <v>0</v>
      </c>
      <c r="SP1304" s="123"/>
      <c r="SQ1304" s="123"/>
      <c r="SR1304" s="123"/>
      <c r="SS1304" s="97">
        <f t="shared" si="802"/>
        <v>0</v>
      </c>
      <c r="ST1304" s="97">
        <f t="shared" si="802"/>
        <v>0</v>
      </c>
      <c r="SU1304" s="97">
        <f t="shared" si="802"/>
        <v>0</v>
      </c>
      <c r="SV1304" s="102"/>
      <c r="SW1304" s="102"/>
      <c r="SX1304" s="102"/>
      <c r="SY1304" s="123"/>
      <c r="SZ1304" s="123"/>
      <c r="TA1304" s="123"/>
      <c r="TB1304" s="97">
        <f t="shared" si="803"/>
        <v>0</v>
      </c>
      <c r="TC1304" s="97">
        <f t="shared" si="804"/>
        <v>0</v>
      </c>
      <c r="TD1304" s="97">
        <f t="shared" si="805"/>
        <v>0</v>
      </c>
      <c r="TE1304" s="123"/>
      <c r="TF1304" s="123"/>
      <c r="TG1304" s="123"/>
      <c r="TH1304" s="97">
        <f t="shared" si="806"/>
        <v>0</v>
      </c>
      <c r="TI1304" s="97">
        <f t="shared" si="807"/>
        <v>0</v>
      </c>
      <c r="TJ1304" s="97">
        <f t="shared" si="808"/>
        <v>0</v>
      </c>
      <c r="TK1304" s="123"/>
      <c r="TL1304" s="123"/>
      <c r="TM1304" s="123"/>
      <c r="TN1304" s="97">
        <f t="shared" si="809"/>
        <v>0</v>
      </c>
      <c r="TO1304" s="97">
        <f t="shared" si="809"/>
        <v>0</v>
      </c>
      <c r="TP1304" s="97">
        <f t="shared" si="809"/>
        <v>0</v>
      </c>
      <c r="TQ1304" s="102"/>
      <c r="TR1304" s="102"/>
      <c r="TS1304" s="102"/>
      <c r="TT1304" s="123"/>
      <c r="TU1304" s="123"/>
      <c r="TV1304" s="123"/>
      <c r="TW1304" s="97">
        <f t="shared" si="810"/>
        <v>0</v>
      </c>
      <c r="TX1304" s="97">
        <f t="shared" si="811"/>
        <v>0</v>
      </c>
      <c r="TY1304" s="97">
        <f t="shared" si="812"/>
        <v>0</v>
      </c>
      <c r="TZ1304" s="123"/>
      <c r="UA1304" s="123"/>
      <c r="UB1304" s="123"/>
      <c r="UC1304" s="97">
        <f t="shared" si="813"/>
        <v>0</v>
      </c>
      <c r="UD1304" s="97">
        <f t="shared" si="814"/>
        <v>0</v>
      </c>
      <c r="UE1304" s="97">
        <f t="shared" si="815"/>
        <v>0</v>
      </c>
      <c r="UF1304" s="123"/>
      <c r="UG1304" s="123"/>
      <c r="UH1304" s="123"/>
      <c r="UI1304" s="97">
        <f t="shared" si="816"/>
        <v>0</v>
      </c>
      <c r="UJ1304" s="97">
        <f t="shared" si="816"/>
        <v>0</v>
      </c>
      <c r="UK1304" s="97">
        <f t="shared" si="816"/>
        <v>0</v>
      </c>
      <c r="UL1304" s="102"/>
      <c r="UM1304" s="102"/>
      <c r="UN1304" s="102"/>
      <c r="UO1304" s="123"/>
      <c r="UP1304" s="123"/>
      <c r="UQ1304" s="123"/>
      <c r="UR1304" s="97">
        <f t="shared" si="817"/>
        <v>0</v>
      </c>
      <c r="US1304" s="97">
        <f t="shared" si="818"/>
        <v>0</v>
      </c>
      <c r="UT1304" s="97">
        <f t="shared" si="819"/>
        <v>0</v>
      </c>
      <c r="UU1304" s="123"/>
      <c r="UV1304" s="123"/>
      <c r="UW1304" s="123"/>
      <c r="UX1304" s="97">
        <f t="shared" si="820"/>
        <v>4900.92</v>
      </c>
      <c r="UY1304" s="97">
        <f t="shared" si="821"/>
        <v>5001.07</v>
      </c>
      <c r="UZ1304" s="97">
        <f t="shared" si="822"/>
        <v>5191.9799999999996</v>
      </c>
      <c r="VA1304" s="123"/>
      <c r="VB1304" s="123"/>
      <c r="VC1304" s="123"/>
      <c r="VD1304" s="97">
        <f t="shared" si="823"/>
        <v>0</v>
      </c>
      <c r="VE1304" s="97">
        <f t="shared" si="823"/>
        <v>0</v>
      </c>
      <c r="VF1304" s="97">
        <f t="shared" si="823"/>
        <v>0</v>
      </c>
      <c r="VG1304" s="102"/>
      <c r="VH1304" s="102"/>
      <c r="VI1304" s="102"/>
      <c r="VJ1304" s="123"/>
      <c r="VK1304" s="123"/>
      <c r="VL1304" s="123"/>
      <c r="VM1304" s="97">
        <f t="shared" si="824"/>
        <v>0</v>
      </c>
      <c r="VN1304" s="97">
        <f t="shared" si="825"/>
        <v>0</v>
      </c>
      <c r="VO1304" s="97">
        <f t="shared" si="826"/>
        <v>0</v>
      </c>
      <c r="VP1304" s="123"/>
      <c r="VQ1304" s="123"/>
      <c r="VR1304" s="123"/>
      <c r="VS1304" s="97">
        <f t="shared" si="827"/>
        <v>0</v>
      </c>
      <c r="VT1304" s="97">
        <f t="shared" si="828"/>
        <v>0</v>
      </c>
      <c r="VU1304" s="97">
        <f t="shared" si="829"/>
        <v>0</v>
      </c>
      <c r="VV1304" s="123"/>
      <c r="VW1304" s="123"/>
      <c r="VX1304" s="123"/>
      <c r="VY1304" s="97">
        <f t="shared" si="830"/>
        <v>0</v>
      </c>
      <c r="VZ1304" s="97">
        <f t="shared" si="830"/>
        <v>0</v>
      </c>
      <c r="WA1304" s="97">
        <f t="shared" si="830"/>
        <v>0</v>
      </c>
      <c r="WB1304" s="102"/>
      <c r="WC1304" s="102"/>
      <c r="WD1304" s="102"/>
      <c r="WE1304" s="123"/>
      <c r="WF1304" s="123"/>
      <c r="WG1304" s="123"/>
      <c r="WH1304" s="97">
        <f t="shared" si="831"/>
        <v>0</v>
      </c>
      <c r="WI1304" s="97">
        <f t="shared" si="832"/>
        <v>0</v>
      </c>
      <c r="WJ1304" s="97">
        <f t="shared" si="833"/>
        <v>0</v>
      </c>
      <c r="WK1304" s="123"/>
      <c r="WL1304" s="123"/>
      <c r="WM1304" s="123"/>
      <c r="WN1304" s="97">
        <f t="shared" si="834"/>
        <v>0</v>
      </c>
      <c r="WO1304" s="97">
        <f t="shared" si="835"/>
        <v>0</v>
      </c>
      <c r="WP1304" s="97">
        <f t="shared" si="836"/>
        <v>0</v>
      </c>
      <c r="WQ1304" s="123"/>
      <c r="WR1304" s="123"/>
      <c r="WS1304" s="123"/>
      <c r="WT1304" s="97">
        <f t="shared" si="837"/>
        <v>0</v>
      </c>
      <c r="WU1304" s="97">
        <f t="shared" si="837"/>
        <v>0</v>
      </c>
      <c r="WV1304" s="97">
        <f t="shared" si="837"/>
        <v>0</v>
      </c>
      <c r="WW1304" s="102"/>
      <c r="WX1304" s="102"/>
      <c r="WY1304" s="102"/>
      <c r="WZ1304" s="123"/>
      <c r="XA1304" s="123"/>
      <c r="XB1304" s="123"/>
      <c r="XC1304" s="97">
        <f t="shared" si="838"/>
        <v>0</v>
      </c>
      <c r="XD1304" s="97">
        <f t="shared" si="839"/>
        <v>0</v>
      </c>
      <c r="XE1304" s="97">
        <f t="shared" si="840"/>
        <v>0</v>
      </c>
      <c r="XF1304" s="123"/>
      <c r="XG1304" s="123"/>
      <c r="XH1304" s="123"/>
      <c r="XI1304" s="97">
        <f t="shared" si="841"/>
        <v>0</v>
      </c>
      <c r="XJ1304" s="97">
        <f t="shared" si="842"/>
        <v>0</v>
      </c>
      <c r="XK1304" s="97">
        <f t="shared" si="843"/>
        <v>0</v>
      </c>
      <c r="XL1304" s="123"/>
      <c r="XM1304" s="123"/>
      <c r="XN1304" s="123"/>
      <c r="XO1304" s="97">
        <f t="shared" si="844"/>
        <v>0</v>
      </c>
      <c r="XP1304" s="97">
        <f t="shared" si="844"/>
        <v>0</v>
      </c>
      <c r="XQ1304" s="97">
        <f t="shared" si="844"/>
        <v>0</v>
      </c>
      <c r="XR1304" s="102"/>
      <c r="XS1304" s="102"/>
      <c r="XT1304" s="102"/>
      <c r="XU1304" s="123"/>
      <c r="XV1304" s="123"/>
      <c r="XW1304" s="123"/>
      <c r="XX1304" s="97">
        <f t="shared" si="845"/>
        <v>0</v>
      </c>
      <c r="XY1304" s="97">
        <f t="shared" si="846"/>
        <v>0</v>
      </c>
      <c r="XZ1304" s="97">
        <f t="shared" si="847"/>
        <v>0</v>
      </c>
      <c r="YA1304" s="123"/>
      <c r="YB1304" s="123"/>
      <c r="YC1304" s="123"/>
      <c r="YD1304" s="97">
        <f t="shared" si="848"/>
        <v>0</v>
      </c>
      <c r="YE1304" s="97">
        <f t="shared" si="849"/>
        <v>0</v>
      </c>
      <c r="YF1304" s="97">
        <f t="shared" si="850"/>
        <v>0</v>
      </c>
      <c r="YG1304" s="123"/>
      <c r="YH1304" s="123"/>
      <c r="YI1304" s="123"/>
      <c r="YJ1304" s="97">
        <f t="shared" si="851"/>
        <v>0</v>
      </c>
      <c r="YK1304" s="97">
        <f t="shared" si="851"/>
        <v>0</v>
      </c>
      <c r="YL1304" s="97">
        <f t="shared" si="851"/>
        <v>0</v>
      </c>
      <c r="YM1304" s="145">
        <f t="shared" si="852"/>
        <v>0</v>
      </c>
      <c r="YN1304" s="145">
        <f t="shared" si="852"/>
        <v>0</v>
      </c>
      <c r="YO1304" s="145">
        <f t="shared" si="852"/>
        <v>0</v>
      </c>
      <c r="YP1304" s="123"/>
      <c r="YQ1304" s="123"/>
      <c r="YR1304" s="123"/>
      <c r="YS1304" s="97">
        <f t="shared" si="853"/>
        <v>0</v>
      </c>
      <c r="YT1304" s="97">
        <f t="shared" si="854"/>
        <v>0</v>
      </c>
      <c r="YU1304" s="97">
        <f t="shared" si="855"/>
        <v>0</v>
      </c>
      <c r="YV1304" s="123"/>
      <c r="YW1304" s="123"/>
      <c r="YX1304" s="123"/>
      <c r="YY1304" s="97">
        <f t="shared" si="856"/>
        <v>4900.92</v>
      </c>
      <c r="YZ1304" s="97">
        <f t="shared" si="857"/>
        <v>5001.07</v>
      </c>
      <c r="ZA1304" s="97">
        <f t="shared" si="858"/>
        <v>5191.9799999999996</v>
      </c>
      <c r="ZB1304" s="123"/>
      <c r="ZC1304" s="123"/>
      <c r="ZD1304" s="123"/>
      <c r="ZE1304" s="97">
        <f t="shared" si="859"/>
        <v>0</v>
      </c>
      <c r="ZF1304" s="97">
        <f t="shared" si="859"/>
        <v>0</v>
      </c>
      <c r="ZG1304" s="97">
        <f t="shared" si="859"/>
        <v>0</v>
      </c>
    </row>
    <row r="1305" spans="1:683" ht="24" x14ac:dyDescent="0.25">
      <c r="A1305" s="98" t="s">
        <v>708</v>
      </c>
      <c r="B1305" s="174" t="s">
        <v>439</v>
      </c>
      <c r="C1305" s="5"/>
      <c r="D1305" s="340"/>
      <c r="E1305" s="163"/>
      <c r="F1305" s="110"/>
      <c r="G1305" s="110"/>
      <c r="H1305" s="110"/>
      <c r="I1305" s="97">
        <f t="shared" si="636"/>
        <v>28838.38</v>
      </c>
      <c r="J1305" s="97">
        <f t="shared" si="860"/>
        <v>28838.38</v>
      </c>
      <c r="K1305" s="97">
        <f t="shared" si="861"/>
        <v>28838.38</v>
      </c>
      <c r="L1305" s="102"/>
      <c r="M1305" s="102"/>
      <c r="N1305" s="102"/>
      <c r="O1305" s="123"/>
      <c r="P1305" s="123"/>
      <c r="Q1305" s="123"/>
      <c r="R1305" s="97">
        <f t="shared" si="862"/>
        <v>0</v>
      </c>
      <c r="S1305" s="97">
        <f t="shared" si="863"/>
        <v>0</v>
      </c>
      <c r="T1305" s="97">
        <f t="shared" si="864"/>
        <v>0</v>
      </c>
      <c r="U1305" s="123"/>
      <c r="V1305" s="123"/>
      <c r="W1305" s="123"/>
      <c r="X1305" s="97">
        <f t="shared" si="638"/>
        <v>0</v>
      </c>
      <c r="Y1305" s="97">
        <f t="shared" si="639"/>
        <v>0</v>
      </c>
      <c r="Z1305" s="97">
        <f t="shared" si="640"/>
        <v>0</v>
      </c>
      <c r="AA1305" s="123"/>
      <c r="AB1305" s="123"/>
      <c r="AC1305" s="123"/>
      <c r="AD1305" s="97">
        <f t="shared" si="641"/>
        <v>0</v>
      </c>
      <c r="AE1305" s="97">
        <f t="shared" si="641"/>
        <v>0</v>
      </c>
      <c r="AF1305" s="97">
        <f t="shared" si="641"/>
        <v>0</v>
      </c>
      <c r="AG1305" s="102"/>
      <c r="AH1305" s="102"/>
      <c r="AI1305" s="102"/>
      <c r="AJ1305" s="123"/>
      <c r="AK1305" s="123"/>
      <c r="AL1305" s="123"/>
      <c r="AM1305" s="97">
        <f t="shared" si="642"/>
        <v>0</v>
      </c>
      <c r="AN1305" s="97">
        <f t="shared" si="643"/>
        <v>0</v>
      </c>
      <c r="AO1305" s="97">
        <f t="shared" si="644"/>
        <v>0</v>
      </c>
      <c r="AP1305" s="123"/>
      <c r="AQ1305" s="123"/>
      <c r="AR1305" s="123"/>
      <c r="AS1305" s="97">
        <f t="shared" si="645"/>
        <v>0</v>
      </c>
      <c r="AT1305" s="97">
        <f t="shared" si="646"/>
        <v>0</v>
      </c>
      <c r="AU1305" s="97">
        <f t="shared" si="647"/>
        <v>0</v>
      </c>
      <c r="AV1305" s="123"/>
      <c r="AW1305" s="123"/>
      <c r="AX1305" s="123"/>
      <c r="AY1305" s="97">
        <f t="shared" si="648"/>
        <v>0</v>
      </c>
      <c r="AZ1305" s="97">
        <f t="shared" si="648"/>
        <v>0</v>
      </c>
      <c r="BA1305" s="97">
        <f t="shared" si="648"/>
        <v>0</v>
      </c>
      <c r="BB1305" s="102"/>
      <c r="BC1305" s="102"/>
      <c r="BD1305" s="102"/>
      <c r="BE1305" s="123"/>
      <c r="BF1305" s="123"/>
      <c r="BG1305" s="123"/>
      <c r="BH1305" s="97">
        <f t="shared" si="649"/>
        <v>0</v>
      </c>
      <c r="BI1305" s="97">
        <f t="shared" si="650"/>
        <v>0</v>
      </c>
      <c r="BJ1305" s="97">
        <f t="shared" si="651"/>
        <v>0</v>
      </c>
      <c r="BK1305" s="123"/>
      <c r="BL1305" s="123"/>
      <c r="BM1305" s="123"/>
      <c r="BN1305" s="97">
        <f t="shared" si="652"/>
        <v>0</v>
      </c>
      <c r="BO1305" s="97">
        <f t="shared" si="653"/>
        <v>0</v>
      </c>
      <c r="BP1305" s="97">
        <f t="shared" si="654"/>
        <v>0</v>
      </c>
      <c r="BQ1305" s="123"/>
      <c r="BR1305" s="123"/>
      <c r="BS1305" s="123"/>
      <c r="BT1305" s="97">
        <f t="shared" si="655"/>
        <v>0</v>
      </c>
      <c r="BU1305" s="97">
        <f t="shared" si="655"/>
        <v>0</v>
      </c>
      <c r="BV1305" s="97">
        <f t="shared" si="655"/>
        <v>0</v>
      </c>
      <c r="BW1305" s="102"/>
      <c r="BX1305" s="102"/>
      <c r="BY1305" s="102"/>
      <c r="BZ1305" s="123"/>
      <c r="CA1305" s="123"/>
      <c r="CB1305" s="123"/>
      <c r="CC1305" s="97">
        <f t="shared" si="656"/>
        <v>0</v>
      </c>
      <c r="CD1305" s="97">
        <f t="shared" si="657"/>
        <v>0</v>
      </c>
      <c r="CE1305" s="97">
        <f t="shared" si="658"/>
        <v>0</v>
      </c>
      <c r="CF1305" s="123"/>
      <c r="CG1305" s="123"/>
      <c r="CH1305" s="123"/>
      <c r="CI1305" s="97">
        <f t="shared" si="659"/>
        <v>0</v>
      </c>
      <c r="CJ1305" s="97">
        <f t="shared" si="660"/>
        <v>0</v>
      </c>
      <c r="CK1305" s="97">
        <f t="shared" si="661"/>
        <v>0</v>
      </c>
      <c r="CL1305" s="123"/>
      <c r="CM1305" s="123"/>
      <c r="CN1305" s="123"/>
      <c r="CO1305" s="97">
        <f t="shared" si="662"/>
        <v>0</v>
      </c>
      <c r="CP1305" s="97">
        <f t="shared" si="662"/>
        <v>0</v>
      </c>
      <c r="CQ1305" s="97">
        <f t="shared" si="662"/>
        <v>0</v>
      </c>
      <c r="CR1305" s="102"/>
      <c r="CS1305" s="102"/>
      <c r="CT1305" s="102"/>
      <c r="CU1305" s="123"/>
      <c r="CV1305" s="123"/>
      <c r="CW1305" s="123"/>
      <c r="CX1305" s="97">
        <f t="shared" si="663"/>
        <v>0</v>
      </c>
      <c r="CY1305" s="97">
        <f t="shared" si="664"/>
        <v>0</v>
      </c>
      <c r="CZ1305" s="97">
        <f t="shared" si="665"/>
        <v>0</v>
      </c>
      <c r="DA1305" s="123"/>
      <c r="DB1305" s="123"/>
      <c r="DC1305" s="123"/>
      <c r="DD1305" s="97">
        <f t="shared" si="666"/>
        <v>0</v>
      </c>
      <c r="DE1305" s="97">
        <f t="shared" si="667"/>
        <v>0</v>
      </c>
      <c r="DF1305" s="97">
        <f t="shared" si="668"/>
        <v>0</v>
      </c>
      <c r="DG1305" s="123"/>
      <c r="DH1305" s="123"/>
      <c r="DI1305" s="123"/>
      <c r="DJ1305" s="97">
        <f t="shared" si="669"/>
        <v>0</v>
      </c>
      <c r="DK1305" s="97">
        <f t="shared" si="669"/>
        <v>0</v>
      </c>
      <c r="DL1305" s="97">
        <f t="shared" si="669"/>
        <v>0</v>
      </c>
      <c r="DM1305" s="102"/>
      <c r="DN1305" s="102"/>
      <c r="DO1305" s="102"/>
      <c r="DP1305" s="123"/>
      <c r="DQ1305" s="123"/>
      <c r="DR1305" s="123"/>
      <c r="DS1305" s="97">
        <f t="shared" si="670"/>
        <v>0</v>
      </c>
      <c r="DT1305" s="97">
        <f t="shared" si="671"/>
        <v>0</v>
      </c>
      <c r="DU1305" s="97">
        <f t="shared" si="672"/>
        <v>0</v>
      </c>
      <c r="DV1305" s="123"/>
      <c r="DW1305" s="123"/>
      <c r="DX1305" s="123"/>
      <c r="DY1305" s="97">
        <f t="shared" si="673"/>
        <v>0</v>
      </c>
      <c r="DZ1305" s="97">
        <f t="shared" si="674"/>
        <v>0</v>
      </c>
      <c r="EA1305" s="97">
        <f t="shared" si="675"/>
        <v>0</v>
      </c>
      <c r="EB1305" s="123"/>
      <c r="EC1305" s="123"/>
      <c r="ED1305" s="123"/>
      <c r="EE1305" s="97">
        <f t="shared" si="676"/>
        <v>0</v>
      </c>
      <c r="EF1305" s="97">
        <f t="shared" si="676"/>
        <v>0</v>
      </c>
      <c r="EG1305" s="97">
        <f t="shared" si="676"/>
        <v>0</v>
      </c>
      <c r="EH1305" s="102"/>
      <c r="EI1305" s="102"/>
      <c r="EJ1305" s="102"/>
      <c r="EK1305" s="123"/>
      <c r="EL1305" s="123"/>
      <c r="EM1305" s="123"/>
      <c r="EN1305" s="97">
        <f t="shared" si="677"/>
        <v>0</v>
      </c>
      <c r="EO1305" s="97">
        <f t="shared" si="678"/>
        <v>0</v>
      </c>
      <c r="EP1305" s="97">
        <f t="shared" si="679"/>
        <v>0</v>
      </c>
      <c r="EQ1305" s="123"/>
      <c r="ER1305" s="123"/>
      <c r="ES1305" s="123"/>
      <c r="ET1305" s="97">
        <f t="shared" si="680"/>
        <v>0</v>
      </c>
      <c r="EU1305" s="97">
        <f t="shared" si="681"/>
        <v>0</v>
      </c>
      <c r="EV1305" s="97">
        <f t="shared" si="682"/>
        <v>0</v>
      </c>
      <c r="EW1305" s="123"/>
      <c r="EX1305" s="123"/>
      <c r="EY1305" s="123"/>
      <c r="EZ1305" s="97">
        <f t="shared" si="683"/>
        <v>0</v>
      </c>
      <c r="FA1305" s="97">
        <f t="shared" si="683"/>
        <v>0</v>
      </c>
      <c r="FB1305" s="97">
        <f t="shared" si="683"/>
        <v>0</v>
      </c>
      <c r="FC1305" s="102"/>
      <c r="FD1305" s="102"/>
      <c r="FE1305" s="102"/>
      <c r="FF1305" s="123"/>
      <c r="FG1305" s="123"/>
      <c r="FH1305" s="123"/>
      <c r="FI1305" s="97">
        <f t="shared" si="684"/>
        <v>0</v>
      </c>
      <c r="FJ1305" s="97">
        <f t="shared" si="685"/>
        <v>0</v>
      </c>
      <c r="FK1305" s="97">
        <f t="shared" si="686"/>
        <v>0</v>
      </c>
      <c r="FL1305" s="123"/>
      <c r="FM1305" s="123"/>
      <c r="FN1305" s="123"/>
      <c r="FO1305" s="97">
        <f t="shared" si="687"/>
        <v>0</v>
      </c>
      <c r="FP1305" s="97">
        <f t="shared" si="688"/>
        <v>0</v>
      </c>
      <c r="FQ1305" s="97">
        <f t="shared" si="689"/>
        <v>0</v>
      </c>
      <c r="FR1305" s="123"/>
      <c r="FS1305" s="123"/>
      <c r="FT1305" s="123"/>
      <c r="FU1305" s="97">
        <f t="shared" si="690"/>
        <v>0</v>
      </c>
      <c r="FV1305" s="97">
        <f t="shared" si="690"/>
        <v>0</v>
      </c>
      <c r="FW1305" s="97">
        <f t="shared" si="690"/>
        <v>0</v>
      </c>
      <c r="FX1305" s="102"/>
      <c r="FY1305" s="102"/>
      <c r="FZ1305" s="102"/>
      <c r="GA1305" s="123"/>
      <c r="GB1305" s="123"/>
      <c r="GC1305" s="123"/>
      <c r="GD1305" s="97">
        <f t="shared" si="691"/>
        <v>0</v>
      </c>
      <c r="GE1305" s="97">
        <f t="shared" si="692"/>
        <v>0</v>
      </c>
      <c r="GF1305" s="97">
        <f t="shared" si="693"/>
        <v>0</v>
      </c>
      <c r="GG1305" s="123"/>
      <c r="GH1305" s="123"/>
      <c r="GI1305" s="123"/>
      <c r="GJ1305" s="97">
        <f t="shared" si="694"/>
        <v>0</v>
      </c>
      <c r="GK1305" s="97">
        <f t="shared" si="695"/>
        <v>0</v>
      </c>
      <c r="GL1305" s="97">
        <f t="shared" si="696"/>
        <v>0</v>
      </c>
      <c r="GM1305" s="123"/>
      <c r="GN1305" s="123"/>
      <c r="GO1305" s="123"/>
      <c r="GP1305" s="97">
        <f t="shared" si="697"/>
        <v>0</v>
      </c>
      <c r="GQ1305" s="97">
        <f t="shared" si="697"/>
        <v>0</v>
      </c>
      <c r="GR1305" s="97">
        <f t="shared" si="697"/>
        <v>0</v>
      </c>
      <c r="GS1305" s="102"/>
      <c r="GT1305" s="102"/>
      <c r="GU1305" s="102"/>
      <c r="GV1305" s="123"/>
      <c r="GW1305" s="123"/>
      <c r="GX1305" s="123"/>
      <c r="GY1305" s="97">
        <f t="shared" si="698"/>
        <v>0</v>
      </c>
      <c r="GZ1305" s="97">
        <f t="shared" si="699"/>
        <v>0</v>
      </c>
      <c r="HA1305" s="97">
        <f t="shared" si="700"/>
        <v>0</v>
      </c>
      <c r="HB1305" s="123"/>
      <c r="HC1305" s="123"/>
      <c r="HD1305" s="123"/>
      <c r="HE1305" s="97">
        <f t="shared" si="701"/>
        <v>0</v>
      </c>
      <c r="HF1305" s="97">
        <f t="shared" si="702"/>
        <v>0</v>
      </c>
      <c r="HG1305" s="97">
        <f t="shared" si="703"/>
        <v>0</v>
      </c>
      <c r="HH1305" s="123"/>
      <c r="HI1305" s="123"/>
      <c r="HJ1305" s="123"/>
      <c r="HK1305" s="97">
        <f t="shared" si="704"/>
        <v>0</v>
      </c>
      <c r="HL1305" s="97">
        <f t="shared" si="704"/>
        <v>0</v>
      </c>
      <c r="HM1305" s="97">
        <f t="shared" si="704"/>
        <v>0</v>
      </c>
      <c r="HN1305" s="102"/>
      <c r="HO1305" s="102"/>
      <c r="HP1305" s="102"/>
      <c r="HQ1305" s="123"/>
      <c r="HR1305" s="123"/>
      <c r="HS1305" s="123"/>
      <c r="HT1305" s="97">
        <f t="shared" si="705"/>
        <v>0</v>
      </c>
      <c r="HU1305" s="97">
        <f t="shared" si="706"/>
        <v>0</v>
      </c>
      <c r="HV1305" s="97">
        <f t="shared" si="707"/>
        <v>0</v>
      </c>
      <c r="HW1305" s="123"/>
      <c r="HX1305" s="123"/>
      <c r="HY1305" s="123"/>
      <c r="HZ1305" s="97">
        <f t="shared" si="708"/>
        <v>0</v>
      </c>
      <c r="IA1305" s="97">
        <f t="shared" si="709"/>
        <v>0</v>
      </c>
      <c r="IB1305" s="97">
        <f t="shared" si="710"/>
        <v>0</v>
      </c>
      <c r="IC1305" s="123"/>
      <c r="ID1305" s="123"/>
      <c r="IE1305" s="123"/>
      <c r="IF1305" s="97">
        <f t="shared" si="711"/>
        <v>0</v>
      </c>
      <c r="IG1305" s="97">
        <f t="shared" si="711"/>
        <v>0</v>
      </c>
      <c r="IH1305" s="97">
        <f t="shared" si="711"/>
        <v>0</v>
      </c>
      <c r="II1305" s="102"/>
      <c r="IJ1305" s="102"/>
      <c r="IK1305" s="102"/>
      <c r="IL1305" s="123"/>
      <c r="IM1305" s="123"/>
      <c r="IN1305" s="123"/>
      <c r="IO1305" s="97">
        <f t="shared" si="712"/>
        <v>0</v>
      </c>
      <c r="IP1305" s="97">
        <f t="shared" si="713"/>
        <v>0</v>
      </c>
      <c r="IQ1305" s="97">
        <f t="shared" si="714"/>
        <v>0</v>
      </c>
      <c r="IR1305" s="123"/>
      <c r="IS1305" s="123"/>
      <c r="IT1305" s="123"/>
      <c r="IU1305" s="97">
        <f t="shared" si="715"/>
        <v>0</v>
      </c>
      <c r="IV1305" s="97">
        <f t="shared" si="716"/>
        <v>0</v>
      </c>
      <c r="IW1305" s="97">
        <f t="shared" si="717"/>
        <v>0</v>
      </c>
      <c r="IX1305" s="123"/>
      <c r="IY1305" s="123"/>
      <c r="IZ1305" s="123"/>
      <c r="JA1305" s="97">
        <f t="shared" si="718"/>
        <v>0</v>
      </c>
      <c r="JB1305" s="97">
        <f t="shared" si="718"/>
        <v>0</v>
      </c>
      <c r="JC1305" s="97">
        <f t="shared" si="718"/>
        <v>0</v>
      </c>
      <c r="JD1305" s="102"/>
      <c r="JE1305" s="102"/>
      <c r="JF1305" s="102"/>
      <c r="JG1305" s="123"/>
      <c r="JH1305" s="123"/>
      <c r="JI1305" s="123"/>
      <c r="JJ1305" s="97">
        <f t="shared" si="719"/>
        <v>0</v>
      </c>
      <c r="JK1305" s="97">
        <f t="shared" si="720"/>
        <v>0</v>
      </c>
      <c r="JL1305" s="97">
        <f t="shared" si="721"/>
        <v>0</v>
      </c>
      <c r="JM1305" s="123"/>
      <c r="JN1305" s="123"/>
      <c r="JO1305" s="123"/>
      <c r="JP1305" s="97">
        <f t="shared" si="722"/>
        <v>0</v>
      </c>
      <c r="JQ1305" s="97">
        <f t="shared" si="723"/>
        <v>0</v>
      </c>
      <c r="JR1305" s="97">
        <f t="shared" si="724"/>
        <v>0</v>
      </c>
      <c r="JS1305" s="123"/>
      <c r="JT1305" s="123"/>
      <c r="JU1305" s="123"/>
      <c r="JV1305" s="97">
        <f t="shared" si="725"/>
        <v>0</v>
      </c>
      <c r="JW1305" s="97">
        <f t="shared" si="725"/>
        <v>0</v>
      </c>
      <c r="JX1305" s="97">
        <f t="shared" si="725"/>
        <v>0</v>
      </c>
      <c r="JY1305" s="102"/>
      <c r="JZ1305" s="102"/>
      <c r="KA1305" s="102"/>
      <c r="KB1305" s="123"/>
      <c r="KC1305" s="123"/>
      <c r="KD1305" s="123"/>
      <c r="KE1305" s="97">
        <f t="shared" si="726"/>
        <v>0</v>
      </c>
      <c r="KF1305" s="97">
        <f t="shared" si="727"/>
        <v>0</v>
      </c>
      <c r="KG1305" s="97">
        <f t="shared" si="728"/>
        <v>0</v>
      </c>
      <c r="KH1305" s="123"/>
      <c r="KI1305" s="123"/>
      <c r="KJ1305" s="123"/>
      <c r="KK1305" s="97">
        <f t="shared" si="729"/>
        <v>0</v>
      </c>
      <c r="KL1305" s="97">
        <f t="shared" si="730"/>
        <v>0</v>
      </c>
      <c r="KM1305" s="97">
        <f t="shared" si="731"/>
        <v>0</v>
      </c>
      <c r="KN1305" s="123"/>
      <c r="KO1305" s="123"/>
      <c r="KP1305" s="123"/>
      <c r="KQ1305" s="97">
        <f t="shared" si="732"/>
        <v>0</v>
      </c>
      <c r="KR1305" s="97">
        <f t="shared" si="732"/>
        <v>0</v>
      </c>
      <c r="KS1305" s="97">
        <f t="shared" si="732"/>
        <v>0</v>
      </c>
      <c r="KT1305" s="102"/>
      <c r="KU1305" s="102"/>
      <c r="KV1305" s="102"/>
      <c r="KW1305" s="123"/>
      <c r="KX1305" s="123"/>
      <c r="KY1305" s="123"/>
      <c r="KZ1305" s="97">
        <f t="shared" si="733"/>
        <v>0</v>
      </c>
      <c r="LA1305" s="97">
        <f t="shared" si="734"/>
        <v>0</v>
      </c>
      <c r="LB1305" s="97">
        <f t="shared" si="735"/>
        <v>0</v>
      </c>
      <c r="LC1305" s="123"/>
      <c r="LD1305" s="123"/>
      <c r="LE1305" s="123"/>
      <c r="LF1305" s="97">
        <f t="shared" si="736"/>
        <v>0</v>
      </c>
      <c r="LG1305" s="97">
        <f t="shared" si="737"/>
        <v>0</v>
      </c>
      <c r="LH1305" s="97">
        <f t="shared" si="738"/>
        <v>0</v>
      </c>
      <c r="LI1305" s="123"/>
      <c r="LJ1305" s="123"/>
      <c r="LK1305" s="123"/>
      <c r="LL1305" s="97">
        <f t="shared" si="739"/>
        <v>0</v>
      </c>
      <c r="LM1305" s="97">
        <f t="shared" si="739"/>
        <v>0</v>
      </c>
      <c r="LN1305" s="97">
        <f t="shared" si="739"/>
        <v>0</v>
      </c>
      <c r="LO1305" s="102"/>
      <c r="LP1305" s="102"/>
      <c r="LQ1305" s="102"/>
      <c r="LR1305" s="123"/>
      <c r="LS1305" s="123"/>
      <c r="LT1305" s="123"/>
      <c r="LU1305" s="97">
        <f t="shared" si="740"/>
        <v>0</v>
      </c>
      <c r="LV1305" s="97">
        <f t="shared" si="741"/>
        <v>0</v>
      </c>
      <c r="LW1305" s="97">
        <f t="shared" si="742"/>
        <v>0</v>
      </c>
      <c r="LX1305" s="123"/>
      <c r="LY1305" s="123"/>
      <c r="LZ1305" s="123"/>
      <c r="MA1305" s="97">
        <f t="shared" si="743"/>
        <v>0</v>
      </c>
      <c r="MB1305" s="97">
        <f t="shared" si="744"/>
        <v>0</v>
      </c>
      <c r="MC1305" s="97">
        <f t="shared" si="745"/>
        <v>0</v>
      </c>
      <c r="MD1305" s="123"/>
      <c r="ME1305" s="123"/>
      <c r="MF1305" s="123"/>
      <c r="MG1305" s="97">
        <f t="shared" si="746"/>
        <v>0</v>
      </c>
      <c r="MH1305" s="97">
        <f t="shared" si="746"/>
        <v>0</v>
      </c>
      <c r="MI1305" s="97">
        <f t="shared" si="746"/>
        <v>0</v>
      </c>
      <c r="MJ1305" s="102"/>
      <c r="MK1305" s="102"/>
      <c r="ML1305" s="102"/>
      <c r="MM1305" s="123"/>
      <c r="MN1305" s="123"/>
      <c r="MO1305" s="123"/>
      <c r="MP1305" s="97">
        <f t="shared" si="747"/>
        <v>0</v>
      </c>
      <c r="MQ1305" s="97">
        <f t="shared" si="748"/>
        <v>0</v>
      </c>
      <c r="MR1305" s="97">
        <f t="shared" si="749"/>
        <v>0</v>
      </c>
      <c r="MS1305" s="123"/>
      <c r="MT1305" s="123"/>
      <c r="MU1305" s="123"/>
      <c r="MV1305" s="97">
        <f t="shared" si="750"/>
        <v>0</v>
      </c>
      <c r="MW1305" s="97">
        <f t="shared" si="751"/>
        <v>0</v>
      </c>
      <c r="MX1305" s="97">
        <f t="shared" si="752"/>
        <v>0</v>
      </c>
      <c r="MY1305" s="123"/>
      <c r="MZ1305" s="123"/>
      <c r="NA1305" s="123"/>
      <c r="NB1305" s="97">
        <f t="shared" si="753"/>
        <v>0</v>
      </c>
      <c r="NC1305" s="97">
        <f t="shared" si="753"/>
        <v>0</v>
      </c>
      <c r="ND1305" s="97">
        <f t="shared" si="753"/>
        <v>0</v>
      </c>
      <c r="NE1305" s="102"/>
      <c r="NF1305" s="102"/>
      <c r="NG1305" s="102"/>
      <c r="NH1305" s="123"/>
      <c r="NI1305" s="123"/>
      <c r="NJ1305" s="123"/>
      <c r="NK1305" s="97">
        <f t="shared" si="754"/>
        <v>0</v>
      </c>
      <c r="NL1305" s="97">
        <f t="shared" si="755"/>
        <v>0</v>
      </c>
      <c r="NM1305" s="97">
        <f t="shared" si="756"/>
        <v>0</v>
      </c>
      <c r="NN1305" s="123"/>
      <c r="NO1305" s="123"/>
      <c r="NP1305" s="123"/>
      <c r="NQ1305" s="97">
        <f t="shared" si="757"/>
        <v>0</v>
      </c>
      <c r="NR1305" s="97">
        <f t="shared" si="758"/>
        <v>0</v>
      </c>
      <c r="NS1305" s="97">
        <f t="shared" si="759"/>
        <v>0</v>
      </c>
      <c r="NT1305" s="123"/>
      <c r="NU1305" s="123"/>
      <c r="NV1305" s="123"/>
      <c r="NW1305" s="97">
        <f t="shared" si="760"/>
        <v>0</v>
      </c>
      <c r="NX1305" s="97">
        <f t="shared" si="760"/>
        <v>0</v>
      </c>
      <c r="NY1305" s="97">
        <f t="shared" si="760"/>
        <v>0</v>
      </c>
      <c r="NZ1305" s="102"/>
      <c r="OA1305" s="102"/>
      <c r="OB1305" s="102"/>
      <c r="OC1305" s="123"/>
      <c r="OD1305" s="123"/>
      <c r="OE1305" s="123"/>
      <c r="OF1305" s="97">
        <f t="shared" si="761"/>
        <v>0</v>
      </c>
      <c r="OG1305" s="97">
        <f t="shared" si="762"/>
        <v>0</v>
      </c>
      <c r="OH1305" s="97">
        <f t="shared" si="763"/>
        <v>0</v>
      </c>
      <c r="OI1305" s="123"/>
      <c r="OJ1305" s="123"/>
      <c r="OK1305" s="123"/>
      <c r="OL1305" s="97">
        <f t="shared" si="764"/>
        <v>0</v>
      </c>
      <c r="OM1305" s="97">
        <f t="shared" si="765"/>
        <v>0</v>
      </c>
      <c r="ON1305" s="97">
        <f t="shared" si="766"/>
        <v>0</v>
      </c>
      <c r="OO1305" s="123"/>
      <c r="OP1305" s="123"/>
      <c r="OQ1305" s="123"/>
      <c r="OR1305" s="97">
        <f t="shared" si="767"/>
        <v>0</v>
      </c>
      <c r="OS1305" s="97">
        <f t="shared" si="767"/>
        <v>0</v>
      </c>
      <c r="OT1305" s="97">
        <f t="shared" si="767"/>
        <v>0</v>
      </c>
      <c r="OU1305" s="102"/>
      <c r="OV1305" s="102"/>
      <c r="OW1305" s="102"/>
      <c r="OX1305" s="123"/>
      <c r="OY1305" s="123"/>
      <c r="OZ1305" s="123"/>
      <c r="PA1305" s="97">
        <f t="shared" si="768"/>
        <v>0</v>
      </c>
      <c r="PB1305" s="97">
        <f t="shared" si="769"/>
        <v>0</v>
      </c>
      <c r="PC1305" s="97">
        <f t="shared" si="770"/>
        <v>0</v>
      </c>
      <c r="PD1305" s="123"/>
      <c r="PE1305" s="123"/>
      <c r="PF1305" s="123"/>
      <c r="PG1305" s="97">
        <f t="shared" si="771"/>
        <v>0</v>
      </c>
      <c r="PH1305" s="97">
        <f t="shared" si="772"/>
        <v>0</v>
      </c>
      <c r="PI1305" s="97">
        <f t="shared" si="773"/>
        <v>0</v>
      </c>
      <c r="PJ1305" s="123"/>
      <c r="PK1305" s="123"/>
      <c r="PL1305" s="123"/>
      <c r="PM1305" s="97">
        <f t="shared" si="774"/>
        <v>0</v>
      </c>
      <c r="PN1305" s="97">
        <f t="shared" si="774"/>
        <v>0</v>
      </c>
      <c r="PO1305" s="97">
        <f t="shared" si="774"/>
        <v>0</v>
      </c>
      <c r="PP1305" s="102"/>
      <c r="PQ1305" s="102"/>
      <c r="PR1305" s="102"/>
      <c r="PS1305" s="123"/>
      <c r="PT1305" s="123"/>
      <c r="PU1305" s="123"/>
      <c r="PV1305" s="97">
        <f t="shared" si="775"/>
        <v>0</v>
      </c>
      <c r="PW1305" s="97">
        <f t="shared" si="776"/>
        <v>0</v>
      </c>
      <c r="PX1305" s="97">
        <f t="shared" si="777"/>
        <v>0</v>
      </c>
      <c r="PY1305" s="123"/>
      <c r="PZ1305" s="123"/>
      <c r="QA1305" s="123"/>
      <c r="QB1305" s="97">
        <f t="shared" si="778"/>
        <v>0</v>
      </c>
      <c r="QC1305" s="97">
        <f t="shared" si="779"/>
        <v>0</v>
      </c>
      <c r="QD1305" s="97">
        <f t="shared" si="780"/>
        <v>0</v>
      </c>
      <c r="QE1305" s="123"/>
      <c r="QF1305" s="123"/>
      <c r="QG1305" s="123"/>
      <c r="QH1305" s="97">
        <f t="shared" si="781"/>
        <v>0</v>
      </c>
      <c r="QI1305" s="97">
        <f t="shared" si="781"/>
        <v>0</v>
      </c>
      <c r="QJ1305" s="97">
        <f t="shared" si="781"/>
        <v>0</v>
      </c>
      <c r="QK1305" s="102"/>
      <c r="QL1305" s="102"/>
      <c r="QM1305" s="102"/>
      <c r="QN1305" s="123"/>
      <c r="QO1305" s="123"/>
      <c r="QP1305" s="123"/>
      <c r="QQ1305" s="97">
        <f t="shared" si="782"/>
        <v>0</v>
      </c>
      <c r="QR1305" s="97">
        <f t="shared" si="783"/>
        <v>0</v>
      </c>
      <c r="QS1305" s="97">
        <f t="shared" si="784"/>
        <v>0</v>
      </c>
      <c r="QT1305" s="123"/>
      <c r="QU1305" s="123"/>
      <c r="QV1305" s="123"/>
      <c r="QW1305" s="97">
        <f t="shared" si="785"/>
        <v>0</v>
      </c>
      <c r="QX1305" s="97">
        <f t="shared" si="786"/>
        <v>0</v>
      </c>
      <c r="QY1305" s="97">
        <f t="shared" si="787"/>
        <v>0</v>
      </c>
      <c r="QZ1305" s="123"/>
      <c r="RA1305" s="123"/>
      <c r="RB1305" s="123"/>
      <c r="RC1305" s="97">
        <f t="shared" si="788"/>
        <v>0</v>
      </c>
      <c r="RD1305" s="97">
        <f t="shared" si="788"/>
        <v>0</v>
      </c>
      <c r="RE1305" s="97">
        <f t="shared" si="788"/>
        <v>0</v>
      </c>
      <c r="RF1305" s="102"/>
      <c r="RG1305" s="102"/>
      <c r="RH1305" s="102"/>
      <c r="RI1305" s="123"/>
      <c r="RJ1305" s="123"/>
      <c r="RK1305" s="123"/>
      <c r="RL1305" s="97">
        <f t="shared" si="789"/>
        <v>0</v>
      </c>
      <c r="RM1305" s="97">
        <f t="shared" si="790"/>
        <v>0</v>
      </c>
      <c r="RN1305" s="97">
        <f t="shared" si="791"/>
        <v>0</v>
      </c>
      <c r="RO1305" s="123"/>
      <c r="RP1305" s="123"/>
      <c r="RQ1305" s="123"/>
      <c r="RR1305" s="97">
        <f t="shared" si="792"/>
        <v>0</v>
      </c>
      <c r="RS1305" s="97">
        <f t="shared" si="793"/>
        <v>0</v>
      </c>
      <c r="RT1305" s="97">
        <f t="shared" si="794"/>
        <v>0</v>
      </c>
      <c r="RU1305" s="123"/>
      <c r="RV1305" s="123"/>
      <c r="RW1305" s="123"/>
      <c r="RX1305" s="97">
        <f t="shared" si="795"/>
        <v>0</v>
      </c>
      <c r="RY1305" s="97">
        <f t="shared" si="795"/>
        <v>0</v>
      </c>
      <c r="RZ1305" s="97">
        <f t="shared" si="795"/>
        <v>0</v>
      </c>
      <c r="SA1305" s="102"/>
      <c r="SB1305" s="102"/>
      <c r="SC1305" s="102"/>
      <c r="SD1305" s="123"/>
      <c r="SE1305" s="123"/>
      <c r="SF1305" s="123"/>
      <c r="SG1305" s="97">
        <f t="shared" si="796"/>
        <v>0</v>
      </c>
      <c r="SH1305" s="97">
        <f t="shared" si="797"/>
        <v>0</v>
      </c>
      <c r="SI1305" s="97">
        <f t="shared" si="798"/>
        <v>0</v>
      </c>
      <c r="SJ1305" s="123"/>
      <c r="SK1305" s="123"/>
      <c r="SL1305" s="123"/>
      <c r="SM1305" s="97">
        <f t="shared" si="799"/>
        <v>0</v>
      </c>
      <c r="SN1305" s="97">
        <f t="shared" si="800"/>
        <v>0</v>
      </c>
      <c r="SO1305" s="97">
        <f t="shared" si="801"/>
        <v>0</v>
      </c>
      <c r="SP1305" s="123"/>
      <c r="SQ1305" s="123"/>
      <c r="SR1305" s="123"/>
      <c r="SS1305" s="97">
        <f t="shared" si="802"/>
        <v>0</v>
      </c>
      <c r="ST1305" s="97">
        <f t="shared" si="802"/>
        <v>0</v>
      </c>
      <c r="SU1305" s="97">
        <f t="shared" si="802"/>
        <v>0</v>
      </c>
      <c r="SV1305" s="102"/>
      <c r="SW1305" s="102"/>
      <c r="SX1305" s="102"/>
      <c r="SY1305" s="123"/>
      <c r="SZ1305" s="123"/>
      <c r="TA1305" s="123"/>
      <c r="TB1305" s="97">
        <f t="shared" si="803"/>
        <v>0</v>
      </c>
      <c r="TC1305" s="97">
        <f t="shared" si="804"/>
        <v>0</v>
      </c>
      <c r="TD1305" s="97">
        <f t="shared" si="805"/>
        <v>0</v>
      </c>
      <c r="TE1305" s="123"/>
      <c r="TF1305" s="123"/>
      <c r="TG1305" s="123"/>
      <c r="TH1305" s="97">
        <f t="shared" si="806"/>
        <v>0</v>
      </c>
      <c r="TI1305" s="97">
        <f t="shared" si="807"/>
        <v>0</v>
      </c>
      <c r="TJ1305" s="97">
        <f t="shared" si="808"/>
        <v>0</v>
      </c>
      <c r="TK1305" s="123"/>
      <c r="TL1305" s="123"/>
      <c r="TM1305" s="123"/>
      <c r="TN1305" s="97">
        <f t="shared" si="809"/>
        <v>0</v>
      </c>
      <c r="TO1305" s="97">
        <f t="shared" si="809"/>
        <v>0</v>
      </c>
      <c r="TP1305" s="97">
        <f t="shared" si="809"/>
        <v>0</v>
      </c>
      <c r="TQ1305" s="102"/>
      <c r="TR1305" s="102"/>
      <c r="TS1305" s="102"/>
      <c r="TT1305" s="123"/>
      <c r="TU1305" s="123"/>
      <c r="TV1305" s="123"/>
      <c r="TW1305" s="97">
        <f t="shared" si="810"/>
        <v>0</v>
      </c>
      <c r="TX1305" s="97">
        <f t="shared" si="811"/>
        <v>0</v>
      </c>
      <c r="TY1305" s="97">
        <f t="shared" si="812"/>
        <v>0</v>
      </c>
      <c r="TZ1305" s="123"/>
      <c r="UA1305" s="123"/>
      <c r="UB1305" s="123"/>
      <c r="UC1305" s="97">
        <f t="shared" si="813"/>
        <v>0</v>
      </c>
      <c r="UD1305" s="97">
        <f t="shared" si="814"/>
        <v>0</v>
      </c>
      <c r="UE1305" s="97">
        <f t="shared" si="815"/>
        <v>0</v>
      </c>
      <c r="UF1305" s="123"/>
      <c r="UG1305" s="123"/>
      <c r="UH1305" s="123"/>
      <c r="UI1305" s="97">
        <f t="shared" si="816"/>
        <v>0</v>
      </c>
      <c r="UJ1305" s="97">
        <f t="shared" si="816"/>
        <v>0</v>
      </c>
      <c r="UK1305" s="97">
        <f t="shared" si="816"/>
        <v>0</v>
      </c>
      <c r="UL1305" s="102">
        <v>1</v>
      </c>
      <c r="UM1305" s="102">
        <v>1</v>
      </c>
      <c r="UN1305" s="102">
        <v>1</v>
      </c>
      <c r="UO1305" s="123"/>
      <c r="UP1305" s="123"/>
      <c r="UQ1305" s="123"/>
      <c r="UR1305" s="97">
        <f t="shared" si="817"/>
        <v>28838.38</v>
      </c>
      <c r="US1305" s="97">
        <f t="shared" si="818"/>
        <v>28838.38</v>
      </c>
      <c r="UT1305" s="97">
        <f t="shared" si="819"/>
        <v>28838.38</v>
      </c>
      <c r="UU1305" s="123"/>
      <c r="UV1305" s="123"/>
      <c r="UW1305" s="123"/>
      <c r="UX1305" s="97">
        <f t="shared" si="820"/>
        <v>4900.92</v>
      </c>
      <c r="UY1305" s="97">
        <f t="shared" si="821"/>
        <v>5001.07</v>
      </c>
      <c r="UZ1305" s="97">
        <f t="shared" si="822"/>
        <v>5191.9799999999996</v>
      </c>
      <c r="VA1305" s="123"/>
      <c r="VB1305" s="123"/>
      <c r="VC1305" s="123"/>
      <c r="VD1305" s="97">
        <f t="shared" si="823"/>
        <v>4900.92</v>
      </c>
      <c r="VE1305" s="97">
        <f t="shared" si="823"/>
        <v>5001.07</v>
      </c>
      <c r="VF1305" s="97">
        <f t="shared" si="823"/>
        <v>5191.9799999999996</v>
      </c>
      <c r="VG1305" s="102"/>
      <c r="VH1305" s="102"/>
      <c r="VI1305" s="102"/>
      <c r="VJ1305" s="123"/>
      <c r="VK1305" s="123"/>
      <c r="VL1305" s="123"/>
      <c r="VM1305" s="97">
        <f t="shared" si="824"/>
        <v>0</v>
      </c>
      <c r="VN1305" s="97">
        <f t="shared" si="825"/>
        <v>0</v>
      </c>
      <c r="VO1305" s="97">
        <f t="shared" si="826"/>
        <v>0</v>
      </c>
      <c r="VP1305" s="123"/>
      <c r="VQ1305" s="123"/>
      <c r="VR1305" s="123"/>
      <c r="VS1305" s="97">
        <f t="shared" si="827"/>
        <v>0</v>
      </c>
      <c r="VT1305" s="97">
        <f t="shared" si="828"/>
        <v>0</v>
      </c>
      <c r="VU1305" s="97">
        <f t="shared" si="829"/>
        <v>0</v>
      </c>
      <c r="VV1305" s="123"/>
      <c r="VW1305" s="123"/>
      <c r="VX1305" s="123"/>
      <c r="VY1305" s="97">
        <f t="shared" si="830"/>
        <v>0</v>
      </c>
      <c r="VZ1305" s="97">
        <f t="shared" si="830"/>
        <v>0</v>
      </c>
      <c r="WA1305" s="97">
        <f t="shared" si="830"/>
        <v>0</v>
      </c>
      <c r="WB1305" s="102"/>
      <c r="WC1305" s="102"/>
      <c r="WD1305" s="102"/>
      <c r="WE1305" s="123"/>
      <c r="WF1305" s="123"/>
      <c r="WG1305" s="123"/>
      <c r="WH1305" s="97">
        <f t="shared" si="831"/>
        <v>0</v>
      </c>
      <c r="WI1305" s="97">
        <f t="shared" si="832"/>
        <v>0</v>
      </c>
      <c r="WJ1305" s="97">
        <f t="shared" si="833"/>
        <v>0</v>
      </c>
      <c r="WK1305" s="123"/>
      <c r="WL1305" s="123"/>
      <c r="WM1305" s="123"/>
      <c r="WN1305" s="97">
        <f t="shared" si="834"/>
        <v>0</v>
      </c>
      <c r="WO1305" s="97">
        <f t="shared" si="835"/>
        <v>0</v>
      </c>
      <c r="WP1305" s="97">
        <f t="shared" si="836"/>
        <v>0</v>
      </c>
      <c r="WQ1305" s="123"/>
      <c r="WR1305" s="123"/>
      <c r="WS1305" s="123"/>
      <c r="WT1305" s="97">
        <f t="shared" si="837"/>
        <v>0</v>
      </c>
      <c r="WU1305" s="97">
        <f t="shared" si="837"/>
        <v>0</v>
      </c>
      <c r="WV1305" s="97">
        <f t="shared" si="837"/>
        <v>0</v>
      </c>
      <c r="WW1305" s="102"/>
      <c r="WX1305" s="102"/>
      <c r="WY1305" s="102"/>
      <c r="WZ1305" s="123"/>
      <c r="XA1305" s="123"/>
      <c r="XB1305" s="123"/>
      <c r="XC1305" s="97">
        <f t="shared" si="838"/>
        <v>0</v>
      </c>
      <c r="XD1305" s="97">
        <f t="shared" si="839"/>
        <v>0</v>
      </c>
      <c r="XE1305" s="97">
        <f t="shared" si="840"/>
        <v>0</v>
      </c>
      <c r="XF1305" s="123"/>
      <c r="XG1305" s="123"/>
      <c r="XH1305" s="123"/>
      <c r="XI1305" s="97">
        <f t="shared" si="841"/>
        <v>0</v>
      </c>
      <c r="XJ1305" s="97">
        <f t="shared" si="842"/>
        <v>0</v>
      </c>
      <c r="XK1305" s="97">
        <f t="shared" si="843"/>
        <v>0</v>
      </c>
      <c r="XL1305" s="123"/>
      <c r="XM1305" s="123"/>
      <c r="XN1305" s="123"/>
      <c r="XO1305" s="97">
        <f t="shared" si="844"/>
        <v>0</v>
      </c>
      <c r="XP1305" s="97">
        <f t="shared" si="844"/>
        <v>0</v>
      </c>
      <c r="XQ1305" s="97">
        <f t="shared" si="844"/>
        <v>0</v>
      </c>
      <c r="XR1305" s="102"/>
      <c r="XS1305" s="102"/>
      <c r="XT1305" s="102"/>
      <c r="XU1305" s="123"/>
      <c r="XV1305" s="123"/>
      <c r="XW1305" s="123"/>
      <c r="XX1305" s="97">
        <f t="shared" si="845"/>
        <v>0</v>
      </c>
      <c r="XY1305" s="97">
        <f t="shared" si="846"/>
        <v>0</v>
      </c>
      <c r="XZ1305" s="97">
        <f t="shared" si="847"/>
        <v>0</v>
      </c>
      <c r="YA1305" s="123"/>
      <c r="YB1305" s="123"/>
      <c r="YC1305" s="123"/>
      <c r="YD1305" s="97">
        <f t="shared" si="848"/>
        <v>0</v>
      </c>
      <c r="YE1305" s="97">
        <f t="shared" si="849"/>
        <v>0</v>
      </c>
      <c r="YF1305" s="97">
        <f t="shared" si="850"/>
        <v>0</v>
      </c>
      <c r="YG1305" s="123"/>
      <c r="YH1305" s="123"/>
      <c r="YI1305" s="123"/>
      <c r="YJ1305" s="97">
        <f t="shared" si="851"/>
        <v>0</v>
      </c>
      <c r="YK1305" s="97">
        <f t="shared" si="851"/>
        <v>0</v>
      </c>
      <c r="YL1305" s="97">
        <f t="shared" si="851"/>
        <v>0</v>
      </c>
      <c r="YM1305" s="145">
        <f t="shared" si="852"/>
        <v>1</v>
      </c>
      <c r="YN1305" s="145">
        <f t="shared" si="852"/>
        <v>1</v>
      </c>
      <c r="YO1305" s="145">
        <f t="shared" si="852"/>
        <v>1</v>
      </c>
      <c r="YP1305" s="123"/>
      <c r="YQ1305" s="123"/>
      <c r="YR1305" s="123"/>
      <c r="YS1305" s="97">
        <f t="shared" si="853"/>
        <v>28838.38</v>
      </c>
      <c r="YT1305" s="97">
        <f t="shared" si="854"/>
        <v>28838.38</v>
      </c>
      <c r="YU1305" s="97">
        <f t="shared" si="855"/>
        <v>28838.38</v>
      </c>
      <c r="YV1305" s="123"/>
      <c r="YW1305" s="123"/>
      <c r="YX1305" s="123"/>
      <c r="YY1305" s="97">
        <f t="shared" si="856"/>
        <v>4900.92</v>
      </c>
      <c r="YZ1305" s="97">
        <f t="shared" si="857"/>
        <v>5001.07</v>
      </c>
      <c r="ZA1305" s="97">
        <f t="shared" si="858"/>
        <v>5191.9799999999996</v>
      </c>
      <c r="ZB1305" s="123"/>
      <c r="ZC1305" s="123"/>
      <c r="ZD1305" s="123"/>
      <c r="ZE1305" s="97">
        <f t="shared" si="859"/>
        <v>4900.92</v>
      </c>
      <c r="ZF1305" s="97">
        <f t="shared" si="859"/>
        <v>5001.07</v>
      </c>
      <c r="ZG1305" s="97">
        <f t="shared" si="859"/>
        <v>5191.9799999999996</v>
      </c>
    </row>
    <row r="1306" spans="1:683" s="435" customFormat="1" ht="48" hidden="1" x14ac:dyDescent="0.25">
      <c r="A1306" s="643" t="s">
        <v>1409</v>
      </c>
      <c r="B1306" s="174" t="s">
        <v>440</v>
      </c>
      <c r="C1306" s="5"/>
      <c r="D1306" s="436"/>
      <c r="E1306" s="163"/>
      <c r="F1306" s="110"/>
      <c r="G1306" s="110"/>
      <c r="H1306" s="110"/>
      <c r="I1306" s="97">
        <f t="shared" si="636"/>
        <v>28838.38</v>
      </c>
      <c r="J1306" s="97">
        <f t="shared" si="860"/>
        <v>28838.38</v>
      </c>
      <c r="K1306" s="97">
        <f t="shared" si="861"/>
        <v>28838.38</v>
      </c>
      <c r="L1306" s="102"/>
      <c r="M1306" s="102"/>
      <c r="N1306" s="102"/>
      <c r="O1306" s="123"/>
      <c r="P1306" s="123"/>
      <c r="Q1306" s="123"/>
      <c r="R1306" s="97">
        <f t="shared" ref="R1306" si="1060">$I1306*L1306</f>
        <v>0</v>
      </c>
      <c r="S1306" s="97">
        <f t="shared" ref="S1306" si="1061">$J1306*M1306</f>
        <v>0</v>
      </c>
      <c r="T1306" s="97">
        <f t="shared" ref="T1306" si="1062">$K1306*N1306</f>
        <v>0</v>
      </c>
      <c r="U1306" s="123"/>
      <c r="V1306" s="123"/>
      <c r="W1306" s="123"/>
      <c r="X1306" s="97">
        <f t="shared" si="638"/>
        <v>0</v>
      </c>
      <c r="Y1306" s="97">
        <f t="shared" si="639"/>
        <v>0</v>
      </c>
      <c r="Z1306" s="97">
        <f t="shared" si="640"/>
        <v>0</v>
      </c>
      <c r="AA1306" s="123"/>
      <c r="AB1306" s="123"/>
      <c r="AC1306" s="123"/>
      <c r="AD1306" s="97">
        <f t="shared" ref="AD1306" si="1063">L1306*X1306</f>
        <v>0</v>
      </c>
      <c r="AE1306" s="97">
        <f t="shared" ref="AE1306" si="1064">M1306*Y1306</f>
        <v>0</v>
      </c>
      <c r="AF1306" s="97">
        <f t="shared" ref="AF1306" si="1065">N1306*Z1306</f>
        <v>0</v>
      </c>
      <c r="AG1306" s="102"/>
      <c r="AH1306" s="102"/>
      <c r="AI1306" s="102"/>
      <c r="AJ1306" s="123"/>
      <c r="AK1306" s="123"/>
      <c r="AL1306" s="123"/>
      <c r="AM1306" s="97">
        <f t="shared" ref="AM1306" si="1066">$I1306*AG1306</f>
        <v>0</v>
      </c>
      <c r="AN1306" s="97">
        <f t="shared" ref="AN1306" si="1067">$J1306*AH1306</f>
        <v>0</v>
      </c>
      <c r="AO1306" s="97">
        <f t="shared" ref="AO1306" si="1068">$K1306*AI1306</f>
        <v>0</v>
      </c>
      <c r="AP1306" s="123"/>
      <c r="AQ1306" s="123"/>
      <c r="AR1306" s="123"/>
      <c r="AS1306" s="97">
        <f t="shared" si="645"/>
        <v>0</v>
      </c>
      <c r="AT1306" s="97">
        <f t="shared" si="646"/>
        <v>0</v>
      </c>
      <c r="AU1306" s="97">
        <f t="shared" si="647"/>
        <v>0</v>
      </c>
      <c r="AV1306" s="123"/>
      <c r="AW1306" s="123"/>
      <c r="AX1306" s="123"/>
      <c r="AY1306" s="97">
        <f t="shared" ref="AY1306" si="1069">AG1306*AS1306</f>
        <v>0</v>
      </c>
      <c r="AZ1306" s="97">
        <f t="shared" ref="AZ1306" si="1070">AH1306*AT1306</f>
        <v>0</v>
      </c>
      <c r="BA1306" s="97">
        <f t="shared" ref="BA1306" si="1071">AI1306*AU1306</f>
        <v>0</v>
      </c>
      <c r="BB1306" s="102"/>
      <c r="BC1306" s="102"/>
      <c r="BD1306" s="102"/>
      <c r="BE1306" s="123"/>
      <c r="BF1306" s="123"/>
      <c r="BG1306" s="123"/>
      <c r="BH1306" s="97">
        <f t="shared" ref="BH1306" si="1072">$I1306*BB1306</f>
        <v>0</v>
      </c>
      <c r="BI1306" s="97">
        <f t="shared" ref="BI1306" si="1073">$J1306*BC1306</f>
        <v>0</v>
      </c>
      <c r="BJ1306" s="97">
        <f t="shared" ref="BJ1306" si="1074">$K1306*BD1306</f>
        <v>0</v>
      </c>
      <c r="BK1306" s="123"/>
      <c r="BL1306" s="123"/>
      <c r="BM1306" s="123"/>
      <c r="BN1306" s="97">
        <f t="shared" si="652"/>
        <v>0</v>
      </c>
      <c r="BO1306" s="97">
        <f t="shared" si="653"/>
        <v>0</v>
      </c>
      <c r="BP1306" s="97">
        <f t="shared" si="654"/>
        <v>0</v>
      </c>
      <c r="BQ1306" s="123"/>
      <c r="BR1306" s="123"/>
      <c r="BS1306" s="123"/>
      <c r="BT1306" s="97">
        <f t="shared" ref="BT1306" si="1075">BB1306*BN1306</f>
        <v>0</v>
      </c>
      <c r="BU1306" s="97">
        <f t="shared" ref="BU1306" si="1076">BC1306*BO1306</f>
        <v>0</v>
      </c>
      <c r="BV1306" s="97">
        <f t="shared" ref="BV1306" si="1077">BD1306*BP1306</f>
        <v>0</v>
      </c>
      <c r="BW1306" s="102"/>
      <c r="BX1306" s="102"/>
      <c r="BY1306" s="102"/>
      <c r="BZ1306" s="123"/>
      <c r="CA1306" s="123"/>
      <c r="CB1306" s="123"/>
      <c r="CC1306" s="97">
        <f t="shared" ref="CC1306" si="1078">$I1306*BW1306</f>
        <v>0</v>
      </c>
      <c r="CD1306" s="97">
        <f t="shared" ref="CD1306" si="1079">$J1306*BX1306</f>
        <v>0</v>
      </c>
      <c r="CE1306" s="97">
        <f t="shared" ref="CE1306" si="1080">$K1306*BY1306</f>
        <v>0</v>
      </c>
      <c r="CF1306" s="123"/>
      <c r="CG1306" s="123"/>
      <c r="CH1306" s="123"/>
      <c r="CI1306" s="97">
        <f t="shared" si="659"/>
        <v>0</v>
      </c>
      <c r="CJ1306" s="97">
        <f t="shared" si="660"/>
        <v>0</v>
      </c>
      <c r="CK1306" s="97">
        <f t="shared" si="661"/>
        <v>0</v>
      </c>
      <c r="CL1306" s="123"/>
      <c r="CM1306" s="123"/>
      <c r="CN1306" s="123"/>
      <c r="CO1306" s="97">
        <f t="shared" ref="CO1306" si="1081">BW1306*CI1306</f>
        <v>0</v>
      </c>
      <c r="CP1306" s="97">
        <f t="shared" ref="CP1306" si="1082">BX1306*CJ1306</f>
        <v>0</v>
      </c>
      <c r="CQ1306" s="97">
        <f t="shared" ref="CQ1306" si="1083">BY1306*CK1306</f>
        <v>0</v>
      </c>
      <c r="CR1306" s="102"/>
      <c r="CS1306" s="102"/>
      <c r="CT1306" s="102"/>
      <c r="CU1306" s="123"/>
      <c r="CV1306" s="123"/>
      <c r="CW1306" s="123"/>
      <c r="CX1306" s="97">
        <f t="shared" ref="CX1306" si="1084">$I1306*CR1306</f>
        <v>0</v>
      </c>
      <c r="CY1306" s="97">
        <f t="shared" ref="CY1306" si="1085">$J1306*CS1306</f>
        <v>0</v>
      </c>
      <c r="CZ1306" s="97">
        <f t="shared" ref="CZ1306" si="1086">$K1306*CT1306</f>
        <v>0</v>
      </c>
      <c r="DA1306" s="123"/>
      <c r="DB1306" s="123"/>
      <c r="DC1306" s="123"/>
      <c r="DD1306" s="97">
        <f t="shared" si="666"/>
        <v>0</v>
      </c>
      <c r="DE1306" s="97">
        <f t="shared" si="667"/>
        <v>0</v>
      </c>
      <c r="DF1306" s="97">
        <f t="shared" si="668"/>
        <v>0</v>
      </c>
      <c r="DG1306" s="123"/>
      <c r="DH1306" s="123"/>
      <c r="DI1306" s="123"/>
      <c r="DJ1306" s="97">
        <f t="shared" ref="DJ1306" si="1087">CR1306*DD1306</f>
        <v>0</v>
      </c>
      <c r="DK1306" s="97">
        <f t="shared" ref="DK1306" si="1088">CS1306*DE1306</f>
        <v>0</v>
      </c>
      <c r="DL1306" s="97">
        <f t="shared" ref="DL1306" si="1089">CT1306*DF1306</f>
        <v>0</v>
      </c>
      <c r="DM1306" s="102"/>
      <c r="DN1306" s="102"/>
      <c r="DO1306" s="102"/>
      <c r="DP1306" s="123"/>
      <c r="DQ1306" s="123"/>
      <c r="DR1306" s="123"/>
      <c r="DS1306" s="97">
        <f t="shared" ref="DS1306" si="1090">$I1306*DM1306</f>
        <v>0</v>
      </c>
      <c r="DT1306" s="97">
        <f t="shared" ref="DT1306" si="1091">$J1306*DN1306</f>
        <v>0</v>
      </c>
      <c r="DU1306" s="97">
        <f t="shared" ref="DU1306" si="1092">$K1306*DO1306</f>
        <v>0</v>
      </c>
      <c r="DV1306" s="123"/>
      <c r="DW1306" s="123"/>
      <c r="DX1306" s="123"/>
      <c r="DY1306" s="97">
        <f t="shared" si="673"/>
        <v>0</v>
      </c>
      <c r="DZ1306" s="97">
        <f t="shared" si="674"/>
        <v>0</v>
      </c>
      <c r="EA1306" s="97">
        <f t="shared" si="675"/>
        <v>0</v>
      </c>
      <c r="EB1306" s="123"/>
      <c r="EC1306" s="123"/>
      <c r="ED1306" s="123"/>
      <c r="EE1306" s="97">
        <f t="shared" ref="EE1306" si="1093">DM1306*DY1306</f>
        <v>0</v>
      </c>
      <c r="EF1306" s="97">
        <f t="shared" ref="EF1306" si="1094">DN1306*DZ1306</f>
        <v>0</v>
      </c>
      <c r="EG1306" s="97">
        <f t="shared" ref="EG1306" si="1095">DO1306*EA1306</f>
        <v>0</v>
      </c>
      <c r="EH1306" s="102"/>
      <c r="EI1306" s="102"/>
      <c r="EJ1306" s="102"/>
      <c r="EK1306" s="123"/>
      <c r="EL1306" s="123"/>
      <c r="EM1306" s="123"/>
      <c r="EN1306" s="97">
        <f t="shared" ref="EN1306" si="1096">$I1306*EH1306</f>
        <v>0</v>
      </c>
      <c r="EO1306" s="97">
        <f t="shared" ref="EO1306" si="1097">$J1306*EI1306</f>
        <v>0</v>
      </c>
      <c r="EP1306" s="97">
        <f t="shared" ref="EP1306" si="1098">$K1306*EJ1306</f>
        <v>0</v>
      </c>
      <c r="EQ1306" s="123"/>
      <c r="ER1306" s="123"/>
      <c r="ES1306" s="123"/>
      <c r="ET1306" s="97">
        <f t="shared" si="680"/>
        <v>0</v>
      </c>
      <c r="EU1306" s="97">
        <f t="shared" si="681"/>
        <v>0</v>
      </c>
      <c r="EV1306" s="97">
        <f t="shared" si="682"/>
        <v>0</v>
      </c>
      <c r="EW1306" s="123"/>
      <c r="EX1306" s="123"/>
      <c r="EY1306" s="123"/>
      <c r="EZ1306" s="97">
        <f t="shared" ref="EZ1306" si="1099">EH1306*ET1306</f>
        <v>0</v>
      </c>
      <c r="FA1306" s="97">
        <f t="shared" ref="FA1306" si="1100">EI1306*EU1306</f>
        <v>0</v>
      </c>
      <c r="FB1306" s="97">
        <f t="shared" ref="FB1306" si="1101">EJ1306*EV1306</f>
        <v>0</v>
      </c>
      <c r="FC1306" s="102"/>
      <c r="FD1306" s="102"/>
      <c r="FE1306" s="102"/>
      <c r="FF1306" s="123"/>
      <c r="FG1306" s="123"/>
      <c r="FH1306" s="123"/>
      <c r="FI1306" s="97">
        <f t="shared" ref="FI1306" si="1102">$I1306*FC1306</f>
        <v>0</v>
      </c>
      <c r="FJ1306" s="97">
        <f t="shared" ref="FJ1306" si="1103">$J1306*FD1306</f>
        <v>0</v>
      </c>
      <c r="FK1306" s="97">
        <f t="shared" ref="FK1306" si="1104">$K1306*FE1306</f>
        <v>0</v>
      </c>
      <c r="FL1306" s="123"/>
      <c r="FM1306" s="123"/>
      <c r="FN1306" s="123"/>
      <c r="FO1306" s="97">
        <f t="shared" si="687"/>
        <v>0</v>
      </c>
      <c r="FP1306" s="97">
        <f t="shared" si="688"/>
        <v>0</v>
      </c>
      <c r="FQ1306" s="97">
        <f t="shared" si="689"/>
        <v>0</v>
      </c>
      <c r="FR1306" s="123"/>
      <c r="FS1306" s="123"/>
      <c r="FT1306" s="123"/>
      <c r="FU1306" s="97">
        <f t="shared" ref="FU1306" si="1105">FC1306*FO1306</f>
        <v>0</v>
      </c>
      <c r="FV1306" s="97">
        <f t="shared" ref="FV1306" si="1106">FD1306*FP1306</f>
        <v>0</v>
      </c>
      <c r="FW1306" s="97">
        <f t="shared" ref="FW1306" si="1107">FE1306*FQ1306</f>
        <v>0</v>
      </c>
      <c r="FX1306" s="102"/>
      <c r="FY1306" s="102"/>
      <c r="FZ1306" s="102"/>
      <c r="GA1306" s="123"/>
      <c r="GB1306" s="123"/>
      <c r="GC1306" s="123"/>
      <c r="GD1306" s="97">
        <f t="shared" ref="GD1306" si="1108">$I1306*FX1306</f>
        <v>0</v>
      </c>
      <c r="GE1306" s="97">
        <f t="shared" ref="GE1306" si="1109">$J1306*FY1306</f>
        <v>0</v>
      </c>
      <c r="GF1306" s="97">
        <f t="shared" ref="GF1306" si="1110">$K1306*FZ1306</f>
        <v>0</v>
      </c>
      <c r="GG1306" s="123"/>
      <c r="GH1306" s="123"/>
      <c r="GI1306" s="123"/>
      <c r="GJ1306" s="97">
        <f t="shared" si="694"/>
        <v>0</v>
      </c>
      <c r="GK1306" s="97">
        <f t="shared" si="695"/>
        <v>0</v>
      </c>
      <c r="GL1306" s="97">
        <f t="shared" si="696"/>
        <v>0</v>
      </c>
      <c r="GM1306" s="123"/>
      <c r="GN1306" s="123"/>
      <c r="GO1306" s="123"/>
      <c r="GP1306" s="97">
        <f t="shared" ref="GP1306" si="1111">FX1306*GJ1306</f>
        <v>0</v>
      </c>
      <c r="GQ1306" s="97">
        <f t="shared" ref="GQ1306" si="1112">FY1306*GK1306</f>
        <v>0</v>
      </c>
      <c r="GR1306" s="97">
        <f t="shared" ref="GR1306" si="1113">FZ1306*GL1306</f>
        <v>0</v>
      </c>
      <c r="GS1306" s="102"/>
      <c r="GT1306" s="102"/>
      <c r="GU1306" s="102"/>
      <c r="GV1306" s="123"/>
      <c r="GW1306" s="123"/>
      <c r="GX1306" s="123"/>
      <c r="GY1306" s="97">
        <f t="shared" ref="GY1306" si="1114">$I1306*GS1306</f>
        <v>0</v>
      </c>
      <c r="GZ1306" s="97">
        <f t="shared" ref="GZ1306" si="1115">$J1306*GT1306</f>
        <v>0</v>
      </c>
      <c r="HA1306" s="97">
        <f t="shared" ref="HA1306" si="1116">$K1306*GU1306</f>
        <v>0</v>
      </c>
      <c r="HB1306" s="123"/>
      <c r="HC1306" s="123"/>
      <c r="HD1306" s="123"/>
      <c r="HE1306" s="97">
        <f t="shared" si="701"/>
        <v>0</v>
      </c>
      <c r="HF1306" s="97">
        <f t="shared" si="702"/>
        <v>0</v>
      </c>
      <c r="HG1306" s="97">
        <f t="shared" si="703"/>
        <v>0</v>
      </c>
      <c r="HH1306" s="123"/>
      <c r="HI1306" s="123"/>
      <c r="HJ1306" s="123"/>
      <c r="HK1306" s="97">
        <f t="shared" ref="HK1306" si="1117">GS1306*HE1306</f>
        <v>0</v>
      </c>
      <c r="HL1306" s="97">
        <f t="shared" ref="HL1306" si="1118">GT1306*HF1306</f>
        <v>0</v>
      </c>
      <c r="HM1306" s="97">
        <f t="shared" ref="HM1306" si="1119">GU1306*HG1306</f>
        <v>0</v>
      </c>
      <c r="HN1306" s="102"/>
      <c r="HO1306" s="102"/>
      <c r="HP1306" s="102"/>
      <c r="HQ1306" s="123"/>
      <c r="HR1306" s="123"/>
      <c r="HS1306" s="123"/>
      <c r="HT1306" s="97">
        <f t="shared" ref="HT1306" si="1120">$I1306*HN1306</f>
        <v>0</v>
      </c>
      <c r="HU1306" s="97">
        <f t="shared" ref="HU1306" si="1121">$J1306*HO1306</f>
        <v>0</v>
      </c>
      <c r="HV1306" s="97">
        <f t="shared" ref="HV1306" si="1122">$K1306*HP1306</f>
        <v>0</v>
      </c>
      <c r="HW1306" s="123"/>
      <c r="HX1306" s="123"/>
      <c r="HY1306" s="123"/>
      <c r="HZ1306" s="97">
        <f t="shared" si="708"/>
        <v>0</v>
      </c>
      <c r="IA1306" s="97">
        <f t="shared" si="709"/>
        <v>0</v>
      </c>
      <c r="IB1306" s="97">
        <f t="shared" si="710"/>
        <v>0</v>
      </c>
      <c r="IC1306" s="123"/>
      <c r="ID1306" s="123"/>
      <c r="IE1306" s="123"/>
      <c r="IF1306" s="97">
        <f t="shared" ref="IF1306" si="1123">HN1306*HZ1306</f>
        <v>0</v>
      </c>
      <c r="IG1306" s="97">
        <f t="shared" ref="IG1306" si="1124">HO1306*IA1306</f>
        <v>0</v>
      </c>
      <c r="IH1306" s="97">
        <f t="shared" ref="IH1306" si="1125">HP1306*IB1306</f>
        <v>0</v>
      </c>
      <c r="II1306" s="102"/>
      <c r="IJ1306" s="102"/>
      <c r="IK1306" s="102"/>
      <c r="IL1306" s="123"/>
      <c r="IM1306" s="123"/>
      <c r="IN1306" s="123"/>
      <c r="IO1306" s="97">
        <f t="shared" ref="IO1306" si="1126">$I1306*II1306</f>
        <v>0</v>
      </c>
      <c r="IP1306" s="97">
        <f t="shared" ref="IP1306" si="1127">$J1306*IJ1306</f>
        <v>0</v>
      </c>
      <c r="IQ1306" s="97">
        <f t="shared" ref="IQ1306" si="1128">$K1306*IK1306</f>
        <v>0</v>
      </c>
      <c r="IR1306" s="123"/>
      <c r="IS1306" s="123"/>
      <c r="IT1306" s="123"/>
      <c r="IU1306" s="97">
        <f t="shared" si="715"/>
        <v>0</v>
      </c>
      <c r="IV1306" s="97">
        <f t="shared" si="716"/>
        <v>0</v>
      </c>
      <c r="IW1306" s="97">
        <f t="shared" si="717"/>
        <v>0</v>
      </c>
      <c r="IX1306" s="123"/>
      <c r="IY1306" s="123"/>
      <c r="IZ1306" s="123"/>
      <c r="JA1306" s="97">
        <f t="shared" ref="JA1306" si="1129">II1306*IU1306</f>
        <v>0</v>
      </c>
      <c r="JB1306" s="97">
        <f t="shared" ref="JB1306" si="1130">IJ1306*IV1306</f>
        <v>0</v>
      </c>
      <c r="JC1306" s="97">
        <f t="shared" ref="JC1306" si="1131">IK1306*IW1306</f>
        <v>0</v>
      </c>
      <c r="JD1306" s="102"/>
      <c r="JE1306" s="102"/>
      <c r="JF1306" s="102"/>
      <c r="JG1306" s="123"/>
      <c r="JH1306" s="123"/>
      <c r="JI1306" s="123"/>
      <c r="JJ1306" s="97">
        <f t="shared" ref="JJ1306" si="1132">$I1306*JD1306</f>
        <v>0</v>
      </c>
      <c r="JK1306" s="97">
        <f t="shared" ref="JK1306" si="1133">$J1306*JE1306</f>
        <v>0</v>
      </c>
      <c r="JL1306" s="97">
        <f t="shared" ref="JL1306" si="1134">$K1306*JF1306</f>
        <v>0</v>
      </c>
      <c r="JM1306" s="123"/>
      <c r="JN1306" s="123"/>
      <c r="JO1306" s="123"/>
      <c r="JP1306" s="97">
        <f t="shared" si="722"/>
        <v>0</v>
      </c>
      <c r="JQ1306" s="97">
        <f t="shared" si="723"/>
        <v>0</v>
      </c>
      <c r="JR1306" s="97">
        <f t="shared" si="724"/>
        <v>0</v>
      </c>
      <c r="JS1306" s="123"/>
      <c r="JT1306" s="123"/>
      <c r="JU1306" s="123"/>
      <c r="JV1306" s="97">
        <f t="shared" ref="JV1306" si="1135">JD1306*JP1306</f>
        <v>0</v>
      </c>
      <c r="JW1306" s="97">
        <f t="shared" ref="JW1306" si="1136">JE1306*JQ1306</f>
        <v>0</v>
      </c>
      <c r="JX1306" s="97">
        <f t="shared" ref="JX1306" si="1137">JF1306*JR1306</f>
        <v>0</v>
      </c>
      <c r="JY1306" s="102"/>
      <c r="JZ1306" s="102"/>
      <c r="KA1306" s="102"/>
      <c r="KB1306" s="123"/>
      <c r="KC1306" s="123"/>
      <c r="KD1306" s="123"/>
      <c r="KE1306" s="97">
        <f t="shared" ref="KE1306" si="1138">$I1306*JY1306</f>
        <v>0</v>
      </c>
      <c r="KF1306" s="97">
        <f t="shared" ref="KF1306" si="1139">$J1306*JZ1306</f>
        <v>0</v>
      </c>
      <c r="KG1306" s="97">
        <f t="shared" ref="KG1306" si="1140">$K1306*KA1306</f>
        <v>0</v>
      </c>
      <c r="KH1306" s="123"/>
      <c r="KI1306" s="123"/>
      <c r="KJ1306" s="123"/>
      <c r="KK1306" s="97">
        <f t="shared" si="729"/>
        <v>0</v>
      </c>
      <c r="KL1306" s="97">
        <f t="shared" si="730"/>
        <v>0</v>
      </c>
      <c r="KM1306" s="97">
        <f t="shared" si="731"/>
        <v>0</v>
      </c>
      <c r="KN1306" s="123"/>
      <c r="KO1306" s="123"/>
      <c r="KP1306" s="123"/>
      <c r="KQ1306" s="97">
        <f t="shared" ref="KQ1306" si="1141">JY1306*KK1306</f>
        <v>0</v>
      </c>
      <c r="KR1306" s="97">
        <f t="shared" ref="KR1306" si="1142">JZ1306*KL1306</f>
        <v>0</v>
      </c>
      <c r="KS1306" s="97">
        <f t="shared" ref="KS1306" si="1143">KA1306*KM1306</f>
        <v>0</v>
      </c>
      <c r="KT1306" s="102"/>
      <c r="KU1306" s="102"/>
      <c r="KV1306" s="102"/>
      <c r="KW1306" s="123"/>
      <c r="KX1306" s="123"/>
      <c r="KY1306" s="123"/>
      <c r="KZ1306" s="97">
        <f t="shared" ref="KZ1306" si="1144">$I1306*KT1306</f>
        <v>0</v>
      </c>
      <c r="LA1306" s="97">
        <f t="shared" ref="LA1306" si="1145">$J1306*KU1306</f>
        <v>0</v>
      </c>
      <c r="LB1306" s="97">
        <f t="shared" ref="LB1306" si="1146">$K1306*KV1306</f>
        <v>0</v>
      </c>
      <c r="LC1306" s="123"/>
      <c r="LD1306" s="123"/>
      <c r="LE1306" s="123"/>
      <c r="LF1306" s="97">
        <f t="shared" si="736"/>
        <v>0</v>
      </c>
      <c r="LG1306" s="97">
        <f t="shared" si="737"/>
        <v>0</v>
      </c>
      <c r="LH1306" s="97">
        <f t="shared" si="738"/>
        <v>0</v>
      </c>
      <c r="LI1306" s="123"/>
      <c r="LJ1306" s="123"/>
      <c r="LK1306" s="123"/>
      <c r="LL1306" s="97">
        <f t="shared" ref="LL1306" si="1147">KT1306*LF1306</f>
        <v>0</v>
      </c>
      <c r="LM1306" s="97">
        <f t="shared" ref="LM1306" si="1148">KU1306*LG1306</f>
        <v>0</v>
      </c>
      <c r="LN1306" s="97">
        <f t="shared" ref="LN1306" si="1149">KV1306*LH1306</f>
        <v>0</v>
      </c>
      <c r="LO1306" s="102"/>
      <c r="LP1306" s="102"/>
      <c r="LQ1306" s="102"/>
      <c r="LR1306" s="123"/>
      <c r="LS1306" s="123"/>
      <c r="LT1306" s="123"/>
      <c r="LU1306" s="97">
        <f t="shared" ref="LU1306" si="1150">$I1306*LO1306</f>
        <v>0</v>
      </c>
      <c r="LV1306" s="97">
        <f t="shared" ref="LV1306" si="1151">$J1306*LP1306</f>
        <v>0</v>
      </c>
      <c r="LW1306" s="97">
        <f t="shared" ref="LW1306" si="1152">$K1306*LQ1306</f>
        <v>0</v>
      </c>
      <c r="LX1306" s="123"/>
      <c r="LY1306" s="123"/>
      <c r="LZ1306" s="123"/>
      <c r="MA1306" s="97">
        <f t="shared" si="743"/>
        <v>0</v>
      </c>
      <c r="MB1306" s="97">
        <f t="shared" si="744"/>
        <v>0</v>
      </c>
      <c r="MC1306" s="97">
        <f t="shared" si="745"/>
        <v>0</v>
      </c>
      <c r="MD1306" s="123"/>
      <c r="ME1306" s="123"/>
      <c r="MF1306" s="123"/>
      <c r="MG1306" s="97">
        <f t="shared" ref="MG1306" si="1153">LO1306*MA1306</f>
        <v>0</v>
      </c>
      <c r="MH1306" s="97">
        <f t="shared" ref="MH1306" si="1154">LP1306*MB1306</f>
        <v>0</v>
      </c>
      <c r="MI1306" s="97">
        <f t="shared" ref="MI1306" si="1155">LQ1306*MC1306</f>
        <v>0</v>
      </c>
      <c r="MJ1306" s="102"/>
      <c r="MK1306" s="102"/>
      <c r="ML1306" s="102"/>
      <c r="MM1306" s="123"/>
      <c r="MN1306" s="123"/>
      <c r="MO1306" s="123"/>
      <c r="MP1306" s="97">
        <f t="shared" ref="MP1306" si="1156">$I1306*MJ1306</f>
        <v>0</v>
      </c>
      <c r="MQ1306" s="97">
        <f t="shared" ref="MQ1306" si="1157">$J1306*MK1306</f>
        <v>0</v>
      </c>
      <c r="MR1306" s="97">
        <f t="shared" ref="MR1306" si="1158">$K1306*ML1306</f>
        <v>0</v>
      </c>
      <c r="MS1306" s="123"/>
      <c r="MT1306" s="123"/>
      <c r="MU1306" s="123"/>
      <c r="MV1306" s="97">
        <f t="shared" si="750"/>
        <v>0</v>
      </c>
      <c r="MW1306" s="97">
        <f t="shared" si="751"/>
        <v>0</v>
      </c>
      <c r="MX1306" s="97">
        <f t="shared" si="752"/>
        <v>0</v>
      </c>
      <c r="MY1306" s="123"/>
      <c r="MZ1306" s="123"/>
      <c r="NA1306" s="123"/>
      <c r="NB1306" s="97">
        <f t="shared" ref="NB1306" si="1159">MJ1306*MV1306</f>
        <v>0</v>
      </c>
      <c r="NC1306" s="97">
        <f t="shared" ref="NC1306" si="1160">MK1306*MW1306</f>
        <v>0</v>
      </c>
      <c r="ND1306" s="97">
        <f t="shared" ref="ND1306" si="1161">ML1306*MX1306</f>
        <v>0</v>
      </c>
      <c r="NE1306" s="102"/>
      <c r="NF1306" s="102"/>
      <c r="NG1306" s="102"/>
      <c r="NH1306" s="123"/>
      <c r="NI1306" s="123"/>
      <c r="NJ1306" s="123"/>
      <c r="NK1306" s="97">
        <f t="shared" ref="NK1306" si="1162">$I1306*NE1306</f>
        <v>0</v>
      </c>
      <c r="NL1306" s="97">
        <f t="shared" ref="NL1306" si="1163">$J1306*NF1306</f>
        <v>0</v>
      </c>
      <c r="NM1306" s="97">
        <f t="shared" ref="NM1306" si="1164">$K1306*NG1306</f>
        <v>0</v>
      </c>
      <c r="NN1306" s="123"/>
      <c r="NO1306" s="123"/>
      <c r="NP1306" s="123"/>
      <c r="NQ1306" s="97">
        <f t="shared" si="757"/>
        <v>0</v>
      </c>
      <c r="NR1306" s="97">
        <f t="shared" si="758"/>
        <v>0</v>
      </c>
      <c r="NS1306" s="97">
        <f t="shared" si="759"/>
        <v>0</v>
      </c>
      <c r="NT1306" s="123"/>
      <c r="NU1306" s="123"/>
      <c r="NV1306" s="123"/>
      <c r="NW1306" s="97">
        <f t="shared" ref="NW1306" si="1165">NE1306*NQ1306</f>
        <v>0</v>
      </c>
      <c r="NX1306" s="97">
        <f t="shared" ref="NX1306" si="1166">NF1306*NR1306</f>
        <v>0</v>
      </c>
      <c r="NY1306" s="97">
        <f t="shared" ref="NY1306" si="1167">NG1306*NS1306</f>
        <v>0</v>
      </c>
      <c r="NZ1306" s="102"/>
      <c r="OA1306" s="102"/>
      <c r="OB1306" s="102"/>
      <c r="OC1306" s="123"/>
      <c r="OD1306" s="123"/>
      <c r="OE1306" s="123"/>
      <c r="OF1306" s="97">
        <f t="shared" ref="OF1306" si="1168">$I1306*NZ1306</f>
        <v>0</v>
      </c>
      <c r="OG1306" s="97">
        <f t="shared" ref="OG1306" si="1169">$J1306*OA1306</f>
        <v>0</v>
      </c>
      <c r="OH1306" s="97">
        <f t="shared" ref="OH1306" si="1170">$K1306*OB1306</f>
        <v>0</v>
      </c>
      <c r="OI1306" s="123"/>
      <c r="OJ1306" s="123"/>
      <c r="OK1306" s="123"/>
      <c r="OL1306" s="97">
        <f t="shared" si="764"/>
        <v>0</v>
      </c>
      <c r="OM1306" s="97">
        <f t="shared" si="765"/>
        <v>0</v>
      </c>
      <c r="ON1306" s="97">
        <f t="shared" si="766"/>
        <v>0</v>
      </c>
      <c r="OO1306" s="123"/>
      <c r="OP1306" s="123"/>
      <c r="OQ1306" s="123"/>
      <c r="OR1306" s="97">
        <f t="shared" ref="OR1306" si="1171">NZ1306*OL1306</f>
        <v>0</v>
      </c>
      <c r="OS1306" s="97">
        <f t="shared" ref="OS1306" si="1172">OA1306*OM1306</f>
        <v>0</v>
      </c>
      <c r="OT1306" s="97">
        <f t="shared" ref="OT1306" si="1173">OB1306*ON1306</f>
        <v>0</v>
      </c>
      <c r="OU1306" s="102"/>
      <c r="OV1306" s="102"/>
      <c r="OW1306" s="102"/>
      <c r="OX1306" s="123"/>
      <c r="OY1306" s="123"/>
      <c r="OZ1306" s="123"/>
      <c r="PA1306" s="97">
        <f t="shared" ref="PA1306" si="1174">$I1306*OU1306</f>
        <v>0</v>
      </c>
      <c r="PB1306" s="97">
        <f t="shared" ref="PB1306" si="1175">$J1306*OV1306</f>
        <v>0</v>
      </c>
      <c r="PC1306" s="97">
        <f t="shared" ref="PC1306" si="1176">$K1306*OW1306</f>
        <v>0</v>
      </c>
      <c r="PD1306" s="123"/>
      <c r="PE1306" s="123"/>
      <c r="PF1306" s="123"/>
      <c r="PG1306" s="97">
        <f t="shared" si="771"/>
        <v>0</v>
      </c>
      <c r="PH1306" s="97">
        <f t="shared" si="772"/>
        <v>0</v>
      </c>
      <c r="PI1306" s="97">
        <f t="shared" si="773"/>
        <v>0</v>
      </c>
      <c r="PJ1306" s="123"/>
      <c r="PK1306" s="123"/>
      <c r="PL1306" s="123"/>
      <c r="PM1306" s="97">
        <f t="shared" ref="PM1306" si="1177">OU1306*PG1306</f>
        <v>0</v>
      </c>
      <c r="PN1306" s="97">
        <f t="shared" ref="PN1306" si="1178">OV1306*PH1306</f>
        <v>0</v>
      </c>
      <c r="PO1306" s="97">
        <f t="shared" ref="PO1306" si="1179">OW1306*PI1306</f>
        <v>0</v>
      </c>
      <c r="PP1306" s="102"/>
      <c r="PQ1306" s="102"/>
      <c r="PR1306" s="102"/>
      <c r="PS1306" s="123"/>
      <c r="PT1306" s="123"/>
      <c r="PU1306" s="123"/>
      <c r="PV1306" s="97">
        <f t="shared" ref="PV1306" si="1180">$I1306*PP1306</f>
        <v>0</v>
      </c>
      <c r="PW1306" s="97">
        <f t="shared" ref="PW1306" si="1181">$J1306*PQ1306</f>
        <v>0</v>
      </c>
      <c r="PX1306" s="97">
        <f t="shared" ref="PX1306" si="1182">$K1306*PR1306</f>
        <v>0</v>
      </c>
      <c r="PY1306" s="123"/>
      <c r="PZ1306" s="123"/>
      <c r="QA1306" s="123"/>
      <c r="QB1306" s="97">
        <f t="shared" si="778"/>
        <v>0</v>
      </c>
      <c r="QC1306" s="97">
        <f t="shared" si="779"/>
        <v>0</v>
      </c>
      <c r="QD1306" s="97">
        <f t="shared" si="780"/>
        <v>0</v>
      </c>
      <c r="QE1306" s="123"/>
      <c r="QF1306" s="123"/>
      <c r="QG1306" s="123"/>
      <c r="QH1306" s="97">
        <f t="shared" ref="QH1306" si="1183">PP1306*QB1306</f>
        <v>0</v>
      </c>
      <c r="QI1306" s="97">
        <f t="shared" ref="QI1306" si="1184">PQ1306*QC1306</f>
        <v>0</v>
      </c>
      <c r="QJ1306" s="97">
        <f t="shared" ref="QJ1306" si="1185">PR1306*QD1306</f>
        <v>0</v>
      </c>
      <c r="QK1306" s="102"/>
      <c r="QL1306" s="102"/>
      <c r="QM1306" s="102"/>
      <c r="QN1306" s="123"/>
      <c r="QO1306" s="123"/>
      <c r="QP1306" s="123"/>
      <c r="QQ1306" s="97">
        <f t="shared" ref="QQ1306" si="1186">$I1306*QK1306</f>
        <v>0</v>
      </c>
      <c r="QR1306" s="97">
        <f t="shared" ref="QR1306" si="1187">$J1306*QL1306</f>
        <v>0</v>
      </c>
      <c r="QS1306" s="97">
        <f t="shared" ref="QS1306" si="1188">$K1306*QM1306</f>
        <v>0</v>
      </c>
      <c r="QT1306" s="123"/>
      <c r="QU1306" s="123"/>
      <c r="QV1306" s="123"/>
      <c r="QW1306" s="97">
        <f t="shared" si="785"/>
        <v>0</v>
      </c>
      <c r="QX1306" s="97">
        <f t="shared" si="786"/>
        <v>0</v>
      </c>
      <c r="QY1306" s="97">
        <f t="shared" si="787"/>
        <v>0</v>
      </c>
      <c r="QZ1306" s="123"/>
      <c r="RA1306" s="123"/>
      <c r="RB1306" s="123"/>
      <c r="RC1306" s="97">
        <f t="shared" ref="RC1306" si="1189">QK1306*QW1306</f>
        <v>0</v>
      </c>
      <c r="RD1306" s="97">
        <f t="shared" ref="RD1306" si="1190">QL1306*QX1306</f>
        <v>0</v>
      </c>
      <c r="RE1306" s="97">
        <f t="shared" ref="RE1306" si="1191">QM1306*QY1306</f>
        <v>0</v>
      </c>
      <c r="RF1306" s="102"/>
      <c r="RG1306" s="102"/>
      <c r="RH1306" s="102"/>
      <c r="RI1306" s="123"/>
      <c r="RJ1306" s="123"/>
      <c r="RK1306" s="123"/>
      <c r="RL1306" s="97">
        <f t="shared" ref="RL1306" si="1192">$I1306*RF1306</f>
        <v>0</v>
      </c>
      <c r="RM1306" s="97">
        <f t="shared" ref="RM1306" si="1193">$J1306*RG1306</f>
        <v>0</v>
      </c>
      <c r="RN1306" s="97">
        <f t="shared" ref="RN1306" si="1194">$K1306*RH1306</f>
        <v>0</v>
      </c>
      <c r="RO1306" s="123"/>
      <c r="RP1306" s="123"/>
      <c r="RQ1306" s="123"/>
      <c r="RR1306" s="97">
        <f t="shared" si="792"/>
        <v>0</v>
      </c>
      <c r="RS1306" s="97">
        <f t="shared" si="793"/>
        <v>0</v>
      </c>
      <c r="RT1306" s="97">
        <f t="shared" si="794"/>
        <v>0</v>
      </c>
      <c r="RU1306" s="123"/>
      <c r="RV1306" s="123"/>
      <c r="RW1306" s="123"/>
      <c r="RX1306" s="97">
        <f t="shared" ref="RX1306" si="1195">RF1306*RR1306</f>
        <v>0</v>
      </c>
      <c r="RY1306" s="97">
        <f t="shared" ref="RY1306" si="1196">RG1306*RS1306</f>
        <v>0</v>
      </c>
      <c r="RZ1306" s="97">
        <f t="shared" ref="RZ1306" si="1197">RH1306*RT1306</f>
        <v>0</v>
      </c>
      <c r="SA1306" s="102"/>
      <c r="SB1306" s="102"/>
      <c r="SC1306" s="102"/>
      <c r="SD1306" s="123"/>
      <c r="SE1306" s="123"/>
      <c r="SF1306" s="123"/>
      <c r="SG1306" s="97">
        <f t="shared" ref="SG1306" si="1198">$I1306*SA1306</f>
        <v>0</v>
      </c>
      <c r="SH1306" s="97">
        <f t="shared" ref="SH1306" si="1199">$J1306*SB1306</f>
        <v>0</v>
      </c>
      <c r="SI1306" s="97">
        <f t="shared" ref="SI1306" si="1200">$K1306*SC1306</f>
        <v>0</v>
      </c>
      <c r="SJ1306" s="123"/>
      <c r="SK1306" s="123"/>
      <c r="SL1306" s="123"/>
      <c r="SM1306" s="97">
        <f t="shared" si="799"/>
        <v>0</v>
      </c>
      <c r="SN1306" s="97">
        <f t="shared" si="800"/>
        <v>0</v>
      </c>
      <c r="SO1306" s="97">
        <f t="shared" si="801"/>
        <v>0</v>
      </c>
      <c r="SP1306" s="123"/>
      <c r="SQ1306" s="123"/>
      <c r="SR1306" s="123"/>
      <c r="SS1306" s="97">
        <f t="shared" ref="SS1306" si="1201">SA1306*SM1306</f>
        <v>0</v>
      </c>
      <c r="ST1306" s="97">
        <f t="shared" ref="ST1306" si="1202">SB1306*SN1306</f>
        <v>0</v>
      </c>
      <c r="SU1306" s="97">
        <f t="shared" ref="SU1306" si="1203">SC1306*SO1306</f>
        <v>0</v>
      </c>
      <c r="SV1306" s="102"/>
      <c r="SW1306" s="102"/>
      <c r="SX1306" s="102"/>
      <c r="SY1306" s="123"/>
      <c r="SZ1306" s="123"/>
      <c r="TA1306" s="123"/>
      <c r="TB1306" s="97">
        <f t="shared" ref="TB1306" si="1204">$I1306*SV1306</f>
        <v>0</v>
      </c>
      <c r="TC1306" s="97">
        <f t="shared" ref="TC1306" si="1205">$J1306*SW1306</f>
        <v>0</v>
      </c>
      <c r="TD1306" s="97">
        <f t="shared" ref="TD1306" si="1206">$K1306*SX1306</f>
        <v>0</v>
      </c>
      <c r="TE1306" s="123"/>
      <c r="TF1306" s="123"/>
      <c r="TG1306" s="123"/>
      <c r="TH1306" s="97">
        <f t="shared" si="806"/>
        <v>0</v>
      </c>
      <c r="TI1306" s="97">
        <f t="shared" si="807"/>
        <v>0</v>
      </c>
      <c r="TJ1306" s="97">
        <f t="shared" si="808"/>
        <v>0</v>
      </c>
      <c r="TK1306" s="123"/>
      <c r="TL1306" s="123"/>
      <c r="TM1306" s="123"/>
      <c r="TN1306" s="97">
        <f t="shared" ref="TN1306" si="1207">SV1306*TH1306</f>
        <v>0</v>
      </c>
      <c r="TO1306" s="97">
        <f t="shared" ref="TO1306" si="1208">SW1306*TI1306</f>
        <v>0</v>
      </c>
      <c r="TP1306" s="97">
        <f t="shared" ref="TP1306" si="1209">SX1306*TJ1306</f>
        <v>0</v>
      </c>
      <c r="TQ1306" s="102"/>
      <c r="TR1306" s="102"/>
      <c r="TS1306" s="102"/>
      <c r="TT1306" s="123"/>
      <c r="TU1306" s="123"/>
      <c r="TV1306" s="123"/>
      <c r="TW1306" s="97">
        <f t="shared" ref="TW1306" si="1210">$I1306*TQ1306</f>
        <v>0</v>
      </c>
      <c r="TX1306" s="97">
        <f t="shared" ref="TX1306" si="1211">$J1306*TR1306</f>
        <v>0</v>
      </c>
      <c r="TY1306" s="97">
        <f t="shared" ref="TY1306" si="1212">$K1306*TS1306</f>
        <v>0</v>
      </c>
      <c r="TZ1306" s="123"/>
      <c r="UA1306" s="123"/>
      <c r="UB1306" s="123"/>
      <c r="UC1306" s="97">
        <f t="shared" si="813"/>
        <v>0</v>
      </c>
      <c r="UD1306" s="97">
        <f t="shared" si="814"/>
        <v>0</v>
      </c>
      <c r="UE1306" s="97">
        <f t="shared" si="815"/>
        <v>0</v>
      </c>
      <c r="UF1306" s="123"/>
      <c r="UG1306" s="123"/>
      <c r="UH1306" s="123"/>
      <c r="UI1306" s="97">
        <f t="shared" ref="UI1306" si="1213">TQ1306*UC1306</f>
        <v>0</v>
      </c>
      <c r="UJ1306" s="97">
        <f t="shared" ref="UJ1306" si="1214">TR1306*UD1306</f>
        <v>0</v>
      </c>
      <c r="UK1306" s="97">
        <f t="shared" ref="UK1306" si="1215">TS1306*UE1306</f>
        <v>0</v>
      </c>
      <c r="UL1306" s="102"/>
      <c r="UM1306" s="102"/>
      <c r="UN1306" s="102"/>
      <c r="UO1306" s="123"/>
      <c r="UP1306" s="123"/>
      <c r="UQ1306" s="123"/>
      <c r="UR1306" s="97">
        <f t="shared" ref="UR1306" si="1216">$I1306*UL1306</f>
        <v>0</v>
      </c>
      <c r="US1306" s="97">
        <f t="shared" ref="US1306" si="1217">$J1306*UM1306</f>
        <v>0</v>
      </c>
      <c r="UT1306" s="97">
        <f t="shared" ref="UT1306" si="1218">$K1306*UN1306</f>
        <v>0</v>
      </c>
      <c r="UU1306" s="123"/>
      <c r="UV1306" s="123"/>
      <c r="UW1306" s="123"/>
      <c r="UX1306" s="97">
        <f t="shared" si="820"/>
        <v>4900.92</v>
      </c>
      <c r="UY1306" s="97">
        <f t="shared" si="821"/>
        <v>5001.07</v>
      </c>
      <c r="UZ1306" s="97">
        <f t="shared" si="822"/>
        <v>5191.9799999999996</v>
      </c>
      <c r="VA1306" s="123"/>
      <c r="VB1306" s="123"/>
      <c r="VC1306" s="123"/>
      <c r="VD1306" s="97">
        <f t="shared" ref="VD1306" si="1219">UL1306*UX1306</f>
        <v>0</v>
      </c>
      <c r="VE1306" s="97">
        <f t="shared" ref="VE1306" si="1220">UM1306*UY1306</f>
        <v>0</v>
      </c>
      <c r="VF1306" s="97">
        <f t="shared" ref="VF1306" si="1221">UN1306*UZ1306</f>
        <v>0</v>
      </c>
      <c r="VG1306" s="102"/>
      <c r="VH1306" s="102"/>
      <c r="VI1306" s="102"/>
      <c r="VJ1306" s="123"/>
      <c r="VK1306" s="123"/>
      <c r="VL1306" s="123"/>
      <c r="VM1306" s="97">
        <f t="shared" ref="VM1306" si="1222">$I1306*VG1306</f>
        <v>0</v>
      </c>
      <c r="VN1306" s="97">
        <f t="shared" ref="VN1306" si="1223">$J1306*VH1306</f>
        <v>0</v>
      </c>
      <c r="VO1306" s="97">
        <f t="shared" ref="VO1306" si="1224">$K1306*VI1306</f>
        <v>0</v>
      </c>
      <c r="VP1306" s="123"/>
      <c r="VQ1306" s="123"/>
      <c r="VR1306" s="123"/>
      <c r="VS1306" s="97">
        <f t="shared" si="827"/>
        <v>0</v>
      </c>
      <c r="VT1306" s="97">
        <f t="shared" si="828"/>
        <v>0</v>
      </c>
      <c r="VU1306" s="97">
        <f t="shared" si="829"/>
        <v>0</v>
      </c>
      <c r="VV1306" s="123"/>
      <c r="VW1306" s="123"/>
      <c r="VX1306" s="123"/>
      <c r="VY1306" s="97">
        <f t="shared" ref="VY1306" si="1225">VG1306*VS1306</f>
        <v>0</v>
      </c>
      <c r="VZ1306" s="97">
        <f t="shared" ref="VZ1306" si="1226">VH1306*VT1306</f>
        <v>0</v>
      </c>
      <c r="WA1306" s="97">
        <f t="shared" ref="WA1306" si="1227">VI1306*VU1306</f>
        <v>0</v>
      </c>
      <c r="WB1306" s="102"/>
      <c r="WC1306" s="102"/>
      <c r="WD1306" s="102"/>
      <c r="WE1306" s="123"/>
      <c r="WF1306" s="123"/>
      <c r="WG1306" s="123"/>
      <c r="WH1306" s="97">
        <f t="shared" ref="WH1306" si="1228">$I1306*WB1306</f>
        <v>0</v>
      </c>
      <c r="WI1306" s="97">
        <f t="shared" ref="WI1306" si="1229">$J1306*WC1306</f>
        <v>0</v>
      </c>
      <c r="WJ1306" s="97">
        <f t="shared" ref="WJ1306" si="1230">$K1306*WD1306</f>
        <v>0</v>
      </c>
      <c r="WK1306" s="123"/>
      <c r="WL1306" s="123"/>
      <c r="WM1306" s="123"/>
      <c r="WN1306" s="97">
        <f t="shared" si="834"/>
        <v>0</v>
      </c>
      <c r="WO1306" s="97">
        <f t="shared" si="835"/>
        <v>0</v>
      </c>
      <c r="WP1306" s="97">
        <f t="shared" si="836"/>
        <v>0</v>
      </c>
      <c r="WQ1306" s="123"/>
      <c r="WR1306" s="123"/>
      <c r="WS1306" s="123"/>
      <c r="WT1306" s="97">
        <f t="shared" ref="WT1306" si="1231">WB1306*WN1306</f>
        <v>0</v>
      </c>
      <c r="WU1306" s="97">
        <f t="shared" ref="WU1306" si="1232">WC1306*WO1306</f>
        <v>0</v>
      </c>
      <c r="WV1306" s="97">
        <f t="shared" ref="WV1306" si="1233">WD1306*WP1306</f>
        <v>0</v>
      </c>
      <c r="WW1306" s="102"/>
      <c r="WX1306" s="102"/>
      <c r="WY1306" s="102"/>
      <c r="WZ1306" s="123"/>
      <c r="XA1306" s="123"/>
      <c r="XB1306" s="123"/>
      <c r="XC1306" s="97">
        <f t="shared" ref="XC1306" si="1234">$I1306*WW1306</f>
        <v>0</v>
      </c>
      <c r="XD1306" s="97">
        <f t="shared" ref="XD1306" si="1235">$J1306*WX1306</f>
        <v>0</v>
      </c>
      <c r="XE1306" s="97">
        <f t="shared" ref="XE1306" si="1236">$K1306*WY1306</f>
        <v>0</v>
      </c>
      <c r="XF1306" s="123"/>
      <c r="XG1306" s="123"/>
      <c r="XH1306" s="123"/>
      <c r="XI1306" s="97">
        <f t="shared" si="841"/>
        <v>0</v>
      </c>
      <c r="XJ1306" s="97">
        <f t="shared" si="842"/>
        <v>0</v>
      </c>
      <c r="XK1306" s="97">
        <f t="shared" si="843"/>
        <v>0</v>
      </c>
      <c r="XL1306" s="123"/>
      <c r="XM1306" s="123"/>
      <c r="XN1306" s="123"/>
      <c r="XO1306" s="97">
        <f t="shared" ref="XO1306" si="1237">WW1306*XI1306</f>
        <v>0</v>
      </c>
      <c r="XP1306" s="97">
        <f t="shared" ref="XP1306" si="1238">WX1306*XJ1306</f>
        <v>0</v>
      </c>
      <c r="XQ1306" s="97">
        <f t="shared" ref="XQ1306" si="1239">WY1306*XK1306</f>
        <v>0</v>
      </c>
      <c r="XR1306" s="102"/>
      <c r="XS1306" s="102"/>
      <c r="XT1306" s="102"/>
      <c r="XU1306" s="123"/>
      <c r="XV1306" s="123"/>
      <c r="XW1306" s="123"/>
      <c r="XX1306" s="97">
        <f t="shared" ref="XX1306" si="1240">$I1306*XR1306</f>
        <v>0</v>
      </c>
      <c r="XY1306" s="97">
        <f t="shared" ref="XY1306" si="1241">$J1306*XS1306</f>
        <v>0</v>
      </c>
      <c r="XZ1306" s="97">
        <f t="shared" ref="XZ1306" si="1242">$K1306*XT1306</f>
        <v>0</v>
      </c>
      <c r="YA1306" s="123"/>
      <c r="YB1306" s="123"/>
      <c r="YC1306" s="123"/>
      <c r="YD1306" s="97">
        <f t="shared" si="848"/>
        <v>0</v>
      </c>
      <c r="YE1306" s="97">
        <f t="shared" si="849"/>
        <v>0</v>
      </c>
      <c r="YF1306" s="97">
        <f t="shared" si="850"/>
        <v>0</v>
      </c>
      <c r="YG1306" s="123"/>
      <c r="YH1306" s="123"/>
      <c r="YI1306" s="123"/>
      <c r="YJ1306" s="97">
        <f t="shared" ref="YJ1306" si="1243">XR1306*YD1306</f>
        <v>0</v>
      </c>
      <c r="YK1306" s="97">
        <f t="shared" ref="YK1306" si="1244">XS1306*YE1306</f>
        <v>0</v>
      </c>
      <c r="YL1306" s="97">
        <f t="shared" ref="YL1306" si="1245">XT1306*YF1306</f>
        <v>0</v>
      </c>
      <c r="YM1306" s="145">
        <f t="shared" ref="YM1306" si="1246">L1306+AG1306+BB1306+BW1306+CR1306+DM1306+EH1306+FC1306+FX1306+GS1306+HN1306+II1306+JD1306+JY1306+KT1306+LO1306+MJ1306+NE1306+NZ1306+OU1306+PP1306+QK1306+RF1306+SA1306+SV1306+TQ1306+UL1306+VG1306+WB1306+WW1306+XR1306</f>
        <v>0</v>
      </c>
      <c r="YN1306" s="145">
        <f t="shared" ref="YN1306" si="1247">M1306+AH1306+BC1306+BX1306+CS1306+DN1306+EI1306+FD1306+FY1306+GT1306+HO1306+IJ1306+JE1306+JZ1306+KU1306+LP1306+MK1306+NF1306+OA1306+OV1306+PQ1306+QL1306+RG1306+SB1306+SW1306+TR1306+UM1306+VH1306+WC1306+WX1306+XS1306</f>
        <v>0</v>
      </c>
      <c r="YO1306" s="145">
        <f t="shared" ref="YO1306" si="1248">N1306+AI1306+BD1306+BY1306+CT1306+DO1306+EJ1306+FE1306+FZ1306+GU1306+HP1306+IK1306+JF1306+KA1306+KV1306+LQ1306+ML1306+NG1306+OB1306+OW1306+PR1306+QM1306+RH1306+SC1306+SX1306+TS1306+UN1306+VI1306+WD1306+WY1306+XT1306</f>
        <v>0</v>
      </c>
      <c r="YP1306" s="123"/>
      <c r="YQ1306" s="123"/>
      <c r="YR1306" s="123"/>
      <c r="YS1306" s="97">
        <f t="shared" ref="YS1306" si="1249">$I1306*YM1306</f>
        <v>0</v>
      </c>
      <c r="YT1306" s="97">
        <f t="shared" ref="YT1306" si="1250">$J1306*YN1306</f>
        <v>0</v>
      </c>
      <c r="YU1306" s="97">
        <f t="shared" ref="YU1306" si="1251">$K1306*YO1306</f>
        <v>0</v>
      </c>
      <c r="YV1306" s="123"/>
      <c r="YW1306" s="123"/>
      <c r="YX1306" s="123"/>
      <c r="YY1306" s="97">
        <f t="shared" si="856"/>
        <v>4900.92</v>
      </c>
      <c r="YZ1306" s="97">
        <f t="shared" si="857"/>
        <v>5001.07</v>
      </c>
      <c r="ZA1306" s="97">
        <f t="shared" si="858"/>
        <v>5191.9799999999996</v>
      </c>
      <c r="ZB1306" s="123"/>
      <c r="ZC1306" s="123"/>
      <c r="ZD1306" s="123"/>
      <c r="ZE1306" s="97">
        <f t="shared" ref="ZE1306" si="1252">YM1306*YY1306</f>
        <v>0</v>
      </c>
      <c r="ZF1306" s="97">
        <f t="shared" ref="ZF1306" si="1253">YN1306*YZ1306</f>
        <v>0</v>
      </c>
      <c r="ZG1306" s="97">
        <f t="shared" ref="ZG1306" si="1254">YO1306*ZA1306</f>
        <v>0</v>
      </c>
    </row>
    <row r="1307" spans="1:683" ht="36" x14ac:dyDescent="0.25">
      <c r="A1307" s="98" t="s">
        <v>949</v>
      </c>
      <c r="B1307" s="174" t="s">
        <v>440</v>
      </c>
      <c r="C1307" s="5"/>
      <c r="D1307" s="340"/>
      <c r="E1307" s="163"/>
      <c r="F1307" s="110"/>
      <c r="G1307" s="110"/>
      <c r="H1307" s="110"/>
      <c r="I1307" s="97">
        <f t="shared" si="636"/>
        <v>13231.43</v>
      </c>
      <c r="J1307" s="97">
        <f t="shared" si="860"/>
        <v>13231.43</v>
      </c>
      <c r="K1307" s="97">
        <f t="shared" si="861"/>
        <v>13231.43</v>
      </c>
      <c r="L1307" s="102"/>
      <c r="M1307" s="102"/>
      <c r="N1307" s="102"/>
      <c r="O1307" s="123"/>
      <c r="P1307" s="123"/>
      <c r="Q1307" s="123"/>
      <c r="R1307" s="97">
        <f t="shared" si="862"/>
        <v>0</v>
      </c>
      <c r="S1307" s="97">
        <f t="shared" si="863"/>
        <v>0</v>
      </c>
      <c r="T1307" s="97">
        <f t="shared" si="864"/>
        <v>0</v>
      </c>
      <c r="U1307" s="123"/>
      <c r="V1307" s="123"/>
      <c r="W1307" s="123"/>
      <c r="X1307" s="97">
        <f t="shared" si="638"/>
        <v>0</v>
      </c>
      <c r="Y1307" s="97">
        <f t="shared" si="639"/>
        <v>0</v>
      </c>
      <c r="Z1307" s="97">
        <f t="shared" si="640"/>
        <v>0</v>
      </c>
      <c r="AA1307" s="123"/>
      <c r="AB1307" s="123"/>
      <c r="AC1307" s="123"/>
      <c r="AD1307" s="97">
        <f t="shared" si="641"/>
        <v>0</v>
      </c>
      <c r="AE1307" s="97">
        <f t="shared" si="641"/>
        <v>0</v>
      </c>
      <c r="AF1307" s="97">
        <f t="shared" si="641"/>
        <v>0</v>
      </c>
      <c r="AG1307" s="102"/>
      <c r="AH1307" s="102"/>
      <c r="AI1307" s="102"/>
      <c r="AJ1307" s="123"/>
      <c r="AK1307" s="123"/>
      <c r="AL1307" s="123"/>
      <c r="AM1307" s="97">
        <f t="shared" si="642"/>
        <v>0</v>
      </c>
      <c r="AN1307" s="97">
        <f t="shared" si="643"/>
        <v>0</v>
      </c>
      <c r="AO1307" s="97">
        <f t="shared" si="644"/>
        <v>0</v>
      </c>
      <c r="AP1307" s="123"/>
      <c r="AQ1307" s="123"/>
      <c r="AR1307" s="123"/>
      <c r="AS1307" s="97">
        <f t="shared" si="645"/>
        <v>0</v>
      </c>
      <c r="AT1307" s="97">
        <f t="shared" si="646"/>
        <v>0</v>
      </c>
      <c r="AU1307" s="97">
        <f t="shared" si="647"/>
        <v>0</v>
      </c>
      <c r="AV1307" s="123"/>
      <c r="AW1307" s="123"/>
      <c r="AX1307" s="123"/>
      <c r="AY1307" s="97">
        <f t="shared" si="648"/>
        <v>0</v>
      </c>
      <c r="AZ1307" s="97">
        <f t="shared" si="648"/>
        <v>0</v>
      </c>
      <c r="BA1307" s="97">
        <f t="shared" si="648"/>
        <v>0</v>
      </c>
      <c r="BB1307" s="102"/>
      <c r="BC1307" s="102"/>
      <c r="BD1307" s="102"/>
      <c r="BE1307" s="123"/>
      <c r="BF1307" s="123"/>
      <c r="BG1307" s="123"/>
      <c r="BH1307" s="97">
        <f t="shared" si="649"/>
        <v>0</v>
      </c>
      <c r="BI1307" s="97">
        <f t="shared" si="650"/>
        <v>0</v>
      </c>
      <c r="BJ1307" s="97">
        <f t="shared" si="651"/>
        <v>0</v>
      </c>
      <c r="BK1307" s="123"/>
      <c r="BL1307" s="123"/>
      <c r="BM1307" s="123"/>
      <c r="BN1307" s="97">
        <f t="shared" si="652"/>
        <v>0</v>
      </c>
      <c r="BO1307" s="97">
        <f t="shared" si="653"/>
        <v>0</v>
      </c>
      <c r="BP1307" s="97">
        <f t="shared" si="654"/>
        <v>0</v>
      </c>
      <c r="BQ1307" s="123"/>
      <c r="BR1307" s="123"/>
      <c r="BS1307" s="123"/>
      <c r="BT1307" s="97">
        <f t="shared" si="655"/>
        <v>0</v>
      </c>
      <c r="BU1307" s="97">
        <f t="shared" si="655"/>
        <v>0</v>
      </c>
      <c r="BV1307" s="97">
        <f t="shared" si="655"/>
        <v>0</v>
      </c>
      <c r="BW1307" s="102"/>
      <c r="BX1307" s="102"/>
      <c r="BY1307" s="102"/>
      <c r="BZ1307" s="123"/>
      <c r="CA1307" s="123"/>
      <c r="CB1307" s="123"/>
      <c r="CC1307" s="97">
        <f t="shared" si="656"/>
        <v>0</v>
      </c>
      <c r="CD1307" s="97">
        <f t="shared" si="657"/>
        <v>0</v>
      </c>
      <c r="CE1307" s="97">
        <f t="shared" si="658"/>
        <v>0</v>
      </c>
      <c r="CF1307" s="123"/>
      <c r="CG1307" s="123"/>
      <c r="CH1307" s="123"/>
      <c r="CI1307" s="97">
        <f t="shared" si="659"/>
        <v>0</v>
      </c>
      <c r="CJ1307" s="97">
        <f t="shared" si="660"/>
        <v>0</v>
      </c>
      <c r="CK1307" s="97">
        <f t="shared" si="661"/>
        <v>0</v>
      </c>
      <c r="CL1307" s="123"/>
      <c r="CM1307" s="123"/>
      <c r="CN1307" s="123"/>
      <c r="CO1307" s="97">
        <f t="shared" si="662"/>
        <v>0</v>
      </c>
      <c r="CP1307" s="97">
        <f t="shared" si="662"/>
        <v>0</v>
      </c>
      <c r="CQ1307" s="97">
        <f t="shared" si="662"/>
        <v>0</v>
      </c>
      <c r="CR1307" s="102"/>
      <c r="CS1307" s="102"/>
      <c r="CT1307" s="102"/>
      <c r="CU1307" s="123"/>
      <c r="CV1307" s="123"/>
      <c r="CW1307" s="123"/>
      <c r="CX1307" s="97">
        <f t="shared" si="663"/>
        <v>0</v>
      </c>
      <c r="CY1307" s="97">
        <f t="shared" si="664"/>
        <v>0</v>
      </c>
      <c r="CZ1307" s="97">
        <f t="shared" si="665"/>
        <v>0</v>
      </c>
      <c r="DA1307" s="123"/>
      <c r="DB1307" s="123"/>
      <c r="DC1307" s="123"/>
      <c r="DD1307" s="97">
        <f t="shared" si="666"/>
        <v>0</v>
      </c>
      <c r="DE1307" s="97">
        <f t="shared" si="667"/>
        <v>0</v>
      </c>
      <c r="DF1307" s="97">
        <f t="shared" si="668"/>
        <v>0</v>
      </c>
      <c r="DG1307" s="123"/>
      <c r="DH1307" s="123"/>
      <c r="DI1307" s="123"/>
      <c r="DJ1307" s="97">
        <f t="shared" si="669"/>
        <v>0</v>
      </c>
      <c r="DK1307" s="97">
        <f t="shared" si="669"/>
        <v>0</v>
      </c>
      <c r="DL1307" s="97">
        <f t="shared" si="669"/>
        <v>0</v>
      </c>
      <c r="DM1307" s="102"/>
      <c r="DN1307" s="102"/>
      <c r="DO1307" s="102"/>
      <c r="DP1307" s="123"/>
      <c r="DQ1307" s="123"/>
      <c r="DR1307" s="123"/>
      <c r="DS1307" s="97">
        <f t="shared" si="670"/>
        <v>0</v>
      </c>
      <c r="DT1307" s="97">
        <f t="shared" si="671"/>
        <v>0</v>
      </c>
      <c r="DU1307" s="97">
        <f t="shared" si="672"/>
        <v>0</v>
      </c>
      <c r="DV1307" s="123"/>
      <c r="DW1307" s="123"/>
      <c r="DX1307" s="123"/>
      <c r="DY1307" s="97">
        <f t="shared" si="673"/>
        <v>0</v>
      </c>
      <c r="DZ1307" s="97">
        <f t="shared" si="674"/>
        <v>0</v>
      </c>
      <c r="EA1307" s="97">
        <f t="shared" si="675"/>
        <v>0</v>
      </c>
      <c r="EB1307" s="123"/>
      <c r="EC1307" s="123"/>
      <c r="ED1307" s="123"/>
      <c r="EE1307" s="97">
        <f t="shared" si="676"/>
        <v>0</v>
      </c>
      <c r="EF1307" s="97">
        <f t="shared" si="676"/>
        <v>0</v>
      </c>
      <c r="EG1307" s="97">
        <f t="shared" si="676"/>
        <v>0</v>
      </c>
      <c r="EH1307" s="102"/>
      <c r="EI1307" s="102"/>
      <c r="EJ1307" s="102"/>
      <c r="EK1307" s="123"/>
      <c r="EL1307" s="123"/>
      <c r="EM1307" s="123"/>
      <c r="EN1307" s="97">
        <f t="shared" si="677"/>
        <v>0</v>
      </c>
      <c r="EO1307" s="97">
        <f t="shared" si="678"/>
        <v>0</v>
      </c>
      <c r="EP1307" s="97">
        <f t="shared" si="679"/>
        <v>0</v>
      </c>
      <c r="EQ1307" s="123"/>
      <c r="ER1307" s="123"/>
      <c r="ES1307" s="123"/>
      <c r="ET1307" s="97">
        <f t="shared" si="680"/>
        <v>0</v>
      </c>
      <c r="EU1307" s="97">
        <f t="shared" si="681"/>
        <v>0</v>
      </c>
      <c r="EV1307" s="97">
        <f t="shared" si="682"/>
        <v>0</v>
      </c>
      <c r="EW1307" s="123"/>
      <c r="EX1307" s="123"/>
      <c r="EY1307" s="123"/>
      <c r="EZ1307" s="97">
        <f t="shared" si="683"/>
        <v>0</v>
      </c>
      <c r="FA1307" s="97">
        <f t="shared" si="683"/>
        <v>0</v>
      </c>
      <c r="FB1307" s="97">
        <f t="shared" si="683"/>
        <v>0</v>
      </c>
      <c r="FC1307" s="102"/>
      <c r="FD1307" s="102"/>
      <c r="FE1307" s="102"/>
      <c r="FF1307" s="123"/>
      <c r="FG1307" s="123"/>
      <c r="FH1307" s="123"/>
      <c r="FI1307" s="97">
        <f t="shared" si="684"/>
        <v>0</v>
      </c>
      <c r="FJ1307" s="97">
        <f t="shared" si="685"/>
        <v>0</v>
      </c>
      <c r="FK1307" s="97">
        <f t="shared" si="686"/>
        <v>0</v>
      </c>
      <c r="FL1307" s="123"/>
      <c r="FM1307" s="123"/>
      <c r="FN1307" s="123"/>
      <c r="FO1307" s="97">
        <f t="shared" si="687"/>
        <v>0</v>
      </c>
      <c r="FP1307" s="97">
        <f t="shared" si="688"/>
        <v>0</v>
      </c>
      <c r="FQ1307" s="97">
        <f t="shared" si="689"/>
        <v>0</v>
      </c>
      <c r="FR1307" s="123"/>
      <c r="FS1307" s="123"/>
      <c r="FT1307" s="123"/>
      <c r="FU1307" s="97">
        <f t="shared" si="690"/>
        <v>0</v>
      </c>
      <c r="FV1307" s="97">
        <f t="shared" si="690"/>
        <v>0</v>
      </c>
      <c r="FW1307" s="97">
        <f t="shared" si="690"/>
        <v>0</v>
      </c>
      <c r="FX1307" s="102"/>
      <c r="FY1307" s="102"/>
      <c r="FZ1307" s="102"/>
      <c r="GA1307" s="123"/>
      <c r="GB1307" s="123"/>
      <c r="GC1307" s="123"/>
      <c r="GD1307" s="97">
        <f t="shared" si="691"/>
        <v>0</v>
      </c>
      <c r="GE1307" s="97">
        <f t="shared" si="692"/>
        <v>0</v>
      </c>
      <c r="GF1307" s="97">
        <f t="shared" si="693"/>
        <v>0</v>
      </c>
      <c r="GG1307" s="123"/>
      <c r="GH1307" s="123"/>
      <c r="GI1307" s="123"/>
      <c r="GJ1307" s="97">
        <f t="shared" si="694"/>
        <v>0</v>
      </c>
      <c r="GK1307" s="97">
        <f t="shared" si="695"/>
        <v>0</v>
      </c>
      <c r="GL1307" s="97">
        <f t="shared" si="696"/>
        <v>0</v>
      </c>
      <c r="GM1307" s="123"/>
      <c r="GN1307" s="123"/>
      <c r="GO1307" s="123"/>
      <c r="GP1307" s="97">
        <f t="shared" si="697"/>
        <v>0</v>
      </c>
      <c r="GQ1307" s="97">
        <f t="shared" si="697"/>
        <v>0</v>
      </c>
      <c r="GR1307" s="97">
        <f t="shared" si="697"/>
        <v>0</v>
      </c>
      <c r="GS1307" s="102"/>
      <c r="GT1307" s="102"/>
      <c r="GU1307" s="102"/>
      <c r="GV1307" s="123"/>
      <c r="GW1307" s="123"/>
      <c r="GX1307" s="123"/>
      <c r="GY1307" s="97">
        <f t="shared" si="698"/>
        <v>0</v>
      </c>
      <c r="GZ1307" s="97">
        <f t="shared" si="699"/>
        <v>0</v>
      </c>
      <c r="HA1307" s="97">
        <f t="shared" si="700"/>
        <v>0</v>
      </c>
      <c r="HB1307" s="123"/>
      <c r="HC1307" s="123"/>
      <c r="HD1307" s="123"/>
      <c r="HE1307" s="97">
        <f t="shared" si="701"/>
        <v>0</v>
      </c>
      <c r="HF1307" s="97">
        <f t="shared" si="702"/>
        <v>0</v>
      </c>
      <c r="HG1307" s="97">
        <f t="shared" si="703"/>
        <v>0</v>
      </c>
      <c r="HH1307" s="123"/>
      <c r="HI1307" s="123"/>
      <c r="HJ1307" s="123"/>
      <c r="HK1307" s="97">
        <f t="shared" si="704"/>
        <v>0</v>
      </c>
      <c r="HL1307" s="97">
        <f t="shared" si="704"/>
        <v>0</v>
      </c>
      <c r="HM1307" s="97">
        <f t="shared" si="704"/>
        <v>0</v>
      </c>
      <c r="HN1307" s="102"/>
      <c r="HO1307" s="102"/>
      <c r="HP1307" s="102"/>
      <c r="HQ1307" s="123"/>
      <c r="HR1307" s="123"/>
      <c r="HS1307" s="123"/>
      <c r="HT1307" s="97">
        <f t="shared" si="705"/>
        <v>0</v>
      </c>
      <c r="HU1307" s="97">
        <f t="shared" si="706"/>
        <v>0</v>
      </c>
      <c r="HV1307" s="97">
        <f t="shared" si="707"/>
        <v>0</v>
      </c>
      <c r="HW1307" s="123"/>
      <c r="HX1307" s="123"/>
      <c r="HY1307" s="123"/>
      <c r="HZ1307" s="97">
        <f t="shared" si="708"/>
        <v>0</v>
      </c>
      <c r="IA1307" s="97">
        <f t="shared" si="709"/>
        <v>0</v>
      </c>
      <c r="IB1307" s="97">
        <f t="shared" si="710"/>
        <v>0</v>
      </c>
      <c r="IC1307" s="123"/>
      <c r="ID1307" s="123"/>
      <c r="IE1307" s="123"/>
      <c r="IF1307" s="97">
        <f t="shared" si="711"/>
        <v>0</v>
      </c>
      <c r="IG1307" s="97">
        <f t="shared" si="711"/>
        <v>0</v>
      </c>
      <c r="IH1307" s="97">
        <f t="shared" si="711"/>
        <v>0</v>
      </c>
      <c r="II1307" s="102"/>
      <c r="IJ1307" s="102"/>
      <c r="IK1307" s="102"/>
      <c r="IL1307" s="123"/>
      <c r="IM1307" s="123"/>
      <c r="IN1307" s="123"/>
      <c r="IO1307" s="97">
        <f t="shared" si="712"/>
        <v>0</v>
      </c>
      <c r="IP1307" s="97">
        <f t="shared" si="713"/>
        <v>0</v>
      </c>
      <c r="IQ1307" s="97">
        <f t="shared" si="714"/>
        <v>0</v>
      </c>
      <c r="IR1307" s="123"/>
      <c r="IS1307" s="123"/>
      <c r="IT1307" s="123"/>
      <c r="IU1307" s="97">
        <f t="shared" si="715"/>
        <v>0</v>
      </c>
      <c r="IV1307" s="97">
        <f t="shared" si="716"/>
        <v>0</v>
      </c>
      <c r="IW1307" s="97">
        <f t="shared" si="717"/>
        <v>0</v>
      </c>
      <c r="IX1307" s="123"/>
      <c r="IY1307" s="123"/>
      <c r="IZ1307" s="123"/>
      <c r="JA1307" s="97">
        <f t="shared" si="718"/>
        <v>0</v>
      </c>
      <c r="JB1307" s="97">
        <f t="shared" si="718"/>
        <v>0</v>
      </c>
      <c r="JC1307" s="97">
        <f t="shared" si="718"/>
        <v>0</v>
      </c>
      <c r="JD1307" s="102"/>
      <c r="JE1307" s="102"/>
      <c r="JF1307" s="102"/>
      <c r="JG1307" s="123"/>
      <c r="JH1307" s="123"/>
      <c r="JI1307" s="123"/>
      <c r="JJ1307" s="97">
        <f t="shared" si="719"/>
        <v>0</v>
      </c>
      <c r="JK1307" s="97">
        <f t="shared" si="720"/>
        <v>0</v>
      </c>
      <c r="JL1307" s="97">
        <f t="shared" si="721"/>
        <v>0</v>
      </c>
      <c r="JM1307" s="123"/>
      <c r="JN1307" s="123"/>
      <c r="JO1307" s="123"/>
      <c r="JP1307" s="97">
        <f t="shared" si="722"/>
        <v>0</v>
      </c>
      <c r="JQ1307" s="97">
        <f t="shared" si="723"/>
        <v>0</v>
      </c>
      <c r="JR1307" s="97">
        <f t="shared" si="724"/>
        <v>0</v>
      </c>
      <c r="JS1307" s="123"/>
      <c r="JT1307" s="123"/>
      <c r="JU1307" s="123"/>
      <c r="JV1307" s="97">
        <f t="shared" si="725"/>
        <v>0</v>
      </c>
      <c r="JW1307" s="97">
        <f t="shared" si="725"/>
        <v>0</v>
      </c>
      <c r="JX1307" s="97">
        <f t="shared" si="725"/>
        <v>0</v>
      </c>
      <c r="JY1307" s="102"/>
      <c r="JZ1307" s="102"/>
      <c r="KA1307" s="102"/>
      <c r="KB1307" s="123"/>
      <c r="KC1307" s="123"/>
      <c r="KD1307" s="123"/>
      <c r="KE1307" s="97">
        <f t="shared" si="726"/>
        <v>0</v>
      </c>
      <c r="KF1307" s="97">
        <f t="shared" si="727"/>
        <v>0</v>
      </c>
      <c r="KG1307" s="97">
        <f t="shared" si="728"/>
        <v>0</v>
      </c>
      <c r="KH1307" s="123"/>
      <c r="KI1307" s="123"/>
      <c r="KJ1307" s="123"/>
      <c r="KK1307" s="97">
        <f t="shared" si="729"/>
        <v>0</v>
      </c>
      <c r="KL1307" s="97">
        <f t="shared" si="730"/>
        <v>0</v>
      </c>
      <c r="KM1307" s="97">
        <f t="shared" si="731"/>
        <v>0</v>
      </c>
      <c r="KN1307" s="123"/>
      <c r="KO1307" s="123"/>
      <c r="KP1307" s="123"/>
      <c r="KQ1307" s="97">
        <f t="shared" si="732"/>
        <v>0</v>
      </c>
      <c r="KR1307" s="97">
        <f t="shared" si="732"/>
        <v>0</v>
      </c>
      <c r="KS1307" s="97">
        <f t="shared" si="732"/>
        <v>0</v>
      </c>
      <c r="KT1307" s="102"/>
      <c r="KU1307" s="102"/>
      <c r="KV1307" s="102"/>
      <c r="KW1307" s="123"/>
      <c r="KX1307" s="123"/>
      <c r="KY1307" s="123"/>
      <c r="KZ1307" s="97">
        <f t="shared" si="733"/>
        <v>0</v>
      </c>
      <c r="LA1307" s="97">
        <f t="shared" si="734"/>
        <v>0</v>
      </c>
      <c r="LB1307" s="97">
        <f t="shared" si="735"/>
        <v>0</v>
      </c>
      <c r="LC1307" s="123"/>
      <c r="LD1307" s="123"/>
      <c r="LE1307" s="123"/>
      <c r="LF1307" s="97">
        <f t="shared" si="736"/>
        <v>0</v>
      </c>
      <c r="LG1307" s="97">
        <f t="shared" si="737"/>
        <v>0</v>
      </c>
      <c r="LH1307" s="97">
        <f t="shared" si="738"/>
        <v>0</v>
      </c>
      <c r="LI1307" s="123"/>
      <c r="LJ1307" s="123"/>
      <c r="LK1307" s="123"/>
      <c r="LL1307" s="97">
        <f t="shared" si="739"/>
        <v>0</v>
      </c>
      <c r="LM1307" s="97">
        <f t="shared" si="739"/>
        <v>0</v>
      </c>
      <c r="LN1307" s="97">
        <f t="shared" si="739"/>
        <v>0</v>
      </c>
      <c r="LO1307" s="102"/>
      <c r="LP1307" s="102"/>
      <c r="LQ1307" s="102"/>
      <c r="LR1307" s="123"/>
      <c r="LS1307" s="123"/>
      <c r="LT1307" s="123"/>
      <c r="LU1307" s="97">
        <f t="shared" si="740"/>
        <v>0</v>
      </c>
      <c r="LV1307" s="97">
        <f t="shared" si="741"/>
        <v>0</v>
      </c>
      <c r="LW1307" s="97">
        <f t="shared" si="742"/>
        <v>0</v>
      </c>
      <c r="LX1307" s="123"/>
      <c r="LY1307" s="123"/>
      <c r="LZ1307" s="123"/>
      <c r="MA1307" s="97">
        <f t="shared" si="743"/>
        <v>0</v>
      </c>
      <c r="MB1307" s="97">
        <f t="shared" si="744"/>
        <v>0</v>
      </c>
      <c r="MC1307" s="97">
        <f t="shared" si="745"/>
        <v>0</v>
      </c>
      <c r="MD1307" s="123"/>
      <c r="ME1307" s="123"/>
      <c r="MF1307" s="123"/>
      <c r="MG1307" s="97">
        <f t="shared" si="746"/>
        <v>0</v>
      </c>
      <c r="MH1307" s="97">
        <f t="shared" si="746"/>
        <v>0</v>
      </c>
      <c r="MI1307" s="97">
        <f t="shared" si="746"/>
        <v>0</v>
      </c>
      <c r="MJ1307" s="102"/>
      <c r="MK1307" s="102"/>
      <c r="ML1307" s="102"/>
      <c r="MM1307" s="123"/>
      <c r="MN1307" s="123"/>
      <c r="MO1307" s="123"/>
      <c r="MP1307" s="97">
        <f t="shared" si="747"/>
        <v>0</v>
      </c>
      <c r="MQ1307" s="97">
        <f t="shared" si="748"/>
        <v>0</v>
      </c>
      <c r="MR1307" s="97">
        <f t="shared" si="749"/>
        <v>0</v>
      </c>
      <c r="MS1307" s="123"/>
      <c r="MT1307" s="123"/>
      <c r="MU1307" s="123"/>
      <c r="MV1307" s="97">
        <f t="shared" si="750"/>
        <v>0</v>
      </c>
      <c r="MW1307" s="97">
        <f t="shared" si="751"/>
        <v>0</v>
      </c>
      <c r="MX1307" s="97">
        <f t="shared" si="752"/>
        <v>0</v>
      </c>
      <c r="MY1307" s="123"/>
      <c r="MZ1307" s="123"/>
      <c r="NA1307" s="123"/>
      <c r="NB1307" s="97">
        <f t="shared" si="753"/>
        <v>0</v>
      </c>
      <c r="NC1307" s="97">
        <f t="shared" si="753"/>
        <v>0</v>
      </c>
      <c r="ND1307" s="97">
        <f t="shared" si="753"/>
        <v>0</v>
      </c>
      <c r="NE1307" s="102"/>
      <c r="NF1307" s="102"/>
      <c r="NG1307" s="102"/>
      <c r="NH1307" s="123"/>
      <c r="NI1307" s="123"/>
      <c r="NJ1307" s="123"/>
      <c r="NK1307" s="97">
        <f t="shared" si="754"/>
        <v>0</v>
      </c>
      <c r="NL1307" s="97">
        <f t="shared" si="755"/>
        <v>0</v>
      </c>
      <c r="NM1307" s="97">
        <f t="shared" si="756"/>
        <v>0</v>
      </c>
      <c r="NN1307" s="123"/>
      <c r="NO1307" s="123"/>
      <c r="NP1307" s="123"/>
      <c r="NQ1307" s="97">
        <f t="shared" si="757"/>
        <v>0</v>
      </c>
      <c r="NR1307" s="97">
        <f t="shared" si="758"/>
        <v>0</v>
      </c>
      <c r="NS1307" s="97">
        <f t="shared" si="759"/>
        <v>0</v>
      </c>
      <c r="NT1307" s="123"/>
      <c r="NU1307" s="123"/>
      <c r="NV1307" s="123"/>
      <c r="NW1307" s="97">
        <f t="shared" si="760"/>
        <v>0</v>
      </c>
      <c r="NX1307" s="97">
        <f t="shared" si="760"/>
        <v>0</v>
      </c>
      <c r="NY1307" s="97">
        <f t="shared" si="760"/>
        <v>0</v>
      </c>
      <c r="NZ1307" s="102"/>
      <c r="OA1307" s="102"/>
      <c r="OB1307" s="102"/>
      <c r="OC1307" s="123"/>
      <c r="OD1307" s="123"/>
      <c r="OE1307" s="123"/>
      <c r="OF1307" s="97">
        <f t="shared" si="761"/>
        <v>0</v>
      </c>
      <c r="OG1307" s="97">
        <f t="shared" si="762"/>
        <v>0</v>
      </c>
      <c r="OH1307" s="97">
        <f t="shared" si="763"/>
        <v>0</v>
      </c>
      <c r="OI1307" s="123"/>
      <c r="OJ1307" s="123"/>
      <c r="OK1307" s="123"/>
      <c r="OL1307" s="97">
        <f t="shared" si="764"/>
        <v>0</v>
      </c>
      <c r="OM1307" s="97">
        <f t="shared" si="765"/>
        <v>0</v>
      </c>
      <c r="ON1307" s="97">
        <f t="shared" si="766"/>
        <v>0</v>
      </c>
      <c r="OO1307" s="123"/>
      <c r="OP1307" s="123"/>
      <c r="OQ1307" s="123"/>
      <c r="OR1307" s="97">
        <f t="shared" si="767"/>
        <v>0</v>
      </c>
      <c r="OS1307" s="97">
        <f t="shared" si="767"/>
        <v>0</v>
      </c>
      <c r="OT1307" s="97">
        <f t="shared" si="767"/>
        <v>0</v>
      </c>
      <c r="OU1307" s="102"/>
      <c r="OV1307" s="102"/>
      <c r="OW1307" s="102"/>
      <c r="OX1307" s="123"/>
      <c r="OY1307" s="123"/>
      <c r="OZ1307" s="123"/>
      <c r="PA1307" s="97">
        <f t="shared" si="768"/>
        <v>0</v>
      </c>
      <c r="PB1307" s="97">
        <f t="shared" si="769"/>
        <v>0</v>
      </c>
      <c r="PC1307" s="97">
        <f t="shared" si="770"/>
        <v>0</v>
      </c>
      <c r="PD1307" s="123"/>
      <c r="PE1307" s="123"/>
      <c r="PF1307" s="123"/>
      <c r="PG1307" s="97">
        <f t="shared" si="771"/>
        <v>0</v>
      </c>
      <c r="PH1307" s="97">
        <f t="shared" si="772"/>
        <v>0</v>
      </c>
      <c r="PI1307" s="97">
        <f t="shared" si="773"/>
        <v>0</v>
      </c>
      <c r="PJ1307" s="123"/>
      <c r="PK1307" s="123"/>
      <c r="PL1307" s="123"/>
      <c r="PM1307" s="97">
        <f t="shared" si="774"/>
        <v>0</v>
      </c>
      <c r="PN1307" s="97">
        <f t="shared" si="774"/>
        <v>0</v>
      </c>
      <c r="PO1307" s="97">
        <f t="shared" si="774"/>
        <v>0</v>
      </c>
      <c r="PP1307" s="102"/>
      <c r="PQ1307" s="102"/>
      <c r="PR1307" s="102"/>
      <c r="PS1307" s="123"/>
      <c r="PT1307" s="123"/>
      <c r="PU1307" s="123"/>
      <c r="PV1307" s="97">
        <f t="shared" si="775"/>
        <v>0</v>
      </c>
      <c r="PW1307" s="97">
        <f t="shared" si="776"/>
        <v>0</v>
      </c>
      <c r="PX1307" s="97">
        <f t="shared" si="777"/>
        <v>0</v>
      </c>
      <c r="PY1307" s="123"/>
      <c r="PZ1307" s="123"/>
      <c r="QA1307" s="123"/>
      <c r="QB1307" s="97">
        <f t="shared" si="778"/>
        <v>0</v>
      </c>
      <c r="QC1307" s="97">
        <f t="shared" si="779"/>
        <v>0</v>
      </c>
      <c r="QD1307" s="97">
        <f t="shared" si="780"/>
        <v>0</v>
      </c>
      <c r="QE1307" s="123"/>
      <c r="QF1307" s="123"/>
      <c r="QG1307" s="123"/>
      <c r="QH1307" s="97">
        <f t="shared" si="781"/>
        <v>0</v>
      </c>
      <c r="QI1307" s="97">
        <f t="shared" si="781"/>
        <v>0</v>
      </c>
      <c r="QJ1307" s="97">
        <f t="shared" si="781"/>
        <v>0</v>
      </c>
      <c r="QK1307" s="102"/>
      <c r="QL1307" s="102"/>
      <c r="QM1307" s="102"/>
      <c r="QN1307" s="123"/>
      <c r="QO1307" s="123"/>
      <c r="QP1307" s="123"/>
      <c r="QQ1307" s="97">
        <f t="shared" si="782"/>
        <v>0</v>
      </c>
      <c r="QR1307" s="97">
        <f t="shared" si="783"/>
        <v>0</v>
      </c>
      <c r="QS1307" s="97">
        <f t="shared" si="784"/>
        <v>0</v>
      </c>
      <c r="QT1307" s="123"/>
      <c r="QU1307" s="123"/>
      <c r="QV1307" s="123"/>
      <c r="QW1307" s="97">
        <f t="shared" si="785"/>
        <v>0</v>
      </c>
      <c r="QX1307" s="97">
        <f t="shared" si="786"/>
        <v>0</v>
      </c>
      <c r="QY1307" s="97">
        <f t="shared" si="787"/>
        <v>0</v>
      </c>
      <c r="QZ1307" s="123"/>
      <c r="RA1307" s="123"/>
      <c r="RB1307" s="123"/>
      <c r="RC1307" s="97">
        <f t="shared" si="788"/>
        <v>0</v>
      </c>
      <c r="RD1307" s="97">
        <f t="shared" si="788"/>
        <v>0</v>
      </c>
      <c r="RE1307" s="97">
        <f t="shared" si="788"/>
        <v>0</v>
      </c>
      <c r="RF1307" s="102"/>
      <c r="RG1307" s="102"/>
      <c r="RH1307" s="102"/>
      <c r="RI1307" s="123"/>
      <c r="RJ1307" s="123"/>
      <c r="RK1307" s="123"/>
      <c r="RL1307" s="97">
        <f t="shared" si="789"/>
        <v>0</v>
      </c>
      <c r="RM1307" s="97">
        <f t="shared" si="790"/>
        <v>0</v>
      </c>
      <c r="RN1307" s="97">
        <f t="shared" si="791"/>
        <v>0</v>
      </c>
      <c r="RO1307" s="123"/>
      <c r="RP1307" s="123"/>
      <c r="RQ1307" s="123"/>
      <c r="RR1307" s="97">
        <f t="shared" si="792"/>
        <v>0</v>
      </c>
      <c r="RS1307" s="97">
        <f t="shared" si="793"/>
        <v>0</v>
      </c>
      <c r="RT1307" s="97">
        <f t="shared" si="794"/>
        <v>0</v>
      </c>
      <c r="RU1307" s="123"/>
      <c r="RV1307" s="123"/>
      <c r="RW1307" s="123"/>
      <c r="RX1307" s="97">
        <f t="shared" si="795"/>
        <v>0</v>
      </c>
      <c r="RY1307" s="97">
        <f t="shared" si="795"/>
        <v>0</v>
      </c>
      <c r="RZ1307" s="97">
        <f t="shared" si="795"/>
        <v>0</v>
      </c>
      <c r="SA1307" s="102"/>
      <c r="SB1307" s="102"/>
      <c r="SC1307" s="102"/>
      <c r="SD1307" s="123"/>
      <c r="SE1307" s="123"/>
      <c r="SF1307" s="123"/>
      <c r="SG1307" s="97">
        <f t="shared" si="796"/>
        <v>0</v>
      </c>
      <c r="SH1307" s="97">
        <f t="shared" si="797"/>
        <v>0</v>
      </c>
      <c r="SI1307" s="97">
        <f t="shared" si="798"/>
        <v>0</v>
      </c>
      <c r="SJ1307" s="123"/>
      <c r="SK1307" s="123"/>
      <c r="SL1307" s="123"/>
      <c r="SM1307" s="97">
        <f t="shared" si="799"/>
        <v>0</v>
      </c>
      <c r="SN1307" s="97">
        <f t="shared" si="800"/>
        <v>0</v>
      </c>
      <c r="SO1307" s="97">
        <f t="shared" si="801"/>
        <v>0</v>
      </c>
      <c r="SP1307" s="123"/>
      <c r="SQ1307" s="123"/>
      <c r="SR1307" s="123"/>
      <c r="SS1307" s="97">
        <f t="shared" si="802"/>
        <v>0</v>
      </c>
      <c r="ST1307" s="97">
        <f t="shared" si="802"/>
        <v>0</v>
      </c>
      <c r="SU1307" s="97">
        <f t="shared" si="802"/>
        <v>0</v>
      </c>
      <c r="SV1307" s="102"/>
      <c r="SW1307" s="102"/>
      <c r="SX1307" s="102"/>
      <c r="SY1307" s="123"/>
      <c r="SZ1307" s="123"/>
      <c r="TA1307" s="123"/>
      <c r="TB1307" s="97">
        <f t="shared" si="803"/>
        <v>0</v>
      </c>
      <c r="TC1307" s="97">
        <f t="shared" si="804"/>
        <v>0</v>
      </c>
      <c r="TD1307" s="97">
        <f t="shared" si="805"/>
        <v>0</v>
      </c>
      <c r="TE1307" s="123"/>
      <c r="TF1307" s="123"/>
      <c r="TG1307" s="123"/>
      <c r="TH1307" s="97">
        <f t="shared" si="806"/>
        <v>0</v>
      </c>
      <c r="TI1307" s="97">
        <f t="shared" si="807"/>
        <v>0</v>
      </c>
      <c r="TJ1307" s="97">
        <f t="shared" si="808"/>
        <v>0</v>
      </c>
      <c r="TK1307" s="123"/>
      <c r="TL1307" s="123"/>
      <c r="TM1307" s="123"/>
      <c r="TN1307" s="97">
        <f t="shared" si="809"/>
        <v>0</v>
      </c>
      <c r="TO1307" s="97">
        <f t="shared" si="809"/>
        <v>0</v>
      </c>
      <c r="TP1307" s="97">
        <f t="shared" si="809"/>
        <v>0</v>
      </c>
      <c r="TQ1307" s="102"/>
      <c r="TR1307" s="102"/>
      <c r="TS1307" s="102"/>
      <c r="TT1307" s="123"/>
      <c r="TU1307" s="123"/>
      <c r="TV1307" s="123"/>
      <c r="TW1307" s="97">
        <f t="shared" si="810"/>
        <v>0</v>
      </c>
      <c r="TX1307" s="97">
        <f t="shared" si="811"/>
        <v>0</v>
      </c>
      <c r="TY1307" s="97">
        <f t="shared" si="812"/>
        <v>0</v>
      </c>
      <c r="TZ1307" s="123"/>
      <c r="UA1307" s="123"/>
      <c r="UB1307" s="123"/>
      <c r="UC1307" s="97">
        <f t="shared" si="813"/>
        <v>0</v>
      </c>
      <c r="UD1307" s="97">
        <f t="shared" si="814"/>
        <v>0</v>
      </c>
      <c r="UE1307" s="97">
        <f t="shared" si="815"/>
        <v>0</v>
      </c>
      <c r="UF1307" s="123"/>
      <c r="UG1307" s="123"/>
      <c r="UH1307" s="123"/>
      <c r="UI1307" s="97">
        <f t="shared" si="816"/>
        <v>0</v>
      </c>
      <c r="UJ1307" s="97">
        <f t="shared" si="816"/>
        <v>0</v>
      </c>
      <c r="UK1307" s="97">
        <f t="shared" si="816"/>
        <v>0</v>
      </c>
      <c r="UL1307" s="102">
        <v>9</v>
      </c>
      <c r="UM1307" s="102">
        <v>9</v>
      </c>
      <c r="UN1307" s="102">
        <v>9</v>
      </c>
      <c r="UO1307" s="123"/>
      <c r="UP1307" s="123"/>
      <c r="UQ1307" s="123"/>
      <c r="UR1307" s="97">
        <f t="shared" si="817"/>
        <v>119082.87</v>
      </c>
      <c r="US1307" s="97">
        <f t="shared" si="818"/>
        <v>119082.87</v>
      </c>
      <c r="UT1307" s="97">
        <f t="shared" si="819"/>
        <v>119082.87</v>
      </c>
      <c r="UU1307" s="123"/>
      <c r="UV1307" s="123"/>
      <c r="UW1307" s="123"/>
      <c r="UX1307" s="97">
        <f t="shared" si="820"/>
        <v>2248.61</v>
      </c>
      <c r="UY1307" s="97">
        <f t="shared" si="821"/>
        <v>2294.56</v>
      </c>
      <c r="UZ1307" s="97">
        <f t="shared" si="822"/>
        <v>2382.15</v>
      </c>
      <c r="VA1307" s="123"/>
      <c r="VB1307" s="123"/>
      <c r="VC1307" s="123"/>
      <c r="VD1307" s="97">
        <f t="shared" si="823"/>
        <v>20237.490000000002</v>
      </c>
      <c r="VE1307" s="97">
        <f t="shared" si="823"/>
        <v>20651.04</v>
      </c>
      <c r="VF1307" s="97">
        <f t="shared" si="823"/>
        <v>21439.35</v>
      </c>
      <c r="VG1307" s="102"/>
      <c r="VH1307" s="102"/>
      <c r="VI1307" s="102"/>
      <c r="VJ1307" s="123"/>
      <c r="VK1307" s="123"/>
      <c r="VL1307" s="123"/>
      <c r="VM1307" s="97">
        <f t="shared" si="824"/>
        <v>0</v>
      </c>
      <c r="VN1307" s="97">
        <f t="shared" si="825"/>
        <v>0</v>
      </c>
      <c r="VO1307" s="97">
        <f t="shared" si="826"/>
        <v>0</v>
      </c>
      <c r="VP1307" s="123"/>
      <c r="VQ1307" s="123"/>
      <c r="VR1307" s="123"/>
      <c r="VS1307" s="97">
        <f t="shared" si="827"/>
        <v>0</v>
      </c>
      <c r="VT1307" s="97">
        <f t="shared" si="828"/>
        <v>0</v>
      </c>
      <c r="VU1307" s="97">
        <f t="shared" si="829"/>
        <v>0</v>
      </c>
      <c r="VV1307" s="123"/>
      <c r="VW1307" s="123"/>
      <c r="VX1307" s="123"/>
      <c r="VY1307" s="97">
        <f t="shared" si="830"/>
        <v>0</v>
      </c>
      <c r="VZ1307" s="97">
        <f t="shared" si="830"/>
        <v>0</v>
      </c>
      <c r="WA1307" s="97">
        <f t="shared" si="830"/>
        <v>0</v>
      </c>
      <c r="WB1307" s="102"/>
      <c r="WC1307" s="102"/>
      <c r="WD1307" s="102"/>
      <c r="WE1307" s="123"/>
      <c r="WF1307" s="123"/>
      <c r="WG1307" s="123"/>
      <c r="WH1307" s="97">
        <f t="shared" si="831"/>
        <v>0</v>
      </c>
      <c r="WI1307" s="97">
        <f t="shared" si="832"/>
        <v>0</v>
      </c>
      <c r="WJ1307" s="97">
        <f t="shared" si="833"/>
        <v>0</v>
      </c>
      <c r="WK1307" s="123"/>
      <c r="WL1307" s="123"/>
      <c r="WM1307" s="123"/>
      <c r="WN1307" s="97">
        <f t="shared" si="834"/>
        <v>0</v>
      </c>
      <c r="WO1307" s="97">
        <f t="shared" si="835"/>
        <v>0</v>
      </c>
      <c r="WP1307" s="97">
        <f t="shared" si="836"/>
        <v>0</v>
      </c>
      <c r="WQ1307" s="123"/>
      <c r="WR1307" s="123"/>
      <c r="WS1307" s="123"/>
      <c r="WT1307" s="97">
        <f t="shared" si="837"/>
        <v>0</v>
      </c>
      <c r="WU1307" s="97">
        <f t="shared" si="837"/>
        <v>0</v>
      </c>
      <c r="WV1307" s="97">
        <f t="shared" si="837"/>
        <v>0</v>
      </c>
      <c r="WW1307" s="102"/>
      <c r="WX1307" s="102"/>
      <c r="WY1307" s="102"/>
      <c r="WZ1307" s="123"/>
      <c r="XA1307" s="123"/>
      <c r="XB1307" s="123"/>
      <c r="XC1307" s="97">
        <f t="shared" si="838"/>
        <v>0</v>
      </c>
      <c r="XD1307" s="97">
        <f t="shared" si="839"/>
        <v>0</v>
      </c>
      <c r="XE1307" s="97">
        <f t="shared" si="840"/>
        <v>0</v>
      </c>
      <c r="XF1307" s="123"/>
      <c r="XG1307" s="123"/>
      <c r="XH1307" s="123"/>
      <c r="XI1307" s="97">
        <f t="shared" si="841"/>
        <v>0</v>
      </c>
      <c r="XJ1307" s="97">
        <f t="shared" si="842"/>
        <v>0</v>
      </c>
      <c r="XK1307" s="97">
        <f t="shared" si="843"/>
        <v>0</v>
      </c>
      <c r="XL1307" s="123"/>
      <c r="XM1307" s="123"/>
      <c r="XN1307" s="123"/>
      <c r="XO1307" s="97">
        <f t="shared" si="844"/>
        <v>0</v>
      </c>
      <c r="XP1307" s="97">
        <f t="shared" si="844"/>
        <v>0</v>
      </c>
      <c r="XQ1307" s="97">
        <f t="shared" si="844"/>
        <v>0</v>
      </c>
      <c r="XR1307" s="102"/>
      <c r="XS1307" s="102"/>
      <c r="XT1307" s="102"/>
      <c r="XU1307" s="123"/>
      <c r="XV1307" s="123"/>
      <c r="XW1307" s="123"/>
      <c r="XX1307" s="97">
        <f t="shared" si="845"/>
        <v>0</v>
      </c>
      <c r="XY1307" s="97">
        <f t="shared" si="846"/>
        <v>0</v>
      </c>
      <c r="XZ1307" s="97">
        <f t="shared" si="847"/>
        <v>0</v>
      </c>
      <c r="YA1307" s="123"/>
      <c r="YB1307" s="123"/>
      <c r="YC1307" s="123"/>
      <c r="YD1307" s="97">
        <f t="shared" si="848"/>
        <v>0</v>
      </c>
      <c r="YE1307" s="97">
        <f t="shared" si="849"/>
        <v>0</v>
      </c>
      <c r="YF1307" s="97">
        <f t="shared" si="850"/>
        <v>0</v>
      </c>
      <c r="YG1307" s="123"/>
      <c r="YH1307" s="123"/>
      <c r="YI1307" s="123"/>
      <c r="YJ1307" s="97">
        <f t="shared" si="851"/>
        <v>0</v>
      </c>
      <c r="YK1307" s="97">
        <f t="shared" si="851"/>
        <v>0</v>
      </c>
      <c r="YL1307" s="97">
        <f t="shared" si="851"/>
        <v>0</v>
      </c>
      <c r="YM1307" s="145">
        <f t="shared" si="852"/>
        <v>9</v>
      </c>
      <c r="YN1307" s="145">
        <f t="shared" si="852"/>
        <v>9</v>
      </c>
      <c r="YO1307" s="145">
        <f t="shared" si="852"/>
        <v>9</v>
      </c>
      <c r="YP1307" s="123"/>
      <c r="YQ1307" s="123"/>
      <c r="YR1307" s="123"/>
      <c r="YS1307" s="97">
        <f t="shared" si="853"/>
        <v>119082.87</v>
      </c>
      <c r="YT1307" s="97">
        <f t="shared" si="854"/>
        <v>119082.87</v>
      </c>
      <c r="YU1307" s="97">
        <f t="shared" si="855"/>
        <v>119082.87</v>
      </c>
      <c r="YV1307" s="123"/>
      <c r="YW1307" s="123"/>
      <c r="YX1307" s="123"/>
      <c r="YY1307" s="97">
        <f t="shared" si="856"/>
        <v>2248.61</v>
      </c>
      <c r="YZ1307" s="97">
        <f t="shared" si="857"/>
        <v>2294.56</v>
      </c>
      <c r="ZA1307" s="97">
        <f t="shared" si="858"/>
        <v>2382.15</v>
      </c>
      <c r="ZB1307" s="123"/>
      <c r="ZC1307" s="123"/>
      <c r="ZD1307" s="123"/>
      <c r="ZE1307" s="97">
        <f t="shared" si="859"/>
        <v>20237.490000000002</v>
      </c>
      <c r="ZF1307" s="97">
        <f t="shared" si="859"/>
        <v>20651.04</v>
      </c>
      <c r="ZG1307" s="97">
        <f t="shared" si="859"/>
        <v>21439.35</v>
      </c>
    </row>
    <row r="1308" spans="1:683" ht="36" x14ac:dyDescent="0.25">
      <c r="A1308" s="98" t="s">
        <v>709</v>
      </c>
      <c r="B1308" s="174" t="s">
        <v>441</v>
      </c>
      <c r="C1308" s="5"/>
      <c r="D1308" s="340"/>
      <c r="E1308" s="163"/>
      <c r="F1308" s="110"/>
      <c r="G1308" s="110"/>
      <c r="H1308" s="110"/>
      <c r="I1308" s="97">
        <f t="shared" si="636"/>
        <v>6542.73</v>
      </c>
      <c r="J1308" s="97">
        <f t="shared" si="860"/>
        <v>6542.73</v>
      </c>
      <c r="K1308" s="97">
        <f t="shared" si="861"/>
        <v>6542.73</v>
      </c>
      <c r="L1308" s="102"/>
      <c r="M1308" s="102"/>
      <c r="N1308" s="102"/>
      <c r="O1308" s="123"/>
      <c r="P1308" s="123"/>
      <c r="Q1308" s="123"/>
      <c r="R1308" s="97">
        <f t="shared" si="862"/>
        <v>0</v>
      </c>
      <c r="S1308" s="97">
        <f t="shared" si="863"/>
        <v>0</v>
      </c>
      <c r="T1308" s="97">
        <f t="shared" si="864"/>
        <v>0</v>
      </c>
      <c r="U1308" s="123"/>
      <c r="V1308" s="123"/>
      <c r="W1308" s="123"/>
      <c r="X1308" s="97">
        <f t="shared" si="638"/>
        <v>0</v>
      </c>
      <c r="Y1308" s="97">
        <f t="shared" si="639"/>
        <v>0</v>
      </c>
      <c r="Z1308" s="97">
        <f t="shared" si="640"/>
        <v>0</v>
      </c>
      <c r="AA1308" s="123"/>
      <c r="AB1308" s="123"/>
      <c r="AC1308" s="123"/>
      <c r="AD1308" s="97">
        <f t="shared" si="641"/>
        <v>0</v>
      </c>
      <c r="AE1308" s="97">
        <f t="shared" si="641"/>
        <v>0</v>
      </c>
      <c r="AF1308" s="97">
        <f t="shared" si="641"/>
        <v>0</v>
      </c>
      <c r="AG1308" s="102"/>
      <c r="AH1308" s="102"/>
      <c r="AI1308" s="102"/>
      <c r="AJ1308" s="123"/>
      <c r="AK1308" s="123"/>
      <c r="AL1308" s="123"/>
      <c r="AM1308" s="97">
        <f t="shared" si="642"/>
        <v>0</v>
      </c>
      <c r="AN1308" s="97">
        <f t="shared" si="643"/>
        <v>0</v>
      </c>
      <c r="AO1308" s="97">
        <f t="shared" si="644"/>
        <v>0</v>
      </c>
      <c r="AP1308" s="123"/>
      <c r="AQ1308" s="123"/>
      <c r="AR1308" s="123"/>
      <c r="AS1308" s="97">
        <f t="shared" si="645"/>
        <v>0</v>
      </c>
      <c r="AT1308" s="97">
        <f t="shared" si="646"/>
        <v>0</v>
      </c>
      <c r="AU1308" s="97">
        <f t="shared" si="647"/>
        <v>0</v>
      </c>
      <c r="AV1308" s="123"/>
      <c r="AW1308" s="123"/>
      <c r="AX1308" s="123"/>
      <c r="AY1308" s="97">
        <f t="shared" si="648"/>
        <v>0</v>
      </c>
      <c r="AZ1308" s="97">
        <f t="shared" si="648"/>
        <v>0</v>
      </c>
      <c r="BA1308" s="97">
        <f t="shared" si="648"/>
        <v>0</v>
      </c>
      <c r="BB1308" s="102"/>
      <c r="BC1308" s="102"/>
      <c r="BD1308" s="102"/>
      <c r="BE1308" s="123"/>
      <c r="BF1308" s="123"/>
      <c r="BG1308" s="123"/>
      <c r="BH1308" s="97">
        <f t="shared" si="649"/>
        <v>0</v>
      </c>
      <c r="BI1308" s="97">
        <f t="shared" si="650"/>
        <v>0</v>
      </c>
      <c r="BJ1308" s="97">
        <f t="shared" si="651"/>
        <v>0</v>
      </c>
      <c r="BK1308" s="123"/>
      <c r="BL1308" s="123"/>
      <c r="BM1308" s="123"/>
      <c r="BN1308" s="97">
        <f t="shared" si="652"/>
        <v>0</v>
      </c>
      <c r="BO1308" s="97">
        <f t="shared" si="653"/>
        <v>0</v>
      </c>
      <c r="BP1308" s="97">
        <f t="shared" si="654"/>
        <v>0</v>
      </c>
      <c r="BQ1308" s="123"/>
      <c r="BR1308" s="123"/>
      <c r="BS1308" s="123"/>
      <c r="BT1308" s="97">
        <f t="shared" si="655"/>
        <v>0</v>
      </c>
      <c r="BU1308" s="97">
        <f t="shared" si="655"/>
        <v>0</v>
      </c>
      <c r="BV1308" s="97">
        <f t="shared" si="655"/>
        <v>0</v>
      </c>
      <c r="BW1308" s="102"/>
      <c r="BX1308" s="102"/>
      <c r="BY1308" s="102"/>
      <c r="BZ1308" s="123"/>
      <c r="CA1308" s="123"/>
      <c r="CB1308" s="123"/>
      <c r="CC1308" s="97">
        <f t="shared" si="656"/>
        <v>0</v>
      </c>
      <c r="CD1308" s="97">
        <f t="shared" si="657"/>
        <v>0</v>
      </c>
      <c r="CE1308" s="97">
        <f t="shared" si="658"/>
        <v>0</v>
      </c>
      <c r="CF1308" s="123"/>
      <c r="CG1308" s="123"/>
      <c r="CH1308" s="123"/>
      <c r="CI1308" s="97">
        <f t="shared" si="659"/>
        <v>0</v>
      </c>
      <c r="CJ1308" s="97">
        <f t="shared" si="660"/>
        <v>0</v>
      </c>
      <c r="CK1308" s="97">
        <f t="shared" si="661"/>
        <v>0</v>
      </c>
      <c r="CL1308" s="123"/>
      <c r="CM1308" s="123"/>
      <c r="CN1308" s="123"/>
      <c r="CO1308" s="97">
        <f t="shared" si="662"/>
        <v>0</v>
      </c>
      <c r="CP1308" s="97">
        <f t="shared" si="662"/>
        <v>0</v>
      </c>
      <c r="CQ1308" s="97">
        <f t="shared" si="662"/>
        <v>0</v>
      </c>
      <c r="CR1308" s="102"/>
      <c r="CS1308" s="102"/>
      <c r="CT1308" s="102"/>
      <c r="CU1308" s="123"/>
      <c r="CV1308" s="123"/>
      <c r="CW1308" s="123"/>
      <c r="CX1308" s="97">
        <f t="shared" si="663"/>
        <v>0</v>
      </c>
      <c r="CY1308" s="97">
        <f t="shared" si="664"/>
        <v>0</v>
      </c>
      <c r="CZ1308" s="97">
        <f t="shared" si="665"/>
        <v>0</v>
      </c>
      <c r="DA1308" s="123"/>
      <c r="DB1308" s="123"/>
      <c r="DC1308" s="123"/>
      <c r="DD1308" s="97">
        <f t="shared" si="666"/>
        <v>0</v>
      </c>
      <c r="DE1308" s="97">
        <f t="shared" si="667"/>
        <v>0</v>
      </c>
      <c r="DF1308" s="97">
        <f t="shared" si="668"/>
        <v>0</v>
      </c>
      <c r="DG1308" s="123"/>
      <c r="DH1308" s="123"/>
      <c r="DI1308" s="123"/>
      <c r="DJ1308" s="97">
        <f t="shared" si="669"/>
        <v>0</v>
      </c>
      <c r="DK1308" s="97">
        <f t="shared" si="669"/>
        <v>0</v>
      </c>
      <c r="DL1308" s="97">
        <f t="shared" si="669"/>
        <v>0</v>
      </c>
      <c r="DM1308" s="102"/>
      <c r="DN1308" s="102"/>
      <c r="DO1308" s="102"/>
      <c r="DP1308" s="123"/>
      <c r="DQ1308" s="123"/>
      <c r="DR1308" s="123"/>
      <c r="DS1308" s="97">
        <f t="shared" si="670"/>
        <v>0</v>
      </c>
      <c r="DT1308" s="97">
        <f t="shared" si="671"/>
        <v>0</v>
      </c>
      <c r="DU1308" s="97">
        <f t="shared" si="672"/>
        <v>0</v>
      </c>
      <c r="DV1308" s="123"/>
      <c r="DW1308" s="123"/>
      <c r="DX1308" s="123"/>
      <c r="DY1308" s="97">
        <f t="shared" si="673"/>
        <v>0</v>
      </c>
      <c r="DZ1308" s="97">
        <f t="shared" si="674"/>
        <v>0</v>
      </c>
      <c r="EA1308" s="97">
        <f t="shared" si="675"/>
        <v>0</v>
      </c>
      <c r="EB1308" s="123"/>
      <c r="EC1308" s="123"/>
      <c r="ED1308" s="123"/>
      <c r="EE1308" s="97">
        <f t="shared" si="676"/>
        <v>0</v>
      </c>
      <c r="EF1308" s="97">
        <f t="shared" si="676"/>
        <v>0</v>
      </c>
      <c r="EG1308" s="97">
        <f t="shared" si="676"/>
        <v>0</v>
      </c>
      <c r="EH1308" s="102"/>
      <c r="EI1308" s="102"/>
      <c r="EJ1308" s="102"/>
      <c r="EK1308" s="123"/>
      <c r="EL1308" s="123"/>
      <c r="EM1308" s="123"/>
      <c r="EN1308" s="97">
        <f t="shared" si="677"/>
        <v>0</v>
      </c>
      <c r="EO1308" s="97">
        <f t="shared" si="678"/>
        <v>0</v>
      </c>
      <c r="EP1308" s="97">
        <f t="shared" si="679"/>
        <v>0</v>
      </c>
      <c r="EQ1308" s="123"/>
      <c r="ER1308" s="123"/>
      <c r="ES1308" s="123"/>
      <c r="ET1308" s="97">
        <f t="shared" si="680"/>
        <v>0</v>
      </c>
      <c r="EU1308" s="97">
        <f t="shared" si="681"/>
        <v>0</v>
      </c>
      <c r="EV1308" s="97">
        <f t="shared" si="682"/>
        <v>0</v>
      </c>
      <c r="EW1308" s="123"/>
      <c r="EX1308" s="123"/>
      <c r="EY1308" s="123"/>
      <c r="EZ1308" s="97">
        <f t="shared" si="683"/>
        <v>0</v>
      </c>
      <c r="FA1308" s="97">
        <f t="shared" si="683"/>
        <v>0</v>
      </c>
      <c r="FB1308" s="97">
        <f t="shared" si="683"/>
        <v>0</v>
      </c>
      <c r="FC1308" s="102"/>
      <c r="FD1308" s="102"/>
      <c r="FE1308" s="102"/>
      <c r="FF1308" s="123"/>
      <c r="FG1308" s="123"/>
      <c r="FH1308" s="123"/>
      <c r="FI1308" s="97">
        <f t="shared" si="684"/>
        <v>0</v>
      </c>
      <c r="FJ1308" s="97">
        <f t="shared" si="685"/>
        <v>0</v>
      </c>
      <c r="FK1308" s="97">
        <f t="shared" si="686"/>
        <v>0</v>
      </c>
      <c r="FL1308" s="123"/>
      <c r="FM1308" s="123"/>
      <c r="FN1308" s="123"/>
      <c r="FO1308" s="97">
        <f t="shared" si="687"/>
        <v>0</v>
      </c>
      <c r="FP1308" s="97">
        <f t="shared" si="688"/>
        <v>0</v>
      </c>
      <c r="FQ1308" s="97">
        <f t="shared" si="689"/>
        <v>0</v>
      </c>
      <c r="FR1308" s="123"/>
      <c r="FS1308" s="123"/>
      <c r="FT1308" s="123"/>
      <c r="FU1308" s="97">
        <f t="shared" si="690"/>
        <v>0</v>
      </c>
      <c r="FV1308" s="97">
        <f t="shared" si="690"/>
        <v>0</v>
      </c>
      <c r="FW1308" s="97">
        <f t="shared" si="690"/>
        <v>0</v>
      </c>
      <c r="FX1308" s="102"/>
      <c r="FY1308" s="102"/>
      <c r="FZ1308" s="102"/>
      <c r="GA1308" s="123"/>
      <c r="GB1308" s="123"/>
      <c r="GC1308" s="123"/>
      <c r="GD1308" s="97">
        <f t="shared" si="691"/>
        <v>0</v>
      </c>
      <c r="GE1308" s="97">
        <f t="shared" si="692"/>
        <v>0</v>
      </c>
      <c r="GF1308" s="97">
        <f t="shared" si="693"/>
        <v>0</v>
      </c>
      <c r="GG1308" s="123"/>
      <c r="GH1308" s="123"/>
      <c r="GI1308" s="123"/>
      <c r="GJ1308" s="97">
        <f t="shared" si="694"/>
        <v>0</v>
      </c>
      <c r="GK1308" s="97">
        <f t="shared" si="695"/>
        <v>0</v>
      </c>
      <c r="GL1308" s="97">
        <f t="shared" si="696"/>
        <v>0</v>
      </c>
      <c r="GM1308" s="123"/>
      <c r="GN1308" s="123"/>
      <c r="GO1308" s="123"/>
      <c r="GP1308" s="97">
        <f t="shared" si="697"/>
        <v>0</v>
      </c>
      <c r="GQ1308" s="97">
        <f t="shared" si="697"/>
        <v>0</v>
      </c>
      <c r="GR1308" s="97">
        <f t="shared" si="697"/>
        <v>0</v>
      </c>
      <c r="GS1308" s="102"/>
      <c r="GT1308" s="102"/>
      <c r="GU1308" s="102"/>
      <c r="GV1308" s="123"/>
      <c r="GW1308" s="123"/>
      <c r="GX1308" s="123"/>
      <c r="GY1308" s="97">
        <f t="shared" si="698"/>
        <v>0</v>
      </c>
      <c r="GZ1308" s="97">
        <f t="shared" si="699"/>
        <v>0</v>
      </c>
      <c r="HA1308" s="97">
        <f t="shared" si="700"/>
        <v>0</v>
      </c>
      <c r="HB1308" s="123"/>
      <c r="HC1308" s="123"/>
      <c r="HD1308" s="123"/>
      <c r="HE1308" s="97">
        <f t="shared" si="701"/>
        <v>0</v>
      </c>
      <c r="HF1308" s="97">
        <f t="shared" si="702"/>
        <v>0</v>
      </c>
      <c r="HG1308" s="97">
        <f t="shared" si="703"/>
        <v>0</v>
      </c>
      <c r="HH1308" s="123"/>
      <c r="HI1308" s="123"/>
      <c r="HJ1308" s="123"/>
      <c r="HK1308" s="97">
        <f t="shared" si="704"/>
        <v>0</v>
      </c>
      <c r="HL1308" s="97">
        <f t="shared" si="704"/>
        <v>0</v>
      </c>
      <c r="HM1308" s="97">
        <f t="shared" si="704"/>
        <v>0</v>
      </c>
      <c r="HN1308" s="102"/>
      <c r="HO1308" s="102"/>
      <c r="HP1308" s="102"/>
      <c r="HQ1308" s="123"/>
      <c r="HR1308" s="123"/>
      <c r="HS1308" s="123"/>
      <c r="HT1308" s="97">
        <f t="shared" si="705"/>
        <v>0</v>
      </c>
      <c r="HU1308" s="97">
        <f t="shared" si="706"/>
        <v>0</v>
      </c>
      <c r="HV1308" s="97">
        <f t="shared" si="707"/>
        <v>0</v>
      </c>
      <c r="HW1308" s="123"/>
      <c r="HX1308" s="123"/>
      <c r="HY1308" s="123"/>
      <c r="HZ1308" s="97">
        <f t="shared" si="708"/>
        <v>0</v>
      </c>
      <c r="IA1308" s="97">
        <f t="shared" si="709"/>
        <v>0</v>
      </c>
      <c r="IB1308" s="97">
        <f t="shared" si="710"/>
        <v>0</v>
      </c>
      <c r="IC1308" s="123"/>
      <c r="ID1308" s="123"/>
      <c r="IE1308" s="123"/>
      <c r="IF1308" s="97">
        <f t="shared" si="711"/>
        <v>0</v>
      </c>
      <c r="IG1308" s="97">
        <f t="shared" si="711"/>
        <v>0</v>
      </c>
      <c r="IH1308" s="97">
        <f t="shared" si="711"/>
        <v>0</v>
      </c>
      <c r="II1308" s="102"/>
      <c r="IJ1308" s="102"/>
      <c r="IK1308" s="102"/>
      <c r="IL1308" s="123"/>
      <c r="IM1308" s="123"/>
      <c r="IN1308" s="123"/>
      <c r="IO1308" s="97">
        <f t="shared" si="712"/>
        <v>0</v>
      </c>
      <c r="IP1308" s="97">
        <f t="shared" si="713"/>
        <v>0</v>
      </c>
      <c r="IQ1308" s="97">
        <f t="shared" si="714"/>
        <v>0</v>
      </c>
      <c r="IR1308" s="123"/>
      <c r="IS1308" s="123"/>
      <c r="IT1308" s="123"/>
      <c r="IU1308" s="97">
        <f t="shared" si="715"/>
        <v>0</v>
      </c>
      <c r="IV1308" s="97">
        <f t="shared" si="716"/>
        <v>0</v>
      </c>
      <c r="IW1308" s="97">
        <f t="shared" si="717"/>
        <v>0</v>
      </c>
      <c r="IX1308" s="123"/>
      <c r="IY1308" s="123"/>
      <c r="IZ1308" s="123"/>
      <c r="JA1308" s="97">
        <f t="shared" si="718"/>
        <v>0</v>
      </c>
      <c r="JB1308" s="97">
        <f t="shared" si="718"/>
        <v>0</v>
      </c>
      <c r="JC1308" s="97">
        <f t="shared" si="718"/>
        <v>0</v>
      </c>
      <c r="JD1308" s="102"/>
      <c r="JE1308" s="102"/>
      <c r="JF1308" s="102"/>
      <c r="JG1308" s="123"/>
      <c r="JH1308" s="123"/>
      <c r="JI1308" s="123"/>
      <c r="JJ1308" s="97">
        <f t="shared" si="719"/>
        <v>0</v>
      </c>
      <c r="JK1308" s="97">
        <f t="shared" si="720"/>
        <v>0</v>
      </c>
      <c r="JL1308" s="97">
        <f t="shared" si="721"/>
        <v>0</v>
      </c>
      <c r="JM1308" s="123"/>
      <c r="JN1308" s="123"/>
      <c r="JO1308" s="123"/>
      <c r="JP1308" s="97">
        <f t="shared" si="722"/>
        <v>0</v>
      </c>
      <c r="JQ1308" s="97">
        <f t="shared" si="723"/>
        <v>0</v>
      </c>
      <c r="JR1308" s="97">
        <f t="shared" si="724"/>
        <v>0</v>
      </c>
      <c r="JS1308" s="123"/>
      <c r="JT1308" s="123"/>
      <c r="JU1308" s="123"/>
      <c r="JV1308" s="97">
        <f t="shared" si="725"/>
        <v>0</v>
      </c>
      <c r="JW1308" s="97">
        <f t="shared" si="725"/>
        <v>0</v>
      </c>
      <c r="JX1308" s="97">
        <f t="shared" si="725"/>
        <v>0</v>
      </c>
      <c r="JY1308" s="102"/>
      <c r="JZ1308" s="102"/>
      <c r="KA1308" s="102"/>
      <c r="KB1308" s="123"/>
      <c r="KC1308" s="123"/>
      <c r="KD1308" s="123"/>
      <c r="KE1308" s="97">
        <f t="shared" si="726"/>
        <v>0</v>
      </c>
      <c r="KF1308" s="97">
        <f t="shared" si="727"/>
        <v>0</v>
      </c>
      <c r="KG1308" s="97">
        <f t="shared" si="728"/>
        <v>0</v>
      </c>
      <c r="KH1308" s="123"/>
      <c r="KI1308" s="123"/>
      <c r="KJ1308" s="123"/>
      <c r="KK1308" s="97">
        <f t="shared" si="729"/>
        <v>0</v>
      </c>
      <c r="KL1308" s="97">
        <f t="shared" si="730"/>
        <v>0</v>
      </c>
      <c r="KM1308" s="97">
        <f t="shared" si="731"/>
        <v>0</v>
      </c>
      <c r="KN1308" s="123"/>
      <c r="KO1308" s="123"/>
      <c r="KP1308" s="123"/>
      <c r="KQ1308" s="97">
        <f t="shared" si="732"/>
        <v>0</v>
      </c>
      <c r="KR1308" s="97">
        <f t="shared" si="732"/>
        <v>0</v>
      </c>
      <c r="KS1308" s="97">
        <f t="shared" si="732"/>
        <v>0</v>
      </c>
      <c r="KT1308" s="102"/>
      <c r="KU1308" s="102"/>
      <c r="KV1308" s="102"/>
      <c r="KW1308" s="123"/>
      <c r="KX1308" s="123"/>
      <c r="KY1308" s="123"/>
      <c r="KZ1308" s="97">
        <f t="shared" si="733"/>
        <v>0</v>
      </c>
      <c r="LA1308" s="97">
        <f t="shared" si="734"/>
        <v>0</v>
      </c>
      <c r="LB1308" s="97">
        <f t="shared" si="735"/>
        <v>0</v>
      </c>
      <c r="LC1308" s="123"/>
      <c r="LD1308" s="123"/>
      <c r="LE1308" s="123"/>
      <c r="LF1308" s="97">
        <f t="shared" si="736"/>
        <v>0</v>
      </c>
      <c r="LG1308" s="97">
        <f t="shared" si="737"/>
        <v>0</v>
      </c>
      <c r="LH1308" s="97">
        <f t="shared" si="738"/>
        <v>0</v>
      </c>
      <c r="LI1308" s="123"/>
      <c r="LJ1308" s="123"/>
      <c r="LK1308" s="123"/>
      <c r="LL1308" s="97">
        <f t="shared" si="739"/>
        <v>0</v>
      </c>
      <c r="LM1308" s="97">
        <f t="shared" si="739"/>
        <v>0</v>
      </c>
      <c r="LN1308" s="97">
        <f t="shared" si="739"/>
        <v>0</v>
      </c>
      <c r="LO1308" s="102"/>
      <c r="LP1308" s="102"/>
      <c r="LQ1308" s="102"/>
      <c r="LR1308" s="123"/>
      <c r="LS1308" s="123"/>
      <c r="LT1308" s="123"/>
      <c r="LU1308" s="97">
        <f t="shared" si="740"/>
        <v>0</v>
      </c>
      <c r="LV1308" s="97">
        <f t="shared" si="741"/>
        <v>0</v>
      </c>
      <c r="LW1308" s="97">
        <f t="shared" si="742"/>
        <v>0</v>
      </c>
      <c r="LX1308" s="123"/>
      <c r="LY1308" s="123"/>
      <c r="LZ1308" s="123"/>
      <c r="MA1308" s="97">
        <f t="shared" si="743"/>
        <v>0</v>
      </c>
      <c r="MB1308" s="97">
        <f t="shared" si="744"/>
        <v>0</v>
      </c>
      <c r="MC1308" s="97">
        <f t="shared" si="745"/>
        <v>0</v>
      </c>
      <c r="MD1308" s="123"/>
      <c r="ME1308" s="123"/>
      <c r="MF1308" s="123"/>
      <c r="MG1308" s="97">
        <f t="shared" si="746"/>
        <v>0</v>
      </c>
      <c r="MH1308" s="97">
        <f t="shared" si="746"/>
        <v>0</v>
      </c>
      <c r="MI1308" s="97">
        <f t="shared" si="746"/>
        <v>0</v>
      </c>
      <c r="MJ1308" s="102"/>
      <c r="MK1308" s="102"/>
      <c r="ML1308" s="102"/>
      <c r="MM1308" s="123"/>
      <c r="MN1308" s="123"/>
      <c r="MO1308" s="123"/>
      <c r="MP1308" s="97">
        <f t="shared" si="747"/>
        <v>0</v>
      </c>
      <c r="MQ1308" s="97">
        <f t="shared" si="748"/>
        <v>0</v>
      </c>
      <c r="MR1308" s="97">
        <f t="shared" si="749"/>
        <v>0</v>
      </c>
      <c r="MS1308" s="123"/>
      <c r="MT1308" s="123"/>
      <c r="MU1308" s="123"/>
      <c r="MV1308" s="97">
        <f t="shared" si="750"/>
        <v>0</v>
      </c>
      <c r="MW1308" s="97">
        <f t="shared" si="751"/>
        <v>0</v>
      </c>
      <c r="MX1308" s="97">
        <f t="shared" si="752"/>
        <v>0</v>
      </c>
      <c r="MY1308" s="123"/>
      <c r="MZ1308" s="123"/>
      <c r="NA1308" s="123"/>
      <c r="NB1308" s="97">
        <f t="shared" si="753"/>
        <v>0</v>
      </c>
      <c r="NC1308" s="97">
        <f t="shared" si="753"/>
        <v>0</v>
      </c>
      <c r="ND1308" s="97">
        <f t="shared" si="753"/>
        <v>0</v>
      </c>
      <c r="NE1308" s="102"/>
      <c r="NF1308" s="102"/>
      <c r="NG1308" s="102"/>
      <c r="NH1308" s="123"/>
      <c r="NI1308" s="123"/>
      <c r="NJ1308" s="123"/>
      <c r="NK1308" s="97">
        <f t="shared" si="754"/>
        <v>0</v>
      </c>
      <c r="NL1308" s="97">
        <f t="shared" si="755"/>
        <v>0</v>
      </c>
      <c r="NM1308" s="97">
        <f t="shared" si="756"/>
        <v>0</v>
      </c>
      <c r="NN1308" s="123"/>
      <c r="NO1308" s="123"/>
      <c r="NP1308" s="123"/>
      <c r="NQ1308" s="97">
        <f t="shared" si="757"/>
        <v>0</v>
      </c>
      <c r="NR1308" s="97">
        <f t="shared" si="758"/>
        <v>0</v>
      </c>
      <c r="NS1308" s="97">
        <f t="shared" si="759"/>
        <v>0</v>
      </c>
      <c r="NT1308" s="123"/>
      <c r="NU1308" s="123"/>
      <c r="NV1308" s="123"/>
      <c r="NW1308" s="97">
        <f t="shared" si="760"/>
        <v>0</v>
      </c>
      <c r="NX1308" s="97">
        <f t="shared" si="760"/>
        <v>0</v>
      </c>
      <c r="NY1308" s="97">
        <f t="shared" si="760"/>
        <v>0</v>
      </c>
      <c r="NZ1308" s="102"/>
      <c r="OA1308" s="102"/>
      <c r="OB1308" s="102"/>
      <c r="OC1308" s="123"/>
      <c r="OD1308" s="123"/>
      <c r="OE1308" s="123"/>
      <c r="OF1308" s="97">
        <f t="shared" si="761"/>
        <v>0</v>
      </c>
      <c r="OG1308" s="97">
        <f t="shared" si="762"/>
        <v>0</v>
      </c>
      <c r="OH1308" s="97">
        <f t="shared" si="763"/>
        <v>0</v>
      </c>
      <c r="OI1308" s="123"/>
      <c r="OJ1308" s="123"/>
      <c r="OK1308" s="123"/>
      <c r="OL1308" s="97">
        <f t="shared" si="764"/>
        <v>0</v>
      </c>
      <c r="OM1308" s="97">
        <f t="shared" si="765"/>
        <v>0</v>
      </c>
      <c r="ON1308" s="97">
        <f t="shared" si="766"/>
        <v>0</v>
      </c>
      <c r="OO1308" s="123"/>
      <c r="OP1308" s="123"/>
      <c r="OQ1308" s="123"/>
      <c r="OR1308" s="97">
        <f t="shared" si="767"/>
        <v>0</v>
      </c>
      <c r="OS1308" s="97">
        <f t="shared" si="767"/>
        <v>0</v>
      </c>
      <c r="OT1308" s="97">
        <f t="shared" si="767"/>
        <v>0</v>
      </c>
      <c r="OU1308" s="102"/>
      <c r="OV1308" s="102"/>
      <c r="OW1308" s="102"/>
      <c r="OX1308" s="123"/>
      <c r="OY1308" s="123"/>
      <c r="OZ1308" s="123"/>
      <c r="PA1308" s="97">
        <f t="shared" si="768"/>
        <v>0</v>
      </c>
      <c r="PB1308" s="97">
        <f t="shared" si="769"/>
        <v>0</v>
      </c>
      <c r="PC1308" s="97">
        <f t="shared" si="770"/>
        <v>0</v>
      </c>
      <c r="PD1308" s="123"/>
      <c r="PE1308" s="123"/>
      <c r="PF1308" s="123"/>
      <c r="PG1308" s="97">
        <f t="shared" si="771"/>
        <v>0</v>
      </c>
      <c r="PH1308" s="97">
        <f t="shared" si="772"/>
        <v>0</v>
      </c>
      <c r="PI1308" s="97">
        <f t="shared" si="773"/>
        <v>0</v>
      </c>
      <c r="PJ1308" s="123"/>
      <c r="PK1308" s="123"/>
      <c r="PL1308" s="123"/>
      <c r="PM1308" s="97">
        <f t="shared" si="774"/>
        <v>0</v>
      </c>
      <c r="PN1308" s="97">
        <f t="shared" si="774"/>
        <v>0</v>
      </c>
      <c r="PO1308" s="97">
        <f t="shared" si="774"/>
        <v>0</v>
      </c>
      <c r="PP1308" s="102"/>
      <c r="PQ1308" s="102"/>
      <c r="PR1308" s="102"/>
      <c r="PS1308" s="123"/>
      <c r="PT1308" s="123"/>
      <c r="PU1308" s="123"/>
      <c r="PV1308" s="97">
        <f t="shared" si="775"/>
        <v>0</v>
      </c>
      <c r="PW1308" s="97">
        <f t="shared" si="776"/>
        <v>0</v>
      </c>
      <c r="PX1308" s="97">
        <f t="shared" si="777"/>
        <v>0</v>
      </c>
      <c r="PY1308" s="123"/>
      <c r="PZ1308" s="123"/>
      <c r="QA1308" s="123"/>
      <c r="QB1308" s="97">
        <f t="shared" si="778"/>
        <v>0</v>
      </c>
      <c r="QC1308" s="97">
        <f t="shared" si="779"/>
        <v>0</v>
      </c>
      <c r="QD1308" s="97">
        <f t="shared" si="780"/>
        <v>0</v>
      </c>
      <c r="QE1308" s="123"/>
      <c r="QF1308" s="123"/>
      <c r="QG1308" s="123"/>
      <c r="QH1308" s="97">
        <f t="shared" si="781"/>
        <v>0</v>
      </c>
      <c r="QI1308" s="97">
        <f t="shared" si="781"/>
        <v>0</v>
      </c>
      <c r="QJ1308" s="97">
        <f t="shared" si="781"/>
        <v>0</v>
      </c>
      <c r="QK1308" s="102"/>
      <c r="QL1308" s="102"/>
      <c r="QM1308" s="102"/>
      <c r="QN1308" s="123"/>
      <c r="QO1308" s="123"/>
      <c r="QP1308" s="123"/>
      <c r="QQ1308" s="97">
        <f t="shared" si="782"/>
        <v>0</v>
      </c>
      <c r="QR1308" s="97">
        <f t="shared" si="783"/>
        <v>0</v>
      </c>
      <c r="QS1308" s="97">
        <f t="shared" si="784"/>
        <v>0</v>
      </c>
      <c r="QT1308" s="123"/>
      <c r="QU1308" s="123"/>
      <c r="QV1308" s="123"/>
      <c r="QW1308" s="97">
        <f t="shared" si="785"/>
        <v>0</v>
      </c>
      <c r="QX1308" s="97">
        <f t="shared" si="786"/>
        <v>0</v>
      </c>
      <c r="QY1308" s="97">
        <f t="shared" si="787"/>
        <v>0</v>
      </c>
      <c r="QZ1308" s="123"/>
      <c r="RA1308" s="123"/>
      <c r="RB1308" s="123"/>
      <c r="RC1308" s="97">
        <f t="shared" si="788"/>
        <v>0</v>
      </c>
      <c r="RD1308" s="97">
        <f t="shared" si="788"/>
        <v>0</v>
      </c>
      <c r="RE1308" s="97">
        <f t="shared" si="788"/>
        <v>0</v>
      </c>
      <c r="RF1308" s="102"/>
      <c r="RG1308" s="102"/>
      <c r="RH1308" s="102"/>
      <c r="RI1308" s="123"/>
      <c r="RJ1308" s="123"/>
      <c r="RK1308" s="123"/>
      <c r="RL1308" s="97">
        <f t="shared" si="789"/>
        <v>0</v>
      </c>
      <c r="RM1308" s="97">
        <f t="shared" si="790"/>
        <v>0</v>
      </c>
      <c r="RN1308" s="97">
        <f t="shared" si="791"/>
        <v>0</v>
      </c>
      <c r="RO1308" s="123"/>
      <c r="RP1308" s="123"/>
      <c r="RQ1308" s="123"/>
      <c r="RR1308" s="97">
        <f t="shared" si="792"/>
        <v>0</v>
      </c>
      <c r="RS1308" s="97">
        <f t="shared" si="793"/>
        <v>0</v>
      </c>
      <c r="RT1308" s="97">
        <f t="shared" si="794"/>
        <v>0</v>
      </c>
      <c r="RU1308" s="123"/>
      <c r="RV1308" s="123"/>
      <c r="RW1308" s="123"/>
      <c r="RX1308" s="97">
        <f t="shared" si="795"/>
        <v>0</v>
      </c>
      <c r="RY1308" s="97">
        <f t="shared" si="795"/>
        <v>0</v>
      </c>
      <c r="RZ1308" s="97">
        <f t="shared" si="795"/>
        <v>0</v>
      </c>
      <c r="SA1308" s="102"/>
      <c r="SB1308" s="102"/>
      <c r="SC1308" s="102"/>
      <c r="SD1308" s="123"/>
      <c r="SE1308" s="123"/>
      <c r="SF1308" s="123"/>
      <c r="SG1308" s="97">
        <f t="shared" si="796"/>
        <v>0</v>
      </c>
      <c r="SH1308" s="97">
        <f t="shared" si="797"/>
        <v>0</v>
      </c>
      <c r="SI1308" s="97">
        <f t="shared" si="798"/>
        <v>0</v>
      </c>
      <c r="SJ1308" s="123"/>
      <c r="SK1308" s="123"/>
      <c r="SL1308" s="123"/>
      <c r="SM1308" s="97">
        <f t="shared" si="799"/>
        <v>0</v>
      </c>
      <c r="SN1308" s="97">
        <f t="shared" si="800"/>
        <v>0</v>
      </c>
      <c r="SO1308" s="97">
        <f t="shared" si="801"/>
        <v>0</v>
      </c>
      <c r="SP1308" s="123"/>
      <c r="SQ1308" s="123"/>
      <c r="SR1308" s="123"/>
      <c r="SS1308" s="97">
        <f t="shared" si="802"/>
        <v>0</v>
      </c>
      <c r="ST1308" s="97">
        <f t="shared" si="802"/>
        <v>0</v>
      </c>
      <c r="SU1308" s="97">
        <f t="shared" si="802"/>
        <v>0</v>
      </c>
      <c r="SV1308" s="102"/>
      <c r="SW1308" s="102"/>
      <c r="SX1308" s="102"/>
      <c r="SY1308" s="123"/>
      <c r="SZ1308" s="123"/>
      <c r="TA1308" s="123"/>
      <c r="TB1308" s="97">
        <f t="shared" si="803"/>
        <v>0</v>
      </c>
      <c r="TC1308" s="97">
        <f t="shared" si="804"/>
        <v>0</v>
      </c>
      <c r="TD1308" s="97">
        <f t="shared" si="805"/>
        <v>0</v>
      </c>
      <c r="TE1308" s="123"/>
      <c r="TF1308" s="123"/>
      <c r="TG1308" s="123"/>
      <c r="TH1308" s="97">
        <f t="shared" si="806"/>
        <v>0</v>
      </c>
      <c r="TI1308" s="97">
        <f t="shared" si="807"/>
        <v>0</v>
      </c>
      <c r="TJ1308" s="97">
        <f t="shared" si="808"/>
        <v>0</v>
      </c>
      <c r="TK1308" s="123"/>
      <c r="TL1308" s="123"/>
      <c r="TM1308" s="123"/>
      <c r="TN1308" s="97">
        <f t="shared" si="809"/>
        <v>0</v>
      </c>
      <c r="TO1308" s="97">
        <f t="shared" si="809"/>
        <v>0</v>
      </c>
      <c r="TP1308" s="97">
        <f t="shared" si="809"/>
        <v>0</v>
      </c>
      <c r="TQ1308" s="102"/>
      <c r="TR1308" s="102"/>
      <c r="TS1308" s="102"/>
      <c r="TT1308" s="123"/>
      <c r="TU1308" s="123"/>
      <c r="TV1308" s="123"/>
      <c r="TW1308" s="97">
        <f t="shared" si="810"/>
        <v>0</v>
      </c>
      <c r="TX1308" s="97">
        <f t="shared" si="811"/>
        <v>0</v>
      </c>
      <c r="TY1308" s="97">
        <f t="shared" si="812"/>
        <v>0</v>
      </c>
      <c r="TZ1308" s="123"/>
      <c r="UA1308" s="123"/>
      <c r="UB1308" s="123"/>
      <c r="UC1308" s="97">
        <f t="shared" si="813"/>
        <v>0</v>
      </c>
      <c r="UD1308" s="97">
        <f t="shared" si="814"/>
        <v>0</v>
      </c>
      <c r="UE1308" s="97">
        <f t="shared" si="815"/>
        <v>0</v>
      </c>
      <c r="UF1308" s="123"/>
      <c r="UG1308" s="123"/>
      <c r="UH1308" s="123"/>
      <c r="UI1308" s="97">
        <f t="shared" si="816"/>
        <v>0</v>
      </c>
      <c r="UJ1308" s="97">
        <f t="shared" si="816"/>
        <v>0</v>
      </c>
      <c r="UK1308" s="97">
        <f t="shared" si="816"/>
        <v>0</v>
      </c>
      <c r="UL1308" s="102">
        <v>26</v>
      </c>
      <c r="UM1308" s="102">
        <v>26</v>
      </c>
      <c r="UN1308" s="102">
        <v>26</v>
      </c>
      <c r="UO1308" s="123"/>
      <c r="UP1308" s="123"/>
      <c r="UQ1308" s="123"/>
      <c r="UR1308" s="97">
        <f t="shared" si="817"/>
        <v>170110.98</v>
      </c>
      <c r="US1308" s="97">
        <f t="shared" si="818"/>
        <v>170110.98</v>
      </c>
      <c r="UT1308" s="97">
        <f t="shared" si="819"/>
        <v>170110.98</v>
      </c>
      <c r="UU1308" s="123"/>
      <c r="UV1308" s="123"/>
      <c r="UW1308" s="123"/>
      <c r="UX1308" s="97">
        <f t="shared" si="820"/>
        <v>1111.9000000000001</v>
      </c>
      <c r="UY1308" s="97">
        <f t="shared" si="821"/>
        <v>1134.6199999999999</v>
      </c>
      <c r="UZ1308" s="97">
        <f t="shared" si="822"/>
        <v>1177.93</v>
      </c>
      <c r="VA1308" s="123"/>
      <c r="VB1308" s="123"/>
      <c r="VC1308" s="123"/>
      <c r="VD1308" s="97">
        <f t="shared" si="823"/>
        <v>28909.4</v>
      </c>
      <c r="VE1308" s="97">
        <f t="shared" si="823"/>
        <v>29500.12</v>
      </c>
      <c r="VF1308" s="97">
        <f t="shared" si="823"/>
        <v>30626.18</v>
      </c>
      <c r="VG1308" s="102"/>
      <c r="VH1308" s="102"/>
      <c r="VI1308" s="102"/>
      <c r="VJ1308" s="123"/>
      <c r="VK1308" s="123"/>
      <c r="VL1308" s="123"/>
      <c r="VM1308" s="97">
        <f t="shared" si="824"/>
        <v>0</v>
      </c>
      <c r="VN1308" s="97">
        <f t="shared" si="825"/>
        <v>0</v>
      </c>
      <c r="VO1308" s="97">
        <f t="shared" si="826"/>
        <v>0</v>
      </c>
      <c r="VP1308" s="123"/>
      <c r="VQ1308" s="123"/>
      <c r="VR1308" s="123"/>
      <c r="VS1308" s="97">
        <f t="shared" si="827"/>
        <v>0</v>
      </c>
      <c r="VT1308" s="97">
        <f t="shared" si="828"/>
        <v>0</v>
      </c>
      <c r="VU1308" s="97">
        <f t="shared" si="829"/>
        <v>0</v>
      </c>
      <c r="VV1308" s="123"/>
      <c r="VW1308" s="123"/>
      <c r="VX1308" s="123"/>
      <c r="VY1308" s="97">
        <f t="shared" si="830"/>
        <v>0</v>
      </c>
      <c r="VZ1308" s="97">
        <f t="shared" si="830"/>
        <v>0</v>
      </c>
      <c r="WA1308" s="97">
        <f t="shared" si="830"/>
        <v>0</v>
      </c>
      <c r="WB1308" s="102"/>
      <c r="WC1308" s="102"/>
      <c r="WD1308" s="102"/>
      <c r="WE1308" s="123"/>
      <c r="WF1308" s="123"/>
      <c r="WG1308" s="123"/>
      <c r="WH1308" s="97">
        <f t="shared" si="831"/>
        <v>0</v>
      </c>
      <c r="WI1308" s="97">
        <f t="shared" si="832"/>
        <v>0</v>
      </c>
      <c r="WJ1308" s="97">
        <f t="shared" si="833"/>
        <v>0</v>
      </c>
      <c r="WK1308" s="123"/>
      <c r="WL1308" s="123"/>
      <c r="WM1308" s="123"/>
      <c r="WN1308" s="97">
        <f t="shared" si="834"/>
        <v>0</v>
      </c>
      <c r="WO1308" s="97">
        <f t="shared" si="835"/>
        <v>0</v>
      </c>
      <c r="WP1308" s="97">
        <f t="shared" si="836"/>
        <v>0</v>
      </c>
      <c r="WQ1308" s="123"/>
      <c r="WR1308" s="123"/>
      <c r="WS1308" s="123"/>
      <c r="WT1308" s="97">
        <f t="shared" si="837"/>
        <v>0</v>
      </c>
      <c r="WU1308" s="97">
        <f t="shared" si="837"/>
        <v>0</v>
      </c>
      <c r="WV1308" s="97">
        <f t="shared" si="837"/>
        <v>0</v>
      </c>
      <c r="WW1308" s="102"/>
      <c r="WX1308" s="102"/>
      <c r="WY1308" s="102"/>
      <c r="WZ1308" s="123"/>
      <c r="XA1308" s="123"/>
      <c r="XB1308" s="123"/>
      <c r="XC1308" s="97">
        <f t="shared" si="838"/>
        <v>0</v>
      </c>
      <c r="XD1308" s="97">
        <f t="shared" si="839"/>
        <v>0</v>
      </c>
      <c r="XE1308" s="97">
        <f t="shared" si="840"/>
        <v>0</v>
      </c>
      <c r="XF1308" s="123"/>
      <c r="XG1308" s="123"/>
      <c r="XH1308" s="123"/>
      <c r="XI1308" s="97">
        <f t="shared" si="841"/>
        <v>0</v>
      </c>
      <c r="XJ1308" s="97">
        <f t="shared" si="842"/>
        <v>0</v>
      </c>
      <c r="XK1308" s="97">
        <f t="shared" si="843"/>
        <v>0</v>
      </c>
      <c r="XL1308" s="123"/>
      <c r="XM1308" s="123"/>
      <c r="XN1308" s="123"/>
      <c r="XO1308" s="97">
        <f t="shared" si="844"/>
        <v>0</v>
      </c>
      <c r="XP1308" s="97">
        <f t="shared" si="844"/>
        <v>0</v>
      </c>
      <c r="XQ1308" s="97">
        <f t="shared" si="844"/>
        <v>0</v>
      </c>
      <c r="XR1308" s="102"/>
      <c r="XS1308" s="102"/>
      <c r="XT1308" s="102"/>
      <c r="XU1308" s="123"/>
      <c r="XV1308" s="123"/>
      <c r="XW1308" s="123"/>
      <c r="XX1308" s="97">
        <f t="shared" si="845"/>
        <v>0</v>
      </c>
      <c r="XY1308" s="97">
        <f t="shared" si="846"/>
        <v>0</v>
      </c>
      <c r="XZ1308" s="97">
        <f t="shared" si="847"/>
        <v>0</v>
      </c>
      <c r="YA1308" s="123"/>
      <c r="YB1308" s="123"/>
      <c r="YC1308" s="123"/>
      <c r="YD1308" s="97">
        <f t="shared" si="848"/>
        <v>0</v>
      </c>
      <c r="YE1308" s="97">
        <f t="shared" si="849"/>
        <v>0</v>
      </c>
      <c r="YF1308" s="97">
        <f t="shared" si="850"/>
        <v>0</v>
      </c>
      <c r="YG1308" s="123"/>
      <c r="YH1308" s="123"/>
      <c r="YI1308" s="123"/>
      <c r="YJ1308" s="97">
        <f t="shared" si="851"/>
        <v>0</v>
      </c>
      <c r="YK1308" s="97">
        <f t="shared" si="851"/>
        <v>0</v>
      </c>
      <c r="YL1308" s="97">
        <f t="shared" si="851"/>
        <v>0</v>
      </c>
      <c r="YM1308" s="145">
        <f t="shared" si="852"/>
        <v>26</v>
      </c>
      <c r="YN1308" s="145">
        <f t="shared" si="852"/>
        <v>26</v>
      </c>
      <c r="YO1308" s="145">
        <f t="shared" si="852"/>
        <v>26</v>
      </c>
      <c r="YP1308" s="123"/>
      <c r="YQ1308" s="123"/>
      <c r="YR1308" s="123"/>
      <c r="YS1308" s="97">
        <f t="shared" si="853"/>
        <v>170110.98</v>
      </c>
      <c r="YT1308" s="97">
        <f t="shared" si="854"/>
        <v>170110.98</v>
      </c>
      <c r="YU1308" s="97">
        <f t="shared" si="855"/>
        <v>170110.98</v>
      </c>
      <c r="YV1308" s="123"/>
      <c r="YW1308" s="123"/>
      <c r="YX1308" s="123"/>
      <c r="YY1308" s="97">
        <f t="shared" si="856"/>
        <v>1111.9000000000001</v>
      </c>
      <c r="YZ1308" s="97">
        <f t="shared" si="857"/>
        <v>1134.6199999999999</v>
      </c>
      <c r="ZA1308" s="97">
        <f t="shared" si="858"/>
        <v>1177.93</v>
      </c>
      <c r="ZB1308" s="123"/>
      <c r="ZC1308" s="123"/>
      <c r="ZD1308" s="123"/>
      <c r="ZE1308" s="97">
        <f t="shared" si="859"/>
        <v>28909.4</v>
      </c>
      <c r="ZF1308" s="97">
        <f t="shared" si="859"/>
        <v>29500.12</v>
      </c>
      <c r="ZG1308" s="97">
        <f t="shared" si="859"/>
        <v>30626.18</v>
      </c>
    </row>
    <row r="1309" spans="1:683" s="68" customFormat="1" ht="24" customHeight="1" x14ac:dyDescent="0.25">
      <c r="A1309" s="184" t="s">
        <v>710</v>
      </c>
      <c r="B1309" s="332"/>
      <c r="C1309" s="186"/>
      <c r="D1309" s="351"/>
      <c r="E1309" s="187"/>
      <c r="F1309" s="187"/>
      <c r="G1309" s="187"/>
      <c r="H1309" s="187"/>
      <c r="I1309" s="188"/>
      <c r="J1309" s="188"/>
      <c r="K1309" s="188"/>
      <c r="L1309" s="188"/>
      <c r="M1309" s="188"/>
      <c r="N1309" s="188"/>
      <c r="O1309" s="188"/>
      <c r="P1309" s="188"/>
      <c r="Q1309" s="188"/>
      <c r="R1309" s="188"/>
      <c r="S1309" s="188"/>
      <c r="T1309" s="188"/>
      <c r="U1309" s="188"/>
      <c r="V1309" s="188"/>
      <c r="W1309" s="188"/>
      <c r="X1309" s="188"/>
      <c r="Y1309" s="188"/>
      <c r="Z1309" s="188"/>
      <c r="AA1309" s="188"/>
      <c r="AB1309" s="188"/>
      <c r="AC1309" s="188"/>
      <c r="AD1309" s="188"/>
      <c r="AE1309" s="188"/>
      <c r="AF1309" s="188"/>
      <c r="AG1309" s="188"/>
      <c r="AH1309" s="188"/>
      <c r="AI1309" s="188"/>
      <c r="AJ1309" s="188"/>
      <c r="AK1309" s="188"/>
      <c r="AL1309" s="188"/>
      <c r="AM1309" s="188"/>
      <c r="AN1309" s="188"/>
      <c r="AO1309" s="188"/>
      <c r="AP1309" s="188"/>
      <c r="AQ1309" s="188"/>
      <c r="AR1309" s="188"/>
      <c r="AS1309" s="188"/>
      <c r="AT1309" s="188"/>
      <c r="AU1309" s="188"/>
      <c r="AV1309" s="188"/>
      <c r="AW1309" s="188"/>
      <c r="AX1309" s="188"/>
      <c r="AY1309" s="188"/>
      <c r="AZ1309" s="188"/>
      <c r="BA1309" s="188"/>
      <c r="BB1309" s="188"/>
      <c r="BC1309" s="188"/>
      <c r="BD1309" s="188"/>
      <c r="BE1309" s="188"/>
      <c r="BF1309" s="188"/>
      <c r="BG1309" s="188"/>
      <c r="BH1309" s="188"/>
      <c r="BI1309" s="188"/>
      <c r="BJ1309" s="188"/>
      <c r="BK1309" s="188"/>
      <c r="BL1309" s="188"/>
      <c r="BM1309" s="188"/>
      <c r="BN1309" s="188"/>
      <c r="BO1309" s="188"/>
      <c r="BP1309" s="188"/>
      <c r="BQ1309" s="188"/>
      <c r="BR1309" s="188"/>
      <c r="BS1309" s="188"/>
      <c r="BT1309" s="188"/>
      <c r="BU1309" s="188"/>
      <c r="BV1309" s="188"/>
      <c r="BW1309" s="188"/>
      <c r="BX1309" s="188"/>
      <c r="BY1309" s="188"/>
      <c r="BZ1309" s="188"/>
      <c r="CA1309" s="188"/>
      <c r="CB1309" s="188"/>
      <c r="CC1309" s="188"/>
      <c r="CD1309" s="188"/>
      <c r="CE1309" s="188"/>
      <c r="CF1309" s="188"/>
      <c r="CG1309" s="188"/>
      <c r="CH1309" s="188"/>
      <c r="CI1309" s="188"/>
      <c r="CJ1309" s="188"/>
      <c r="CK1309" s="188"/>
      <c r="CL1309" s="188"/>
      <c r="CM1309" s="188"/>
      <c r="CN1309" s="188"/>
      <c r="CO1309" s="188"/>
      <c r="CP1309" s="188"/>
      <c r="CQ1309" s="188"/>
      <c r="CR1309" s="188"/>
      <c r="CS1309" s="188"/>
      <c r="CT1309" s="188"/>
      <c r="CU1309" s="188"/>
      <c r="CV1309" s="188"/>
      <c r="CW1309" s="188"/>
      <c r="CX1309" s="188"/>
      <c r="CY1309" s="188"/>
      <c r="CZ1309" s="188"/>
      <c r="DA1309" s="188"/>
      <c r="DB1309" s="188"/>
      <c r="DC1309" s="188"/>
      <c r="DD1309" s="188"/>
      <c r="DE1309" s="188"/>
      <c r="DF1309" s="188"/>
      <c r="DG1309" s="188"/>
      <c r="DH1309" s="188"/>
      <c r="DI1309" s="188"/>
      <c r="DJ1309" s="188"/>
      <c r="DK1309" s="188"/>
      <c r="DL1309" s="188"/>
      <c r="DM1309" s="188"/>
      <c r="DN1309" s="188"/>
      <c r="DO1309" s="188"/>
      <c r="DP1309" s="188"/>
      <c r="DQ1309" s="188"/>
      <c r="DR1309" s="188"/>
      <c r="DS1309" s="188"/>
      <c r="DT1309" s="188"/>
      <c r="DU1309" s="188"/>
      <c r="DV1309" s="188"/>
      <c r="DW1309" s="188"/>
      <c r="DX1309" s="188"/>
      <c r="DY1309" s="188"/>
      <c r="DZ1309" s="188"/>
      <c r="EA1309" s="188"/>
      <c r="EB1309" s="188"/>
      <c r="EC1309" s="188"/>
      <c r="ED1309" s="188"/>
      <c r="EE1309" s="188"/>
      <c r="EF1309" s="188"/>
      <c r="EG1309" s="188"/>
      <c r="EH1309" s="188"/>
      <c r="EI1309" s="188"/>
      <c r="EJ1309" s="188"/>
      <c r="EK1309" s="188"/>
      <c r="EL1309" s="188"/>
      <c r="EM1309" s="188"/>
      <c r="EN1309" s="188"/>
      <c r="EO1309" s="188"/>
      <c r="EP1309" s="188"/>
      <c r="EQ1309" s="188"/>
      <c r="ER1309" s="188"/>
      <c r="ES1309" s="188"/>
      <c r="ET1309" s="188"/>
      <c r="EU1309" s="188"/>
      <c r="EV1309" s="188"/>
      <c r="EW1309" s="188"/>
      <c r="EX1309" s="188"/>
      <c r="EY1309" s="188"/>
      <c r="EZ1309" s="188"/>
      <c r="FA1309" s="188"/>
      <c r="FB1309" s="188"/>
      <c r="FC1309" s="188"/>
      <c r="FD1309" s="188"/>
      <c r="FE1309" s="188"/>
      <c r="FF1309" s="188"/>
      <c r="FG1309" s="188"/>
      <c r="FH1309" s="188"/>
      <c r="FI1309" s="188"/>
      <c r="FJ1309" s="188"/>
      <c r="FK1309" s="188"/>
      <c r="FL1309" s="188"/>
      <c r="FM1309" s="188"/>
      <c r="FN1309" s="188"/>
      <c r="FO1309" s="188"/>
      <c r="FP1309" s="188"/>
      <c r="FQ1309" s="188"/>
      <c r="FR1309" s="188"/>
      <c r="FS1309" s="188"/>
      <c r="FT1309" s="188"/>
      <c r="FU1309" s="188"/>
      <c r="FV1309" s="188"/>
      <c r="FW1309" s="188"/>
      <c r="FX1309" s="188"/>
      <c r="FY1309" s="188"/>
      <c r="FZ1309" s="188"/>
      <c r="GA1309" s="188"/>
      <c r="GB1309" s="188"/>
      <c r="GC1309" s="188"/>
      <c r="GD1309" s="188"/>
      <c r="GE1309" s="188"/>
      <c r="GF1309" s="188"/>
      <c r="GG1309" s="188"/>
      <c r="GH1309" s="188"/>
      <c r="GI1309" s="188"/>
      <c r="GJ1309" s="188"/>
      <c r="GK1309" s="188"/>
      <c r="GL1309" s="188"/>
      <c r="GM1309" s="188"/>
      <c r="GN1309" s="188"/>
      <c r="GO1309" s="188"/>
      <c r="GP1309" s="188"/>
      <c r="GQ1309" s="188"/>
      <c r="GR1309" s="188"/>
      <c r="GS1309" s="188"/>
      <c r="GT1309" s="188"/>
      <c r="GU1309" s="188"/>
      <c r="GV1309" s="188"/>
      <c r="GW1309" s="188"/>
      <c r="GX1309" s="188"/>
      <c r="GY1309" s="188"/>
      <c r="GZ1309" s="188"/>
      <c r="HA1309" s="188"/>
      <c r="HB1309" s="188"/>
      <c r="HC1309" s="188"/>
      <c r="HD1309" s="188"/>
      <c r="HE1309" s="188"/>
      <c r="HF1309" s="188"/>
      <c r="HG1309" s="188"/>
      <c r="HH1309" s="188"/>
      <c r="HI1309" s="188"/>
      <c r="HJ1309" s="188"/>
      <c r="HK1309" s="188"/>
      <c r="HL1309" s="188"/>
      <c r="HM1309" s="188"/>
      <c r="HN1309" s="188"/>
      <c r="HO1309" s="188"/>
      <c r="HP1309" s="188"/>
      <c r="HQ1309" s="188"/>
      <c r="HR1309" s="188"/>
      <c r="HS1309" s="188"/>
      <c r="HT1309" s="188"/>
      <c r="HU1309" s="188"/>
      <c r="HV1309" s="188"/>
      <c r="HW1309" s="188"/>
      <c r="HX1309" s="188"/>
      <c r="HY1309" s="188"/>
      <c r="HZ1309" s="188"/>
      <c r="IA1309" s="188"/>
      <c r="IB1309" s="188"/>
      <c r="IC1309" s="188"/>
      <c r="ID1309" s="188"/>
      <c r="IE1309" s="188"/>
      <c r="IF1309" s="188"/>
      <c r="IG1309" s="188"/>
      <c r="IH1309" s="188"/>
      <c r="II1309" s="188"/>
      <c r="IJ1309" s="188"/>
      <c r="IK1309" s="188"/>
      <c r="IL1309" s="188"/>
      <c r="IM1309" s="188"/>
      <c r="IN1309" s="188"/>
      <c r="IO1309" s="188"/>
      <c r="IP1309" s="188"/>
      <c r="IQ1309" s="188"/>
      <c r="IR1309" s="188"/>
      <c r="IS1309" s="188"/>
      <c r="IT1309" s="188"/>
      <c r="IU1309" s="188"/>
      <c r="IV1309" s="188"/>
      <c r="IW1309" s="188"/>
      <c r="IX1309" s="188"/>
      <c r="IY1309" s="188"/>
      <c r="IZ1309" s="188"/>
      <c r="JA1309" s="188"/>
      <c r="JB1309" s="188"/>
      <c r="JC1309" s="188"/>
      <c r="JD1309" s="188"/>
      <c r="JE1309" s="188"/>
      <c r="JF1309" s="188"/>
      <c r="JG1309" s="188"/>
      <c r="JH1309" s="188"/>
      <c r="JI1309" s="188"/>
      <c r="JJ1309" s="188"/>
      <c r="JK1309" s="188"/>
      <c r="JL1309" s="188"/>
      <c r="JM1309" s="188"/>
      <c r="JN1309" s="188"/>
      <c r="JO1309" s="188"/>
      <c r="JP1309" s="188"/>
      <c r="JQ1309" s="188"/>
      <c r="JR1309" s="188"/>
      <c r="JS1309" s="188"/>
      <c r="JT1309" s="188"/>
      <c r="JU1309" s="188"/>
      <c r="JV1309" s="188"/>
      <c r="JW1309" s="188"/>
      <c r="JX1309" s="188"/>
      <c r="JY1309" s="188"/>
      <c r="JZ1309" s="188"/>
      <c r="KA1309" s="188"/>
      <c r="KB1309" s="188"/>
      <c r="KC1309" s="188"/>
      <c r="KD1309" s="188"/>
      <c r="KE1309" s="188"/>
      <c r="KF1309" s="188"/>
      <c r="KG1309" s="188"/>
      <c r="KH1309" s="188"/>
      <c r="KI1309" s="188"/>
      <c r="KJ1309" s="188"/>
      <c r="KK1309" s="188"/>
      <c r="KL1309" s="188"/>
      <c r="KM1309" s="188"/>
      <c r="KN1309" s="188"/>
      <c r="KO1309" s="188"/>
      <c r="KP1309" s="188"/>
      <c r="KQ1309" s="188"/>
      <c r="KR1309" s="188"/>
      <c r="KS1309" s="188"/>
      <c r="KT1309" s="188"/>
      <c r="KU1309" s="188"/>
      <c r="KV1309" s="188"/>
      <c r="KW1309" s="188"/>
      <c r="KX1309" s="188"/>
      <c r="KY1309" s="188"/>
      <c r="KZ1309" s="188"/>
      <c r="LA1309" s="188"/>
      <c r="LB1309" s="188"/>
      <c r="LC1309" s="188"/>
      <c r="LD1309" s="188"/>
      <c r="LE1309" s="188"/>
      <c r="LF1309" s="188"/>
      <c r="LG1309" s="188"/>
      <c r="LH1309" s="188"/>
      <c r="LI1309" s="188"/>
      <c r="LJ1309" s="188"/>
      <c r="LK1309" s="188"/>
      <c r="LL1309" s="188"/>
      <c r="LM1309" s="188"/>
      <c r="LN1309" s="188"/>
      <c r="LO1309" s="188"/>
      <c r="LP1309" s="188"/>
      <c r="LQ1309" s="188"/>
      <c r="LR1309" s="188"/>
      <c r="LS1309" s="188"/>
      <c r="LT1309" s="188"/>
      <c r="LU1309" s="188"/>
      <c r="LV1309" s="188"/>
      <c r="LW1309" s="188"/>
      <c r="LX1309" s="188"/>
      <c r="LY1309" s="188"/>
      <c r="LZ1309" s="188"/>
      <c r="MA1309" s="188"/>
      <c r="MB1309" s="188"/>
      <c r="MC1309" s="188"/>
      <c r="MD1309" s="188"/>
      <c r="ME1309" s="188"/>
      <c r="MF1309" s="188"/>
      <c r="MG1309" s="188"/>
      <c r="MH1309" s="188"/>
      <c r="MI1309" s="188"/>
      <c r="MJ1309" s="188"/>
      <c r="MK1309" s="188"/>
      <c r="ML1309" s="188"/>
      <c r="MM1309" s="188"/>
      <c r="MN1309" s="188"/>
      <c r="MO1309" s="188"/>
      <c r="MP1309" s="188"/>
      <c r="MQ1309" s="188"/>
      <c r="MR1309" s="188"/>
      <c r="MS1309" s="188"/>
      <c r="MT1309" s="188"/>
      <c r="MU1309" s="188"/>
      <c r="MV1309" s="188"/>
      <c r="MW1309" s="188"/>
      <c r="MX1309" s="188"/>
      <c r="MY1309" s="188"/>
      <c r="MZ1309" s="188"/>
      <c r="NA1309" s="188"/>
      <c r="NB1309" s="188"/>
      <c r="NC1309" s="188"/>
      <c r="ND1309" s="188"/>
      <c r="NE1309" s="188"/>
      <c r="NF1309" s="188"/>
      <c r="NG1309" s="188"/>
      <c r="NH1309" s="188"/>
      <c r="NI1309" s="188"/>
      <c r="NJ1309" s="188"/>
      <c r="NK1309" s="188"/>
      <c r="NL1309" s="188"/>
      <c r="NM1309" s="188"/>
      <c r="NN1309" s="188"/>
      <c r="NO1309" s="188"/>
      <c r="NP1309" s="188"/>
      <c r="NQ1309" s="188"/>
      <c r="NR1309" s="188"/>
      <c r="NS1309" s="188"/>
      <c r="NT1309" s="188"/>
      <c r="NU1309" s="188"/>
      <c r="NV1309" s="188"/>
      <c r="NW1309" s="188"/>
      <c r="NX1309" s="188"/>
      <c r="NY1309" s="188"/>
      <c r="NZ1309" s="188"/>
      <c r="OA1309" s="188"/>
      <c r="OB1309" s="188"/>
      <c r="OC1309" s="188"/>
      <c r="OD1309" s="188"/>
      <c r="OE1309" s="188"/>
      <c r="OF1309" s="188"/>
      <c r="OG1309" s="188"/>
      <c r="OH1309" s="188"/>
      <c r="OI1309" s="188"/>
      <c r="OJ1309" s="188"/>
      <c r="OK1309" s="188"/>
      <c r="OL1309" s="188"/>
      <c r="OM1309" s="188"/>
      <c r="ON1309" s="188"/>
      <c r="OO1309" s="188"/>
      <c r="OP1309" s="188"/>
      <c r="OQ1309" s="188"/>
      <c r="OR1309" s="188"/>
      <c r="OS1309" s="188"/>
      <c r="OT1309" s="188"/>
      <c r="OU1309" s="188"/>
      <c r="OV1309" s="188"/>
      <c r="OW1309" s="188"/>
      <c r="OX1309" s="188"/>
      <c r="OY1309" s="188"/>
      <c r="OZ1309" s="188"/>
      <c r="PA1309" s="188"/>
      <c r="PB1309" s="188"/>
      <c r="PC1309" s="188"/>
      <c r="PD1309" s="188"/>
      <c r="PE1309" s="188"/>
      <c r="PF1309" s="188"/>
      <c r="PG1309" s="188"/>
      <c r="PH1309" s="188"/>
      <c r="PI1309" s="188"/>
      <c r="PJ1309" s="188"/>
      <c r="PK1309" s="188"/>
      <c r="PL1309" s="188"/>
      <c r="PM1309" s="188"/>
      <c r="PN1309" s="188"/>
      <c r="PO1309" s="188"/>
      <c r="PP1309" s="188"/>
      <c r="PQ1309" s="188"/>
      <c r="PR1309" s="188"/>
      <c r="PS1309" s="188"/>
      <c r="PT1309" s="188"/>
      <c r="PU1309" s="188"/>
      <c r="PV1309" s="188"/>
      <c r="PW1309" s="188"/>
      <c r="PX1309" s="188"/>
      <c r="PY1309" s="188"/>
      <c r="PZ1309" s="188"/>
      <c r="QA1309" s="188"/>
      <c r="QB1309" s="188"/>
      <c r="QC1309" s="188"/>
      <c r="QD1309" s="188"/>
      <c r="QE1309" s="188"/>
      <c r="QF1309" s="188"/>
      <c r="QG1309" s="188"/>
      <c r="QH1309" s="188"/>
      <c r="QI1309" s="188"/>
      <c r="QJ1309" s="188"/>
      <c r="QK1309" s="188"/>
      <c r="QL1309" s="188"/>
      <c r="QM1309" s="188"/>
      <c r="QN1309" s="188"/>
      <c r="QO1309" s="188"/>
      <c r="QP1309" s="188"/>
      <c r="QQ1309" s="188"/>
      <c r="QR1309" s="188"/>
      <c r="QS1309" s="188"/>
      <c r="QT1309" s="188"/>
      <c r="QU1309" s="188"/>
      <c r="QV1309" s="188"/>
      <c r="QW1309" s="188"/>
      <c r="QX1309" s="188"/>
      <c r="QY1309" s="188"/>
      <c r="QZ1309" s="188"/>
      <c r="RA1309" s="188"/>
      <c r="RB1309" s="188"/>
      <c r="RC1309" s="188"/>
      <c r="RD1309" s="188"/>
      <c r="RE1309" s="188"/>
      <c r="RF1309" s="188"/>
      <c r="RG1309" s="188"/>
      <c r="RH1309" s="188"/>
      <c r="RI1309" s="188"/>
      <c r="RJ1309" s="188"/>
      <c r="RK1309" s="188"/>
      <c r="RL1309" s="188"/>
      <c r="RM1309" s="188"/>
      <c r="RN1309" s="188"/>
      <c r="RO1309" s="188"/>
      <c r="RP1309" s="188"/>
      <c r="RQ1309" s="188"/>
      <c r="RR1309" s="188"/>
      <c r="RS1309" s="188"/>
      <c r="RT1309" s="188"/>
      <c r="RU1309" s="188"/>
      <c r="RV1309" s="188"/>
      <c r="RW1309" s="188"/>
      <c r="RX1309" s="188"/>
      <c r="RY1309" s="188"/>
      <c r="RZ1309" s="188"/>
      <c r="SA1309" s="188"/>
      <c r="SB1309" s="188"/>
      <c r="SC1309" s="188"/>
      <c r="SD1309" s="188"/>
      <c r="SE1309" s="188"/>
      <c r="SF1309" s="188"/>
      <c r="SG1309" s="188"/>
      <c r="SH1309" s="188"/>
      <c r="SI1309" s="188"/>
      <c r="SJ1309" s="188"/>
      <c r="SK1309" s="188"/>
      <c r="SL1309" s="188"/>
      <c r="SM1309" s="188"/>
      <c r="SN1309" s="188"/>
      <c r="SO1309" s="188"/>
      <c r="SP1309" s="188"/>
      <c r="SQ1309" s="188"/>
      <c r="SR1309" s="188"/>
      <c r="SS1309" s="188"/>
      <c r="ST1309" s="188"/>
      <c r="SU1309" s="188"/>
      <c r="SV1309" s="188"/>
      <c r="SW1309" s="188"/>
      <c r="SX1309" s="188"/>
      <c r="SY1309" s="188"/>
      <c r="SZ1309" s="188"/>
      <c r="TA1309" s="188"/>
      <c r="TB1309" s="188"/>
      <c r="TC1309" s="188"/>
      <c r="TD1309" s="188"/>
      <c r="TE1309" s="188"/>
      <c r="TF1309" s="188"/>
      <c r="TG1309" s="188"/>
      <c r="TH1309" s="188"/>
      <c r="TI1309" s="188"/>
      <c r="TJ1309" s="188"/>
      <c r="TK1309" s="188"/>
      <c r="TL1309" s="188"/>
      <c r="TM1309" s="188"/>
      <c r="TN1309" s="188"/>
      <c r="TO1309" s="188"/>
      <c r="TP1309" s="188"/>
      <c r="TQ1309" s="188"/>
      <c r="TR1309" s="188"/>
      <c r="TS1309" s="188"/>
      <c r="TT1309" s="188"/>
      <c r="TU1309" s="188"/>
      <c r="TV1309" s="188"/>
      <c r="TW1309" s="188"/>
      <c r="TX1309" s="188"/>
      <c r="TY1309" s="188"/>
      <c r="TZ1309" s="188"/>
      <c r="UA1309" s="188"/>
      <c r="UB1309" s="188"/>
      <c r="UC1309" s="188"/>
      <c r="UD1309" s="188"/>
      <c r="UE1309" s="188"/>
      <c r="UF1309" s="188"/>
      <c r="UG1309" s="188"/>
      <c r="UH1309" s="188"/>
      <c r="UI1309" s="188"/>
      <c r="UJ1309" s="188"/>
      <c r="UK1309" s="188"/>
      <c r="UL1309" s="188"/>
      <c r="UM1309" s="188"/>
      <c r="UN1309" s="188"/>
      <c r="UO1309" s="188"/>
      <c r="UP1309" s="188"/>
      <c r="UQ1309" s="188"/>
      <c r="UR1309" s="188"/>
      <c r="US1309" s="188"/>
      <c r="UT1309" s="188"/>
      <c r="UU1309" s="188"/>
      <c r="UV1309" s="188"/>
      <c r="UW1309" s="188"/>
      <c r="UX1309" s="188"/>
      <c r="UY1309" s="188"/>
      <c r="UZ1309" s="188"/>
      <c r="VA1309" s="188"/>
      <c r="VB1309" s="188"/>
      <c r="VC1309" s="188"/>
      <c r="VD1309" s="188"/>
      <c r="VE1309" s="188"/>
      <c r="VF1309" s="188"/>
      <c r="VG1309" s="188"/>
      <c r="VH1309" s="188"/>
      <c r="VI1309" s="188"/>
      <c r="VJ1309" s="188"/>
      <c r="VK1309" s="188"/>
      <c r="VL1309" s="188"/>
      <c r="VM1309" s="188"/>
      <c r="VN1309" s="188"/>
      <c r="VO1309" s="188"/>
      <c r="VP1309" s="188"/>
      <c r="VQ1309" s="188"/>
      <c r="VR1309" s="188"/>
      <c r="VS1309" s="188"/>
      <c r="VT1309" s="188"/>
      <c r="VU1309" s="188"/>
      <c r="VV1309" s="188"/>
      <c r="VW1309" s="188"/>
      <c r="VX1309" s="188"/>
      <c r="VY1309" s="188"/>
      <c r="VZ1309" s="188"/>
      <c r="WA1309" s="188"/>
      <c r="WB1309" s="188"/>
      <c r="WC1309" s="188"/>
      <c r="WD1309" s="188"/>
      <c r="WE1309" s="188"/>
      <c r="WF1309" s="188"/>
      <c r="WG1309" s="188"/>
      <c r="WH1309" s="188"/>
      <c r="WI1309" s="188"/>
      <c r="WJ1309" s="188"/>
      <c r="WK1309" s="188"/>
      <c r="WL1309" s="188"/>
      <c r="WM1309" s="188"/>
      <c r="WN1309" s="188"/>
      <c r="WO1309" s="188"/>
      <c r="WP1309" s="188"/>
      <c r="WQ1309" s="188"/>
      <c r="WR1309" s="188"/>
      <c r="WS1309" s="188"/>
      <c r="WT1309" s="188"/>
      <c r="WU1309" s="188"/>
      <c r="WV1309" s="188"/>
      <c r="WW1309" s="188"/>
      <c r="WX1309" s="188"/>
      <c r="WY1309" s="188"/>
      <c r="WZ1309" s="188"/>
      <c r="XA1309" s="188"/>
      <c r="XB1309" s="188"/>
      <c r="XC1309" s="188"/>
      <c r="XD1309" s="188"/>
      <c r="XE1309" s="188"/>
      <c r="XF1309" s="188"/>
      <c r="XG1309" s="188"/>
      <c r="XH1309" s="188"/>
      <c r="XI1309" s="188"/>
      <c r="XJ1309" s="188"/>
      <c r="XK1309" s="188"/>
      <c r="XL1309" s="188"/>
      <c r="XM1309" s="188"/>
      <c r="XN1309" s="188"/>
      <c r="XO1309" s="188"/>
      <c r="XP1309" s="188"/>
      <c r="XQ1309" s="188"/>
      <c r="XR1309" s="188"/>
      <c r="XS1309" s="188"/>
      <c r="XT1309" s="188"/>
      <c r="XU1309" s="188"/>
      <c r="XV1309" s="188"/>
      <c r="XW1309" s="188"/>
      <c r="XX1309" s="188"/>
      <c r="XY1309" s="188"/>
      <c r="XZ1309" s="188"/>
      <c r="YA1309" s="188"/>
      <c r="YB1309" s="188"/>
      <c r="YC1309" s="188"/>
      <c r="YD1309" s="188"/>
      <c r="YE1309" s="188"/>
      <c r="YF1309" s="188"/>
      <c r="YG1309" s="188"/>
      <c r="YH1309" s="188"/>
      <c r="YI1309" s="188"/>
      <c r="YJ1309" s="188"/>
      <c r="YK1309" s="188"/>
      <c r="YL1309" s="188"/>
      <c r="YM1309" s="188"/>
      <c r="YN1309" s="188"/>
      <c r="YO1309" s="188"/>
      <c r="YP1309" s="188"/>
      <c r="YQ1309" s="188"/>
      <c r="YR1309" s="188"/>
      <c r="YS1309" s="188"/>
      <c r="YT1309" s="188"/>
      <c r="YU1309" s="188"/>
      <c r="YV1309" s="188"/>
      <c r="YW1309" s="188"/>
      <c r="YX1309" s="188"/>
      <c r="YY1309" s="188"/>
      <c r="YZ1309" s="188"/>
      <c r="ZA1309" s="188"/>
      <c r="ZB1309" s="188"/>
      <c r="ZC1309" s="188"/>
      <c r="ZD1309" s="188"/>
      <c r="ZE1309" s="188"/>
      <c r="ZF1309" s="188"/>
      <c r="ZG1309" s="188"/>
    </row>
    <row r="1310" spans="1:683" s="156" customFormat="1" ht="24" x14ac:dyDescent="0.25">
      <c r="A1310" s="114" t="s">
        <v>711</v>
      </c>
      <c r="B1310" s="333"/>
      <c r="C1310" s="150" t="s">
        <v>449</v>
      </c>
      <c r="D1310" s="1279"/>
      <c r="E1310" s="1280"/>
      <c r="F1310" s="151"/>
      <c r="G1310" s="151"/>
      <c r="H1310" s="151"/>
      <c r="I1310" s="189"/>
      <c r="J1310" s="189"/>
      <c r="K1310" s="189"/>
      <c r="L1310" s="185" t="s">
        <v>699</v>
      </c>
      <c r="M1310" s="185" t="s">
        <v>699</v>
      </c>
      <c r="N1310" s="185" t="s">
        <v>699</v>
      </c>
      <c r="O1310" s="151">
        <f t="shared" ref="O1310:T1310" si="1255">O1280+O1296</f>
        <v>0</v>
      </c>
      <c r="P1310" s="151">
        <f t="shared" si="1255"/>
        <v>0</v>
      </c>
      <c r="Q1310" s="151">
        <f t="shared" si="1255"/>
        <v>0</v>
      </c>
      <c r="R1310" s="151">
        <f t="shared" si="1255"/>
        <v>0</v>
      </c>
      <c r="S1310" s="151">
        <f t="shared" si="1255"/>
        <v>0</v>
      </c>
      <c r="T1310" s="151">
        <f t="shared" si="1255"/>
        <v>0</v>
      </c>
      <c r="U1310" s="185" t="s">
        <v>699</v>
      </c>
      <c r="V1310" s="185" t="s">
        <v>699</v>
      </c>
      <c r="W1310" s="185" t="s">
        <v>699</v>
      </c>
      <c r="X1310" s="185" t="s">
        <v>699</v>
      </c>
      <c r="Y1310" s="185" t="s">
        <v>699</v>
      </c>
      <c r="Z1310" s="185" t="s">
        <v>699</v>
      </c>
      <c r="AA1310" s="185" t="s">
        <v>699</v>
      </c>
      <c r="AB1310" s="185" t="s">
        <v>699</v>
      </c>
      <c r="AC1310" s="185" t="s">
        <v>699</v>
      </c>
      <c r="AD1310" s="185" t="s">
        <v>699</v>
      </c>
      <c r="AE1310" s="185" t="s">
        <v>699</v>
      </c>
      <c r="AF1310" s="185" t="s">
        <v>699</v>
      </c>
      <c r="AG1310" s="185" t="s">
        <v>699</v>
      </c>
      <c r="AH1310" s="185" t="s">
        <v>699</v>
      </c>
      <c r="AI1310" s="185" t="s">
        <v>699</v>
      </c>
      <c r="AJ1310" s="151">
        <f t="shared" ref="AJ1310:AO1310" si="1256">AJ1280+AJ1296</f>
        <v>0</v>
      </c>
      <c r="AK1310" s="151">
        <f t="shared" si="1256"/>
        <v>0</v>
      </c>
      <c r="AL1310" s="151">
        <f t="shared" si="1256"/>
        <v>0</v>
      </c>
      <c r="AM1310" s="151">
        <f t="shared" si="1256"/>
        <v>0</v>
      </c>
      <c r="AN1310" s="151">
        <f t="shared" si="1256"/>
        <v>0</v>
      </c>
      <c r="AO1310" s="151">
        <f t="shared" si="1256"/>
        <v>0</v>
      </c>
      <c r="AP1310" s="185" t="s">
        <v>699</v>
      </c>
      <c r="AQ1310" s="185" t="s">
        <v>699</v>
      </c>
      <c r="AR1310" s="185" t="s">
        <v>699</v>
      </c>
      <c r="AS1310" s="185" t="s">
        <v>699</v>
      </c>
      <c r="AT1310" s="185" t="s">
        <v>699</v>
      </c>
      <c r="AU1310" s="185" t="s">
        <v>699</v>
      </c>
      <c r="AV1310" s="185" t="s">
        <v>699</v>
      </c>
      <c r="AW1310" s="185" t="s">
        <v>699</v>
      </c>
      <c r="AX1310" s="185" t="s">
        <v>699</v>
      </c>
      <c r="AY1310" s="185" t="s">
        <v>699</v>
      </c>
      <c r="AZ1310" s="185" t="s">
        <v>699</v>
      </c>
      <c r="BA1310" s="185" t="s">
        <v>699</v>
      </c>
      <c r="BB1310" s="185" t="s">
        <v>699</v>
      </c>
      <c r="BC1310" s="185" t="s">
        <v>699</v>
      </c>
      <c r="BD1310" s="185" t="s">
        <v>699</v>
      </c>
      <c r="BE1310" s="151">
        <f t="shared" ref="BE1310:BJ1310" si="1257">BE1280+BE1296</f>
        <v>0</v>
      </c>
      <c r="BF1310" s="151">
        <f t="shared" si="1257"/>
        <v>0</v>
      </c>
      <c r="BG1310" s="151">
        <f t="shared" si="1257"/>
        <v>0</v>
      </c>
      <c r="BH1310" s="151">
        <f t="shared" si="1257"/>
        <v>0</v>
      </c>
      <c r="BI1310" s="151">
        <f t="shared" si="1257"/>
        <v>0</v>
      </c>
      <c r="BJ1310" s="151">
        <f t="shared" si="1257"/>
        <v>0</v>
      </c>
      <c r="BK1310" s="185" t="s">
        <v>699</v>
      </c>
      <c r="BL1310" s="185" t="s">
        <v>699</v>
      </c>
      <c r="BM1310" s="185" t="s">
        <v>699</v>
      </c>
      <c r="BN1310" s="185" t="s">
        <v>699</v>
      </c>
      <c r="BO1310" s="185" t="s">
        <v>699</v>
      </c>
      <c r="BP1310" s="185" t="s">
        <v>699</v>
      </c>
      <c r="BQ1310" s="185" t="s">
        <v>699</v>
      </c>
      <c r="BR1310" s="185" t="s">
        <v>699</v>
      </c>
      <c r="BS1310" s="185" t="s">
        <v>699</v>
      </c>
      <c r="BT1310" s="185" t="s">
        <v>699</v>
      </c>
      <c r="BU1310" s="185" t="s">
        <v>699</v>
      </c>
      <c r="BV1310" s="185" t="s">
        <v>699</v>
      </c>
      <c r="BW1310" s="185" t="s">
        <v>699</v>
      </c>
      <c r="BX1310" s="185" t="s">
        <v>699</v>
      </c>
      <c r="BY1310" s="185" t="s">
        <v>699</v>
      </c>
      <c r="BZ1310" s="151">
        <f t="shared" ref="BZ1310:CE1310" si="1258">BZ1280+BZ1296</f>
        <v>0</v>
      </c>
      <c r="CA1310" s="151">
        <f t="shared" si="1258"/>
        <v>0</v>
      </c>
      <c r="CB1310" s="151">
        <f t="shared" si="1258"/>
        <v>0</v>
      </c>
      <c r="CC1310" s="151">
        <f t="shared" si="1258"/>
        <v>0</v>
      </c>
      <c r="CD1310" s="151">
        <f t="shared" si="1258"/>
        <v>0</v>
      </c>
      <c r="CE1310" s="151">
        <f t="shared" si="1258"/>
        <v>0</v>
      </c>
      <c r="CF1310" s="185" t="s">
        <v>699</v>
      </c>
      <c r="CG1310" s="185" t="s">
        <v>699</v>
      </c>
      <c r="CH1310" s="185" t="s">
        <v>699</v>
      </c>
      <c r="CI1310" s="185" t="s">
        <v>699</v>
      </c>
      <c r="CJ1310" s="185" t="s">
        <v>699</v>
      </c>
      <c r="CK1310" s="185" t="s">
        <v>699</v>
      </c>
      <c r="CL1310" s="185" t="s">
        <v>699</v>
      </c>
      <c r="CM1310" s="185" t="s">
        <v>699</v>
      </c>
      <c r="CN1310" s="185" t="s">
        <v>699</v>
      </c>
      <c r="CO1310" s="185" t="s">
        <v>699</v>
      </c>
      <c r="CP1310" s="185" t="s">
        <v>699</v>
      </c>
      <c r="CQ1310" s="185" t="s">
        <v>699</v>
      </c>
      <c r="CR1310" s="185" t="s">
        <v>699</v>
      </c>
      <c r="CS1310" s="185" t="s">
        <v>699</v>
      </c>
      <c r="CT1310" s="185" t="s">
        <v>699</v>
      </c>
      <c r="CU1310" s="151">
        <f t="shared" ref="CU1310:CZ1310" si="1259">CU1280+CU1296</f>
        <v>0</v>
      </c>
      <c r="CV1310" s="151">
        <f t="shared" si="1259"/>
        <v>0</v>
      </c>
      <c r="CW1310" s="151">
        <f t="shared" si="1259"/>
        <v>0</v>
      </c>
      <c r="CX1310" s="151">
        <f t="shared" si="1259"/>
        <v>0</v>
      </c>
      <c r="CY1310" s="151">
        <f t="shared" si="1259"/>
        <v>0</v>
      </c>
      <c r="CZ1310" s="151">
        <f t="shared" si="1259"/>
        <v>0</v>
      </c>
      <c r="DA1310" s="185" t="s">
        <v>699</v>
      </c>
      <c r="DB1310" s="185" t="s">
        <v>699</v>
      </c>
      <c r="DC1310" s="185" t="s">
        <v>699</v>
      </c>
      <c r="DD1310" s="185" t="s">
        <v>699</v>
      </c>
      <c r="DE1310" s="185" t="s">
        <v>699</v>
      </c>
      <c r="DF1310" s="185" t="s">
        <v>699</v>
      </c>
      <c r="DG1310" s="185" t="s">
        <v>699</v>
      </c>
      <c r="DH1310" s="185" t="s">
        <v>699</v>
      </c>
      <c r="DI1310" s="185" t="s">
        <v>699</v>
      </c>
      <c r="DJ1310" s="185" t="s">
        <v>699</v>
      </c>
      <c r="DK1310" s="185" t="s">
        <v>699</v>
      </c>
      <c r="DL1310" s="185" t="s">
        <v>699</v>
      </c>
      <c r="DM1310" s="185" t="s">
        <v>699</v>
      </c>
      <c r="DN1310" s="185" t="s">
        <v>699</v>
      </c>
      <c r="DO1310" s="185" t="s">
        <v>699</v>
      </c>
      <c r="DP1310" s="151">
        <f t="shared" ref="DP1310:DU1310" si="1260">DP1280+DP1296</f>
        <v>0</v>
      </c>
      <c r="DQ1310" s="151">
        <f t="shared" si="1260"/>
        <v>0</v>
      </c>
      <c r="DR1310" s="151">
        <f t="shared" si="1260"/>
        <v>0</v>
      </c>
      <c r="DS1310" s="151">
        <f t="shared" si="1260"/>
        <v>0</v>
      </c>
      <c r="DT1310" s="151">
        <f t="shared" si="1260"/>
        <v>0</v>
      </c>
      <c r="DU1310" s="151">
        <f t="shared" si="1260"/>
        <v>0</v>
      </c>
      <c r="DV1310" s="185" t="s">
        <v>699</v>
      </c>
      <c r="DW1310" s="185" t="s">
        <v>699</v>
      </c>
      <c r="DX1310" s="185" t="s">
        <v>699</v>
      </c>
      <c r="DY1310" s="185" t="s">
        <v>699</v>
      </c>
      <c r="DZ1310" s="185" t="s">
        <v>699</v>
      </c>
      <c r="EA1310" s="185" t="s">
        <v>699</v>
      </c>
      <c r="EB1310" s="185" t="s">
        <v>699</v>
      </c>
      <c r="EC1310" s="185" t="s">
        <v>699</v>
      </c>
      <c r="ED1310" s="185" t="s">
        <v>699</v>
      </c>
      <c r="EE1310" s="185" t="s">
        <v>699</v>
      </c>
      <c r="EF1310" s="185" t="s">
        <v>699</v>
      </c>
      <c r="EG1310" s="185" t="s">
        <v>699</v>
      </c>
      <c r="EH1310" s="185" t="s">
        <v>699</v>
      </c>
      <c r="EI1310" s="185" t="s">
        <v>699</v>
      </c>
      <c r="EJ1310" s="185" t="s">
        <v>699</v>
      </c>
      <c r="EK1310" s="151">
        <f t="shared" ref="EK1310:EP1310" si="1261">EK1280+EK1296</f>
        <v>0</v>
      </c>
      <c r="EL1310" s="151">
        <f t="shared" si="1261"/>
        <v>0</v>
      </c>
      <c r="EM1310" s="151">
        <f t="shared" si="1261"/>
        <v>0</v>
      </c>
      <c r="EN1310" s="151">
        <f t="shared" si="1261"/>
        <v>0</v>
      </c>
      <c r="EO1310" s="151">
        <f t="shared" si="1261"/>
        <v>0</v>
      </c>
      <c r="EP1310" s="151">
        <f t="shared" si="1261"/>
        <v>0</v>
      </c>
      <c r="EQ1310" s="185" t="s">
        <v>699</v>
      </c>
      <c r="ER1310" s="185" t="s">
        <v>699</v>
      </c>
      <c r="ES1310" s="185" t="s">
        <v>699</v>
      </c>
      <c r="ET1310" s="185" t="s">
        <v>699</v>
      </c>
      <c r="EU1310" s="185" t="s">
        <v>699</v>
      </c>
      <c r="EV1310" s="185" t="s">
        <v>699</v>
      </c>
      <c r="EW1310" s="185" t="s">
        <v>699</v>
      </c>
      <c r="EX1310" s="185" t="s">
        <v>699</v>
      </c>
      <c r="EY1310" s="185" t="s">
        <v>699</v>
      </c>
      <c r="EZ1310" s="185" t="s">
        <v>699</v>
      </c>
      <c r="FA1310" s="185" t="s">
        <v>699</v>
      </c>
      <c r="FB1310" s="185" t="s">
        <v>699</v>
      </c>
      <c r="FC1310" s="185" t="s">
        <v>699</v>
      </c>
      <c r="FD1310" s="185" t="s">
        <v>699</v>
      </c>
      <c r="FE1310" s="185" t="s">
        <v>699</v>
      </c>
      <c r="FF1310" s="151">
        <f t="shared" ref="FF1310:FK1310" si="1262">FF1280+FF1296</f>
        <v>0</v>
      </c>
      <c r="FG1310" s="151">
        <f t="shared" si="1262"/>
        <v>0</v>
      </c>
      <c r="FH1310" s="151">
        <f t="shared" si="1262"/>
        <v>0</v>
      </c>
      <c r="FI1310" s="151">
        <f t="shared" si="1262"/>
        <v>0</v>
      </c>
      <c r="FJ1310" s="151">
        <f t="shared" si="1262"/>
        <v>0</v>
      </c>
      <c r="FK1310" s="151">
        <f t="shared" si="1262"/>
        <v>0</v>
      </c>
      <c r="FL1310" s="185" t="s">
        <v>699</v>
      </c>
      <c r="FM1310" s="185" t="s">
        <v>699</v>
      </c>
      <c r="FN1310" s="185" t="s">
        <v>699</v>
      </c>
      <c r="FO1310" s="185" t="s">
        <v>699</v>
      </c>
      <c r="FP1310" s="185" t="s">
        <v>699</v>
      </c>
      <c r="FQ1310" s="185" t="s">
        <v>699</v>
      </c>
      <c r="FR1310" s="185" t="s">
        <v>699</v>
      </c>
      <c r="FS1310" s="185" t="s">
        <v>699</v>
      </c>
      <c r="FT1310" s="185" t="s">
        <v>699</v>
      </c>
      <c r="FU1310" s="185" t="s">
        <v>699</v>
      </c>
      <c r="FV1310" s="185" t="s">
        <v>699</v>
      </c>
      <c r="FW1310" s="185" t="s">
        <v>699</v>
      </c>
      <c r="FX1310" s="185" t="s">
        <v>699</v>
      </c>
      <c r="FY1310" s="185" t="s">
        <v>699</v>
      </c>
      <c r="FZ1310" s="185" t="s">
        <v>699</v>
      </c>
      <c r="GA1310" s="151">
        <f t="shared" ref="GA1310:GF1310" si="1263">GA1280+GA1296</f>
        <v>0</v>
      </c>
      <c r="GB1310" s="151">
        <f t="shared" si="1263"/>
        <v>0</v>
      </c>
      <c r="GC1310" s="151">
        <f t="shared" si="1263"/>
        <v>0</v>
      </c>
      <c r="GD1310" s="151">
        <f t="shared" si="1263"/>
        <v>0</v>
      </c>
      <c r="GE1310" s="151">
        <f t="shared" si="1263"/>
        <v>0</v>
      </c>
      <c r="GF1310" s="151">
        <f t="shared" si="1263"/>
        <v>0</v>
      </c>
      <c r="GG1310" s="185" t="s">
        <v>699</v>
      </c>
      <c r="GH1310" s="185" t="s">
        <v>699</v>
      </c>
      <c r="GI1310" s="185" t="s">
        <v>699</v>
      </c>
      <c r="GJ1310" s="185" t="s">
        <v>699</v>
      </c>
      <c r="GK1310" s="185" t="s">
        <v>699</v>
      </c>
      <c r="GL1310" s="185" t="s">
        <v>699</v>
      </c>
      <c r="GM1310" s="185" t="s">
        <v>699</v>
      </c>
      <c r="GN1310" s="185" t="s">
        <v>699</v>
      </c>
      <c r="GO1310" s="185" t="s">
        <v>699</v>
      </c>
      <c r="GP1310" s="185" t="s">
        <v>699</v>
      </c>
      <c r="GQ1310" s="185" t="s">
        <v>699</v>
      </c>
      <c r="GR1310" s="185" t="s">
        <v>699</v>
      </c>
      <c r="GS1310" s="185" t="s">
        <v>699</v>
      </c>
      <c r="GT1310" s="185" t="s">
        <v>699</v>
      </c>
      <c r="GU1310" s="185" t="s">
        <v>699</v>
      </c>
      <c r="GV1310" s="151">
        <f t="shared" ref="GV1310:HA1310" si="1264">GV1280+GV1296</f>
        <v>0</v>
      </c>
      <c r="GW1310" s="151">
        <f t="shared" si="1264"/>
        <v>0</v>
      </c>
      <c r="GX1310" s="151">
        <f t="shared" si="1264"/>
        <v>0</v>
      </c>
      <c r="GY1310" s="151">
        <f t="shared" si="1264"/>
        <v>0</v>
      </c>
      <c r="GZ1310" s="151">
        <f t="shared" si="1264"/>
        <v>0</v>
      </c>
      <c r="HA1310" s="151">
        <f t="shared" si="1264"/>
        <v>0</v>
      </c>
      <c r="HB1310" s="185" t="s">
        <v>699</v>
      </c>
      <c r="HC1310" s="185" t="s">
        <v>699</v>
      </c>
      <c r="HD1310" s="185" t="s">
        <v>699</v>
      </c>
      <c r="HE1310" s="185" t="s">
        <v>699</v>
      </c>
      <c r="HF1310" s="185" t="s">
        <v>699</v>
      </c>
      <c r="HG1310" s="185" t="s">
        <v>699</v>
      </c>
      <c r="HH1310" s="185" t="s">
        <v>699</v>
      </c>
      <c r="HI1310" s="185" t="s">
        <v>699</v>
      </c>
      <c r="HJ1310" s="185" t="s">
        <v>699</v>
      </c>
      <c r="HK1310" s="185" t="s">
        <v>699</v>
      </c>
      <c r="HL1310" s="185" t="s">
        <v>699</v>
      </c>
      <c r="HM1310" s="185" t="s">
        <v>699</v>
      </c>
      <c r="HN1310" s="185" t="s">
        <v>699</v>
      </c>
      <c r="HO1310" s="185" t="s">
        <v>699</v>
      </c>
      <c r="HP1310" s="185" t="s">
        <v>699</v>
      </c>
      <c r="HQ1310" s="151">
        <f t="shared" ref="HQ1310:HV1310" si="1265">HQ1280+HQ1296</f>
        <v>0</v>
      </c>
      <c r="HR1310" s="151">
        <f t="shared" si="1265"/>
        <v>0</v>
      </c>
      <c r="HS1310" s="151">
        <f t="shared" si="1265"/>
        <v>0</v>
      </c>
      <c r="HT1310" s="151">
        <f t="shared" si="1265"/>
        <v>0</v>
      </c>
      <c r="HU1310" s="151">
        <f t="shared" si="1265"/>
        <v>0</v>
      </c>
      <c r="HV1310" s="151">
        <f t="shared" si="1265"/>
        <v>0</v>
      </c>
      <c r="HW1310" s="185" t="s">
        <v>699</v>
      </c>
      <c r="HX1310" s="185" t="s">
        <v>699</v>
      </c>
      <c r="HY1310" s="185" t="s">
        <v>699</v>
      </c>
      <c r="HZ1310" s="185" t="s">
        <v>699</v>
      </c>
      <c r="IA1310" s="185" t="s">
        <v>699</v>
      </c>
      <c r="IB1310" s="185" t="s">
        <v>699</v>
      </c>
      <c r="IC1310" s="185" t="s">
        <v>699</v>
      </c>
      <c r="ID1310" s="185" t="s">
        <v>699</v>
      </c>
      <c r="IE1310" s="185" t="s">
        <v>699</v>
      </c>
      <c r="IF1310" s="185" t="s">
        <v>699</v>
      </c>
      <c r="IG1310" s="185" t="s">
        <v>699</v>
      </c>
      <c r="IH1310" s="185" t="s">
        <v>699</v>
      </c>
      <c r="II1310" s="185" t="s">
        <v>699</v>
      </c>
      <c r="IJ1310" s="185" t="s">
        <v>699</v>
      </c>
      <c r="IK1310" s="185" t="s">
        <v>699</v>
      </c>
      <c r="IL1310" s="151">
        <f t="shared" ref="IL1310:IQ1310" si="1266">IL1280+IL1296</f>
        <v>0</v>
      </c>
      <c r="IM1310" s="151">
        <f t="shared" si="1266"/>
        <v>0</v>
      </c>
      <c r="IN1310" s="151">
        <f t="shared" si="1266"/>
        <v>0</v>
      </c>
      <c r="IO1310" s="151">
        <f t="shared" si="1266"/>
        <v>0</v>
      </c>
      <c r="IP1310" s="151">
        <f t="shared" si="1266"/>
        <v>0</v>
      </c>
      <c r="IQ1310" s="151">
        <f t="shared" si="1266"/>
        <v>0</v>
      </c>
      <c r="IR1310" s="185" t="s">
        <v>699</v>
      </c>
      <c r="IS1310" s="185" t="s">
        <v>699</v>
      </c>
      <c r="IT1310" s="185" t="s">
        <v>699</v>
      </c>
      <c r="IU1310" s="185" t="s">
        <v>699</v>
      </c>
      <c r="IV1310" s="185" t="s">
        <v>699</v>
      </c>
      <c r="IW1310" s="185" t="s">
        <v>699</v>
      </c>
      <c r="IX1310" s="185" t="s">
        <v>699</v>
      </c>
      <c r="IY1310" s="185" t="s">
        <v>699</v>
      </c>
      <c r="IZ1310" s="185" t="s">
        <v>699</v>
      </c>
      <c r="JA1310" s="185" t="s">
        <v>699</v>
      </c>
      <c r="JB1310" s="185" t="s">
        <v>699</v>
      </c>
      <c r="JC1310" s="185" t="s">
        <v>699</v>
      </c>
      <c r="JD1310" s="185" t="s">
        <v>699</v>
      </c>
      <c r="JE1310" s="185" t="s">
        <v>699</v>
      </c>
      <c r="JF1310" s="185" t="s">
        <v>699</v>
      </c>
      <c r="JG1310" s="151">
        <f t="shared" ref="JG1310:JL1310" si="1267">JG1280+JG1296</f>
        <v>0</v>
      </c>
      <c r="JH1310" s="151">
        <f t="shared" si="1267"/>
        <v>0</v>
      </c>
      <c r="JI1310" s="151">
        <f t="shared" si="1267"/>
        <v>0</v>
      </c>
      <c r="JJ1310" s="151">
        <f t="shared" si="1267"/>
        <v>0</v>
      </c>
      <c r="JK1310" s="151">
        <f t="shared" si="1267"/>
        <v>0</v>
      </c>
      <c r="JL1310" s="151">
        <f t="shared" si="1267"/>
        <v>0</v>
      </c>
      <c r="JM1310" s="185" t="s">
        <v>699</v>
      </c>
      <c r="JN1310" s="185" t="s">
        <v>699</v>
      </c>
      <c r="JO1310" s="185" t="s">
        <v>699</v>
      </c>
      <c r="JP1310" s="185" t="s">
        <v>699</v>
      </c>
      <c r="JQ1310" s="185" t="s">
        <v>699</v>
      </c>
      <c r="JR1310" s="185" t="s">
        <v>699</v>
      </c>
      <c r="JS1310" s="185" t="s">
        <v>699</v>
      </c>
      <c r="JT1310" s="185" t="s">
        <v>699</v>
      </c>
      <c r="JU1310" s="185" t="s">
        <v>699</v>
      </c>
      <c r="JV1310" s="185" t="s">
        <v>699</v>
      </c>
      <c r="JW1310" s="185" t="s">
        <v>699</v>
      </c>
      <c r="JX1310" s="185" t="s">
        <v>699</v>
      </c>
      <c r="JY1310" s="185" t="s">
        <v>699</v>
      </c>
      <c r="JZ1310" s="185" t="s">
        <v>699</v>
      </c>
      <c r="KA1310" s="185" t="s">
        <v>699</v>
      </c>
      <c r="KB1310" s="151">
        <f t="shared" ref="KB1310:KG1310" si="1268">KB1280+KB1296</f>
        <v>0</v>
      </c>
      <c r="KC1310" s="151">
        <f t="shared" si="1268"/>
        <v>0</v>
      </c>
      <c r="KD1310" s="151">
        <f t="shared" si="1268"/>
        <v>0</v>
      </c>
      <c r="KE1310" s="151">
        <f t="shared" si="1268"/>
        <v>0</v>
      </c>
      <c r="KF1310" s="151">
        <f t="shared" si="1268"/>
        <v>0</v>
      </c>
      <c r="KG1310" s="151">
        <f t="shared" si="1268"/>
        <v>0</v>
      </c>
      <c r="KH1310" s="185" t="s">
        <v>699</v>
      </c>
      <c r="KI1310" s="185" t="s">
        <v>699</v>
      </c>
      <c r="KJ1310" s="185" t="s">
        <v>699</v>
      </c>
      <c r="KK1310" s="185" t="s">
        <v>699</v>
      </c>
      <c r="KL1310" s="185" t="s">
        <v>699</v>
      </c>
      <c r="KM1310" s="185" t="s">
        <v>699</v>
      </c>
      <c r="KN1310" s="185" t="s">
        <v>699</v>
      </c>
      <c r="KO1310" s="185" t="s">
        <v>699</v>
      </c>
      <c r="KP1310" s="185" t="s">
        <v>699</v>
      </c>
      <c r="KQ1310" s="185" t="s">
        <v>699</v>
      </c>
      <c r="KR1310" s="185" t="s">
        <v>699</v>
      </c>
      <c r="KS1310" s="185" t="s">
        <v>699</v>
      </c>
      <c r="KT1310" s="185" t="s">
        <v>699</v>
      </c>
      <c r="KU1310" s="185" t="s">
        <v>699</v>
      </c>
      <c r="KV1310" s="185" t="s">
        <v>699</v>
      </c>
      <c r="KW1310" s="151">
        <f t="shared" ref="KW1310:LB1310" si="1269">KW1280+KW1296</f>
        <v>0</v>
      </c>
      <c r="KX1310" s="151">
        <f t="shared" si="1269"/>
        <v>0</v>
      </c>
      <c r="KY1310" s="151">
        <f t="shared" si="1269"/>
        <v>0</v>
      </c>
      <c r="KZ1310" s="151">
        <f t="shared" si="1269"/>
        <v>0</v>
      </c>
      <c r="LA1310" s="151">
        <f t="shared" si="1269"/>
        <v>0</v>
      </c>
      <c r="LB1310" s="151">
        <f t="shared" si="1269"/>
        <v>0</v>
      </c>
      <c r="LC1310" s="185" t="s">
        <v>699</v>
      </c>
      <c r="LD1310" s="185" t="s">
        <v>699</v>
      </c>
      <c r="LE1310" s="185" t="s">
        <v>699</v>
      </c>
      <c r="LF1310" s="185" t="s">
        <v>699</v>
      </c>
      <c r="LG1310" s="185" t="s">
        <v>699</v>
      </c>
      <c r="LH1310" s="185" t="s">
        <v>699</v>
      </c>
      <c r="LI1310" s="185" t="s">
        <v>699</v>
      </c>
      <c r="LJ1310" s="185" t="s">
        <v>699</v>
      </c>
      <c r="LK1310" s="185" t="s">
        <v>699</v>
      </c>
      <c r="LL1310" s="185" t="s">
        <v>699</v>
      </c>
      <c r="LM1310" s="185" t="s">
        <v>699</v>
      </c>
      <c r="LN1310" s="185" t="s">
        <v>699</v>
      </c>
      <c r="LO1310" s="185" t="s">
        <v>699</v>
      </c>
      <c r="LP1310" s="185" t="s">
        <v>699</v>
      </c>
      <c r="LQ1310" s="185" t="s">
        <v>699</v>
      </c>
      <c r="LR1310" s="151">
        <f t="shared" ref="LR1310:LW1310" si="1270">LR1280+LR1296</f>
        <v>0</v>
      </c>
      <c r="LS1310" s="151">
        <f t="shared" si="1270"/>
        <v>0</v>
      </c>
      <c r="LT1310" s="151">
        <f t="shared" si="1270"/>
        <v>0</v>
      </c>
      <c r="LU1310" s="151">
        <f t="shared" si="1270"/>
        <v>0</v>
      </c>
      <c r="LV1310" s="151">
        <f t="shared" si="1270"/>
        <v>0</v>
      </c>
      <c r="LW1310" s="151">
        <f t="shared" si="1270"/>
        <v>0</v>
      </c>
      <c r="LX1310" s="185" t="s">
        <v>699</v>
      </c>
      <c r="LY1310" s="185" t="s">
        <v>699</v>
      </c>
      <c r="LZ1310" s="185" t="s">
        <v>699</v>
      </c>
      <c r="MA1310" s="185" t="s">
        <v>699</v>
      </c>
      <c r="MB1310" s="185" t="s">
        <v>699</v>
      </c>
      <c r="MC1310" s="185" t="s">
        <v>699</v>
      </c>
      <c r="MD1310" s="185" t="s">
        <v>699</v>
      </c>
      <c r="ME1310" s="185" t="s">
        <v>699</v>
      </c>
      <c r="MF1310" s="185" t="s">
        <v>699</v>
      </c>
      <c r="MG1310" s="185" t="s">
        <v>699</v>
      </c>
      <c r="MH1310" s="185" t="s">
        <v>699</v>
      </c>
      <c r="MI1310" s="185" t="s">
        <v>699</v>
      </c>
      <c r="MJ1310" s="185" t="s">
        <v>699</v>
      </c>
      <c r="MK1310" s="185" t="s">
        <v>699</v>
      </c>
      <c r="ML1310" s="185" t="s">
        <v>699</v>
      </c>
      <c r="MM1310" s="151">
        <f t="shared" ref="MM1310:MR1310" si="1271">MM1280+MM1296</f>
        <v>0</v>
      </c>
      <c r="MN1310" s="151">
        <f t="shared" si="1271"/>
        <v>0</v>
      </c>
      <c r="MO1310" s="151">
        <f t="shared" si="1271"/>
        <v>0</v>
      </c>
      <c r="MP1310" s="151">
        <f t="shared" si="1271"/>
        <v>0</v>
      </c>
      <c r="MQ1310" s="151">
        <f t="shared" si="1271"/>
        <v>0</v>
      </c>
      <c r="MR1310" s="151">
        <f t="shared" si="1271"/>
        <v>0</v>
      </c>
      <c r="MS1310" s="185" t="s">
        <v>699</v>
      </c>
      <c r="MT1310" s="185" t="s">
        <v>699</v>
      </c>
      <c r="MU1310" s="185" t="s">
        <v>699</v>
      </c>
      <c r="MV1310" s="185" t="s">
        <v>699</v>
      </c>
      <c r="MW1310" s="185" t="s">
        <v>699</v>
      </c>
      <c r="MX1310" s="185" t="s">
        <v>699</v>
      </c>
      <c r="MY1310" s="185" t="s">
        <v>699</v>
      </c>
      <c r="MZ1310" s="185" t="s">
        <v>699</v>
      </c>
      <c r="NA1310" s="185" t="s">
        <v>699</v>
      </c>
      <c r="NB1310" s="185" t="s">
        <v>699</v>
      </c>
      <c r="NC1310" s="185" t="s">
        <v>699</v>
      </c>
      <c r="ND1310" s="185" t="s">
        <v>699</v>
      </c>
      <c r="NE1310" s="185" t="s">
        <v>699</v>
      </c>
      <c r="NF1310" s="185" t="s">
        <v>699</v>
      </c>
      <c r="NG1310" s="185" t="s">
        <v>699</v>
      </c>
      <c r="NH1310" s="151">
        <f t="shared" ref="NH1310:NM1310" si="1272">NH1280+NH1296</f>
        <v>0</v>
      </c>
      <c r="NI1310" s="151">
        <f t="shared" si="1272"/>
        <v>0</v>
      </c>
      <c r="NJ1310" s="151">
        <f t="shared" si="1272"/>
        <v>0</v>
      </c>
      <c r="NK1310" s="151">
        <f t="shared" si="1272"/>
        <v>0</v>
      </c>
      <c r="NL1310" s="151">
        <f t="shared" si="1272"/>
        <v>0</v>
      </c>
      <c r="NM1310" s="151">
        <f t="shared" si="1272"/>
        <v>0</v>
      </c>
      <c r="NN1310" s="185" t="s">
        <v>699</v>
      </c>
      <c r="NO1310" s="185" t="s">
        <v>699</v>
      </c>
      <c r="NP1310" s="185" t="s">
        <v>699</v>
      </c>
      <c r="NQ1310" s="185" t="s">
        <v>699</v>
      </c>
      <c r="NR1310" s="185" t="s">
        <v>699</v>
      </c>
      <c r="NS1310" s="185" t="s">
        <v>699</v>
      </c>
      <c r="NT1310" s="185" t="s">
        <v>699</v>
      </c>
      <c r="NU1310" s="185" t="s">
        <v>699</v>
      </c>
      <c r="NV1310" s="185" t="s">
        <v>699</v>
      </c>
      <c r="NW1310" s="185" t="s">
        <v>699</v>
      </c>
      <c r="NX1310" s="185" t="s">
        <v>699</v>
      </c>
      <c r="NY1310" s="185" t="s">
        <v>699</v>
      </c>
      <c r="NZ1310" s="185" t="s">
        <v>699</v>
      </c>
      <c r="OA1310" s="185" t="s">
        <v>699</v>
      </c>
      <c r="OB1310" s="185" t="s">
        <v>699</v>
      </c>
      <c r="OC1310" s="151">
        <f t="shared" ref="OC1310:OH1310" si="1273">OC1280+OC1296</f>
        <v>0</v>
      </c>
      <c r="OD1310" s="151">
        <f t="shared" si="1273"/>
        <v>0</v>
      </c>
      <c r="OE1310" s="151">
        <f t="shared" si="1273"/>
        <v>0</v>
      </c>
      <c r="OF1310" s="151">
        <f t="shared" si="1273"/>
        <v>0</v>
      </c>
      <c r="OG1310" s="151">
        <f t="shared" si="1273"/>
        <v>0</v>
      </c>
      <c r="OH1310" s="151">
        <f t="shared" si="1273"/>
        <v>0</v>
      </c>
      <c r="OI1310" s="185" t="s">
        <v>699</v>
      </c>
      <c r="OJ1310" s="185" t="s">
        <v>699</v>
      </c>
      <c r="OK1310" s="185" t="s">
        <v>699</v>
      </c>
      <c r="OL1310" s="185" t="s">
        <v>699</v>
      </c>
      <c r="OM1310" s="185" t="s">
        <v>699</v>
      </c>
      <c r="ON1310" s="185" t="s">
        <v>699</v>
      </c>
      <c r="OO1310" s="185" t="s">
        <v>699</v>
      </c>
      <c r="OP1310" s="185" t="s">
        <v>699</v>
      </c>
      <c r="OQ1310" s="185" t="s">
        <v>699</v>
      </c>
      <c r="OR1310" s="185" t="s">
        <v>699</v>
      </c>
      <c r="OS1310" s="185" t="s">
        <v>699</v>
      </c>
      <c r="OT1310" s="185" t="s">
        <v>699</v>
      </c>
      <c r="OU1310" s="185" t="s">
        <v>699</v>
      </c>
      <c r="OV1310" s="185" t="s">
        <v>699</v>
      </c>
      <c r="OW1310" s="185" t="s">
        <v>699</v>
      </c>
      <c r="OX1310" s="151">
        <f t="shared" ref="OX1310:PC1310" si="1274">OX1280+OX1296</f>
        <v>0</v>
      </c>
      <c r="OY1310" s="151">
        <f t="shared" si="1274"/>
        <v>0</v>
      </c>
      <c r="OZ1310" s="151">
        <f t="shared" si="1274"/>
        <v>0</v>
      </c>
      <c r="PA1310" s="151">
        <f t="shared" si="1274"/>
        <v>0</v>
      </c>
      <c r="PB1310" s="151">
        <f t="shared" si="1274"/>
        <v>0</v>
      </c>
      <c r="PC1310" s="151">
        <f t="shared" si="1274"/>
        <v>0</v>
      </c>
      <c r="PD1310" s="185" t="s">
        <v>699</v>
      </c>
      <c r="PE1310" s="185" t="s">
        <v>699</v>
      </c>
      <c r="PF1310" s="185" t="s">
        <v>699</v>
      </c>
      <c r="PG1310" s="185" t="s">
        <v>699</v>
      </c>
      <c r="PH1310" s="185" t="s">
        <v>699</v>
      </c>
      <c r="PI1310" s="185" t="s">
        <v>699</v>
      </c>
      <c r="PJ1310" s="185" t="s">
        <v>699</v>
      </c>
      <c r="PK1310" s="185" t="s">
        <v>699</v>
      </c>
      <c r="PL1310" s="185" t="s">
        <v>699</v>
      </c>
      <c r="PM1310" s="185" t="s">
        <v>699</v>
      </c>
      <c r="PN1310" s="185" t="s">
        <v>699</v>
      </c>
      <c r="PO1310" s="185" t="s">
        <v>699</v>
      </c>
      <c r="PP1310" s="185" t="s">
        <v>699</v>
      </c>
      <c r="PQ1310" s="185" t="s">
        <v>699</v>
      </c>
      <c r="PR1310" s="185" t="s">
        <v>699</v>
      </c>
      <c r="PS1310" s="151">
        <f t="shared" ref="PS1310:PX1310" si="1275">PS1280+PS1296</f>
        <v>0</v>
      </c>
      <c r="PT1310" s="151">
        <f t="shared" si="1275"/>
        <v>0</v>
      </c>
      <c r="PU1310" s="151">
        <f t="shared" si="1275"/>
        <v>0</v>
      </c>
      <c r="PV1310" s="151">
        <f t="shared" si="1275"/>
        <v>0</v>
      </c>
      <c r="PW1310" s="151">
        <f t="shared" si="1275"/>
        <v>0</v>
      </c>
      <c r="PX1310" s="151">
        <f t="shared" si="1275"/>
        <v>0</v>
      </c>
      <c r="PY1310" s="185" t="s">
        <v>699</v>
      </c>
      <c r="PZ1310" s="185" t="s">
        <v>699</v>
      </c>
      <c r="QA1310" s="185" t="s">
        <v>699</v>
      </c>
      <c r="QB1310" s="185" t="s">
        <v>699</v>
      </c>
      <c r="QC1310" s="185" t="s">
        <v>699</v>
      </c>
      <c r="QD1310" s="185" t="s">
        <v>699</v>
      </c>
      <c r="QE1310" s="185" t="s">
        <v>699</v>
      </c>
      <c r="QF1310" s="185" t="s">
        <v>699</v>
      </c>
      <c r="QG1310" s="185" t="s">
        <v>699</v>
      </c>
      <c r="QH1310" s="185" t="s">
        <v>699</v>
      </c>
      <c r="QI1310" s="185" t="s">
        <v>699</v>
      </c>
      <c r="QJ1310" s="185" t="s">
        <v>699</v>
      </c>
      <c r="QK1310" s="185" t="s">
        <v>699</v>
      </c>
      <c r="QL1310" s="185" t="s">
        <v>699</v>
      </c>
      <c r="QM1310" s="185" t="s">
        <v>699</v>
      </c>
      <c r="QN1310" s="151">
        <f t="shared" ref="QN1310:QS1310" si="1276">QN1280+QN1296</f>
        <v>0</v>
      </c>
      <c r="QO1310" s="151">
        <f t="shared" si="1276"/>
        <v>0</v>
      </c>
      <c r="QP1310" s="151">
        <f t="shared" si="1276"/>
        <v>0</v>
      </c>
      <c r="QQ1310" s="151">
        <f t="shared" si="1276"/>
        <v>0</v>
      </c>
      <c r="QR1310" s="151">
        <f t="shared" si="1276"/>
        <v>0</v>
      </c>
      <c r="QS1310" s="151">
        <f t="shared" si="1276"/>
        <v>0</v>
      </c>
      <c r="QT1310" s="185" t="s">
        <v>699</v>
      </c>
      <c r="QU1310" s="185" t="s">
        <v>699</v>
      </c>
      <c r="QV1310" s="185" t="s">
        <v>699</v>
      </c>
      <c r="QW1310" s="185" t="s">
        <v>699</v>
      </c>
      <c r="QX1310" s="185" t="s">
        <v>699</v>
      </c>
      <c r="QY1310" s="185" t="s">
        <v>699</v>
      </c>
      <c r="QZ1310" s="185" t="s">
        <v>699</v>
      </c>
      <c r="RA1310" s="185" t="s">
        <v>699</v>
      </c>
      <c r="RB1310" s="185" t="s">
        <v>699</v>
      </c>
      <c r="RC1310" s="185" t="s">
        <v>699</v>
      </c>
      <c r="RD1310" s="185" t="s">
        <v>699</v>
      </c>
      <c r="RE1310" s="185" t="s">
        <v>699</v>
      </c>
      <c r="RF1310" s="185" t="s">
        <v>699</v>
      </c>
      <c r="RG1310" s="185" t="s">
        <v>699</v>
      </c>
      <c r="RH1310" s="185" t="s">
        <v>699</v>
      </c>
      <c r="RI1310" s="151">
        <f t="shared" ref="RI1310:RN1310" si="1277">RI1280+RI1296</f>
        <v>0</v>
      </c>
      <c r="RJ1310" s="151">
        <f t="shared" si="1277"/>
        <v>0</v>
      </c>
      <c r="RK1310" s="151">
        <f t="shared" si="1277"/>
        <v>0</v>
      </c>
      <c r="RL1310" s="151">
        <f t="shared" si="1277"/>
        <v>0</v>
      </c>
      <c r="RM1310" s="151">
        <f t="shared" si="1277"/>
        <v>0</v>
      </c>
      <c r="RN1310" s="151">
        <f t="shared" si="1277"/>
        <v>0</v>
      </c>
      <c r="RO1310" s="185" t="s">
        <v>699</v>
      </c>
      <c r="RP1310" s="185" t="s">
        <v>699</v>
      </c>
      <c r="RQ1310" s="185" t="s">
        <v>699</v>
      </c>
      <c r="RR1310" s="185" t="s">
        <v>699</v>
      </c>
      <c r="RS1310" s="185" t="s">
        <v>699</v>
      </c>
      <c r="RT1310" s="185" t="s">
        <v>699</v>
      </c>
      <c r="RU1310" s="185" t="s">
        <v>699</v>
      </c>
      <c r="RV1310" s="185" t="s">
        <v>699</v>
      </c>
      <c r="RW1310" s="185" t="s">
        <v>699</v>
      </c>
      <c r="RX1310" s="185" t="s">
        <v>699</v>
      </c>
      <c r="RY1310" s="185" t="s">
        <v>699</v>
      </c>
      <c r="RZ1310" s="185" t="s">
        <v>699</v>
      </c>
      <c r="SA1310" s="185" t="s">
        <v>699</v>
      </c>
      <c r="SB1310" s="185" t="s">
        <v>699</v>
      </c>
      <c r="SC1310" s="185" t="s">
        <v>699</v>
      </c>
      <c r="SD1310" s="151">
        <f t="shared" ref="SD1310:SI1310" si="1278">SD1280+SD1296</f>
        <v>0</v>
      </c>
      <c r="SE1310" s="151">
        <f t="shared" si="1278"/>
        <v>0</v>
      </c>
      <c r="SF1310" s="151">
        <f t="shared" si="1278"/>
        <v>0</v>
      </c>
      <c r="SG1310" s="151">
        <f t="shared" si="1278"/>
        <v>0</v>
      </c>
      <c r="SH1310" s="151">
        <f t="shared" si="1278"/>
        <v>0</v>
      </c>
      <c r="SI1310" s="151">
        <f t="shared" si="1278"/>
        <v>0</v>
      </c>
      <c r="SJ1310" s="185" t="s">
        <v>699</v>
      </c>
      <c r="SK1310" s="185" t="s">
        <v>699</v>
      </c>
      <c r="SL1310" s="185" t="s">
        <v>699</v>
      </c>
      <c r="SM1310" s="185" t="s">
        <v>699</v>
      </c>
      <c r="SN1310" s="185" t="s">
        <v>699</v>
      </c>
      <c r="SO1310" s="185" t="s">
        <v>699</v>
      </c>
      <c r="SP1310" s="185" t="s">
        <v>699</v>
      </c>
      <c r="SQ1310" s="185" t="s">
        <v>699</v>
      </c>
      <c r="SR1310" s="185" t="s">
        <v>699</v>
      </c>
      <c r="SS1310" s="185" t="s">
        <v>699</v>
      </c>
      <c r="ST1310" s="185" t="s">
        <v>699</v>
      </c>
      <c r="SU1310" s="185" t="s">
        <v>699</v>
      </c>
      <c r="SV1310" s="185" t="s">
        <v>699</v>
      </c>
      <c r="SW1310" s="185" t="s">
        <v>699</v>
      </c>
      <c r="SX1310" s="185" t="s">
        <v>699</v>
      </c>
      <c r="SY1310" s="151">
        <f t="shared" ref="SY1310:TD1310" si="1279">SY1280+SY1296</f>
        <v>0</v>
      </c>
      <c r="SZ1310" s="151">
        <f t="shared" si="1279"/>
        <v>0</v>
      </c>
      <c r="TA1310" s="151">
        <f t="shared" si="1279"/>
        <v>0</v>
      </c>
      <c r="TB1310" s="151">
        <f t="shared" si="1279"/>
        <v>0</v>
      </c>
      <c r="TC1310" s="151">
        <f t="shared" si="1279"/>
        <v>0</v>
      </c>
      <c r="TD1310" s="151">
        <f t="shared" si="1279"/>
        <v>0</v>
      </c>
      <c r="TE1310" s="185" t="s">
        <v>699</v>
      </c>
      <c r="TF1310" s="185" t="s">
        <v>699</v>
      </c>
      <c r="TG1310" s="185" t="s">
        <v>699</v>
      </c>
      <c r="TH1310" s="185" t="s">
        <v>699</v>
      </c>
      <c r="TI1310" s="185" t="s">
        <v>699</v>
      </c>
      <c r="TJ1310" s="185" t="s">
        <v>699</v>
      </c>
      <c r="TK1310" s="185" t="s">
        <v>699</v>
      </c>
      <c r="TL1310" s="185" t="s">
        <v>699</v>
      </c>
      <c r="TM1310" s="185" t="s">
        <v>699</v>
      </c>
      <c r="TN1310" s="185" t="s">
        <v>699</v>
      </c>
      <c r="TO1310" s="185" t="s">
        <v>699</v>
      </c>
      <c r="TP1310" s="185" t="s">
        <v>699</v>
      </c>
      <c r="TQ1310" s="185" t="s">
        <v>699</v>
      </c>
      <c r="TR1310" s="185" t="s">
        <v>699</v>
      </c>
      <c r="TS1310" s="185" t="s">
        <v>699</v>
      </c>
      <c r="TT1310" s="151">
        <f t="shared" ref="TT1310:TY1310" si="1280">TT1280+TT1296</f>
        <v>0</v>
      </c>
      <c r="TU1310" s="151">
        <f t="shared" si="1280"/>
        <v>0</v>
      </c>
      <c r="TV1310" s="151">
        <f t="shared" si="1280"/>
        <v>0</v>
      </c>
      <c r="TW1310" s="151">
        <f t="shared" si="1280"/>
        <v>0</v>
      </c>
      <c r="TX1310" s="151">
        <f t="shared" si="1280"/>
        <v>0</v>
      </c>
      <c r="TY1310" s="151">
        <f t="shared" si="1280"/>
        <v>0</v>
      </c>
      <c r="TZ1310" s="185" t="s">
        <v>699</v>
      </c>
      <c r="UA1310" s="185" t="s">
        <v>699</v>
      </c>
      <c r="UB1310" s="185" t="s">
        <v>699</v>
      </c>
      <c r="UC1310" s="185" t="s">
        <v>699</v>
      </c>
      <c r="UD1310" s="185" t="s">
        <v>699</v>
      </c>
      <c r="UE1310" s="185" t="s">
        <v>699</v>
      </c>
      <c r="UF1310" s="185" t="s">
        <v>699</v>
      </c>
      <c r="UG1310" s="185" t="s">
        <v>699</v>
      </c>
      <c r="UH1310" s="185" t="s">
        <v>699</v>
      </c>
      <c r="UI1310" s="185" t="s">
        <v>699</v>
      </c>
      <c r="UJ1310" s="185" t="s">
        <v>699</v>
      </c>
      <c r="UK1310" s="185" t="s">
        <v>699</v>
      </c>
      <c r="UL1310" s="185" t="s">
        <v>699</v>
      </c>
      <c r="UM1310" s="185" t="s">
        <v>699</v>
      </c>
      <c r="UN1310" s="185" t="s">
        <v>699</v>
      </c>
      <c r="UO1310" s="151">
        <f t="shared" ref="UO1310:UT1310" si="1281">UO1280+UO1296</f>
        <v>4266951</v>
      </c>
      <c r="UP1310" s="151">
        <f t="shared" si="1281"/>
        <v>4371537</v>
      </c>
      <c r="UQ1310" s="151">
        <f t="shared" si="1281"/>
        <v>4512218</v>
      </c>
      <c r="UR1310" s="151">
        <f t="shared" si="1281"/>
        <v>4586209.1100000003</v>
      </c>
      <c r="US1310" s="151">
        <f t="shared" si="1281"/>
        <v>4735403.1100000003</v>
      </c>
      <c r="UT1310" s="151">
        <f t="shared" si="1281"/>
        <v>4847335.1100000003</v>
      </c>
      <c r="UU1310" s="185" t="s">
        <v>699</v>
      </c>
      <c r="UV1310" s="185" t="s">
        <v>699</v>
      </c>
      <c r="UW1310" s="185" t="s">
        <v>699</v>
      </c>
      <c r="UX1310" s="185" t="s">
        <v>699</v>
      </c>
      <c r="UY1310" s="185" t="s">
        <v>699</v>
      </c>
      <c r="UZ1310" s="185" t="s">
        <v>699</v>
      </c>
      <c r="VA1310" s="185" t="s">
        <v>699</v>
      </c>
      <c r="VB1310" s="185" t="s">
        <v>699</v>
      </c>
      <c r="VC1310" s="185" t="s">
        <v>699</v>
      </c>
      <c r="VD1310" s="185" t="s">
        <v>699</v>
      </c>
      <c r="VE1310" s="185" t="s">
        <v>699</v>
      </c>
      <c r="VF1310" s="185" t="s">
        <v>699</v>
      </c>
      <c r="VG1310" s="185" t="s">
        <v>699</v>
      </c>
      <c r="VH1310" s="185" t="s">
        <v>699</v>
      </c>
      <c r="VI1310" s="185" t="s">
        <v>699</v>
      </c>
      <c r="VJ1310" s="151">
        <f t="shared" ref="VJ1310:VO1310" si="1282">VJ1280+VJ1296</f>
        <v>0</v>
      </c>
      <c r="VK1310" s="151">
        <f t="shared" si="1282"/>
        <v>0</v>
      </c>
      <c r="VL1310" s="151">
        <f t="shared" si="1282"/>
        <v>0</v>
      </c>
      <c r="VM1310" s="151">
        <f t="shared" si="1282"/>
        <v>0</v>
      </c>
      <c r="VN1310" s="151">
        <f t="shared" si="1282"/>
        <v>0</v>
      </c>
      <c r="VO1310" s="151">
        <f t="shared" si="1282"/>
        <v>0</v>
      </c>
      <c r="VP1310" s="185" t="s">
        <v>699</v>
      </c>
      <c r="VQ1310" s="185" t="s">
        <v>699</v>
      </c>
      <c r="VR1310" s="185" t="s">
        <v>699</v>
      </c>
      <c r="VS1310" s="185" t="s">
        <v>699</v>
      </c>
      <c r="VT1310" s="185" t="s">
        <v>699</v>
      </c>
      <c r="VU1310" s="185" t="s">
        <v>699</v>
      </c>
      <c r="VV1310" s="185" t="s">
        <v>699</v>
      </c>
      <c r="VW1310" s="185" t="s">
        <v>699</v>
      </c>
      <c r="VX1310" s="185" t="s">
        <v>699</v>
      </c>
      <c r="VY1310" s="185" t="s">
        <v>699</v>
      </c>
      <c r="VZ1310" s="185" t="s">
        <v>699</v>
      </c>
      <c r="WA1310" s="185" t="s">
        <v>699</v>
      </c>
      <c r="WB1310" s="185" t="s">
        <v>699</v>
      </c>
      <c r="WC1310" s="185" t="s">
        <v>699</v>
      </c>
      <c r="WD1310" s="185" t="s">
        <v>699</v>
      </c>
      <c r="WE1310" s="151">
        <f t="shared" ref="WE1310:WJ1310" si="1283">WE1280+WE1296</f>
        <v>0</v>
      </c>
      <c r="WF1310" s="151">
        <f t="shared" si="1283"/>
        <v>0</v>
      </c>
      <c r="WG1310" s="151">
        <f t="shared" si="1283"/>
        <v>0</v>
      </c>
      <c r="WH1310" s="151">
        <f t="shared" si="1283"/>
        <v>0</v>
      </c>
      <c r="WI1310" s="151">
        <f t="shared" si="1283"/>
        <v>0</v>
      </c>
      <c r="WJ1310" s="151">
        <f t="shared" si="1283"/>
        <v>0</v>
      </c>
      <c r="WK1310" s="185" t="s">
        <v>699</v>
      </c>
      <c r="WL1310" s="185" t="s">
        <v>699</v>
      </c>
      <c r="WM1310" s="185" t="s">
        <v>699</v>
      </c>
      <c r="WN1310" s="185" t="s">
        <v>699</v>
      </c>
      <c r="WO1310" s="185" t="s">
        <v>699</v>
      </c>
      <c r="WP1310" s="185" t="s">
        <v>699</v>
      </c>
      <c r="WQ1310" s="185" t="s">
        <v>699</v>
      </c>
      <c r="WR1310" s="185" t="s">
        <v>699</v>
      </c>
      <c r="WS1310" s="185" t="s">
        <v>699</v>
      </c>
      <c r="WT1310" s="185" t="s">
        <v>699</v>
      </c>
      <c r="WU1310" s="185" t="s">
        <v>699</v>
      </c>
      <c r="WV1310" s="185" t="s">
        <v>699</v>
      </c>
      <c r="WW1310" s="185" t="s">
        <v>699</v>
      </c>
      <c r="WX1310" s="185" t="s">
        <v>699</v>
      </c>
      <c r="WY1310" s="185" t="s">
        <v>699</v>
      </c>
      <c r="WZ1310" s="151">
        <f t="shared" ref="WZ1310:XE1310" si="1284">WZ1280+WZ1296</f>
        <v>0</v>
      </c>
      <c r="XA1310" s="151">
        <f t="shared" si="1284"/>
        <v>0</v>
      </c>
      <c r="XB1310" s="151">
        <f t="shared" si="1284"/>
        <v>0</v>
      </c>
      <c r="XC1310" s="151">
        <f t="shared" si="1284"/>
        <v>0</v>
      </c>
      <c r="XD1310" s="151">
        <f t="shared" si="1284"/>
        <v>0</v>
      </c>
      <c r="XE1310" s="151">
        <f t="shared" si="1284"/>
        <v>0</v>
      </c>
      <c r="XF1310" s="185" t="s">
        <v>699</v>
      </c>
      <c r="XG1310" s="185" t="s">
        <v>699</v>
      </c>
      <c r="XH1310" s="185" t="s">
        <v>699</v>
      </c>
      <c r="XI1310" s="185" t="s">
        <v>699</v>
      </c>
      <c r="XJ1310" s="185" t="s">
        <v>699</v>
      </c>
      <c r="XK1310" s="185" t="s">
        <v>699</v>
      </c>
      <c r="XL1310" s="185" t="s">
        <v>699</v>
      </c>
      <c r="XM1310" s="185" t="s">
        <v>699</v>
      </c>
      <c r="XN1310" s="185" t="s">
        <v>699</v>
      </c>
      <c r="XO1310" s="185" t="s">
        <v>699</v>
      </c>
      <c r="XP1310" s="185" t="s">
        <v>699</v>
      </c>
      <c r="XQ1310" s="185" t="s">
        <v>699</v>
      </c>
      <c r="XR1310" s="185" t="s">
        <v>699</v>
      </c>
      <c r="XS1310" s="185" t="s">
        <v>699</v>
      </c>
      <c r="XT1310" s="185" t="s">
        <v>699</v>
      </c>
      <c r="XU1310" s="151">
        <f t="shared" ref="XU1310:XZ1310" si="1285">XU1280+XU1296</f>
        <v>0</v>
      </c>
      <c r="XV1310" s="151">
        <f t="shared" si="1285"/>
        <v>0</v>
      </c>
      <c r="XW1310" s="151">
        <f t="shared" si="1285"/>
        <v>0</v>
      </c>
      <c r="XX1310" s="151">
        <f t="shared" si="1285"/>
        <v>0</v>
      </c>
      <c r="XY1310" s="151">
        <f t="shared" si="1285"/>
        <v>0</v>
      </c>
      <c r="XZ1310" s="151">
        <f t="shared" si="1285"/>
        <v>0</v>
      </c>
      <c r="YA1310" s="185" t="s">
        <v>699</v>
      </c>
      <c r="YB1310" s="185" t="s">
        <v>699</v>
      </c>
      <c r="YC1310" s="185" t="s">
        <v>699</v>
      </c>
      <c r="YD1310" s="185" t="s">
        <v>699</v>
      </c>
      <c r="YE1310" s="185" t="s">
        <v>699</v>
      </c>
      <c r="YF1310" s="185" t="s">
        <v>699</v>
      </c>
      <c r="YG1310" s="185" t="s">
        <v>699</v>
      </c>
      <c r="YH1310" s="185" t="s">
        <v>699</v>
      </c>
      <c r="YI1310" s="185" t="s">
        <v>699</v>
      </c>
      <c r="YJ1310" s="185" t="s">
        <v>699</v>
      </c>
      <c r="YK1310" s="185" t="s">
        <v>699</v>
      </c>
      <c r="YL1310" s="185" t="s">
        <v>699</v>
      </c>
      <c r="YM1310" s="185" t="s">
        <v>699</v>
      </c>
      <c r="YN1310" s="185" t="s">
        <v>699</v>
      </c>
      <c r="YO1310" s="185" t="s">
        <v>699</v>
      </c>
      <c r="YP1310" s="151">
        <f t="shared" ref="YP1310:YU1310" si="1286">YP1280+YP1296</f>
        <v>4266951</v>
      </c>
      <c r="YQ1310" s="151">
        <f t="shared" si="1286"/>
        <v>4371537</v>
      </c>
      <c r="YR1310" s="151">
        <f t="shared" si="1286"/>
        <v>4512218</v>
      </c>
      <c r="YS1310" s="151">
        <f t="shared" si="1286"/>
        <v>4586209.1100000003</v>
      </c>
      <c r="YT1310" s="151">
        <f t="shared" si="1286"/>
        <v>4735403.1100000003</v>
      </c>
      <c r="YU1310" s="151">
        <f t="shared" si="1286"/>
        <v>4847335.1100000003</v>
      </c>
      <c r="YV1310" s="185" t="s">
        <v>699</v>
      </c>
      <c r="YW1310" s="185" t="s">
        <v>699</v>
      </c>
      <c r="YX1310" s="185" t="s">
        <v>699</v>
      </c>
      <c r="YY1310" s="185" t="s">
        <v>699</v>
      </c>
      <c r="YZ1310" s="185" t="s">
        <v>699</v>
      </c>
      <c r="ZA1310" s="185" t="s">
        <v>699</v>
      </c>
      <c r="ZB1310" s="185" t="s">
        <v>699</v>
      </c>
      <c r="ZC1310" s="185" t="s">
        <v>699</v>
      </c>
      <c r="ZD1310" s="185" t="s">
        <v>699</v>
      </c>
      <c r="ZE1310" s="185" t="s">
        <v>699</v>
      </c>
      <c r="ZF1310" s="185" t="s">
        <v>699</v>
      </c>
      <c r="ZG1310" s="185" t="s">
        <v>699</v>
      </c>
    </row>
    <row r="1311" spans="1:683" s="149" customFormat="1" x14ac:dyDescent="0.25">
      <c r="A1311" s="324" t="s">
        <v>981</v>
      </c>
      <c r="B1311" s="334"/>
      <c r="C1311" s="147" t="s">
        <v>450</v>
      </c>
      <c r="D1311" s="1281"/>
      <c r="E1311" s="1282"/>
      <c r="F1311" s="148"/>
      <c r="G1311" s="148"/>
      <c r="H1311" s="148"/>
      <c r="I1311" s="148"/>
      <c r="J1311" s="148"/>
      <c r="K1311" s="148"/>
      <c r="L1311" s="185" t="s">
        <v>699</v>
      </c>
      <c r="M1311" s="185" t="s">
        <v>699</v>
      </c>
      <c r="N1311" s="185" t="s">
        <v>699</v>
      </c>
      <c r="O1311" s="185" t="s">
        <v>699</v>
      </c>
      <c r="P1311" s="185" t="s">
        <v>699</v>
      </c>
      <c r="Q1311" s="185" t="s">
        <v>699</v>
      </c>
      <c r="R1311" s="185" t="s">
        <v>699</v>
      </c>
      <c r="S1311" s="185" t="s">
        <v>699</v>
      </c>
      <c r="T1311" s="185" t="s">
        <v>699</v>
      </c>
      <c r="U1311" s="148">
        <f t="shared" ref="U1311:Z1311" si="1287">IF(O1310=0,0,(AA1315-AA1314)/O1310)</f>
        <v>0</v>
      </c>
      <c r="V1311" s="148">
        <f t="shared" si="1287"/>
        <v>0</v>
      </c>
      <c r="W1311" s="148">
        <f t="shared" si="1287"/>
        <v>0</v>
      </c>
      <c r="X1311" s="148">
        <f t="shared" si="1287"/>
        <v>0</v>
      </c>
      <c r="Y1311" s="148">
        <f t="shared" si="1287"/>
        <v>0</v>
      </c>
      <c r="Z1311" s="148">
        <f t="shared" si="1287"/>
        <v>0</v>
      </c>
      <c r="AA1311" s="185" t="s">
        <v>699</v>
      </c>
      <c r="AB1311" s="185" t="s">
        <v>699</v>
      </c>
      <c r="AC1311" s="185" t="s">
        <v>699</v>
      </c>
      <c r="AD1311" s="185" t="s">
        <v>699</v>
      </c>
      <c r="AE1311" s="185" t="s">
        <v>699</v>
      </c>
      <c r="AF1311" s="185" t="s">
        <v>699</v>
      </c>
      <c r="AG1311" s="185" t="s">
        <v>699</v>
      </c>
      <c r="AH1311" s="185" t="s">
        <v>699</v>
      </c>
      <c r="AI1311" s="185" t="s">
        <v>699</v>
      </c>
      <c r="AJ1311" s="185" t="s">
        <v>699</v>
      </c>
      <c r="AK1311" s="185" t="s">
        <v>699</v>
      </c>
      <c r="AL1311" s="185" t="s">
        <v>699</v>
      </c>
      <c r="AM1311" s="185" t="s">
        <v>699</v>
      </c>
      <c r="AN1311" s="185" t="s">
        <v>699</v>
      </c>
      <c r="AO1311" s="185" t="s">
        <v>699</v>
      </c>
      <c r="AP1311" s="148">
        <f t="shared" ref="AP1311:AU1311" si="1288">IF(AJ1310=0,0,(AV1315-AV1314)/AJ1310)</f>
        <v>0</v>
      </c>
      <c r="AQ1311" s="148">
        <f t="shared" si="1288"/>
        <v>0</v>
      </c>
      <c r="AR1311" s="148">
        <f t="shared" si="1288"/>
        <v>0</v>
      </c>
      <c r="AS1311" s="148">
        <f t="shared" si="1288"/>
        <v>0</v>
      </c>
      <c r="AT1311" s="148">
        <f t="shared" si="1288"/>
        <v>0</v>
      </c>
      <c r="AU1311" s="148">
        <f t="shared" si="1288"/>
        <v>0</v>
      </c>
      <c r="AV1311" s="185" t="s">
        <v>699</v>
      </c>
      <c r="AW1311" s="185" t="s">
        <v>699</v>
      </c>
      <c r="AX1311" s="185" t="s">
        <v>699</v>
      </c>
      <c r="AY1311" s="185" t="s">
        <v>699</v>
      </c>
      <c r="AZ1311" s="185" t="s">
        <v>699</v>
      </c>
      <c r="BA1311" s="185" t="s">
        <v>699</v>
      </c>
      <c r="BB1311" s="185" t="s">
        <v>699</v>
      </c>
      <c r="BC1311" s="185" t="s">
        <v>699</v>
      </c>
      <c r="BD1311" s="185" t="s">
        <v>699</v>
      </c>
      <c r="BE1311" s="185" t="s">
        <v>699</v>
      </c>
      <c r="BF1311" s="185" t="s">
        <v>699</v>
      </c>
      <c r="BG1311" s="185" t="s">
        <v>699</v>
      </c>
      <c r="BH1311" s="185" t="s">
        <v>699</v>
      </c>
      <c r="BI1311" s="185" t="s">
        <v>699</v>
      </c>
      <c r="BJ1311" s="185" t="s">
        <v>699</v>
      </c>
      <c r="BK1311" s="148">
        <f t="shared" ref="BK1311:BP1311" si="1289">IF(BE1310=0,0,(BQ1315-BQ1314)/BE1310)</f>
        <v>0</v>
      </c>
      <c r="BL1311" s="148">
        <f t="shared" si="1289"/>
        <v>0</v>
      </c>
      <c r="BM1311" s="148">
        <f t="shared" si="1289"/>
        <v>0</v>
      </c>
      <c r="BN1311" s="148">
        <f t="shared" si="1289"/>
        <v>0</v>
      </c>
      <c r="BO1311" s="148">
        <f t="shared" si="1289"/>
        <v>0</v>
      </c>
      <c r="BP1311" s="148">
        <f t="shared" si="1289"/>
        <v>0</v>
      </c>
      <c r="BQ1311" s="185" t="s">
        <v>699</v>
      </c>
      <c r="BR1311" s="185" t="s">
        <v>699</v>
      </c>
      <c r="BS1311" s="185" t="s">
        <v>699</v>
      </c>
      <c r="BT1311" s="185" t="s">
        <v>699</v>
      </c>
      <c r="BU1311" s="185" t="s">
        <v>699</v>
      </c>
      <c r="BV1311" s="185" t="s">
        <v>699</v>
      </c>
      <c r="BW1311" s="185" t="s">
        <v>699</v>
      </c>
      <c r="BX1311" s="185" t="s">
        <v>699</v>
      </c>
      <c r="BY1311" s="185" t="s">
        <v>699</v>
      </c>
      <c r="BZ1311" s="185" t="s">
        <v>699</v>
      </c>
      <c r="CA1311" s="185" t="s">
        <v>699</v>
      </c>
      <c r="CB1311" s="185" t="s">
        <v>699</v>
      </c>
      <c r="CC1311" s="185" t="s">
        <v>699</v>
      </c>
      <c r="CD1311" s="185" t="s">
        <v>699</v>
      </c>
      <c r="CE1311" s="185" t="s">
        <v>699</v>
      </c>
      <c r="CF1311" s="148">
        <f t="shared" ref="CF1311:CK1311" si="1290">IF(BZ1310=0,0,(CL1315-CL1314)/BZ1310)</f>
        <v>0</v>
      </c>
      <c r="CG1311" s="148">
        <f t="shared" si="1290"/>
        <v>0</v>
      </c>
      <c r="CH1311" s="148">
        <f t="shared" si="1290"/>
        <v>0</v>
      </c>
      <c r="CI1311" s="148">
        <f t="shared" si="1290"/>
        <v>0</v>
      </c>
      <c r="CJ1311" s="148">
        <f t="shared" si="1290"/>
        <v>0</v>
      </c>
      <c r="CK1311" s="148">
        <f t="shared" si="1290"/>
        <v>0</v>
      </c>
      <c r="CL1311" s="185" t="s">
        <v>699</v>
      </c>
      <c r="CM1311" s="185" t="s">
        <v>699</v>
      </c>
      <c r="CN1311" s="185" t="s">
        <v>699</v>
      </c>
      <c r="CO1311" s="185" t="s">
        <v>699</v>
      </c>
      <c r="CP1311" s="185" t="s">
        <v>699</v>
      </c>
      <c r="CQ1311" s="185" t="s">
        <v>699</v>
      </c>
      <c r="CR1311" s="185" t="s">
        <v>699</v>
      </c>
      <c r="CS1311" s="185" t="s">
        <v>699</v>
      </c>
      <c r="CT1311" s="185" t="s">
        <v>699</v>
      </c>
      <c r="CU1311" s="185" t="s">
        <v>699</v>
      </c>
      <c r="CV1311" s="185" t="s">
        <v>699</v>
      </c>
      <c r="CW1311" s="185" t="s">
        <v>699</v>
      </c>
      <c r="CX1311" s="185" t="s">
        <v>699</v>
      </c>
      <c r="CY1311" s="185" t="s">
        <v>699</v>
      </c>
      <c r="CZ1311" s="185" t="s">
        <v>699</v>
      </c>
      <c r="DA1311" s="148">
        <f t="shared" ref="DA1311:DF1311" si="1291">IF(CU1310=0,0,(DG1315-DG1314)/CU1310)</f>
        <v>0</v>
      </c>
      <c r="DB1311" s="148">
        <f t="shared" si="1291"/>
        <v>0</v>
      </c>
      <c r="DC1311" s="148">
        <f t="shared" si="1291"/>
        <v>0</v>
      </c>
      <c r="DD1311" s="148">
        <f t="shared" si="1291"/>
        <v>0</v>
      </c>
      <c r="DE1311" s="148">
        <f t="shared" si="1291"/>
        <v>0</v>
      </c>
      <c r="DF1311" s="148">
        <f t="shared" si="1291"/>
        <v>0</v>
      </c>
      <c r="DG1311" s="185" t="s">
        <v>699</v>
      </c>
      <c r="DH1311" s="185" t="s">
        <v>699</v>
      </c>
      <c r="DI1311" s="185" t="s">
        <v>699</v>
      </c>
      <c r="DJ1311" s="185" t="s">
        <v>699</v>
      </c>
      <c r="DK1311" s="185" t="s">
        <v>699</v>
      </c>
      <c r="DL1311" s="185" t="s">
        <v>699</v>
      </c>
      <c r="DM1311" s="185" t="s">
        <v>699</v>
      </c>
      <c r="DN1311" s="185" t="s">
        <v>699</v>
      </c>
      <c r="DO1311" s="185" t="s">
        <v>699</v>
      </c>
      <c r="DP1311" s="185" t="s">
        <v>699</v>
      </c>
      <c r="DQ1311" s="185" t="s">
        <v>699</v>
      </c>
      <c r="DR1311" s="185" t="s">
        <v>699</v>
      </c>
      <c r="DS1311" s="185" t="s">
        <v>699</v>
      </c>
      <c r="DT1311" s="185" t="s">
        <v>699</v>
      </c>
      <c r="DU1311" s="185" t="s">
        <v>699</v>
      </c>
      <c r="DV1311" s="148">
        <f t="shared" ref="DV1311:EA1311" si="1292">IF(DP1310=0,0,(EB1315-EB1314)/DP1310)</f>
        <v>0</v>
      </c>
      <c r="DW1311" s="148">
        <f t="shared" si="1292"/>
        <v>0</v>
      </c>
      <c r="DX1311" s="148">
        <f t="shared" si="1292"/>
        <v>0</v>
      </c>
      <c r="DY1311" s="148">
        <f t="shared" si="1292"/>
        <v>0</v>
      </c>
      <c r="DZ1311" s="148">
        <f t="shared" si="1292"/>
        <v>0</v>
      </c>
      <c r="EA1311" s="148">
        <f t="shared" si="1292"/>
        <v>0</v>
      </c>
      <c r="EB1311" s="185" t="s">
        <v>699</v>
      </c>
      <c r="EC1311" s="185" t="s">
        <v>699</v>
      </c>
      <c r="ED1311" s="185" t="s">
        <v>699</v>
      </c>
      <c r="EE1311" s="185" t="s">
        <v>699</v>
      </c>
      <c r="EF1311" s="185" t="s">
        <v>699</v>
      </c>
      <c r="EG1311" s="185" t="s">
        <v>699</v>
      </c>
      <c r="EH1311" s="185" t="s">
        <v>699</v>
      </c>
      <c r="EI1311" s="185" t="s">
        <v>699</v>
      </c>
      <c r="EJ1311" s="185" t="s">
        <v>699</v>
      </c>
      <c r="EK1311" s="185" t="s">
        <v>699</v>
      </c>
      <c r="EL1311" s="185" t="s">
        <v>699</v>
      </c>
      <c r="EM1311" s="185" t="s">
        <v>699</v>
      </c>
      <c r="EN1311" s="185" t="s">
        <v>699</v>
      </c>
      <c r="EO1311" s="185" t="s">
        <v>699</v>
      </c>
      <c r="EP1311" s="185" t="s">
        <v>699</v>
      </c>
      <c r="EQ1311" s="148">
        <f t="shared" ref="EQ1311:EV1311" si="1293">IF(EK1310=0,0,(EW1315-EW1314)/EK1310)</f>
        <v>0</v>
      </c>
      <c r="ER1311" s="148">
        <f t="shared" si="1293"/>
        <v>0</v>
      </c>
      <c r="ES1311" s="148">
        <f t="shared" si="1293"/>
        <v>0</v>
      </c>
      <c r="ET1311" s="148">
        <f t="shared" si="1293"/>
        <v>0</v>
      </c>
      <c r="EU1311" s="148">
        <f t="shared" si="1293"/>
        <v>0</v>
      </c>
      <c r="EV1311" s="148">
        <f t="shared" si="1293"/>
        <v>0</v>
      </c>
      <c r="EW1311" s="185" t="s">
        <v>699</v>
      </c>
      <c r="EX1311" s="185" t="s">
        <v>699</v>
      </c>
      <c r="EY1311" s="185" t="s">
        <v>699</v>
      </c>
      <c r="EZ1311" s="185" t="s">
        <v>699</v>
      </c>
      <c r="FA1311" s="185" t="s">
        <v>699</v>
      </c>
      <c r="FB1311" s="185" t="s">
        <v>699</v>
      </c>
      <c r="FC1311" s="185" t="s">
        <v>699</v>
      </c>
      <c r="FD1311" s="185" t="s">
        <v>699</v>
      </c>
      <c r="FE1311" s="185" t="s">
        <v>699</v>
      </c>
      <c r="FF1311" s="185" t="s">
        <v>699</v>
      </c>
      <c r="FG1311" s="185" t="s">
        <v>699</v>
      </c>
      <c r="FH1311" s="185" t="s">
        <v>699</v>
      </c>
      <c r="FI1311" s="185" t="s">
        <v>699</v>
      </c>
      <c r="FJ1311" s="185" t="s">
        <v>699</v>
      </c>
      <c r="FK1311" s="185" t="s">
        <v>699</v>
      </c>
      <c r="FL1311" s="148">
        <f t="shared" ref="FL1311:FQ1311" si="1294">IF(FF1310=0,0,(FR1315-FR1314)/FF1310)</f>
        <v>0</v>
      </c>
      <c r="FM1311" s="148">
        <f t="shared" si="1294"/>
        <v>0</v>
      </c>
      <c r="FN1311" s="148">
        <f t="shared" si="1294"/>
        <v>0</v>
      </c>
      <c r="FO1311" s="148">
        <f t="shared" si="1294"/>
        <v>0</v>
      </c>
      <c r="FP1311" s="148">
        <f t="shared" si="1294"/>
        <v>0</v>
      </c>
      <c r="FQ1311" s="148">
        <f t="shared" si="1294"/>
        <v>0</v>
      </c>
      <c r="FR1311" s="185" t="s">
        <v>699</v>
      </c>
      <c r="FS1311" s="185" t="s">
        <v>699</v>
      </c>
      <c r="FT1311" s="185" t="s">
        <v>699</v>
      </c>
      <c r="FU1311" s="185" t="s">
        <v>699</v>
      </c>
      <c r="FV1311" s="185" t="s">
        <v>699</v>
      </c>
      <c r="FW1311" s="185" t="s">
        <v>699</v>
      </c>
      <c r="FX1311" s="185" t="s">
        <v>699</v>
      </c>
      <c r="FY1311" s="185" t="s">
        <v>699</v>
      </c>
      <c r="FZ1311" s="185" t="s">
        <v>699</v>
      </c>
      <c r="GA1311" s="185" t="s">
        <v>699</v>
      </c>
      <c r="GB1311" s="185" t="s">
        <v>699</v>
      </c>
      <c r="GC1311" s="185" t="s">
        <v>699</v>
      </c>
      <c r="GD1311" s="185" t="s">
        <v>699</v>
      </c>
      <c r="GE1311" s="185" t="s">
        <v>699</v>
      </c>
      <c r="GF1311" s="185" t="s">
        <v>699</v>
      </c>
      <c r="GG1311" s="148">
        <f t="shared" ref="GG1311:GL1311" si="1295">IF(GA1310=0,0,(GM1315-GM1314)/GA1310)</f>
        <v>0</v>
      </c>
      <c r="GH1311" s="148">
        <f t="shared" si="1295"/>
        <v>0</v>
      </c>
      <c r="GI1311" s="148">
        <f t="shared" si="1295"/>
        <v>0</v>
      </c>
      <c r="GJ1311" s="148">
        <f t="shared" si="1295"/>
        <v>0</v>
      </c>
      <c r="GK1311" s="148">
        <f t="shared" si="1295"/>
        <v>0</v>
      </c>
      <c r="GL1311" s="148">
        <f t="shared" si="1295"/>
        <v>0</v>
      </c>
      <c r="GM1311" s="185" t="s">
        <v>699</v>
      </c>
      <c r="GN1311" s="185" t="s">
        <v>699</v>
      </c>
      <c r="GO1311" s="185" t="s">
        <v>699</v>
      </c>
      <c r="GP1311" s="185" t="s">
        <v>699</v>
      </c>
      <c r="GQ1311" s="185" t="s">
        <v>699</v>
      </c>
      <c r="GR1311" s="185" t="s">
        <v>699</v>
      </c>
      <c r="GS1311" s="185" t="s">
        <v>699</v>
      </c>
      <c r="GT1311" s="185" t="s">
        <v>699</v>
      </c>
      <c r="GU1311" s="185" t="s">
        <v>699</v>
      </c>
      <c r="GV1311" s="185" t="s">
        <v>699</v>
      </c>
      <c r="GW1311" s="185" t="s">
        <v>699</v>
      </c>
      <c r="GX1311" s="185" t="s">
        <v>699</v>
      </c>
      <c r="GY1311" s="185" t="s">
        <v>699</v>
      </c>
      <c r="GZ1311" s="185" t="s">
        <v>699</v>
      </c>
      <c r="HA1311" s="185" t="s">
        <v>699</v>
      </c>
      <c r="HB1311" s="148">
        <f t="shared" ref="HB1311:HG1311" si="1296">IF(GV1310=0,0,(HH1315-HH1314)/GV1310)</f>
        <v>0</v>
      </c>
      <c r="HC1311" s="148">
        <f t="shared" si="1296"/>
        <v>0</v>
      </c>
      <c r="HD1311" s="148">
        <f t="shared" si="1296"/>
        <v>0</v>
      </c>
      <c r="HE1311" s="148">
        <f t="shared" si="1296"/>
        <v>0</v>
      </c>
      <c r="HF1311" s="148">
        <f t="shared" si="1296"/>
        <v>0</v>
      </c>
      <c r="HG1311" s="148">
        <f t="shared" si="1296"/>
        <v>0</v>
      </c>
      <c r="HH1311" s="185" t="s">
        <v>699</v>
      </c>
      <c r="HI1311" s="185" t="s">
        <v>699</v>
      </c>
      <c r="HJ1311" s="185" t="s">
        <v>699</v>
      </c>
      <c r="HK1311" s="185" t="s">
        <v>699</v>
      </c>
      <c r="HL1311" s="185" t="s">
        <v>699</v>
      </c>
      <c r="HM1311" s="185" t="s">
        <v>699</v>
      </c>
      <c r="HN1311" s="185" t="s">
        <v>699</v>
      </c>
      <c r="HO1311" s="185" t="s">
        <v>699</v>
      </c>
      <c r="HP1311" s="185" t="s">
        <v>699</v>
      </c>
      <c r="HQ1311" s="185" t="s">
        <v>699</v>
      </c>
      <c r="HR1311" s="185" t="s">
        <v>699</v>
      </c>
      <c r="HS1311" s="185" t="s">
        <v>699</v>
      </c>
      <c r="HT1311" s="185" t="s">
        <v>699</v>
      </c>
      <c r="HU1311" s="185" t="s">
        <v>699</v>
      </c>
      <c r="HV1311" s="185" t="s">
        <v>699</v>
      </c>
      <c r="HW1311" s="148">
        <f t="shared" ref="HW1311:IB1311" si="1297">IF(HQ1310=0,0,(IC1315-IC1314)/HQ1310)</f>
        <v>0</v>
      </c>
      <c r="HX1311" s="148">
        <f t="shared" si="1297"/>
        <v>0</v>
      </c>
      <c r="HY1311" s="148">
        <f t="shared" si="1297"/>
        <v>0</v>
      </c>
      <c r="HZ1311" s="148">
        <f t="shared" si="1297"/>
        <v>0</v>
      </c>
      <c r="IA1311" s="148">
        <f t="shared" si="1297"/>
        <v>0</v>
      </c>
      <c r="IB1311" s="148">
        <f t="shared" si="1297"/>
        <v>0</v>
      </c>
      <c r="IC1311" s="185" t="s">
        <v>699</v>
      </c>
      <c r="ID1311" s="185" t="s">
        <v>699</v>
      </c>
      <c r="IE1311" s="185" t="s">
        <v>699</v>
      </c>
      <c r="IF1311" s="185" t="s">
        <v>699</v>
      </c>
      <c r="IG1311" s="185" t="s">
        <v>699</v>
      </c>
      <c r="IH1311" s="185" t="s">
        <v>699</v>
      </c>
      <c r="II1311" s="185" t="s">
        <v>699</v>
      </c>
      <c r="IJ1311" s="185" t="s">
        <v>699</v>
      </c>
      <c r="IK1311" s="185" t="s">
        <v>699</v>
      </c>
      <c r="IL1311" s="185" t="s">
        <v>699</v>
      </c>
      <c r="IM1311" s="185" t="s">
        <v>699</v>
      </c>
      <c r="IN1311" s="185" t="s">
        <v>699</v>
      </c>
      <c r="IO1311" s="185" t="s">
        <v>699</v>
      </c>
      <c r="IP1311" s="185" t="s">
        <v>699</v>
      </c>
      <c r="IQ1311" s="185" t="s">
        <v>699</v>
      </c>
      <c r="IR1311" s="148">
        <f t="shared" ref="IR1311:IW1311" si="1298">IF(IL1310=0,0,(IX1315-IX1314)/IL1310)</f>
        <v>0</v>
      </c>
      <c r="IS1311" s="148">
        <f t="shared" si="1298"/>
        <v>0</v>
      </c>
      <c r="IT1311" s="148">
        <f t="shared" si="1298"/>
        <v>0</v>
      </c>
      <c r="IU1311" s="148">
        <f t="shared" si="1298"/>
        <v>0</v>
      </c>
      <c r="IV1311" s="148">
        <f t="shared" si="1298"/>
        <v>0</v>
      </c>
      <c r="IW1311" s="148">
        <f t="shared" si="1298"/>
        <v>0</v>
      </c>
      <c r="IX1311" s="185" t="s">
        <v>699</v>
      </c>
      <c r="IY1311" s="185" t="s">
        <v>699</v>
      </c>
      <c r="IZ1311" s="185" t="s">
        <v>699</v>
      </c>
      <c r="JA1311" s="185" t="s">
        <v>699</v>
      </c>
      <c r="JB1311" s="185" t="s">
        <v>699</v>
      </c>
      <c r="JC1311" s="185" t="s">
        <v>699</v>
      </c>
      <c r="JD1311" s="185" t="s">
        <v>699</v>
      </c>
      <c r="JE1311" s="185" t="s">
        <v>699</v>
      </c>
      <c r="JF1311" s="185" t="s">
        <v>699</v>
      </c>
      <c r="JG1311" s="185" t="s">
        <v>699</v>
      </c>
      <c r="JH1311" s="185" t="s">
        <v>699</v>
      </c>
      <c r="JI1311" s="185" t="s">
        <v>699</v>
      </c>
      <c r="JJ1311" s="185" t="s">
        <v>699</v>
      </c>
      <c r="JK1311" s="185" t="s">
        <v>699</v>
      </c>
      <c r="JL1311" s="185" t="s">
        <v>699</v>
      </c>
      <c r="JM1311" s="148">
        <f t="shared" ref="JM1311:JR1311" si="1299">IF(JG1310=0,0,(JS1315-JS1314)/JG1310)</f>
        <v>0</v>
      </c>
      <c r="JN1311" s="148">
        <f t="shared" si="1299"/>
        <v>0</v>
      </c>
      <c r="JO1311" s="148">
        <f t="shared" si="1299"/>
        <v>0</v>
      </c>
      <c r="JP1311" s="148">
        <f t="shared" si="1299"/>
        <v>0</v>
      </c>
      <c r="JQ1311" s="148">
        <f t="shared" si="1299"/>
        <v>0</v>
      </c>
      <c r="JR1311" s="148">
        <f t="shared" si="1299"/>
        <v>0</v>
      </c>
      <c r="JS1311" s="185" t="s">
        <v>699</v>
      </c>
      <c r="JT1311" s="185" t="s">
        <v>699</v>
      </c>
      <c r="JU1311" s="185" t="s">
        <v>699</v>
      </c>
      <c r="JV1311" s="185" t="s">
        <v>699</v>
      </c>
      <c r="JW1311" s="185" t="s">
        <v>699</v>
      </c>
      <c r="JX1311" s="185" t="s">
        <v>699</v>
      </c>
      <c r="JY1311" s="185" t="s">
        <v>699</v>
      </c>
      <c r="JZ1311" s="185" t="s">
        <v>699</v>
      </c>
      <c r="KA1311" s="185" t="s">
        <v>699</v>
      </c>
      <c r="KB1311" s="185" t="s">
        <v>699</v>
      </c>
      <c r="KC1311" s="185" t="s">
        <v>699</v>
      </c>
      <c r="KD1311" s="185" t="s">
        <v>699</v>
      </c>
      <c r="KE1311" s="185" t="s">
        <v>699</v>
      </c>
      <c r="KF1311" s="185" t="s">
        <v>699</v>
      </c>
      <c r="KG1311" s="185" t="s">
        <v>699</v>
      </c>
      <c r="KH1311" s="148">
        <f t="shared" ref="KH1311:KM1311" si="1300">IF(KB1310=0,0,(KN1315-KN1314)/KB1310)</f>
        <v>0</v>
      </c>
      <c r="KI1311" s="148">
        <f t="shared" si="1300"/>
        <v>0</v>
      </c>
      <c r="KJ1311" s="148">
        <f t="shared" si="1300"/>
        <v>0</v>
      </c>
      <c r="KK1311" s="148">
        <f t="shared" si="1300"/>
        <v>0</v>
      </c>
      <c r="KL1311" s="148">
        <f t="shared" si="1300"/>
        <v>0</v>
      </c>
      <c r="KM1311" s="148">
        <f t="shared" si="1300"/>
        <v>0</v>
      </c>
      <c r="KN1311" s="185" t="s">
        <v>699</v>
      </c>
      <c r="KO1311" s="185" t="s">
        <v>699</v>
      </c>
      <c r="KP1311" s="185" t="s">
        <v>699</v>
      </c>
      <c r="KQ1311" s="185" t="s">
        <v>699</v>
      </c>
      <c r="KR1311" s="185" t="s">
        <v>699</v>
      </c>
      <c r="KS1311" s="185" t="s">
        <v>699</v>
      </c>
      <c r="KT1311" s="185" t="s">
        <v>699</v>
      </c>
      <c r="KU1311" s="185" t="s">
        <v>699</v>
      </c>
      <c r="KV1311" s="185" t="s">
        <v>699</v>
      </c>
      <c r="KW1311" s="185" t="s">
        <v>699</v>
      </c>
      <c r="KX1311" s="185" t="s">
        <v>699</v>
      </c>
      <c r="KY1311" s="185" t="s">
        <v>699</v>
      </c>
      <c r="KZ1311" s="185" t="s">
        <v>699</v>
      </c>
      <c r="LA1311" s="185" t="s">
        <v>699</v>
      </c>
      <c r="LB1311" s="185" t="s">
        <v>699</v>
      </c>
      <c r="LC1311" s="148">
        <f t="shared" ref="LC1311:LH1311" si="1301">IF(KW1310=0,0,(LI1315-LI1314)/KW1310)</f>
        <v>0</v>
      </c>
      <c r="LD1311" s="148">
        <f t="shared" si="1301"/>
        <v>0</v>
      </c>
      <c r="LE1311" s="148">
        <f t="shared" si="1301"/>
        <v>0</v>
      </c>
      <c r="LF1311" s="148">
        <f t="shared" si="1301"/>
        <v>0</v>
      </c>
      <c r="LG1311" s="148">
        <f t="shared" si="1301"/>
        <v>0</v>
      </c>
      <c r="LH1311" s="148">
        <f t="shared" si="1301"/>
        <v>0</v>
      </c>
      <c r="LI1311" s="185" t="s">
        <v>699</v>
      </c>
      <c r="LJ1311" s="185" t="s">
        <v>699</v>
      </c>
      <c r="LK1311" s="185" t="s">
        <v>699</v>
      </c>
      <c r="LL1311" s="185" t="s">
        <v>699</v>
      </c>
      <c r="LM1311" s="185" t="s">
        <v>699</v>
      </c>
      <c r="LN1311" s="185" t="s">
        <v>699</v>
      </c>
      <c r="LO1311" s="185" t="s">
        <v>699</v>
      </c>
      <c r="LP1311" s="185" t="s">
        <v>699</v>
      </c>
      <c r="LQ1311" s="185" t="s">
        <v>699</v>
      </c>
      <c r="LR1311" s="185" t="s">
        <v>699</v>
      </c>
      <c r="LS1311" s="185" t="s">
        <v>699</v>
      </c>
      <c r="LT1311" s="185" t="s">
        <v>699</v>
      </c>
      <c r="LU1311" s="185" t="s">
        <v>699</v>
      </c>
      <c r="LV1311" s="185" t="s">
        <v>699</v>
      </c>
      <c r="LW1311" s="185" t="s">
        <v>699</v>
      </c>
      <c r="LX1311" s="148">
        <f t="shared" ref="LX1311:MC1311" si="1302">IF(LR1310=0,0,(MD1315-MD1314)/LR1310)</f>
        <v>0</v>
      </c>
      <c r="LY1311" s="148">
        <f t="shared" si="1302"/>
        <v>0</v>
      </c>
      <c r="LZ1311" s="148">
        <f t="shared" si="1302"/>
        <v>0</v>
      </c>
      <c r="MA1311" s="148">
        <f t="shared" si="1302"/>
        <v>0</v>
      </c>
      <c r="MB1311" s="148">
        <f t="shared" si="1302"/>
        <v>0</v>
      </c>
      <c r="MC1311" s="148">
        <f t="shared" si="1302"/>
        <v>0</v>
      </c>
      <c r="MD1311" s="185" t="s">
        <v>699</v>
      </c>
      <c r="ME1311" s="185" t="s">
        <v>699</v>
      </c>
      <c r="MF1311" s="185" t="s">
        <v>699</v>
      </c>
      <c r="MG1311" s="185" t="s">
        <v>699</v>
      </c>
      <c r="MH1311" s="185" t="s">
        <v>699</v>
      </c>
      <c r="MI1311" s="185" t="s">
        <v>699</v>
      </c>
      <c r="MJ1311" s="185" t="s">
        <v>699</v>
      </c>
      <c r="MK1311" s="185" t="s">
        <v>699</v>
      </c>
      <c r="ML1311" s="185" t="s">
        <v>699</v>
      </c>
      <c r="MM1311" s="185" t="s">
        <v>699</v>
      </c>
      <c r="MN1311" s="185" t="s">
        <v>699</v>
      </c>
      <c r="MO1311" s="185" t="s">
        <v>699</v>
      </c>
      <c r="MP1311" s="185" t="s">
        <v>699</v>
      </c>
      <c r="MQ1311" s="185" t="s">
        <v>699</v>
      </c>
      <c r="MR1311" s="185" t="s">
        <v>699</v>
      </c>
      <c r="MS1311" s="148">
        <f t="shared" ref="MS1311:MX1311" si="1303">IF(MM1310=0,0,(MY1315-MY1314)/MM1310)</f>
        <v>0</v>
      </c>
      <c r="MT1311" s="148">
        <f t="shared" si="1303"/>
        <v>0</v>
      </c>
      <c r="MU1311" s="148">
        <f t="shared" si="1303"/>
        <v>0</v>
      </c>
      <c r="MV1311" s="148">
        <f t="shared" si="1303"/>
        <v>0</v>
      </c>
      <c r="MW1311" s="148">
        <f t="shared" si="1303"/>
        <v>0</v>
      </c>
      <c r="MX1311" s="148">
        <f t="shared" si="1303"/>
        <v>0</v>
      </c>
      <c r="MY1311" s="185" t="s">
        <v>699</v>
      </c>
      <c r="MZ1311" s="185" t="s">
        <v>699</v>
      </c>
      <c r="NA1311" s="185" t="s">
        <v>699</v>
      </c>
      <c r="NB1311" s="185" t="s">
        <v>699</v>
      </c>
      <c r="NC1311" s="185" t="s">
        <v>699</v>
      </c>
      <c r="ND1311" s="185" t="s">
        <v>699</v>
      </c>
      <c r="NE1311" s="185" t="s">
        <v>699</v>
      </c>
      <c r="NF1311" s="185" t="s">
        <v>699</v>
      </c>
      <c r="NG1311" s="185" t="s">
        <v>699</v>
      </c>
      <c r="NH1311" s="185" t="s">
        <v>699</v>
      </c>
      <c r="NI1311" s="185" t="s">
        <v>699</v>
      </c>
      <c r="NJ1311" s="185" t="s">
        <v>699</v>
      </c>
      <c r="NK1311" s="185" t="s">
        <v>699</v>
      </c>
      <c r="NL1311" s="185" t="s">
        <v>699</v>
      </c>
      <c r="NM1311" s="185" t="s">
        <v>699</v>
      </c>
      <c r="NN1311" s="148">
        <f t="shared" ref="NN1311:NS1311" si="1304">IF(NH1310=0,0,(NT1315-NT1314)/NH1310)</f>
        <v>0</v>
      </c>
      <c r="NO1311" s="148">
        <f t="shared" si="1304"/>
        <v>0</v>
      </c>
      <c r="NP1311" s="148">
        <f t="shared" si="1304"/>
        <v>0</v>
      </c>
      <c r="NQ1311" s="148">
        <f t="shared" si="1304"/>
        <v>0</v>
      </c>
      <c r="NR1311" s="148">
        <f t="shared" si="1304"/>
        <v>0</v>
      </c>
      <c r="NS1311" s="148">
        <f t="shared" si="1304"/>
        <v>0</v>
      </c>
      <c r="NT1311" s="185" t="s">
        <v>699</v>
      </c>
      <c r="NU1311" s="185" t="s">
        <v>699</v>
      </c>
      <c r="NV1311" s="185" t="s">
        <v>699</v>
      </c>
      <c r="NW1311" s="185" t="s">
        <v>699</v>
      </c>
      <c r="NX1311" s="185" t="s">
        <v>699</v>
      </c>
      <c r="NY1311" s="185" t="s">
        <v>699</v>
      </c>
      <c r="NZ1311" s="185" t="s">
        <v>699</v>
      </c>
      <c r="OA1311" s="185" t="s">
        <v>699</v>
      </c>
      <c r="OB1311" s="185" t="s">
        <v>699</v>
      </c>
      <c r="OC1311" s="185" t="s">
        <v>699</v>
      </c>
      <c r="OD1311" s="185" t="s">
        <v>699</v>
      </c>
      <c r="OE1311" s="185" t="s">
        <v>699</v>
      </c>
      <c r="OF1311" s="185" t="s">
        <v>699</v>
      </c>
      <c r="OG1311" s="185" t="s">
        <v>699</v>
      </c>
      <c r="OH1311" s="185" t="s">
        <v>699</v>
      </c>
      <c r="OI1311" s="148">
        <f t="shared" ref="OI1311:ON1311" si="1305">IF(OC1310=0,0,(OO1315-OO1314)/OC1310)</f>
        <v>0</v>
      </c>
      <c r="OJ1311" s="148">
        <f t="shared" si="1305"/>
        <v>0</v>
      </c>
      <c r="OK1311" s="148">
        <f t="shared" si="1305"/>
        <v>0</v>
      </c>
      <c r="OL1311" s="148">
        <f t="shared" si="1305"/>
        <v>0</v>
      </c>
      <c r="OM1311" s="148">
        <f t="shared" si="1305"/>
        <v>0</v>
      </c>
      <c r="ON1311" s="148">
        <f t="shared" si="1305"/>
        <v>0</v>
      </c>
      <c r="OO1311" s="185" t="s">
        <v>699</v>
      </c>
      <c r="OP1311" s="185" t="s">
        <v>699</v>
      </c>
      <c r="OQ1311" s="185" t="s">
        <v>699</v>
      </c>
      <c r="OR1311" s="185" t="s">
        <v>699</v>
      </c>
      <c r="OS1311" s="185" t="s">
        <v>699</v>
      </c>
      <c r="OT1311" s="185" t="s">
        <v>699</v>
      </c>
      <c r="OU1311" s="185" t="s">
        <v>699</v>
      </c>
      <c r="OV1311" s="185" t="s">
        <v>699</v>
      </c>
      <c r="OW1311" s="185" t="s">
        <v>699</v>
      </c>
      <c r="OX1311" s="185" t="s">
        <v>699</v>
      </c>
      <c r="OY1311" s="185" t="s">
        <v>699</v>
      </c>
      <c r="OZ1311" s="185" t="s">
        <v>699</v>
      </c>
      <c r="PA1311" s="185" t="s">
        <v>699</v>
      </c>
      <c r="PB1311" s="185" t="s">
        <v>699</v>
      </c>
      <c r="PC1311" s="185" t="s">
        <v>699</v>
      </c>
      <c r="PD1311" s="148">
        <f t="shared" ref="PD1311:PI1311" si="1306">IF(OX1310=0,0,(PJ1315-PJ1314)/OX1310)</f>
        <v>0</v>
      </c>
      <c r="PE1311" s="148">
        <f t="shared" si="1306"/>
        <v>0</v>
      </c>
      <c r="PF1311" s="148">
        <f t="shared" si="1306"/>
        <v>0</v>
      </c>
      <c r="PG1311" s="148">
        <f t="shared" si="1306"/>
        <v>0</v>
      </c>
      <c r="PH1311" s="148">
        <f t="shared" si="1306"/>
        <v>0</v>
      </c>
      <c r="PI1311" s="148">
        <f t="shared" si="1306"/>
        <v>0</v>
      </c>
      <c r="PJ1311" s="185" t="s">
        <v>699</v>
      </c>
      <c r="PK1311" s="185" t="s">
        <v>699</v>
      </c>
      <c r="PL1311" s="185" t="s">
        <v>699</v>
      </c>
      <c r="PM1311" s="185" t="s">
        <v>699</v>
      </c>
      <c r="PN1311" s="185" t="s">
        <v>699</v>
      </c>
      <c r="PO1311" s="185" t="s">
        <v>699</v>
      </c>
      <c r="PP1311" s="185" t="s">
        <v>699</v>
      </c>
      <c r="PQ1311" s="185" t="s">
        <v>699</v>
      </c>
      <c r="PR1311" s="185" t="s">
        <v>699</v>
      </c>
      <c r="PS1311" s="185" t="s">
        <v>699</v>
      </c>
      <c r="PT1311" s="185" t="s">
        <v>699</v>
      </c>
      <c r="PU1311" s="185" t="s">
        <v>699</v>
      </c>
      <c r="PV1311" s="185" t="s">
        <v>699</v>
      </c>
      <c r="PW1311" s="185" t="s">
        <v>699</v>
      </c>
      <c r="PX1311" s="185" t="s">
        <v>699</v>
      </c>
      <c r="PY1311" s="148">
        <f t="shared" ref="PY1311:QD1311" si="1307">IF(PS1310=0,0,(QE1315-QE1314)/PS1310)</f>
        <v>0</v>
      </c>
      <c r="PZ1311" s="148">
        <f t="shared" si="1307"/>
        <v>0</v>
      </c>
      <c r="QA1311" s="148">
        <f t="shared" si="1307"/>
        <v>0</v>
      </c>
      <c r="QB1311" s="148">
        <f t="shared" si="1307"/>
        <v>0</v>
      </c>
      <c r="QC1311" s="148">
        <f t="shared" si="1307"/>
        <v>0</v>
      </c>
      <c r="QD1311" s="148">
        <f t="shared" si="1307"/>
        <v>0</v>
      </c>
      <c r="QE1311" s="185" t="s">
        <v>699</v>
      </c>
      <c r="QF1311" s="185" t="s">
        <v>699</v>
      </c>
      <c r="QG1311" s="185" t="s">
        <v>699</v>
      </c>
      <c r="QH1311" s="185" t="s">
        <v>699</v>
      </c>
      <c r="QI1311" s="185" t="s">
        <v>699</v>
      </c>
      <c r="QJ1311" s="185" t="s">
        <v>699</v>
      </c>
      <c r="QK1311" s="185" t="s">
        <v>699</v>
      </c>
      <c r="QL1311" s="185" t="s">
        <v>699</v>
      </c>
      <c r="QM1311" s="185" t="s">
        <v>699</v>
      </c>
      <c r="QN1311" s="185" t="s">
        <v>699</v>
      </c>
      <c r="QO1311" s="185" t="s">
        <v>699</v>
      </c>
      <c r="QP1311" s="185" t="s">
        <v>699</v>
      </c>
      <c r="QQ1311" s="185" t="s">
        <v>699</v>
      </c>
      <c r="QR1311" s="185" t="s">
        <v>699</v>
      </c>
      <c r="QS1311" s="185" t="s">
        <v>699</v>
      </c>
      <c r="QT1311" s="148">
        <f t="shared" ref="QT1311:QY1311" si="1308">IF(QN1310=0,0,(QZ1315-QZ1314)/QN1310)</f>
        <v>0</v>
      </c>
      <c r="QU1311" s="148">
        <f t="shared" si="1308"/>
        <v>0</v>
      </c>
      <c r="QV1311" s="148">
        <f t="shared" si="1308"/>
        <v>0</v>
      </c>
      <c r="QW1311" s="148">
        <f t="shared" si="1308"/>
        <v>0</v>
      </c>
      <c r="QX1311" s="148">
        <f t="shared" si="1308"/>
        <v>0</v>
      </c>
      <c r="QY1311" s="148">
        <f t="shared" si="1308"/>
        <v>0</v>
      </c>
      <c r="QZ1311" s="185" t="s">
        <v>699</v>
      </c>
      <c r="RA1311" s="185" t="s">
        <v>699</v>
      </c>
      <c r="RB1311" s="185" t="s">
        <v>699</v>
      </c>
      <c r="RC1311" s="185" t="s">
        <v>699</v>
      </c>
      <c r="RD1311" s="185" t="s">
        <v>699</v>
      </c>
      <c r="RE1311" s="185" t="s">
        <v>699</v>
      </c>
      <c r="RF1311" s="185" t="s">
        <v>699</v>
      </c>
      <c r="RG1311" s="185" t="s">
        <v>699</v>
      </c>
      <c r="RH1311" s="185" t="s">
        <v>699</v>
      </c>
      <c r="RI1311" s="185" t="s">
        <v>699</v>
      </c>
      <c r="RJ1311" s="185" t="s">
        <v>699</v>
      </c>
      <c r="RK1311" s="185" t="s">
        <v>699</v>
      </c>
      <c r="RL1311" s="185" t="s">
        <v>699</v>
      </c>
      <c r="RM1311" s="185" t="s">
        <v>699</v>
      </c>
      <c r="RN1311" s="185" t="s">
        <v>699</v>
      </c>
      <c r="RO1311" s="148">
        <f t="shared" ref="RO1311:RT1311" si="1309">IF(RI1310=0,0,(RU1315-RU1314)/RI1310)</f>
        <v>0</v>
      </c>
      <c r="RP1311" s="148">
        <f t="shared" si="1309"/>
        <v>0</v>
      </c>
      <c r="RQ1311" s="148">
        <f t="shared" si="1309"/>
        <v>0</v>
      </c>
      <c r="RR1311" s="148">
        <f t="shared" si="1309"/>
        <v>0</v>
      </c>
      <c r="RS1311" s="148">
        <f t="shared" si="1309"/>
        <v>0</v>
      </c>
      <c r="RT1311" s="148">
        <f t="shared" si="1309"/>
        <v>0</v>
      </c>
      <c r="RU1311" s="185" t="s">
        <v>699</v>
      </c>
      <c r="RV1311" s="185" t="s">
        <v>699</v>
      </c>
      <c r="RW1311" s="185" t="s">
        <v>699</v>
      </c>
      <c r="RX1311" s="185" t="s">
        <v>699</v>
      </c>
      <c r="RY1311" s="185" t="s">
        <v>699</v>
      </c>
      <c r="RZ1311" s="185" t="s">
        <v>699</v>
      </c>
      <c r="SA1311" s="185" t="s">
        <v>699</v>
      </c>
      <c r="SB1311" s="185" t="s">
        <v>699</v>
      </c>
      <c r="SC1311" s="185" t="s">
        <v>699</v>
      </c>
      <c r="SD1311" s="185" t="s">
        <v>699</v>
      </c>
      <c r="SE1311" s="185" t="s">
        <v>699</v>
      </c>
      <c r="SF1311" s="185" t="s">
        <v>699</v>
      </c>
      <c r="SG1311" s="185" t="s">
        <v>699</v>
      </c>
      <c r="SH1311" s="185" t="s">
        <v>699</v>
      </c>
      <c r="SI1311" s="185" t="s">
        <v>699</v>
      </c>
      <c r="SJ1311" s="148">
        <f t="shared" ref="SJ1311:SO1311" si="1310">IF(SD1310=0,0,(SP1315-SP1314)/SD1310)</f>
        <v>0</v>
      </c>
      <c r="SK1311" s="148">
        <f t="shared" si="1310"/>
        <v>0</v>
      </c>
      <c r="SL1311" s="148">
        <f t="shared" si="1310"/>
        <v>0</v>
      </c>
      <c r="SM1311" s="148">
        <f t="shared" si="1310"/>
        <v>0</v>
      </c>
      <c r="SN1311" s="148">
        <f t="shared" si="1310"/>
        <v>0</v>
      </c>
      <c r="SO1311" s="148">
        <f t="shared" si="1310"/>
        <v>0</v>
      </c>
      <c r="SP1311" s="185" t="s">
        <v>699</v>
      </c>
      <c r="SQ1311" s="185" t="s">
        <v>699</v>
      </c>
      <c r="SR1311" s="185" t="s">
        <v>699</v>
      </c>
      <c r="SS1311" s="185" t="s">
        <v>699</v>
      </c>
      <c r="ST1311" s="185" t="s">
        <v>699</v>
      </c>
      <c r="SU1311" s="185" t="s">
        <v>699</v>
      </c>
      <c r="SV1311" s="185" t="s">
        <v>699</v>
      </c>
      <c r="SW1311" s="185" t="s">
        <v>699</v>
      </c>
      <c r="SX1311" s="185" t="s">
        <v>699</v>
      </c>
      <c r="SY1311" s="185" t="s">
        <v>699</v>
      </c>
      <c r="SZ1311" s="185" t="s">
        <v>699</v>
      </c>
      <c r="TA1311" s="185" t="s">
        <v>699</v>
      </c>
      <c r="TB1311" s="185" t="s">
        <v>699</v>
      </c>
      <c r="TC1311" s="185" t="s">
        <v>699</v>
      </c>
      <c r="TD1311" s="185" t="s">
        <v>699</v>
      </c>
      <c r="TE1311" s="148">
        <f t="shared" ref="TE1311:TJ1311" si="1311">IF(SY1310=0,0,(TK1315-TK1314)/SY1310)</f>
        <v>0</v>
      </c>
      <c r="TF1311" s="148">
        <f t="shared" si="1311"/>
        <v>0</v>
      </c>
      <c r="TG1311" s="148">
        <f t="shared" si="1311"/>
        <v>0</v>
      </c>
      <c r="TH1311" s="148">
        <f t="shared" si="1311"/>
        <v>0</v>
      </c>
      <c r="TI1311" s="148">
        <f t="shared" si="1311"/>
        <v>0</v>
      </c>
      <c r="TJ1311" s="148">
        <f t="shared" si="1311"/>
        <v>0</v>
      </c>
      <c r="TK1311" s="185" t="s">
        <v>699</v>
      </c>
      <c r="TL1311" s="185" t="s">
        <v>699</v>
      </c>
      <c r="TM1311" s="185" t="s">
        <v>699</v>
      </c>
      <c r="TN1311" s="185" t="s">
        <v>699</v>
      </c>
      <c r="TO1311" s="185" t="s">
        <v>699</v>
      </c>
      <c r="TP1311" s="185" t="s">
        <v>699</v>
      </c>
      <c r="TQ1311" s="185" t="s">
        <v>699</v>
      </c>
      <c r="TR1311" s="185" t="s">
        <v>699</v>
      </c>
      <c r="TS1311" s="185" t="s">
        <v>699</v>
      </c>
      <c r="TT1311" s="185" t="s">
        <v>699</v>
      </c>
      <c r="TU1311" s="185" t="s">
        <v>699</v>
      </c>
      <c r="TV1311" s="185" t="s">
        <v>699</v>
      </c>
      <c r="TW1311" s="185" t="s">
        <v>699</v>
      </c>
      <c r="TX1311" s="185" t="s">
        <v>699</v>
      </c>
      <c r="TY1311" s="185" t="s">
        <v>699</v>
      </c>
      <c r="TZ1311" s="148">
        <f t="shared" ref="TZ1311:UE1311" si="1312">IF(TT1310=0,0,(UF1315-UF1314)/TT1310)</f>
        <v>0</v>
      </c>
      <c r="UA1311" s="148">
        <f t="shared" si="1312"/>
        <v>0</v>
      </c>
      <c r="UB1311" s="148">
        <f t="shared" si="1312"/>
        <v>0</v>
      </c>
      <c r="UC1311" s="148">
        <f t="shared" si="1312"/>
        <v>0</v>
      </c>
      <c r="UD1311" s="148">
        <f t="shared" si="1312"/>
        <v>0</v>
      </c>
      <c r="UE1311" s="148">
        <f t="shared" si="1312"/>
        <v>0</v>
      </c>
      <c r="UF1311" s="185" t="s">
        <v>699</v>
      </c>
      <c r="UG1311" s="185" t="s">
        <v>699</v>
      </c>
      <c r="UH1311" s="185" t="s">
        <v>699</v>
      </c>
      <c r="UI1311" s="185" t="s">
        <v>699</v>
      </c>
      <c r="UJ1311" s="185" t="s">
        <v>699</v>
      </c>
      <c r="UK1311" s="185" t="s">
        <v>699</v>
      </c>
      <c r="UL1311" s="185" t="s">
        <v>699</v>
      </c>
      <c r="UM1311" s="185" t="s">
        <v>699</v>
      </c>
      <c r="UN1311" s="185" t="s">
        <v>699</v>
      </c>
      <c r="UO1311" s="185" t="s">
        <v>699</v>
      </c>
      <c r="UP1311" s="185" t="s">
        <v>699</v>
      </c>
      <c r="UQ1311" s="185" t="s">
        <v>699</v>
      </c>
      <c r="UR1311" s="185" t="s">
        <v>699</v>
      </c>
      <c r="US1311" s="185" t="s">
        <v>699</v>
      </c>
      <c r="UT1311" s="185" t="s">
        <v>699</v>
      </c>
      <c r="UU1311" s="148">
        <f t="shared" ref="UU1311:UZ1311" si="1313">IF(UO1310=0,0,(VA1315-VA1314)/UO1310)</f>
        <v>0.71205411080000003</v>
      </c>
      <c r="UV1311" s="148">
        <f t="shared" si="1313"/>
        <v>0.73013221669999995</v>
      </c>
      <c r="UW1311" s="148">
        <f t="shared" si="1313"/>
        <v>0.73569140499999996</v>
      </c>
      <c r="UX1311" s="148">
        <f t="shared" si="1313"/>
        <v>0.1699442789</v>
      </c>
      <c r="UY1311" s="148">
        <f t="shared" si="1313"/>
        <v>0.17341712649999999</v>
      </c>
      <c r="UZ1311" s="148">
        <f t="shared" si="1313"/>
        <v>0.18003706780000001</v>
      </c>
      <c r="VA1311" s="185" t="s">
        <v>699</v>
      </c>
      <c r="VB1311" s="185" t="s">
        <v>699</v>
      </c>
      <c r="VC1311" s="185" t="s">
        <v>699</v>
      </c>
      <c r="VD1311" s="185" t="s">
        <v>699</v>
      </c>
      <c r="VE1311" s="185" t="s">
        <v>699</v>
      </c>
      <c r="VF1311" s="185" t="s">
        <v>699</v>
      </c>
      <c r="VG1311" s="185" t="s">
        <v>699</v>
      </c>
      <c r="VH1311" s="185" t="s">
        <v>699</v>
      </c>
      <c r="VI1311" s="185" t="s">
        <v>699</v>
      </c>
      <c r="VJ1311" s="185" t="s">
        <v>699</v>
      </c>
      <c r="VK1311" s="185" t="s">
        <v>699</v>
      </c>
      <c r="VL1311" s="185" t="s">
        <v>699</v>
      </c>
      <c r="VM1311" s="185" t="s">
        <v>699</v>
      </c>
      <c r="VN1311" s="185" t="s">
        <v>699</v>
      </c>
      <c r="VO1311" s="185" t="s">
        <v>699</v>
      </c>
      <c r="VP1311" s="148">
        <f t="shared" ref="VP1311:VU1311" si="1314">IF(VJ1310=0,0,(VV1315-VV1314)/VJ1310)</f>
        <v>0</v>
      </c>
      <c r="VQ1311" s="148">
        <f t="shared" si="1314"/>
        <v>0</v>
      </c>
      <c r="VR1311" s="148">
        <f t="shared" si="1314"/>
        <v>0</v>
      </c>
      <c r="VS1311" s="148">
        <f t="shared" si="1314"/>
        <v>0</v>
      </c>
      <c r="VT1311" s="148">
        <f t="shared" si="1314"/>
        <v>0</v>
      </c>
      <c r="VU1311" s="148">
        <f t="shared" si="1314"/>
        <v>0</v>
      </c>
      <c r="VV1311" s="185" t="s">
        <v>699</v>
      </c>
      <c r="VW1311" s="185" t="s">
        <v>699</v>
      </c>
      <c r="VX1311" s="185" t="s">
        <v>699</v>
      </c>
      <c r="VY1311" s="185" t="s">
        <v>699</v>
      </c>
      <c r="VZ1311" s="185" t="s">
        <v>699</v>
      </c>
      <c r="WA1311" s="185" t="s">
        <v>699</v>
      </c>
      <c r="WB1311" s="185" t="s">
        <v>699</v>
      </c>
      <c r="WC1311" s="185" t="s">
        <v>699</v>
      </c>
      <c r="WD1311" s="185" t="s">
        <v>699</v>
      </c>
      <c r="WE1311" s="185" t="s">
        <v>699</v>
      </c>
      <c r="WF1311" s="185" t="s">
        <v>699</v>
      </c>
      <c r="WG1311" s="185" t="s">
        <v>699</v>
      </c>
      <c r="WH1311" s="185" t="s">
        <v>699</v>
      </c>
      <c r="WI1311" s="185" t="s">
        <v>699</v>
      </c>
      <c r="WJ1311" s="185" t="s">
        <v>699</v>
      </c>
      <c r="WK1311" s="148">
        <f t="shared" ref="WK1311:WP1311" si="1315">IF(WE1310=0,0,(WQ1315-WQ1314)/WE1310)</f>
        <v>0</v>
      </c>
      <c r="WL1311" s="148">
        <f t="shared" si="1315"/>
        <v>0</v>
      </c>
      <c r="WM1311" s="148">
        <f t="shared" si="1315"/>
        <v>0</v>
      </c>
      <c r="WN1311" s="148">
        <f t="shared" si="1315"/>
        <v>0</v>
      </c>
      <c r="WO1311" s="148">
        <f t="shared" si="1315"/>
        <v>0</v>
      </c>
      <c r="WP1311" s="148">
        <f t="shared" si="1315"/>
        <v>0</v>
      </c>
      <c r="WQ1311" s="185" t="s">
        <v>699</v>
      </c>
      <c r="WR1311" s="185" t="s">
        <v>699</v>
      </c>
      <c r="WS1311" s="185" t="s">
        <v>699</v>
      </c>
      <c r="WT1311" s="185" t="s">
        <v>699</v>
      </c>
      <c r="WU1311" s="185" t="s">
        <v>699</v>
      </c>
      <c r="WV1311" s="185" t="s">
        <v>699</v>
      </c>
      <c r="WW1311" s="185" t="s">
        <v>699</v>
      </c>
      <c r="WX1311" s="185" t="s">
        <v>699</v>
      </c>
      <c r="WY1311" s="185" t="s">
        <v>699</v>
      </c>
      <c r="WZ1311" s="185" t="s">
        <v>699</v>
      </c>
      <c r="XA1311" s="185" t="s">
        <v>699</v>
      </c>
      <c r="XB1311" s="185" t="s">
        <v>699</v>
      </c>
      <c r="XC1311" s="185" t="s">
        <v>699</v>
      </c>
      <c r="XD1311" s="185" t="s">
        <v>699</v>
      </c>
      <c r="XE1311" s="185" t="s">
        <v>699</v>
      </c>
      <c r="XF1311" s="148">
        <f t="shared" ref="XF1311:XK1311" si="1316">IF(WZ1310=0,0,(XL1315-XL1314)/WZ1310)</f>
        <v>0</v>
      </c>
      <c r="XG1311" s="148">
        <f t="shared" si="1316"/>
        <v>0</v>
      </c>
      <c r="XH1311" s="148">
        <f t="shared" si="1316"/>
        <v>0</v>
      </c>
      <c r="XI1311" s="148">
        <f t="shared" si="1316"/>
        <v>0</v>
      </c>
      <c r="XJ1311" s="148">
        <f t="shared" si="1316"/>
        <v>0</v>
      </c>
      <c r="XK1311" s="148">
        <f t="shared" si="1316"/>
        <v>0</v>
      </c>
      <c r="XL1311" s="185" t="s">
        <v>699</v>
      </c>
      <c r="XM1311" s="185" t="s">
        <v>699</v>
      </c>
      <c r="XN1311" s="185" t="s">
        <v>699</v>
      </c>
      <c r="XO1311" s="185" t="s">
        <v>699</v>
      </c>
      <c r="XP1311" s="185" t="s">
        <v>699</v>
      </c>
      <c r="XQ1311" s="185" t="s">
        <v>699</v>
      </c>
      <c r="XR1311" s="185" t="s">
        <v>699</v>
      </c>
      <c r="XS1311" s="185" t="s">
        <v>699</v>
      </c>
      <c r="XT1311" s="185" t="s">
        <v>699</v>
      </c>
      <c r="XU1311" s="185" t="s">
        <v>699</v>
      </c>
      <c r="XV1311" s="185" t="s">
        <v>699</v>
      </c>
      <c r="XW1311" s="185" t="s">
        <v>699</v>
      </c>
      <c r="XX1311" s="185" t="s">
        <v>699</v>
      </c>
      <c r="XY1311" s="185" t="s">
        <v>699</v>
      </c>
      <c r="XZ1311" s="185" t="s">
        <v>699</v>
      </c>
      <c r="YA1311" s="148">
        <f t="shared" ref="YA1311:YF1311" si="1317">IF(XU1310=0,0,(YG1315-YG1314)/XU1310)</f>
        <v>0</v>
      </c>
      <c r="YB1311" s="148">
        <f t="shared" si="1317"/>
        <v>0</v>
      </c>
      <c r="YC1311" s="148">
        <f t="shared" si="1317"/>
        <v>0</v>
      </c>
      <c r="YD1311" s="148">
        <f t="shared" si="1317"/>
        <v>0</v>
      </c>
      <c r="YE1311" s="148">
        <f t="shared" si="1317"/>
        <v>0</v>
      </c>
      <c r="YF1311" s="148">
        <f t="shared" si="1317"/>
        <v>0</v>
      </c>
      <c r="YG1311" s="185" t="s">
        <v>699</v>
      </c>
      <c r="YH1311" s="185" t="s">
        <v>699</v>
      </c>
      <c r="YI1311" s="185" t="s">
        <v>699</v>
      </c>
      <c r="YJ1311" s="185" t="s">
        <v>699</v>
      </c>
      <c r="YK1311" s="185" t="s">
        <v>699</v>
      </c>
      <c r="YL1311" s="185" t="s">
        <v>699</v>
      </c>
      <c r="YM1311" s="185" t="s">
        <v>699</v>
      </c>
      <c r="YN1311" s="185" t="s">
        <v>699</v>
      </c>
      <c r="YO1311" s="185" t="s">
        <v>699</v>
      </c>
      <c r="YP1311" s="185" t="s">
        <v>699</v>
      </c>
      <c r="YQ1311" s="185" t="s">
        <v>699</v>
      </c>
      <c r="YR1311" s="185" t="s">
        <v>699</v>
      </c>
      <c r="YS1311" s="185" t="s">
        <v>699</v>
      </c>
      <c r="YT1311" s="185" t="s">
        <v>699</v>
      </c>
      <c r="YU1311" s="185" t="s">
        <v>699</v>
      </c>
      <c r="YV1311" s="148">
        <f t="shared" ref="YV1311:ZA1311" si="1318">IF(YP1310=0,0,(ZB1315-ZB1314)/YP1310)</f>
        <v>0.71205411080000003</v>
      </c>
      <c r="YW1311" s="148">
        <f t="shared" si="1318"/>
        <v>0.73013221669999995</v>
      </c>
      <c r="YX1311" s="148">
        <f t="shared" si="1318"/>
        <v>0.73569140499999996</v>
      </c>
      <c r="YY1311" s="148">
        <f t="shared" si="1318"/>
        <v>0.1699442789</v>
      </c>
      <c r="YZ1311" s="148">
        <f t="shared" si="1318"/>
        <v>0.17341712649999999</v>
      </c>
      <c r="ZA1311" s="148">
        <f t="shared" si="1318"/>
        <v>0.18003706780000001</v>
      </c>
      <c r="ZB1311" s="185" t="s">
        <v>699</v>
      </c>
      <c r="ZC1311" s="185" t="s">
        <v>699</v>
      </c>
      <c r="ZD1311" s="185" t="s">
        <v>699</v>
      </c>
      <c r="ZE1311" s="185" t="s">
        <v>699</v>
      </c>
      <c r="ZF1311" s="185" t="s">
        <v>699</v>
      </c>
      <c r="ZG1311" s="185" t="s">
        <v>699</v>
      </c>
    </row>
    <row r="1312" spans="1:683" s="156" customFormat="1" ht="24" x14ac:dyDescent="0.25">
      <c r="A1312" s="114" t="s">
        <v>982</v>
      </c>
      <c r="B1312" s="333"/>
      <c r="C1312" s="150" t="s">
        <v>451</v>
      </c>
      <c r="D1312" s="1279"/>
      <c r="E1312" s="1280"/>
      <c r="F1312" s="151"/>
      <c r="G1312" s="151"/>
      <c r="H1312" s="151"/>
      <c r="I1312" s="189"/>
      <c r="J1312" s="189"/>
      <c r="K1312" s="189"/>
      <c r="L1312" s="185" t="s">
        <v>699</v>
      </c>
      <c r="M1312" s="185" t="s">
        <v>699</v>
      </c>
      <c r="N1312" s="185" t="s">
        <v>699</v>
      </c>
      <c r="O1312" s="185" t="s">
        <v>699</v>
      </c>
      <c r="P1312" s="185" t="s">
        <v>699</v>
      </c>
      <c r="Q1312" s="185" t="s">
        <v>699</v>
      </c>
      <c r="R1312" s="185" t="s">
        <v>699</v>
      </c>
      <c r="S1312" s="185" t="s">
        <v>699</v>
      </c>
      <c r="T1312" s="185" t="s">
        <v>699</v>
      </c>
      <c r="U1312" s="185" t="s">
        <v>699</v>
      </c>
      <c r="V1312" s="185" t="s">
        <v>699</v>
      </c>
      <c r="W1312" s="185" t="s">
        <v>699</v>
      </c>
      <c r="X1312" s="185" t="s">
        <v>699</v>
      </c>
      <c r="Y1312" s="185" t="s">
        <v>699</v>
      </c>
      <c r="Z1312" s="185" t="s">
        <v>699</v>
      </c>
      <c r="AA1312" s="151">
        <f>AA1280+AA1296</f>
        <v>0</v>
      </c>
      <c r="AB1312" s="151">
        <f t="shared" ref="AB1312:AF1312" si="1319">AB1280+AB1296</f>
        <v>0</v>
      </c>
      <c r="AC1312" s="151">
        <f t="shared" si="1319"/>
        <v>0</v>
      </c>
      <c r="AD1312" s="151">
        <f t="shared" si="1319"/>
        <v>0</v>
      </c>
      <c r="AE1312" s="151">
        <f t="shared" si="1319"/>
        <v>0</v>
      </c>
      <c r="AF1312" s="151">
        <f t="shared" si="1319"/>
        <v>0</v>
      </c>
      <c r="AG1312" s="185" t="s">
        <v>699</v>
      </c>
      <c r="AH1312" s="185" t="s">
        <v>699</v>
      </c>
      <c r="AI1312" s="185" t="s">
        <v>699</v>
      </c>
      <c r="AJ1312" s="185" t="s">
        <v>699</v>
      </c>
      <c r="AK1312" s="185" t="s">
        <v>699</v>
      </c>
      <c r="AL1312" s="185" t="s">
        <v>699</v>
      </c>
      <c r="AM1312" s="185" t="s">
        <v>699</v>
      </c>
      <c r="AN1312" s="185" t="s">
        <v>699</v>
      </c>
      <c r="AO1312" s="185" t="s">
        <v>699</v>
      </c>
      <c r="AP1312" s="185" t="s">
        <v>699</v>
      </c>
      <c r="AQ1312" s="185" t="s">
        <v>699</v>
      </c>
      <c r="AR1312" s="185" t="s">
        <v>699</v>
      </c>
      <c r="AS1312" s="185" t="s">
        <v>699</v>
      </c>
      <c r="AT1312" s="185" t="s">
        <v>699</v>
      </c>
      <c r="AU1312" s="185" t="s">
        <v>699</v>
      </c>
      <c r="AV1312" s="151">
        <f t="shared" ref="AV1312:BA1312" si="1320">AV1280+AV1296</f>
        <v>0</v>
      </c>
      <c r="AW1312" s="151">
        <f t="shared" si="1320"/>
        <v>0</v>
      </c>
      <c r="AX1312" s="151">
        <f t="shared" si="1320"/>
        <v>0</v>
      </c>
      <c r="AY1312" s="151">
        <f t="shared" si="1320"/>
        <v>0</v>
      </c>
      <c r="AZ1312" s="151">
        <f t="shared" si="1320"/>
        <v>0</v>
      </c>
      <c r="BA1312" s="151">
        <f t="shared" si="1320"/>
        <v>0</v>
      </c>
      <c r="BB1312" s="185" t="s">
        <v>699</v>
      </c>
      <c r="BC1312" s="185" t="s">
        <v>699</v>
      </c>
      <c r="BD1312" s="185" t="s">
        <v>699</v>
      </c>
      <c r="BE1312" s="185" t="s">
        <v>699</v>
      </c>
      <c r="BF1312" s="185" t="s">
        <v>699</v>
      </c>
      <c r="BG1312" s="185" t="s">
        <v>699</v>
      </c>
      <c r="BH1312" s="185" t="s">
        <v>699</v>
      </c>
      <c r="BI1312" s="185" t="s">
        <v>699</v>
      </c>
      <c r="BJ1312" s="185" t="s">
        <v>699</v>
      </c>
      <c r="BK1312" s="185" t="s">
        <v>699</v>
      </c>
      <c r="BL1312" s="185" t="s">
        <v>699</v>
      </c>
      <c r="BM1312" s="185" t="s">
        <v>699</v>
      </c>
      <c r="BN1312" s="185" t="s">
        <v>699</v>
      </c>
      <c r="BO1312" s="185" t="s">
        <v>699</v>
      </c>
      <c r="BP1312" s="185" t="s">
        <v>699</v>
      </c>
      <c r="BQ1312" s="151">
        <f t="shared" ref="BQ1312:BV1312" si="1321">BQ1280+BQ1296</f>
        <v>0</v>
      </c>
      <c r="BR1312" s="151">
        <f t="shared" si="1321"/>
        <v>0</v>
      </c>
      <c r="BS1312" s="151">
        <f t="shared" si="1321"/>
        <v>0</v>
      </c>
      <c r="BT1312" s="151">
        <f t="shared" si="1321"/>
        <v>0</v>
      </c>
      <c r="BU1312" s="151">
        <f t="shared" si="1321"/>
        <v>0</v>
      </c>
      <c r="BV1312" s="151">
        <f t="shared" si="1321"/>
        <v>0</v>
      </c>
      <c r="BW1312" s="185" t="s">
        <v>699</v>
      </c>
      <c r="BX1312" s="185" t="s">
        <v>699</v>
      </c>
      <c r="BY1312" s="185" t="s">
        <v>699</v>
      </c>
      <c r="BZ1312" s="185" t="s">
        <v>699</v>
      </c>
      <c r="CA1312" s="185" t="s">
        <v>699</v>
      </c>
      <c r="CB1312" s="185" t="s">
        <v>699</v>
      </c>
      <c r="CC1312" s="185" t="s">
        <v>699</v>
      </c>
      <c r="CD1312" s="185" t="s">
        <v>699</v>
      </c>
      <c r="CE1312" s="185" t="s">
        <v>699</v>
      </c>
      <c r="CF1312" s="185" t="s">
        <v>699</v>
      </c>
      <c r="CG1312" s="185" t="s">
        <v>699</v>
      </c>
      <c r="CH1312" s="185" t="s">
        <v>699</v>
      </c>
      <c r="CI1312" s="185" t="s">
        <v>699</v>
      </c>
      <c r="CJ1312" s="185" t="s">
        <v>699</v>
      </c>
      <c r="CK1312" s="185" t="s">
        <v>699</v>
      </c>
      <c r="CL1312" s="151">
        <f t="shared" ref="CL1312:CQ1312" si="1322">CL1280+CL1296</f>
        <v>0</v>
      </c>
      <c r="CM1312" s="151">
        <f t="shared" si="1322"/>
        <v>0</v>
      </c>
      <c r="CN1312" s="151">
        <f t="shared" si="1322"/>
        <v>0</v>
      </c>
      <c r="CO1312" s="151">
        <f t="shared" si="1322"/>
        <v>0</v>
      </c>
      <c r="CP1312" s="151">
        <f t="shared" si="1322"/>
        <v>0</v>
      </c>
      <c r="CQ1312" s="151">
        <f t="shared" si="1322"/>
        <v>0</v>
      </c>
      <c r="CR1312" s="185" t="s">
        <v>699</v>
      </c>
      <c r="CS1312" s="185" t="s">
        <v>699</v>
      </c>
      <c r="CT1312" s="185" t="s">
        <v>699</v>
      </c>
      <c r="CU1312" s="185" t="s">
        <v>699</v>
      </c>
      <c r="CV1312" s="185" t="s">
        <v>699</v>
      </c>
      <c r="CW1312" s="185" t="s">
        <v>699</v>
      </c>
      <c r="CX1312" s="185" t="s">
        <v>699</v>
      </c>
      <c r="CY1312" s="185" t="s">
        <v>699</v>
      </c>
      <c r="CZ1312" s="185" t="s">
        <v>699</v>
      </c>
      <c r="DA1312" s="185" t="s">
        <v>699</v>
      </c>
      <c r="DB1312" s="185" t="s">
        <v>699</v>
      </c>
      <c r="DC1312" s="185" t="s">
        <v>699</v>
      </c>
      <c r="DD1312" s="185" t="s">
        <v>699</v>
      </c>
      <c r="DE1312" s="185" t="s">
        <v>699</v>
      </c>
      <c r="DF1312" s="185" t="s">
        <v>699</v>
      </c>
      <c r="DG1312" s="151">
        <f t="shared" ref="DG1312:DL1312" si="1323">DG1280+DG1296</f>
        <v>0</v>
      </c>
      <c r="DH1312" s="151">
        <f t="shared" si="1323"/>
        <v>0</v>
      </c>
      <c r="DI1312" s="151">
        <f t="shared" si="1323"/>
        <v>0</v>
      </c>
      <c r="DJ1312" s="151">
        <f t="shared" si="1323"/>
        <v>0</v>
      </c>
      <c r="DK1312" s="151">
        <f t="shared" si="1323"/>
        <v>0</v>
      </c>
      <c r="DL1312" s="151">
        <f t="shared" si="1323"/>
        <v>0</v>
      </c>
      <c r="DM1312" s="185" t="s">
        <v>699</v>
      </c>
      <c r="DN1312" s="185" t="s">
        <v>699</v>
      </c>
      <c r="DO1312" s="185" t="s">
        <v>699</v>
      </c>
      <c r="DP1312" s="185" t="s">
        <v>699</v>
      </c>
      <c r="DQ1312" s="185" t="s">
        <v>699</v>
      </c>
      <c r="DR1312" s="185" t="s">
        <v>699</v>
      </c>
      <c r="DS1312" s="185" t="s">
        <v>699</v>
      </c>
      <c r="DT1312" s="185" t="s">
        <v>699</v>
      </c>
      <c r="DU1312" s="185" t="s">
        <v>699</v>
      </c>
      <c r="DV1312" s="185" t="s">
        <v>699</v>
      </c>
      <c r="DW1312" s="185" t="s">
        <v>699</v>
      </c>
      <c r="DX1312" s="185" t="s">
        <v>699</v>
      </c>
      <c r="DY1312" s="185" t="s">
        <v>699</v>
      </c>
      <c r="DZ1312" s="185" t="s">
        <v>699</v>
      </c>
      <c r="EA1312" s="185" t="s">
        <v>699</v>
      </c>
      <c r="EB1312" s="151">
        <f t="shared" ref="EB1312:EG1312" si="1324">EB1280+EB1296</f>
        <v>0</v>
      </c>
      <c r="EC1312" s="151">
        <f t="shared" si="1324"/>
        <v>0</v>
      </c>
      <c r="ED1312" s="151">
        <f t="shared" si="1324"/>
        <v>0</v>
      </c>
      <c r="EE1312" s="151">
        <f t="shared" si="1324"/>
        <v>0</v>
      </c>
      <c r="EF1312" s="151">
        <f t="shared" si="1324"/>
        <v>0</v>
      </c>
      <c r="EG1312" s="151">
        <f t="shared" si="1324"/>
        <v>0</v>
      </c>
      <c r="EH1312" s="185" t="s">
        <v>699</v>
      </c>
      <c r="EI1312" s="185" t="s">
        <v>699</v>
      </c>
      <c r="EJ1312" s="185" t="s">
        <v>699</v>
      </c>
      <c r="EK1312" s="185" t="s">
        <v>699</v>
      </c>
      <c r="EL1312" s="185" t="s">
        <v>699</v>
      </c>
      <c r="EM1312" s="185" t="s">
        <v>699</v>
      </c>
      <c r="EN1312" s="185" t="s">
        <v>699</v>
      </c>
      <c r="EO1312" s="185" t="s">
        <v>699</v>
      </c>
      <c r="EP1312" s="185" t="s">
        <v>699</v>
      </c>
      <c r="EQ1312" s="185" t="s">
        <v>699</v>
      </c>
      <c r="ER1312" s="185" t="s">
        <v>699</v>
      </c>
      <c r="ES1312" s="185" t="s">
        <v>699</v>
      </c>
      <c r="ET1312" s="185" t="s">
        <v>699</v>
      </c>
      <c r="EU1312" s="185" t="s">
        <v>699</v>
      </c>
      <c r="EV1312" s="185" t="s">
        <v>699</v>
      </c>
      <c r="EW1312" s="151">
        <f t="shared" ref="EW1312:FB1312" si="1325">EW1280+EW1296</f>
        <v>0</v>
      </c>
      <c r="EX1312" s="151">
        <f t="shared" si="1325"/>
        <v>0</v>
      </c>
      <c r="EY1312" s="151">
        <f t="shared" si="1325"/>
        <v>0</v>
      </c>
      <c r="EZ1312" s="151">
        <f t="shared" si="1325"/>
        <v>0</v>
      </c>
      <c r="FA1312" s="151">
        <f t="shared" si="1325"/>
        <v>0</v>
      </c>
      <c r="FB1312" s="151">
        <f t="shared" si="1325"/>
        <v>0</v>
      </c>
      <c r="FC1312" s="185" t="s">
        <v>699</v>
      </c>
      <c r="FD1312" s="185" t="s">
        <v>699</v>
      </c>
      <c r="FE1312" s="185" t="s">
        <v>699</v>
      </c>
      <c r="FF1312" s="185" t="s">
        <v>699</v>
      </c>
      <c r="FG1312" s="185" t="s">
        <v>699</v>
      </c>
      <c r="FH1312" s="185" t="s">
        <v>699</v>
      </c>
      <c r="FI1312" s="185" t="s">
        <v>699</v>
      </c>
      <c r="FJ1312" s="185" t="s">
        <v>699</v>
      </c>
      <c r="FK1312" s="185" t="s">
        <v>699</v>
      </c>
      <c r="FL1312" s="185" t="s">
        <v>699</v>
      </c>
      <c r="FM1312" s="185" t="s">
        <v>699</v>
      </c>
      <c r="FN1312" s="185" t="s">
        <v>699</v>
      </c>
      <c r="FO1312" s="185" t="s">
        <v>699</v>
      </c>
      <c r="FP1312" s="185" t="s">
        <v>699</v>
      </c>
      <c r="FQ1312" s="185" t="s">
        <v>699</v>
      </c>
      <c r="FR1312" s="151">
        <f t="shared" ref="FR1312:FW1312" si="1326">FR1280+FR1296</f>
        <v>0</v>
      </c>
      <c r="FS1312" s="151">
        <f t="shared" si="1326"/>
        <v>0</v>
      </c>
      <c r="FT1312" s="151">
        <f t="shared" si="1326"/>
        <v>0</v>
      </c>
      <c r="FU1312" s="151">
        <f t="shared" si="1326"/>
        <v>0</v>
      </c>
      <c r="FV1312" s="151">
        <f t="shared" si="1326"/>
        <v>0</v>
      </c>
      <c r="FW1312" s="151">
        <f t="shared" si="1326"/>
        <v>0</v>
      </c>
      <c r="FX1312" s="185" t="s">
        <v>699</v>
      </c>
      <c r="FY1312" s="185" t="s">
        <v>699</v>
      </c>
      <c r="FZ1312" s="185" t="s">
        <v>699</v>
      </c>
      <c r="GA1312" s="185" t="s">
        <v>699</v>
      </c>
      <c r="GB1312" s="185" t="s">
        <v>699</v>
      </c>
      <c r="GC1312" s="185" t="s">
        <v>699</v>
      </c>
      <c r="GD1312" s="185" t="s">
        <v>699</v>
      </c>
      <c r="GE1312" s="185" t="s">
        <v>699</v>
      </c>
      <c r="GF1312" s="185" t="s">
        <v>699</v>
      </c>
      <c r="GG1312" s="185" t="s">
        <v>699</v>
      </c>
      <c r="GH1312" s="185" t="s">
        <v>699</v>
      </c>
      <c r="GI1312" s="185" t="s">
        <v>699</v>
      </c>
      <c r="GJ1312" s="185" t="s">
        <v>699</v>
      </c>
      <c r="GK1312" s="185" t="s">
        <v>699</v>
      </c>
      <c r="GL1312" s="185" t="s">
        <v>699</v>
      </c>
      <c r="GM1312" s="151">
        <f t="shared" ref="GM1312:GR1312" si="1327">GM1280+GM1296</f>
        <v>0</v>
      </c>
      <c r="GN1312" s="151">
        <f t="shared" si="1327"/>
        <v>0</v>
      </c>
      <c r="GO1312" s="151">
        <f t="shared" si="1327"/>
        <v>0</v>
      </c>
      <c r="GP1312" s="151">
        <f t="shared" si="1327"/>
        <v>0</v>
      </c>
      <c r="GQ1312" s="151">
        <f t="shared" si="1327"/>
        <v>0</v>
      </c>
      <c r="GR1312" s="151">
        <f t="shared" si="1327"/>
        <v>0</v>
      </c>
      <c r="GS1312" s="185" t="s">
        <v>699</v>
      </c>
      <c r="GT1312" s="185" t="s">
        <v>699</v>
      </c>
      <c r="GU1312" s="185" t="s">
        <v>699</v>
      </c>
      <c r="GV1312" s="185" t="s">
        <v>699</v>
      </c>
      <c r="GW1312" s="185" t="s">
        <v>699</v>
      </c>
      <c r="GX1312" s="185" t="s">
        <v>699</v>
      </c>
      <c r="GY1312" s="185" t="s">
        <v>699</v>
      </c>
      <c r="GZ1312" s="185" t="s">
        <v>699</v>
      </c>
      <c r="HA1312" s="185" t="s">
        <v>699</v>
      </c>
      <c r="HB1312" s="185" t="s">
        <v>699</v>
      </c>
      <c r="HC1312" s="185" t="s">
        <v>699</v>
      </c>
      <c r="HD1312" s="185" t="s">
        <v>699</v>
      </c>
      <c r="HE1312" s="185" t="s">
        <v>699</v>
      </c>
      <c r="HF1312" s="185" t="s">
        <v>699</v>
      </c>
      <c r="HG1312" s="185" t="s">
        <v>699</v>
      </c>
      <c r="HH1312" s="151">
        <f t="shared" ref="HH1312:HM1312" si="1328">HH1280+HH1296</f>
        <v>0</v>
      </c>
      <c r="HI1312" s="151">
        <f t="shared" si="1328"/>
        <v>0</v>
      </c>
      <c r="HJ1312" s="151">
        <f t="shared" si="1328"/>
        <v>0</v>
      </c>
      <c r="HK1312" s="151">
        <f t="shared" si="1328"/>
        <v>0</v>
      </c>
      <c r="HL1312" s="151">
        <f t="shared" si="1328"/>
        <v>0</v>
      </c>
      <c r="HM1312" s="151">
        <f t="shared" si="1328"/>
        <v>0</v>
      </c>
      <c r="HN1312" s="185" t="s">
        <v>699</v>
      </c>
      <c r="HO1312" s="185" t="s">
        <v>699</v>
      </c>
      <c r="HP1312" s="185" t="s">
        <v>699</v>
      </c>
      <c r="HQ1312" s="185" t="s">
        <v>699</v>
      </c>
      <c r="HR1312" s="185" t="s">
        <v>699</v>
      </c>
      <c r="HS1312" s="185" t="s">
        <v>699</v>
      </c>
      <c r="HT1312" s="185" t="s">
        <v>699</v>
      </c>
      <c r="HU1312" s="185" t="s">
        <v>699</v>
      </c>
      <c r="HV1312" s="185" t="s">
        <v>699</v>
      </c>
      <c r="HW1312" s="185" t="s">
        <v>699</v>
      </c>
      <c r="HX1312" s="185" t="s">
        <v>699</v>
      </c>
      <c r="HY1312" s="185" t="s">
        <v>699</v>
      </c>
      <c r="HZ1312" s="185" t="s">
        <v>699</v>
      </c>
      <c r="IA1312" s="185" t="s">
        <v>699</v>
      </c>
      <c r="IB1312" s="185" t="s">
        <v>699</v>
      </c>
      <c r="IC1312" s="151">
        <f t="shared" ref="IC1312:IH1312" si="1329">IC1280+IC1296</f>
        <v>0</v>
      </c>
      <c r="ID1312" s="151">
        <f t="shared" si="1329"/>
        <v>0</v>
      </c>
      <c r="IE1312" s="151">
        <f t="shared" si="1329"/>
        <v>0</v>
      </c>
      <c r="IF1312" s="151">
        <f t="shared" si="1329"/>
        <v>0</v>
      </c>
      <c r="IG1312" s="151">
        <f t="shared" si="1329"/>
        <v>0</v>
      </c>
      <c r="IH1312" s="151">
        <f t="shared" si="1329"/>
        <v>0</v>
      </c>
      <c r="II1312" s="185" t="s">
        <v>699</v>
      </c>
      <c r="IJ1312" s="185" t="s">
        <v>699</v>
      </c>
      <c r="IK1312" s="185" t="s">
        <v>699</v>
      </c>
      <c r="IL1312" s="185" t="s">
        <v>699</v>
      </c>
      <c r="IM1312" s="185" t="s">
        <v>699</v>
      </c>
      <c r="IN1312" s="185" t="s">
        <v>699</v>
      </c>
      <c r="IO1312" s="185" t="s">
        <v>699</v>
      </c>
      <c r="IP1312" s="185" t="s">
        <v>699</v>
      </c>
      <c r="IQ1312" s="185" t="s">
        <v>699</v>
      </c>
      <c r="IR1312" s="185" t="s">
        <v>699</v>
      </c>
      <c r="IS1312" s="185" t="s">
        <v>699</v>
      </c>
      <c r="IT1312" s="185" t="s">
        <v>699</v>
      </c>
      <c r="IU1312" s="185" t="s">
        <v>699</v>
      </c>
      <c r="IV1312" s="185" t="s">
        <v>699</v>
      </c>
      <c r="IW1312" s="185" t="s">
        <v>699</v>
      </c>
      <c r="IX1312" s="151">
        <f t="shared" ref="IX1312:JC1312" si="1330">IX1280+IX1296</f>
        <v>0</v>
      </c>
      <c r="IY1312" s="151">
        <f t="shared" si="1330"/>
        <v>0</v>
      </c>
      <c r="IZ1312" s="151">
        <f t="shared" si="1330"/>
        <v>0</v>
      </c>
      <c r="JA1312" s="151">
        <f t="shared" si="1330"/>
        <v>0</v>
      </c>
      <c r="JB1312" s="151">
        <f t="shared" si="1330"/>
        <v>0</v>
      </c>
      <c r="JC1312" s="151">
        <f t="shared" si="1330"/>
        <v>0</v>
      </c>
      <c r="JD1312" s="185" t="s">
        <v>699</v>
      </c>
      <c r="JE1312" s="185" t="s">
        <v>699</v>
      </c>
      <c r="JF1312" s="185" t="s">
        <v>699</v>
      </c>
      <c r="JG1312" s="185" t="s">
        <v>699</v>
      </c>
      <c r="JH1312" s="185" t="s">
        <v>699</v>
      </c>
      <c r="JI1312" s="185" t="s">
        <v>699</v>
      </c>
      <c r="JJ1312" s="185" t="s">
        <v>699</v>
      </c>
      <c r="JK1312" s="185" t="s">
        <v>699</v>
      </c>
      <c r="JL1312" s="185" t="s">
        <v>699</v>
      </c>
      <c r="JM1312" s="185" t="s">
        <v>699</v>
      </c>
      <c r="JN1312" s="185" t="s">
        <v>699</v>
      </c>
      <c r="JO1312" s="185" t="s">
        <v>699</v>
      </c>
      <c r="JP1312" s="185" t="s">
        <v>699</v>
      </c>
      <c r="JQ1312" s="185" t="s">
        <v>699</v>
      </c>
      <c r="JR1312" s="185" t="s">
        <v>699</v>
      </c>
      <c r="JS1312" s="151">
        <f t="shared" ref="JS1312:JX1312" si="1331">JS1280+JS1296</f>
        <v>0</v>
      </c>
      <c r="JT1312" s="151">
        <f t="shared" si="1331"/>
        <v>0</v>
      </c>
      <c r="JU1312" s="151">
        <f t="shared" si="1331"/>
        <v>0</v>
      </c>
      <c r="JV1312" s="151">
        <f t="shared" si="1331"/>
        <v>0</v>
      </c>
      <c r="JW1312" s="151">
        <f t="shared" si="1331"/>
        <v>0</v>
      </c>
      <c r="JX1312" s="151">
        <f t="shared" si="1331"/>
        <v>0</v>
      </c>
      <c r="JY1312" s="185" t="s">
        <v>699</v>
      </c>
      <c r="JZ1312" s="185" t="s">
        <v>699</v>
      </c>
      <c r="KA1312" s="185" t="s">
        <v>699</v>
      </c>
      <c r="KB1312" s="185" t="s">
        <v>699</v>
      </c>
      <c r="KC1312" s="185" t="s">
        <v>699</v>
      </c>
      <c r="KD1312" s="185" t="s">
        <v>699</v>
      </c>
      <c r="KE1312" s="185" t="s">
        <v>699</v>
      </c>
      <c r="KF1312" s="185" t="s">
        <v>699</v>
      </c>
      <c r="KG1312" s="185" t="s">
        <v>699</v>
      </c>
      <c r="KH1312" s="185" t="s">
        <v>699</v>
      </c>
      <c r="KI1312" s="185" t="s">
        <v>699</v>
      </c>
      <c r="KJ1312" s="185" t="s">
        <v>699</v>
      </c>
      <c r="KK1312" s="185" t="s">
        <v>699</v>
      </c>
      <c r="KL1312" s="185" t="s">
        <v>699</v>
      </c>
      <c r="KM1312" s="185" t="s">
        <v>699</v>
      </c>
      <c r="KN1312" s="151">
        <f t="shared" ref="KN1312:KS1312" si="1332">KN1280+KN1296</f>
        <v>0</v>
      </c>
      <c r="KO1312" s="151">
        <f t="shared" si="1332"/>
        <v>0</v>
      </c>
      <c r="KP1312" s="151">
        <f t="shared" si="1332"/>
        <v>0</v>
      </c>
      <c r="KQ1312" s="151">
        <f t="shared" si="1332"/>
        <v>0</v>
      </c>
      <c r="KR1312" s="151">
        <f t="shared" si="1332"/>
        <v>0</v>
      </c>
      <c r="KS1312" s="151">
        <f t="shared" si="1332"/>
        <v>0</v>
      </c>
      <c r="KT1312" s="185" t="s">
        <v>699</v>
      </c>
      <c r="KU1312" s="185" t="s">
        <v>699</v>
      </c>
      <c r="KV1312" s="185" t="s">
        <v>699</v>
      </c>
      <c r="KW1312" s="185" t="s">
        <v>699</v>
      </c>
      <c r="KX1312" s="185" t="s">
        <v>699</v>
      </c>
      <c r="KY1312" s="185" t="s">
        <v>699</v>
      </c>
      <c r="KZ1312" s="185" t="s">
        <v>699</v>
      </c>
      <c r="LA1312" s="185" t="s">
        <v>699</v>
      </c>
      <c r="LB1312" s="185" t="s">
        <v>699</v>
      </c>
      <c r="LC1312" s="185" t="s">
        <v>699</v>
      </c>
      <c r="LD1312" s="185" t="s">
        <v>699</v>
      </c>
      <c r="LE1312" s="185" t="s">
        <v>699</v>
      </c>
      <c r="LF1312" s="185" t="s">
        <v>699</v>
      </c>
      <c r="LG1312" s="185" t="s">
        <v>699</v>
      </c>
      <c r="LH1312" s="185" t="s">
        <v>699</v>
      </c>
      <c r="LI1312" s="151">
        <f t="shared" ref="LI1312:LN1312" si="1333">LI1280+LI1296</f>
        <v>0</v>
      </c>
      <c r="LJ1312" s="151">
        <f t="shared" si="1333"/>
        <v>0</v>
      </c>
      <c r="LK1312" s="151">
        <f t="shared" si="1333"/>
        <v>0</v>
      </c>
      <c r="LL1312" s="151">
        <f t="shared" si="1333"/>
        <v>0</v>
      </c>
      <c r="LM1312" s="151">
        <f t="shared" si="1333"/>
        <v>0</v>
      </c>
      <c r="LN1312" s="151">
        <f t="shared" si="1333"/>
        <v>0</v>
      </c>
      <c r="LO1312" s="185" t="s">
        <v>699</v>
      </c>
      <c r="LP1312" s="185" t="s">
        <v>699</v>
      </c>
      <c r="LQ1312" s="185" t="s">
        <v>699</v>
      </c>
      <c r="LR1312" s="185" t="s">
        <v>699</v>
      </c>
      <c r="LS1312" s="185" t="s">
        <v>699</v>
      </c>
      <c r="LT1312" s="185" t="s">
        <v>699</v>
      </c>
      <c r="LU1312" s="185" t="s">
        <v>699</v>
      </c>
      <c r="LV1312" s="185" t="s">
        <v>699</v>
      </c>
      <c r="LW1312" s="185" t="s">
        <v>699</v>
      </c>
      <c r="LX1312" s="185" t="s">
        <v>699</v>
      </c>
      <c r="LY1312" s="185" t="s">
        <v>699</v>
      </c>
      <c r="LZ1312" s="185" t="s">
        <v>699</v>
      </c>
      <c r="MA1312" s="185" t="s">
        <v>699</v>
      </c>
      <c r="MB1312" s="185" t="s">
        <v>699</v>
      </c>
      <c r="MC1312" s="185" t="s">
        <v>699</v>
      </c>
      <c r="MD1312" s="151">
        <f t="shared" ref="MD1312:MI1312" si="1334">MD1280+MD1296</f>
        <v>0</v>
      </c>
      <c r="ME1312" s="151">
        <f t="shared" si="1334"/>
        <v>0</v>
      </c>
      <c r="MF1312" s="151">
        <f t="shared" si="1334"/>
        <v>0</v>
      </c>
      <c r="MG1312" s="151">
        <f t="shared" si="1334"/>
        <v>0</v>
      </c>
      <c r="MH1312" s="151">
        <f t="shared" si="1334"/>
        <v>0</v>
      </c>
      <c r="MI1312" s="151">
        <f t="shared" si="1334"/>
        <v>0</v>
      </c>
      <c r="MJ1312" s="185" t="s">
        <v>699</v>
      </c>
      <c r="MK1312" s="185" t="s">
        <v>699</v>
      </c>
      <c r="ML1312" s="185" t="s">
        <v>699</v>
      </c>
      <c r="MM1312" s="185" t="s">
        <v>699</v>
      </c>
      <c r="MN1312" s="185" t="s">
        <v>699</v>
      </c>
      <c r="MO1312" s="185" t="s">
        <v>699</v>
      </c>
      <c r="MP1312" s="185" t="s">
        <v>699</v>
      </c>
      <c r="MQ1312" s="185" t="s">
        <v>699</v>
      </c>
      <c r="MR1312" s="185" t="s">
        <v>699</v>
      </c>
      <c r="MS1312" s="185" t="s">
        <v>699</v>
      </c>
      <c r="MT1312" s="185" t="s">
        <v>699</v>
      </c>
      <c r="MU1312" s="185" t="s">
        <v>699</v>
      </c>
      <c r="MV1312" s="185" t="s">
        <v>699</v>
      </c>
      <c r="MW1312" s="185" t="s">
        <v>699</v>
      </c>
      <c r="MX1312" s="185" t="s">
        <v>699</v>
      </c>
      <c r="MY1312" s="151">
        <f t="shared" ref="MY1312:ND1312" si="1335">MY1280+MY1296</f>
        <v>0</v>
      </c>
      <c r="MZ1312" s="151">
        <f t="shared" si="1335"/>
        <v>0</v>
      </c>
      <c r="NA1312" s="151">
        <f t="shared" si="1335"/>
        <v>0</v>
      </c>
      <c r="NB1312" s="151">
        <f t="shared" si="1335"/>
        <v>0</v>
      </c>
      <c r="NC1312" s="151">
        <f t="shared" si="1335"/>
        <v>0</v>
      </c>
      <c r="ND1312" s="151">
        <f t="shared" si="1335"/>
        <v>0</v>
      </c>
      <c r="NE1312" s="185" t="s">
        <v>699</v>
      </c>
      <c r="NF1312" s="185" t="s">
        <v>699</v>
      </c>
      <c r="NG1312" s="185" t="s">
        <v>699</v>
      </c>
      <c r="NH1312" s="185" t="s">
        <v>699</v>
      </c>
      <c r="NI1312" s="185" t="s">
        <v>699</v>
      </c>
      <c r="NJ1312" s="185" t="s">
        <v>699</v>
      </c>
      <c r="NK1312" s="185" t="s">
        <v>699</v>
      </c>
      <c r="NL1312" s="185" t="s">
        <v>699</v>
      </c>
      <c r="NM1312" s="185" t="s">
        <v>699</v>
      </c>
      <c r="NN1312" s="185" t="s">
        <v>699</v>
      </c>
      <c r="NO1312" s="185" t="s">
        <v>699</v>
      </c>
      <c r="NP1312" s="185" t="s">
        <v>699</v>
      </c>
      <c r="NQ1312" s="185" t="s">
        <v>699</v>
      </c>
      <c r="NR1312" s="185" t="s">
        <v>699</v>
      </c>
      <c r="NS1312" s="185" t="s">
        <v>699</v>
      </c>
      <c r="NT1312" s="151">
        <f t="shared" ref="NT1312:NY1312" si="1336">NT1280+NT1296</f>
        <v>0</v>
      </c>
      <c r="NU1312" s="151">
        <f t="shared" si="1336"/>
        <v>0</v>
      </c>
      <c r="NV1312" s="151">
        <f t="shared" si="1336"/>
        <v>0</v>
      </c>
      <c r="NW1312" s="151">
        <f t="shared" si="1336"/>
        <v>0</v>
      </c>
      <c r="NX1312" s="151">
        <f t="shared" si="1336"/>
        <v>0</v>
      </c>
      <c r="NY1312" s="151">
        <f t="shared" si="1336"/>
        <v>0</v>
      </c>
      <c r="NZ1312" s="185" t="s">
        <v>699</v>
      </c>
      <c r="OA1312" s="185" t="s">
        <v>699</v>
      </c>
      <c r="OB1312" s="185" t="s">
        <v>699</v>
      </c>
      <c r="OC1312" s="185" t="s">
        <v>699</v>
      </c>
      <c r="OD1312" s="185" t="s">
        <v>699</v>
      </c>
      <c r="OE1312" s="185" t="s">
        <v>699</v>
      </c>
      <c r="OF1312" s="185" t="s">
        <v>699</v>
      </c>
      <c r="OG1312" s="185" t="s">
        <v>699</v>
      </c>
      <c r="OH1312" s="185" t="s">
        <v>699</v>
      </c>
      <c r="OI1312" s="185" t="s">
        <v>699</v>
      </c>
      <c r="OJ1312" s="185" t="s">
        <v>699</v>
      </c>
      <c r="OK1312" s="185" t="s">
        <v>699</v>
      </c>
      <c r="OL1312" s="185" t="s">
        <v>699</v>
      </c>
      <c r="OM1312" s="185" t="s">
        <v>699</v>
      </c>
      <c r="ON1312" s="185" t="s">
        <v>699</v>
      </c>
      <c r="OO1312" s="151">
        <f t="shared" ref="OO1312:OT1312" si="1337">OO1280+OO1296</f>
        <v>0</v>
      </c>
      <c r="OP1312" s="151">
        <f t="shared" si="1337"/>
        <v>0</v>
      </c>
      <c r="OQ1312" s="151">
        <f t="shared" si="1337"/>
        <v>0</v>
      </c>
      <c r="OR1312" s="151">
        <f t="shared" si="1337"/>
        <v>0</v>
      </c>
      <c r="OS1312" s="151">
        <f t="shared" si="1337"/>
        <v>0</v>
      </c>
      <c r="OT1312" s="151">
        <f t="shared" si="1337"/>
        <v>0</v>
      </c>
      <c r="OU1312" s="185" t="s">
        <v>699</v>
      </c>
      <c r="OV1312" s="185" t="s">
        <v>699</v>
      </c>
      <c r="OW1312" s="185" t="s">
        <v>699</v>
      </c>
      <c r="OX1312" s="185" t="s">
        <v>699</v>
      </c>
      <c r="OY1312" s="185" t="s">
        <v>699</v>
      </c>
      <c r="OZ1312" s="185" t="s">
        <v>699</v>
      </c>
      <c r="PA1312" s="185" t="s">
        <v>699</v>
      </c>
      <c r="PB1312" s="185" t="s">
        <v>699</v>
      </c>
      <c r="PC1312" s="185" t="s">
        <v>699</v>
      </c>
      <c r="PD1312" s="185" t="s">
        <v>699</v>
      </c>
      <c r="PE1312" s="185" t="s">
        <v>699</v>
      </c>
      <c r="PF1312" s="185" t="s">
        <v>699</v>
      </c>
      <c r="PG1312" s="185" t="s">
        <v>699</v>
      </c>
      <c r="PH1312" s="185" t="s">
        <v>699</v>
      </c>
      <c r="PI1312" s="185" t="s">
        <v>699</v>
      </c>
      <c r="PJ1312" s="151">
        <f t="shared" ref="PJ1312:PO1312" si="1338">PJ1280+PJ1296</f>
        <v>0</v>
      </c>
      <c r="PK1312" s="151">
        <f t="shared" si="1338"/>
        <v>0</v>
      </c>
      <c r="PL1312" s="151">
        <f t="shared" si="1338"/>
        <v>0</v>
      </c>
      <c r="PM1312" s="151">
        <f t="shared" si="1338"/>
        <v>0</v>
      </c>
      <c r="PN1312" s="151">
        <f t="shared" si="1338"/>
        <v>0</v>
      </c>
      <c r="PO1312" s="151">
        <f t="shared" si="1338"/>
        <v>0</v>
      </c>
      <c r="PP1312" s="185" t="s">
        <v>699</v>
      </c>
      <c r="PQ1312" s="185" t="s">
        <v>699</v>
      </c>
      <c r="PR1312" s="185" t="s">
        <v>699</v>
      </c>
      <c r="PS1312" s="185" t="s">
        <v>699</v>
      </c>
      <c r="PT1312" s="185" t="s">
        <v>699</v>
      </c>
      <c r="PU1312" s="185" t="s">
        <v>699</v>
      </c>
      <c r="PV1312" s="185" t="s">
        <v>699</v>
      </c>
      <c r="PW1312" s="185" t="s">
        <v>699</v>
      </c>
      <c r="PX1312" s="185" t="s">
        <v>699</v>
      </c>
      <c r="PY1312" s="185" t="s">
        <v>699</v>
      </c>
      <c r="PZ1312" s="185" t="s">
        <v>699</v>
      </c>
      <c r="QA1312" s="185" t="s">
        <v>699</v>
      </c>
      <c r="QB1312" s="185" t="s">
        <v>699</v>
      </c>
      <c r="QC1312" s="185" t="s">
        <v>699</v>
      </c>
      <c r="QD1312" s="185" t="s">
        <v>699</v>
      </c>
      <c r="QE1312" s="151">
        <f t="shared" ref="QE1312:QJ1312" si="1339">QE1280+QE1296</f>
        <v>0</v>
      </c>
      <c r="QF1312" s="151">
        <f t="shared" si="1339"/>
        <v>0</v>
      </c>
      <c r="QG1312" s="151">
        <f t="shared" si="1339"/>
        <v>0</v>
      </c>
      <c r="QH1312" s="151">
        <f t="shared" si="1339"/>
        <v>0</v>
      </c>
      <c r="QI1312" s="151">
        <f t="shared" si="1339"/>
        <v>0</v>
      </c>
      <c r="QJ1312" s="151">
        <f t="shared" si="1339"/>
        <v>0</v>
      </c>
      <c r="QK1312" s="185" t="s">
        <v>699</v>
      </c>
      <c r="QL1312" s="185" t="s">
        <v>699</v>
      </c>
      <c r="QM1312" s="185" t="s">
        <v>699</v>
      </c>
      <c r="QN1312" s="185" t="s">
        <v>699</v>
      </c>
      <c r="QO1312" s="185" t="s">
        <v>699</v>
      </c>
      <c r="QP1312" s="185" t="s">
        <v>699</v>
      </c>
      <c r="QQ1312" s="185" t="s">
        <v>699</v>
      </c>
      <c r="QR1312" s="185" t="s">
        <v>699</v>
      </c>
      <c r="QS1312" s="185" t="s">
        <v>699</v>
      </c>
      <c r="QT1312" s="185" t="s">
        <v>699</v>
      </c>
      <c r="QU1312" s="185" t="s">
        <v>699</v>
      </c>
      <c r="QV1312" s="185" t="s">
        <v>699</v>
      </c>
      <c r="QW1312" s="185" t="s">
        <v>699</v>
      </c>
      <c r="QX1312" s="185" t="s">
        <v>699</v>
      </c>
      <c r="QY1312" s="185" t="s">
        <v>699</v>
      </c>
      <c r="QZ1312" s="151">
        <f t="shared" ref="QZ1312:RE1312" si="1340">QZ1280+QZ1296</f>
        <v>0</v>
      </c>
      <c r="RA1312" s="151">
        <f t="shared" si="1340"/>
        <v>0</v>
      </c>
      <c r="RB1312" s="151">
        <f t="shared" si="1340"/>
        <v>0</v>
      </c>
      <c r="RC1312" s="151">
        <f t="shared" si="1340"/>
        <v>0</v>
      </c>
      <c r="RD1312" s="151">
        <f t="shared" si="1340"/>
        <v>0</v>
      </c>
      <c r="RE1312" s="151">
        <f t="shared" si="1340"/>
        <v>0</v>
      </c>
      <c r="RF1312" s="185" t="s">
        <v>699</v>
      </c>
      <c r="RG1312" s="185" t="s">
        <v>699</v>
      </c>
      <c r="RH1312" s="185" t="s">
        <v>699</v>
      </c>
      <c r="RI1312" s="185" t="s">
        <v>699</v>
      </c>
      <c r="RJ1312" s="185" t="s">
        <v>699</v>
      </c>
      <c r="RK1312" s="185" t="s">
        <v>699</v>
      </c>
      <c r="RL1312" s="185" t="s">
        <v>699</v>
      </c>
      <c r="RM1312" s="185" t="s">
        <v>699</v>
      </c>
      <c r="RN1312" s="185" t="s">
        <v>699</v>
      </c>
      <c r="RO1312" s="185" t="s">
        <v>699</v>
      </c>
      <c r="RP1312" s="185" t="s">
        <v>699</v>
      </c>
      <c r="RQ1312" s="185" t="s">
        <v>699</v>
      </c>
      <c r="RR1312" s="185" t="s">
        <v>699</v>
      </c>
      <c r="RS1312" s="185" t="s">
        <v>699</v>
      </c>
      <c r="RT1312" s="185" t="s">
        <v>699</v>
      </c>
      <c r="RU1312" s="151">
        <f t="shared" ref="RU1312:RZ1312" si="1341">RU1280+RU1296</f>
        <v>0</v>
      </c>
      <c r="RV1312" s="151">
        <f t="shared" si="1341"/>
        <v>0</v>
      </c>
      <c r="RW1312" s="151">
        <f t="shared" si="1341"/>
        <v>0</v>
      </c>
      <c r="RX1312" s="151">
        <f t="shared" si="1341"/>
        <v>0</v>
      </c>
      <c r="RY1312" s="151">
        <f t="shared" si="1341"/>
        <v>0</v>
      </c>
      <c r="RZ1312" s="151">
        <f t="shared" si="1341"/>
        <v>0</v>
      </c>
      <c r="SA1312" s="185" t="s">
        <v>699</v>
      </c>
      <c r="SB1312" s="185" t="s">
        <v>699</v>
      </c>
      <c r="SC1312" s="185" t="s">
        <v>699</v>
      </c>
      <c r="SD1312" s="185" t="s">
        <v>699</v>
      </c>
      <c r="SE1312" s="185" t="s">
        <v>699</v>
      </c>
      <c r="SF1312" s="185" t="s">
        <v>699</v>
      </c>
      <c r="SG1312" s="185" t="s">
        <v>699</v>
      </c>
      <c r="SH1312" s="185" t="s">
        <v>699</v>
      </c>
      <c r="SI1312" s="185" t="s">
        <v>699</v>
      </c>
      <c r="SJ1312" s="185" t="s">
        <v>699</v>
      </c>
      <c r="SK1312" s="185" t="s">
        <v>699</v>
      </c>
      <c r="SL1312" s="185" t="s">
        <v>699</v>
      </c>
      <c r="SM1312" s="185" t="s">
        <v>699</v>
      </c>
      <c r="SN1312" s="185" t="s">
        <v>699</v>
      </c>
      <c r="SO1312" s="185" t="s">
        <v>699</v>
      </c>
      <c r="SP1312" s="151">
        <f t="shared" ref="SP1312:SU1312" si="1342">SP1280+SP1296</f>
        <v>0</v>
      </c>
      <c r="SQ1312" s="151">
        <f t="shared" si="1342"/>
        <v>0</v>
      </c>
      <c r="SR1312" s="151">
        <f t="shared" si="1342"/>
        <v>0</v>
      </c>
      <c r="SS1312" s="151">
        <f t="shared" si="1342"/>
        <v>0</v>
      </c>
      <c r="ST1312" s="151">
        <f t="shared" si="1342"/>
        <v>0</v>
      </c>
      <c r="SU1312" s="151">
        <f t="shared" si="1342"/>
        <v>0</v>
      </c>
      <c r="SV1312" s="185" t="s">
        <v>699</v>
      </c>
      <c r="SW1312" s="185" t="s">
        <v>699</v>
      </c>
      <c r="SX1312" s="185" t="s">
        <v>699</v>
      </c>
      <c r="SY1312" s="185" t="s">
        <v>699</v>
      </c>
      <c r="SZ1312" s="185" t="s">
        <v>699</v>
      </c>
      <c r="TA1312" s="185" t="s">
        <v>699</v>
      </c>
      <c r="TB1312" s="185" t="s">
        <v>699</v>
      </c>
      <c r="TC1312" s="185" t="s">
        <v>699</v>
      </c>
      <c r="TD1312" s="185" t="s">
        <v>699</v>
      </c>
      <c r="TE1312" s="185" t="s">
        <v>699</v>
      </c>
      <c r="TF1312" s="185" t="s">
        <v>699</v>
      </c>
      <c r="TG1312" s="185" t="s">
        <v>699</v>
      </c>
      <c r="TH1312" s="185" t="s">
        <v>699</v>
      </c>
      <c r="TI1312" s="185" t="s">
        <v>699</v>
      </c>
      <c r="TJ1312" s="185" t="s">
        <v>699</v>
      </c>
      <c r="TK1312" s="151">
        <f t="shared" ref="TK1312:TP1312" si="1343">TK1280+TK1296</f>
        <v>0</v>
      </c>
      <c r="TL1312" s="151">
        <f t="shared" si="1343"/>
        <v>0</v>
      </c>
      <c r="TM1312" s="151">
        <f t="shared" si="1343"/>
        <v>0</v>
      </c>
      <c r="TN1312" s="151">
        <f t="shared" si="1343"/>
        <v>0</v>
      </c>
      <c r="TO1312" s="151">
        <f t="shared" si="1343"/>
        <v>0</v>
      </c>
      <c r="TP1312" s="151">
        <f t="shared" si="1343"/>
        <v>0</v>
      </c>
      <c r="TQ1312" s="185" t="s">
        <v>699</v>
      </c>
      <c r="TR1312" s="185" t="s">
        <v>699</v>
      </c>
      <c r="TS1312" s="185" t="s">
        <v>699</v>
      </c>
      <c r="TT1312" s="185" t="s">
        <v>699</v>
      </c>
      <c r="TU1312" s="185" t="s">
        <v>699</v>
      </c>
      <c r="TV1312" s="185" t="s">
        <v>699</v>
      </c>
      <c r="TW1312" s="185" t="s">
        <v>699</v>
      </c>
      <c r="TX1312" s="185" t="s">
        <v>699</v>
      </c>
      <c r="TY1312" s="185" t="s">
        <v>699</v>
      </c>
      <c r="TZ1312" s="185" t="s">
        <v>699</v>
      </c>
      <c r="UA1312" s="185" t="s">
        <v>699</v>
      </c>
      <c r="UB1312" s="185" t="s">
        <v>699</v>
      </c>
      <c r="UC1312" s="185" t="s">
        <v>699</v>
      </c>
      <c r="UD1312" s="185" t="s">
        <v>699</v>
      </c>
      <c r="UE1312" s="185" t="s">
        <v>699</v>
      </c>
      <c r="UF1312" s="151">
        <f t="shared" ref="UF1312:UK1312" si="1344">UF1280+UF1296</f>
        <v>0</v>
      </c>
      <c r="UG1312" s="151">
        <f t="shared" si="1344"/>
        <v>0</v>
      </c>
      <c r="UH1312" s="151">
        <f t="shared" si="1344"/>
        <v>0</v>
      </c>
      <c r="UI1312" s="151">
        <f t="shared" si="1344"/>
        <v>0</v>
      </c>
      <c r="UJ1312" s="151">
        <f t="shared" si="1344"/>
        <v>0</v>
      </c>
      <c r="UK1312" s="151">
        <f t="shared" si="1344"/>
        <v>0</v>
      </c>
      <c r="UL1312" s="185" t="s">
        <v>699</v>
      </c>
      <c r="UM1312" s="185" t="s">
        <v>699</v>
      </c>
      <c r="UN1312" s="185" t="s">
        <v>699</v>
      </c>
      <c r="UO1312" s="185" t="s">
        <v>699</v>
      </c>
      <c r="UP1312" s="185" t="s">
        <v>699</v>
      </c>
      <c r="UQ1312" s="185" t="s">
        <v>699</v>
      </c>
      <c r="UR1312" s="185" t="s">
        <v>699</v>
      </c>
      <c r="US1312" s="185" t="s">
        <v>699</v>
      </c>
      <c r="UT1312" s="185" t="s">
        <v>699</v>
      </c>
      <c r="UU1312" s="185" t="s">
        <v>699</v>
      </c>
      <c r="UV1312" s="185" t="s">
        <v>699</v>
      </c>
      <c r="UW1312" s="185" t="s">
        <v>699</v>
      </c>
      <c r="UX1312" s="185" t="s">
        <v>699</v>
      </c>
      <c r="UY1312" s="185" t="s">
        <v>699</v>
      </c>
      <c r="UZ1312" s="185" t="s">
        <v>699</v>
      </c>
      <c r="VA1312" s="151">
        <f t="shared" ref="VA1312:VF1312" si="1345">VA1280+VA1296</f>
        <v>3038299.85</v>
      </c>
      <c r="VB1312" s="151">
        <f t="shared" si="1345"/>
        <v>3191799.87</v>
      </c>
      <c r="VC1312" s="151">
        <f t="shared" si="1345"/>
        <v>3319600.01</v>
      </c>
      <c r="VD1312" s="151">
        <f t="shared" si="1345"/>
        <v>779400.06</v>
      </c>
      <c r="VE1312" s="151">
        <f t="shared" si="1345"/>
        <v>821199.84</v>
      </c>
      <c r="VF1312" s="151">
        <f t="shared" si="1345"/>
        <v>872699.81</v>
      </c>
      <c r="VG1312" s="185" t="s">
        <v>699</v>
      </c>
      <c r="VH1312" s="185" t="s">
        <v>699</v>
      </c>
      <c r="VI1312" s="185" t="s">
        <v>699</v>
      </c>
      <c r="VJ1312" s="185" t="s">
        <v>699</v>
      </c>
      <c r="VK1312" s="185" t="s">
        <v>699</v>
      </c>
      <c r="VL1312" s="185" t="s">
        <v>699</v>
      </c>
      <c r="VM1312" s="185" t="s">
        <v>699</v>
      </c>
      <c r="VN1312" s="185" t="s">
        <v>699</v>
      </c>
      <c r="VO1312" s="185" t="s">
        <v>699</v>
      </c>
      <c r="VP1312" s="185" t="s">
        <v>699</v>
      </c>
      <c r="VQ1312" s="185" t="s">
        <v>699</v>
      </c>
      <c r="VR1312" s="185" t="s">
        <v>699</v>
      </c>
      <c r="VS1312" s="185" t="s">
        <v>699</v>
      </c>
      <c r="VT1312" s="185" t="s">
        <v>699</v>
      </c>
      <c r="VU1312" s="185" t="s">
        <v>699</v>
      </c>
      <c r="VV1312" s="151">
        <f t="shared" ref="VV1312:WA1312" si="1346">VV1280+VV1296</f>
        <v>0</v>
      </c>
      <c r="VW1312" s="151">
        <f t="shared" si="1346"/>
        <v>0</v>
      </c>
      <c r="VX1312" s="151">
        <f t="shared" si="1346"/>
        <v>0</v>
      </c>
      <c r="VY1312" s="151">
        <f t="shared" si="1346"/>
        <v>0</v>
      </c>
      <c r="VZ1312" s="151">
        <f t="shared" si="1346"/>
        <v>0</v>
      </c>
      <c r="WA1312" s="151">
        <f t="shared" si="1346"/>
        <v>0</v>
      </c>
      <c r="WB1312" s="185" t="s">
        <v>699</v>
      </c>
      <c r="WC1312" s="185" t="s">
        <v>699</v>
      </c>
      <c r="WD1312" s="185" t="s">
        <v>699</v>
      </c>
      <c r="WE1312" s="185" t="s">
        <v>699</v>
      </c>
      <c r="WF1312" s="185" t="s">
        <v>699</v>
      </c>
      <c r="WG1312" s="185" t="s">
        <v>699</v>
      </c>
      <c r="WH1312" s="185" t="s">
        <v>699</v>
      </c>
      <c r="WI1312" s="185" t="s">
        <v>699</v>
      </c>
      <c r="WJ1312" s="185" t="s">
        <v>699</v>
      </c>
      <c r="WK1312" s="185" t="s">
        <v>699</v>
      </c>
      <c r="WL1312" s="185" t="s">
        <v>699</v>
      </c>
      <c r="WM1312" s="185" t="s">
        <v>699</v>
      </c>
      <c r="WN1312" s="185" t="s">
        <v>699</v>
      </c>
      <c r="WO1312" s="185" t="s">
        <v>699</v>
      </c>
      <c r="WP1312" s="185" t="s">
        <v>699</v>
      </c>
      <c r="WQ1312" s="151">
        <f t="shared" ref="WQ1312:WV1312" si="1347">WQ1280+WQ1296</f>
        <v>0</v>
      </c>
      <c r="WR1312" s="151">
        <f t="shared" si="1347"/>
        <v>0</v>
      </c>
      <c r="WS1312" s="151">
        <f t="shared" si="1347"/>
        <v>0</v>
      </c>
      <c r="WT1312" s="151">
        <f t="shared" si="1347"/>
        <v>0</v>
      </c>
      <c r="WU1312" s="151">
        <f t="shared" si="1347"/>
        <v>0</v>
      </c>
      <c r="WV1312" s="151">
        <f t="shared" si="1347"/>
        <v>0</v>
      </c>
      <c r="WW1312" s="185" t="s">
        <v>699</v>
      </c>
      <c r="WX1312" s="185" t="s">
        <v>699</v>
      </c>
      <c r="WY1312" s="185" t="s">
        <v>699</v>
      </c>
      <c r="WZ1312" s="185" t="s">
        <v>699</v>
      </c>
      <c r="XA1312" s="185" t="s">
        <v>699</v>
      </c>
      <c r="XB1312" s="185" t="s">
        <v>699</v>
      </c>
      <c r="XC1312" s="185" t="s">
        <v>699</v>
      </c>
      <c r="XD1312" s="185" t="s">
        <v>699</v>
      </c>
      <c r="XE1312" s="185" t="s">
        <v>699</v>
      </c>
      <c r="XF1312" s="185" t="s">
        <v>699</v>
      </c>
      <c r="XG1312" s="185" t="s">
        <v>699</v>
      </c>
      <c r="XH1312" s="185" t="s">
        <v>699</v>
      </c>
      <c r="XI1312" s="185" t="s">
        <v>699</v>
      </c>
      <c r="XJ1312" s="185" t="s">
        <v>699</v>
      </c>
      <c r="XK1312" s="185" t="s">
        <v>699</v>
      </c>
      <c r="XL1312" s="151">
        <f t="shared" ref="XL1312:XQ1312" si="1348">XL1280+XL1296</f>
        <v>0</v>
      </c>
      <c r="XM1312" s="151">
        <f t="shared" si="1348"/>
        <v>0</v>
      </c>
      <c r="XN1312" s="151">
        <f t="shared" si="1348"/>
        <v>0</v>
      </c>
      <c r="XO1312" s="151">
        <f t="shared" si="1348"/>
        <v>0</v>
      </c>
      <c r="XP1312" s="151">
        <f t="shared" si="1348"/>
        <v>0</v>
      </c>
      <c r="XQ1312" s="151">
        <f t="shared" si="1348"/>
        <v>0</v>
      </c>
      <c r="XR1312" s="185" t="s">
        <v>699</v>
      </c>
      <c r="XS1312" s="185" t="s">
        <v>699</v>
      </c>
      <c r="XT1312" s="185" t="s">
        <v>699</v>
      </c>
      <c r="XU1312" s="185" t="s">
        <v>699</v>
      </c>
      <c r="XV1312" s="185" t="s">
        <v>699</v>
      </c>
      <c r="XW1312" s="185" t="s">
        <v>699</v>
      </c>
      <c r="XX1312" s="185" t="s">
        <v>699</v>
      </c>
      <c r="XY1312" s="185" t="s">
        <v>699</v>
      </c>
      <c r="XZ1312" s="185" t="s">
        <v>699</v>
      </c>
      <c r="YA1312" s="185" t="s">
        <v>699</v>
      </c>
      <c r="YB1312" s="185" t="s">
        <v>699</v>
      </c>
      <c r="YC1312" s="185" t="s">
        <v>699</v>
      </c>
      <c r="YD1312" s="185" t="s">
        <v>699</v>
      </c>
      <c r="YE1312" s="185" t="s">
        <v>699</v>
      </c>
      <c r="YF1312" s="185" t="s">
        <v>699</v>
      </c>
      <c r="YG1312" s="151">
        <f t="shared" ref="YG1312:YL1312" si="1349">YG1280+YG1296</f>
        <v>0</v>
      </c>
      <c r="YH1312" s="151">
        <f t="shared" si="1349"/>
        <v>0</v>
      </c>
      <c r="YI1312" s="151">
        <f t="shared" si="1349"/>
        <v>0</v>
      </c>
      <c r="YJ1312" s="151">
        <f t="shared" si="1349"/>
        <v>0</v>
      </c>
      <c r="YK1312" s="151">
        <f t="shared" si="1349"/>
        <v>0</v>
      </c>
      <c r="YL1312" s="151">
        <f t="shared" si="1349"/>
        <v>0</v>
      </c>
      <c r="YM1312" s="185" t="s">
        <v>699</v>
      </c>
      <c r="YN1312" s="185" t="s">
        <v>699</v>
      </c>
      <c r="YO1312" s="185" t="s">
        <v>699</v>
      </c>
      <c r="YP1312" s="185" t="s">
        <v>699</v>
      </c>
      <c r="YQ1312" s="185" t="s">
        <v>699</v>
      </c>
      <c r="YR1312" s="185" t="s">
        <v>699</v>
      </c>
      <c r="YS1312" s="185" t="s">
        <v>699</v>
      </c>
      <c r="YT1312" s="185" t="s">
        <v>699</v>
      </c>
      <c r="YU1312" s="185" t="s">
        <v>699</v>
      </c>
      <c r="YV1312" s="185" t="s">
        <v>699</v>
      </c>
      <c r="YW1312" s="185" t="s">
        <v>699</v>
      </c>
      <c r="YX1312" s="185" t="s">
        <v>699</v>
      </c>
      <c r="YY1312" s="185" t="s">
        <v>699</v>
      </c>
      <c r="YZ1312" s="185" t="s">
        <v>699</v>
      </c>
      <c r="ZA1312" s="185" t="s">
        <v>699</v>
      </c>
      <c r="ZB1312" s="151">
        <f t="shared" ref="ZB1312:ZG1312" si="1350">ZB1280+ZB1296</f>
        <v>3038299.85</v>
      </c>
      <c r="ZC1312" s="151">
        <f t="shared" si="1350"/>
        <v>3191799.87</v>
      </c>
      <c r="ZD1312" s="151">
        <f t="shared" si="1350"/>
        <v>3319600.01</v>
      </c>
      <c r="ZE1312" s="151">
        <f t="shared" si="1350"/>
        <v>779400.06</v>
      </c>
      <c r="ZF1312" s="151">
        <f t="shared" si="1350"/>
        <v>821199.84</v>
      </c>
      <c r="ZG1312" s="151">
        <f t="shared" si="1350"/>
        <v>872699.81</v>
      </c>
    </row>
    <row r="1313" spans="1:683" s="168" customFormat="1" x14ac:dyDescent="0.25">
      <c r="A1313" s="165" t="s">
        <v>712</v>
      </c>
      <c r="B1313" s="335"/>
      <c r="C1313" s="164"/>
      <c r="D1313" s="165"/>
      <c r="E1313" s="166"/>
      <c r="F1313" s="167"/>
      <c r="G1313" s="167"/>
      <c r="H1313" s="167"/>
      <c r="I1313" s="167"/>
      <c r="J1313" s="167"/>
      <c r="K1313" s="167"/>
      <c r="L1313" s="167"/>
      <c r="M1313" s="167"/>
      <c r="N1313" s="167"/>
      <c r="O1313" s="167"/>
      <c r="P1313" s="167"/>
      <c r="Q1313" s="167"/>
      <c r="R1313" s="167"/>
      <c r="S1313" s="167"/>
      <c r="T1313" s="167"/>
      <c r="U1313" s="167"/>
      <c r="V1313" s="167"/>
      <c r="W1313" s="167"/>
      <c r="X1313" s="167"/>
      <c r="Y1313" s="167"/>
      <c r="Z1313" s="167"/>
      <c r="AA1313" s="167">
        <f t="shared" ref="AA1313:AF1313" si="1351">AA1315-AA1314-AA1312</f>
        <v>0</v>
      </c>
      <c r="AB1313" s="167">
        <f t="shared" si="1351"/>
        <v>0</v>
      </c>
      <c r="AC1313" s="167">
        <f t="shared" si="1351"/>
        <v>0</v>
      </c>
      <c r="AD1313" s="167">
        <f t="shared" si="1351"/>
        <v>0</v>
      </c>
      <c r="AE1313" s="167">
        <f t="shared" si="1351"/>
        <v>0</v>
      </c>
      <c r="AF1313" s="167">
        <f t="shared" si="1351"/>
        <v>0</v>
      </c>
      <c r="AG1313" s="167"/>
      <c r="AH1313" s="167"/>
      <c r="AI1313" s="167"/>
      <c r="AJ1313" s="167"/>
      <c r="AK1313" s="167"/>
      <c r="AL1313" s="167"/>
      <c r="AM1313" s="167"/>
      <c r="AN1313" s="167"/>
      <c r="AO1313" s="167"/>
      <c r="AP1313" s="167"/>
      <c r="AQ1313" s="167"/>
      <c r="AR1313" s="167"/>
      <c r="AS1313" s="167"/>
      <c r="AT1313" s="167"/>
      <c r="AU1313" s="167"/>
      <c r="AV1313" s="167">
        <f t="shared" ref="AV1313:BA1313" si="1352">AV1315-AV1314-AV1312</f>
        <v>0</v>
      </c>
      <c r="AW1313" s="167">
        <f t="shared" si="1352"/>
        <v>0</v>
      </c>
      <c r="AX1313" s="167">
        <f t="shared" si="1352"/>
        <v>0</v>
      </c>
      <c r="AY1313" s="167">
        <f t="shared" si="1352"/>
        <v>0</v>
      </c>
      <c r="AZ1313" s="167">
        <f t="shared" si="1352"/>
        <v>0</v>
      </c>
      <c r="BA1313" s="167">
        <f t="shared" si="1352"/>
        <v>0</v>
      </c>
      <c r="BB1313" s="167"/>
      <c r="BC1313" s="167"/>
      <c r="BD1313" s="167"/>
      <c r="BE1313" s="167"/>
      <c r="BF1313" s="167"/>
      <c r="BG1313" s="167"/>
      <c r="BH1313" s="167"/>
      <c r="BI1313" s="167"/>
      <c r="BJ1313" s="167"/>
      <c r="BK1313" s="167"/>
      <c r="BL1313" s="167"/>
      <c r="BM1313" s="167"/>
      <c r="BN1313" s="167"/>
      <c r="BO1313" s="167"/>
      <c r="BP1313" s="167"/>
      <c r="BQ1313" s="167">
        <f t="shared" ref="BQ1313:BV1313" si="1353">BQ1315-BQ1314-BQ1312</f>
        <v>0</v>
      </c>
      <c r="BR1313" s="167">
        <f t="shared" si="1353"/>
        <v>0</v>
      </c>
      <c r="BS1313" s="167">
        <f t="shared" si="1353"/>
        <v>0</v>
      </c>
      <c r="BT1313" s="167">
        <f t="shared" si="1353"/>
        <v>0</v>
      </c>
      <c r="BU1313" s="167">
        <f t="shared" si="1353"/>
        <v>0</v>
      </c>
      <c r="BV1313" s="167">
        <f t="shared" si="1353"/>
        <v>0</v>
      </c>
      <c r="BW1313" s="167"/>
      <c r="BX1313" s="167"/>
      <c r="BY1313" s="167"/>
      <c r="BZ1313" s="167"/>
      <c r="CA1313" s="167"/>
      <c r="CB1313" s="167"/>
      <c r="CC1313" s="167"/>
      <c r="CD1313" s="167"/>
      <c r="CE1313" s="167"/>
      <c r="CF1313" s="167"/>
      <c r="CG1313" s="167"/>
      <c r="CH1313" s="167"/>
      <c r="CI1313" s="167"/>
      <c r="CJ1313" s="167"/>
      <c r="CK1313" s="167"/>
      <c r="CL1313" s="167">
        <f t="shared" ref="CL1313:CQ1313" si="1354">CL1315-CL1314-CL1312</f>
        <v>0</v>
      </c>
      <c r="CM1313" s="167">
        <f t="shared" si="1354"/>
        <v>0</v>
      </c>
      <c r="CN1313" s="167">
        <f t="shared" si="1354"/>
        <v>0</v>
      </c>
      <c r="CO1313" s="167">
        <f t="shared" si="1354"/>
        <v>0</v>
      </c>
      <c r="CP1313" s="167">
        <f t="shared" si="1354"/>
        <v>0</v>
      </c>
      <c r="CQ1313" s="167">
        <f t="shared" si="1354"/>
        <v>0</v>
      </c>
      <c r="CR1313" s="167"/>
      <c r="CS1313" s="167"/>
      <c r="CT1313" s="167"/>
      <c r="CU1313" s="167"/>
      <c r="CV1313" s="167"/>
      <c r="CW1313" s="167"/>
      <c r="CX1313" s="167"/>
      <c r="CY1313" s="167"/>
      <c r="CZ1313" s="167"/>
      <c r="DA1313" s="167"/>
      <c r="DB1313" s="167"/>
      <c r="DC1313" s="167"/>
      <c r="DD1313" s="167"/>
      <c r="DE1313" s="167"/>
      <c r="DF1313" s="167"/>
      <c r="DG1313" s="167">
        <f t="shared" ref="DG1313:DL1313" si="1355">DG1315-DG1314-DG1312</f>
        <v>0</v>
      </c>
      <c r="DH1313" s="167">
        <f t="shared" si="1355"/>
        <v>0</v>
      </c>
      <c r="DI1313" s="167">
        <f t="shared" si="1355"/>
        <v>0</v>
      </c>
      <c r="DJ1313" s="167">
        <f t="shared" si="1355"/>
        <v>0</v>
      </c>
      <c r="DK1313" s="167">
        <f t="shared" si="1355"/>
        <v>0</v>
      </c>
      <c r="DL1313" s="167">
        <f t="shared" si="1355"/>
        <v>0</v>
      </c>
      <c r="DM1313" s="167"/>
      <c r="DN1313" s="167"/>
      <c r="DO1313" s="167"/>
      <c r="DP1313" s="167"/>
      <c r="DQ1313" s="167"/>
      <c r="DR1313" s="167"/>
      <c r="DS1313" s="167"/>
      <c r="DT1313" s="167"/>
      <c r="DU1313" s="167"/>
      <c r="DV1313" s="167"/>
      <c r="DW1313" s="167"/>
      <c r="DX1313" s="167"/>
      <c r="DY1313" s="167"/>
      <c r="DZ1313" s="167"/>
      <c r="EA1313" s="167"/>
      <c r="EB1313" s="167">
        <f t="shared" ref="EB1313:EG1313" si="1356">EB1315-EB1314-EB1312</f>
        <v>0</v>
      </c>
      <c r="EC1313" s="167">
        <f t="shared" si="1356"/>
        <v>0</v>
      </c>
      <c r="ED1313" s="167">
        <f t="shared" si="1356"/>
        <v>0</v>
      </c>
      <c r="EE1313" s="167">
        <f t="shared" si="1356"/>
        <v>0</v>
      </c>
      <c r="EF1313" s="167">
        <f t="shared" si="1356"/>
        <v>0</v>
      </c>
      <c r="EG1313" s="167">
        <f t="shared" si="1356"/>
        <v>0</v>
      </c>
      <c r="EH1313" s="167"/>
      <c r="EI1313" s="167"/>
      <c r="EJ1313" s="167"/>
      <c r="EK1313" s="167"/>
      <c r="EL1313" s="167"/>
      <c r="EM1313" s="167"/>
      <c r="EN1313" s="167"/>
      <c r="EO1313" s="167"/>
      <c r="EP1313" s="167"/>
      <c r="EQ1313" s="167"/>
      <c r="ER1313" s="167"/>
      <c r="ES1313" s="167"/>
      <c r="ET1313" s="167"/>
      <c r="EU1313" s="167"/>
      <c r="EV1313" s="167"/>
      <c r="EW1313" s="167">
        <f t="shared" ref="EW1313:FB1313" si="1357">EW1315-EW1314-EW1312</f>
        <v>0</v>
      </c>
      <c r="EX1313" s="167">
        <f t="shared" si="1357"/>
        <v>0</v>
      </c>
      <c r="EY1313" s="167">
        <f t="shared" si="1357"/>
        <v>0</v>
      </c>
      <c r="EZ1313" s="167">
        <f t="shared" si="1357"/>
        <v>0</v>
      </c>
      <c r="FA1313" s="167">
        <f t="shared" si="1357"/>
        <v>0</v>
      </c>
      <c r="FB1313" s="167">
        <f t="shared" si="1357"/>
        <v>0</v>
      </c>
      <c r="FC1313" s="167"/>
      <c r="FD1313" s="167"/>
      <c r="FE1313" s="167"/>
      <c r="FF1313" s="167"/>
      <c r="FG1313" s="167"/>
      <c r="FH1313" s="167"/>
      <c r="FI1313" s="167"/>
      <c r="FJ1313" s="167"/>
      <c r="FK1313" s="167"/>
      <c r="FL1313" s="167"/>
      <c r="FM1313" s="167"/>
      <c r="FN1313" s="167"/>
      <c r="FO1313" s="167"/>
      <c r="FP1313" s="167"/>
      <c r="FQ1313" s="167"/>
      <c r="FR1313" s="167">
        <f t="shared" ref="FR1313:FW1313" si="1358">FR1315-FR1314-FR1312</f>
        <v>0</v>
      </c>
      <c r="FS1313" s="167">
        <f t="shared" si="1358"/>
        <v>0</v>
      </c>
      <c r="FT1313" s="167">
        <f t="shared" si="1358"/>
        <v>0</v>
      </c>
      <c r="FU1313" s="167">
        <f t="shared" si="1358"/>
        <v>0</v>
      </c>
      <c r="FV1313" s="167">
        <f t="shared" si="1358"/>
        <v>0</v>
      </c>
      <c r="FW1313" s="167">
        <f t="shared" si="1358"/>
        <v>0</v>
      </c>
      <c r="FX1313" s="167"/>
      <c r="FY1313" s="167"/>
      <c r="FZ1313" s="167"/>
      <c r="GA1313" s="167"/>
      <c r="GB1313" s="167"/>
      <c r="GC1313" s="167"/>
      <c r="GD1313" s="167"/>
      <c r="GE1313" s="167"/>
      <c r="GF1313" s="167"/>
      <c r="GG1313" s="167"/>
      <c r="GH1313" s="167"/>
      <c r="GI1313" s="167"/>
      <c r="GJ1313" s="167"/>
      <c r="GK1313" s="167"/>
      <c r="GL1313" s="167"/>
      <c r="GM1313" s="167">
        <f t="shared" ref="GM1313:GR1313" si="1359">GM1315-GM1314-GM1312</f>
        <v>0</v>
      </c>
      <c r="GN1313" s="167">
        <f t="shared" si="1359"/>
        <v>0</v>
      </c>
      <c r="GO1313" s="167">
        <f t="shared" si="1359"/>
        <v>0</v>
      </c>
      <c r="GP1313" s="167">
        <f t="shared" si="1359"/>
        <v>0</v>
      </c>
      <c r="GQ1313" s="167">
        <f t="shared" si="1359"/>
        <v>0</v>
      </c>
      <c r="GR1313" s="167">
        <f t="shared" si="1359"/>
        <v>0</v>
      </c>
      <c r="GS1313" s="167"/>
      <c r="GT1313" s="167"/>
      <c r="GU1313" s="167"/>
      <c r="GV1313" s="167"/>
      <c r="GW1313" s="167"/>
      <c r="GX1313" s="167"/>
      <c r="GY1313" s="167"/>
      <c r="GZ1313" s="167"/>
      <c r="HA1313" s="167"/>
      <c r="HB1313" s="167"/>
      <c r="HC1313" s="167"/>
      <c r="HD1313" s="167"/>
      <c r="HE1313" s="167"/>
      <c r="HF1313" s="167"/>
      <c r="HG1313" s="167"/>
      <c r="HH1313" s="167">
        <f t="shared" ref="HH1313:HM1313" si="1360">HH1315-HH1314-HH1312</f>
        <v>0</v>
      </c>
      <c r="HI1313" s="167">
        <f t="shared" si="1360"/>
        <v>0</v>
      </c>
      <c r="HJ1313" s="167">
        <f t="shared" si="1360"/>
        <v>0</v>
      </c>
      <c r="HK1313" s="167">
        <f t="shared" si="1360"/>
        <v>0</v>
      </c>
      <c r="HL1313" s="167">
        <f t="shared" si="1360"/>
        <v>0</v>
      </c>
      <c r="HM1313" s="167">
        <f t="shared" si="1360"/>
        <v>0</v>
      </c>
      <c r="HN1313" s="167"/>
      <c r="HO1313" s="167"/>
      <c r="HP1313" s="167"/>
      <c r="HQ1313" s="167"/>
      <c r="HR1313" s="167"/>
      <c r="HS1313" s="167"/>
      <c r="HT1313" s="167"/>
      <c r="HU1313" s="167"/>
      <c r="HV1313" s="167"/>
      <c r="HW1313" s="167"/>
      <c r="HX1313" s="167"/>
      <c r="HY1313" s="167"/>
      <c r="HZ1313" s="167"/>
      <c r="IA1313" s="167"/>
      <c r="IB1313" s="167"/>
      <c r="IC1313" s="167">
        <f t="shared" ref="IC1313:IH1313" si="1361">IC1315-IC1314-IC1312</f>
        <v>0</v>
      </c>
      <c r="ID1313" s="167">
        <f t="shared" si="1361"/>
        <v>0</v>
      </c>
      <c r="IE1313" s="167">
        <f t="shared" si="1361"/>
        <v>0</v>
      </c>
      <c r="IF1313" s="167">
        <f t="shared" si="1361"/>
        <v>0</v>
      </c>
      <c r="IG1313" s="167">
        <f t="shared" si="1361"/>
        <v>0</v>
      </c>
      <c r="IH1313" s="167">
        <f t="shared" si="1361"/>
        <v>0</v>
      </c>
      <c r="II1313" s="167"/>
      <c r="IJ1313" s="167"/>
      <c r="IK1313" s="167"/>
      <c r="IL1313" s="167"/>
      <c r="IM1313" s="167"/>
      <c r="IN1313" s="167"/>
      <c r="IO1313" s="167"/>
      <c r="IP1313" s="167"/>
      <c r="IQ1313" s="167"/>
      <c r="IR1313" s="167"/>
      <c r="IS1313" s="167"/>
      <c r="IT1313" s="167"/>
      <c r="IU1313" s="167"/>
      <c r="IV1313" s="167"/>
      <c r="IW1313" s="167"/>
      <c r="IX1313" s="167">
        <f t="shared" ref="IX1313:JC1313" si="1362">IX1315-IX1314-IX1312</f>
        <v>0</v>
      </c>
      <c r="IY1313" s="167">
        <f t="shared" si="1362"/>
        <v>0</v>
      </c>
      <c r="IZ1313" s="167">
        <f t="shared" si="1362"/>
        <v>0</v>
      </c>
      <c r="JA1313" s="167">
        <f t="shared" si="1362"/>
        <v>0</v>
      </c>
      <c r="JB1313" s="167">
        <f t="shared" si="1362"/>
        <v>0</v>
      </c>
      <c r="JC1313" s="167">
        <f t="shared" si="1362"/>
        <v>0</v>
      </c>
      <c r="JD1313" s="167"/>
      <c r="JE1313" s="167"/>
      <c r="JF1313" s="167"/>
      <c r="JG1313" s="167"/>
      <c r="JH1313" s="167"/>
      <c r="JI1313" s="167"/>
      <c r="JJ1313" s="167"/>
      <c r="JK1313" s="167"/>
      <c r="JL1313" s="167"/>
      <c r="JM1313" s="167"/>
      <c r="JN1313" s="167"/>
      <c r="JO1313" s="167"/>
      <c r="JP1313" s="167"/>
      <c r="JQ1313" s="167"/>
      <c r="JR1313" s="167"/>
      <c r="JS1313" s="167">
        <f t="shared" ref="JS1313:JX1313" si="1363">JS1315-JS1314-JS1312</f>
        <v>0</v>
      </c>
      <c r="JT1313" s="167">
        <f t="shared" si="1363"/>
        <v>0</v>
      </c>
      <c r="JU1313" s="167">
        <f t="shared" si="1363"/>
        <v>0</v>
      </c>
      <c r="JV1313" s="167">
        <f t="shared" si="1363"/>
        <v>0</v>
      </c>
      <c r="JW1313" s="167">
        <f t="shared" si="1363"/>
        <v>0</v>
      </c>
      <c r="JX1313" s="167">
        <f t="shared" si="1363"/>
        <v>0</v>
      </c>
      <c r="JY1313" s="167"/>
      <c r="JZ1313" s="167"/>
      <c r="KA1313" s="167"/>
      <c r="KB1313" s="167"/>
      <c r="KC1313" s="167"/>
      <c r="KD1313" s="167"/>
      <c r="KE1313" s="167"/>
      <c r="KF1313" s="167"/>
      <c r="KG1313" s="167"/>
      <c r="KH1313" s="167"/>
      <c r="KI1313" s="167"/>
      <c r="KJ1313" s="167"/>
      <c r="KK1313" s="167"/>
      <c r="KL1313" s="167"/>
      <c r="KM1313" s="167"/>
      <c r="KN1313" s="167">
        <f t="shared" ref="KN1313:KS1313" si="1364">KN1315-KN1314-KN1312</f>
        <v>0</v>
      </c>
      <c r="KO1313" s="167">
        <f t="shared" si="1364"/>
        <v>0</v>
      </c>
      <c r="KP1313" s="167">
        <f t="shared" si="1364"/>
        <v>0</v>
      </c>
      <c r="KQ1313" s="167">
        <f t="shared" si="1364"/>
        <v>0</v>
      </c>
      <c r="KR1313" s="167">
        <f t="shared" si="1364"/>
        <v>0</v>
      </c>
      <c r="KS1313" s="167">
        <f t="shared" si="1364"/>
        <v>0</v>
      </c>
      <c r="KT1313" s="167"/>
      <c r="KU1313" s="167"/>
      <c r="KV1313" s="167"/>
      <c r="KW1313" s="167"/>
      <c r="KX1313" s="167"/>
      <c r="KY1313" s="167"/>
      <c r="KZ1313" s="167"/>
      <c r="LA1313" s="167"/>
      <c r="LB1313" s="167"/>
      <c r="LC1313" s="167"/>
      <c r="LD1313" s="167"/>
      <c r="LE1313" s="167"/>
      <c r="LF1313" s="167"/>
      <c r="LG1313" s="167"/>
      <c r="LH1313" s="167"/>
      <c r="LI1313" s="167">
        <f t="shared" ref="LI1313:LN1313" si="1365">LI1315-LI1314-LI1312</f>
        <v>0</v>
      </c>
      <c r="LJ1313" s="167">
        <f t="shared" si="1365"/>
        <v>0</v>
      </c>
      <c r="LK1313" s="167">
        <f t="shared" si="1365"/>
        <v>0</v>
      </c>
      <c r="LL1313" s="167">
        <f t="shared" si="1365"/>
        <v>0</v>
      </c>
      <c r="LM1313" s="167">
        <f t="shared" si="1365"/>
        <v>0</v>
      </c>
      <c r="LN1313" s="167">
        <f t="shared" si="1365"/>
        <v>0</v>
      </c>
      <c r="LO1313" s="167"/>
      <c r="LP1313" s="167"/>
      <c r="LQ1313" s="167"/>
      <c r="LR1313" s="167"/>
      <c r="LS1313" s="167"/>
      <c r="LT1313" s="167"/>
      <c r="LU1313" s="167"/>
      <c r="LV1313" s="167"/>
      <c r="LW1313" s="167"/>
      <c r="LX1313" s="167"/>
      <c r="LY1313" s="167"/>
      <c r="LZ1313" s="167"/>
      <c r="MA1313" s="167"/>
      <c r="MB1313" s="167"/>
      <c r="MC1313" s="167"/>
      <c r="MD1313" s="167">
        <f t="shared" ref="MD1313:MI1313" si="1366">MD1315-MD1314-MD1312</f>
        <v>0</v>
      </c>
      <c r="ME1313" s="167">
        <f t="shared" si="1366"/>
        <v>0</v>
      </c>
      <c r="MF1313" s="167">
        <f t="shared" si="1366"/>
        <v>0</v>
      </c>
      <c r="MG1313" s="167">
        <f t="shared" si="1366"/>
        <v>0</v>
      </c>
      <c r="MH1313" s="167">
        <f t="shared" si="1366"/>
        <v>0</v>
      </c>
      <c r="MI1313" s="167">
        <f t="shared" si="1366"/>
        <v>0</v>
      </c>
      <c r="MJ1313" s="167"/>
      <c r="MK1313" s="167"/>
      <c r="ML1313" s="167"/>
      <c r="MM1313" s="167"/>
      <c r="MN1313" s="167"/>
      <c r="MO1313" s="167"/>
      <c r="MP1313" s="167"/>
      <c r="MQ1313" s="167"/>
      <c r="MR1313" s="167"/>
      <c r="MS1313" s="167"/>
      <c r="MT1313" s="167"/>
      <c r="MU1313" s="167"/>
      <c r="MV1313" s="167"/>
      <c r="MW1313" s="167"/>
      <c r="MX1313" s="167"/>
      <c r="MY1313" s="167">
        <f t="shared" ref="MY1313:ND1313" si="1367">MY1315-MY1314-MY1312</f>
        <v>0</v>
      </c>
      <c r="MZ1313" s="167">
        <f t="shared" si="1367"/>
        <v>0</v>
      </c>
      <c r="NA1313" s="167">
        <f t="shared" si="1367"/>
        <v>0</v>
      </c>
      <c r="NB1313" s="167">
        <f t="shared" si="1367"/>
        <v>0</v>
      </c>
      <c r="NC1313" s="167">
        <f t="shared" si="1367"/>
        <v>0</v>
      </c>
      <c r="ND1313" s="167">
        <f t="shared" si="1367"/>
        <v>0</v>
      </c>
      <c r="NE1313" s="167"/>
      <c r="NF1313" s="167"/>
      <c r="NG1313" s="167"/>
      <c r="NH1313" s="167"/>
      <c r="NI1313" s="167"/>
      <c r="NJ1313" s="167"/>
      <c r="NK1313" s="167"/>
      <c r="NL1313" s="167"/>
      <c r="NM1313" s="167"/>
      <c r="NN1313" s="167"/>
      <c r="NO1313" s="167"/>
      <c r="NP1313" s="167"/>
      <c r="NQ1313" s="167"/>
      <c r="NR1313" s="167"/>
      <c r="NS1313" s="167"/>
      <c r="NT1313" s="167">
        <f t="shared" ref="NT1313:NY1313" si="1368">NT1315-NT1314-NT1312</f>
        <v>0</v>
      </c>
      <c r="NU1313" s="167">
        <f t="shared" si="1368"/>
        <v>0</v>
      </c>
      <c r="NV1313" s="167">
        <f t="shared" si="1368"/>
        <v>0</v>
      </c>
      <c r="NW1313" s="167">
        <f t="shared" si="1368"/>
        <v>0</v>
      </c>
      <c r="NX1313" s="167">
        <f t="shared" si="1368"/>
        <v>0</v>
      </c>
      <c r="NY1313" s="167">
        <f t="shared" si="1368"/>
        <v>0</v>
      </c>
      <c r="NZ1313" s="167"/>
      <c r="OA1313" s="167"/>
      <c r="OB1313" s="167"/>
      <c r="OC1313" s="167"/>
      <c r="OD1313" s="167"/>
      <c r="OE1313" s="167"/>
      <c r="OF1313" s="167"/>
      <c r="OG1313" s="167"/>
      <c r="OH1313" s="167"/>
      <c r="OI1313" s="167"/>
      <c r="OJ1313" s="167"/>
      <c r="OK1313" s="167"/>
      <c r="OL1313" s="167"/>
      <c r="OM1313" s="167"/>
      <c r="ON1313" s="167"/>
      <c r="OO1313" s="167">
        <f t="shared" ref="OO1313:OT1313" si="1369">OO1315-OO1314-OO1312</f>
        <v>0</v>
      </c>
      <c r="OP1313" s="167">
        <f t="shared" si="1369"/>
        <v>0</v>
      </c>
      <c r="OQ1313" s="167">
        <f t="shared" si="1369"/>
        <v>0</v>
      </c>
      <c r="OR1313" s="167">
        <f t="shared" si="1369"/>
        <v>0</v>
      </c>
      <c r="OS1313" s="167">
        <f t="shared" si="1369"/>
        <v>0</v>
      </c>
      <c r="OT1313" s="167">
        <f t="shared" si="1369"/>
        <v>0</v>
      </c>
      <c r="OU1313" s="167"/>
      <c r="OV1313" s="167"/>
      <c r="OW1313" s="167"/>
      <c r="OX1313" s="167"/>
      <c r="OY1313" s="167"/>
      <c r="OZ1313" s="167"/>
      <c r="PA1313" s="167"/>
      <c r="PB1313" s="167"/>
      <c r="PC1313" s="167"/>
      <c r="PD1313" s="167"/>
      <c r="PE1313" s="167"/>
      <c r="PF1313" s="167"/>
      <c r="PG1313" s="167"/>
      <c r="PH1313" s="167"/>
      <c r="PI1313" s="167"/>
      <c r="PJ1313" s="167">
        <f t="shared" ref="PJ1313:PO1313" si="1370">PJ1315-PJ1314-PJ1312</f>
        <v>0</v>
      </c>
      <c r="PK1313" s="167">
        <f t="shared" si="1370"/>
        <v>0</v>
      </c>
      <c r="PL1313" s="167">
        <f t="shared" si="1370"/>
        <v>0</v>
      </c>
      <c r="PM1313" s="167">
        <f t="shared" si="1370"/>
        <v>0</v>
      </c>
      <c r="PN1313" s="167">
        <f t="shared" si="1370"/>
        <v>0</v>
      </c>
      <c r="PO1313" s="167">
        <f t="shared" si="1370"/>
        <v>0</v>
      </c>
      <c r="PP1313" s="167"/>
      <c r="PQ1313" s="167"/>
      <c r="PR1313" s="167"/>
      <c r="PS1313" s="167"/>
      <c r="PT1313" s="167"/>
      <c r="PU1313" s="167"/>
      <c r="PV1313" s="167"/>
      <c r="PW1313" s="167"/>
      <c r="PX1313" s="167"/>
      <c r="PY1313" s="167"/>
      <c r="PZ1313" s="167"/>
      <c r="QA1313" s="167"/>
      <c r="QB1313" s="167"/>
      <c r="QC1313" s="167"/>
      <c r="QD1313" s="167"/>
      <c r="QE1313" s="167">
        <f t="shared" ref="QE1313:QJ1313" si="1371">QE1315-QE1314-QE1312</f>
        <v>0</v>
      </c>
      <c r="QF1313" s="167">
        <f t="shared" si="1371"/>
        <v>0</v>
      </c>
      <c r="QG1313" s="167">
        <f t="shared" si="1371"/>
        <v>0</v>
      </c>
      <c r="QH1313" s="167">
        <f t="shared" si="1371"/>
        <v>0</v>
      </c>
      <c r="QI1313" s="167">
        <f t="shared" si="1371"/>
        <v>0</v>
      </c>
      <c r="QJ1313" s="167">
        <f t="shared" si="1371"/>
        <v>0</v>
      </c>
      <c r="QK1313" s="167"/>
      <c r="QL1313" s="167"/>
      <c r="QM1313" s="167"/>
      <c r="QN1313" s="167"/>
      <c r="QO1313" s="167"/>
      <c r="QP1313" s="167"/>
      <c r="QQ1313" s="167"/>
      <c r="QR1313" s="167"/>
      <c r="QS1313" s="167"/>
      <c r="QT1313" s="167"/>
      <c r="QU1313" s="167"/>
      <c r="QV1313" s="167"/>
      <c r="QW1313" s="167"/>
      <c r="QX1313" s="167"/>
      <c r="QY1313" s="167"/>
      <c r="QZ1313" s="167">
        <f t="shared" ref="QZ1313:RE1313" si="1372">QZ1315-QZ1314-QZ1312</f>
        <v>0</v>
      </c>
      <c r="RA1313" s="167">
        <f t="shared" si="1372"/>
        <v>0</v>
      </c>
      <c r="RB1313" s="167">
        <f t="shared" si="1372"/>
        <v>0</v>
      </c>
      <c r="RC1313" s="167">
        <f t="shared" si="1372"/>
        <v>0</v>
      </c>
      <c r="RD1313" s="167">
        <f t="shared" si="1372"/>
        <v>0</v>
      </c>
      <c r="RE1313" s="167">
        <f t="shared" si="1372"/>
        <v>0</v>
      </c>
      <c r="RF1313" s="167"/>
      <c r="RG1313" s="167"/>
      <c r="RH1313" s="167"/>
      <c r="RI1313" s="167"/>
      <c r="RJ1313" s="167"/>
      <c r="RK1313" s="167"/>
      <c r="RL1313" s="167"/>
      <c r="RM1313" s="167"/>
      <c r="RN1313" s="167"/>
      <c r="RO1313" s="167"/>
      <c r="RP1313" s="167"/>
      <c r="RQ1313" s="167"/>
      <c r="RR1313" s="167"/>
      <c r="RS1313" s="167"/>
      <c r="RT1313" s="167"/>
      <c r="RU1313" s="167">
        <f t="shared" ref="RU1313:RZ1313" si="1373">RU1315-RU1314-RU1312</f>
        <v>0</v>
      </c>
      <c r="RV1313" s="167">
        <f t="shared" si="1373"/>
        <v>0</v>
      </c>
      <c r="RW1313" s="167">
        <f t="shared" si="1373"/>
        <v>0</v>
      </c>
      <c r="RX1313" s="167">
        <f t="shared" si="1373"/>
        <v>0</v>
      </c>
      <c r="RY1313" s="167">
        <f t="shared" si="1373"/>
        <v>0</v>
      </c>
      <c r="RZ1313" s="167">
        <f t="shared" si="1373"/>
        <v>0</v>
      </c>
      <c r="SA1313" s="167"/>
      <c r="SB1313" s="167"/>
      <c r="SC1313" s="167"/>
      <c r="SD1313" s="167"/>
      <c r="SE1313" s="167"/>
      <c r="SF1313" s="167"/>
      <c r="SG1313" s="167"/>
      <c r="SH1313" s="167"/>
      <c r="SI1313" s="167"/>
      <c r="SJ1313" s="167"/>
      <c r="SK1313" s="167"/>
      <c r="SL1313" s="167"/>
      <c r="SM1313" s="167"/>
      <c r="SN1313" s="167"/>
      <c r="SO1313" s="167"/>
      <c r="SP1313" s="167">
        <f t="shared" ref="SP1313:SU1313" si="1374">SP1315-SP1314-SP1312</f>
        <v>0</v>
      </c>
      <c r="SQ1313" s="167">
        <f t="shared" si="1374"/>
        <v>0</v>
      </c>
      <c r="SR1313" s="167">
        <f t="shared" si="1374"/>
        <v>0</v>
      </c>
      <c r="SS1313" s="167">
        <f t="shared" si="1374"/>
        <v>0</v>
      </c>
      <c r="ST1313" s="167">
        <f t="shared" si="1374"/>
        <v>0</v>
      </c>
      <c r="SU1313" s="167">
        <f t="shared" si="1374"/>
        <v>0</v>
      </c>
      <c r="SV1313" s="167"/>
      <c r="SW1313" s="167"/>
      <c r="SX1313" s="167"/>
      <c r="SY1313" s="167"/>
      <c r="SZ1313" s="167"/>
      <c r="TA1313" s="167"/>
      <c r="TB1313" s="167"/>
      <c r="TC1313" s="167"/>
      <c r="TD1313" s="167"/>
      <c r="TE1313" s="167"/>
      <c r="TF1313" s="167"/>
      <c r="TG1313" s="167"/>
      <c r="TH1313" s="167"/>
      <c r="TI1313" s="167"/>
      <c r="TJ1313" s="167"/>
      <c r="TK1313" s="167">
        <f t="shared" ref="TK1313:TP1313" si="1375">TK1315-TK1314-TK1312</f>
        <v>0</v>
      </c>
      <c r="TL1313" s="167">
        <f t="shared" si="1375"/>
        <v>0</v>
      </c>
      <c r="TM1313" s="167">
        <f t="shared" si="1375"/>
        <v>0</v>
      </c>
      <c r="TN1313" s="167">
        <f t="shared" si="1375"/>
        <v>0</v>
      </c>
      <c r="TO1313" s="167">
        <f t="shared" si="1375"/>
        <v>0</v>
      </c>
      <c r="TP1313" s="167">
        <f t="shared" si="1375"/>
        <v>0</v>
      </c>
      <c r="TQ1313" s="167"/>
      <c r="TR1313" s="167"/>
      <c r="TS1313" s="167"/>
      <c r="TT1313" s="167"/>
      <c r="TU1313" s="167"/>
      <c r="TV1313" s="167"/>
      <c r="TW1313" s="167"/>
      <c r="TX1313" s="167"/>
      <c r="TY1313" s="167"/>
      <c r="TZ1313" s="167"/>
      <c r="UA1313" s="167"/>
      <c r="UB1313" s="167"/>
      <c r="UC1313" s="167"/>
      <c r="UD1313" s="167"/>
      <c r="UE1313" s="167"/>
      <c r="UF1313" s="167">
        <f t="shared" ref="UF1313:UK1313" si="1376">UF1315-UF1314-UF1312</f>
        <v>0</v>
      </c>
      <c r="UG1313" s="167">
        <f t="shared" si="1376"/>
        <v>0</v>
      </c>
      <c r="UH1313" s="167">
        <f t="shared" si="1376"/>
        <v>0</v>
      </c>
      <c r="UI1313" s="167">
        <f t="shared" si="1376"/>
        <v>0</v>
      </c>
      <c r="UJ1313" s="167">
        <f t="shared" si="1376"/>
        <v>0</v>
      </c>
      <c r="UK1313" s="167">
        <f t="shared" si="1376"/>
        <v>0</v>
      </c>
      <c r="UL1313" s="167"/>
      <c r="UM1313" s="167"/>
      <c r="UN1313" s="167"/>
      <c r="UO1313" s="167"/>
      <c r="UP1313" s="167"/>
      <c r="UQ1313" s="167"/>
      <c r="UR1313" s="167"/>
      <c r="US1313" s="167"/>
      <c r="UT1313" s="167"/>
      <c r="UU1313" s="167"/>
      <c r="UV1313" s="167"/>
      <c r="UW1313" s="167"/>
      <c r="UX1313" s="167"/>
      <c r="UY1313" s="167"/>
      <c r="UZ1313" s="167"/>
      <c r="VA1313" s="167">
        <f t="shared" ref="VA1313:VF1313" si="1377">VA1315-VA1314-VA1312</f>
        <v>0.15</v>
      </c>
      <c r="VB1313" s="167">
        <f t="shared" si="1377"/>
        <v>0.13</v>
      </c>
      <c r="VC1313" s="167">
        <f t="shared" si="1377"/>
        <v>-0.01</v>
      </c>
      <c r="VD1313" s="167">
        <f t="shared" si="1377"/>
        <v>-0.06</v>
      </c>
      <c r="VE1313" s="167">
        <f t="shared" si="1377"/>
        <v>0.16</v>
      </c>
      <c r="VF1313" s="167">
        <f t="shared" si="1377"/>
        <v>0.19</v>
      </c>
      <c r="VG1313" s="167"/>
      <c r="VH1313" s="167"/>
      <c r="VI1313" s="167"/>
      <c r="VJ1313" s="167"/>
      <c r="VK1313" s="167"/>
      <c r="VL1313" s="167"/>
      <c r="VM1313" s="167"/>
      <c r="VN1313" s="167"/>
      <c r="VO1313" s="167"/>
      <c r="VP1313" s="167"/>
      <c r="VQ1313" s="167"/>
      <c r="VR1313" s="167"/>
      <c r="VS1313" s="167"/>
      <c r="VT1313" s="167"/>
      <c r="VU1313" s="167"/>
      <c r="VV1313" s="167">
        <f t="shared" ref="VV1313:WA1313" si="1378">VV1315-VV1314-VV1312</f>
        <v>0</v>
      </c>
      <c r="VW1313" s="167">
        <f t="shared" si="1378"/>
        <v>0</v>
      </c>
      <c r="VX1313" s="167">
        <f t="shared" si="1378"/>
        <v>0</v>
      </c>
      <c r="VY1313" s="167">
        <f t="shared" si="1378"/>
        <v>0</v>
      </c>
      <c r="VZ1313" s="167">
        <f t="shared" si="1378"/>
        <v>0</v>
      </c>
      <c r="WA1313" s="167">
        <f t="shared" si="1378"/>
        <v>0</v>
      </c>
      <c r="WB1313" s="167"/>
      <c r="WC1313" s="167"/>
      <c r="WD1313" s="167"/>
      <c r="WE1313" s="167"/>
      <c r="WF1313" s="167"/>
      <c r="WG1313" s="167"/>
      <c r="WH1313" s="167"/>
      <c r="WI1313" s="167"/>
      <c r="WJ1313" s="167"/>
      <c r="WK1313" s="167"/>
      <c r="WL1313" s="167"/>
      <c r="WM1313" s="167"/>
      <c r="WN1313" s="167"/>
      <c r="WO1313" s="167"/>
      <c r="WP1313" s="167"/>
      <c r="WQ1313" s="167">
        <f t="shared" ref="WQ1313:WV1313" si="1379">WQ1315-WQ1314-WQ1312</f>
        <v>0</v>
      </c>
      <c r="WR1313" s="167">
        <f t="shared" si="1379"/>
        <v>0</v>
      </c>
      <c r="WS1313" s="167">
        <f t="shared" si="1379"/>
        <v>0</v>
      </c>
      <c r="WT1313" s="167">
        <f t="shared" si="1379"/>
        <v>0</v>
      </c>
      <c r="WU1313" s="167">
        <f t="shared" si="1379"/>
        <v>0</v>
      </c>
      <c r="WV1313" s="167">
        <f t="shared" si="1379"/>
        <v>0</v>
      </c>
      <c r="WW1313" s="167"/>
      <c r="WX1313" s="167"/>
      <c r="WY1313" s="167"/>
      <c r="WZ1313" s="167"/>
      <c r="XA1313" s="167"/>
      <c r="XB1313" s="167"/>
      <c r="XC1313" s="167"/>
      <c r="XD1313" s="167"/>
      <c r="XE1313" s="167"/>
      <c r="XF1313" s="167"/>
      <c r="XG1313" s="167"/>
      <c r="XH1313" s="167"/>
      <c r="XI1313" s="167"/>
      <c r="XJ1313" s="167"/>
      <c r="XK1313" s="167"/>
      <c r="XL1313" s="167">
        <f t="shared" ref="XL1313:XQ1313" si="1380">XL1315-XL1314-XL1312</f>
        <v>0</v>
      </c>
      <c r="XM1313" s="167">
        <f t="shared" si="1380"/>
        <v>0</v>
      </c>
      <c r="XN1313" s="167">
        <f t="shared" si="1380"/>
        <v>0</v>
      </c>
      <c r="XO1313" s="167">
        <f t="shared" si="1380"/>
        <v>0</v>
      </c>
      <c r="XP1313" s="167">
        <f t="shared" si="1380"/>
        <v>0</v>
      </c>
      <c r="XQ1313" s="167">
        <f t="shared" si="1380"/>
        <v>0</v>
      </c>
      <c r="XR1313" s="167"/>
      <c r="XS1313" s="167"/>
      <c r="XT1313" s="167"/>
      <c r="XU1313" s="167"/>
      <c r="XV1313" s="167"/>
      <c r="XW1313" s="167"/>
      <c r="XX1313" s="167"/>
      <c r="XY1313" s="167"/>
      <c r="XZ1313" s="167"/>
      <c r="YA1313" s="167"/>
      <c r="YB1313" s="167"/>
      <c r="YC1313" s="167"/>
      <c r="YD1313" s="167"/>
      <c r="YE1313" s="167"/>
      <c r="YF1313" s="167"/>
      <c r="YG1313" s="167">
        <f t="shared" ref="YG1313:YL1313" si="1381">YG1315-YG1314-YG1312</f>
        <v>0</v>
      </c>
      <c r="YH1313" s="167">
        <f t="shared" si="1381"/>
        <v>0</v>
      </c>
      <c r="YI1313" s="167">
        <f t="shared" si="1381"/>
        <v>0</v>
      </c>
      <c r="YJ1313" s="167">
        <f t="shared" si="1381"/>
        <v>0</v>
      </c>
      <c r="YK1313" s="167">
        <f t="shared" si="1381"/>
        <v>0</v>
      </c>
      <c r="YL1313" s="167">
        <f t="shared" si="1381"/>
        <v>0</v>
      </c>
      <c r="YM1313" s="167"/>
      <c r="YN1313" s="167"/>
      <c r="YO1313" s="167"/>
      <c r="YP1313" s="167"/>
      <c r="YQ1313" s="167"/>
      <c r="YR1313" s="167"/>
      <c r="YS1313" s="167"/>
      <c r="YT1313" s="167"/>
      <c r="YU1313" s="167"/>
      <c r="YV1313" s="167"/>
      <c r="YW1313" s="167"/>
      <c r="YX1313" s="167"/>
      <c r="YY1313" s="167"/>
      <c r="YZ1313" s="167"/>
      <c r="ZA1313" s="167"/>
      <c r="ZB1313" s="167">
        <f t="shared" ref="ZB1313:ZG1315" si="1382">AA1313+AV1313+BQ1313+CL1313+DG1313+EB1313+EW1313+FR1313+GM1313+HH1313+IC1313+IX1313+JS1313+KN1313+LI1313+MD1313+MY1313+NT1313+OO1313+PJ1313+QE1313+QZ1313+RU1313+SP1313+TK1313+UF1313+VA1313+VV1313+WQ1313+XL1313+YG1313</f>
        <v>0.15</v>
      </c>
      <c r="ZC1313" s="167">
        <f t="shared" si="1382"/>
        <v>0.13</v>
      </c>
      <c r="ZD1313" s="167">
        <f t="shared" si="1382"/>
        <v>-0.01</v>
      </c>
      <c r="ZE1313" s="167">
        <f t="shared" si="1382"/>
        <v>-0.06</v>
      </c>
      <c r="ZF1313" s="167">
        <f t="shared" si="1382"/>
        <v>0.16</v>
      </c>
      <c r="ZG1313" s="167">
        <f t="shared" si="1382"/>
        <v>0.19</v>
      </c>
    </row>
    <row r="1314" spans="1:683" ht="51.75" hidden="1" customHeight="1" x14ac:dyDescent="0.25">
      <c r="A1314" s="114" t="s">
        <v>713</v>
      </c>
      <c r="B1314" s="333"/>
      <c r="C1314" s="152" t="s">
        <v>452</v>
      </c>
      <c r="D1314" s="1279"/>
      <c r="E1314" s="1280"/>
      <c r="F1314" s="153"/>
      <c r="G1314" s="153"/>
      <c r="H1314" s="153"/>
      <c r="I1314" s="190"/>
      <c r="J1314" s="190"/>
      <c r="K1314" s="190"/>
      <c r="L1314" s="185" t="s">
        <v>699</v>
      </c>
      <c r="M1314" s="185" t="s">
        <v>699</v>
      </c>
      <c r="N1314" s="185" t="s">
        <v>699</v>
      </c>
      <c r="O1314" s="185" t="s">
        <v>699</v>
      </c>
      <c r="P1314" s="185" t="s">
        <v>699</v>
      </c>
      <c r="Q1314" s="185" t="s">
        <v>699</v>
      </c>
      <c r="R1314" s="185" t="s">
        <v>699</v>
      </c>
      <c r="S1314" s="185" t="s">
        <v>699</v>
      </c>
      <c r="T1314" s="185" t="s">
        <v>699</v>
      </c>
      <c r="U1314" s="185" t="s">
        <v>699</v>
      </c>
      <c r="V1314" s="185" t="s">
        <v>699</v>
      </c>
      <c r="W1314" s="185" t="s">
        <v>699</v>
      </c>
      <c r="X1314" s="185" t="s">
        <v>699</v>
      </c>
      <c r="Y1314" s="185" t="s">
        <v>699</v>
      </c>
      <c r="Z1314" s="185" t="s">
        <v>699</v>
      </c>
      <c r="AA1314" s="154"/>
      <c r="AB1314" s="154"/>
      <c r="AC1314" s="154"/>
      <c r="AD1314" s="154"/>
      <c r="AE1314" s="154"/>
      <c r="AF1314" s="154"/>
      <c r="AG1314" s="185" t="s">
        <v>699</v>
      </c>
      <c r="AH1314" s="185" t="s">
        <v>699</v>
      </c>
      <c r="AI1314" s="185" t="s">
        <v>699</v>
      </c>
      <c r="AJ1314" s="185" t="s">
        <v>699</v>
      </c>
      <c r="AK1314" s="185" t="s">
        <v>699</v>
      </c>
      <c r="AL1314" s="185" t="s">
        <v>699</v>
      </c>
      <c r="AM1314" s="185" t="s">
        <v>699</v>
      </c>
      <c r="AN1314" s="185" t="s">
        <v>699</v>
      </c>
      <c r="AO1314" s="185" t="s">
        <v>699</v>
      </c>
      <c r="AP1314" s="185" t="s">
        <v>699</v>
      </c>
      <c r="AQ1314" s="185" t="s">
        <v>699</v>
      </c>
      <c r="AR1314" s="185" t="s">
        <v>699</v>
      </c>
      <c r="AS1314" s="185" t="s">
        <v>699</v>
      </c>
      <c r="AT1314" s="185" t="s">
        <v>699</v>
      </c>
      <c r="AU1314" s="185" t="s">
        <v>699</v>
      </c>
      <c r="AV1314" s="154"/>
      <c r="AW1314" s="154"/>
      <c r="AX1314" s="154"/>
      <c r="AY1314" s="154"/>
      <c r="AZ1314" s="154"/>
      <c r="BA1314" s="154"/>
      <c r="BB1314" s="185" t="s">
        <v>699</v>
      </c>
      <c r="BC1314" s="185" t="s">
        <v>699</v>
      </c>
      <c r="BD1314" s="185" t="s">
        <v>699</v>
      </c>
      <c r="BE1314" s="185" t="s">
        <v>699</v>
      </c>
      <c r="BF1314" s="185" t="s">
        <v>699</v>
      </c>
      <c r="BG1314" s="185" t="s">
        <v>699</v>
      </c>
      <c r="BH1314" s="185" t="s">
        <v>699</v>
      </c>
      <c r="BI1314" s="185" t="s">
        <v>699</v>
      </c>
      <c r="BJ1314" s="185" t="s">
        <v>699</v>
      </c>
      <c r="BK1314" s="185" t="s">
        <v>699</v>
      </c>
      <c r="BL1314" s="185" t="s">
        <v>699</v>
      </c>
      <c r="BM1314" s="185" t="s">
        <v>699</v>
      </c>
      <c r="BN1314" s="185" t="s">
        <v>699</v>
      </c>
      <c r="BO1314" s="185" t="s">
        <v>699</v>
      </c>
      <c r="BP1314" s="185" t="s">
        <v>699</v>
      </c>
      <c r="BQ1314" s="154"/>
      <c r="BR1314" s="154"/>
      <c r="BS1314" s="154"/>
      <c r="BT1314" s="154"/>
      <c r="BU1314" s="154"/>
      <c r="BV1314" s="154"/>
      <c r="BW1314" s="185" t="s">
        <v>699</v>
      </c>
      <c r="BX1314" s="185" t="s">
        <v>699</v>
      </c>
      <c r="BY1314" s="185" t="s">
        <v>699</v>
      </c>
      <c r="BZ1314" s="185" t="s">
        <v>699</v>
      </c>
      <c r="CA1314" s="185" t="s">
        <v>699</v>
      </c>
      <c r="CB1314" s="185" t="s">
        <v>699</v>
      </c>
      <c r="CC1314" s="185" t="s">
        <v>699</v>
      </c>
      <c r="CD1314" s="185" t="s">
        <v>699</v>
      </c>
      <c r="CE1314" s="185" t="s">
        <v>699</v>
      </c>
      <c r="CF1314" s="185" t="s">
        <v>699</v>
      </c>
      <c r="CG1314" s="185" t="s">
        <v>699</v>
      </c>
      <c r="CH1314" s="185" t="s">
        <v>699</v>
      </c>
      <c r="CI1314" s="185" t="s">
        <v>699</v>
      </c>
      <c r="CJ1314" s="185" t="s">
        <v>699</v>
      </c>
      <c r="CK1314" s="185" t="s">
        <v>699</v>
      </c>
      <c r="CL1314" s="154"/>
      <c r="CM1314" s="154"/>
      <c r="CN1314" s="154"/>
      <c r="CO1314" s="154"/>
      <c r="CP1314" s="154"/>
      <c r="CQ1314" s="154"/>
      <c r="CR1314" s="185" t="s">
        <v>699</v>
      </c>
      <c r="CS1314" s="185" t="s">
        <v>699</v>
      </c>
      <c r="CT1314" s="185" t="s">
        <v>699</v>
      </c>
      <c r="CU1314" s="185" t="s">
        <v>699</v>
      </c>
      <c r="CV1314" s="185" t="s">
        <v>699</v>
      </c>
      <c r="CW1314" s="185" t="s">
        <v>699</v>
      </c>
      <c r="CX1314" s="185" t="s">
        <v>699</v>
      </c>
      <c r="CY1314" s="185" t="s">
        <v>699</v>
      </c>
      <c r="CZ1314" s="185" t="s">
        <v>699</v>
      </c>
      <c r="DA1314" s="185" t="s">
        <v>699</v>
      </c>
      <c r="DB1314" s="185" t="s">
        <v>699</v>
      </c>
      <c r="DC1314" s="185" t="s">
        <v>699</v>
      </c>
      <c r="DD1314" s="185" t="s">
        <v>699</v>
      </c>
      <c r="DE1314" s="185" t="s">
        <v>699</v>
      </c>
      <c r="DF1314" s="185" t="s">
        <v>699</v>
      </c>
      <c r="DG1314" s="154"/>
      <c r="DH1314" s="154"/>
      <c r="DI1314" s="154"/>
      <c r="DJ1314" s="154"/>
      <c r="DK1314" s="154"/>
      <c r="DL1314" s="154"/>
      <c r="DM1314" s="185" t="s">
        <v>699</v>
      </c>
      <c r="DN1314" s="185" t="s">
        <v>699</v>
      </c>
      <c r="DO1314" s="185" t="s">
        <v>699</v>
      </c>
      <c r="DP1314" s="185" t="s">
        <v>699</v>
      </c>
      <c r="DQ1314" s="185" t="s">
        <v>699</v>
      </c>
      <c r="DR1314" s="185" t="s">
        <v>699</v>
      </c>
      <c r="DS1314" s="185" t="s">
        <v>699</v>
      </c>
      <c r="DT1314" s="185" t="s">
        <v>699</v>
      </c>
      <c r="DU1314" s="185" t="s">
        <v>699</v>
      </c>
      <c r="DV1314" s="185" t="s">
        <v>699</v>
      </c>
      <c r="DW1314" s="185" t="s">
        <v>699</v>
      </c>
      <c r="DX1314" s="185" t="s">
        <v>699</v>
      </c>
      <c r="DY1314" s="185" t="s">
        <v>699</v>
      </c>
      <c r="DZ1314" s="185" t="s">
        <v>699</v>
      </c>
      <c r="EA1314" s="185" t="s">
        <v>699</v>
      </c>
      <c r="EB1314" s="154"/>
      <c r="EC1314" s="154"/>
      <c r="ED1314" s="154"/>
      <c r="EE1314" s="154"/>
      <c r="EF1314" s="154"/>
      <c r="EG1314" s="154"/>
      <c r="EH1314" s="185" t="s">
        <v>699</v>
      </c>
      <c r="EI1314" s="185" t="s">
        <v>699</v>
      </c>
      <c r="EJ1314" s="185" t="s">
        <v>699</v>
      </c>
      <c r="EK1314" s="185" t="s">
        <v>699</v>
      </c>
      <c r="EL1314" s="185" t="s">
        <v>699</v>
      </c>
      <c r="EM1314" s="185" t="s">
        <v>699</v>
      </c>
      <c r="EN1314" s="185" t="s">
        <v>699</v>
      </c>
      <c r="EO1314" s="185" t="s">
        <v>699</v>
      </c>
      <c r="EP1314" s="185" t="s">
        <v>699</v>
      </c>
      <c r="EQ1314" s="185" t="s">
        <v>699</v>
      </c>
      <c r="ER1314" s="185" t="s">
        <v>699</v>
      </c>
      <c r="ES1314" s="185" t="s">
        <v>699</v>
      </c>
      <c r="ET1314" s="185" t="s">
        <v>699</v>
      </c>
      <c r="EU1314" s="185" t="s">
        <v>699</v>
      </c>
      <c r="EV1314" s="185" t="s">
        <v>699</v>
      </c>
      <c r="EW1314" s="154"/>
      <c r="EX1314" s="154"/>
      <c r="EY1314" s="154"/>
      <c r="EZ1314" s="154"/>
      <c r="FA1314" s="154"/>
      <c r="FB1314" s="154"/>
      <c r="FC1314" s="185" t="s">
        <v>699</v>
      </c>
      <c r="FD1314" s="185" t="s">
        <v>699</v>
      </c>
      <c r="FE1314" s="185" t="s">
        <v>699</v>
      </c>
      <c r="FF1314" s="185" t="s">
        <v>699</v>
      </c>
      <c r="FG1314" s="185" t="s">
        <v>699</v>
      </c>
      <c r="FH1314" s="185" t="s">
        <v>699</v>
      </c>
      <c r="FI1314" s="185" t="s">
        <v>699</v>
      </c>
      <c r="FJ1314" s="185" t="s">
        <v>699</v>
      </c>
      <c r="FK1314" s="185" t="s">
        <v>699</v>
      </c>
      <c r="FL1314" s="185" t="s">
        <v>699</v>
      </c>
      <c r="FM1314" s="185" t="s">
        <v>699</v>
      </c>
      <c r="FN1314" s="185" t="s">
        <v>699</v>
      </c>
      <c r="FO1314" s="185" t="s">
        <v>699</v>
      </c>
      <c r="FP1314" s="185" t="s">
        <v>699</v>
      </c>
      <c r="FQ1314" s="185" t="s">
        <v>699</v>
      </c>
      <c r="FR1314" s="154"/>
      <c r="FS1314" s="154"/>
      <c r="FT1314" s="154"/>
      <c r="FU1314" s="154"/>
      <c r="FV1314" s="154"/>
      <c r="FW1314" s="154"/>
      <c r="FX1314" s="185" t="s">
        <v>699</v>
      </c>
      <c r="FY1314" s="185" t="s">
        <v>699</v>
      </c>
      <c r="FZ1314" s="185" t="s">
        <v>699</v>
      </c>
      <c r="GA1314" s="185" t="s">
        <v>699</v>
      </c>
      <c r="GB1314" s="185" t="s">
        <v>699</v>
      </c>
      <c r="GC1314" s="185" t="s">
        <v>699</v>
      </c>
      <c r="GD1314" s="185" t="s">
        <v>699</v>
      </c>
      <c r="GE1314" s="185" t="s">
        <v>699</v>
      </c>
      <c r="GF1314" s="185" t="s">
        <v>699</v>
      </c>
      <c r="GG1314" s="185" t="s">
        <v>699</v>
      </c>
      <c r="GH1314" s="185" t="s">
        <v>699</v>
      </c>
      <c r="GI1314" s="185" t="s">
        <v>699</v>
      </c>
      <c r="GJ1314" s="185" t="s">
        <v>699</v>
      </c>
      <c r="GK1314" s="185" t="s">
        <v>699</v>
      </c>
      <c r="GL1314" s="185" t="s">
        <v>699</v>
      </c>
      <c r="GM1314" s="154"/>
      <c r="GN1314" s="154"/>
      <c r="GO1314" s="154"/>
      <c r="GP1314" s="154"/>
      <c r="GQ1314" s="154"/>
      <c r="GR1314" s="154"/>
      <c r="GS1314" s="185" t="s">
        <v>699</v>
      </c>
      <c r="GT1314" s="185" t="s">
        <v>699</v>
      </c>
      <c r="GU1314" s="185" t="s">
        <v>699</v>
      </c>
      <c r="GV1314" s="185" t="s">
        <v>699</v>
      </c>
      <c r="GW1314" s="185" t="s">
        <v>699</v>
      </c>
      <c r="GX1314" s="185" t="s">
        <v>699</v>
      </c>
      <c r="GY1314" s="185" t="s">
        <v>699</v>
      </c>
      <c r="GZ1314" s="185" t="s">
        <v>699</v>
      </c>
      <c r="HA1314" s="185" t="s">
        <v>699</v>
      </c>
      <c r="HB1314" s="185" t="s">
        <v>699</v>
      </c>
      <c r="HC1314" s="185" t="s">
        <v>699</v>
      </c>
      <c r="HD1314" s="185" t="s">
        <v>699</v>
      </c>
      <c r="HE1314" s="185" t="s">
        <v>699</v>
      </c>
      <c r="HF1314" s="185" t="s">
        <v>699</v>
      </c>
      <c r="HG1314" s="185" t="s">
        <v>699</v>
      </c>
      <c r="HH1314" s="154"/>
      <c r="HI1314" s="154"/>
      <c r="HJ1314" s="154"/>
      <c r="HK1314" s="154"/>
      <c r="HL1314" s="154"/>
      <c r="HM1314" s="154"/>
      <c r="HN1314" s="185" t="s">
        <v>699</v>
      </c>
      <c r="HO1314" s="185" t="s">
        <v>699</v>
      </c>
      <c r="HP1314" s="185" t="s">
        <v>699</v>
      </c>
      <c r="HQ1314" s="185" t="s">
        <v>699</v>
      </c>
      <c r="HR1314" s="185" t="s">
        <v>699</v>
      </c>
      <c r="HS1314" s="185" t="s">
        <v>699</v>
      </c>
      <c r="HT1314" s="185" t="s">
        <v>699</v>
      </c>
      <c r="HU1314" s="185" t="s">
        <v>699</v>
      </c>
      <c r="HV1314" s="185" t="s">
        <v>699</v>
      </c>
      <c r="HW1314" s="185" t="s">
        <v>699</v>
      </c>
      <c r="HX1314" s="185" t="s">
        <v>699</v>
      </c>
      <c r="HY1314" s="185" t="s">
        <v>699</v>
      </c>
      <c r="HZ1314" s="185" t="s">
        <v>699</v>
      </c>
      <c r="IA1314" s="185" t="s">
        <v>699</v>
      </c>
      <c r="IB1314" s="185" t="s">
        <v>699</v>
      </c>
      <c r="IC1314" s="154"/>
      <c r="ID1314" s="154"/>
      <c r="IE1314" s="154"/>
      <c r="IF1314" s="154"/>
      <c r="IG1314" s="154"/>
      <c r="IH1314" s="154"/>
      <c r="II1314" s="185" t="s">
        <v>699</v>
      </c>
      <c r="IJ1314" s="185" t="s">
        <v>699</v>
      </c>
      <c r="IK1314" s="185" t="s">
        <v>699</v>
      </c>
      <c r="IL1314" s="185" t="s">
        <v>699</v>
      </c>
      <c r="IM1314" s="185" t="s">
        <v>699</v>
      </c>
      <c r="IN1314" s="185" t="s">
        <v>699</v>
      </c>
      <c r="IO1314" s="185" t="s">
        <v>699</v>
      </c>
      <c r="IP1314" s="185" t="s">
        <v>699</v>
      </c>
      <c r="IQ1314" s="185" t="s">
        <v>699</v>
      </c>
      <c r="IR1314" s="185" t="s">
        <v>699</v>
      </c>
      <c r="IS1314" s="185" t="s">
        <v>699</v>
      </c>
      <c r="IT1314" s="185" t="s">
        <v>699</v>
      </c>
      <c r="IU1314" s="185" t="s">
        <v>699</v>
      </c>
      <c r="IV1314" s="185" t="s">
        <v>699</v>
      </c>
      <c r="IW1314" s="185" t="s">
        <v>699</v>
      </c>
      <c r="IX1314" s="154"/>
      <c r="IY1314" s="154"/>
      <c r="IZ1314" s="154"/>
      <c r="JA1314" s="154"/>
      <c r="JB1314" s="154"/>
      <c r="JC1314" s="154"/>
      <c r="JD1314" s="185" t="s">
        <v>699</v>
      </c>
      <c r="JE1314" s="185" t="s">
        <v>699</v>
      </c>
      <c r="JF1314" s="185" t="s">
        <v>699</v>
      </c>
      <c r="JG1314" s="185" t="s">
        <v>699</v>
      </c>
      <c r="JH1314" s="185" t="s">
        <v>699</v>
      </c>
      <c r="JI1314" s="185" t="s">
        <v>699</v>
      </c>
      <c r="JJ1314" s="185" t="s">
        <v>699</v>
      </c>
      <c r="JK1314" s="185" t="s">
        <v>699</v>
      </c>
      <c r="JL1314" s="185" t="s">
        <v>699</v>
      </c>
      <c r="JM1314" s="185" t="s">
        <v>699</v>
      </c>
      <c r="JN1314" s="185" t="s">
        <v>699</v>
      </c>
      <c r="JO1314" s="185" t="s">
        <v>699</v>
      </c>
      <c r="JP1314" s="185" t="s">
        <v>699</v>
      </c>
      <c r="JQ1314" s="185" t="s">
        <v>699</v>
      </c>
      <c r="JR1314" s="185" t="s">
        <v>699</v>
      </c>
      <c r="JS1314" s="154"/>
      <c r="JT1314" s="154"/>
      <c r="JU1314" s="154"/>
      <c r="JV1314" s="154"/>
      <c r="JW1314" s="154"/>
      <c r="JX1314" s="154"/>
      <c r="JY1314" s="185" t="s">
        <v>699</v>
      </c>
      <c r="JZ1314" s="185" t="s">
        <v>699</v>
      </c>
      <c r="KA1314" s="185" t="s">
        <v>699</v>
      </c>
      <c r="KB1314" s="185" t="s">
        <v>699</v>
      </c>
      <c r="KC1314" s="185" t="s">
        <v>699</v>
      </c>
      <c r="KD1314" s="185" t="s">
        <v>699</v>
      </c>
      <c r="KE1314" s="185" t="s">
        <v>699</v>
      </c>
      <c r="KF1314" s="185" t="s">
        <v>699</v>
      </c>
      <c r="KG1314" s="185" t="s">
        <v>699</v>
      </c>
      <c r="KH1314" s="185" t="s">
        <v>699</v>
      </c>
      <c r="KI1314" s="185" t="s">
        <v>699</v>
      </c>
      <c r="KJ1314" s="185" t="s">
        <v>699</v>
      </c>
      <c r="KK1314" s="185" t="s">
        <v>699</v>
      </c>
      <c r="KL1314" s="185" t="s">
        <v>699</v>
      </c>
      <c r="KM1314" s="185" t="s">
        <v>699</v>
      </c>
      <c r="KN1314" s="154"/>
      <c r="KO1314" s="154"/>
      <c r="KP1314" s="154"/>
      <c r="KQ1314" s="154"/>
      <c r="KR1314" s="154"/>
      <c r="KS1314" s="154"/>
      <c r="KT1314" s="185" t="s">
        <v>699</v>
      </c>
      <c r="KU1314" s="185" t="s">
        <v>699</v>
      </c>
      <c r="KV1314" s="185" t="s">
        <v>699</v>
      </c>
      <c r="KW1314" s="185" t="s">
        <v>699</v>
      </c>
      <c r="KX1314" s="185" t="s">
        <v>699</v>
      </c>
      <c r="KY1314" s="185" t="s">
        <v>699</v>
      </c>
      <c r="KZ1314" s="185" t="s">
        <v>699</v>
      </c>
      <c r="LA1314" s="185" t="s">
        <v>699</v>
      </c>
      <c r="LB1314" s="185" t="s">
        <v>699</v>
      </c>
      <c r="LC1314" s="185" t="s">
        <v>699</v>
      </c>
      <c r="LD1314" s="185" t="s">
        <v>699</v>
      </c>
      <c r="LE1314" s="185" t="s">
        <v>699</v>
      </c>
      <c r="LF1314" s="185" t="s">
        <v>699</v>
      </c>
      <c r="LG1314" s="185" t="s">
        <v>699</v>
      </c>
      <c r="LH1314" s="185" t="s">
        <v>699</v>
      </c>
      <c r="LI1314" s="154"/>
      <c r="LJ1314" s="154"/>
      <c r="LK1314" s="154"/>
      <c r="LL1314" s="154"/>
      <c r="LM1314" s="154"/>
      <c r="LN1314" s="154"/>
      <c r="LO1314" s="185" t="s">
        <v>699</v>
      </c>
      <c r="LP1314" s="185" t="s">
        <v>699</v>
      </c>
      <c r="LQ1314" s="185" t="s">
        <v>699</v>
      </c>
      <c r="LR1314" s="185" t="s">
        <v>699</v>
      </c>
      <c r="LS1314" s="185" t="s">
        <v>699</v>
      </c>
      <c r="LT1314" s="185" t="s">
        <v>699</v>
      </c>
      <c r="LU1314" s="185" t="s">
        <v>699</v>
      </c>
      <c r="LV1314" s="185" t="s">
        <v>699</v>
      </c>
      <c r="LW1314" s="185" t="s">
        <v>699</v>
      </c>
      <c r="LX1314" s="185" t="s">
        <v>699</v>
      </c>
      <c r="LY1314" s="185" t="s">
        <v>699</v>
      </c>
      <c r="LZ1314" s="185" t="s">
        <v>699</v>
      </c>
      <c r="MA1314" s="185" t="s">
        <v>699</v>
      </c>
      <c r="MB1314" s="185" t="s">
        <v>699</v>
      </c>
      <c r="MC1314" s="185" t="s">
        <v>699</v>
      </c>
      <c r="MD1314" s="154"/>
      <c r="ME1314" s="154"/>
      <c r="MF1314" s="154"/>
      <c r="MG1314" s="154"/>
      <c r="MH1314" s="154"/>
      <c r="MI1314" s="154"/>
      <c r="MJ1314" s="185" t="s">
        <v>699</v>
      </c>
      <c r="MK1314" s="185" t="s">
        <v>699</v>
      </c>
      <c r="ML1314" s="185" t="s">
        <v>699</v>
      </c>
      <c r="MM1314" s="185" t="s">
        <v>699</v>
      </c>
      <c r="MN1314" s="185" t="s">
        <v>699</v>
      </c>
      <c r="MO1314" s="185" t="s">
        <v>699</v>
      </c>
      <c r="MP1314" s="185" t="s">
        <v>699</v>
      </c>
      <c r="MQ1314" s="185" t="s">
        <v>699</v>
      </c>
      <c r="MR1314" s="185" t="s">
        <v>699</v>
      </c>
      <c r="MS1314" s="185" t="s">
        <v>699</v>
      </c>
      <c r="MT1314" s="185" t="s">
        <v>699</v>
      </c>
      <c r="MU1314" s="185" t="s">
        <v>699</v>
      </c>
      <c r="MV1314" s="185" t="s">
        <v>699</v>
      </c>
      <c r="MW1314" s="185" t="s">
        <v>699</v>
      </c>
      <c r="MX1314" s="185" t="s">
        <v>699</v>
      </c>
      <c r="MY1314" s="154"/>
      <c r="MZ1314" s="154"/>
      <c r="NA1314" s="154"/>
      <c r="NB1314" s="154"/>
      <c r="NC1314" s="154"/>
      <c r="ND1314" s="154"/>
      <c r="NE1314" s="185" t="s">
        <v>699</v>
      </c>
      <c r="NF1314" s="185" t="s">
        <v>699</v>
      </c>
      <c r="NG1314" s="185" t="s">
        <v>699</v>
      </c>
      <c r="NH1314" s="185" t="s">
        <v>699</v>
      </c>
      <c r="NI1314" s="185" t="s">
        <v>699</v>
      </c>
      <c r="NJ1314" s="185" t="s">
        <v>699</v>
      </c>
      <c r="NK1314" s="185" t="s">
        <v>699</v>
      </c>
      <c r="NL1314" s="185" t="s">
        <v>699</v>
      </c>
      <c r="NM1314" s="185" t="s">
        <v>699</v>
      </c>
      <c r="NN1314" s="185" t="s">
        <v>699</v>
      </c>
      <c r="NO1314" s="185" t="s">
        <v>699</v>
      </c>
      <c r="NP1314" s="185" t="s">
        <v>699</v>
      </c>
      <c r="NQ1314" s="185" t="s">
        <v>699</v>
      </c>
      <c r="NR1314" s="185" t="s">
        <v>699</v>
      </c>
      <c r="NS1314" s="185" t="s">
        <v>699</v>
      </c>
      <c r="NT1314" s="154"/>
      <c r="NU1314" s="154"/>
      <c r="NV1314" s="154"/>
      <c r="NW1314" s="154"/>
      <c r="NX1314" s="154"/>
      <c r="NY1314" s="154"/>
      <c r="NZ1314" s="185" t="s">
        <v>699</v>
      </c>
      <c r="OA1314" s="185" t="s">
        <v>699</v>
      </c>
      <c r="OB1314" s="185" t="s">
        <v>699</v>
      </c>
      <c r="OC1314" s="185" t="s">
        <v>699</v>
      </c>
      <c r="OD1314" s="185" t="s">
        <v>699</v>
      </c>
      <c r="OE1314" s="185" t="s">
        <v>699</v>
      </c>
      <c r="OF1314" s="185" t="s">
        <v>699</v>
      </c>
      <c r="OG1314" s="185" t="s">
        <v>699</v>
      </c>
      <c r="OH1314" s="185" t="s">
        <v>699</v>
      </c>
      <c r="OI1314" s="185" t="s">
        <v>699</v>
      </c>
      <c r="OJ1314" s="185" t="s">
        <v>699</v>
      </c>
      <c r="OK1314" s="185" t="s">
        <v>699</v>
      </c>
      <c r="OL1314" s="185" t="s">
        <v>699</v>
      </c>
      <c r="OM1314" s="185" t="s">
        <v>699</v>
      </c>
      <c r="ON1314" s="185" t="s">
        <v>699</v>
      </c>
      <c r="OO1314" s="154"/>
      <c r="OP1314" s="154"/>
      <c r="OQ1314" s="154"/>
      <c r="OR1314" s="154"/>
      <c r="OS1314" s="154"/>
      <c r="OT1314" s="154"/>
      <c r="OU1314" s="185" t="s">
        <v>699</v>
      </c>
      <c r="OV1314" s="185" t="s">
        <v>699</v>
      </c>
      <c r="OW1314" s="185" t="s">
        <v>699</v>
      </c>
      <c r="OX1314" s="185" t="s">
        <v>699</v>
      </c>
      <c r="OY1314" s="185" t="s">
        <v>699</v>
      </c>
      <c r="OZ1314" s="185" t="s">
        <v>699</v>
      </c>
      <c r="PA1314" s="185" t="s">
        <v>699</v>
      </c>
      <c r="PB1314" s="185" t="s">
        <v>699</v>
      </c>
      <c r="PC1314" s="185" t="s">
        <v>699</v>
      </c>
      <c r="PD1314" s="185" t="s">
        <v>699</v>
      </c>
      <c r="PE1314" s="185" t="s">
        <v>699</v>
      </c>
      <c r="PF1314" s="185" t="s">
        <v>699</v>
      </c>
      <c r="PG1314" s="185" t="s">
        <v>699</v>
      </c>
      <c r="PH1314" s="185" t="s">
        <v>699</v>
      </c>
      <c r="PI1314" s="185" t="s">
        <v>699</v>
      </c>
      <c r="PJ1314" s="154"/>
      <c r="PK1314" s="154"/>
      <c r="PL1314" s="154"/>
      <c r="PM1314" s="154"/>
      <c r="PN1314" s="154"/>
      <c r="PO1314" s="154"/>
      <c r="PP1314" s="185" t="s">
        <v>699</v>
      </c>
      <c r="PQ1314" s="185" t="s">
        <v>699</v>
      </c>
      <c r="PR1314" s="185" t="s">
        <v>699</v>
      </c>
      <c r="PS1314" s="185" t="s">
        <v>699</v>
      </c>
      <c r="PT1314" s="185" t="s">
        <v>699</v>
      </c>
      <c r="PU1314" s="185" t="s">
        <v>699</v>
      </c>
      <c r="PV1314" s="185" t="s">
        <v>699</v>
      </c>
      <c r="PW1314" s="185" t="s">
        <v>699</v>
      </c>
      <c r="PX1314" s="185" t="s">
        <v>699</v>
      </c>
      <c r="PY1314" s="185" t="s">
        <v>699</v>
      </c>
      <c r="PZ1314" s="185" t="s">
        <v>699</v>
      </c>
      <c r="QA1314" s="185" t="s">
        <v>699</v>
      </c>
      <c r="QB1314" s="185" t="s">
        <v>699</v>
      </c>
      <c r="QC1314" s="185" t="s">
        <v>699</v>
      </c>
      <c r="QD1314" s="185" t="s">
        <v>699</v>
      </c>
      <c r="QE1314" s="154"/>
      <c r="QF1314" s="154"/>
      <c r="QG1314" s="154"/>
      <c r="QH1314" s="154"/>
      <c r="QI1314" s="154"/>
      <c r="QJ1314" s="154"/>
      <c r="QK1314" s="185" t="s">
        <v>699</v>
      </c>
      <c r="QL1314" s="185" t="s">
        <v>699</v>
      </c>
      <c r="QM1314" s="185" t="s">
        <v>699</v>
      </c>
      <c r="QN1314" s="185" t="s">
        <v>699</v>
      </c>
      <c r="QO1314" s="185" t="s">
        <v>699</v>
      </c>
      <c r="QP1314" s="185" t="s">
        <v>699</v>
      </c>
      <c r="QQ1314" s="185" t="s">
        <v>699</v>
      </c>
      <c r="QR1314" s="185" t="s">
        <v>699</v>
      </c>
      <c r="QS1314" s="185" t="s">
        <v>699</v>
      </c>
      <c r="QT1314" s="185" t="s">
        <v>699</v>
      </c>
      <c r="QU1314" s="185" t="s">
        <v>699</v>
      </c>
      <c r="QV1314" s="185" t="s">
        <v>699</v>
      </c>
      <c r="QW1314" s="185" t="s">
        <v>699</v>
      </c>
      <c r="QX1314" s="185" t="s">
        <v>699</v>
      </c>
      <c r="QY1314" s="185" t="s">
        <v>699</v>
      </c>
      <c r="QZ1314" s="154"/>
      <c r="RA1314" s="154"/>
      <c r="RB1314" s="154"/>
      <c r="RC1314" s="154"/>
      <c r="RD1314" s="154"/>
      <c r="RE1314" s="154"/>
      <c r="RF1314" s="185" t="s">
        <v>699</v>
      </c>
      <c r="RG1314" s="185" t="s">
        <v>699</v>
      </c>
      <c r="RH1314" s="185" t="s">
        <v>699</v>
      </c>
      <c r="RI1314" s="185" t="s">
        <v>699</v>
      </c>
      <c r="RJ1314" s="185" t="s">
        <v>699</v>
      </c>
      <c r="RK1314" s="185" t="s">
        <v>699</v>
      </c>
      <c r="RL1314" s="185" t="s">
        <v>699</v>
      </c>
      <c r="RM1314" s="185" t="s">
        <v>699</v>
      </c>
      <c r="RN1314" s="185" t="s">
        <v>699</v>
      </c>
      <c r="RO1314" s="185" t="s">
        <v>699</v>
      </c>
      <c r="RP1314" s="185" t="s">
        <v>699</v>
      </c>
      <c r="RQ1314" s="185" t="s">
        <v>699</v>
      </c>
      <c r="RR1314" s="185" t="s">
        <v>699</v>
      </c>
      <c r="RS1314" s="185" t="s">
        <v>699</v>
      </c>
      <c r="RT1314" s="185" t="s">
        <v>699</v>
      </c>
      <c r="RU1314" s="154"/>
      <c r="RV1314" s="154"/>
      <c r="RW1314" s="154"/>
      <c r="RX1314" s="154"/>
      <c r="RY1314" s="154"/>
      <c r="RZ1314" s="154"/>
      <c r="SA1314" s="185" t="s">
        <v>699</v>
      </c>
      <c r="SB1314" s="185" t="s">
        <v>699</v>
      </c>
      <c r="SC1314" s="185" t="s">
        <v>699</v>
      </c>
      <c r="SD1314" s="185" t="s">
        <v>699</v>
      </c>
      <c r="SE1314" s="185" t="s">
        <v>699</v>
      </c>
      <c r="SF1314" s="185" t="s">
        <v>699</v>
      </c>
      <c r="SG1314" s="185" t="s">
        <v>699</v>
      </c>
      <c r="SH1314" s="185" t="s">
        <v>699</v>
      </c>
      <c r="SI1314" s="185" t="s">
        <v>699</v>
      </c>
      <c r="SJ1314" s="185" t="s">
        <v>699</v>
      </c>
      <c r="SK1314" s="185" t="s">
        <v>699</v>
      </c>
      <c r="SL1314" s="185" t="s">
        <v>699</v>
      </c>
      <c r="SM1314" s="185" t="s">
        <v>699</v>
      </c>
      <c r="SN1314" s="185" t="s">
        <v>699</v>
      </c>
      <c r="SO1314" s="185" t="s">
        <v>699</v>
      </c>
      <c r="SP1314" s="154"/>
      <c r="SQ1314" s="154"/>
      <c r="SR1314" s="154"/>
      <c r="SS1314" s="154"/>
      <c r="ST1314" s="154"/>
      <c r="SU1314" s="154"/>
      <c r="SV1314" s="185" t="s">
        <v>699</v>
      </c>
      <c r="SW1314" s="185" t="s">
        <v>699</v>
      </c>
      <c r="SX1314" s="185" t="s">
        <v>699</v>
      </c>
      <c r="SY1314" s="185" t="s">
        <v>699</v>
      </c>
      <c r="SZ1314" s="185" t="s">
        <v>699</v>
      </c>
      <c r="TA1314" s="185" t="s">
        <v>699</v>
      </c>
      <c r="TB1314" s="185" t="s">
        <v>699</v>
      </c>
      <c r="TC1314" s="185" t="s">
        <v>699</v>
      </c>
      <c r="TD1314" s="185" t="s">
        <v>699</v>
      </c>
      <c r="TE1314" s="185" t="s">
        <v>699</v>
      </c>
      <c r="TF1314" s="185" t="s">
        <v>699</v>
      </c>
      <c r="TG1314" s="185" t="s">
        <v>699</v>
      </c>
      <c r="TH1314" s="185" t="s">
        <v>699</v>
      </c>
      <c r="TI1314" s="185" t="s">
        <v>699</v>
      </c>
      <c r="TJ1314" s="185" t="s">
        <v>699</v>
      </c>
      <c r="TK1314" s="154"/>
      <c r="TL1314" s="154"/>
      <c r="TM1314" s="154"/>
      <c r="TN1314" s="154"/>
      <c r="TO1314" s="154"/>
      <c r="TP1314" s="154"/>
      <c r="TQ1314" s="185" t="s">
        <v>699</v>
      </c>
      <c r="TR1314" s="185" t="s">
        <v>699</v>
      </c>
      <c r="TS1314" s="185" t="s">
        <v>699</v>
      </c>
      <c r="TT1314" s="185" t="s">
        <v>699</v>
      </c>
      <c r="TU1314" s="185" t="s">
        <v>699</v>
      </c>
      <c r="TV1314" s="185" t="s">
        <v>699</v>
      </c>
      <c r="TW1314" s="185" t="s">
        <v>699</v>
      </c>
      <c r="TX1314" s="185" t="s">
        <v>699</v>
      </c>
      <c r="TY1314" s="185" t="s">
        <v>699</v>
      </c>
      <c r="TZ1314" s="185" t="s">
        <v>699</v>
      </c>
      <c r="UA1314" s="185" t="s">
        <v>699</v>
      </c>
      <c r="UB1314" s="185" t="s">
        <v>699</v>
      </c>
      <c r="UC1314" s="185" t="s">
        <v>699</v>
      </c>
      <c r="UD1314" s="185" t="s">
        <v>699</v>
      </c>
      <c r="UE1314" s="185" t="s">
        <v>699</v>
      </c>
      <c r="UF1314" s="154"/>
      <c r="UG1314" s="154"/>
      <c r="UH1314" s="154"/>
      <c r="UI1314" s="154"/>
      <c r="UJ1314" s="154"/>
      <c r="UK1314" s="154"/>
      <c r="UL1314" s="185" t="s">
        <v>699</v>
      </c>
      <c r="UM1314" s="185" t="s">
        <v>699</v>
      </c>
      <c r="UN1314" s="185" t="s">
        <v>699</v>
      </c>
      <c r="UO1314" s="185" t="s">
        <v>699</v>
      </c>
      <c r="UP1314" s="185" t="s">
        <v>699</v>
      </c>
      <c r="UQ1314" s="185" t="s">
        <v>699</v>
      </c>
      <c r="UR1314" s="185" t="s">
        <v>699</v>
      </c>
      <c r="US1314" s="185" t="s">
        <v>699</v>
      </c>
      <c r="UT1314" s="185" t="s">
        <v>699</v>
      </c>
      <c r="UU1314" s="185" t="s">
        <v>699</v>
      </c>
      <c r="UV1314" s="185" t="s">
        <v>699</v>
      </c>
      <c r="UW1314" s="185" t="s">
        <v>699</v>
      </c>
      <c r="UX1314" s="185" t="s">
        <v>699</v>
      </c>
      <c r="UY1314" s="185" t="s">
        <v>699</v>
      </c>
      <c r="UZ1314" s="185" t="s">
        <v>699</v>
      </c>
      <c r="VA1314" s="154"/>
      <c r="VB1314" s="154"/>
      <c r="VC1314" s="154"/>
      <c r="VD1314" s="154"/>
      <c r="VE1314" s="154"/>
      <c r="VF1314" s="154"/>
      <c r="VG1314" s="185" t="s">
        <v>699</v>
      </c>
      <c r="VH1314" s="185" t="s">
        <v>699</v>
      </c>
      <c r="VI1314" s="185" t="s">
        <v>699</v>
      </c>
      <c r="VJ1314" s="185" t="s">
        <v>699</v>
      </c>
      <c r="VK1314" s="185" t="s">
        <v>699</v>
      </c>
      <c r="VL1314" s="185" t="s">
        <v>699</v>
      </c>
      <c r="VM1314" s="185" t="s">
        <v>699</v>
      </c>
      <c r="VN1314" s="185" t="s">
        <v>699</v>
      </c>
      <c r="VO1314" s="185" t="s">
        <v>699</v>
      </c>
      <c r="VP1314" s="185" t="s">
        <v>699</v>
      </c>
      <c r="VQ1314" s="185" t="s">
        <v>699</v>
      </c>
      <c r="VR1314" s="185" t="s">
        <v>699</v>
      </c>
      <c r="VS1314" s="185" t="s">
        <v>699</v>
      </c>
      <c r="VT1314" s="185" t="s">
        <v>699</v>
      </c>
      <c r="VU1314" s="185" t="s">
        <v>699</v>
      </c>
      <c r="VV1314" s="154"/>
      <c r="VW1314" s="154"/>
      <c r="VX1314" s="154"/>
      <c r="VY1314" s="154"/>
      <c r="VZ1314" s="154"/>
      <c r="WA1314" s="154"/>
      <c r="WB1314" s="185" t="s">
        <v>699</v>
      </c>
      <c r="WC1314" s="185" t="s">
        <v>699</v>
      </c>
      <c r="WD1314" s="185" t="s">
        <v>699</v>
      </c>
      <c r="WE1314" s="185" t="s">
        <v>699</v>
      </c>
      <c r="WF1314" s="185" t="s">
        <v>699</v>
      </c>
      <c r="WG1314" s="185" t="s">
        <v>699</v>
      </c>
      <c r="WH1314" s="185" t="s">
        <v>699</v>
      </c>
      <c r="WI1314" s="185" t="s">
        <v>699</v>
      </c>
      <c r="WJ1314" s="185" t="s">
        <v>699</v>
      </c>
      <c r="WK1314" s="185" t="s">
        <v>699</v>
      </c>
      <c r="WL1314" s="185" t="s">
        <v>699</v>
      </c>
      <c r="WM1314" s="185" t="s">
        <v>699</v>
      </c>
      <c r="WN1314" s="185" t="s">
        <v>699</v>
      </c>
      <c r="WO1314" s="185" t="s">
        <v>699</v>
      </c>
      <c r="WP1314" s="185" t="s">
        <v>699</v>
      </c>
      <c r="WQ1314" s="154"/>
      <c r="WR1314" s="154"/>
      <c r="WS1314" s="154"/>
      <c r="WT1314" s="154"/>
      <c r="WU1314" s="154"/>
      <c r="WV1314" s="154"/>
      <c r="WW1314" s="185" t="s">
        <v>699</v>
      </c>
      <c r="WX1314" s="185" t="s">
        <v>699</v>
      </c>
      <c r="WY1314" s="185" t="s">
        <v>699</v>
      </c>
      <c r="WZ1314" s="185" t="s">
        <v>699</v>
      </c>
      <c r="XA1314" s="185" t="s">
        <v>699</v>
      </c>
      <c r="XB1314" s="185" t="s">
        <v>699</v>
      </c>
      <c r="XC1314" s="185" t="s">
        <v>699</v>
      </c>
      <c r="XD1314" s="185" t="s">
        <v>699</v>
      </c>
      <c r="XE1314" s="185" t="s">
        <v>699</v>
      </c>
      <c r="XF1314" s="185" t="s">
        <v>699</v>
      </c>
      <c r="XG1314" s="185" t="s">
        <v>699</v>
      </c>
      <c r="XH1314" s="185" t="s">
        <v>699</v>
      </c>
      <c r="XI1314" s="185" t="s">
        <v>699</v>
      </c>
      <c r="XJ1314" s="185" t="s">
        <v>699</v>
      </c>
      <c r="XK1314" s="185" t="s">
        <v>699</v>
      </c>
      <c r="XL1314" s="154"/>
      <c r="XM1314" s="154"/>
      <c r="XN1314" s="154"/>
      <c r="XO1314" s="154"/>
      <c r="XP1314" s="154"/>
      <c r="XQ1314" s="154"/>
      <c r="XR1314" s="185" t="s">
        <v>699</v>
      </c>
      <c r="XS1314" s="185" t="s">
        <v>699</v>
      </c>
      <c r="XT1314" s="185" t="s">
        <v>699</v>
      </c>
      <c r="XU1314" s="185" t="s">
        <v>699</v>
      </c>
      <c r="XV1314" s="185" t="s">
        <v>699</v>
      </c>
      <c r="XW1314" s="185" t="s">
        <v>699</v>
      </c>
      <c r="XX1314" s="185" t="s">
        <v>699</v>
      </c>
      <c r="XY1314" s="185" t="s">
        <v>699</v>
      </c>
      <c r="XZ1314" s="185" t="s">
        <v>699</v>
      </c>
      <c r="YA1314" s="185" t="s">
        <v>699</v>
      </c>
      <c r="YB1314" s="185" t="s">
        <v>699</v>
      </c>
      <c r="YC1314" s="185" t="s">
        <v>699</v>
      </c>
      <c r="YD1314" s="185" t="s">
        <v>699</v>
      </c>
      <c r="YE1314" s="185" t="s">
        <v>699</v>
      </c>
      <c r="YF1314" s="185" t="s">
        <v>699</v>
      </c>
      <c r="YG1314" s="154"/>
      <c r="YH1314" s="154"/>
      <c r="YI1314" s="154"/>
      <c r="YJ1314" s="154"/>
      <c r="YK1314" s="154"/>
      <c r="YL1314" s="154"/>
      <c r="YM1314" s="185" t="s">
        <v>699</v>
      </c>
      <c r="YN1314" s="185" t="s">
        <v>699</v>
      </c>
      <c r="YO1314" s="185" t="s">
        <v>699</v>
      </c>
      <c r="YP1314" s="185" t="s">
        <v>699</v>
      </c>
      <c r="YQ1314" s="185" t="s">
        <v>699</v>
      </c>
      <c r="YR1314" s="185" t="s">
        <v>699</v>
      </c>
      <c r="YS1314" s="185" t="s">
        <v>699</v>
      </c>
      <c r="YT1314" s="185" t="s">
        <v>699</v>
      </c>
      <c r="YU1314" s="185" t="s">
        <v>699</v>
      </c>
      <c r="YV1314" s="185" t="s">
        <v>699</v>
      </c>
      <c r="YW1314" s="185" t="s">
        <v>699</v>
      </c>
      <c r="YX1314" s="185" t="s">
        <v>699</v>
      </c>
      <c r="YY1314" s="185" t="s">
        <v>699</v>
      </c>
      <c r="YZ1314" s="185" t="s">
        <v>699</v>
      </c>
      <c r="ZA1314" s="185" t="s">
        <v>699</v>
      </c>
      <c r="ZB1314" s="191">
        <f t="shared" si="1382"/>
        <v>0</v>
      </c>
      <c r="ZC1314" s="191">
        <f t="shared" si="1382"/>
        <v>0</v>
      </c>
      <c r="ZD1314" s="191">
        <f t="shared" si="1382"/>
        <v>0</v>
      </c>
      <c r="ZE1314" s="191">
        <f t="shared" si="1382"/>
        <v>0</v>
      </c>
      <c r="ZF1314" s="191">
        <f t="shared" si="1382"/>
        <v>0</v>
      </c>
      <c r="ZG1314" s="191">
        <f t="shared" si="1382"/>
        <v>0</v>
      </c>
    </row>
    <row r="1315" spans="1:683" ht="36.75" customHeight="1" x14ac:dyDescent="0.25">
      <c r="A1315" s="353" t="s">
        <v>983</v>
      </c>
      <c r="B1315" s="105"/>
      <c r="C1315" s="113" t="s">
        <v>453</v>
      </c>
      <c r="D1315" s="1279"/>
      <c r="E1315" s="1280"/>
      <c r="F1315" s="129"/>
      <c r="G1315" s="129"/>
      <c r="H1315" s="129"/>
      <c r="I1315" s="192"/>
      <c r="J1315" s="192"/>
      <c r="K1315" s="192"/>
      <c r="L1315" s="185" t="s">
        <v>699</v>
      </c>
      <c r="M1315" s="185" t="s">
        <v>699</v>
      </c>
      <c r="N1315" s="185" t="s">
        <v>699</v>
      </c>
      <c r="O1315" s="185" t="s">
        <v>699</v>
      </c>
      <c r="P1315" s="185" t="s">
        <v>699</v>
      </c>
      <c r="Q1315" s="185" t="s">
        <v>699</v>
      </c>
      <c r="R1315" s="185" t="s">
        <v>699</v>
      </c>
      <c r="S1315" s="185" t="s">
        <v>699</v>
      </c>
      <c r="T1315" s="185" t="s">
        <v>699</v>
      </c>
      <c r="U1315" s="185" t="s">
        <v>699</v>
      </c>
      <c r="V1315" s="185" t="s">
        <v>699</v>
      </c>
      <c r="W1315" s="185" t="s">
        <v>699</v>
      </c>
      <c r="X1315" s="185" t="s">
        <v>699</v>
      </c>
      <c r="Y1315" s="185" t="s">
        <v>699</v>
      </c>
      <c r="Z1315" s="185" t="s">
        <v>699</v>
      </c>
      <c r="AA1315" s="154"/>
      <c r="AB1315" s="154"/>
      <c r="AC1315" s="154"/>
      <c r="AD1315" s="154"/>
      <c r="AE1315" s="154"/>
      <c r="AF1315" s="154"/>
      <c r="AG1315" s="185" t="s">
        <v>699</v>
      </c>
      <c r="AH1315" s="185" t="s">
        <v>699</v>
      </c>
      <c r="AI1315" s="185" t="s">
        <v>699</v>
      </c>
      <c r="AJ1315" s="185" t="s">
        <v>699</v>
      </c>
      <c r="AK1315" s="185" t="s">
        <v>699</v>
      </c>
      <c r="AL1315" s="185" t="s">
        <v>699</v>
      </c>
      <c r="AM1315" s="185" t="s">
        <v>699</v>
      </c>
      <c r="AN1315" s="185" t="s">
        <v>699</v>
      </c>
      <c r="AO1315" s="185" t="s">
        <v>699</v>
      </c>
      <c r="AP1315" s="185" t="s">
        <v>699</v>
      </c>
      <c r="AQ1315" s="185" t="s">
        <v>699</v>
      </c>
      <c r="AR1315" s="185" t="s">
        <v>699</v>
      </c>
      <c r="AS1315" s="185" t="s">
        <v>699</v>
      </c>
      <c r="AT1315" s="185" t="s">
        <v>699</v>
      </c>
      <c r="AU1315" s="185" t="s">
        <v>699</v>
      </c>
      <c r="AV1315" s="154"/>
      <c r="AW1315" s="154"/>
      <c r="AX1315" s="154"/>
      <c r="AY1315" s="154"/>
      <c r="AZ1315" s="154"/>
      <c r="BA1315" s="154"/>
      <c r="BB1315" s="185" t="s">
        <v>699</v>
      </c>
      <c r="BC1315" s="185" t="s">
        <v>699</v>
      </c>
      <c r="BD1315" s="185" t="s">
        <v>699</v>
      </c>
      <c r="BE1315" s="185" t="s">
        <v>699</v>
      </c>
      <c r="BF1315" s="185" t="s">
        <v>699</v>
      </c>
      <c r="BG1315" s="185" t="s">
        <v>699</v>
      </c>
      <c r="BH1315" s="185" t="s">
        <v>699</v>
      </c>
      <c r="BI1315" s="185" t="s">
        <v>699</v>
      </c>
      <c r="BJ1315" s="185" t="s">
        <v>699</v>
      </c>
      <c r="BK1315" s="185" t="s">
        <v>699</v>
      </c>
      <c r="BL1315" s="185" t="s">
        <v>699</v>
      </c>
      <c r="BM1315" s="185" t="s">
        <v>699</v>
      </c>
      <c r="BN1315" s="185" t="s">
        <v>699</v>
      </c>
      <c r="BO1315" s="185" t="s">
        <v>699</v>
      </c>
      <c r="BP1315" s="185" t="s">
        <v>699</v>
      </c>
      <c r="BQ1315" s="154"/>
      <c r="BR1315" s="154"/>
      <c r="BS1315" s="154"/>
      <c r="BT1315" s="154"/>
      <c r="BU1315" s="154"/>
      <c r="BV1315" s="154"/>
      <c r="BW1315" s="185" t="s">
        <v>699</v>
      </c>
      <c r="BX1315" s="185" t="s">
        <v>699</v>
      </c>
      <c r="BY1315" s="185" t="s">
        <v>699</v>
      </c>
      <c r="BZ1315" s="185" t="s">
        <v>699</v>
      </c>
      <c r="CA1315" s="185" t="s">
        <v>699</v>
      </c>
      <c r="CB1315" s="185" t="s">
        <v>699</v>
      </c>
      <c r="CC1315" s="185" t="s">
        <v>699</v>
      </c>
      <c r="CD1315" s="185" t="s">
        <v>699</v>
      </c>
      <c r="CE1315" s="185" t="s">
        <v>699</v>
      </c>
      <c r="CF1315" s="185" t="s">
        <v>699</v>
      </c>
      <c r="CG1315" s="185" t="s">
        <v>699</v>
      </c>
      <c r="CH1315" s="185" t="s">
        <v>699</v>
      </c>
      <c r="CI1315" s="185" t="s">
        <v>699</v>
      </c>
      <c r="CJ1315" s="185" t="s">
        <v>699</v>
      </c>
      <c r="CK1315" s="185" t="s">
        <v>699</v>
      </c>
      <c r="CL1315" s="154"/>
      <c r="CM1315" s="154"/>
      <c r="CN1315" s="154"/>
      <c r="CO1315" s="154"/>
      <c r="CP1315" s="154"/>
      <c r="CQ1315" s="154"/>
      <c r="CR1315" s="185" t="s">
        <v>699</v>
      </c>
      <c r="CS1315" s="185" t="s">
        <v>699</v>
      </c>
      <c r="CT1315" s="185" t="s">
        <v>699</v>
      </c>
      <c r="CU1315" s="185" t="s">
        <v>699</v>
      </c>
      <c r="CV1315" s="185" t="s">
        <v>699</v>
      </c>
      <c r="CW1315" s="185" t="s">
        <v>699</v>
      </c>
      <c r="CX1315" s="185" t="s">
        <v>699</v>
      </c>
      <c r="CY1315" s="185" t="s">
        <v>699</v>
      </c>
      <c r="CZ1315" s="185" t="s">
        <v>699</v>
      </c>
      <c r="DA1315" s="185" t="s">
        <v>699</v>
      </c>
      <c r="DB1315" s="185" t="s">
        <v>699</v>
      </c>
      <c r="DC1315" s="185" t="s">
        <v>699</v>
      </c>
      <c r="DD1315" s="185" t="s">
        <v>699</v>
      </c>
      <c r="DE1315" s="185" t="s">
        <v>699</v>
      </c>
      <c r="DF1315" s="185" t="s">
        <v>699</v>
      </c>
      <c r="DG1315" s="154"/>
      <c r="DH1315" s="154"/>
      <c r="DI1315" s="154"/>
      <c r="DJ1315" s="154"/>
      <c r="DK1315" s="154"/>
      <c r="DL1315" s="154"/>
      <c r="DM1315" s="185" t="s">
        <v>699</v>
      </c>
      <c r="DN1315" s="185" t="s">
        <v>699</v>
      </c>
      <c r="DO1315" s="185" t="s">
        <v>699</v>
      </c>
      <c r="DP1315" s="185" t="s">
        <v>699</v>
      </c>
      <c r="DQ1315" s="185" t="s">
        <v>699</v>
      </c>
      <c r="DR1315" s="185" t="s">
        <v>699</v>
      </c>
      <c r="DS1315" s="185" t="s">
        <v>699</v>
      </c>
      <c r="DT1315" s="185" t="s">
        <v>699</v>
      </c>
      <c r="DU1315" s="185" t="s">
        <v>699</v>
      </c>
      <c r="DV1315" s="185" t="s">
        <v>699</v>
      </c>
      <c r="DW1315" s="185" t="s">
        <v>699</v>
      </c>
      <c r="DX1315" s="185" t="s">
        <v>699</v>
      </c>
      <c r="DY1315" s="185" t="s">
        <v>699</v>
      </c>
      <c r="DZ1315" s="185" t="s">
        <v>699</v>
      </c>
      <c r="EA1315" s="185" t="s">
        <v>699</v>
      </c>
      <c r="EB1315" s="154"/>
      <c r="EC1315" s="154"/>
      <c r="ED1315" s="154"/>
      <c r="EE1315" s="154"/>
      <c r="EF1315" s="154"/>
      <c r="EG1315" s="154"/>
      <c r="EH1315" s="185" t="s">
        <v>699</v>
      </c>
      <c r="EI1315" s="185" t="s">
        <v>699</v>
      </c>
      <c r="EJ1315" s="185" t="s">
        <v>699</v>
      </c>
      <c r="EK1315" s="185" t="s">
        <v>699</v>
      </c>
      <c r="EL1315" s="185" t="s">
        <v>699</v>
      </c>
      <c r="EM1315" s="185" t="s">
        <v>699</v>
      </c>
      <c r="EN1315" s="185" t="s">
        <v>699</v>
      </c>
      <c r="EO1315" s="185" t="s">
        <v>699</v>
      </c>
      <c r="EP1315" s="185" t="s">
        <v>699</v>
      </c>
      <c r="EQ1315" s="185" t="s">
        <v>699</v>
      </c>
      <c r="ER1315" s="185" t="s">
        <v>699</v>
      </c>
      <c r="ES1315" s="185" t="s">
        <v>699</v>
      </c>
      <c r="ET1315" s="185" t="s">
        <v>699</v>
      </c>
      <c r="EU1315" s="185" t="s">
        <v>699</v>
      </c>
      <c r="EV1315" s="185" t="s">
        <v>699</v>
      </c>
      <c r="EW1315" s="154"/>
      <c r="EX1315" s="154"/>
      <c r="EY1315" s="154"/>
      <c r="EZ1315" s="154"/>
      <c r="FA1315" s="154"/>
      <c r="FB1315" s="154"/>
      <c r="FC1315" s="185" t="s">
        <v>699</v>
      </c>
      <c r="FD1315" s="185" t="s">
        <v>699</v>
      </c>
      <c r="FE1315" s="185" t="s">
        <v>699</v>
      </c>
      <c r="FF1315" s="185" t="s">
        <v>699</v>
      </c>
      <c r="FG1315" s="185" t="s">
        <v>699</v>
      </c>
      <c r="FH1315" s="185" t="s">
        <v>699</v>
      </c>
      <c r="FI1315" s="185" t="s">
        <v>699</v>
      </c>
      <c r="FJ1315" s="185" t="s">
        <v>699</v>
      </c>
      <c r="FK1315" s="185" t="s">
        <v>699</v>
      </c>
      <c r="FL1315" s="185" t="s">
        <v>699</v>
      </c>
      <c r="FM1315" s="185" t="s">
        <v>699</v>
      </c>
      <c r="FN1315" s="185" t="s">
        <v>699</v>
      </c>
      <c r="FO1315" s="185" t="s">
        <v>699</v>
      </c>
      <c r="FP1315" s="185" t="s">
        <v>699</v>
      </c>
      <c r="FQ1315" s="185" t="s">
        <v>699</v>
      </c>
      <c r="FR1315" s="154"/>
      <c r="FS1315" s="154"/>
      <c r="FT1315" s="154"/>
      <c r="FU1315" s="154"/>
      <c r="FV1315" s="154"/>
      <c r="FW1315" s="154"/>
      <c r="FX1315" s="185" t="s">
        <v>699</v>
      </c>
      <c r="FY1315" s="185" t="s">
        <v>699</v>
      </c>
      <c r="FZ1315" s="185" t="s">
        <v>699</v>
      </c>
      <c r="GA1315" s="185" t="s">
        <v>699</v>
      </c>
      <c r="GB1315" s="185" t="s">
        <v>699</v>
      </c>
      <c r="GC1315" s="185" t="s">
        <v>699</v>
      </c>
      <c r="GD1315" s="185" t="s">
        <v>699</v>
      </c>
      <c r="GE1315" s="185" t="s">
        <v>699</v>
      </c>
      <c r="GF1315" s="185" t="s">
        <v>699</v>
      </c>
      <c r="GG1315" s="185" t="s">
        <v>699</v>
      </c>
      <c r="GH1315" s="185" t="s">
        <v>699</v>
      </c>
      <c r="GI1315" s="185" t="s">
        <v>699</v>
      </c>
      <c r="GJ1315" s="185" t="s">
        <v>699</v>
      </c>
      <c r="GK1315" s="185" t="s">
        <v>699</v>
      </c>
      <c r="GL1315" s="185" t="s">
        <v>699</v>
      </c>
      <c r="GM1315" s="154"/>
      <c r="GN1315" s="154"/>
      <c r="GO1315" s="154"/>
      <c r="GP1315" s="154"/>
      <c r="GQ1315" s="154"/>
      <c r="GR1315" s="154"/>
      <c r="GS1315" s="185" t="s">
        <v>699</v>
      </c>
      <c r="GT1315" s="185" t="s">
        <v>699</v>
      </c>
      <c r="GU1315" s="185" t="s">
        <v>699</v>
      </c>
      <c r="GV1315" s="185" t="s">
        <v>699</v>
      </c>
      <c r="GW1315" s="185" t="s">
        <v>699</v>
      </c>
      <c r="GX1315" s="185" t="s">
        <v>699</v>
      </c>
      <c r="GY1315" s="185" t="s">
        <v>699</v>
      </c>
      <c r="GZ1315" s="185" t="s">
        <v>699</v>
      </c>
      <c r="HA1315" s="185" t="s">
        <v>699</v>
      </c>
      <c r="HB1315" s="185" t="s">
        <v>699</v>
      </c>
      <c r="HC1315" s="185" t="s">
        <v>699</v>
      </c>
      <c r="HD1315" s="185" t="s">
        <v>699</v>
      </c>
      <c r="HE1315" s="185" t="s">
        <v>699</v>
      </c>
      <c r="HF1315" s="185" t="s">
        <v>699</v>
      </c>
      <c r="HG1315" s="185" t="s">
        <v>699</v>
      </c>
      <c r="HH1315" s="154"/>
      <c r="HI1315" s="154"/>
      <c r="HJ1315" s="154"/>
      <c r="HK1315" s="154"/>
      <c r="HL1315" s="154"/>
      <c r="HM1315" s="154"/>
      <c r="HN1315" s="185" t="s">
        <v>699</v>
      </c>
      <c r="HO1315" s="185" t="s">
        <v>699</v>
      </c>
      <c r="HP1315" s="185" t="s">
        <v>699</v>
      </c>
      <c r="HQ1315" s="185" t="s">
        <v>699</v>
      </c>
      <c r="HR1315" s="185" t="s">
        <v>699</v>
      </c>
      <c r="HS1315" s="185" t="s">
        <v>699</v>
      </c>
      <c r="HT1315" s="185" t="s">
        <v>699</v>
      </c>
      <c r="HU1315" s="185" t="s">
        <v>699</v>
      </c>
      <c r="HV1315" s="185" t="s">
        <v>699</v>
      </c>
      <c r="HW1315" s="185" t="s">
        <v>699</v>
      </c>
      <c r="HX1315" s="185" t="s">
        <v>699</v>
      </c>
      <c r="HY1315" s="185" t="s">
        <v>699</v>
      </c>
      <c r="HZ1315" s="185" t="s">
        <v>699</v>
      </c>
      <c r="IA1315" s="185" t="s">
        <v>699</v>
      </c>
      <c r="IB1315" s="185" t="s">
        <v>699</v>
      </c>
      <c r="IC1315" s="154"/>
      <c r="ID1315" s="154"/>
      <c r="IE1315" s="154"/>
      <c r="IF1315" s="154"/>
      <c r="IG1315" s="154"/>
      <c r="IH1315" s="154"/>
      <c r="II1315" s="185" t="s">
        <v>699</v>
      </c>
      <c r="IJ1315" s="185" t="s">
        <v>699</v>
      </c>
      <c r="IK1315" s="185" t="s">
        <v>699</v>
      </c>
      <c r="IL1315" s="185" t="s">
        <v>699</v>
      </c>
      <c r="IM1315" s="185" t="s">
        <v>699</v>
      </c>
      <c r="IN1315" s="185" t="s">
        <v>699</v>
      </c>
      <c r="IO1315" s="185" t="s">
        <v>699</v>
      </c>
      <c r="IP1315" s="185" t="s">
        <v>699</v>
      </c>
      <c r="IQ1315" s="185" t="s">
        <v>699</v>
      </c>
      <c r="IR1315" s="185" t="s">
        <v>699</v>
      </c>
      <c r="IS1315" s="185" t="s">
        <v>699</v>
      </c>
      <c r="IT1315" s="185" t="s">
        <v>699</v>
      </c>
      <c r="IU1315" s="185" t="s">
        <v>699</v>
      </c>
      <c r="IV1315" s="185" t="s">
        <v>699</v>
      </c>
      <c r="IW1315" s="185" t="s">
        <v>699</v>
      </c>
      <c r="IX1315" s="154"/>
      <c r="IY1315" s="154"/>
      <c r="IZ1315" s="154"/>
      <c r="JA1315" s="154"/>
      <c r="JB1315" s="154"/>
      <c r="JC1315" s="154"/>
      <c r="JD1315" s="185" t="s">
        <v>699</v>
      </c>
      <c r="JE1315" s="185" t="s">
        <v>699</v>
      </c>
      <c r="JF1315" s="185" t="s">
        <v>699</v>
      </c>
      <c r="JG1315" s="185" t="s">
        <v>699</v>
      </c>
      <c r="JH1315" s="185" t="s">
        <v>699</v>
      </c>
      <c r="JI1315" s="185" t="s">
        <v>699</v>
      </c>
      <c r="JJ1315" s="185" t="s">
        <v>699</v>
      </c>
      <c r="JK1315" s="185" t="s">
        <v>699</v>
      </c>
      <c r="JL1315" s="185" t="s">
        <v>699</v>
      </c>
      <c r="JM1315" s="185" t="s">
        <v>699</v>
      </c>
      <c r="JN1315" s="185" t="s">
        <v>699</v>
      </c>
      <c r="JO1315" s="185" t="s">
        <v>699</v>
      </c>
      <c r="JP1315" s="185" t="s">
        <v>699</v>
      </c>
      <c r="JQ1315" s="185" t="s">
        <v>699</v>
      </c>
      <c r="JR1315" s="185" t="s">
        <v>699</v>
      </c>
      <c r="JS1315" s="154"/>
      <c r="JT1315" s="154"/>
      <c r="JU1315" s="154"/>
      <c r="JV1315" s="154"/>
      <c r="JW1315" s="154"/>
      <c r="JX1315" s="154"/>
      <c r="JY1315" s="185" t="s">
        <v>699</v>
      </c>
      <c r="JZ1315" s="185" t="s">
        <v>699</v>
      </c>
      <c r="KA1315" s="185" t="s">
        <v>699</v>
      </c>
      <c r="KB1315" s="185" t="s">
        <v>699</v>
      </c>
      <c r="KC1315" s="185" t="s">
        <v>699</v>
      </c>
      <c r="KD1315" s="185" t="s">
        <v>699</v>
      </c>
      <c r="KE1315" s="185" t="s">
        <v>699</v>
      </c>
      <c r="KF1315" s="185" t="s">
        <v>699</v>
      </c>
      <c r="KG1315" s="185" t="s">
        <v>699</v>
      </c>
      <c r="KH1315" s="185" t="s">
        <v>699</v>
      </c>
      <c r="KI1315" s="185" t="s">
        <v>699</v>
      </c>
      <c r="KJ1315" s="185" t="s">
        <v>699</v>
      </c>
      <c r="KK1315" s="185" t="s">
        <v>699</v>
      </c>
      <c r="KL1315" s="185" t="s">
        <v>699</v>
      </c>
      <c r="KM1315" s="185" t="s">
        <v>699</v>
      </c>
      <c r="KN1315" s="154"/>
      <c r="KO1315" s="154"/>
      <c r="KP1315" s="154"/>
      <c r="KQ1315" s="154"/>
      <c r="KR1315" s="154"/>
      <c r="KS1315" s="154"/>
      <c r="KT1315" s="185" t="s">
        <v>699</v>
      </c>
      <c r="KU1315" s="185" t="s">
        <v>699</v>
      </c>
      <c r="KV1315" s="185" t="s">
        <v>699</v>
      </c>
      <c r="KW1315" s="185" t="s">
        <v>699</v>
      </c>
      <c r="KX1315" s="185" t="s">
        <v>699</v>
      </c>
      <c r="KY1315" s="185" t="s">
        <v>699</v>
      </c>
      <c r="KZ1315" s="185" t="s">
        <v>699</v>
      </c>
      <c r="LA1315" s="185" t="s">
        <v>699</v>
      </c>
      <c r="LB1315" s="185" t="s">
        <v>699</v>
      </c>
      <c r="LC1315" s="185" t="s">
        <v>699</v>
      </c>
      <c r="LD1315" s="185" t="s">
        <v>699</v>
      </c>
      <c r="LE1315" s="185" t="s">
        <v>699</v>
      </c>
      <c r="LF1315" s="185" t="s">
        <v>699</v>
      </c>
      <c r="LG1315" s="185" t="s">
        <v>699</v>
      </c>
      <c r="LH1315" s="185" t="s">
        <v>699</v>
      </c>
      <c r="LI1315" s="154"/>
      <c r="LJ1315" s="154"/>
      <c r="LK1315" s="154"/>
      <c r="LL1315" s="154"/>
      <c r="LM1315" s="154"/>
      <c r="LN1315" s="154"/>
      <c r="LO1315" s="185" t="s">
        <v>699</v>
      </c>
      <c r="LP1315" s="185" t="s">
        <v>699</v>
      </c>
      <c r="LQ1315" s="185" t="s">
        <v>699</v>
      </c>
      <c r="LR1315" s="185" t="s">
        <v>699</v>
      </c>
      <c r="LS1315" s="185" t="s">
        <v>699</v>
      </c>
      <c r="LT1315" s="185" t="s">
        <v>699</v>
      </c>
      <c r="LU1315" s="185" t="s">
        <v>699</v>
      </c>
      <c r="LV1315" s="185" t="s">
        <v>699</v>
      </c>
      <c r="LW1315" s="185" t="s">
        <v>699</v>
      </c>
      <c r="LX1315" s="185" t="s">
        <v>699</v>
      </c>
      <c r="LY1315" s="185" t="s">
        <v>699</v>
      </c>
      <c r="LZ1315" s="185" t="s">
        <v>699</v>
      </c>
      <c r="MA1315" s="185" t="s">
        <v>699</v>
      </c>
      <c r="MB1315" s="185" t="s">
        <v>699</v>
      </c>
      <c r="MC1315" s="185" t="s">
        <v>699</v>
      </c>
      <c r="MD1315" s="154"/>
      <c r="ME1315" s="154"/>
      <c r="MF1315" s="154"/>
      <c r="MG1315" s="154"/>
      <c r="MH1315" s="154"/>
      <c r="MI1315" s="154"/>
      <c r="MJ1315" s="185" t="s">
        <v>699</v>
      </c>
      <c r="MK1315" s="185" t="s">
        <v>699</v>
      </c>
      <c r="ML1315" s="185" t="s">
        <v>699</v>
      </c>
      <c r="MM1315" s="185" t="s">
        <v>699</v>
      </c>
      <c r="MN1315" s="185" t="s">
        <v>699</v>
      </c>
      <c r="MO1315" s="185" t="s">
        <v>699</v>
      </c>
      <c r="MP1315" s="185" t="s">
        <v>699</v>
      </c>
      <c r="MQ1315" s="185" t="s">
        <v>699</v>
      </c>
      <c r="MR1315" s="185" t="s">
        <v>699</v>
      </c>
      <c r="MS1315" s="185" t="s">
        <v>699</v>
      </c>
      <c r="MT1315" s="185" t="s">
        <v>699</v>
      </c>
      <c r="MU1315" s="185" t="s">
        <v>699</v>
      </c>
      <c r="MV1315" s="185" t="s">
        <v>699</v>
      </c>
      <c r="MW1315" s="185" t="s">
        <v>699</v>
      </c>
      <c r="MX1315" s="185" t="s">
        <v>699</v>
      </c>
      <c r="MY1315" s="154"/>
      <c r="MZ1315" s="154"/>
      <c r="NA1315" s="154"/>
      <c r="NB1315" s="154"/>
      <c r="NC1315" s="154"/>
      <c r="ND1315" s="154"/>
      <c r="NE1315" s="185" t="s">
        <v>699</v>
      </c>
      <c r="NF1315" s="185" t="s">
        <v>699</v>
      </c>
      <c r="NG1315" s="185" t="s">
        <v>699</v>
      </c>
      <c r="NH1315" s="185" t="s">
        <v>699</v>
      </c>
      <c r="NI1315" s="185" t="s">
        <v>699</v>
      </c>
      <c r="NJ1315" s="185" t="s">
        <v>699</v>
      </c>
      <c r="NK1315" s="185" t="s">
        <v>699</v>
      </c>
      <c r="NL1315" s="185" t="s">
        <v>699</v>
      </c>
      <c r="NM1315" s="185" t="s">
        <v>699</v>
      </c>
      <c r="NN1315" s="185" t="s">
        <v>699</v>
      </c>
      <c r="NO1315" s="185" t="s">
        <v>699</v>
      </c>
      <c r="NP1315" s="185" t="s">
        <v>699</v>
      </c>
      <c r="NQ1315" s="185" t="s">
        <v>699</v>
      </c>
      <c r="NR1315" s="185" t="s">
        <v>699</v>
      </c>
      <c r="NS1315" s="185" t="s">
        <v>699</v>
      </c>
      <c r="NT1315" s="154"/>
      <c r="NU1315" s="154"/>
      <c r="NV1315" s="154"/>
      <c r="NW1315" s="154"/>
      <c r="NX1315" s="154"/>
      <c r="NY1315" s="154"/>
      <c r="NZ1315" s="185" t="s">
        <v>699</v>
      </c>
      <c r="OA1315" s="185" t="s">
        <v>699</v>
      </c>
      <c r="OB1315" s="185" t="s">
        <v>699</v>
      </c>
      <c r="OC1315" s="185" t="s">
        <v>699</v>
      </c>
      <c r="OD1315" s="185" t="s">
        <v>699</v>
      </c>
      <c r="OE1315" s="185" t="s">
        <v>699</v>
      </c>
      <c r="OF1315" s="185" t="s">
        <v>699</v>
      </c>
      <c r="OG1315" s="185" t="s">
        <v>699</v>
      </c>
      <c r="OH1315" s="185" t="s">
        <v>699</v>
      </c>
      <c r="OI1315" s="185" t="s">
        <v>699</v>
      </c>
      <c r="OJ1315" s="185" t="s">
        <v>699</v>
      </c>
      <c r="OK1315" s="185" t="s">
        <v>699</v>
      </c>
      <c r="OL1315" s="185" t="s">
        <v>699</v>
      </c>
      <c r="OM1315" s="185" t="s">
        <v>699</v>
      </c>
      <c r="ON1315" s="185" t="s">
        <v>699</v>
      </c>
      <c r="OO1315" s="154"/>
      <c r="OP1315" s="154"/>
      <c r="OQ1315" s="154"/>
      <c r="OR1315" s="154"/>
      <c r="OS1315" s="154"/>
      <c r="OT1315" s="154"/>
      <c r="OU1315" s="185" t="s">
        <v>699</v>
      </c>
      <c r="OV1315" s="185" t="s">
        <v>699</v>
      </c>
      <c r="OW1315" s="185" t="s">
        <v>699</v>
      </c>
      <c r="OX1315" s="185" t="s">
        <v>699</v>
      </c>
      <c r="OY1315" s="185" t="s">
        <v>699</v>
      </c>
      <c r="OZ1315" s="185" t="s">
        <v>699</v>
      </c>
      <c r="PA1315" s="185" t="s">
        <v>699</v>
      </c>
      <c r="PB1315" s="185" t="s">
        <v>699</v>
      </c>
      <c r="PC1315" s="185" t="s">
        <v>699</v>
      </c>
      <c r="PD1315" s="185" t="s">
        <v>699</v>
      </c>
      <c r="PE1315" s="185" t="s">
        <v>699</v>
      </c>
      <c r="PF1315" s="185" t="s">
        <v>699</v>
      </c>
      <c r="PG1315" s="185" t="s">
        <v>699</v>
      </c>
      <c r="PH1315" s="185" t="s">
        <v>699</v>
      </c>
      <c r="PI1315" s="185" t="s">
        <v>699</v>
      </c>
      <c r="PJ1315" s="154"/>
      <c r="PK1315" s="154"/>
      <c r="PL1315" s="154"/>
      <c r="PM1315" s="154"/>
      <c r="PN1315" s="154"/>
      <c r="PO1315" s="154"/>
      <c r="PP1315" s="185" t="s">
        <v>699</v>
      </c>
      <c r="PQ1315" s="185" t="s">
        <v>699</v>
      </c>
      <c r="PR1315" s="185" t="s">
        <v>699</v>
      </c>
      <c r="PS1315" s="185" t="s">
        <v>699</v>
      </c>
      <c r="PT1315" s="185" t="s">
        <v>699</v>
      </c>
      <c r="PU1315" s="185" t="s">
        <v>699</v>
      </c>
      <c r="PV1315" s="185" t="s">
        <v>699</v>
      </c>
      <c r="PW1315" s="185" t="s">
        <v>699</v>
      </c>
      <c r="PX1315" s="185" t="s">
        <v>699</v>
      </c>
      <c r="PY1315" s="185" t="s">
        <v>699</v>
      </c>
      <c r="PZ1315" s="185" t="s">
        <v>699</v>
      </c>
      <c r="QA1315" s="185" t="s">
        <v>699</v>
      </c>
      <c r="QB1315" s="185" t="s">
        <v>699</v>
      </c>
      <c r="QC1315" s="185" t="s">
        <v>699</v>
      </c>
      <c r="QD1315" s="185" t="s">
        <v>699</v>
      </c>
      <c r="QE1315" s="154"/>
      <c r="QF1315" s="154"/>
      <c r="QG1315" s="154"/>
      <c r="QH1315" s="154"/>
      <c r="QI1315" s="154"/>
      <c r="QJ1315" s="154"/>
      <c r="QK1315" s="185" t="s">
        <v>699</v>
      </c>
      <c r="QL1315" s="185" t="s">
        <v>699</v>
      </c>
      <c r="QM1315" s="185" t="s">
        <v>699</v>
      </c>
      <c r="QN1315" s="185" t="s">
        <v>699</v>
      </c>
      <c r="QO1315" s="185" t="s">
        <v>699</v>
      </c>
      <c r="QP1315" s="185" t="s">
        <v>699</v>
      </c>
      <c r="QQ1315" s="185" t="s">
        <v>699</v>
      </c>
      <c r="QR1315" s="185" t="s">
        <v>699</v>
      </c>
      <c r="QS1315" s="185" t="s">
        <v>699</v>
      </c>
      <c r="QT1315" s="185" t="s">
        <v>699</v>
      </c>
      <c r="QU1315" s="185" t="s">
        <v>699</v>
      </c>
      <c r="QV1315" s="185" t="s">
        <v>699</v>
      </c>
      <c r="QW1315" s="185" t="s">
        <v>699</v>
      </c>
      <c r="QX1315" s="185" t="s">
        <v>699</v>
      </c>
      <c r="QY1315" s="185" t="s">
        <v>699</v>
      </c>
      <c r="QZ1315" s="154"/>
      <c r="RA1315" s="154"/>
      <c r="RB1315" s="154"/>
      <c r="RC1315" s="154"/>
      <c r="RD1315" s="154"/>
      <c r="RE1315" s="154"/>
      <c r="RF1315" s="185" t="s">
        <v>699</v>
      </c>
      <c r="RG1315" s="185" t="s">
        <v>699</v>
      </c>
      <c r="RH1315" s="185" t="s">
        <v>699</v>
      </c>
      <c r="RI1315" s="185" t="s">
        <v>699</v>
      </c>
      <c r="RJ1315" s="185" t="s">
        <v>699</v>
      </c>
      <c r="RK1315" s="185" t="s">
        <v>699</v>
      </c>
      <c r="RL1315" s="185" t="s">
        <v>699</v>
      </c>
      <c r="RM1315" s="185" t="s">
        <v>699</v>
      </c>
      <c r="RN1315" s="185" t="s">
        <v>699</v>
      </c>
      <c r="RO1315" s="185" t="s">
        <v>699</v>
      </c>
      <c r="RP1315" s="185" t="s">
        <v>699</v>
      </c>
      <c r="RQ1315" s="185" t="s">
        <v>699</v>
      </c>
      <c r="RR1315" s="185" t="s">
        <v>699</v>
      </c>
      <c r="RS1315" s="185" t="s">
        <v>699</v>
      </c>
      <c r="RT1315" s="185" t="s">
        <v>699</v>
      </c>
      <c r="RU1315" s="154"/>
      <c r="RV1315" s="154"/>
      <c r="RW1315" s="154"/>
      <c r="RX1315" s="154"/>
      <c r="RY1315" s="154"/>
      <c r="RZ1315" s="154"/>
      <c r="SA1315" s="185" t="s">
        <v>699</v>
      </c>
      <c r="SB1315" s="185" t="s">
        <v>699</v>
      </c>
      <c r="SC1315" s="185" t="s">
        <v>699</v>
      </c>
      <c r="SD1315" s="185" t="s">
        <v>699</v>
      </c>
      <c r="SE1315" s="185" t="s">
        <v>699</v>
      </c>
      <c r="SF1315" s="185" t="s">
        <v>699</v>
      </c>
      <c r="SG1315" s="185" t="s">
        <v>699</v>
      </c>
      <c r="SH1315" s="185" t="s">
        <v>699</v>
      </c>
      <c r="SI1315" s="185" t="s">
        <v>699</v>
      </c>
      <c r="SJ1315" s="185" t="s">
        <v>699</v>
      </c>
      <c r="SK1315" s="185" t="s">
        <v>699</v>
      </c>
      <c r="SL1315" s="185" t="s">
        <v>699</v>
      </c>
      <c r="SM1315" s="185" t="s">
        <v>699</v>
      </c>
      <c r="SN1315" s="185" t="s">
        <v>699</v>
      </c>
      <c r="SO1315" s="185" t="s">
        <v>699</v>
      </c>
      <c r="SP1315" s="154"/>
      <c r="SQ1315" s="154"/>
      <c r="SR1315" s="154"/>
      <c r="SS1315" s="154"/>
      <c r="ST1315" s="154"/>
      <c r="SU1315" s="154"/>
      <c r="SV1315" s="185" t="s">
        <v>699</v>
      </c>
      <c r="SW1315" s="185" t="s">
        <v>699</v>
      </c>
      <c r="SX1315" s="185" t="s">
        <v>699</v>
      </c>
      <c r="SY1315" s="185" t="s">
        <v>699</v>
      </c>
      <c r="SZ1315" s="185" t="s">
        <v>699</v>
      </c>
      <c r="TA1315" s="185" t="s">
        <v>699</v>
      </c>
      <c r="TB1315" s="185" t="s">
        <v>699</v>
      </c>
      <c r="TC1315" s="185" t="s">
        <v>699</v>
      </c>
      <c r="TD1315" s="185" t="s">
        <v>699</v>
      </c>
      <c r="TE1315" s="185" t="s">
        <v>699</v>
      </c>
      <c r="TF1315" s="185" t="s">
        <v>699</v>
      </c>
      <c r="TG1315" s="185" t="s">
        <v>699</v>
      </c>
      <c r="TH1315" s="185" t="s">
        <v>699</v>
      </c>
      <c r="TI1315" s="185" t="s">
        <v>699</v>
      </c>
      <c r="TJ1315" s="185" t="s">
        <v>699</v>
      </c>
      <c r="TK1315" s="154"/>
      <c r="TL1315" s="154"/>
      <c r="TM1315" s="154"/>
      <c r="TN1315" s="154"/>
      <c r="TO1315" s="154"/>
      <c r="TP1315" s="154"/>
      <c r="TQ1315" s="185" t="s">
        <v>699</v>
      </c>
      <c r="TR1315" s="185" t="s">
        <v>699</v>
      </c>
      <c r="TS1315" s="185" t="s">
        <v>699</v>
      </c>
      <c r="TT1315" s="185" t="s">
        <v>699</v>
      </c>
      <c r="TU1315" s="185" t="s">
        <v>699</v>
      </c>
      <c r="TV1315" s="185" t="s">
        <v>699</v>
      </c>
      <c r="TW1315" s="185" t="s">
        <v>699</v>
      </c>
      <c r="TX1315" s="185" t="s">
        <v>699</v>
      </c>
      <c r="TY1315" s="185" t="s">
        <v>699</v>
      </c>
      <c r="TZ1315" s="185" t="s">
        <v>699</v>
      </c>
      <c r="UA1315" s="185" t="s">
        <v>699</v>
      </c>
      <c r="UB1315" s="185" t="s">
        <v>699</v>
      </c>
      <c r="UC1315" s="185" t="s">
        <v>699</v>
      </c>
      <c r="UD1315" s="185" t="s">
        <v>699</v>
      </c>
      <c r="UE1315" s="185" t="s">
        <v>699</v>
      </c>
      <c r="UF1315" s="154"/>
      <c r="UG1315" s="154"/>
      <c r="UH1315" s="154"/>
      <c r="UI1315" s="154"/>
      <c r="UJ1315" s="154"/>
      <c r="UK1315" s="154"/>
      <c r="UL1315" s="185" t="s">
        <v>699</v>
      </c>
      <c r="UM1315" s="185" t="s">
        <v>699</v>
      </c>
      <c r="UN1315" s="185" t="s">
        <v>699</v>
      </c>
      <c r="UO1315" s="185" t="s">
        <v>699</v>
      </c>
      <c r="UP1315" s="185" t="s">
        <v>699</v>
      </c>
      <c r="UQ1315" s="185" t="s">
        <v>699</v>
      </c>
      <c r="UR1315" s="185" t="s">
        <v>699</v>
      </c>
      <c r="US1315" s="185" t="s">
        <v>699</v>
      </c>
      <c r="UT1315" s="185" t="s">
        <v>699</v>
      </c>
      <c r="UU1315" s="185" t="s">
        <v>699</v>
      </c>
      <c r="UV1315" s="185" t="s">
        <v>699</v>
      </c>
      <c r="UW1315" s="185" t="s">
        <v>699</v>
      </c>
      <c r="UX1315" s="185" t="s">
        <v>699</v>
      </c>
      <c r="UY1315" s="185" t="s">
        <v>699</v>
      </c>
      <c r="UZ1315" s="185" t="s">
        <v>699</v>
      </c>
      <c r="VA1315" s="154">
        <v>3038300</v>
      </c>
      <c r="VB1315" s="154">
        <v>3191800</v>
      </c>
      <c r="VC1315" s="154">
        <v>3319600</v>
      </c>
      <c r="VD1315" s="154">
        <v>779400</v>
      </c>
      <c r="VE1315" s="154">
        <v>821200</v>
      </c>
      <c r="VF1315" s="154">
        <v>872700</v>
      </c>
      <c r="VG1315" s="185" t="s">
        <v>699</v>
      </c>
      <c r="VH1315" s="185" t="s">
        <v>699</v>
      </c>
      <c r="VI1315" s="185" t="s">
        <v>699</v>
      </c>
      <c r="VJ1315" s="185" t="s">
        <v>699</v>
      </c>
      <c r="VK1315" s="185" t="s">
        <v>699</v>
      </c>
      <c r="VL1315" s="185" t="s">
        <v>699</v>
      </c>
      <c r="VM1315" s="185" t="s">
        <v>699</v>
      </c>
      <c r="VN1315" s="185" t="s">
        <v>699</v>
      </c>
      <c r="VO1315" s="185" t="s">
        <v>699</v>
      </c>
      <c r="VP1315" s="185" t="s">
        <v>699</v>
      </c>
      <c r="VQ1315" s="185" t="s">
        <v>699</v>
      </c>
      <c r="VR1315" s="185" t="s">
        <v>699</v>
      </c>
      <c r="VS1315" s="185" t="s">
        <v>699</v>
      </c>
      <c r="VT1315" s="185" t="s">
        <v>699</v>
      </c>
      <c r="VU1315" s="185" t="s">
        <v>699</v>
      </c>
      <c r="VV1315" s="154"/>
      <c r="VW1315" s="154"/>
      <c r="VX1315" s="154"/>
      <c r="VY1315" s="154"/>
      <c r="VZ1315" s="154"/>
      <c r="WA1315" s="154"/>
      <c r="WB1315" s="185" t="s">
        <v>699</v>
      </c>
      <c r="WC1315" s="185" t="s">
        <v>699</v>
      </c>
      <c r="WD1315" s="185" t="s">
        <v>699</v>
      </c>
      <c r="WE1315" s="185" t="s">
        <v>699</v>
      </c>
      <c r="WF1315" s="185" t="s">
        <v>699</v>
      </c>
      <c r="WG1315" s="185" t="s">
        <v>699</v>
      </c>
      <c r="WH1315" s="185" t="s">
        <v>699</v>
      </c>
      <c r="WI1315" s="185" t="s">
        <v>699</v>
      </c>
      <c r="WJ1315" s="185" t="s">
        <v>699</v>
      </c>
      <c r="WK1315" s="185" t="s">
        <v>699</v>
      </c>
      <c r="WL1315" s="185" t="s">
        <v>699</v>
      </c>
      <c r="WM1315" s="185" t="s">
        <v>699</v>
      </c>
      <c r="WN1315" s="185" t="s">
        <v>699</v>
      </c>
      <c r="WO1315" s="185" t="s">
        <v>699</v>
      </c>
      <c r="WP1315" s="185" t="s">
        <v>699</v>
      </c>
      <c r="WQ1315" s="154"/>
      <c r="WR1315" s="154"/>
      <c r="WS1315" s="154"/>
      <c r="WT1315" s="154"/>
      <c r="WU1315" s="154"/>
      <c r="WV1315" s="154"/>
      <c r="WW1315" s="185" t="s">
        <v>699</v>
      </c>
      <c r="WX1315" s="185" t="s">
        <v>699</v>
      </c>
      <c r="WY1315" s="185" t="s">
        <v>699</v>
      </c>
      <c r="WZ1315" s="185" t="s">
        <v>699</v>
      </c>
      <c r="XA1315" s="185" t="s">
        <v>699</v>
      </c>
      <c r="XB1315" s="185" t="s">
        <v>699</v>
      </c>
      <c r="XC1315" s="185" t="s">
        <v>699</v>
      </c>
      <c r="XD1315" s="185" t="s">
        <v>699</v>
      </c>
      <c r="XE1315" s="185" t="s">
        <v>699</v>
      </c>
      <c r="XF1315" s="185" t="s">
        <v>699</v>
      </c>
      <c r="XG1315" s="185" t="s">
        <v>699</v>
      </c>
      <c r="XH1315" s="185" t="s">
        <v>699</v>
      </c>
      <c r="XI1315" s="185" t="s">
        <v>699</v>
      </c>
      <c r="XJ1315" s="185" t="s">
        <v>699</v>
      </c>
      <c r="XK1315" s="185" t="s">
        <v>699</v>
      </c>
      <c r="XL1315" s="154"/>
      <c r="XM1315" s="154"/>
      <c r="XN1315" s="154"/>
      <c r="XO1315" s="154"/>
      <c r="XP1315" s="154"/>
      <c r="XQ1315" s="154"/>
      <c r="XR1315" s="185" t="s">
        <v>699</v>
      </c>
      <c r="XS1315" s="185" t="s">
        <v>699</v>
      </c>
      <c r="XT1315" s="185" t="s">
        <v>699</v>
      </c>
      <c r="XU1315" s="185" t="s">
        <v>699</v>
      </c>
      <c r="XV1315" s="185" t="s">
        <v>699</v>
      </c>
      <c r="XW1315" s="185" t="s">
        <v>699</v>
      </c>
      <c r="XX1315" s="185" t="s">
        <v>699</v>
      </c>
      <c r="XY1315" s="185" t="s">
        <v>699</v>
      </c>
      <c r="XZ1315" s="185" t="s">
        <v>699</v>
      </c>
      <c r="YA1315" s="185" t="s">
        <v>699</v>
      </c>
      <c r="YB1315" s="185" t="s">
        <v>699</v>
      </c>
      <c r="YC1315" s="185" t="s">
        <v>699</v>
      </c>
      <c r="YD1315" s="185" t="s">
        <v>699</v>
      </c>
      <c r="YE1315" s="185" t="s">
        <v>699</v>
      </c>
      <c r="YF1315" s="185" t="s">
        <v>699</v>
      </c>
      <c r="YG1315" s="154"/>
      <c r="YH1315" s="154"/>
      <c r="YI1315" s="154"/>
      <c r="YJ1315" s="154"/>
      <c r="YK1315" s="154"/>
      <c r="YL1315" s="154"/>
      <c r="YM1315" s="185" t="s">
        <v>699</v>
      </c>
      <c r="YN1315" s="185" t="s">
        <v>699</v>
      </c>
      <c r="YO1315" s="185" t="s">
        <v>699</v>
      </c>
      <c r="YP1315" s="185" t="s">
        <v>699</v>
      </c>
      <c r="YQ1315" s="185" t="s">
        <v>699</v>
      </c>
      <c r="YR1315" s="185" t="s">
        <v>699</v>
      </c>
      <c r="YS1315" s="185" t="s">
        <v>699</v>
      </c>
      <c r="YT1315" s="185" t="s">
        <v>699</v>
      </c>
      <c r="YU1315" s="185" t="s">
        <v>699</v>
      </c>
      <c r="YV1315" s="185" t="s">
        <v>699</v>
      </c>
      <c r="YW1315" s="185" t="s">
        <v>699</v>
      </c>
      <c r="YX1315" s="185" t="s">
        <v>699</v>
      </c>
      <c r="YY1315" s="185" t="s">
        <v>699</v>
      </c>
      <c r="YZ1315" s="185" t="s">
        <v>699</v>
      </c>
      <c r="ZA1315" s="185" t="s">
        <v>699</v>
      </c>
      <c r="ZB1315" s="191">
        <f t="shared" si="1382"/>
        <v>3038300</v>
      </c>
      <c r="ZC1315" s="191">
        <f t="shared" si="1382"/>
        <v>3191800</v>
      </c>
      <c r="ZD1315" s="191">
        <f t="shared" si="1382"/>
        <v>3319600</v>
      </c>
      <c r="ZE1315" s="191">
        <f t="shared" si="1382"/>
        <v>779400</v>
      </c>
      <c r="ZF1315" s="191">
        <f t="shared" si="1382"/>
        <v>821200</v>
      </c>
      <c r="ZG1315" s="191">
        <f t="shared" si="1382"/>
        <v>872700</v>
      </c>
    </row>
    <row r="1317" spans="1:683" s="158" customFormat="1" ht="41.25" customHeight="1" x14ac:dyDescent="0.25">
      <c r="A1317" s="184" t="s">
        <v>714</v>
      </c>
      <c r="B1317" s="331"/>
    </row>
    <row r="1318" spans="1:683" x14ac:dyDescent="0.25">
      <c r="A1318" s="347" t="s">
        <v>596</v>
      </c>
      <c r="B1318" s="106"/>
      <c r="C1318" s="113" t="s">
        <v>590</v>
      </c>
      <c r="D1318" s="1279"/>
      <c r="E1318" s="1280"/>
      <c r="F1318" s="185" t="s">
        <v>699</v>
      </c>
      <c r="G1318" s="185" t="s">
        <v>699</v>
      </c>
      <c r="H1318" s="185" t="s">
        <v>699</v>
      </c>
      <c r="I1318" s="185" t="s">
        <v>699</v>
      </c>
      <c r="J1318" s="185" t="s">
        <v>699</v>
      </c>
      <c r="K1318" s="185" t="s">
        <v>699</v>
      </c>
      <c r="L1318" s="129">
        <f t="shared" ref="L1318:T1318" si="1383">SUM(L1319:L1326)</f>
        <v>227</v>
      </c>
      <c r="M1318" s="129">
        <f t="shared" si="1383"/>
        <v>227</v>
      </c>
      <c r="N1318" s="129">
        <f t="shared" si="1383"/>
        <v>227</v>
      </c>
      <c r="O1318" s="129">
        <f t="shared" si="1383"/>
        <v>23714674</v>
      </c>
      <c r="P1318" s="129">
        <f t="shared" si="1383"/>
        <v>24190334</v>
      </c>
      <c r="Q1318" s="129">
        <f t="shared" si="1383"/>
        <v>24588440</v>
      </c>
      <c r="R1318" s="129">
        <f t="shared" si="1383"/>
        <v>1507663.38</v>
      </c>
      <c r="S1318" s="129">
        <f t="shared" si="1383"/>
        <v>1537097.62</v>
      </c>
      <c r="T1318" s="129">
        <f t="shared" si="1383"/>
        <v>1558504.34</v>
      </c>
      <c r="U1318" s="185" t="s">
        <v>699</v>
      </c>
      <c r="V1318" s="185" t="s">
        <v>699</v>
      </c>
      <c r="W1318" s="185" t="s">
        <v>699</v>
      </c>
      <c r="X1318" s="185" t="s">
        <v>699</v>
      </c>
      <c r="Y1318" s="185" t="s">
        <v>699</v>
      </c>
      <c r="Z1318" s="185" t="s">
        <v>699</v>
      </c>
      <c r="AA1318" s="129">
        <f t="shared" ref="AA1318:AO1318" si="1384">SUM(AA1319:AA1326)</f>
        <v>10233008.210000001</v>
      </c>
      <c r="AB1318" s="129">
        <f t="shared" si="1384"/>
        <v>10778604.18</v>
      </c>
      <c r="AC1318" s="129">
        <f t="shared" si="1384"/>
        <v>11369337.85</v>
      </c>
      <c r="AD1318" s="129">
        <f t="shared" si="1384"/>
        <v>1182205.74</v>
      </c>
      <c r="AE1318" s="129">
        <f t="shared" si="1384"/>
        <v>1217700.71</v>
      </c>
      <c r="AF1318" s="129">
        <f t="shared" si="1384"/>
        <v>1231172</v>
      </c>
      <c r="AG1318" s="129">
        <f t="shared" si="1384"/>
        <v>491</v>
      </c>
      <c r="AH1318" s="129">
        <f t="shared" si="1384"/>
        <v>491</v>
      </c>
      <c r="AI1318" s="129">
        <f t="shared" si="1384"/>
        <v>491</v>
      </c>
      <c r="AJ1318" s="129">
        <f t="shared" si="1384"/>
        <v>51960102</v>
      </c>
      <c r="AK1318" s="129">
        <f t="shared" si="1384"/>
        <v>53028552</v>
      </c>
      <c r="AL1318" s="129">
        <f t="shared" si="1384"/>
        <v>53908230</v>
      </c>
      <c r="AM1318" s="129">
        <f t="shared" si="1384"/>
        <v>3258247.54</v>
      </c>
      <c r="AN1318" s="129">
        <f t="shared" si="1384"/>
        <v>3321804.66</v>
      </c>
      <c r="AO1318" s="129">
        <f t="shared" si="1384"/>
        <v>3368028.02</v>
      </c>
      <c r="AP1318" s="185" t="s">
        <v>699</v>
      </c>
      <c r="AQ1318" s="185" t="s">
        <v>699</v>
      </c>
      <c r="AR1318" s="185" t="s">
        <v>699</v>
      </c>
      <c r="AS1318" s="185" t="s">
        <v>699</v>
      </c>
      <c r="AT1318" s="185" t="s">
        <v>699</v>
      </c>
      <c r="AU1318" s="185" t="s">
        <v>699</v>
      </c>
      <c r="AV1318" s="129">
        <f t="shared" ref="AV1318:BJ1318" si="1385">SUM(AV1319:AV1326)</f>
        <v>20626340.899999999</v>
      </c>
      <c r="AW1318" s="129">
        <f t="shared" si="1385"/>
        <v>21733374.800000001</v>
      </c>
      <c r="AX1318" s="129">
        <f t="shared" si="1385"/>
        <v>22923818.219999999</v>
      </c>
      <c r="AY1318" s="129">
        <f t="shared" si="1385"/>
        <v>2037247.85</v>
      </c>
      <c r="AZ1318" s="129">
        <f t="shared" si="1385"/>
        <v>2130208.73</v>
      </c>
      <c r="BA1318" s="129">
        <f t="shared" si="1385"/>
        <v>2170641.81</v>
      </c>
      <c r="BB1318" s="129">
        <f t="shared" si="1385"/>
        <v>237</v>
      </c>
      <c r="BC1318" s="129">
        <f t="shared" si="1385"/>
        <v>237</v>
      </c>
      <c r="BD1318" s="129">
        <f t="shared" si="1385"/>
        <v>237</v>
      </c>
      <c r="BE1318" s="129">
        <f t="shared" si="1385"/>
        <v>25519292</v>
      </c>
      <c r="BF1318" s="129">
        <f t="shared" si="1385"/>
        <v>26061133</v>
      </c>
      <c r="BG1318" s="129">
        <f t="shared" si="1385"/>
        <v>26497993</v>
      </c>
      <c r="BH1318" s="129">
        <f t="shared" si="1385"/>
        <v>1570857.58</v>
      </c>
      <c r="BI1318" s="129">
        <f t="shared" si="1385"/>
        <v>1601463.98</v>
      </c>
      <c r="BJ1318" s="129">
        <f t="shared" si="1385"/>
        <v>1623723.18</v>
      </c>
      <c r="BK1318" s="185" t="s">
        <v>699</v>
      </c>
      <c r="BL1318" s="185" t="s">
        <v>699</v>
      </c>
      <c r="BM1318" s="185" t="s">
        <v>699</v>
      </c>
      <c r="BN1318" s="185" t="s">
        <v>699</v>
      </c>
      <c r="BO1318" s="185" t="s">
        <v>699</v>
      </c>
      <c r="BP1318" s="185" t="s">
        <v>699</v>
      </c>
      <c r="BQ1318" s="129">
        <f t="shared" ref="BQ1318:CE1318" si="1386">SUM(BQ1319:BQ1326)</f>
        <v>9556161.9600000009</v>
      </c>
      <c r="BR1318" s="129">
        <f t="shared" si="1386"/>
        <v>10055619.369999999</v>
      </c>
      <c r="BS1318" s="129">
        <f t="shared" si="1386"/>
        <v>10596725.17</v>
      </c>
      <c r="BT1318" s="129">
        <f t="shared" si="1386"/>
        <v>1049198.6399999999</v>
      </c>
      <c r="BU1318" s="129">
        <f t="shared" si="1386"/>
        <v>1097056.0900000001</v>
      </c>
      <c r="BV1318" s="129">
        <f t="shared" si="1386"/>
        <v>1115787.92</v>
      </c>
      <c r="BW1318" s="129">
        <f t="shared" si="1386"/>
        <v>309</v>
      </c>
      <c r="BX1318" s="129">
        <f t="shared" si="1386"/>
        <v>309</v>
      </c>
      <c r="BY1318" s="129">
        <f t="shared" si="1386"/>
        <v>309</v>
      </c>
      <c r="BZ1318" s="129">
        <f t="shared" si="1386"/>
        <v>35012071</v>
      </c>
      <c r="CA1318" s="129">
        <f t="shared" si="1386"/>
        <v>35681847</v>
      </c>
      <c r="CB1318" s="129">
        <f t="shared" si="1386"/>
        <v>36269073</v>
      </c>
      <c r="CC1318" s="129">
        <f t="shared" si="1386"/>
        <v>2206777.0099999998</v>
      </c>
      <c r="CD1318" s="129">
        <f t="shared" si="1386"/>
        <v>2252818.17</v>
      </c>
      <c r="CE1318" s="129">
        <f t="shared" si="1386"/>
        <v>2286302.65</v>
      </c>
      <c r="CF1318" s="185" t="s">
        <v>699</v>
      </c>
      <c r="CG1318" s="185" t="s">
        <v>699</v>
      </c>
      <c r="CH1318" s="185" t="s">
        <v>699</v>
      </c>
      <c r="CI1318" s="185" t="s">
        <v>699</v>
      </c>
      <c r="CJ1318" s="185" t="s">
        <v>699</v>
      </c>
      <c r="CK1318" s="185" t="s">
        <v>699</v>
      </c>
      <c r="CL1318" s="129">
        <f t="shared" ref="CL1318:CZ1318" si="1387">SUM(CL1319:CL1326)</f>
        <v>13540001.310000001</v>
      </c>
      <c r="CM1318" s="129">
        <f t="shared" si="1387"/>
        <v>14257373.939999999</v>
      </c>
      <c r="CN1318" s="129">
        <f t="shared" si="1387"/>
        <v>15037309.949999999</v>
      </c>
      <c r="CO1318" s="129">
        <f t="shared" si="1387"/>
        <v>2272255.58</v>
      </c>
      <c r="CP1318" s="129">
        <f t="shared" si="1387"/>
        <v>2331704.4700000002</v>
      </c>
      <c r="CQ1318" s="129">
        <f t="shared" si="1387"/>
        <v>2354923.2400000002</v>
      </c>
      <c r="CR1318" s="129">
        <f t="shared" si="1387"/>
        <v>441</v>
      </c>
      <c r="CS1318" s="129">
        <f t="shared" si="1387"/>
        <v>441</v>
      </c>
      <c r="CT1318" s="129">
        <f t="shared" si="1387"/>
        <v>441</v>
      </c>
      <c r="CU1318" s="129">
        <f t="shared" si="1387"/>
        <v>46116764</v>
      </c>
      <c r="CV1318" s="129">
        <f t="shared" si="1387"/>
        <v>47043553</v>
      </c>
      <c r="CW1318" s="129">
        <f t="shared" si="1387"/>
        <v>47818237</v>
      </c>
      <c r="CX1318" s="129">
        <f t="shared" si="1387"/>
        <v>2928791.74</v>
      </c>
      <c r="CY1318" s="129">
        <f t="shared" si="1387"/>
        <v>2985967.1</v>
      </c>
      <c r="CZ1318" s="129">
        <f t="shared" si="1387"/>
        <v>3027549.18</v>
      </c>
      <c r="DA1318" s="185" t="s">
        <v>699</v>
      </c>
      <c r="DB1318" s="185" t="s">
        <v>699</v>
      </c>
      <c r="DC1318" s="185" t="s">
        <v>699</v>
      </c>
      <c r="DD1318" s="185" t="s">
        <v>699</v>
      </c>
      <c r="DE1318" s="185" t="s">
        <v>699</v>
      </c>
      <c r="DF1318" s="185" t="s">
        <v>699</v>
      </c>
      <c r="DG1318" s="129">
        <f t="shared" ref="DG1318:DU1318" si="1388">SUM(DG1319:DG1326)</f>
        <v>17971780.760000002</v>
      </c>
      <c r="DH1318" s="129">
        <f t="shared" si="1388"/>
        <v>18925632.129999999</v>
      </c>
      <c r="DI1318" s="129">
        <f t="shared" si="1388"/>
        <v>19959967.379999999</v>
      </c>
      <c r="DJ1318" s="129">
        <f t="shared" si="1388"/>
        <v>1460009.2</v>
      </c>
      <c r="DK1318" s="129">
        <f t="shared" si="1388"/>
        <v>1503573.58</v>
      </c>
      <c r="DL1318" s="129">
        <f t="shared" si="1388"/>
        <v>1521830.16</v>
      </c>
      <c r="DM1318" s="129">
        <f t="shared" si="1388"/>
        <v>347</v>
      </c>
      <c r="DN1318" s="129">
        <f t="shared" si="1388"/>
        <v>347</v>
      </c>
      <c r="DO1318" s="129">
        <f t="shared" si="1388"/>
        <v>347</v>
      </c>
      <c r="DP1318" s="129">
        <f t="shared" si="1388"/>
        <v>35035896</v>
      </c>
      <c r="DQ1318" s="129">
        <f t="shared" si="1388"/>
        <v>35690685</v>
      </c>
      <c r="DR1318" s="129">
        <f t="shared" si="1388"/>
        <v>36265317</v>
      </c>
      <c r="DS1318" s="129">
        <f t="shared" si="1388"/>
        <v>2309819.38</v>
      </c>
      <c r="DT1318" s="129">
        <f t="shared" si="1388"/>
        <v>2355012.66</v>
      </c>
      <c r="DU1318" s="129">
        <f t="shared" si="1388"/>
        <v>2387880.5</v>
      </c>
      <c r="DV1318" s="185" t="s">
        <v>699</v>
      </c>
      <c r="DW1318" s="185" t="s">
        <v>699</v>
      </c>
      <c r="DX1318" s="185" t="s">
        <v>699</v>
      </c>
      <c r="DY1318" s="185" t="s">
        <v>699</v>
      </c>
      <c r="DZ1318" s="185" t="s">
        <v>699</v>
      </c>
      <c r="EA1318" s="185" t="s">
        <v>699</v>
      </c>
      <c r="EB1318" s="129">
        <f t="shared" ref="EB1318:EP1318" si="1389">SUM(EB1319:EB1326)</f>
        <v>14825370.27</v>
      </c>
      <c r="EC1318" s="129">
        <f t="shared" si="1389"/>
        <v>15614899.369999999</v>
      </c>
      <c r="ED1318" s="129">
        <f t="shared" si="1389"/>
        <v>16470296.01</v>
      </c>
      <c r="EE1318" s="129">
        <f t="shared" si="1389"/>
        <v>2411767.98</v>
      </c>
      <c r="EF1318" s="129">
        <f t="shared" si="1389"/>
        <v>2388789.64</v>
      </c>
      <c r="EG1318" s="129">
        <f t="shared" si="1389"/>
        <v>2415505.17</v>
      </c>
      <c r="EH1318" s="129">
        <f t="shared" si="1389"/>
        <v>258</v>
      </c>
      <c r="EI1318" s="129">
        <f t="shared" si="1389"/>
        <v>258</v>
      </c>
      <c r="EJ1318" s="129">
        <f t="shared" si="1389"/>
        <v>258</v>
      </c>
      <c r="EK1318" s="129">
        <f t="shared" si="1389"/>
        <v>29229496</v>
      </c>
      <c r="EL1318" s="129">
        <f t="shared" si="1389"/>
        <v>29905586</v>
      </c>
      <c r="EM1318" s="129">
        <f t="shared" si="1389"/>
        <v>30421610</v>
      </c>
      <c r="EN1318" s="129">
        <f t="shared" si="1389"/>
        <v>1703902.52</v>
      </c>
      <c r="EO1318" s="129">
        <f t="shared" si="1389"/>
        <v>1736983.48</v>
      </c>
      <c r="EP1318" s="129">
        <f t="shared" si="1389"/>
        <v>1761042.36</v>
      </c>
      <c r="EQ1318" s="185" t="s">
        <v>699</v>
      </c>
      <c r="ER1318" s="185" t="s">
        <v>699</v>
      </c>
      <c r="ES1318" s="185" t="s">
        <v>699</v>
      </c>
      <c r="ET1318" s="185" t="s">
        <v>699</v>
      </c>
      <c r="EU1318" s="185" t="s">
        <v>699</v>
      </c>
      <c r="EV1318" s="185" t="s">
        <v>699</v>
      </c>
      <c r="EW1318" s="129">
        <f t="shared" ref="EW1318:FK1318" si="1390">SUM(EW1319:EW1326)</f>
        <v>12225689.58</v>
      </c>
      <c r="EX1318" s="129">
        <f t="shared" si="1390"/>
        <v>12892981.16</v>
      </c>
      <c r="EY1318" s="129">
        <f t="shared" si="1390"/>
        <v>13601834.060000001</v>
      </c>
      <c r="EZ1318" s="129">
        <f t="shared" si="1390"/>
        <v>1493640.2</v>
      </c>
      <c r="FA1318" s="129">
        <f t="shared" si="1390"/>
        <v>1559089.82</v>
      </c>
      <c r="FB1318" s="129">
        <f t="shared" si="1390"/>
        <v>1587292.5</v>
      </c>
      <c r="FC1318" s="129">
        <f t="shared" si="1390"/>
        <v>311</v>
      </c>
      <c r="FD1318" s="129">
        <f t="shared" si="1390"/>
        <v>311</v>
      </c>
      <c r="FE1318" s="129">
        <f t="shared" si="1390"/>
        <v>311</v>
      </c>
      <c r="FF1318" s="129">
        <f t="shared" si="1390"/>
        <v>32195986</v>
      </c>
      <c r="FG1318" s="129">
        <f t="shared" si="1390"/>
        <v>32830154</v>
      </c>
      <c r="FH1318" s="129">
        <f t="shared" si="1390"/>
        <v>33367364</v>
      </c>
      <c r="FI1318" s="129">
        <f t="shared" si="1390"/>
        <v>2066812.74</v>
      </c>
      <c r="FJ1318" s="129">
        <f t="shared" si="1390"/>
        <v>2107187.14</v>
      </c>
      <c r="FK1318" s="129">
        <f t="shared" si="1390"/>
        <v>2136550.34</v>
      </c>
      <c r="FL1318" s="185" t="s">
        <v>699</v>
      </c>
      <c r="FM1318" s="185" t="s">
        <v>699</v>
      </c>
      <c r="FN1318" s="185" t="s">
        <v>699</v>
      </c>
      <c r="FO1318" s="185" t="s">
        <v>699</v>
      </c>
      <c r="FP1318" s="185" t="s">
        <v>699</v>
      </c>
      <c r="FQ1318" s="185" t="s">
        <v>699</v>
      </c>
      <c r="FR1318" s="129">
        <f t="shared" ref="FR1318:GF1318" si="1391">SUM(FR1319:FR1326)</f>
        <v>13083318.23</v>
      </c>
      <c r="FS1318" s="129">
        <f t="shared" si="1391"/>
        <v>13778945.4</v>
      </c>
      <c r="FT1318" s="129">
        <f t="shared" si="1391"/>
        <v>14532352.050000001</v>
      </c>
      <c r="FU1318" s="129">
        <f t="shared" si="1391"/>
        <v>1948638.9</v>
      </c>
      <c r="FV1318" s="129">
        <f t="shared" si="1391"/>
        <v>2046943.91</v>
      </c>
      <c r="FW1318" s="129">
        <f t="shared" si="1391"/>
        <v>2036598.34</v>
      </c>
      <c r="FX1318" s="129">
        <f t="shared" si="1391"/>
        <v>382</v>
      </c>
      <c r="FY1318" s="129">
        <f t="shared" si="1391"/>
        <v>382</v>
      </c>
      <c r="FZ1318" s="129">
        <f t="shared" si="1391"/>
        <v>382</v>
      </c>
      <c r="GA1318" s="129">
        <f t="shared" si="1391"/>
        <v>38569776</v>
      </c>
      <c r="GB1318" s="129">
        <f t="shared" si="1391"/>
        <v>39290610</v>
      </c>
      <c r="GC1318" s="129">
        <f t="shared" si="1391"/>
        <v>39923202</v>
      </c>
      <c r="GD1318" s="129">
        <f t="shared" si="1391"/>
        <v>2542798.2799999998</v>
      </c>
      <c r="GE1318" s="129">
        <f t="shared" si="1391"/>
        <v>2592549.96</v>
      </c>
      <c r="GF1318" s="129">
        <f t="shared" si="1391"/>
        <v>2628733</v>
      </c>
      <c r="GG1318" s="185" t="s">
        <v>699</v>
      </c>
      <c r="GH1318" s="185" t="s">
        <v>699</v>
      </c>
      <c r="GI1318" s="185" t="s">
        <v>699</v>
      </c>
      <c r="GJ1318" s="185" t="s">
        <v>699</v>
      </c>
      <c r="GK1318" s="185" t="s">
        <v>699</v>
      </c>
      <c r="GL1318" s="185" t="s">
        <v>699</v>
      </c>
      <c r="GM1318" s="129">
        <f t="shared" ref="GM1318:HA1318" si="1392">SUM(GM1319:GM1326)</f>
        <v>15648771.34</v>
      </c>
      <c r="GN1318" s="129">
        <f t="shared" si="1392"/>
        <v>16446559.24</v>
      </c>
      <c r="GO1318" s="129">
        <f t="shared" si="1392"/>
        <v>17332654.079999998</v>
      </c>
      <c r="GP1318" s="129">
        <f t="shared" si="1392"/>
        <v>1797611.78</v>
      </c>
      <c r="GQ1318" s="129">
        <f t="shared" si="1392"/>
        <v>2035338.02</v>
      </c>
      <c r="GR1318" s="129">
        <f t="shared" si="1392"/>
        <v>2193539.5</v>
      </c>
      <c r="GS1318" s="129">
        <f t="shared" si="1392"/>
        <v>325</v>
      </c>
      <c r="GT1318" s="129">
        <f t="shared" si="1392"/>
        <v>325</v>
      </c>
      <c r="GU1318" s="129">
        <f t="shared" si="1392"/>
        <v>325</v>
      </c>
      <c r="GV1318" s="129">
        <f t="shared" si="1392"/>
        <v>38014068</v>
      </c>
      <c r="GW1318" s="129">
        <f t="shared" si="1392"/>
        <v>38891828</v>
      </c>
      <c r="GX1318" s="129">
        <f t="shared" si="1392"/>
        <v>39565320</v>
      </c>
      <c r="GY1318" s="129">
        <f t="shared" si="1392"/>
        <v>2194486.4</v>
      </c>
      <c r="GZ1318" s="129">
        <f t="shared" si="1392"/>
        <v>2238018.2400000002</v>
      </c>
      <c r="HA1318" s="129">
        <f t="shared" si="1392"/>
        <v>2269677.7599999998</v>
      </c>
      <c r="HB1318" s="185" t="s">
        <v>699</v>
      </c>
      <c r="HC1318" s="185" t="s">
        <v>699</v>
      </c>
      <c r="HD1318" s="185" t="s">
        <v>699</v>
      </c>
      <c r="HE1318" s="185" t="s">
        <v>699</v>
      </c>
      <c r="HF1318" s="185" t="s">
        <v>699</v>
      </c>
      <c r="HG1318" s="185" t="s">
        <v>699</v>
      </c>
      <c r="HH1318" s="129">
        <f t="shared" ref="HH1318:HV1318" si="1393">SUM(HH1319:HH1326)</f>
        <v>16111740.619999999</v>
      </c>
      <c r="HI1318" s="129">
        <f t="shared" si="1393"/>
        <v>16999440.25</v>
      </c>
      <c r="HJ1318" s="129">
        <f t="shared" si="1393"/>
        <v>17936289.829999998</v>
      </c>
      <c r="HK1318" s="129">
        <f t="shared" si="1393"/>
        <v>1805049.38</v>
      </c>
      <c r="HL1318" s="129">
        <f t="shared" si="1393"/>
        <v>1879323.47</v>
      </c>
      <c r="HM1318" s="129">
        <f t="shared" si="1393"/>
        <v>1909286.72</v>
      </c>
      <c r="HN1318" s="129">
        <f t="shared" si="1393"/>
        <v>358</v>
      </c>
      <c r="HO1318" s="129">
        <f t="shared" si="1393"/>
        <v>358</v>
      </c>
      <c r="HP1318" s="129">
        <f t="shared" si="1393"/>
        <v>358</v>
      </c>
      <c r="HQ1318" s="129">
        <f t="shared" si="1393"/>
        <v>36941482</v>
      </c>
      <c r="HR1318" s="129">
        <f t="shared" si="1393"/>
        <v>37664339</v>
      </c>
      <c r="HS1318" s="129">
        <f t="shared" si="1393"/>
        <v>38279381</v>
      </c>
      <c r="HT1318" s="129">
        <f t="shared" si="1393"/>
        <v>2379670.12</v>
      </c>
      <c r="HU1318" s="129">
        <f t="shared" si="1393"/>
        <v>2426165.7999999998</v>
      </c>
      <c r="HV1318" s="129">
        <f t="shared" si="1393"/>
        <v>2459980.84</v>
      </c>
      <c r="HW1318" s="185" t="s">
        <v>699</v>
      </c>
      <c r="HX1318" s="185" t="s">
        <v>699</v>
      </c>
      <c r="HY1318" s="185" t="s">
        <v>699</v>
      </c>
      <c r="HZ1318" s="185" t="s">
        <v>699</v>
      </c>
      <c r="IA1318" s="185" t="s">
        <v>699</v>
      </c>
      <c r="IB1318" s="185" t="s">
        <v>699</v>
      </c>
      <c r="IC1318" s="129">
        <f t="shared" ref="IC1318:IQ1318" si="1394">SUM(IC1319:IC1326)</f>
        <v>15408803.33</v>
      </c>
      <c r="ID1318" s="129">
        <f t="shared" si="1394"/>
        <v>16225751.880000001</v>
      </c>
      <c r="IE1318" s="129">
        <f t="shared" si="1394"/>
        <v>17106448.82</v>
      </c>
      <c r="IF1318" s="129">
        <f t="shared" si="1394"/>
        <v>1867203.12</v>
      </c>
      <c r="IG1318" s="129">
        <f t="shared" si="1394"/>
        <v>1942296.8</v>
      </c>
      <c r="IH1318" s="129">
        <f t="shared" si="1394"/>
        <v>1939082.62</v>
      </c>
      <c r="II1318" s="129">
        <f t="shared" si="1394"/>
        <v>0</v>
      </c>
      <c r="IJ1318" s="129">
        <f t="shared" si="1394"/>
        <v>0</v>
      </c>
      <c r="IK1318" s="129">
        <f t="shared" si="1394"/>
        <v>0</v>
      </c>
      <c r="IL1318" s="129">
        <f t="shared" si="1394"/>
        <v>0</v>
      </c>
      <c r="IM1318" s="129">
        <f t="shared" si="1394"/>
        <v>0</v>
      </c>
      <c r="IN1318" s="129">
        <f t="shared" si="1394"/>
        <v>0</v>
      </c>
      <c r="IO1318" s="129">
        <f t="shared" si="1394"/>
        <v>0</v>
      </c>
      <c r="IP1318" s="129">
        <f t="shared" si="1394"/>
        <v>0</v>
      </c>
      <c r="IQ1318" s="129">
        <f t="shared" si="1394"/>
        <v>0</v>
      </c>
      <c r="IR1318" s="185" t="s">
        <v>699</v>
      </c>
      <c r="IS1318" s="185" t="s">
        <v>699</v>
      </c>
      <c r="IT1318" s="185" t="s">
        <v>699</v>
      </c>
      <c r="IU1318" s="185" t="s">
        <v>699</v>
      </c>
      <c r="IV1318" s="185" t="s">
        <v>699</v>
      </c>
      <c r="IW1318" s="185" t="s">
        <v>699</v>
      </c>
      <c r="IX1318" s="129">
        <f t="shared" ref="IX1318:JL1318" si="1395">SUM(IX1319:IX1326)</f>
        <v>0</v>
      </c>
      <c r="IY1318" s="129">
        <f t="shared" si="1395"/>
        <v>0</v>
      </c>
      <c r="IZ1318" s="129">
        <f t="shared" si="1395"/>
        <v>0</v>
      </c>
      <c r="JA1318" s="129">
        <f t="shared" si="1395"/>
        <v>0</v>
      </c>
      <c r="JB1318" s="129">
        <f t="shared" si="1395"/>
        <v>0</v>
      </c>
      <c r="JC1318" s="129">
        <f t="shared" si="1395"/>
        <v>0</v>
      </c>
      <c r="JD1318" s="129">
        <f t="shared" si="1395"/>
        <v>383</v>
      </c>
      <c r="JE1318" s="129">
        <f t="shared" si="1395"/>
        <v>383</v>
      </c>
      <c r="JF1318" s="129">
        <f t="shared" si="1395"/>
        <v>383</v>
      </c>
      <c r="JG1318" s="129">
        <f t="shared" si="1395"/>
        <v>43300300</v>
      </c>
      <c r="JH1318" s="129">
        <f t="shared" si="1395"/>
        <v>44186563</v>
      </c>
      <c r="JI1318" s="129">
        <f t="shared" si="1395"/>
        <v>44925259</v>
      </c>
      <c r="JJ1318" s="129">
        <f t="shared" si="1395"/>
        <v>2662644.42</v>
      </c>
      <c r="JK1318" s="129">
        <f t="shared" si="1395"/>
        <v>2716903.46</v>
      </c>
      <c r="JL1318" s="129">
        <f t="shared" si="1395"/>
        <v>2756364.58</v>
      </c>
      <c r="JM1318" s="185" t="s">
        <v>699</v>
      </c>
      <c r="JN1318" s="185" t="s">
        <v>699</v>
      </c>
      <c r="JO1318" s="185" t="s">
        <v>699</v>
      </c>
      <c r="JP1318" s="185" t="s">
        <v>699</v>
      </c>
      <c r="JQ1318" s="185" t="s">
        <v>699</v>
      </c>
      <c r="JR1318" s="185" t="s">
        <v>699</v>
      </c>
      <c r="JS1318" s="129">
        <f t="shared" ref="JS1318:KG1318" si="1396">SUM(JS1319:JS1326)</f>
        <v>16446707.91</v>
      </c>
      <c r="JT1318" s="129">
        <f t="shared" si="1396"/>
        <v>17323577.170000002</v>
      </c>
      <c r="JU1318" s="129">
        <f t="shared" si="1396"/>
        <v>18273912.280000001</v>
      </c>
      <c r="JV1318" s="129">
        <f t="shared" si="1396"/>
        <v>1722014.25</v>
      </c>
      <c r="JW1318" s="129">
        <f t="shared" si="1396"/>
        <v>1825356.23</v>
      </c>
      <c r="JX1318" s="129">
        <f t="shared" si="1396"/>
        <v>1856275.17</v>
      </c>
      <c r="JY1318" s="129">
        <f t="shared" si="1396"/>
        <v>384</v>
      </c>
      <c r="JZ1318" s="129">
        <f t="shared" si="1396"/>
        <v>384</v>
      </c>
      <c r="KA1318" s="129">
        <f t="shared" si="1396"/>
        <v>384</v>
      </c>
      <c r="KB1318" s="129">
        <f t="shared" si="1396"/>
        <v>45526038</v>
      </c>
      <c r="KC1318" s="129">
        <f t="shared" si="1396"/>
        <v>46579672</v>
      </c>
      <c r="KD1318" s="129">
        <f t="shared" si="1396"/>
        <v>47388077</v>
      </c>
      <c r="KE1318" s="129">
        <f t="shared" si="1396"/>
        <v>2613834.06</v>
      </c>
      <c r="KF1318" s="129">
        <f t="shared" si="1396"/>
        <v>2666079.2200000002</v>
      </c>
      <c r="KG1318" s="129">
        <f t="shared" si="1396"/>
        <v>2704075.7</v>
      </c>
      <c r="KH1318" s="185" t="s">
        <v>699</v>
      </c>
      <c r="KI1318" s="185" t="s">
        <v>699</v>
      </c>
      <c r="KJ1318" s="185" t="s">
        <v>699</v>
      </c>
      <c r="KK1318" s="185" t="s">
        <v>699</v>
      </c>
      <c r="KL1318" s="185" t="s">
        <v>699</v>
      </c>
      <c r="KM1318" s="185" t="s">
        <v>699</v>
      </c>
      <c r="KN1318" s="129">
        <f t="shared" ref="KN1318:LB1318" si="1397">SUM(KN1319:KN1326)</f>
        <v>17778105.539999999</v>
      </c>
      <c r="KO1318" s="129">
        <f t="shared" si="1397"/>
        <v>18759169.91</v>
      </c>
      <c r="KP1318" s="129">
        <f t="shared" si="1397"/>
        <v>19796210.190000001</v>
      </c>
      <c r="KQ1318" s="129">
        <f t="shared" si="1397"/>
        <v>1584712.49</v>
      </c>
      <c r="KR1318" s="129">
        <f t="shared" si="1397"/>
        <v>1660046.53</v>
      </c>
      <c r="KS1318" s="129">
        <f t="shared" si="1397"/>
        <v>1675748.87</v>
      </c>
      <c r="KT1318" s="129">
        <f t="shared" si="1397"/>
        <v>415</v>
      </c>
      <c r="KU1318" s="129">
        <f t="shared" si="1397"/>
        <v>415</v>
      </c>
      <c r="KV1318" s="129">
        <f t="shared" si="1397"/>
        <v>415</v>
      </c>
      <c r="KW1318" s="129">
        <f t="shared" si="1397"/>
        <v>45172326</v>
      </c>
      <c r="KX1318" s="129">
        <f t="shared" si="1397"/>
        <v>46088321</v>
      </c>
      <c r="KY1318" s="129">
        <f t="shared" si="1397"/>
        <v>46853280</v>
      </c>
      <c r="KZ1318" s="129">
        <f t="shared" si="1397"/>
        <v>2821678.4</v>
      </c>
      <c r="LA1318" s="129">
        <f t="shared" si="1397"/>
        <v>2878018.2</v>
      </c>
      <c r="LB1318" s="129">
        <f t="shared" si="1397"/>
        <v>2918992.6</v>
      </c>
      <c r="LC1318" s="185" t="s">
        <v>699</v>
      </c>
      <c r="LD1318" s="185" t="s">
        <v>699</v>
      </c>
      <c r="LE1318" s="185" t="s">
        <v>699</v>
      </c>
      <c r="LF1318" s="185" t="s">
        <v>699</v>
      </c>
      <c r="LG1318" s="185" t="s">
        <v>699</v>
      </c>
      <c r="LH1318" s="185" t="s">
        <v>699</v>
      </c>
      <c r="LI1318" s="129">
        <f t="shared" ref="LI1318:LW1318" si="1398">SUM(LI1319:LI1326)</f>
        <v>16650548.550000001</v>
      </c>
      <c r="LJ1318" s="129">
        <f t="shared" si="1398"/>
        <v>17543570.379999999</v>
      </c>
      <c r="LK1318" s="129">
        <f t="shared" si="1398"/>
        <v>18505017.059999999</v>
      </c>
      <c r="LL1318" s="129">
        <f t="shared" si="1398"/>
        <v>2357784</v>
      </c>
      <c r="LM1318" s="129">
        <f t="shared" si="1398"/>
        <v>2503753.42</v>
      </c>
      <c r="LN1318" s="129">
        <f t="shared" si="1398"/>
        <v>2552692.29</v>
      </c>
      <c r="LO1318" s="129">
        <f t="shared" si="1398"/>
        <v>615</v>
      </c>
      <c r="LP1318" s="129">
        <f t="shared" si="1398"/>
        <v>615</v>
      </c>
      <c r="LQ1318" s="129">
        <f t="shared" si="1398"/>
        <v>615</v>
      </c>
      <c r="LR1318" s="129">
        <f t="shared" si="1398"/>
        <v>72375843</v>
      </c>
      <c r="LS1318" s="129">
        <f t="shared" si="1398"/>
        <v>73974532</v>
      </c>
      <c r="LT1318" s="129">
        <f t="shared" si="1398"/>
        <v>75241572</v>
      </c>
      <c r="LU1318" s="129">
        <f t="shared" si="1398"/>
        <v>4256065.3499999996</v>
      </c>
      <c r="LV1318" s="129">
        <f t="shared" si="1398"/>
        <v>4342439.55</v>
      </c>
      <c r="LW1318" s="129">
        <f t="shared" si="1398"/>
        <v>4405257.1500000004</v>
      </c>
      <c r="LX1318" s="185" t="s">
        <v>699</v>
      </c>
      <c r="LY1318" s="185" t="s">
        <v>699</v>
      </c>
      <c r="LZ1318" s="185" t="s">
        <v>699</v>
      </c>
      <c r="MA1318" s="185" t="s">
        <v>699</v>
      </c>
      <c r="MB1318" s="185" t="s">
        <v>699</v>
      </c>
      <c r="MC1318" s="185" t="s">
        <v>699</v>
      </c>
      <c r="MD1318" s="129">
        <f t="shared" ref="MD1318:MR1318" si="1399">SUM(MD1319:MD1326)</f>
        <v>23304228.030000001</v>
      </c>
      <c r="ME1318" s="129">
        <f t="shared" si="1399"/>
        <v>24599015.539999999</v>
      </c>
      <c r="MF1318" s="129">
        <f t="shared" si="1399"/>
        <v>25957985.609999999</v>
      </c>
      <c r="MG1318" s="129">
        <f t="shared" si="1399"/>
        <v>2639876.5299999998</v>
      </c>
      <c r="MH1318" s="129">
        <f t="shared" si="1399"/>
        <v>2760056.1</v>
      </c>
      <c r="MI1318" s="129">
        <f t="shared" si="1399"/>
        <v>2791709.74</v>
      </c>
      <c r="MJ1318" s="129">
        <f t="shared" si="1399"/>
        <v>410</v>
      </c>
      <c r="MK1318" s="129">
        <f t="shared" si="1399"/>
        <v>410</v>
      </c>
      <c r="ML1318" s="129">
        <f t="shared" si="1399"/>
        <v>410</v>
      </c>
      <c r="MM1318" s="129">
        <f t="shared" si="1399"/>
        <v>42196271</v>
      </c>
      <c r="MN1318" s="129">
        <f t="shared" si="1399"/>
        <v>43017433</v>
      </c>
      <c r="MO1318" s="129">
        <f t="shared" si="1399"/>
        <v>43718736</v>
      </c>
      <c r="MP1318" s="129">
        <f t="shared" si="1399"/>
        <v>2725807.25</v>
      </c>
      <c r="MQ1318" s="129">
        <f t="shared" si="1399"/>
        <v>2779075.41</v>
      </c>
      <c r="MR1318" s="129">
        <f t="shared" si="1399"/>
        <v>2817815.89</v>
      </c>
      <c r="MS1318" s="185" t="s">
        <v>699</v>
      </c>
      <c r="MT1318" s="185" t="s">
        <v>699</v>
      </c>
      <c r="MU1318" s="185" t="s">
        <v>699</v>
      </c>
      <c r="MV1318" s="185" t="s">
        <v>699</v>
      </c>
      <c r="MW1318" s="185" t="s">
        <v>699</v>
      </c>
      <c r="MX1318" s="185" t="s">
        <v>699</v>
      </c>
      <c r="MY1318" s="129">
        <f t="shared" ref="MY1318:NM1318" si="1400">SUM(MY1319:MY1326)</f>
        <v>15718345.029999999</v>
      </c>
      <c r="MZ1318" s="129">
        <f t="shared" si="1400"/>
        <v>16546996.140000001</v>
      </c>
      <c r="NA1318" s="129">
        <f t="shared" si="1400"/>
        <v>17448490.52</v>
      </c>
      <c r="NB1318" s="129">
        <f t="shared" si="1400"/>
        <v>2005828.28</v>
      </c>
      <c r="NC1318" s="129">
        <f t="shared" si="1400"/>
        <v>2067355.97</v>
      </c>
      <c r="ND1318" s="129">
        <f t="shared" si="1400"/>
        <v>2109093.12</v>
      </c>
      <c r="NE1318" s="129">
        <f t="shared" si="1400"/>
        <v>362</v>
      </c>
      <c r="NF1318" s="129">
        <f t="shared" si="1400"/>
        <v>362</v>
      </c>
      <c r="NG1318" s="129">
        <f t="shared" si="1400"/>
        <v>362</v>
      </c>
      <c r="NH1318" s="129">
        <f t="shared" si="1400"/>
        <v>42014381</v>
      </c>
      <c r="NI1318" s="129">
        <f t="shared" si="1400"/>
        <v>42938590</v>
      </c>
      <c r="NJ1318" s="129">
        <f t="shared" si="1400"/>
        <v>43672032</v>
      </c>
      <c r="NK1318" s="129">
        <f t="shared" si="1400"/>
        <v>2486128.73</v>
      </c>
      <c r="NL1318" s="129">
        <f t="shared" si="1400"/>
        <v>2536232.85</v>
      </c>
      <c r="NM1318" s="129">
        <f t="shared" si="1400"/>
        <v>2572672.21</v>
      </c>
      <c r="NN1318" s="185" t="s">
        <v>699</v>
      </c>
      <c r="NO1318" s="185" t="s">
        <v>699</v>
      </c>
      <c r="NP1318" s="185" t="s">
        <v>699</v>
      </c>
      <c r="NQ1318" s="185" t="s">
        <v>699</v>
      </c>
      <c r="NR1318" s="185" t="s">
        <v>699</v>
      </c>
      <c r="NS1318" s="185" t="s">
        <v>699</v>
      </c>
      <c r="NT1318" s="129">
        <f t="shared" ref="NT1318:OH1318" si="1401">SUM(NT1319:NT1326)</f>
        <v>15978913.59</v>
      </c>
      <c r="NU1318" s="129">
        <f t="shared" si="1401"/>
        <v>16841357.949999999</v>
      </c>
      <c r="NV1318" s="129">
        <f t="shared" si="1401"/>
        <v>17762483.98</v>
      </c>
      <c r="NW1318" s="129">
        <f t="shared" si="1401"/>
        <v>2679366.91</v>
      </c>
      <c r="NX1318" s="129">
        <f t="shared" si="1401"/>
        <v>2855026.84</v>
      </c>
      <c r="NY1318" s="129">
        <f t="shared" si="1401"/>
        <v>2816050.68</v>
      </c>
      <c r="NZ1318" s="129">
        <f t="shared" si="1401"/>
        <v>204</v>
      </c>
      <c r="OA1318" s="129">
        <f t="shared" si="1401"/>
        <v>204</v>
      </c>
      <c r="OB1318" s="129">
        <f t="shared" si="1401"/>
        <v>204</v>
      </c>
      <c r="OC1318" s="129">
        <f t="shared" si="1401"/>
        <v>30239494</v>
      </c>
      <c r="OD1318" s="129">
        <f t="shared" si="1401"/>
        <v>31018942</v>
      </c>
      <c r="OE1318" s="129">
        <f t="shared" si="1401"/>
        <v>31586324</v>
      </c>
      <c r="OF1318" s="129">
        <f t="shared" si="1401"/>
        <v>1529592.26</v>
      </c>
      <c r="OG1318" s="129">
        <f t="shared" si="1401"/>
        <v>1562799.94</v>
      </c>
      <c r="OH1318" s="129">
        <f t="shared" si="1401"/>
        <v>1586950.98</v>
      </c>
      <c r="OI1318" s="185" t="s">
        <v>699</v>
      </c>
      <c r="OJ1318" s="185" t="s">
        <v>699</v>
      </c>
      <c r="OK1318" s="185" t="s">
        <v>699</v>
      </c>
      <c r="OL1318" s="185" t="s">
        <v>699</v>
      </c>
      <c r="OM1318" s="185" t="s">
        <v>699</v>
      </c>
      <c r="ON1318" s="185" t="s">
        <v>699</v>
      </c>
      <c r="OO1318" s="129">
        <f t="shared" ref="OO1318:PC1318" si="1402">SUM(OO1319:OO1326)</f>
        <v>15079326.52</v>
      </c>
      <c r="OP1318" s="129">
        <f t="shared" si="1402"/>
        <v>15926995.199999999</v>
      </c>
      <c r="OQ1318" s="129">
        <f t="shared" si="1402"/>
        <v>16813205.48</v>
      </c>
      <c r="OR1318" s="129">
        <f t="shared" si="1402"/>
        <v>1653406.2</v>
      </c>
      <c r="OS1318" s="129">
        <f t="shared" si="1402"/>
        <v>1755263.12</v>
      </c>
      <c r="OT1318" s="129">
        <f t="shared" si="1402"/>
        <v>1773070</v>
      </c>
      <c r="OU1318" s="129">
        <f t="shared" si="1402"/>
        <v>355</v>
      </c>
      <c r="OV1318" s="129">
        <f t="shared" si="1402"/>
        <v>355</v>
      </c>
      <c r="OW1318" s="129">
        <f t="shared" si="1402"/>
        <v>355</v>
      </c>
      <c r="OX1318" s="129">
        <f t="shared" si="1402"/>
        <v>37433516</v>
      </c>
      <c r="OY1318" s="129">
        <f t="shared" si="1402"/>
        <v>38198023</v>
      </c>
      <c r="OZ1318" s="129">
        <f t="shared" si="1402"/>
        <v>38830291</v>
      </c>
      <c r="PA1318" s="129">
        <f t="shared" si="1402"/>
        <v>2356329.2999999998</v>
      </c>
      <c r="PB1318" s="129">
        <f t="shared" si="1402"/>
        <v>2402304.02</v>
      </c>
      <c r="PC1318" s="129">
        <f t="shared" si="1402"/>
        <v>2435740.1800000002</v>
      </c>
      <c r="PD1318" s="185" t="s">
        <v>699</v>
      </c>
      <c r="PE1318" s="185" t="s">
        <v>699</v>
      </c>
      <c r="PF1318" s="185" t="s">
        <v>699</v>
      </c>
      <c r="PG1318" s="185" t="s">
        <v>699</v>
      </c>
      <c r="PH1318" s="185" t="s">
        <v>699</v>
      </c>
      <c r="PI1318" s="185" t="s">
        <v>699</v>
      </c>
      <c r="PJ1318" s="129">
        <f t="shared" ref="PJ1318:PX1318" si="1403">SUM(PJ1319:PJ1326)</f>
        <v>15698130.27</v>
      </c>
      <c r="PK1318" s="129">
        <f t="shared" si="1403"/>
        <v>16534022.810000001</v>
      </c>
      <c r="PL1318" s="129">
        <f t="shared" si="1403"/>
        <v>17436762.739999998</v>
      </c>
      <c r="PM1318" s="129">
        <f t="shared" si="1403"/>
        <v>2035641.77</v>
      </c>
      <c r="PN1318" s="129">
        <f t="shared" si="1403"/>
        <v>2120212.64</v>
      </c>
      <c r="PO1318" s="129">
        <f t="shared" si="1403"/>
        <v>2167194.64</v>
      </c>
      <c r="PP1318" s="129">
        <f t="shared" si="1403"/>
        <v>714</v>
      </c>
      <c r="PQ1318" s="129">
        <f t="shared" si="1403"/>
        <v>714</v>
      </c>
      <c r="PR1318" s="129">
        <f t="shared" si="1403"/>
        <v>714</v>
      </c>
      <c r="PS1318" s="129">
        <f t="shared" si="1403"/>
        <v>73681028</v>
      </c>
      <c r="PT1318" s="129">
        <f t="shared" si="1403"/>
        <v>75122968</v>
      </c>
      <c r="PU1318" s="129">
        <f t="shared" si="1403"/>
        <v>76349740</v>
      </c>
      <c r="PV1318" s="129">
        <f t="shared" si="1403"/>
        <v>4746027.16</v>
      </c>
      <c r="PW1318" s="129">
        <f t="shared" si="1403"/>
        <v>4838758.04</v>
      </c>
      <c r="PX1318" s="129">
        <f t="shared" si="1403"/>
        <v>4906198.68</v>
      </c>
      <c r="PY1318" s="185" t="s">
        <v>699</v>
      </c>
      <c r="PZ1318" s="185" t="s">
        <v>699</v>
      </c>
      <c r="QA1318" s="185" t="s">
        <v>699</v>
      </c>
      <c r="QB1318" s="185" t="s">
        <v>699</v>
      </c>
      <c r="QC1318" s="185" t="s">
        <v>699</v>
      </c>
      <c r="QD1318" s="185" t="s">
        <v>699</v>
      </c>
      <c r="QE1318" s="129">
        <f t="shared" ref="QE1318:QS1318" si="1404">SUM(QE1319:QE1326)</f>
        <v>27663895.399999999</v>
      </c>
      <c r="QF1318" s="129">
        <f t="shared" si="1404"/>
        <v>29137018.780000001</v>
      </c>
      <c r="QG1318" s="129">
        <f t="shared" si="1404"/>
        <v>30723196.440000001</v>
      </c>
      <c r="QH1318" s="129">
        <f t="shared" si="1404"/>
        <v>4228227.42</v>
      </c>
      <c r="QI1318" s="129">
        <f t="shared" si="1404"/>
        <v>4526855.8600000003</v>
      </c>
      <c r="QJ1318" s="129">
        <f t="shared" si="1404"/>
        <v>4585953.6399999997</v>
      </c>
      <c r="QK1318" s="129">
        <f t="shared" si="1404"/>
        <v>517</v>
      </c>
      <c r="QL1318" s="129">
        <f t="shared" si="1404"/>
        <v>517</v>
      </c>
      <c r="QM1318" s="129">
        <f t="shared" si="1404"/>
        <v>517</v>
      </c>
      <c r="QN1318" s="129">
        <f t="shared" si="1404"/>
        <v>55497174</v>
      </c>
      <c r="QO1318" s="129">
        <f t="shared" si="1404"/>
        <v>56635362</v>
      </c>
      <c r="QP1318" s="129">
        <f t="shared" si="1404"/>
        <v>57576114</v>
      </c>
      <c r="QQ1318" s="129">
        <f t="shared" si="1404"/>
        <v>3467297.18</v>
      </c>
      <c r="QR1318" s="129">
        <f t="shared" si="1404"/>
        <v>3535631.82</v>
      </c>
      <c r="QS1318" s="129">
        <f t="shared" si="1404"/>
        <v>3585329.74</v>
      </c>
      <c r="QT1318" s="185" t="s">
        <v>699</v>
      </c>
      <c r="QU1318" s="185" t="s">
        <v>699</v>
      </c>
      <c r="QV1318" s="185" t="s">
        <v>699</v>
      </c>
      <c r="QW1318" s="185" t="s">
        <v>699</v>
      </c>
      <c r="QX1318" s="185" t="s">
        <v>699</v>
      </c>
      <c r="QY1318" s="185" t="s">
        <v>699</v>
      </c>
      <c r="QZ1318" s="129">
        <f t="shared" ref="QZ1318:RN1318" si="1405">SUM(QZ1319:QZ1326)</f>
        <v>21189715.57</v>
      </c>
      <c r="RA1318" s="129">
        <f t="shared" si="1405"/>
        <v>22330526.829999998</v>
      </c>
      <c r="RB1318" s="129">
        <f t="shared" si="1405"/>
        <v>23555231.059999999</v>
      </c>
      <c r="RC1318" s="129">
        <f t="shared" si="1405"/>
        <v>2124588.9900000002</v>
      </c>
      <c r="RD1318" s="129">
        <f t="shared" si="1405"/>
        <v>2248072.0499999998</v>
      </c>
      <c r="RE1318" s="129">
        <f t="shared" si="1405"/>
        <v>2292428</v>
      </c>
      <c r="RF1318" s="129">
        <f t="shared" si="1405"/>
        <v>336</v>
      </c>
      <c r="RG1318" s="129">
        <f t="shared" si="1405"/>
        <v>336</v>
      </c>
      <c r="RH1318" s="129">
        <f t="shared" si="1405"/>
        <v>336</v>
      </c>
      <c r="RI1318" s="129">
        <f t="shared" si="1405"/>
        <v>35528483</v>
      </c>
      <c r="RJ1318" s="129">
        <f t="shared" si="1405"/>
        <v>36257680</v>
      </c>
      <c r="RK1318" s="129">
        <f t="shared" si="1405"/>
        <v>36858931</v>
      </c>
      <c r="RL1318" s="129">
        <f t="shared" si="1405"/>
        <v>2229846.19</v>
      </c>
      <c r="RM1318" s="129">
        <f t="shared" si="1405"/>
        <v>2273346.35</v>
      </c>
      <c r="RN1318" s="129">
        <f t="shared" si="1405"/>
        <v>2304982.83</v>
      </c>
      <c r="RO1318" s="185" t="s">
        <v>699</v>
      </c>
      <c r="RP1318" s="185" t="s">
        <v>699</v>
      </c>
      <c r="RQ1318" s="185" t="s">
        <v>699</v>
      </c>
      <c r="RR1318" s="185" t="s">
        <v>699</v>
      </c>
      <c r="RS1318" s="185" t="s">
        <v>699</v>
      </c>
      <c r="RT1318" s="185" t="s">
        <v>699</v>
      </c>
      <c r="RU1318" s="129">
        <f t="shared" ref="RU1318:SI1318" si="1406">SUM(RU1319:RU1326)</f>
        <v>14531240.310000001</v>
      </c>
      <c r="RV1318" s="129">
        <f t="shared" si="1406"/>
        <v>15307403.380000001</v>
      </c>
      <c r="RW1318" s="129">
        <f t="shared" si="1406"/>
        <v>16146363.789999999</v>
      </c>
      <c r="RX1318" s="129">
        <f t="shared" si="1406"/>
        <v>1927370.79</v>
      </c>
      <c r="RY1318" s="129">
        <f t="shared" si="1406"/>
        <v>2000432.13</v>
      </c>
      <c r="RZ1318" s="129">
        <f t="shared" si="1406"/>
        <v>2040058.03</v>
      </c>
      <c r="SA1318" s="129">
        <f t="shared" si="1406"/>
        <v>234</v>
      </c>
      <c r="SB1318" s="129">
        <f t="shared" si="1406"/>
        <v>234</v>
      </c>
      <c r="SC1318" s="129">
        <f t="shared" si="1406"/>
        <v>234</v>
      </c>
      <c r="SD1318" s="129">
        <f t="shared" si="1406"/>
        <v>28568942</v>
      </c>
      <c r="SE1318" s="129">
        <f t="shared" si="1406"/>
        <v>29181296</v>
      </c>
      <c r="SF1318" s="129">
        <f t="shared" si="1406"/>
        <v>29679552</v>
      </c>
      <c r="SG1318" s="129">
        <f t="shared" si="1406"/>
        <v>1682807.26</v>
      </c>
      <c r="SH1318" s="129">
        <f t="shared" si="1406"/>
        <v>1718124.3</v>
      </c>
      <c r="SI1318" s="129">
        <f t="shared" si="1406"/>
        <v>1743809.42</v>
      </c>
      <c r="SJ1318" s="185" t="s">
        <v>699</v>
      </c>
      <c r="SK1318" s="185" t="s">
        <v>699</v>
      </c>
      <c r="SL1318" s="185" t="s">
        <v>699</v>
      </c>
      <c r="SM1318" s="185" t="s">
        <v>699</v>
      </c>
      <c r="SN1318" s="185" t="s">
        <v>699</v>
      </c>
      <c r="SO1318" s="185" t="s">
        <v>699</v>
      </c>
      <c r="SP1318" s="129">
        <f t="shared" ref="SP1318:TD1318" si="1407">SUM(SP1319:SP1326)</f>
        <v>12277412.960000001</v>
      </c>
      <c r="SQ1318" s="129">
        <f t="shared" si="1407"/>
        <v>12930374.039999999</v>
      </c>
      <c r="SR1318" s="129">
        <f t="shared" si="1407"/>
        <v>13639978.960000001</v>
      </c>
      <c r="SS1318" s="129">
        <f t="shared" si="1407"/>
        <v>2036403.18</v>
      </c>
      <c r="ST1318" s="129">
        <f t="shared" si="1407"/>
        <v>2145421.46</v>
      </c>
      <c r="SU1318" s="129">
        <f t="shared" si="1407"/>
        <v>2183412.04</v>
      </c>
      <c r="SV1318" s="129">
        <f t="shared" si="1407"/>
        <v>603</v>
      </c>
      <c r="SW1318" s="129">
        <f t="shared" si="1407"/>
        <v>603</v>
      </c>
      <c r="SX1318" s="129">
        <f t="shared" si="1407"/>
        <v>603</v>
      </c>
      <c r="SY1318" s="129">
        <f t="shared" si="1407"/>
        <v>64063456</v>
      </c>
      <c r="SZ1318" s="129">
        <f t="shared" si="1407"/>
        <v>65390561</v>
      </c>
      <c r="TA1318" s="129">
        <f t="shared" si="1407"/>
        <v>66477905</v>
      </c>
      <c r="TB1318" s="129">
        <f t="shared" si="1407"/>
        <v>4000408.82</v>
      </c>
      <c r="TC1318" s="129">
        <f t="shared" si="1407"/>
        <v>4078422.58</v>
      </c>
      <c r="TD1318" s="129">
        <f t="shared" si="1407"/>
        <v>4135159.86</v>
      </c>
      <c r="TE1318" s="185" t="s">
        <v>699</v>
      </c>
      <c r="TF1318" s="185" t="s">
        <v>699</v>
      </c>
      <c r="TG1318" s="185" t="s">
        <v>699</v>
      </c>
      <c r="TH1318" s="185" t="s">
        <v>699</v>
      </c>
      <c r="TI1318" s="185" t="s">
        <v>699</v>
      </c>
      <c r="TJ1318" s="185" t="s">
        <v>699</v>
      </c>
      <c r="TK1318" s="129">
        <f t="shared" ref="TK1318:TY1318" si="1408">SUM(TK1319:TK1326)</f>
        <v>24608937.98</v>
      </c>
      <c r="TL1318" s="129">
        <f t="shared" si="1408"/>
        <v>25929018.379999999</v>
      </c>
      <c r="TM1318" s="129">
        <f t="shared" si="1408"/>
        <v>27346608.550000001</v>
      </c>
      <c r="TN1318" s="129">
        <f t="shared" si="1408"/>
        <v>3686592.12</v>
      </c>
      <c r="TO1318" s="129">
        <f t="shared" si="1408"/>
        <v>3858347.68</v>
      </c>
      <c r="TP1318" s="129">
        <f t="shared" si="1408"/>
        <v>3900702.95</v>
      </c>
      <c r="TQ1318" s="129">
        <f t="shared" si="1408"/>
        <v>313</v>
      </c>
      <c r="TR1318" s="129">
        <f t="shared" si="1408"/>
        <v>313</v>
      </c>
      <c r="TS1318" s="129">
        <f t="shared" si="1408"/>
        <v>313</v>
      </c>
      <c r="TT1318" s="129">
        <f t="shared" si="1408"/>
        <v>33255202</v>
      </c>
      <c r="TU1318" s="129">
        <f t="shared" si="1408"/>
        <v>33942989</v>
      </c>
      <c r="TV1318" s="129">
        <f t="shared" si="1408"/>
        <v>34507791</v>
      </c>
      <c r="TW1318" s="129">
        <f t="shared" si="1408"/>
        <v>2076713.32</v>
      </c>
      <c r="TX1318" s="129">
        <f t="shared" si="1408"/>
        <v>2117217.96</v>
      </c>
      <c r="TY1318" s="129">
        <f t="shared" si="1408"/>
        <v>2146675.88</v>
      </c>
      <c r="TZ1318" s="185" t="s">
        <v>699</v>
      </c>
      <c r="UA1318" s="185" t="s">
        <v>699</v>
      </c>
      <c r="UB1318" s="185" t="s">
        <v>699</v>
      </c>
      <c r="UC1318" s="185" t="s">
        <v>699</v>
      </c>
      <c r="UD1318" s="185" t="s">
        <v>699</v>
      </c>
      <c r="UE1318" s="185" t="s">
        <v>699</v>
      </c>
      <c r="UF1318" s="129">
        <f t="shared" ref="UF1318:UT1318" si="1409">SUM(UF1319:UF1326)</f>
        <v>13684808.199999999</v>
      </c>
      <c r="UG1318" s="129">
        <f t="shared" si="1409"/>
        <v>14407918.48</v>
      </c>
      <c r="UH1318" s="129">
        <f t="shared" si="1409"/>
        <v>15196760.9</v>
      </c>
      <c r="UI1318" s="129">
        <f t="shared" si="1409"/>
        <v>1748961.85</v>
      </c>
      <c r="UJ1318" s="129">
        <f t="shared" si="1409"/>
        <v>1884219.66</v>
      </c>
      <c r="UK1318" s="129">
        <f t="shared" si="1409"/>
        <v>1916329.65</v>
      </c>
      <c r="UL1318" s="129">
        <f t="shared" si="1409"/>
        <v>611</v>
      </c>
      <c r="UM1318" s="129">
        <f t="shared" si="1409"/>
        <v>611</v>
      </c>
      <c r="UN1318" s="129">
        <f t="shared" si="1409"/>
        <v>611</v>
      </c>
      <c r="UO1318" s="129">
        <f t="shared" si="1409"/>
        <v>62499745</v>
      </c>
      <c r="UP1318" s="129">
        <f t="shared" si="1409"/>
        <v>63700556</v>
      </c>
      <c r="UQ1318" s="129">
        <f t="shared" si="1409"/>
        <v>64735013</v>
      </c>
      <c r="UR1318" s="129">
        <f t="shared" si="1409"/>
        <v>4063765.89</v>
      </c>
      <c r="US1318" s="129">
        <f t="shared" si="1409"/>
        <v>4143212.29</v>
      </c>
      <c r="UT1318" s="129">
        <f t="shared" si="1409"/>
        <v>4200991.49</v>
      </c>
      <c r="UU1318" s="185" t="s">
        <v>699</v>
      </c>
      <c r="UV1318" s="185" t="s">
        <v>699</v>
      </c>
      <c r="UW1318" s="185" t="s">
        <v>699</v>
      </c>
      <c r="UX1318" s="185" t="s">
        <v>699</v>
      </c>
      <c r="UY1318" s="185" t="s">
        <v>699</v>
      </c>
      <c r="UZ1318" s="185" t="s">
        <v>699</v>
      </c>
      <c r="VA1318" s="129">
        <f t="shared" ref="VA1318:VO1318" si="1410">SUM(VA1319:VA1326)</f>
        <v>23792936.300000001</v>
      </c>
      <c r="VB1318" s="129">
        <f t="shared" si="1410"/>
        <v>25056530.579999998</v>
      </c>
      <c r="VC1318" s="129">
        <f t="shared" si="1410"/>
        <v>26424435.829999998</v>
      </c>
      <c r="VD1318" s="129">
        <f t="shared" si="1410"/>
        <v>2667820.5</v>
      </c>
      <c r="VE1318" s="129">
        <f t="shared" si="1410"/>
        <v>2860856.58</v>
      </c>
      <c r="VF1318" s="129">
        <f t="shared" si="1410"/>
        <v>2922440.81</v>
      </c>
      <c r="VG1318" s="129">
        <f t="shared" si="1410"/>
        <v>584</v>
      </c>
      <c r="VH1318" s="129">
        <f t="shared" si="1410"/>
        <v>584</v>
      </c>
      <c r="VI1318" s="129">
        <f t="shared" si="1410"/>
        <v>584</v>
      </c>
      <c r="VJ1318" s="129">
        <f t="shared" si="1410"/>
        <v>64468748</v>
      </c>
      <c r="VK1318" s="129">
        <f t="shared" si="1410"/>
        <v>65842133</v>
      </c>
      <c r="VL1318" s="129">
        <f t="shared" si="1410"/>
        <v>66950535</v>
      </c>
      <c r="VM1318" s="129">
        <f t="shared" si="1410"/>
        <v>3930523.46</v>
      </c>
      <c r="VN1318" s="129">
        <f t="shared" si="1410"/>
        <v>4008251.22</v>
      </c>
      <c r="VO1318" s="129">
        <f t="shared" si="1410"/>
        <v>4064780.5</v>
      </c>
      <c r="VP1318" s="185" t="s">
        <v>699</v>
      </c>
      <c r="VQ1318" s="185" t="s">
        <v>699</v>
      </c>
      <c r="VR1318" s="185" t="s">
        <v>699</v>
      </c>
      <c r="VS1318" s="185" t="s">
        <v>699</v>
      </c>
      <c r="VT1318" s="185" t="s">
        <v>699</v>
      </c>
      <c r="VU1318" s="185" t="s">
        <v>699</v>
      </c>
      <c r="VV1318" s="129">
        <f t="shared" ref="VV1318:WJ1318" si="1411">SUM(VV1319:VV1326)</f>
        <v>25036110.739999998</v>
      </c>
      <c r="VW1318" s="129">
        <f t="shared" si="1411"/>
        <v>26397846.52</v>
      </c>
      <c r="VX1318" s="129">
        <f t="shared" si="1411"/>
        <v>27853507.379999999</v>
      </c>
      <c r="VY1318" s="129">
        <f t="shared" si="1411"/>
        <v>2777313</v>
      </c>
      <c r="VZ1318" s="129">
        <f t="shared" si="1411"/>
        <v>2918322.44</v>
      </c>
      <c r="WA1318" s="129">
        <f t="shared" si="1411"/>
        <v>2980086.92</v>
      </c>
      <c r="WB1318" s="129">
        <f t="shared" si="1411"/>
        <v>523</v>
      </c>
      <c r="WC1318" s="129">
        <f t="shared" si="1411"/>
        <v>523</v>
      </c>
      <c r="WD1318" s="129">
        <f t="shared" si="1411"/>
        <v>523</v>
      </c>
      <c r="WE1318" s="129">
        <f t="shared" si="1411"/>
        <v>52806264</v>
      </c>
      <c r="WF1318" s="129">
        <f t="shared" si="1411"/>
        <v>53793165</v>
      </c>
      <c r="WG1318" s="129">
        <f t="shared" si="1411"/>
        <v>54659253</v>
      </c>
      <c r="WH1318" s="129">
        <f t="shared" si="1411"/>
        <v>3481370.42</v>
      </c>
      <c r="WI1318" s="129">
        <f t="shared" si="1411"/>
        <v>3549485.94</v>
      </c>
      <c r="WJ1318" s="129">
        <f t="shared" si="1411"/>
        <v>3599024.5</v>
      </c>
      <c r="WK1318" s="185" t="s">
        <v>699</v>
      </c>
      <c r="WL1318" s="185" t="s">
        <v>699</v>
      </c>
      <c r="WM1318" s="185" t="s">
        <v>699</v>
      </c>
      <c r="WN1318" s="185" t="s">
        <v>699</v>
      </c>
      <c r="WO1318" s="185" t="s">
        <v>699</v>
      </c>
      <c r="WP1318" s="185" t="s">
        <v>699</v>
      </c>
      <c r="WQ1318" s="129">
        <f t="shared" ref="WQ1318:XE1318" si="1412">SUM(WQ1319:WQ1326)</f>
        <v>18945471.030000001</v>
      </c>
      <c r="WR1318" s="129">
        <f t="shared" si="1412"/>
        <v>19947146.780000001</v>
      </c>
      <c r="WS1318" s="129">
        <f t="shared" si="1412"/>
        <v>21032230.57</v>
      </c>
      <c r="WT1318" s="129">
        <f t="shared" si="1412"/>
        <v>2641767.14</v>
      </c>
      <c r="WU1318" s="129">
        <f t="shared" si="1412"/>
        <v>2843184.9</v>
      </c>
      <c r="WV1318" s="129">
        <f t="shared" si="1412"/>
        <v>2905557.88</v>
      </c>
      <c r="WW1318" s="129">
        <f t="shared" si="1412"/>
        <v>601</v>
      </c>
      <c r="WX1318" s="129">
        <f t="shared" si="1412"/>
        <v>601</v>
      </c>
      <c r="WY1318" s="129">
        <f t="shared" si="1412"/>
        <v>601</v>
      </c>
      <c r="WZ1318" s="129">
        <f t="shared" si="1412"/>
        <v>61476706</v>
      </c>
      <c r="XA1318" s="129">
        <f t="shared" si="1412"/>
        <v>62658104</v>
      </c>
      <c r="XB1318" s="129">
        <f t="shared" si="1412"/>
        <v>63675554</v>
      </c>
      <c r="XC1318" s="129">
        <f t="shared" si="1412"/>
        <v>3997209.34</v>
      </c>
      <c r="XD1318" s="129">
        <f t="shared" si="1412"/>
        <v>4075353.34</v>
      </c>
      <c r="XE1318" s="129">
        <f t="shared" si="1412"/>
        <v>4132185.34</v>
      </c>
      <c r="XF1318" s="185" t="s">
        <v>699</v>
      </c>
      <c r="XG1318" s="185" t="s">
        <v>699</v>
      </c>
      <c r="XH1318" s="185" t="s">
        <v>699</v>
      </c>
      <c r="XI1318" s="185" t="s">
        <v>699</v>
      </c>
      <c r="XJ1318" s="185" t="s">
        <v>699</v>
      </c>
      <c r="XK1318" s="185" t="s">
        <v>699</v>
      </c>
      <c r="XL1318" s="129">
        <f t="shared" ref="XL1318:XZ1318" si="1413">SUM(XL1319:XL1326)</f>
        <v>21668012.02</v>
      </c>
      <c r="XM1318" s="129">
        <f t="shared" si="1413"/>
        <v>22810114.52</v>
      </c>
      <c r="XN1318" s="129">
        <f t="shared" si="1413"/>
        <v>24049425.25</v>
      </c>
      <c r="XO1318" s="129">
        <f t="shared" si="1413"/>
        <v>2443071.98</v>
      </c>
      <c r="XP1318" s="129">
        <f t="shared" si="1413"/>
        <v>2638863.31</v>
      </c>
      <c r="XQ1318" s="129">
        <f t="shared" si="1413"/>
        <v>2687154.45</v>
      </c>
      <c r="XR1318" s="129">
        <f t="shared" si="1413"/>
        <v>558</v>
      </c>
      <c r="XS1318" s="129">
        <f t="shared" si="1413"/>
        <v>558</v>
      </c>
      <c r="XT1318" s="129">
        <f t="shared" si="1413"/>
        <v>558</v>
      </c>
      <c r="XU1318" s="129">
        <f t="shared" si="1413"/>
        <v>58733864</v>
      </c>
      <c r="XV1318" s="129">
        <f t="shared" si="1413"/>
        <v>59929105</v>
      </c>
      <c r="XW1318" s="129">
        <f t="shared" si="1413"/>
        <v>60920033</v>
      </c>
      <c r="XX1318" s="129">
        <f t="shared" si="1413"/>
        <v>3704229.82</v>
      </c>
      <c r="XY1318" s="129">
        <f t="shared" si="1413"/>
        <v>3776513.02</v>
      </c>
      <c r="XZ1318" s="129">
        <f t="shared" si="1413"/>
        <v>3829082.62</v>
      </c>
      <c r="YA1318" s="185" t="s">
        <v>699</v>
      </c>
      <c r="YB1318" s="185" t="s">
        <v>699</v>
      </c>
      <c r="YC1318" s="185" t="s">
        <v>699</v>
      </c>
      <c r="YD1318" s="185" t="s">
        <v>699</v>
      </c>
      <c r="YE1318" s="185" t="s">
        <v>699</v>
      </c>
      <c r="YF1318" s="185" t="s">
        <v>699</v>
      </c>
      <c r="YG1318" s="129">
        <f t="shared" ref="YG1318:YU1318" si="1414">SUM(YG1319:YG1326)</f>
        <v>21851588.23</v>
      </c>
      <c r="YH1318" s="129">
        <f t="shared" si="1414"/>
        <v>23047706.510000002</v>
      </c>
      <c r="YI1318" s="129">
        <f t="shared" si="1414"/>
        <v>24318093.219999999</v>
      </c>
      <c r="YJ1318" s="129">
        <f t="shared" si="1414"/>
        <v>9901038.2599999998</v>
      </c>
      <c r="YK1318" s="129">
        <f t="shared" si="1414"/>
        <v>11950549.9</v>
      </c>
      <c r="YL1318" s="129">
        <f t="shared" si="1414"/>
        <v>12197354.49</v>
      </c>
      <c r="YM1318" s="129">
        <f t="shared" si="1414"/>
        <v>12408</v>
      </c>
      <c r="YN1318" s="129">
        <f t="shared" si="1414"/>
        <v>12408</v>
      </c>
      <c r="YO1318" s="129">
        <f t="shared" si="1414"/>
        <v>12408</v>
      </c>
      <c r="YP1318" s="129">
        <f t="shared" si="1414"/>
        <v>1341147388</v>
      </c>
      <c r="YQ1318" s="129">
        <f t="shared" si="1414"/>
        <v>1368734616</v>
      </c>
      <c r="YR1318" s="129">
        <f t="shared" si="1414"/>
        <v>1391510159</v>
      </c>
      <c r="YS1318" s="129">
        <f t="shared" si="1414"/>
        <v>83502105.319999993</v>
      </c>
      <c r="YT1318" s="129">
        <f t="shared" si="1414"/>
        <v>85153238.319999993</v>
      </c>
      <c r="YU1318" s="129">
        <f t="shared" si="1414"/>
        <v>86354062.319999993</v>
      </c>
      <c r="YV1318" s="185" t="s">
        <v>699</v>
      </c>
      <c r="YW1318" s="185" t="s">
        <v>699</v>
      </c>
      <c r="YX1318" s="185" t="s">
        <v>699</v>
      </c>
      <c r="YY1318" s="185" t="s">
        <v>699</v>
      </c>
      <c r="YZ1318" s="185" t="s">
        <v>699</v>
      </c>
      <c r="ZA1318" s="185" t="s">
        <v>699</v>
      </c>
      <c r="ZB1318" s="129">
        <f t="shared" ref="ZB1318:ZG1318" si="1415">SUM(ZB1319:ZB1326)</f>
        <v>525889495.69999999</v>
      </c>
      <c r="ZC1318" s="129">
        <f t="shared" si="1415"/>
        <v>554053610.05999994</v>
      </c>
      <c r="ZD1318" s="129">
        <f t="shared" si="1415"/>
        <v>584371159.39999998</v>
      </c>
      <c r="ZE1318" s="129">
        <f t="shared" si="1415"/>
        <v>71796201.719999999</v>
      </c>
      <c r="ZF1318" s="129">
        <f t="shared" si="1415"/>
        <v>76945290.739999995</v>
      </c>
      <c r="ZG1318" s="129">
        <f t="shared" si="1415"/>
        <v>78181580.469999999</v>
      </c>
    </row>
    <row r="1319" spans="1:683" x14ac:dyDescent="0.25">
      <c r="A1319" s="12" t="s">
        <v>609</v>
      </c>
      <c r="B1319" s="174" t="s">
        <v>617</v>
      </c>
      <c r="C1319" s="5"/>
      <c r="D1319" s="340"/>
      <c r="E1319" s="163"/>
      <c r="F1319" s="110">
        <f t="shared" ref="F1319:H1326" si="1416">F44</f>
        <v>100968</v>
      </c>
      <c r="G1319" s="110">
        <f t="shared" si="1416"/>
        <v>102855</v>
      </c>
      <c r="H1319" s="110">
        <f t="shared" si="1416"/>
        <v>104511</v>
      </c>
      <c r="I1319" s="97">
        <f t="shared" ref="I1319:K1326" si="1417">F359</f>
        <v>6656.54</v>
      </c>
      <c r="J1319" s="97">
        <f t="shared" si="1417"/>
        <v>6786.78</v>
      </c>
      <c r="K1319" s="97">
        <f t="shared" si="1417"/>
        <v>6881.5</v>
      </c>
      <c r="L1319" s="102">
        <v>226</v>
      </c>
      <c r="M1319" s="102">
        <v>226</v>
      </c>
      <c r="N1319" s="102">
        <v>226</v>
      </c>
      <c r="O1319" s="97">
        <f t="shared" ref="O1319:O1326" si="1418">$F1319*L1319</f>
        <v>22818768</v>
      </c>
      <c r="P1319" s="97">
        <f t="shared" ref="P1319:P1326" si="1419">$G1319*M1319</f>
        <v>23245230</v>
      </c>
      <c r="Q1319" s="97">
        <f t="shared" ref="Q1319:Q1326" si="1420">$H1319*N1319</f>
        <v>23619486</v>
      </c>
      <c r="R1319" s="97">
        <f t="shared" ref="R1319:R1326" si="1421">$I1319*L1319</f>
        <v>1504378.04</v>
      </c>
      <c r="S1319" s="97">
        <f t="shared" ref="S1319:S1326" si="1422">$J1319*M1319</f>
        <v>1533812.28</v>
      </c>
      <c r="T1319" s="97">
        <f t="shared" ref="T1319:T1326" si="1423">$K1319*N1319</f>
        <v>1555219</v>
      </c>
      <c r="U1319" s="97">
        <f>$F1319*U$1349</f>
        <v>43568.23</v>
      </c>
      <c r="V1319" s="97">
        <f>$G1319*V$1349</f>
        <v>45829.599999999999</v>
      </c>
      <c r="W1319" s="97">
        <f>$H1319*W$1349</f>
        <v>48324.37</v>
      </c>
      <c r="X1319" s="97">
        <f>$I1319*X$1349</f>
        <v>5219.6000000000004</v>
      </c>
      <c r="Y1319" s="97">
        <f>$J1319*Y$1349</f>
        <v>5376.54</v>
      </c>
      <c r="Z1319" s="97">
        <f>$K1319*Z$1349</f>
        <v>5436.18</v>
      </c>
      <c r="AA1319" s="97">
        <f t="shared" ref="AA1319:AC1326" si="1424">L1319*U1319</f>
        <v>9846419.9800000004</v>
      </c>
      <c r="AB1319" s="97">
        <f t="shared" si="1424"/>
        <v>10357489.6</v>
      </c>
      <c r="AC1319" s="97">
        <f t="shared" si="1424"/>
        <v>10921307.619999999</v>
      </c>
      <c r="AD1319" s="97">
        <f t="shared" ref="AD1319:AF1326" si="1425">L1319*X1319</f>
        <v>1179629.6000000001</v>
      </c>
      <c r="AE1319" s="97">
        <f t="shared" si="1425"/>
        <v>1215098.04</v>
      </c>
      <c r="AF1319" s="97">
        <f t="shared" si="1425"/>
        <v>1228576.68</v>
      </c>
      <c r="AG1319" s="102">
        <v>488</v>
      </c>
      <c r="AH1319" s="102">
        <v>488</v>
      </c>
      <c r="AI1319" s="102">
        <v>488</v>
      </c>
      <c r="AJ1319" s="97">
        <f t="shared" ref="AJ1319:AJ1326" si="1426">$F1319*AG1319</f>
        <v>49272384</v>
      </c>
      <c r="AK1319" s="97">
        <f t="shared" ref="AK1319:AK1326" si="1427">$G1319*AH1319</f>
        <v>50193240</v>
      </c>
      <c r="AL1319" s="97">
        <f t="shared" ref="AL1319:AL1326" si="1428">$H1319*AI1319</f>
        <v>51001368</v>
      </c>
      <c r="AM1319" s="97">
        <f t="shared" ref="AM1319:AM1326" si="1429">$I1319*AG1319</f>
        <v>3248391.52</v>
      </c>
      <c r="AN1319" s="97">
        <f t="shared" ref="AN1319:AN1326" si="1430">$J1319*AH1319</f>
        <v>3311948.64</v>
      </c>
      <c r="AO1319" s="97">
        <f t="shared" ref="AO1319:AO1326" si="1431">$K1319*AI1319</f>
        <v>3358172</v>
      </c>
      <c r="AP1319" s="97">
        <f>$F1319*AP$1349</f>
        <v>40080.76</v>
      </c>
      <c r="AQ1319" s="97">
        <f>$G1319*AQ$1349</f>
        <v>42154.39</v>
      </c>
      <c r="AR1319" s="97">
        <f>$H1319*AR$1349</f>
        <v>44442.03</v>
      </c>
      <c r="AS1319" s="97">
        <f>$I1319*AS$1349</f>
        <v>4162.0600000000004</v>
      </c>
      <c r="AT1319" s="97">
        <f>$J1319*AT$1349</f>
        <v>4352.2299999999996</v>
      </c>
      <c r="AU1319" s="97">
        <f>$K1319*AU$1349</f>
        <v>4435.0200000000004</v>
      </c>
      <c r="AV1319" s="97">
        <f t="shared" ref="AV1319:AX1326" si="1432">AG1319*AP1319</f>
        <v>19559410.879999999</v>
      </c>
      <c r="AW1319" s="97">
        <f t="shared" si="1432"/>
        <v>20571342.32</v>
      </c>
      <c r="AX1319" s="97">
        <f t="shared" si="1432"/>
        <v>21687710.640000001</v>
      </c>
      <c r="AY1319" s="97">
        <f t="shared" ref="AY1319:BA1326" si="1433">AG1319*AS1319</f>
        <v>2031085.28</v>
      </c>
      <c r="AZ1319" s="97">
        <f t="shared" si="1433"/>
        <v>2123888.2400000002</v>
      </c>
      <c r="BA1319" s="97">
        <f t="shared" si="1433"/>
        <v>2164289.7599999998</v>
      </c>
      <c r="BB1319" s="102">
        <v>235</v>
      </c>
      <c r="BC1319" s="102">
        <v>235</v>
      </c>
      <c r="BD1319" s="102">
        <v>235</v>
      </c>
      <c r="BE1319" s="97">
        <f t="shared" ref="BE1319:BE1326" si="1434">$F1319*BB1319</f>
        <v>23727480</v>
      </c>
      <c r="BF1319" s="97">
        <f t="shared" ref="BF1319:BF1326" si="1435">$G1319*BC1319</f>
        <v>24170925</v>
      </c>
      <c r="BG1319" s="97">
        <f t="shared" ref="BG1319:BG1326" si="1436">$H1319*BD1319</f>
        <v>24560085</v>
      </c>
      <c r="BH1319" s="97">
        <f t="shared" ref="BH1319:BH1326" si="1437">$I1319*BB1319</f>
        <v>1564286.9</v>
      </c>
      <c r="BI1319" s="97">
        <f t="shared" ref="BI1319:BI1326" si="1438">$J1319*BC1319</f>
        <v>1594893.3</v>
      </c>
      <c r="BJ1319" s="97">
        <f t="shared" ref="BJ1319:BJ1326" si="1439">$K1319*BD1319</f>
        <v>1617152.5</v>
      </c>
      <c r="BK1319" s="97">
        <f>$F1319*BK$1349</f>
        <v>37809.300000000003</v>
      </c>
      <c r="BL1319" s="97">
        <f>$G1319*BL$1349</f>
        <v>39686.33</v>
      </c>
      <c r="BM1319" s="97">
        <f>$H1319*BM$1349</f>
        <v>41794.65</v>
      </c>
      <c r="BN1319" s="97">
        <f>$I1319*BN$1349</f>
        <v>4446</v>
      </c>
      <c r="BO1319" s="97">
        <f>$J1319*BO$1349</f>
        <v>4649.17</v>
      </c>
      <c r="BP1319" s="97">
        <f>$K1319*BP$1349</f>
        <v>4728.82</v>
      </c>
      <c r="BQ1319" s="97">
        <f t="shared" ref="BQ1319:BS1326" si="1440">BB1319*BK1319</f>
        <v>8885185.5</v>
      </c>
      <c r="BR1319" s="97">
        <f t="shared" si="1440"/>
        <v>9326287.5500000007</v>
      </c>
      <c r="BS1319" s="97">
        <f t="shared" si="1440"/>
        <v>9821742.75</v>
      </c>
      <c r="BT1319" s="97">
        <f t="shared" ref="BT1319:BV1326" si="1441">BB1319*BN1319</f>
        <v>1044810</v>
      </c>
      <c r="BU1319" s="97">
        <f t="shared" si="1441"/>
        <v>1092554.95</v>
      </c>
      <c r="BV1319" s="97">
        <f t="shared" si="1441"/>
        <v>1111272.7</v>
      </c>
      <c r="BW1319" s="102">
        <v>281</v>
      </c>
      <c r="BX1319" s="102">
        <v>281</v>
      </c>
      <c r="BY1319" s="102">
        <v>281</v>
      </c>
      <c r="BZ1319" s="97">
        <f t="shared" ref="BZ1319:BZ1326" si="1442">$F1319*BW1319</f>
        <v>28372008</v>
      </c>
      <c r="CA1319" s="97">
        <f t="shared" ref="CA1319:CA1326" si="1443">$G1319*BX1319</f>
        <v>28902255</v>
      </c>
      <c r="CB1319" s="97">
        <f t="shared" ref="CB1319:CB1326" si="1444">$H1319*BY1319</f>
        <v>29367591</v>
      </c>
      <c r="CC1319" s="97">
        <f t="shared" ref="CC1319:CC1326" si="1445">$I1319*BW1319</f>
        <v>1870487.74</v>
      </c>
      <c r="CD1319" s="97">
        <f t="shared" ref="CD1319:CD1326" si="1446">$J1319*BX1319</f>
        <v>1907085.18</v>
      </c>
      <c r="CE1319" s="97">
        <f t="shared" ref="CE1319:CE1326" si="1447">$K1319*BY1319</f>
        <v>1933701.5</v>
      </c>
      <c r="CF1319" s="97">
        <f>$F1319*CF$1349</f>
        <v>39046.730000000003</v>
      </c>
      <c r="CG1319" s="97">
        <f>$G1319*CG$1349</f>
        <v>41097.71</v>
      </c>
      <c r="CH1319" s="97">
        <f>$H1319*CH$1349</f>
        <v>43330.7</v>
      </c>
      <c r="CI1319" s="97">
        <f>$I1319*CI$1349</f>
        <v>6854.05</v>
      </c>
      <c r="CJ1319" s="97">
        <f>$J1319*CJ$1349</f>
        <v>7024.43</v>
      </c>
      <c r="CK1319" s="97">
        <f>$K1319*CK$1349</f>
        <v>7088.04</v>
      </c>
      <c r="CL1319" s="97">
        <f t="shared" ref="CL1319:CN1326" si="1448">BW1319*CF1319</f>
        <v>10972131.130000001</v>
      </c>
      <c r="CM1319" s="97">
        <f t="shared" si="1448"/>
        <v>11548456.51</v>
      </c>
      <c r="CN1319" s="97">
        <f t="shared" si="1448"/>
        <v>12175926.699999999</v>
      </c>
      <c r="CO1319" s="97">
        <f t="shared" ref="CO1319:CQ1326" si="1449">BW1319*CI1319</f>
        <v>1925988.05</v>
      </c>
      <c r="CP1319" s="97">
        <f t="shared" si="1449"/>
        <v>1973864.83</v>
      </c>
      <c r="CQ1319" s="97">
        <f t="shared" si="1449"/>
        <v>1991739.24</v>
      </c>
      <c r="CR1319" s="102">
        <v>439</v>
      </c>
      <c r="CS1319" s="102">
        <v>439</v>
      </c>
      <c r="CT1319" s="102">
        <v>439</v>
      </c>
      <c r="CU1319" s="97">
        <f t="shared" ref="CU1319:CU1326" si="1450">$F1319*CR1319</f>
        <v>44324952</v>
      </c>
      <c r="CV1319" s="97">
        <f t="shared" ref="CV1319:CV1326" si="1451">$G1319*CS1319</f>
        <v>45153345</v>
      </c>
      <c r="CW1319" s="97">
        <f t="shared" ref="CW1319:CW1326" si="1452">$H1319*CT1319</f>
        <v>45880329</v>
      </c>
      <c r="CX1319" s="97">
        <f t="shared" ref="CX1319:CX1326" si="1453">$I1319*CR1319</f>
        <v>2922221.06</v>
      </c>
      <c r="CY1319" s="97">
        <f t="shared" ref="CY1319:CY1326" si="1454">$J1319*CS1319</f>
        <v>2979396.42</v>
      </c>
      <c r="CZ1319" s="97">
        <f t="shared" ref="CZ1319:CZ1326" si="1455">$K1319*CT1319</f>
        <v>3020978.5</v>
      </c>
      <c r="DA1319" s="97">
        <f>$F1319*DA$1349</f>
        <v>39347.4</v>
      </c>
      <c r="DB1319" s="97">
        <f>$G1319*DB$1349</f>
        <v>41378.589999999997</v>
      </c>
      <c r="DC1319" s="97">
        <f>$H1319*DC$1349</f>
        <v>43624.28</v>
      </c>
      <c r="DD1319" s="97">
        <f>$I1319*DD$1349</f>
        <v>3318.3</v>
      </c>
      <c r="DE1319" s="97">
        <f>$J1319*DE$1349</f>
        <v>3417.46</v>
      </c>
      <c r="DF1319" s="97">
        <f>$K1319*DF$1349</f>
        <v>3459.06</v>
      </c>
      <c r="DG1319" s="97">
        <f t="shared" ref="DG1319:DI1326" si="1456">CR1319*DA1319</f>
        <v>17273508.600000001</v>
      </c>
      <c r="DH1319" s="97">
        <f t="shared" si="1456"/>
        <v>18165201.010000002</v>
      </c>
      <c r="DI1319" s="97">
        <f t="shared" si="1456"/>
        <v>19151058.920000002</v>
      </c>
      <c r="DJ1319" s="97">
        <f t="shared" ref="DJ1319:DL1326" si="1457">CR1319*DD1319</f>
        <v>1456733.7</v>
      </c>
      <c r="DK1319" s="97">
        <f t="shared" si="1457"/>
        <v>1500264.94</v>
      </c>
      <c r="DL1319" s="97">
        <f t="shared" si="1457"/>
        <v>1518527.34</v>
      </c>
      <c r="DM1319" s="102">
        <v>347</v>
      </c>
      <c r="DN1319" s="102">
        <v>347</v>
      </c>
      <c r="DO1319" s="102">
        <v>347</v>
      </c>
      <c r="DP1319" s="97">
        <f t="shared" ref="DP1319:DP1326" si="1458">$F1319*DM1319</f>
        <v>35035896</v>
      </c>
      <c r="DQ1319" s="97">
        <f t="shared" ref="DQ1319:DQ1326" si="1459">$G1319*DN1319</f>
        <v>35690685</v>
      </c>
      <c r="DR1319" s="97">
        <f t="shared" ref="DR1319:DR1326" si="1460">$H1319*DO1319</f>
        <v>36265317</v>
      </c>
      <c r="DS1319" s="97">
        <f t="shared" ref="DS1319:DS1326" si="1461">$I1319*DM1319</f>
        <v>2309819.38</v>
      </c>
      <c r="DT1319" s="97">
        <f t="shared" ref="DT1319:DT1326" si="1462">$J1319*DN1319</f>
        <v>2355012.66</v>
      </c>
      <c r="DU1319" s="97">
        <f t="shared" ref="DU1319:DU1326" si="1463">$K1319*DO1319</f>
        <v>2387880.5</v>
      </c>
      <c r="DV1319" s="97">
        <f>$F1319*DV$1349</f>
        <v>42724.41</v>
      </c>
      <c r="DW1319" s="97">
        <f>$G1319*DW$1349</f>
        <v>44999.71</v>
      </c>
      <c r="DX1319" s="97">
        <f>$H1319*DX$1349</f>
        <v>47464.83</v>
      </c>
      <c r="DY1319" s="97">
        <f>$I1319*DY$1349</f>
        <v>6950.34</v>
      </c>
      <c r="DZ1319" s="97">
        <f>$J1319*DZ$1349</f>
        <v>6884.12</v>
      </c>
      <c r="EA1319" s="97">
        <f>$K1319*EA$1349</f>
        <v>6961.11</v>
      </c>
      <c r="EB1319" s="97">
        <f t="shared" ref="EB1319:ED1326" si="1464">DM1319*DV1319</f>
        <v>14825370.27</v>
      </c>
      <c r="EC1319" s="97">
        <f t="shared" si="1464"/>
        <v>15614899.369999999</v>
      </c>
      <c r="ED1319" s="97">
        <f t="shared" si="1464"/>
        <v>16470296.01</v>
      </c>
      <c r="EE1319" s="97">
        <f t="shared" ref="EE1319:EG1326" si="1465">DM1319*DY1319</f>
        <v>2411767.98</v>
      </c>
      <c r="EF1319" s="97">
        <f t="shared" si="1465"/>
        <v>2388789.64</v>
      </c>
      <c r="EG1319" s="97">
        <f t="shared" si="1465"/>
        <v>2415505.17</v>
      </c>
      <c r="EH1319" s="102">
        <v>254</v>
      </c>
      <c r="EI1319" s="102">
        <v>254</v>
      </c>
      <c r="EJ1319" s="102">
        <v>254</v>
      </c>
      <c r="EK1319" s="97">
        <f t="shared" ref="EK1319:EK1326" si="1466">$F1319*EH1319</f>
        <v>25645872</v>
      </c>
      <c r="EL1319" s="97">
        <f t="shared" ref="EL1319:EL1326" si="1467">$G1319*EI1319</f>
        <v>26125170</v>
      </c>
      <c r="EM1319" s="97">
        <f t="shared" ref="EM1319:EM1326" si="1468">$H1319*EJ1319</f>
        <v>26545794</v>
      </c>
      <c r="EN1319" s="97">
        <f t="shared" ref="EN1319:EN1326" si="1469">$I1319*EH1319</f>
        <v>1690761.16</v>
      </c>
      <c r="EO1319" s="97">
        <f t="shared" ref="EO1319:EO1326" si="1470">$J1319*EI1319</f>
        <v>1723842.12</v>
      </c>
      <c r="EP1319" s="97">
        <f t="shared" ref="EP1319:EP1326" si="1471">$K1319*EJ1319</f>
        <v>1747901</v>
      </c>
      <c r="EQ1319" s="97">
        <f>$F1319*EQ$1349</f>
        <v>42231.43</v>
      </c>
      <c r="ER1319" s="97">
        <f>$G1319*ER$1349</f>
        <v>44343.14</v>
      </c>
      <c r="ES1319" s="97">
        <f>$H1319*ES$1349</f>
        <v>46728.01</v>
      </c>
      <c r="ET1319" s="97">
        <f>$I1319*ET$1349</f>
        <v>5835.12</v>
      </c>
      <c r="EU1319" s="97">
        <f>$J1319*EU$1349</f>
        <v>6091.71</v>
      </c>
      <c r="EV1319" s="97">
        <f>$K1319*EV$1349</f>
        <v>6202.55</v>
      </c>
      <c r="EW1319" s="97">
        <f t="shared" ref="EW1319:EY1326" si="1472">EH1319*EQ1319</f>
        <v>10726783.220000001</v>
      </c>
      <c r="EX1319" s="97">
        <f t="shared" si="1472"/>
        <v>11263157.560000001</v>
      </c>
      <c r="EY1319" s="97">
        <f t="shared" si="1472"/>
        <v>11868914.539999999</v>
      </c>
      <c r="EZ1319" s="97">
        <f t="shared" ref="EZ1319:FB1326" si="1473">EH1319*ET1319</f>
        <v>1482120.48</v>
      </c>
      <c r="FA1319" s="97">
        <f t="shared" si="1473"/>
        <v>1547294.34</v>
      </c>
      <c r="FB1319" s="97">
        <f t="shared" si="1473"/>
        <v>1575447.7</v>
      </c>
      <c r="FC1319" s="102">
        <v>310</v>
      </c>
      <c r="FD1319" s="102">
        <v>310</v>
      </c>
      <c r="FE1319" s="102">
        <v>310</v>
      </c>
      <c r="FF1319" s="97">
        <f t="shared" ref="FF1319:FF1326" si="1474">$F1319*FC1319</f>
        <v>31300080</v>
      </c>
      <c r="FG1319" s="97">
        <f t="shared" ref="FG1319:FG1326" si="1475">$G1319*FD1319</f>
        <v>31885050</v>
      </c>
      <c r="FH1319" s="97">
        <f t="shared" ref="FH1319:FH1326" si="1476">$H1319*FE1319</f>
        <v>32398410</v>
      </c>
      <c r="FI1319" s="97">
        <f t="shared" ref="FI1319:FI1326" si="1477">$I1319*FC1319</f>
        <v>2063527.4</v>
      </c>
      <c r="FJ1319" s="97">
        <f t="shared" ref="FJ1319:FJ1326" si="1478">$J1319*FD1319</f>
        <v>2103901.7999999998</v>
      </c>
      <c r="FK1319" s="97">
        <f t="shared" ref="FK1319:FK1326" si="1479">$K1319*FE1319</f>
        <v>2133265</v>
      </c>
      <c r="FL1319" s="97">
        <f>$F1319*FL$1349</f>
        <v>41029.85</v>
      </c>
      <c r="FM1319" s="97">
        <f>$G1319*FM$1349</f>
        <v>43168.65</v>
      </c>
      <c r="FN1319" s="97">
        <f>$H1319*FN$1349</f>
        <v>45517.25</v>
      </c>
      <c r="FO1319" s="97">
        <f>$I1319*FO$1349</f>
        <v>6275.94</v>
      </c>
      <c r="FP1319" s="97">
        <f>$J1319*FP$1349</f>
        <v>6592.75</v>
      </c>
      <c r="FQ1319" s="97">
        <f>$K1319*FQ$1349</f>
        <v>6559.57</v>
      </c>
      <c r="FR1319" s="97">
        <f t="shared" ref="FR1319:FT1326" si="1480">FC1319*FL1319</f>
        <v>12719253.5</v>
      </c>
      <c r="FS1319" s="97">
        <f t="shared" si="1480"/>
        <v>13382281.5</v>
      </c>
      <c r="FT1319" s="97">
        <f t="shared" si="1480"/>
        <v>14110347.5</v>
      </c>
      <c r="FU1319" s="97">
        <f t="shared" ref="FU1319:FW1326" si="1481">FC1319*FO1319</f>
        <v>1945541.4</v>
      </c>
      <c r="FV1319" s="97">
        <f t="shared" si="1481"/>
        <v>2043752.5</v>
      </c>
      <c r="FW1319" s="97">
        <f t="shared" si="1481"/>
        <v>2033466.7</v>
      </c>
      <c r="FX1319" s="102">
        <v>382</v>
      </c>
      <c r="FY1319" s="102">
        <v>382</v>
      </c>
      <c r="FZ1319" s="102">
        <v>382</v>
      </c>
      <c r="GA1319" s="97">
        <f t="shared" ref="GA1319:GA1326" si="1482">$F1319*FX1319</f>
        <v>38569776</v>
      </c>
      <c r="GB1319" s="97">
        <f t="shared" ref="GB1319:GB1326" si="1483">$G1319*FY1319</f>
        <v>39290610</v>
      </c>
      <c r="GC1319" s="97">
        <f t="shared" ref="GC1319:GC1326" si="1484">$H1319*FZ1319</f>
        <v>39923202</v>
      </c>
      <c r="GD1319" s="97">
        <f t="shared" ref="GD1319:GD1326" si="1485">$I1319*FX1319</f>
        <v>2542798.2799999998</v>
      </c>
      <c r="GE1319" s="97">
        <f t="shared" ref="GE1319:GE1326" si="1486">$J1319*FY1319</f>
        <v>2592549.96</v>
      </c>
      <c r="GF1319" s="97">
        <f t="shared" ref="GF1319:GF1326" si="1487">$K1319*FZ1319</f>
        <v>2628733</v>
      </c>
      <c r="GG1319" s="97">
        <f>$F1319*GG$1349</f>
        <v>40965.370000000003</v>
      </c>
      <c r="GH1319" s="97">
        <f>$G1319*GH$1349</f>
        <v>43053.82</v>
      </c>
      <c r="GI1319" s="97">
        <f>$H1319*GI$1349</f>
        <v>45373.440000000002</v>
      </c>
      <c r="GJ1319" s="97">
        <f>$I1319*GJ$1349</f>
        <v>4705.79</v>
      </c>
      <c r="GK1319" s="97">
        <f>$J1319*GK$1349</f>
        <v>5328.11</v>
      </c>
      <c r="GL1319" s="97">
        <f>$K1319*GL$1349</f>
        <v>5742.25</v>
      </c>
      <c r="GM1319" s="97">
        <f t="shared" ref="GM1319:GO1326" si="1488">FX1319*GG1319</f>
        <v>15648771.34</v>
      </c>
      <c r="GN1319" s="97">
        <f t="shared" si="1488"/>
        <v>16446559.24</v>
      </c>
      <c r="GO1319" s="97">
        <f t="shared" si="1488"/>
        <v>17332654.079999998</v>
      </c>
      <c r="GP1319" s="97">
        <f t="shared" ref="GP1319:GR1326" si="1489">FX1319*GJ1319</f>
        <v>1797611.78</v>
      </c>
      <c r="GQ1319" s="97">
        <f t="shared" si="1489"/>
        <v>2035338.02</v>
      </c>
      <c r="GR1319" s="97">
        <f t="shared" si="1489"/>
        <v>2193539.5</v>
      </c>
      <c r="GS1319" s="102">
        <v>310</v>
      </c>
      <c r="GT1319" s="102">
        <v>310</v>
      </c>
      <c r="GU1319" s="102">
        <v>310</v>
      </c>
      <c r="GV1319" s="97">
        <f t="shared" ref="GV1319:GV1326" si="1490">$F1319*GS1319</f>
        <v>31300080</v>
      </c>
      <c r="GW1319" s="97">
        <f t="shared" ref="GW1319:GW1326" si="1491">$G1319*GT1319</f>
        <v>31885050</v>
      </c>
      <c r="GX1319" s="97">
        <f t="shared" ref="GX1319:GX1326" si="1492">$H1319*GU1319</f>
        <v>32398410</v>
      </c>
      <c r="GY1319" s="97">
        <f t="shared" ref="GY1319:GY1326" si="1493">$I1319*GS1319</f>
        <v>2063527.4</v>
      </c>
      <c r="GZ1319" s="97">
        <f t="shared" ref="GZ1319:GZ1326" si="1494">$J1319*GT1319</f>
        <v>2103901.7999999998</v>
      </c>
      <c r="HA1319" s="97">
        <f t="shared" ref="HA1319:HA1326" si="1495">$K1319*GU1319</f>
        <v>2133265</v>
      </c>
      <c r="HB1319" s="97">
        <f>$F1319*HB$1349</f>
        <v>42793.9</v>
      </c>
      <c r="HC1319" s="97">
        <f>$G1319*HC$1349</f>
        <v>44957.45</v>
      </c>
      <c r="HD1319" s="97">
        <f>$H1319*HD$1349</f>
        <v>47378.35</v>
      </c>
      <c r="HE1319" s="97">
        <f>$I1319*HE$1349</f>
        <v>5475.26</v>
      </c>
      <c r="HF1319" s="97">
        <f>$J1319*HF$1349</f>
        <v>5699.04</v>
      </c>
      <c r="HG1319" s="97">
        <f>$K1319*HG$1349</f>
        <v>5788.82</v>
      </c>
      <c r="HH1319" s="97">
        <f t="shared" ref="HH1319:HJ1326" si="1496">GS1319*HB1319</f>
        <v>13266109</v>
      </c>
      <c r="HI1319" s="97">
        <f t="shared" si="1496"/>
        <v>13936809.5</v>
      </c>
      <c r="HJ1319" s="97">
        <f t="shared" si="1496"/>
        <v>14687288.5</v>
      </c>
      <c r="HK1319" s="97">
        <f t="shared" ref="HK1319:HM1326" si="1497">GS1319*HE1319</f>
        <v>1697330.6</v>
      </c>
      <c r="HL1319" s="97">
        <f t="shared" si="1497"/>
        <v>1766702.4</v>
      </c>
      <c r="HM1319" s="97">
        <f t="shared" si="1497"/>
        <v>1794534.2</v>
      </c>
      <c r="HN1319" s="102">
        <v>357</v>
      </c>
      <c r="HO1319" s="102">
        <v>357</v>
      </c>
      <c r="HP1319" s="102">
        <v>357</v>
      </c>
      <c r="HQ1319" s="97">
        <f t="shared" ref="HQ1319:HQ1326" si="1498">$F1319*HN1319</f>
        <v>36045576</v>
      </c>
      <c r="HR1319" s="97">
        <f t="shared" ref="HR1319:HR1326" si="1499">$G1319*HO1319</f>
        <v>36719235</v>
      </c>
      <c r="HS1319" s="97">
        <f t="shared" ref="HS1319:HS1326" si="1500">$H1319*HP1319</f>
        <v>37310427</v>
      </c>
      <c r="HT1319" s="97">
        <f t="shared" ref="HT1319:HT1326" si="1501">$I1319*HN1319</f>
        <v>2376384.7799999998</v>
      </c>
      <c r="HU1319" s="97">
        <f t="shared" ref="HU1319:HU1326" si="1502">$J1319*HO1319</f>
        <v>2422880.46</v>
      </c>
      <c r="HV1319" s="97">
        <f t="shared" ref="HV1319:HV1326" si="1503">$K1319*HP1319</f>
        <v>2456695.5</v>
      </c>
      <c r="HW1319" s="97">
        <f>$F1319*HW$1349</f>
        <v>42115.15</v>
      </c>
      <c r="HX1319" s="97">
        <f>$G1319*HX$1349</f>
        <v>44309.81</v>
      </c>
      <c r="HY1319" s="97">
        <f>$H1319*HY$1349</f>
        <v>46704.31</v>
      </c>
      <c r="HZ1319" s="97">
        <f>$I1319*HZ$1349</f>
        <v>5223.04</v>
      </c>
      <c r="IA1319" s="97">
        <f>$J1319*IA$1349</f>
        <v>5433.24</v>
      </c>
      <c r="IB1319" s="97">
        <f>$K1319*IB$1349</f>
        <v>5424.35</v>
      </c>
      <c r="IC1319" s="97">
        <f t="shared" ref="IC1319:IE1326" si="1504">HN1319*HW1319</f>
        <v>15035108.550000001</v>
      </c>
      <c r="ID1319" s="97">
        <f t="shared" si="1504"/>
        <v>15818602.17</v>
      </c>
      <c r="IE1319" s="97">
        <f t="shared" si="1504"/>
        <v>16673438.67</v>
      </c>
      <c r="IF1319" s="97">
        <f t="shared" ref="IF1319:IH1326" si="1505">HN1319*HZ1319</f>
        <v>1864625.28</v>
      </c>
      <c r="IG1319" s="97">
        <f t="shared" si="1505"/>
        <v>1939666.68</v>
      </c>
      <c r="IH1319" s="97">
        <f t="shared" si="1505"/>
        <v>1936492.95</v>
      </c>
      <c r="II1319" s="102"/>
      <c r="IJ1319" s="102"/>
      <c r="IK1319" s="102"/>
      <c r="IL1319" s="97">
        <f t="shared" ref="IL1319:IL1326" si="1506">$F1319*II1319</f>
        <v>0</v>
      </c>
      <c r="IM1319" s="97">
        <f t="shared" ref="IM1319:IM1326" si="1507">$G1319*IJ1319</f>
        <v>0</v>
      </c>
      <c r="IN1319" s="97">
        <f t="shared" ref="IN1319:IN1326" si="1508">$H1319*IK1319</f>
        <v>0</v>
      </c>
      <c r="IO1319" s="97">
        <f t="shared" ref="IO1319:IO1326" si="1509">$I1319*II1319</f>
        <v>0</v>
      </c>
      <c r="IP1319" s="97">
        <f t="shared" ref="IP1319:IP1326" si="1510">$J1319*IJ1319</f>
        <v>0</v>
      </c>
      <c r="IQ1319" s="97">
        <f t="shared" ref="IQ1319:IQ1326" si="1511">$K1319*IK1319</f>
        <v>0</v>
      </c>
      <c r="IR1319" s="97">
        <f>$F1319*IR$1349</f>
        <v>57210.62</v>
      </c>
      <c r="IS1319" s="97">
        <f>$G1319*IS$1349</f>
        <v>60035.71</v>
      </c>
      <c r="IT1319" s="97">
        <f>$H1319*IT$1349</f>
        <v>63257.07</v>
      </c>
      <c r="IU1319" s="97">
        <f>$I1319*IU$1349</f>
        <v>7896.22</v>
      </c>
      <c r="IV1319" s="97">
        <f>$J1319*IV$1349</f>
        <v>8213.49</v>
      </c>
      <c r="IW1319" s="97">
        <f>$K1319*IW$1349</f>
        <v>8142.45</v>
      </c>
      <c r="IX1319" s="97">
        <f t="shared" ref="IX1319:IZ1326" si="1512">II1319*IR1319</f>
        <v>0</v>
      </c>
      <c r="IY1319" s="97">
        <f t="shared" si="1512"/>
        <v>0</v>
      </c>
      <c r="IZ1319" s="97">
        <f t="shared" si="1512"/>
        <v>0</v>
      </c>
      <c r="JA1319" s="97">
        <f t="shared" ref="JA1319:JC1326" si="1513">II1319*IU1319</f>
        <v>0</v>
      </c>
      <c r="JB1319" s="97">
        <f t="shared" si="1513"/>
        <v>0</v>
      </c>
      <c r="JC1319" s="97">
        <f t="shared" si="1513"/>
        <v>0</v>
      </c>
      <c r="JD1319" s="102">
        <v>361</v>
      </c>
      <c r="JE1319" s="102">
        <v>361</v>
      </c>
      <c r="JF1319" s="102">
        <v>361</v>
      </c>
      <c r="JG1319" s="97">
        <f t="shared" ref="JG1319:JG1326" si="1514">$F1319*JD1319</f>
        <v>36449448</v>
      </c>
      <c r="JH1319" s="97">
        <f t="shared" ref="JH1319:JH1326" si="1515">$G1319*JE1319</f>
        <v>37130655</v>
      </c>
      <c r="JI1319" s="97">
        <f t="shared" ref="JI1319:JI1326" si="1516">$H1319*JF1319</f>
        <v>37728471</v>
      </c>
      <c r="JJ1319" s="97">
        <f t="shared" ref="JJ1319:JJ1326" si="1517">$I1319*JD1319</f>
        <v>2403010.94</v>
      </c>
      <c r="JK1319" s="97">
        <f t="shared" ref="JK1319:JK1326" si="1518">$J1319*JE1319</f>
        <v>2450027.58</v>
      </c>
      <c r="JL1319" s="97">
        <f t="shared" ref="JL1319:JL1326" si="1519">$K1319*JF1319</f>
        <v>2484221.5</v>
      </c>
      <c r="JM1319" s="97">
        <f>$F1319*JM$1349</f>
        <v>38350.57</v>
      </c>
      <c r="JN1319" s="97">
        <f>$G1319*JN$1349</f>
        <v>40324.85</v>
      </c>
      <c r="JO1319" s="97">
        <f>$H1319*JO$1349</f>
        <v>42511.16</v>
      </c>
      <c r="JP1319" s="97">
        <f>$I1319*JP$1349</f>
        <v>4304.99</v>
      </c>
      <c r="JQ1319" s="97">
        <f>$J1319*JQ$1349</f>
        <v>4559.71</v>
      </c>
      <c r="JR1319" s="97">
        <f>$K1319*JR$1349</f>
        <v>4634.3500000000004</v>
      </c>
      <c r="JS1319" s="97">
        <f t="shared" ref="JS1319:JU1326" si="1520">JD1319*JM1319</f>
        <v>13844555.77</v>
      </c>
      <c r="JT1319" s="97">
        <f t="shared" si="1520"/>
        <v>14557270.85</v>
      </c>
      <c r="JU1319" s="97">
        <f t="shared" si="1520"/>
        <v>15346528.76</v>
      </c>
      <c r="JV1319" s="97">
        <f t="shared" ref="JV1319:JX1326" si="1521">JD1319*JP1319</f>
        <v>1554101.39</v>
      </c>
      <c r="JW1319" s="97">
        <f t="shared" si="1521"/>
        <v>1646055.31</v>
      </c>
      <c r="JX1319" s="97">
        <f t="shared" si="1521"/>
        <v>1673000.35</v>
      </c>
      <c r="JY1319" s="102">
        <v>363</v>
      </c>
      <c r="JZ1319" s="102">
        <v>363</v>
      </c>
      <c r="KA1319" s="102">
        <v>363</v>
      </c>
      <c r="KB1319" s="97">
        <f t="shared" ref="KB1319:KB1326" si="1522">$F1319*JY1319</f>
        <v>36651384</v>
      </c>
      <c r="KC1319" s="97">
        <f t="shared" ref="KC1319:KC1326" si="1523">$G1319*JZ1319</f>
        <v>37336365</v>
      </c>
      <c r="KD1319" s="97">
        <f t="shared" ref="KD1319:KD1326" si="1524">$H1319*KA1319</f>
        <v>37937493</v>
      </c>
      <c r="KE1319" s="97">
        <f t="shared" ref="KE1319:KE1326" si="1525">$I1319*JY1319</f>
        <v>2416324.02</v>
      </c>
      <c r="KF1319" s="97">
        <f t="shared" ref="KF1319:KF1326" si="1526">$J1319*JZ1319</f>
        <v>2463601.14</v>
      </c>
      <c r="KG1319" s="97">
        <f t="shared" ref="KG1319:KG1326" si="1527">$K1319*KA1319</f>
        <v>2497984.5</v>
      </c>
      <c r="KH1319" s="97">
        <f>$F1319*KH$1349</f>
        <v>39428.42</v>
      </c>
      <c r="KI1319" s="97">
        <f>$G1319*KI$1349</f>
        <v>41423.1</v>
      </c>
      <c r="KJ1319" s="97">
        <f>$H1319*KJ$1349</f>
        <v>43659.12</v>
      </c>
      <c r="KK1319" s="97">
        <f>$I1319*KK$1349</f>
        <v>4035.72</v>
      </c>
      <c r="KL1319" s="97">
        <f>$J1319*KL$1349</f>
        <v>4225.82</v>
      </c>
      <c r="KM1319" s="97">
        <f>$K1319*KM$1349</f>
        <v>4264.55</v>
      </c>
      <c r="KN1319" s="97">
        <f t="shared" ref="KN1319:KP1326" si="1528">JY1319*KH1319</f>
        <v>14312516.460000001</v>
      </c>
      <c r="KO1319" s="97">
        <f t="shared" si="1528"/>
        <v>15036585.300000001</v>
      </c>
      <c r="KP1319" s="97">
        <f t="shared" si="1528"/>
        <v>15848260.560000001</v>
      </c>
      <c r="KQ1319" s="97">
        <f t="shared" ref="KQ1319:KS1326" si="1529">JY1319*KK1319</f>
        <v>1464966.36</v>
      </c>
      <c r="KR1319" s="97">
        <f t="shared" si="1529"/>
        <v>1533972.66</v>
      </c>
      <c r="KS1319" s="97">
        <f t="shared" si="1529"/>
        <v>1548031.65</v>
      </c>
      <c r="KT1319" s="102">
        <v>400</v>
      </c>
      <c r="KU1319" s="102">
        <v>400</v>
      </c>
      <c r="KV1319" s="102">
        <v>400</v>
      </c>
      <c r="KW1319" s="97">
        <f t="shared" ref="KW1319:KW1326" si="1530">$F1319*KT1319</f>
        <v>40387200</v>
      </c>
      <c r="KX1319" s="97">
        <f t="shared" ref="KX1319:KX1326" si="1531">$G1319*KU1319</f>
        <v>41142000</v>
      </c>
      <c r="KY1319" s="97">
        <f t="shared" ref="KY1319:KY1326" si="1532">$H1319*KV1319</f>
        <v>41804400</v>
      </c>
      <c r="KZ1319" s="97">
        <f t="shared" ref="KZ1319:KZ1326" si="1533">$I1319*KT1319</f>
        <v>2662616</v>
      </c>
      <c r="LA1319" s="97">
        <f t="shared" ref="LA1319:LA1326" si="1534">$J1319*KU1319</f>
        <v>2714712</v>
      </c>
      <c r="LB1319" s="97">
        <f t="shared" ref="LB1319:LB1326" si="1535">$K1319*KV1319</f>
        <v>2752600</v>
      </c>
      <c r="LC1319" s="97">
        <f>$F1319*LC$1349</f>
        <v>37216.870000000003</v>
      </c>
      <c r="LD1319" s="97">
        <f>$G1319*LD$1349</f>
        <v>39151.870000000003</v>
      </c>
      <c r="LE1319" s="97">
        <f>$H1319*LE$1349</f>
        <v>41277.32</v>
      </c>
      <c r="LF1319" s="97">
        <f>$I1319*LF$1349</f>
        <v>5562.18</v>
      </c>
      <c r="LG1319" s="97">
        <f>$J1319*LG$1349</f>
        <v>5904.21</v>
      </c>
      <c r="LH1319" s="97">
        <f>$K1319*LH$1349</f>
        <v>6017.95</v>
      </c>
      <c r="LI1319" s="97">
        <f t="shared" ref="LI1319:LK1326" si="1536">KT1319*LC1319</f>
        <v>14886748</v>
      </c>
      <c r="LJ1319" s="97">
        <f t="shared" si="1536"/>
        <v>15660748</v>
      </c>
      <c r="LK1319" s="97">
        <f t="shared" si="1536"/>
        <v>16510928</v>
      </c>
      <c r="LL1319" s="97">
        <f t="shared" ref="LL1319:LN1326" si="1537">KT1319*LF1319</f>
        <v>2224872</v>
      </c>
      <c r="LM1319" s="97">
        <f t="shared" si="1537"/>
        <v>2361684</v>
      </c>
      <c r="LN1319" s="97">
        <f t="shared" si="1537"/>
        <v>2407180</v>
      </c>
      <c r="LO1319" s="102">
        <v>576</v>
      </c>
      <c r="LP1319" s="102">
        <v>576</v>
      </c>
      <c r="LQ1319" s="102">
        <v>576</v>
      </c>
      <c r="LR1319" s="97">
        <f t="shared" ref="LR1319:LR1326" si="1538">$F1319*LO1319</f>
        <v>58157568</v>
      </c>
      <c r="LS1319" s="97">
        <f t="shared" ref="LS1319:LS1326" si="1539">$G1319*LP1319</f>
        <v>59244480</v>
      </c>
      <c r="LT1319" s="97">
        <f t="shared" ref="LT1319:LT1326" si="1540">$H1319*LQ1319</f>
        <v>60198336</v>
      </c>
      <c r="LU1319" s="97">
        <f t="shared" ref="LU1319:LU1326" si="1541">$I1319*LO1319</f>
        <v>3834167.04</v>
      </c>
      <c r="LV1319" s="97">
        <f t="shared" ref="LV1319:LV1326" si="1542">$J1319*LP1319</f>
        <v>3909185.28</v>
      </c>
      <c r="LW1319" s="97">
        <f t="shared" ref="LW1319:LW1326" si="1543">$K1319*LQ1319</f>
        <v>3963744</v>
      </c>
      <c r="LX1319" s="97">
        <f>$F1319*LX$1349</f>
        <v>32510.59</v>
      </c>
      <c r="LY1319" s="97">
        <f>$G1319*LY$1349</f>
        <v>34202.74</v>
      </c>
      <c r="LZ1319" s="97">
        <f>$H1319*LZ$1349</f>
        <v>36055.800000000003</v>
      </c>
      <c r="MA1319" s="97">
        <f>$I1319*MA$1349</f>
        <v>4128.8</v>
      </c>
      <c r="MB1319" s="97">
        <f>$J1319*MB$1349</f>
        <v>4313.68</v>
      </c>
      <c r="MC1319" s="97">
        <f>$K1319*MC$1349</f>
        <v>4360.96</v>
      </c>
      <c r="MD1319" s="97">
        <f t="shared" ref="MD1319:MF1326" si="1544">LO1319*LX1319</f>
        <v>18726099.84</v>
      </c>
      <c r="ME1319" s="97">
        <f t="shared" si="1544"/>
        <v>19700778.239999998</v>
      </c>
      <c r="MF1319" s="97">
        <f t="shared" si="1544"/>
        <v>20768140.800000001</v>
      </c>
      <c r="MG1319" s="97">
        <f t="shared" ref="MG1319:MI1326" si="1545">LO1319*MA1319</f>
        <v>2378188.7999999998</v>
      </c>
      <c r="MH1319" s="97">
        <f t="shared" si="1545"/>
        <v>2484679.6800000002</v>
      </c>
      <c r="MI1319" s="97">
        <f t="shared" si="1545"/>
        <v>2511912.96</v>
      </c>
      <c r="MJ1319" s="102">
        <v>408</v>
      </c>
      <c r="MK1319" s="102">
        <v>408</v>
      </c>
      <c r="ML1319" s="102">
        <v>408</v>
      </c>
      <c r="MM1319" s="97">
        <f t="shared" ref="MM1319:MM1326" si="1546">$F1319*MJ1319</f>
        <v>41194944</v>
      </c>
      <c r="MN1319" s="97">
        <f t="shared" ref="MN1319:MN1326" si="1547">$G1319*MK1319</f>
        <v>41964840</v>
      </c>
      <c r="MO1319" s="97">
        <f t="shared" ref="MO1319:MO1326" si="1548">$H1319*ML1319</f>
        <v>42640488</v>
      </c>
      <c r="MP1319" s="97">
        <f t="shared" ref="MP1319:MP1326" si="1549">$I1319*MJ1319</f>
        <v>2715868.32</v>
      </c>
      <c r="MQ1319" s="97">
        <f t="shared" ref="MQ1319:MQ1326" si="1550">$J1319*MK1319</f>
        <v>2769006.24</v>
      </c>
      <c r="MR1319" s="97">
        <f t="shared" ref="MR1319:MR1326" si="1551">$K1319*ML1319</f>
        <v>2807652</v>
      </c>
      <c r="MS1319" s="97">
        <f>$F1319*MS$1349</f>
        <v>37611.14</v>
      </c>
      <c r="MT1319" s="97">
        <f>$G1319*MT$1349</f>
        <v>39563.99</v>
      </c>
      <c r="MU1319" s="97">
        <f>$H1319*MU$1349</f>
        <v>41711.160000000003</v>
      </c>
      <c r="MV1319" s="97">
        <f>$I1319*MV$1349</f>
        <v>4898.32</v>
      </c>
      <c r="MW1319" s="97">
        <f>$J1319*MW$1349</f>
        <v>5048.6899999999996</v>
      </c>
      <c r="MX1319" s="97">
        <f>$K1319*MX$1349</f>
        <v>5150.7</v>
      </c>
      <c r="MY1319" s="97">
        <f t="shared" ref="MY1319:NA1326" si="1552">MJ1319*MS1319</f>
        <v>15345345.119999999</v>
      </c>
      <c r="MZ1319" s="97">
        <f t="shared" si="1552"/>
        <v>16142107.92</v>
      </c>
      <c r="NA1319" s="97">
        <f t="shared" si="1552"/>
        <v>17018153.280000001</v>
      </c>
      <c r="NB1319" s="97">
        <f t="shared" ref="NB1319:ND1326" si="1553">MJ1319*MV1319</f>
        <v>1998514.56</v>
      </c>
      <c r="NC1319" s="97">
        <f t="shared" si="1553"/>
        <v>2059865.52</v>
      </c>
      <c r="ND1319" s="97">
        <f t="shared" si="1553"/>
        <v>2101485.6</v>
      </c>
      <c r="NE1319" s="102">
        <v>342</v>
      </c>
      <c r="NF1319" s="102">
        <v>342</v>
      </c>
      <c r="NG1319" s="102">
        <v>342</v>
      </c>
      <c r="NH1319" s="97">
        <f t="shared" ref="NH1319:NH1326" si="1554">$F1319*NE1319</f>
        <v>34531056</v>
      </c>
      <c r="NI1319" s="97">
        <f t="shared" ref="NI1319:NI1326" si="1555">$G1319*NF1319</f>
        <v>35176410</v>
      </c>
      <c r="NJ1319" s="97">
        <f t="shared" ref="NJ1319:NJ1326" si="1556">$H1319*NG1319</f>
        <v>35742762</v>
      </c>
      <c r="NK1319" s="97">
        <f t="shared" ref="NK1319:NK1326" si="1557">$I1319*NE1319</f>
        <v>2276536.6800000002</v>
      </c>
      <c r="NL1319" s="97">
        <f t="shared" ref="NL1319:NL1326" si="1558">$J1319*NF1319</f>
        <v>2321078.7599999998</v>
      </c>
      <c r="NM1319" s="97">
        <f t="shared" ref="NM1319:NM1326" si="1559">$K1319*NG1319</f>
        <v>2353473</v>
      </c>
      <c r="NN1319" s="97">
        <f>$F1319*NN$1349</f>
        <v>38400.160000000003</v>
      </c>
      <c r="NO1319" s="97">
        <f>$G1319*NO$1349</f>
        <v>40341.75</v>
      </c>
      <c r="NP1319" s="97">
        <f>$H1319*NP$1349</f>
        <v>42507.18</v>
      </c>
      <c r="NQ1319" s="97">
        <f>$I1319*NQ$1349</f>
        <v>7173.93</v>
      </c>
      <c r="NR1319" s="97">
        <f>$J1319*NR$1349</f>
        <v>7639.85</v>
      </c>
      <c r="NS1319" s="97">
        <f>$K1319*NS$1349</f>
        <v>7532.5</v>
      </c>
      <c r="NT1319" s="97">
        <f t="shared" ref="NT1319:NV1326" si="1560">NE1319*NN1319</f>
        <v>13132854.720000001</v>
      </c>
      <c r="NU1319" s="97">
        <f t="shared" si="1560"/>
        <v>13796878.5</v>
      </c>
      <c r="NV1319" s="97">
        <f t="shared" si="1560"/>
        <v>14537455.560000001</v>
      </c>
      <c r="NW1319" s="97">
        <f t="shared" ref="NW1319:NY1326" si="1561">NE1319*NQ1319</f>
        <v>2453484.06</v>
      </c>
      <c r="NX1319" s="97">
        <f t="shared" si="1561"/>
        <v>2612828.7000000002</v>
      </c>
      <c r="NY1319" s="97">
        <f t="shared" si="1561"/>
        <v>2576115</v>
      </c>
      <c r="NZ1319" s="102">
        <v>164</v>
      </c>
      <c r="OA1319" s="102">
        <v>164</v>
      </c>
      <c r="OB1319" s="102">
        <v>164</v>
      </c>
      <c r="OC1319" s="97">
        <f t="shared" ref="OC1319:OC1326" si="1562">$F1319*NZ1319</f>
        <v>16558752</v>
      </c>
      <c r="OD1319" s="97">
        <f t="shared" ref="OD1319:OD1326" si="1563">$G1319*OA1319</f>
        <v>16868220</v>
      </c>
      <c r="OE1319" s="97">
        <f t="shared" ref="OE1319:OE1326" si="1564">$H1319*OB1319</f>
        <v>17139804</v>
      </c>
      <c r="OF1319" s="97">
        <f t="shared" ref="OF1319:OF1326" si="1565">$I1319*NZ1319</f>
        <v>1091672.56</v>
      </c>
      <c r="OG1319" s="97">
        <f t="shared" ref="OG1319:OG1326" si="1566">$J1319*OA1319</f>
        <v>1113031.92</v>
      </c>
      <c r="OH1319" s="97">
        <f t="shared" ref="OH1319:OH1326" si="1567">$K1319*OB1319</f>
        <v>1128566</v>
      </c>
      <c r="OI1319" s="97">
        <f>$F1319*OI$1349</f>
        <v>50349.04</v>
      </c>
      <c r="OJ1319" s="97">
        <f>$G1319*OJ$1349</f>
        <v>52811.96</v>
      </c>
      <c r="OK1319" s="97">
        <f>$H1319*OK$1349</f>
        <v>55630.559999999998</v>
      </c>
      <c r="OL1319" s="97">
        <f>$I1319*OL$1349</f>
        <v>7195.36</v>
      </c>
      <c r="OM1319" s="97">
        <f>$J1319*OM$1349</f>
        <v>7622.59</v>
      </c>
      <c r="ON1319" s="97">
        <f>$K1319*ON$1349</f>
        <v>7688.57</v>
      </c>
      <c r="OO1319" s="97">
        <f t="shared" ref="OO1319:OQ1326" si="1568">NZ1319*OI1319</f>
        <v>8257242.5599999996</v>
      </c>
      <c r="OP1319" s="97">
        <f t="shared" si="1568"/>
        <v>8661161.4399999995</v>
      </c>
      <c r="OQ1319" s="97">
        <f t="shared" si="1568"/>
        <v>9123411.8399999999</v>
      </c>
      <c r="OR1319" s="97">
        <f t="shared" ref="OR1319:OT1326" si="1569">NZ1319*OL1319</f>
        <v>1180039.04</v>
      </c>
      <c r="OS1319" s="97">
        <f t="shared" si="1569"/>
        <v>1250104.76</v>
      </c>
      <c r="OT1319" s="97">
        <f t="shared" si="1569"/>
        <v>1260925.48</v>
      </c>
      <c r="OU1319" s="102">
        <v>353</v>
      </c>
      <c r="OV1319" s="102">
        <v>353</v>
      </c>
      <c r="OW1319" s="102">
        <v>353</v>
      </c>
      <c r="OX1319" s="97">
        <f t="shared" ref="OX1319:OX1326" si="1570">$F1319*OU1319</f>
        <v>35641704</v>
      </c>
      <c r="OY1319" s="97">
        <f t="shared" ref="OY1319:OY1326" si="1571">$G1319*OV1319</f>
        <v>36307815</v>
      </c>
      <c r="OZ1319" s="97">
        <f t="shared" ref="OZ1319:OZ1326" si="1572">$H1319*OW1319</f>
        <v>36892383</v>
      </c>
      <c r="PA1319" s="97">
        <f t="shared" ref="PA1319:PA1326" si="1573">$I1319*OU1319</f>
        <v>2349758.62</v>
      </c>
      <c r="PB1319" s="97">
        <f t="shared" ref="PB1319:PB1326" si="1574">$J1319*OV1319</f>
        <v>2395733.34</v>
      </c>
      <c r="PC1319" s="97">
        <f t="shared" ref="PC1319:PC1326" si="1575">$K1319*OW1319</f>
        <v>2429169.5</v>
      </c>
      <c r="PD1319" s="97">
        <f>$F1319*PD$1349</f>
        <v>42341.97</v>
      </c>
      <c r="PE1319" s="97">
        <f>$G1319*PE$1349</f>
        <v>44520.81</v>
      </c>
      <c r="PF1319" s="97">
        <f>$H1319*PF$1349</f>
        <v>46930.720000000001</v>
      </c>
      <c r="PG1319" s="97">
        <f>$I1319*PG$1349</f>
        <v>5750.61</v>
      </c>
      <c r="PH1319" s="97">
        <f>$J1319*PH$1349</f>
        <v>5989.84</v>
      </c>
      <c r="PI1319" s="97">
        <f>$K1319*PI$1349</f>
        <v>6122.8</v>
      </c>
      <c r="PJ1319" s="97">
        <f t="shared" ref="PJ1319:PL1326" si="1576">OU1319*PD1319</f>
        <v>14946715.41</v>
      </c>
      <c r="PK1319" s="97">
        <f t="shared" si="1576"/>
        <v>15715845.93</v>
      </c>
      <c r="PL1319" s="97">
        <f t="shared" si="1576"/>
        <v>16566544.16</v>
      </c>
      <c r="PM1319" s="97">
        <f t="shared" ref="PM1319:PO1326" si="1577">OU1319*PG1319</f>
        <v>2029965.33</v>
      </c>
      <c r="PN1319" s="97">
        <f t="shared" si="1577"/>
        <v>2114413.52</v>
      </c>
      <c r="PO1319" s="97">
        <f t="shared" si="1577"/>
        <v>2161348.4</v>
      </c>
      <c r="PP1319" s="102">
        <v>712</v>
      </c>
      <c r="PQ1319" s="102">
        <v>712</v>
      </c>
      <c r="PR1319" s="102">
        <v>712</v>
      </c>
      <c r="PS1319" s="97">
        <f t="shared" ref="PS1319:PS1326" si="1578">$F1319*PP1319</f>
        <v>71889216</v>
      </c>
      <c r="PT1319" s="97">
        <f t="shared" ref="PT1319:PT1326" si="1579">$G1319*PQ1319</f>
        <v>73232760</v>
      </c>
      <c r="PU1319" s="97">
        <f t="shared" ref="PU1319:PU1326" si="1580">$H1319*PR1319</f>
        <v>74411832</v>
      </c>
      <c r="PV1319" s="97">
        <f t="shared" ref="PV1319:PV1326" si="1581">$I1319*PP1319</f>
        <v>4739456.4800000004</v>
      </c>
      <c r="PW1319" s="97">
        <f t="shared" ref="PW1319:PW1326" si="1582">$J1319*PQ1319</f>
        <v>4832187.3600000003</v>
      </c>
      <c r="PX1319" s="97">
        <f t="shared" ref="PX1319:PX1326" si="1583">$K1319*PR1319</f>
        <v>4899628</v>
      </c>
      <c r="PY1319" s="97">
        <f>$F1319*PY$1349</f>
        <v>37908.92</v>
      </c>
      <c r="PZ1319" s="97">
        <f>$G1319*PZ$1349</f>
        <v>39893.1</v>
      </c>
      <c r="QA1319" s="97">
        <f>$H1319*QA$1349</f>
        <v>42055.31</v>
      </c>
      <c r="QB1319" s="97">
        <f>$I1319*QB$1349</f>
        <v>5930.3</v>
      </c>
      <c r="QC1319" s="97">
        <f>$J1319*QC$1349</f>
        <v>6349.31</v>
      </c>
      <c r="QD1319" s="97">
        <f>$K1319*QD$1349</f>
        <v>6432.32</v>
      </c>
      <c r="QE1319" s="97">
        <f t="shared" ref="QE1319:QG1326" si="1584">PP1319*PY1319</f>
        <v>26991151.039999999</v>
      </c>
      <c r="QF1319" s="97">
        <f t="shared" si="1584"/>
        <v>28403887.199999999</v>
      </c>
      <c r="QG1319" s="97">
        <f t="shared" si="1584"/>
        <v>29943380.719999999</v>
      </c>
      <c r="QH1319" s="97">
        <f t="shared" ref="QH1319:QJ1326" si="1585">PP1319*QB1319</f>
        <v>4222373.5999999996</v>
      </c>
      <c r="QI1319" s="97">
        <f t="shared" si="1585"/>
        <v>4520708.72</v>
      </c>
      <c r="QJ1319" s="97">
        <f t="shared" si="1585"/>
        <v>4579811.84</v>
      </c>
      <c r="QK1319" s="102">
        <v>508</v>
      </c>
      <c r="QL1319" s="102">
        <v>508</v>
      </c>
      <c r="QM1319" s="102">
        <v>508</v>
      </c>
      <c r="QN1319" s="97">
        <f t="shared" ref="QN1319:QN1326" si="1586">$F1319*QK1319</f>
        <v>51291744</v>
      </c>
      <c r="QO1319" s="97">
        <f t="shared" ref="QO1319:QO1326" si="1587">$G1319*QL1319</f>
        <v>52250340</v>
      </c>
      <c r="QP1319" s="97">
        <f t="shared" ref="QP1319:QP1326" si="1588">$H1319*QM1319</f>
        <v>53091588</v>
      </c>
      <c r="QQ1319" s="97">
        <f t="shared" ref="QQ1319:QQ1326" si="1589">$I1319*QK1319</f>
        <v>3381522.32</v>
      </c>
      <c r="QR1319" s="97">
        <f t="shared" ref="QR1319:QR1326" si="1590">$J1319*QL1319</f>
        <v>3447684.24</v>
      </c>
      <c r="QS1319" s="97">
        <f t="shared" ref="QS1319:QS1326" si="1591">$K1319*QM1319</f>
        <v>3495802</v>
      </c>
      <c r="QT1319" s="97">
        <f>$F1319*QT$1349</f>
        <v>38551.21</v>
      </c>
      <c r="QU1319" s="97">
        <f>$G1319*QU$1349</f>
        <v>40554.28</v>
      </c>
      <c r="QV1319" s="97">
        <f>$H1319*QV$1349</f>
        <v>42756.98</v>
      </c>
      <c r="QW1319" s="97">
        <f>$I1319*QW$1349</f>
        <v>4078.8</v>
      </c>
      <c r="QX1319" s="97">
        <f>$J1319*QX$1349</f>
        <v>4315.26</v>
      </c>
      <c r="QY1319" s="97">
        <f>$K1319*QY$1349</f>
        <v>4399.97</v>
      </c>
      <c r="QZ1319" s="97">
        <f t="shared" ref="QZ1319:RB1326" si="1592">QK1319*QT1319</f>
        <v>19584014.68</v>
      </c>
      <c r="RA1319" s="97">
        <f t="shared" si="1592"/>
        <v>20601574.239999998</v>
      </c>
      <c r="RB1319" s="97">
        <f t="shared" si="1592"/>
        <v>21720545.84</v>
      </c>
      <c r="RC1319" s="97">
        <f t="shared" ref="RC1319:RE1326" si="1593">QK1319*QW1319</f>
        <v>2072030.4</v>
      </c>
      <c r="RD1319" s="97">
        <f t="shared" si="1593"/>
        <v>2192152.08</v>
      </c>
      <c r="RE1319" s="97">
        <f t="shared" si="1593"/>
        <v>2235184.7599999998</v>
      </c>
      <c r="RF1319" s="102">
        <v>331</v>
      </c>
      <c r="RG1319" s="102">
        <v>331</v>
      </c>
      <c r="RH1319" s="102">
        <v>331</v>
      </c>
      <c r="RI1319" s="97">
        <f t="shared" ref="RI1319:RI1326" si="1594">$F1319*RF1319</f>
        <v>33420408</v>
      </c>
      <c r="RJ1319" s="97">
        <f t="shared" ref="RJ1319:RJ1326" si="1595">$G1319*RG1319</f>
        <v>34045005</v>
      </c>
      <c r="RK1319" s="97">
        <f t="shared" ref="RK1319:RK1326" si="1596">$H1319*RH1319</f>
        <v>34593141</v>
      </c>
      <c r="RL1319" s="97">
        <f t="shared" ref="RL1319:RL1326" si="1597">$I1319*RF1319</f>
        <v>2203314.7400000002</v>
      </c>
      <c r="RM1319" s="97">
        <f t="shared" ref="RM1319:RM1326" si="1598">$J1319*RG1319</f>
        <v>2246424.1800000002</v>
      </c>
      <c r="RN1319" s="97">
        <f t="shared" ref="RN1319:RN1326" si="1599">$K1319*RH1319</f>
        <v>2277776.5</v>
      </c>
      <c r="RO1319" s="97">
        <f>$F1319*RO$1349</f>
        <v>41296.17</v>
      </c>
      <c r="RP1319" s="97">
        <f>$G1319*RP$1349</f>
        <v>43423.71</v>
      </c>
      <c r="RQ1319" s="97">
        <f>$H1319*RQ$1349</f>
        <v>45781.919999999998</v>
      </c>
      <c r="RR1319" s="97">
        <f>$I1319*RR$1349</f>
        <v>5753.59</v>
      </c>
      <c r="RS1319" s="97">
        <f>$J1319*RS$1349</f>
        <v>5972.03</v>
      </c>
      <c r="RT1319" s="97">
        <f>$K1319*RT$1349</f>
        <v>6090.57</v>
      </c>
      <c r="RU1319" s="97">
        <f t="shared" ref="RU1319:RW1326" si="1600">RF1319*RO1319</f>
        <v>13669032.27</v>
      </c>
      <c r="RV1319" s="97">
        <f t="shared" si="1600"/>
        <v>14373248.01</v>
      </c>
      <c r="RW1319" s="97">
        <f t="shared" si="1600"/>
        <v>15153815.52</v>
      </c>
      <c r="RX1319" s="97">
        <f t="shared" ref="RX1319:RZ1326" si="1601">RF1319*RR1319</f>
        <v>1904438.29</v>
      </c>
      <c r="RY1319" s="97">
        <f t="shared" si="1601"/>
        <v>1976741.93</v>
      </c>
      <c r="RZ1319" s="97">
        <f t="shared" si="1601"/>
        <v>2015978.67</v>
      </c>
      <c r="SA1319" s="102">
        <v>208</v>
      </c>
      <c r="SB1319" s="102">
        <v>208</v>
      </c>
      <c r="SC1319" s="102">
        <v>208</v>
      </c>
      <c r="SD1319" s="97">
        <f t="shared" ref="SD1319:SD1326" si="1602">$F1319*SA1319</f>
        <v>21001344</v>
      </c>
      <c r="SE1319" s="97">
        <f t="shared" ref="SE1319:SE1326" si="1603">$G1319*SB1319</f>
        <v>21393840</v>
      </c>
      <c r="SF1319" s="97">
        <f t="shared" ref="SF1319:SF1326" si="1604">$H1319*SC1319</f>
        <v>21738288</v>
      </c>
      <c r="SG1319" s="97">
        <f t="shared" ref="SG1319:SG1326" si="1605">$I1319*SA1319</f>
        <v>1384560.32</v>
      </c>
      <c r="SH1319" s="97">
        <f t="shared" ref="SH1319:SH1326" si="1606">$J1319*SB1319</f>
        <v>1411650.24</v>
      </c>
      <c r="SI1319" s="97">
        <f t="shared" ref="SI1319:SI1326" si="1607">$K1319*SC1319</f>
        <v>1431352</v>
      </c>
      <c r="SJ1319" s="97">
        <f>$F1319*SJ$1349</f>
        <v>43390.68</v>
      </c>
      <c r="SK1319" s="97">
        <f>$G1319*SK$1349</f>
        <v>45575.55</v>
      </c>
      <c r="SL1319" s="97">
        <f>$H1319*SL$1349</f>
        <v>48030.64</v>
      </c>
      <c r="SM1319" s="97">
        <f>$I1319*SM$1349</f>
        <v>8055.23</v>
      </c>
      <c r="SN1319" s="97">
        <f>$J1319*SN$1349</f>
        <v>8474.65</v>
      </c>
      <c r="SO1319" s="97">
        <f>$K1319*SO$1349</f>
        <v>8616.2800000000007</v>
      </c>
      <c r="SP1319" s="97">
        <f t="shared" ref="SP1319:SR1326" si="1608">SA1319*SJ1319</f>
        <v>9025261.4399999995</v>
      </c>
      <c r="SQ1319" s="97">
        <f t="shared" si="1608"/>
        <v>9479714.4000000004</v>
      </c>
      <c r="SR1319" s="97">
        <f t="shared" si="1608"/>
        <v>9990373.1199999992</v>
      </c>
      <c r="SS1319" s="97">
        <f t="shared" ref="SS1319:SU1326" si="1609">SA1319*SM1319</f>
        <v>1675487.84</v>
      </c>
      <c r="ST1319" s="97">
        <f t="shared" si="1609"/>
        <v>1762727.2</v>
      </c>
      <c r="SU1319" s="97">
        <f t="shared" si="1609"/>
        <v>1792186.24</v>
      </c>
      <c r="SV1319" s="102">
        <v>599</v>
      </c>
      <c r="SW1319" s="102">
        <v>599</v>
      </c>
      <c r="SX1319" s="102">
        <v>599</v>
      </c>
      <c r="SY1319" s="97">
        <f t="shared" ref="SY1319:SY1326" si="1610">$F1319*SV1319</f>
        <v>60479832</v>
      </c>
      <c r="SZ1319" s="97">
        <f t="shared" ref="SZ1319:SZ1326" si="1611">$G1319*SW1319</f>
        <v>61610145</v>
      </c>
      <c r="TA1319" s="97">
        <f t="shared" ref="TA1319:TA1326" si="1612">$H1319*SX1319</f>
        <v>62602089</v>
      </c>
      <c r="TB1319" s="97">
        <f t="shared" ref="TB1319:TB1326" si="1613">$I1319*SV1319</f>
        <v>3987267.46</v>
      </c>
      <c r="TC1319" s="97">
        <f t="shared" ref="TC1319:TC1326" si="1614">$J1319*SW1319</f>
        <v>4065281.22</v>
      </c>
      <c r="TD1319" s="97">
        <f t="shared" ref="TD1319:TD1326" si="1615">$K1319*SX1319</f>
        <v>4122018.5</v>
      </c>
      <c r="TE1319" s="97">
        <f>$F1319*TE$1349</f>
        <v>38785.22</v>
      </c>
      <c r="TF1319" s="97">
        <f>$G1319*TF$1349</f>
        <v>40784.620000000003</v>
      </c>
      <c r="TG1319" s="97">
        <f>$H1319*TG$1349</f>
        <v>42992.05</v>
      </c>
      <c r="TH1319" s="97">
        <f>$I1319*TH$1349</f>
        <v>6134.36</v>
      </c>
      <c r="TI1319" s="97">
        <f>$J1319*TI$1349</f>
        <v>6420.56</v>
      </c>
      <c r="TJ1319" s="97">
        <f>$K1319*TJ$1349</f>
        <v>6491.33</v>
      </c>
      <c r="TK1319" s="97">
        <f t="shared" ref="TK1319:TM1326" si="1616">SV1319*TE1319</f>
        <v>23232346.780000001</v>
      </c>
      <c r="TL1319" s="97">
        <f t="shared" si="1616"/>
        <v>24429987.379999999</v>
      </c>
      <c r="TM1319" s="97">
        <f t="shared" si="1616"/>
        <v>25752237.949999999</v>
      </c>
      <c r="TN1319" s="97">
        <f t="shared" ref="TN1319:TP1326" si="1617">SV1319*TH1319</f>
        <v>3674481.64</v>
      </c>
      <c r="TO1319" s="97">
        <f t="shared" si="1617"/>
        <v>3845915.44</v>
      </c>
      <c r="TP1319" s="97">
        <f t="shared" si="1617"/>
        <v>3888306.67</v>
      </c>
      <c r="TQ1319" s="102">
        <v>297</v>
      </c>
      <c r="TR1319" s="102">
        <v>297</v>
      </c>
      <c r="TS1319" s="102">
        <v>297</v>
      </c>
      <c r="TT1319" s="97">
        <f t="shared" ref="TT1319:TT1326" si="1618">$F1319*TQ1319</f>
        <v>29987496</v>
      </c>
      <c r="TU1319" s="97">
        <f t="shared" ref="TU1319:TU1326" si="1619">$G1319*TR1319</f>
        <v>30547935</v>
      </c>
      <c r="TV1319" s="97">
        <f t="shared" ref="TV1319:TV1326" si="1620">$H1319*TS1319</f>
        <v>31039767</v>
      </c>
      <c r="TW1319" s="97">
        <f t="shared" ref="TW1319:TW1326" si="1621">$I1319*TQ1319</f>
        <v>1976992.38</v>
      </c>
      <c r="TX1319" s="97">
        <f t="shared" ref="TX1319:TX1326" si="1622">$J1319*TR1319</f>
        <v>2015673.66</v>
      </c>
      <c r="TY1319" s="97">
        <f t="shared" ref="TY1319:TY1326" si="1623">$K1319*TS1319</f>
        <v>2043805.5</v>
      </c>
      <c r="TZ1319" s="97">
        <f>$F1319*TZ$1349</f>
        <v>41549.22</v>
      </c>
      <c r="UA1319" s="97">
        <f>$G1319*UA$1349</f>
        <v>43659.28</v>
      </c>
      <c r="UB1319" s="97">
        <f>$H1319*UB$1349</f>
        <v>46025.22</v>
      </c>
      <c r="UC1319" s="97">
        <f>$I1319*UC$1349</f>
        <v>5605.99</v>
      </c>
      <c r="UD1319" s="97">
        <f>$J1319*UD$1349</f>
        <v>6039.9</v>
      </c>
      <c r="UE1319" s="97">
        <f>$K1319*UE$1349</f>
        <v>6143.09</v>
      </c>
      <c r="UF1319" s="97">
        <f t="shared" ref="UF1319:UH1326" si="1624">TQ1319*TZ1319</f>
        <v>12340118.34</v>
      </c>
      <c r="UG1319" s="97">
        <f t="shared" si="1624"/>
        <v>12966806.16</v>
      </c>
      <c r="UH1319" s="97">
        <f t="shared" si="1624"/>
        <v>13669490.34</v>
      </c>
      <c r="UI1319" s="97">
        <f t="shared" ref="UI1319:UK1326" si="1625">TQ1319*UC1319</f>
        <v>1664979.03</v>
      </c>
      <c r="UJ1319" s="97">
        <f t="shared" si="1625"/>
        <v>1793850.3</v>
      </c>
      <c r="UK1319" s="97">
        <f t="shared" si="1625"/>
        <v>1824497.73</v>
      </c>
      <c r="UL1319" s="102">
        <v>607</v>
      </c>
      <c r="UM1319" s="102">
        <v>607</v>
      </c>
      <c r="UN1319" s="102">
        <v>607</v>
      </c>
      <c r="UO1319" s="97">
        <f t="shared" ref="UO1319:UO1326" si="1626">$F1319*UL1319</f>
        <v>61287576</v>
      </c>
      <c r="UP1319" s="97">
        <f t="shared" ref="UP1319:UP1326" si="1627">$G1319*UM1319</f>
        <v>62432985</v>
      </c>
      <c r="UQ1319" s="97">
        <f t="shared" ref="UQ1319:UQ1326" si="1628">$H1319*UN1319</f>
        <v>63438177</v>
      </c>
      <c r="UR1319" s="97">
        <f t="shared" ref="UR1319:UR1326" si="1629">$I1319*UL1319</f>
        <v>4040519.78</v>
      </c>
      <c r="US1319" s="97">
        <f t="shared" ref="US1319:US1326" si="1630">$J1319*UM1319</f>
        <v>4119575.46</v>
      </c>
      <c r="UT1319" s="97">
        <f t="shared" ref="UT1319:UT1326" si="1631">$K1319*UN1319</f>
        <v>4177070.5</v>
      </c>
      <c r="UU1319" s="97">
        <f>$F1319*UU$1349</f>
        <v>38437.360000000001</v>
      </c>
      <c r="UV1319" s="97">
        <f>$G1319*UV$1349</f>
        <v>40457.879999999997</v>
      </c>
      <c r="UW1319" s="97">
        <f>$H1319*UW$1349</f>
        <v>42660.75</v>
      </c>
      <c r="UX1319" s="97">
        <f>$I1319*UX$1349</f>
        <v>4369.95</v>
      </c>
      <c r="UY1319" s="97">
        <f>$J1319*UY$1349</f>
        <v>4686.22</v>
      </c>
      <c r="UZ1319" s="97">
        <f>$K1319*UZ$1349</f>
        <v>4787.1499999999996</v>
      </c>
      <c r="VA1319" s="97">
        <f t="shared" ref="VA1319:VC1326" si="1632">UL1319*UU1319</f>
        <v>23331477.52</v>
      </c>
      <c r="VB1319" s="97">
        <f t="shared" si="1632"/>
        <v>24557933.16</v>
      </c>
      <c r="VC1319" s="97">
        <f t="shared" si="1632"/>
        <v>25895075.25</v>
      </c>
      <c r="VD1319" s="97">
        <f t="shared" ref="VD1319:VF1326" si="1633">UL1319*UX1319</f>
        <v>2652559.65</v>
      </c>
      <c r="VE1319" s="97">
        <f t="shared" si="1633"/>
        <v>2844535.54</v>
      </c>
      <c r="VF1319" s="97">
        <f t="shared" si="1633"/>
        <v>2905800.05</v>
      </c>
      <c r="VG1319" s="102">
        <v>567</v>
      </c>
      <c r="VH1319" s="102">
        <v>567</v>
      </c>
      <c r="VI1319" s="102">
        <v>567</v>
      </c>
      <c r="VJ1319" s="97">
        <f t="shared" ref="VJ1319:VJ1326" si="1634">$F1319*VG1319</f>
        <v>57248856</v>
      </c>
      <c r="VK1319" s="97">
        <f t="shared" ref="VK1319:VK1326" si="1635">$G1319*VH1319</f>
        <v>58318785</v>
      </c>
      <c r="VL1319" s="97">
        <f t="shared" ref="VL1319:VL1326" si="1636">$H1319*VI1319</f>
        <v>59257737</v>
      </c>
      <c r="VM1319" s="97">
        <f t="shared" ref="VM1319:VM1326" si="1637">$I1319*VG1319</f>
        <v>3774258.18</v>
      </c>
      <c r="VN1319" s="97">
        <f t="shared" ref="VN1319:VN1326" si="1638">$J1319*VH1319</f>
        <v>3848104.26</v>
      </c>
      <c r="VO1319" s="97">
        <f t="shared" ref="VO1319:VO1326" si="1639">$K1319*VI1319</f>
        <v>3901810.5</v>
      </c>
      <c r="VP1319" s="97">
        <f>$F1319*VP$1349</f>
        <v>39210.410000000003</v>
      </c>
      <c r="VQ1319" s="97">
        <f>$G1319*VQ$1349</f>
        <v>41237.279999999999</v>
      </c>
      <c r="VR1319" s="97">
        <f>$H1319*VR$1349</f>
        <v>43479.83</v>
      </c>
      <c r="VS1319" s="97">
        <f>$I1319*VS$1349</f>
        <v>4703.5200000000004</v>
      </c>
      <c r="VT1319" s="97">
        <f>$J1319*VT$1349</f>
        <v>4941.3100000000004</v>
      </c>
      <c r="VU1319" s="97">
        <f>$K1319*VU$1349</f>
        <v>5045.16</v>
      </c>
      <c r="VV1319" s="97">
        <f t="shared" ref="VV1319:VX1326" si="1640">VG1319*VP1319</f>
        <v>22232302.469999999</v>
      </c>
      <c r="VW1319" s="97">
        <f t="shared" si="1640"/>
        <v>23381537.760000002</v>
      </c>
      <c r="VX1319" s="97">
        <f t="shared" si="1640"/>
        <v>24653063.609999999</v>
      </c>
      <c r="VY1319" s="97">
        <f t="shared" ref="VY1319:WA1326" si="1641">VG1319*VS1319</f>
        <v>2666895.84</v>
      </c>
      <c r="VZ1319" s="97">
        <f t="shared" si="1641"/>
        <v>2801722.77</v>
      </c>
      <c r="WA1319" s="97">
        <f t="shared" si="1641"/>
        <v>2860605.72</v>
      </c>
      <c r="WB1319" s="102">
        <v>523</v>
      </c>
      <c r="WC1319" s="102">
        <v>523</v>
      </c>
      <c r="WD1319" s="102">
        <v>523</v>
      </c>
      <c r="WE1319" s="97">
        <f t="shared" ref="WE1319:WE1326" si="1642">$F1319*WB1319</f>
        <v>52806264</v>
      </c>
      <c r="WF1319" s="97">
        <f t="shared" ref="WF1319:WF1326" si="1643">$G1319*WC1319</f>
        <v>53793165</v>
      </c>
      <c r="WG1319" s="97">
        <f t="shared" ref="WG1319:WG1326" si="1644">$H1319*WD1319</f>
        <v>54659253</v>
      </c>
      <c r="WH1319" s="97">
        <f t="shared" ref="WH1319:WH1326" si="1645">$I1319*WB1319</f>
        <v>3481370.42</v>
      </c>
      <c r="WI1319" s="97">
        <f t="shared" ref="WI1319:WI1326" si="1646">$J1319*WC1319</f>
        <v>3549485.94</v>
      </c>
      <c r="WJ1319" s="97">
        <f t="shared" ref="WJ1319:WJ1326" si="1647">$K1319*WD1319</f>
        <v>3599024.5</v>
      </c>
      <c r="WK1319" s="97">
        <f>$F1319*WK$1349</f>
        <v>36224.61</v>
      </c>
      <c r="WL1319" s="97">
        <f>$G1319*WL$1349</f>
        <v>38139.86</v>
      </c>
      <c r="WM1319" s="97">
        <f>$H1319*WM$1349</f>
        <v>40214.589999999997</v>
      </c>
      <c r="WN1319" s="97">
        <f>$I1319*WN$1349</f>
        <v>5051.18</v>
      </c>
      <c r="WO1319" s="97">
        <f>$J1319*WO$1349</f>
        <v>5436.3</v>
      </c>
      <c r="WP1319" s="97">
        <f>$K1319*WP$1349</f>
        <v>5555.56</v>
      </c>
      <c r="WQ1319" s="97">
        <f t="shared" ref="WQ1319:WS1326" si="1648">WB1319*WK1319</f>
        <v>18945471.030000001</v>
      </c>
      <c r="WR1319" s="97">
        <f t="shared" si="1648"/>
        <v>19947146.780000001</v>
      </c>
      <c r="WS1319" s="97">
        <f t="shared" si="1648"/>
        <v>21032230.57</v>
      </c>
      <c r="WT1319" s="97">
        <f t="shared" ref="WT1319:WV1326" si="1649">WB1319*WN1319</f>
        <v>2641767.14</v>
      </c>
      <c r="WU1319" s="97">
        <f t="shared" si="1649"/>
        <v>2843184.9</v>
      </c>
      <c r="WV1319" s="97">
        <f t="shared" si="1649"/>
        <v>2905557.88</v>
      </c>
      <c r="WW1319" s="102">
        <v>600</v>
      </c>
      <c r="WX1319" s="102">
        <v>600</v>
      </c>
      <c r="WY1319" s="102">
        <v>600</v>
      </c>
      <c r="WZ1319" s="97">
        <f t="shared" ref="WZ1319:WZ1326" si="1650">$F1319*WW1319</f>
        <v>60580800</v>
      </c>
      <c r="XA1319" s="97">
        <f t="shared" ref="XA1319:XA1326" si="1651">$G1319*WX1319</f>
        <v>61713000</v>
      </c>
      <c r="XB1319" s="97">
        <f t="shared" ref="XB1319:XB1326" si="1652">$H1319*WY1319</f>
        <v>62706600</v>
      </c>
      <c r="XC1319" s="97">
        <f t="shared" ref="XC1319:XC1326" si="1653">$I1319*WW1319</f>
        <v>3993924</v>
      </c>
      <c r="XD1319" s="97">
        <f t="shared" ref="XD1319:XD1326" si="1654">$J1319*WX1319</f>
        <v>4072068</v>
      </c>
      <c r="XE1319" s="97">
        <f t="shared" ref="XE1319:XE1326" si="1655">$K1319*WY1319</f>
        <v>4128900</v>
      </c>
      <c r="XF1319" s="97">
        <f>$F1319*XF$1349</f>
        <v>35587.07</v>
      </c>
      <c r="XG1319" s="97">
        <f>$G1319*XG$1349</f>
        <v>37443.43</v>
      </c>
      <c r="XH1319" s="97">
        <f>$H1319*XH$1349</f>
        <v>39472.44</v>
      </c>
      <c r="XI1319" s="97">
        <f>$I1319*XI$1349</f>
        <v>4068.44</v>
      </c>
      <c r="XJ1319" s="97">
        <f>$J1319*XJ$1349</f>
        <v>4394.5600000000004</v>
      </c>
      <c r="XK1319" s="97">
        <f>$K1319*XK$1349</f>
        <v>4475.03</v>
      </c>
      <c r="XL1319" s="97">
        <f t="shared" ref="XL1319:XN1326" si="1656">WW1319*XF1319</f>
        <v>21352242</v>
      </c>
      <c r="XM1319" s="97">
        <f t="shared" si="1656"/>
        <v>22466058</v>
      </c>
      <c r="XN1319" s="97">
        <f t="shared" si="1656"/>
        <v>23683464</v>
      </c>
      <c r="XO1319" s="97">
        <f t="shared" ref="XO1319:XQ1326" si="1657">WW1319*XI1319</f>
        <v>2441064</v>
      </c>
      <c r="XP1319" s="97">
        <f t="shared" si="1657"/>
        <v>2636736</v>
      </c>
      <c r="XQ1319" s="97">
        <f t="shared" si="1657"/>
        <v>2685018</v>
      </c>
      <c r="XR1319" s="102">
        <v>553</v>
      </c>
      <c r="XS1319" s="102">
        <v>553</v>
      </c>
      <c r="XT1319" s="102">
        <v>553</v>
      </c>
      <c r="XU1319" s="97">
        <f t="shared" ref="XU1319:XU1326" si="1658">$F1319*XR1319</f>
        <v>55835304</v>
      </c>
      <c r="XV1319" s="97">
        <f t="shared" ref="XV1319:XV1326" si="1659">$G1319*XS1319</f>
        <v>56878815</v>
      </c>
      <c r="XW1319" s="97">
        <f t="shared" ref="XW1319:XW1326" si="1660">$H1319*XT1319</f>
        <v>57794583</v>
      </c>
      <c r="XX1319" s="97">
        <f t="shared" ref="XX1319:XX1326" si="1661">$I1319*XR1319</f>
        <v>3681066.62</v>
      </c>
      <c r="XY1319" s="97">
        <f t="shared" ref="XY1319:XY1326" si="1662">$J1319*XS1319</f>
        <v>3753089.34</v>
      </c>
      <c r="XZ1319" s="97">
        <f t="shared" ref="XZ1319:XZ1326" si="1663">$K1319*XT1319</f>
        <v>3805469.5</v>
      </c>
      <c r="YA1319" s="97">
        <f>$F1319*YA$1349</f>
        <v>37564.550000000003</v>
      </c>
      <c r="YB1319" s="97">
        <f>$G1319*YB$1349</f>
        <v>39556.269999999997</v>
      </c>
      <c r="YC1319" s="97">
        <f>$H1319*YC$1349</f>
        <v>41718.76</v>
      </c>
      <c r="YD1319" s="97">
        <f>$I1319*YD$1349</f>
        <v>17792.27</v>
      </c>
      <c r="YE1319" s="97">
        <f>$J1319*YE$1349</f>
        <v>21476.36</v>
      </c>
      <c r="YF1319" s="97">
        <f>$K1319*YF$1349</f>
        <v>21920.68</v>
      </c>
      <c r="YG1319" s="97">
        <f t="shared" ref="YG1319:YI1326" si="1664">XR1319*YA1319</f>
        <v>20773196.149999999</v>
      </c>
      <c r="YH1319" s="97">
        <f t="shared" si="1664"/>
        <v>21874617.309999999</v>
      </c>
      <c r="YI1319" s="97">
        <f t="shared" si="1664"/>
        <v>23070474.280000001</v>
      </c>
      <c r="YJ1319" s="97">
        <f t="shared" ref="YJ1319:YL1326" si="1665">XR1319*YD1319</f>
        <v>9839125.3100000005</v>
      </c>
      <c r="YK1319" s="97">
        <f t="shared" si="1665"/>
        <v>11876427.08</v>
      </c>
      <c r="YL1319" s="97">
        <f t="shared" si="1665"/>
        <v>12122136.039999999</v>
      </c>
      <c r="YM1319" s="145">
        <f t="shared" ref="YM1319:YO1326" si="1666">L1319+AG1319+BB1319+BW1319+CR1319+DM1319+EH1319+FC1319+FX1319+GS1319+HN1319+II1319+JD1319+JY1319+KT1319+LO1319+MJ1319+NE1319+NZ1319+OU1319+PP1319+QK1319+RF1319+SA1319+SV1319+TQ1319+UL1319+VG1319+WB1319+WW1319+XR1319</f>
        <v>12101</v>
      </c>
      <c r="YN1319" s="145">
        <f t="shared" si="1666"/>
        <v>12101</v>
      </c>
      <c r="YO1319" s="145">
        <f t="shared" si="1666"/>
        <v>12101</v>
      </c>
      <c r="YP1319" s="97">
        <f t="shared" ref="YP1319:YP1326" si="1667">$F1319*YM1319</f>
        <v>1221813768</v>
      </c>
      <c r="YQ1319" s="97">
        <f t="shared" ref="YQ1319:YQ1326" si="1668">$G1319*YN1319</f>
        <v>1244648355</v>
      </c>
      <c r="YR1319" s="97">
        <f t="shared" ref="YR1319:YR1326" si="1669">$H1319*YO1319</f>
        <v>1264687611</v>
      </c>
      <c r="YS1319" s="97">
        <f t="shared" ref="YS1319:YS1326" si="1670">$I1319*YM1319</f>
        <v>80550790.540000007</v>
      </c>
      <c r="YT1319" s="97">
        <f t="shared" ref="YT1319:YT1326" si="1671">$J1319*YN1319</f>
        <v>82126824.780000001</v>
      </c>
      <c r="YU1319" s="97">
        <f t="shared" ref="YU1319:YU1326" si="1672">$K1319*YO1319</f>
        <v>83273031.5</v>
      </c>
      <c r="YV1319" s="97">
        <f>$F1319*YV$1349</f>
        <v>39591.480000000003</v>
      </c>
      <c r="YW1319" s="97">
        <f>$G1319*YW$1349</f>
        <v>41634.94</v>
      </c>
      <c r="YX1319" s="97">
        <f>$H1319*YX$1349</f>
        <v>43889.88</v>
      </c>
      <c r="YY1319" s="97">
        <f>$I1319*YY$1349</f>
        <v>5723.38</v>
      </c>
      <c r="YZ1319" s="97">
        <f>$J1319*YZ$1349</f>
        <v>6132.6</v>
      </c>
      <c r="ZA1319" s="97">
        <f>$K1319*ZA$1349</f>
        <v>6230.24</v>
      </c>
      <c r="ZB1319" s="97">
        <f t="shared" ref="ZB1319:ZD1326" si="1673">YM1319*YV1319</f>
        <v>479096499.48000002</v>
      </c>
      <c r="ZC1319" s="97">
        <f t="shared" si="1673"/>
        <v>503824408.94</v>
      </c>
      <c r="ZD1319" s="97">
        <f t="shared" si="1673"/>
        <v>531111437.88</v>
      </c>
      <c r="ZE1319" s="97">
        <f t="shared" ref="ZE1319:ZG1326" si="1674">YM1319*YY1319</f>
        <v>69258621.379999995</v>
      </c>
      <c r="ZF1319" s="97">
        <f t="shared" si="1674"/>
        <v>74210592.599999994</v>
      </c>
      <c r="ZG1319" s="97">
        <f t="shared" si="1674"/>
        <v>75392134.239999995</v>
      </c>
    </row>
    <row r="1320" spans="1:683" ht="72" hidden="1" x14ac:dyDescent="0.25">
      <c r="A1320" s="92" t="s">
        <v>610</v>
      </c>
      <c r="B1320" s="174"/>
      <c r="C1320" s="5"/>
      <c r="D1320" s="340"/>
      <c r="E1320" s="163"/>
      <c r="F1320" s="110">
        <f t="shared" si="1416"/>
        <v>10604</v>
      </c>
      <c r="G1320" s="110">
        <f t="shared" si="1416"/>
        <v>10604</v>
      </c>
      <c r="H1320" s="110">
        <f t="shared" si="1416"/>
        <v>10604</v>
      </c>
      <c r="I1320" s="97">
        <f t="shared" si="1417"/>
        <v>469</v>
      </c>
      <c r="J1320" s="97">
        <f t="shared" si="1417"/>
        <v>469</v>
      </c>
      <c r="K1320" s="97">
        <f t="shared" si="1417"/>
        <v>469</v>
      </c>
      <c r="L1320" s="102"/>
      <c r="M1320" s="102"/>
      <c r="N1320" s="102"/>
      <c r="O1320" s="97">
        <f t="shared" si="1418"/>
        <v>0</v>
      </c>
      <c r="P1320" s="97">
        <f t="shared" si="1419"/>
        <v>0</v>
      </c>
      <c r="Q1320" s="97">
        <f t="shared" si="1420"/>
        <v>0</v>
      </c>
      <c r="R1320" s="97">
        <f t="shared" si="1421"/>
        <v>0</v>
      </c>
      <c r="S1320" s="97">
        <f t="shared" si="1422"/>
        <v>0</v>
      </c>
      <c r="T1320" s="97">
        <f t="shared" si="1423"/>
        <v>0</v>
      </c>
      <c r="U1320" s="97">
        <f t="shared" ref="U1320:U1326" si="1675">$F1320*U$1349</f>
        <v>4575.68</v>
      </c>
      <c r="V1320" s="97">
        <f t="shared" ref="V1320:V1326" si="1676">$G1320*V$1349</f>
        <v>4724.88</v>
      </c>
      <c r="W1320" s="97">
        <f t="shared" ref="W1320:W1326" si="1677">$H1320*W$1349</f>
        <v>4903.1400000000003</v>
      </c>
      <c r="X1320" s="97">
        <f t="shared" ref="X1320:X1326" si="1678">$I1320*X$1349</f>
        <v>367.76</v>
      </c>
      <c r="Y1320" s="97">
        <f t="shared" ref="Y1320:Y1326" si="1679">$J1320*Y$1349</f>
        <v>371.55</v>
      </c>
      <c r="Z1320" s="97">
        <f t="shared" ref="Z1320:Z1326" si="1680">$K1320*Z$1349</f>
        <v>370.5</v>
      </c>
      <c r="AA1320" s="97">
        <f t="shared" si="1424"/>
        <v>0</v>
      </c>
      <c r="AB1320" s="97">
        <f t="shared" si="1424"/>
        <v>0</v>
      </c>
      <c r="AC1320" s="97">
        <f t="shared" si="1424"/>
        <v>0</v>
      </c>
      <c r="AD1320" s="97">
        <f t="shared" si="1425"/>
        <v>0</v>
      </c>
      <c r="AE1320" s="97">
        <f t="shared" si="1425"/>
        <v>0</v>
      </c>
      <c r="AF1320" s="97">
        <f t="shared" si="1425"/>
        <v>0</v>
      </c>
      <c r="AG1320" s="102"/>
      <c r="AH1320" s="102">
        <f t="shared" ref="AH1320" si="1681">AG1320</f>
        <v>0</v>
      </c>
      <c r="AI1320" s="102">
        <f t="shared" ref="AI1320" si="1682">AG1320</f>
        <v>0</v>
      </c>
      <c r="AJ1320" s="97">
        <f t="shared" si="1426"/>
        <v>0</v>
      </c>
      <c r="AK1320" s="97">
        <f t="shared" si="1427"/>
        <v>0</v>
      </c>
      <c r="AL1320" s="97">
        <f t="shared" si="1428"/>
        <v>0</v>
      </c>
      <c r="AM1320" s="97">
        <f t="shared" si="1429"/>
        <v>0</v>
      </c>
      <c r="AN1320" s="97">
        <f t="shared" si="1430"/>
        <v>0</v>
      </c>
      <c r="AO1320" s="97">
        <f t="shared" si="1431"/>
        <v>0</v>
      </c>
      <c r="AP1320" s="97">
        <f t="shared" ref="AP1320:AP1326" si="1683">$F1320*AP$1349</f>
        <v>4209.42</v>
      </c>
      <c r="AQ1320" s="97">
        <f t="shared" ref="AQ1320:AQ1326" si="1684">$G1320*AQ$1349</f>
        <v>4345.97</v>
      </c>
      <c r="AR1320" s="97">
        <f t="shared" ref="AR1320:AR1326" si="1685">$H1320*AR$1349</f>
        <v>4509.22</v>
      </c>
      <c r="AS1320" s="97">
        <f t="shared" ref="AS1320:AS1326" si="1686">$I1320*AS$1349</f>
        <v>293.25</v>
      </c>
      <c r="AT1320" s="97">
        <f t="shared" ref="AT1320:AT1326" si="1687">$J1320*AT$1349</f>
        <v>300.76</v>
      </c>
      <c r="AU1320" s="97">
        <f t="shared" ref="AU1320:AU1326" si="1688">$K1320*AU$1349</f>
        <v>302.26</v>
      </c>
      <c r="AV1320" s="97">
        <f t="shared" si="1432"/>
        <v>0</v>
      </c>
      <c r="AW1320" s="97">
        <f t="shared" si="1432"/>
        <v>0</v>
      </c>
      <c r="AX1320" s="97">
        <f t="shared" si="1432"/>
        <v>0</v>
      </c>
      <c r="AY1320" s="97">
        <f t="shared" si="1433"/>
        <v>0</v>
      </c>
      <c r="AZ1320" s="97">
        <f t="shared" si="1433"/>
        <v>0</v>
      </c>
      <c r="BA1320" s="97">
        <f t="shared" si="1433"/>
        <v>0</v>
      </c>
      <c r="BB1320" s="102"/>
      <c r="BC1320" s="102"/>
      <c r="BD1320" s="102"/>
      <c r="BE1320" s="97">
        <f t="shared" si="1434"/>
        <v>0</v>
      </c>
      <c r="BF1320" s="97">
        <f t="shared" si="1435"/>
        <v>0</v>
      </c>
      <c r="BG1320" s="97">
        <f t="shared" si="1436"/>
        <v>0</v>
      </c>
      <c r="BH1320" s="97">
        <f t="shared" si="1437"/>
        <v>0</v>
      </c>
      <c r="BI1320" s="97">
        <f t="shared" si="1438"/>
        <v>0</v>
      </c>
      <c r="BJ1320" s="97">
        <f t="shared" si="1439"/>
        <v>0</v>
      </c>
      <c r="BK1320" s="97">
        <f t="shared" ref="BK1320:BK1326" si="1689">$F1320*BK$1349</f>
        <v>3970.86</v>
      </c>
      <c r="BL1320" s="97">
        <f t="shared" ref="BL1320:BL1326" si="1690">$G1320*BL$1349</f>
        <v>4091.53</v>
      </c>
      <c r="BM1320" s="97">
        <f t="shared" ref="BM1320:BM1326" si="1691">$H1320*BM$1349</f>
        <v>4240.6099999999997</v>
      </c>
      <c r="BN1320" s="97">
        <f t="shared" ref="BN1320:BN1326" si="1692">$I1320*BN$1349</f>
        <v>313.25</v>
      </c>
      <c r="BO1320" s="97">
        <f t="shared" ref="BO1320:BO1326" si="1693">$J1320*BO$1349</f>
        <v>321.27999999999997</v>
      </c>
      <c r="BP1320" s="97">
        <f t="shared" ref="BP1320:BP1326" si="1694">$K1320*BP$1349</f>
        <v>322.29000000000002</v>
      </c>
      <c r="BQ1320" s="97">
        <f t="shared" si="1440"/>
        <v>0</v>
      </c>
      <c r="BR1320" s="97">
        <f t="shared" si="1440"/>
        <v>0</v>
      </c>
      <c r="BS1320" s="97">
        <f t="shared" si="1440"/>
        <v>0</v>
      </c>
      <c r="BT1320" s="97">
        <f t="shared" si="1441"/>
        <v>0</v>
      </c>
      <c r="BU1320" s="97">
        <f t="shared" si="1441"/>
        <v>0</v>
      </c>
      <c r="BV1320" s="97">
        <f t="shared" si="1441"/>
        <v>0</v>
      </c>
      <c r="BW1320" s="102"/>
      <c r="BX1320" s="102"/>
      <c r="BY1320" s="102"/>
      <c r="BZ1320" s="97">
        <f t="shared" si="1442"/>
        <v>0</v>
      </c>
      <c r="CA1320" s="97">
        <f t="shared" si="1443"/>
        <v>0</v>
      </c>
      <c r="CB1320" s="97">
        <f t="shared" si="1444"/>
        <v>0</v>
      </c>
      <c r="CC1320" s="97">
        <f t="shared" si="1445"/>
        <v>0</v>
      </c>
      <c r="CD1320" s="97">
        <f t="shared" si="1446"/>
        <v>0</v>
      </c>
      <c r="CE1320" s="97">
        <f t="shared" si="1447"/>
        <v>0</v>
      </c>
      <c r="CF1320" s="97">
        <f t="shared" ref="CF1320:CF1326" si="1695">$F1320*CF$1349</f>
        <v>4100.82</v>
      </c>
      <c r="CG1320" s="97">
        <f t="shared" ref="CG1320:CG1326" si="1696">$G1320*CG$1349</f>
        <v>4237.03</v>
      </c>
      <c r="CH1320" s="97">
        <f t="shared" ref="CH1320:CH1326" si="1697">$H1320*CH$1349</f>
        <v>4396.46</v>
      </c>
      <c r="CI1320" s="97">
        <f t="shared" ref="CI1320:CI1326" si="1698">$I1320*CI$1349</f>
        <v>482.92</v>
      </c>
      <c r="CJ1320" s="97">
        <f t="shared" ref="CJ1320:CJ1326" si="1699">$J1320*CJ$1349</f>
        <v>485.42</v>
      </c>
      <c r="CK1320" s="97">
        <f t="shared" ref="CK1320:CK1326" si="1700">$K1320*CK$1349</f>
        <v>483.08</v>
      </c>
      <c r="CL1320" s="97">
        <f t="shared" si="1448"/>
        <v>0</v>
      </c>
      <c r="CM1320" s="97">
        <f t="shared" si="1448"/>
        <v>0</v>
      </c>
      <c r="CN1320" s="97">
        <f t="shared" si="1448"/>
        <v>0</v>
      </c>
      <c r="CO1320" s="97">
        <f t="shared" si="1449"/>
        <v>0</v>
      </c>
      <c r="CP1320" s="97">
        <f t="shared" si="1449"/>
        <v>0</v>
      </c>
      <c r="CQ1320" s="97">
        <f t="shared" si="1449"/>
        <v>0</v>
      </c>
      <c r="CR1320" s="102"/>
      <c r="CS1320" s="102"/>
      <c r="CT1320" s="102"/>
      <c r="CU1320" s="97">
        <f t="shared" si="1450"/>
        <v>0</v>
      </c>
      <c r="CV1320" s="97">
        <f t="shared" si="1451"/>
        <v>0</v>
      </c>
      <c r="CW1320" s="97">
        <f t="shared" si="1452"/>
        <v>0</v>
      </c>
      <c r="CX1320" s="97">
        <f t="shared" si="1453"/>
        <v>0</v>
      </c>
      <c r="CY1320" s="97">
        <f t="shared" si="1454"/>
        <v>0</v>
      </c>
      <c r="CZ1320" s="97">
        <f t="shared" si="1455"/>
        <v>0</v>
      </c>
      <c r="DA1320" s="97">
        <f t="shared" ref="DA1320:DA1326" si="1701">$F1320*DA$1349</f>
        <v>4132.3999999999996</v>
      </c>
      <c r="DB1320" s="97">
        <f t="shared" ref="DB1320:DB1326" si="1702">$G1320*DB$1349</f>
        <v>4265.99</v>
      </c>
      <c r="DC1320" s="97">
        <f t="shared" ref="DC1320:DC1326" si="1703">$H1320*DC$1349</f>
        <v>4426.25</v>
      </c>
      <c r="DD1320" s="97">
        <f t="shared" ref="DD1320:DD1326" si="1704">$I1320*DD$1349</f>
        <v>233.8</v>
      </c>
      <c r="DE1320" s="97">
        <f t="shared" ref="DE1320:DE1326" si="1705">$J1320*DE$1349</f>
        <v>236.16</v>
      </c>
      <c r="DF1320" s="97">
        <f t="shared" ref="DF1320:DF1326" si="1706">$K1320*DF$1349</f>
        <v>235.75</v>
      </c>
      <c r="DG1320" s="97">
        <f t="shared" si="1456"/>
        <v>0</v>
      </c>
      <c r="DH1320" s="97">
        <f t="shared" si="1456"/>
        <v>0</v>
      </c>
      <c r="DI1320" s="97">
        <f t="shared" si="1456"/>
        <v>0</v>
      </c>
      <c r="DJ1320" s="97">
        <f t="shared" si="1457"/>
        <v>0</v>
      </c>
      <c r="DK1320" s="97">
        <f t="shared" si="1457"/>
        <v>0</v>
      </c>
      <c r="DL1320" s="97">
        <f t="shared" si="1457"/>
        <v>0</v>
      </c>
      <c r="DM1320" s="102"/>
      <c r="DN1320" s="102"/>
      <c r="DO1320" s="102"/>
      <c r="DP1320" s="97">
        <f t="shared" si="1458"/>
        <v>0</v>
      </c>
      <c r="DQ1320" s="97">
        <f t="shared" si="1459"/>
        <v>0</v>
      </c>
      <c r="DR1320" s="97">
        <f t="shared" si="1460"/>
        <v>0</v>
      </c>
      <c r="DS1320" s="97">
        <f t="shared" si="1461"/>
        <v>0</v>
      </c>
      <c r="DT1320" s="97">
        <f t="shared" si="1462"/>
        <v>0</v>
      </c>
      <c r="DU1320" s="97">
        <f t="shared" si="1463"/>
        <v>0</v>
      </c>
      <c r="DV1320" s="97">
        <f t="shared" ref="DV1320:DV1326" si="1707">$F1320*DV$1349</f>
        <v>4487.0600000000004</v>
      </c>
      <c r="DW1320" s="97">
        <f t="shared" ref="DW1320:DW1326" si="1708">$G1320*DW$1349</f>
        <v>4639.32</v>
      </c>
      <c r="DX1320" s="97">
        <f t="shared" ref="DX1320:DX1326" si="1709">$H1320*DX$1349</f>
        <v>4815.92</v>
      </c>
      <c r="DY1320" s="97">
        <f t="shared" ref="DY1320:DY1326" si="1710">$I1320*DY$1349</f>
        <v>489.7</v>
      </c>
      <c r="DZ1320" s="97">
        <f t="shared" ref="DZ1320:DZ1326" si="1711">$J1320*DZ$1349</f>
        <v>475.73</v>
      </c>
      <c r="EA1320" s="97">
        <f t="shared" ref="EA1320:EA1326" si="1712">$K1320*EA$1349</f>
        <v>474.43</v>
      </c>
      <c r="EB1320" s="97">
        <f t="shared" si="1464"/>
        <v>0</v>
      </c>
      <c r="EC1320" s="97">
        <f t="shared" si="1464"/>
        <v>0</v>
      </c>
      <c r="ED1320" s="97">
        <f t="shared" si="1464"/>
        <v>0</v>
      </c>
      <c r="EE1320" s="97">
        <f t="shared" si="1465"/>
        <v>0</v>
      </c>
      <c r="EF1320" s="97">
        <f t="shared" si="1465"/>
        <v>0</v>
      </c>
      <c r="EG1320" s="97">
        <f t="shared" si="1465"/>
        <v>0</v>
      </c>
      <c r="EH1320" s="102"/>
      <c r="EI1320" s="102"/>
      <c r="EJ1320" s="102"/>
      <c r="EK1320" s="97">
        <f t="shared" si="1466"/>
        <v>0</v>
      </c>
      <c r="EL1320" s="97">
        <f t="shared" si="1467"/>
        <v>0</v>
      </c>
      <c r="EM1320" s="97">
        <f t="shared" si="1468"/>
        <v>0</v>
      </c>
      <c r="EN1320" s="97">
        <f t="shared" si="1469"/>
        <v>0</v>
      </c>
      <c r="EO1320" s="97">
        <f t="shared" si="1470"/>
        <v>0</v>
      </c>
      <c r="EP1320" s="97">
        <f t="shared" si="1471"/>
        <v>0</v>
      </c>
      <c r="EQ1320" s="97">
        <f t="shared" ref="EQ1320:EQ1326" si="1713">$F1320*EQ$1349</f>
        <v>4435.29</v>
      </c>
      <c r="ER1320" s="97">
        <f t="shared" ref="ER1320:ER1326" si="1714">$G1320*ER$1349</f>
        <v>4571.63</v>
      </c>
      <c r="ES1320" s="97">
        <f t="shared" ref="ES1320:ES1326" si="1715">$H1320*ES$1349</f>
        <v>4741.16</v>
      </c>
      <c r="ET1320" s="97">
        <f t="shared" ref="ET1320:ET1326" si="1716">$I1320*ET$1349</f>
        <v>411.13</v>
      </c>
      <c r="EU1320" s="97">
        <f t="shared" ref="EU1320:EU1326" si="1717">$J1320*EU$1349</f>
        <v>420.97</v>
      </c>
      <c r="EV1320" s="97">
        <f t="shared" ref="EV1320:EV1326" si="1718">$K1320*EV$1349</f>
        <v>422.73</v>
      </c>
      <c r="EW1320" s="97">
        <f t="shared" si="1472"/>
        <v>0</v>
      </c>
      <c r="EX1320" s="97">
        <f t="shared" si="1472"/>
        <v>0</v>
      </c>
      <c r="EY1320" s="97">
        <f t="shared" si="1472"/>
        <v>0</v>
      </c>
      <c r="EZ1320" s="97">
        <f t="shared" si="1473"/>
        <v>0</v>
      </c>
      <c r="FA1320" s="97">
        <f t="shared" si="1473"/>
        <v>0</v>
      </c>
      <c r="FB1320" s="97">
        <f t="shared" si="1473"/>
        <v>0</v>
      </c>
      <c r="FC1320" s="102"/>
      <c r="FD1320" s="102"/>
      <c r="FE1320" s="102"/>
      <c r="FF1320" s="97">
        <f t="shared" si="1474"/>
        <v>0</v>
      </c>
      <c r="FG1320" s="97">
        <f t="shared" si="1475"/>
        <v>0</v>
      </c>
      <c r="FH1320" s="97">
        <f t="shared" si="1476"/>
        <v>0</v>
      </c>
      <c r="FI1320" s="97">
        <f t="shared" si="1477"/>
        <v>0</v>
      </c>
      <c r="FJ1320" s="97">
        <f t="shared" si="1478"/>
        <v>0</v>
      </c>
      <c r="FK1320" s="97">
        <f t="shared" si="1479"/>
        <v>0</v>
      </c>
      <c r="FL1320" s="97">
        <f t="shared" ref="FL1320:FL1326" si="1719">$F1320*FL$1349</f>
        <v>4309.09</v>
      </c>
      <c r="FM1320" s="97">
        <f t="shared" ref="FM1320:FM1326" si="1720">$G1320*FM$1349</f>
        <v>4450.54</v>
      </c>
      <c r="FN1320" s="97">
        <f t="shared" ref="FN1320:FN1326" si="1721">$H1320*FN$1349</f>
        <v>4618.32</v>
      </c>
      <c r="FO1320" s="97">
        <f t="shared" ref="FO1320:FO1326" si="1722">$I1320*FO$1349</f>
        <v>442.18</v>
      </c>
      <c r="FP1320" s="97">
        <f t="shared" ref="FP1320:FP1326" si="1723">$J1320*FP$1349</f>
        <v>455.59</v>
      </c>
      <c r="FQ1320" s="97">
        <f t="shared" ref="FQ1320:FQ1326" si="1724">$K1320*FQ$1349</f>
        <v>447.06</v>
      </c>
      <c r="FR1320" s="97">
        <f t="shared" si="1480"/>
        <v>0</v>
      </c>
      <c r="FS1320" s="97">
        <f t="shared" si="1480"/>
        <v>0</v>
      </c>
      <c r="FT1320" s="97">
        <f t="shared" si="1480"/>
        <v>0</v>
      </c>
      <c r="FU1320" s="97">
        <f t="shared" si="1481"/>
        <v>0</v>
      </c>
      <c r="FV1320" s="97">
        <f t="shared" si="1481"/>
        <v>0</v>
      </c>
      <c r="FW1320" s="97">
        <f t="shared" si="1481"/>
        <v>0</v>
      </c>
      <c r="FX1320" s="102"/>
      <c r="FY1320" s="102"/>
      <c r="FZ1320" s="102"/>
      <c r="GA1320" s="97">
        <f t="shared" si="1482"/>
        <v>0</v>
      </c>
      <c r="GB1320" s="97">
        <f t="shared" si="1483"/>
        <v>0</v>
      </c>
      <c r="GC1320" s="97">
        <f t="shared" si="1484"/>
        <v>0</v>
      </c>
      <c r="GD1320" s="97">
        <f t="shared" si="1485"/>
        <v>0</v>
      </c>
      <c r="GE1320" s="97">
        <f t="shared" si="1486"/>
        <v>0</v>
      </c>
      <c r="GF1320" s="97">
        <f t="shared" si="1487"/>
        <v>0</v>
      </c>
      <c r="GG1320" s="97">
        <f t="shared" ref="GG1320:GG1326" si="1725">$F1320*GG$1349</f>
        <v>4302.32</v>
      </c>
      <c r="GH1320" s="97">
        <f t="shared" ref="GH1320:GH1326" si="1726">$G1320*GH$1349</f>
        <v>4438.7</v>
      </c>
      <c r="GI1320" s="97">
        <f t="shared" ref="GI1320:GI1326" si="1727">$H1320*GI$1349</f>
        <v>4603.7299999999996</v>
      </c>
      <c r="GJ1320" s="97">
        <f t="shared" ref="GJ1320:GJ1326" si="1728">$I1320*GJ$1349</f>
        <v>331.56</v>
      </c>
      <c r="GK1320" s="97">
        <f t="shared" ref="GK1320:GK1326" si="1729">$J1320*GK$1349</f>
        <v>368.2</v>
      </c>
      <c r="GL1320" s="97">
        <f t="shared" ref="GL1320:GL1326" si="1730">$K1320*GL$1349</f>
        <v>391.36</v>
      </c>
      <c r="GM1320" s="97">
        <f t="shared" si="1488"/>
        <v>0</v>
      </c>
      <c r="GN1320" s="97">
        <f t="shared" si="1488"/>
        <v>0</v>
      </c>
      <c r="GO1320" s="97">
        <f t="shared" si="1488"/>
        <v>0</v>
      </c>
      <c r="GP1320" s="97">
        <f t="shared" si="1489"/>
        <v>0</v>
      </c>
      <c r="GQ1320" s="97">
        <f t="shared" si="1489"/>
        <v>0</v>
      </c>
      <c r="GR1320" s="97">
        <f t="shared" si="1489"/>
        <v>0</v>
      </c>
      <c r="GS1320" s="102"/>
      <c r="GT1320" s="102"/>
      <c r="GU1320" s="102"/>
      <c r="GV1320" s="97">
        <f t="shared" si="1490"/>
        <v>0</v>
      </c>
      <c r="GW1320" s="97">
        <f t="shared" si="1491"/>
        <v>0</v>
      </c>
      <c r="GX1320" s="97">
        <f t="shared" si="1492"/>
        <v>0</v>
      </c>
      <c r="GY1320" s="97">
        <f t="shared" si="1493"/>
        <v>0</v>
      </c>
      <c r="GZ1320" s="97">
        <f t="shared" si="1494"/>
        <v>0</v>
      </c>
      <c r="HA1320" s="97">
        <f t="shared" si="1495"/>
        <v>0</v>
      </c>
      <c r="HB1320" s="97">
        <f t="shared" ref="HB1320:HB1326" si="1731">$F1320*HB$1349</f>
        <v>4494.3599999999997</v>
      </c>
      <c r="HC1320" s="97">
        <f t="shared" ref="HC1320:HC1326" si="1732">$G1320*HC$1349</f>
        <v>4634.96</v>
      </c>
      <c r="HD1320" s="97">
        <f t="shared" ref="HD1320:HD1326" si="1733">$H1320*HD$1349</f>
        <v>4807.1499999999996</v>
      </c>
      <c r="HE1320" s="97">
        <f t="shared" ref="HE1320:HE1326" si="1734">$I1320*HE$1349</f>
        <v>385.77</v>
      </c>
      <c r="HF1320" s="97">
        <f t="shared" ref="HF1320:HF1326" si="1735">$J1320*HF$1349</f>
        <v>393.83</v>
      </c>
      <c r="HG1320" s="97">
        <f t="shared" ref="HG1320:HG1326" si="1736">$K1320*HG$1349</f>
        <v>394.53</v>
      </c>
      <c r="HH1320" s="97">
        <f t="shared" si="1496"/>
        <v>0</v>
      </c>
      <c r="HI1320" s="97">
        <f t="shared" si="1496"/>
        <v>0</v>
      </c>
      <c r="HJ1320" s="97">
        <f t="shared" si="1496"/>
        <v>0</v>
      </c>
      <c r="HK1320" s="97">
        <f t="shared" si="1497"/>
        <v>0</v>
      </c>
      <c r="HL1320" s="97">
        <f t="shared" si="1497"/>
        <v>0</v>
      </c>
      <c r="HM1320" s="97">
        <f t="shared" si="1497"/>
        <v>0</v>
      </c>
      <c r="HN1320" s="102"/>
      <c r="HO1320" s="102"/>
      <c r="HP1320" s="102"/>
      <c r="HQ1320" s="97">
        <f t="shared" si="1498"/>
        <v>0</v>
      </c>
      <c r="HR1320" s="97">
        <f t="shared" si="1499"/>
        <v>0</v>
      </c>
      <c r="HS1320" s="97">
        <f t="shared" si="1500"/>
        <v>0</v>
      </c>
      <c r="HT1320" s="97">
        <f t="shared" si="1501"/>
        <v>0</v>
      </c>
      <c r="HU1320" s="97">
        <f t="shared" si="1502"/>
        <v>0</v>
      </c>
      <c r="HV1320" s="97">
        <f t="shared" si="1503"/>
        <v>0</v>
      </c>
      <c r="HW1320" s="97">
        <f t="shared" ref="HW1320:HW1326" si="1737">$F1320*HW$1349</f>
        <v>4423.08</v>
      </c>
      <c r="HX1320" s="97">
        <f t="shared" ref="HX1320:HX1326" si="1738">$G1320*HX$1349</f>
        <v>4568.1899999999996</v>
      </c>
      <c r="HY1320" s="97">
        <f t="shared" ref="HY1320:HY1326" si="1739">$H1320*HY$1349</f>
        <v>4738.76</v>
      </c>
      <c r="HZ1320" s="97">
        <f t="shared" ref="HZ1320:HZ1326" si="1740">$I1320*HZ$1349</f>
        <v>368</v>
      </c>
      <c r="IA1320" s="97">
        <f t="shared" ref="IA1320:IA1326" si="1741">$J1320*IA$1349</f>
        <v>375.46</v>
      </c>
      <c r="IB1320" s="97">
        <f t="shared" ref="IB1320:IB1326" si="1742">$K1320*IB$1349</f>
        <v>369.69</v>
      </c>
      <c r="IC1320" s="97">
        <f t="shared" si="1504"/>
        <v>0</v>
      </c>
      <c r="ID1320" s="97">
        <f t="shared" si="1504"/>
        <v>0</v>
      </c>
      <c r="IE1320" s="97">
        <f t="shared" si="1504"/>
        <v>0</v>
      </c>
      <c r="IF1320" s="97">
        <f t="shared" si="1505"/>
        <v>0</v>
      </c>
      <c r="IG1320" s="97">
        <f t="shared" si="1505"/>
        <v>0</v>
      </c>
      <c r="IH1320" s="97">
        <f t="shared" si="1505"/>
        <v>0</v>
      </c>
      <c r="II1320" s="102"/>
      <c r="IJ1320" s="102"/>
      <c r="IK1320" s="102"/>
      <c r="IL1320" s="97">
        <f t="shared" si="1506"/>
        <v>0</v>
      </c>
      <c r="IM1320" s="97">
        <f t="shared" si="1507"/>
        <v>0</v>
      </c>
      <c r="IN1320" s="97">
        <f t="shared" si="1508"/>
        <v>0</v>
      </c>
      <c r="IO1320" s="97">
        <f t="shared" si="1509"/>
        <v>0</v>
      </c>
      <c r="IP1320" s="97">
        <f t="shared" si="1510"/>
        <v>0</v>
      </c>
      <c r="IQ1320" s="97">
        <f t="shared" si="1511"/>
        <v>0</v>
      </c>
      <c r="IR1320" s="97">
        <f t="shared" ref="IR1320:IR1326" si="1743">$F1320*IR$1349</f>
        <v>6008.45</v>
      </c>
      <c r="IS1320" s="97">
        <f t="shared" ref="IS1320:IS1326" si="1744">$G1320*IS$1349</f>
        <v>6189.48</v>
      </c>
      <c r="IT1320" s="97">
        <f t="shared" ref="IT1320:IT1326" si="1745">$H1320*IT$1349</f>
        <v>6418.25</v>
      </c>
      <c r="IU1320" s="97">
        <f t="shared" ref="IU1320:IU1326" si="1746">$I1320*IU$1349</f>
        <v>556.34</v>
      </c>
      <c r="IV1320" s="97">
        <f t="shared" ref="IV1320:IV1326" si="1747">$J1320*IV$1349</f>
        <v>567.59</v>
      </c>
      <c r="IW1320" s="97">
        <f t="shared" ref="IW1320:IW1326" si="1748">$K1320*IW$1349</f>
        <v>554.94000000000005</v>
      </c>
      <c r="IX1320" s="97">
        <f t="shared" si="1512"/>
        <v>0</v>
      </c>
      <c r="IY1320" s="97">
        <f t="shared" si="1512"/>
        <v>0</v>
      </c>
      <c r="IZ1320" s="97">
        <f t="shared" si="1512"/>
        <v>0</v>
      </c>
      <c r="JA1320" s="97">
        <f t="shared" si="1513"/>
        <v>0</v>
      </c>
      <c r="JB1320" s="97">
        <f t="shared" si="1513"/>
        <v>0</v>
      </c>
      <c r="JC1320" s="97">
        <f t="shared" si="1513"/>
        <v>0</v>
      </c>
      <c r="JD1320" s="102"/>
      <c r="JE1320" s="102"/>
      <c r="JF1320" s="102"/>
      <c r="JG1320" s="97">
        <f t="shared" si="1514"/>
        <v>0</v>
      </c>
      <c r="JH1320" s="97">
        <f t="shared" si="1515"/>
        <v>0</v>
      </c>
      <c r="JI1320" s="97">
        <f t="shared" si="1516"/>
        <v>0</v>
      </c>
      <c r="JJ1320" s="97">
        <f t="shared" si="1517"/>
        <v>0</v>
      </c>
      <c r="JK1320" s="97">
        <f t="shared" si="1518"/>
        <v>0</v>
      </c>
      <c r="JL1320" s="97">
        <f t="shared" si="1519"/>
        <v>0</v>
      </c>
      <c r="JM1320" s="97">
        <f t="shared" ref="JM1320:JM1326" si="1749">$F1320*JM$1349</f>
        <v>4027.71</v>
      </c>
      <c r="JN1320" s="97">
        <f t="shared" ref="JN1320:JN1326" si="1750">$G1320*JN$1349</f>
        <v>4157.3500000000004</v>
      </c>
      <c r="JO1320" s="97">
        <f t="shared" ref="JO1320:JO1326" si="1751">$H1320*JO$1349</f>
        <v>4313.3100000000004</v>
      </c>
      <c r="JP1320" s="97">
        <f t="shared" ref="JP1320:JP1326" si="1752">$I1320*JP$1349</f>
        <v>303.32</v>
      </c>
      <c r="JQ1320" s="97">
        <f t="shared" ref="JQ1320:JQ1326" si="1753">$J1320*JQ$1349</f>
        <v>315.10000000000002</v>
      </c>
      <c r="JR1320" s="97">
        <f t="shared" ref="JR1320:JR1326" si="1754">$K1320*JR$1349</f>
        <v>315.85000000000002</v>
      </c>
      <c r="JS1320" s="97">
        <f t="shared" si="1520"/>
        <v>0</v>
      </c>
      <c r="JT1320" s="97">
        <f t="shared" si="1520"/>
        <v>0</v>
      </c>
      <c r="JU1320" s="97">
        <f t="shared" si="1520"/>
        <v>0</v>
      </c>
      <c r="JV1320" s="97">
        <f t="shared" si="1521"/>
        <v>0</v>
      </c>
      <c r="JW1320" s="97">
        <f t="shared" si="1521"/>
        <v>0</v>
      </c>
      <c r="JX1320" s="97">
        <f t="shared" si="1521"/>
        <v>0</v>
      </c>
      <c r="JY1320" s="102"/>
      <c r="JZ1320" s="102"/>
      <c r="KA1320" s="102"/>
      <c r="KB1320" s="97">
        <f t="shared" si="1522"/>
        <v>0</v>
      </c>
      <c r="KC1320" s="97">
        <f t="shared" si="1523"/>
        <v>0</v>
      </c>
      <c r="KD1320" s="97">
        <f t="shared" si="1524"/>
        <v>0</v>
      </c>
      <c r="KE1320" s="97">
        <f t="shared" si="1525"/>
        <v>0</v>
      </c>
      <c r="KF1320" s="97">
        <f t="shared" si="1526"/>
        <v>0</v>
      </c>
      <c r="KG1320" s="97">
        <f t="shared" si="1527"/>
        <v>0</v>
      </c>
      <c r="KH1320" s="97">
        <f t="shared" ref="KH1320:KH1326" si="1755">$F1320*KH$1349</f>
        <v>4140.91</v>
      </c>
      <c r="KI1320" s="97">
        <f t="shared" ref="KI1320:KI1326" si="1756">$G1320*KI$1349</f>
        <v>4270.58</v>
      </c>
      <c r="KJ1320" s="97">
        <f t="shared" ref="KJ1320:KJ1326" si="1757">$H1320*KJ$1349</f>
        <v>4429.79</v>
      </c>
      <c r="KK1320" s="97">
        <f t="shared" ref="KK1320:KK1326" si="1758">$I1320*KK$1349</f>
        <v>284.33999999999997</v>
      </c>
      <c r="KL1320" s="97">
        <f t="shared" ref="KL1320:KL1326" si="1759">$J1320*KL$1349</f>
        <v>292.02999999999997</v>
      </c>
      <c r="KM1320" s="97">
        <f t="shared" ref="KM1320:KM1326" si="1760">$K1320*KM$1349</f>
        <v>290.64999999999998</v>
      </c>
      <c r="KN1320" s="97">
        <f t="shared" si="1528"/>
        <v>0</v>
      </c>
      <c r="KO1320" s="97">
        <f t="shared" si="1528"/>
        <v>0</v>
      </c>
      <c r="KP1320" s="97">
        <f t="shared" si="1528"/>
        <v>0</v>
      </c>
      <c r="KQ1320" s="97">
        <f t="shared" si="1529"/>
        <v>0</v>
      </c>
      <c r="KR1320" s="97">
        <f t="shared" si="1529"/>
        <v>0</v>
      </c>
      <c r="KS1320" s="97">
        <f t="shared" si="1529"/>
        <v>0</v>
      </c>
      <c r="KT1320" s="102"/>
      <c r="KU1320" s="102"/>
      <c r="KV1320" s="102"/>
      <c r="KW1320" s="97">
        <f t="shared" si="1530"/>
        <v>0</v>
      </c>
      <c r="KX1320" s="97">
        <f t="shared" si="1531"/>
        <v>0</v>
      </c>
      <c r="KY1320" s="97">
        <f t="shared" si="1532"/>
        <v>0</v>
      </c>
      <c r="KZ1320" s="97">
        <f t="shared" si="1533"/>
        <v>0</v>
      </c>
      <c r="LA1320" s="97">
        <f t="shared" si="1534"/>
        <v>0</v>
      </c>
      <c r="LB1320" s="97">
        <f t="shared" si="1535"/>
        <v>0</v>
      </c>
      <c r="LC1320" s="97">
        <f t="shared" ref="LC1320:LC1326" si="1761">$F1320*LC$1349</f>
        <v>3908.64</v>
      </c>
      <c r="LD1320" s="97">
        <f t="shared" ref="LD1320:LD1326" si="1762">$G1320*LD$1349</f>
        <v>4036.42</v>
      </c>
      <c r="LE1320" s="97">
        <f t="shared" ref="LE1320:LE1326" si="1763">$H1320*LE$1349</f>
        <v>4188.12</v>
      </c>
      <c r="LF1320" s="97">
        <f t="shared" ref="LF1320:LF1326" si="1764">$I1320*LF$1349</f>
        <v>391.89</v>
      </c>
      <c r="LG1320" s="97">
        <f t="shared" ref="LG1320:LG1326" si="1765">$J1320*LG$1349</f>
        <v>408.01</v>
      </c>
      <c r="LH1320" s="97">
        <f t="shared" ref="LH1320:LH1326" si="1766">$K1320*LH$1349</f>
        <v>410.15</v>
      </c>
      <c r="LI1320" s="97">
        <f t="shared" si="1536"/>
        <v>0</v>
      </c>
      <c r="LJ1320" s="97">
        <f t="shared" si="1536"/>
        <v>0</v>
      </c>
      <c r="LK1320" s="97">
        <f t="shared" si="1536"/>
        <v>0</v>
      </c>
      <c r="LL1320" s="97">
        <f t="shared" si="1537"/>
        <v>0</v>
      </c>
      <c r="LM1320" s="97">
        <f t="shared" si="1537"/>
        <v>0</v>
      </c>
      <c r="LN1320" s="97">
        <f t="shared" si="1537"/>
        <v>0</v>
      </c>
      <c r="LO1320" s="102"/>
      <c r="LP1320" s="102"/>
      <c r="LQ1320" s="102"/>
      <c r="LR1320" s="97">
        <f t="shared" si="1538"/>
        <v>0</v>
      </c>
      <c r="LS1320" s="97">
        <f t="shared" si="1539"/>
        <v>0</v>
      </c>
      <c r="LT1320" s="97">
        <f t="shared" si="1540"/>
        <v>0</v>
      </c>
      <c r="LU1320" s="97">
        <f t="shared" si="1541"/>
        <v>0</v>
      </c>
      <c r="LV1320" s="97">
        <f t="shared" si="1542"/>
        <v>0</v>
      </c>
      <c r="LW1320" s="97">
        <f t="shared" si="1543"/>
        <v>0</v>
      </c>
      <c r="LX1320" s="97">
        <f t="shared" ref="LX1320:LX1326" si="1767">$F1320*LX$1349</f>
        <v>3414.37</v>
      </c>
      <c r="LY1320" s="97">
        <f t="shared" ref="LY1320:LY1326" si="1768">$G1320*LY$1349</f>
        <v>3526.19</v>
      </c>
      <c r="LZ1320" s="97">
        <f t="shared" ref="LZ1320:LZ1326" si="1769">$H1320*LZ$1349</f>
        <v>3658.33</v>
      </c>
      <c r="MA1320" s="97">
        <f t="shared" ref="MA1320:MA1326" si="1770">$I1320*MA$1349</f>
        <v>290.89999999999998</v>
      </c>
      <c r="MB1320" s="97">
        <f t="shared" ref="MB1320:MB1326" si="1771">$J1320*MB$1349</f>
        <v>298.10000000000002</v>
      </c>
      <c r="MC1320" s="97">
        <f t="shared" ref="MC1320:MC1326" si="1772">$K1320*MC$1349</f>
        <v>297.22000000000003</v>
      </c>
      <c r="MD1320" s="97">
        <f t="shared" si="1544"/>
        <v>0</v>
      </c>
      <c r="ME1320" s="97">
        <f t="shared" si="1544"/>
        <v>0</v>
      </c>
      <c r="MF1320" s="97">
        <f t="shared" si="1544"/>
        <v>0</v>
      </c>
      <c r="MG1320" s="97">
        <f t="shared" si="1545"/>
        <v>0</v>
      </c>
      <c r="MH1320" s="97">
        <f t="shared" si="1545"/>
        <v>0</v>
      </c>
      <c r="MI1320" s="97">
        <f t="shared" si="1545"/>
        <v>0</v>
      </c>
      <c r="MJ1320" s="102"/>
      <c r="MK1320" s="102"/>
      <c r="ML1320" s="102"/>
      <c r="MM1320" s="97">
        <f t="shared" si="1546"/>
        <v>0</v>
      </c>
      <c r="MN1320" s="97">
        <f t="shared" si="1547"/>
        <v>0</v>
      </c>
      <c r="MO1320" s="97">
        <f t="shared" si="1548"/>
        <v>0</v>
      </c>
      <c r="MP1320" s="97">
        <f t="shared" si="1549"/>
        <v>0</v>
      </c>
      <c r="MQ1320" s="97">
        <f t="shared" si="1550"/>
        <v>0</v>
      </c>
      <c r="MR1320" s="97">
        <f t="shared" si="1551"/>
        <v>0</v>
      </c>
      <c r="MS1320" s="97">
        <f t="shared" ref="MS1320:MS1326" si="1773">$F1320*MS$1349</f>
        <v>3950.05</v>
      </c>
      <c r="MT1320" s="97">
        <f t="shared" ref="MT1320:MT1326" si="1774">$G1320*MT$1349</f>
        <v>4078.91</v>
      </c>
      <c r="MU1320" s="97">
        <f t="shared" ref="MU1320:MU1326" si="1775">$H1320*MU$1349</f>
        <v>4232.1400000000003</v>
      </c>
      <c r="MV1320" s="97">
        <f t="shared" ref="MV1320:MV1326" si="1776">$I1320*MV$1349</f>
        <v>345.12</v>
      </c>
      <c r="MW1320" s="97">
        <f t="shared" ref="MW1320:MW1326" si="1777">$J1320*MW$1349</f>
        <v>348.89</v>
      </c>
      <c r="MX1320" s="97">
        <f t="shared" ref="MX1320:MX1326" si="1778">$K1320*MX$1349</f>
        <v>351.04</v>
      </c>
      <c r="MY1320" s="97">
        <f t="shared" si="1552"/>
        <v>0</v>
      </c>
      <c r="MZ1320" s="97">
        <f t="shared" si="1552"/>
        <v>0</v>
      </c>
      <c r="NA1320" s="97">
        <f t="shared" si="1552"/>
        <v>0</v>
      </c>
      <c r="NB1320" s="97">
        <f t="shared" si="1553"/>
        <v>0</v>
      </c>
      <c r="NC1320" s="97">
        <f t="shared" si="1553"/>
        <v>0</v>
      </c>
      <c r="ND1320" s="97">
        <f t="shared" si="1553"/>
        <v>0</v>
      </c>
      <c r="NE1320" s="102"/>
      <c r="NF1320" s="102"/>
      <c r="NG1320" s="102"/>
      <c r="NH1320" s="97">
        <f t="shared" si="1554"/>
        <v>0</v>
      </c>
      <c r="NI1320" s="97">
        <f t="shared" si="1555"/>
        <v>0</v>
      </c>
      <c r="NJ1320" s="97">
        <f t="shared" si="1556"/>
        <v>0</v>
      </c>
      <c r="NK1320" s="97">
        <f t="shared" si="1557"/>
        <v>0</v>
      </c>
      <c r="NL1320" s="97">
        <f t="shared" si="1558"/>
        <v>0</v>
      </c>
      <c r="NM1320" s="97">
        <f t="shared" si="1559"/>
        <v>0</v>
      </c>
      <c r="NN1320" s="97">
        <f t="shared" ref="NN1320:NN1326" si="1779">$F1320*NN$1349</f>
        <v>4032.91</v>
      </c>
      <c r="NO1320" s="97">
        <f t="shared" ref="NO1320:NO1326" si="1780">$G1320*NO$1349</f>
        <v>4159.1000000000004</v>
      </c>
      <c r="NP1320" s="97">
        <f t="shared" ref="NP1320:NP1326" si="1781">$H1320*NP$1349</f>
        <v>4312.91</v>
      </c>
      <c r="NQ1320" s="97">
        <f t="shared" ref="NQ1320:NQ1326" si="1782">$I1320*NQ$1349</f>
        <v>505.45</v>
      </c>
      <c r="NR1320" s="97">
        <f t="shared" ref="NR1320:NR1326" si="1783">$J1320*NR$1349</f>
        <v>527.95000000000005</v>
      </c>
      <c r="NS1320" s="97">
        <f t="shared" ref="NS1320:NS1326" si="1784">$K1320*NS$1349</f>
        <v>513.37</v>
      </c>
      <c r="NT1320" s="97">
        <f t="shared" si="1560"/>
        <v>0</v>
      </c>
      <c r="NU1320" s="97">
        <f t="shared" si="1560"/>
        <v>0</v>
      </c>
      <c r="NV1320" s="97">
        <f t="shared" si="1560"/>
        <v>0</v>
      </c>
      <c r="NW1320" s="97">
        <f t="shared" si="1561"/>
        <v>0</v>
      </c>
      <c r="NX1320" s="97">
        <f t="shared" si="1561"/>
        <v>0</v>
      </c>
      <c r="NY1320" s="97">
        <f t="shared" si="1561"/>
        <v>0</v>
      </c>
      <c r="NZ1320" s="102"/>
      <c r="OA1320" s="102"/>
      <c r="OB1320" s="102"/>
      <c r="OC1320" s="97">
        <f t="shared" si="1562"/>
        <v>0</v>
      </c>
      <c r="OD1320" s="97">
        <f t="shared" si="1563"/>
        <v>0</v>
      </c>
      <c r="OE1320" s="97">
        <f t="shared" si="1564"/>
        <v>0</v>
      </c>
      <c r="OF1320" s="97">
        <f t="shared" si="1565"/>
        <v>0</v>
      </c>
      <c r="OG1320" s="97">
        <f t="shared" si="1566"/>
        <v>0</v>
      </c>
      <c r="OH1320" s="97">
        <f t="shared" si="1567"/>
        <v>0</v>
      </c>
      <c r="OI1320" s="97">
        <f t="shared" ref="OI1320:OI1326" si="1785">$F1320*OI$1349</f>
        <v>5287.83</v>
      </c>
      <c r="OJ1320" s="97">
        <f t="shared" ref="OJ1320:OJ1326" si="1786">$G1320*OJ$1349</f>
        <v>5444.73</v>
      </c>
      <c r="OK1320" s="97">
        <f t="shared" ref="OK1320:OK1326" si="1787">$H1320*OK$1349</f>
        <v>5644.44</v>
      </c>
      <c r="OL1320" s="97">
        <f t="shared" ref="OL1320:OL1326" si="1788">$I1320*OL$1349</f>
        <v>506.96</v>
      </c>
      <c r="OM1320" s="97">
        <f t="shared" ref="OM1320:OM1326" si="1789">$J1320*OM$1349</f>
        <v>526.76</v>
      </c>
      <c r="ON1320" s="97">
        <f t="shared" ref="ON1320:ON1326" si="1790">$K1320*ON$1349</f>
        <v>524</v>
      </c>
      <c r="OO1320" s="97">
        <f t="shared" si="1568"/>
        <v>0</v>
      </c>
      <c r="OP1320" s="97">
        <f t="shared" si="1568"/>
        <v>0</v>
      </c>
      <c r="OQ1320" s="97">
        <f t="shared" si="1568"/>
        <v>0</v>
      </c>
      <c r="OR1320" s="97">
        <f t="shared" si="1569"/>
        <v>0</v>
      </c>
      <c r="OS1320" s="97">
        <f t="shared" si="1569"/>
        <v>0</v>
      </c>
      <c r="OT1320" s="97">
        <f t="shared" si="1569"/>
        <v>0</v>
      </c>
      <c r="OU1320" s="102"/>
      <c r="OV1320" s="102"/>
      <c r="OW1320" s="102"/>
      <c r="OX1320" s="97">
        <f t="shared" si="1570"/>
        <v>0</v>
      </c>
      <c r="OY1320" s="97">
        <f t="shared" si="1571"/>
        <v>0</v>
      </c>
      <c r="OZ1320" s="97">
        <f t="shared" si="1572"/>
        <v>0</v>
      </c>
      <c r="PA1320" s="97">
        <f t="shared" si="1573"/>
        <v>0</v>
      </c>
      <c r="PB1320" s="97">
        <f t="shared" si="1574"/>
        <v>0</v>
      </c>
      <c r="PC1320" s="97">
        <f t="shared" si="1575"/>
        <v>0</v>
      </c>
      <c r="PD1320" s="97">
        <f t="shared" ref="PD1320:PD1326" si="1791">$F1320*PD$1349</f>
        <v>4446.8999999999996</v>
      </c>
      <c r="PE1320" s="97">
        <f t="shared" ref="PE1320:PE1326" si="1792">$G1320*PE$1349</f>
        <v>4589.9399999999996</v>
      </c>
      <c r="PF1320" s="97">
        <f t="shared" ref="PF1320:PF1326" si="1793">$H1320*PF$1349</f>
        <v>4761.7299999999996</v>
      </c>
      <c r="PG1320" s="97">
        <f t="shared" ref="PG1320:PG1326" si="1794">$I1320*PG$1349</f>
        <v>405.17</v>
      </c>
      <c r="PH1320" s="97">
        <f t="shared" ref="PH1320:PH1326" si="1795">$J1320*PH$1349</f>
        <v>413.93</v>
      </c>
      <c r="PI1320" s="97">
        <f t="shared" ref="PI1320:PI1326" si="1796">$K1320*PI$1349</f>
        <v>417.29</v>
      </c>
      <c r="PJ1320" s="97">
        <f t="shared" si="1576"/>
        <v>0</v>
      </c>
      <c r="PK1320" s="97">
        <f t="shared" si="1576"/>
        <v>0</v>
      </c>
      <c r="PL1320" s="97">
        <f t="shared" si="1576"/>
        <v>0</v>
      </c>
      <c r="PM1320" s="97">
        <f t="shared" si="1577"/>
        <v>0</v>
      </c>
      <c r="PN1320" s="97">
        <f t="shared" si="1577"/>
        <v>0</v>
      </c>
      <c r="PO1320" s="97">
        <f t="shared" si="1577"/>
        <v>0</v>
      </c>
      <c r="PP1320" s="102"/>
      <c r="PQ1320" s="102"/>
      <c r="PR1320" s="102"/>
      <c r="PS1320" s="97">
        <f t="shared" si="1578"/>
        <v>0</v>
      </c>
      <c r="PT1320" s="97">
        <f t="shared" si="1579"/>
        <v>0</v>
      </c>
      <c r="PU1320" s="97">
        <f t="shared" si="1580"/>
        <v>0</v>
      </c>
      <c r="PV1320" s="97">
        <f t="shared" si="1581"/>
        <v>0</v>
      </c>
      <c r="PW1320" s="97">
        <f t="shared" si="1582"/>
        <v>0</v>
      </c>
      <c r="PX1320" s="97">
        <f t="shared" si="1583"/>
        <v>0</v>
      </c>
      <c r="PY1320" s="97">
        <f t="shared" ref="PY1320:PY1326" si="1797">$F1320*PY$1349</f>
        <v>3981.32</v>
      </c>
      <c r="PZ1320" s="97">
        <f t="shared" ref="PZ1320:PZ1326" si="1798">$G1320*PZ$1349</f>
        <v>4112.84</v>
      </c>
      <c r="QA1320" s="97">
        <f t="shared" ref="QA1320:QA1326" si="1799">$H1320*QA$1349</f>
        <v>4267.0600000000004</v>
      </c>
      <c r="QB1320" s="97">
        <f t="shared" ref="QB1320:QB1326" si="1800">$I1320*QB$1349</f>
        <v>417.83</v>
      </c>
      <c r="QC1320" s="97">
        <f t="shared" ref="QC1320:QC1326" si="1801">$J1320*QC$1349</f>
        <v>438.77</v>
      </c>
      <c r="QD1320" s="97">
        <f t="shared" ref="QD1320:QD1326" si="1802">$K1320*QD$1349</f>
        <v>438.39</v>
      </c>
      <c r="QE1320" s="97">
        <f t="shared" si="1584"/>
        <v>0</v>
      </c>
      <c r="QF1320" s="97">
        <f t="shared" si="1584"/>
        <v>0</v>
      </c>
      <c r="QG1320" s="97">
        <f t="shared" si="1584"/>
        <v>0</v>
      </c>
      <c r="QH1320" s="97">
        <f t="shared" si="1585"/>
        <v>0</v>
      </c>
      <c r="QI1320" s="97">
        <f t="shared" si="1585"/>
        <v>0</v>
      </c>
      <c r="QJ1320" s="97">
        <f t="shared" si="1585"/>
        <v>0</v>
      </c>
      <c r="QK1320" s="102"/>
      <c r="QL1320" s="102"/>
      <c r="QM1320" s="102"/>
      <c r="QN1320" s="97">
        <f t="shared" si="1586"/>
        <v>0</v>
      </c>
      <c r="QO1320" s="97">
        <f t="shared" si="1587"/>
        <v>0</v>
      </c>
      <c r="QP1320" s="97">
        <f t="shared" si="1588"/>
        <v>0</v>
      </c>
      <c r="QQ1320" s="97">
        <f t="shared" si="1589"/>
        <v>0</v>
      </c>
      <c r="QR1320" s="97">
        <f t="shared" si="1590"/>
        <v>0</v>
      </c>
      <c r="QS1320" s="97">
        <f t="shared" si="1591"/>
        <v>0</v>
      </c>
      <c r="QT1320" s="97">
        <f t="shared" ref="QT1320:QT1326" si="1803">$F1320*QT$1349</f>
        <v>4048.78</v>
      </c>
      <c r="QU1320" s="97">
        <f t="shared" ref="QU1320:QU1326" si="1804">$G1320*QU$1349</f>
        <v>4181.01</v>
      </c>
      <c r="QV1320" s="97">
        <f t="shared" ref="QV1320:QV1326" si="1805">$H1320*QV$1349</f>
        <v>4338.25</v>
      </c>
      <c r="QW1320" s="97">
        <f t="shared" ref="QW1320:QW1326" si="1806">$I1320*QW$1349</f>
        <v>287.38</v>
      </c>
      <c r="QX1320" s="97">
        <f t="shared" ref="QX1320:QX1326" si="1807">$J1320*QX$1349</f>
        <v>298.20999999999998</v>
      </c>
      <c r="QY1320" s="97">
        <f t="shared" ref="QY1320:QY1326" si="1808">$K1320*QY$1349</f>
        <v>299.87</v>
      </c>
      <c r="QZ1320" s="97">
        <f t="shared" si="1592"/>
        <v>0</v>
      </c>
      <c r="RA1320" s="97">
        <f t="shared" si="1592"/>
        <v>0</v>
      </c>
      <c r="RB1320" s="97">
        <f t="shared" si="1592"/>
        <v>0</v>
      </c>
      <c r="RC1320" s="97">
        <f t="shared" si="1593"/>
        <v>0</v>
      </c>
      <c r="RD1320" s="97">
        <f t="shared" si="1593"/>
        <v>0</v>
      </c>
      <c r="RE1320" s="97">
        <f t="shared" si="1593"/>
        <v>0</v>
      </c>
      <c r="RF1320" s="102"/>
      <c r="RG1320" s="102"/>
      <c r="RH1320" s="102"/>
      <c r="RI1320" s="97">
        <f t="shared" si="1594"/>
        <v>0</v>
      </c>
      <c r="RJ1320" s="97">
        <f t="shared" si="1595"/>
        <v>0</v>
      </c>
      <c r="RK1320" s="97">
        <f t="shared" si="1596"/>
        <v>0</v>
      </c>
      <c r="RL1320" s="97">
        <f t="shared" si="1597"/>
        <v>0</v>
      </c>
      <c r="RM1320" s="97">
        <f t="shared" si="1598"/>
        <v>0</v>
      </c>
      <c r="RN1320" s="97">
        <f t="shared" si="1599"/>
        <v>0</v>
      </c>
      <c r="RO1320" s="97">
        <f t="shared" ref="RO1320:RO1326" si="1809">$F1320*RO$1349</f>
        <v>4337.0600000000004</v>
      </c>
      <c r="RP1320" s="97">
        <f t="shared" ref="RP1320:RP1326" si="1810">$G1320*RP$1349</f>
        <v>4476.84</v>
      </c>
      <c r="RQ1320" s="97">
        <f t="shared" ref="RQ1320:RQ1326" si="1811">$H1320*RQ$1349</f>
        <v>4645.17</v>
      </c>
      <c r="RR1320" s="97">
        <f t="shared" ref="RR1320:RR1326" si="1812">$I1320*RR$1349</f>
        <v>405.38</v>
      </c>
      <c r="RS1320" s="97">
        <f t="shared" ref="RS1320:RS1326" si="1813">$J1320*RS$1349</f>
        <v>412.7</v>
      </c>
      <c r="RT1320" s="97">
        <f t="shared" ref="RT1320:RT1326" si="1814">$K1320*RT$1349</f>
        <v>415.1</v>
      </c>
      <c r="RU1320" s="97">
        <f t="shared" si="1600"/>
        <v>0</v>
      </c>
      <c r="RV1320" s="97">
        <f t="shared" si="1600"/>
        <v>0</v>
      </c>
      <c r="RW1320" s="97">
        <f t="shared" si="1600"/>
        <v>0</v>
      </c>
      <c r="RX1320" s="97">
        <f t="shared" si="1601"/>
        <v>0</v>
      </c>
      <c r="RY1320" s="97">
        <f t="shared" si="1601"/>
        <v>0</v>
      </c>
      <c r="RZ1320" s="97">
        <f t="shared" si="1601"/>
        <v>0</v>
      </c>
      <c r="SA1320" s="102"/>
      <c r="SB1320" s="102"/>
      <c r="SC1320" s="102"/>
      <c r="SD1320" s="97">
        <f t="shared" si="1602"/>
        <v>0</v>
      </c>
      <c r="SE1320" s="97">
        <f t="shared" si="1603"/>
        <v>0</v>
      </c>
      <c r="SF1320" s="97">
        <f t="shared" si="1604"/>
        <v>0</v>
      </c>
      <c r="SG1320" s="97">
        <f t="shared" si="1605"/>
        <v>0</v>
      </c>
      <c r="SH1320" s="97">
        <f t="shared" si="1606"/>
        <v>0</v>
      </c>
      <c r="SI1320" s="97">
        <f t="shared" si="1607"/>
        <v>0</v>
      </c>
      <c r="SJ1320" s="97">
        <f t="shared" ref="SJ1320:SJ1326" si="1815">$F1320*SJ$1349</f>
        <v>4557.04</v>
      </c>
      <c r="SK1320" s="97">
        <f t="shared" ref="SK1320:SK1326" si="1816">$G1320*SK$1349</f>
        <v>4698.68</v>
      </c>
      <c r="SL1320" s="97">
        <f t="shared" ref="SL1320:SL1326" si="1817">$H1320*SL$1349</f>
        <v>4873.33</v>
      </c>
      <c r="SM1320" s="97">
        <f t="shared" ref="SM1320:SM1326" si="1818">$I1320*SM$1349</f>
        <v>567.54999999999995</v>
      </c>
      <c r="SN1320" s="97">
        <f t="shared" ref="SN1320:SN1326" si="1819">$J1320*SN$1349</f>
        <v>585.64</v>
      </c>
      <c r="SO1320" s="97">
        <f t="shared" ref="SO1320:SO1326" si="1820">$K1320*SO$1349</f>
        <v>587.23</v>
      </c>
      <c r="SP1320" s="97">
        <f t="shared" si="1608"/>
        <v>0</v>
      </c>
      <c r="SQ1320" s="97">
        <f t="shared" si="1608"/>
        <v>0</v>
      </c>
      <c r="SR1320" s="97">
        <f t="shared" si="1608"/>
        <v>0</v>
      </c>
      <c r="SS1320" s="97">
        <f t="shared" si="1609"/>
        <v>0</v>
      </c>
      <c r="ST1320" s="97">
        <f t="shared" si="1609"/>
        <v>0</v>
      </c>
      <c r="SU1320" s="97">
        <f t="shared" si="1609"/>
        <v>0</v>
      </c>
      <c r="SV1320" s="102"/>
      <c r="SW1320" s="102"/>
      <c r="SX1320" s="102"/>
      <c r="SY1320" s="97">
        <f t="shared" si="1610"/>
        <v>0</v>
      </c>
      <c r="SZ1320" s="97">
        <f t="shared" si="1611"/>
        <v>0</v>
      </c>
      <c r="TA1320" s="97">
        <f t="shared" si="1612"/>
        <v>0</v>
      </c>
      <c r="TB1320" s="97">
        <f t="shared" si="1613"/>
        <v>0</v>
      </c>
      <c r="TC1320" s="97">
        <f t="shared" si="1614"/>
        <v>0</v>
      </c>
      <c r="TD1320" s="97">
        <f t="shared" si="1615"/>
        <v>0</v>
      </c>
      <c r="TE1320" s="97">
        <f t="shared" ref="TE1320:TE1326" si="1821">$F1320*TE$1349</f>
        <v>4073.36</v>
      </c>
      <c r="TF1320" s="97">
        <f t="shared" ref="TF1320:TF1326" si="1822">$G1320*TF$1349</f>
        <v>4204.76</v>
      </c>
      <c r="TG1320" s="97">
        <f t="shared" ref="TG1320:TG1326" si="1823">$H1320*TG$1349</f>
        <v>4362.1000000000004</v>
      </c>
      <c r="TH1320" s="97">
        <f t="shared" ref="TH1320:TH1326" si="1824">$I1320*TH$1349</f>
        <v>432.21</v>
      </c>
      <c r="TI1320" s="97">
        <f t="shared" ref="TI1320:TI1326" si="1825">$J1320*TI$1349</f>
        <v>443.69</v>
      </c>
      <c r="TJ1320" s="97">
        <f t="shared" ref="TJ1320:TJ1326" si="1826">$K1320*TJ$1349</f>
        <v>442.41</v>
      </c>
      <c r="TK1320" s="97">
        <f t="shared" si="1616"/>
        <v>0</v>
      </c>
      <c r="TL1320" s="97">
        <f t="shared" si="1616"/>
        <v>0</v>
      </c>
      <c r="TM1320" s="97">
        <f t="shared" si="1616"/>
        <v>0</v>
      </c>
      <c r="TN1320" s="97">
        <f t="shared" si="1617"/>
        <v>0</v>
      </c>
      <c r="TO1320" s="97">
        <f t="shared" si="1617"/>
        <v>0</v>
      </c>
      <c r="TP1320" s="97">
        <f t="shared" si="1617"/>
        <v>0</v>
      </c>
      <c r="TQ1320" s="102"/>
      <c r="TR1320" s="102"/>
      <c r="TS1320" s="102"/>
      <c r="TT1320" s="97">
        <f t="shared" si="1618"/>
        <v>0</v>
      </c>
      <c r="TU1320" s="97">
        <f t="shared" si="1619"/>
        <v>0</v>
      </c>
      <c r="TV1320" s="97">
        <f t="shared" si="1620"/>
        <v>0</v>
      </c>
      <c r="TW1320" s="97">
        <f t="shared" si="1621"/>
        <v>0</v>
      </c>
      <c r="TX1320" s="97">
        <f t="shared" si="1622"/>
        <v>0</v>
      </c>
      <c r="TY1320" s="97">
        <f t="shared" si="1623"/>
        <v>0</v>
      </c>
      <c r="TZ1320" s="97">
        <f t="shared" ref="TZ1320:TZ1326" si="1827">$F1320*TZ$1349</f>
        <v>4363.6400000000003</v>
      </c>
      <c r="UA1320" s="97">
        <f t="shared" ref="UA1320:UA1326" si="1828">$G1320*UA$1349</f>
        <v>4501.12</v>
      </c>
      <c r="UB1320" s="97">
        <f t="shared" ref="UB1320:UB1326" si="1829">$H1320*UB$1349</f>
        <v>4669.8599999999997</v>
      </c>
      <c r="UC1320" s="97">
        <f t="shared" ref="UC1320:UC1326" si="1830">$I1320*UC$1349</f>
        <v>394.98</v>
      </c>
      <c r="UD1320" s="97">
        <f t="shared" ref="UD1320:UD1326" si="1831">$J1320*UD$1349</f>
        <v>417.39</v>
      </c>
      <c r="UE1320" s="97">
        <f t="shared" ref="UE1320:UE1326" si="1832">$K1320*UE$1349</f>
        <v>418.67</v>
      </c>
      <c r="UF1320" s="97">
        <f t="shared" si="1624"/>
        <v>0</v>
      </c>
      <c r="UG1320" s="97">
        <f t="shared" si="1624"/>
        <v>0</v>
      </c>
      <c r="UH1320" s="97">
        <f t="shared" si="1624"/>
        <v>0</v>
      </c>
      <c r="UI1320" s="97">
        <f t="shared" si="1625"/>
        <v>0</v>
      </c>
      <c r="UJ1320" s="97">
        <f t="shared" si="1625"/>
        <v>0</v>
      </c>
      <c r="UK1320" s="97">
        <f t="shared" si="1625"/>
        <v>0</v>
      </c>
      <c r="UL1320" s="102"/>
      <c r="UM1320" s="102"/>
      <c r="UN1320" s="102"/>
      <c r="UO1320" s="97">
        <f t="shared" si="1626"/>
        <v>0</v>
      </c>
      <c r="UP1320" s="97">
        <f t="shared" si="1627"/>
        <v>0</v>
      </c>
      <c r="UQ1320" s="97">
        <f t="shared" si="1628"/>
        <v>0</v>
      </c>
      <c r="UR1320" s="97">
        <f t="shared" si="1629"/>
        <v>0</v>
      </c>
      <c r="US1320" s="97">
        <f t="shared" si="1630"/>
        <v>0</v>
      </c>
      <c r="UT1320" s="97">
        <f t="shared" si="1631"/>
        <v>0</v>
      </c>
      <c r="UU1320" s="97">
        <f t="shared" ref="UU1320:UU1326" si="1833">$F1320*UU$1349</f>
        <v>4036.82</v>
      </c>
      <c r="UV1320" s="97">
        <f t="shared" ref="UV1320:UV1326" si="1834">$G1320*UV$1349</f>
        <v>4171.07</v>
      </c>
      <c r="UW1320" s="97">
        <f t="shared" ref="UW1320:UW1326" si="1835">$H1320*UW$1349</f>
        <v>4328.49</v>
      </c>
      <c r="UX1320" s="97">
        <f t="shared" ref="UX1320:UX1326" si="1836">$I1320*UX$1349</f>
        <v>307.89</v>
      </c>
      <c r="UY1320" s="97">
        <f t="shared" ref="UY1320:UY1326" si="1837">$J1320*UY$1349</f>
        <v>323.83999999999997</v>
      </c>
      <c r="UZ1320" s="97">
        <f t="shared" ref="UZ1320:UZ1326" si="1838">$K1320*UZ$1349</f>
        <v>326.26</v>
      </c>
      <c r="VA1320" s="97">
        <f t="shared" si="1632"/>
        <v>0</v>
      </c>
      <c r="VB1320" s="97">
        <f t="shared" si="1632"/>
        <v>0</v>
      </c>
      <c r="VC1320" s="97">
        <f t="shared" si="1632"/>
        <v>0</v>
      </c>
      <c r="VD1320" s="97">
        <f t="shared" si="1633"/>
        <v>0</v>
      </c>
      <c r="VE1320" s="97">
        <f t="shared" si="1633"/>
        <v>0</v>
      </c>
      <c r="VF1320" s="97">
        <f t="shared" si="1633"/>
        <v>0</v>
      </c>
      <c r="VG1320" s="102"/>
      <c r="VH1320" s="102"/>
      <c r="VI1320" s="102"/>
      <c r="VJ1320" s="97">
        <f t="shared" si="1634"/>
        <v>0</v>
      </c>
      <c r="VK1320" s="97">
        <f t="shared" si="1635"/>
        <v>0</v>
      </c>
      <c r="VL1320" s="97">
        <f t="shared" si="1636"/>
        <v>0</v>
      </c>
      <c r="VM1320" s="97">
        <f t="shared" si="1637"/>
        <v>0</v>
      </c>
      <c r="VN1320" s="97">
        <f t="shared" si="1638"/>
        <v>0</v>
      </c>
      <c r="VO1320" s="97">
        <f t="shared" si="1639"/>
        <v>0</v>
      </c>
      <c r="VP1320" s="97">
        <f t="shared" ref="VP1320:VP1326" si="1839">$F1320*VP$1349</f>
        <v>4118.01</v>
      </c>
      <c r="VQ1320" s="97">
        <f t="shared" ref="VQ1320:VQ1326" si="1840">$G1320*VQ$1349</f>
        <v>4251.42</v>
      </c>
      <c r="VR1320" s="97">
        <f t="shared" ref="VR1320:VR1326" si="1841">$H1320*VR$1349</f>
        <v>4411.59</v>
      </c>
      <c r="VS1320" s="97">
        <f t="shared" ref="VS1320:VS1326" si="1842">$I1320*VS$1349</f>
        <v>331.4</v>
      </c>
      <c r="VT1320" s="97">
        <f t="shared" ref="VT1320:VT1326" si="1843">$J1320*VT$1349</f>
        <v>341.47</v>
      </c>
      <c r="VU1320" s="97">
        <f t="shared" ref="VU1320:VU1326" si="1844">$K1320*VU$1349</f>
        <v>343.85</v>
      </c>
      <c r="VV1320" s="97">
        <f t="shared" si="1640"/>
        <v>0</v>
      </c>
      <c r="VW1320" s="97">
        <f t="shared" si="1640"/>
        <v>0</v>
      </c>
      <c r="VX1320" s="97">
        <f t="shared" si="1640"/>
        <v>0</v>
      </c>
      <c r="VY1320" s="97">
        <f t="shared" si="1641"/>
        <v>0</v>
      </c>
      <c r="VZ1320" s="97">
        <f t="shared" si="1641"/>
        <v>0</v>
      </c>
      <c r="WA1320" s="97">
        <f t="shared" si="1641"/>
        <v>0</v>
      </c>
      <c r="WB1320" s="102"/>
      <c r="WC1320" s="102"/>
      <c r="WD1320" s="102"/>
      <c r="WE1320" s="97">
        <f t="shared" si="1642"/>
        <v>0</v>
      </c>
      <c r="WF1320" s="97">
        <f t="shared" si="1643"/>
        <v>0</v>
      </c>
      <c r="WG1320" s="97">
        <f t="shared" si="1644"/>
        <v>0</v>
      </c>
      <c r="WH1320" s="97">
        <f t="shared" si="1645"/>
        <v>0</v>
      </c>
      <c r="WI1320" s="97">
        <f t="shared" si="1646"/>
        <v>0</v>
      </c>
      <c r="WJ1320" s="97">
        <f t="shared" si="1647"/>
        <v>0</v>
      </c>
      <c r="WK1320" s="97">
        <f t="shared" ref="WK1320:WK1326" si="1845">$F1320*WK$1349</f>
        <v>3804.43</v>
      </c>
      <c r="WL1320" s="97">
        <f t="shared" ref="WL1320:WL1326" si="1846">$G1320*WL$1349</f>
        <v>3932.09</v>
      </c>
      <c r="WM1320" s="97">
        <f t="shared" ref="WM1320:WM1326" si="1847">$H1320*WM$1349</f>
        <v>4080.29</v>
      </c>
      <c r="WN1320" s="97">
        <f t="shared" ref="WN1320:WN1326" si="1848">$I1320*WN$1349</f>
        <v>355.89</v>
      </c>
      <c r="WO1320" s="97">
        <f t="shared" ref="WO1320:WO1326" si="1849">$J1320*WO$1349</f>
        <v>375.68</v>
      </c>
      <c r="WP1320" s="97">
        <f t="shared" ref="WP1320:WP1326" si="1850">$K1320*WP$1349</f>
        <v>378.63</v>
      </c>
      <c r="WQ1320" s="97">
        <f t="shared" si="1648"/>
        <v>0</v>
      </c>
      <c r="WR1320" s="97">
        <f t="shared" si="1648"/>
        <v>0</v>
      </c>
      <c r="WS1320" s="97">
        <f t="shared" si="1648"/>
        <v>0</v>
      </c>
      <c r="WT1320" s="97">
        <f t="shared" si="1649"/>
        <v>0</v>
      </c>
      <c r="WU1320" s="97">
        <f t="shared" si="1649"/>
        <v>0</v>
      </c>
      <c r="WV1320" s="97">
        <f t="shared" si="1649"/>
        <v>0</v>
      </c>
      <c r="WW1320" s="102"/>
      <c r="WX1320" s="102"/>
      <c r="WY1320" s="102"/>
      <c r="WZ1320" s="97">
        <f t="shared" si="1650"/>
        <v>0</v>
      </c>
      <c r="XA1320" s="97">
        <f t="shared" si="1651"/>
        <v>0</v>
      </c>
      <c r="XB1320" s="97">
        <f t="shared" si="1652"/>
        <v>0</v>
      </c>
      <c r="XC1320" s="97">
        <f t="shared" si="1653"/>
        <v>0</v>
      </c>
      <c r="XD1320" s="97">
        <f t="shared" si="1654"/>
        <v>0</v>
      </c>
      <c r="XE1320" s="97">
        <f t="shared" si="1655"/>
        <v>0</v>
      </c>
      <c r="XF1320" s="97">
        <f t="shared" ref="XF1320:XF1326" si="1851">$F1320*XF$1349</f>
        <v>3737.47</v>
      </c>
      <c r="XG1320" s="97">
        <f t="shared" ref="XG1320:XG1326" si="1852">$G1320*XG$1349</f>
        <v>3860.29</v>
      </c>
      <c r="XH1320" s="97">
        <f t="shared" ref="XH1320:XH1326" si="1853">$H1320*XH$1349</f>
        <v>4004.99</v>
      </c>
      <c r="XI1320" s="97">
        <f t="shared" ref="XI1320:XI1326" si="1854">$I1320*XI$1349</f>
        <v>286.64999999999998</v>
      </c>
      <c r="XJ1320" s="97">
        <f t="shared" ref="XJ1320:XJ1326" si="1855">$J1320*XJ$1349</f>
        <v>303.69</v>
      </c>
      <c r="XK1320" s="97">
        <f t="shared" ref="XK1320:XK1326" si="1856">$K1320*XK$1349</f>
        <v>304.99</v>
      </c>
      <c r="XL1320" s="97">
        <f t="shared" si="1656"/>
        <v>0</v>
      </c>
      <c r="XM1320" s="97">
        <f t="shared" si="1656"/>
        <v>0</v>
      </c>
      <c r="XN1320" s="97">
        <f t="shared" si="1656"/>
        <v>0</v>
      </c>
      <c r="XO1320" s="97">
        <f t="shared" si="1657"/>
        <v>0</v>
      </c>
      <c r="XP1320" s="97">
        <f t="shared" si="1657"/>
        <v>0</v>
      </c>
      <c r="XQ1320" s="97">
        <f t="shared" si="1657"/>
        <v>0</v>
      </c>
      <c r="XR1320" s="102"/>
      <c r="XS1320" s="102"/>
      <c r="XT1320" s="102"/>
      <c r="XU1320" s="97">
        <f t="shared" si="1658"/>
        <v>0</v>
      </c>
      <c r="XV1320" s="97">
        <f t="shared" si="1659"/>
        <v>0</v>
      </c>
      <c r="XW1320" s="97">
        <f t="shared" si="1660"/>
        <v>0</v>
      </c>
      <c r="XX1320" s="97">
        <f t="shared" si="1661"/>
        <v>0</v>
      </c>
      <c r="XY1320" s="97">
        <f t="shared" si="1662"/>
        <v>0</v>
      </c>
      <c r="XZ1320" s="97">
        <f t="shared" si="1663"/>
        <v>0</v>
      </c>
      <c r="YA1320" s="97">
        <f t="shared" ref="YA1320:YA1326" si="1857">$F1320*YA$1349</f>
        <v>3945.16</v>
      </c>
      <c r="YB1320" s="97">
        <f t="shared" ref="YB1320:YB1326" si="1858">$G1320*YB$1349</f>
        <v>4078.12</v>
      </c>
      <c r="YC1320" s="97">
        <f t="shared" ref="YC1320:YC1326" si="1859">$H1320*YC$1349</f>
        <v>4232.91</v>
      </c>
      <c r="YD1320" s="97">
        <f t="shared" ref="YD1320:YD1326" si="1860">$I1320*YD$1349</f>
        <v>1253.5899999999999</v>
      </c>
      <c r="YE1320" s="97">
        <f t="shared" ref="YE1320:YE1326" si="1861">$J1320*YE$1349</f>
        <v>1484.12</v>
      </c>
      <c r="YF1320" s="97">
        <f t="shared" ref="YF1320:YF1326" si="1862">$K1320*YF$1349</f>
        <v>1493.98</v>
      </c>
      <c r="YG1320" s="97">
        <f t="shared" si="1664"/>
        <v>0</v>
      </c>
      <c r="YH1320" s="97">
        <f t="shared" si="1664"/>
        <v>0</v>
      </c>
      <c r="YI1320" s="97">
        <f t="shared" si="1664"/>
        <v>0</v>
      </c>
      <c r="YJ1320" s="97">
        <f t="shared" si="1665"/>
        <v>0</v>
      </c>
      <c r="YK1320" s="97">
        <f t="shared" si="1665"/>
        <v>0</v>
      </c>
      <c r="YL1320" s="97">
        <f t="shared" si="1665"/>
        <v>0</v>
      </c>
      <c r="YM1320" s="145">
        <f t="shared" si="1666"/>
        <v>0</v>
      </c>
      <c r="YN1320" s="145">
        <f t="shared" si="1666"/>
        <v>0</v>
      </c>
      <c r="YO1320" s="145">
        <f t="shared" si="1666"/>
        <v>0</v>
      </c>
      <c r="YP1320" s="97">
        <f t="shared" si="1667"/>
        <v>0</v>
      </c>
      <c r="YQ1320" s="97">
        <f t="shared" si="1668"/>
        <v>0</v>
      </c>
      <c r="YR1320" s="97">
        <f t="shared" si="1669"/>
        <v>0</v>
      </c>
      <c r="YS1320" s="97">
        <f t="shared" si="1670"/>
        <v>0</v>
      </c>
      <c r="YT1320" s="97">
        <f t="shared" si="1671"/>
        <v>0</v>
      </c>
      <c r="YU1320" s="97">
        <f t="shared" si="1672"/>
        <v>0</v>
      </c>
      <c r="YV1320" s="97">
        <f t="shared" ref="YV1320:YV1326" si="1863">$F1320*YV$1349</f>
        <v>4158.03</v>
      </c>
      <c r="YW1320" s="97">
        <f t="shared" ref="YW1320:YW1326" si="1864">$G1320*YW$1349</f>
        <v>4292.42</v>
      </c>
      <c r="YX1320" s="97">
        <f t="shared" ref="YX1320:YX1326" si="1865">$H1320*YX$1349</f>
        <v>4453.2</v>
      </c>
      <c r="YY1320" s="97">
        <f t="shared" ref="YY1320:YY1326" si="1866">$I1320*YY$1349</f>
        <v>403.25</v>
      </c>
      <c r="YZ1320" s="97">
        <f t="shared" ref="YZ1320:YZ1326" si="1867">$J1320*YZ$1349</f>
        <v>423.79</v>
      </c>
      <c r="ZA1320" s="97">
        <f t="shared" ref="ZA1320:ZA1326" si="1868">$K1320*ZA$1349</f>
        <v>424.61</v>
      </c>
      <c r="ZB1320" s="97">
        <f t="shared" si="1673"/>
        <v>0</v>
      </c>
      <c r="ZC1320" s="97">
        <f t="shared" si="1673"/>
        <v>0</v>
      </c>
      <c r="ZD1320" s="97">
        <f t="shared" si="1673"/>
        <v>0</v>
      </c>
      <c r="ZE1320" s="97">
        <f t="shared" si="1674"/>
        <v>0</v>
      </c>
      <c r="ZF1320" s="97">
        <f t="shared" si="1674"/>
        <v>0</v>
      </c>
      <c r="ZG1320" s="97">
        <f t="shared" si="1674"/>
        <v>0</v>
      </c>
    </row>
    <row r="1321" spans="1:683" ht="36" customHeight="1" x14ac:dyDescent="0.25">
      <c r="A1321" s="12" t="s">
        <v>625</v>
      </c>
      <c r="B1321" s="174" t="s">
        <v>978</v>
      </c>
      <c r="C1321" s="5"/>
      <c r="D1321" s="340"/>
      <c r="E1321" s="163"/>
      <c r="F1321" s="110">
        <f t="shared" si="1416"/>
        <v>252952</v>
      </c>
      <c r="G1321" s="110">
        <f t="shared" si="1416"/>
        <v>258285</v>
      </c>
      <c r="H1321" s="110">
        <f t="shared" si="1416"/>
        <v>262944</v>
      </c>
      <c r="I1321" s="97">
        <f t="shared" si="1417"/>
        <v>12653.14</v>
      </c>
      <c r="J1321" s="97">
        <f t="shared" si="1417"/>
        <v>13015.26</v>
      </c>
      <c r="K1321" s="97">
        <f t="shared" si="1417"/>
        <v>13278.62</v>
      </c>
      <c r="L1321" s="102"/>
      <c r="M1321" s="102"/>
      <c r="N1321" s="102"/>
      <c r="O1321" s="97">
        <f t="shared" si="1418"/>
        <v>0</v>
      </c>
      <c r="P1321" s="97">
        <f t="shared" si="1419"/>
        <v>0</v>
      </c>
      <c r="Q1321" s="97">
        <f t="shared" si="1420"/>
        <v>0</v>
      </c>
      <c r="R1321" s="97">
        <f t="shared" si="1421"/>
        <v>0</v>
      </c>
      <c r="S1321" s="97">
        <f t="shared" si="1422"/>
        <v>0</v>
      </c>
      <c r="T1321" s="97">
        <f t="shared" si="1423"/>
        <v>0</v>
      </c>
      <c r="U1321" s="97">
        <f t="shared" si="1675"/>
        <v>109150.14</v>
      </c>
      <c r="V1321" s="97">
        <f t="shared" si="1676"/>
        <v>115085.3</v>
      </c>
      <c r="W1321" s="97">
        <f t="shared" si="1677"/>
        <v>121581.48</v>
      </c>
      <c r="X1321" s="97">
        <f t="shared" si="1678"/>
        <v>9921.7199999999993</v>
      </c>
      <c r="Y1321" s="97">
        <f t="shared" si="1679"/>
        <v>10310.790000000001</v>
      </c>
      <c r="Z1321" s="97">
        <f t="shared" si="1680"/>
        <v>10489.71</v>
      </c>
      <c r="AA1321" s="97">
        <f t="shared" si="1424"/>
        <v>0</v>
      </c>
      <c r="AB1321" s="97">
        <f t="shared" si="1424"/>
        <v>0</v>
      </c>
      <c r="AC1321" s="97">
        <f t="shared" si="1424"/>
        <v>0</v>
      </c>
      <c r="AD1321" s="97">
        <f t="shared" si="1425"/>
        <v>0</v>
      </c>
      <c r="AE1321" s="97">
        <f t="shared" si="1425"/>
        <v>0</v>
      </c>
      <c r="AF1321" s="97">
        <f t="shared" si="1425"/>
        <v>0</v>
      </c>
      <c r="AG1321" s="102"/>
      <c r="AH1321" s="102"/>
      <c r="AI1321" s="102"/>
      <c r="AJ1321" s="97">
        <f t="shared" si="1426"/>
        <v>0</v>
      </c>
      <c r="AK1321" s="97">
        <f t="shared" si="1427"/>
        <v>0</v>
      </c>
      <c r="AL1321" s="97">
        <f t="shared" si="1428"/>
        <v>0</v>
      </c>
      <c r="AM1321" s="97">
        <f t="shared" si="1429"/>
        <v>0</v>
      </c>
      <c r="AN1321" s="97">
        <f t="shared" si="1430"/>
        <v>0</v>
      </c>
      <c r="AO1321" s="97">
        <f t="shared" si="1431"/>
        <v>0</v>
      </c>
      <c r="AP1321" s="97">
        <f t="shared" si="1683"/>
        <v>100413.1</v>
      </c>
      <c r="AQ1321" s="97">
        <f t="shared" si="1684"/>
        <v>105856.27</v>
      </c>
      <c r="AR1321" s="97">
        <f t="shared" si="1685"/>
        <v>111813.73</v>
      </c>
      <c r="AS1321" s="97">
        <f t="shared" si="1686"/>
        <v>7911.5</v>
      </c>
      <c r="AT1321" s="97">
        <f t="shared" si="1687"/>
        <v>8346.44</v>
      </c>
      <c r="AU1321" s="97">
        <f t="shared" si="1688"/>
        <v>8557.86</v>
      </c>
      <c r="AV1321" s="97">
        <f t="shared" si="1432"/>
        <v>0</v>
      </c>
      <c r="AW1321" s="97">
        <f t="shared" si="1432"/>
        <v>0</v>
      </c>
      <c r="AX1321" s="97">
        <f t="shared" si="1432"/>
        <v>0</v>
      </c>
      <c r="AY1321" s="97">
        <f t="shared" si="1433"/>
        <v>0</v>
      </c>
      <c r="AZ1321" s="97">
        <f t="shared" si="1433"/>
        <v>0</v>
      </c>
      <c r="BA1321" s="97">
        <f t="shared" si="1433"/>
        <v>0</v>
      </c>
      <c r="BB1321" s="102"/>
      <c r="BC1321" s="102"/>
      <c r="BD1321" s="102"/>
      <c r="BE1321" s="97">
        <f t="shared" si="1434"/>
        <v>0</v>
      </c>
      <c r="BF1321" s="97">
        <f t="shared" si="1435"/>
        <v>0</v>
      </c>
      <c r="BG1321" s="97">
        <f t="shared" si="1436"/>
        <v>0</v>
      </c>
      <c r="BH1321" s="97">
        <f t="shared" si="1437"/>
        <v>0</v>
      </c>
      <c r="BI1321" s="97">
        <f t="shared" si="1438"/>
        <v>0</v>
      </c>
      <c r="BJ1321" s="97">
        <f t="shared" si="1439"/>
        <v>0</v>
      </c>
      <c r="BK1321" s="97">
        <f t="shared" si="1689"/>
        <v>94722.46</v>
      </c>
      <c r="BL1321" s="97">
        <f t="shared" si="1690"/>
        <v>99658.59</v>
      </c>
      <c r="BM1321" s="97">
        <f t="shared" si="1691"/>
        <v>105153.07</v>
      </c>
      <c r="BN1321" s="97">
        <f t="shared" si="1692"/>
        <v>8451.2099999999991</v>
      </c>
      <c r="BO1321" s="97">
        <f t="shared" si="1693"/>
        <v>8915.8799999999992</v>
      </c>
      <c r="BP1321" s="97">
        <f t="shared" si="1694"/>
        <v>9124.7800000000007</v>
      </c>
      <c r="BQ1321" s="97">
        <f t="shared" si="1440"/>
        <v>0</v>
      </c>
      <c r="BR1321" s="97">
        <f t="shared" si="1440"/>
        <v>0</v>
      </c>
      <c r="BS1321" s="97">
        <f t="shared" si="1440"/>
        <v>0</v>
      </c>
      <c r="BT1321" s="97">
        <f t="shared" si="1441"/>
        <v>0</v>
      </c>
      <c r="BU1321" s="97">
        <f t="shared" si="1441"/>
        <v>0</v>
      </c>
      <c r="BV1321" s="97">
        <f t="shared" si="1441"/>
        <v>0</v>
      </c>
      <c r="BW1321" s="102">
        <v>25</v>
      </c>
      <c r="BX1321" s="102">
        <v>25</v>
      </c>
      <c r="BY1321" s="102">
        <v>25</v>
      </c>
      <c r="BZ1321" s="97">
        <f t="shared" si="1442"/>
        <v>6323800</v>
      </c>
      <c r="CA1321" s="97">
        <f t="shared" si="1443"/>
        <v>6457125</v>
      </c>
      <c r="CB1321" s="97">
        <f t="shared" si="1444"/>
        <v>6573600</v>
      </c>
      <c r="CC1321" s="97">
        <f t="shared" si="1445"/>
        <v>316328.5</v>
      </c>
      <c r="CD1321" s="97">
        <f t="shared" si="1446"/>
        <v>325381.5</v>
      </c>
      <c r="CE1321" s="97">
        <f t="shared" si="1447"/>
        <v>331965.5</v>
      </c>
      <c r="CF1321" s="97">
        <f t="shared" si="1695"/>
        <v>97822.55</v>
      </c>
      <c r="CG1321" s="97">
        <f t="shared" si="1696"/>
        <v>103202.78</v>
      </c>
      <c r="CH1321" s="97">
        <f t="shared" si="1697"/>
        <v>109017.68</v>
      </c>
      <c r="CI1321" s="97">
        <f t="shared" si="1698"/>
        <v>13028.58</v>
      </c>
      <c r="CJ1321" s="97">
        <f t="shared" si="1699"/>
        <v>13471.02</v>
      </c>
      <c r="CK1321" s="97">
        <f t="shared" si="1700"/>
        <v>13677.16</v>
      </c>
      <c r="CL1321" s="97">
        <f t="shared" si="1448"/>
        <v>2445563.75</v>
      </c>
      <c r="CM1321" s="97">
        <f t="shared" si="1448"/>
        <v>2580069.5</v>
      </c>
      <c r="CN1321" s="97">
        <f t="shared" si="1448"/>
        <v>2725442</v>
      </c>
      <c r="CO1321" s="97">
        <f t="shared" si="1449"/>
        <v>325714.5</v>
      </c>
      <c r="CP1321" s="97">
        <f t="shared" si="1449"/>
        <v>336775.5</v>
      </c>
      <c r="CQ1321" s="97">
        <f t="shared" si="1449"/>
        <v>341929</v>
      </c>
      <c r="CR1321" s="102"/>
      <c r="CS1321" s="102"/>
      <c r="CT1321" s="102"/>
      <c r="CU1321" s="97">
        <f t="shared" si="1450"/>
        <v>0</v>
      </c>
      <c r="CV1321" s="97">
        <f t="shared" si="1451"/>
        <v>0</v>
      </c>
      <c r="CW1321" s="97">
        <f t="shared" si="1452"/>
        <v>0</v>
      </c>
      <c r="CX1321" s="97">
        <f t="shared" si="1453"/>
        <v>0</v>
      </c>
      <c r="CY1321" s="97">
        <f t="shared" si="1454"/>
        <v>0</v>
      </c>
      <c r="CZ1321" s="97">
        <f t="shared" si="1455"/>
        <v>0</v>
      </c>
      <c r="DA1321" s="97">
        <f t="shared" si="1701"/>
        <v>98575.82</v>
      </c>
      <c r="DB1321" s="97">
        <f t="shared" si="1702"/>
        <v>103908.12</v>
      </c>
      <c r="DC1321" s="97">
        <f t="shared" si="1703"/>
        <v>109756.31</v>
      </c>
      <c r="DD1321" s="97">
        <f t="shared" si="1704"/>
        <v>6307.62</v>
      </c>
      <c r="DE1321" s="97">
        <f t="shared" si="1705"/>
        <v>6553.79</v>
      </c>
      <c r="DF1321" s="97">
        <f t="shared" si="1706"/>
        <v>6674.64</v>
      </c>
      <c r="DG1321" s="97">
        <f t="shared" si="1456"/>
        <v>0</v>
      </c>
      <c r="DH1321" s="97">
        <f t="shared" si="1456"/>
        <v>0</v>
      </c>
      <c r="DI1321" s="97">
        <f t="shared" si="1456"/>
        <v>0</v>
      </c>
      <c r="DJ1321" s="97">
        <f t="shared" si="1457"/>
        <v>0</v>
      </c>
      <c r="DK1321" s="97">
        <f t="shared" si="1457"/>
        <v>0</v>
      </c>
      <c r="DL1321" s="97">
        <f t="shared" si="1457"/>
        <v>0</v>
      </c>
      <c r="DM1321" s="102"/>
      <c r="DN1321" s="102"/>
      <c r="DO1321" s="102"/>
      <c r="DP1321" s="97">
        <f t="shared" si="1458"/>
        <v>0</v>
      </c>
      <c r="DQ1321" s="97">
        <f t="shared" si="1459"/>
        <v>0</v>
      </c>
      <c r="DR1321" s="97">
        <f t="shared" si="1460"/>
        <v>0</v>
      </c>
      <c r="DS1321" s="97">
        <f t="shared" si="1461"/>
        <v>0</v>
      </c>
      <c r="DT1321" s="97">
        <f t="shared" si="1462"/>
        <v>0</v>
      </c>
      <c r="DU1321" s="97">
        <f t="shared" si="1463"/>
        <v>0</v>
      </c>
      <c r="DV1321" s="97">
        <f t="shared" si="1707"/>
        <v>107036.15</v>
      </c>
      <c r="DW1321" s="97">
        <f t="shared" si="1708"/>
        <v>113001.32</v>
      </c>
      <c r="DX1321" s="97">
        <f t="shared" si="1709"/>
        <v>119418.93</v>
      </c>
      <c r="DY1321" s="97">
        <f t="shared" si="1710"/>
        <v>13211.6</v>
      </c>
      <c r="DZ1321" s="97">
        <f t="shared" si="1711"/>
        <v>13201.92</v>
      </c>
      <c r="EA1321" s="97">
        <f t="shared" si="1712"/>
        <v>13432.24</v>
      </c>
      <c r="EB1321" s="97">
        <f t="shared" si="1464"/>
        <v>0</v>
      </c>
      <c r="EC1321" s="97">
        <f t="shared" si="1464"/>
        <v>0</v>
      </c>
      <c r="ED1321" s="97">
        <f t="shared" si="1464"/>
        <v>0</v>
      </c>
      <c r="EE1321" s="97">
        <f t="shared" si="1465"/>
        <v>0</v>
      </c>
      <c r="EF1321" s="97">
        <f t="shared" si="1465"/>
        <v>0</v>
      </c>
      <c r="EG1321" s="97">
        <f t="shared" si="1465"/>
        <v>0</v>
      </c>
      <c r="EH1321" s="102"/>
      <c r="EI1321" s="102"/>
      <c r="EJ1321" s="102"/>
      <c r="EK1321" s="97">
        <f t="shared" si="1466"/>
        <v>0</v>
      </c>
      <c r="EL1321" s="97">
        <f t="shared" si="1467"/>
        <v>0</v>
      </c>
      <c r="EM1321" s="97">
        <f t="shared" si="1468"/>
        <v>0</v>
      </c>
      <c r="EN1321" s="97">
        <f t="shared" si="1469"/>
        <v>0</v>
      </c>
      <c r="EO1321" s="97">
        <f t="shared" si="1470"/>
        <v>0</v>
      </c>
      <c r="EP1321" s="97">
        <f t="shared" si="1471"/>
        <v>0</v>
      </c>
      <c r="EQ1321" s="97">
        <f t="shared" si="1713"/>
        <v>105801.1</v>
      </c>
      <c r="ER1321" s="97">
        <f t="shared" si="1714"/>
        <v>111352.56</v>
      </c>
      <c r="ES1321" s="97">
        <f t="shared" si="1715"/>
        <v>117565.12</v>
      </c>
      <c r="ET1321" s="97">
        <f t="shared" si="1716"/>
        <v>11091.74</v>
      </c>
      <c r="EU1321" s="97">
        <f t="shared" si="1717"/>
        <v>11682.29</v>
      </c>
      <c r="EV1321" s="97">
        <f t="shared" si="1718"/>
        <v>11968.51</v>
      </c>
      <c r="EW1321" s="97">
        <f t="shared" si="1472"/>
        <v>0</v>
      </c>
      <c r="EX1321" s="97">
        <f t="shared" si="1472"/>
        <v>0</v>
      </c>
      <c r="EY1321" s="97">
        <f t="shared" si="1472"/>
        <v>0</v>
      </c>
      <c r="EZ1321" s="97">
        <f t="shared" si="1473"/>
        <v>0</v>
      </c>
      <c r="FA1321" s="97">
        <f t="shared" si="1473"/>
        <v>0</v>
      </c>
      <c r="FB1321" s="97">
        <f t="shared" si="1473"/>
        <v>0</v>
      </c>
      <c r="FC1321" s="102"/>
      <c r="FD1321" s="102"/>
      <c r="FE1321" s="102"/>
      <c r="FF1321" s="97">
        <f t="shared" si="1474"/>
        <v>0</v>
      </c>
      <c r="FG1321" s="97">
        <f t="shared" si="1475"/>
        <v>0</v>
      </c>
      <c r="FH1321" s="97">
        <f t="shared" si="1476"/>
        <v>0</v>
      </c>
      <c r="FI1321" s="97">
        <f t="shared" si="1477"/>
        <v>0</v>
      </c>
      <c r="FJ1321" s="97">
        <f t="shared" si="1478"/>
        <v>0</v>
      </c>
      <c r="FK1321" s="97">
        <f t="shared" si="1479"/>
        <v>0</v>
      </c>
      <c r="FL1321" s="97">
        <f t="shared" si="1719"/>
        <v>102790.81</v>
      </c>
      <c r="FM1321" s="97">
        <f t="shared" si="1720"/>
        <v>108403.24</v>
      </c>
      <c r="FN1321" s="97">
        <f t="shared" si="1721"/>
        <v>114518.92</v>
      </c>
      <c r="FO1321" s="97">
        <f t="shared" si="1722"/>
        <v>11929.68</v>
      </c>
      <c r="FP1321" s="97">
        <f t="shared" si="1723"/>
        <v>12643.16</v>
      </c>
      <c r="FQ1321" s="97">
        <f t="shared" si="1724"/>
        <v>12657.42</v>
      </c>
      <c r="FR1321" s="97">
        <f t="shared" si="1480"/>
        <v>0</v>
      </c>
      <c r="FS1321" s="97">
        <f t="shared" si="1480"/>
        <v>0</v>
      </c>
      <c r="FT1321" s="97">
        <f t="shared" si="1480"/>
        <v>0</v>
      </c>
      <c r="FU1321" s="97">
        <f t="shared" si="1481"/>
        <v>0</v>
      </c>
      <c r="FV1321" s="97">
        <f t="shared" si="1481"/>
        <v>0</v>
      </c>
      <c r="FW1321" s="97">
        <f t="shared" si="1481"/>
        <v>0</v>
      </c>
      <c r="FX1321" s="102"/>
      <c r="FY1321" s="102"/>
      <c r="FZ1321" s="102"/>
      <c r="GA1321" s="97">
        <f t="shared" si="1482"/>
        <v>0</v>
      </c>
      <c r="GB1321" s="97">
        <f t="shared" si="1483"/>
        <v>0</v>
      </c>
      <c r="GC1321" s="97">
        <f t="shared" si="1484"/>
        <v>0</v>
      </c>
      <c r="GD1321" s="97">
        <f t="shared" si="1485"/>
        <v>0</v>
      </c>
      <c r="GE1321" s="97">
        <f t="shared" si="1486"/>
        <v>0</v>
      </c>
      <c r="GF1321" s="97">
        <f t="shared" si="1487"/>
        <v>0</v>
      </c>
      <c r="GG1321" s="97">
        <f t="shared" si="1725"/>
        <v>102629.27</v>
      </c>
      <c r="GH1321" s="97">
        <f t="shared" si="1726"/>
        <v>108114.88</v>
      </c>
      <c r="GI1321" s="97">
        <f t="shared" si="1727"/>
        <v>114157.11</v>
      </c>
      <c r="GJ1321" s="97">
        <f t="shared" si="1728"/>
        <v>8945.0400000000009</v>
      </c>
      <c r="GK1321" s="97">
        <f t="shared" si="1729"/>
        <v>10217.92</v>
      </c>
      <c r="GL1321" s="97">
        <f t="shared" si="1730"/>
        <v>11080.3</v>
      </c>
      <c r="GM1321" s="97">
        <f t="shared" si="1488"/>
        <v>0</v>
      </c>
      <c r="GN1321" s="97">
        <f t="shared" si="1488"/>
        <v>0</v>
      </c>
      <c r="GO1321" s="97">
        <f t="shared" si="1488"/>
        <v>0</v>
      </c>
      <c r="GP1321" s="97">
        <f t="shared" si="1489"/>
        <v>0</v>
      </c>
      <c r="GQ1321" s="97">
        <f t="shared" si="1489"/>
        <v>0</v>
      </c>
      <c r="GR1321" s="97">
        <f t="shared" si="1489"/>
        <v>0</v>
      </c>
      <c r="GS1321" s="102">
        <v>8</v>
      </c>
      <c r="GT1321" s="102">
        <v>8</v>
      </c>
      <c r="GU1321" s="102">
        <v>8</v>
      </c>
      <c r="GV1321" s="97">
        <f t="shared" si="1490"/>
        <v>2023616</v>
      </c>
      <c r="GW1321" s="97">
        <f t="shared" si="1491"/>
        <v>2066280</v>
      </c>
      <c r="GX1321" s="97">
        <f t="shared" si="1492"/>
        <v>2103552</v>
      </c>
      <c r="GY1321" s="97">
        <f t="shared" si="1493"/>
        <v>101225.12</v>
      </c>
      <c r="GZ1321" s="97">
        <f t="shared" si="1494"/>
        <v>104122.08</v>
      </c>
      <c r="HA1321" s="97">
        <f t="shared" si="1495"/>
        <v>106228.96</v>
      </c>
      <c r="HB1321" s="97">
        <f t="shared" si="1731"/>
        <v>107210.23</v>
      </c>
      <c r="HC1321" s="97">
        <f t="shared" si="1732"/>
        <v>112895.2</v>
      </c>
      <c r="HD1321" s="97">
        <f t="shared" si="1733"/>
        <v>119201.36</v>
      </c>
      <c r="HE1321" s="97">
        <f t="shared" si="1734"/>
        <v>10407.69</v>
      </c>
      <c r="HF1321" s="97">
        <f t="shared" si="1735"/>
        <v>10929.25</v>
      </c>
      <c r="HG1321" s="97">
        <f t="shared" si="1736"/>
        <v>11170.18</v>
      </c>
      <c r="HH1321" s="97">
        <f t="shared" si="1496"/>
        <v>857681.84</v>
      </c>
      <c r="HI1321" s="97">
        <f t="shared" si="1496"/>
        <v>903161.6</v>
      </c>
      <c r="HJ1321" s="97">
        <f t="shared" si="1496"/>
        <v>953610.88</v>
      </c>
      <c r="HK1321" s="97">
        <f t="shared" si="1497"/>
        <v>83261.52</v>
      </c>
      <c r="HL1321" s="97">
        <f t="shared" si="1497"/>
        <v>87434</v>
      </c>
      <c r="HM1321" s="97">
        <f t="shared" si="1497"/>
        <v>89361.44</v>
      </c>
      <c r="HN1321" s="102"/>
      <c r="HO1321" s="102"/>
      <c r="HP1321" s="102"/>
      <c r="HQ1321" s="97">
        <f t="shared" si="1498"/>
        <v>0</v>
      </c>
      <c r="HR1321" s="97">
        <f t="shared" si="1499"/>
        <v>0</v>
      </c>
      <c r="HS1321" s="97">
        <f t="shared" si="1500"/>
        <v>0</v>
      </c>
      <c r="HT1321" s="97">
        <f t="shared" si="1501"/>
        <v>0</v>
      </c>
      <c r="HU1321" s="97">
        <f t="shared" si="1502"/>
        <v>0</v>
      </c>
      <c r="HV1321" s="97">
        <f t="shared" si="1503"/>
        <v>0</v>
      </c>
      <c r="HW1321" s="97">
        <f t="shared" si="1737"/>
        <v>105509.78</v>
      </c>
      <c r="HX1321" s="97">
        <f t="shared" si="1738"/>
        <v>111268.88</v>
      </c>
      <c r="HY1321" s="97">
        <f t="shared" si="1739"/>
        <v>117505.5</v>
      </c>
      <c r="HZ1321" s="97">
        <f t="shared" si="1740"/>
        <v>9928.26</v>
      </c>
      <c r="IA1321" s="97">
        <f t="shared" si="1741"/>
        <v>10419.530000000001</v>
      </c>
      <c r="IB1321" s="97">
        <f t="shared" si="1742"/>
        <v>10466.879999999999</v>
      </c>
      <c r="IC1321" s="97">
        <f t="shared" si="1504"/>
        <v>0</v>
      </c>
      <c r="ID1321" s="97">
        <f t="shared" si="1504"/>
        <v>0</v>
      </c>
      <c r="IE1321" s="97">
        <f t="shared" si="1504"/>
        <v>0</v>
      </c>
      <c r="IF1321" s="97">
        <f t="shared" si="1505"/>
        <v>0</v>
      </c>
      <c r="IG1321" s="97">
        <f t="shared" si="1505"/>
        <v>0</v>
      </c>
      <c r="IH1321" s="97">
        <f t="shared" si="1505"/>
        <v>0</v>
      </c>
      <c r="II1321" s="102"/>
      <c r="IJ1321" s="102"/>
      <c r="IK1321" s="102"/>
      <c r="IL1321" s="97">
        <f t="shared" si="1506"/>
        <v>0</v>
      </c>
      <c r="IM1321" s="97">
        <f t="shared" si="1507"/>
        <v>0</v>
      </c>
      <c r="IN1321" s="97">
        <f t="shared" si="1508"/>
        <v>0</v>
      </c>
      <c r="IO1321" s="97">
        <f t="shared" si="1509"/>
        <v>0</v>
      </c>
      <c r="IP1321" s="97">
        <f t="shared" si="1510"/>
        <v>0</v>
      </c>
      <c r="IQ1321" s="97">
        <f t="shared" si="1511"/>
        <v>0</v>
      </c>
      <c r="IR1321" s="97">
        <f t="shared" si="1743"/>
        <v>143327.99</v>
      </c>
      <c r="IS1321" s="97">
        <f t="shared" si="1744"/>
        <v>150759.04999999999</v>
      </c>
      <c r="IT1321" s="97">
        <f t="shared" si="1745"/>
        <v>159151.35999999999</v>
      </c>
      <c r="IU1321" s="97">
        <f t="shared" si="1746"/>
        <v>15009.6</v>
      </c>
      <c r="IV1321" s="97">
        <f t="shared" si="1747"/>
        <v>15751.32</v>
      </c>
      <c r="IW1321" s="97">
        <f t="shared" si="1748"/>
        <v>15711.76</v>
      </c>
      <c r="IX1321" s="97">
        <f t="shared" si="1512"/>
        <v>0</v>
      </c>
      <c r="IY1321" s="97">
        <f t="shared" si="1512"/>
        <v>0</v>
      </c>
      <c r="IZ1321" s="97">
        <f t="shared" si="1512"/>
        <v>0</v>
      </c>
      <c r="JA1321" s="97">
        <f t="shared" si="1513"/>
        <v>0</v>
      </c>
      <c r="JB1321" s="97">
        <f t="shared" si="1513"/>
        <v>0</v>
      </c>
      <c r="JC1321" s="97">
        <f t="shared" si="1513"/>
        <v>0</v>
      </c>
      <c r="JD1321" s="102">
        <v>20</v>
      </c>
      <c r="JE1321" s="102">
        <v>20</v>
      </c>
      <c r="JF1321" s="102">
        <v>20</v>
      </c>
      <c r="JG1321" s="97">
        <f t="shared" si="1514"/>
        <v>5059040</v>
      </c>
      <c r="JH1321" s="97">
        <f t="shared" si="1515"/>
        <v>5165700</v>
      </c>
      <c r="JI1321" s="97">
        <f t="shared" si="1516"/>
        <v>5258880</v>
      </c>
      <c r="JJ1321" s="97">
        <f t="shared" si="1517"/>
        <v>253062.8</v>
      </c>
      <c r="JK1321" s="97">
        <f t="shared" si="1518"/>
        <v>260305.2</v>
      </c>
      <c r="JL1321" s="97">
        <f t="shared" si="1519"/>
        <v>265572.40000000002</v>
      </c>
      <c r="JM1321" s="97">
        <f t="shared" si="1749"/>
        <v>96078.5</v>
      </c>
      <c r="JN1321" s="97">
        <f t="shared" si="1750"/>
        <v>101262.01</v>
      </c>
      <c r="JO1321" s="97">
        <f t="shared" si="1751"/>
        <v>106955.76</v>
      </c>
      <c r="JP1321" s="97">
        <f t="shared" si="1752"/>
        <v>8183.17</v>
      </c>
      <c r="JQ1321" s="97">
        <f t="shared" si="1753"/>
        <v>8744.32</v>
      </c>
      <c r="JR1321" s="97">
        <f t="shared" si="1754"/>
        <v>8942.49</v>
      </c>
      <c r="JS1321" s="97">
        <f t="shared" si="1520"/>
        <v>1921570</v>
      </c>
      <c r="JT1321" s="97">
        <f t="shared" si="1520"/>
        <v>2025240.2</v>
      </c>
      <c r="JU1321" s="97">
        <f t="shared" si="1520"/>
        <v>2139115.2000000002</v>
      </c>
      <c r="JV1321" s="97">
        <f t="shared" si="1521"/>
        <v>163663.4</v>
      </c>
      <c r="JW1321" s="97">
        <f t="shared" si="1521"/>
        <v>174886.39999999999</v>
      </c>
      <c r="JX1321" s="97">
        <f t="shared" si="1521"/>
        <v>178849.8</v>
      </c>
      <c r="JY1321" s="102">
        <v>13</v>
      </c>
      <c r="JZ1321" s="102">
        <v>13</v>
      </c>
      <c r="KA1321" s="102">
        <v>13</v>
      </c>
      <c r="KB1321" s="97">
        <f t="shared" si="1522"/>
        <v>3288376</v>
      </c>
      <c r="KC1321" s="97">
        <f t="shared" si="1523"/>
        <v>3357705</v>
      </c>
      <c r="KD1321" s="97">
        <f t="shared" si="1524"/>
        <v>3418272</v>
      </c>
      <c r="KE1321" s="97">
        <f t="shared" si="1525"/>
        <v>164490.82</v>
      </c>
      <c r="KF1321" s="97">
        <f t="shared" si="1526"/>
        <v>169198.38</v>
      </c>
      <c r="KG1321" s="97">
        <f t="shared" si="1527"/>
        <v>172622.06</v>
      </c>
      <c r="KH1321" s="97">
        <f t="shared" si="1755"/>
        <v>98778.8</v>
      </c>
      <c r="KI1321" s="97">
        <f t="shared" si="1756"/>
        <v>104019.89</v>
      </c>
      <c r="KJ1321" s="97">
        <f t="shared" si="1757"/>
        <v>109843.97</v>
      </c>
      <c r="KK1321" s="97">
        <f t="shared" si="1758"/>
        <v>7671.33</v>
      </c>
      <c r="KL1321" s="97">
        <f t="shared" si="1759"/>
        <v>8104.01</v>
      </c>
      <c r="KM1321" s="97">
        <f t="shared" si="1760"/>
        <v>8228.92</v>
      </c>
      <c r="KN1321" s="97">
        <f t="shared" si="1528"/>
        <v>1284124.3999999999</v>
      </c>
      <c r="KO1321" s="97">
        <f t="shared" si="1528"/>
        <v>1352258.57</v>
      </c>
      <c r="KP1321" s="97">
        <f t="shared" si="1528"/>
        <v>1427971.61</v>
      </c>
      <c r="KQ1321" s="97">
        <f t="shared" si="1529"/>
        <v>99727.29</v>
      </c>
      <c r="KR1321" s="97">
        <f t="shared" si="1529"/>
        <v>105352.13</v>
      </c>
      <c r="KS1321" s="97">
        <f t="shared" si="1529"/>
        <v>106975.96</v>
      </c>
      <c r="KT1321" s="102">
        <v>11</v>
      </c>
      <c r="KU1321" s="102">
        <v>11</v>
      </c>
      <c r="KV1321" s="102">
        <v>11</v>
      </c>
      <c r="KW1321" s="97">
        <f t="shared" si="1530"/>
        <v>2782472</v>
      </c>
      <c r="KX1321" s="97">
        <f t="shared" si="1531"/>
        <v>2841135</v>
      </c>
      <c r="KY1321" s="97">
        <f t="shared" si="1532"/>
        <v>2892384</v>
      </c>
      <c r="KZ1321" s="97">
        <f t="shared" si="1533"/>
        <v>139184.54</v>
      </c>
      <c r="LA1321" s="97">
        <f t="shared" si="1534"/>
        <v>143167.85999999999</v>
      </c>
      <c r="LB1321" s="97">
        <f t="shared" si="1535"/>
        <v>146064.82</v>
      </c>
      <c r="LC1321" s="97">
        <f t="shared" si="1761"/>
        <v>93238.27</v>
      </c>
      <c r="LD1321" s="97">
        <f t="shared" si="1762"/>
        <v>98316.46</v>
      </c>
      <c r="LE1321" s="97">
        <f t="shared" si="1763"/>
        <v>103851.5</v>
      </c>
      <c r="LF1321" s="97">
        <f t="shared" si="1764"/>
        <v>10572.92</v>
      </c>
      <c r="LG1321" s="97">
        <f t="shared" si="1765"/>
        <v>11322.72</v>
      </c>
      <c r="LH1321" s="97">
        <f t="shared" si="1766"/>
        <v>11612.31</v>
      </c>
      <c r="LI1321" s="97">
        <f t="shared" si="1536"/>
        <v>1025620.97</v>
      </c>
      <c r="LJ1321" s="97">
        <f t="shared" si="1536"/>
        <v>1081481.06</v>
      </c>
      <c r="LK1321" s="97">
        <f t="shared" si="1536"/>
        <v>1142366.5</v>
      </c>
      <c r="LL1321" s="97">
        <f t="shared" si="1537"/>
        <v>116302.12</v>
      </c>
      <c r="LM1321" s="97">
        <f t="shared" si="1537"/>
        <v>124549.92</v>
      </c>
      <c r="LN1321" s="97">
        <f t="shared" si="1537"/>
        <v>127735.41</v>
      </c>
      <c r="LO1321" s="102">
        <v>31</v>
      </c>
      <c r="LP1321" s="102">
        <v>31</v>
      </c>
      <c r="LQ1321" s="102">
        <v>31</v>
      </c>
      <c r="LR1321" s="97">
        <f t="shared" si="1538"/>
        <v>7841512</v>
      </c>
      <c r="LS1321" s="97">
        <f t="shared" si="1539"/>
        <v>8006835</v>
      </c>
      <c r="LT1321" s="97">
        <f t="shared" si="1540"/>
        <v>8151264</v>
      </c>
      <c r="LU1321" s="97">
        <f t="shared" si="1541"/>
        <v>392247.34</v>
      </c>
      <c r="LV1321" s="97">
        <f t="shared" si="1542"/>
        <v>403473.06</v>
      </c>
      <c r="LW1321" s="97">
        <f t="shared" si="1543"/>
        <v>411637.22</v>
      </c>
      <c r="LX1321" s="97">
        <f t="shared" si="1767"/>
        <v>81447.759999999995</v>
      </c>
      <c r="LY1321" s="97">
        <f t="shared" si="1768"/>
        <v>85888.44</v>
      </c>
      <c r="LZ1321" s="97">
        <f t="shared" si="1769"/>
        <v>90714.43</v>
      </c>
      <c r="MA1321" s="97">
        <f t="shared" si="1770"/>
        <v>7848.27</v>
      </c>
      <c r="MB1321" s="97">
        <f t="shared" si="1771"/>
        <v>8272.5</v>
      </c>
      <c r="MC1321" s="97">
        <f t="shared" si="1772"/>
        <v>8414.9599999999991</v>
      </c>
      <c r="MD1321" s="97">
        <f t="shared" si="1544"/>
        <v>2524880.56</v>
      </c>
      <c r="ME1321" s="97">
        <f t="shared" si="1544"/>
        <v>2662541.64</v>
      </c>
      <c r="MF1321" s="97">
        <f t="shared" si="1544"/>
        <v>2812147.33</v>
      </c>
      <c r="MG1321" s="97">
        <f t="shared" si="1545"/>
        <v>243296.37</v>
      </c>
      <c r="MH1321" s="97">
        <f t="shared" si="1545"/>
        <v>256447.5</v>
      </c>
      <c r="MI1321" s="97">
        <f t="shared" si="1545"/>
        <v>260863.76</v>
      </c>
      <c r="MJ1321" s="102"/>
      <c r="MK1321" s="102"/>
      <c r="ML1321" s="102"/>
      <c r="MM1321" s="97">
        <f t="shared" si="1546"/>
        <v>0</v>
      </c>
      <c r="MN1321" s="97">
        <f t="shared" si="1547"/>
        <v>0</v>
      </c>
      <c r="MO1321" s="97">
        <f t="shared" si="1548"/>
        <v>0</v>
      </c>
      <c r="MP1321" s="97">
        <f t="shared" si="1549"/>
        <v>0</v>
      </c>
      <c r="MQ1321" s="97">
        <f t="shared" si="1550"/>
        <v>0</v>
      </c>
      <c r="MR1321" s="97">
        <f t="shared" si="1551"/>
        <v>0</v>
      </c>
      <c r="MS1321" s="97">
        <f t="shared" si="1773"/>
        <v>94226.04</v>
      </c>
      <c r="MT1321" s="97">
        <f t="shared" si="1774"/>
        <v>99351.37</v>
      </c>
      <c r="MU1321" s="97">
        <f t="shared" si="1775"/>
        <v>104943.01</v>
      </c>
      <c r="MV1321" s="97">
        <f t="shared" si="1776"/>
        <v>9311.02</v>
      </c>
      <c r="MW1321" s="97">
        <f t="shared" si="1777"/>
        <v>9682.0499999999993</v>
      </c>
      <c r="MX1321" s="97">
        <f t="shared" si="1778"/>
        <v>9938.85</v>
      </c>
      <c r="MY1321" s="97">
        <f t="shared" si="1552"/>
        <v>0</v>
      </c>
      <c r="MZ1321" s="97">
        <f t="shared" si="1552"/>
        <v>0</v>
      </c>
      <c r="NA1321" s="97">
        <f t="shared" si="1552"/>
        <v>0</v>
      </c>
      <c r="NB1321" s="97">
        <f t="shared" si="1553"/>
        <v>0</v>
      </c>
      <c r="NC1321" s="97">
        <f t="shared" si="1553"/>
        <v>0</v>
      </c>
      <c r="ND1321" s="97">
        <f t="shared" si="1553"/>
        <v>0</v>
      </c>
      <c r="NE1321" s="102">
        <v>15</v>
      </c>
      <c r="NF1321" s="102">
        <v>15</v>
      </c>
      <c r="NG1321" s="102">
        <v>15</v>
      </c>
      <c r="NH1321" s="97">
        <f t="shared" si="1554"/>
        <v>3794280</v>
      </c>
      <c r="NI1321" s="97">
        <f t="shared" si="1555"/>
        <v>3874275</v>
      </c>
      <c r="NJ1321" s="97">
        <f t="shared" si="1556"/>
        <v>3944160</v>
      </c>
      <c r="NK1321" s="97">
        <f t="shared" si="1557"/>
        <v>189797.1</v>
      </c>
      <c r="NL1321" s="97">
        <f t="shared" si="1558"/>
        <v>195228.9</v>
      </c>
      <c r="NM1321" s="97">
        <f t="shared" si="1559"/>
        <v>199179.3</v>
      </c>
      <c r="NN1321" s="97">
        <f t="shared" si="1779"/>
        <v>96202.73</v>
      </c>
      <c r="NO1321" s="97">
        <f t="shared" si="1780"/>
        <v>101304.45</v>
      </c>
      <c r="NP1321" s="97">
        <f t="shared" si="1781"/>
        <v>106945.77</v>
      </c>
      <c r="NQ1321" s="97">
        <f t="shared" si="1782"/>
        <v>13636.62</v>
      </c>
      <c r="NR1321" s="97">
        <f t="shared" si="1783"/>
        <v>14651.23</v>
      </c>
      <c r="NS1321" s="97">
        <f t="shared" si="1784"/>
        <v>14534.79</v>
      </c>
      <c r="NT1321" s="97">
        <f t="shared" si="1560"/>
        <v>1443040.95</v>
      </c>
      <c r="NU1321" s="97">
        <f t="shared" si="1560"/>
        <v>1519566.75</v>
      </c>
      <c r="NV1321" s="97">
        <f t="shared" si="1560"/>
        <v>1604186.55</v>
      </c>
      <c r="NW1321" s="97">
        <f t="shared" si="1561"/>
        <v>204549.3</v>
      </c>
      <c r="NX1321" s="97">
        <f t="shared" si="1561"/>
        <v>219768.45</v>
      </c>
      <c r="NY1321" s="97">
        <f t="shared" si="1561"/>
        <v>218021.85</v>
      </c>
      <c r="NZ1321" s="102">
        <v>32</v>
      </c>
      <c r="OA1321" s="102">
        <v>32</v>
      </c>
      <c r="OB1321" s="102">
        <v>32</v>
      </c>
      <c r="OC1321" s="97">
        <f t="shared" si="1562"/>
        <v>8094464</v>
      </c>
      <c r="OD1321" s="97">
        <f t="shared" si="1563"/>
        <v>8265120</v>
      </c>
      <c r="OE1321" s="97">
        <f t="shared" si="1564"/>
        <v>8414208</v>
      </c>
      <c r="OF1321" s="97">
        <f t="shared" si="1565"/>
        <v>404900.48</v>
      </c>
      <c r="OG1321" s="97">
        <f t="shared" si="1566"/>
        <v>416488.32</v>
      </c>
      <c r="OH1321" s="97">
        <f t="shared" si="1567"/>
        <v>424915.84</v>
      </c>
      <c r="OI1321" s="97">
        <f t="shared" si="1785"/>
        <v>126137.88</v>
      </c>
      <c r="OJ1321" s="97">
        <f t="shared" si="1786"/>
        <v>132619.09</v>
      </c>
      <c r="OK1321" s="97">
        <f t="shared" si="1787"/>
        <v>139963.47</v>
      </c>
      <c r="OL1321" s="97">
        <f t="shared" si="1788"/>
        <v>13677.35</v>
      </c>
      <c r="OM1321" s="97">
        <f t="shared" si="1789"/>
        <v>14618.13</v>
      </c>
      <c r="ON1321" s="97">
        <f t="shared" si="1790"/>
        <v>14835.94</v>
      </c>
      <c r="OO1321" s="97">
        <f t="shared" si="1568"/>
        <v>4036412.16</v>
      </c>
      <c r="OP1321" s="97">
        <f t="shared" si="1568"/>
        <v>4243810.88</v>
      </c>
      <c r="OQ1321" s="97">
        <f t="shared" si="1568"/>
        <v>4478831.04</v>
      </c>
      <c r="OR1321" s="97">
        <f t="shared" si="1569"/>
        <v>437675.2</v>
      </c>
      <c r="OS1321" s="97">
        <f t="shared" si="1569"/>
        <v>467780.16</v>
      </c>
      <c r="OT1321" s="97">
        <f t="shared" si="1569"/>
        <v>474750.08</v>
      </c>
      <c r="OU1321" s="102"/>
      <c r="OV1321" s="102"/>
      <c r="OW1321" s="102"/>
      <c r="OX1321" s="97">
        <f t="shared" si="1570"/>
        <v>0</v>
      </c>
      <c r="OY1321" s="97">
        <f t="shared" si="1571"/>
        <v>0</v>
      </c>
      <c r="OZ1321" s="97">
        <f t="shared" si="1572"/>
        <v>0</v>
      </c>
      <c r="PA1321" s="97">
        <f t="shared" si="1573"/>
        <v>0</v>
      </c>
      <c r="PB1321" s="97">
        <f t="shared" si="1574"/>
        <v>0</v>
      </c>
      <c r="PC1321" s="97">
        <f t="shared" si="1575"/>
        <v>0</v>
      </c>
      <c r="PD1321" s="97">
        <f t="shared" si="1791"/>
        <v>106078.03</v>
      </c>
      <c r="PE1321" s="97">
        <f t="shared" si="1792"/>
        <v>111798.71</v>
      </c>
      <c r="PF1321" s="97">
        <f t="shared" si="1793"/>
        <v>118075.14</v>
      </c>
      <c r="PG1321" s="97">
        <f t="shared" si="1794"/>
        <v>10931.1</v>
      </c>
      <c r="PH1321" s="97">
        <f t="shared" si="1795"/>
        <v>11486.94</v>
      </c>
      <c r="PI1321" s="97">
        <f t="shared" si="1796"/>
        <v>11814.62</v>
      </c>
      <c r="PJ1321" s="97">
        <f t="shared" si="1576"/>
        <v>0</v>
      </c>
      <c r="PK1321" s="97">
        <f t="shared" si="1576"/>
        <v>0</v>
      </c>
      <c r="PL1321" s="97">
        <f t="shared" si="1576"/>
        <v>0</v>
      </c>
      <c r="PM1321" s="97">
        <f t="shared" si="1577"/>
        <v>0</v>
      </c>
      <c r="PN1321" s="97">
        <f t="shared" si="1577"/>
        <v>0</v>
      </c>
      <c r="PO1321" s="97">
        <f t="shared" si="1577"/>
        <v>0</v>
      </c>
      <c r="PP1321" s="102"/>
      <c r="PQ1321" s="102"/>
      <c r="PR1321" s="102"/>
      <c r="PS1321" s="97">
        <f t="shared" si="1578"/>
        <v>0</v>
      </c>
      <c r="PT1321" s="97">
        <f t="shared" si="1579"/>
        <v>0</v>
      </c>
      <c r="PU1321" s="97">
        <f t="shared" si="1580"/>
        <v>0</v>
      </c>
      <c r="PV1321" s="97">
        <f t="shared" si="1581"/>
        <v>0</v>
      </c>
      <c r="PW1321" s="97">
        <f t="shared" si="1582"/>
        <v>0</v>
      </c>
      <c r="PX1321" s="97">
        <f t="shared" si="1583"/>
        <v>0</v>
      </c>
      <c r="PY1321" s="97">
        <f t="shared" si="1797"/>
        <v>94972.03</v>
      </c>
      <c r="PZ1321" s="97">
        <f t="shared" si="1798"/>
        <v>100177.81</v>
      </c>
      <c r="QA1321" s="97">
        <f t="shared" si="1799"/>
        <v>105808.87</v>
      </c>
      <c r="QB1321" s="97">
        <f t="shared" si="1800"/>
        <v>11272.67</v>
      </c>
      <c r="QC1321" s="97">
        <f t="shared" si="1801"/>
        <v>12176.32</v>
      </c>
      <c r="QD1321" s="97">
        <f t="shared" si="1802"/>
        <v>12411.88</v>
      </c>
      <c r="QE1321" s="97">
        <f t="shared" si="1584"/>
        <v>0</v>
      </c>
      <c r="QF1321" s="97">
        <f t="shared" si="1584"/>
        <v>0</v>
      </c>
      <c r="QG1321" s="97">
        <f t="shared" si="1584"/>
        <v>0</v>
      </c>
      <c r="QH1321" s="97">
        <f t="shared" si="1585"/>
        <v>0</v>
      </c>
      <c r="QI1321" s="97">
        <f t="shared" si="1585"/>
        <v>0</v>
      </c>
      <c r="QJ1321" s="97">
        <f t="shared" si="1585"/>
        <v>0</v>
      </c>
      <c r="QK1321" s="102">
        <v>6</v>
      </c>
      <c r="QL1321" s="102">
        <v>6</v>
      </c>
      <c r="QM1321" s="102">
        <v>6</v>
      </c>
      <c r="QN1321" s="97">
        <f t="shared" si="1586"/>
        <v>1517712</v>
      </c>
      <c r="QO1321" s="97">
        <f t="shared" si="1587"/>
        <v>1549710</v>
      </c>
      <c r="QP1321" s="97">
        <f t="shared" si="1588"/>
        <v>1577664</v>
      </c>
      <c r="QQ1321" s="97">
        <f t="shared" si="1589"/>
        <v>75918.84</v>
      </c>
      <c r="QR1321" s="97">
        <f t="shared" si="1590"/>
        <v>78091.56</v>
      </c>
      <c r="QS1321" s="97">
        <f t="shared" si="1591"/>
        <v>79671.72</v>
      </c>
      <c r="QT1321" s="97">
        <f t="shared" si="1803"/>
        <v>96581.15</v>
      </c>
      <c r="QU1321" s="97">
        <f t="shared" si="1804"/>
        <v>101838.15</v>
      </c>
      <c r="QV1321" s="97">
        <f t="shared" si="1805"/>
        <v>107574.24</v>
      </c>
      <c r="QW1321" s="97">
        <f t="shared" si="1806"/>
        <v>7753.22</v>
      </c>
      <c r="QX1321" s="97">
        <f t="shared" si="1807"/>
        <v>8275.5300000000007</v>
      </c>
      <c r="QY1321" s="97">
        <f t="shared" si="1808"/>
        <v>8490.23</v>
      </c>
      <c r="QZ1321" s="97">
        <f t="shared" si="1592"/>
        <v>579486.9</v>
      </c>
      <c r="RA1321" s="97">
        <f t="shared" si="1592"/>
        <v>611028.9</v>
      </c>
      <c r="RB1321" s="97">
        <f t="shared" si="1592"/>
        <v>645445.43999999994</v>
      </c>
      <c r="RC1321" s="97">
        <f t="shared" si="1593"/>
        <v>46519.32</v>
      </c>
      <c r="RD1321" s="97">
        <f t="shared" si="1593"/>
        <v>49653.18</v>
      </c>
      <c r="RE1321" s="97">
        <f t="shared" si="1593"/>
        <v>50941.38</v>
      </c>
      <c r="RF1321" s="102"/>
      <c r="RG1321" s="102"/>
      <c r="RH1321" s="102"/>
      <c r="RI1321" s="97">
        <f t="shared" si="1594"/>
        <v>0</v>
      </c>
      <c r="RJ1321" s="97">
        <f t="shared" si="1595"/>
        <v>0</v>
      </c>
      <c r="RK1321" s="97">
        <f t="shared" si="1596"/>
        <v>0</v>
      </c>
      <c r="RL1321" s="97">
        <f t="shared" si="1597"/>
        <v>0</v>
      </c>
      <c r="RM1321" s="97">
        <f t="shared" si="1598"/>
        <v>0</v>
      </c>
      <c r="RN1321" s="97">
        <f t="shared" si="1599"/>
        <v>0</v>
      </c>
      <c r="RO1321" s="97">
        <f t="shared" si="1809"/>
        <v>103458.01</v>
      </c>
      <c r="RP1321" s="97">
        <f t="shared" si="1810"/>
        <v>109043.72</v>
      </c>
      <c r="RQ1321" s="97">
        <f t="shared" si="1811"/>
        <v>115184.82</v>
      </c>
      <c r="RR1321" s="97">
        <f t="shared" si="1812"/>
        <v>10936.76</v>
      </c>
      <c r="RS1321" s="97">
        <f t="shared" si="1813"/>
        <v>11452.79</v>
      </c>
      <c r="RT1321" s="97">
        <f t="shared" si="1814"/>
        <v>11752.44</v>
      </c>
      <c r="RU1321" s="97">
        <f t="shared" si="1600"/>
        <v>0</v>
      </c>
      <c r="RV1321" s="97">
        <f t="shared" si="1600"/>
        <v>0</v>
      </c>
      <c r="RW1321" s="97">
        <f t="shared" si="1600"/>
        <v>0</v>
      </c>
      <c r="RX1321" s="97">
        <f t="shared" si="1601"/>
        <v>0</v>
      </c>
      <c r="RY1321" s="97">
        <f t="shared" si="1601"/>
        <v>0</v>
      </c>
      <c r="RZ1321" s="97">
        <f t="shared" si="1601"/>
        <v>0</v>
      </c>
      <c r="SA1321" s="102">
        <v>22</v>
      </c>
      <c r="SB1321" s="102">
        <v>22</v>
      </c>
      <c r="SC1321" s="102">
        <v>22</v>
      </c>
      <c r="SD1321" s="97">
        <f t="shared" si="1602"/>
        <v>5564944</v>
      </c>
      <c r="SE1321" s="97">
        <f t="shared" si="1603"/>
        <v>5682270</v>
      </c>
      <c r="SF1321" s="97">
        <f t="shared" si="1604"/>
        <v>5784768</v>
      </c>
      <c r="SG1321" s="97">
        <f t="shared" si="1605"/>
        <v>278369.08</v>
      </c>
      <c r="SH1321" s="97">
        <f t="shared" si="1606"/>
        <v>286335.71999999997</v>
      </c>
      <c r="SI1321" s="97">
        <f t="shared" si="1607"/>
        <v>292129.64</v>
      </c>
      <c r="SJ1321" s="97">
        <f t="shared" si="1815"/>
        <v>108705.33</v>
      </c>
      <c r="SK1321" s="97">
        <f t="shared" si="1816"/>
        <v>114447.34</v>
      </c>
      <c r="SL1321" s="97">
        <f t="shared" si="1817"/>
        <v>120842.47</v>
      </c>
      <c r="SM1321" s="97">
        <f t="shared" si="1818"/>
        <v>15311.85</v>
      </c>
      <c r="SN1321" s="97">
        <f t="shared" si="1819"/>
        <v>16252.16</v>
      </c>
      <c r="SO1321" s="97">
        <f t="shared" si="1820"/>
        <v>16626.07</v>
      </c>
      <c r="SP1321" s="97">
        <f t="shared" si="1608"/>
        <v>2391517.2599999998</v>
      </c>
      <c r="SQ1321" s="97">
        <f t="shared" si="1608"/>
        <v>2517841.48</v>
      </c>
      <c r="SR1321" s="97">
        <f t="shared" si="1608"/>
        <v>2658534.34</v>
      </c>
      <c r="SS1321" s="97">
        <f t="shared" si="1609"/>
        <v>336860.7</v>
      </c>
      <c r="ST1321" s="97">
        <f t="shared" si="1609"/>
        <v>357547.52000000002</v>
      </c>
      <c r="SU1321" s="97">
        <f t="shared" si="1609"/>
        <v>365773.54</v>
      </c>
      <c r="SV1321" s="102"/>
      <c r="SW1321" s="102"/>
      <c r="SX1321" s="102"/>
      <c r="SY1321" s="97">
        <f t="shared" si="1610"/>
        <v>0</v>
      </c>
      <c r="SZ1321" s="97">
        <f t="shared" si="1611"/>
        <v>0</v>
      </c>
      <c r="TA1321" s="97">
        <f t="shared" si="1612"/>
        <v>0</v>
      </c>
      <c r="TB1321" s="97">
        <f t="shared" si="1613"/>
        <v>0</v>
      </c>
      <c r="TC1321" s="97">
        <f t="shared" si="1614"/>
        <v>0</v>
      </c>
      <c r="TD1321" s="97">
        <f t="shared" si="1615"/>
        <v>0</v>
      </c>
      <c r="TE1321" s="97">
        <f t="shared" si="1821"/>
        <v>97167.42</v>
      </c>
      <c r="TF1321" s="97">
        <f t="shared" si="1822"/>
        <v>102416.56</v>
      </c>
      <c r="TG1321" s="97">
        <f t="shared" si="1823"/>
        <v>108165.66</v>
      </c>
      <c r="TH1321" s="97">
        <f t="shared" si="1824"/>
        <v>11660.55</v>
      </c>
      <c r="TI1321" s="97">
        <f t="shared" si="1825"/>
        <v>12312.95</v>
      </c>
      <c r="TJ1321" s="97">
        <f t="shared" si="1826"/>
        <v>12525.74</v>
      </c>
      <c r="TK1321" s="97">
        <f t="shared" si="1616"/>
        <v>0</v>
      </c>
      <c r="TL1321" s="97">
        <f t="shared" si="1616"/>
        <v>0</v>
      </c>
      <c r="TM1321" s="97">
        <f t="shared" si="1616"/>
        <v>0</v>
      </c>
      <c r="TN1321" s="97">
        <f t="shared" si="1617"/>
        <v>0</v>
      </c>
      <c r="TO1321" s="97">
        <f t="shared" si="1617"/>
        <v>0</v>
      </c>
      <c r="TP1321" s="97">
        <f t="shared" si="1617"/>
        <v>0</v>
      </c>
      <c r="TQ1321" s="102"/>
      <c r="TR1321" s="102"/>
      <c r="TS1321" s="102"/>
      <c r="TT1321" s="97">
        <f t="shared" si="1618"/>
        <v>0</v>
      </c>
      <c r="TU1321" s="97">
        <f t="shared" si="1619"/>
        <v>0</v>
      </c>
      <c r="TV1321" s="97">
        <f t="shared" si="1620"/>
        <v>0</v>
      </c>
      <c r="TW1321" s="97">
        <f t="shared" si="1621"/>
        <v>0</v>
      </c>
      <c r="TX1321" s="97">
        <f t="shared" si="1622"/>
        <v>0</v>
      </c>
      <c r="TY1321" s="97">
        <f t="shared" si="1623"/>
        <v>0</v>
      </c>
      <c r="TZ1321" s="97">
        <f t="shared" si="1827"/>
        <v>104091.98</v>
      </c>
      <c r="UA1321" s="97">
        <f t="shared" si="1828"/>
        <v>109635.28</v>
      </c>
      <c r="UB1321" s="97">
        <f t="shared" si="1829"/>
        <v>115796.96</v>
      </c>
      <c r="UC1321" s="97">
        <f t="shared" si="1830"/>
        <v>10656.2</v>
      </c>
      <c r="UD1321" s="97">
        <f t="shared" si="1831"/>
        <v>11582.93</v>
      </c>
      <c r="UE1321" s="97">
        <f t="shared" si="1832"/>
        <v>11853.77</v>
      </c>
      <c r="UF1321" s="97">
        <f t="shared" si="1624"/>
        <v>0</v>
      </c>
      <c r="UG1321" s="97">
        <f t="shared" si="1624"/>
        <v>0</v>
      </c>
      <c r="UH1321" s="97">
        <f t="shared" si="1624"/>
        <v>0</v>
      </c>
      <c r="UI1321" s="97">
        <f t="shared" si="1625"/>
        <v>0</v>
      </c>
      <c r="UJ1321" s="97">
        <f t="shared" si="1625"/>
        <v>0</v>
      </c>
      <c r="UK1321" s="97">
        <f t="shared" si="1625"/>
        <v>0</v>
      </c>
      <c r="UL1321" s="102"/>
      <c r="UM1321" s="102"/>
      <c r="UN1321" s="102"/>
      <c r="UO1321" s="97">
        <f t="shared" si="1626"/>
        <v>0</v>
      </c>
      <c r="UP1321" s="97">
        <f t="shared" si="1627"/>
        <v>0</v>
      </c>
      <c r="UQ1321" s="97">
        <f t="shared" si="1628"/>
        <v>0</v>
      </c>
      <c r="UR1321" s="97">
        <f t="shared" si="1629"/>
        <v>0</v>
      </c>
      <c r="US1321" s="97">
        <f t="shared" si="1630"/>
        <v>0</v>
      </c>
      <c r="UT1321" s="97">
        <f t="shared" si="1631"/>
        <v>0</v>
      </c>
      <c r="UU1321" s="97">
        <f t="shared" si="1833"/>
        <v>96295.91</v>
      </c>
      <c r="UV1321" s="97">
        <f t="shared" si="1834"/>
        <v>101596.07</v>
      </c>
      <c r="UW1321" s="97">
        <f t="shared" si="1835"/>
        <v>107332.14</v>
      </c>
      <c r="UX1321" s="97">
        <f t="shared" si="1836"/>
        <v>8306.66</v>
      </c>
      <c r="UY1321" s="97">
        <f t="shared" si="1837"/>
        <v>8986.94</v>
      </c>
      <c r="UZ1321" s="97">
        <f t="shared" si="1838"/>
        <v>9237.34</v>
      </c>
      <c r="VA1321" s="97">
        <f t="shared" si="1632"/>
        <v>0</v>
      </c>
      <c r="VB1321" s="97">
        <f t="shared" si="1632"/>
        <v>0</v>
      </c>
      <c r="VC1321" s="97">
        <f t="shared" si="1632"/>
        <v>0</v>
      </c>
      <c r="VD1321" s="97">
        <f t="shared" si="1633"/>
        <v>0</v>
      </c>
      <c r="VE1321" s="97">
        <f t="shared" si="1633"/>
        <v>0</v>
      </c>
      <c r="VF1321" s="97">
        <f t="shared" si="1633"/>
        <v>0</v>
      </c>
      <c r="VG1321" s="102">
        <v>10</v>
      </c>
      <c r="VH1321" s="102">
        <v>10</v>
      </c>
      <c r="VI1321" s="102">
        <v>10</v>
      </c>
      <c r="VJ1321" s="97">
        <f t="shared" si="1634"/>
        <v>2529520</v>
      </c>
      <c r="VK1321" s="97">
        <f t="shared" si="1635"/>
        <v>2582850</v>
      </c>
      <c r="VL1321" s="97">
        <f t="shared" si="1636"/>
        <v>2629440</v>
      </c>
      <c r="VM1321" s="97">
        <f t="shared" si="1637"/>
        <v>126531.4</v>
      </c>
      <c r="VN1321" s="97">
        <f t="shared" si="1638"/>
        <v>130152.6</v>
      </c>
      <c r="VO1321" s="97">
        <f t="shared" si="1639"/>
        <v>132786.20000000001</v>
      </c>
      <c r="VP1321" s="97">
        <f t="shared" si="1839"/>
        <v>98232.62</v>
      </c>
      <c r="VQ1321" s="97">
        <f t="shared" si="1840"/>
        <v>103553.27</v>
      </c>
      <c r="VR1321" s="97">
        <f t="shared" si="1841"/>
        <v>109392.9</v>
      </c>
      <c r="VS1321" s="97">
        <f t="shared" si="1842"/>
        <v>8940.7199999999993</v>
      </c>
      <c r="VT1321" s="97">
        <f t="shared" si="1843"/>
        <v>9476.14</v>
      </c>
      <c r="VU1321" s="97">
        <f t="shared" si="1844"/>
        <v>9735.2000000000007</v>
      </c>
      <c r="VV1321" s="97">
        <f t="shared" si="1640"/>
        <v>982326.2</v>
      </c>
      <c r="VW1321" s="97">
        <f t="shared" si="1640"/>
        <v>1035532.7</v>
      </c>
      <c r="VX1321" s="97">
        <f t="shared" si="1640"/>
        <v>1093929</v>
      </c>
      <c r="VY1321" s="97">
        <f t="shared" si="1641"/>
        <v>89407.2</v>
      </c>
      <c r="VZ1321" s="97">
        <f t="shared" si="1641"/>
        <v>94761.4</v>
      </c>
      <c r="WA1321" s="97">
        <f t="shared" si="1641"/>
        <v>97352</v>
      </c>
      <c r="WB1321" s="102"/>
      <c r="WC1321" s="102"/>
      <c r="WD1321" s="102"/>
      <c r="WE1321" s="97">
        <f t="shared" si="1642"/>
        <v>0</v>
      </c>
      <c r="WF1321" s="97">
        <f t="shared" si="1643"/>
        <v>0</v>
      </c>
      <c r="WG1321" s="97">
        <f t="shared" si="1644"/>
        <v>0</v>
      </c>
      <c r="WH1321" s="97">
        <f t="shared" si="1645"/>
        <v>0</v>
      </c>
      <c r="WI1321" s="97">
        <f t="shared" si="1646"/>
        <v>0</v>
      </c>
      <c r="WJ1321" s="97">
        <f t="shared" si="1647"/>
        <v>0</v>
      </c>
      <c r="WK1321" s="97">
        <f t="shared" si="1845"/>
        <v>90752.39</v>
      </c>
      <c r="WL1321" s="97">
        <f t="shared" si="1846"/>
        <v>95775.16</v>
      </c>
      <c r="WM1321" s="97">
        <f t="shared" si="1847"/>
        <v>101177.71</v>
      </c>
      <c r="WN1321" s="97">
        <f t="shared" si="1848"/>
        <v>9601.57</v>
      </c>
      <c r="WO1321" s="97">
        <f t="shared" si="1849"/>
        <v>10425.4</v>
      </c>
      <c r="WP1321" s="97">
        <f t="shared" si="1850"/>
        <v>10720.07</v>
      </c>
      <c r="WQ1321" s="97">
        <f t="shared" si="1648"/>
        <v>0</v>
      </c>
      <c r="WR1321" s="97">
        <f t="shared" si="1648"/>
        <v>0</v>
      </c>
      <c r="WS1321" s="97">
        <f t="shared" si="1648"/>
        <v>0</v>
      </c>
      <c r="WT1321" s="97">
        <f t="shared" si="1649"/>
        <v>0</v>
      </c>
      <c r="WU1321" s="97">
        <f t="shared" si="1649"/>
        <v>0</v>
      </c>
      <c r="WV1321" s="97">
        <f t="shared" si="1649"/>
        <v>0</v>
      </c>
      <c r="WW1321" s="102"/>
      <c r="WX1321" s="102"/>
      <c r="WY1321" s="102"/>
      <c r="WZ1321" s="97">
        <f t="shared" si="1650"/>
        <v>0</v>
      </c>
      <c r="XA1321" s="97">
        <f t="shared" si="1651"/>
        <v>0</v>
      </c>
      <c r="XB1321" s="97">
        <f t="shared" si="1652"/>
        <v>0</v>
      </c>
      <c r="XC1321" s="97">
        <f t="shared" si="1653"/>
        <v>0</v>
      </c>
      <c r="XD1321" s="97">
        <f t="shared" si="1654"/>
        <v>0</v>
      </c>
      <c r="XE1321" s="97">
        <f t="shared" si="1655"/>
        <v>0</v>
      </c>
      <c r="XF1321" s="97">
        <f t="shared" si="1851"/>
        <v>89155.18</v>
      </c>
      <c r="XG1321" s="97">
        <f t="shared" si="1852"/>
        <v>94026.31</v>
      </c>
      <c r="XH1321" s="97">
        <f t="shared" si="1853"/>
        <v>99310.51</v>
      </c>
      <c r="XI1321" s="97">
        <f t="shared" si="1854"/>
        <v>7733.53</v>
      </c>
      <c r="XJ1321" s="97">
        <f t="shared" si="1855"/>
        <v>8427.6</v>
      </c>
      <c r="XK1321" s="97">
        <f t="shared" si="1856"/>
        <v>8635.07</v>
      </c>
      <c r="XL1321" s="97">
        <f t="shared" si="1656"/>
        <v>0</v>
      </c>
      <c r="XM1321" s="97">
        <f t="shared" si="1656"/>
        <v>0</v>
      </c>
      <c r="XN1321" s="97">
        <f t="shared" si="1656"/>
        <v>0</v>
      </c>
      <c r="XO1321" s="97">
        <f t="shared" si="1657"/>
        <v>0</v>
      </c>
      <c r="XP1321" s="97">
        <f t="shared" si="1657"/>
        <v>0</v>
      </c>
      <c r="XQ1321" s="97">
        <f t="shared" si="1657"/>
        <v>0</v>
      </c>
      <c r="XR1321" s="102"/>
      <c r="XS1321" s="102"/>
      <c r="XT1321" s="102"/>
      <c r="XU1321" s="97">
        <f t="shared" si="1658"/>
        <v>0</v>
      </c>
      <c r="XV1321" s="97">
        <f t="shared" si="1659"/>
        <v>0</v>
      </c>
      <c r="XW1321" s="97">
        <f t="shared" si="1660"/>
        <v>0</v>
      </c>
      <c r="XX1321" s="97">
        <f t="shared" si="1661"/>
        <v>0</v>
      </c>
      <c r="XY1321" s="97">
        <f t="shared" si="1662"/>
        <v>0</v>
      </c>
      <c r="XZ1321" s="97">
        <f t="shared" si="1663"/>
        <v>0</v>
      </c>
      <c r="YA1321" s="97">
        <f t="shared" si="1857"/>
        <v>94109.29</v>
      </c>
      <c r="YB1321" s="97">
        <f t="shared" si="1858"/>
        <v>99331.98</v>
      </c>
      <c r="YC1321" s="97">
        <f t="shared" si="1859"/>
        <v>104962.14</v>
      </c>
      <c r="YD1321" s="97">
        <f t="shared" si="1860"/>
        <v>33820.589999999997</v>
      </c>
      <c r="YE1321" s="97">
        <f t="shared" si="1861"/>
        <v>41186</v>
      </c>
      <c r="YF1321" s="97">
        <f t="shared" si="1862"/>
        <v>42298.400000000001</v>
      </c>
      <c r="YG1321" s="97">
        <f t="shared" si="1664"/>
        <v>0</v>
      </c>
      <c r="YH1321" s="97">
        <f t="shared" si="1664"/>
        <v>0</v>
      </c>
      <c r="YI1321" s="97">
        <f t="shared" si="1664"/>
        <v>0</v>
      </c>
      <c r="YJ1321" s="97">
        <f t="shared" si="1665"/>
        <v>0</v>
      </c>
      <c r="YK1321" s="97">
        <f t="shared" si="1665"/>
        <v>0</v>
      </c>
      <c r="YL1321" s="97">
        <f t="shared" si="1665"/>
        <v>0</v>
      </c>
      <c r="YM1321" s="145">
        <f t="shared" si="1666"/>
        <v>193</v>
      </c>
      <c r="YN1321" s="145">
        <f t="shared" si="1666"/>
        <v>193</v>
      </c>
      <c r="YO1321" s="145">
        <f t="shared" si="1666"/>
        <v>193</v>
      </c>
      <c r="YP1321" s="97">
        <f t="shared" si="1667"/>
        <v>48819736</v>
      </c>
      <c r="YQ1321" s="97">
        <f t="shared" si="1668"/>
        <v>49849005</v>
      </c>
      <c r="YR1321" s="97">
        <f t="shared" si="1669"/>
        <v>50748192</v>
      </c>
      <c r="YS1321" s="97">
        <f t="shared" si="1670"/>
        <v>2442056.02</v>
      </c>
      <c r="YT1321" s="97">
        <f t="shared" si="1671"/>
        <v>2511945.1800000002</v>
      </c>
      <c r="YU1321" s="97">
        <f t="shared" si="1672"/>
        <v>2562773.66</v>
      </c>
      <c r="YV1321" s="97">
        <f t="shared" si="1863"/>
        <v>99187.32</v>
      </c>
      <c r="YW1321" s="97">
        <f t="shared" si="1864"/>
        <v>104551.86</v>
      </c>
      <c r="YX1321" s="97">
        <f t="shared" si="1865"/>
        <v>110424.56</v>
      </c>
      <c r="YY1321" s="97">
        <f t="shared" si="1866"/>
        <v>10879.34</v>
      </c>
      <c r="YZ1321" s="97">
        <f t="shared" si="1867"/>
        <v>11760.72</v>
      </c>
      <c r="ZA1321" s="97">
        <f t="shared" si="1868"/>
        <v>12021.95</v>
      </c>
      <c r="ZB1321" s="97">
        <f t="shared" si="1673"/>
        <v>19143152.760000002</v>
      </c>
      <c r="ZC1321" s="97">
        <f t="shared" si="1673"/>
        <v>20178508.98</v>
      </c>
      <c r="ZD1321" s="97">
        <f t="shared" si="1673"/>
        <v>21311940.079999998</v>
      </c>
      <c r="ZE1321" s="97">
        <f t="shared" si="1674"/>
        <v>2099712.62</v>
      </c>
      <c r="ZF1321" s="97">
        <f t="shared" si="1674"/>
        <v>2269818.96</v>
      </c>
      <c r="ZG1321" s="97">
        <f t="shared" si="1674"/>
        <v>2320236.35</v>
      </c>
    </row>
    <row r="1322" spans="1:683" ht="38.25" customHeight="1" x14ac:dyDescent="0.25">
      <c r="A1322" s="12" t="s">
        <v>626</v>
      </c>
      <c r="B1322" s="174" t="s">
        <v>618</v>
      </c>
      <c r="C1322" s="5"/>
      <c r="D1322" s="340"/>
      <c r="E1322" s="163"/>
      <c r="F1322" s="110">
        <f t="shared" si="1416"/>
        <v>895906</v>
      </c>
      <c r="G1322" s="110">
        <f t="shared" si="1416"/>
        <v>945104</v>
      </c>
      <c r="H1322" s="110">
        <f t="shared" si="1416"/>
        <v>968954</v>
      </c>
      <c r="I1322" s="97">
        <f t="shared" si="1417"/>
        <v>3285.34</v>
      </c>
      <c r="J1322" s="97">
        <f t="shared" si="1417"/>
        <v>3285.34</v>
      </c>
      <c r="K1322" s="97">
        <f t="shared" si="1417"/>
        <v>3285.34</v>
      </c>
      <c r="L1322" s="102">
        <v>1</v>
      </c>
      <c r="M1322" s="102">
        <v>1</v>
      </c>
      <c r="N1322" s="102">
        <v>1</v>
      </c>
      <c r="O1322" s="97">
        <f t="shared" si="1418"/>
        <v>895906</v>
      </c>
      <c r="P1322" s="97">
        <f t="shared" si="1419"/>
        <v>945104</v>
      </c>
      <c r="Q1322" s="97">
        <f t="shared" si="1420"/>
        <v>968954</v>
      </c>
      <c r="R1322" s="97">
        <f t="shared" si="1421"/>
        <v>3285.34</v>
      </c>
      <c r="S1322" s="97">
        <f t="shared" si="1422"/>
        <v>3285.34</v>
      </c>
      <c r="T1322" s="97">
        <f t="shared" si="1423"/>
        <v>3285.34</v>
      </c>
      <c r="U1322" s="97">
        <f t="shared" si="1675"/>
        <v>386588.23</v>
      </c>
      <c r="V1322" s="97">
        <f t="shared" si="1676"/>
        <v>421114.58</v>
      </c>
      <c r="W1322" s="97">
        <f t="shared" si="1677"/>
        <v>448030.23</v>
      </c>
      <c r="X1322" s="97">
        <f t="shared" si="1678"/>
        <v>2576.14</v>
      </c>
      <c r="Y1322" s="97">
        <f t="shared" si="1679"/>
        <v>2602.67</v>
      </c>
      <c r="Z1322" s="97">
        <f t="shared" si="1680"/>
        <v>2595.3200000000002</v>
      </c>
      <c r="AA1322" s="97">
        <f t="shared" si="1424"/>
        <v>386588.23</v>
      </c>
      <c r="AB1322" s="97">
        <f t="shared" si="1424"/>
        <v>421114.58</v>
      </c>
      <c r="AC1322" s="97">
        <f t="shared" si="1424"/>
        <v>448030.23</v>
      </c>
      <c r="AD1322" s="97">
        <f t="shared" si="1425"/>
        <v>2576.14</v>
      </c>
      <c r="AE1322" s="97">
        <f t="shared" si="1425"/>
        <v>2602.67</v>
      </c>
      <c r="AF1322" s="97">
        <f t="shared" si="1425"/>
        <v>2595.3200000000002</v>
      </c>
      <c r="AG1322" s="102">
        <v>3</v>
      </c>
      <c r="AH1322" s="102">
        <v>3</v>
      </c>
      <c r="AI1322" s="102">
        <v>3</v>
      </c>
      <c r="AJ1322" s="97">
        <f t="shared" si="1426"/>
        <v>2687718</v>
      </c>
      <c r="AK1322" s="97">
        <f t="shared" si="1427"/>
        <v>2835312</v>
      </c>
      <c r="AL1322" s="97">
        <f t="shared" si="1428"/>
        <v>2906862</v>
      </c>
      <c r="AM1322" s="97">
        <f t="shared" si="1429"/>
        <v>9856.02</v>
      </c>
      <c r="AN1322" s="97">
        <f t="shared" si="1430"/>
        <v>9856.02</v>
      </c>
      <c r="AO1322" s="97">
        <f t="shared" si="1431"/>
        <v>9856.02</v>
      </c>
      <c r="AP1322" s="97">
        <f t="shared" si="1683"/>
        <v>355643.34</v>
      </c>
      <c r="AQ1322" s="97">
        <f t="shared" si="1684"/>
        <v>387344.16</v>
      </c>
      <c r="AR1322" s="97">
        <f t="shared" si="1685"/>
        <v>412035.86</v>
      </c>
      <c r="AS1322" s="97">
        <f t="shared" si="1686"/>
        <v>2054.19</v>
      </c>
      <c r="AT1322" s="97">
        <f t="shared" si="1687"/>
        <v>2106.83</v>
      </c>
      <c r="AU1322" s="97">
        <f t="shared" si="1688"/>
        <v>2117.35</v>
      </c>
      <c r="AV1322" s="97">
        <f t="shared" si="1432"/>
        <v>1066930.02</v>
      </c>
      <c r="AW1322" s="97">
        <f t="shared" si="1432"/>
        <v>1162032.48</v>
      </c>
      <c r="AX1322" s="97">
        <f t="shared" si="1432"/>
        <v>1236107.58</v>
      </c>
      <c r="AY1322" s="97">
        <f t="shared" si="1433"/>
        <v>6162.57</v>
      </c>
      <c r="AZ1322" s="97">
        <f t="shared" si="1433"/>
        <v>6320.49</v>
      </c>
      <c r="BA1322" s="97">
        <f t="shared" si="1433"/>
        <v>6352.05</v>
      </c>
      <c r="BB1322" s="102">
        <v>2</v>
      </c>
      <c r="BC1322" s="102">
        <v>2</v>
      </c>
      <c r="BD1322" s="102">
        <v>2</v>
      </c>
      <c r="BE1322" s="97">
        <f t="shared" si="1434"/>
        <v>1791812</v>
      </c>
      <c r="BF1322" s="97">
        <f t="shared" si="1435"/>
        <v>1890208</v>
      </c>
      <c r="BG1322" s="97">
        <f t="shared" si="1436"/>
        <v>1937908</v>
      </c>
      <c r="BH1322" s="97">
        <f t="shared" si="1437"/>
        <v>6570.68</v>
      </c>
      <c r="BI1322" s="97">
        <f t="shared" si="1438"/>
        <v>6570.68</v>
      </c>
      <c r="BJ1322" s="97">
        <f t="shared" si="1439"/>
        <v>6570.68</v>
      </c>
      <c r="BK1322" s="97">
        <f t="shared" si="1689"/>
        <v>335488.23</v>
      </c>
      <c r="BL1322" s="97">
        <f t="shared" si="1690"/>
        <v>364665.91</v>
      </c>
      <c r="BM1322" s="97">
        <f t="shared" si="1691"/>
        <v>387491.21</v>
      </c>
      <c r="BN1322" s="97">
        <f t="shared" si="1692"/>
        <v>2194.3200000000002</v>
      </c>
      <c r="BO1322" s="97">
        <f t="shared" si="1693"/>
        <v>2250.5700000000002</v>
      </c>
      <c r="BP1322" s="97">
        <f t="shared" si="1694"/>
        <v>2257.61</v>
      </c>
      <c r="BQ1322" s="97">
        <f t="shared" si="1440"/>
        <v>670976.46</v>
      </c>
      <c r="BR1322" s="97">
        <f t="shared" si="1440"/>
        <v>729331.82</v>
      </c>
      <c r="BS1322" s="97">
        <f t="shared" si="1440"/>
        <v>774982.42</v>
      </c>
      <c r="BT1322" s="97">
        <f t="shared" si="1441"/>
        <v>4388.6400000000003</v>
      </c>
      <c r="BU1322" s="97">
        <f t="shared" si="1441"/>
        <v>4501.1400000000003</v>
      </c>
      <c r="BV1322" s="97">
        <f t="shared" si="1441"/>
        <v>4515.22</v>
      </c>
      <c r="BW1322" s="102"/>
      <c r="BX1322" s="102"/>
      <c r="BY1322" s="102"/>
      <c r="BZ1322" s="97">
        <f t="shared" si="1442"/>
        <v>0</v>
      </c>
      <c r="CA1322" s="97">
        <f t="shared" si="1443"/>
        <v>0</v>
      </c>
      <c r="CB1322" s="97">
        <f t="shared" si="1444"/>
        <v>0</v>
      </c>
      <c r="CC1322" s="97">
        <f t="shared" si="1445"/>
        <v>0</v>
      </c>
      <c r="CD1322" s="97">
        <f t="shared" si="1446"/>
        <v>0</v>
      </c>
      <c r="CE1322" s="97">
        <f t="shared" si="1447"/>
        <v>0</v>
      </c>
      <c r="CF1322" s="97">
        <f t="shared" si="1695"/>
        <v>346468.15</v>
      </c>
      <c r="CG1322" s="97">
        <f t="shared" si="1696"/>
        <v>377634.63</v>
      </c>
      <c r="CH1322" s="97">
        <f t="shared" si="1697"/>
        <v>401732.37</v>
      </c>
      <c r="CI1322" s="97">
        <f t="shared" si="1698"/>
        <v>3382.82</v>
      </c>
      <c r="CJ1322" s="97">
        <f t="shared" si="1699"/>
        <v>3400.38</v>
      </c>
      <c r="CK1322" s="97">
        <f t="shared" si="1700"/>
        <v>3383.94</v>
      </c>
      <c r="CL1322" s="97">
        <f t="shared" si="1448"/>
        <v>0</v>
      </c>
      <c r="CM1322" s="97">
        <f t="shared" si="1448"/>
        <v>0</v>
      </c>
      <c r="CN1322" s="97">
        <f t="shared" si="1448"/>
        <v>0</v>
      </c>
      <c r="CO1322" s="97">
        <f t="shared" si="1449"/>
        <v>0</v>
      </c>
      <c r="CP1322" s="97">
        <f t="shared" si="1449"/>
        <v>0</v>
      </c>
      <c r="CQ1322" s="97">
        <f t="shared" si="1449"/>
        <v>0</v>
      </c>
      <c r="CR1322" s="102">
        <v>2</v>
      </c>
      <c r="CS1322" s="102">
        <v>2</v>
      </c>
      <c r="CT1322" s="102">
        <v>2</v>
      </c>
      <c r="CU1322" s="97">
        <f t="shared" si="1450"/>
        <v>1791812</v>
      </c>
      <c r="CV1322" s="97">
        <f t="shared" si="1451"/>
        <v>1890208</v>
      </c>
      <c r="CW1322" s="97">
        <f t="shared" si="1452"/>
        <v>1937908</v>
      </c>
      <c r="CX1322" s="97">
        <f t="shared" si="1453"/>
        <v>6570.68</v>
      </c>
      <c r="CY1322" s="97">
        <f t="shared" si="1454"/>
        <v>6570.68</v>
      </c>
      <c r="CZ1322" s="97">
        <f t="shared" si="1455"/>
        <v>6570.68</v>
      </c>
      <c r="DA1322" s="97">
        <f t="shared" si="1701"/>
        <v>349136.08</v>
      </c>
      <c r="DB1322" s="97">
        <f t="shared" si="1702"/>
        <v>380215.56</v>
      </c>
      <c r="DC1322" s="97">
        <f t="shared" si="1703"/>
        <v>404454.23</v>
      </c>
      <c r="DD1322" s="97">
        <f t="shared" si="1704"/>
        <v>1637.75</v>
      </c>
      <c r="DE1322" s="97">
        <f t="shared" si="1705"/>
        <v>1654.32</v>
      </c>
      <c r="DF1322" s="97">
        <f t="shared" si="1706"/>
        <v>1651.41</v>
      </c>
      <c r="DG1322" s="97">
        <f t="shared" si="1456"/>
        <v>698272.16</v>
      </c>
      <c r="DH1322" s="97">
        <f t="shared" si="1456"/>
        <v>760431.12</v>
      </c>
      <c r="DI1322" s="97">
        <f t="shared" si="1456"/>
        <v>808908.46</v>
      </c>
      <c r="DJ1322" s="97">
        <f t="shared" si="1457"/>
        <v>3275.5</v>
      </c>
      <c r="DK1322" s="97">
        <f t="shared" si="1457"/>
        <v>3308.64</v>
      </c>
      <c r="DL1322" s="97">
        <f t="shared" si="1457"/>
        <v>3302.82</v>
      </c>
      <c r="DM1322" s="102"/>
      <c r="DN1322" s="102"/>
      <c r="DO1322" s="102"/>
      <c r="DP1322" s="97">
        <f t="shared" si="1458"/>
        <v>0</v>
      </c>
      <c r="DQ1322" s="97">
        <f t="shared" si="1459"/>
        <v>0</v>
      </c>
      <c r="DR1322" s="97">
        <f t="shared" si="1460"/>
        <v>0</v>
      </c>
      <c r="DS1322" s="97">
        <f t="shared" si="1461"/>
        <v>0</v>
      </c>
      <c r="DT1322" s="97">
        <f t="shared" si="1462"/>
        <v>0</v>
      </c>
      <c r="DU1322" s="97">
        <f t="shared" si="1463"/>
        <v>0</v>
      </c>
      <c r="DV1322" s="97">
        <f t="shared" si="1707"/>
        <v>379100.9</v>
      </c>
      <c r="DW1322" s="97">
        <f t="shared" si="1708"/>
        <v>413488.98</v>
      </c>
      <c r="DX1322" s="97">
        <f t="shared" si="1709"/>
        <v>440061.19</v>
      </c>
      <c r="DY1322" s="97">
        <f t="shared" si="1710"/>
        <v>3430.34</v>
      </c>
      <c r="DZ1322" s="97">
        <f t="shared" si="1711"/>
        <v>3332.46</v>
      </c>
      <c r="EA1322" s="97">
        <f t="shared" si="1712"/>
        <v>3323.35</v>
      </c>
      <c r="EB1322" s="97">
        <f t="shared" si="1464"/>
        <v>0</v>
      </c>
      <c r="EC1322" s="97">
        <f t="shared" si="1464"/>
        <v>0</v>
      </c>
      <c r="ED1322" s="97">
        <f t="shared" si="1464"/>
        <v>0</v>
      </c>
      <c r="EE1322" s="97">
        <f t="shared" si="1465"/>
        <v>0</v>
      </c>
      <c r="EF1322" s="97">
        <f t="shared" si="1465"/>
        <v>0</v>
      </c>
      <c r="EG1322" s="97">
        <f t="shared" si="1465"/>
        <v>0</v>
      </c>
      <c r="EH1322" s="102">
        <v>4</v>
      </c>
      <c r="EI1322" s="102">
        <v>4</v>
      </c>
      <c r="EJ1322" s="102">
        <v>4</v>
      </c>
      <c r="EK1322" s="97">
        <f t="shared" si="1466"/>
        <v>3583624</v>
      </c>
      <c r="EL1322" s="97">
        <f t="shared" si="1467"/>
        <v>3780416</v>
      </c>
      <c r="EM1322" s="97">
        <f t="shared" si="1468"/>
        <v>3875816</v>
      </c>
      <c r="EN1322" s="97">
        <f t="shared" si="1469"/>
        <v>13141.36</v>
      </c>
      <c r="EO1322" s="97">
        <f t="shared" si="1470"/>
        <v>13141.36</v>
      </c>
      <c r="EP1322" s="97">
        <f t="shared" si="1471"/>
        <v>13141.36</v>
      </c>
      <c r="EQ1322" s="97">
        <f t="shared" si="1713"/>
        <v>374726.59</v>
      </c>
      <c r="ER1322" s="97">
        <f t="shared" si="1714"/>
        <v>407455.9</v>
      </c>
      <c r="ES1322" s="97">
        <f t="shared" si="1715"/>
        <v>433229.88</v>
      </c>
      <c r="ET1322" s="97">
        <f t="shared" si="1716"/>
        <v>2879.93</v>
      </c>
      <c r="EU1322" s="97">
        <f t="shared" si="1717"/>
        <v>2948.87</v>
      </c>
      <c r="EV1322" s="97">
        <f t="shared" si="1718"/>
        <v>2961.2</v>
      </c>
      <c r="EW1322" s="97">
        <f t="shared" si="1472"/>
        <v>1498906.36</v>
      </c>
      <c r="EX1322" s="97">
        <f t="shared" si="1472"/>
        <v>1629823.6</v>
      </c>
      <c r="EY1322" s="97">
        <f t="shared" si="1472"/>
        <v>1732919.52</v>
      </c>
      <c r="EZ1322" s="97">
        <f t="shared" si="1473"/>
        <v>11519.72</v>
      </c>
      <c r="FA1322" s="97">
        <f t="shared" si="1473"/>
        <v>11795.48</v>
      </c>
      <c r="FB1322" s="97">
        <f t="shared" si="1473"/>
        <v>11844.8</v>
      </c>
      <c r="FC1322" s="102">
        <v>1</v>
      </c>
      <c r="FD1322" s="102">
        <v>1</v>
      </c>
      <c r="FE1322" s="102">
        <v>1</v>
      </c>
      <c r="FF1322" s="97">
        <f t="shared" si="1474"/>
        <v>895906</v>
      </c>
      <c r="FG1322" s="97">
        <f t="shared" si="1475"/>
        <v>945104</v>
      </c>
      <c r="FH1322" s="97">
        <f t="shared" si="1476"/>
        <v>968954</v>
      </c>
      <c r="FI1322" s="97">
        <f t="shared" si="1477"/>
        <v>3285.34</v>
      </c>
      <c r="FJ1322" s="97">
        <f t="shared" si="1478"/>
        <v>3285.34</v>
      </c>
      <c r="FK1322" s="97">
        <f t="shared" si="1479"/>
        <v>3285.34</v>
      </c>
      <c r="FL1322" s="97">
        <f t="shared" si="1719"/>
        <v>364064.73</v>
      </c>
      <c r="FM1322" s="97">
        <f t="shared" si="1720"/>
        <v>396663.9</v>
      </c>
      <c r="FN1322" s="97">
        <f t="shared" si="1721"/>
        <v>422004.55</v>
      </c>
      <c r="FO1322" s="97">
        <f t="shared" si="1722"/>
        <v>3097.5</v>
      </c>
      <c r="FP1322" s="97">
        <f t="shared" si="1723"/>
        <v>3191.41</v>
      </c>
      <c r="FQ1322" s="97">
        <f t="shared" si="1724"/>
        <v>3131.64</v>
      </c>
      <c r="FR1322" s="97">
        <f t="shared" si="1480"/>
        <v>364064.73</v>
      </c>
      <c r="FS1322" s="97">
        <f t="shared" si="1480"/>
        <v>396663.9</v>
      </c>
      <c r="FT1322" s="97">
        <f t="shared" si="1480"/>
        <v>422004.55</v>
      </c>
      <c r="FU1322" s="97">
        <f t="shared" si="1481"/>
        <v>3097.5</v>
      </c>
      <c r="FV1322" s="97">
        <f t="shared" si="1481"/>
        <v>3191.41</v>
      </c>
      <c r="FW1322" s="97">
        <f t="shared" si="1481"/>
        <v>3131.64</v>
      </c>
      <c r="FX1322" s="102"/>
      <c r="FY1322" s="102"/>
      <c r="FZ1322" s="102"/>
      <c r="GA1322" s="97">
        <f t="shared" si="1482"/>
        <v>0</v>
      </c>
      <c r="GB1322" s="97">
        <f t="shared" si="1483"/>
        <v>0</v>
      </c>
      <c r="GC1322" s="97">
        <f t="shared" si="1484"/>
        <v>0</v>
      </c>
      <c r="GD1322" s="97">
        <f t="shared" si="1485"/>
        <v>0</v>
      </c>
      <c r="GE1322" s="97">
        <f t="shared" si="1486"/>
        <v>0</v>
      </c>
      <c r="GF1322" s="97">
        <f t="shared" si="1487"/>
        <v>0</v>
      </c>
      <c r="GG1322" s="97">
        <f t="shared" si="1725"/>
        <v>363492.58</v>
      </c>
      <c r="GH1322" s="97">
        <f t="shared" si="1726"/>
        <v>395608.75</v>
      </c>
      <c r="GI1322" s="97">
        <f t="shared" si="1727"/>
        <v>420671.29</v>
      </c>
      <c r="GJ1322" s="97">
        <f t="shared" si="1728"/>
        <v>2322.5500000000002</v>
      </c>
      <c r="GK1322" s="97">
        <f t="shared" si="1729"/>
        <v>2579.23</v>
      </c>
      <c r="GL1322" s="97">
        <f t="shared" si="1730"/>
        <v>2741.44</v>
      </c>
      <c r="GM1322" s="97">
        <f t="shared" si="1488"/>
        <v>0</v>
      </c>
      <c r="GN1322" s="97">
        <f t="shared" si="1488"/>
        <v>0</v>
      </c>
      <c r="GO1322" s="97">
        <f t="shared" si="1488"/>
        <v>0</v>
      </c>
      <c r="GP1322" s="97">
        <f t="shared" si="1489"/>
        <v>0</v>
      </c>
      <c r="GQ1322" s="97">
        <f t="shared" si="1489"/>
        <v>0</v>
      </c>
      <c r="GR1322" s="97">
        <f t="shared" si="1489"/>
        <v>0</v>
      </c>
      <c r="GS1322" s="102">
        <v>5</v>
      </c>
      <c r="GT1322" s="102">
        <v>5</v>
      </c>
      <c r="GU1322" s="102">
        <v>5</v>
      </c>
      <c r="GV1322" s="97">
        <f t="shared" si="1490"/>
        <v>4479530</v>
      </c>
      <c r="GW1322" s="97">
        <f t="shared" si="1491"/>
        <v>4725520</v>
      </c>
      <c r="GX1322" s="97">
        <f t="shared" si="1492"/>
        <v>4844770</v>
      </c>
      <c r="GY1322" s="97">
        <f t="shared" si="1493"/>
        <v>16426.7</v>
      </c>
      <c r="GZ1322" s="97">
        <f t="shared" si="1494"/>
        <v>16426.7</v>
      </c>
      <c r="HA1322" s="97">
        <f t="shared" si="1495"/>
        <v>16426.7</v>
      </c>
      <c r="HB1322" s="97">
        <f t="shared" si="1731"/>
        <v>379717.46</v>
      </c>
      <c r="HC1322" s="97">
        <f t="shared" si="1732"/>
        <v>413100.65</v>
      </c>
      <c r="HD1322" s="97">
        <f t="shared" si="1733"/>
        <v>439259.43</v>
      </c>
      <c r="HE1322" s="97">
        <f t="shared" si="1734"/>
        <v>2702.32</v>
      </c>
      <c r="HF1322" s="97">
        <f t="shared" si="1735"/>
        <v>2758.79</v>
      </c>
      <c r="HG1322" s="97">
        <f t="shared" si="1736"/>
        <v>2763.68</v>
      </c>
      <c r="HH1322" s="97">
        <f t="shared" si="1496"/>
        <v>1898587.3</v>
      </c>
      <c r="HI1322" s="97">
        <f t="shared" si="1496"/>
        <v>2065503.25</v>
      </c>
      <c r="HJ1322" s="97">
        <f t="shared" si="1496"/>
        <v>2196297.15</v>
      </c>
      <c r="HK1322" s="97">
        <f t="shared" si="1497"/>
        <v>13511.6</v>
      </c>
      <c r="HL1322" s="97">
        <f t="shared" si="1497"/>
        <v>13793.95</v>
      </c>
      <c r="HM1322" s="97">
        <f t="shared" si="1497"/>
        <v>13818.4</v>
      </c>
      <c r="HN1322" s="102">
        <v>1</v>
      </c>
      <c r="HO1322" s="102">
        <v>1</v>
      </c>
      <c r="HP1322" s="102">
        <v>1</v>
      </c>
      <c r="HQ1322" s="97">
        <f t="shared" si="1498"/>
        <v>895906</v>
      </c>
      <c r="HR1322" s="97">
        <f t="shared" si="1499"/>
        <v>945104</v>
      </c>
      <c r="HS1322" s="97">
        <f t="shared" si="1500"/>
        <v>968954</v>
      </c>
      <c r="HT1322" s="97">
        <f t="shared" si="1501"/>
        <v>3285.34</v>
      </c>
      <c r="HU1322" s="97">
        <f t="shared" si="1502"/>
        <v>3285.34</v>
      </c>
      <c r="HV1322" s="97">
        <f t="shared" si="1503"/>
        <v>3285.34</v>
      </c>
      <c r="HW1322" s="97">
        <f t="shared" si="1737"/>
        <v>373694.78</v>
      </c>
      <c r="HX1322" s="97">
        <f t="shared" si="1738"/>
        <v>407149.71</v>
      </c>
      <c r="HY1322" s="97">
        <f t="shared" si="1739"/>
        <v>433010.15</v>
      </c>
      <c r="HZ1322" s="97">
        <f t="shared" si="1740"/>
        <v>2577.84</v>
      </c>
      <c r="IA1322" s="97">
        <f t="shared" si="1741"/>
        <v>2630.12</v>
      </c>
      <c r="IB1322" s="97">
        <f t="shared" si="1742"/>
        <v>2589.67</v>
      </c>
      <c r="IC1322" s="97">
        <f t="shared" si="1504"/>
        <v>373694.78</v>
      </c>
      <c r="ID1322" s="97">
        <f t="shared" si="1504"/>
        <v>407149.71</v>
      </c>
      <c r="IE1322" s="97">
        <f t="shared" si="1504"/>
        <v>433010.15</v>
      </c>
      <c r="IF1322" s="97">
        <f t="shared" si="1505"/>
        <v>2577.84</v>
      </c>
      <c r="IG1322" s="97">
        <f t="shared" si="1505"/>
        <v>2630.12</v>
      </c>
      <c r="IH1322" s="97">
        <f t="shared" si="1505"/>
        <v>2589.67</v>
      </c>
      <c r="II1322" s="102"/>
      <c r="IJ1322" s="102"/>
      <c r="IK1322" s="102"/>
      <c r="IL1322" s="97">
        <f t="shared" si="1506"/>
        <v>0</v>
      </c>
      <c r="IM1322" s="97">
        <f t="shared" si="1507"/>
        <v>0</v>
      </c>
      <c r="IN1322" s="97">
        <f t="shared" si="1508"/>
        <v>0</v>
      </c>
      <c r="IO1322" s="97">
        <f t="shared" si="1509"/>
        <v>0</v>
      </c>
      <c r="IP1322" s="97">
        <f t="shared" si="1510"/>
        <v>0</v>
      </c>
      <c r="IQ1322" s="97">
        <f t="shared" si="1511"/>
        <v>0</v>
      </c>
      <c r="IR1322" s="97">
        <f t="shared" si="1743"/>
        <v>507639.43</v>
      </c>
      <c r="IS1322" s="97">
        <f t="shared" si="1744"/>
        <v>551650.25</v>
      </c>
      <c r="IT1322" s="97">
        <f t="shared" si="1745"/>
        <v>586476.02</v>
      </c>
      <c r="IU1322" s="97">
        <f t="shared" si="1746"/>
        <v>3897.19</v>
      </c>
      <c r="IV1322" s="97">
        <f t="shared" si="1747"/>
        <v>3975.98</v>
      </c>
      <c r="IW1322" s="97">
        <f t="shared" si="1748"/>
        <v>3887.34</v>
      </c>
      <c r="IX1322" s="97">
        <f t="shared" si="1512"/>
        <v>0</v>
      </c>
      <c r="IY1322" s="97">
        <f t="shared" si="1512"/>
        <v>0</v>
      </c>
      <c r="IZ1322" s="97">
        <f t="shared" si="1512"/>
        <v>0</v>
      </c>
      <c r="JA1322" s="97">
        <f t="shared" si="1513"/>
        <v>0</v>
      </c>
      <c r="JB1322" s="97">
        <f t="shared" si="1513"/>
        <v>0</v>
      </c>
      <c r="JC1322" s="97">
        <f t="shared" si="1513"/>
        <v>0</v>
      </c>
      <c r="JD1322" s="102">
        <v>2</v>
      </c>
      <c r="JE1322" s="102">
        <v>2</v>
      </c>
      <c r="JF1322" s="102">
        <v>2</v>
      </c>
      <c r="JG1322" s="97">
        <f t="shared" si="1514"/>
        <v>1791812</v>
      </c>
      <c r="JH1322" s="97">
        <f t="shared" si="1515"/>
        <v>1890208</v>
      </c>
      <c r="JI1322" s="97">
        <f t="shared" si="1516"/>
        <v>1937908</v>
      </c>
      <c r="JJ1322" s="97">
        <f t="shared" si="1517"/>
        <v>6570.68</v>
      </c>
      <c r="JK1322" s="97">
        <f t="shared" si="1518"/>
        <v>6570.68</v>
      </c>
      <c r="JL1322" s="97">
        <f t="shared" si="1519"/>
        <v>6570.68</v>
      </c>
      <c r="JM1322" s="97">
        <f t="shared" si="1749"/>
        <v>340291.07</v>
      </c>
      <c r="JN1322" s="97">
        <f t="shared" si="1750"/>
        <v>370533.06</v>
      </c>
      <c r="JO1322" s="97">
        <f t="shared" si="1751"/>
        <v>394134.16</v>
      </c>
      <c r="JP1322" s="97">
        <f t="shared" si="1752"/>
        <v>2124.73</v>
      </c>
      <c r="JQ1322" s="97">
        <f t="shared" si="1753"/>
        <v>2207.2600000000002</v>
      </c>
      <c r="JR1322" s="97">
        <f t="shared" si="1754"/>
        <v>2212.5100000000002</v>
      </c>
      <c r="JS1322" s="97">
        <f t="shared" si="1520"/>
        <v>680582.14</v>
      </c>
      <c r="JT1322" s="97">
        <f t="shared" si="1520"/>
        <v>741066.12</v>
      </c>
      <c r="JU1322" s="97">
        <f t="shared" si="1520"/>
        <v>788268.32</v>
      </c>
      <c r="JV1322" s="97">
        <f t="shared" si="1521"/>
        <v>4249.46</v>
      </c>
      <c r="JW1322" s="97">
        <f t="shared" si="1521"/>
        <v>4414.5200000000004</v>
      </c>
      <c r="JX1322" s="97">
        <f t="shared" si="1521"/>
        <v>4425.0200000000004</v>
      </c>
      <c r="JY1322" s="102">
        <v>6</v>
      </c>
      <c r="JZ1322" s="102">
        <v>6</v>
      </c>
      <c r="KA1322" s="102">
        <v>6</v>
      </c>
      <c r="KB1322" s="97">
        <f t="shared" si="1522"/>
        <v>5375436</v>
      </c>
      <c r="KC1322" s="97">
        <f t="shared" si="1523"/>
        <v>5670624</v>
      </c>
      <c r="KD1322" s="97">
        <f t="shared" si="1524"/>
        <v>5813724</v>
      </c>
      <c r="KE1322" s="97">
        <f t="shared" si="1525"/>
        <v>19712.04</v>
      </c>
      <c r="KF1322" s="97">
        <f t="shared" si="1526"/>
        <v>19712.04</v>
      </c>
      <c r="KG1322" s="97">
        <f t="shared" si="1527"/>
        <v>19712.04</v>
      </c>
      <c r="KH1322" s="97">
        <f t="shared" si="1755"/>
        <v>349855</v>
      </c>
      <c r="KI1322" s="97">
        <f t="shared" si="1756"/>
        <v>380624.55</v>
      </c>
      <c r="KJ1322" s="97">
        <f t="shared" si="1757"/>
        <v>404777.27</v>
      </c>
      <c r="KK1322" s="97">
        <f t="shared" si="1758"/>
        <v>1991.83</v>
      </c>
      <c r="KL1322" s="97">
        <f t="shared" si="1759"/>
        <v>2045.63</v>
      </c>
      <c r="KM1322" s="97">
        <f t="shared" si="1760"/>
        <v>2035.97</v>
      </c>
      <c r="KN1322" s="97">
        <f t="shared" si="1528"/>
        <v>2099130</v>
      </c>
      <c r="KO1322" s="97">
        <f t="shared" si="1528"/>
        <v>2283747.2999999998</v>
      </c>
      <c r="KP1322" s="97">
        <f t="shared" si="1528"/>
        <v>2428663.62</v>
      </c>
      <c r="KQ1322" s="97">
        <f t="shared" si="1529"/>
        <v>11950.98</v>
      </c>
      <c r="KR1322" s="97">
        <f t="shared" si="1529"/>
        <v>12273.78</v>
      </c>
      <c r="KS1322" s="97">
        <f t="shared" si="1529"/>
        <v>12215.82</v>
      </c>
      <c r="KT1322" s="102">
        <v>2</v>
      </c>
      <c r="KU1322" s="102">
        <v>2</v>
      </c>
      <c r="KV1322" s="102">
        <v>2</v>
      </c>
      <c r="KW1322" s="97">
        <f t="shared" si="1530"/>
        <v>1791812</v>
      </c>
      <c r="KX1322" s="97">
        <f t="shared" si="1531"/>
        <v>1890208</v>
      </c>
      <c r="KY1322" s="97">
        <f t="shared" si="1532"/>
        <v>1937908</v>
      </c>
      <c r="KZ1322" s="97">
        <f t="shared" si="1533"/>
        <v>6570.68</v>
      </c>
      <c r="LA1322" s="97">
        <f t="shared" si="1534"/>
        <v>6570.68</v>
      </c>
      <c r="LB1322" s="97">
        <f t="shared" si="1535"/>
        <v>6570.68</v>
      </c>
      <c r="LC1322" s="97">
        <f t="shared" si="1761"/>
        <v>330231.53999999998</v>
      </c>
      <c r="LD1322" s="97">
        <f t="shared" si="1762"/>
        <v>359754.86</v>
      </c>
      <c r="LE1322" s="97">
        <f t="shared" si="1763"/>
        <v>382694.88</v>
      </c>
      <c r="LF1322" s="97">
        <f t="shared" si="1764"/>
        <v>2745.22</v>
      </c>
      <c r="LG1322" s="97">
        <f t="shared" si="1765"/>
        <v>2858.11</v>
      </c>
      <c r="LH1322" s="97">
        <f t="shared" si="1766"/>
        <v>2873.07</v>
      </c>
      <c r="LI1322" s="97">
        <f t="shared" si="1536"/>
        <v>660463.07999999996</v>
      </c>
      <c r="LJ1322" s="97">
        <f t="shared" si="1536"/>
        <v>719509.72</v>
      </c>
      <c r="LK1322" s="97">
        <f t="shared" si="1536"/>
        <v>765389.76</v>
      </c>
      <c r="LL1322" s="97">
        <f t="shared" si="1537"/>
        <v>5490.44</v>
      </c>
      <c r="LM1322" s="97">
        <f t="shared" si="1537"/>
        <v>5716.22</v>
      </c>
      <c r="LN1322" s="97">
        <f t="shared" si="1537"/>
        <v>5746.14</v>
      </c>
      <c r="LO1322" s="102">
        <v>7</v>
      </c>
      <c r="LP1322" s="102">
        <v>7</v>
      </c>
      <c r="LQ1322" s="102">
        <v>7</v>
      </c>
      <c r="LR1322" s="97">
        <f t="shared" si="1538"/>
        <v>6271342</v>
      </c>
      <c r="LS1322" s="97">
        <f t="shared" si="1539"/>
        <v>6615728</v>
      </c>
      <c r="LT1322" s="97">
        <f t="shared" si="1540"/>
        <v>6782678</v>
      </c>
      <c r="LU1322" s="97">
        <f t="shared" si="1541"/>
        <v>22997.38</v>
      </c>
      <c r="LV1322" s="97">
        <f t="shared" si="1542"/>
        <v>22997.38</v>
      </c>
      <c r="LW1322" s="97">
        <f t="shared" si="1543"/>
        <v>22997.38</v>
      </c>
      <c r="LX1322" s="97">
        <f t="shared" si="1767"/>
        <v>288471.89</v>
      </c>
      <c r="LY1322" s="97">
        <f t="shared" si="1768"/>
        <v>314278.84999999998</v>
      </c>
      <c r="LZ1322" s="97">
        <f t="shared" si="1769"/>
        <v>334284.51</v>
      </c>
      <c r="MA1322" s="97">
        <f t="shared" si="1770"/>
        <v>2037.77</v>
      </c>
      <c r="MB1322" s="97">
        <f t="shared" si="1771"/>
        <v>2088.16</v>
      </c>
      <c r="MC1322" s="97">
        <f t="shared" si="1772"/>
        <v>2081.9899999999998</v>
      </c>
      <c r="MD1322" s="97">
        <f t="shared" si="1544"/>
        <v>2019303.23</v>
      </c>
      <c r="ME1322" s="97">
        <f t="shared" si="1544"/>
        <v>2199951.9500000002</v>
      </c>
      <c r="MF1322" s="97">
        <f t="shared" si="1544"/>
        <v>2339991.5699999998</v>
      </c>
      <c r="MG1322" s="97">
        <f t="shared" si="1545"/>
        <v>14264.39</v>
      </c>
      <c r="MH1322" s="97">
        <f t="shared" si="1545"/>
        <v>14617.12</v>
      </c>
      <c r="MI1322" s="97">
        <f t="shared" si="1545"/>
        <v>14573.93</v>
      </c>
      <c r="MJ1322" s="102">
        <v>1</v>
      </c>
      <c r="MK1322" s="102">
        <v>1</v>
      </c>
      <c r="ML1322" s="102">
        <v>1</v>
      </c>
      <c r="MM1322" s="97">
        <f t="shared" si="1546"/>
        <v>895906</v>
      </c>
      <c r="MN1322" s="97">
        <f t="shared" si="1547"/>
        <v>945104</v>
      </c>
      <c r="MO1322" s="97">
        <f t="shared" si="1548"/>
        <v>968954</v>
      </c>
      <c r="MP1322" s="97">
        <f t="shared" si="1549"/>
        <v>3285.34</v>
      </c>
      <c r="MQ1322" s="97">
        <f t="shared" si="1550"/>
        <v>3285.34</v>
      </c>
      <c r="MR1322" s="97">
        <f t="shared" si="1551"/>
        <v>3285.34</v>
      </c>
      <c r="MS1322" s="97">
        <f t="shared" si="1773"/>
        <v>333730</v>
      </c>
      <c r="MT1322" s="97">
        <f t="shared" si="1774"/>
        <v>363541.73</v>
      </c>
      <c r="MU1322" s="97">
        <f t="shared" si="1775"/>
        <v>386717.15</v>
      </c>
      <c r="MV1322" s="97">
        <f t="shared" si="1776"/>
        <v>2417.5700000000002</v>
      </c>
      <c r="MW1322" s="97">
        <f t="shared" si="1777"/>
        <v>2443.96</v>
      </c>
      <c r="MX1322" s="97">
        <f t="shared" si="1778"/>
        <v>2459.0300000000002</v>
      </c>
      <c r="MY1322" s="97">
        <f t="shared" si="1552"/>
        <v>333730</v>
      </c>
      <c r="MZ1322" s="97">
        <f t="shared" si="1552"/>
        <v>363541.73</v>
      </c>
      <c r="NA1322" s="97">
        <f t="shared" si="1552"/>
        <v>386717.15</v>
      </c>
      <c r="NB1322" s="97">
        <f t="shared" si="1553"/>
        <v>2417.5700000000002</v>
      </c>
      <c r="NC1322" s="97">
        <f t="shared" si="1553"/>
        <v>2443.96</v>
      </c>
      <c r="ND1322" s="97">
        <f t="shared" si="1553"/>
        <v>2459.0300000000002</v>
      </c>
      <c r="NE1322" s="102">
        <v>4</v>
      </c>
      <c r="NF1322" s="102">
        <v>4</v>
      </c>
      <c r="NG1322" s="102">
        <v>4</v>
      </c>
      <c r="NH1322" s="97">
        <f t="shared" si="1554"/>
        <v>3583624</v>
      </c>
      <c r="NI1322" s="97">
        <f t="shared" si="1555"/>
        <v>3780416</v>
      </c>
      <c r="NJ1322" s="97">
        <f t="shared" si="1556"/>
        <v>3875816</v>
      </c>
      <c r="NK1322" s="97">
        <f t="shared" si="1557"/>
        <v>13141.36</v>
      </c>
      <c r="NL1322" s="97">
        <f t="shared" si="1558"/>
        <v>13141.36</v>
      </c>
      <c r="NM1322" s="97">
        <f t="shared" si="1559"/>
        <v>13141.36</v>
      </c>
      <c r="NN1322" s="97">
        <f t="shared" si="1779"/>
        <v>340731.05</v>
      </c>
      <c r="NO1322" s="97">
        <f t="shared" si="1780"/>
        <v>370688.35</v>
      </c>
      <c r="NP1322" s="97">
        <f t="shared" si="1781"/>
        <v>394097.33</v>
      </c>
      <c r="NQ1322" s="97">
        <f t="shared" si="1782"/>
        <v>3540.7</v>
      </c>
      <c r="NR1322" s="97">
        <f t="shared" si="1783"/>
        <v>3698.29</v>
      </c>
      <c r="NS1322" s="97">
        <f t="shared" si="1784"/>
        <v>3596.14</v>
      </c>
      <c r="NT1322" s="97">
        <f t="shared" si="1560"/>
        <v>1362924.2</v>
      </c>
      <c r="NU1322" s="97">
        <f t="shared" si="1560"/>
        <v>1482753.4</v>
      </c>
      <c r="NV1322" s="97">
        <f t="shared" si="1560"/>
        <v>1576389.32</v>
      </c>
      <c r="NW1322" s="97">
        <f t="shared" si="1561"/>
        <v>14162.8</v>
      </c>
      <c r="NX1322" s="97">
        <f t="shared" si="1561"/>
        <v>14793.16</v>
      </c>
      <c r="NY1322" s="97">
        <f t="shared" si="1561"/>
        <v>14384.56</v>
      </c>
      <c r="NZ1322" s="102">
        <v>6</v>
      </c>
      <c r="OA1322" s="102">
        <v>6</v>
      </c>
      <c r="OB1322" s="102">
        <v>6</v>
      </c>
      <c r="OC1322" s="97">
        <f t="shared" si="1562"/>
        <v>5375436</v>
      </c>
      <c r="OD1322" s="97">
        <f t="shared" si="1563"/>
        <v>5670624</v>
      </c>
      <c r="OE1322" s="97">
        <f t="shared" si="1564"/>
        <v>5813724</v>
      </c>
      <c r="OF1322" s="97">
        <f t="shared" si="1565"/>
        <v>19712.04</v>
      </c>
      <c r="OG1322" s="97">
        <f t="shared" si="1566"/>
        <v>19712.04</v>
      </c>
      <c r="OH1322" s="97">
        <f t="shared" si="1567"/>
        <v>19712.04</v>
      </c>
      <c r="OI1322" s="97">
        <f t="shared" si="1785"/>
        <v>446755.44</v>
      </c>
      <c r="OJ1322" s="97">
        <f t="shared" si="1786"/>
        <v>485273.37</v>
      </c>
      <c r="OK1322" s="97">
        <f t="shared" si="1787"/>
        <v>515768.26</v>
      </c>
      <c r="OL1322" s="97">
        <f t="shared" si="1788"/>
        <v>3551.27</v>
      </c>
      <c r="OM1322" s="97">
        <f t="shared" si="1789"/>
        <v>3689.94</v>
      </c>
      <c r="ON1322" s="97">
        <f t="shared" si="1790"/>
        <v>3670.65</v>
      </c>
      <c r="OO1322" s="97">
        <f t="shared" si="1568"/>
        <v>2680532.64</v>
      </c>
      <c r="OP1322" s="97">
        <f t="shared" si="1568"/>
        <v>2911640.22</v>
      </c>
      <c r="OQ1322" s="97">
        <f t="shared" si="1568"/>
        <v>3094609.56</v>
      </c>
      <c r="OR1322" s="97">
        <f t="shared" si="1569"/>
        <v>21307.62</v>
      </c>
      <c r="OS1322" s="97">
        <f t="shared" si="1569"/>
        <v>22139.64</v>
      </c>
      <c r="OT1322" s="97">
        <f t="shared" si="1569"/>
        <v>22023.9</v>
      </c>
      <c r="OU1322" s="102">
        <v>2</v>
      </c>
      <c r="OV1322" s="102">
        <v>2</v>
      </c>
      <c r="OW1322" s="102">
        <v>2</v>
      </c>
      <c r="OX1322" s="97">
        <f t="shared" si="1570"/>
        <v>1791812</v>
      </c>
      <c r="OY1322" s="97">
        <f t="shared" si="1571"/>
        <v>1890208</v>
      </c>
      <c r="OZ1322" s="97">
        <f t="shared" si="1572"/>
        <v>1937908</v>
      </c>
      <c r="PA1322" s="97">
        <f t="shared" si="1573"/>
        <v>6570.68</v>
      </c>
      <c r="PB1322" s="97">
        <f t="shared" si="1574"/>
        <v>6570.68</v>
      </c>
      <c r="PC1322" s="97">
        <f t="shared" si="1575"/>
        <v>6570.68</v>
      </c>
      <c r="PD1322" s="97">
        <f t="shared" si="1791"/>
        <v>375707.43</v>
      </c>
      <c r="PE1322" s="97">
        <f t="shared" si="1792"/>
        <v>409088.44</v>
      </c>
      <c r="PF1322" s="97">
        <f t="shared" si="1793"/>
        <v>435109.29</v>
      </c>
      <c r="PG1322" s="97">
        <f t="shared" si="1794"/>
        <v>2838.22</v>
      </c>
      <c r="PH1322" s="97">
        <f t="shared" si="1795"/>
        <v>2899.56</v>
      </c>
      <c r="PI1322" s="97">
        <f t="shared" si="1796"/>
        <v>2923.12</v>
      </c>
      <c r="PJ1322" s="97">
        <f t="shared" si="1576"/>
        <v>751414.86</v>
      </c>
      <c r="PK1322" s="97">
        <f t="shared" si="1576"/>
        <v>818176.88</v>
      </c>
      <c r="PL1322" s="97">
        <f t="shared" si="1576"/>
        <v>870218.58</v>
      </c>
      <c r="PM1322" s="97">
        <f t="shared" si="1577"/>
        <v>5676.44</v>
      </c>
      <c r="PN1322" s="97">
        <f t="shared" si="1577"/>
        <v>5799.12</v>
      </c>
      <c r="PO1322" s="97">
        <f t="shared" si="1577"/>
        <v>5846.24</v>
      </c>
      <c r="PP1322" s="102">
        <v>2</v>
      </c>
      <c r="PQ1322" s="102">
        <v>2</v>
      </c>
      <c r="PR1322" s="102">
        <v>2</v>
      </c>
      <c r="PS1322" s="97">
        <f t="shared" si="1578"/>
        <v>1791812</v>
      </c>
      <c r="PT1322" s="97">
        <f t="shared" si="1579"/>
        <v>1890208</v>
      </c>
      <c r="PU1322" s="97">
        <f t="shared" si="1580"/>
        <v>1937908</v>
      </c>
      <c r="PV1322" s="97">
        <f t="shared" si="1581"/>
        <v>6570.68</v>
      </c>
      <c r="PW1322" s="97">
        <f t="shared" si="1582"/>
        <v>6570.68</v>
      </c>
      <c r="PX1322" s="97">
        <f t="shared" si="1583"/>
        <v>6570.68</v>
      </c>
      <c r="PY1322" s="97">
        <f t="shared" si="1797"/>
        <v>336372.18</v>
      </c>
      <c r="PZ1322" s="97">
        <f t="shared" si="1798"/>
        <v>366565.79</v>
      </c>
      <c r="QA1322" s="97">
        <f t="shared" si="1799"/>
        <v>389907.86</v>
      </c>
      <c r="QB1322" s="97">
        <f t="shared" si="1800"/>
        <v>2926.91</v>
      </c>
      <c r="QC1322" s="97">
        <f t="shared" si="1801"/>
        <v>3073.57</v>
      </c>
      <c r="QD1322" s="97">
        <f t="shared" si="1802"/>
        <v>3070.9</v>
      </c>
      <c r="QE1322" s="97">
        <f t="shared" si="1584"/>
        <v>672744.36</v>
      </c>
      <c r="QF1322" s="97">
        <f t="shared" si="1584"/>
        <v>733131.58</v>
      </c>
      <c r="QG1322" s="97">
        <f t="shared" si="1584"/>
        <v>779815.72</v>
      </c>
      <c r="QH1322" s="97">
        <f t="shared" si="1585"/>
        <v>5853.82</v>
      </c>
      <c r="QI1322" s="97">
        <f t="shared" si="1585"/>
        <v>6147.14</v>
      </c>
      <c r="QJ1322" s="97">
        <f t="shared" si="1585"/>
        <v>6141.8</v>
      </c>
      <c r="QK1322" s="102">
        <v>3</v>
      </c>
      <c r="QL1322" s="102">
        <v>3</v>
      </c>
      <c r="QM1322" s="102">
        <v>3</v>
      </c>
      <c r="QN1322" s="97">
        <f t="shared" si="1586"/>
        <v>2687718</v>
      </c>
      <c r="QO1322" s="97">
        <f t="shared" si="1587"/>
        <v>2835312</v>
      </c>
      <c r="QP1322" s="97">
        <f t="shared" si="1588"/>
        <v>2906862</v>
      </c>
      <c r="QQ1322" s="97">
        <f t="shared" si="1589"/>
        <v>9856.02</v>
      </c>
      <c r="QR1322" s="97">
        <f t="shared" si="1590"/>
        <v>9856.02</v>
      </c>
      <c r="QS1322" s="97">
        <f t="shared" si="1591"/>
        <v>9856.02</v>
      </c>
      <c r="QT1322" s="97">
        <f t="shared" si="1803"/>
        <v>342071.33</v>
      </c>
      <c r="QU1322" s="97">
        <f t="shared" si="1804"/>
        <v>372641.23</v>
      </c>
      <c r="QV1322" s="97">
        <f t="shared" si="1805"/>
        <v>396413.26</v>
      </c>
      <c r="QW1322" s="97">
        <f t="shared" si="1806"/>
        <v>2013.09</v>
      </c>
      <c r="QX1322" s="97">
        <f t="shared" si="1807"/>
        <v>2088.9299999999998</v>
      </c>
      <c r="QY1322" s="97">
        <f t="shared" si="1808"/>
        <v>2100.62</v>
      </c>
      <c r="QZ1322" s="97">
        <f t="shared" si="1592"/>
        <v>1026213.99</v>
      </c>
      <c r="RA1322" s="97">
        <f t="shared" si="1592"/>
        <v>1117923.69</v>
      </c>
      <c r="RB1322" s="97">
        <f t="shared" si="1592"/>
        <v>1189239.78</v>
      </c>
      <c r="RC1322" s="97">
        <f t="shared" si="1593"/>
        <v>6039.27</v>
      </c>
      <c r="RD1322" s="97">
        <f t="shared" si="1593"/>
        <v>6266.79</v>
      </c>
      <c r="RE1322" s="97">
        <f t="shared" si="1593"/>
        <v>6301.86</v>
      </c>
      <c r="RF1322" s="102">
        <v>2</v>
      </c>
      <c r="RG1322" s="102">
        <v>2</v>
      </c>
      <c r="RH1322" s="102">
        <v>2</v>
      </c>
      <c r="RI1322" s="97">
        <f t="shared" si="1594"/>
        <v>1791812</v>
      </c>
      <c r="RJ1322" s="97">
        <f t="shared" si="1595"/>
        <v>1890208</v>
      </c>
      <c r="RK1322" s="97">
        <f t="shared" si="1596"/>
        <v>1937908</v>
      </c>
      <c r="RL1322" s="97">
        <f t="shared" si="1597"/>
        <v>6570.68</v>
      </c>
      <c r="RM1322" s="97">
        <f t="shared" si="1598"/>
        <v>6570.68</v>
      </c>
      <c r="RN1322" s="97">
        <f t="shared" si="1599"/>
        <v>6570.68</v>
      </c>
      <c r="RO1322" s="97">
        <f t="shared" si="1809"/>
        <v>366427.83</v>
      </c>
      <c r="RP1322" s="97">
        <f t="shared" si="1810"/>
        <v>399007.52</v>
      </c>
      <c r="RQ1322" s="97">
        <f t="shared" si="1811"/>
        <v>424458.41</v>
      </c>
      <c r="RR1322" s="97">
        <f t="shared" si="1812"/>
        <v>2839.69</v>
      </c>
      <c r="RS1322" s="97">
        <f t="shared" si="1813"/>
        <v>2890.94</v>
      </c>
      <c r="RT1322" s="97">
        <f t="shared" si="1814"/>
        <v>2907.74</v>
      </c>
      <c r="RU1322" s="97">
        <f t="shared" si="1600"/>
        <v>732855.66</v>
      </c>
      <c r="RV1322" s="97">
        <f t="shared" si="1600"/>
        <v>798015.04</v>
      </c>
      <c r="RW1322" s="97">
        <f t="shared" si="1600"/>
        <v>848916.82</v>
      </c>
      <c r="RX1322" s="97">
        <f t="shared" si="1601"/>
        <v>5679.38</v>
      </c>
      <c r="RY1322" s="97">
        <f t="shared" si="1601"/>
        <v>5781.88</v>
      </c>
      <c r="RZ1322" s="97">
        <f t="shared" si="1601"/>
        <v>5815.48</v>
      </c>
      <c r="SA1322" s="102">
        <v>2</v>
      </c>
      <c r="SB1322" s="102">
        <v>2</v>
      </c>
      <c r="SC1322" s="102">
        <v>2</v>
      </c>
      <c r="SD1322" s="97">
        <f t="shared" si="1602"/>
        <v>1791812</v>
      </c>
      <c r="SE1322" s="97">
        <f t="shared" si="1603"/>
        <v>1890208</v>
      </c>
      <c r="SF1322" s="97">
        <f t="shared" si="1604"/>
        <v>1937908</v>
      </c>
      <c r="SG1322" s="97">
        <f t="shared" si="1605"/>
        <v>6570.68</v>
      </c>
      <c r="SH1322" s="97">
        <f t="shared" si="1606"/>
        <v>6570.68</v>
      </c>
      <c r="SI1322" s="97">
        <f t="shared" si="1607"/>
        <v>6570.68</v>
      </c>
      <c r="SJ1322" s="97">
        <f t="shared" si="1815"/>
        <v>385012.79</v>
      </c>
      <c r="SK1322" s="97">
        <f t="shared" si="1816"/>
        <v>418780.18</v>
      </c>
      <c r="SL1322" s="97">
        <f t="shared" si="1817"/>
        <v>445306.97</v>
      </c>
      <c r="SM1322" s="97">
        <f t="shared" si="1818"/>
        <v>3975.66</v>
      </c>
      <c r="SN1322" s="97">
        <f t="shared" si="1819"/>
        <v>4102.3999999999996</v>
      </c>
      <c r="SO1322" s="97">
        <f t="shared" si="1820"/>
        <v>4113.55</v>
      </c>
      <c r="SP1322" s="97">
        <f t="shared" si="1608"/>
        <v>770025.58</v>
      </c>
      <c r="SQ1322" s="97">
        <f t="shared" si="1608"/>
        <v>837560.36</v>
      </c>
      <c r="SR1322" s="97">
        <f t="shared" si="1608"/>
        <v>890613.94</v>
      </c>
      <c r="SS1322" s="97">
        <f t="shared" si="1609"/>
        <v>7951.32</v>
      </c>
      <c r="ST1322" s="97">
        <f t="shared" si="1609"/>
        <v>8204.7999999999993</v>
      </c>
      <c r="SU1322" s="97">
        <f t="shared" si="1609"/>
        <v>8227.1</v>
      </c>
      <c r="SV1322" s="102">
        <v>4</v>
      </c>
      <c r="SW1322" s="102">
        <v>4</v>
      </c>
      <c r="SX1322" s="102">
        <v>4</v>
      </c>
      <c r="SY1322" s="97">
        <f t="shared" si="1610"/>
        <v>3583624</v>
      </c>
      <c r="SZ1322" s="97">
        <f t="shared" si="1611"/>
        <v>3780416</v>
      </c>
      <c r="TA1322" s="97">
        <f t="shared" si="1612"/>
        <v>3875816</v>
      </c>
      <c r="TB1322" s="97">
        <f t="shared" si="1613"/>
        <v>13141.36</v>
      </c>
      <c r="TC1322" s="97">
        <f t="shared" si="1614"/>
        <v>13141.36</v>
      </c>
      <c r="TD1322" s="97">
        <f t="shared" si="1615"/>
        <v>13141.36</v>
      </c>
      <c r="TE1322" s="97">
        <f t="shared" si="1821"/>
        <v>344147.8</v>
      </c>
      <c r="TF1322" s="97">
        <f t="shared" si="1822"/>
        <v>374757.75</v>
      </c>
      <c r="TG1322" s="97">
        <f t="shared" si="1823"/>
        <v>398592.65</v>
      </c>
      <c r="TH1322" s="97">
        <f t="shared" si="1824"/>
        <v>3027.62</v>
      </c>
      <c r="TI1322" s="97">
        <f t="shared" si="1825"/>
        <v>3108.06</v>
      </c>
      <c r="TJ1322" s="97">
        <f t="shared" si="1826"/>
        <v>3099.07</v>
      </c>
      <c r="TK1322" s="97">
        <f t="shared" si="1616"/>
        <v>1376591.2</v>
      </c>
      <c r="TL1322" s="97">
        <f t="shared" si="1616"/>
        <v>1499031</v>
      </c>
      <c r="TM1322" s="97">
        <f t="shared" si="1616"/>
        <v>1594370.6</v>
      </c>
      <c r="TN1322" s="97">
        <f t="shared" si="1617"/>
        <v>12110.48</v>
      </c>
      <c r="TO1322" s="97">
        <f t="shared" si="1617"/>
        <v>12432.24</v>
      </c>
      <c r="TP1322" s="97">
        <f t="shared" si="1617"/>
        <v>12396.28</v>
      </c>
      <c r="TQ1322" s="102">
        <v>2</v>
      </c>
      <c r="TR1322" s="102">
        <v>2</v>
      </c>
      <c r="TS1322" s="102">
        <v>2</v>
      </c>
      <c r="TT1322" s="97">
        <f t="shared" si="1618"/>
        <v>1791812</v>
      </c>
      <c r="TU1322" s="97">
        <f t="shared" si="1619"/>
        <v>1890208</v>
      </c>
      <c r="TV1322" s="97">
        <f t="shared" si="1620"/>
        <v>1937908</v>
      </c>
      <c r="TW1322" s="97">
        <f t="shared" si="1621"/>
        <v>6570.68</v>
      </c>
      <c r="TX1322" s="97">
        <f t="shared" si="1622"/>
        <v>6570.68</v>
      </c>
      <c r="TY1322" s="97">
        <f t="shared" si="1623"/>
        <v>6570.68</v>
      </c>
      <c r="TZ1322" s="97">
        <f t="shared" si="1827"/>
        <v>368673.24</v>
      </c>
      <c r="UA1322" s="97">
        <f t="shared" si="1828"/>
        <v>401172.13</v>
      </c>
      <c r="UB1322" s="97">
        <f t="shared" si="1829"/>
        <v>426714.15</v>
      </c>
      <c r="UC1322" s="97">
        <f t="shared" si="1830"/>
        <v>2766.84</v>
      </c>
      <c r="UD1322" s="97">
        <f t="shared" si="1831"/>
        <v>2923.79</v>
      </c>
      <c r="UE1322" s="97">
        <f t="shared" si="1832"/>
        <v>2932.81</v>
      </c>
      <c r="UF1322" s="97">
        <f t="shared" si="1624"/>
        <v>737346.48</v>
      </c>
      <c r="UG1322" s="97">
        <f t="shared" si="1624"/>
        <v>802344.26</v>
      </c>
      <c r="UH1322" s="97">
        <f t="shared" si="1624"/>
        <v>853428.3</v>
      </c>
      <c r="UI1322" s="97">
        <f t="shared" si="1625"/>
        <v>5533.68</v>
      </c>
      <c r="UJ1322" s="97">
        <f t="shared" si="1625"/>
        <v>5847.58</v>
      </c>
      <c r="UK1322" s="97">
        <f t="shared" si="1625"/>
        <v>5865.62</v>
      </c>
      <c r="UL1322" s="102">
        <v>1</v>
      </c>
      <c r="UM1322" s="102">
        <v>1</v>
      </c>
      <c r="UN1322" s="102">
        <v>1</v>
      </c>
      <c r="UO1322" s="97">
        <f t="shared" si="1626"/>
        <v>895906</v>
      </c>
      <c r="UP1322" s="97">
        <f t="shared" si="1627"/>
        <v>945104</v>
      </c>
      <c r="UQ1322" s="97">
        <f t="shared" si="1628"/>
        <v>968954</v>
      </c>
      <c r="UR1322" s="97">
        <f t="shared" si="1629"/>
        <v>3285.34</v>
      </c>
      <c r="US1322" s="97">
        <f t="shared" si="1630"/>
        <v>3285.34</v>
      </c>
      <c r="UT1322" s="97">
        <f t="shared" si="1631"/>
        <v>3285.34</v>
      </c>
      <c r="UU1322" s="97">
        <f t="shared" si="1833"/>
        <v>341061.1</v>
      </c>
      <c r="UV1322" s="97">
        <f t="shared" si="1834"/>
        <v>371755.44</v>
      </c>
      <c r="UW1322" s="97">
        <f t="shared" si="1835"/>
        <v>395521.13</v>
      </c>
      <c r="UX1322" s="97">
        <f t="shared" si="1836"/>
        <v>2156.79</v>
      </c>
      <c r="UY1322" s="97">
        <f t="shared" si="1837"/>
        <v>2268.5</v>
      </c>
      <c r="UZ1322" s="97">
        <f t="shared" si="1838"/>
        <v>2285.46</v>
      </c>
      <c r="VA1322" s="97">
        <f t="shared" si="1632"/>
        <v>341061.1</v>
      </c>
      <c r="VB1322" s="97">
        <f t="shared" si="1632"/>
        <v>371755.44</v>
      </c>
      <c r="VC1322" s="97">
        <f t="shared" si="1632"/>
        <v>395521.13</v>
      </c>
      <c r="VD1322" s="97">
        <f t="shared" si="1633"/>
        <v>2156.79</v>
      </c>
      <c r="VE1322" s="97">
        <f t="shared" si="1633"/>
        <v>2268.5</v>
      </c>
      <c r="VF1322" s="97">
        <f t="shared" si="1633"/>
        <v>2285.46</v>
      </c>
      <c r="VG1322" s="102">
        <v>5</v>
      </c>
      <c r="VH1322" s="102">
        <v>5</v>
      </c>
      <c r="VI1322" s="102">
        <v>5</v>
      </c>
      <c r="VJ1322" s="97">
        <f t="shared" si="1634"/>
        <v>4479530</v>
      </c>
      <c r="VK1322" s="97">
        <f t="shared" si="1635"/>
        <v>4725520</v>
      </c>
      <c r="VL1322" s="97">
        <f t="shared" si="1636"/>
        <v>4844770</v>
      </c>
      <c r="VM1322" s="97">
        <f t="shared" si="1637"/>
        <v>16426.7</v>
      </c>
      <c r="VN1322" s="97">
        <f t="shared" si="1638"/>
        <v>16426.7</v>
      </c>
      <c r="VO1322" s="97">
        <f t="shared" si="1639"/>
        <v>16426.7</v>
      </c>
      <c r="VP1322" s="97">
        <f t="shared" si="1839"/>
        <v>347920.53</v>
      </c>
      <c r="VQ1322" s="97">
        <f t="shared" si="1840"/>
        <v>378917.14</v>
      </c>
      <c r="VR1322" s="97">
        <f t="shared" si="1841"/>
        <v>403115.07</v>
      </c>
      <c r="VS1322" s="97">
        <f t="shared" si="1842"/>
        <v>2321.42</v>
      </c>
      <c r="VT1322" s="97">
        <f t="shared" si="1843"/>
        <v>2391.9899999999998</v>
      </c>
      <c r="VU1322" s="97">
        <f t="shared" si="1844"/>
        <v>2408.64</v>
      </c>
      <c r="VV1322" s="97">
        <f t="shared" si="1640"/>
        <v>1739602.65</v>
      </c>
      <c r="VW1322" s="97">
        <f t="shared" si="1640"/>
        <v>1894585.7</v>
      </c>
      <c r="VX1322" s="97">
        <f t="shared" si="1640"/>
        <v>2015575.35</v>
      </c>
      <c r="VY1322" s="97">
        <f t="shared" si="1641"/>
        <v>11607.1</v>
      </c>
      <c r="VZ1322" s="97">
        <f t="shared" si="1641"/>
        <v>11959.95</v>
      </c>
      <c r="WA1322" s="97">
        <f t="shared" si="1641"/>
        <v>12043.2</v>
      </c>
      <c r="WB1322" s="102"/>
      <c r="WC1322" s="102"/>
      <c r="WD1322" s="102"/>
      <c r="WE1322" s="97">
        <f t="shared" si="1642"/>
        <v>0</v>
      </c>
      <c r="WF1322" s="97">
        <f t="shared" si="1643"/>
        <v>0</v>
      </c>
      <c r="WG1322" s="97">
        <f t="shared" si="1644"/>
        <v>0</v>
      </c>
      <c r="WH1322" s="97">
        <f t="shared" si="1645"/>
        <v>0</v>
      </c>
      <c r="WI1322" s="97">
        <f t="shared" si="1646"/>
        <v>0</v>
      </c>
      <c r="WJ1322" s="97">
        <f t="shared" si="1647"/>
        <v>0</v>
      </c>
      <c r="WK1322" s="97">
        <f t="shared" si="1845"/>
        <v>321427.02</v>
      </c>
      <c r="WL1322" s="97">
        <f t="shared" si="1846"/>
        <v>350455.85</v>
      </c>
      <c r="WM1322" s="97">
        <f t="shared" si="1847"/>
        <v>372841.94</v>
      </c>
      <c r="WN1322" s="97">
        <f t="shared" si="1848"/>
        <v>2493.0100000000002</v>
      </c>
      <c r="WO1322" s="97">
        <f t="shared" si="1849"/>
        <v>2631.6</v>
      </c>
      <c r="WP1322" s="97">
        <f t="shared" si="1850"/>
        <v>2652.32</v>
      </c>
      <c r="WQ1322" s="97">
        <f t="shared" si="1648"/>
        <v>0</v>
      </c>
      <c r="WR1322" s="97">
        <f t="shared" si="1648"/>
        <v>0</v>
      </c>
      <c r="WS1322" s="97">
        <f t="shared" si="1648"/>
        <v>0</v>
      </c>
      <c r="WT1322" s="97">
        <f t="shared" si="1649"/>
        <v>0</v>
      </c>
      <c r="WU1322" s="97">
        <f t="shared" si="1649"/>
        <v>0</v>
      </c>
      <c r="WV1322" s="97">
        <f t="shared" si="1649"/>
        <v>0</v>
      </c>
      <c r="WW1322" s="102">
        <v>1</v>
      </c>
      <c r="WX1322" s="102">
        <v>1</v>
      </c>
      <c r="WY1322" s="102">
        <v>1</v>
      </c>
      <c r="WZ1322" s="97">
        <f t="shared" si="1650"/>
        <v>895906</v>
      </c>
      <c r="XA1322" s="97">
        <f t="shared" si="1651"/>
        <v>945104</v>
      </c>
      <c r="XB1322" s="97">
        <f t="shared" si="1652"/>
        <v>968954</v>
      </c>
      <c r="XC1322" s="97">
        <f t="shared" si="1653"/>
        <v>3285.34</v>
      </c>
      <c r="XD1322" s="97">
        <f t="shared" si="1654"/>
        <v>3285.34</v>
      </c>
      <c r="XE1322" s="97">
        <f t="shared" si="1655"/>
        <v>3285.34</v>
      </c>
      <c r="XF1322" s="97">
        <f t="shared" si="1851"/>
        <v>315770.02</v>
      </c>
      <c r="XG1322" s="97">
        <f t="shared" si="1852"/>
        <v>344056.52</v>
      </c>
      <c r="XH1322" s="97">
        <f t="shared" si="1853"/>
        <v>365961.25</v>
      </c>
      <c r="XI1322" s="97">
        <f t="shared" si="1854"/>
        <v>2007.98</v>
      </c>
      <c r="XJ1322" s="97">
        <f t="shared" si="1855"/>
        <v>2127.31</v>
      </c>
      <c r="XK1322" s="97">
        <f t="shared" si="1856"/>
        <v>2136.4499999999998</v>
      </c>
      <c r="XL1322" s="97">
        <f t="shared" si="1656"/>
        <v>315770.02</v>
      </c>
      <c r="XM1322" s="97">
        <f t="shared" si="1656"/>
        <v>344056.52</v>
      </c>
      <c r="XN1322" s="97">
        <f t="shared" si="1656"/>
        <v>365961.25</v>
      </c>
      <c r="XO1322" s="97">
        <f t="shared" si="1657"/>
        <v>2007.98</v>
      </c>
      <c r="XP1322" s="97">
        <f t="shared" si="1657"/>
        <v>2127.31</v>
      </c>
      <c r="XQ1322" s="97">
        <f t="shared" si="1657"/>
        <v>2136.4499999999998</v>
      </c>
      <c r="XR1322" s="102">
        <v>3</v>
      </c>
      <c r="XS1322" s="102">
        <v>3</v>
      </c>
      <c r="XT1322" s="102">
        <v>3</v>
      </c>
      <c r="XU1322" s="97">
        <f t="shared" si="1658"/>
        <v>2687718</v>
      </c>
      <c r="XV1322" s="97">
        <f t="shared" si="1659"/>
        <v>2835312</v>
      </c>
      <c r="XW1322" s="97">
        <f t="shared" si="1660"/>
        <v>2906862</v>
      </c>
      <c r="XX1322" s="97">
        <f t="shared" si="1661"/>
        <v>9856.02</v>
      </c>
      <c r="XY1322" s="97">
        <f t="shared" si="1662"/>
        <v>9856.02</v>
      </c>
      <c r="XZ1322" s="97">
        <f t="shared" si="1663"/>
        <v>9856.02</v>
      </c>
      <c r="YA1322" s="97">
        <f t="shared" si="1857"/>
        <v>333316.52</v>
      </c>
      <c r="YB1322" s="97">
        <f t="shared" si="1858"/>
        <v>363470.78</v>
      </c>
      <c r="YC1322" s="97">
        <f t="shared" si="1859"/>
        <v>386787.62</v>
      </c>
      <c r="YD1322" s="97">
        <f t="shared" si="1860"/>
        <v>8781.39</v>
      </c>
      <c r="YE1322" s="97">
        <f t="shared" si="1861"/>
        <v>10396.26</v>
      </c>
      <c r="YF1322" s="97">
        <f t="shared" si="1862"/>
        <v>10465.290000000001</v>
      </c>
      <c r="YG1322" s="97">
        <f t="shared" si="1664"/>
        <v>999949.56</v>
      </c>
      <c r="YH1322" s="97">
        <f t="shared" si="1664"/>
        <v>1090412.3400000001</v>
      </c>
      <c r="YI1322" s="97">
        <f t="shared" si="1664"/>
        <v>1160362.8600000001</v>
      </c>
      <c r="YJ1322" s="97">
        <f t="shared" si="1665"/>
        <v>26344.17</v>
      </c>
      <c r="YK1322" s="97">
        <f t="shared" si="1665"/>
        <v>31188.78</v>
      </c>
      <c r="YL1322" s="97">
        <f t="shared" si="1665"/>
        <v>31395.87</v>
      </c>
      <c r="YM1322" s="145">
        <f t="shared" si="1666"/>
        <v>74</v>
      </c>
      <c r="YN1322" s="145">
        <f t="shared" si="1666"/>
        <v>74</v>
      </c>
      <c r="YO1322" s="145">
        <f t="shared" si="1666"/>
        <v>74</v>
      </c>
      <c r="YP1322" s="97">
        <f t="shared" si="1667"/>
        <v>66297044</v>
      </c>
      <c r="YQ1322" s="97">
        <f t="shared" si="1668"/>
        <v>69937696</v>
      </c>
      <c r="YR1322" s="97">
        <f t="shared" si="1669"/>
        <v>71702596</v>
      </c>
      <c r="YS1322" s="97">
        <f t="shared" si="1670"/>
        <v>243115.16</v>
      </c>
      <c r="YT1322" s="97">
        <f t="shared" si="1671"/>
        <v>243115.16</v>
      </c>
      <c r="YU1322" s="97">
        <f t="shared" si="1672"/>
        <v>243115.16</v>
      </c>
      <c r="YV1322" s="97">
        <f t="shared" si="1863"/>
        <v>351301.89</v>
      </c>
      <c r="YW1322" s="97">
        <f t="shared" si="1864"/>
        <v>382571.11</v>
      </c>
      <c r="YX1322" s="97">
        <f t="shared" si="1865"/>
        <v>406916.76</v>
      </c>
      <c r="YY1322" s="97">
        <f t="shared" si="1866"/>
        <v>2824.78</v>
      </c>
      <c r="YZ1322" s="97">
        <f t="shared" si="1867"/>
        <v>2968.67</v>
      </c>
      <c r="ZA1322" s="97">
        <f t="shared" si="1868"/>
        <v>2974.42</v>
      </c>
      <c r="ZB1322" s="97">
        <f t="shared" si="1673"/>
        <v>25996339.859999999</v>
      </c>
      <c r="ZC1322" s="97">
        <f t="shared" si="1673"/>
        <v>28310262.140000001</v>
      </c>
      <c r="ZD1322" s="97">
        <f t="shared" si="1673"/>
        <v>30111840.239999998</v>
      </c>
      <c r="ZE1322" s="97">
        <f t="shared" si="1674"/>
        <v>209033.72</v>
      </c>
      <c r="ZF1322" s="97">
        <f t="shared" si="1674"/>
        <v>219681.58</v>
      </c>
      <c r="ZG1322" s="97">
        <f t="shared" si="1674"/>
        <v>220107.08</v>
      </c>
    </row>
    <row r="1323" spans="1:683" ht="54.75" hidden="1" customHeight="1" x14ac:dyDescent="0.25">
      <c r="A1323" s="92" t="s">
        <v>639</v>
      </c>
      <c r="B1323" s="174"/>
      <c r="C1323" s="5"/>
      <c r="D1323" s="340"/>
      <c r="E1323" s="163"/>
      <c r="F1323" s="110">
        <f t="shared" si="1416"/>
        <v>10604</v>
      </c>
      <c r="G1323" s="110">
        <f t="shared" si="1416"/>
        <v>10604</v>
      </c>
      <c r="H1323" s="110">
        <f t="shared" si="1416"/>
        <v>10604</v>
      </c>
      <c r="I1323" s="97">
        <f t="shared" si="1417"/>
        <v>469</v>
      </c>
      <c r="J1323" s="97">
        <f t="shared" si="1417"/>
        <v>469</v>
      </c>
      <c r="K1323" s="97">
        <f t="shared" si="1417"/>
        <v>469</v>
      </c>
      <c r="L1323" s="102"/>
      <c r="M1323" s="102"/>
      <c r="N1323" s="102"/>
      <c r="O1323" s="97">
        <f t="shared" si="1418"/>
        <v>0</v>
      </c>
      <c r="P1323" s="97">
        <f t="shared" si="1419"/>
        <v>0</v>
      </c>
      <c r="Q1323" s="97">
        <f t="shared" si="1420"/>
        <v>0</v>
      </c>
      <c r="R1323" s="97">
        <f t="shared" si="1421"/>
        <v>0</v>
      </c>
      <c r="S1323" s="97">
        <f t="shared" si="1422"/>
        <v>0</v>
      </c>
      <c r="T1323" s="97">
        <f t="shared" si="1423"/>
        <v>0</v>
      </c>
      <c r="U1323" s="97">
        <f t="shared" si="1675"/>
        <v>4575.68</v>
      </c>
      <c r="V1323" s="97">
        <f t="shared" si="1676"/>
        <v>4724.88</v>
      </c>
      <c r="W1323" s="97">
        <f t="shared" si="1677"/>
        <v>4903.1400000000003</v>
      </c>
      <c r="X1323" s="97">
        <f t="shared" si="1678"/>
        <v>367.76</v>
      </c>
      <c r="Y1323" s="97">
        <f t="shared" si="1679"/>
        <v>371.55</v>
      </c>
      <c r="Z1323" s="97">
        <f t="shared" si="1680"/>
        <v>370.5</v>
      </c>
      <c r="AA1323" s="97">
        <f t="shared" si="1424"/>
        <v>0</v>
      </c>
      <c r="AB1323" s="97">
        <f t="shared" si="1424"/>
        <v>0</v>
      </c>
      <c r="AC1323" s="97">
        <f t="shared" si="1424"/>
        <v>0</v>
      </c>
      <c r="AD1323" s="97">
        <f t="shared" si="1425"/>
        <v>0</v>
      </c>
      <c r="AE1323" s="97">
        <f t="shared" si="1425"/>
        <v>0</v>
      </c>
      <c r="AF1323" s="97">
        <f t="shared" si="1425"/>
        <v>0</v>
      </c>
      <c r="AG1323" s="102"/>
      <c r="AH1323" s="102"/>
      <c r="AI1323" s="102"/>
      <c r="AJ1323" s="97">
        <f t="shared" si="1426"/>
        <v>0</v>
      </c>
      <c r="AK1323" s="97">
        <f t="shared" si="1427"/>
        <v>0</v>
      </c>
      <c r="AL1323" s="97">
        <f t="shared" si="1428"/>
        <v>0</v>
      </c>
      <c r="AM1323" s="97">
        <f t="shared" si="1429"/>
        <v>0</v>
      </c>
      <c r="AN1323" s="97">
        <f t="shared" si="1430"/>
        <v>0</v>
      </c>
      <c r="AO1323" s="97">
        <f t="shared" si="1431"/>
        <v>0</v>
      </c>
      <c r="AP1323" s="97">
        <f t="shared" si="1683"/>
        <v>4209.42</v>
      </c>
      <c r="AQ1323" s="97">
        <f t="shared" si="1684"/>
        <v>4345.97</v>
      </c>
      <c r="AR1323" s="97">
        <f t="shared" si="1685"/>
        <v>4509.22</v>
      </c>
      <c r="AS1323" s="97">
        <f t="shared" si="1686"/>
        <v>293.25</v>
      </c>
      <c r="AT1323" s="97">
        <f t="shared" si="1687"/>
        <v>300.76</v>
      </c>
      <c r="AU1323" s="97">
        <f t="shared" si="1688"/>
        <v>302.26</v>
      </c>
      <c r="AV1323" s="97">
        <f t="shared" si="1432"/>
        <v>0</v>
      </c>
      <c r="AW1323" s="97">
        <f t="shared" si="1432"/>
        <v>0</v>
      </c>
      <c r="AX1323" s="97">
        <f t="shared" si="1432"/>
        <v>0</v>
      </c>
      <c r="AY1323" s="97">
        <f t="shared" si="1433"/>
        <v>0</v>
      </c>
      <c r="AZ1323" s="97">
        <f t="shared" si="1433"/>
        <v>0</v>
      </c>
      <c r="BA1323" s="97">
        <f t="shared" si="1433"/>
        <v>0</v>
      </c>
      <c r="BB1323" s="102"/>
      <c r="BC1323" s="102"/>
      <c r="BD1323" s="102"/>
      <c r="BE1323" s="97">
        <f t="shared" si="1434"/>
        <v>0</v>
      </c>
      <c r="BF1323" s="97">
        <f t="shared" si="1435"/>
        <v>0</v>
      </c>
      <c r="BG1323" s="97">
        <f t="shared" si="1436"/>
        <v>0</v>
      </c>
      <c r="BH1323" s="97">
        <f t="shared" si="1437"/>
        <v>0</v>
      </c>
      <c r="BI1323" s="97">
        <f t="shared" si="1438"/>
        <v>0</v>
      </c>
      <c r="BJ1323" s="97">
        <f t="shared" si="1439"/>
        <v>0</v>
      </c>
      <c r="BK1323" s="97">
        <f t="shared" si="1689"/>
        <v>3970.86</v>
      </c>
      <c r="BL1323" s="97">
        <f t="shared" si="1690"/>
        <v>4091.53</v>
      </c>
      <c r="BM1323" s="97">
        <f t="shared" si="1691"/>
        <v>4240.6099999999997</v>
      </c>
      <c r="BN1323" s="97">
        <f t="shared" si="1692"/>
        <v>313.25</v>
      </c>
      <c r="BO1323" s="97">
        <f t="shared" si="1693"/>
        <v>321.27999999999997</v>
      </c>
      <c r="BP1323" s="97">
        <f t="shared" si="1694"/>
        <v>322.29000000000002</v>
      </c>
      <c r="BQ1323" s="97">
        <f t="shared" si="1440"/>
        <v>0</v>
      </c>
      <c r="BR1323" s="97">
        <f t="shared" si="1440"/>
        <v>0</v>
      </c>
      <c r="BS1323" s="97">
        <f t="shared" si="1440"/>
        <v>0</v>
      </c>
      <c r="BT1323" s="97">
        <f t="shared" si="1441"/>
        <v>0</v>
      </c>
      <c r="BU1323" s="97">
        <f t="shared" si="1441"/>
        <v>0</v>
      </c>
      <c r="BV1323" s="97">
        <f t="shared" si="1441"/>
        <v>0</v>
      </c>
      <c r="BW1323" s="102"/>
      <c r="BX1323" s="102"/>
      <c r="BY1323" s="102"/>
      <c r="BZ1323" s="97">
        <f t="shared" si="1442"/>
        <v>0</v>
      </c>
      <c r="CA1323" s="97">
        <f t="shared" si="1443"/>
        <v>0</v>
      </c>
      <c r="CB1323" s="97">
        <f t="shared" si="1444"/>
        <v>0</v>
      </c>
      <c r="CC1323" s="97">
        <f t="shared" si="1445"/>
        <v>0</v>
      </c>
      <c r="CD1323" s="97">
        <f t="shared" si="1446"/>
        <v>0</v>
      </c>
      <c r="CE1323" s="97">
        <f t="shared" si="1447"/>
        <v>0</v>
      </c>
      <c r="CF1323" s="97">
        <f t="shared" si="1695"/>
        <v>4100.82</v>
      </c>
      <c r="CG1323" s="97">
        <f t="shared" si="1696"/>
        <v>4237.03</v>
      </c>
      <c r="CH1323" s="97">
        <f t="shared" si="1697"/>
        <v>4396.46</v>
      </c>
      <c r="CI1323" s="97">
        <f t="shared" si="1698"/>
        <v>482.92</v>
      </c>
      <c r="CJ1323" s="97">
        <f t="shared" si="1699"/>
        <v>485.42</v>
      </c>
      <c r="CK1323" s="97">
        <f t="shared" si="1700"/>
        <v>483.08</v>
      </c>
      <c r="CL1323" s="97">
        <f t="shared" si="1448"/>
        <v>0</v>
      </c>
      <c r="CM1323" s="97">
        <f t="shared" si="1448"/>
        <v>0</v>
      </c>
      <c r="CN1323" s="97">
        <f t="shared" si="1448"/>
        <v>0</v>
      </c>
      <c r="CO1323" s="97">
        <f t="shared" si="1449"/>
        <v>0</v>
      </c>
      <c r="CP1323" s="97">
        <f t="shared" si="1449"/>
        <v>0</v>
      </c>
      <c r="CQ1323" s="97">
        <f t="shared" si="1449"/>
        <v>0</v>
      </c>
      <c r="CR1323" s="102"/>
      <c r="CS1323" s="102"/>
      <c r="CT1323" s="102"/>
      <c r="CU1323" s="97">
        <f t="shared" si="1450"/>
        <v>0</v>
      </c>
      <c r="CV1323" s="97">
        <f t="shared" si="1451"/>
        <v>0</v>
      </c>
      <c r="CW1323" s="97">
        <f t="shared" si="1452"/>
        <v>0</v>
      </c>
      <c r="CX1323" s="97">
        <f t="shared" si="1453"/>
        <v>0</v>
      </c>
      <c r="CY1323" s="97">
        <f t="shared" si="1454"/>
        <v>0</v>
      </c>
      <c r="CZ1323" s="97">
        <f t="shared" si="1455"/>
        <v>0</v>
      </c>
      <c r="DA1323" s="97">
        <f t="shared" si="1701"/>
        <v>4132.3999999999996</v>
      </c>
      <c r="DB1323" s="97">
        <f t="shared" si="1702"/>
        <v>4265.99</v>
      </c>
      <c r="DC1323" s="97">
        <f t="shared" si="1703"/>
        <v>4426.25</v>
      </c>
      <c r="DD1323" s="97">
        <f t="shared" si="1704"/>
        <v>233.8</v>
      </c>
      <c r="DE1323" s="97">
        <f t="shared" si="1705"/>
        <v>236.16</v>
      </c>
      <c r="DF1323" s="97">
        <f t="shared" si="1706"/>
        <v>235.75</v>
      </c>
      <c r="DG1323" s="97">
        <f t="shared" si="1456"/>
        <v>0</v>
      </c>
      <c r="DH1323" s="97">
        <f t="shared" si="1456"/>
        <v>0</v>
      </c>
      <c r="DI1323" s="97">
        <f t="shared" si="1456"/>
        <v>0</v>
      </c>
      <c r="DJ1323" s="97">
        <f t="shared" si="1457"/>
        <v>0</v>
      </c>
      <c r="DK1323" s="97">
        <f t="shared" si="1457"/>
        <v>0</v>
      </c>
      <c r="DL1323" s="97">
        <f t="shared" si="1457"/>
        <v>0</v>
      </c>
      <c r="DM1323" s="102"/>
      <c r="DN1323" s="102"/>
      <c r="DO1323" s="102"/>
      <c r="DP1323" s="97">
        <f t="shared" si="1458"/>
        <v>0</v>
      </c>
      <c r="DQ1323" s="97">
        <f t="shared" si="1459"/>
        <v>0</v>
      </c>
      <c r="DR1323" s="97">
        <f t="shared" si="1460"/>
        <v>0</v>
      </c>
      <c r="DS1323" s="97">
        <f t="shared" si="1461"/>
        <v>0</v>
      </c>
      <c r="DT1323" s="97">
        <f t="shared" si="1462"/>
        <v>0</v>
      </c>
      <c r="DU1323" s="97">
        <f t="shared" si="1463"/>
        <v>0</v>
      </c>
      <c r="DV1323" s="97">
        <f t="shared" si="1707"/>
        <v>4487.0600000000004</v>
      </c>
      <c r="DW1323" s="97">
        <f t="shared" si="1708"/>
        <v>4639.32</v>
      </c>
      <c r="DX1323" s="97">
        <f t="shared" si="1709"/>
        <v>4815.92</v>
      </c>
      <c r="DY1323" s="97">
        <f t="shared" si="1710"/>
        <v>489.7</v>
      </c>
      <c r="DZ1323" s="97">
        <f t="shared" si="1711"/>
        <v>475.73</v>
      </c>
      <c r="EA1323" s="97">
        <f t="shared" si="1712"/>
        <v>474.43</v>
      </c>
      <c r="EB1323" s="97">
        <f t="shared" si="1464"/>
        <v>0</v>
      </c>
      <c r="EC1323" s="97">
        <f t="shared" si="1464"/>
        <v>0</v>
      </c>
      <c r="ED1323" s="97">
        <f t="shared" si="1464"/>
        <v>0</v>
      </c>
      <c r="EE1323" s="97">
        <f t="shared" si="1465"/>
        <v>0</v>
      </c>
      <c r="EF1323" s="97">
        <f t="shared" si="1465"/>
        <v>0</v>
      </c>
      <c r="EG1323" s="97">
        <f t="shared" si="1465"/>
        <v>0</v>
      </c>
      <c r="EH1323" s="102"/>
      <c r="EI1323" s="102"/>
      <c r="EJ1323" s="102"/>
      <c r="EK1323" s="97">
        <f t="shared" si="1466"/>
        <v>0</v>
      </c>
      <c r="EL1323" s="97">
        <f t="shared" si="1467"/>
        <v>0</v>
      </c>
      <c r="EM1323" s="97">
        <f t="shared" si="1468"/>
        <v>0</v>
      </c>
      <c r="EN1323" s="97">
        <f t="shared" si="1469"/>
        <v>0</v>
      </c>
      <c r="EO1323" s="97">
        <f t="shared" si="1470"/>
        <v>0</v>
      </c>
      <c r="EP1323" s="97">
        <f t="shared" si="1471"/>
        <v>0</v>
      </c>
      <c r="EQ1323" s="97">
        <f t="shared" si="1713"/>
        <v>4435.29</v>
      </c>
      <c r="ER1323" s="97">
        <f t="shared" si="1714"/>
        <v>4571.63</v>
      </c>
      <c r="ES1323" s="97">
        <f t="shared" si="1715"/>
        <v>4741.16</v>
      </c>
      <c r="ET1323" s="97">
        <f t="shared" si="1716"/>
        <v>411.13</v>
      </c>
      <c r="EU1323" s="97">
        <f t="shared" si="1717"/>
        <v>420.97</v>
      </c>
      <c r="EV1323" s="97">
        <f t="shared" si="1718"/>
        <v>422.73</v>
      </c>
      <c r="EW1323" s="97">
        <f t="shared" si="1472"/>
        <v>0</v>
      </c>
      <c r="EX1323" s="97">
        <f t="shared" si="1472"/>
        <v>0</v>
      </c>
      <c r="EY1323" s="97">
        <f t="shared" si="1472"/>
        <v>0</v>
      </c>
      <c r="EZ1323" s="97">
        <f t="shared" si="1473"/>
        <v>0</v>
      </c>
      <c r="FA1323" s="97">
        <f t="shared" si="1473"/>
        <v>0</v>
      </c>
      <c r="FB1323" s="97">
        <f t="shared" si="1473"/>
        <v>0</v>
      </c>
      <c r="FC1323" s="102"/>
      <c r="FD1323" s="102"/>
      <c r="FE1323" s="102"/>
      <c r="FF1323" s="97">
        <f t="shared" si="1474"/>
        <v>0</v>
      </c>
      <c r="FG1323" s="97">
        <f t="shared" si="1475"/>
        <v>0</v>
      </c>
      <c r="FH1323" s="97">
        <f t="shared" si="1476"/>
        <v>0</v>
      </c>
      <c r="FI1323" s="97">
        <f t="shared" si="1477"/>
        <v>0</v>
      </c>
      <c r="FJ1323" s="97">
        <f t="shared" si="1478"/>
        <v>0</v>
      </c>
      <c r="FK1323" s="97">
        <f t="shared" si="1479"/>
        <v>0</v>
      </c>
      <c r="FL1323" s="97">
        <f t="shared" si="1719"/>
        <v>4309.09</v>
      </c>
      <c r="FM1323" s="97">
        <f t="shared" si="1720"/>
        <v>4450.54</v>
      </c>
      <c r="FN1323" s="97">
        <f t="shared" si="1721"/>
        <v>4618.32</v>
      </c>
      <c r="FO1323" s="97">
        <f t="shared" si="1722"/>
        <v>442.18</v>
      </c>
      <c r="FP1323" s="97">
        <f t="shared" si="1723"/>
        <v>455.59</v>
      </c>
      <c r="FQ1323" s="97">
        <f t="shared" si="1724"/>
        <v>447.06</v>
      </c>
      <c r="FR1323" s="97">
        <f t="shared" si="1480"/>
        <v>0</v>
      </c>
      <c r="FS1323" s="97">
        <f t="shared" si="1480"/>
        <v>0</v>
      </c>
      <c r="FT1323" s="97">
        <f t="shared" si="1480"/>
        <v>0</v>
      </c>
      <c r="FU1323" s="97">
        <f t="shared" si="1481"/>
        <v>0</v>
      </c>
      <c r="FV1323" s="97">
        <f t="shared" si="1481"/>
        <v>0</v>
      </c>
      <c r="FW1323" s="97">
        <f t="shared" si="1481"/>
        <v>0</v>
      </c>
      <c r="FX1323" s="102"/>
      <c r="FY1323" s="102"/>
      <c r="FZ1323" s="102"/>
      <c r="GA1323" s="97">
        <f t="shared" si="1482"/>
        <v>0</v>
      </c>
      <c r="GB1323" s="97">
        <f t="shared" si="1483"/>
        <v>0</v>
      </c>
      <c r="GC1323" s="97">
        <f t="shared" si="1484"/>
        <v>0</v>
      </c>
      <c r="GD1323" s="97">
        <f t="shared" si="1485"/>
        <v>0</v>
      </c>
      <c r="GE1323" s="97">
        <f t="shared" si="1486"/>
        <v>0</v>
      </c>
      <c r="GF1323" s="97">
        <f t="shared" si="1487"/>
        <v>0</v>
      </c>
      <c r="GG1323" s="97">
        <f t="shared" si="1725"/>
        <v>4302.32</v>
      </c>
      <c r="GH1323" s="97">
        <f t="shared" si="1726"/>
        <v>4438.7</v>
      </c>
      <c r="GI1323" s="97">
        <f t="shared" si="1727"/>
        <v>4603.7299999999996</v>
      </c>
      <c r="GJ1323" s="97">
        <f t="shared" si="1728"/>
        <v>331.56</v>
      </c>
      <c r="GK1323" s="97">
        <f t="shared" si="1729"/>
        <v>368.2</v>
      </c>
      <c r="GL1323" s="97">
        <f t="shared" si="1730"/>
        <v>391.36</v>
      </c>
      <c r="GM1323" s="97">
        <f t="shared" si="1488"/>
        <v>0</v>
      </c>
      <c r="GN1323" s="97">
        <f t="shared" si="1488"/>
        <v>0</v>
      </c>
      <c r="GO1323" s="97">
        <f t="shared" si="1488"/>
        <v>0</v>
      </c>
      <c r="GP1323" s="97">
        <f t="shared" si="1489"/>
        <v>0</v>
      </c>
      <c r="GQ1323" s="97">
        <f t="shared" si="1489"/>
        <v>0</v>
      </c>
      <c r="GR1323" s="97">
        <f t="shared" si="1489"/>
        <v>0</v>
      </c>
      <c r="GS1323" s="102"/>
      <c r="GT1323" s="102"/>
      <c r="GU1323" s="102"/>
      <c r="GV1323" s="97">
        <f t="shared" si="1490"/>
        <v>0</v>
      </c>
      <c r="GW1323" s="97">
        <f t="shared" si="1491"/>
        <v>0</v>
      </c>
      <c r="GX1323" s="97">
        <f t="shared" si="1492"/>
        <v>0</v>
      </c>
      <c r="GY1323" s="97">
        <f t="shared" si="1493"/>
        <v>0</v>
      </c>
      <c r="GZ1323" s="97">
        <f t="shared" si="1494"/>
        <v>0</v>
      </c>
      <c r="HA1323" s="97">
        <f t="shared" si="1495"/>
        <v>0</v>
      </c>
      <c r="HB1323" s="97">
        <f t="shared" si="1731"/>
        <v>4494.3599999999997</v>
      </c>
      <c r="HC1323" s="97">
        <f t="shared" si="1732"/>
        <v>4634.96</v>
      </c>
      <c r="HD1323" s="97">
        <f t="shared" si="1733"/>
        <v>4807.1499999999996</v>
      </c>
      <c r="HE1323" s="97">
        <f t="shared" si="1734"/>
        <v>385.77</v>
      </c>
      <c r="HF1323" s="97">
        <f t="shared" si="1735"/>
        <v>393.83</v>
      </c>
      <c r="HG1323" s="97">
        <f t="shared" si="1736"/>
        <v>394.53</v>
      </c>
      <c r="HH1323" s="97">
        <f t="shared" si="1496"/>
        <v>0</v>
      </c>
      <c r="HI1323" s="97">
        <f t="shared" si="1496"/>
        <v>0</v>
      </c>
      <c r="HJ1323" s="97">
        <f t="shared" si="1496"/>
        <v>0</v>
      </c>
      <c r="HK1323" s="97">
        <f t="shared" si="1497"/>
        <v>0</v>
      </c>
      <c r="HL1323" s="97">
        <f t="shared" si="1497"/>
        <v>0</v>
      </c>
      <c r="HM1323" s="97">
        <f t="shared" si="1497"/>
        <v>0</v>
      </c>
      <c r="HN1323" s="102"/>
      <c r="HO1323" s="102"/>
      <c r="HP1323" s="102"/>
      <c r="HQ1323" s="97">
        <f t="shared" si="1498"/>
        <v>0</v>
      </c>
      <c r="HR1323" s="97">
        <f t="shared" si="1499"/>
        <v>0</v>
      </c>
      <c r="HS1323" s="97">
        <f t="shared" si="1500"/>
        <v>0</v>
      </c>
      <c r="HT1323" s="97">
        <f t="shared" si="1501"/>
        <v>0</v>
      </c>
      <c r="HU1323" s="97">
        <f t="shared" si="1502"/>
        <v>0</v>
      </c>
      <c r="HV1323" s="97">
        <f t="shared" si="1503"/>
        <v>0</v>
      </c>
      <c r="HW1323" s="97">
        <f t="shared" si="1737"/>
        <v>4423.08</v>
      </c>
      <c r="HX1323" s="97">
        <f t="shared" si="1738"/>
        <v>4568.1899999999996</v>
      </c>
      <c r="HY1323" s="97">
        <f t="shared" si="1739"/>
        <v>4738.76</v>
      </c>
      <c r="HZ1323" s="97">
        <f t="shared" si="1740"/>
        <v>368</v>
      </c>
      <c r="IA1323" s="97">
        <f t="shared" si="1741"/>
        <v>375.46</v>
      </c>
      <c r="IB1323" s="97">
        <f t="shared" si="1742"/>
        <v>369.69</v>
      </c>
      <c r="IC1323" s="97">
        <f t="shared" si="1504"/>
        <v>0</v>
      </c>
      <c r="ID1323" s="97">
        <f t="shared" si="1504"/>
        <v>0</v>
      </c>
      <c r="IE1323" s="97">
        <f t="shared" si="1504"/>
        <v>0</v>
      </c>
      <c r="IF1323" s="97">
        <f t="shared" si="1505"/>
        <v>0</v>
      </c>
      <c r="IG1323" s="97">
        <f t="shared" si="1505"/>
        <v>0</v>
      </c>
      <c r="IH1323" s="97">
        <f t="shared" si="1505"/>
        <v>0</v>
      </c>
      <c r="II1323" s="102"/>
      <c r="IJ1323" s="102"/>
      <c r="IK1323" s="102"/>
      <c r="IL1323" s="97">
        <f t="shared" si="1506"/>
        <v>0</v>
      </c>
      <c r="IM1323" s="97">
        <f t="shared" si="1507"/>
        <v>0</v>
      </c>
      <c r="IN1323" s="97">
        <f t="shared" si="1508"/>
        <v>0</v>
      </c>
      <c r="IO1323" s="97">
        <f t="shared" si="1509"/>
        <v>0</v>
      </c>
      <c r="IP1323" s="97">
        <f t="shared" si="1510"/>
        <v>0</v>
      </c>
      <c r="IQ1323" s="97">
        <f t="shared" si="1511"/>
        <v>0</v>
      </c>
      <c r="IR1323" s="97">
        <f t="shared" si="1743"/>
        <v>6008.45</v>
      </c>
      <c r="IS1323" s="97">
        <f t="shared" si="1744"/>
        <v>6189.48</v>
      </c>
      <c r="IT1323" s="97">
        <f t="shared" si="1745"/>
        <v>6418.25</v>
      </c>
      <c r="IU1323" s="97">
        <f t="shared" si="1746"/>
        <v>556.34</v>
      </c>
      <c r="IV1323" s="97">
        <f t="shared" si="1747"/>
        <v>567.59</v>
      </c>
      <c r="IW1323" s="97">
        <f t="shared" si="1748"/>
        <v>554.94000000000005</v>
      </c>
      <c r="IX1323" s="97">
        <f t="shared" si="1512"/>
        <v>0</v>
      </c>
      <c r="IY1323" s="97">
        <f t="shared" si="1512"/>
        <v>0</v>
      </c>
      <c r="IZ1323" s="97">
        <f t="shared" si="1512"/>
        <v>0</v>
      </c>
      <c r="JA1323" s="97">
        <f t="shared" si="1513"/>
        <v>0</v>
      </c>
      <c r="JB1323" s="97">
        <f t="shared" si="1513"/>
        <v>0</v>
      </c>
      <c r="JC1323" s="97">
        <f t="shared" si="1513"/>
        <v>0</v>
      </c>
      <c r="JD1323" s="102"/>
      <c r="JE1323" s="102"/>
      <c r="JF1323" s="102"/>
      <c r="JG1323" s="97">
        <f t="shared" si="1514"/>
        <v>0</v>
      </c>
      <c r="JH1323" s="97">
        <f t="shared" si="1515"/>
        <v>0</v>
      </c>
      <c r="JI1323" s="97">
        <f t="shared" si="1516"/>
        <v>0</v>
      </c>
      <c r="JJ1323" s="97">
        <f t="shared" si="1517"/>
        <v>0</v>
      </c>
      <c r="JK1323" s="97">
        <f t="shared" si="1518"/>
        <v>0</v>
      </c>
      <c r="JL1323" s="97">
        <f t="shared" si="1519"/>
        <v>0</v>
      </c>
      <c r="JM1323" s="97">
        <f t="shared" si="1749"/>
        <v>4027.71</v>
      </c>
      <c r="JN1323" s="97">
        <f t="shared" si="1750"/>
        <v>4157.3500000000004</v>
      </c>
      <c r="JO1323" s="97">
        <f t="shared" si="1751"/>
        <v>4313.3100000000004</v>
      </c>
      <c r="JP1323" s="97">
        <f t="shared" si="1752"/>
        <v>303.32</v>
      </c>
      <c r="JQ1323" s="97">
        <f t="shared" si="1753"/>
        <v>315.10000000000002</v>
      </c>
      <c r="JR1323" s="97">
        <f t="shared" si="1754"/>
        <v>315.85000000000002</v>
      </c>
      <c r="JS1323" s="97">
        <f t="shared" si="1520"/>
        <v>0</v>
      </c>
      <c r="JT1323" s="97">
        <f t="shared" si="1520"/>
        <v>0</v>
      </c>
      <c r="JU1323" s="97">
        <f t="shared" si="1520"/>
        <v>0</v>
      </c>
      <c r="JV1323" s="97">
        <f t="shared" si="1521"/>
        <v>0</v>
      </c>
      <c r="JW1323" s="97">
        <f t="shared" si="1521"/>
        <v>0</v>
      </c>
      <c r="JX1323" s="97">
        <f t="shared" si="1521"/>
        <v>0</v>
      </c>
      <c r="JY1323" s="102"/>
      <c r="JZ1323" s="102"/>
      <c r="KA1323" s="102"/>
      <c r="KB1323" s="97">
        <f t="shared" si="1522"/>
        <v>0</v>
      </c>
      <c r="KC1323" s="97">
        <f t="shared" si="1523"/>
        <v>0</v>
      </c>
      <c r="KD1323" s="97">
        <f t="shared" si="1524"/>
        <v>0</v>
      </c>
      <c r="KE1323" s="97">
        <f t="shared" si="1525"/>
        <v>0</v>
      </c>
      <c r="KF1323" s="97">
        <f t="shared" si="1526"/>
        <v>0</v>
      </c>
      <c r="KG1323" s="97">
        <f t="shared" si="1527"/>
        <v>0</v>
      </c>
      <c r="KH1323" s="97">
        <f t="shared" si="1755"/>
        <v>4140.91</v>
      </c>
      <c r="KI1323" s="97">
        <f t="shared" si="1756"/>
        <v>4270.58</v>
      </c>
      <c r="KJ1323" s="97">
        <f t="shared" si="1757"/>
        <v>4429.79</v>
      </c>
      <c r="KK1323" s="97">
        <f t="shared" si="1758"/>
        <v>284.33999999999997</v>
      </c>
      <c r="KL1323" s="97">
        <f t="shared" si="1759"/>
        <v>292.02999999999997</v>
      </c>
      <c r="KM1323" s="97">
        <f t="shared" si="1760"/>
        <v>290.64999999999998</v>
      </c>
      <c r="KN1323" s="97">
        <f t="shared" si="1528"/>
        <v>0</v>
      </c>
      <c r="KO1323" s="97">
        <f t="shared" si="1528"/>
        <v>0</v>
      </c>
      <c r="KP1323" s="97">
        <f t="shared" si="1528"/>
        <v>0</v>
      </c>
      <c r="KQ1323" s="97">
        <f t="shared" si="1529"/>
        <v>0</v>
      </c>
      <c r="KR1323" s="97">
        <f t="shared" si="1529"/>
        <v>0</v>
      </c>
      <c r="KS1323" s="97">
        <f t="shared" si="1529"/>
        <v>0</v>
      </c>
      <c r="KT1323" s="102"/>
      <c r="KU1323" s="102"/>
      <c r="KV1323" s="102"/>
      <c r="KW1323" s="97">
        <f t="shared" si="1530"/>
        <v>0</v>
      </c>
      <c r="KX1323" s="97">
        <f t="shared" si="1531"/>
        <v>0</v>
      </c>
      <c r="KY1323" s="97">
        <f t="shared" si="1532"/>
        <v>0</v>
      </c>
      <c r="KZ1323" s="97">
        <f t="shared" si="1533"/>
        <v>0</v>
      </c>
      <c r="LA1323" s="97">
        <f t="shared" si="1534"/>
        <v>0</v>
      </c>
      <c r="LB1323" s="97">
        <f t="shared" si="1535"/>
        <v>0</v>
      </c>
      <c r="LC1323" s="97">
        <f t="shared" si="1761"/>
        <v>3908.64</v>
      </c>
      <c r="LD1323" s="97">
        <f t="shared" si="1762"/>
        <v>4036.42</v>
      </c>
      <c r="LE1323" s="97">
        <f t="shared" si="1763"/>
        <v>4188.12</v>
      </c>
      <c r="LF1323" s="97">
        <f t="shared" si="1764"/>
        <v>391.89</v>
      </c>
      <c r="LG1323" s="97">
        <f t="shared" si="1765"/>
        <v>408.01</v>
      </c>
      <c r="LH1323" s="97">
        <f t="shared" si="1766"/>
        <v>410.15</v>
      </c>
      <c r="LI1323" s="97">
        <f t="shared" si="1536"/>
        <v>0</v>
      </c>
      <c r="LJ1323" s="97">
        <f t="shared" si="1536"/>
        <v>0</v>
      </c>
      <c r="LK1323" s="97">
        <f t="shared" si="1536"/>
        <v>0</v>
      </c>
      <c r="LL1323" s="97">
        <f t="shared" si="1537"/>
        <v>0</v>
      </c>
      <c r="LM1323" s="97">
        <f t="shared" si="1537"/>
        <v>0</v>
      </c>
      <c r="LN1323" s="97">
        <f t="shared" si="1537"/>
        <v>0</v>
      </c>
      <c r="LO1323" s="102"/>
      <c r="LP1323" s="102"/>
      <c r="LQ1323" s="102"/>
      <c r="LR1323" s="97">
        <f t="shared" si="1538"/>
        <v>0</v>
      </c>
      <c r="LS1323" s="97">
        <f t="shared" si="1539"/>
        <v>0</v>
      </c>
      <c r="LT1323" s="97">
        <f t="shared" si="1540"/>
        <v>0</v>
      </c>
      <c r="LU1323" s="97">
        <f t="shared" si="1541"/>
        <v>0</v>
      </c>
      <c r="LV1323" s="97">
        <f t="shared" si="1542"/>
        <v>0</v>
      </c>
      <c r="LW1323" s="97">
        <f t="shared" si="1543"/>
        <v>0</v>
      </c>
      <c r="LX1323" s="97">
        <f t="shared" si="1767"/>
        <v>3414.37</v>
      </c>
      <c r="LY1323" s="97">
        <f t="shared" si="1768"/>
        <v>3526.19</v>
      </c>
      <c r="LZ1323" s="97">
        <f t="shared" si="1769"/>
        <v>3658.33</v>
      </c>
      <c r="MA1323" s="97">
        <f t="shared" si="1770"/>
        <v>290.89999999999998</v>
      </c>
      <c r="MB1323" s="97">
        <f t="shared" si="1771"/>
        <v>298.10000000000002</v>
      </c>
      <c r="MC1323" s="97">
        <f t="shared" si="1772"/>
        <v>297.22000000000003</v>
      </c>
      <c r="MD1323" s="97">
        <f t="shared" si="1544"/>
        <v>0</v>
      </c>
      <c r="ME1323" s="97">
        <f t="shared" si="1544"/>
        <v>0</v>
      </c>
      <c r="MF1323" s="97">
        <f t="shared" si="1544"/>
        <v>0</v>
      </c>
      <c r="MG1323" s="97">
        <f t="shared" si="1545"/>
        <v>0</v>
      </c>
      <c r="MH1323" s="97">
        <f t="shared" si="1545"/>
        <v>0</v>
      </c>
      <c r="MI1323" s="97">
        <f t="shared" si="1545"/>
        <v>0</v>
      </c>
      <c r="MJ1323" s="102"/>
      <c r="MK1323" s="102"/>
      <c r="ML1323" s="102"/>
      <c r="MM1323" s="97">
        <f t="shared" si="1546"/>
        <v>0</v>
      </c>
      <c r="MN1323" s="97">
        <f t="shared" si="1547"/>
        <v>0</v>
      </c>
      <c r="MO1323" s="97">
        <f t="shared" si="1548"/>
        <v>0</v>
      </c>
      <c r="MP1323" s="97">
        <f t="shared" si="1549"/>
        <v>0</v>
      </c>
      <c r="MQ1323" s="97">
        <f t="shared" si="1550"/>
        <v>0</v>
      </c>
      <c r="MR1323" s="97">
        <f t="shared" si="1551"/>
        <v>0</v>
      </c>
      <c r="MS1323" s="97">
        <f t="shared" si="1773"/>
        <v>3950.05</v>
      </c>
      <c r="MT1323" s="97">
        <f t="shared" si="1774"/>
        <v>4078.91</v>
      </c>
      <c r="MU1323" s="97">
        <f t="shared" si="1775"/>
        <v>4232.1400000000003</v>
      </c>
      <c r="MV1323" s="97">
        <f t="shared" si="1776"/>
        <v>345.12</v>
      </c>
      <c r="MW1323" s="97">
        <f t="shared" si="1777"/>
        <v>348.89</v>
      </c>
      <c r="MX1323" s="97">
        <f t="shared" si="1778"/>
        <v>351.04</v>
      </c>
      <c r="MY1323" s="97">
        <f t="shared" si="1552"/>
        <v>0</v>
      </c>
      <c r="MZ1323" s="97">
        <f t="shared" si="1552"/>
        <v>0</v>
      </c>
      <c r="NA1323" s="97">
        <f t="shared" si="1552"/>
        <v>0</v>
      </c>
      <c r="NB1323" s="97">
        <f t="shared" si="1553"/>
        <v>0</v>
      </c>
      <c r="NC1323" s="97">
        <f t="shared" si="1553"/>
        <v>0</v>
      </c>
      <c r="ND1323" s="97">
        <f t="shared" si="1553"/>
        <v>0</v>
      </c>
      <c r="NE1323" s="102"/>
      <c r="NF1323" s="102"/>
      <c r="NG1323" s="102"/>
      <c r="NH1323" s="97">
        <f t="shared" si="1554"/>
        <v>0</v>
      </c>
      <c r="NI1323" s="97">
        <f t="shared" si="1555"/>
        <v>0</v>
      </c>
      <c r="NJ1323" s="97">
        <f t="shared" si="1556"/>
        <v>0</v>
      </c>
      <c r="NK1323" s="97">
        <f t="shared" si="1557"/>
        <v>0</v>
      </c>
      <c r="NL1323" s="97">
        <f t="shared" si="1558"/>
        <v>0</v>
      </c>
      <c r="NM1323" s="97">
        <f t="shared" si="1559"/>
        <v>0</v>
      </c>
      <c r="NN1323" s="97">
        <f t="shared" si="1779"/>
        <v>4032.91</v>
      </c>
      <c r="NO1323" s="97">
        <f t="shared" si="1780"/>
        <v>4159.1000000000004</v>
      </c>
      <c r="NP1323" s="97">
        <f t="shared" si="1781"/>
        <v>4312.91</v>
      </c>
      <c r="NQ1323" s="97">
        <f t="shared" si="1782"/>
        <v>505.45</v>
      </c>
      <c r="NR1323" s="97">
        <f t="shared" si="1783"/>
        <v>527.95000000000005</v>
      </c>
      <c r="NS1323" s="97">
        <f t="shared" si="1784"/>
        <v>513.37</v>
      </c>
      <c r="NT1323" s="97">
        <f t="shared" si="1560"/>
        <v>0</v>
      </c>
      <c r="NU1323" s="97">
        <f t="shared" si="1560"/>
        <v>0</v>
      </c>
      <c r="NV1323" s="97">
        <f t="shared" si="1560"/>
        <v>0</v>
      </c>
      <c r="NW1323" s="97">
        <f t="shared" si="1561"/>
        <v>0</v>
      </c>
      <c r="NX1323" s="97">
        <f t="shared" si="1561"/>
        <v>0</v>
      </c>
      <c r="NY1323" s="97">
        <f t="shared" si="1561"/>
        <v>0</v>
      </c>
      <c r="NZ1323" s="102"/>
      <c r="OA1323" s="102"/>
      <c r="OB1323" s="102"/>
      <c r="OC1323" s="97">
        <f t="shared" si="1562"/>
        <v>0</v>
      </c>
      <c r="OD1323" s="97">
        <f t="shared" si="1563"/>
        <v>0</v>
      </c>
      <c r="OE1323" s="97">
        <f t="shared" si="1564"/>
        <v>0</v>
      </c>
      <c r="OF1323" s="97">
        <f t="shared" si="1565"/>
        <v>0</v>
      </c>
      <c r="OG1323" s="97">
        <f t="shared" si="1566"/>
        <v>0</v>
      </c>
      <c r="OH1323" s="97">
        <f t="shared" si="1567"/>
        <v>0</v>
      </c>
      <c r="OI1323" s="97">
        <f t="shared" si="1785"/>
        <v>5287.83</v>
      </c>
      <c r="OJ1323" s="97">
        <f t="shared" si="1786"/>
        <v>5444.73</v>
      </c>
      <c r="OK1323" s="97">
        <f t="shared" si="1787"/>
        <v>5644.44</v>
      </c>
      <c r="OL1323" s="97">
        <f t="shared" si="1788"/>
        <v>506.96</v>
      </c>
      <c r="OM1323" s="97">
        <f t="shared" si="1789"/>
        <v>526.76</v>
      </c>
      <c r="ON1323" s="97">
        <f t="shared" si="1790"/>
        <v>524</v>
      </c>
      <c r="OO1323" s="97">
        <f t="shared" si="1568"/>
        <v>0</v>
      </c>
      <c r="OP1323" s="97">
        <f t="shared" si="1568"/>
        <v>0</v>
      </c>
      <c r="OQ1323" s="97">
        <f t="shared" si="1568"/>
        <v>0</v>
      </c>
      <c r="OR1323" s="97">
        <f t="shared" si="1569"/>
        <v>0</v>
      </c>
      <c r="OS1323" s="97">
        <f t="shared" si="1569"/>
        <v>0</v>
      </c>
      <c r="OT1323" s="97">
        <f t="shared" si="1569"/>
        <v>0</v>
      </c>
      <c r="OU1323" s="102"/>
      <c r="OV1323" s="102"/>
      <c r="OW1323" s="102"/>
      <c r="OX1323" s="97">
        <f t="shared" si="1570"/>
        <v>0</v>
      </c>
      <c r="OY1323" s="97">
        <f t="shared" si="1571"/>
        <v>0</v>
      </c>
      <c r="OZ1323" s="97">
        <f t="shared" si="1572"/>
        <v>0</v>
      </c>
      <c r="PA1323" s="97">
        <f t="shared" si="1573"/>
        <v>0</v>
      </c>
      <c r="PB1323" s="97">
        <f t="shared" si="1574"/>
        <v>0</v>
      </c>
      <c r="PC1323" s="97">
        <f t="shared" si="1575"/>
        <v>0</v>
      </c>
      <c r="PD1323" s="97">
        <f t="shared" si="1791"/>
        <v>4446.8999999999996</v>
      </c>
      <c r="PE1323" s="97">
        <f t="shared" si="1792"/>
        <v>4589.9399999999996</v>
      </c>
      <c r="PF1323" s="97">
        <f t="shared" si="1793"/>
        <v>4761.7299999999996</v>
      </c>
      <c r="PG1323" s="97">
        <f t="shared" si="1794"/>
        <v>405.17</v>
      </c>
      <c r="PH1323" s="97">
        <f t="shared" si="1795"/>
        <v>413.93</v>
      </c>
      <c r="PI1323" s="97">
        <f t="shared" si="1796"/>
        <v>417.29</v>
      </c>
      <c r="PJ1323" s="97">
        <f t="shared" si="1576"/>
        <v>0</v>
      </c>
      <c r="PK1323" s="97">
        <f t="shared" si="1576"/>
        <v>0</v>
      </c>
      <c r="PL1323" s="97">
        <f t="shared" si="1576"/>
        <v>0</v>
      </c>
      <c r="PM1323" s="97">
        <f t="shared" si="1577"/>
        <v>0</v>
      </c>
      <c r="PN1323" s="97">
        <f t="shared" si="1577"/>
        <v>0</v>
      </c>
      <c r="PO1323" s="97">
        <f t="shared" si="1577"/>
        <v>0</v>
      </c>
      <c r="PP1323" s="102"/>
      <c r="PQ1323" s="102"/>
      <c r="PR1323" s="102"/>
      <c r="PS1323" s="97">
        <f t="shared" si="1578"/>
        <v>0</v>
      </c>
      <c r="PT1323" s="97">
        <f t="shared" si="1579"/>
        <v>0</v>
      </c>
      <c r="PU1323" s="97">
        <f t="shared" si="1580"/>
        <v>0</v>
      </c>
      <c r="PV1323" s="97">
        <f t="shared" si="1581"/>
        <v>0</v>
      </c>
      <c r="PW1323" s="97">
        <f t="shared" si="1582"/>
        <v>0</v>
      </c>
      <c r="PX1323" s="97">
        <f t="shared" si="1583"/>
        <v>0</v>
      </c>
      <c r="PY1323" s="97">
        <f t="shared" si="1797"/>
        <v>3981.32</v>
      </c>
      <c r="PZ1323" s="97">
        <f t="shared" si="1798"/>
        <v>4112.84</v>
      </c>
      <c r="QA1323" s="97">
        <f t="shared" si="1799"/>
        <v>4267.0600000000004</v>
      </c>
      <c r="QB1323" s="97">
        <f t="shared" si="1800"/>
        <v>417.83</v>
      </c>
      <c r="QC1323" s="97">
        <f t="shared" si="1801"/>
        <v>438.77</v>
      </c>
      <c r="QD1323" s="97">
        <f t="shared" si="1802"/>
        <v>438.39</v>
      </c>
      <c r="QE1323" s="97">
        <f t="shared" si="1584"/>
        <v>0</v>
      </c>
      <c r="QF1323" s="97">
        <f t="shared" si="1584"/>
        <v>0</v>
      </c>
      <c r="QG1323" s="97">
        <f t="shared" si="1584"/>
        <v>0</v>
      </c>
      <c r="QH1323" s="97">
        <f t="shared" si="1585"/>
        <v>0</v>
      </c>
      <c r="QI1323" s="97">
        <f t="shared" si="1585"/>
        <v>0</v>
      </c>
      <c r="QJ1323" s="97">
        <f t="shared" si="1585"/>
        <v>0</v>
      </c>
      <c r="QK1323" s="102"/>
      <c r="QL1323" s="102"/>
      <c r="QM1323" s="102"/>
      <c r="QN1323" s="97">
        <f t="shared" si="1586"/>
        <v>0</v>
      </c>
      <c r="QO1323" s="97">
        <f t="shared" si="1587"/>
        <v>0</v>
      </c>
      <c r="QP1323" s="97">
        <f t="shared" si="1588"/>
        <v>0</v>
      </c>
      <c r="QQ1323" s="97">
        <f t="shared" si="1589"/>
        <v>0</v>
      </c>
      <c r="QR1323" s="97">
        <f t="shared" si="1590"/>
        <v>0</v>
      </c>
      <c r="QS1323" s="97">
        <f t="shared" si="1591"/>
        <v>0</v>
      </c>
      <c r="QT1323" s="97">
        <f t="shared" si="1803"/>
        <v>4048.78</v>
      </c>
      <c r="QU1323" s="97">
        <f t="shared" si="1804"/>
        <v>4181.01</v>
      </c>
      <c r="QV1323" s="97">
        <f t="shared" si="1805"/>
        <v>4338.25</v>
      </c>
      <c r="QW1323" s="97">
        <f t="shared" si="1806"/>
        <v>287.38</v>
      </c>
      <c r="QX1323" s="97">
        <f t="shared" si="1807"/>
        <v>298.20999999999998</v>
      </c>
      <c r="QY1323" s="97">
        <f t="shared" si="1808"/>
        <v>299.87</v>
      </c>
      <c r="QZ1323" s="97">
        <f t="shared" si="1592"/>
        <v>0</v>
      </c>
      <c r="RA1323" s="97">
        <f t="shared" si="1592"/>
        <v>0</v>
      </c>
      <c r="RB1323" s="97">
        <f t="shared" si="1592"/>
        <v>0</v>
      </c>
      <c r="RC1323" s="97">
        <f t="shared" si="1593"/>
        <v>0</v>
      </c>
      <c r="RD1323" s="97">
        <f t="shared" si="1593"/>
        <v>0</v>
      </c>
      <c r="RE1323" s="97">
        <f t="shared" si="1593"/>
        <v>0</v>
      </c>
      <c r="RF1323" s="102"/>
      <c r="RG1323" s="102"/>
      <c r="RH1323" s="102"/>
      <c r="RI1323" s="97">
        <f t="shared" si="1594"/>
        <v>0</v>
      </c>
      <c r="RJ1323" s="97">
        <f t="shared" si="1595"/>
        <v>0</v>
      </c>
      <c r="RK1323" s="97">
        <f t="shared" si="1596"/>
        <v>0</v>
      </c>
      <c r="RL1323" s="97">
        <f t="shared" si="1597"/>
        <v>0</v>
      </c>
      <c r="RM1323" s="97">
        <f t="shared" si="1598"/>
        <v>0</v>
      </c>
      <c r="RN1323" s="97">
        <f t="shared" si="1599"/>
        <v>0</v>
      </c>
      <c r="RO1323" s="97">
        <f t="shared" si="1809"/>
        <v>4337.0600000000004</v>
      </c>
      <c r="RP1323" s="97">
        <f t="shared" si="1810"/>
        <v>4476.84</v>
      </c>
      <c r="RQ1323" s="97">
        <f t="shared" si="1811"/>
        <v>4645.17</v>
      </c>
      <c r="RR1323" s="97">
        <f t="shared" si="1812"/>
        <v>405.38</v>
      </c>
      <c r="RS1323" s="97">
        <f t="shared" si="1813"/>
        <v>412.7</v>
      </c>
      <c r="RT1323" s="97">
        <f t="shared" si="1814"/>
        <v>415.1</v>
      </c>
      <c r="RU1323" s="97">
        <f t="shared" si="1600"/>
        <v>0</v>
      </c>
      <c r="RV1323" s="97">
        <f t="shared" si="1600"/>
        <v>0</v>
      </c>
      <c r="RW1323" s="97">
        <f t="shared" si="1600"/>
        <v>0</v>
      </c>
      <c r="RX1323" s="97">
        <f t="shared" si="1601"/>
        <v>0</v>
      </c>
      <c r="RY1323" s="97">
        <f t="shared" si="1601"/>
        <v>0</v>
      </c>
      <c r="RZ1323" s="97">
        <f t="shared" si="1601"/>
        <v>0</v>
      </c>
      <c r="SA1323" s="102"/>
      <c r="SB1323" s="102"/>
      <c r="SC1323" s="102"/>
      <c r="SD1323" s="97">
        <f t="shared" si="1602"/>
        <v>0</v>
      </c>
      <c r="SE1323" s="97">
        <f t="shared" si="1603"/>
        <v>0</v>
      </c>
      <c r="SF1323" s="97">
        <f t="shared" si="1604"/>
        <v>0</v>
      </c>
      <c r="SG1323" s="97">
        <f t="shared" si="1605"/>
        <v>0</v>
      </c>
      <c r="SH1323" s="97">
        <f t="shared" si="1606"/>
        <v>0</v>
      </c>
      <c r="SI1323" s="97">
        <f t="shared" si="1607"/>
        <v>0</v>
      </c>
      <c r="SJ1323" s="97">
        <f t="shared" si="1815"/>
        <v>4557.04</v>
      </c>
      <c r="SK1323" s="97">
        <f t="shared" si="1816"/>
        <v>4698.68</v>
      </c>
      <c r="SL1323" s="97">
        <f t="shared" si="1817"/>
        <v>4873.33</v>
      </c>
      <c r="SM1323" s="97">
        <f t="shared" si="1818"/>
        <v>567.54999999999995</v>
      </c>
      <c r="SN1323" s="97">
        <f t="shared" si="1819"/>
        <v>585.64</v>
      </c>
      <c r="SO1323" s="97">
        <f t="shared" si="1820"/>
        <v>587.23</v>
      </c>
      <c r="SP1323" s="97">
        <f t="shared" si="1608"/>
        <v>0</v>
      </c>
      <c r="SQ1323" s="97">
        <f t="shared" si="1608"/>
        <v>0</v>
      </c>
      <c r="SR1323" s="97">
        <f t="shared" si="1608"/>
        <v>0</v>
      </c>
      <c r="SS1323" s="97">
        <f t="shared" si="1609"/>
        <v>0</v>
      </c>
      <c r="ST1323" s="97">
        <f t="shared" si="1609"/>
        <v>0</v>
      </c>
      <c r="SU1323" s="97">
        <f t="shared" si="1609"/>
        <v>0</v>
      </c>
      <c r="SV1323" s="102"/>
      <c r="SW1323" s="102"/>
      <c r="SX1323" s="102"/>
      <c r="SY1323" s="97">
        <f t="shared" si="1610"/>
        <v>0</v>
      </c>
      <c r="SZ1323" s="97">
        <f t="shared" si="1611"/>
        <v>0</v>
      </c>
      <c r="TA1323" s="97">
        <f t="shared" si="1612"/>
        <v>0</v>
      </c>
      <c r="TB1323" s="97">
        <f t="shared" si="1613"/>
        <v>0</v>
      </c>
      <c r="TC1323" s="97">
        <f t="shared" si="1614"/>
        <v>0</v>
      </c>
      <c r="TD1323" s="97">
        <f t="shared" si="1615"/>
        <v>0</v>
      </c>
      <c r="TE1323" s="97">
        <f t="shared" si="1821"/>
        <v>4073.36</v>
      </c>
      <c r="TF1323" s="97">
        <f t="shared" si="1822"/>
        <v>4204.76</v>
      </c>
      <c r="TG1323" s="97">
        <f t="shared" si="1823"/>
        <v>4362.1000000000004</v>
      </c>
      <c r="TH1323" s="97">
        <f t="shared" si="1824"/>
        <v>432.21</v>
      </c>
      <c r="TI1323" s="97">
        <f t="shared" si="1825"/>
        <v>443.69</v>
      </c>
      <c r="TJ1323" s="97">
        <f t="shared" si="1826"/>
        <v>442.41</v>
      </c>
      <c r="TK1323" s="97">
        <f t="shared" si="1616"/>
        <v>0</v>
      </c>
      <c r="TL1323" s="97">
        <f t="shared" si="1616"/>
        <v>0</v>
      </c>
      <c r="TM1323" s="97">
        <f t="shared" si="1616"/>
        <v>0</v>
      </c>
      <c r="TN1323" s="97">
        <f t="shared" si="1617"/>
        <v>0</v>
      </c>
      <c r="TO1323" s="97">
        <f t="shared" si="1617"/>
        <v>0</v>
      </c>
      <c r="TP1323" s="97">
        <f t="shared" si="1617"/>
        <v>0</v>
      </c>
      <c r="TQ1323" s="102"/>
      <c r="TR1323" s="102"/>
      <c r="TS1323" s="102"/>
      <c r="TT1323" s="97">
        <f t="shared" si="1618"/>
        <v>0</v>
      </c>
      <c r="TU1323" s="97">
        <f t="shared" si="1619"/>
        <v>0</v>
      </c>
      <c r="TV1323" s="97">
        <f t="shared" si="1620"/>
        <v>0</v>
      </c>
      <c r="TW1323" s="97">
        <f t="shared" si="1621"/>
        <v>0</v>
      </c>
      <c r="TX1323" s="97">
        <f t="shared" si="1622"/>
        <v>0</v>
      </c>
      <c r="TY1323" s="97">
        <f t="shared" si="1623"/>
        <v>0</v>
      </c>
      <c r="TZ1323" s="97">
        <f t="shared" si="1827"/>
        <v>4363.6400000000003</v>
      </c>
      <c r="UA1323" s="97">
        <f t="shared" si="1828"/>
        <v>4501.12</v>
      </c>
      <c r="UB1323" s="97">
        <f t="shared" si="1829"/>
        <v>4669.8599999999997</v>
      </c>
      <c r="UC1323" s="97">
        <f t="shared" si="1830"/>
        <v>394.98</v>
      </c>
      <c r="UD1323" s="97">
        <f t="shared" si="1831"/>
        <v>417.39</v>
      </c>
      <c r="UE1323" s="97">
        <f t="shared" si="1832"/>
        <v>418.67</v>
      </c>
      <c r="UF1323" s="97">
        <f t="shared" si="1624"/>
        <v>0</v>
      </c>
      <c r="UG1323" s="97">
        <f t="shared" si="1624"/>
        <v>0</v>
      </c>
      <c r="UH1323" s="97">
        <f t="shared" si="1624"/>
        <v>0</v>
      </c>
      <c r="UI1323" s="97">
        <f t="shared" si="1625"/>
        <v>0</v>
      </c>
      <c r="UJ1323" s="97">
        <f t="shared" si="1625"/>
        <v>0</v>
      </c>
      <c r="UK1323" s="97">
        <f t="shared" si="1625"/>
        <v>0</v>
      </c>
      <c r="UL1323" s="102"/>
      <c r="UM1323" s="102"/>
      <c r="UN1323" s="102"/>
      <c r="UO1323" s="97">
        <f t="shared" si="1626"/>
        <v>0</v>
      </c>
      <c r="UP1323" s="97">
        <f t="shared" si="1627"/>
        <v>0</v>
      </c>
      <c r="UQ1323" s="97">
        <f t="shared" si="1628"/>
        <v>0</v>
      </c>
      <c r="UR1323" s="97">
        <f t="shared" si="1629"/>
        <v>0</v>
      </c>
      <c r="US1323" s="97">
        <f t="shared" si="1630"/>
        <v>0</v>
      </c>
      <c r="UT1323" s="97">
        <f t="shared" si="1631"/>
        <v>0</v>
      </c>
      <c r="UU1323" s="97">
        <f t="shared" si="1833"/>
        <v>4036.82</v>
      </c>
      <c r="UV1323" s="97">
        <f t="shared" si="1834"/>
        <v>4171.07</v>
      </c>
      <c r="UW1323" s="97">
        <f t="shared" si="1835"/>
        <v>4328.49</v>
      </c>
      <c r="UX1323" s="97">
        <f t="shared" si="1836"/>
        <v>307.89</v>
      </c>
      <c r="UY1323" s="97">
        <f t="shared" si="1837"/>
        <v>323.83999999999997</v>
      </c>
      <c r="UZ1323" s="97">
        <f t="shared" si="1838"/>
        <v>326.26</v>
      </c>
      <c r="VA1323" s="97">
        <f t="shared" si="1632"/>
        <v>0</v>
      </c>
      <c r="VB1323" s="97">
        <f t="shared" si="1632"/>
        <v>0</v>
      </c>
      <c r="VC1323" s="97">
        <f t="shared" si="1632"/>
        <v>0</v>
      </c>
      <c r="VD1323" s="97">
        <f t="shared" si="1633"/>
        <v>0</v>
      </c>
      <c r="VE1323" s="97">
        <f t="shared" si="1633"/>
        <v>0</v>
      </c>
      <c r="VF1323" s="97">
        <f t="shared" si="1633"/>
        <v>0</v>
      </c>
      <c r="VG1323" s="102"/>
      <c r="VH1323" s="102"/>
      <c r="VI1323" s="102"/>
      <c r="VJ1323" s="97">
        <f t="shared" si="1634"/>
        <v>0</v>
      </c>
      <c r="VK1323" s="97">
        <f t="shared" si="1635"/>
        <v>0</v>
      </c>
      <c r="VL1323" s="97">
        <f t="shared" si="1636"/>
        <v>0</v>
      </c>
      <c r="VM1323" s="97">
        <f t="shared" si="1637"/>
        <v>0</v>
      </c>
      <c r="VN1323" s="97">
        <f t="shared" si="1638"/>
        <v>0</v>
      </c>
      <c r="VO1323" s="97">
        <f t="shared" si="1639"/>
        <v>0</v>
      </c>
      <c r="VP1323" s="97">
        <f t="shared" si="1839"/>
        <v>4118.01</v>
      </c>
      <c r="VQ1323" s="97">
        <f t="shared" si="1840"/>
        <v>4251.42</v>
      </c>
      <c r="VR1323" s="97">
        <f t="shared" si="1841"/>
        <v>4411.59</v>
      </c>
      <c r="VS1323" s="97">
        <f t="shared" si="1842"/>
        <v>331.4</v>
      </c>
      <c r="VT1323" s="97">
        <f t="shared" si="1843"/>
        <v>341.47</v>
      </c>
      <c r="VU1323" s="97">
        <f t="shared" si="1844"/>
        <v>343.85</v>
      </c>
      <c r="VV1323" s="97">
        <f t="shared" si="1640"/>
        <v>0</v>
      </c>
      <c r="VW1323" s="97">
        <f t="shared" si="1640"/>
        <v>0</v>
      </c>
      <c r="VX1323" s="97">
        <f t="shared" si="1640"/>
        <v>0</v>
      </c>
      <c r="VY1323" s="97">
        <f t="shared" si="1641"/>
        <v>0</v>
      </c>
      <c r="VZ1323" s="97">
        <f t="shared" si="1641"/>
        <v>0</v>
      </c>
      <c r="WA1323" s="97">
        <f t="shared" si="1641"/>
        <v>0</v>
      </c>
      <c r="WB1323" s="102"/>
      <c r="WC1323" s="102"/>
      <c r="WD1323" s="102"/>
      <c r="WE1323" s="97">
        <f t="shared" si="1642"/>
        <v>0</v>
      </c>
      <c r="WF1323" s="97">
        <f t="shared" si="1643"/>
        <v>0</v>
      </c>
      <c r="WG1323" s="97">
        <f t="shared" si="1644"/>
        <v>0</v>
      </c>
      <c r="WH1323" s="97">
        <f t="shared" si="1645"/>
        <v>0</v>
      </c>
      <c r="WI1323" s="97">
        <f t="shared" si="1646"/>
        <v>0</v>
      </c>
      <c r="WJ1323" s="97">
        <f t="shared" si="1647"/>
        <v>0</v>
      </c>
      <c r="WK1323" s="97">
        <f t="shared" si="1845"/>
        <v>3804.43</v>
      </c>
      <c r="WL1323" s="97">
        <f t="shared" si="1846"/>
        <v>3932.09</v>
      </c>
      <c r="WM1323" s="97">
        <f t="shared" si="1847"/>
        <v>4080.29</v>
      </c>
      <c r="WN1323" s="97">
        <f t="shared" si="1848"/>
        <v>355.89</v>
      </c>
      <c r="WO1323" s="97">
        <f t="shared" si="1849"/>
        <v>375.68</v>
      </c>
      <c r="WP1323" s="97">
        <f t="shared" si="1850"/>
        <v>378.63</v>
      </c>
      <c r="WQ1323" s="97">
        <f t="shared" si="1648"/>
        <v>0</v>
      </c>
      <c r="WR1323" s="97">
        <f t="shared" si="1648"/>
        <v>0</v>
      </c>
      <c r="WS1323" s="97">
        <f t="shared" si="1648"/>
        <v>0</v>
      </c>
      <c r="WT1323" s="97">
        <f t="shared" si="1649"/>
        <v>0</v>
      </c>
      <c r="WU1323" s="97">
        <f t="shared" si="1649"/>
        <v>0</v>
      </c>
      <c r="WV1323" s="97">
        <f t="shared" si="1649"/>
        <v>0</v>
      </c>
      <c r="WW1323" s="102"/>
      <c r="WX1323" s="102"/>
      <c r="WY1323" s="102"/>
      <c r="WZ1323" s="97">
        <f t="shared" si="1650"/>
        <v>0</v>
      </c>
      <c r="XA1323" s="97">
        <f t="shared" si="1651"/>
        <v>0</v>
      </c>
      <c r="XB1323" s="97">
        <f t="shared" si="1652"/>
        <v>0</v>
      </c>
      <c r="XC1323" s="97">
        <f t="shared" si="1653"/>
        <v>0</v>
      </c>
      <c r="XD1323" s="97">
        <f t="shared" si="1654"/>
        <v>0</v>
      </c>
      <c r="XE1323" s="97">
        <f t="shared" si="1655"/>
        <v>0</v>
      </c>
      <c r="XF1323" s="97">
        <f t="shared" si="1851"/>
        <v>3737.47</v>
      </c>
      <c r="XG1323" s="97">
        <f t="shared" si="1852"/>
        <v>3860.29</v>
      </c>
      <c r="XH1323" s="97">
        <f t="shared" si="1853"/>
        <v>4004.99</v>
      </c>
      <c r="XI1323" s="97">
        <f t="shared" si="1854"/>
        <v>286.64999999999998</v>
      </c>
      <c r="XJ1323" s="97">
        <f t="shared" si="1855"/>
        <v>303.69</v>
      </c>
      <c r="XK1323" s="97">
        <f t="shared" si="1856"/>
        <v>304.99</v>
      </c>
      <c r="XL1323" s="97">
        <f t="shared" si="1656"/>
        <v>0</v>
      </c>
      <c r="XM1323" s="97">
        <f t="shared" si="1656"/>
        <v>0</v>
      </c>
      <c r="XN1323" s="97">
        <f t="shared" si="1656"/>
        <v>0</v>
      </c>
      <c r="XO1323" s="97">
        <f t="shared" si="1657"/>
        <v>0</v>
      </c>
      <c r="XP1323" s="97">
        <f t="shared" si="1657"/>
        <v>0</v>
      </c>
      <c r="XQ1323" s="97">
        <f t="shared" si="1657"/>
        <v>0</v>
      </c>
      <c r="XR1323" s="102"/>
      <c r="XS1323" s="102"/>
      <c r="XT1323" s="102"/>
      <c r="XU1323" s="97">
        <f t="shared" si="1658"/>
        <v>0</v>
      </c>
      <c r="XV1323" s="97">
        <f t="shared" si="1659"/>
        <v>0</v>
      </c>
      <c r="XW1323" s="97">
        <f t="shared" si="1660"/>
        <v>0</v>
      </c>
      <c r="XX1323" s="97">
        <f t="shared" si="1661"/>
        <v>0</v>
      </c>
      <c r="XY1323" s="97">
        <f t="shared" si="1662"/>
        <v>0</v>
      </c>
      <c r="XZ1323" s="97">
        <f t="shared" si="1663"/>
        <v>0</v>
      </c>
      <c r="YA1323" s="97">
        <f t="shared" si="1857"/>
        <v>3945.16</v>
      </c>
      <c r="YB1323" s="97">
        <f t="shared" si="1858"/>
        <v>4078.12</v>
      </c>
      <c r="YC1323" s="97">
        <f t="shared" si="1859"/>
        <v>4232.91</v>
      </c>
      <c r="YD1323" s="97">
        <f t="shared" si="1860"/>
        <v>1253.5899999999999</v>
      </c>
      <c r="YE1323" s="97">
        <f t="shared" si="1861"/>
        <v>1484.12</v>
      </c>
      <c r="YF1323" s="97">
        <f t="shared" si="1862"/>
        <v>1493.98</v>
      </c>
      <c r="YG1323" s="97">
        <f t="shared" si="1664"/>
        <v>0</v>
      </c>
      <c r="YH1323" s="97">
        <f t="shared" si="1664"/>
        <v>0</v>
      </c>
      <c r="YI1323" s="97">
        <f t="shared" si="1664"/>
        <v>0</v>
      </c>
      <c r="YJ1323" s="97">
        <f t="shared" si="1665"/>
        <v>0</v>
      </c>
      <c r="YK1323" s="97">
        <f t="shared" si="1665"/>
        <v>0</v>
      </c>
      <c r="YL1323" s="97">
        <f t="shared" si="1665"/>
        <v>0</v>
      </c>
      <c r="YM1323" s="145">
        <f t="shared" si="1666"/>
        <v>0</v>
      </c>
      <c r="YN1323" s="145">
        <f t="shared" si="1666"/>
        <v>0</v>
      </c>
      <c r="YO1323" s="145">
        <f t="shared" si="1666"/>
        <v>0</v>
      </c>
      <c r="YP1323" s="97">
        <f t="shared" si="1667"/>
        <v>0</v>
      </c>
      <c r="YQ1323" s="97">
        <f t="shared" si="1668"/>
        <v>0</v>
      </c>
      <c r="YR1323" s="97">
        <f t="shared" si="1669"/>
        <v>0</v>
      </c>
      <c r="YS1323" s="97">
        <f t="shared" si="1670"/>
        <v>0</v>
      </c>
      <c r="YT1323" s="97">
        <f t="shared" si="1671"/>
        <v>0</v>
      </c>
      <c r="YU1323" s="97">
        <f t="shared" si="1672"/>
        <v>0</v>
      </c>
      <c r="YV1323" s="97">
        <f t="shared" si="1863"/>
        <v>4158.03</v>
      </c>
      <c r="YW1323" s="97">
        <f t="shared" si="1864"/>
        <v>4292.42</v>
      </c>
      <c r="YX1323" s="97">
        <f t="shared" si="1865"/>
        <v>4453.2</v>
      </c>
      <c r="YY1323" s="97">
        <f t="shared" si="1866"/>
        <v>403.25</v>
      </c>
      <c r="YZ1323" s="97">
        <f t="shared" si="1867"/>
        <v>423.79</v>
      </c>
      <c r="ZA1323" s="97">
        <f t="shared" si="1868"/>
        <v>424.61</v>
      </c>
      <c r="ZB1323" s="97">
        <f t="shared" si="1673"/>
        <v>0</v>
      </c>
      <c r="ZC1323" s="97">
        <f t="shared" si="1673"/>
        <v>0</v>
      </c>
      <c r="ZD1323" s="97">
        <f t="shared" si="1673"/>
        <v>0</v>
      </c>
      <c r="ZE1323" s="97">
        <f t="shared" si="1674"/>
        <v>0</v>
      </c>
      <c r="ZF1323" s="97">
        <f t="shared" si="1674"/>
        <v>0</v>
      </c>
      <c r="ZG1323" s="97">
        <f t="shared" si="1674"/>
        <v>0</v>
      </c>
    </row>
    <row r="1324" spans="1:683" ht="36" x14ac:dyDescent="0.25">
      <c r="A1324" s="12" t="s">
        <v>627</v>
      </c>
      <c r="B1324" s="174" t="s">
        <v>619</v>
      </c>
      <c r="C1324" s="5"/>
      <c r="D1324" s="340"/>
      <c r="E1324" s="163"/>
      <c r="F1324" s="110">
        <f t="shared" si="1416"/>
        <v>105421</v>
      </c>
      <c r="G1324" s="110">
        <f t="shared" si="1416"/>
        <v>107489</v>
      </c>
      <c r="H1324" s="110">
        <f t="shared" si="1416"/>
        <v>109294</v>
      </c>
      <c r="I1324" s="97">
        <f t="shared" si="1417"/>
        <v>6653.59</v>
      </c>
      <c r="J1324" s="97">
        <f t="shared" si="1417"/>
        <v>6783.83</v>
      </c>
      <c r="K1324" s="97">
        <f t="shared" si="1417"/>
        <v>6878.55</v>
      </c>
      <c r="L1324" s="102"/>
      <c r="M1324" s="102"/>
      <c r="N1324" s="102"/>
      <c r="O1324" s="97">
        <f t="shared" si="1418"/>
        <v>0</v>
      </c>
      <c r="P1324" s="97">
        <f t="shared" si="1419"/>
        <v>0</v>
      </c>
      <c r="Q1324" s="97">
        <f t="shared" si="1420"/>
        <v>0</v>
      </c>
      <c r="R1324" s="97">
        <f t="shared" si="1421"/>
        <v>0</v>
      </c>
      <c r="S1324" s="97">
        <f t="shared" si="1422"/>
        <v>0</v>
      </c>
      <c r="T1324" s="97">
        <f t="shared" si="1423"/>
        <v>0</v>
      </c>
      <c r="U1324" s="97">
        <f t="shared" si="1675"/>
        <v>45489.72</v>
      </c>
      <c r="V1324" s="97">
        <f t="shared" si="1676"/>
        <v>47894.400000000001</v>
      </c>
      <c r="W1324" s="97">
        <f t="shared" si="1677"/>
        <v>50535.95</v>
      </c>
      <c r="X1324" s="97">
        <f t="shared" si="1678"/>
        <v>5217.29</v>
      </c>
      <c r="Y1324" s="97">
        <f t="shared" si="1679"/>
        <v>5374.2</v>
      </c>
      <c r="Z1324" s="97">
        <f t="shared" si="1680"/>
        <v>5433.85</v>
      </c>
      <c r="AA1324" s="97">
        <f t="shared" si="1424"/>
        <v>0</v>
      </c>
      <c r="AB1324" s="97">
        <f t="shared" si="1424"/>
        <v>0</v>
      </c>
      <c r="AC1324" s="97">
        <f t="shared" si="1424"/>
        <v>0</v>
      </c>
      <c r="AD1324" s="97">
        <f t="shared" si="1425"/>
        <v>0</v>
      </c>
      <c r="AE1324" s="97">
        <f t="shared" si="1425"/>
        <v>0</v>
      </c>
      <c r="AF1324" s="97">
        <f t="shared" si="1425"/>
        <v>0</v>
      </c>
      <c r="AG1324" s="102"/>
      <c r="AH1324" s="102"/>
      <c r="AI1324" s="102"/>
      <c r="AJ1324" s="97">
        <f t="shared" si="1426"/>
        <v>0</v>
      </c>
      <c r="AK1324" s="97">
        <f t="shared" si="1427"/>
        <v>0</v>
      </c>
      <c r="AL1324" s="97">
        <f t="shared" si="1428"/>
        <v>0</v>
      </c>
      <c r="AM1324" s="97">
        <f t="shared" si="1429"/>
        <v>0</v>
      </c>
      <c r="AN1324" s="97">
        <f t="shared" si="1430"/>
        <v>0</v>
      </c>
      <c r="AO1324" s="97">
        <f t="shared" si="1431"/>
        <v>0</v>
      </c>
      <c r="AP1324" s="97">
        <f t="shared" si="1683"/>
        <v>41848.449999999997</v>
      </c>
      <c r="AQ1324" s="97">
        <f t="shared" si="1684"/>
        <v>44053.599999999999</v>
      </c>
      <c r="AR1324" s="97">
        <f t="shared" si="1685"/>
        <v>46475.94</v>
      </c>
      <c r="AS1324" s="97">
        <f t="shared" si="1686"/>
        <v>4160.22</v>
      </c>
      <c r="AT1324" s="97">
        <f t="shared" si="1687"/>
        <v>4350.34</v>
      </c>
      <c r="AU1324" s="97">
        <f t="shared" si="1688"/>
        <v>4433.12</v>
      </c>
      <c r="AV1324" s="97">
        <f t="shared" si="1432"/>
        <v>0</v>
      </c>
      <c r="AW1324" s="97">
        <f t="shared" si="1432"/>
        <v>0</v>
      </c>
      <c r="AX1324" s="97">
        <f t="shared" si="1432"/>
        <v>0</v>
      </c>
      <c r="AY1324" s="97">
        <f t="shared" si="1433"/>
        <v>0</v>
      </c>
      <c r="AZ1324" s="97">
        <f t="shared" si="1433"/>
        <v>0</v>
      </c>
      <c r="BA1324" s="97">
        <f t="shared" si="1433"/>
        <v>0</v>
      </c>
      <c r="BB1324" s="102"/>
      <c r="BC1324" s="102"/>
      <c r="BD1324" s="102"/>
      <c r="BE1324" s="97">
        <f t="shared" si="1434"/>
        <v>0</v>
      </c>
      <c r="BF1324" s="97">
        <f t="shared" si="1435"/>
        <v>0</v>
      </c>
      <c r="BG1324" s="97">
        <f t="shared" si="1436"/>
        <v>0</v>
      </c>
      <c r="BH1324" s="97">
        <f t="shared" si="1437"/>
        <v>0</v>
      </c>
      <c r="BI1324" s="97">
        <f t="shared" si="1438"/>
        <v>0</v>
      </c>
      <c r="BJ1324" s="97">
        <f t="shared" si="1439"/>
        <v>0</v>
      </c>
      <c r="BK1324" s="97">
        <f t="shared" si="1689"/>
        <v>39476.800000000003</v>
      </c>
      <c r="BL1324" s="97">
        <f t="shared" si="1690"/>
        <v>41474.35</v>
      </c>
      <c r="BM1324" s="97">
        <f t="shared" si="1691"/>
        <v>43707.4</v>
      </c>
      <c r="BN1324" s="97">
        <f t="shared" si="1692"/>
        <v>4444.03</v>
      </c>
      <c r="BO1324" s="97">
        <f t="shared" si="1693"/>
        <v>4647.1499999999996</v>
      </c>
      <c r="BP1324" s="97">
        <f t="shared" si="1694"/>
        <v>4726.79</v>
      </c>
      <c r="BQ1324" s="97">
        <f t="shared" si="1440"/>
        <v>0</v>
      </c>
      <c r="BR1324" s="97">
        <f t="shared" si="1440"/>
        <v>0</v>
      </c>
      <c r="BS1324" s="97">
        <f t="shared" si="1440"/>
        <v>0</v>
      </c>
      <c r="BT1324" s="97">
        <f t="shared" si="1441"/>
        <v>0</v>
      </c>
      <c r="BU1324" s="97">
        <f t="shared" si="1441"/>
        <v>0</v>
      </c>
      <c r="BV1324" s="97">
        <f t="shared" si="1441"/>
        <v>0</v>
      </c>
      <c r="BW1324" s="102">
        <v>3</v>
      </c>
      <c r="BX1324" s="102">
        <v>3</v>
      </c>
      <c r="BY1324" s="102">
        <v>3</v>
      </c>
      <c r="BZ1324" s="97">
        <f t="shared" si="1442"/>
        <v>316263</v>
      </c>
      <c r="CA1324" s="97">
        <f t="shared" si="1443"/>
        <v>322467</v>
      </c>
      <c r="CB1324" s="97">
        <f t="shared" si="1444"/>
        <v>327882</v>
      </c>
      <c r="CC1324" s="97">
        <f t="shared" si="1445"/>
        <v>19960.77</v>
      </c>
      <c r="CD1324" s="97">
        <f t="shared" si="1446"/>
        <v>20351.490000000002</v>
      </c>
      <c r="CE1324" s="97">
        <f t="shared" si="1447"/>
        <v>20635.650000000001</v>
      </c>
      <c r="CF1324" s="97">
        <f t="shared" si="1695"/>
        <v>40768.81</v>
      </c>
      <c r="CG1324" s="97">
        <f t="shared" si="1696"/>
        <v>42949.31</v>
      </c>
      <c r="CH1324" s="97">
        <f t="shared" si="1697"/>
        <v>45313.75</v>
      </c>
      <c r="CI1324" s="97">
        <f t="shared" si="1698"/>
        <v>6851.01</v>
      </c>
      <c r="CJ1324" s="97">
        <f t="shared" si="1699"/>
        <v>7021.38</v>
      </c>
      <c r="CK1324" s="97">
        <f t="shared" si="1700"/>
        <v>7085</v>
      </c>
      <c r="CL1324" s="97">
        <f t="shared" si="1448"/>
        <v>122306.43</v>
      </c>
      <c r="CM1324" s="97">
        <f t="shared" si="1448"/>
        <v>128847.93</v>
      </c>
      <c r="CN1324" s="97">
        <f t="shared" si="1448"/>
        <v>135941.25</v>
      </c>
      <c r="CO1324" s="97">
        <f t="shared" si="1449"/>
        <v>20553.03</v>
      </c>
      <c r="CP1324" s="97">
        <f t="shared" si="1449"/>
        <v>21064.14</v>
      </c>
      <c r="CQ1324" s="97">
        <f t="shared" si="1449"/>
        <v>21255</v>
      </c>
      <c r="CR1324" s="102"/>
      <c r="CS1324" s="102"/>
      <c r="CT1324" s="102"/>
      <c r="CU1324" s="97">
        <f t="shared" si="1450"/>
        <v>0</v>
      </c>
      <c r="CV1324" s="97">
        <f t="shared" si="1451"/>
        <v>0</v>
      </c>
      <c r="CW1324" s="97">
        <f t="shared" si="1452"/>
        <v>0</v>
      </c>
      <c r="CX1324" s="97">
        <f t="shared" si="1453"/>
        <v>0</v>
      </c>
      <c r="CY1324" s="97">
        <f t="shared" si="1454"/>
        <v>0</v>
      </c>
      <c r="CZ1324" s="97">
        <f t="shared" si="1455"/>
        <v>0</v>
      </c>
      <c r="DA1324" s="97">
        <f t="shared" si="1701"/>
        <v>41082.74</v>
      </c>
      <c r="DB1324" s="97">
        <f t="shared" si="1702"/>
        <v>43242.85</v>
      </c>
      <c r="DC1324" s="97">
        <f t="shared" si="1703"/>
        <v>45620.76</v>
      </c>
      <c r="DD1324" s="97">
        <f t="shared" si="1704"/>
        <v>3316.83</v>
      </c>
      <c r="DE1324" s="97">
        <f t="shared" si="1705"/>
        <v>3415.97</v>
      </c>
      <c r="DF1324" s="97">
        <f t="shared" si="1706"/>
        <v>3457.58</v>
      </c>
      <c r="DG1324" s="97">
        <f t="shared" si="1456"/>
        <v>0</v>
      </c>
      <c r="DH1324" s="97">
        <f t="shared" si="1456"/>
        <v>0</v>
      </c>
      <c r="DI1324" s="97">
        <f t="shared" si="1456"/>
        <v>0</v>
      </c>
      <c r="DJ1324" s="97">
        <f t="shared" si="1457"/>
        <v>0</v>
      </c>
      <c r="DK1324" s="97">
        <f t="shared" si="1457"/>
        <v>0</v>
      </c>
      <c r="DL1324" s="97">
        <f t="shared" si="1457"/>
        <v>0</v>
      </c>
      <c r="DM1324" s="102"/>
      <c r="DN1324" s="102"/>
      <c r="DO1324" s="102"/>
      <c r="DP1324" s="97">
        <f t="shared" si="1458"/>
        <v>0</v>
      </c>
      <c r="DQ1324" s="97">
        <f t="shared" si="1459"/>
        <v>0</v>
      </c>
      <c r="DR1324" s="97">
        <f t="shared" si="1460"/>
        <v>0</v>
      </c>
      <c r="DS1324" s="97">
        <f t="shared" si="1461"/>
        <v>0</v>
      </c>
      <c r="DT1324" s="97">
        <f t="shared" si="1462"/>
        <v>0</v>
      </c>
      <c r="DU1324" s="97">
        <f t="shared" si="1463"/>
        <v>0</v>
      </c>
      <c r="DV1324" s="97">
        <f t="shared" si="1707"/>
        <v>44608.69</v>
      </c>
      <c r="DW1324" s="97">
        <f t="shared" si="1708"/>
        <v>47027.12</v>
      </c>
      <c r="DX1324" s="97">
        <f t="shared" si="1709"/>
        <v>49637.08</v>
      </c>
      <c r="DY1324" s="97">
        <f t="shared" si="1710"/>
        <v>6947.26</v>
      </c>
      <c r="DZ1324" s="97">
        <f t="shared" si="1711"/>
        <v>6881.12</v>
      </c>
      <c r="EA1324" s="97">
        <f t="shared" si="1712"/>
        <v>6958.13</v>
      </c>
      <c r="EB1324" s="97">
        <f t="shared" si="1464"/>
        <v>0</v>
      </c>
      <c r="EC1324" s="97">
        <f t="shared" si="1464"/>
        <v>0</v>
      </c>
      <c r="ED1324" s="97">
        <f t="shared" si="1464"/>
        <v>0</v>
      </c>
      <c r="EE1324" s="97">
        <f t="shared" si="1465"/>
        <v>0</v>
      </c>
      <c r="EF1324" s="97">
        <f t="shared" si="1465"/>
        <v>0</v>
      </c>
      <c r="EG1324" s="97">
        <f t="shared" si="1465"/>
        <v>0</v>
      </c>
      <c r="EH1324" s="102"/>
      <c r="EI1324" s="102"/>
      <c r="EJ1324" s="102"/>
      <c r="EK1324" s="97">
        <f t="shared" si="1466"/>
        <v>0</v>
      </c>
      <c r="EL1324" s="97">
        <f t="shared" si="1467"/>
        <v>0</v>
      </c>
      <c r="EM1324" s="97">
        <f t="shared" si="1468"/>
        <v>0</v>
      </c>
      <c r="EN1324" s="97">
        <f t="shared" si="1469"/>
        <v>0</v>
      </c>
      <c r="EO1324" s="97">
        <f t="shared" si="1470"/>
        <v>0</v>
      </c>
      <c r="EP1324" s="97">
        <f t="shared" si="1471"/>
        <v>0</v>
      </c>
      <c r="EQ1324" s="97">
        <f t="shared" si="1713"/>
        <v>44093.97</v>
      </c>
      <c r="ER1324" s="97">
        <f t="shared" si="1714"/>
        <v>46340.959999999999</v>
      </c>
      <c r="ES1324" s="97">
        <f t="shared" si="1715"/>
        <v>48866.54</v>
      </c>
      <c r="ET1324" s="97">
        <f t="shared" si="1716"/>
        <v>5832.54</v>
      </c>
      <c r="EU1324" s="97">
        <f t="shared" si="1717"/>
        <v>6089.06</v>
      </c>
      <c r="EV1324" s="97">
        <f t="shared" si="1718"/>
        <v>6199.89</v>
      </c>
      <c r="EW1324" s="97">
        <f t="shared" si="1472"/>
        <v>0</v>
      </c>
      <c r="EX1324" s="97">
        <f t="shared" si="1472"/>
        <v>0</v>
      </c>
      <c r="EY1324" s="97">
        <f t="shared" si="1472"/>
        <v>0</v>
      </c>
      <c r="EZ1324" s="97">
        <f t="shared" si="1473"/>
        <v>0</v>
      </c>
      <c r="FA1324" s="97">
        <f t="shared" si="1473"/>
        <v>0</v>
      </c>
      <c r="FB1324" s="97">
        <f t="shared" si="1473"/>
        <v>0</v>
      </c>
      <c r="FC1324" s="102"/>
      <c r="FD1324" s="102"/>
      <c r="FE1324" s="102"/>
      <c r="FF1324" s="97">
        <f t="shared" si="1474"/>
        <v>0</v>
      </c>
      <c r="FG1324" s="97">
        <f t="shared" si="1475"/>
        <v>0</v>
      </c>
      <c r="FH1324" s="97">
        <f t="shared" si="1476"/>
        <v>0</v>
      </c>
      <c r="FI1324" s="97">
        <f t="shared" si="1477"/>
        <v>0</v>
      </c>
      <c r="FJ1324" s="97">
        <f t="shared" si="1478"/>
        <v>0</v>
      </c>
      <c r="FK1324" s="97">
        <f t="shared" si="1479"/>
        <v>0</v>
      </c>
      <c r="FL1324" s="97">
        <f t="shared" si="1719"/>
        <v>42839.39</v>
      </c>
      <c r="FM1324" s="97">
        <f t="shared" si="1720"/>
        <v>45113.56</v>
      </c>
      <c r="FN1324" s="97">
        <f t="shared" si="1721"/>
        <v>47600.37</v>
      </c>
      <c r="FO1324" s="97">
        <f t="shared" si="1722"/>
        <v>6273.16</v>
      </c>
      <c r="FP1324" s="97">
        <f t="shared" si="1723"/>
        <v>6589.88</v>
      </c>
      <c r="FQ1324" s="97">
        <f t="shared" si="1724"/>
        <v>6556.76</v>
      </c>
      <c r="FR1324" s="97">
        <f t="shared" si="1480"/>
        <v>0</v>
      </c>
      <c r="FS1324" s="97">
        <f t="shared" si="1480"/>
        <v>0</v>
      </c>
      <c r="FT1324" s="97">
        <f t="shared" si="1480"/>
        <v>0</v>
      </c>
      <c r="FU1324" s="97">
        <f t="shared" si="1481"/>
        <v>0</v>
      </c>
      <c r="FV1324" s="97">
        <f t="shared" si="1481"/>
        <v>0</v>
      </c>
      <c r="FW1324" s="97">
        <f t="shared" si="1481"/>
        <v>0</v>
      </c>
      <c r="FX1324" s="102"/>
      <c r="FY1324" s="102"/>
      <c r="FZ1324" s="102"/>
      <c r="GA1324" s="97">
        <f t="shared" si="1482"/>
        <v>0</v>
      </c>
      <c r="GB1324" s="97">
        <f t="shared" si="1483"/>
        <v>0</v>
      </c>
      <c r="GC1324" s="97">
        <f t="shared" si="1484"/>
        <v>0</v>
      </c>
      <c r="GD1324" s="97">
        <f t="shared" si="1485"/>
        <v>0</v>
      </c>
      <c r="GE1324" s="97">
        <f t="shared" si="1486"/>
        <v>0</v>
      </c>
      <c r="GF1324" s="97">
        <f t="shared" si="1487"/>
        <v>0</v>
      </c>
      <c r="GG1324" s="97">
        <f t="shared" si="1725"/>
        <v>42772.07</v>
      </c>
      <c r="GH1324" s="97">
        <f t="shared" si="1726"/>
        <v>44993.56</v>
      </c>
      <c r="GI1324" s="97">
        <f t="shared" si="1727"/>
        <v>47449.98</v>
      </c>
      <c r="GJ1324" s="97">
        <f t="shared" si="1728"/>
        <v>4703.71</v>
      </c>
      <c r="GK1324" s="97">
        <f t="shared" si="1729"/>
        <v>5325.8</v>
      </c>
      <c r="GL1324" s="97">
        <f t="shared" si="1730"/>
        <v>5739.78</v>
      </c>
      <c r="GM1324" s="97">
        <f t="shared" si="1488"/>
        <v>0</v>
      </c>
      <c r="GN1324" s="97">
        <f t="shared" si="1488"/>
        <v>0</v>
      </c>
      <c r="GO1324" s="97">
        <f t="shared" si="1488"/>
        <v>0</v>
      </c>
      <c r="GP1324" s="97">
        <f t="shared" si="1489"/>
        <v>0</v>
      </c>
      <c r="GQ1324" s="97">
        <f t="shared" si="1489"/>
        <v>0</v>
      </c>
      <c r="GR1324" s="97">
        <f t="shared" si="1489"/>
        <v>0</v>
      </c>
      <c r="GS1324" s="102">
        <v>2</v>
      </c>
      <c r="GT1324" s="102">
        <v>2</v>
      </c>
      <c r="GU1324" s="102">
        <v>2</v>
      </c>
      <c r="GV1324" s="97">
        <f t="shared" si="1490"/>
        <v>210842</v>
      </c>
      <c r="GW1324" s="97">
        <f t="shared" si="1491"/>
        <v>214978</v>
      </c>
      <c r="GX1324" s="97">
        <f t="shared" si="1492"/>
        <v>218588</v>
      </c>
      <c r="GY1324" s="97">
        <f t="shared" si="1493"/>
        <v>13307.18</v>
      </c>
      <c r="GZ1324" s="97">
        <f t="shared" si="1494"/>
        <v>13567.66</v>
      </c>
      <c r="HA1324" s="97">
        <f t="shared" si="1495"/>
        <v>13757.1</v>
      </c>
      <c r="HB1324" s="97">
        <f t="shared" si="1731"/>
        <v>44681.24</v>
      </c>
      <c r="HC1324" s="97">
        <f t="shared" si="1732"/>
        <v>46982.95</v>
      </c>
      <c r="HD1324" s="97">
        <f t="shared" si="1733"/>
        <v>49546.65</v>
      </c>
      <c r="HE1324" s="97">
        <f t="shared" si="1734"/>
        <v>5472.83</v>
      </c>
      <c r="HF1324" s="97">
        <f t="shared" si="1735"/>
        <v>5696.56</v>
      </c>
      <c r="HG1324" s="97">
        <f t="shared" si="1736"/>
        <v>5786.34</v>
      </c>
      <c r="HH1324" s="97">
        <f t="shared" si="1496"/>
        <v>89362.48</v>
      </c>
      <c r="HI1324" s="97">
        <f t="shared" si="1496"/>
        <v>93965.9</v>
      </c>
      <c r="HJ1324" s="97">
        <f t="shared" si="1496"/>
        <v>99093.3</v>
      </c>
      <c r="HK1324" s="97">
        <f t="shared" si="1497"/>
        <v>10945.66</v>
      </c>
      <c r="HL1324" s="97">
        <f t="shared" si="1497"/>
        <v>11393.12</v>
      </c>
      <c r="HM1324" s="97">
        <f t="shared" si="1497"/>
        <v>11572.68</v>
      </c>
      <c r="HN1324" s="102"/>
      <c r="HO1324" s="102"/>
      <c r="HP1324" s="102"/>
      <c r="HQ1324" s="97">
        <f t="shared" si="1498"/>
        <v>0</v>
      </c>
      <c r="HR1324" s="97">
        <f t="shared" si="1499"/>
        <v>0</v>
      </c>
      <c r="HS1324" s="97">
        <f t="shared" si="1500"/>
        <v>0</v>
      </c>
      <c r="HT1324" s="97">
        <f t="shared" si="1501"/>
        <v>0</v>
      </c>
      <c r="HU1324" s="97">
        <f t="shared" si="1502"/>
        <v>0</v>
      </c>
      <c r="HV1324" s="97">
        <f t="shared" si="1503"/>
        <v>0</v>
      </c>
      <c r="HW1324" s="97">
        <f t="shared" si="1737"/>
        <v>43972.56</v>
      </c>
      <c r="HX1324" s="97">
        <f t="shared" si="1738"/>
        <v>46306.14</v>
      </c>
      <c r="HY1324" s="97">
        <f t="shared" si="1739"/>
        <v>48841.75</v>
      </c>
      <c r="HZ1324" s="97">
        <f t="shared" si="1740"/>
        <v>5220.7299999999996</v>
      </c>
      <c r="IA1324" s="97">
        <f t="shared" si="1741"/>
        <v>5430.88</v>
      </c>
      <c r="IB1324" s="97">
        <f t="shared" si="1742"/>
        <v>5422.02</v>
      </c>
      <c r="IC1324" s="97">
        <f t="shared" si="1504"/>
        <v>0</v>
      </c>
      <c r="ID1324" s="97">
        <f t="shared" si="1504"/>
        <v>0</v>
      </c>
      <c r="IE1324" s="97">
        <f t="shared" si="1504"/>
        <v>0</v>
      </c>
      <c r="IF1324" s="97">
        <f t="shared" si="1505"/>
        <v>0</v>
      </c>
      <c r="IG1324" s="97">
        <f t="shared" si="1505"/>
        <v>0</v>
      </c>
      <c r="IH1324" s="97">
        <f t="shared" si="1505"/>
        <v>0</v>
      </c>
      <c r="II1324" s="102"/>
      <c r="IJ1324" s="102"/>
      <c r="IK1324" s="102"/>
      <c r="IL1324" s="97">
        <f t="shared" si="1506"/>
        <v>0</v>
      </c>
      <c r="IM1324" s="97">
        <f t="shared" si="1507"/>
        <v>0</v>
      </c>
      <c r="IN1324" s="97">
        <f t="shared" si="1508"/>
        <v>0</v>
      </c>
      <c r="IO1324" s="97">
        <f t="shared" si="1509"/>
        <v>0</v>
      </c>
      <c r="IP1324" s="97">
        <f t="shared" si="1510"/>
        <v>0</v>
      </c>
      <c r="IQ1324" s="97">
        <f t="shared" si="1511"/>
        <v>0</v>
      </c>
      <c r="IR1324" s="97">
        <f t="shared" si="1743"/>
        <v>59733.78</v>
      </c>
      <c r="IS1324" s="97">
        <f t="shared" si="1744"/>
        <v>62740.54</v>
      </c>
      <c r="IT1324" s="97">
        <f t="shared" si="1745"/>
        <v>66152.070000000007</v>
      </c>
      <c r="IU1324" s="97">
        <f t="shared" si="1746"/>
        <v>7892.72</v>
      </c>
      <c r="IV1324" s="97">
        <f t="shared" si="1747"/>
        <v>8209.92</v>
      </c>
      <c r="IW1324" s="97">
        <f t="shared" si="1748"/>
        <v>8138.96</v>
      </c>
      <c r="IX1324" s="97">
        <f t="shared" si="1512"/>
        <v>0</v>
      </c>
      <c r="IY1324" s="97">
        <f t="shared" si="1512"/>
        <v>0</v>
      </c>
      <c r="IZ1324" s="97">
        <f t="shared" si="1512"/>
        <v>0</v>
      </c>
      <c r="JA1324" s="97">
        <f t="shared" si="1513"/>
        <v>0</v>
      </c>
      <c r="JB1324" s="97">
        <f t="shared" si="1513"/>
        <v>0</v>
      </c>
      <c r="JC1324" s="97">
        <f t="shared" si="1513"/>
        <v>0</v>
      </c>
      <c r="JD1324" s="102"/>
      <c r="JE1324" s="102"/>
      <c r="JF1324" s="102"/>
      <c r="JG1324" s="97">
        <f t="shared" si="1514"/>
        <v>0</v>
      </c>
      <c r="JH1324" s="97">
        <f t="shared" si="1515"/>
        <v>0</v>
      </c>
      <c r="JI1324" s="97">
        <f t="shared" si="1516"/>
        <v>0</v>
      </c>
      <c r="JJ1324" s="97">
        <f t="shared" si="1517"/>
        <v>0</v>
      </c>
      <c r="JK1324" s="97">
        <f t="shared" si="1518"/>
        <v>0</v>
      </c>
      <c r="JL1324" s="97">
        <f t="shared" si="1519"/>
        <v>0</v>
      </c>
      <c r="JM1324" s="97">
        <f t="shared" si="1749"/>
        <v>40041.949999999997</v>
      </c>
      <c r="JN1324" s="97">
        <f t="shared" si="1750"/>
        <v>42141.63</v>
      </c>
      <c r="JO1324" s="97">
        <f t="shared" si="1751"/>
        <v>44456.7</v>
      </c>
      <c r="JP1324" s="97">
        <f t="shared" si="1752"/>
        <v>4303.08</v>
      </c>
      <c r="JQ1324" s="97">
        <f t="shared" si="1753"/>
        <v>4557.72</v>
      </c>
      <c r="JR1324" s="97">
        <f t="shared" si="1754"/>
        <v>4632.3599999999997</v>
      </c>
      <c r="JS1324" s="97">
        <f t="shared" si="1520"/>
        <v>0</v>
      </c>
      <c r="JT1324" s="97">
        <f t="shared" si="1520"/>
        <v>0</v>
      </c>
      <c r="JU1324" s="97">
        <f t="shared" si="1520"/>
        <v>0</v>
      </c>
      <c r="JV1324" s="97">
        <f t="shared" si="1521"/>
        <v>0</v>
      </c>
      <c r="JW1324" s="97">
        <f t="shared" si="1521"/>
        <v>0</v>
      </c>
      <c r="JX1324" s="97">
        <f t="shared" si="1521"/>
        <v>0</v>
      </c>
      <c r="JY1324" s="102">
        <v>2</v>
      </c>
      <c r="JZ1324" s="102">
        <v>2</v>
      </c>
      <c r="KA1324" s="102">
        <v>2</v>
      </c>
      <c r="KB1324" s="97">
        <f t="shared" si="1522"/>
        <v>210842</v>
      </c>
      <c r="KC1324" s="97">
        <f t="shared" si="1523"/>
        <v>214978</v>
      </c>
      <c r="KD1324" s="97">
        <f t="shared" si="1524"/>
        <v>218588</v>
      </c>
      <c r="KE1324" s="97">
        <f t="shared" si="1525"/>
        <v>13307.18</v>
      </c>
      <c r="KF1324" s="97">
        <f t="shared" si="1526"/>
        <v>13567.66</v>
      </c>
      <c r="KG1324" s="97">
        <f t="shared" si="1527"/>
        <v>13757.1</v>
      </c>
      <c r="KH1324" s="97">
        <f t="shared" si="1755"/>
        <v>41167.339999999997</v>
      </c>
      <c r="KI1324" s="97">
        <f t="shared" si="1756"/>
        <v>43289.37</v>
      </c>
      <c r="KJ1324" s="97">
        <f t="shared" si="1757"/>
        <v>45657.2</v>
      </c>
      <c r="KK1324" s="97">
        <f t="shared" si="1758"/>
        <v>4033.93</v>
      </c>
      <c r="KL1324" s="97">
        <f t="shared" si="1759"/>
        <v>4223.9799999999996</v>
      </c>
      <c r="KM1324" s="97">
        <f t="shared" si="1760"/>
        <v>4262.72</v>
      </c>
      <c r="KN1324" s="97">
        <f t="shared" si="1528"/>
        <v>82334.679999999993</v>
      </c>
      <c r="KO1324" s="97">
        <f t="shared" si="1528"/>
        <v>86578.74</v>
      </c>
      <c r="KP1324" s="97">
        <f t="shared" si="1528"/>
        <v>91314.4</v>
      </c>
      <c r="KQ1324" s="97">
        <f t="shared" si="1529"/>
        <v>8067.86</v>
      </c>
      <c r="KR1324" s="97">
        <f t="shared" si="1529"/>
        <v>8447.9599999999991</v>
      </c>
      <c r="KS1324" s="97">
        <f t="shared" si="1529"/>
        <v>8525.44</v>
      </c>
      <c r="KT1324" s="102">
        <v>2</v>
      </c>
      <c r="KU1324" s="102">
        <v>2</v>
      </c>
      <c r="KV1324" s="102">
        <v>2</v>
      </c>
      <c r="KW1324" s="97">
        <f t="shared" si="1530"/>
        <v>210842</v>
      </c>
      <c r="KX1324" s="97">
        <f t="shared" si="1531"/>
        <v>214978</v>
      </c>
      <c r="KY1324" s="97">
        <f t="shared" si="1532"/>
        <v>218588</v>
      </c>
      <c r="KZ1324" s="97">
        <f t="shared" si="1533"/>
        <v>13307.18</v>
      </c>
      <c r="LA1324" s="97">
        <f t="shared" si="1534"/>
        <v>13567.66</v>
      </c>
      <c r="LB1324" s="97">
        <f t="shared" si="1535"/>
        <v>13757.1</v>
      </c>
      <c r="LC1324" s="97">
        <f t="shared" si="1761"/>
        <v>38858.25</v>
      </c>
      <c r="LD1324" s="97">
        <f t="shared" si="1762"/>
        <v>40915.800000000003</v>
      </c>
      <c r="LE1324" s="97">
        <f t="shared" si="1763"/>
        <v>43166.400000000001</v>
      </c>
      <c r="LF1324" s="97">
        <f t="shared" si="1764"/>
        <v>5559.72</v>
      </c>
      <c r="LG1324" s="97">
        <f t="shared" si="1765"/>
        <v>5901.64</v>
      </c>
      <c r="LH1324" s="97">
        <f t="shared" si="1766"/>
        <v>6015.37</v>
      </c>
      <c r="LI1324" s="97">
        <f t="shared" si="1536"/>
        <v>77716.5</v>
      </c>
      <c r="LJ1324" s="97">
        <f t="shared" si="1536"/>
        <v>81831.600000000006</v>
      </c>
      <c r="LK1324" s="97">
        <f t="shared" si="1536"/>
        <v>86332.800000000003</v>
      </c>
      <c r="LL1324" s="97">
        <f t="shared" si="1537"/>
        <v>11119.44</v>
      </c>
      <c r="LM1324" s="97">
        <f t="shared" si="1537"/>
        <v>11803.28</v>
      </c>
      <c r="LN1324" s="97">
        <f t="shared" si="1537"/>
        <v>12030.74</v>
      </c>
      <c r="LO1324" s="102">
        <v>1</v>
      </c>
      <c r="LP1324" s="102">
        <v>1</v>
      </c>
      <c r="LQ1324" s="102">
        <v>1</v>
      </c>
      <c r="LR1324" s="97">
        <f t="shared" si="1538"/>
        <v>105421</v>
      </c>
      <c r="LS1324" s="97">
        <f t="shared" si="1539"/>
        <v>107489</v>
      </c>
      <c r="LT1324" s="97">
        <f t="shared" si="1540"/>
        <v>109294</v>
      </c>
      <c r="LU1324" s="97">
        <f t="shared" si="1541"/>
        <v>6653.59</v>
      </c>
      <c r="LV1324" s="97">
        <f t="shared" si="1542"/>
        <v>6783.83</v>
      </c>
      <c r="LW1324" s="97">
        <f t="shared" si="1543"/>
        <v>6878.55</v>
      </c>
      <c r="LX1324" s="97">
        <f t="shared" si="1767"/>
        <v>33944.400000000001</v>
      </c>
      <c r="LY1324" s="97">
        <f t="shared" si="1768"/>
        <v>35743.71</v>
      </c>
      <c r="LZ1324" s="97">
        <f t="shared" si="1769"/>
        <v>37705.910000000003</v>
      </c>
      <c r="MA1324" s="97">
        <f t="shared" si="1770"/>
        <v>4126.97</v>
      </c>
      <c r="MB1324" s="97">
        <f t="shared" si="1771"/>
        <v>4311.8</v>
      </c>
      <c r="MC1324" s="97">
        <f t="shared" si="1772"/>
        <v>4359.09</v>
      </c>
      <c r="MD1324" s="97">
        <f t="shared" si="1544"/>
        <v>33944.400000000001</v>
      </c>
      <c r="ME1324" s="97">
        <f t="shared" si="1544"/>
        <v>35743.71</v>
      </c>
      <c r="MF1324" s="97">
        <f t="shared" si="1544"/>
        <v>37705.910000000003</v>
      </c>
      <c r="MG1324" s="97">
        <f t="shared" si="1545"/>
        <v>4126.97</v>
      </c>
      <c r="MH1324" s="97">
        <f t="shared" si="1545"/>
        <v>4311.8</v>
      </c>
      <c r="MI1324" s="97">
        <f t="shared" si="1545"/>
        <v>4359.09</v>
      </c>
      <c r="MJ1324" s="102">
        <v>1</v>
      </c>
      <c r="MK1324" s="102">
        <v>1</v>
      </c>
      <c r="ML1324" s="102">
        <v>1</v>
      </c>
      <c r="MM1324" s="97">
        <f t="shared" si="1546"/>
        <v>105421</v>
      </c>
      <c r="MN1324" s="97">
        <f t="shared" si="1547"/>
        <v>107489</v>
      </c>
      <c r="MO1324" s="97">
        <f t="shared" si="1548"/>
        <v>109294</v>
      </c>
      <c r="MP1324" s="97">
        <f t="shared" si="1549"/>
        <v>6653.59</v>
      </c>
      <c r="MQ1324" s="97">
        <f t="shared" si="1550"/>
        <v>6783.83</v>
      </c>
      <c r="MR1324" s="97">
        <f t="shared" si="1551"/>
        <v>6878.55</v>
      </c>
      <c r="MS1324" s="97">
        <f t="shared" si="1773"/>
        <v>39269.910000000003</v>
      </c>
      <c r="MT1324" s="97">
        <f t="shared" si="1774"/>
        <v>41346.49</v>
      </c>
      <c r="MU1324" s="97">
        <f t="shared" si="1775"/>
        <v>43620.09</v>
      </c>
      <c r="MV1324" s="97">
        <f t="shared" si="1776"/>
        <v>4896.1499999999996</v>
      </c>
      <c r="MW1324" s="97">
        <f t="shared" si="1777"/>
        <v>5046.49</v>
      </c>
      <c r="MX1324" s="97">
        <f t="shared" si="1778"/>
        <v>5148.49</v>
      </c>
      <c r="MY1324" s="97">
        <f t="shared" si="1552"/>
        <v>39269.910000000003</v>
      </c>
      <c r="MZ1324" s="97">
        <f t="shared" si="1552"/>
        <v>41346.49</v>
      </c>
      <c r="NA1324" s="97">
        <f t="shared" si="1552"/>
        <v>43620.09</v>
      </c>
      <c r="NB1324" s="97">
        <f t="shared" si="1553"/>
        <v>4896.1499999999996</v>
      </c>
      <c r="NC1324" s="97">
        <f t="shared" si="1553"/>
        <v>5046.49</v>
      </c>
      <c r="ND1324" s="97">
        <f t="shared" si="1553"/>
        <v>5148.49</v>
      </c>
      <c r="NE1324" s="102">
        <v>1</v>
      </c>
      <c r="NF1324" s="102">
        <v>1</v>
      </c>
      <c r="NG1324" s="102">
        <v>1</v>
      </c>
      <c r="NH1324" s="97">
        <f t="shared" si="1554"/>
        <v>105421</v>
      </c>
      <c r="NI1324" s="97">
        <f t="shared" si="1555"/>
        <v>107489</v>
      </c>
      <c r="NJ1324" s="97">
        <f t="shared" si="1556"/>
        <v>109294</v>
      </c>
      <c r="NK1324" s="97">
        <f t="shared" si="1557"/>
        <v>6653.59</v>
      </c>
      <c r="NL1324" s="97">
        <f t="shared" si="1558"/>
        <v>6783.83</v>
      </c>
      <c r="NM1324" s="97">
        <f t="shared" si="1559"/>
        <v>6878.55</v>
      </c>
      <c r="NN1324" s="97">
        <f t="shared" si="1779"/>
        <v>40093.72</v>
      </c>
      <c r="NO1324" s="97">
        <f t="shared" si="1780"/>
        <v>42159.3</v>
      </c>
      <c r="NP1324" s="97">
        <f t="shared" si="1781"/>
        <v>44452.55</v>
      </c>
      <c r="NQ1324" s="97">
        <f t="shared" si="1782"/>
        <v>7170.75</v>
      </c>
      <c r="NR1324" s="97">
        <f t="shared" si="1783"/>
        <v>7636.53</v>
      </c>
      <c r="NS1324" s="97">
        <f t="shared" si="1784"/>
        <v>7529.27</v>
      </c>
      <c r="NT1324" s="97">
        <f t="shared" si="1560"/>
        <v>40093.72</v>
      </c>
      <c r="NU1324" s="97">
        <f t="shared" si="1560"/>
        <v>42159.3</v>
      </c>
      <c r="NV1324" s="97">
        <f t="shared" si="1560"/>
        <v>44452.55</v>
      </c>
      <c r="NW1324" s="97">
        <f t="shared" si="1561"/>
        <v>7170.75</v>
      </c>
      <c r="NX1324" s="97">
        <f t="shared" si="1561"/>
        <v>7636.53</v>
      </c>
      <c r="NY1324" s="97">
        <f t="shared" si="1561"/>
        <v>7529.27</v>
      </c>
      <c r="NZ1324" s="102">
        <v>2</v>
      </c>
      <c r="OA1324" s="102">
        <v>2</v>
      </c>
      <c r="OB1324" s="102">
        <v>2</v>
      </c>
      <c r="OC1324" s="97">
        <f t="shared" si="1562"/>
        <v>210842</v>
      </c>
      <c r="OD1324" s="97">
        <f t="shared" si="1563"/>
        <v>214978</v>
      </c>
      <c r="OE1324" s="97">
        <f t="shared" si="1564"/>
        <v>218588</v>
      </c>
      <c r="OF1324" s="97">
        <f t="shared" si="1565"/>
        <v>13307.18</v>
      </c>
      <c r="OG1324" s="97">
        <f t="shared" si="1566"/>
        <v>13567.66</v>
      </c>
      <c r="OH1324" s="97">
        <f t="shared" si="1567"/>
        <v>13757.1</v>
      </c>
      <c r="OI1324" s="97">
        <f t="shared" si="1785"/>
        <v>52569.58</v>
      </c>
      <c r="OJ1324" s="97">
        <f t="shared" si="1786"/>
        <v>55191.33</v>
      </c>
      <c r="OK1324" s="97">
        <f t="shared" si="1787"/>
        <v>58176.52</v>
      </c>
      <c r="OL1324" s="97">
        <f t="shared" si="1788"/>
        <v>7192.17</v>
      </c>
      <c r="OM1324" s="97">
        <f t="shared" si="1789"/>
        <v>7619.28</v>
      </c>
      <c r="ON1324" s="97">
        <f t="shared" si="1790"/>
        <v>7685.27</v>
      </c>
      <c r="OO1324" s="97">
        <f t="shared" si="1568"/>
        <v>105139.16</v>
      </c>
      <c r="OP1324" s="97">
        <f t="shared" si="1568"/>
        <v>110382.66</v>
      </c>
      <c r="OQ1324" s="97">
        <f t="shared" si="1568"/>
        <v>116353.04</v>
      </c>
      <c r="OR1324" s="97">
        <f t="shared" si="1569"/>
        <v>14384.34</v>
      </c>
      <c r="OS1324" s="97">
        <f t="shared" si="1569"/>
        <v>15238.56</v>
      </c>
      <c r="OT1324" s="97">
        <f t="shared" si="1569"/>
        <v>15370.54</v>
      </c>
      <c r="OU1324" s="102"/>
      <c r="OV1324" s="102"/>
      <c r="OW1324" s="102"/>
      <c r="OX1324" s="97">
        <f t="shared" si="1570"/>
        <v>0</v>
      </c>
      <c r="OY1324" s="97">
        <f t="shared" si="1571"/>
        <v>0</v>
      </c>
      <c r="OZ1324" s="97">
        <f t="shared" si="1572"/>
        <v>0</v>
      </c>
      <c r="PA1324" s="97">
        <f t="shared" si="1573"/>
        <v>0</v>
      </c>
      <c r="PB1324" s="97">
        <f t="shared" si="1574"/>
        <v>0</v>
      </c>
      <c r="PC1324" s="97">
        <f t="shared" si="1575"/>
        <v>0</v>
      </c>
      <c r="PD1324" s="97">
        <f t="shared" si="1791"/>
        <v>44209.38</v>
      </c>
      <c r="PE1324" s="97">
        <f t="shared" si="1792"/>
        <v>46526.63</v>
      </c>
      <c r="PF1324" s="97">
        <f t="shared" si="1793"/>
        <v>49078.53</v>
      </c>
      <c r="PG1324" s="97">
        <f t="shared" si="1794"/>
        <v>5748.06</v>
      </c>
      <c r="PH1324" s="97">
        <f t="shared" si="1795"/>
        <v>5987.24</v>
      </c>
      <c r="PI1324" s="97">
        <f t="shared" si="1796"/>
        <v>6120.17</v>
      </c>
      <c r="PJ1324" s="97">
        <f t="shared" si="1576"/>
        <v>0</v>
      </c>
      <c r="PK1324" s="97">
        <f t="shared" si="1576"/>
        <v>0</v>
      </c>
      <c r="PL1324" s="97">
        <f t="shared" si="1576"/>
        <v>0</v>
      </c>
      <c r="PM1324" s="97">
        <f t="shared" si="1577"/>
        <v>0</v>
      </c>
      <c r="PN1324" s="97">
        <f t="shared" si="1577"/>
        <v>0</v>
      </c>
      <c r="PO1324" s="97">
        <f t="shared" si="1577"/>
        <v>0</v>
      </c>
      <c r="PP1324" s="102"/>
      <c r="PQ1324" s="102"/>
      <c r="PR1324" s="102"/>
      <c r="PS1324" s="97">
        <f t="shared" si="1578"/>
        <v>0</v>
      </c>
      <c r="PT1324" s="97">
        <f t="shared" si="1579"/>
        <v>0</v>
      </c>
      <c r="PU1324" s="97">
        <f t="shared" si="1580"/>
        <v>0</v>
      </c>
      <c r="PV1324" s="97">
        <f t="shared" si="1581"/>
        <v>0</v>
      </c>
      <c r="PW1324" s="97">
        <f t="shared" si="1582"/>
        <v>0</v>
      </c>
      <c r="PX1324" s="97">
        <f t="shared" si="1583"/>
        <v>0</v>
      </c>
      <c r="PY1324" s="97">
        <f t="shared" si="1797"/>
        <v>39580.82</v>
      </c>
      <c r="PZ1324" s="97">
        <f t="shared" si="1798"/>
        <v>41690.43</v>
      </c>
      <c r="QA1324" s="97">
        <f t="shared" si="1799"/>
        <v>43979.99</v>
      </c>
      <c r="QB1324" s="97">
        <f t="shared" si="1800"/>
        <v>5927.68</v>
      </c>
      <c r="QC1324" s="97">
        <f t="shared" si="1801"/>
        <v>6346.55</v>
      </c>
      <c r="QD1324" s="97">
        <f t="shared" si="1802"/>
        <v>6429.57</v>
      </c>
      <c r="QE1324" s="97">
        <f t="shared" si="1584"/>
        <v>0</v>
      </c>
      <c r="QF1324" s="97">
        <f t="shared" si="1584"/>
        <v>0</v>
      </c>
      <c r="QG1324" s="97">
        <f t="shared" si="1584"/>
        <v>0</v>
      </c>
      <c r="QH1324" s="97">
        <f t="shared" si="1585"/>
        <v>0</v>
      </c>
      <c r="QI1324" s="97">
        <f t="shared" si="1585"/>
        <v>0</v>
      </c>
      <c r="QJ1324" s="97">
        <f t="shared" si="1585"/>
        <v>0</v>
      </c>
      <c r="QK1324" s="102"/>
      <c r="QL1324" s="102"/>
      <c r="QM1324" s="102"/>
      <c r="QN1324" s="97">
        <f t="shared" si="1586"/>
        <v>0</v>
      </c>
      <c r="QO1324" s="97">
        <f t="shared" si="1587"/>
        <v>0</v>
      </c>
      <c r="QP1324" s="97">
        <f t="shared" si="1588"/>
        <v>0</v>
      </c>
      <c r="QQ1324" s="97">
        <f t="shared" si="1589"/>
        <v>0</v>
      </c>
      <c r="QR1324" s="97">
        <f t="shared" si="1590"/>
        <v>0</v>
      </c>
      <c r="QS1324" s="97">
        <f t="shared" si="1591"/>
        <v>0</v>
      </c>
      <c r="QT1324" s="97">
        <f t="shared" si="1803"/>
        <v>40251.43</v>
      </c>
      <c r="QU1324" s="97">
        <f t="shared" si="1804"/>
        <v>42381.4</v>
      </c>
      <c r="QV1324" s="97">
        <f t="shared" si="1805"/>
        <v>44713.77</v>
      </c>
      <c r="QW1324" s="97">
        <f t="shared" si="1806"/>
        <v>4076.99</v>
      </c>
      <c r="QX1324" s="97">
        <f t="shared" si="1807"/>
        <v>4313.38</v>
      </c>
      <c r="QY1324" s="97">
        <f t="shared" si="1808"/>
        <v>4398.08</v>
      </c>
      <c r="QZ1324" s="97">
        <f t="shared" si="1592"/>
        <v>0</v>
      </c>
      <c r="RA1324" s="97">
        <f t="shared" si="1592"/>
        <v>0</v>
      </c>
      <c r="RB1324" s="97">
        <f t="shared" si="1592"/>
        <v>0</v>
      </c>
      <c r="RC1324" s="97">
        <f t="shared" si="1593"/>
        <v>0</v>
      </c>
      <c r="RD1324" s="97">
        <f t="shared" si="1593"/>
        <v>0</v>
      </c>
      <c r="RE1324" s="97">
        <f t="shared" si="1593"/>
        <v>0</v>
      </c>
      <c r="RF1324" s="102">
        <v>3</v>
      </c>
      <c r="RG1324" s="102">
        <v>3</v>
      </c>
      <c r="RH1324" s="102">
        <v>3</v>
      </c>
      <c r="RI1324" s="97">
        <f t="shared" si="1594"/>
        <v>316263</v>
      </c>
      <c r="RJ1324" s="97">
        <f t="shared" si="1595"/>
        <v>322467</v>
      </c>
      <c r="RK1324" s="97">
        <f t="shared" si="1596"/>
        <v>327882</v>
      </c>
      <c r="RL1324" s="97">
        <f t="shared" si="1597"/>
        <v>19960.77</v>
      </c>
      <c r="RM1324" s="97">
        <f t="shared" si="1598"/>
        <v>20351.490000000002</v>
      </c>
      <c r="RN1324" s="97">
        <f t="shared" si="1599"/>
        <v>20635.650000000001</v>
      </c>
      <c r="RO1324" s="97">
        <f t="shared" si="1809"/>
        <v>43117.46</v>
      </c>
      <c r="RP1324" s="97">
        <f t="shared" si="1810"/>
        <v>45380.11</v>
      </c>
      <c r="RQ1324" s="97">
        <f t="shared" si="1811"/>
        <v>47877.15</v>
      </c>
      <c r="RR1324" s="97">
        <f t="shared" si="1812"/>
        <v>5751.04</v>
      </c>
      <c r="RS1324" s="97">
        <f t="shared" si="1813"/>
        <v>5969.44</v>
      </c>
      <c r="RT1324" s="97">
        <f t="shared" si="1814"/>
        <v>6087.96</v>
      </c>
      <c r="RU1324" s="97">
        <f t="shared" si="1600"/>
        <v>129352.38</v>
      </c>
      <c r="RV1324" s="97">
        <f t="shared" si="1600"/>
        <v>136140.32999999999</v>
      </c>
      <c r="RW1324" s="97">
        <f t="shared" si="1600"/>
        <v>143631.45000000001</v>
      </c>
      <c r="RX1324" s="97">
        <f t="shared" si="1601"/>
        <v>17253.12</v>
      </c>
      <c r="RY1324" s="97">
        <f t="shared" si="1601"/>
        <v>17908.32</v>
      </c>
      <c r="RZ1324" s="97">
        <f t="shared" si="1601"/>
        <v>18263.88</v>
      </c>
      <c r="SA1324" s="102">
        <v>2</v>
      </c>
      <c r="SB1324" s="102">
        <v>2</v>
      </c>
      <c r="SC1324" s="102">
        <v>2</v>
      </c>
      <c r="SD1324" s="97">
        <f t="shared" si="1602"/>
        <v>210842</v>
      </c>
      <c r="SE1324" s="97">
        <f t="shared" si="1603"/>
        <v>214978</v>
      </c>
      <c r="SF1324" s="97">
        <f t="shared" si="1604"/>
        <v>218588</v>
      </c>
      <c r="SG1324" s="97">
        <f t="shared" si="1605"/>
        <v>13307.18</v>
      </c>
      <c r="SH1324" s="97">
        <f t="shared" si="1606"/>
        <v>13567.66</v>
      </c>
      <c r="SI1324" s="97">
        <f t="shared" si="1607"/>
        <v>13757.1</v>
      </c>
      <c r="SJ1324" s="97">
        <f t="shared" si="1815"/>
        <v>45304.34</v>
      </c>
      <c r="SK1324" s="97">
        <f t="shared" si="1816"/>
        <v>47628.9</v>
      </c>
      <c r="SL1324" s="97">
        <f t="shared" si="1817"/>
        <v>50228.78</v>
      </c>
      <c r="SM1324" s="97">
        <f t="shared" si="1818"/>
        <v>8051.66</v>
      </c>
      <c r="SN1324" s="97">
        <f t="shared" si="1819"/>
        <v>8470.9699999999993</v>
      </c>
      <c r="SO1324" s="97">
        <f t="shared" si="1820"/>
        <v>8612.58</v>
      </c>
      <c r="SP1324" s="97">
        <f t="shared" si="1608"/>
        <v>90608.68</v>
      </c>
      <c r="SQ1324" s="97">
        <f t="shared" si="1608"/>
        <v>95257.8</v>
      </c>
      <c r="SR1324" s="97">
        <f t="shared" si="1608"/>
        <v>100457.56</v>
      </c>
      <c r="SS1324" s="97">
        <f t="shared" si="1609"/>
        <v>16103.32</v>
      </c>
      <c r="ST1324" s="97">
        <f t="shared" si="1609"/>
        <v>16941.939999999999</v>
      </c>
      <c r="SU1324" s="97">
        <f t="shared" si="1609"/>
        <v>17225.16</v>
      </c>
      <c r="SV1324" s="102"/>
      <c r="SW1324" s="102"/>
      <c r="SX1324" s="102"/>
      <c r="SY1324" s="97">
        <f t="shared" si="1610"/>
        <v>0</v>
      </c>
      <c r="SZ1324" s="97">
        <f t="shared" si="1611"/>
        <v>0</v>
      </c>
      <c r="TA1324" s="97">
        <f t="shared" si="1612"/>
        <v>0</v>
      </c>
      <c r="TB1324" s="97">
        <f t="shared" si="1613"/>
        <v>0</v>
      </c>
      <c r="TC1324" s="97">
        <f t="shared" si="1614"/>
        <v>0</v>
      </c>
      <c r="TD1324" s="97">
        <f t="shared" si="1615"/>
        <v>0</v>
      </c>
      <c r="TE1324" s="97">
        <f t="shared" si="1821"/>
        <v>40495.769999999997</v>
      </c>
      <c r="TF1324" s="97">
        <f t="shared" si="1822"/>
        <v>42622.12</v>
      </c>
      <c r="TG1324" s="97">
        <f t="shared" si="1823"/>
        <v>44959.6</v>
      </c>
      <c r="TH1324" s="97">
        <f t="shared" si="1824"/>
        <v>6131.64</v>
      </c>
      <c r="TI1324" s="97">
        <f t="shared" si="1825"/>
        <v>6417.77</v>
      </c>
      <c r="TJ1324" s="97">
        <f t="shared" si="1826"/>
        <v>6488.55</v>
      </c>
      <c r="TK1324" s="97">
        <f t="shared" si="1616"/>
        <v>0</v>
      </c>
      <c r="TL1324" s="97">
        <f t="shared" si="1616"/>
        <v>0</v>
      </c>
      <c r="TM1324" s="97">
        <f t="shared" si="1616"/>
        <v>0</v>
      </c>
      <c r="TN1324" s="97">
        <f t="shared" si="1617"/>
        <v>0</v>
      </c>
      <c r="TO1324" s="97">
        <f t="shared" si="1617"/>
        <v>0</v>
      </c>
      <c r="TP1324" s="97">
        <f t="shared" si="1617"/>
        <v>0</v>
      </c>
      <c r="TQ1324" s="102">
        <v>14</v>
      </c>
      <c r="TR1324" s="102">
        <v>14</v>
      </c>
      <c r="TS1324" s="102">
        <v>14</v>
      </c>
      <c r="TT1324" s="97">
        <f t="shared" si="1618"/>
        <v>1475894</v>
      </c>
      <c r="TU1324" s="97">
        <f t="shared" si="1619"/>
        <v>1504846</v>
      </c>
      <c r="TV1324" s="97">
        <f t="shared" si="1620"/>
        <v>1530116</v>
      </c>
      <c r="TW1324" s="97">
        <f t="shared" si="1621"/>
        <v>93150.26</v>
      </c>
      <c r="TX1324" s="97">
        <f t="shared" si="1622"/>
        <v>94973.62</v>
      </c>
      <c r="TY1324" s="97">
        <f t="shared" si="1623"/>
        <v>96299.7</v>
      </c>
      <c r="TZ1324" s="97">
        <f t="shared" si="1827"/>
        <v>43381.67</v>
      </c>
      <c r="UA1324" s="97">
        <f t="shared" si="1828"/>
        <v>45626.29</v>
      </c>
      <c r="UB1324" s="97">
        <f t="shared" si="1829"/>
        <v>48131.59</v>
      </c>
      <c r="UC1324" s="97">
        <f t="shared" si="1830"/>
        <v>5603.51</v>
      </c>
      <c r="UD1324" s="97">
        <f t="shared" si="1831"/>
        <v>6037.27</v>
      </c>
      <c r="UE1324" s="97">
        <f t="shared" si="1832"/>
        <v>6140.45</v>
      </c>
      <c r="UF1324" s="97">
        <f t="shared" si="1624"/>
        <v>607343.38</v>
      </c>
      <c r="UG1324" s="97">
        <f t="shared" si="1624"/>
        <v>638768.06000000006</v>
      </c>
      <c r="UH1324" s="97">
        <f t="shared" si="1624"/>
        <v>673842.26</v>
      </c>
      <c r="UI1324" s="97">
        <f t="shared" si="1625"/>
        <v>78449.14</v>
      </c>
      <c r="UJ1324" s="97">
        <f t="shared" si="1625"/>
        <v>84521.78</v>
      </c>
      <c r="UK1324" s="97">
        <f t="shared" si="1625"/>
        <v>85966.3</v>
      </c>
      <c r="UL1324" s="102">
        <v>3</v>
      </c>
      <c r="UM1324" s="102">
        <v>3</v>
      </c>
      <c r="UN1324" s="102">
        <v>3</v>
      </c>
      <c r="UO1324" s="97">
        <f t="shared" si="1626"/>
        <v>316263</v>
      </c>
      <c r="UP1324" s="97">
        <f t="shared" si="1627"/>
        <v>322467</v>
      </c>
      <c r="UQ1324" s="97">
        <f t="shared" si="1628"/>
        <v>327882</v>
      </c>
      <c r="UR1324" s="97">
        <f t="shared" si="1629"/>
        <v>19960.77</v>
      </c>
      <c r="US1324" s="97">
        <f t="shared" si="1630"/>
        <v>20351.490000000002</v>
      </c>
      <c r="UT1324" s="97">
        <f t="shared" si="1631"/>
        <v>20635.650000000001</v>
      </c>
      <c r="UU1324" s="97">
        <f t="shared" si="1833"/>
        <v>40132.559999999998</v>
      </c>
      <c r="UV1324" s="97">
        <f t="shared" si="1834"/>
        <v>42280.66</v>
      </c>
      <c r="UW1324" s="97">
        <f t="shared" si="1835"/>
        <v>44613.15</v>
      </c>
      <c r="UX1324" s="97">
        <f t="shared" si="1836"/>
        <v>4368.0200000000004</v>
      </c>
      <c r="UY1324" s="97">
        <f t="shared" si="1837"/>
        <v>4684.18</v>
      </c>
      <c r="UZ1324" s="97">
        <f t="shared" si="1838"/>
        <v>4785.1000000000004</v>
      </c>
      <c r="VA1324" s="97">
        <f t="shared" si="1632"/>
        <v>120397.68</v>
      </c>
      <c r="VB1324" s="97">
        <f t="shared" si="1632"/>
        <v>126841.98</v>
      </c>
      <c r="VC1324" s="97">
        <f t="shared" si="1632"/>
        <v>133839.45000000001</v>
      </c>
      <c r="VD1324" s="97">
        <f t="shared" si="1633"/>
        <v>13104.06</v>
      </c>
      <c r="VE1324" s="97">
        <f t="shared" si="1633"/>
        <v>14052.54</v>
      </c>
      <c r="VF1324" s="97">
        <f t="shared" si="1633"/>
        <v>14355.3</v>
      </c>
      <c r="VG1324" s="102">
        <v>2</v>
      </c>
      <c r="VH1324" s="102">
        <v>2</v>
      </c>
      <c r="VI1324" s="102">
        <v>2</v>
      </c>
      <c r="VJ1324" s="97">
        <f t="shared" si="1634"/>
        <v>210842</v>
      </c>
      <c r="VK1324" s="97">
        <f t="shared" si="1635"/>
        <v>214978</v>
      </c>
      <c r="VL1324" s="97">
        <f t="shared" si="1636"/>
        <v>218588</v>
      </c>
      <c r="VM1324" s="97">
        <f t="shared" si="1637"/>
        <v>13307.18</v>
      </c>
      <c r="VN1324" s="97">
        <f t="shared" si="1638"/>
        <v>13567.66</v>
      </c>
      <c r="VO1324" s="97">
        <f t="shared" si="1639"/>
        <v>13757.1</v>
      </c>
      <c r="VP1324" s="97">
        <f t="shared" si="1839"/>
        <v>40939.71</v>
      </c>
      <c r="VQ1324" s="97">
        <f t="shared" si="1840"/>
        <v>43095.18</v>
      </c>
      <c r="VR1324" s="97">
        <f t="shared" si="1841"/>
        <v>45469.71</v>
      </c>
      <c r="VS1324" s="97">
        <f t="shared" si="1842"/>
        <v>4701.43</v>
      </c>
      <c r="VT1324" s="97">
        <f t="shared" si="1843"/>
        <v>4939.16</v>
      </c>
      <c r="VU1324" s="97">
        <f t="shared" si="1844"/>
        <v>5043</v>
      </c>
      <c r="VV1324" s="97">
        <f t="shared" si="1640"/>
        <v>81879.42</v>
      </c>
      <c r="VW1324" s="97">
        <f t="shared" si="1640"/>
        <v>86190.36</v>
      </c>
      <c r="VX1324" s="97">
        <f t="shared" si="1640"/>
        <v>90939.42</v>
      </c>
      <c r="VY1324" s="97">
        <f t="shared" si="1641"/>
        <v>9402.86</v>
      </c>
      <c r="VZ1324" s="97">
        <f t="shared" si="1641"/>
        <v>9878.32</v>
      </c>
      <c r="WA1324" s="97">
        <f t="shared" si="1641"/>
        <v>10086</v>
      </c>
      <c r="WB1324" s="102"/>
      <c r="WC1324" s="102"/>
      <c r="WD1324" s="102"/>
      <c r="WE1324" s="97">
        <f t="shared" si="1642"/>
        <v>0</v>
      </c>
      <c r="WF1324" s="97">
        <f t="shared" si="1643"/>
        <v>0</v>
      </c>
      <c r="WG1324" s="97">
        <f t="shared" si="1644"/>
        <v>0</v>
      </c>
      <c r="WH1324" s="97">
        <f t="shared" si="1645"/>
        <v>0</v>
      </c>
      <c r="WI1324" s="97">
        <f t="shared" si="1646"/>
        <v>0</v>
      </c>
      <c r="WJ1324" s="97">
        <f t="shared" si="1647"/>
        <v>0</v>
      </c>
      <c r="WK1324" s="97">
        <f t="shared" si="1845"/>
        <v>37822.22</v>
      </c>
      <c r="WL1324" s="97">
        <f t="shared" si="1846"/>
        <v>39858.199999999997</v>
      </c>
      <c r="WM1324" s="97">
        <f t="shared" si="1847"/>
        <v>42055.03</v>
      </c>
      <c r="WN1324" s="97">
        <f t="shared" si="1848"/>
        <v>5048.9399999999996</v>
      </c>
      <c r="WO1324" s="97">
        <f t="shared" si="1849"/>
        <v>5433.94</v>
      </c>
      <c r="WP1324" s="97">
        <f t="shared" si="1850"/>
        <v>5553.18</v>
      </c>
      <c r="WQ1324" s="97">
        <f t="shared" si="1648"/>
        <v>0</v>
      </c>
      <c r="WR1324" s="97">
        <f t="shared" si="1648"/>
        <v>0</v>
      </c>
      <c r="WS1324" s="97">
        <f t="shared" si="1648"/>
        <v>0</v>
      </c>
      <c r="WT1324" s="97">
        <f t="shared" si="1649"/>
        <v>0</v>
      </c>
      <c r="WU1324" s="97">
        <f t="shared" si="1649"/>
        <v>0</v>
      </c>
      <c r="WV1324" s="97">
        <f t="shared" si="1649"/>
        <v>0</v>
      </c>
      <c r="WW1324" s="102"/>
      <c r="WX1324" s="102"/>
      <c r="WY1324" s="102"/>
      <c r="WZ1324" s="97">
        <f t="shared" si="1650"/>
        <v>0</v>
      </c>
      <c r="XA1324" s="97">
        <f t="shared" si="1651"/>
        <v>0</v>
      </c>
      <c r="XB1324" s="97">
        <f t="shared" si="1652"/>
        <v>0</v>
      </c>
      <c r="XC1324" s="97">
        <f t="shared" si="1653"/>
        <v>0</v>
      </c>
      <c r="XD1324" s="97">
        <f t="shared" si="1654"/>
        <v>0</v>
      </c>
      <c r="XE1324" s="97">
        <f t="shared" si="1655"/>
        <v>0</v>
      </c>
      <c r="XF1324" s="97">
        <f t="shared" si="1851"/>
        <v>37156.57</v>
      </c>
      <c r="XG1324" s="97">
        <f t="shared" si="1852"/>
        <v>39130.39</v>
      </c>
      <c r="XH1324" s="97">
        <f t="shared" si="1853"/>
        <v>41278.910000000003</v>
      </c>
      <c r="XI1324" s="97">
        <f t="shared" si="1854"/>
        <v>4066.64</v>
      </c>
      <c r="XJ1324" s="97">
        <f t="shared" si="1855"/>
        <v>4392.6499999999996</v>
      </c>
      <c r="XK1324" s="97">
        <f t="shared" si="1856"/>
        <v>4473.1099999999997</v>
      </c>
      <c r="XL1324" s="97">
        <f t="shared" si="1656"/>
        <v>0</v>
      </c>
      <c r="XM1324" s="97">
        <f t="shared" si="1656"/>
        <v>0</v>
      </c>
      <c r="XN1324" s="97">
        <f t="shared" si="1656"/>
        <v>0</v>
      </c>
      <c r="XO1324" s="97">
        <f t="shared" si="1657"/>
        <v>0</v>
      </c>
      <c r="XP1324" s="97">
        <f t="shared" si="1657"/>
        <v>0</v>
      </c>
      <c r="XQ1324" s="97">
        <f t="shared" si="1657"/>
        <v>0</v>
      </c>
      <c r="XR1324" s="102">
        <v>2</v>
      </c>
      <c r="XS1324" s="102">
        <v>2</v>
      </c>
      <c r="XT1324" s="102">
        <v>2</v>
      </c>
      <c r="XU1324" s="97">
        <f t="shared" si="1658"/>
        <v>210842</v>
      </c>
      <c r="XV1324" s="97">
        <f t="shared" si="1659"/>
        <v>214978</v>
      </c>
      <c r="XW1324" s="97">
        <f t="shared" si="1660"/>
        <v>218588</v>
      </c>
      <c r="XX1324" s="97">
        <f t="shared" si="1661"/>
        <v>13307.18</v>
      </c>
      <c r="XY1324" s="97">
        <f t="shared" si="1662"/>
        <v>13567.66</v>
      </c>
      <c r="XZ1324" s="97">
        <f t="shared" si="1663"/>
        <v>13757.1</v>
      </c>
      <c r="YA1324" s="97">
        <f t="shared" si="1857"/>
        <v>39221.26</v>
      </c>
      <c r="YB1324" s="97">
        <f t="shared" si="1858"/>
        <v>41338.43</v>
      </c>
      <c r="YC1324" s="97">
        <f t="shared" si="1859"/>
        <v>43628.04</v>
      </c>
      <c r="YD1324" s="97">
        <f t="shared" si="1860"/>
        <v>17784.39</v>
      </c>
      <c r="YE1324" s="97">
        <f t="shared" si="1861"/>
        <v>21467.02</v>
      </c>
      <c r="YF1324" s="97">
        <f t="shared" si="1862"/>
        <v>21911.29</v>
      </c>
      <c r="YG1324" s="97">
        <f t="shared" si="1664"/>
        <v>78442.52</v>
      </c>
      <c r="YH1324" s="97">
        <f t="shared" si="1664"/>
        <v>82676.86</v>
      </c>
      <c r="YI1324" s="97">
        <f t="shared" si="1664"/>
        <v>87256.08</v>
      </c>
      <c r="YJ1324" s="97">
        <f t="shared" si="1665"/>
        <v>35568.78</v>
      </c>
      <c r="YK1324" s="97">
        <f t="shared" si="1665"/>
        <v>42934.04</v>
      </c>
      <c r="YL1324" s="97">
        <f t="shared" si="1665"/>
        <v>43822.58</v>
      </c>
      <c r="YM1324" s="145">
        <f t="shared" si="1666"/>
        <v>40</v>
      </c>
      <c r="YN1324" s="145">
        <f t="shared" si="1666"/>
        <v>40</v>
      </c>
      <c r="YO1324" s="145">
        <f t="shared" si="1666"/>
        <v>40</v>
      </c>
      <c r="YP1324" s="97">
        <f t="shared" si="1667"/>
        <v>4216840</v>
      </c>
      <c r="YQ1324" s="97">
        <f t="shared" si="1668"/>
        <v>4299560</v>
      </c>
      <c r="YR1324" s="97">
        <f t="shared" si="1669"/>
        <v>4371760</v>
      </c>
      <c r="YS1324" s="97">
        <f t="shared" si="1670"/>
        <v>266143.59999999998</v>
      </c>
      <c r="YT1324" s="97">
        <f t="shared" si="1671"/>
        <v>271353.2</v>
      </c>
      <c r="YU1324" s="97">
        <f t="shared" si="1672"/>
        <v>275142</v>
      </c>
      <c r="YV1324" s="97">
        <f t="shared" si="1863"/>
        <v>41337.589999999997</v>
      </c>
      <c r="YW1324" s="97">
        <f t="shared" si="1864"/>
        <v>43510.75</v>
      </c>
      <c r="YX1324" s="97">
        <f t="shared" si="1865"/>
        <v>45898.53</v>
      </c>
      <c r="YY1324" s="97">
        <f t="shared" si="1866"/>
        <v>5720.85</v>
      </c>
      <c r="YZ1324" s="97">
        <f t="shared" si="1867"/>
        <v>6129.94</v>
      </c>
      <c r="ZA1324" s="97">
        <f t="shared" si="1868"/>
        <v>6227.57</v>
      </c>
      <c r="ZB1324" s="97">
        <f t="shared" si="1673"/>
        <v>1653503.6</v>
      </c>
      <c r="ZC1324" s="97">
        <f t="shared" si="1673"/>
        <v>1740430</v>
      </c>
      <c r="ZD1324" s="97">
        <f t="shared" si="1673"/>
        <v>1835941.2</v>
      </c>
      <c r="ZE1324" s="97">
        <f t="shared" si="1674"/>
        <v>228834</v>
      </c>
      <c r="ZF1324" s="97">
        <f t="shared" si="1674"/>
        <v>245197.6</v>
      </c>
      <c r="ZG1324" s="97">
        <f t="shared" si="1674"/>
        <v>249102.8</v>
      </c>
    </row>
    <row r="1325" spans="1:683" hidden="1" x14ac:dyDescent="0.25">
      <c r="A1325" s="92" t="s">
        <v>608</v>
      </c>
      <c r="B1325" s="174"/>
      <c r="C1325" s="5"/>
      <c r="D1325" s="340"/>
      <c r="E1325" s="163"/>
      <c r="F1325" s="110">
        <f t="shared" si="1416"/>
        <v>10604</v>
      </c>
      <c r="G1325" s="110">
        <f t="shared" si="1416"/>
        <v>10604</v>
      </c>
      <c r="H1325" s="110">
        <f t="shared" si="1416"/>
        <v>10604</v>
      </c>
      <c r="I1325" s="97">
        <f t="shared" si="1417"/>
        <v>469</v>
      </c>
      <c r="J1325" s="97">
        <f t="shared" si="1417"/>
        <v>469</v>
      </c>
      <c r="K1325" s="97">
        <f t="shared" si="1417"/>
        <v>469</v>
      </c>
      <c r="L1325" s="102"/>
      <c r="M1325" s="102"/>
      <c r="N1325" s="102"/>
      <c r="O1325" s="97">
        <f t="shared" si="1418"/>
        <v>0</v>
      </c>
      <c r="P1325" s="97">
        <f t="shared" si="1419"/>
        <v>0</v>
      </c>
      <c r="Q1325" s="97">
        <f t="shared" si="1420"/>
        <v>0</v>
      </c>
      <c r="R1325" s="97">
        <f t="shared" si="1421"/>
        <v>0</v>
      </c>
      <c r="S1325" s="97">
        <f t="shared" si="1422"/>
        <v>0</v>
      </c>
      <c r="T1325" s="97">
        <f t="shared" si="1423"/>
        <v>0</v>
      </c>
      <c r="U1325" s="97">
        <f t="shared" si="1675"/>
        <v>4575.68</v>
      </c>
      <c r="V1325" s="97">
        <f t="shared" si="1676"/>
        <v>4724.88</v>
      </c>
      <c r="W1325" s="97">
        <f t="shared" si="1677"/>
        <v>4903.1400000000003</v>
      </c>
      <c r="X1325" s="97">
        <f t="shared" si="1678"/>
        <v>367.76</v>
      </c>
      <c r="Y1325" s="97">
        <f t="shared" si="1679"/>
        <v>371.55</v>
      </c>
      <c r="Z1325" s="97">
        <f t="shared" si="1680"/>
        <v>370.5</v>
      </c>
      <c r="AA1325" s="97">
        <f t="shared" si="1424"/>
        <v>0</v>
      </c>
      <c r="AB1325" s="97">
        <f t="shared" si="1424"/>
        <v>0</v>
      </c>
      <c r="AC1325" s="97">
        <f t="shared" si="1424"/>
        <v>0</v>
      </c>
      <c r="AD1325" s="97">
        <f t="shared" si="1425"/>
        <v>0</v>
      </c>
      <c r="AE1325" s="97">
        <f t="shared" si="1425"/>
        <v>0</v>
      </c>
      <c r="AF1325" s="97">
        <f t="shared" si="1425"/>
        <v>0</v>
      </c>
      <c r="AG1325" s="102"/>
      <c r="AH1325" s="102"/>
      <c r="AI1325" s="102"/>
      <c r="AJ1325" s="97">
        <f t="shared" si="1426"/>
        <v>0</v>
      </c>
      <c r="AK1325" s="97">
        <f t="shared" si="1427"/>
        <v>0</v>
      </c>
      <c r="AL1325" s="97">
        <f t="shared" si="1428"/>
        <v>0</v>
      </c>
      <c r="AM1325" s="97">
        <f t="shared" si="1429"/>
        <v>0</v>
      </c>
      <c r="AN1325" s="97">
        <f t="shared" si="1430"/>
        <v>0</v>
      </c>
      <c r="AO1325" s="97">
        <f t="shared" si="1431"/>
        <v>0</v>
      </c>
      <c r="AP1325" s="97">
        <f t="shared" si="1683"/>
        <v>4209.42</v>
      </c>
      <c r="AQ1325" s="97">
        <f t="shared" si="1684"/>
        <v>4345.97</v>
      </c>
      <c r="AR1325" s="97">
        <f t="shared" si="1685"/>
        <v>4509.22</v>
      </c>
      <c r="AS1325" s="97">
        <f t="shared" si="1686"/>
        <v>293.25</v>
      </c>
      <c r="AT1325" s="97">
        <f t="shared" si="1687"/>
        <v>300.76</v>
      </c>
      <c r="AU1325" s="97">
        <f t="shared" si="1688"/>
        <v>302.26</v>
      </c>
      <c r="AV1325" s="97">
        <f t="shared" si="1432"/>
        <v>0</v>
      </c>
      <c r="AW1325" s="97">
        <f t="shared" si="1432"/>
        <v>0</v>
      </c>
      <c r="AX1325" s="97">
        <f t="shared" si="1432"/>
        <v>0</v>
      </c>
      <c r="AY1325" s="97">
        <f t="shared" si="1433"/>
        <v>0</v>
      </c>
      <c r="AZ1325" s="97">
        <f t="shared" si="1433"/>
        <v>0</v>
      </c>
      <c r="BA1325" s="97">
        <f t="shared" si="1433"/>
        <v>0</v>
      </c>
      <c r="BB1325" s="102"/>
      <c r="BC1325" s="102"/>
      <c r="BD1325" s="102"/>
      <c r="BE1325" s="97">
        <f t="shared" si="1434"/>
        <v>0</v>
      </c>
      <c r="BF1325" s="97">
        <f t="shared" si="1435"/>
        <v>0</v>
      </c>
      <c r="BG1325" s="97">
        <f t="shared" si="1436"/>
        <v>0</v>
      </c>
      <c r="BH1325" s="97">
        <f t="shared" si="1437"/>
        <v>0</v>
      </c>
      <c r="BI1325" s="97">
        <f t="shared" si="1438"/>
        <v>0</v>
      </c>
      <c r="BJ1325" s="97">
        <f t="shared" si="1439"/>
        <v>0</v>
      </c>
      <c r="BK1325" s="97">
        <f t="shared" si="1689"/>
        <v>3970.86</v>
      </c>
      <c r="BL1325" s="97">
        <f t="shared" si="1690"/>
        <v>4091.53</v>
      </c>
      <c r="BM1325" s="97">
        <f t="shared" si="1691"/>
        <v>4240.6099999999997</v>
      </c>
      <c r="BN1325" s="97">
        <f t="shared" si="1692"/>
        <v>313.25</v>
      </c>
      <c r="BO1325" s="97">
        <f t="shared" si="1693"/>
        <v>321.27999999999997</v>
      </c>
      <c r="BP1325" s="97">
        <f t="shared" si="1694"/>
        <v>322.29000000000002</v>
      </c>
      <c r="BQ1325" s="97">
        <f t="shared" si="1440"/>
        <v>0</v>
      </c>
      <c r="BR1325" s="97">
        <f t="shared" si="1440"/>
        <v>0</v>
      </c>
      <c r="BS1325" s="97">
        <f t="shared" si="1440"/>
        <v>0</v>
      </c>
      <c r="BT1325" s="97">
        <f t="shared" si="1441"/>
        <v>0</v>
      </c>
      <c r="BU1325" s="97">
        <f t="shared" si="1441"/>
        <v>0</v>
      </c>
      <c r="BV1325" s="97">
        <f t="shared" si="1441"/>
        <v>0</v>
      </c>
      <c r="BW1325" s="102"/>
      <c r="BX1325" s="102"/>
      <c r="BY1325" s="102"/>
      <c r="BZ1325" s="97">
        <f t="shared" si="1442"/>
        <v>0</v>
      </c>
      <c r="CA1325" s="97">
        <f t="shared" si="1443"/>
        <v>0</v>
      </c>
      <c r="CB1325" s="97">
        <f t="shared" si="1444"/>
        <v>0</v>
      </c>
      <c r="CC1325" s="97">
        <f t="shared" si="1445"/>
        <v>0</v>
      </c>
      <c r="CD1325" s="97">
        <f t="shared" si="1446"/>
        <v>0</v>
      </c>
      <c r="CE1325" s="97">
        <f t="shared" si="1447"/>
        <v>0</v>
      </c>
      <c r="CF1325" s="97">
        <f t="shared" si="1695"/>
        <v>4100.82</v>
      </c>
      <c r="CG1325" s="97">
        <f t="shared" si="1696"/>
        <v>4237.03</v>
      </c>
      <c r="CH1325" s="97">
        <f t="shared" si="1697"/>
        <v>4396.46</v>
      </c>
      <c r="CI1325" s="97">
        <f t="shared" si="1698"/>
        <v>482.92</v>
      </c>
      <c r="CJ1325" s="97">
        <f t="shared" si="1699"/>
        <v>485.42</v>
      </c>
      <c r="CK1325" s="97">
        <f t="shared" si="1700"/>
        <v>483.08</v>
      </c>
      <c r="CL1325" s="97">
        <f t="shared" si="1448"/>
        <v>0</v>
      </c>
      <c r="CM1325" s="97">
        <f t="shared" si="1448"/>
        <v>0</v>
      </c>
      <c r="CN1325" s="97">
        <f t="shared" si="1448"/>
        <v>0</v>
      </c>
      <c r="CO1325" s="97">
        <f t="shared" si="1449"/>
        <v>0</v>
      </c>
      <c r="CP1325" s="97">
        <f t="shared" si="1449"/>
        <v>0</v>
      </c>
      <c r="CQ1325" s="97">
        <f t="shared" si="1449"/>
        <v>0</v>
      </c>
      <c r="CR1325" s="102"/>
      <c r="CS1325" s="102"/>
      <c r="CT1325" s="102"/>
      <c r="CU1325" s="97">
        <f t="shared" si="1450"/>
        <v>0</v>
      </c>
      <c r="CV1325" s="97">
        <f t="shared" si="1451"/>
        <v>0</v>
      </c>
      <c r="CW1325" s="97">
        <f t="shared" si="1452"/>
        <v>0</v>
      </c>
      <c r="CX1325" s="97">
        <f t="shared" si="1453"/>
        <v>0</v>
      </c>
      <c r="CY1325" s="97">
        <f t="shared" si="1454"/>
        <v>0</v>
      </c>
      <c r="CZ1325" s="97">
        <f t="shared" si="1455"/>
        <v>0</v>
      </c>
      <c r="DA1325" s="97">
        <f t="shared" si="1701"/>
        <v>4132.3999999999996</v>
      </c>
      <c r="DB1325" s="97">
        <f t="shared" si="1702"/>
        <v>4265.99</v>
      </c>
      <c r="DC1325" s="97">
        <f t="shared" si="1703"/>
        <v>4426.25</v>
      </c>
      <c r="DD1325" s="97">
        <f t="shared" si="1704"/>
        <v>233.8</v>
      </c>
      <c r="DE1325" s="97">
        <f t="shared" si="1705"/>
        <v>236.16</v>
      </c>
      <c r="DF1325" s="97">
        <f t="shared" si="1706"/>
        <v>235.75</v>
      </c>
      <c r="DG1325" s="97">
        <f t="shared" si="1456"/>
        <v>0</v>
      </c>
      <c r="DH1325" s="97">
        <f t="shared" si="1456"/>
        <v>0</v>
      </c>
      <c r="DI1325" s="97">
        <f t="shared" si="1456"/>
        <v>0</v>
      </c>
      <c r="DJ1325" s="97">
        <f t="shared" si="1457"/>
        <v>0</v>
      </c>
      <c r="DK1325" s="97">
        <f t="shared" si="1457"/>
        <v>0</v>
      </c>
      <c r="DL1325" s="97">
        <f t="shared" si="1457"/>
        <v>0</v>
      </c>
      <c r="DM1325" s="102"/>
      <c r="DN1325" s="102"/>
      <c r="DO1325" s="102"/>
      <c r="DP1325" s="97">
        <f t="shared" si="1458"/>
        <v>0</v>
      </c>
      <c r="DQ1325" s="97">
        <f t="shared" si="1459"/>
        <v>0</v>
      </c>
      <c r="DR1325" s="97">
        <f t="shared" si="1460"/>
        <v>0</v>
      </c>
      <c r="DS1325" s="97">
        <f t="shared" si="1461"/>
        <v>0</v>
      </c>
      <c r="DT1325" s="97">
        <f t="shared" si="1462"/>
        <v>0</v>
      </c>
      <c r="DU1325" s="97">
        <f t="shared" si="1463"/>
        <v>0</v>
      </c>
      <c r="DV1325" s="97">
        <f t="shared" si="1707"/>
        <v>4487.0600000000004</v>
      </c>
      <c r="DW1325" s="97">
        <f t="shared" si="1708"/>
        <v>4639.32</v>
      </c>
      <c r="DX1325" s="97">
        <f t="shared" si="1709"/>
        <v>4815.92</v>
      </c>
      <c r="DY1325" s="97">
        <f t="shared" si="1710"/>
        <v>489.7</v>
      </c>
      <c r="DZ1325" s="97">
        <f t="shared" si="1711"/>
        <v>475.73</v>
      </c>
      <c r="EA1325" s="97">
        <f t="shared" si="1712"/>
        <v>474.43</v>
      </c>
      <c r="EB1325" s="97">
        <f t="shared" si="1464"/>
        <v>0</v>
      </c>
      <c r="EC1325" s="97">
        <f t="shared" si="1464"/>
        <v>0</v>
      </c>
      <c r="ED1325" s="97">
        <f t="shared" si="1464"/>
        <v>0</v>
      </c>
      <c r="EE1325" s="97">
        <f t="shared" si="1465"/>
        <v>0</v>
      </c>
      <c r="EF1325" s="97">
        <f t="shared" si="1465"/>
        <v>0</v>
      </c>
      <c r="EG1325" s="97">
        <f t="shared" si="1465"/>
        <v>0</v>
      </c>
      <c r="EH1325" s="102"/>
      <c r="EI1325" s="102"/>
      <c r="EJ1325" s="102"/>
      <c r="EK1325" s="97">
        <f t="shared" si="1466"/>
        <v>0</v>
      </c>
      <c r="EL1325" s="97">
        <f t="shared" si="1467"/>
        <v>0</v>
      </c>
      <c r="EM1325" s="97">
        <f t="shared" si="1468"/>
        <v>0</v>
      </c>
      <c r="EN1325" s="97">
        <f t="shared" si="1469"/>
        <v>0</v>
      </c>
      <c r="EO1325" s="97">
        <f t="shared" si="1470"/>
        <v>0</v>
      </c>
      <c r="EP1325" s="97">
        <f t="shared" si="1471"/>
        <v>0</v>
      </c>
      <c r="EQ1325" s="97">
        <f t="shared" si="1713"/>
        <v>4435.29</v>
      </c>
      <c r="ER1325" s="97">
        <f t="shared" si="1714"/>
        <v>4571.63</v>
      </c>
      <c r="ES1325" s="97">
        <f t="shared" si="1715"/>
        <v>4741.16</v>
      </c>
      <c r="ET1325" s="97">
        <f t="shared" si="1716"/>
        <v>411.13</v>
      </c>
      <c r="EU1325" s="97">
        <f t="shared" si="1717"/>
        <v>420.97</v>
      </c>
      <c r="EV1325" s="97">
        <f t="shared" si="1718"/>
        <v>422.73</v>
      </c>
      <c r="EW1325" s="97">
        <f t="shared" si="1472"/>
        <v>0</v>
      </c>
      <c r="EX1325" s="97">
        <f t="shared" si="1472"/>
        <v>0</v>
      </c>
      <c r="EY1325" s="97">
        <f t="shared" si="1472"/>
        <v>0</v>
      </c>
      <c r="EZ1325" s="97">
        <f t="shared" si="1473"/>
        <v>0</v>
      </c>
      <c r="FA1325" s="97">
        <f t="shared" si="1473"/>
        <v>0</v>
      </c>
      <c r="FB1325" s="97">
        <f t="shared" si="1473"/>
        <v>0</v>
      </c>
      <c r="FC1325" s="102"/>
      <c r="FD1325" s="102"/>
      <c r="FE1325" s="102"/>
      <c r="FF1325" s="97">
        <f t="shared" si="1474"/>
        <v>0</v>
      </c>
      <c r="FG1325" s="97">
        <f t="shared" si="1475"/>
        <v>0</v>
      </c>
      <c r="FH1325" s="97">
        <f t="shared" si="1476"/>
        <v>0</v>
      </c>
      <c r="FI1325" s="97">
        <f t="shared" si="1477"/>
        <v>0</v>
      </c>
      <c r="FJ1325" s="97">
        <f t="shared" si="1478"/>
        <v>0</v>
      </c>
      <c r="FK1325" s="97">
        <f t="shared" si="1479"/>
        <v>0</v>
      </c>
      <c r="FL1325" s="97">
        <f t="shared" si="1719"/>
        <v>4309.09</v>
      </c>
      <c r="FM1325" s="97">
        <f t="shared" si="1720"/>
        <v>4450.54</v>
      </c>
      <c r="FN1325" s="97">
        <f t="shared" si="1721"/>
        <v>4618.32</v>
      </c>
      <c r="FO1325" s="97">
        <f t="shared" si="1722"/>
        <v>442.18</v>
      </c>
      <c r="FP1325" s="97">
        <f t="shared" si="1723"/>
        <v>455.59</v>
      </c>
      <c r="FQ1325" s="97">
        <f t="shared" si="1724"/>
        <v>447.06</v>
      </c>
      <c r="FR1325" s="97">
        <f t="shared" si="1480"/>
        <v>0</v>
      </c>
      <c r="FS1325" s="97">
        <f t="shared" si="1480"/>
        <v>0</v>
      </c>
      <c r="FT1325" s="97">
        <f t="shared" si="1480"/>
        <v>0</v>
      </c>
      <c r="FU1325" s="97">
        <f t="shared" si="1481"/>
        <v>0</v>
      </c>
      <c r="FV1325" s="97">
        <f t="shared" si="1481"/>
        <v>0</v>
      </c>
      <c r="FW1325" s="97">
        <f t="shared" si="1481"/>
        <v>0</v>
      </c>
      <c r="FX1325" s="102"/>
      <c r="FY1325" s="102"/>
      <c r="FZ1325" s="102"/>
      <c r="GA1325" s="97">
        <f t="shared" si="1482"/>
        <v>0</v>
      </c>
      <c r="GB1325" s="97">
        <f t="shared" si="1483"/>
        <v>0</v>
      </c>
      <c r="GC1325" s="97">
        <f t="shared" si="1484"/>
        <v>0</v>
      </c>
      <c r="GD1325" s="97">
        <f t="shared" si="1485"/>
        <v>0</v>
      </c>
      <c r="GE1325" s="97">
        <f t="shared" si="1486"/>
        <v>0</v>
      </c>
      <c r="GF1325" s="97">
        <f t="shared" si="1487"/>
        <v>0</v>
      </c>
      <c r="GG1325" s="97">
        <f t="shared" si="1725"/>
        <v>4302.32</v>
      </c>
      <c r="GH1325" s="97">
        <f t="shared" si="1726"/>
        <v>4438.7</v>
      </c>
      <c r="GI1325" s="97">
        <f t="shared" si="1727"/>
        <v>4603.7299999999996</v>
      </c>
      <c r="GJ1325" s="97">
        <f t="shared" si="1728"/>
        <v>331.56</v>
      </c>
      <c r="GK1325" s="97">
        <f t="shared" si="1729"/>
        <v>368.2</v>
      </c>
      <c r="GL1325" s="97">
        <f t="shared" si="1730"/>
        <v>391.36</v>
      </c>
      <c r="GM1325" s="97">
        <f t="shared" si="1488"/>
        <v>0</v>
      </c>
      <c r="GN1325" s="97">
        <f t="shared" si="1488"/>
        <v>0</v>
      </c>
      <c r="GO1325" s="97">
        <f t="shared" si="1488"/>
        <v>0</v>
      </c>
      <c r="GP1325" s="97">
        <f t="shared" si="1489"/>
        <v>0</v>
      </c>
      <c r="GQ1325" s="97">
        <f t="shared" si="1489"/>
        <v>0</v>
      </c>
      <c r="GR1325" s="97">
        <f t="shared" si="1489"/>
        <v>0</v>
      </c>
      <c r="GS1325" s="102"/>
      <c r="GT1325" s="102"/>
      <c r="GU1325" s="102"/>
      <c r="GV1325" s="97">
        <f t="shared" si="1490"/>
        <v>0</v>
      </c>
      <c r="GW1325" s="97">
        <f t="shared" si="1491"/>
        <v>0</v>
      </c>
      <c r="GX1325" s="97">
        <f t="shared" si="1492"/>
        <v>0</v>
      </c>
      <c r="GY1325" s="97">
        <f t="shared" si="1493"/>
        <v>0</v>
      </c>
      <c r="GZ1325" s="97">
        <f t="shared" si="1494"/>
        <v>0</v>
      </c>
      <c r="HA1325" s="97">
        <f t="shared" si="1495"/>
        <v>0</v>
      </c>
      <c r="HB1325" s="97">
        <f t="shared" si="1731"/>
        <v>4494.3599999999997</v>
      </c>
      <c r="HC1325" s="97">
        <f t="shared" si="1732"/>
        <v>4634.96</v>
      </c>
      <c r="HD1325" s="97">
        <f t="shared" si="1733"/>
        <v>4807.1499999999996</v>
      </c>
      <c r="HE1325" s="97">
        <f t="shared" si="1734"/>
        <v>385.77</v>
      </c>
      <c r="HF1325" s="97">
        <f t="shared" si="1735"/>
        <v>393.83</v>
      </c>
      <c r="HG1325" s="97">
        <f t="shared" si="1736"/>
        <v>394.53</v>
      </c>
      <c r="HH1325" s="97">
        <f t="shared" si="1496"/>
        <v>0</v>
      </c>
      <c r="HI1325" s="97">
        <f t="shared" si="1496"/>
        <v>0</v>
      </c>
      <c r="HJ1325" s="97">
        <f t="shared" si="1496"/>
        <v>0</v>
      </c>
      <c r="HK1325" s="97">
        <f t="shared" si="1497"/>
        <v>0</v>
      </c>
      <c r="HL1325" s="97">
        <f t="shared" si="1497"/>
        <v>0</v>
      </c>
      <c r="HM1325" s="97">
        <f t="shared" si="1497"/>
        <v>0</v>
      </c>
      <c r="HN1325" s="102"/>
      <c r="HO1325" s="102"/>
      <c r="HP1325" s="102"/>
      <c r="HQ1325" s="97">
        <f t="shared" si="1498"/>
        <v>0</v>
      </c>
      <c r="HR1325" s="97">
        <f t="shared" si="1499"/>
        <v>0</v>
      </c>
      <c r="HS1325" s="97">
        <f t="shared" si="1500"/>
        <v>0</v>
      </c>
      <c r="HT1325" s="97">
        <f t="shared" si="1501"/>
        <v>0</v>
      </c>
      <c r="HU1325" s="97">
        <f t="shared" si="1502"/>
        <v>0</v>
      </c>
      <c r="HV1325" s="97">
        <f t="shared" si="1503"/>
        <v>0</v>
      </c>
      <c r="HW1325" s="97">
        <f t="shared" si="1737"/>
        <v>4423.08</v>
      </c>
      <c r="HX1325" s="97">
        <f t="shared" si="1738"/>
        <v>4568.1899999999996</v>
      </c>
      <c r="HY1325" s="97">
        <f t="shared" si="1739"/>
        <v>4738.76</v>
      </c>
      <c r="HZ1325" s="97">
        <f t="shared" si="1740"/>
        <v>368</v>
      </c>
      <c r="IA1325" s="97">
        <f t="shared" si="1741"/>
        <v>375.46</v>
      </c>
      <c r="IB1325" s="97">
        <f t="shared" si="1742"/>
        <v>369.69</v>
      </c>
      <c r="IC1325" s="97">
        <f t="shared" si="1504"/>
        <v>0</v>
      </c>
      <c r="ID1325" s="97">
        <f t="shared" si="1504"/>
        <v>0</v>
      </c>
      <c r="IE1325" s="97">
        <f t="shared" si="1504"/>
        <v>0</v>
      </c>
      <c r="IF1325" s="97">
        <f t="shared" si="1505"/>
        <v>0</v>
      </c>
      <c r="IG1325" s="97">
        <f t="shared" si="1505"/>
        <v>0</v>
      </c>
      <c r="IH1325" s="97">
        <f t="shared" si="1505"/>
        <v>0</v>
      </c>
      <c r="II1325" s="102"/>
      <c r="IJ1325" s="102"/>
      <c r="IK1325" s="102"/>
      <c r="IL1325" s="97">
        <f t="shared" si="1506"/>
        <v>0</v>
      </c>
      <c r="IM1325" s="97">
        <f t="shared" si="1507"/>
        <v>0</v>
      </c>
      <c r="IN1325" s="97">
        <f t="shared" si="1508"/>
        <v>0</v>
      </c>
      <c r="IO1325" s="97">
        <f t="shared" si="1509"/>
        <v>0</v>
      </c>
      <c r="IP1325" s="97">
        <f t="shared" si="1510"/>
        <v>0</v>
      </c>
      <c r="IQ1325" s="97">
        <f t="shared" si="1511"/>
        <v>0</v>
      </c>
      <c r="IR1325" s="97">
        <f t="shared" si="1743"/>
        <v>6008.45</v>
      </c>
      <c r="IS1325" s="97">
        <f t="shared" si="1744"/>
        <v>6189.48</v>
      </c>
      <c r="IT1325" s="97">
        <f t="shared" si="1745"/>
        <v>6418.25</v>
      </c>
      <c r="IU1325" s="97">
        <f t="shared" si="1746"/>
        <v>556.34</v>
      </c>
      <c r="IV1325" s="97">
        <f t="shared" si="1747"/>
        <v>567.59</v>
      </c>
      <c r="IW1325" s="97">
        <f t="shared" si="1748"/>
        <v>554.94000000000005</v>
      </c>
      <c r="IX1325" s="97">
        <f t="shared" si="1512"/>
        <v>0</v>
      </c>
      <c r="IY1325" s="97">
        <f t="shared" si="1512"/>
        <v>0</v>
      </c>
      <c r="IZ1325" s="97">
        <f t="shared" si="1512"/>
        <v>0</v>
      </c>
      <c r="JA1325" s="97">
        <f t="shared" si="1513"/>
        <v>0</v>
      </c>
      <c r="JB1325" s="97">
        <f t="shared" si="1513"/>
        <v>0</v>
      </c>
      <c r="JC1325" s="97">
        <f t="shared" si="1513"/>
        <v>0</v>
      </c>
      <c r="JD1325" s="102"/>
      <c r="JE1325" s="102"/>
      <c r="JF1325" s="102"/>
      <c r="JG1325" s="97">
        <f t="shared" si="1514"/>
        <v>0</v>
      </c>
      <c r="JH1325" s="97">
        <f t="shared" si="1515"/>
        <v>0</v>
      </c>
      <c r="JI1325" s="97">
        <f t="shared" si="1516"/>
        <v>0</v>
      </c>
      <c r="JJ1325" s="97">
        <f t="shared" si="1517"/>
        <v>0</v>
      </c>
      <c r="JK1325" s="97">
        <f t="shared" si="1518"/>
        <v>0</v>
      </c>
      <c r="JL1325" s="97">
        <f t="shared" si="1519"/>
        <v>0</v>
      </c>
      <c r="JM1325" s="97">
        <f t="shared" si="1749"/>
        <v>4027.71</v>
      </c>
      <c r="JN1325" s="97">
        <f t="shared" si="1750"/>
        <v>4157.3500000000004</v>
      </c>
      <c r="JO1325" s="97">
        <f t="shared" si="1751"/>
        <v>4313.3100000000004</v>
      </c>
      <c r="JP1325" s="97">
        <f t="shared" si="1752"/>
        <v>303.32</v>
      </c>
      <c r="JQ1325" s="97">
        <f t="shared" si="1753"/>
        <v>315.10000000000002</v>
      </c>
      <c r="JR1325" s="97">
        <f t="shared" si="1754"/>
        <v>315.85000000000002</v>
      </c>
      <c r="JS1325" s="97">
        <f t="shared" si="1520"/>
        <v>0</v>
      </c>
      <c r="JT1325" s="97">
        <f t="shared" si="1520"/>
        <v>0</v>
      </c>
      <c r="JU1325" s="97">
        <f t="shared" si="1520"/>
        <v>0</v>
      </c>
      <c r="JV1325" s="97">
        <f t="shared" si="1521"/>
        <v>0</v>
      </c>
      <c r="JW1325" s="97">
        <f t="shared" si="1521"/>
        <v>0</v>
      </c>
      <c r="JX1325" s="97">
        <f t="shared" si="1521"/>
        <v>0</v>
      </c>
      <c r="JY1325" s="102"/>
      <c r="JZ1325" s="102"/>
      <c r="KA1325" s="102"/>
      <c r="KB1325" s="97">
        <f t="shared" si="1522"/>
        <v>0</v>
      </c>
      <c r="KC1325" s="97">
        <f t="shared" si="1523"/>
        <v>0</v>
      </c>
      <c r="KD1325" s="97">
        <f t="shared" si="1524"/>
        <v>0</v>
      </c>
      <c r="KE1325" s="97">
        <f t="shared" si="1525"/>
        <v>0</v>
      </c>
      <c r="KF1325" s="97">
        <f t="shared" si="1526"/>
        <v>0</v>
      </c>
      <c r="KG1325" s="97">
        <f t="shared" si="1527"/>
        <v>0</v>
      </c>
      <c r="KH1325" s="97">
        <f t="shared" si="1755"/>
        <v>4140.91</v>
      </c>
      <c r="KI1325" s="97">
        <f t="shared" si="1756"/>
        <v>4270.58</v>
      </c>
      <c r="KJ1325" s="97">
        <f t="shared" si="1757"/>
        <v>4429.79</v>
      </c>
      <c r="KK1325" s="97">
        <f t="shared" si="1758"/>
        <v>284.33999999999997</v>
      </c>
      <c r="KL1325" s="97">
        <f t="shared" si="1759"/>
        <v>292.02999999999997</v>
      </c>
      <c r="KM1325" s="97">
        <f t="shared" si="1760"/>
        <v>290.64999999999998</v>
      </c>
      <c r="KN1325" s="97">
        <f t="shared" si="1528"/>
        <v>0</v>
      </c>
      <c r="KO1325" s="97">
        <f t="shared" si="1528"/>
        <v>0</v>
      </c>
      <c r="KP1325" s="97">
        <f t="shared" si="1528"/>
        <v>0</v>
      </c>
      <c r="KQ1325" s="97">
        <f t="shared" si="1529"/>
        <v>0</v>
      </c>
      <c r="KR1325" s="97">
        <f t="shared" si="1529"/>
        <v>0</v>
      </c>
      <c r="KS1325" s="97">
        <f t="shared" si="1529"/>
        <v>0</v>
      </c>
      <c r="KT1325" s="102"/>
      <c r="KU1325" s="102"/>
      <c r="KV1325" s="102"/>
      <c r="KW1325" s="97">
        <f t="shared" si="1530"/>
        <v>0</v>
      </c>
      <c r="KX1325" s="97">
        <f t="shared" si="1531"/>
        <v>0</v>
      </c>
      <c r="KY1325" s="97">
        <f t="shared" si="1532"/>
        <v>0</v>
      </c>
      <c r="KZ1325" s="97">
        <f t="shared" si="1533"/>
        <v>0</v>
      </c>
      <c r="LA1325" s="97">
        <f t="shared" si="1534"/>
        <v>0</v>
      </c>
      <c r="LB1325" s="97">
        <f t="shared" si="1535"/>
        <v>0</v>
      </c>
      <c r="LC1325" s="97">
        <f t="shared" si="1761"/>
        <v>3908.64</v>
      </c>
      <c r="LD1325" s="97">
        <f t="shared" si="1762"/>
        <v>4036.42</v>
      </c>
      <c r="LE1325" s="97">
        <f t="shared" si="1763"/>
        <v>4188.12</v>
      </c>
      <c r="LF1325" s="97">
        <f t="shared" si="1764"/>
        <v>391.89</v>
      </c>
      <c r="LG1325" s="97">
        <f t="shared" si="1765"/>
        <v>408.01</v>
      </c>
      <c r="LH1325" s="97">
        <f t="shared" si="1766"/>
        <v>410.15</v>
      </c>
      <c r="LI1325" s="97">
        <f t="shared" si="1536"/>
        <v>0</v>
      </c>
      <c r="LJ1325" s="97">
        <f t="shared" si="1536"/>
        <v>0</v>
      </c>
      <c r="LK1325" s="97">
        <f t="shared" si="1536"/>
        <v>0</v>
      </c>
      <c r="LL1325" s="97">
        <f t="shared" si="1537"/>
        <v>0</v>
      </c>
      <c r="LM1325" s="97">
        <f t="shared" si="1537"/>
        <v>0</v>
      </c>
      <c r="LN1325" s="97">
        <f t="shared" si="1537"/>
        <v>0</v>
      </c>
      <c r="LO1325" s="102"/>
      <c r="LP1325" s="102"/>
      <c r="LQ1325" s="102"/>
      <c r="LR1325" s="97">
        <f t="shared" si="1538"/>
        <v>0</v>
      </c>
      <c r="LS1325" s="97">
        <f t="shared" si="1539"/>
        <v>0</v>
      </c>
      <c r="LT1325" s="97">
        <f t="shared" si="1540"/>
        <v>0</v>
      </c>
      <c r="LU1325" s="97">
        <f t="shared" si="1541"/>
        <v>0</v>
      </c>
      <c r="LV1325" s="97">
        <f t="shared" si="1542"/>
        <v>0</v>
      </c>
      <c r="LW1325" s="97">
        <f t="shared" si="1543"/>
        <v>0</v>
      </c>
      <c r="LX1325" s="97">
        <f t="shared" si="1767"/>
        <v>3414.37</v>
      </c>
      <c r="LY1325" s="97">
        <f t="shared" si="1768"/>
        <v>3526.19</v>
      </c>
      <c r="LZ1325" s="97">
        <f t="shared" si="1769"/>
        <v>3658.33</v>
      </c>
      <c r="MA1325" s="97">
        <f t="shared" si="1770"/>
        <v>290.89999999999998</v>
      </c>
      <c r="MB1325" s="97">
        <f t="shared" si="1771"/>
        <v>298.10000000000002</v>
      </c>
      <c r="MC1325" s="97">
        <f t="shared" si="1772"/>
        <v>297.22000000000003</v>
      </c>
      <c r="MD1325" s="97">
        <f t="shared" si="1544"/>
        <v>0</v>
      </c>
      <c r="ME1325" s="97">
        <f t="shared" si="1544"/>
        <v>0</v>
      </c>
      <c r="MF1325" s="97">
        <f t="shared" si="1544"/>
        <v>0</v>
      </c>
      <c r="MG1325" s="97">
        <f t="shared" si="1545"/>
        <v>0</v>
      </c>
      <c r="MH1325" s="97">
        <f t="shared" si="1545"/>
        <v>0</v>
      </c>
      <c r="MI1325" s="97">
        <f t="shared" si="1545"/>
        <v>0</v>
      </c>
      <c r="MJ1325" s="102"/>
      <c r="MK1325" s="102"/>
      <c r="ML1325" s="102"/>
      <c r="MM1325" s="97">
        <f t="shared" si="1546"/>
        <v>0</v>
      </c>
      <c r="MN1325" s="97">
        <f t="shared" si="1547"/>
        <v>0</v>
      </c>
      <c r="MO1325" s="97">
        <f t="shared" si="1548"/>
        <v>0</v>
      </c>
      <c r="MP1325" s="97">
        <f t="shared" si="1549"/>
        <v>0</v>
      </c>
      <c r="MQ1325" s="97">
        <f t="shared" si="1550"/>
        <v>0</v>
      </c>
      <c r="MR1325" s="97">
        <f t="shared" si="1551"/>
        <v>0</v>
      </c>
      <c r="MS1325" s="97">
        <f t="shared" si="1773"/>
        <v>3950.05</v>
      </c>
      <c r="MT1325" s="97">
        <f t="shared" si="1774"/>
        <v>4078.91</v>
      </c>
      <c r="MU1325" s="97">
        <f t="shared" si="1775"/>
        <v>4232.1400000000003</v>
      </c>
      <c r="MV1325" s="97">
        <f t="shared" si="1776"/>
        <v>345.12</v>
      </c>
      <c r="MW1325" s="97">
        <f t="shared" si="1777"/>
        <v>348.89</v>
      </c>
      <c r="MX1325" s="97">
        <f t="shared" si="1778"/>
        <v>351.04</v>
      </c>
      <c r="MY1325" s="97">
        <f t="shared" si="1552"/>
        <v>0</v>
      </c>
      <c r="MZ1325" s="97">
        <f t="shared" si="1552"/>
        <v>0</v>
      </c>
      <c r="NA1325" s="97">
        <f t="shared" si="1552"/>
        <v>0</v>
      </c>
      <c r="NB1325" s="97">
        <f t="shared" si="1553"/>
        <v>0</v>
      </c>
      <c r="NC1325" s="97">
        <f t="shared" si="1553"/>
        <v>0</v>
      </c>
      <c r="ND1325" s="97">
        <f t="shared" si="1553"/>
        <v>0</v>
      </c>
      <c r="NE1325" s="102"/>
      <c r="NF1325" s="102"/>
      <c r="NG1325" s="102"/>
      <c r="NH1325" s="97">
        <f t="shared" si="1554"/>
        <v>0</v>
      </c>
      <c r="NI1325" s="97">
        <f t="shared" si="1555"/>
        <v>0</v>
      </c>
      <c r="NJ1325" s="97">
        <f t="shared" si="1556"/>
        <v>0</v>
      </c>
      <c r="NK1325" s="97">
        <f t="shared" si="1557"/>
        <v>0</v>
      </c>
      <c r="NL1325" s="97">
        <f t="shared" si="1558"/>
        <v>0</v>
      </c>
      <c r="NM1325" s="97">
        <f t="shared" si="1559"/>
        <v>0</v>
      </c>
      <c r="NN1325" s="97">
        <f t="shared" si="1779"/>
        <v>4032.91</v>
      </c>
      <c r="NO1325" s="97">
        <f t="shared" si="1780"/>
        <v>4159.1000000000004</v>
      </c>
      <c r="NP1325" s="97">
        <f t="shared" si="1781"/>
        <v>4312.91</v>
      </c>
      <c r="NQ1325" s="97">
        <f t="shared" si="1782"/>
        <v>505.45</v>
      </c>
      <c r="NR1325" s="97">
        <f t="shared" si="1783"/>
        <v>527.95000000000005</v>
      </c>
      <c r="NS1325" s="97">
        <f t="shared" si="1784"/>
        <v>513.37</v>
      </c>
      <c r="NT1325" s="97">
        <f t="shared" si="1560"/>
        <v>0</v>
      </c>
      <c r="NU1325" s="97">
        <f t="shared" si="1560"/>
        <v>0</v>
      </c>
      <c r="NV1325" s="97">
        <f t="shared" si="1560"/>
        <v>0</v>
      </c>
      <c r="NW1325" s="97">
        <f t="shared" si="1561"/>
        <v>0</v>
      </c>
      <c r="NX1325" s="97">
        <f t="shared" si="1561"/>
        <v>0</v>
      </c>
      <c r="NY1325" s="97">
        <f t="shared" si="1561"/>
        <v>0</v>
      </c>
      <c r="NZ1325" s="102"/>
      <c r="OA1325" s="102"/>
      <c r="OB1325" s="102"/>
      <c r="OC1325" s="97">
        <f t="shared" si="1562"/>
        <v>0</v>
      </c>
      <c r="OD1325" s="97">
        <f t="shared" si="1563"/>
        <v>0</v>
      </c>
      <c r="OE1325" s="97">
        <f t="shared" si="1564"/>
        <v>0</v>
      </c>
      <c r="OF1325" s="97">
        <f t="shared" si="1565"/>
        <v>0</v>
      </c>
      <c r="OG1325" s="97">
        <f t="shared" si="1566"/>
        <v>0</v>
      </c>
      <c r="OH1325" s="97">
        <f t="shared" si="1567"/>
        <v>0</v>
      </c>
      <c r="OI1325" s="97">
        <f t="shared" si="1785"/>
        <v>5287.83</v>
      </c>
      <c r="OJ1325" s="97">
        <f t="shared" si="1786"/>
        <v>5444.73</v>
      </c>
      <c r="OK1325" s="97">
        <f t="shared" si="1787"/>
        <v>5644.44</v>
      </c>
      <c r="OL1325" s="97">
        <f t="shared" si="1788"/>
        <v>506.96</v>
      </c>
      <c r="OM1325" s="97">
        <f t="shared" si="1789"/>
        <v>526.76</v>
      </c>
      <c r="ON1325" s="97">
        <f t="shared" si="1790"/>
        <v>524</v>
      </c>
      <c r="OO1325" s="97">
        <f t="shared" si="1568"/>
        <v>0</v>
      </c>
      <c r="OP1325" s="97">
        <f t="shared" si="1568"/>
        <v>0</v>
      </c>
      <c r="OQ1325" s="97">
        <f t="shared" si="1568"/>
        <v>0</v>
      </c>
      <c r="OR1325" s="97">
        <f t="shared" si="1569"/>
        <v>0</v>
      </c>
      <c r="OS1325" s="97">
        <f t="shared" si="1569"/>
        <v>0</v>
      </c>
      <c r="OT1325" s="97">
        <f t="shared" si="1569"/>
        <v>0</v>
      </c>
      <c r="OU1325" s="102"/>
      <c r="OV1325" s="102"/>
      <c r="OW1325" s="102"/>
      <c r="OX1325" s="97">
        <f t="shared" si="1570"/>
        <v>0</v>
      </c>
      <c r="OY1325" s="97">
        <f t="shared" si="1571"/>
        <v>0</v>
      </c>
      <c r="OZ1325" s="97">
        <f t="shared" si="1572"/>
        <v>0</v>
      </c>
      <c r="PA1325" s="97">
        <f t="shared" si="1573"/>
        <v>0</v>
      </c>
      <c r="PB1325" s="97">
        <f t="shared" si="1574"/>
        <v>0</v>
      </c>
      <c r="PC1325" s="97">
        <f t="shared" si="1575"/>
        <v>0</v>
      </c>
      <c r="PD1325" s="97">
        <f t="shared" si="1791"/>
        <v>4446.8999999999996</v>
      </c>
      <c r="PE1325" s="97">
        <f t="shared" si="1792"/>
        <v>4589.9399999999996</v>
      </c>
      <c r="PF1325" s="97">
        <f t="shared" si="1793"/>
        <v>4761.7299999999996</v>
      </c>
      <c r="PG1325" s="97">
        <f t="shared" si="1794"/>
        <v>405.17</v>
      </c>
      <c r="PH1325" s="97">
        <f t="shared" si="1795"/>
        <v>413.93</v>
      </c>
      <c r="PI1325" s="97">
        <f t="shared" si="1796"/>
        <v>417.29</v>
      </c>
      <c r="PJ1325" s="97">
        <f t="shared" si="1576"/>
        <v>0</v>
      </c>
      <c r="PK1325" s="97">
        <f t="shared" si="1576"/>
        <v>0</v>
      </c>
      <c r="PL1325" s="97">
        <f t="shared" si="1576"/>
        <v>0</v>
      </c>
      <c r="PM1325" s="97">
        <f t="shared" si="1577"/>
        <v>0</v>
      </c>
      <c r="PN1325" s="97">
        <f t="shared" si="1577"/>
        <v>0</v>
      </c>
      <c r="PO1325" s="97">
        <f t="shared" si="1577"/>
        <v>0</v>
      </c>
      <c r="PP1325" s="102"/>
      <c r="PQ1325" s="102"/>
      <c r="PR1325" s="102"/>
      <c r="PS1325" s="97">
        <f t="shared" si="1578"/>
        <v>0</v>
      </c>
      <c r="PT1325" s="97">
        <f t="shared" si="1579"/>
        <v>0</v>
      </c>
      <c r="PU1325" s="97">
        <f t="shared" si="1580"/>
        <v>0</v>
      </c>
      <c r="PV1325" s="97">
        <f t="shared" si="1581"/>
        <v>0</v>
      </c>
      <c r="PW1325" s="97">
        <f t="shared" si="1582"/>
        <v>0</v>
      </c>
      <c r="PX1325" s="97">
        <f t="shared" si="1583"/>
        <v>0</v>
      </c>
      <c r="PY1325" s="97">
        <f t="shared" si="1797"/>
        <v>3981.32</v>
      </c>
      <c r="PZ1325" s="97">
        <f t="shared" si="1798"/>
        <v>4112.84</v>
      </c>
      <c r="QA1325" s="97">
        <f t="shared" si="1799"/>
        <v>4267.0600000000004</v>
      </c>
      <c r="QB1325" s="97">
        <f t="shared" si="1800"/>
        <v>417.83</v>
      </c>
      <c r="QC1325" s="97">
        <f t="shared" si="1801"/>
        <v>438.77</v>
      </c>
      <c r="QD1325" s="97">
        <f t="shared" si="1802"/>
        <v>438.39</v>
      </c>
      <c r="QE1325" s="97">
        <f t="shared" si="1584"/>
        <v>0</v>
      </c>
      <c r="QF1325" s="97">
        <f t="shared" si="1584"/>
        <v>0</v>
      </c>
      <c r="QG1325" s="97">
        <f t="shared" si="1584"/>
        <v>0</v>
      </c>
      <c r="QH1325" s="97">
        <f t="shared" si="1585"/>
        <v>0</v>
      </c>
      <c r="QI1325" s="97">
        <f t="shared" si="1585"/>
        <v>0</v>
      </c>
      <c r="QJ1325" s="97">
        <f t="shared" si="1585"/>
        <v>0</v>
      </c>
      <c r="QK1325" s="102"/>
      <c r="QL1325" s="102"/>
      <c r="QM1325" s="102"/>
      <c r="QN1325" s="97">
        <f t="shared" si="1586"/>
        <v>0</v>
      </c>
      <c r="QO1325" s="97">
        <f t="shared" si="1587"/>
        <v>0</v>
      </c>
      <c r="QP1325" s="97">
        <f t="shared" si="1588"/>
        <v>0</v>
      </c>
      <c r="QQ1325" s="97">
        <f t="shared" si="1589"/>
        <v>0</v>
      </c>
      <c r="QR1325" s="97">
        <f t="shared" si="1590"/>
        <v>0</v>
      </c>
      <c r="QS1325" s="97">
        <f t="shared" si="1591"/>
        <v>0</v>
      </c>
      <c r="QT1325" s="97">
        <f t="shared" si="1803"/>
        <v>4048.78</v>
      </c>
      <c r="QU1325" s="97">
        <f t="shared" si="1804"/>
        <v>4181.01</v>
      </c>
      <c r="QV1325" s="97">
        <f t="shared" si="1805"/>
        <v>4338.25</v>
      </c>
      <c r="QW1325" s="97">
        <f t="shared" si="1806"/>
        <v>287.38</v>
      </c>
      <c r="QX1325" s="97">
        <f t="shared" si="1807"/>
        <v>298.20999999999998</v>
      </c>
      <c r="QY1325" s="97">
        <f t="shared" si="1808"/>
        <v>299.87</v>
      </c>
      <c r="QZ1325" s="97">
        <f t="shared" si="1592"/>
        <v>0</v>
      </c>
      <c r="RA1325" s="97">
        <f t="shared" si="1592"/>
        <v>0</v>
      </c>
      <c r="RB1325" s="97">
        <f t="shared" si="1592"/>
        <v>0</v>
      </c>
      <c r="RC1325" s="97">
        <f t="shared" si="1593"/>
        <v>0</v>
      </c>
      <c r="RD1325" s="97">
        <f t="shared" si="1593"/>
        <v>0</v>
      </c>
      <c r="RE1325" s="97">
        <f t="shared" si="1593"/>
        <v>0</v>
      </c>
      <c r="RF1325" s="102"/>
      <c r="RG1325" s="102"/>
      <c r="RH1325" s="102"/>
      <c r="RI1325" s="97">
        <f t="shared" si="1594"/>
        <v>0</v>
      </c>
      <c r="RJ1325" s="97">
        <f t="shared" si="1595"/>
        <v>0</v>
      </c>
      <c r="RK1325" s="97">
        <f t="shared" si="1596"/>
        <v>0</v>
      </c>
      <c r="RL1325" s="97">
        <f t="shared" si="1597"/>
        <v>0</v>
      </c>
      <c r="RM1325" s="97">
        <f t="shared" si="1598"/>
        <v>0</v>
      </c>
      <c r="RN1325" s="97">
        <f t="shared" si="1599"/>
        <v>0</v>
      </c>
      <c r="RO1325" s="97">
        <f t="shared" si="1809"/>
        <v>4337.0600000000004</v>
      </c>
      <c r="RP1325" s="97">
        <f t="shared" si="1810"/>
        <v>4476.84</v>
      </c>
      <c r="RQ1325" s="97">
        <f t="shared" si="1811"/>
        <v>4645.17</v>
      </c>
      <c r="RR1325" s="97">
        <f t="shared" si="1812"/>
        <v>405.38</v>
      </c>
      <c r="RS1325" s="97">
        <f t="shared" si="1813"/>
        <v>412.7</v>
      </c>
      <c r="RT1325" s="97">
        <f t="shared" si="1814"/>
        <v>415.1</v>
      </c>
      <c r="RU1325" s="97">
        <f t="shared" si="1600"/>
        <v>0</v>
      </c>
      <c r="RV1325" s="97">
        <f t="shared" si="1600"/>
        <v>0</v>
      </c>
      <c r="RW1325" s="97">
        <f t="shared" si="1600"/>
        <v>0</v>
      </c>
      <c r="RX1325" s="97">
        <f t="shared" si="1601"/>
        <v>0</v>
      </c>
      <c r="RY1325" s="97">
        <f t="shared" si="1601"/>
        <v>0</v>
      </c>
      <c r="RZ1325" s="97">
        <f t="shared" si="1601"/>
        <v>0</v>
      </c>
      <c r="SA1325" s="102"/>
      <c r="SB1325" s="102"/>
      <c r="SC1325" s="102"/>
      <c r="SD1325" s="97">
        <f t="shared" si="1602"/>
        <v>0</v>
      </c>
      <c r="SE1325" s="97">
        <f t="shared" si="1603"/>
        <v>0</v>
      </c>
      <c r="SF1325" s="97">
        <f t="shared" si="1604"/>
        <v>0</v>
      </c>
      <c r="SG1325" s="97">
        <f t="shared" si="1605"/>
        <v>0</v>
      </c>
      <c r="SH1325" s="97">
        <f t="shared" si="1606"/>
        <v>0</v>
      </c>
      <c r="SI1325" s="97">
        <f t="shared" si="1607"/>
        <v>0</v>
      </c>
      <c r="SJ1325" s="97">
        <f t="shared" si="1815"/>
        <v>4557.04</v>
      </c>
      <c r="SK1325" s="97">
        <f t="shared" si="1816"/>
        <v>4698.68</v>
      </c>
      <c r="SL1325" s="97">
        <f t="shared" si="1817"/>
        <v>4873.33</v>
      </c>
      <c r="SM1325" s="97">
        <f t="shared" si="1818"/>
        <v>567.54999999999995</v>
      </c>
      <c r="SN1325" s="97">
        <f t="shared" si="1819"/>
        <v>585.64</v>
      </c>
      <c r="SO1325" s="97">
        <f t="shared" si="1820"/>
        <v>587.23</v>
      </c>
      <c r="SP1325" s="97">
        <f t="shared" si="1608"/>
        <v>0</v>
      </c>
      <c r="SQ1325" s="97">
        <f t="shared" si="1608"/>
        <v>0</v>
      </c>
      <c r="SR1325" s="97">
        <f t="shared" si="1608"/>
        <v>0</v>
      </c>
      <c r="SS1325" s="97">
        <f t="shared" si="1609"/>
        <v>0</v>
      </c>
      <c r="ST1325" s="97">
        <f t="shared" si="1609"/>
        <v>0</v>
      </c>
      <c r="SU1325" s="97">
        <f t="shared" si="1609"/>
        <v>0</v>
      </c>
      <c r="SV1325" s="102"/>
      <c r="SW1325" s="102"/>
      <c r="SX1325" s="102"/>
      <c r="SY1325" s="97">
        <f t="shared" si="1610"/>
        <v>0</v>
      </c>
      <c r="SZ1325" s="97">
        <f t="shared" si="1611"/>
        <v>0</v>
      </c>
      <c r="TA1325" s="97">
        <f t="shared" si="1612"/>
        <v>0</v>
      </c>
      <c r="TB1325" s="97">
        <f t="shared" si="1613"/>
        <v>0</v>
      </c>
      <c r="TC1325" s="97">
        <f t="shared" si="1614"/>
        <v>0</v>
      </c>
      <c r="TD1325" s="97">
        <f t="shared" si="1615"/>
        <v>0</v>
      </c>
      <c r="TE1325" s="97">
        <f t="shared" si="1821"/>
        <v>4073.36</v>
      </c>
      <c r="TF1325" s="97">
        <f t="shared" si="1822"/>
        <v>4204.76</v>
      </c>
      <c r="TG1325" s="97">
        <f t="shared" si="1823"/>
        <v>4362.1000000000004</v>
      </c>
      <c r="TH1325" s="97">
        <f t="shared" si="1824"/>
        <v>432.21</v>
      </c>
      <c r="TI1325" s="97">
        <f t="shared" si="1825"/>
        <v>443.69</v>
      </c>
      <c r="TJ1325" s="97">
        <f t="shared" si="1826"/>
        <v>442.41</v>
      </c>
      <c r="TK1325" s="97">
        <f t="shared" si="1616"/>
        <v>0</v>
      </c>
      <c r="TL1325" s="97">
        <f t="shared" si="1616"/>
        <v>0</v>
      </c>
      <c r="TM1325" s="97">
        <f t="shared" si="1616"/>
        <v>0</v>
      </c>
      <c r="TN1325" s="97">
        <f t="shared" si="1617"/>
        <v>0</v>
      </c>
      <c r="TO1325" s="97">
        <f t="shared" si="1617"/>
        <v>0</v>
      </c>
      <c r="TP1325" s="97">
        <f t="shared" si="1617"/>
        <v>0</v>
      </c>
      <c r="TQ1325" s="102"/>
      <c r="TR1325" s="102"/>
      <c r="TS1325" s="102"/>
      <c r="TT1325" s="97">
        <f t="shared" si="1618"/>
        <v>0</v>
      </c>
      <c r="TU1325" s="97">
        <f t="shared" si="1619"/>
        <v>0</v>
      </c>
      <c r="TV1325" s="97">
        <f t="shared" si="1620"/>
        <v>0</v>
      </c>
      <c r="TW1325" s="97">
        <f t="shared" si="1621"/>
        <v>0</v>
      </c>
      <c r="TX1325" s="97">
        <f t="shared" si="1622"/>
        <v>0</v>
      </c>
      <c r="TY1325" s="97">
        <f t="shared" si="1623"/>
        <v>0</v>
      </c>
      <c r="TZ1325" s="97">
        <f t="shared" si="1827"/>
        <v>4363.6400000000003</v>
      </c>
      <c r="UA1325" s="97">
        <f t="shared" si="1828"/>
        <v>4501.12</v>
      </c>
      <c r="UB1325" s="97">
        <f t="shared" si="1829"/>
        <v>4669.8599999999997</v>
      </c>
      <c r="UC1325" s="97">
        <f t="shared" si="1830"/>
        <v>394.98</v>
      </c>
      <c r="UD1325" s="97">
        <f t="shared" si="1831"/>
        <v>417.39</v>
      </c>
      <c r="UE1325" s="97">
        <f t="shared" si="1832"/>
        <v>418.67</v>
      </c>
      <c r="UF1325" s="97">
        <f t="shared" si="1624"/>
        <v>0</v>
      </c>
      <c r="UG1325" s="97">
        <f t="shared" si="1624"/>
        <v>0</v>
      </c>
      <c r="UH1325" s="97">
        <f t="shared" si="1624"/>
        <v>0</v>
      </c>
      <c r="UI1325" s="97">
        <f t="shared" si="1625"/>
        <v>0</v>
      </c>
      <c r="UJ1325" s="97">
        <f t="shared" si="1625"/>
        <v>0</v>
      </c>
      <c r="UK1325" s="97">
        <f t="shared" si="1625"/>
        <v>0</v>
      </c>
      <c r="UL1325" s="102"/>
      <c r="UM1325" s="102"/>
      <c r="UN1325" s="102"/>
      <c r="UO1325" s="97">
        <f t="shared" si="1626"/>
        <v>0</v>
      </c>
      <c r="UP1325" s="97">
        <f t="shared" si="1627"/>
        <v>0</v>
      </c>
      <c r="UQ1325" s="97">
        <f t="shared" si="1628"/>
        <v>0</v>
      </c>
      <c r="UR1325" s="97">
        <f t="shared" si="1629"/>
        <v>0</v>
      </c>
      <c r="US1325" s="97">
        <f t="shared" si="1630"/>
        <v>0</v>
      </c>
      <c r="UT1325" s="97">
        <f t="shared" si="1631"/>
        <v>0</v>
      </c>
      <c r="UU1325" s="97">
        <f t="shared" si="1833"/>
        <v>4036.82</v>
      </c>
      <c r="UV1325" s="97">
        <f t="shared" si="1834"/>
        <v>4171.07</v>
      </c>
      <c r="UW1325" s="97">
        <f t="shared" si="1835"/>
        <v>4328.49</v>
      </c>
      <c r="UX1325" s="97">
        <f t="shared" si="1836"/>
        <v>307.89</v>
      </c>
      <c r="UY1325" s="97">
        <f t="shared" si="1837"/>
        <v>323.83999999999997</v>
      </c>
      <c r="UZ1325" s="97">
        <f t="shared" si="1838"/>
        <v>326.26</v>
      </c>
      <c r="VA1325" s="97">
        <f t="shared" si="1632"/>
        <v>0</v>
      </c>
      <c r="VB1325" s="97">
        <f t="shared" si="1632"/>
        <v>0</v>
      </c>
      <c r="VC1325" s="97">
        <f t="shared" si="1632"/>
        <v>0</v>
      </c>
      <c r="VD1325" s="97">
        <f t="shared" si="1633"/>
        <v>0</v>
      </c>
      <c r="VE1325" s="97">
        <f t="shared" si="1633"/>
        <v>0</v>
      </c>
      <c r="VF1325" s="97">
        <f t="shared" si="1633"/>
        <v>0</v>
      </c>
      <c r="VG1325" s="102"/>
      <c r="VH1325" s="102"/>
      <c r="VI1325" s="102"/>
      <c r="VJ1325" s="97">
        <f t="shared" si="1634"/>
        <v>0</v>
      </c>
      <c r="VK1325" s="97">
        <f t="shared" si="1635"/>
        <v>0</v>
      </c>
      <c r="VL1325" s="97">
        <f t="shared" si="1636"/>
        <v>0</v>
      </c>
      <c r="VM1325" s="97">
        <f t="shared" si="1637"/>
        <v>0</v>
      </c>
      <c r="VN1325" s="97">
        <f t="shared" si="1638"/>
        <v>0</v>
      </c>
      <c r="VO1325" s="97">
        <f t="shared" si="1639"/>
        <v>0</v>
      </c>
      <c r="VP1325" s="97">
        <f t="shared" si="1839"/>
        <v>4118.01</v>
      </c>
      <c r="VQ1325" s="97">
        <f t="shared" si="1840"/>
        <v>4251.42</v>
      </c>
      <c r="VR1325" s="97">
        <f t="shared" si="1841"/>
        <v>4411.59</v>
      </c>
      <c r="VS1325" s="97">
        <f t="shared" si="1842"/>
        <v>331.4</v>
      </c>
      <c r="VT1325" s="97">
        <f t="shared" si="1843"/>
        <v>341.47</v>
      </c>
      <c r="VU1325" s="97">
        <f t="shared" si="1844"/>
        <v>343.85</v>
      </c>
      <c r="VV1325" s="97">
        <f t="shared" si="1640"/>
        <v>0</v>
      </c>
      <c r="VW1325" s="97">
        <f t="shared" si="1640"/>
        <v>0</v>
      </c>
      <c r="VX1325" s="97">
        <f t="shared" si="1640"/>
        <v>0</v>
      </c>
      <c r="VY1325" s="97">
        <f t="shared" si="1641"/>
        <v>0</v>
      </c>
      <c r="VZ1325" s="97">
        <f t="shared" si="1641"/>
        <v>0</v>
      </c>
      <c r="WA1325" s="97">
        <f t="shared" si="1641"/>
        <v>0</v>
      </c>
      <c r="WB1325" s="102"/>
      <c r="WC1325" s="102"/>
      <c r="WD1325" s="102"/>
      <c r="WE1325" s="97">
        <f t="shared" si="1642"/>
        <v>0</v>
      </c>
      <c r="WF1325" s="97">
        <f t="shared" si="1643"/>
        <v>0</v>
      </c>
      <c r="WG1325" s="97">
        <f t="shared" si="1644"/>
        <v>0</v>
      </c>
      <c r="WH1325" s="97">
        <f t="shared" si="1645"/>
        <v>0</v>
      </c>
      <c r="WI1325" s="97">
        <f t="shared" si="1646"/>
        <v>0</v>
      </c>
      <c r="WJ1325" s="97">
        <f t="shared" si="1647"/>
        <v>0</v>
      </c>
      <c r="WK1325" s="97">
        <f t="shared" si="1845"/>
        <v>3804.43</v>
      </c>
      <c r="WL1325" s="97">
        <f t="shared" si="1846"/>
        <v>3932.09</v>
      </c>
      <c r="WM1325" s="97">
        <f t="shared" si="1847"/>
        <v>4080.29</v>
      </c>
      <c r="WN1325" s="97">
        <f t="shared" si="1848"/>
        <v>355.89</v>
      </c>
      <c r="WO1325" s="97">
        <f t="shared" si="1849"/>
        <v>375.68</v>
      </c>
      <c r="WP1325" s="97">
        <f t="shared" si="1850"/>
        <v>378.63</v>
      </c>
      <c r="WQ1325" s="97">
        <f t="shared" si="1648"/>
        <v>0</v>
      </c>
      <c r="WR1325" s="97">
        <f t="shared" si="1648"/>
        <v>0</v>
      </c>
      <c r="WS1325" s="97">
        <f t="shared" si="1648"/>
        <v>0</v>
      </c>
      <c r="WT1325" s="97">
        <f t="shared" si="1649"/>
        <v>0</v>
      </c>
      <c r="WU1325" s="97">
        <f t="shared" si="1649"/>
        <v>0</v>
      </c>
      <c r="WV1325" s="97">
        <f t="shared" si="1649"/>
        <v>0</v>
      </c>
      <c r="WW1325" s="102"/>
      <c r="WX1325" s="102"/>
      <c r="WY1325" s="102"/>
      <c r="WZ1325" s="97">
        <f t="shared" si="1650"/>
        <v>0</v>
      </c>
      <c r="XA1325" s="97">
        <f t="shared" si="1651"/>
        <v>0</v>
      </c>
      <c r="XB1325" s="97">
        <f t="shared" si="1652"/>
        <v>0</v>
      </c>
      <c r="XC1325" s="97">
        <f t="shared" si="1653"/>
        <v>0</v>
      </c>
      <c r="XD1325" s="97">
        <f t="shared" si="1654"/>
        <v>0</v>
      </c>
      <c r="XE1325" s="97">
        <f t="shared" si="1655"/>
        <v>0</v>
      </c>
      <c r="XF1325" s="97">
        <f t="shared" si="1851"/>
        <v>3737.47</v>
      </c>
      <c r="XG1325" s="97">
        <f t="shared" si="1852"/>
        <v>3860.29</v>
      </c>
      <c r="XH1325" s="97">
        <f t="shared" si="1853"/>
        <v>4004.99</v>
      </c>
      <c r="XI1325" s="97">
        <f t="shared" si="1854"/>
        <v>286.64999999999998</v>
      </c>
      <c r="XJ1325" s="97">
        <f t="shared" si="1855"/>
        <v>303.69</v>
      </c>
      <c r="XK1325" s="97">
        <f t="shared" si="1856"/>
        <v>304.99</v>
      </c>
      <c r="XL1325" s="97">
        <f t="shared" si="1656"/>
        <v>0</v>
      </c>
      <c r="XM1325" s="97">
        <f t="shared" si="1656"/>
        <v>0</v>
      </c>
      <c r="XN1325" s="97">
        <f t="shared" si="1656"/>
        <v>0</v>
      </c>
      <c r="XO1325" s="97">
        <f t="shared" si="1657"/>
        <v>0</v>
      </c>
      <c r="XP1325" s="97">
        <f t="shared" si="1657"/>
        <v>0</v>
      </c>
      <c r="XQ1325" s="97">
        <f t="shared" si="1657"/>
        <v>0</v>
      </c>
      <c r="XR1325" s="102"/>
      <c r="XS1325" s="102"/>
      <c r="XT1325" s="102"/>
      <c r="XU1325" s="97">
        <f t="shared" si="1658"/>
        <v>0</v>
      </c>
      <c r="XV1325" s="97">
        <f t="shared" si="1659"/>
        <v>0</v>
      </c>
      <c r="XW1325" s="97">
        <f t="shared" si="1660"/>
        <v>0</v>
      </c>
      <c r="XX1325" s="97">
        <f t="shared" si="1661"/>
        <v>0</v>
      </c>
      <c r="XY1325" s="97">
        <f t="shared" si="1662"/>
        <v>0</v>
      </c>
      <c r="XZ1325" s="97">
        <f t="shared" si="1663"/>
        <v>0</v>
      </c>
      <c r="YA1325" s="97">
        <f t="shared" si="1857"/>
        <v>3945.16</v>
      </c>
      <c r="YB1325" s="97">
        <f t="shared" si="1858"/>
        <v>4078.12</v>
      </c>
      <c r="YC1325" s="97">
        <f t="shared" si="1859"/>
        <v>4232.91</v>
      </c>
      <c r="YD1325" s="97">
        <f t="shared" si="1860"/>
        <v>1253.5899999999999</v>
      </c>
      <c r="YE1325" s="97">
        <f t="shared" si="1861"/>
        <v>1484.12</v>
      </c>
      <c r="YF1325" s="97">
        <f t="shared" si="1862"/>
        <v>1493.98</v>
      </c>
      <c r="YG1325" s="97">
        <f t="shared" si="1664"/>
        <v>0</v>
      </c>
      <c r="YH1325" s="97">
        <f t="shared" si="1664"/>
        <v>0</v>
      </c>
      <c r="YI1325" s="97">
        <f t="shared" si="1664"/>
        <v>0</v>
      </c>
      <c r="YJ1325" s="97">
        <f t="shared" si="1665"/>
        <v>0</v>
      </c>
      <c r="YK1325" s="97">
        <f t="shared" si="1665"/>
        <v>0</v>
      </c>
      <c r="YL1325" s="97">
        <f t="shared" si="1665"/>
        <v>0</v>
      </c>
      <c r="YM1325" s="145">
        <f t="shared" si="1666"/>
        <v>0</v>
      </c>
      <c r="YN1325" s="145">
        <f t="shared" si="1666"/>
        <v>0</v>
      </c>
      <c r="YO1325" s="145">
        <f t="shared" si="1666"/>
        <v>0</v>
      </c>
      <c r="YP1325" s="97">
        <f t="shared" si="1667"/>
        <v>0</v>
      </c>
      <c r="YQ1325" s="97">
        <f t="shared" si="1668"/>
        <v>0</v>
      </c>
      <c r="YR1325" s="97">
        <f t="shared" si="1669"/>
        <v>0</v>
      </c>
      <c r="YS1325" s="97">
        <f t="shared" si="1670"/>
        <v>0</v>
      </c>
      <c r="YT1325" s="97">
        <f t="shared" si="1671"/>
        <v>0</v>
      </c>
      <c r="YU1325" s="97">
        <f t="shared" si="1672"/>
        <v>0</v>
      </c>
      <c r="YV1325" s="97">
        <f t="shared" si="1863"/>
        <v>4158.03</v>
      </c>
      <c r="YW1325" s="97">
        <f t="shared" si="1864"/>
        <v>4292.42</v>
      </c>
      <c r="YX1325" s="97">
        <f t="shared" si="1865"/>
        <v>4453.2</v>
      </c>
      <c r="YY1325" s="97">
        <f t="shared" si="1866"/>
        <v>403.25</v>
      </c>
      <c r="YZ1325" s="97">
        <f t="shared" si="1867"/>
        <v>423.79</v>
      </c>
      <c r="ZA1325" s="97">
        <f t="shared" si="1868"/>
        <v>424.61</v>
      </c>
      <c r="ZB1325" s="97">
        <f t="shared" si="1673"/>
        <v>0</v>
      </c>
      <c r="ZC1325" s="97">
        <f t="shared" si="1673"/>
        <v>0</v>
      </c>
      <c r="ZD1325" s="97">
        <f t="shared" si="1673"/>
        <v>0</v>
      </c>
      <c r="ZE1325" s="97">
        <f t="shared" si="1674"/>
        <v>0</v>
      </c>
      <c r="ZF1325" s="97">
        <f t="shared" si="1674"/>
        <v>0</v>
      </c>
      <c r="ZG1325" s="97">
        <f t="shared" si="1674"/>
        <v>0</v>
      </c>
    </row>
    <row r="1326" spans="1:683" hidden="1" x14ac:dyDescent="0.25">
      <c r="A1326" s="92" t="s">
        <v>611</v>
      </c>
      <c r="B1326" s="174"/>
      <c r="C1326" s="5"/>
      <c r="D1326" s="340"/>
      <c r="E1326" s="163"/>
      <c r="F1326" s="110">
        <f t="shared" si="1416"/>
        <v>10604</v>
      </c>
      <c r="G1326" s="110">
        <f t="shared" si="1416"/>
        <v>10604</v>
      </c>
      <c r="H1326" s="110">
        <f t="shared" si="1416"/>
        <v>10604</v>
      </c>
      <c r="I1326" s="97">
        <f t="shared" si="1417"/>
        <v>469</v>
      </c>
      <c r="J1326" s="97">
        <f t="shared" si="1417"/>
        <v>469</v>
      </c>
      <c r="K1326" s="97">
        <f t="shared" si="1417"/>
        <v>469</v>
      </c>
      <c r="L1326" s="102"/>
      <c r="M1326" s="102"/>
      <c r="N1326" s="102"/>
      <c r="O1326" s="97">
        <f t="shared" si="1418"/>
        <v>0</v>
      </c>
      <c r="P1326" s="97">
        <f t="shared" si="1419"/>
        <v>0</v>
      </c>
      <c r="Q1326" s="97">
        <f t="shared" si="1420"/>
        <v>0</v>
      </c>
      <c r="R1326" s="97">
        <f t="shared" si="1421"/>
        <v>0</v>
      </c>
      <c r="S1326" s="97">
        <f t="shared" si="1422"/>
        <v>0</v>
      </c>
      <c r="T1326" s="97">
        <f t="shared" si="1423"/>
        <v>0</v>
      </c>
      <c r="U1326" s="97">
        <f t="shared" si="1675"/>
        <v>4575.68</v>
      </c>
      <c r="V1326" s="97">
        <f t="shared" si="1676"/>
        <v>4724.88</v>
      </c>
      <c r="W1326" s="97">
        <f t="shared" si="1677"/>
        <v>4903.1400000000003</v>
      </c>
      <c r="X1326" s="97">
        <f t="shared" si="1678"/>
        <v>367.76</v>
      </c>
      <c r="Y1326" s="97">
        <f t="shared" si="1679"/>
        <v>371.55</v>
      </c>
      <c r="Z1326" s="97">
        <f t="shared" si="1680"/>
        <v>370.5</v>
      </c>
      <c r="AA1326" s="97">
        <f t="shared" si="1424"/>
        <v>0</v>
      </c>
      <c r="AB1326" s="97">
        <f t="shared" si="1424"/>
        <v>0</v>
      </c>
      <c r="AC1326" s="97">
        <f t="shared" si="1424"/>
        <v>0</v>
      </c>
      <c r="AD1326" s="97">
        <f t="shared" si="1425"/>
        <v>0</v>
      </c>
      <c r="AE1326" s="97">
        <f t="shared" si="1425"/>
        <v>0</v>
      </c>
      <c r="AF1326" s="97">
        <f t="shared" si="1425"/>
        <v>0</v>
      </c>
      <c r="AG1326" s="102"/>
      <c r="AH1326" s="102"/>
      <c r="AI1326" s="102"/>
      <c r="AJ1326" s="97">
        <f t="shared" si="1426"/>
        <v>0</v>
      </c>
      <c r="AK1326" s="97">
        <f t="shared" si="1427"/>
        <v>0</v>
      </c>
      <c r="AL1326" s="97">
        <f t="shared" si="1428"/>
        <v>0</v>
      </c>
      <c r="AM1326" s="97">
        <f t="shared" si="1429"/>
        <v>0</v>
      </c>
      <c r="AN1326" s="97">
        <f t="shared" si="1430"/>
        <v>0</v>
      </c>
      <c r="AO1326" s="97">
        <f t="shared" si="1431"/>
        <v>0</v>
      </c>
      <c r="AP1326" s="97">
        <f t="shared" si="1683"/>
        <v>4209.42</v>
      </c>
      <c r="AQ1326" s="97">
        <f t="shared" si="1684"/>
        <v>4345.97</v>
      </c>
      <c r="AR1326" s="97">
        <f t="shared" si="1685"/>
        <v>4509.22</v>
      </c>
      <c r="AS1326" s="97">
        <f t="shared" si="1686"/>
        <v>293.25</v>
      </c>
      <c r="AT1326" s="97">
        <f t="shared" si="1687"/>
        <v>300.76</v>
      </c>
      <c r="AU1326" s="97">
        <f t="shared" si="1688"/>
        <v>302.26</v>
      </c>
      <c r="AV1326" s="97">
        <f t="shared" si="1432"/>
        <v>0</v>
      </c>
      <c r="AW1326" s="97">
        <f t="shared" si="1432"/>
        <v>0</v>
      </c>
      <c r="AX1326" s="97">
        <f t="shared" si="1432"/>
        <v>0</v>
      </c>
      <c r="AY1326" s="97">
        <f t="shared" si="1433"/>
        <v>0</v>
      </c>
      <c r="AZ1326" s="97">
        <f t="shared" si="1433"/>
        <v>0</v>
      </c>
      <c r="BA1326" s="97">
        <f t="shared" si="1433"/>
        <v>0</v>
      </c>
      <c r="BB1326" s="102"/>
      <c r="BC1326" s="102"/>
      <c r="BD1326" s="102"/>
      <c r="BE1326" s="97">
        <f t="shared" si="1434"/>
        <v>0</v>
      </c>
      <c r="BF1326" s="97">
        <f t="shared" si="1435"/>
        <v>0</v>
      </c>
      <c r="BG1326" s="97">
        <f t="shared" si="1436"/>
        <v>0</v>
      </c>
      <c r="BH1326" s="97">
        <f t="shared" si="1437"/>
        <v>0</v>
      </c>
      <c r="BI1326" s="97">
        <f t="shared" si="1438"/>
        <v>0</v>
      </c>
      <c r="BJ1326" s="97">
        <f t="shared" si="1439"/>
        <v>0</v>
      </c>
      <c r="BK1326" s="97">
        <f t="shared" si="1689"/>
        <v>3970.86</v>
      </c>
      <c r="BL1326" s="97">
        <f t="shared" si="1690"/>
        <v>4091.53</v>
      </c>
      <c r="BM1326" s="97">
        <f t="shared" si="1691"/>
        <v>4240.6099999999997</v>
      </c>
      <c r="BN1326" s="97">
        <f t="shared" si="1692"/>
        <v>313.25</v>
      </c>
      <c r="BO1326" s="97">
        <f t="shared" si="1693"/>
        <v>321.27999999999997</v>
      </c>
      <c r="BP1326" s="97">
        <f t="shared" si="1694"/>
        <v>322.29000000000002</v>
      </c>
      <c r="BQ1326" s="97">
        <f t="shared" si="1440"/>
        <v>0</v>
      </c>
      <c r="BR1326" s="97">
        <f t="shared" si="1440"/>
        <v>0</v>
      </c>
      <c r="BS1326" s="97">
        <f t="shared" si="1440"/>
        <v>0</v>
      </c>
      <c r="BT1326" s="97">
        <f t="shared" si="1441"/>
        <v>0</v>
      </c>
      <c r="BU1326" s="97">
        <f t="shared" si="1441"/>
        <v>0</v>
      </c>
      <c r="BV1326" s="97">
        <f t="shared" si="1441"/>
        <v>0</v>
      </c>
      <c r="BW1326" s="102"/>
      <c r="BX1326" s="102"/>
      <c r="BY1326" s="102"/>
      <c r="BZ1326" s="97">
        <f t="shared" si="1442"/>
        <v>0</v>
      </c>
      <c r="CA1326" s="97">
        <f t="shared" si="1443"/>
        <v>0</v>
      </c>
      <c r="CB1326" s="97">
        <f t="shared" si="1444"/>
        <v>0</v>
      </c>
      <c r="CC1326" s="97">
        <f t="shared" si="1445"/>
        <v>0</v>
      </c>
      <c r="CD1326" s="97">
        <f t="shared" si="1446"/>
        <v>0</v>
      </c>
      <c r="CE1326" s="97">
        <f t="shared" si="1447"/>
        <v>0</v>
      </c>
      <c r="CF1326" s="97">
        <f t="shared" si="1695"/>
        <v>4100.82</v>
      </c>
      <c r="CG1326" s="97">
        <f t="shared" si="1696"/>
        <v>4237.03</v>
      </c>
      <c r="CH1326" s="97">
        <f t="shared" si="1697"/>
        <v>4396.46</v>
      </c>
      <c r="CI1326" s="97">
        <f t="shared" si="1698"/>
        <v>482.92</v>
      </c>
      <c r="CJ1326" s="97">
        <f t="shared" si="1699"/>
        <v>485.42</v>
      </c>
      <c r="CK1326" s="97">
        <f t="shared" si="1700"/>
        <v>483.08</v>
      </c>
      <c r="CL1326" s="97">
        <f t="shared" si="1448"/>
        <v>0</v>
      </c>
      <c r="CM1326" s="97">
        <f t="shared" si="1448"/>
        <v>0</v>
      </c>
      <c r="CN1326" s="97">
        <f t="shared" si="1448"/>
        <v>0</v>
      </c>
      <c r="CO1326" s="97">
        <f t="shared" si="1449"/>
        <v>0</v>
      </c>
      <c r="CP1326" s="97">
        <f t="shared" si="1449"/>
        <v>0</v>
      </c>
      <c r="CQ1326" s="97">
        <f t="shared" si="1449"/>
        <v>0</v>
      </c>
      <c r="CR1326" s="102"/>
      <c r="CS1326" s="102"/>
      <c r="CT1326" s="102"/>
      <c r="CU1326" s="97">
        <f t="shared" si="1450"/>
        <v>0</v>
      </c>
      <c r="CV1326" s="97">
        <f t="shared" si="1451"/>
        <v>0</v>
      </c>
      <c r="CW1326" s="97">
        <f t="shared" si="1452"/>
        <v>0</v>
      </c>
      <c r="CX1326" s="97">
        <f t="shared" si="1453"/>
        <v>0</v>
      </c>
      <c r="CY1326" s="97">
        <f t="shared" si="1454"/>
        <v>0</v>
      </c>
      <c r="CZ1326" s="97">
        <f t="shared" si="1455"/>
        <v>0</v>
      </c>
      <c r="DA1326" s="97">
        <f t="shared" si="1701"/>
        <v>4132.3999999999996</v>
      </c>
      <c r="DB1326" s="97">
        <f t="shared" si="1702"/>
        <v>4265.99</v>
      </c>
      <c r="DC1326" s="97">
        <f t="shared" si="1703"/>
        <v>4426.25</v>
      </c>
      <c r="DD1326" s="97">
        <f t="shared" si="1704"/>
        <v>233.8</v>
      </c>
      <c r="DE1326" s="97">
        <f t="shared" si="1705"/>
        <v>236.16</v>
      </c>
      <c r="DF1326" s="97">
        <f t="shared" si="1706"/>
        <v>235.75</v>
      </c>
      <c r="DG1326" s="97">
        <f t="shared" si="1456"/>
        <v>0</v>
      </c>
      <c r="DH1326" s="97">
        <f t="shared" si="1456"/>
        <v>0</v>
      </c>
      <c r="DI1326" s="97">
        <f t="shared" si="1456"/>
        <v>0</v>
      </c>
      <c r="DJ1326" s="97">
        <f t="shared" si="1457"/>
        <v>0</v>
      </c>
      <c r="DK1326" s="97">
        <f t="shared" si="1457"/>
        <v>0</v>
      </c>
      <c r="DL1326" s="97">
        <f t="shared" si="1457"/>
        <v>0</v>
      </c>
      <c r="DM1326" s="102"/>
      <c r="DN1326" s="102"/>
      <c r="DO1326" s="102"/>
      <c r="DP1326" s="97">
        <f t="shared" si="1458"/>
        <v>0</v>
      </c>
      <c r="DQ1326" s="97">
        <f t="shared" si="1459"/>
        <v>0</v>
      </c>
      <c r="DR1326" s="97">
        <f t="shared" si="1460"/>
        <v>0</v>
      </c>
      <c r="DS1326" s="97">
        <f t="shared" si="1461"/>
        <v>0</v>
      </c>
      <c r="DT1326" s="97">
        <f t="shared" si="1462"/>
        <v>0</v>
      </c>
      <c r="DU1326" s="97">
        <f t="shared" si="1463"/>
        <v>0</v>
      </c>
      <c r="DV1326" s="97">
        <f t="shared" si="1707"/>
        <v>4487.0600000000004</v>
      </c>
      <c r="DW1326" s="97">
        <f t="shared" si="1708"/>
        <v>4639.32</v>
      </c>
      <c r="DX1326" s="97">
        <f t="shared" si="1709"/>
        <v>4815.92</v>
      </c>
      <c r="DY1326" s="97">
        <f t="shared" si="1710"/>
        <v>489.7</v>
      </c>
      <c r="DZ1326" s="97">
        <f t="shared" si="1711"/>
        <v>475.73</v>
      </c>
      <c r="EA1326" s="97">
        <f t="shared" si="1712"/>
        <v>474.43</v>
      </c>
      <c r="EB1326" s="97">
        <f t="shared" si="1464"/>
        <v>0</v>
      </c>
      <c r="EC1326" s="97">
        <f t="shared" si="1464"/>
        <v>0</v>
      </c>
      <c r="ED1326" s="97">
        <f t="shared" si="1464"/>
        <v>0</v>
      </c>
      <c r="EE1326" s="97">
        <f t="shared" si="1465"/>
        <v>0</v>
      </c>
      <c r="EF1326" s="97">
        <f t="shared" si="1465"/>
        <v>0</v>
      </c>
      <c r="EG1326" s="97">
        <f t="shared" si="1465"/>
        <v>0</v>
      </c>
      <c r="EH1326" s="102"/>
      <c r="EI1326" s="102"/>
      <c r="EJ1326" s="102"/>
      <c r="EK1326" s="97">
        <f t="shared" si="1466"/>
        <v>0</v>
      </c>
      <c r="EL1326" s="97">
        <f t="shared" si="1467"/>
        <v>0</v>
      </c>
      <c r="EM1326" s="97">
        <f t="shared" si="1468"/>
        <v>0</v>
      </c>
      <c r="EN1326" s="97">
        <f t="shared" si="1469"/>
        <v>0</v>
      </c>
      <c r="EO1326" s="97">
        <f t="shared" si="1470"/>
        <v>0</v>
      </c>
      <c r="EP1326" s="97">
        <f t="shared" si="1471"/>
        <v>0</v>
      </c>
      <c r="EQ1326" s="97">
        <f t="shared" si="1713"/>
        <v>4435.29</v>
      </c>
      <c r="ER1326" s="97">
        <f t="shared" si="1714"/>
        <v>4571.63</v>
      </c>
      <c r="ES1326" s="97">
        <f t="shared" si="1715"/>
        <v>4741.16</v>
      </c>
      <c r="ET1326" s="97">
        <f t="shared" si="1716"/>
        <v>411.13</v>
      </c>
      <c r="EU1326" s="97">
        <f t="shared" si="1717"/>
        <v>420.97</v>
      </c>
      <c r="EV1326" s="97">
        <f t="shared" si="1718"/>
        <v>422.73</v>
      </c>
      <c r="EW1326" s="97">
        <f t="shared" si="1472"/>
        <v>0</v>
      </c>
      <c r="EX1326" s="97">
        <f t="shared" si="1472"/>
        <v>0</v>
      </c>
      <c r="EY1326" s="97">
        <f t="shared" si="1472"/>
        <v>0</v>
      </c>
      <c r="EZ1326" s="97">
        <f t="shared" si="1473"/>
        <v>0</v>
      </c>
      <c r="FA1326" s="97">
        <f t="shared" si="1473"/>
        <v>0</v>
      </c>
      <c r="FB1326" s="97">
        <f t="shared" si="1473"/>
        <v>0</v>
      </c>
      <c r="FC1326" s="102"/>
      <c r="FD1326" s="102"/>
      <c r="FE1326" s="102"/>
      <c r="FF1326" s="97">
        <f t="shared" si="1474"/>
        <v>0</v>
      </c>
      <c r="FG1326" s="97">
        <f t="shared" si="1475"/>
        <v>0</v>
      </c>
      <c r="FH1326" s="97">
        <f t="shared" si="1476"/>
        <v>0</v>
      </c>
      <c r="FI1326" s="97">
        <f t="shared" si="1477"/>
        <v>0</v>
      </c>
      <c r="FJ1326" s="97">
        <f t="shared" si="1478"/>
        <v>0</v>
      </c>
      <c r="FK1326" s="97">
        <f t="shared" si="1479"/>
        <v>0</v>
      </c>
      <c r="FL1326" s="97">
        <f t="shared" si="1719"/>
        <v>4309.09</v>
      </c>
      <c r="FM1326" s="97">
        <f t="shared" si="1720"/>
        <v>4450.54</v>
      </c>
      <c r="FN1326" s="97">
        <f t="shared" si="1721"/>
        <v>4618.32</v>
      </c>
      <c r="FO1326" s="97">
        <f t="shared" si="1722"/>
        <v>442.18</v>
      </c>
      <c r="FP1326" s="97">
        <f t="shared" si="1723"/>
        <v>455.59</v>
      </c>
      <c r="FQ1326" s="97">
        <f t="shared" si="1724"/>
        <v>447.06</v>
      </c>
      <c r="FR1326" s="97">
        <f t="shared" si="1480"/>
        <v>0</v>
      </c>
      <c r="FS1326" s="97">
        <f t="shared" si="1480"/>
        <v>0</v>
      </c>
      <c r="FT1326" s="97">
        <f t="shared" si="1480"/>
        <v>0</v>
      </c>
      <c r="FU1326" s="97">
        <f t="shared" si="1481"/>
        <v>0</v>
      </c>
      <c r="FV1326" s="97">
        <f t="shared" si="1481"/>
        <v>0</v>
      </c>
      <c r="FW1326" s="97">
        <f t="shared" si="1481"/>
        <v>0</v>
      </c>
      <c r="FX1326" s="102"/>
      <c r="FY1326" s="102"/>
      <c r="FZ1326" s="102"/>
      <c r="GA1326" s="97">
        <f t="shared" si="1482"/>
        <v>0</v>
      </c>
      <c r="GB1326" s="97">
        <f t="shared" si="1483"/>
        <v>0</v>
      </c>
      <c r="GC1326" s="97">
        <f t="shared" si="1484"/>
        <v>0</v>
      </c>
      <c r="GD1326" s="97">
        <f t="shared" si="1485"/>
        <v>0</v>
      </c>
      <c r="GE1326" s="97">
        <f t="shared" si="1486"/>
        <v>0</v>
      </c>
      <c r="GF1326" s="97">
        <f t="shared" si="1487"/>
        <v>0</v>
      </c>
      <c r="GG1326" s="97">
        <f t="shared" si="1725"/>
        <v>4302.32</v>
      </c>
      <c r="GH1326" s="97">
        <f t="shared" si="1726"/>
        <v>4438.7</v>
      </c>
      <c r="GI1326" s="97">
        <f t="shared" si="1727"/>
        <v>4603.7299999999996</v>
      </c>
      <c r="GJ1326" s="97">
        <f t="shared" si="1728"/>
        <v>331.56</v>
      </c>
      <c r="GK1326" s="97">
        <f t="shared" si="1729"/>
        <v>368.2</v>
      </c>
      <c r="GL1326" s="97">
        <f t="shared" si="1730"/>
        <v>391.36</v>
      </c>
      <c r="GM1326" s="97">
        <f t="shared" si="1488"/>
        <v>0</v>
      </c>
      <c r="GN1326" s="97">
        <f t="shared" si="1488"/>
        <v>0</v>
      </c>
      <c r="GO1326" s="97">
        <f t="shared" si="1488"/>
        <v>0</v>
      </c>
      <c r="GP1326" s="97">
        <f t="shared" si="1489"/>
        <v>0</v>
      </c>
      <c r="GQ1326" s="97">
        <f t="shared" si="1489"/>
        <v>0</v>
      </c>
      <c r="GR1326" s="97">
        <f t="shared" si="1489"/>
        <v>0</v>
      </c>
      <c r="GS1326" s="102"/>
      <c r="GT1326" s="102"/>
      <c r="GU1326" s="102"/>
      <c r="GV1326" s="97">
        <f t="shared" si="1490"/>
        <v>0</v>
      </c>
      <c r="GW1326" s="97">
        <f t="shared" si="1491"/>
        <v>0</v>
      </c>
      <c r="GX1326" s="97">
        <f t="shared" si="1492"/>
        <v>0</v>
      </c>
      <c r="GY1326" s="97">
        <f t="shared" si="1493"/>
        <v>0</v>
      </c>
      <c r="GZ1326" s="97">
        <f t="shared" si="1494"/>
        <v>0</v>
      </c>
      <c r="HA1326" s="97">
        <f t="shared" si="1495"/>
        <v>0</v>
      </c>
      <c r="HB1326" s="97">
        <f t="shared" si="1731"/>
        <v>4494.3599999999997</v>
      </c>
      <c r="HC1326" s="97">
        <f t="shared" si="1732"/>
        <v>4634.96</v>
      </c>
      <c r="HD1326" s="97">
        <f t="shared" si="1733"/>
        <v>4807.1499999999996</v>
      </c>
      <c r="HE1326" s="97">
        <f t="shared" si="1734"/>
        <v>385.77</v>
      </c>
      <c r="HF1326" s="97">
        <f t="shared" si="1735"/>
        <v>393.83</v>
      </c>
      <c r="HG1326" s="97">
        <f t="shared" si="1736"/>
        <v>394.53</v>
      </c>
      <c r="HH1326" s="97">
        <f t="shared" si="1496"/>
        <v>0</v>
      </c>
      <c r="HI1326" s="97">
        <f t="shared" si="1496"/>
        <v>0</v>
      </c>
      <c r="HJ1326" s="97">
        <f t="shared" si="1496"/>
        <v>0</v>
      </c>
      <c r="HK1326" s="97">
        <f t="shared" si="1497"/>
        <v>0</v>
      </c>
      <c r="HL1326" s="97">
        <f t="shared" si="1497"/>
        <v>0</v>
      </c>
      <c r="HM1326" s="97">
        <f t="shared" si="1497"/>
        <v>0</v>
      </c>
      <c r="HN1326" s="102"/>
      <c r="HO1326" s="102"/>
      <c r="HP1326" s="102"/>
      <c r="HQ1326" s="97">
        <f t="shared" si="1498"/>
        <v>0</v>
      </c>
      <c r="HR1326" s="97">
        <f t="shared" si="1499"/>
        <v>0</v>
      </c>
      <c r="HS1326" s="97">
        <f t="shared" si="1500"/>
        <v>0</v>
      </c>
      <c r="HT1326" s="97">
        <f t="shared" si="1501"/>
        <v>0</v>
      </c>
      <c r="HU1326" s="97">
        <f t="shared" si="1502"/>
        <v>0</v>
      </c>
      <c r="HV1326" s="97">
        <f t="shared" si="1503"/>
        <v>0</v>
      </c>
      <c r="HW1326" s="97">
        <f t="shared" si="1737"/>
        <v>4423.08</v>
      </c>
      <c r="HX1326" s="97">
        <f t="shared" si="1738"/>
        <v>4568.1899999999996</v>
      </c>
      <c r="HY1326" s="97">
        <f t="shared" si="1739"/>
        <v>4738.76</v>
      </c>
      <c r="HZ1326" s="97">
        <f t="shared" si="1740"/>
        <v>368</v>
      </c>
      <c r="IA1326" s="97">
        <f t="shared" si="1741"/>
        <v>375.46</v>
      </c>
      <c r="IB1326" s="97">
        <f t="shared" si="1742"/>
        <v>369.69</v>
      </c>
      <c r="IC1326" s="97">
        <f t="shared" si="1504"/>
        <v>0</v>
      </c>
      <c r="ID1326" s="97">
        <f t="shared" si="1504"/>
        <v>0</v>
      </c>
      <c r="IE1326" s="97">
        <f t="shared" si="1504"/>
        <v>0</v>
      </c>
      <c r="IF1326" s="97">
        <f t="shared" si="1505"/>
        <v>0</v>
      </c>
      <c r="IG1326" s="97">
        <f t="shared" si="1505"/>
        <v>0</v>
      </c>
      <c r="IH1326" s="97">
        <f t="shared" si="1505"/>
        <v>0</v>
      </c>
      <c r="II1326" s="102"/>
      <c r="IJ1326" s="102"/>
      <c r="IK1326" s="102"/>
      <c r="IL1326" s="97">
        <f t="shared" si="1506"/>
        <v>0</v>
      </c>
      <c r="IM1326" s="97">
        <f t="shared" si="1507"/>
        <v>0</v>
      </c>
      <c r="IN1326" s="97">
        <f t="shared" si="1508"/>
        <v>0</v>
      </c>
      <c r="IO1326" s="97">
        <f t="shared" si="1509"/>
        <v>0</v>
      </c>
      <c r="IP1326" s="97">
        <f t="shared" si="1510"/>
        <v>0</v>
      </c>
      <c r="IQ1326" s="97">
        <f t="shared" si="1511"/>
        <v>0</v>
      </c>
      <c r="IR1326" s="97">
        <f t="shared" si="1743"/>
        <v>6008.45</v>
      </c>
      <c r="IS1326" s="97">
        <f t="shared" si="1744"/>
        <v>6189.48</v>
      </c>
      <c r="IT1326" s="97">
        <f t="shared" si="1745"/>
        <v>6418.25</v>
      </c>
      <c r="IU1326" s="97">
        <f t="shared" si="1746"/>
        <v>556.34</v>
      </c>
      <c r="IV1326" s="97">
        <f t="shared" si="1747"/>
        <v>567.59</v>
      </c>
      <c r="IW1326" s="97">
        <f t="shared" si="1748"/>
        <v>554.94000000000005</v>
      </c>
      <c r="IX1326" s="97">
        <f t="shared" si="1512"/>
        <v>0</v>
      </c>
      <c r="IY1326" s="97">
        <f t="shared" si="1512"/>
        <v>0</v>
      </c>
      <c r="IZ1326" s="97">
        <f t="shared" si="1512"/>
        <v>0</v>
      </c>
      <c r="JA1326" s="97">
        <f t="shared" si="1513"/>
        <v>0</v>
      </c>
      <c r="JB1326" s="97">
        <f t="shared" si="1513"/>
        <v>0</v>
      </c>
      <c r="JC1326" s="97">
        <f t="shared" si="1513"/>
        <v>0</v>
      </c>
      <c r="JD1326" s="102"/>
      <c r="JE1326" s="102"/>
      <c r="JF1326" s="102"/>
      <c r="JG1326" s="97">
        <f t="shared" si="1514"/>
        <v>0</v>
      </c>
      <c r="JH1326" s="97">
        <f t="shared" si="1515"/>
        <v>0</v>
      </c>
      <c r="JI1326" s="97">
        <f t="shared" si="1516"/>
        <v>0</v>
      </c>
      <c r="JJ1326" s="97">
        <f t="shared" si="1517"/>
        <v>0</v>
      </c>
      <c r="JK1326" s="97">
        <f t="shared" si="1518"/>
        <v>0</v>
      </c>
      <c r="JL1326" s="97">
        <f t="shared" si="1519"/>
        <v>0</v>
      </c>
      <c r="JM1326" s="97">
        <f t="shared" si="1749"/>
        <v>4027.71</v>
      </c>
      <c r="JN1326" s="97">
        <f t="shared" si="1750"/>
        <v>4157.3500000000004</v>
      </c>
      <c r="JO1326" s="97">
        <f t="shared" si="1751"/>
        <v>4313.3100000000004</v>
      </c>
      <c r="JP1326" s="97">
        <f t="shared" si="1752"/>
        <v>303.32</v>
      </c>
      <c r="JQ1326" s="97">
        <f t="shared" si="1753"/>
        <v>315.10000000000002</v>
      </c>
      <c r="JR1326" s="97">
        <f t="shared" si="1754"/>
        <v>315.85000000000002</v>
      </c>
      <c r="JS1326" s="97">
        <f t="shared" si="1520"/>
        <v>0</v>
      </c>
      <c r="JT1326" s="97">
        <f t="shared" si="1520"/>
        <v>0</v>
      </c>
      <c r="JU1326" s="97">
        <f t="shared" si="1520"/>
        <v>0</v>
      </c>
      <c r="JV1326" s="97">
        <f t="shared" si="1521"/>
        <v>0</v>
      </c>
      <c r="JW1326" s="97">
        <f t="shared" si="1521"/>
        <v>0</v>
      </c>
      <c r="JX1326" s="97">
        <f t="shared" si="1521"/>
        <v>0</v>
      </c>
      <c r="JY1326" s="102"/>
      <c r="JZ1326" s="102"/>
      <c r="KA1326" s="102"/>
      <c r="KB1326" s="97">
        <f t="shared" si="1522"/>
        <v>0</v>
      </c>
      <c r="KC1326" s="97">
        <f t="shared" si="1523"/>
        <v>0</v>
      </c>
      <c r="KD1326" s="97">
        <f t="shared" si="1524"/>
        <v>0</v>
      </c>
      <c r="KE1326" s="97">
        <f t="shared" si="1525"/>
        <v>0</v>
      </c>
      <c r="KF1326" s="97">
        <f t="shared" si="1526"/>
        <v>0</v>
      </c>
      <c r="KG1326" s="97">
        <f t="shared" si="1527"/>
        <v>0</v>
      </c>
      <c r="KH1326" s="97">
        <f t="shared" si="1755"/>
        <v>4140.91</v>
      </c>
      <c r="KI1326" s="97">
        <f t="shared" si="1756"/>
        <v>4270.58</v>
      </c>
      <c r="KJ1326" s="97">
        <f t="shared" si="1757"/>
        <v>4429.79</v>
      </c>
      <c r="KK1326" s="97">
        <f t="shared" si="1758"/>
        <v>284.33999999999997</v>
      </c>
      <c r="KL1326" s="97">
        <f t="shared" si="1759"/>
        <v>292.02999999999997</v>
      </c>
      <c r="KM1326" s="97">
        <f t="shared" si="1760"/>
        <v>290.64999999999998</v>
      </c>
      <c r="KN1326" s="97">
        <f t="shared" si="1528"/>
        <v>0</v>
      </c>
      <c r="KO1326" s="97">
        <f t="shared" si="1528"/>
        <v>0</v>
      </c>
      <c r="KP1326" s="97">
        <f t="shared" si="1528"/>
        <v>0</v>
      </c>
      <c r="KQ1326" s="97">
        <f t="shared" si="1529"/>
        <v>0</v>
      </c>
      <c r="KR1326" s="97">
        <f t="shared" si="1529"/>
        <v>0</v>
      </c>
      <c r="KS1326" s="97">
        <f t="shared" si="1529"/>
        <v>0</v>
      </c>
      <c r="KT1326" s="102"/>
      <c r="KU1326" s="102"/>
      <c r="KV1326" s="102"/>
      <c r="KW1326" s="97">
        <f t="shared" si="1530"/>
        <v>0</v>
      </c>
      <c r="KX1326" s="97">
        <f t="shared" si="1531"/>
        <v>0</v>
      </c>
      <c r="KY1326" s="97">
        <f t="shared" si="1532"/>
        <v>0</v>
      </c>
      <c r="KZ1326" s="97">
        <f t="shared" si="1533"/>
        <v>0</v>
      </c>
      <c r="LA1326" s="97">
        <f t="shared" si="1534"/>
        <v>0</v>
      </c>
      <c r="LB1326" s="97">
        <f t="shared" si="1535"/>
        <v>0</v>
      </c>
      <c r="LC1326" s="97">
        <f t="shared" si="1761"/>
        <v>3908.64</v>
      </c>
      <c r="LD1326" s="97">
        <f t="shared" si="1762"/>
        <v>4036.42</v>
      </c>
      <c r="LE1326" s="97">
        <f t="shared" si="1763"/>
        <v>4188.12</v>
      </c>
      <c r="LF1326" s="97">
        <f t="shared" si="1764"/>
        <v>391.89</v>
      </c>
      <c r="LG1326" s="97">
        <f t="shared" si="1765"/>
        <v>408.01</v>
      </c>
      <c r="LH1326" s="97">
        <f t="shared" si="1766"/>
        <v>410.15</v>
      </c>
      <c r="LI1326" s="97">
        <f t="shared" si="1536"/>
        <v>0</v>
      </c>
      <c r="LJ1326" s="97">
        <f t="shared" si="1536"/>
        <v>0</v>
      </c>
      <c r="LK1326" s="97">
        <f t="shared" si="1536"/>
        <v>0</v>
      </c>
      <c r="LL1326" s="97">
        <f t="shared" si="1537"/>
        <v>0</v>
      </c>
      <c r="LM1326" s="97">
        <f t="shared" si="1537"/>
        <v>0</v>
      </c>
      <c r="LN1326" s="97">
        <f t="shared" si="1537"/>
        <v>0</v>
      </c>
      <c r="LO1326" s="102"/>
      <c r="LP1326" s="102"/>
      <c r="LQ1326" s="102"/>
      <c r="LR1326" s="97">
        <f t="shared" si="1538"/>
        <v>0</v>
      </c>
      <c r="LS1326" s="97">
        <f t="shared" si="1539"/>
        <v>0</v>
      </c>
      <c r="LT1326" s="97">
        <f t="shared" si="1540"/>
        <v>0</v>
      </c>
      <c r="LU1326" s="97">
        <f t="shared" si="1541"/>
        <v>0</v>
      </c>
      <c r="LV1326" s="97">
        <f t="shared" si="1542"/>
        <v>0</v>
      </c>
      <c r="LW1326" s="97">
        <f t="shared" si="1543"/>
        <v>0</v>
      </c>
      <c r="LX1326" s="97">
        <f t="shared" si="1767"/>
        <v>3414.37</v>
      </c>
      <c r="LY1326" s="97">
        <f t="shared" si="1768"/>
        <v>3526.19</v>
      </c>
      <c r="LZ1326" s="97">
        <f t="shared" si="1769"/>
        <v>3658.33</v>
      </c>
      <c r="MA1326" s="97">
        <f t="shared" si="1770"/>
        <v>290.89999999999998</v>
      </c>
      <c r="MB1326" s="97">
        <f t="shared" si="1771"/>
        <v>298.10000000000002</v>
      </c>
      <c r="MC1326" s="97">
        <f t="shared" si="1772"/>
        <v>297.22000000000003</v>
      </c>
      <c r="MD1326" s="97">
        <f t="shared" si="1544"/>
        <v>0</v>
      </c>
      <c r="ME1326" s="97">
        <f t="shared" si="1544"/>
        <v>0</v>
      </c>
      <c r="MF1326" s="97">
        <f t="shared" si="1544"/>
        <v>0</v>
      </c>
      <c r="MG1326" s="97">
        <f t="shared" si="1545"/>
        <v>0</v>
      </c>
      <c r="MH1326" s="97">
        <f t="shared" si="1545"/>
        <v>0</v>
      </c>
      <c r="MI1326" s="97">
        <f t="shared" si="1545"/>
        <v>0</v>
      </c>
      <c r="MJ1326" s="102"/>
      <c r="MK1326" s="102"/>
      <c r="ML1326" s="102"/>
      <c r="MM1326" s="97">
        <f t="shared" si="1546"/>
        <v>0</v>
      </c>
      <c r="MN1326" s="97">
        <f t="shared" si="1547"/>
        <v>0</v>
      </c>
      <c r="MO1326" s="97">
        <f t="shared" si="1548"/>
        <v>0</v>
      </c>
      <c r="MP1326" s="97">
        <f t="shared" si="1549"/>
        <v>0</v>
      </c>
      <c r="MQ1326" s="97">
        <f t="shared" si="1550"/>
        <v>0</v>
      </c>
      <c r="MR1326" s="97">
        <f t="shared" si="1551"/>
        <v>0</v>
      </c>
      <c r="MS1326" s="97">
        <f t="shared" si="1773"/>
        <v>3950.05</v>
      </c>
      <c r="MT1326" s="97">
        <f t="shared" si="1774"/>
        <v>4078.91</v>
      </c>
      <c r="MU1326" s="97">
        <f t="shared" si="1775"/>
        <v>4232.1400000000003</v>
      </c>
      <c r="MV1326" s="97">
        <f t="shared" si="1776"/>
        <v>345.12</v>
      </c>
      <c r="MW1326" s="97">
        <f t="shared" si="1777"/>
        <v>348.89</v>
      </c>
      <c r="MX1326" s="97">
        <f t="shared" si="1778"/>
        <v>351.04</v>
      </c>
      <c r="MY1326" s="97">
        <f t="shared" si="1552"/>
        <v>0</v>
      </c>
      <c r="MZ1326" s="97">
        <f t="shared" si="1552"/>
        <v>0</v>
      </c>
      <c r="NA1326" s="97">
        <f t="shared" si="1552"/>
        <v>0</v>
      </c>
      <c r="NB1326" s="97">
        <f t="shared" si="1553"/>
        <v>0</v>
      </c>
      <c r="NC1326" s="97">
        <f t="shared" si="1553"/>
        <v>0</v>
      </c>
      <c r="ND1326" s="97">
        <f t="shared" si="1553"/>
        <v>0</v>
      </c>
      <c r="NE1326" s="102"/>
      <c r="NF1326" s="102"/>
      <c r="NG1326" s="102"/>
      <c r="NH1326" s="97">
        <f t="shared" si="1554"/>
        <v>0</v>
      </c>
      <c r="NI1326" s="97">
        <f t="shared" si="1555"/>
        <v>0</v>
      </c>
      <c r="NJ1326" s="97">
        <f t="shared" si="1556"/>
        <v>0</v>
      </c>
      <c r="NK1326" s="97">
        <f t="shared" si="1557"/>
        <v>0</v>
      </c>
      <c r="NL1326" s="97">
        <f t="shared" si="1558"/>
        <v>0</v>
      </c>
      <c r="NM1326" s="97">
        <f t="shared" si="1559"/>
        <v>0</v>
      </c>
      <c r="NN1326" s="97">
        <f t="shared" si="1779"/>
        <v>4032.91</v>
      </c>
      <c r="NO1326" s="97">
        <f t="shared" si="1780"/>
        <v>4159.1000000000004</v>
      </c>
      <c r="NP1326" s="97">
        <f t="shared" si="1781"/>
        <v>4312.91</v>
      </c>
      <c r="NQ1326" s="97">
        <f t="shared" si="1782"/>
        <v>505.45</v>
      </c>
      <c r="NR1326" s="97">
        <f t="shared" si="1783"/>
        <v>527.95000000000005</v>
      </c>
      <c r="NS1326" s="97">
        <f t="shared" si="1784"/>
        <v>513.37</v>
      </c>
      <c r="NT1326" s="97">
        <f t="shared" si="1560"/>
        <v>0</v>
      </c>
      <c r="NU1326" s="97">
        <f t="shared" si="1560"/>
        <v>0</v>
      </c>
      <c r="NV1326" s="97">
        <f t="shared" si="1560"/>
        <v>0</v>
      </c>
      <c r="NW1326" s="97">
        <f t="shared" si="1561"/>
        <v>0</v>
      </c>
      <c r="NX1326" s="97">
        <f t="shared" si="1561"/>
        <v>0</v>
      </c>
      <c r="NY1326" s="97">
        <f t="shared" si="1561"/>
        <v>0</v>
      </c>
      <c r="NZ1326" s="102"/>
      <c r="OA1326" s="102"/>
      <c r="OB1326" s="102"/>
      <c r="OC1326" s="97">
        <f t="shared" si="1562"/>
        <v>0</v>
      </c>
      <c r="OD1326" s="97">
        <f t="shared" si="1563"/>
        <v>0</v>
      </c>
      <c r="OE1326" s="97">
        <f t="shared" si="1564"/>
        <v>0</v>
      </c>
      <c r="OF1326" s="97">
        <f t="shared" si="1565"/>
        <v>0</v>
      </c>
      <c r="OG1326" s="97">
        <f t="shared" si="1566"/>
        <v>0</v>
      </c>
      <c r="OH1326" s="97">
        <f t="shared" si="1567"/>
        <v>0</v>
      </c>
      <c r="OI1326" s="97">
        <f t="shared" si="1785"/>
        <v>5287.83</v>
      </c>
      <c r="OJ1326" s="97">
        <f t="shared" si="1786"/>
        <v>5444.73</v>
      </c>
      <c r="OK1326" s="97">
        <f t="shared" si="1787"/>
        <v>5644.44</v>
      </c>
      <c r="OL1326" s="97">
        <f t="shared" si="1788"/>
        <v>506.96</v>
      </c>
      <c r="OM1326" s="97">
        <f t="shared" si="1789"/>
        <v>526.76</v>
      </c>
      <c r="ON1326" s="97">
        <f t="shared" si="1790"/>
        <v>524</v>
      </c>
      <c r="OO1326" s="97">
        <f t="shared" si="1568"/>
        <v>0</v>
      </c>
      <c r="OP1326" s="97">
        <f t="shared" si="1568"/>
        <v>0</v>
      </c>
      <c r="OQ1326" s="97">
        <f t="shared" si="1568"/>
        <v>0</v>
      </c>
      <c r="OR1326" s="97">
        <f t="shared" si="1569"/>
        <v>0</v>
      </c>
      <c r="OS1326" s="97">
        <f t="shared" si="1569"/>
        <v>0</v>
      </c>
      <c r="OT1326" s="97">
        <f t="shared" si="1569"/>
        <v>0</v>
      </c>
      <c r="OU1326" s="102"/>
      <c r="OV1326" s="102"/>
      <c r="OW1326" s="102"/>
      <c r="OX1326" s="97">
        <f t="shared" si="1570"/>
        <v>0</v>
      </c>
      <c r="OY1326" s="97">
        <f t="shared" si="1571"/>
        <v>0</v>
      </c>
      <c r="OZ1326" s="97">
        <f t="shared" si="1572"/>
        <v>0</v>
      </c>
      <c r="PA1326" s="97">
        <f t="shared" si="1573"/>
        <v>0</v>
      </c>
      <c r="PB1326" s="97">
        <f t="shared" si="1574"/>
        <v>0</v>
      </c>
      <c r="PC1326" s="97">
        <f t="shared" si="1575"/>
        <v>0</v>
      </c>
      <c r="PD1326" s="97">
        <f t="shared" si="1791"/>
        <v>4446.8999999999996</v>
      </c>
      <c r="PE1326" s="97">
        <f t="shared" si="1792"/>
        <v>4589.9399999999996</v>
      </c>
      <c r="PF1326" s="97">
        <f t="shared" si="1793"/>
        <v>4761.7299999999996</v>
      </c>
      <c r="PG1326" s="97">
        <f t="shared" si="1794"/>
        <v>405.17</v>
      </c>
      <c r="PH1326" s="97">
        <f t="shared" si="1795"/>
        <v>413.93</v>
      </c>
      <c r="PI1326" s="97">
        <f t="shared" si="1796"/>
        <v>417.29</v>
      </c>
      <c r="PJ1326" s="97">
        <f t="shared" si="1576"/>
        <v>0</v>
      </c>
      <c r="PK1326" s="97">
        <f t="shared" si="1576"/>
        <v>0</v>
      </c>
      <c r="PL1326" s="97">
        <f t="shared" si="1576"/>
        <v>0</v>
      </c>
      <c r="PM1326" s="97">
        <f t="shared" si="1577"/>
        <v>0</v>
      </c>
      <c r="PN1326" s="97">
        <f t="shared" si="1577"/>
        <v>0</v>
      </c>
      <c r="PO1326" s="97">
        <f t="shared" si="1577"/>
        <v>0</v>
      </c>
      <c r="PP1326" s="102"/>
      <c r="PQ1326" s="102"/>
      <c r="PR1326" s="102"/>
      <c r="PS1326" s="97">
        <f t="shared" si="1578"/>
        <v>0</v>
      </c>
      <c r="PT1326" s="97">
        <f t="shared" si="1579"/>
        <v>0</v>
      </c>
      <c r="PU1326" s="97">
        <f t="shared" si="1580"/>
        <v>0</v>
      </c>
      <c r="PV1326" s="97">
        <f t="shared" si="1581"/>
        <v>0</v>
      </c>
      <c r="PW1326" s="97">
        <f t="shared" si="1582"/>
        <v>0</v>
      </c>
      <c r="PX1326" s="97">
        <f t="shared" si="1583"/>
        <v>0</v>
      </c>
      <c r="PY1326" s="97">
        <f t="shared" si="1797"/>
        <v>3981.32</v>
      </c>
      <c r="PZ1326" s="97">
        <f t="shared" si="1798"/>
        <v>4112.84</v>
      </c>
      <c r="QA1326" s="97">
        <f t="shared" si="1799"/>
        <v>4267.0600000000004</v>
      </c>
      <c r="QB1326" s="97">
        <f t="shared" si="1800"/>
        <v>417.83</v>
      </c>
      <c r="QC1326" s="97">
        <f t="shared" si="1801"/>
        <v>438.77</v>
      </c>
      <c r="QD1326" s="97">
        <f t="shared" si="1802"/>
        <v>438.39</v>
      </c>
      <c r="QE1326" s="97">
        <f t="shared" si="1584"/>
        <v>0</v>
      </c>
      <c r="QF1326" s="97">
        <f t="shared" si="1584"/>
        <v>0</v>
      </c>
      <c r="QG1326" s="97">
        <f t="shared" si="1584"/>
        <v>0</v>
      </c>
      <c r="QH1326" s="97">
        <f t="shared" si="1585"/>
        <v>0</v>
      </c>
      <c r="QI1326" s="97">
        <f t="shared" si="1585"/>
        <v>0</v>
      </c>
      <c r="QJ1326" s="97">
        <f t="shared" si="1585"/>
        <v>0</v>
      </c>
      <c r="QK1326" s="102"/>
      <c r="QL1326" s="102"/>
      <c r="QM1326" s="102"/>
      <c r="QN1326" s="97">
        <f t="shared" si="1586"/>
        <v>0</v>
      </c>
      <c r="QO1326" s="97">
        <f t="shared" si="1587"/>
        <v>0</v>
      </c>
      <c r="QP1326" s="97">
        <f t="shared" si="1588"/>
        <v>0</v>
      </c>
      <c r="QQ1326" s="97">
        <f t="shared" si="1589"/>
        <v>0</v>
      </c>
      <c r="QR1326" s="97">
        <f t="shared" si="1590"/>
        <v>0</v>
      </c>
      <c r="QS1326" s="97">
        <f t="shared" si="1591"/>
        <v>0</v>
      </c>
      <c r="QT1326" s="97">
        <f t="shared" si="1803"/>
        <v>4048.78</v>
      </c>
      <c r="QU1326" s="97">
        <f t="shared" si="1804"/>
        <v>4181.01</v>
      </c>
      <c r="QV1326" s="97">
        <f t="shared" si="1805"/>
        <v>4338.25</v>
      </c>
      <c r="QW1326" s="97">
        <f t="shared" si="1806"/>
        <v>287.38</v>
      </c>
      <c r="QX1326" s="97">
        <f t="shared" si="1807"/>
        <v>298.20999999999998</v>
      </c>
      <c r="QY1326" s="97">
        <f t="shared" si="1808"/>
        <v>299.87</v>
      </c>
      <c r="QZ1326" s="97">
        <f t="shared" si="1592"/>
        <v>0</v>
      </c>
      <c r="RA1326" s="97">
        <f t="shared" si="1592"/>
        <v>0</v>
      </c>
      <c r="RB1326" s="97">
        <f t="shared" si="1592"/>
        <v>0</v>
      </c>
      <c r="RC1326" s="97">
        <f t="shared" si="1593"/>
        <v>0</v>
      </c>
      <c r="RD1326" s="97">
        <f t="shared" si="1593"/>
        <v>0</v>
      </c>
      <c r="RE1326" s="97">
        <f t="shared" si="1593"/>
        <v>0</v>
      </c>
      <c r="RF1326" s="102"/>
      <c r="RG1326" s="102"/>
      <c r="RH1326" s="102"/>
      <c r="RI1326" s="97">
        <f t="shared" si="1594"/>
        <v>0</v>
      </c>
      <c r="RJ1326" s="97">
        <f t="shared" si="1595"/>
        <v>0</v>
      </c>
      <c r="RK1326" s="97">
        <f t="shared" si="1596"/>
        <v>0</v>
      </c>
      <c r="RL1326" s="97">
        <f t="shared" si="1597"/>
        <v>0</v>
      </c>
      <c r="RM1326" s="97">
        <f t="shared" si="1598"/>
        <v>0</v>
      </c>
      <c r="RN1326" s="97">
        <f t="shared" si="1599"/>
        <v>0</v>
      </c>
      <c r="RO1326" s="97">
        <f t="shared" si="1809"/>
        <v>4337.0600000000004</v>
      </c>
      <c r="RP1326" s="97">
        <f t="shared" si="1810"/>
        <v>4476.84</v>
      </c>
      <c r="RQ1326" s="97">
        <f t="shared" si="1811"/>
        <v>4645.17</v>
      </c>
      <c r="RR1326" s="97">
        <f t="shared" si="1812"/>
        <v>405.38</v>
      </c>
      <c r="RS1326" s="97">
        <f t="shared" si="1813"/>
        <v>412.7</v>
      </c>
      <c r="RT1326" s="97">
        <f t="shared" si="1814"/>
        <v>415.1</v>
      </c>
      <c r="RU1326" s="97">
        <f t="shared" si="1600"/>
        <v>0</v>
      </c>
      <c r="RV1326" s="97">
        <f t="shared" si="1600"/>
        <v>0</v>
      </c>
      <c r="RW1326" s="97">
        <f t="shared" si="1600"/>
        <v>0</v>
      </c>
      <c r="RX1326" s="97">
        <f t="shared" si="1601"/>
        <v>0</v>
      </c>
      <c r="RY1326" s="97">
        <f t="shared" si="1601"/>
        <v>0</v>
      </c>
      <c r="RZ1326" s="97">
        <f t="shared" si="1601"/>
        <v>0</v>
      </c>
      <c r="SA1326" s="102"/>
      <c r="SB1326" s="102"/>
      <c r="SC1326" s="102"/>
      <c r="SD1326" s="97">
        <f t="shared" si="1602"/>
        <v>0</v>
      </c>
      <c r="SE1326" s="97">
        <f t="shared" si="1603"/>
        <v>0</v>
      </c>
      <c r="SF1326" s="97">
        <f t="shared" si="1604"/>
        <v>0</v>
      </c>
      <c r="SG1326" s="97">
        <f t="shared" si="1605"/>
        <v>0</v>
      </c>
      <c r="SH1326" s="97">
        <f t="shared" si="1606"/>
        <v>0</v>
      </c>
      <c r="SI1326" s="97">
        <f t="shared" si="1607"/>
        <v>0</v>
      </c>
      <c r="SJ1326" s="97">
        <f t="shared" si="1815"/>
        <v>4557.04</v>
      </c>
      <c r="SK1326" s="97">
        <f t="shared" si="1816"/>
        <v>4698.68</v>
      </c>
      <c r="SL1326" s="97">
        <f t="shared" si="1817"/>
        <v>4873.33</v>
      </c>
      <c r="SM1326" s="97">
        <f t="shared" si="1818"/>
        <v>567.54999999999995</v>
      </c>
      <c r="SN1326" s="97">
        <f t="shared" si="1819"/>
        <v>585.64</v>
      </c>
      <c r="SO1326" s="97">
        <f t="shared" si="1820"/>
        <v>587.23</v>
      </c>
      <c r="SP1326" s="97">
        <f t="shared" si="1608"/>
        <v>0</v>
      </c>
      <c r="SQ1326" s="97">
        <f t="shared" si="1608"/>
        <v>0</v>
      </c>
      <c r="SR1326" s="97">
        <f t="shared" si="1608"/>
        <v>0</v>
      </c>
      <c r="SS1326" s="97">
        <f t="shared" si="1609"/>
        <v>0</v>
      </c>
      <c r="ST1326" s="97">
        <f t="shared" si="1609"/>
        <v>0</v>
      </c>
      <c r="SU1326" s="97">
        <f t="shared" si="1609"/>
        <v>0</v>
      </c>
      <c r="SV1326" s="102"/>
      <c r="SW1326" s="102"/>
      <c r="SX1326" s="102"/>
      <c r="SY1326" s="97">
        <f t="shared" si="1610"/>
        <v>0</v>
      </c>
      <c r="SZ1326" s="97">
        <f t="shared" si="1611"/>
        <v>0</v>
      </c>
      <c r="TA1326" s="97">
        <f t="shared" si="1612"/>
        <v>0</v>
      </c>
      <c r="TB1326" s="97">
        <f t="shared" si="1613"/>
        <v>0</v>
      </c>
      <c r="TC1326" s="97">
        <f t="shared" si="1614"/>
        <v>0</v>
      </c>
      <c r="TD1326" s="97">
        <f t="shared" si="1615"/>
        <v>0</v>
      </c>
      <c r="TE1326" s="97">
        <f t="shared" si="1821"/>
        <v>4073.36</v>
      </c>
      <c r="TF1326" s="97">
        <f t="shared" si="1822"/>
        <v>4204.76</v>
      </c>
      <c r="TG1326" s="97">
        <f t="shared" si="1823"/>
        <v>4362.1000000000004</v>
      </c>
      <c r="TH1326" s="97">
        <f t="shared" si="1824"/>
        <v>432.21</v>
      </c>
      <c r="TI1326" s="97">
        <f t="shared" si="1825"/>
        <v>443.69</v>
      </c>
      <c r="TJ1326" s="97">
        <f t="shared" si="1826"/>
        <v>442.41</v>
      </c>
      <c r="TK1326" s="97">
        <f t="shared" si="1616"/>
        <v>0</v>
      </c>
      <c r="TL1326" s="97">
        <f t="shared" si="1616"/>
        <v>0</v>
      </c>
      <c r="TM1326" s="97">
        <f t="shared" si="1616"/>
        <v>0</v>
      </c>
      <c r="TN1326" s="97">
        <f t="shared" si="1617"/>
        <v>0</v>
      </c>
      <c r="TO1326" s="97">
        <f t="shared" si="1617"/>
        <v>0</v>
      </c>
      <c r="TP1326" s="97">
        <f t="shared" si="1617"/>
        <v>0</v>
      </c>
      <c r="TQ1326" s="102"/>
      <c r="TR1326" s="102"/>
      <c r="TS1326" s="102"/>
      <c r="TT1326" s="97">
        <f t="shared" si="1618"/>
        <v>0</v>
      </c>
      <c r="TU1326" s="97">
        <f t="shared" si="1619"/>
        <v>0</v>
      </c>
      <c r="TV1326" s="97">
        <f t="shared" si="1620"/>
        <v>0</v>
      </c>
      <c r="TW1326" s="97">
        <f t="shared" si="1621"/>
        <v>0</v>
      </c>
      <c r="TX1326" s="97">
        <f t="shared" si="1622"/>
        <v>0</v>
      </c>
      <c r="TY1326" s="97">
        <f t="shared" si="1623"/>
        <v>0</v>
      </c>
      <c r="TZ1326" s="97">
        <f t="shared" si="1827"/>
        <v>4363.6400000000003</v>
      </c>
      <c r="UA1326" s="97">
        <f t="shared" si="1828"/>
        <v>4501.12</v>
      </c>
      <c r="UB1326" s="97">
        <f t="shared" si="1829"/>
        <v>4669.8599999999997</v>
      </c>
      <c r="UC1326" s="97">
        <f t="shared" si="1830"/>
        <v>394.98</v>
      </c>
      <c r="UD1326" s="97">
        <f t="shared" si="1831"/>
        <v>417.39</v>
      </c>
      <c r="UE1326" s="97">
        <f t="shared" si="1832"/>
        <v>418.67</v>
      </c>
      <c r="UF1326" s="97">
        <f t="shared" si="1624"/>
        <v>0</v>
      </c>
      <c r="UG1326" s="97">
        <f t="shared" si="1624"/>
        <v>0</v>
      </c>
      <c r="UH1326" s="97">
        <f t="shared" si="1624"/>
        <v>0</v>
      </c>
      <c r="UI1326" s="97">
        <f t="shared" si="1625"/>
        <v>0</v>
      </c>
      <c r="UJ1326" s="97">
        <f t="shared" si="1625"/>
        <v>0</v>
      </c>
      <c r="UK1326" s="97">
        <f t="shared" si="1625"/>
        <v>0</v>
      </c>
      <c r="UL1326" s="102"/>
      <c r="UM1326" s="102"/>
      <c r="UN1326" s="102"/>
      <c r="UO1326" s="97">
        <f t="shared" si="1626"/>
        <v>0</v>
      </c>
      <c r="UP1326" s="97">
        <f t="shared" si="1627"/>
        <v>0</v>
      </c>
      <c r="UQ1326" s="97">
        <f t="shared" si="1628"/>
        <v>0</v>
      </c>
      <c r="UR1326" s="97">
        <f t="shared" si="1629"/>
        <v>0</v>
      </c>
      <c r="US1326" s="97">
        <f t="shared" si="1630"/>
        <v>0</v>
      </c>
      <c r="UT1326" s="97">
        <f t="shared" si="1631"/>
        <v>0</v>
      </c>
      <c r="UU1326" s="97">
        <f t="shared" si="1833"/>
        <v>4036.82</v>
      </c>
      <c r="UV1326" s="97">
        <f t="shared" si="1834"/>
        <v>4171.07</v>
      </c>
      <c r="UW1326" s="97">
        <f t="shared" si="1835"/>
        <v>4328.49</v>
      </c>
      <c r="UX1326" s="97">
        <f t="shared" si="1836"/>
        <v>307.89</v>
      </c>
      <c r="UY1326" s="97">
        <f t="shared" si="1837"/>
        <v>323.83999999999997</v>
      </c>
      <c r="UZ1326" s="97">
        <f t="shared" si="1838"/>
        <v>326.26</v>
      </c>
      <c r="VA1326" s="97">
        <f t="shared" si="1632"/>
        <v>0</v>
      </c>
      <c r="VB1326" s="97">
        <f t="shared" si="1632"/>
        <v>0</v>
      </c>
      <c r="VC1326" s="97">
        <f t="shared" si="1632"/>
        <v>0</v>
      </c>
      <c r="VD1326" s="97">
        <f t="shared" si="1633"/>
        <v>0</v>
      </c>
      <c r="VE1326" s="97">
        <f t="shared" si="1633"/>
        <v>0</v>
      </c>
      <c r="VF1326" s="97">
        <f t="shared" si="1633"/>
        <v>0</v>
      </c>
      <c r="VG1326" s="102"/>
      <c r="VH1326" s="102"/>
      <c r="VI1326" s="102"/>
      <c r="VJ1326" s="97">
        <f t="shared" si="1634"/>
        <v>0</v>
      </c>
      <c r="VK1326" s="97">
        <f t="shared" si="1635"/>
        <v>0</v>
      </c>
      <c r="VL1326" s="97">
        <f t="shared" si="1636"/>
        <v>0</v>
      </c>
      <c r="VM1326" s="97">
        <f t="shared" si="1637"/>
        <v>0</v>
      </c>
      <c r="VN1326" s="97">
        <f t="shared" si="1638"/>
        <v>0</v>
      </c>
      <c r="VO1326" s="97">
        <f t="shared" si="1639"/>
        <v>0</v>
      </c>
      <c r="VP1326" s="97">
        <f t="shared" si="1839"/>
        <v>4118.01</v>
      </c>
      <c r="VQ1326" s="97">
        <f t="shared" si="1840"/>
        <v>4251.42</v>
      </c>
      <c r="VR1326" s="97">
        <f t="shared" si="1841"/>
        <v>4411.59</v>
      </c>
      <c r="VS1326" s="97">
        <f t="shared" si="1842"/>
        <v>331.4</v>
      </c>
      <c r="VT1326" s="97">
        <f t="shared" si="1843"/>
        <v>341.47</v>
      </c>
      <c r="VU1326" s="97">
        <f t="shared" si="1844"/>
        <v>343.85</v>
      </c>
      <c r="VV1326" s="97">
        <f t="shared" si="1640"/>
        <v>0</v>
      </c>
      <c r="VW1326" s="97">
        <f t="shared" si="1640"/>
        <v>0</v>
      </c>
      <c r="VX1326" s="97">
        <f t="shared" si="1640"/>
        <v>0</v>
      </c>
      <c r="VY1326" s="97">
        <f t="shared" si="1641"/>
        <v>0</v>
      </c>
      <c r="VZ1326" s="97">
        <f t="shared" si="1641"/>
        <v>0</v>
      </c>
      <c r="WA1326" s="97">
        <f t="shared" si="1641"/>
        <v>0</v>
      </c>
      <c r="WB1326" s="102"/>
      <c r="WC1326" s="102"/>
      <c r="WD1326" s="102"/>
      <c r="WE1326" s="97">
        <f t="shared" si="1642"/>
        <v>0</v>
      </c>
      <c r="WF1326" s="97">
        <f t="shared" si="1643"/>
        <v>0</v>
      </c>
      <c r="WG1326" s="97">
        <f t="shared" si="1644"/>
        <v>0</v>
      </c>
      <c r="WH1326" s="97">
        <f t="shared" si="1645"/>
        <v>0</v>
      </c>
      <c r="WI1326" s="97">
        <f t="shared" si="1646"/>
        <v>0</v>
      </c>
      <c r="WJ1326" s="97">
        <f t="shared" si="1647"/>
        <v>0</v>
      </c>
      <c r="WK1326" s="97">
        <f t="shared" si="1845"/>
        <v>3804.43</v>
      </c>
      <c r="WL1326" s="97">
        <f t="shared" si="1846"/>
        <v>3932.09</v>
      </c>
      <c r="WM1326" s="97">
        <f t="shared" si="1847"/>
        <v>4080.29</v>
      </c>
      <c r="WN1326" s="97">
        <f t="shared" si="1848"/>
        <v>355.89</v>
      </c>
      <c r="WO1326" s="97">
        <f t="shared" si="1849"/>
        <v>375.68</v>
      </c>
      <c r="WP1326" s="97">
        <f t="shared" si="1850"/>
        <v>378.63</v>
      </c>
      <c r="WQ1326" s="97">
        <f t="shared" si="1648"/>
        <v>0</v>
      </c>
      <c r="WR1326" s="97">
        <f t="shared" si="1648"/>
        <v>0</v>
      </c>
      <c r="WS1326" s="97">
        <f t="shared" si="1648"/>
        <v>0</v>
      </c>
      <c r="WT1326" s="97">
        <f t="shared" si="1649"/>
        <v>0</v>
      </c>
      <c r="WU1326" s="97">
        <f t="shared" si="1649"/>
        <v>0</v>
      </c>
      <c r="WV1326" s="97">
        <f t="shared" si="1649"/>
        <v>0</v>
      </c>
      <c r="WW1326" s="102"/>
      <c r="WX1326" s="102"/>
      <c r="WY1326" s="102"/>
      <c r="WZ1326" s="97">
        <f t="shared" si="1650"/>
        <v>0</v>
      </c>
      <c r="XA1326" s="97">
        <f t="shared" si="1651"/>
        <v>0</v>
      </c>
      <c r="XB1326" s="97">
        <f t="shared" si="1652"/>
        <v>0</v>
      </c>
      <c r="XC1326" s="97">
        <f t="shared" si="1653"/>
        <v>0</v>
      </c>
      <c r="XD1326" s="97">
        <f t="shared" si="1654"/>
        <v>0</v>
      </c>
      <c r="XE1326" s="97">
        <f t="shared" si="1655"/>
        <v>0</v>
      </c>
      <c r="XF1326" s="97">
        <f t="shared" si="1851"/>
        <v>3737.47</v>
      </c>
      <c r="XG1326" s="97">
        <f t="shared" si="1852"/>
        <v>3860.29</v>
      </c>
      <c r="XH1326" s="97">
        <f t="shared" si="1853"/>
        <v>4004.99</v>
      </c>
      <c r="XI1326" s="97">
        <f t="shared" si="1854"/>
        <v>286.64999999999998</v>
      </c>
      <c r="XJ1326" s="97">
        <f t="shared" si="1855"/>
        <v>303.69</v>
      </c>
      <c r="XK1326" s="97">
        <f t="shared" si="1856"/>
        <v>304.99</v>
      </c>
      <c r="XL1326" s="97">
        <f t="shared" si="1656"/>
        <v>0</v>
      </c>
      <c r="XM1326" s="97">
        <f t="shared" si="1656"/>
        <v>0</v>
      </c>
      <c r="XN1326" s="97">
        <f t="shared" si="1656"/>
        <v>0</v>
      </c>
      <c r="XO1326" s="97">
        <f t="shared" si="1657"/>
        <v>0</v>
      </c>
      <c r="XP1326" s="97">
        <f t="shared" si="1657"/>
        <v>0</v>
      </c>
      <c r="XQ1326" s="97">
        <f t="shared" si="1657"/>
        <v>0</v>
      </c>
      <c r="XR1326" s="102"/>
      <c r="XS1326" s="102"/>
      <c r="XT1326" s="102"/>
      <c r="XU1326" s="97">
        <f t="shared" si="1658"/>
        <v>0</v>
      </c>
      <c r="XV1326" s="97">
        <f t="shared" si="1659"/>
        <v>0</v>
      </c>
      <c r="XW1326" s="97">
        <f t="shared" si="1660"/>
        <v>0</v>
      </c>
      <c r="XX1326" s="97">
        <f t="shared" si="1661"/>
        <v>0</v>
      </c>
      <c r="XY1326" s="97">
        <f t="shared" si="1662"/>
        <v>0</v>
      </c>
      <c r="XZ1326" s="97">
        <f t="shared" si="1663"/>
        <v>0</v>
      </c>
      <c r="YA1326" s="97">
        <f t="shared" si="1857"/>
        <v>3945.16</v>
      </c>
      <c r="YB1326" s="97">
        <f t="shared" si="1858"/>
        <v>4078.12</v>
      </c>
      <c r="YC1326" s="97">
        <f t="shared" si="1859"/>
        <v>4232.91</v>
      </c>
      <c r="YD1326" s="97">
        <f t="shared" si="1860"/>
        <v>1253.5899999999999</v>
      </c>
      <c r="YE1326" s="97">
        <f t="shared" si="1861"/>
        <v>1484.12</v>
      </c>
      <c r="YF1326" s="97">
        <f t="shared" si="1862"/>
        <v>1493.98</v>
      </c>
      <c r="YG1326" s="97">
        <f t="shared" si="1664"/>
        <v>0</v>
      </c>
      <c r="YH1326" s="97">
        <f t="shared" si="1664"/>
        <v>0</v>
      </c>
      <c r="YI1326" s="97">
        <f t="shared" si="1664"/>
        <v>0</v>
      </c>
      <c r="YJ1326" s="97">
        <f t="shared" si="1665"/>
        <v>0</v>
      </c>
      <c r="YK1326" s="97">
        <f t="shared" si="1665"/>
        <v>0</v>
      </c>
      <c r="YL1326" s="97">
        <f t="shared" si="1665"/>
        <v>0</v>
      </c>
      <c r="YM1326" s="145">
        <f t="shared" si="1666"/>
        <v>0</v>
      </c>
      <c r="YN1326" s="145">
        <f t="shared" si="1666"/>
        <v>0</v>
      </c>
      <c r="YO1326" s="145">
        <f t="shared" si="1666"/>
        <v>0</v>
      </c>
      <c r="YP1326" s="97">
        <f t="shared" si="1667"/>
        <v>0</v>
      </c>
      <c r="YQ1326" s="97">
        <f t="shared" si="1668"/>
        <v>0</v>
      </c>
      <c r="YR1326" s="97">
        <f t="shared" si="1669"/>
        <v>0</v>
      </c>
      <c r="YS1326" s="97">
        <f t="shared" si="1670"/>
        <v>0</v>
      </c>
      <c r="YT1326" s="97">
        <f t="shared" si="1671"/>
        <v>0</v>
      </c>
      <c r="YU1326" s="97">
        <f t="shared" si="1672"/>
        <v>0</v>
      </c>
      <c r="YV1326" s="97">
        <f t="shared" si="1863"/>
        <v>4158.03</v>
      </c>
      <c r="YW1326" s="97">
        <f t="shared" si="1864"/>
        <v>4292.42</v>
      </c>
      <c r="YX1326" s="97">
        <f t="shared" si="1865"/>
        <v>4453.2</v>
      </c>
      <c r="YY1326" s="97">
        <f t="shared" si="1866"/>
        <v>403.25</v>
      </c>
      <c r="YZ1326" s="97">
        <f t="shared" si="1867"/>
        <v>423.79</v>
      </c>
      <c r="ZA1326" s="97">
        <f t="shared" si="1868"/>
        <v>424.61</v>
      </c>
      <c r="ZB1326" s="97">
        <f t="shared" si="1673"/>
        <v>0</v>
      </c>
      <c r="ZC1326" s="97">
        <f t="shared" si="1673"/>
        <v>0</v>
      </c>
      <c r="ZD1326" s="97">
        <f t="shared" si="1673"/>
        <v>0</v>
      </c>
      <c r="ZE1326" s="97">
        <f t="shared" si="1674"/>
        <v>0</v>
      </c>
      <c r="ZF1326" s="97">
        <f t="shared" si="1674"/>
        <v>0</v>
      </c>
      <c r="ZG1326" s="97">
        <f t="shared" si="1674"/>
        <v>0</v>
      </c>
    </row>
    <row r="1327" spans="1:683" s="158" customFormat="1" ht="41.25" customHeight="1" x14ac:dyDescent="0.25">
      <c r="A1327" s="184" t="s">
        <v>603</v>
      </c>
      <c r="B1327" s="331"/>
    </row>
    <row r="1328" spans="1:683" x14ac:dyDescent="0.25">
      <c r="A1328" s="347" t="s">
        <v>596</v>
      </c>
      <c r="B1328" s="106"/>
      <c r="C1328" s="113" t="s">
        <v>591</v>
      </c>
      <c r="D1328" s="1279"/>
      <c r="E1328" s="1280"/>
      <c r="F1328" s="185" t="s">
        <v>699</v>
      </c>
      <c r="G1328" s="185" t="s">
        <v>699</v>
      </c>
      <c r="H1328" s="185" t="s">
        <v>699</v>
      </c>
      <c r="I1328" s="185" t="s">
        <v>699</v>
      </c>
      <c r="J1328" s="185" t="s">
        <v>699</v>
      </c>
      <c r="K1328" s="185" t="s">
        <v>699</v>
      </c>
      <c r="L1328" s="129">
        <f t="shared" ref="L1328:N1328" si="1869">SUM(L1329:L1336)</f>
        <v>326</v>
      </c>
      <c r="M1328" s="129">
        <f t="shared" si="1869"/>
        <v>326</v>
      </c>
      <c r="N1328" s="129">
        <f t="shared" si="1869"/>
        <v>326</v>
      </c>
      <c r="O1328" s="129">
        <f t="shared" ref="O1328:T1328" si="1870">SUM(O1329:O1336)</f>
        <v>38207355</v>
      </c>
      <c r="P1328" s="129">
        <f t="shared" si="1870"/>
        <v>39089958</v>
      </c>
      <c r="Q1328" s="129">
        <f t="shared" si="1870"/>
        <v>39674358</v>
      </c>
      <c r="R1328" s="129">
        <f t="shared" si="1870"/>
        <v>2238631.4900000002</v>
      </c>
      <c r="S1328" s="129">
        <f t="shared" si="1870"/>
        <v>2283742.0499999998</v>
      </c>
      <c r="T1328" s="129">
        <f t="shared" si="1870"/>
        <v>2316549.73</v>
      </c>
      <c r="U1328" s="185" t="s">
        <v>699</v>
      </c>
      <c r="V1328" s="185" t="s">
        <v>699</v>
      </c>
      <c r="W1328" s="185" t="s">
        <v>699</v>
      </c>
      <c r="X1328" s="185" t="s">
        <v>699</v>
      </c>
      <c r="Y1328" s="185" t="s">
        <v>699</v>
      </c>
      <c r="Z1328" s="185" t="s">
        <v>699</v>
      </c>
      <c r="AA1328" s="129">
        <f t="shared" ref="AA1328:AO1328" si="1871">SUM(AA1329:AA1336)</f>
        <v>16486678.65</v>
      </c>
      <c r="AB1328" s="129">
        <f t="shared" si="1871"/>
        <v>17417503.940000001</v>
      </c>
      <c r="AC1328" s="129">
        <f t="shared" si="1871"/>
        <v>18344846.57</v>
      </c>
      <c r="AD1328" s="129">
        <f t="shared" si="1871"/>
        <v>1755380.55</v>
      </c>
      <c r="AE1328" s="129">
        <f t="shared" si="1871"/>
        <v>1809198.19</v>
      </c>
      <c r="AF1328" s="129">
        <f t="shared" si="1871"/>
        <v>1830005.18</v>
      </c>
      <c r="AG1328" s="129">
        <f t="shared" si="1871"/>
        <v>526</v>
      </c>
      <c r="AH1328" s="129">
        <f t="shared" si="1871"/>
        <v>526</v>
      </c>
      <c r="AI1328" s="129">
        <f t="shared" si="1871"/>
        <v>526</v>
      </c>
      <c r="AJ1328" s="129">
        <f t="shared" si="1871"/>
        <v>59794689</v>
      </c>
      <c r="AK1328" s="129">
        <f t="shared" si="1871"/>
        <v>61211522</v>
      </c>
      <c r="AL1328" s="129">
        <f t="shared" si="1871"/>
        <v>62134254</v>
      </c>
      <c r="AM1328" s="129">
        <f t="shared" si="1871"/>
        <v>3491244.23</v>
      </c>
      <c r="AN1328" s="129">
        <f t="shared" si="1871"/>
        <v>3559359.75</v>
      </c>
      <c r="AO1328" s="129">
        <f t="shared" si="1871"/>
        <v>3608898.31</v>
      </c>
      <c r="AP1328" s="185" t="s">
        <v>699</v>
      </c>
      <c r="AQ1328" s="185" t="s">
        <v>699</v>
      </c>
      <c r="AR1328" s="185" t="s">
        <v>699</v>
      </c>
      <c r="AS1328" s="185" t="s">
        <v>699</v>
      </c>
      <c r="AT1328" s="185" t="s">
        <v>699</v>
      </c>
      <c r="AU1328" s="185" t="s">
        <v>699</v>
      </c>
      <c r="AV1328" s="129">
        <f t="shared" ref="AV1328:BJ1328" si="1872">SUM(AV1329:AV1336)</f>
        <v>23736400.530000001</v>
      </c>
      <c r="AW1328" s="129">
        <f t="shared" si="1872"/>
        <v>25087110.170000002</v>
      </c>
      <c r="AX1328" s="129">
        <f t="shared" si="1872"/>
        <v>26421831.399999999</v>
      </c>
      <c r="AY1328" s="129">
        <f t="shared" si="1872"/>
        <v>2182931.08</v>
      </c>
      <c r="AZ1328" s="129">
        <f t="shared" si="1872"/>
        <v>2282548.1800000002</v>
      </c>
      <c r="BA1328" s="129">
        <f t="shared" si="1872"/>
        <v>2325878.9700000002</v>
      </c>
      <c r="BB1328" s="129">
        <f t="shared" si="1872"/>
        <v>413</v>
      </c>
      <c r="BC1328" s="129">
        <f t="shared" si="1872"/>
        <v>413</v>
      </c>
      <c r="BD1328" s="129">
        <f t="shared" si="1872"/>
        <v>413</v>
      </c>
      <c r="BE1328" s="129">
        <f t="shared" si="1872"/>
        <v>45724338</v>
      </c>
      <c r="BF1328" s="129">
        <f t="shared" si="1872"/>
        <v>46764639</v>
      </c>
      <c r="BG1328" s="129">
        <f t="shared" si="1872"/>
        <v>47455335</v>
      </c>
      <c r="BH1328" s="129">
        <f t="shared" si="1872"/>
        <v>2745785.75</v>
      </c>
      <c r="BI1328" s="129">
        <f t="shared" si="1872"/>
        <v>2799444.63</v>
      </c>
      <c r="BJ1328" s="129">
        <f t="shared" si="1872"/>
        <v>2838469.27</v>
      </c>
      <c r="BK1328" s="185" t="s">
        <v>699</v>
      </c>
      <c r="BL1328" s="185" t="s">
        <v>699</v>
      </c>
      <c r="BM1328" s="185" t="s">
        <v>699</v>
      </c>
      <c r="BN1328" s="185" t="s">
        <v>699</v>
      </c>
      <c r="BO1328" s="185" t="s">
        <v>699</v>
      </c>
      <c r="BP1328" s="185" t="s">
        <v>699</v>
      </c>
      <c r="BQ1328" s="129">
        <f t="shared" ref="BQ1328:CE1328" si="1873">SUM(BQ1329:BQ1336)</f>
        <v>17122305.760000002</v>
      </c>
      <c r="BR1328" s="129">
        <f t="shared" si="1873"/>
        <v>18044012.559999999</v>
      </c>
      <c r="BS1328" s="129">
        <f t="shared" si="1873"/>
        <v>18977705.93</v>
      </c>
      <c r="BT1328" s="129">
        <f t="shared" si="1873"/>
        <v>1833950.29</v>
      </c>
      <c r="BU1328" s="129">
        <f t="shared" si="1873"/>
        <v>1917712.67</v>
      </c>
      <c r="BV1328" s="129">
        <f t="shared" si="1873"/>
        <v>1950535.53</v>
      </c>
      <c r="BW1328" s="129">
        <f t="shared" si="1873"/>
        <v>313</v>
      </c>
      <c r="BX1328" s="129">
        <f t="shared" si="1873"/>
        <v>313</v>
      </c>
      <c r="BY1328" s="129">
        <f t="shared" si="1873"/>
        <v>313</v>
      </c>
      <c r="BZ1328" s="129">
        <f t="shared" si="1873"/>
        <v>35775351</v>
      </c>
      <c r="CA1328" s="129">
        <f t="shared" si="1873"/>
        <v>36629883</v>
      </c>
      <c r="CB1328" s="129">
        <f t="shared" si="1873"/>
        <v>37184319</v>
      </c>
      <c r="CC1328" s="129">
        <f t="shared" si="1873"/>
        <v>2076766.48</v>
      </c>
      <c r="CD1328" s="129">
        <f t="shared" si="1873"/>
        <v>2117271.12</v>
      </c>
      <c r="CE1328" s="129">
        <f t="shared" si="1873"/>
        <v>2146729.04</v>
      </c>
      <c r="CF1328" s="185" t="s">
        <v>699</v>
      </c>
      <c r="CG1328" s="185" t="s">
        <v>699</v>
      </c>
      <c r="CH1328" s="185" t="s">
        <v>699</v>
      </c>
      <c r="CI1328" s="185" t="s">
        <v>699</v>
      </c>
      <c r="CJ1328" s="185" t="s">
        <v>699</v>
      </c>
      <c r="CK1328" s="185" t="s">
        <v>699</v>
      </c>
      <c r="CL1328" s="129">
        <f t="shared" ref="CL1328:CZ1328" si="1874">SUM(CL1329:CL1336)</f>
        <v>13835179.5</v>
      </c>
      <c r="CM1328" s="129">
        <f t="shared" si="1874"/>
        <v>14636180.359999999</v>
      </c>
      <c r="CN1328" s="129">
        <f t="shared" si="1874"/>
        <v>15416772.640000001</v>
      </c>
      <c r="CO1328" s="129">
        <f t="shared" si="1874"/>
        <v>2138387.41</v>
      </c>
      <c r="CP1328" s="129">
        <f t="shared" si="1874"/>
        <v>2191410.77</v>
      </c>
      <c r="CQ1328" s="129">
        <f t="shared" si="1874"/>
        <v>2211160.54</v>
      </c>
      <c r="CR1328" s="129">
        <f t="shared" si="1874"/>
        <v>455</v>
      </c>
      <c r="CS1328" s="129">
        <f t="shared" si="1874"/>
        <v>455</v>
      </c>
      <c r="CT1328" s="129">
        <f t="shared" si="1874"/>
        <v>455</v>
      </c>
      <c r="CU1328" s="129">
        <f t="shared" si="1874"/>
        <v>56061972</v>
      </c>
      <c r="CV1328" s="129">
        <f t="shared" si="1874"/>
        <v>57442840</v>
      </c>
      <c r="CW1328" s="129">
        <f t="shared" si="1874"/>
        <v>58330471</v>
      </c>
      <c r="CX1328" s="129">
        <f t="shared" si="1874"/>
        <v>3129223.24</v>
      </c>
      <c r="CY1328" s="129">
        <f t="shared" si="1874"/>
        <v>3192367.2</v>
      </c>
      <c r="CZ1328" s="129">
        <f t="shared" si="1874"/>
        <v>3238290.08</v>
      </c>
      <c r="DA1328" s="185" t="s">
        <v>699</v>
      </c>
      <c r="DB1328" s="185" t="s">
        <v>699</v>
      </c>
      <c r="DC1328" s="185" t="s">
        <v>699</v>
      </c>
      <c r="DD1328" s="185" t="s">
        <v>699</v>
      </c>
      <c r="DE1328" s="185" t="s">
        <v>699</v>
      </c>
      <c r="DF1328" s="185" t="s">
        <v>699</v>
      </c>
      <c r="DG1328" s="129">
        <f t="shared" ref="DG1328:DU1328" si="1875">SUM(DG1329:DG1336)</f>
        <v>21847446.98</v>
      </c>
      <c r="DH1328" s="129">
        <f t="shared" si="1875"/>
        <v>23109267.82</v>
      </c>
      <c r="DI1328" s="129">
        <f t="shared" si="1875"/>
        <v>24347911.02</v>
      </c>
      <c r="DJ1328" s="129">
        <f t="shared" si="1875"/>
        <v>1559924.83</v>
      </c>
      <c r="DK1328" s="129">
        <f t="shared" si="1875"/>
        <v>1607505.62</v>
      </c>
      <c r="DL1328" s="129">
        <f t="shared" si="1875"/>
        <v>1627761.29</v>
      </c>
      <c r="DM1328" s="129">
        <f t="shared" si="1875"/>
        <v>359</v>
      </c>
      <c r="DN1328" s="129">
        <f t="shared" si="1875"/>
        <v>359</v>
      </c>
      <c r="DO1328" s="129">
        <f t="shared" si="1875"/>
        <v>359</v>
      </c>
      <c r="DP1328" s="129">
        <f t="shared" si="1875"/>
        <v>39863988</v>
      </c>
      <c r="DQ1328" s="129">
        <f t="shared" si="1875"/>
        <v>40775229</v>
      </c>
      <c r="DR1328" s="129">
        <f t="shared" si="1875"/>
        <v>41378877</v>
      </c>
      <c r="DS1328" s="129">
        <f t="shared" si="1875"/>
        <v>2386332.59</v>
      </c>
      <c r="DT1328" s="129">
        <f t="shared" si="1875"/>
        <v>2432958.5099999998</v>
      </c>
      <c r="DU1328" s="129">
        <f t="shared" si="1875"/>
        <v>2466868.27</v>
      </c>
      <c r="DV1328" s="185" t="s">
        <v>699</v>
      </c>
      <c r="DW1328" s="185" t="s">
        <v>699</v>
      </c>
      <c r="DX1328" s="185" t="s">
        <v>699</v>
      </c>
      <c r="DY1328" s="185" t="s">
        <v>699</v>
      </c>
      <c r="DZ1328" s="185" t="s">
        <v>699</v>
      </c>
      <c r="EA1328" s="185" t="s">
        <v>699</v>
      </c>
      <c r="EB1328" s="129">
        <f t="shared" ref="EB1328:EP1328" si="1876">SUM(EB1329:EB1336)</f>
        <v>16868368.050000001</v>
      </c>
      <c r="EC1328" s="129">
        <f t="shared" si="1876"/>
        <v>17839419.140000001</v>
      </c>
      <c r="ED1328" s="129">
        <f t="shared" si="1876"/>
        <v>18792674.09</v>
      </c>
      <c r="EE1328" s="129">
        <f t="shared" si="1876"/>
        <v>2491658.25</v>
      </c>
      <c r="EF1328" s="129">
        <f t="shared" si="1876"/>
        <v>2467853.4300000002</v>
      </c>
      <c r="EG1328" s="129">
        <f t="shared" si="1876"/>
        <v>2495406.73</v>
      </c>
      <c r="EH1328" s="129">
        <f t="shared" si="1876"/>
        <v>308</v>
      </c>
      <c r="EI1328" s="129">
        <f t="shared" si="1876"/>
        <v>308</v>
      </c>
      <c r="EJ1328" s="129">
        <f t="shared" si="1876"/>
        <v>308</v>
      </c>
      <c r="EK1328" s="129">
        <f t="shared" si="1876"/>
        <v>36136239</v>
      </c>
      <c r="EL1328" s="129">
        <f t="shared" si="1876"/>
        <v>37032052</v>
      </c>
      <c r="EM1328" s="129">
        <f t="shared" si="1876"/>
        <v>37603368</v>
      </c>
      <c r="EN1328" s="129">
        <f t="shared" si="1876"/>
        <v>2040118.51</v>
      </c>
      <c r="EO1328" s="129">
        <f t="shared" si="1876"/>
        <v>2079841.71</v>
      </c>
      <c r="EP1328" s="129">
        <f t="shared" si="1876"/>
        <v>2108731.31</v>
      </c>
      <c r="EQ1328" s="185" t="s">
        <v>699</v>
      </c>
      <c r="ER1328" s="185" t="s">
        <v>699</v>
      </c>
      <c r="ES1328" s="185" t="s">
        <v>699</v>
      </c>
      <c r="ET1328" s="185" t="s">
        <v>699</v>
      </c>
      <c r="EU1328" s="185" t="s">
        <v>699</v>
      </c>
      <c r="EV1328" s="185" t="s">
        <v>699</v>
      </c>
      <c r="EW1328" s="129">
        <f t="shared" ref="EW1328:FK1328" si="1877">SUM(EW1329:EW1336)</f>
        <v>15114544.15</v>
      </c>
      <c r="EX1328" s="129">
        <f t="shared" si="1877"/>
        <v>15965363.43</v>
      </c>
      <c r="EY1328" s="129">
        <f t="shared" si="1877"/>
        <v>16812876.199999999</v>
      </c>
      <c r="EZ1328" s="129">
        <f t="shared" si="1877"/>
        <v>1788366.99</v>
      </c>
      <c r="FA1328" s="129">
        <f t="shared" si="1877"/>
        <v>1866834.12</v>
      </c>
      <c r="FB1328" s="129">
        <f t="shared" si="1877"/>
        <v>1900677.37</v>
      </c>
      <c r="FC1328" s="129">
        <f t="shared" si="1877"/>
        <v>405</v>
      </c>
      <c r="FD1328" s="129">
        <f t="shared" si="1877"/>
        <v>405</v>
      </c>
      <c r="FE1328" s="129">
        <f t="shared" si="1877"/>
        <v>405</v>
      </c>
      <c r="FF1328" s="129">
        <f t="shared" si="1877"/>
        <v>44872350</v>
      </c>
      <c r="FG1328" s="129">
        <f t="shared" si="1877"/>
        <v>45894251</v>
      </c>
      <c r="FH1328" s="129">
        <f t="shared" si="1877"/>
        <v>46572546</v>
      </c>
      <c r="FI1328" s="129">
        <f t="shared" si="1877"/>
        <v>2692544.29</v>
      </c>
      <c r="FJ1328" s="129">
        <f t="shared" si="1877"/>
        <v>2745161.25</v>
      </c>
      <c r="FK1328" s="129">
        <f t="shared" si="1877"/>
        <v>2783428.13</v>
      </c>
      <c r="FL1328" s="185" t="s">
        <v>699</v>
      </c>
      <c r="FM1328" s="185" t="s">
        <v>699</v>
      </c>
      <c r="FN1328" s="185" t="s">
        <v>699</v>
      </c>
      <c r="FO1328" s="185" t="s">
        <v>699</v>
      </c>
      <c r="FP1328" s="185" t="s">
        <v>699</v>
      </c>
      <c r="FQ1328" s="185" t="s">
        <v>699</v>
      </c>
      <c r="FR1328" s="129">
        <f t="shared" ref="FR1328:GF1328" si="1878">SUM(FR1329:FR1336)</f>
        <v>18234547.670000002</v>
      </c>
      <c r="FS1328" s="129">
        <f t="shared" si="1878"/>
        <v>19262001.030000001</v>
      </c>
      <c r="FT1328" s="129">
        <f t="shared" si="1878"/>
        <v>20283548.800000001</v>
      </c>
      <c r="FU1328" s="129">
        <f t="shared" si="1878"/>
        <v>2538593.08</v>
      </c>
      <c r="FV1328" s="129">
        <f t="shared" si="1878"/>
        <v>2666678.73</v>
      </c>
      <c r="FW1328" s="129">
        <f t="shared" si="1878"/>
        <v>2653213.9300000002</v>
      </c>
      <c r="FX1328" s="129">
        <f t="shared" si="1878"/>
        <v>433</v>
      </c>
      <c r="FY1328" s="129">
        <f t="shared" si="1878"/>
        <v>433</v>
      </c>
      <c r="FZ1328" s="129">
        <f t="shared" si="1878"/>
        <v>433</v>
      </c>
      <c r="GA1328" s="129">
        <f t="shared" si="1878"/>
        <v>51508890</v>
      </c>
      <c r="GB1328" s="129">
        <f t="shared" si="1878"/>
        <v>52809915</v>
      </c>
      <c r="GC1328" s="129">
        <f t="shared" si="1878"/>
        <v>53632611</v>
      </c>
      <c r="GD1328" s="129">
        <f t="shared" si="1878"/>
        <v>2865455.47</v>
      </c>
      <c r="GE1328" s="129">
        <f t="shared" si="1878"/>
        <v>2921198.19</v>
      </c>
      <c r="GF1328" s="129">
        <f t="shared" si="1878"/>
        <v>2961738.35</v>
      </c>
      <c r="GG1328" s="185" t="s">
        <v>699</v>
      </c>
      <c r="GH1328" s="185" t="s">
        <v>699</v>
      </c>
      <c r="GI1328" s="185" t="s">
        <v>699</v>
      </c>
      <c r="GJ1328" s="185" t="s">
        <v>699</v>
      </c>
      <c r="GK1328" s="185" t="s">
        <v>699</v>
      </c>
      <c r="GL1328" s="185" t="s">
        <v>699</v>
      </c>
      <c r="GM1328" s="129">
        <f t="shared" ref="GM1328:HA1328" si="1879">SUM(GM1329:GM1336)</f>
        <v>20898508.219999999</v>
      </c>
      <c r="GN1328" s="129">
        <f t="shared" si="1879"/>
        <v>22105573.670000002</v>
      </c>
      <c r="GO1328" s="129">
        <f t="shared" si="1879"/>
        <v>23284594.57</v>
      </c>
      <c r="GP1328" s="129">
        <f t="shared" si="1879"/>
        <v>2025711.82</v>
      </c>
      <c r="GQ1328" s="129">
        <f t="shared" si="1879"/>
        <v>2293350.5299999998</v>
      </c>
      <c r="GR1328" s="129">
        <f t="shared" si="1879"/>
        <v>2471414.9500000002</v>
      </c>
      <c r="GS1328" s="129">
        <f t="shared" si="1879"/>
        <v>380</v>
      </c>
      <c r="GT1328" s="129">
        <f t="shared" si="1879"/>
        <v>380</v>
      </c>
      <c r="GU1328" s="129">
        <f t="shared" si="1879"/>
        <v>380</v>
      </c>
      <c r="GV1328" s="129">
        <f t="shared" si="1879"/>
        <v>45457795</v>
      </c>
      <c r="GW1328" s="129">
        <f t="shared" si="1879"/>
        <v>46535487</v>
      </c>
      <c r="GX1328" s="129">
        <f t="shared" si="1879"/>
        <v>47240527</v>
      </c>
      <c r="GY1328" s="129">
        <f t="shared" si="1879"/>
        <v>2612714.1800000002</v>
      </c>
      <c r="GZ1328" s="129">
        <f t="shared" si="1879"/>
        <v>2665423.1</v>
      </c>
      <c r="HA1328" s="129">
        <f t="shared" si="1879"/>
        <v>2703756.86</v>
      </c>
      <c r="HB1328" s="185" t="s">
        <v>699</v>
      </c>
      <c r="HC1328" s="185" t="s">
        <v>699</v>
      </c>
      <c r="HD1328" s="185" t="s">
        <v>699</v>
      </c>
      <c r="HE1328" s="185" t="s">
        <v>699</v>
      </c>
      <c r="HF1328" s="185" t="s">
        <v>699</v>
      </c>
      <c r="HG1328" s="185" t="s">
        <v>699</v>
      </c>
      <c r="HH1328" s="129">
        <f t="shared" ref="HH1328:HV1328" si="1880">SUM(HH1329:HH1336)</f>
        <v>19266661.940000001</v>
      </c>
      <c r="HI1328" s="129">
        <f t="shared" si="1880"/>
        <v>20340448.949999999</v>
      </c>
      <c r="HJ1328" s="129">
        <f t="shared" si="1880"/>
        <v>21415718.309999999</v>
      </c>
      <c r="HK1328" s="129">
        <f t="shared" si="1880"/>
        <v>2149057.81</v>
      </c>
      <c r="HL1328" s="129">
        <f t="shared" si="1880"/>
        <v>2238226.7000000002</v>
      </c>
      <c r="HM1328" s="129">
        <f t="shared" si="1880"/>
        <v>2274440.6</v>
      </c>
      <c r="HN1328" s="129">
        <f t="shared" si="1880"/>
        <v>380</v>
      </c>
      <c r="HO1328" s="129">
        <f t="shared" si="1880"/>
        <v>380</v>
      </c>
      <c r="HP1328" s="129">
        <f t="shared" si="1880"/>
        <v>380</v>
      </c>
      <c r="HQ1328" s="129">
        <f t="shared" si="1880"/>
        <v>41239500</v>
      </c>
      <c r="HR1328" s="129">
        <f t="shared" si="1880"/>
        <v>42147700</v>
      </c>
      <c r="HS1328" s="129">
        <f t="shared" si="1880"/>
        <v>42760260</v>
      </c>
      <c r="HT1328" s="129">
        <f t="shared" si="1880"/>
        <v>2529485.2000000002</v>
      </c>
      <c r="HU1328" s="129">
        <f t="shared" si="1880"/>
        <v>2578976.4</v>
      </c>
      <c r="HV1328" s="129">
        <f t="shared" si="1880"/>
        <v>2614970</v>
      </c>
      <c r="HW1328" s="185" t="s">
        <v>699</v>
      </c>
      <c r="HX1328" s="185" t="s">
        <v>699</v>
      </c>
      <c r="HY1328" s="185" t="s">
        <v>699</v>
      </c>
      <c r="HZ1328" s="185" t="s">
        <v>699</v>
      </c>
      <c r="IA1328" s="185" t="s">
        <v>699</v>
      </c>
      <c r="IB1328" s="185" t="s">
        <v>699</v>
      </c>
      <c r="IC1328" s="129">
        <f t="shared" ref="IC1328:IQ1328" si="1881">SUM(IC1329:IC1336)</f>
        <v>17201566.399999999</v>
      </c>
      <c r="ID1328" s="129">
        <f t="shared" si="1881"/>
        <v>18157179</v>
      </c>
      <c r="IE1328" s="129">
        <f t="shared" si="1881"/>
        <v>19108881.399999999</v>
      </c>
      <c r="IF1328" s="129">
        <f t="shared" si="1881"/>
        <v>1984755.2</v>
      </c>
      <c r="IG1328" s="129">
        <f t="shared" si="1881"/>
        <v>2064631.2</v>
      </c>
      <c r="IH1328" s="129">
        <f t="shared" si="1881"/>
        <v>2061253</v>
      </c>
      <c r="II1328" s="129">
        <f t="shared" si="1881"/>
        <v>242</v>
      </c>
      <c r="IJ1328" s="129">
        <f t="shared" si="1881"/>
        <v>242</v>
      </c>
      <c r="IK1328" s="129">
        <f t="shared" si="1881"/>
        <v>242</v>
      </c>
      <c r="IL1328" s="129">
        <f t="shared" si="1881"/>
        <v>40362587</v>
      </c>
      <c r="IM1328" s="129">
        <f t="shared" si="1881"/>
        <v>41346591</v>
      </c>
      <c r="IN1328" s="129">
        <f t="shared" si="1881"/>
        <v>42013541</v>
      </c>
      <c r="IO1328" s="129">
        <f t="shared" si="1881"/>
        <v>2302160.09</v>
      </c>
      <c r="IP1328" s="129">
        <f t="shared" si="1881"/>
        <v>2360388.81</v>
      </c>
      <c r="IQ1328" s="129">
        <f t="shared" si="1881"/>
        <v>2402736.9700000002</v>
      </c>
      <c r="IR1328" s="185" t="s">
        <v>699</v>
      </c>
      <c r="IS1328" s="185" t="s">
        <v>699</v>
      </c>
      <c r="IT1328" s="185" t="s">
        <v>699</v>
      </c>
      <c r="IU1328" s="185" t="s">
        <v>699</v>
      </c>
      <c r="IV1328" s="185" t="s">
        <v>699</v>
      </c>
      <c r="IW1328" s="185" t="s">
        <v>699</v>
      </c>
      <c r="IX1328" s="129">
        <f t="shared" ref="IX1328:JL1328" si="1882">SUM(IX1329:IX1336)</f>
        <v>22870302.23</v>
      </c>
      <c r="IY1328" s="129">
        <f t="shared" si="1882"/>
        <v>24133701.079999998</v>
      </c>
      <c r="IZ1328" s="129">
        <f t="shared" si="1882"/>
        <v>25429416.120000001</v>
      </c>
      <c r="JA1328" s="129">
        <f t="shared" si="1882"/>
        <v>2730904.14</v>
      </c>
      <c r="JB1328" s="129">
        <f t="shared" si="1882"/>
        <v>2856588.35</v>
      </c>
      <c r="JC1328" s="129">
        <f t="shared" si="1882"/>
        <v>2843008.75</v>
      </c>
      <c r="JD1328" s="129">
        <f t="shared" si="1882"/>
        <v>446</v>
      </c>
      <c r="JE1328" s="129">
        <f t="shared" si="1882"/>
        <v>446</v>
      </c>
      <c r="JF1328" s="129">
        <f t="shared" si="1882"/>
        <v>446</v>
      </c>
      <c r="JG1328" s="129">
        <f t="shared" si="1882"/>
        <v>53492145</v>
      </c>
      <c r="JH1328" s="129">
        <f t="shared" si="1882"/>
        <v>54810123</v>
      </c>
      <c r="JI1328" s="129">
        <f t="shared" si="1882"/>
        <v>55655286</v>
      </c>
      <c r="JJ1328" s="129">
        <f t="shared" si="1882"/>
        <v>3009351.02</v>
      </c>
      <c r="JK1328" s="129">
        <f t="shared" si="1882"/>
        <v>3069004.02</v>
      </c>
      <c r="JL1328" s="129">
        <f t="shared" si="1882"/>
        <v>3112388.02</v>
      </c>
      <c r="JM1328" s="185" t="s">
        <v>699</v>
      </c>
      <c r="JN1328" s="185" t="s">
        <v>699</v>
      </c>
      <c r="JO1328" s="185" t="s">
        <v>699</v>
      </c>
      <c r="JP1328" s="185" t="s">
        <v>699</v>
      </c>
      <c r="JQ1328" s="185" t="s">
        <v>699</v>
      </c>
      <c r="JR1328" s="185" t="s">
        <v>699</v>
      </c>
      <c r="JS1328" s="129">
        <f t="shared" ref="JS1328:KG1328" si="1883">SUM(JS1329:JS1336)</f>
        <v>20317866.91</v>
      </c>
      <c r="JT1328" s="129">
        <f t="shared" si="1883"/>
        <v>21488602.210000001</v>
      </c>
      <c r="JU1328" s="129">
        <f t="shared" si="1883"/>
        <v>22638485.98</v>
      </c>
      <c r="JV1328" s="129">
        <f t="shared" si="1883"/>
        <v>1946240.09</v>
      </c>
      <c r="JW1328" s="129">
        <f t="shared" si="1883"/>
        <v>2061915.64</v>
      </c>
      <c r="JX1328" s="129">
        <f t="shared" si="1883"/>
        <v>2096039.37</v>
      </c>
      <c r="JY1328" s="129">
        <f t="shared" si="1883"/>
        <v>489</v>
      </c>
      <c r="JZ1328" s="129">
        <f t="shared" si="1883"/>
        <v>489</v>
      </c>
      <c r="KA1328" s="129">
        <f t="shared" si="1883"/>
        <v>489</v>
      </c>
      <c r="KB1328" s="129">
        <f t="shared" si="1883"/>
        <v>57559777</v>
      </c>
      <c r="KC1328" s="129">
        <f t="shared" si="1883"/>
        <v>58934946</v>
      </c>
      <c r="KD1328" s="129">
        <f t="shared" si="1883"/>
        <v>59829648</v>
      </c>
      <c r="KE1328" s="129">
        <f t="shared" si="1883"/>
        <v>3310930.77</v>
      </c>
      <c r="KF1328" s="129">
        <f t="shared" si="1883"/>
        <v>3376778.09</v>
      </c>
      <c r="KG1328" s="129">
        <f t="shared" si="1883"/>
        <v>3424667.05</v>
      </c>
      <c r="KH1328" s="185" t="s">
        <v>699</v>
      </c>
      <c r="KI1328" s="185" t="s">
        <v>699</v>
      </c>
      <c r="KJ1328" s="185" t="s">
        <v>699</v>
      </c>
      <c r="KK1328" s="185" t="s">
        <v>699</v>
      </c>
      <c r="KL1328" s="185" t="s">
        <v>699</v>
      </c>
      <c r="KM1328" s="185" t="s">
        <v>699</v>
      </c>
      <c r="KN1328" s="129">
        <f t="shared" ref="KN1328:LB1328" si="1884">SUM(KN1329:KN1336)</f>
        <v>22477330.34</v>
      </c>
      <c r="KO1328" s="129">
        <f t="shared" si="1884"/>
        <v>23735047.09</v>
      </c>
      <c r="KP1328" s="129">
        <f t="shared" si="1884"/>
        <v>24993636.219999999</v>
      </c>
      <c r="KQ1328" s="129">
        <f t="shared" si="1884"/>
        <v>2007347.6</v>
      </c>
      <c r="KR1328" s="129">
        <f t="shared" si="1884"/>
        <v>2102566.5099999998</v>
      </c>
      <c r="KS1328" s="129">
        <f t="shared" si="1884"/>
        <v>2122308.2000000002</v>
      </c>
      <c r="KT1328" s="129">
        <f t="shared" si="1884"/>
        <v>456</v>
      </c>
      <c r="KU1328" s="129">
        <f t="shared" si="1884"/>
        <v>456</v>
      </c>
      <c r="KV1328" s="129">
        <f t="shared" si="1884"/>
        <v>456</v>
      </c>
      <c r="KW1328" s="129">
        <f t="shared" si="1884"/>
        <v>51326850</v>
      </c>
      <c r="KX1328" s="129">
        <f t="shared" si="1884"/>
        <v>52524592</v>
      </c>
      <c r="KY1328" s="129">
        <f t="shared" si="1884"/>
        <v>53310534</v>
      </c>
      <c r="KZ1328" s="129">
        <f t="shared" si="1884"/>
        <v>3028673.42</v>
      </c>
      <c r="LA1328" s="129">
        <f t="shared" si="1884"/>
        <v>3087802.38</v>
      </c>
      <c r="LB1328" s="129">
        <f t="shared" si="1884"/>
        <v>3130805.26</v>
      </c>
      <c r="LC1328" s="185" t="s">
        <v>699</v>
      </c>
      <c r="LD1328" s="185" t="s">
        <v>699</v>
      </c>
      <c r="LE1328" s="185" t="s">
        <v>699</v>
      </c>
      <c r="LF1328" s="185" t="s">
        <v>699</v>
      </c>
      <c r="LG1328" s="185" t="s">
        <v>699</v>
      </c>
      <c r="LH1328" s="185" t="s">
        <v>699</v>
      </c>
      <c r="LI1328" s="129">
        <f t="shared" ref="LI1328:LW1328" si="1885">SUM(LI1329:LI1336)</f>
        <v>18919112.260000002</v>
      </c>
      <c r="LJ1328" s="129">
        <f t="shared" si="1885"/>
        <v>19993540.640000001</v>
      </c>
      <c r="LK1328" s="129">
        <f t="shared" si="1885"/>
        <v>21055351.48</v>
      </c>
      <c r="LL1328" s="129">
        <f t="shared" si="1885"/>
        <v>2530748.2400000002</v>
      </c>
      <c r="LM1328" s="129">
        <f t="shared" si="1885"/>
        <v>2686256.76</v>
      </c>
      <c r="LN1328" s="129">
        <f t="shared" si="1885"/>
        <v>2737924.82</v>
      </c>
      <c r="LO1328" s="129">
        <f t="shared" si="1885"/>
        <v>457</v>
      </c>
      <c r="LP1328" s="129">
        <f t="shared" si="1885"/>
        <v>457</v>
      </c>
      <c r="LQ1328" s="129">
        <f t="shared" si="1885"/>
        <v>457</v>
      </c>
      <c r="LR1328" s="129">
        <f t="shared" si="1885"/>
        <v>51964573</v>
      </c>
      <c r="LS1328" s="129">
        <f t="shared" si="1885"/>
        <v>53148668</v>
      </c>
      <c r="LT1328" s="129">
        <f t="shared" si="1885"/>
        <v>53936413</v>
      </c>
      <c r="LU1328" s="129">
        <f t="shared" si="1885"/>
        <v>3092661.53</v>
      </c>
      <c r="LV1328" s="129">
        <f t="shared" si="1885"/>
        <v>3154137.89</v>
      </c>
      <c r="LW1328" s="129">
        <f t="shared" si="1885"/>
        <v>3198847.97</v>
      </c>
      <c r="LX1328" s="185" t="s">
        <v>699</v>
      </c>
      <c r="LY1328" s="185" t="s">
        <v>699</v>
      </c>
      <c r="LZ1328" s="185" t="s">
        <v>699</v>
      </c>
      <c r="MA1328" s="185" t="s">
        <v>699</v>
      </c>
      <c r="MB1328" s="185" t="s">
        <v>699</v>
      </c>
      <c r="MC1328" s="185" t="s">
        <v>699</v>
      </c>
      <c r="MD1328" s="129">
        <f t="shared" ref="MD1328:MR1328" si="1886">SUM(MD1329:MD1336)</f>
        <v>16732022.65</v>
      </c>
      <c r="ME1328" s="129">
        <f t="shared" si="1886"/>
        <v>17673720.52</v>
      </c>
      <c r="MF1328" s="129">
        <f t="shared" si="1886"/>
        <v>18607806</v>
      </c>
      <c r="MG1328" s="129">
        <f t="shared" si="1886"/>
        <v>1918261.09</v>
      </c>
      <c r="MH1328" s="129">
        <f t="shared" si="1886"/>
        <v>2004771.2</v>
      </c>
      <c r="MI1328" s="129">
        <f t="shared" si="1886"/>
        <v>2027181.41</v>
      </c>
      <c r="MJ1328" s="129">
        <f t="shared" si="1886"/>
        <v>510</v>
      </c>
      <c r="MK1328" s="129">
        <f t="shared" si="1886"/>
        <v>510</v>
      </c>
      <c r="ML1328" s="129">
        <f t="shared" si="1886"/>
        <v>510</v>
      </c>
      <c r="MM1328" s="129">
        <f t="shared" si="1886"/>
        <v>57154776</v>
      </c>
      <c r="MN1328" s="129">
        <f t="shared" si="1886"/>
        <v>58480138</v>
      </c>
      <c r="MO1328" s="129">
        <f t="shared" si="1886"/>
        <v>59352138</v>
      </c>
      <c r="MP1328" s="129">
        <f t="shared" si="1886"/>
        <v>3388104.86</v>
      </c>
      <c r="MQ1328" s="129">
        <f t="shared" si="1886"/>
        <v>3454266.78</v>
      </c>
      <c r="MR1328" s="129">
        <f t="shared" si="1886"/>
        <v>3502384.54</v>
      </c>
      <c r="MS1328" s="185" t="s">
        <v>699</v>
      </c>
      <c r="MT1328" s="185" t="s">
        <v>699</v>
      </c>
      <c r="MU1328" s="185" t="s">
        <v>699</v>
      </c>
      <c r="MV1328" s="185" t="s">
        <v>699</v>
      </c>
      <c r="MW1328" s="185" t="s">
        <v>699</v>
      </c>
      <c r="MX1328" s="185" t="s">
        <v>699</v>
      </c>
      <c r="MY1328" s="129">
        <f t="shared" ref="MY1328:NM1328" si="1887">SUM(MY1329:MY1336)</f>
        <v>21290474</v>
      </c>
      <c r="MZ1328" s="129">
        <f t="shared" si="1887"/>
        <v>22494846.600000001</v>
      </c>
      <c r="NA1328" s="129">
        <f t="shared" si="1887"/>
        <v>23687904.68</v>
      </c>
      <c r="NB1328" s="129">
        <f t="shared" si="1887"/>
        <v>2493190.42</v>
      </c>
      <c r="NC1328" s="129">
        <f t="shared" si="1887"/>
        <v>2569631.2799999998</v>
      </c>
      <c r="ND1328" s="129">
        <f t="shared" si="1887"/>
        <v>2621482.54</v>
      </c>
      <c r="NE1328" s="129">
        <f t="shared" si="1887"/>
        <v>381</v>
      </c>
      <c r="NF1328" s="129">
        <f t="shared" si="1887"/>
        <v>381</v>
      </c>
      <c r="NG1328" s="129">
        <f t="shared" si="1887"/>
        <v>381</v>
      </c>
      <c r="NH1328" s="129">
        <f t="shared" si="1887"/>
        <v>44063968</v>
      </c>
      <c r="NI1328" s="129">
        <f t="shared" si="1887"/>
        <v>45134491</v>
      </c>
      <c r="NJ1328" s="129">
        <f t="shared" si="1887"/>
        <v>45823648</v>
      </c>
      <c r="NK1328" s="129">
        <f t="shared" si="1887"/>
        <v>2526049.5499999998</v>
      </c>
      <c r="NL1328" s="129">
        <f t="shared" si="1887"/>
        <v>2575280.27</v>
      </c>
      <c r="NM1328" s="129">
        <f t="shared" si="1887"/>
        <v>2611084.4300000002</v>
      </c>
      <c r="NN1328" s="185" t="s">
        <v>699</v>
      </c>
      <c r="NO1328" s="185" t="s">
        <v>699</v>
      </c>
      <c r="NP1328" s="185" t="s">
        <v>699</v>
      </c>
      <c r="NQ1328" s="185" t="s">
        <v>699</v>
      </c>
      <c r="NR1328" s="185" t="s">
        <v>699</v>
      </c>
      <c r="NS1328" s="185" t="s">
        <v>699</v>
      </c>
      <c r="NT1328" s="129">
        <f t="shared" ref="NT1328:OH1328" si="1888">SUM(NT1329:NT1336)</f>
        <v>16758413.140000001</v>
      </c>
      <c r="NU1328" s="129">
        <f t="shared" si="1888"/>
        <v>17702633.27</v>
      </c>
      <c r="NV1328" s="129">
        <f t="shared" si="1888"/>
        <v>18637601.140000001</v>
      </c>
      <c r="NW1328" s="129">
        <f t="shared" si="1888"/>
        <v>2722390.71</v>
      </c>
      <c r="NX1328" s="129">
        <f t="shared" si="1888"/>
        <v>2898982.29</v>
      </c>
      <c r="NY1328" s="129">
        <f t="shared" si="1888"/>
        <v>2858096.85</v>
      </c>
      <c r="NZ1328" s="129">
        <f t="shared" si="1888"/>
        <v>274</v>
      </c>
      <c r="OA1328" s="129">
        <f t="shared" si="1888"/>
        <v>274</v>
      </c>
      <c r="OB1328" s="129">
        <f t="shared" si="1888"/>
        <v>274</v>
      </c>
      <c r="OC1328" s="129">
        <f t="shared" si="1888"/>
        <v>35072089</v>
      </c>
      <c r="OD1328" s="129">
        <f t="shared" si="1888"/>
        <v>35956258</v>
      </c>
      <c r="OE1328" s="129">
        <f t="shared" si="1888"/>
        <v>36519845</v>
      </c>
      <c r="OF1328" s="129">
        <f t="shared" si="1888"/>
        <v>1909788.93</v>
      </c>
      <c r="OG1328" s="129">
        <f t="shared" si="1888"/>
        <v>1948794.05</v>
      </c>
      <c r="OH1328" s="129">
        <f t="shared" si="1888"/>
        <v>1977161.41</v>
      </c>
      <c r="OI1328" s="185" t="s">
        <v>699</v>
      </c>
      <c r="OJ1328" s="185" t="s">
        <v>699</v>
      </c>
      <c r="OK1328" s="185" t="s">
        <v>699</v>
      </c>
      <c r="OL1328" s="185" t="s">
        <v>699</v>
      </c>
      <c r="OM1328" s="185" t="s">
        <v>699</v>
      </c>
      <c r="ON1328" s="185" t="s">
        <v>699</v>
      </c>
      <c r="OO1328" s="129">
        <f t="shared" ref="OO1328:PC1328" si="1889">SUM(OO1329:OO1336)</f>
        <v>17489162.469999999</v>
      </c>
      <c r="OP1328" s="129">
        <f t="shared" si="1889"/>
        <v>18462111.120000001</v>
      </c>
      <c r="OQ1328" s="129">
        <f t="shared" si="1889"/>
        <v>19439289.039999999</v>
      </c>
      <c r="OR1328" s="129">
        <f t="shared" si="1889"/>
        <v>2064378.45</v>
      </c>
      <c r="OS1328" s="129">
        <f t="shared" si="1889"/>
        <v>2188793.2599999998</v>
      </c>
      <c r="OT1328" s="129">
        <f t="shared" si="1889"/>
        <v>2209044.96</v>
      </c>
      <c r="OU1328" s="129">
        <f t="shared" si="1889"/>
        <v>423</v>
      </c>
      <c r="OV1328" s="129">
        <f t="shared" si="1889"/>
        <v>423</v>
      </c>
      <c r="OW1328" s="129">
        <f t="shared" si="1889"/>
        <v>423</v>
      </c>
      <c r="OX1328" s="129">
        <f t="shared" si="1889"/>
        <v>48841242</v>
      </c>
      <c r="OY1328" s="129">
        <f t="shared" si="1889"/>
        <v>49988216</v>
      </c>
      <c r="OZ1328" s="129">
        <f t="shared" si="1889"/>
        <v>50739940</v>
      </c>
      <c r="PA1328" s="129">
        <f t="shared" si="1889"/>
        <v>2850968.92</v>
      </c>
      <c r="PB1328" s="129">
        <f t="shared" si="1889"/>
        <v>2907423.12</v>
      </c>
      <c r="PC1328" s="129">
        <f t="shared" si="1889"/>
        <v>2948480.72</v>
      </c>
      <c r="PD1328" s="185" t="s">
        <v>699</v>
      </c>
      <c r="PE1328" s="185" t="s">
        <v>699</v>
      </c>
      <c r="PF1328" s="185" t="s">
        <v>699</v>
      </c>
      <c r="PG1328" s="185" t="s">
        <v>699</v>
      </c>
      <c r="PH1328" s="185" t="s">
        <v>699</v>
      </c>
      <c r="PI1328" s="185" t="s">
        <v>699</v>
      </c>
      <c r="PJ1328" s="129">
        <f t="shared" ref="PJ1328:PX1328" si="1890">SUM(PJ1329:PJ1336)</f>
        <v>20482079.399999999</v>
      </c>
      <c r="PK1328" s="129">
        <f t="shared" si="1890"/>
        <v>21637409.219999999</v>
      </c>
      <c r="PL1328" s="129">
        <f t="shared" si="1890"/>
        <v>22784797.309999999</v>
      </c>
      <c r="PM1328" s="129">
        <f t="shared" si="1890"/>
        <v>2462962.85</v>
      </c>
      <c r="PN1328" s="129">
        <f t="shared" si="1890"/>
        <v>2566017.9900000002</v>
      </c>
      <c r="PO1328" s="129">
        <f t="shared" si="1890"/>
        <v>2623404.4300000002</v>
      </c>
      <c r="PP1328" s="129">
        <f t="shared" si="1890"/>
        <v>742</v>
      </c>
      <c r="PQ1328" s="129">
        <f t="shared" si="1890"/>
        <v>742</v>
      </c>
      <c r="PR1328" s="129">
        <f t="shared" si="1890"/>
        <v>742</v>
      </c>
      <c r="PS1328" s="129">
        <f t="shared" si="1890"/>
        <v>80525550</v>
      </c>
      <c r="PT1328" s="129">
        <f t="shared" si="1890"/>
        <v>82298930</v>
      </c>
      <c r="PU1328" s="129">
        <f t="shared" si="1890"/>
        <v>83495034</v>
      </c>
      <c r="PV1328" s="129">
        <f t="shared" si="1890"/>
        <v>4939152.68</v>
      </c>
      <c r="PW1328" s="129">
        <f t="shared" si="1890"/>
        <v>5035790.76</v>
      </c>
      <c r="PX1328" s="129">
        <f t="shared" si="1890"/>
        <v>5106073</v>
      </c>
      <c r="PY1328" s="185" t="s">
        <v>699</v>
      </c>
      <c r="PZ1328" s="185" t="s">
        <v>699</v>
      </c>
      <c r="QA1328" s="185" t="s">
        <v>699</v>
      </c>
      <c r="QB1328" s="185" t="s">
        <v>699</v>
      </c>
      <c r="QC1328" s="185" t="s">
        <v>699</v>
      </c>
      <c r="QD1328" s="185" t="s">
        <v>699</v>
      </c>
      <c r="QE1328" s="129">
        <f t="shared" ref="QE1328:QS1328" si="1891">SUM(QE1329:QE1336)</f>
        <v>30233702.66</v>
      </c>
      <c r="QF1328" s="129">
        <f t="shared" si="1891"/>
        <v>31920268.66</v>
      </c>
      <c r="QG1328" s="129">
        <f t="shared" si="1891"/>
        <v>33598464.899999999</v>
      </c>
      <c r="QH1328" s="129">
        <f t="shared" si="1891"/>
        <v>4400282.5999999996</v>
      </c>
      <c r="QI1328" s="129">
        <f t="shared" si="1891"/>
        <v>4711188.0199999996</v>
      </c>
      <c r="QJ1328" s="129">
        <f t="shared" si="1891"/>
        <v>4772781.4400000004</v>
      </c>
      <c r="QK1328" s="129">
        <f t="shared" si="1891"/>
        <v>577</v>
      </c>
      <c r="QL1328" s="129">
        <f t="shared" si="1891"/>
        <v>577</v>
      </c>
      <c r="QM1328" s="129">
        <f t="shared" si="1891"/>
        <v>577</v>
      </c>
      <c r="QN1328" s="129">
        <f t="shared" si="1891"/>
        <v>70681200</v>
      </c>
      <c r="QO1328" s="129">
        <f t="shared" si="1891"/>
        <v>72329946</v>
      </c>
      <c r="QP1328" s="129">
        <f t="shared" si="1891"/>
        <v>73420281</v>
      </c>
      <c r="QQ1328" s="129">
        <f t="shared" si="1891"/>
        <v>4067978.38</v>
      </c>
      <c r="QR1328" s="129">
        <f t="shared" si="1891"/>
        <v>4151909.7</v>
      </c>
      <c r="QS1328" s="129">
        <f t="shared" si="1891"/>
        <v>4212950.66</v>
      </c>
      <c r="QT1328" s="185" t="s">
        <v>699</v>
      </c>
      <c r="QU1328" s="185" t="s">
        <v>699</v>
      </c>
      <c r="QV1328" s="185" t="s">
        <v>699</v>
      </c>
      <c r="QW1328" s="185" t="s">
        <v>699</v>
      </c>
      <c r="QX1328" s="185" t="s">
        <v>699</v>
      </c>
      <c r="QY1328" s="185" t="s">
        <v>699</v>
      </c>
      <c r="QZ1328" s="129">
        <f t="shared" ref="QZ1328:RN1328" si="1892">SUM(QZ1329:QZ1336)</f>
        <v>26987218.98</v>
      </c>
      <c r="RA1328" s="129">
        <f t="shared" si="1892"/>
        <v>28518683.75</v>
      </c>
      <c r="RB1328" s="129">
        <f t="shared" si="1892"/>
        <v>30037310.210000001</v>
      </c>
      <c r="RC1328" s="129">
        <f t="shared" si="1892"/>
        <v>2492656.7599999998</v>
      </c>
      <c r="RD1328" s="129">
        <f t="shared" si="1892"/>
        <v>2639921.7400000002</v>
      </c>
      <c r="RE1328" s="129">
        <f t="shared" si="1892"/>
        <v>2693723.02</v>
      </c>
      <c r="RF1328" s="129">
        <f t="shared" si="1892"/>
        <v>402</v>
      </c>
      <c r="RG1328" s="129">
        <f t="shared" si="1892"/>
        <v>402</v>
      </c>
      <c r="RH1328" s="129">
        <f t="shared" si="1892"/>
        <v>402</v>
      </c>
      <c r="RI1328" s="129">
        <f t="shared" si="1892"/>
        <v>46353801</v>
      </c>
      <c r="RJ1328" s="129">
        <f t="shared" si="1892"/>
        <v>47474994</v>
      </c>
      <c r="RK1328" s="129">
        <f t="shared" si="1892"/>
        <v>48198333</v>
      </c>
      <c r="RL1328" s="129">
        <f t="shared" si="1892"/>
        <v>2665844.13</v>
      </c>
      <c r="RM1328" s="129">
        <f t="shared" si="1892"/>
        <v>2717809.89</v>
      </c>
      <c r="RN1328" s="129">
        <f t="shared" si="1892"/>
        <v>2755603.17</v>
      </c>
      <c r="RO1328" s="185" t="s">
        <v>699</v>
      </c>
      <c r="RP1328" s="185" t="s">
        <v>699</v>
      </c>
      <c r="RQ1328" s="185" t="s">
        <v>699</v>
      </c>
      <c r="RR1328" s="185" t="s">
        <v>699</v>
      </c>
      <c r="RS1328" s="185" t="s">
        <v>699</v>
      </c>
      <c r="RT1328" s="185" t="s">
        <v>699</v>
      </c>
      <c r="RU1328" s="129">
        <f t="shared" ref="RU1328:SI1328" si="1893">SUM(RU1329:RU1336)</f>
        <v>18958822.109999999</v>
      </c>
      <c r="RV1328" s="129">
        <f t="shared" si="1893"/>
        <v>20043170.640000001</v>
      </c>
      <c r="RW1328" s="129">
        <f t="shared" si="1893"/>
        <v>21113681.489999998</v>
      </c>
      <c r="RX1328" s="129">
        <f t="shared" si="1893"/>
        <v>2304226.23</v>
      </c>
      <c r="RY1328" s="129">
        <f t="shared" si="1893"/>
        <v>2391538.02</v>
      </c>
      <c r="RZ1328" s="129">
        <f t="shared" si="1893"/>
        <v>2438886.0299999998</v>
      </c>
      <c r="SA1328" s="129">
        <f t="shared" si="1893"/>
        <v>285</v>
      </c>
      <c r="SB1328" s="129">
        <f t="shared" si="1893"/>
        <v>285</v>
      </c>
      <c r="SC1328" s="129">
        <f t="shared" si="1893"/>
        <v>285</v>
      </c>
      <c r="SD1328" s="129">
        <f t="shared" si="1893"/>
        <v>40333965</v>
      </c>
      <c r="SE1328" s="129">
        <f t="shared" si="1893"/>
        <v>41379455</v>
      </c>
      <c r="SF1328" s="129">
        <f t="shared" si="1893"/>
        <v>42040974</v>
      </c>
      <c r="SG1328" s="129">
        <f t="shared" si="1893"/>
        <v>2099557.84</v>
      </c>
      <c r="SH1328" s="129">
        <f t="shared" si="1893"/>
        <v>2144502.96</v>
      </c>
      <c r="SI1328" s="129">
        <f t="shared" si="1893"/>
        <v>2177190.3199999998</v>
      </c>
      <c r="SJ1328" s="185" t="s">
        <v>699</v>
      </c>
      <c r="SK1328" s="185" t="s">
        <v>699</v>
      </c>
      <c r="SL1328" s="185" t="s">
        <v>699</v>
      </c>
      <c r="SM1328" s="185" t="s">
        <v>699</v>
      </c>
      <c r="SN1328" s="185" t="s">
        <v>699</v>
      </c>
      <c r="SO1328" s="185" t="s">
        <v>699</v>
      </c>
      <c r="SP1328" s="129">
        <f t="shared" ref="SP1328:TD1328" si="1894">SUM(SP1329:SP1336)</f>
        <v>17333395.41</v>
      </c>
      <c r="SQ1328" s="129">
        <f t="shared" si="1894"/>
        <v>18335438.940000001</v>
      </c>
      <c r="SR1328" s="129">
        <f t="shared" si="1894"/>
        <v>19320978.199999999</v>
      </c>
      <c r="SS1328" s="129">
        <f t="shared" si="1894"/>
        <v>2540722.61</v>
      </c>
      <c r="ST1328" s="129">
        <f t="shared" si="1894"/>
        <v>2677840.33</v>
      </c>
      <c r="SU1328" s="129">
        <f t="shared" si="1894"/>
        <v>2726045.15</v>
      </c>
      <c r="SV1328" s="129">
        <f t="shared" si="1894"/>
        <v>589</v>
      </c>
      <c r="SW1328" s="129">
        <f t="shared" si="1894"/>
        <v>589</v>
      </c>
      <c r="SX1328" s="129">
        <f t="shared" si="1894"/>
        <v>589</v>
      </c>
      <c r="SY1328" s="129">
        <f t="shared" si="1894"/>
        <v>67540681</v>
      </c>
      <c r="SZ1328" s="129">
        <f t="shared" si="1894"/>
        <v>69161555</v>
      </c>
      <c r="TA1328" s="129">
        <f t="shared" si="1894"/>
        <v>70210948</v>
      </c>
      <c r="TB1328" s="129">
        <f t="shared" si="1894"/>
        <v>3907244.6</v>
      </c>
      <c r="TC1328" s="129">
        <f t="shared" si="1894"/>
        <v>3983435</v>
      </c>
      <c r="TD1328" s="129">
        <f t="shared" si="1894"/>
        <v>4038846.2</v>
      </c>
      <c r="TE1328" s="185" t="s">
        <v>699</v>
      </c>
      <c r="TF1328" s="185" t="s">
        <v>699</v>
      </c>
      <c r="TG1328" s="185" t="s">
        <v>699</v>
      </c>
      <c r="TH1328" s="185" t="s">
        <v>699</v>
      </c>
      <c r="TI1328" s="185" t="s">
        <v>699</v>
      </c>
      <c r="TJ1328" s="185" t="s">
        <v>699</v>
      </c>
      <c r="TK1328" s="129">
        <f t="shared" ref="TK1328:TY1328" si="1895">SUM(TK1329:TK1336)</f>
        <v>25944658.219999999</v>
      </c>
      <c r="TL1328" s="129">
        <f t="shared" si="1895"/>
        <v>27424316.359999999</v>
      </c>
      <c r="TM1328" s="129">
        <f t="shared" si="1895"/>
        <v>28882245.949999999</v>
      </c>
      <c r="TN1328" s="129">
        <f t="shared" si="1895"/>
        <v>3600736.25</v>
      </c>
      <c r="TO1328" s="129">
        <f t="shared" si="1895"/>
        <v>3768485.71</v>
      </c>
      <c r="TP1328" s="129">
        <f t="shared" si="1895"/>
        <v>3809850.1</v>
      </c>
      <c r="TQ1328" s="129">
        <f t="shared" si="1895"/>
        <v>416</v>
      </c>
      <c r="TR1328" s="129">
        <f t="shared" si="1895"/>
        <v>416</v>
      </c>
      <c r="TS1328" s="129">
        <f t="shared" si="1895"/>
        <v>416</v>
      </c>
      <c r="TT1328" s="129">
        <f t="shared" si="1895"/>
        <v>49701793</v>
      </c>
      <c r="TU1328" s="129">
        <f t="shared" si="1895"/>
        <v>50963868</v>
      </c>
      <c r="TV1328" s="129">
        <f t="shared" si="1895"/>
        <v>51760315</v>
      </c>
      <c r="TW1328" s="129">
        <f t="shared" si="1895"/>
        <v>2752319.63</v>
      </c>
      <c r="TX1328" s="129">
        <f t="shared" si="1895"/>
        <v>2805848.27</v>
      </c>
      <c r="TY1328" s="129">
        <f t="shared" si="1895"/>
        <v>2844778.19</v>
      </c>
      <c r="TZ1328" s="185" t="s">
        <v>699</v>
      </c>
      <c r="UA1328" s="185" t="s">
        <v>699</v>
      </c>
      <c r="UB1328" s="185" t="s">
        <v>699</v>
      </c>
      <c r="UC1328" s="185" t="s">
        <v>699</v>
      </c>
      <c r="UD1328" s="185" t="s">
        <v>699</v>
      </c>
      <c r="UE1328" s="185" t="s">
        <v>699</v>
      </c>
      <c r="UF1328" s="129">
        <f t="shared" ref="UF1328:UT1328" si="1896">SUM(UF1329:UF1336)</f>
        <v>20452728.43</v>
      </c>
      <c r="UG1328" s="129">
        <f t="shared" si="1896"/>
        <v>21632839.800000001</v>
      </c>
      <c r="UH1328" s="129">
        <f t="shared" si="1896"/>
        <v>22794538.460000001</v>
      </c>
      <c r="UI1328" s="129">
        <f t="shared" si="1896"/>
        <v>2317942.44</v>
      </c>
      <c r="UJ1328" s="129">
        <f t="shared" si="1896"/>
        <v>2497066.79</v>
      </c>
      <c r="UK1328" s="129">
        <f t="shared" si="1896"/>
        <v>2539523.1</v>
      </c>
      <c r="UL1328" s="129">
        <f t="shared" si="1896"/>
        <v>625</v>
      </c>
      <c r="UM1328" s="129">
        <f t="shared" si="1896"/>
        <v>625</v>
      </c>
      <c r="UN1328" s="129">
        <f t="shared" si="1896"/>
        <v>625</v>
      </c>
      <c r="UO1328" s="129">
        <f t="shared" si="1896"/>
        <v>69667575</v>
      </c>
      <c r="UP1328" s="129">
        <f t="shared" si="1896"/>
        <v>71269227</v>
      </c>
      <c r="UQ1328" s="129">
        <f t="shared" si="1896"/>
        <v>72327597</v>
      </c>
      <c r="UR1328" s="129">
        <f t="shared" si="1896"/>
        <v>4153628.68</v>
      </c>
      <c r="US1328" s="129">
        <f t="shared" si="1896"/>
        <v>4234768.2</v>
      </c>
      <c r="UT1328" s="129">
        <f t="shared" si="1896"/>
        <v>4293778.76</v>
      </c>
      <c r="UU1328" s="185" t="s">
        <v>699</v>
      </c>
      <c r="UV1328" s="185" t="s">
        <v>699</v>
      </c>
      <c r="UW1328" s="185" t="s">
        <v>699</v>
      </c>
      <c r="UX1328" s="185" t="s">
        <v>699</v>
      </c>
      <c r="UY1328" s="185" t="s">
        <v>699</v>
      </c>
      <c r="UZ1328" s="185" t="s">
        <v>699</v>
      </c>
      <c r="VA1328" s="129">
        <f t="shared" ref="VA1328:VO1328" si="1897">SUM(VA1329:VA1336)</f>
        <v>26521644.920000002</v>
      </c>
      <c r="VB1328" s="129">
        <f t="shared" si="1897"/>
        <v>28033657.149999999</v>
      </c>
      <c r="VC1328" s="129">
        <f t="shared" si="1897"/>
        <v>29523687.059999999</v>
      </c>
      <c r="VD1328" s="129">
        <f t="shared" si="1897"/>
        <v>2726814.51</v>
      </c>
      <c r="VE1328" s="129">
        <f t="shared" si="1897"/>
        <v>2924075.26</v>
      </c>
      <c r="VF1328" s="129">
        <f t="shared" si="1897"/>
        <v>2986988.75</v>
      </c>
      <c r="VG1328" s="129">
        <f t="shared" si="1897"/>
        <v>620</v>
      </c>
      <c r="VH1328" s="129">
        <f t="shared" si="1897"/>
        <v>620</v>
      </c>
      <c r="VI1328" s="129">
        <f t="shared" si="1897"/>
        <v>620</v>
      </c>
      <c r="VJ1328" s="129">
        <f t="shared" si="1897"/>
        <v>76203263</v>
      </c>
      <c r="VK1328" s="129">
        <f t="shared" si="1897"/>
        <v>78036605</v>
      </c>
      <c r="VL1328" s="129">
        <f t="shared" si="1897"/>
        <v>79229492</v>
      </c>
      <c r="VM1328" s="129">
        <f t="shared" si="1897"/>
        <v>4311503.9400000004</v>
      </c>
      <c r="VN1328" s="129">
        <f t="shared" si="1897"/>
        <v>4399383.82</v>
      </c>
      <c r="VO1328" s="129">
        <f t="shared" si="1897"/>
        <v>4463296.46</v>
      </c>
      <c r="VP1328" s="185" t="s">
        <v>699</v>
      </c>
      <c r="VQ1328" s="185" t="s">
        <v>699</v>
      </c>
      <c r="VR1328" s="185" t="s">
        <v>699</v>
      </c>
      <c r="VS1328" s="185" t="s">
        <v>699</v>
      </c>
      <c r="VT1328" s="185" t="s">
        <v>699</v>
      </c>
      <c r="VU1328" s="185" t="s">
        <v>699</v>
      </c>
      <c r="VV1328" s="129">
        <f t="shared" ref="VV1328:WJ1328" si="1898">SUM(VV1329:VV1336)</f>
        <v>29593148.510000002</v>
      </c>
      <c r="VW1328" s="129">
        <f t="shared" si="1898"/>
        <v>31286933.920000002</v>
      </c>
      <c r="VX1328" s="129">
        <f t="shared" si="1898"/>
        <v>32961938.43</v>
      </c>
      <c r="VY1328" s="129">
        <f t="shared" si="1898"/>
        <v>3046514.02</v>
      </c>
      <c r="VZ1328" s="129">
        <f t="shared" si="1898"/>
        <v>3203097.72</v>
      </c>
      <c r="WA1328" s="129">
        <f t="shared" si="1898"/>
        <v>3272258.38</v>
      </c>
      <c r="WB1328" s="129">
        <f t="shared" si="1898"/>
        <v>520</v>
      </c>
      <c r="WC1328" s="129">
        <f t="shared" si="1898"/>
        <v>520</v>
      </c>
      <c r="WD1328" s="129">
        <f t="shared" si="1898"/>
        <v>520</v>
      </c>
      <c r="WE1328" s="129">
        <f t="shared" si="1898"/>
        <v>56433000</v>
      </c>
      <c r="WF1328" s="129">
        <f t="shared" si="1898"/>
        <v>57675800</v>
      </c>
      <c r="WG1328" s="129">
        <f t="shared" si="1898"/>
        <v>58514040</v>
      </c>
      <c r="WH1328" s="129">
        <f t="shared" si="1898"/>
        <v>3461400.8</v>
      </c>
      <c r="WI1328" s="129">
        <f t="shared" si="1898"/>
        <v>3529125.6</v>
      </c>
      <c r="WJ1328" s="129">
        <f t="shared" si="1898"/>
        <v>3578380</v>
      </c>
      <c r="WK1328" s="185" t="s">
        <v>699</v>
      </c>
      <c r="WL1328" s="185" t="s">
        <v>699</v>
      </c>
      <c r="WM1328" s="185" t="s">
        <v>699</v>
      </c>
      <c r="WN1328" s="185" t="s">
        <v>699</v>
      </c>
      <c r="WO1328" s="185" t="s">
        <v>699</v>
      </c>
      <c r="WP1328" s="185" t="s">
        <v>699</v>
      </c>
      <c r="WQ1328" s="129">
        <f t="shared" ref="WQ1328:XE1328" si="1899">SUM(WQ1329:WQ1336)</f>
        <v>20246647.199999999</v>
      </c>
      <c r="WR1328" s="129">
        <f t="shared" si="1899"/>
        <v>21386877.199999999</v>
      </c>
      <c r="WS1328" s="129">
        <f t="shared" si="1899"/>
        <v>22515506</v>
      </c>
      <c r="WT1328" s="129">
        <f t="shared" si="1899"/>
        <v>2626613.6</v>
      </c>
      <c r="WU1328" s="129">
        <f t="shared" si="1899"/>
        <v>2826876</v>
      </c>
      <c r="WV1328" s="129">
        <f t="shared" si="1899"/>
        <v>2888891.2</v>
      </c>
      <c r="WW1328" s="129">
        <f t="shared" si="1899"/>
        <v>597</v>
      </c>
      <c r="WX1328" s="129">
        <f t="shared" si="1899"/>
        <v>597</v>
      </c>
      <c r="WY1328" s="129">
        <f t="shared" si="1899"/>
        <v>597</v>
      </c>
      <c r="WZ1328" s="129">
        <f t="shared" si="1899"/>
        <v>66596451</v>
      </c>
      <c r="XA1328" s="129">
        <f t="shared" si="1899"/>
        <v>68129743</v>
      </c>
      <c r="XB1328" s="129">
        <f t="shared" si="1899"/>
        <v>69141987</v>
      </c>
      <c r="XC1328" s="129">
        <f t="shared" si="1899"/>
        <v>3967223.84</v>
      </c>
      <c r="XD1328" s="129">
        <f t="shared" si="1899"/>
        <v>4044716.64</v>
      </c>
      <c r="XE1328" s="129">
        <f t="shared" si="1899"/>
        <v>4101075.04</v>
      </c>
      <c r="XF1328" s="185" t="s">
        <v>699</v>
      </c>
      <c r="XG1328" s="185" t="s">
        <v>699</v>
      </c>
      <c r="XH1328" s="185" t="s">
        <v>699</v>
      </c>
      <c r="XI1328" s="185" t="s">
        <v>699</v>
      </c>
      <c r="XJ1328" s="185" t="s">
        <v>699</v>
      </c>
      <c r="XK1328" s="185" t="s">
        <v>699</v>
      </c>
      <c r="XL1328" s="129">
        <f t="shared" ref="XL1328:XZ1328" si="1900">SUM(XL1329:XL1336)</f>
        <v>23472510.539999999</v>
      </c>
      <c r="XM1328" s="129">
        <f t="shared" si="1900"/>
        <v>24802015.100000001</v>
      </c>
      <c r="XN1328" s="129">
        <f t="shared" si="1900"/>
        <v>26114026.460000001</v>
      </c>
      <c r="XO1328" s="129">
        <f t="shared" si="1900"/>
        <v>2424745.02</v>
      </c>
      <c r="XP1328" s="129">
        <f t="shared" si="1900"/>
        <v>2619025.5</v>
      </c>
      <c r="XQ1328" s="129">
        <f t="shared" si="1900"/>
        <v>2666923.4700000002</v>
      </c>
      <c r="XR1328" s="129">
        <f t="shared" si="1900"/>
        <v>510</v>
      </c>
      <c r="XS1328" s="129">
        <f t="shared" si="1900"/>
        <v>510</v>
      </c>
      <c r="XT1328" s="129">
        <f t="shared" si="1900"/>
        <v>510</v>
      </c>
      <c r="XU1328" s="129">
        <f t="shared" si="1900"/>
        <v>55353154</v>
      </c>
      <c r="XV1328" s="129">
        <f t="shared" si="1900"/>
        <v>56572294</v>
      </c>
      <c r="XW1328" s="129">
        <f t="shared" si="1900"/>
        <v>57394579</v>
      </c>
      <c r="XX1328" s="129">
        <f t="shared" si="1900"/>
        <v>3394839.02</v>
      </c>
      <c r="XY1328" s="129">
        <f t="shared" si="1900"/>
        <v>3461261.42</v>
      </c>
      <c r="XZ1328" s="129">
        <f t="shared" si="1900"/>
        <v>3509568.62</v>
      </c>
      <c r="YA1328" s="185" t="s">
        <v>699</v>
      </c>
      <c r="YB1328" s="185" t="s">
        <v>699</v>
      </c>
      <c r="YC1328" s="185" t="s">
        <v>699</v>
      </c>
      <c r="YD1328" s="185" t="s">
        <v>699</v>
      </c>
      <c r="YE1328" s="185" t="s">
        <v>699</v>
      </c>
      <c r="YF1328" s="185" t="s">
        <v>699</v>
      </c>
      <c r="YG1328" s="129">
        <f t="shared" ref="YG1328:YU1328" si="1901">SUM(YG1329:YG1336)</f>
        <v>20593811.329999998</v>
      </c>
      <c r="YH1328" s="129">
        <f t="shared" si="1901"/>
        <v>21756735.68</v>
      </c>
      <c r="YI1328" s="129">
        <f t="shared" si="1901"/>
        <v>22910799.739999998</v>
      </c>
      <c r="YJ1328" s="129">
        <f t="shared" si="1901"/>
        <v>9074067.3800000008</v>
      </c>
      <c r="YK1328" s="129">
        <f t="shared" si="1901"/>
        <v>10952955.050000001</v>
      </c>
      <c r="YL1328" s="129">
        <f t="shared" si="1901"/>
        <v>11179558.34</v>
      </c>
      <c r="YM1328" s="129">
        <f t="shared" si="1901"/>
        <v>13859</v>
      </c>
      <c r="YN1328" s="129">
        <f t="shared" si="1901"/>
        <v>13859</v>
      </c>
      <c r="YO1328" s="129">
        <f t="shared" si="1901"/>
        <v>13859</v>
      </c>
      <c r="YP1328" s="129">
        <f t="shared" si="1901"/>
        <v>1613870907</v>
      </c>
      <c r="YQ1328" s="129">
        <f t="shared" si="1901"/>
        <v>1651949916</v>
      </c>
      <c r="YR1328" s="129">
        <f t="shared" si="1901"/>
        <v>1676881499</v>
      </c>
      <c r="YS1328" s="129">
        <f t="shared" si="1901"/>
        <v>93947684.060000002</v>
      </c>
      <c r="YT1328" s="129">
        <f t="shared" si="1901"/>
        <v>95818171.579999998</v>
      </c>
      <c r="YU1328" s="129">
        <f t="shared" si="1901"/>
        <v>97178526.140000001</v>
      </c>
      <c r="YV1328" s="185" t="s">
        <v>699</v>
      </c>
      <c r="YW1328" s="185" t="s">
        <v>699</v>
      </c>
      <c r="YX1328" s="185" t="s">
        <v>699</v>
      </c>
      <c r="YY1328" s="185" t="s">
        <v>699</v>
      </c>
      <c r="YZ1328" s="185" t="s">
        <v>699</v>
      </c>
      <c r="ZA1328" s="185" t="s">
        <v>699</v>
      </c>
      <c r="ZB1328" s="129">
        <f t="shared" ref="ZB1328:ZG1328" si="1902">SUM(ZB1329:ZB1336)</f>
        <v>632829676.63</v>
      </c>
      <c r="ZC1328" s="129">
        <f t="shared" si="1902"/>
        <v>668697084.00999999</v>
      </c>
      <c r="ZD1328" s="129">
        <f t="shared" si="1902"/>
        <v>704214227.90999997</v>
      </c>
      <c r="ZE1328" s="129">
        <f t="shared" si="1902"/>
        <v>80777449.930000007</v>
      </c>
      <c r="ZF1328" s="129">
        <f t="shared" si="1902"/>
        <v>86582228.689999998</v>
      </c>
      <c r="ZG1328" s="129">
        <f t="shared" si="1902"/>
        <v>87981628.700000003</v>
      </c>
    </row>
    <row r="1329" spans="1:683" x14ac:dyDescent="0.25">
      <c r="A1329" s="12" t="s">
        <v>609</v>
      </c>
      <c r="B1329" s="174" t="s">
        <v>604</v>
      </c>
      <c r="C1329" s="5"/>
      <c r="D1329" s="340"/>
      <c r="E1329" s="163"/>
      <c r="F1329" s="110">
        <f t="shared" ref="F1329:H1336" si="1903">F53</f>
        <v>108525</v>
      </c>
      <c r="G1329" s="110">
        <f t="shared" si="1903"/>
        <v>110915</v>
      </c>
      <c r="H1329" s="110">
        <f t="shared" si="1903"/>
        <v>112527</v>
      </c>
      <c r="I1329" s="97">
        <f t="shared" ref="I1329:K1336" si="1904">F368</f>
        <v>6656.54</v>
      </c>
      <c r="J1329" s="97">
        <f t="shared" si="1904"/>
        <v>6786.78</v>
      </c>
      <c r="K1329" s="97">
        <f t="shared" si="1904"/>
        <v>6881.5</v>
      </c>
      <c r="L1329" s="102">
        <v>313</v>
      </c>
      <c r="M1329" s="102">
        <v>313</v>
      </c>
      <c r="N1329" s="102">
        <v>313</v>
      </c>
      <c r="O1329" s="97">
        <f t="shared" ref="O1329:O1336" si="1905">$F1329*L1329</f>
        <v>33968325</v>
      </c>
      <c r="P1329" s="97">
        <f t="shared" ref="P1329:P1336" si="1906">$G1329*M1329</f>
        <v>34716395</v>
      </c>
      <c r="Q1329" s="97">
        <f t="shared" ref="Q1329:Q1336" si="1907">$H1329*N1329</f>
        <v>35220951</v>
      </c>
      <c r="R1329" s="97">
        <f t="shared" ref="R1329:R1336" si="1908">$I1329*L1329</f>
        <v>2083497.02</v>
      </c>
      <c r="S1329" s="97">
        <f t="shared" ref="S1329:S1336" si="1909">$J1329*M1329</f>
        <v>2124262.14</v>
      </c>
      <c r="T1329" s="97">
        <f t="shared" ref="T1329:T1336" si="1910">$K1329*N1329</f>
        <v>2153909.5</v>
      </c>
      <c r="U1329" s="97">
        <f t="shared" ref="U1329:U1336" si="1911">$F1329*U$1349</f>
        <v>46829.120000000003</v>
      </c>
      <c r="V1329" s="97">
        <f t="shared" ref="V1329:V1336" si="1912">$G1329*V$1349</f>
        <v>49420.94</v>
      </c>
      <c r="W1329" s="97">
        <f t="shared" ref="W1329:W1336" si="1913">$H1329*W$1349</f>
        <v>52030.85</v>
      </c>
      <c r="X1329" s="97">
        <f t="shared" ref="X1329:X1336" si="1914">$I1329*X$1349</f>
        <v>5219.6000000000004</v>
      </c>
      <c r="Y1329" s="97">
        <f t="shared" ref="Y1329:Y1336" si="1915">$J1329*Y$1349</f>
        <v>5376.54</v>
      </c>
      <c r="Z1329" s="97">
        <f t="shared" ref="Z1329:Z1336" si="1916">$K1329*Z$1349</f>
        <v>5436.18</v>
      </c>
      <c r="AA1329" s="97">
        <f t="shared" ref="AA1329:AC1336" si="1917">L1329*U1329</f>
        <v>14657514.560000001</v>
      </c>
      <c r="AB1329" s="97">
        <f t="shared" si="1917"/>
        <v>15468754.220000001</v>
      </c>
      <c r="AC1329" s="97">
        <f t="shared" si="1917"/>
        <v>16285656.050000001</v>
      </c>
      <c r="AD1329" s="97">
        <f t="shared" ref="AD1329:AF1336" si="1918">L1329*X1329</f>
        <v>1633734.8</v>
      </c>
      <c r="AE1329" s="97">
        <f t="shared" si="1918"/>
        <v>1682857.02</v>
      </c>
      <c r="AF1329" s="97">
        <f t="shared" si="1918"/>
        <v>1701524.34</v>
      </c>
      <c r="AG1329" s="102">
        <v>523</v>
      </c>
      <c r="AH1329" s="102">
        <v>523</v>
      </c>
      <c r="AI1329" s="102">
        <v>523</v>
      </c>
      <c r="AJ1329" s="97">
        <f t="shared" ref="AJ1329:AJ1336" si="1919">$F1329*AG1329</f>
        <v>56758575</v>
      </c>
      <c r="AK1329" s="97">
        <f t="shared" ref="AK1329:AK1336" si="1920">$G1329*AH1329</f>
        <v>58008545</v>
      </c>
      <c r="AL1329" s="97">
        <f t="shared" ref="AL1329:AL1336" si="1921">$H1329*AI1329</f>
        <v>58851621</v>
      </c>
      <c r="AM1329" s="97">
        <f t="shared" ref="AM1329:AM1336" si="1922">$I1329*AG1329</f>
        <v>3481370.42</v>
      </c>
      <c r="AN1329" s="97">
        <f t="shared" ref="AN1329:AN1336" si="1923">$J1329*AH1329</f>
        <v>3549485.94</v>
      </c>
      <c r="AO1329" s="97">
        <f t="shared" ref="AO1329:AO1336" si="1924">$K1329*AI1329</f>
        <v>3599024.5</v>
      </c>
      <c r="AP1329" s="97">
        <f t="shared" ref="AP1329:AP1336" si="1925">$F1329*AP$1349</f>
        <v>43080.63</v>
      </c>
      <c r="AQ1329" s="97">
        <f t="shared" ref="AQ1329:AQ1336" si="1926">$G1329*AQ$1349</f>
        <v>45457.73</v>
      </c>
      <c r="AR1329" s="97">
        <f t="shared" ref="AR1329:AR1336" si="1927">$H1329*AR$1349</f>
        <v>47850.73</v>
      </c>
      <c r="AS1329" s="97">
        <f t="shared" ref="AS1329:AS1336" si="1928">$I1329*AS$1349</f>
        <v>4162.0600000000004</v>
      </c>
      <c r="AT1329" s="97">
        <f t="shared" ref="AT1329:AT1336" si="1929">$J1329*AT$1349</f>
        <v>4352.2299999999996</v>
      </c>
      <c r="AU1329" s="97">
        <f t="shared" ref="AU1329:AU1336" si="1930">$K1329*AU$1349</f>
        <v>4435.0200000000004</v>
      </c>
      <c r="AV1329" s="97">
        <f t="shared" ref="AV1329:AX1336" si="1931">AG1329*AP1329</f>
        <v>22531169.489999998</v>
      </c>
      <c r="AW1329" s="97">
        <f t="shared" si="1931"/>
        <v>23774392.789999999</v>
      </c>
      <c r="AX1329" s="97">
        <f t="shared" si="1931"/>
        <v>25025931.789999999</v>
      </c>
      <c r="AY1329" s="97">
        <f t="shared" ref="AY1329:BA1336" si="1932">AG1329*AS1329</f>
        <v>2176757.38</v>
      </c>
      <c r="AZ1329" s="97">
        <f t="shared" si="1932"/>
        <v>2276216.29</v>
      </c>
      <c r="BA1329" s="97">
        <f t="shared" si="1932"/>
        <v>2319515.46</v>
      </c>
      <c r="BB1329" s="102">
        <v>412</v>
      </c>
      <c r="BC1329" s="102">
        <v>412</v>
      </c>
      <c r="BD1329" s="102">
        <v>412</v>
      </c>
      <c r="BE1329" s="97">
        <f t="shared" ref="BE1329:BE1336" si="1933">$F1329*BB1329</f>
        <v>44712300</v>
      </c>
      <c r="BF1329" s="97">
        <f t="shared" ref="BF1329:BF1336" si="1934">$G1329*BC1329</f>
        <v>45696980</v>
      </c>
      <c r="BG1329" s="97">
        <f t="shared" ref="BG1329:BG1336" si="1935">$H1329*BD1329</f>
        <v>46361124</v>
      </c>
      <c r="BH1329" s="97">
        <f t="shared" ref="BH1329:BH1336" si="1936">$I1329*BB1329</f>
        <v>2742494.48</v>
      </c>
      <c r="BI1329" s="97">
        <f t="shared" ref="BI1329:BI1336" si="1937">$J1329*BC1329</f>
        <v>2796153.36</v>
      </c>
      <c r="BJ1329" s="97">
        <f t="shared" ref="BJ1329:BJ1336" si="1938">$K1329*BD1329</f>
        <v>2835178</v>
      </c>
      <c r="BK1329" s="97">
        <f t="shared" ref="BK1329:BK1336" si="1939">$F1329*BK$1349</f>
        <v>40639.15</v>
      </c>
      <c r="BL1329" s="97">
        <f t="shared" ref="BL1329:BL1336" si="1940">$G1329*BL$1349</f>
        <v>42796.26</v>
      </c>
      <c r="BM1329" s="97">
        <f t="shared" ref="BM1329:BM1336" si="1941">$H1329*BM$1349</f>
        <v>45000.3</v>
      </c>
      <c r="BN1329" s="97">
        <f t="shared" ref="BN1329:BN1336" si="1942">$I1329*BN$1349</f>
        <v>4446</v>
      </c>
      <c r="BO1329" s="97">
        <f t="shared" ref="BO1329:BO1336" si="1943">$J1329*BO$1349</f>
        <v>4649.17</v>
      </c>
      <c r="BP1329" s="97">
        <f t="shared" ref="BP1329:BP1336" si="1944">$K1329*BP$1349</f>
        <v>4728.82</v>
      </c>
      <c r="BQ1329" s="97">
        <f t="shared" ref="BQ1329:BS1336" si="1945">BB1329*BK1329</f>
        <v>16743329.800000001</v>
      </c>
      <c r="BR1329" s="97">
        <f t="shared" si="1945"/>
        <v>17632059.120000001</v>
      </c>
      <c r="BS1329" s="97">
        <f t="shared" si="1945"/>
        <v>18540123.600000001</v>
      </c>
      <c r="BT1329" s="97">
        <f t="shared" ref="BT1329:BV1336" si="1946">BB1329*BN1329</f>
        <v>1831752</v>
      </c>
      <c r="BU1329" s="97">
        <f t="shared" si="1946"/>
        <v>1915458.04</v>
      </c>
      <c r="BV1329" s="97">
        <f t="shared" si="1946"/>
        <v>1948273.84</v>
      </c>
      <c r="BW1329" s="102">
        <v>311</v>
      </c>
      <c r="BX1329" s="102">
        <v>311</v>
      </c>
      <c r="BY1329" s="102">
        <v>311</v>
      </c>
      <c r="BZ1329" s="97">
        <f t="shared" ref="BZ1329:BZ1336" si="1947">$F1329*BW1329</f>
        <v>33751275</v>
      </c>
      <c r="CA1329" s="97">
        <f t="shared" ref="CA1329:CA1336" si="1948">$G1329*BX1329</f>
        <v>34494565</v>
      </c>
      <c r="CB1329" s="97">
        <f t="shared" ref="CB1329:CB1336" si="1949">$H1329*BY1329</f>
        <v>34995897</v>
      </c>
      <c r="CC1329" s="97">
        <f t="shared" ref="CC1329:CC1336" si="1950">$I1329*BW1329</f>
        <v>2070183.94</v>
      </c>
      <c r="CD1329" s="97">
        <f t="shared" ref="CD1329:CD1336" si="1951">$J1329*BX1329</f>
        <v>2110688.58</v>
      </c>
      <c r="CE1329" s="97">
        <f t="shared" ref="CE1329:CE1336" si="1952">$K1329*BY1329</f>
        <v>2140146.5</v>
      </c>
      <c r="CF1329" s="97">
        <f t="shared" ref="CF1329:CF1336" si="1953">$F1329*CF$1349</f>
        <v>41969.2</v>
      </c>
      <c r="CG1329" s="97">
        <f t="shared" ref="CG1329:CG1336" si="1954">$G1329*CG$1349</f>
        <v>44318.239999999998</v>
      </c>
      <c r="CH1329" s="97">
        <f t="shared" ref="CH1329:CH1336" si="1955">$H1329*CH$1349</f>
        <v>46654.16</v>
      </c>
      <c r="CI1329" s="97">
        <f t="shared" ref="CI1329:CI1336" si="1956">$I1329*CI$1349</f>
        <v>6854.05</v>
      </c>
      <c r="CJ1329" s="97">
        <f t="shared" ref="CJ1329:CJ1336" si="1957">$J1329*CJ$1349</f>
        <v>7024.43</v>
      </c>
      <c r="CK1329" s="97">
        <f t="shared" ref="CK1329:CK1336" si="1958">$K1329*CK$1349</f>
        <v>7088.04</v>
      </c>
      <c r="CL1329" s="97">
        <f t="shared" ref="CL1329:CN1336" si="1959">BW1329*CF1329</f>
        <v>13052421.199999999</v>
      </c>
      <c r="CM1329" s="97">
        <f t="shared" si="1959"/>
        <v>13782972.640000001</v>
      </c>
      <c r="CN1329" s="97">
        <f t="shared" si="1959"/>
        <v>14509443.76</v>
      </c>
      <c r="CO1329" s="97">
        <f t="shared" ref="CO1329:CQ1336" si="1960">BW1329*CI1329</f>
        <v>2131609.5499999998</v>
      </c>
      <c r="CP1329" s="97">
        <f t="shared" si="1960"/>
        <v>2184597.73</v>
      </c>
      <c r="CQ1329" s="97">
        <f t="shared" si="1960"/>
        <v>2204380.44</v>
      </c>
      <c r="CR1329" s="102">
        <v>428</v>
      </c>
      <c r="CS1329" s="102">
        <v>428</v>
      </c>
      <c r="CT1329" s="102">
        <v>428</v>
      </c>
      <c r="CU1329" s="97">
        <f t="shared" ref="CU1329:CU1336" si="1961">$F1329*CR1329</f>
        <v>46448700</v>
      </c>
      <c r="CV1329" s="97">
        <f t="shared" ref="CV1329:CV1336" si="1962">$G1329*CS1329</f>
        <v>47471620</v>
      </c>
      <c r="CW1329" s="97">
        <f t="shared" ref="CW1329:CW1336" si="1963">$H1329*CT1329</f>
        <v>48161556</v>
      </c>
      <c r="CX1329" s="97">
        <f t="shared" ref="CX1329:CX1336" si="1964">$I1329*CR1329</f>
        <v>2848999.12</v>
      </c>
      <c r="CY1329" s="97">
        <f t="shared" ref="CY1329:CY1336" si="1965">$J1329*CS1329</f>
        <v>2904741.84</v>
      </c>
      <c r="CZ1329" s="97">
        <f t="shared" ref="CZ1329:CZ1336" si="1966">$K1329*CT1329</f>
        <v>2945282</v>
      </c>
      <c r="DA1329" s="97">
        <f t="shared" ref="DA1329:DA1336" si="1967">$F1329*DA$1349</f>
        <v>42292.38</v>
      </c>
      <c r="DB1329" s="97">
        <f t="shared" ref="DB1329:DB1336" si="1968">$G1329*DB$1349</f>
        <v>44621.13</v>
      </c>
      <c r="DC1329" s="97">
        <f t="shared" ref="DC1329:DC1336" si="1969">$H1329*DC$1349</f>
        <v>46970.26</v>
      </c>
      <c r="DD1329" s="97">
        <f t="shared" ref="DD1329:DD1336" si="1970">$I1329*DD$1349</f>
        <v>3318.3</v>
      </c>
      <c r="DE1329" s="97">
        <f t="shared" ref="DE1329:DE1336" si="1971">$J1329*DE$1349</f>
        <v>3417.46</v>
      </c>
      <c r="DF1329" s="97">
        <f t="shared" ref="DF1329:DF1336" si="1972">$K1329*DF$1349</f>
        <v>3459.06</v>
      </c>
      <c r="DG1329" s="97">
        <f t="shared" ref="DG1329:DI1336" si="1973">CR1329*DA1329</f>
        <v>18101138.640000001</v>
      </c>
      <c r="DH1329" s="97">
        <f t="shared" si="1973"/>
        <v>19097843.640000001</v>
      </c>
      <c r="DI1329" s="97">
        <f t="shared" si="1973"/>
        <v>20103271.280000001</v>
      </c>
      <c r="DJ1329" s="97">
        <f t="shared" ref="DJ1329:DL1336" si="1974">CR1329*DD1329</f>
        <v>1420232.4</v>
      </c>
      <c r="DK1329" s="97">
        <f t="shared" si="1974"/>
        <v>1462672.88</v>
      </c>
      <c r="DL1329" s="97">
        <f t="shared" si="1974"/>
        <v>1480477.68</v>
      </c>
      <c r="DM1329" s="102">
        <v>358</v>
      </c>
      <c r="DN1329" s="102">
        <v>358</v>
      </c>
      <c r="DO1329" s="102">
        <v>358</v>
      </c>
      <c r="DP1329" s="97">
        <f t="shared" ref="DP1329:DP1336" si="1975">$F1329*DM1329</f>
        <v>38851950</v>
      </c>
      <c r="DQ1329" s="97">
        <f t="shared" ref="DQ1329:DQ1336" si="1976">$G1329*DN1329</f>
        <v>39707570</v>
      </c>
      <c r="DR1329" s="97">
        <f t="shared" ref="DR1329:DR1336" si="1977">$H1329*DO1329</f>
        <v>40284666</v>
      </c>
      <c r="DS1329" s="97">
        <f t="shared" ref="DS1329:DS1336" si="1978">$I1329*DM1329</f>
        <v>2383041.3199999998</v>
      </c>
      <c r="DT1329" s="97">
        <f t="shared" ref="DT1329:DT1336" si="1979">$J1329*DN1329</f>
        <v>2429667.2400000002</v>
      </c>
      <c r="DU1329" s="97">
        <f t="shared" ref="DU1329:DU1336" si="1980">$K1329*DO1329</f>
        <v>2463577</v>
      </c>
      <c r="DV1329" s="97">
        <f t="shared" ref="DV1329:DV1336" si="1981">$F1329*DV$1349</f>
        <v>45922.14</v>
      </c>
      <c r="DW1329" s="97">
        <f t="shared" ref="DW1329:DW1336" si="1982">$G1329*DW$1349</f>
        <v>48526.01</v>
      </c>
      <c r="DX1329" s="97">
        <f t="shared" ref="DX1329:DX1336" si="1983">$H1329*DX$1349</f>
        <v>51105.38</v>
      </c>
      <c r="DY1329" s="97">
        <f t="shared" ref="DY1329:DY1336" si="1984">$I1329*DY$1349</f>
        <v>6950.34</v>
      </c>
      <c r="DZ1329" s="97">
        <f t="shared" ref="DZ1329:DZ1336" si="1985">$J1329*DZ$1349</f>
        <v>6884.12</v>
      </c>
      <c r="EA1329" s="97">
        <f t="shared" ref="EA1329:EA1336" si="1986">$K1329*EA$1349</f>
        <v>6961.11</v>
      </c>
      <c r="EB1329" s="97">
        <f t="shared" ref="EB1329:ED1336" si="1987">DM1329*DV1329</f>
        <v>16440126.119999999</v>
      </c>
      <c r="EC1329" s="97">
        <f t="shared" si="1987"/>
        <v>17372311.579999998</v>
      </c>
      <c r="ED1329" s="97">
        <f t="shared" si="1987"/>
        <v>18295726.039999999</v>
      </c>
      <c r="EE1329" s="97">
        <f t="shared" ref="EE1329:EG1336" si="1988">DM1329*DY1329</f>
        <v>2488221.7200000002</v>
      </c>
      <c r="EF1329" s="97">
        <f t="shared" si="1988"/>
        <v>2464514.96</v>
      </c>
      <c r="EG1329" s="97">
        <f t="shared" si="1988"/>
        <v>2492077.38</v>
      </c>
      <c r="EH1329" s="102">
        <v>305</v>
      </c>
      <c r="EI1329" s="102">
        <v>305</v>
      </c>
      <c r="EJ1329" s="102">
        <v>305</v>
      </c>
      <c r="EK1329" s="97">
        <f t="shared" ref="EK1329:EK1336" si="1989">$F1329*EH1329</f>
        <v>33100125</v>
      </c>
      <c r="EL1329" s="97">
        <f t="shared" ref="EL1329:EL1336" si="1990">$G1329*EI1329</f>
        <v>33829075</v>
      </c>
      <c r="EM1329" s="97">
        <f t="shared" ref="EM1329:EM1336" si="1991">$H1329*EJ1329</f>
        <v>34320735</v>
      </c>
      <c r="EN1329" s="97">
        <f t="shared" ref="EN1329:EN1336" si="1992">$I1329*EH1329</f>
        <v>2030244.7</v>
      </c>
      <c r="EO1329" s="97">
        <f t="shared" ref="EO1329:EO1336" si="1993">$J1329*EI1329</f>
        <v>2069967.9</v>
      </c>
      <c r="EP1329" s="97">
        <f t="shared" ref="EP1329:EP1336" si="1994">$K1329*EJ1329</f>
        <v>2098857.5</v>
      </c>
      <c r="EQ1329" s="97">
        <f t="shared" ref="EQ1329:EQ1336" si="1995">$F1329*EQ$1349</f>
        <v>45392.27</v>
      </c>
      <c r="ER1329" s="97">
        <f t="shared" ref="ER1329:ER1336" si="1996">$G1329*ER$1349</f>
        <v>47817.99</v>
      </c>
      <c r="ES1329" s="97">
        <f t="shared" ref="ES1329:ES1336" si="1997">$H1329*ES$1349</f>
        <v>50312.05</v>
      </c>
      <c r="ET1329" s="97">
        <f t="shared" ref="ET1329:ET1336" si="1998">$I1329*ET$1349</f>
        <v>5835.12</v>
      </c>
      <c r="EU1329" s="97">
        <f t="shared" ref="EU1329:EU1336" si="1999">$J1329*EU$1349</f>
        <v>6091.71</v>
      </c>
      <c r="EV1329" s="97">
        <f t="shared" ref="EV1329:EV1336" si="2000">$K1329*EV$1349</f>
        <v>6202.55</v>
      </c>
      <c r="EW1329" s="97">
        <f t="shared" ref="EW1329:EY1336" si="2001">EH1329*EQ1329</f>
        <v>13844642.35</v>
      </c>
      <c r="EX1329" s="97">
        <f t="shared" si="2001"/>
        <v>14584486.949999999</v>
      </c>
      <c r="EY1329" s="97">
        <f t="shared" si="2001"/>
        <v>15345175.25</v>
      </c>
      <c r="EZ1329" s="97">
        <f t="shared" ref="EZ1329:FB1336" si="2002">EH1329*ET1329</f>
        <v>1779711.6</v>
      </c>
      <c r="FA1329" s="97">
        <f t="shared" si="2002"/>
        <v>1857971.55</v>
      </c>
      <c r="FB1329" s="97">
        <f t="shared" si="2002"/>
        <v>1891777.75</v>
      </c>
      <c r="FC1329" s="102">
        <v>401</v>
      </c>
      <c r="FD1329" s="102">
        <v>401</v>
      </c>
      <c r="FE1329" s="102">
        <v>401</v>
      </c>
      <c r="FF1329" s="97">
        <f t="shared" ref="FF1329:FF1336" si="2003">$F1329*FC1329</f>
        <v>43518525</v>
      </c>
      <c r="FG1329" s="97">
        <f t="shared" ref="FG1329:FG1336" si="2004">$G1329*FD1329</f>
        <v>44476915</v>
      </c>
      <c r="FH1329" s="97">
        <f t="shared" ref="FH1329:FH1336" si="2005">$H1329*FE1329</f>
        <v>45123327</v>
      </c>
      <c r="FI1329" s="97">
        <f t="shared" ref="FI1329:FI1336" si="2006">$I1329*FC1329</f>
        <v>2669272.54</v>
      </c>
      <c r="FJ1329" s="97">
        <f t="shared" ref="FJ1329:FJ1336" si="2007">$J1329*FD1329</f>
        <v>2721498.78</v>
      </c>
      <c r="FK1329" s="97">
        <f t="shared" ref="FK1329:FK1336" si="2008">$K1329*FE1329</f>
        <v>2759481.5</v>
      </c>
      <c r="FL1329" s="97">
        <f t="shared" ref="FL1329:FL1336" si="2009">$F1329*FL$1349</f>
        <v>44100.75</v>
      </c>
      <c r="FM1329" s="97">
        <f t="shared" ref="FM1329:FM1336" si="2010">$G1329*FM$1349</f>
        <v>46551.47</v>
      </c>
      <c r="FN1329" s="97">
        <f t="shared" ref="FN1329:FN1336" si="2011">$H1329*FN$1349</f>
        <v>49008.42</v>
      </c>
      <c r="FO1329" s="97">
        <f t="shared" ref="FO1329:FO1336" si="2012">$I1329*FO$1349</f>
        <v>6275.94</v>
      </c>
      <c r="FP1329" s="97">
        <f t="shared" ref="FP1329:FP1336" si="2013">$J1329*FP$1349</f>
        <v>6592.75</v>
      </c>
      <c r="FQ1329" s="97">
        <f t="shared" ref="FQ1329:FQ1336" si="2014">$K1329*FQ$1349</f>
        <v>6559.57</v>
      </c>
      <c r="FR1329" s="97">
        <f t="shared" ref="FR1329:FT1336" si="2015">FC1329*FL1329</f>
        <v>17684400.75</v>
      </c>
      <c r="FS1329" s="97">
        <f t="shared" si="2015"/>
        <v>18667139.469999999</v>
      </c>
      <c r="FT1329" s="97">
        <f t="shared" si="2015"/>
        <v>19652376.420000002</v>
      </c>
      <c r="FU1329" s="97">
        <f t="shared" ref="FU1329:FW1336" si="2016">FC1329*FO1329</f>
        <v>2516651.94</v>
      </c>
      <c r="FV1329" s="97">
        <f t="shared" si="2016"/>
        <v>2643692.75</v>
      </c>
      <c r="FW1329" s="97">
        <f t="shared" si="2016"/>
        <v>2630387.5699999998</v>
      </c>
      <c r="FX1329" s="102">
        <v>428</v>
      </c>
      <c r="FY1329" s="102">
        <v>428</v>
      </c>
      <c r="FZ1329" s="102">
        <v>428</v>
      </c>
      <c r="GA1329" s="97">
        <f t="shared" ref="GA1329:GA1336" si="2017">$F1329*FX1329</f>
        <v>46448700</v>
      </c>
      <c r="GB1329" s="97">
        <f t="shared" ref="GB1329:GB1336" si="2018">$G1329*FY1329</f>
        <v>47471620</v>
      </c>
      <c r="GC1329" s="97">
        <f t="shared" ref="GC1329:GC1336" si="2019">$H1329*FZ1329</f>
        <v>48161556</v>
      </c>
      <c r="GD1329" s="97">
        <f t="shared" ref="GD1329:GD1336" si="2020">$I1329*FX1329</f>
        <v>2848999.12</v>
      </c>
      <c r="GE1329" s="97">
        <f t="shared" ref="GE1329:GE1336" si="2021">$J1329*FY1329</f>
        <v>2904741.84</v>
      </c>
      <c r="GF1329" s="97">
        <f t="shared" ref="GF1329:GF1336" si="2022">$K1329*FZ1329</f>
        <v>2945282</v>
      </c>
      <c r="GG1329" s="97">
        <f t="shared" ref="GG1329:GG1336" si="2023">$F1329*GG$1349</f>
        <v>44031.44</v>
      </c>
      <c r="GH1329" s="97">
        <f t="shared" ref="GH1329:GH1336" si="2024">$G1329*GH$1349</f>
        <v>46427.64</v>
      </c>
      <c r="GI1329" s="97">
        <f t="shared" ref="GI1329:GI1336" si="2025">$H1329*GI$1349</f>
        <v>48853.59</v>
      </c>
      <c r="GJ1329" s="97">
        <f t="shared" ref="GJ1329:GJ1336" si="2026">$I1329*GJ$1349</f>
        <v>4705.79</v>
      </c>
      <c r="GK1329" s="97">
        <f t="shared" ref="GK1329:GK1336" si="2027">$J1329*GK$1349</f>
        <v>5328.11</v>
      </c>
      <c r="GL1329" s="97">
        <f t="shared" ref="GL1329:GL1336" si="2028">$K1329*GL$1349</f>
        <v>5742.25</v>
      </c>
      <c r="GM1329" s="97">
        <f t="shared" ref="GM1329:GO1336" si="2029">FX1329*GG1329</f>
        <v>18845456.32</v>
      </c>
      <c r="GN1329" s="97">
        <f t="shared" si="2029"/>
        <v>19871029.920000002</v>
      </c>
      <c r="GO1329" s="97">
        <f t="shared" si="2029"/>
        <v>20909336.52</v>
      </c>
      <c r="GP1329" s="97">
        <f t="shared" ref="GP1329:GR1336" si="2030">FX1329*GJ1329</f>
        <v>2014078.12</v>
      </c>
      <c r="GQ1329" s="97">
        <f t="shared" si="2030"/>
        <v>2280431.08</v>
      </c>
      <c r="GR1329" s="97">
        <f t="shared" si="2030"/>
        <v>2457683</v>
      </c>
      <c r="GS1329" s="102">
        <v>362</v>
      </c>
      <c r="GT1329" s="102">
        <v>362</v>
      </c>
      <c r="GU1329" s="102">
        <v>362</v>
      </c>
      <c r="GV1329" s="97">
        <f t="shared" ref="GV1329:GV1336" si="2031">$F1329*GS1329</f>
        <v>39286050</v>
      </c>
      <c r="GW1329" s="97">
        <f t="shared" ref="GW1329:GW1336" si="2032">$G1329*GT1329</f>
        <v>40151230</v>
      </c>
      <c r="GX1329" s="97">
        <f t="shared" ref="GX1329:GX1336" si="2033">$H1329*GU1329</f>
        <v>40734774</v>
      </c>
      <c r="GY1329" s="97">
        <f t="shared" ref="GY1329:GY1336" si="2034">$I1329*GS1329</f>
        <v>2409667.48</v>
      </c>
      <c r="GZ1329" s="97">
        <f t="shared" ref="GZ1329:GZ1336" si="2035">$J1329*GT1329</f>
        <v>2456814.36</v>
      </c>
      <c r="HA1329" s="97">
        <f t="shared" ref="HA1329:HA1336" si="2036">$K1329*GU1329</f>
        <v>2491103</v>
      </c>
      <c r="HB1329" s="97">
        <f t="shared" ref="HB1329:HB1336" si="2037">$F1329*HB$1349</f>
        <v>45996.83</v>
      </c>
      <c r="HC1329" s="97">
        <f t="shared" ref="HC1329:HC1336" si="2038">$G1329*HC$1349</f>
        <v>48480.44</v>
      </c>
      <c r="HD1329" s="97">
        <f t="shared" ref="HD1329:HD1336" si="2039">$H1329*HD$1349</f>
        <v>51012.27</v>
      </c>
      <c r="HE1329" s="97">
        <f t="shared" ref="HE1329:HE1336" si="2040">$I1329*HE$1349</f>
        <v>5475.26</v>
      </c>
      <c r="HF1329" s="97">
        <f t="shared" ref="HF1329:HF1336" si="2041">$J1329*HF$1349</f>
        <v>5699.04</v>
      </c>
      <c r="HG1329" s="97">
        <f t="shared" ref="HG1329:HG1336" si="2042">$K1329*HG$1349</f>
        <v>5788.82</v>
      </c>
      <c r="HH1329" s="97">
        <f t="shared" ref="HH1329:HJ1336" si="2043">GS1329*HB1329</f>
        <v>16650852.460000001</v>
      </c>
      <c r="HI1329" s="97">
        <f t="shared" si="2043"/>
        <v>17549919.280000001</v>
      </c>
      <c r="HJ1329" s="97">
        <f t="shared" si="2043"/>
        <v>18466441.739999998</v>
      </c>
      <c r="HK1329" s="97">
        <f t="shared" ref="HK1329:HM1336" si="2044">GS1329*HE1329</f>
        <v>1982044.12</v>
      </c>
      <c r="HL1329" s="97">
        <f t="shared" si="2044"/>
        <v>2063052.48</v>
      </c>
      <c r="HM1329" s="97">
        <f t="shared" si="2044"/>
        <v>2095552.84</v>
      </c>
      <c r="HN1329" s="102">
        <v>380</v>
      </c>
      <c r="HO1329" s="102">
        <v>380</v>
      </c>
      <c r="HP1329" s="102">
        <v>380</v>
      </c>
      <c r="HQ1329" s="97">
        <f t="shared" ref="HQ1329:HQ1336" si="2045">$F1329*HN1329</f>
        <v>41239500</v>
      </c>
      <c r="HR1329" s="97">
        <f t="shared" ref="HR1329:HR1336" si="2046">$G1329*HO1329</f>
        <v>42147700</v>
      </c>
      <c r="HS1329" s="97">
        <f t="shared" ref="HS1329:HS1336" si="2047">$H1329*HP1329</f>
        <v>42760260</v>
      </c>
      <c r="HT1329" s="97">
        <f t="shared" ref="HT1329:HT1336" si="2048">$I1329*HN1329</f>
        <v>2529485.2000000002</v>
      </c>
      <c r="HU1329" s="97">
        <f t="shared" ref="HU1329:HU1336" si="2049">$J1329*HO1329</f>
        <v>2578976.4</v>
      </c>
      <c r="HV1329" s="97">
        <f t="shared" ref="HV1329:HV1336" si="2050">$K1329*HP1329</f>
        <v>2614970</v>
      </c>
      <c r="HW1329" s="97">
        <f t="shared" ref="HW1329:HW1336" si="2051">$F1329*HW$1349</f>
        <v>45267.28</v>
      </c>
      <c r="HX1329" s="97">
        <f t="shared" ref="HX1329:HX1336" si="2052">$G1329*HX$1349</f>
        <v>47782.05</v>
      </c>
      <c r="HY1329" s="97">
        <f t="shared" ref="HY1329:HY1336" si="2053">$H1329*HY$1349</f>
        <v>50286.53</v>
      </c>
      <c r="HZ1329" s="97">
        <f t="shared" ref="HZ1329:HZ1336" si="2054">$I1329*HZ$1349</f>
        <v>5223.04</v>
      </c>
      <c r="IA1329" s="97">
        <f t="shared" ref="IA1329:IA1336" si="2055">$J1329*IA$1349</f>
        <v>5433.24</v>
      </c>
      <c r="IB1329" s="97">
        <f t="shared" ref="IB1329:IB1336" si="2056">$K1329*IB$1349</f>
        <v>5424.35</v>
      </c>
      <c r="IC1329" s="97">
        <f t="shared" ref="IC1329:IE1336" si="2057">HN1329*HW1329</f>
        <v>17201566.399999999</v>
      </c>
      <c r="ID1329" s="97">
        <f t="shared" si="2057"/>
        <v>18157179</v>
      </c>
      <c r="IE1329" s="97">
        <f t="shared" si="2057"/>
        <v>19108881.399999999</v>
      </c>
      <c r="IF1329" s="97">
        <f t="shared" ref="IF1329:IH1336" si="2058">HN1329*HZ1329</f>
        <v>1984755.2</v>
      </c>
      <c r="IG1329" s="97">
        <f t="shared" si="2058"/>
        <v>2064631.2</v>
      </c>
      <c r="IH1329" s="97">
        <f t="shared" si="2058"/>
        <v>2061253</v>
      </c>
      <c r="II1329" s="102"/>
      <c r="IJ1329" s="102"/>
      <c r="IK1329" s="102"/>
      <c r="IL1329" s="97">
        <f t="shared" ref="IL1329:IL1336" si="2059">$F1329*II1329</f>
        <v>0</v>
      </c>
      <c r="IM1329" s="97">
        <f t="shared" ref="IM1329:IM1336" si="2060">$G1329*IJ1329</f>
        <v>0</v>
      </c>
      <c r="IN1329" s="97">
        <f t="shared" ref="IN1329:IN1336" si="2061">$H1329*IK1329</f>
        <v>0</v>
      </c>
      <c r="IO1329" s="97">
        <f t="shared" ref="IO1329:IO1336" si="2062">$I1329*II1329</f>
        <v>0</v>
      </c>
      <c r="IP1329" s="97">
        <f t="shared" ref="IP1329:IP1336" si="2063">$J1329*IJ1329</f>
        <v>0</v>
      </c>
      <c r="IQ1329" s="97">
        <f t="shared" ref="IQ1329:IQ1336" si="2064">$K1329*IK1329</f>
        <v>0</v>
      </c>
      <c r="IR1329" s="97">
        <f t="shared" ref="IR1329:IR1336" si="2065">$F1329*IR$1349</f>
        <v>61492.58</v>
      </c>
      <c r="IS1329" s="97">
        <f t="shared" ref="IS1329:IS1336" si="2066">$G1329*IS$1349</f>
        <v>64740.27</v>
      </c>
      <c r="IT1329" s="97">
        <f t="shared" ref="IT1329:IT1336" si="2067">$H1329*IT$1349</f>
        <v>68108.899999999994</v>
      </c>
      <c r="IU1329" s="97">
        <f t="shared" ref="IU1329:IU1336" si="2068">$I1329*IU$1349</f>
        <v>7896.22</v>
      </c>
      <c r="IV1329" s="97">
        <f t="shared" ref="IV1329:IV1336" si="2069">$J1329*IV$1349</f>
        <v>8213.49</v>
      </c>
      <c r="IW1329" s="97">
        <f t="shared" ref="IW1329:IW1336" si="2070">$K1329*IW$1349</f>
        <v>8142.45</v>
      </c>
      <c r="IX1329" s="97">
        <f t="shared" ref="IX1329:IZ1336" si="2071">II1329*IR1329</f>
        <v>0</v>
      </c>
      <c r="IY1329" s="97">
        <f t="shared" si="2071"/>
        <v>0</v>
      </c>
      <c r="IZ1329" s="97">
        <f t="shared" si="2071"/>
        <v>0</v>
      </c>
      <c r="JA1329" s="97">
        <f t="shared" ref="JA1329:JC1336" si="2072">II1329*IU1329</f>
        <v>0</v>
      </c>
      <c r="JB1329" s="97">
        <f t="shared" si="2072"/>
        <v>0</v>
      </c>
      <c r="JC1329" s="97">
        <f t="shared" si="2072"/>
        <v>0</v>
      </c>
      <c r="JD1329" s="102">
        <v>427</v>
      </c>
      <c r="JE1329" s="102">
        <v>427</v>
      </c>
      <c r="JF1329" s="102">
        <v>427</v>
      </c>
      <c r="JG1329" s="97">
        <f t="shared" ref="JG1329:JG1336" si="2073">$F1329*JD1329</f>
        <v>46340175</v>
      </c>
      <c r="JH1329" s="97">
        <f t="shared" ref="JH1329:JH1336" si="2074">$G1329*JE1329</f>
        <v>47360705</v>
      </c>
      <c r="JI1329" s="97">
        <f t="shared" ref="JI1329:JI1336" si="2075">$H1329*JF1329</f>
        <v>48049029</v>
      </c>
      <c r="JJ1329" s="97">
        <f t="shared" ref="JJ1329:JJ1336" si="2076">$I1329*JD1329</f>
        <v>2842342.58</v>
      </c>
      <c r="JK1329" s="97">
        <f t="shared" ref="JK1329:JK1336" si="2077">$J1329*JE1329</f>
        <v>2897955.06</v>
      </c>
      <c r="JL1329" s="97">
        <f t="shared" ref="JL1329:JL1336" si="2078">$K1329*JF1329</f>
        <v>2938400.5</v>
      </c>
      <c r="JM1329" s="97">
        <f t="shared" ref="JM1329:JM1336" si="2079">$F1329*JM$1349</f>
        <v>41220.94</v>
      </c>
      <c r="JN1329" s="97">
        <f t="shared" ref="JN1329:JN1336" si="2080">$G1329*JN$1349</f>
        <v>43484.82</v>
      </c>
      <c r="JO1329" s="97">
        <f t="shared" ref="JO1329:JO1336" si="2081">$H1329*JO$1349</f>
        <v>45771.77</v>
      </c>
      <c r="JP1329" s="97">
        <f t="shared" ref="JP1329:JP1336" si="2082">$I1329*JP$1349</f>
        <v>4304.99</v>
      </c>
      <c r="JQ1329" s="97">
        <f t="shared" ref="JQ1329:JQ1336" si="2083">$J1329*JQ$1349</f>
        <v>4559.71</v>
      </c>
      <c r="JR1329" s="97">
        <f t="shared" ref="JR1329:JR1336" si="2084">$K1329*JR$1349</f>
        <v>4634.3500000000004</v>
      </c>
      <c r="JS1329" s="97">
        <f t="shared" ref="JS1329:JU1336" si="2085">JD1329*JM1329</f>
        <v>17601341.379999999</v>
      </c>
      <c r="JT1329" s="97">
        <f t="shared" si="2085"/>
        <v>18568018.140000001</v>
      </c>
      <c r="JU1329" s="97">
        <f t="shared" si="2085"/>
        <v>19544545.789999999</v>
      </c>
      <c r="JV1329" s="97">
        <f t="shared" ref="JV1329:JX1336" si="2086">JD1329*JP1329</f>
        <v>1838230.73</v>
      </c>
      <c r="JW1329" s="97">
        <f t="shared" si="2086"/>
        <v>1946996.17</v>
      </c>
      <c r="JX1329" s="97">
        <f t="shared" si="2086"/>
        <v>1978867.45</v>
      </c>
      <c r="JY1329" s="102">
        <v>472</v>
      </c>
      <c r="JZ1329" s="102">
        <v>472</v>
      </c>
      <c r="KA1329" s="102">
        <v>472</v>
      </c>
      <c r="KB1329" s="97">
        <f t="shared" ref="KB1329:KB1336" si="2087">$F1329*JY1329</f>
        <v>51223800</v>
      </c>
      <c r="KC1329" s="97">
        <f t="shared" ref="KC1329:KC1336" si="2088">$G1329*JZ1329</f>
        <v>52351880</v>
      </c>
      <c r="KD1329" s="97">
        <f t="shared" ref="KD1329:KD1336" si="2089">$H1329*KA1329</f>
        <v>53112744</v>
      </c>
      <c r="KE1329" s="97">
        <f t="shared" ref="KE1329:KE1336" si="2090">$I1329*JY1329</f>
        <v>3141886.88</v>
      </c>
      <c r="KF1329" s="97">
        <f t="shared" ref="KF1329:KF1336" si="2091">$J1329*JZ1329</f>
        <v>3203360.16</v>
      </c>
      <c r="KG1329" s="97">
        <f t="shared" ref="KG1329:KG1336" si="2092">$K1329*KA1329</f>
        <v>3248068</v>
      </c>
      <c r="KH1329" s="97">
        <f t="shared" ref="KH1329:KH1336" si="2093">$F1329*KH$1349</f>
        <v>42379.46</v>
      </c>
      <c r="KI1329" s="97">
        <f t="shared" ref="KI1329:KI1336" si="2094">$G1329*KI$1349</f>
        <v>44669.13</v>
      </c>
      <c r="KJ1329" s="97">
        <f t="shared" ref="KJ1329:KJ1336" si="2095">$H1329*KJ$1349</f>
        <v>47007.78</v>
      </c>
      <c r="KK1329" s="97">
        <f t="shared" ref="KK1329:KK1336" si="2096">$I1329*KK$1349</f>
        <v>4035.72</v>
      </c>
      <c r="KL1329" s="97">
        <f t="shared" ref="KL1329:KL1336" si="2097">$J1329*KL$1349</f>
        <v>4225.82</v>
      </c>
      <c r="KM1329" s="97">
        <f t="shared" ref="KM1329:KM1336" si="2098">$K1329*KM$1349</f>
        <v>4264.55</v>
      </c>
      <c r="KN1329" s="97">
        <f t="shared" ref="KN1329:KP1336" si="2099">JY1329*KH1329</f>
        <v>20003105.120000001</v>
      </c>
      <c r="KO1329" s="97">
        <f t="shared" si="2099"/>
        <v>21083829.359999999</v>
      </c>
      <c r="KP1329" s="97">
        <f t="shared" si="2099"/>
        <v>22187672.16</v>
      </c>
      <c r="KQ1329" s="97">
        <f t="shared" ref="KQ1329:KS1336" si="2100">JY1329*KK1329</f>
        <v>1904859.84</v>
      </c>
      <c r="KR1329" s="97">
        <f t="shared" si="2100"/>
        <v>1994587.04</v>
      </c>
      <c r="KS1329" s="97">
        <f t="shared" si="2100"/>
        <v>2012867.6</v>
      </c>
      <c r="KT1329" s="102">
        <v>448</v>
      </c>
      <c r="KU1329" s="102">
        <v>448</v>
      </c>
      <c r="KV1329" s="102">
        <v>448</v>
      </c>
      <c r="KW1329" s="97">
        <f t="shared" ref="KW1329:KW1336" si="2101">$F1329*KT1329</f>
        <v>48619200</v>
      </c>
      <c r="KX1329" s="97">
        <f t="shared" ref="KX1329:KX1336" si="2102">$G1329*KU1329</f>
        <v>49689920</v>
      </c>
      <c r="KY1329" s="97">
        <f t="shared" ref="KY1329:KY1336" si="2103">$H1329*KV1329</f>
        <v>50412096</v>
      </c>
      <c r="KZ1329" s="97">
        <f t="shared" ref="KZ1329:KZ1336" si="2104">$I1329*KT1329</f>
        <v>2982129.92</v>
      </c>
      <c r="LA1329" s="97">
        <f t="shared" ref="LA1329:LA1336" si="2105">$J1329*KU1329</f>
        <v>3040477.44</v>
      </c>
      <c r="LB1329" s="97">
        <f t="shared" ref="LB1329:LB1336" si="2106">$K1329*KV1329</f>
        <v>3082912</v>
      </c>
      <c r="LC1329" s="97">
        <f t="shared" ref="LC1329:LC1336" si="2107">$F1329*LC$1349</f>
        <v>40002.39</v>
      </c>
      <c r="LD1329" s="97">
        <f t="shared" ref="LD1329:LD1336" si="2108">$G1329*LD$1349</f>
        <v>42219.91</v>
      </c>
      <c r="LE1329" s="97">
        <f t="shared" ref="LE1329:LE1336" si="2109">$H1329*LE$1349</f>
        <v>44443.29</v>
      </c>
      <c r="LF1329" s="97">
        <f t="shared" ref="LF1329:LF1336" si="2110">$I1329*LF$1349</f>
        <v>5562.18</v>
      </c>
      <c r="LG1329" s="97">
        <f t="shared" ref="LG1329:LG1336" si="2111">$J1329*LG$1349</f>
        <v>5904.21</v>
      </c>
      <c r="LH1329" s="97">
        <f t="shared" ref="LH1329:LH1336" si="2112">$K1329*LH$1349</f>
        <v>6017.95</v>
      </c>
      <c r="LI1329" s="97">
        <f t="shared" ref="LI1329:LK1336" si="2113">KT1329*LC1329</f>
        <v>17921070.719999999</v>
      </c>
      <c r="LJ1329" s="97">
        <f t="shared" si="2113"/>
        <v>18914519.68</v>
      </c>
      <c r="LK1329" s="97">
        <f t="shared" si="2113"/>
        <v>19910593.920000002</v>
      </c>
      <c r="LL1329" s="97">
        <f t="shared" ref="LL1329:LN1336" si="2114">KT1329*LF1329</f>
        <v>2491856.64</v>
      </c>
      <c r="LM1329" s="97">
        <f t="shared" si="2114"/>
        <v>2645086.08</v>
      </c>
      <c r="LN1329" s="97">
        <f t="shared" si="2114"/>
        <v>2696041.6</v>
      </c>
      <c r="LO1329" s="102">
        <v>443</v>
      </c>
      <c r="LP1329" s="102">
        <v>443</v>
      </c>
      <c r="LQ1329" s="102">
        <v>443</v>
      </c>
      <c r="LR1329" s="97">
        <f t="shared" ref="LR1329:LR1336" si="2115">$F1329*LO1329</f>
        <v>48076575</v>
      </c>
      <c r="LS1329" s="97">
        <f t="shared" ref="LS1329:LS1336" si="2116">$G1329*LP1329</f>
        <v>49135345</v>
      </c>
      <c r="LT1329" s="97">
        <f t="shared" ref="LT1329:LT1336" si="2117">$H1329*LQ1329</f>
        <v>49849461</v>
      </c>
      <c r="LU1329" s="97">
        <f t="shared" ref="LU1329:LU1336" si="2118">$I1329*LO1329</f>
        <v>2948847.22</v>
      </c>
      <c r="LV1329" s="97">
        <f t="shared" ref="LV1329:LV1336" si="2119">$J1329*LP1329</f>
        <v>3006543.54</v>
      </c>
      <c r="LW1329" s="97">
        <f t="shared" ref="LW1329:LW1336" si="2120">$K1329*LQ1329</f>
        <v>3048504.5</v>
      </c>
      <c r="LX1329" s="97">
        <f t="shared" ref="LX1329:LX1336" si="2121">$F1329*LX$1349</f>
        <v>34943.86</v>
      </c>
      <c r="LY1329" s="97">
        <f t="shared" ref="LY1329:LY1336" si="2122">$G1329*LY$1349</f>
        <v>36882.97</v>
      </c>
      <c r="LZ1329" s="97">
        <f t="shared" ref="LZ1329:LZ1336" si="2123">$H1329*LZ$1349</f>
        <v>38821.279999999999</v>
      </c>
      <c r="MA1329" s="97">
        <f t="shared" ref="MA1329:MA1336" si="2124">$I1329*MA$1349</f>
        <v>4128.8</v>
      </c>
      <c r="MB1329" s="97">
        <f t="shared" ref="MB1329:MB1336" si="2125">$J1329*MB$1349</f>
        <v>4313.68</v>
      </c>
      <c r="MC1329" s="97">
        <f t="shared" ref="MC1329:MC1336" si="2126">$K1329*MC$1349</f>
        <v>4360.96</v>
      </c>
      <c r="MD1329" s="97">
        <f t="shared" ref="MD1329:MF1336" si="2127">LO1329*LX1329</f>
        <v>15480129.98</v>
      </c>
      <c r="ME1329" s="97">
        <f t="shared" si="2127"/>
        <v>16339155.710000001</v>
      </c>
      <c r="MF1329" s="97">
        <f t="shared" si="2127"/>
        <v>17197827.039999999</v>
      </c>
      <c r="MG1329" s="97">
        <f t="shared" ref="MG1329:MI1336" si="2128">LO1329*MA1329</f>
        <v>1829058.4</v>
      </c>
      <c r="MH1329" s="97">
        <f t="shared" si="2128"/>
        <v>1910960.24</v>
      </c>
      <c r="MI1329" s="97">
        <f t="shared" si="2128"/>
        <v>1931905.28</v>
      </c>
      <c r="MJ1329" s="102">
        <v>508</v>
      </c>
      <c r="MK1329" s="102">
        <v>508</v>
      </c>
      <c r="ML1329" s="102">
        <v>508</v>
      </c>
      <c r="MM1329" s="97">
        <f t="shared" ref="MM1329:MM1336" si="2129">$F1329*MJ1329</f>
        <v>55130700</v>
      </c>
      <c r="MN1329" s="97">
        <f t="shared" ref="MN1329:MN1336" si="2130">$G1329*MK1329</f>
        <v>56344820</v>
      </c>
      <c r="MO1329" s="97">
        <f t="shared" ref="MO1329:MO1336" si="2131">$H1329*ML1329</f>
        <v>57163716</v>
      </c>
      <c r="MP1329" s="97">
        <f t="shared" ref="MP1329:MP1336" si="2132">$I1329*MJ1329</f>
        <v>3381522.32</v>
      </c>
      <c r="MQ1329" s="97">
        <f t="shared" ref="MQ1329:MQ1336" si="2133">$J1329*MK1329</f>
        <v>3447684.24</v>
      </c>
      <c r="MR1329" s="97">
        <f t="shared" ref="MR1329:MR1336" si="2134">$K1329*ML1329</f>
        <v>3495802</v>
      </c>
      <c r="MS1329" s="97">
        <f t="shared" ref="MS1329:MS1336" si="2135">$F1329*MS$1349</f>
        <v>40426.17</v>
      </c>
      <c r="MT1329" s="97">
        <f t="shared" ref="MT1329:MT1336" si="2136">$G1329*MT$1349</f>
        <v>42664.33</v>
      </c>
      <c r="MU1329" s="97">
        <f t="shared" ref="MU1329:MU1336" si="2137">$H1329*MU$1349</f>
        <v>44910.41</v>
      </c>
      <c r="MV1329" s="97">
        <f t="shared" ref="MV1329:MV1336" si="2138">$I1329*MV$1349</f>
        <v>4898.32</v>
      </c>
      <c r="MW1329" s="97">
        <f t="shared" ref="MW1329:MW1336" si="2139">$J1329*MW$1349</f>
        <v>5048.6899999999996</v>
      </c>
      <c r="MX1329" s="97">
        <f t="shared" ref="MX1329:MX1336" si="2140">$K1329*MX$1349</f>
        <v>5150.7</v>
      </c>
      <c r="MY1329" s="97">
        <f t="shared" ref="MY1329:NA1336" si="2141">MJ1329*MS1329</f>
        <v>20536494.359999999</v>
      </c>
      <c r="MZ1329" s="97">
        <f t="shared" si="2141"/>
        <v>21673479.640000001</v>
      </c>
      <c r="NA1329" s="97">
        <f t="shared" si="2141"/>
        <v>22814488.280000001</v>
      </c>
      <c r="NB1329" s="97">
        <f t="shared" ref="NB1329:ND1336" si="2142">MJ1329*MV1329</f>
        <v>2488346.56</v>
      </c>
      <c r="NC1329" s="97">
        <f t="shared" si="2142"/>
        <v>2564734.52</v>
      </c>
      <c r="ND1329" s="97">
        <f t="shared" si="2142"/>
        <v>2616555.6</v>
      </c>
      <c r="NE1329" s="102">
        <v>377</v>
      </c>
      <c r="NF1329" s="102">
        <v>377</v>
      </c>
      <c r="NG1329" s="102">
        <v>377</v>
      </c>
      <c r="NH1329" s="97">
        <f t="shared" ref="NH1329:NH1336" si="2143">$F1329*NE1329</f>
        <v>40913925</v>
      </c>
      <c r="NI1329" s="97">
        <f t="shared" ref="NI1329:NI1336" si="2144">$G1329*NF1329</f>
        <v>41814955</v>
      </c>
      <c r="NJ1329" s="97">
        <f t="shared" ref="NJ1329:NJ1336" si="2145">$H1329*NG1329</f>
        <v>42422679</v>
      </c>
      <c r="NK1329" s="97">
        <f t="shared" ref="NK1329:NK1336" si="2146">$I1329*NE1329</f>
        <v>2509515.58</v>
      </c>
      <c r="NL1329" s="97">
        <f t="shared" ref="NL1329:NL1336" si="2147">$J1329*NF1329</f>
        <v>2558616.06</v>
      </c>
      <c r="NM1329" s="97">
        <f t="shared" ref="NM1329:NM1336" si="2148">$K1329*NG1329</f>
        <v>2594325.5</v>
      </c>
      <c r="NN1329" s="97">
        <f t="shared" ref="NN1329:NN1336" si="2149">$F1329*NN$1349</f>
        <v>41274.239999999998</v>
      </c>
      <c r="NO1329" s="97">
        <f t="shared" ref="NO1329:NO1336" si="2150">$G1329*NO$1349</f>
        <v>43503.040000000001</v>
      </c>
      <c r="NP1329" s="97">
        <f t="shared" ref="NP1329:NP1336" si="2151">$H1329*NP$1349</f>
        <v>45767.49</v>
      </c>
      <c r="NQ1329" s="97">
        <f t="shared" ref="NQ1329:NQ1336" si="2152">$I1329*NQ$1349</f>
        <v>7173.93</v>
      </c>
      <c r="NR1329" s="97">
        <f t="shared" ref="NR1329:NR1336" si="2153">$J1329*NR$1349</f>
        <v>7639.85</v>
      </c>
      <c r="NS1329" s="97">
        <f t="shared" ref="NS1329:NS1336" si="2154">$K1329*NS$1349</f>
        <v>7532.5</v>
      </c>
      <c r="NT1329" s="97">
        <f t="shared" ref="NT1329:NV1336" si="2155">NE1329*NN1329</f>
        <v>15560388.48</v>
      </c>
      <c r="NU1329" s="97">
        <f t="shared" si="2155"/>
        <v>16400646.08</v>
      </c>
      <c r="NV1329" s="97">
        <f t="shared" si="2155"/>
        <v>17254343.73</v>
      </c>
      <c r="NW1329" s="97">
        <f t="shared" ref="NW1329:NY1336" si="2156">NE1329*NQ1329</f>
        <v>2704571.61</v>
      </c>
      <c r="NX1329" s="97">
        <f t="shared" si="2156"/>
        <v>2880223.45</v>
      </c>
      <c r="NY1329" s="97">
        <f t="shared" si="2156"/>
        <v>2839752.5</v>
      </c>
      <c r="NZ1329" s="102">
        <v>244</v>
      </c>
      <c r="OA1329" s="102">
        <v>244</v>
      </c>
      <c r="OB1329" s="102">
        <v>244</v>
      </c>
      <c r="OC1329" s="97">
        <f t="shared" ref="OC1329:OC1336" si="2157">$F1329*NZ1329</f>
        <v>26480100</v>
      </c>
      <c r="OD1329" s="97">
        <f t="shared" ref="OD1329:OD1336" si="2158">$G1329*OA1329</f>
        <v>27063260</v>
      </c>
      <c r="OE1329" s="97">
        <f t="shared" ref="OE1329:OE1336" si="2159">$H1329*OB1329</f>
        <v>27456588</v>
      </c>
      <c r="OF1329" s="97">
        <f t="shared" ref="OF1329:OF1336" si="2160">$I1329*NZ1329</f>
        <v>1624195.76</v>
      </c>
      <c r="OG1329" s="97">
        <f t="shared" ref="OG1329:OG1336" si="2161">$J1329*OA1329</f>
        <v>1655974.32</v>
      </c>
      <c r="OH1329" s="97">
        <f t="shared" ref="OH1329:OH1336" si="2162">$K1329*OB1329</f>
        <v>1679086</v>
      </c>
      <c r="OI1329" s="97">
        <f t="shared" ref="OI1329:OI1336" si="2163">$F1329*OI$1349</f>
        <v>54117.43</v>
      </c>
      <c r="OJ1329" s="97">
        <f t="shared" ref="OJ1329:OJ1336" si="2164">$G1329*OJ$1349</f>
        <v>56950.45</v>
      </c>
      <c r="OK1329" s="97">
        <f t="shared" ref="OK1329:OK1336" si="2165">$H1329*OK$1349</f>
        <v>59897.43</v>
      </c>
      <c r="OL1329" s="97">
        <f t="shared" ref="OL1329:OL1336" si="2166">$I1329*OL$1349</f>
        <v>7195.36</v>
      </c>
      <c r="OM1329" s="97">
        <f t="shared" ref="OM1329:OM1336" si="2167">$J1329*OM$1349</f>
        <v>7622.59</v>
      </c>
      <c r="ON1329" s="97">
        <f t="shared" ref="ON1329:ON1336" si="2168">$K1329*ON$1349</f>
        <v>7688.57</v>
      </c>
      <c r="OO1329" s="97">
        <f t="shared" ref="OO1329:OQ1336" si="2169">NZ1329*OI1329</f>
        <v>13204652.92</v>
      </c>
      <c r="OP1329" s="97">
        <f t="shared" si="2169"/>
        <v>13895909.800000001</v>
      </c>
      <c r="OQ1329" s="97">
        <f t="shared" si="2169"/>
        <v>14614972.92</v>
      </c>
      <c r="OR1329" s="97">
        <f t="shared" ref="OR1329:OT1336" si="2170">NZ1329*OL1329</f>
        <v>1755667.84</v>
      </c>
      <c r="OS1329" s="97">
        <f t="shared" si="2170"/>
        <v>1859911.96</v>
      </c>
      <c r="OT1329" s="97">
        <f t="shared" si="2170"/>
        <v>1876011.08</v>
      </c>
      <c r="OU1329" s="102">
        <v>413</v>
      </c>
      <c r="OV1329" s="102">
        <v>413</v>
      </c>
      <c r="OW1329" s="102">
        <v>413</v>
      </c>
      <c r="OX1329" s="97">
        <f t="shared" ref="OX1329:OX1336" si="2171">$F1329*OU1329</f>
        <v>44820825</v>
      </c>
      <c r="OY1329" s="97">
        <f t="shared" ref="OY1329:OY1336" si="2172">$G1329*OV1329</f>
        <v>45807895</v>
      </c>
      <c r="OZ1329" s="97">
        <f t="shared" ref="OZ1329:OZ1336" si="2173">$H1329*OW1329</f>
        <v>46473651</v>
      </c>
      <c r="PA1329" s="97">
        <f t="shared" ref="PA1329:PA1336" si="2174">$I1329*OU1329</f>
        <v>2749151.02</v>
      </c>
      <c r="PB1329" s="97">
        <f t="shared" ref="PB1329:PB1336" si="2175">$J1329*OV1329</f>
        <v>2802940.14</v>
      </c>
      <c r="PC1329" s="97">
        <f t="shared" ref="PC1329:PC1336" si="2176">$K1329*OW1329</f>
        <v>2842059.5</v>
      </c>
      <c r="PD1329" s="97">
        <f t="shared" ref="PD1329:PD1336" si="2177">$F1329*PD$1349</f>
        <v>45511.08</v>
      </c>
      <c r="PE1329" s="97">
        <f t="shared" ref="PE1329:PE1336" si="2178">$G1329*PE$1349</f>
        <v>48009.58</v>
      </c>
      <c r="PF1329" s="97">
        <f t="shared" ref="PF1329:PF1336" si="2179">$H1329*PF$1349</f>
        <v>50530.31</v>
      </c>
      <c r="PG1329" s="97">
        <f t="shared" ref="PG1329:PG1336" si="2180">$I1329*PG$1349</f>
        <v>5750.61</v>
      </c>
      <c r="PH1329" s="97">
        <f t="shared" ref="PH1329:PH1336" si="2181">$J1329*PH$1349</f>
        <v>5989.84</v>
      </c>
      <c r="PI1329" s="97">
        <f t="shared" ref="PI1329:PI1336" si="2182">$K1329*PI$1349</f>
        <v>6122.8</v>
      </c>
      <c r="PJ1329" s="97">
        <f t="shared" ref="PJ1329:PL1336" si="2183">OU1329*PD1329</f>
        <v>18796076.039999999</v>
      </c>
      <c r="PK1329" s="97">
        <f t="shared" si="2183"/>
        <v>19827956.539999999</v>
      </c>
      <c r="PL1329" s="97">
        <f t="shared" si="2183"/>
        <v>20869018.030000001</v>
      </c>
      <c r="PM1329" s="97">
        <f t="shared" ref="PM1329:PO1336" si="2184">OU1329*PG1329</f>
        <v>2375001.9300000002</v>
      </c>
      <c r="PN1329" s="97">
        <f t="shared" si="2184"/>
        <v>2473803.92</v>
      </c>
      <c r="PO1329" s="97">
        <f t="shared" si="2184"/>
        <v>2528716.4</v>
      </c>
      <c r="PP1329" s="102">
        <v>742</v>
      </c>
      <c r="PQ1329" s="102">
        <v>742</v>
      </c>
      <c r="PR1329" s="102">
        <v>742</v>
      </c>
      <c r="PS1329" s="97">
        <f t="shared" ref="PS1329:PS1336" si="2185">$F1329*PP1329</f>
        <v>80525550</v>
      </c>
      <c r="PT1329" s="97">
        <f t="shared" ref="PT1329:PT1336" si="2186">$G1329*PQ1329</f>
        <v>82298930</v>
      </c>
      <c r="PU1329" s="97">
        <f t="shared" ref="PU1329:PU1336" si="2187">$H1329*PR1329</f>
        <v>83495034</v>
      </c>
      <c r="PV1329" s="97">
        <f t="shared" ref="PV1329:PV1336" si="2188">$I1329*PP1329</f>
        <v>4939152.68</v>
      </c>
      <c r="PW1329" s="97">
        <f t="shared" ref="PW1329:PW1336" si="2189">$J1329*PQ1329</f>
        <v>5035790.76</v>
      </c>
      <c r="PX1329" s="97">
        <f t="shared" ref="PX1329:PX1336" si="2190">$K1329*PR1329</f>
        <v>5106073</v>
      </c>
      <c r="PY1329" s="97">
        <f t="shared" ref="PY1329:PY1336" si="2191">$F1329*PY$1349</f>
        <v>40746.230000000003</v>
      </c>
      <c r="PZ1329" s="97">
        <f t="shared" ref="PZ1329:PZ1336" si="2192">$G1329*PZ$1349</f>
        <v>43019.23</v>
      </c>
      <c r="QA1329" s="97">
        <f t="shared" ref="QA1329:QA1336" si="2193">$H1329*QA$1349</f>
        <v>45280.95</v>
      </c>
      <c r="QB1329" s="97">
        <f t="shared" ref="QB1329:QB1336" si="2194">$I1329*QB$1349</f>
        <v>5930.3</v>
      </c>
      <c r="QC1329" s="97">
        <f t="shared" ref="QC1329:QC1336" si="2195">$J1329*QC$1349</f>
        <v>6349.31</v>
      </c>
      <c r="QD1329" s="97">
        <f t="shared" ref="QD1329:QD1336" si="2196">$K1329*QD$1349</f>
        <v>6432.32</v>
      </c>
      <c r="QE1329" s="97">
        <f t="shared" ref="QE1329:QG1336" si="2197">PP1329*PY1329</f>
        <v>30233702.66</v>
      </c>
      <c r="QF1329" s="97">
        <f t="shared" si="2197"/>
        <v>31920268.66</v>
      </c>
      <c r="QG1329" s="97">
        <f t="shared" si="2197"/>
        <v>33598464.899999999</v>
      </c>
      <c r="QH1329" s="97">
        <f t="shared" ref="QH1329:QJ1336" si="2198">PP1329*QB1329</f>
        <v>4400282.5999999996</v>
      </c>
      <c r="QI1329" s="97">
        <f t="shared" si="2198"/>
        <v>4711188.0199999996</v>
      </c>
      <c r="QJ1329" s="97">
        <f t="shared" si="2198"/>
        <v>4772781.4400000004</v>
      </c>
      <c r="QK1329" s="102">
        <v>536</v>
      </c>
      <c r="QL1329" s="102">
        <v>536</v>
      </c>
      <c r="QM1329" s="102">
        <v>536</v>
      </c>
      <c r="QN1329" s="97">
        <f t="shared" ref="QN1329:QN1336" si="2199">$F1329*QK1329</f>
        <v>58169400</v>
      </c>
      <c r="QO1329" s="97">
        <f t="shared" ref="QO1329:QO1336" si="2200">$G1329*QL1329</f>
        <v>59450440</v>
      </c>
      <c r="QP1329" s="97">
        <f t="shared" ref="QP1329:QP1336" si="2201">$H1329*QM1329</f>
        <v>60314472</v>
      </c>
      <c r="QQ1329" s="97">
        <f t="shared" ref="QQ1329:QQ1336" si="2202">$I1329*QK1329</f>
        <v>3567905.44</v>
      </c>
      <c r="QR1329" s="97">
        <f t="shared" ref="QR1329:QR1336" si="2203">$J1329*QL1329</f>
        <v>3637714.08</v>
      </c>
      <c r="QS1329" s="97">
        <f t="shared" ref="QS1329:QS1336" si="2204">$K1329*QM1329</f>
        <v>3688484</v>
      </c>
      <c r="QT1329" s="97">
        <f t="shared" ref="QT1329:QT1336" si="2205">$F1329*QT$1349</f>
        <v>41436.589999999997</v>
      </c>
      <c r="QU1329" s="97">
        <f t="shared" ref="QU1329:QU1336" si="2206">$G1329*QU$1349</f>
        <v>43732.23</v>
      </c>
      <c r="QV1329" s="97">
        <f t="shared" ref="QV1329:QV1336" si="2207">$H1329*QV$1349</f>
        <v>46036.44</v>
      </c>
      <c r="QW1329" s="97">
        <f t="shared" ref="QW1329:QW1336" si="2208">$I1329*QW$1349</f>
        <v>4078.8</v>
      </c>
      <c r="QX1329" s="97">
        <f t="shared" ref="QX1329:QX1336" si="2209">$J1329*QX$1349</f>
        <v>4315.26</v>
      </c>
      <c r="QY1329" s="97">
        <f t="shared" ref="QY1329:QY1336" si="2210">$K1329*QY$1349</f>
        <v>4399.97</v>
      </c>
      <c r="QZ1329" s="97">
        <f t="shared" ref="QZ1329:RB1336" si="2211">QK1329*QT1329</f>
        <v>22210012.239999998</v>
      </c>
      <c r="RA1329" s="97">
        <f t="shared" si="2211"/>
        <v>23440475.280000001</v>
      </c>
      <c r="RB1329" s="97">
        <f t="shared" si="2211"/>
        <v>24675531.84</v>
      </c>
      <c r="RC1329" s="97">
        <f t="shared" ref="RC1329:RE1336" si="2212">QK1329*QW1329</f>
        <v>2186236.7999999998</v>
      </c>
      <c r="RD1329" s="97">
        <f t="shared" si="2212"/>
        <v>2312979.36</v>
      </c>
      <c r="RE1329" s="97">
        <f t="shared" si="2212"/>
        <v>2358383.92</v>
      </c>
      <c r="RF1329" s="102">
        <v>396</v>
      </c>
      <c r="RG1329" s="102">
        <v>396</v>
      </c>
      <c r="RH1329" s="102">
        <v>396</v>
      </c>
      <c r="RI1329" s="97">
        <f t="shared" ref="RI1329:RI1336" si="2213">$F1329*RF1329</f>
        <v>42975900</v>
      </c>
      <c r="RJ1329" s="97">
        <f t="shared" ref="RJ1329:RJ1336" si="2214">$G1329*RG1329</f>
        <v>43922340</v>
      </c>
      <c r="RK1329" s="97">
        <f t="shared" ref="RK1329:RK1336" si="2215">$H1329*RH1329</f>
        <v>44560692</v>
      </c>
      <c r="RL1329" s="97">
        <f t="shared" ref="RL1329:RL1336" si="2216">$I1329*RF1329</f>
        <v>2635989.84</v>
      </c>
      <c r="RM1329" s="97">
        <f t="shared" ref="RM1329:RM1336" si="2217">$J1329*RG1329</f>
        <v>2687564.88</v>
      </c>
      <c r="RN1329" s="97">
        <f t="shared" ref="RN1329:RN1336" si="2218">$K1329*RH1329</f>
        <v>2725074</v>
      </c>
      <c r="RO1329" s="97">
        <f t="shared" ref="RO1329:RO1336" si="2219">$F1329*RO$1349</f>
        <v>44387</v>
      </c>
      <c r="RP1329" s="97">
        <f t="shared" ref="RP1329:RP1336" si="2220">$G1329*RP$1349</f>
        <v>46826.51</v>
      </c>
      <c r="RQ1329" s="97">
        <f t="shared" ref="RQ1329:RQ1336" si="2221">$H1329*RQ$1349</f>
        <v>49293.39</v>
      </c>
      <c r="RR1329" s="97">
        <f t="shared" ref="RR1329:RR1336" si="2222">$I1329*RR$1349</f>
        <v>5753.59</v>
      </c>
      <c r="RS1329" s="97">
        <f t="shared" ref="RS1329:RS1336" si="2223">$J1329*RS$1349</f>
        <v>5972.03</v>
      </c>
      <c r="RT1329" s="97">
        <f t="shared" ref="RT1329:RT1336" si="2224">$K1329*RT$1349</f>
        <v>6090.57</v>
      </c>
      <c r="RU1329" s="97">
        <f t="shared" ref="RU1329:RW1336" si="2225">RF1329*RO1329</f>
        <v>17577252</v>
      </c>
      <c r="RV1329" s="97">
        <f t="shared" si="2225"/>
        <v>18543297.960000001</v>
      </c>
      <c r="RW1329" s="97">
        <f t="shared" si="2225"/>
        <v>19520182.440000001</v>
      </c>
      <c r="RX1329" s="97">
        <f t="shared" ref="RX1329:RZ1336" si="2226">RF1329*RR1329</f>
        <v>2278421.64</v>
      </c>
      <c r="RY1329" s="97">
        <f t="shared" si="2226"/>
        <v>2364923.88</v>
      </c>
      <c r="RZ1329" s="97">
        <f t="shared" si="2226"/>
        <v>2411865.7200000002</v>
      </c>
      <c r="SA1329" s="102">
        <v>242</v>
      </c>
      <c r="SB1329" s="102">
        <v>242</v>
      </c>
      <c r="SC1329" s="102">
        <v>242</v>
      </c>
      <c r="SD1329" s="97">
        <f t="shared" ref="SD1329:SD1336" si="2227">$F1329*SA1329</f>
        <v>26263050</v>
      </c>
      <c r="SE1329" s="97">
        <f t="shared" ref="SE1329:SE1336" si="2228">$G1329*SB1329</f>
        <v>26841430</v>
      </c>
      <c r="SF1329" s="97">
        <f t="shared" ref="SF1329:SF1336" si="2229">$H1329*SC1329</f>
        <v>27231534</v>
      </c>
      <c r="SG1329" s="97">
        <f t="shared" ref="SG1329:SG1336" si="2230">$I1329*SA1329</f>
        <v>1610882.68</v>
      </c>
      <c r="SH1329" s="97">
        <f t="shared" ref="SH1329:SH1336" si="2231">$J1329*SB1329</f>
        <v>1642400.76</v>
      </c>
      <c r="SI1329" s="97">
        <f t="shared" ref="SI1329:SI1336" si="2232">$K1329*SC1329</f>
        <v>1665323</v>
      </c>
      <c r="SJ1329" s="97">
        <f t="shared" ref="SJ1329:SJ1336" si="2233">$F1329*SJ$1349</f>
        <v>46638.28</v>
      </c>
      <c r="SK1329" s="97">
        <f t="shared" ref="SK1329:SK1336" si="2234">$G1329*SK$1349</f>
        <v>49146.98</v>
      </c>
      <c r="SL1329" s="97">
        <f t="shared" ref="SL1329:SL1336" si="2235">$H1329*SL$1349</f>
        <v>51714.59</v>
      </c>
      <c r="SM1329" s="97">
        <f t="shared" ref="SM1329:SM1336" si="2236">$I1329*SM$1349</f>
        <v>8055.23</v>
      </c>
      <c r="SN1329" s="97">
        <f t="shared" ref="SN1329:SN1336" si="2237">$J1329*SN$1349</f>
        <v>8474.65</v>
      </c>
      <c r="SO1329" s="97">
        <f t="shared" ref="SO1329:SO1336" si="2238">$K1329*SO$1349</f>
        <v>8616.2800000000007</v>
      </c>
      <c r="SP1329" s="97">
        <f t="shared" ref="SP1329:SR1336" si="2239">SA1329*SJ1329</f>
        <v>11286463.76</v>
      </c>
      <c r="SQ1329" s="97">
        <f t="shared" si="2239"/>
        <v>11893569.16</v>
      </c>
      <c r="SR1329" s="97">
        <f t="shared" si="2239"/>
        <v>12514930.779999999</v>
      </c>
      <c r="SS1329" s="97">
        <f t="shared" ref="SS1329:SU1336" si="2240">SA1329*SM1329</f>
        <v>1949365.66</v>
      </c>
      <c r="ST1329" s="97">
        <f t="shared" si="2240"/>
        <v>2050865.3</v>
      </c>
      <c r="SU1329" s="97">
        <f t="shared" si="2240"/>
        <v>2085139.76</v>
      </c>
      <c r="SV1329" s="102">
        <v>584</v>
      </c>
      <c r="SW1329" s="102">
        <v>584</v>
      </c>
      <c r="SX1329" s="102">
        <v>584</v>
      </c>
      <c r="SY1329" s="97">
        <f t="shared" ref="SY1329:SY1336" si="2241">$F1329*SV1329</f>
        <v>63378600</v>
      </c>
      <c r="SZ1329" s="97">
        <f t="shared" ref="SZ1329:SZ1336" si="2242">$G1329*SW1329</f>
        <v>64774360</v>
      </c>
      <c r="TA1329" s="97">
        <f t="shared" ref="TA1329:TA1336" si="2243">$H1329*SX1329</f>
        <v>65715768</v>
      </c>
      <c r="TB1329" s="97">
        <f t="shared" ref="TB1329:TB1336" si="2244">$I1329*SV1329</f>
        <v>3887419.36</v>
      </c>
      <c r="TC1329" s="97">
        <f t="shared" ref="TC1329:TC1336" si="2245">$J1329*SW1329</f>
        <v>3963479.52</v>
      </c>
      <c r="TD1329" s="97">
        <f t="shared" ref="TD1329:TD1336" si="2246">$K1329*SX1329</f>
        <v>4018796</v>
      </c>
      <c r="TE1329" s="97">
        <f t="shared" ref="TE1329:TE1336" si="2247">$F1329*TE$1349</f>
        <v>41688.120000000003</v>
      </c>
      <c r="TF1329" s="97">
        <f t="shared" ref="TF1329:TF1336" si="2248">$G1329*TF$1349</f>
        <v>43980.62</v>
      </c>
      <c r="TG1329" s="97">
        <f t="shared" ref="TG1329:TG1336" si="2249">$H1329*TG$1349</f>
        <v>46289.54</v>
      </c>
      <c r="TH1329" s="97">
        <f t="shared" ref="TH1329:TH1336" si="2250">$I1329*TH$1349</f>
        <v>6134.36</v>
      </c>
      <c r="TI1329" s="97">
        <f t="shared" ref="TI1329:TI1336" si="2251">$J1329*TI$1349</f>
        <v>6420.56</v>
      </c>
      <c r="TJ1329" s="97">
        <f t="shared" ref="TJ1329:TJ1336" si="2252">$K1329*TJ$1349</f>
        <v>6491.33</v>
      </c>
      <c r="TK1329" s="97">
        <f t="shared" ref="TK1329:TM1336" si="2253">SV1329*TE1329</f>
        <v>24345862.079999998</v>
      </c>
      <c r="TL1329" s="97">
        <f t="shared" si="2253"/>
        <v>25684682.079999998</v>
      </c>
      <c r="TM1329" s="97">
        <f t="shared" si="2253"/>
        <v>27033091.359999999</v>
      </c>
      <c r="TN1329" s="97">
        <f t="shared" ref="TN1329:TP1336" si="2254">SV1329*TH1329</f>
        <v>3582466.24</v>
      </c>
      <c r="TO1329" s="97">
        <f t="shared" si="2254"/>
        <v>3749607.04</v>
      </c>
      <c r="TP1329" s="97">
        <f t="shared" si="2254"/>
        <v>3790936.72</v>
      </c>
      <c r="TQ1329" s="102">
        <v>404</v>
      </c>
      <c r="TR1329" s="102">
        <v>404</v>
      </c>
      <c r="TS1329" s="102">
        <v>404</v>
      </c>
      <c r="TT1329" s="97">
        <f t="shared" ref="TT1329:TT1336" si="2255">$F1329*TQ1329</f>
        <v>43844100</v>
      </c>
      <c r="TU1329" s="97">
        <f t="shared" ref="TU1329:TU1336" si="2256">$G1329*TR1329</f>
        <v>44809660</v>
      </c>
      <c r="TV1329" s="97">
        <f t="shared" ref="TV1329:TV1336" si="2257">$H1329*TS1329</f>
        <v>45460908</v>
      </c>
      <c r="TW1329" s="97">
        <f t="shared" ref="TW1329:TW1336" si="2258">$I1329*TQ1329</f>
        <v>2689242.16</v>
      </c>
      <c r="TX1329" s="97">
        <f t="shared" ref="TX1329:TX1336" si="2259">$J1329*TR1329</f>
        <v>2741859.12</v>
      </c>
      <c r="TY1329" s="97">
        <f t="shared" ref="TY1329:TY1336" si="2260">$K1329*TS1329</f>
        <v>2780126</v>
      </c>
      <c r="TZ1329" s="97">
        <f t="shared" ref="TZ1329:TZ1336" si="2261">$F1329*TZ$1349</f>
        <v>44659</v>
      </c>
      <c r="UA1329" s="97">
        <f t="shared" ref="UA1329:UA1336" si="2262">$G1329*UA$1349</f>
        <v>47080.54</v>
      </c>
      <c r="UB1329" s="97">
        <f t="shared" ref="UB1329:UB1336" si="2263">$H1329*UB$1349</f>
        <v>49555.360000000001</v>
      </c>
      <c r="UC1329" s="97">
        <f t="shared" ref="UC1329:UC1336" si="2264">$I1329*UC$1349</f>
        <v>5605.99</v>
      </c>
      <c r="UD1329" s="97">
        <f t="shared" ref="UD1329:UD1336" si="2265">$J1329*UD$1349</f>
        <v>6039.9</v>
      </c>
      <c r="UE1329" s="97">
        <f t="shared" ref="UE1329:UE1336" si="2266">$K1329*UE$1349</f>
        <v>6143.09</v>
      </c>
      <c r="UF1329" s="97">
        <f t="shared" ref="UF1329:UH1336" si="2267">TQ1329*TZ1329</f>
        <v>18042236</v>
      </c>
      <c r="UG1329" s="97">
        <f t="shared" si="2267"/>
        <v>19020538.16</v>
      </c>
      <c r="UH1329" s="97">
        <f t="shared" si="2267"/>
        <v>20020365.440000001</v>
      </c>
      <c r="UI1329" s="97">
        <f t="shared" ref="UI1329:UK1336" si="2268">TQ1329*UC1329</f>
        <v>2264819.96</v>
      </c>
      <c r="UJ1329" s="97">
        <f t="shared" si="2268"/>
        <v>2440119.6</v>
      </c>
      <c r="UK1329" s="97">
        <f t="shared" si="2268"/>
        <v>2481808.36</v>
      </c>
      <c r="UL1329" s="102">
        <v>617</v>
      </c>
      <c r="UM1329" s="102">
        <v>617</v>
      </c>
      <c r="UN1329" s="102">
        <v>617</v>
      </c>
      <c r="UO1329" s="97">
        <f t="shared" ref="UO1329:UO1336" si="2269">$F1329*UL1329</f>
        <v>66959925</v>
      </c>
      <c r="UP1329" s="97">
        <f t="shared" ref="UP1329:UP1336" si="2270">$G1329*UM1329</f>
        <v>68434555</v>
      </c>
      <c r="UQ1329" s="97">
        <f t="shared" ref="UQ1329:UQ1336" si="2271">$H1329*UN1329</f>
        <v>69429159</v>
      </c>
      <c r="UR1329" s="97">
        <f t="shared" ref="UR1329:UR1336" si="2272">$I1329*UL1329</f>
        <v>4107085.18</v>
      </c>
      <c r="US1329" s="97">
        <f t="shared" ref="US1329:US1336" si="2273">$J1329*UM1329</f>
        <v>4187443.26</v>
      </c>
      <c r="UT1329" s="97">
        <f t="shared" ref="UT1329:UT1336" si="2274">$K1329*UN1329</f>
        <v>4245885.5</v>
      </c>
      <c r="UU1329" s="97">
        <f t="shared" ref="UU1329:UU1336" si="2275">$F1329*UU$1349</f>
        <v>41314.22</v>
      </c>
      <c r="UV1329" s="97">
        <f t="shared" ref="UV1329:UV1336" si="2276">$G1329*UV$1349</f>
        <v>43628.27</v>
      </c>
      <c r="UW1329" s="97">
        <f t="shared" ref="UW1329:UW1336" si="2277">$H1329*UW$1349</f>
        <v>45932.84</v>
      </c>
      <c r="UX1329" s="97">
        <f t="shared" ref="UX1329:UX1336" si="2278">$I1329*UX$1349</f>
        <v>4369.95</v>
      </c>
      <c r="UY1329" s="97">
        <f t="shared" ref="UY1329:UY1336" si="2279">$J1329*UY$1349</f>
        <v>4686.22</v>
      </c>
      <c r="UZ1329" s="97">
        <f t="shared" ref="UZ1329:UZ1336" si="2280">$K1329*UZ$1349</f>
        <v>4787.1499999999996</v>
      </c>
      <c r="VA1329" s="97">
        <f t="shared" ref="VA1329:VC1336" si="2281">UL1329*UU1329</f>
        <v>25490873.739999998</v>
      </c>
      <c r="VB1329" s="97">
        <f t="shared" si="2281"/>
        <v>26918642.59</v>
      </c>
      <c r="VC1329" s="97">
        <f t="shared" si="2281"/>
        <v>28340562.280000001</v>
      </c>
      <c r="VD1329" s="97">
        <f t="shared" ref="VD1329:VF1336" si="2282">UL1329*UX1329</f>
        <v>2696259.15</v>
      </c>
      <c r="VE1329" s="97">
        <f t="shared" si="2282"/>
        <v>2891397.74</v>
      </c>
      <c r="VF1329" s="97">
        <f t="shared" si="2282"/>
        <v>2953671.55</v>
      </c>
      <c r="VG1329" s="102">
        <v>581</v>
      </c>
      <c r="VH1329" s="102">
        <v>581</v>
      </c>
      <c r="VI1329" s="102">
        <v>581</v>
      </c>
      <c r="VJ1329" s="97">
        <f t="shared" ref="VJ1329:VJ1336" si="2283">$F1329*VG1329</f>
        <v>63053025</v>
      </c>
      <c r="VK1329" s="97">
        <f t="shared" ref="VK1329:VK1336" si="2284">$G1329*VH1329</f>
        <v>64441615</v>
      </c>
      <c r="VL1329" s="97">
        <f t="shared" ref="VL1329:VL1336" si="2285">$H1329*VI1329</f>
        <v>65378187</v>
      </c>
      <c r="VM1329" s="97">
        <f t="shared" ref="VM1329:VM1336" si="2286">$I1329*VG1329</f>
        <v>3867449.74</v>
      </c>
      <c r="VN1329" s="97">
        <f t="shared" ref="VN1329:VN1336" si="2287">$J1329*VH1329</f>
        <v>3943119.18</v>
      </c>
      <c r="VO1329" s="97">
        <f t="shared" ref="VO1329:VO1336" si="2288">$K1329*VI1329</f>
        <v>3998151.5</v>
      </c>
      <c r="VP1329" s="97">
        <f t="shared" ref="VP1329:VP1336" si="2289">$F1329*VP$1349</f>
        <v>42145.13</v>
      </c>
      <c r="VQ1329" s="97">
        <f t="shared" ref="VQ1329:VQ1336" si="2290">$G1329*VQ$1349</f>
        <v>44468.75</v>
      </c>
      <c r="VR1329" s="97">
        <f t="shared" ref="VR1329:VR1336" si="2291">$H1329*VR$1349</f>
        <v>46814.74</v>
      </c>
      <c r="VS1329" s="97">
        <f t="shared" ref="VS1329:VS1336" si="2292">$I1329*VS$1349</f>
        <v>4703.5200000000004</v>
      </c>
      <c r="VT1329" s="97">
        <f t="shared" ref="VT1329:VT1336" si="2293">$J1329*VT$1349</f>
        <v>4941.3100000000004</v>
      </c>
      <c r="VU1329" s="97">
        <f t="shared" ref="VU1329:VU1336" si="2294">$K1329*VU$1349</f>
        <v>5045.16</v>
      </c>
      <c r="VV1329" s="97">
        <f t="shared" ref="VV1329:VX1336" si="2295">VG1329*VP1329</f>
        <v>24486320.530000001</v>
      </c>
      <c r="VW1329" s="97">
        <f t="shared" si="2295"/>
        <v>25836343.75</v>
      </c>
      <c r="VX1329" s="97">
        <f t="shared" si="2295"/>
        <v>27199363.940000001</v>
      </c>
      <c r="VY1329" s="97">
        <f t="shared" ref="VY1329:WA1336" si="2296">VG1329*VS1329</f>
        <v>2732745.12</v>
      </c>
      <c r="VZ1329" s="97">
        <f t="shared" si="2296"/>
        <v>2870901.11</v>
      </c>
      <c r="WA1329" s="97">
        <f t="shared" si="2296"/>
        <v>2931237.96</v>
      </c>
      <c r="WB1329" s="102">
        <v>520</v>
      </c>
      <c r="WC1329" s="102">
        <v>520</v>
      </c>
      <c r="WD1329" s="102">
        <v>520</v>
      </c>
      <c r="WE1329" s="97">
        <f t="shared" ref="WE1329:WE1336" si="2297">$F1329*WB1329</f>
        <v>56433000</v>
      </c>
      <c r="WF1329" s="97">
        <f t="shared" ref="WF1329:WF1336" si="2298">$G1329*WC1329</f>
        <v>57675800</v>
      </c>
      <c r="WG1329" s="97">
        <f t="shared" ref="WG1329:WG1336" si="2299">$H1329*WD1329</f>
        <v>58514040</v>
      </c>
      <c r="WH1329" s="97">
        <f t="shared" ref="WH1329:WH1336" si="2300">$I1329*WB1329</f>
        <v>3461400.8</v>
      </c>
      <c r="WI1329" s="97">
        <f t="shared" ref="WI1329:WI1336" si="2301">$J1329*WC1329</f>
        <v>3529125.6</v>
      </c>
      <c r="WJ1329" s="97">
        <f t="shared" ref="WJ1329:WJ1336" si="2302">$K1329*WD1329</f>
        <v>3578380</v>
      </c>
      <c r="WK1329" s="97">
        <f t="shared" ref="WK1329:WK1336" si="2303">$F1329*WK$1349</f>
        <v>38935.86</v>
      </c>
      <c r="WL1329" s="97">
        <f t="shared" ref="WL1329:WL1336" si="2304">$G1329*WL$1349</f>
        <v>41128.61</v>
      </c>
      <c r="WM1329" s="97">
        <f t="shared" ref="WM1329:WM1336" si="2305">$H1329*WM$1349</f>
        <v>43299.05</v>
      </c>
      <c r="WN1329" s="97">
        <f t="shared" ref="WN1329:WN1336" si="2306">$I1329*WN$1349</f>
        <v>5051.18</v>
      </c>
      <c r="WO1329" s="97">
        <f t="shared" ref="WO1329:WO1336" si="2307">$J1329*WO$1349</f>
        <v>5436.3</v>
      </c>
      <c r="WP1329" s="97">
        <f t="shared" ref="WP1329:WP1336" si="2308">$K1329*WP$1349</f>
        <v>5555.56</v>
      </c>
      <c r="WQ1329" s="97">
        <f t="shared" ref="WQ1329:WS1336" si="2309">WB1329*WK1329</f>
        <v>20246647.199999999</v>
      </c>
      <c r="WR1329" s="97">
        <f t="shared" si="2309"/>
        <v>21386877.199999999</v>
      </c>
      <c r="WS1329" s="97">
        <f t="shared" si="2309"/>
        <v>22515506</v>
      </c>
      <c r="WT1329" s="97">
        <f t="shared" ref="WT1329:WV1336" si="2310">WB1329*WN1329</f>
        <v>2626613.6</v>
      </c>
      <c r="WU1329" s="97">
        <f t="shared" si="2310"/>
        <v>2826876</v>
      </c>
      <c r="WV1329" s="97">
        <f t="shared" si="2310"/>
        <v>2888891.2</v>
      </c>
      <c r="WW1329" s="102">
        <v>595</v>
      </c>
      <c r="WX1329" s="102">
        <v>595</v>
      </c>
      <c r="WY1329" s="102">
        <v>595</v>
      </c>
      <c r="WZ1329" s="97">
        <f t="shared" ref="WZ1329:WZ1336" si="2311">$F1329*WW1329</f>
        <v>64572375</v>
      </c>
      <c r="XA1329" s="97">
        <f t="shared" ref="XA1329:XA1336" si="2312">$G1329*WX1329</f>
        <v>65994425</v>
      </c>
      <c r="XB1329" s="97">
        <f t="shared" ref="XB1329:XB1336" si="2313">$H1329*WY1329</f>
        <v>66953565</v>
      </c>
      <c r="XC1329" s="97">
        <f t="shared" ref="XC1329:XC1336" si="2314">$I1329*WW1329</f>
        <v>3960641.3</v>
      </c>
      <c r="XD1329" s="97">
        <f t="shared" ref="XD1329:XD1336" si="2315">$J1329*WX1329</f>
        <v>4038134.1</v>
      </c>
      <c r="XE1329" s="97">
        <f t="shared" ref="XE1329:XE1336" si="2316">$K1329*WY1329</f>
        <v>4094492.5</v>
      </c>
      <c r="XF1329" s="97">
        <f t="shared" ref="XF1329:XF1336" si="2317">$F1329*XF$1349</f>
        <v>38250.6</v>
      </c>
      <c r="XG1329" s="97">
        <f t="shared" ref="XG1329:XG1336" si="2318">$G1329*XG$1349</f>
        <v>40377.599999999999</v>
      </c>
      <c r="XH1329" s="97">
        <f t="shared" ref="XH1329:XH1336" si="2319">$H1329*XH$1349</f>
        <v>42499.98</v>
      </c>
      <c r="XI1329" s="97">
        <f t="shared" ref="XI1329:XI1336" si="2320">$I1329*XI$1349</f>
        <v>4068.44</v>
      </c>
      <c r="XJ1329" s="97">
        <f t="shared" ref="XJ1329:XJ1336" si="2321">$J1329*XJ$1349</f>
        <v>4394.5600000000004</v>
      </c>
      <c r="XK1329" s="97">
        <f t="shared" ref="XK1329:XK1336" si="2322">$K1329*XK$1349</f>
        <v>4475.03</v>
      </c>
      <c r="XL1329" s="97">
        <f t="shared" ref="XL1329:XN1336" si="2323">WW1329*XF1329</f>
        <v>22759107</v>
      </c>
      <c r="XM1329" s="97">
        <f t="shared" si="2323"/>
        <v>24024672</v>
      </c>
      <c r="XN1329" s="97">
        <f t="shared" si="2323"/>
        <v>25287488.100000001</v>
      </c>
      <c r="XO1329" s="97">
        <f t="shared" ref="XO1329:XQ1336" si="2324">WW1329*XI1329</f>
        <v>2420721.7999999998</v>
      </c>
      <c r="XP1329" s="97">
        <f t="shared" si="2324"/>
        <v>2614763.2000000002</v>
      </c>
      <c r="XQ1329" s="97">
        <f t="shared" si="2324"/>
        <v>2662642.85</v>
      </c>
      <c r="XR1329" s="102">
        <v>509</v>
      </c>
      <c r="XS1329" s="102">
        <v>509</v>
      </c>
      <c r="XT1329" s="102">
        <v>509</v>
      </c>
      <c r="XU1329" s="97">
        <f t="shared" ref="XU1329:XU1336" si="2325">$F1329*XR1329</f>
        <v>55239225</v>
      </c>
      <c r="XV1329" s="97">
        <f t="shared" ref="XV1329:XV1336" si="2326">$G1329*XS1329</f>
        <v>56455735</v>
      </c>
      <c r="XW1329" s="97">
        <f t="shared" ref="XW1329:XW1336" si="2327">$H1329*XT1329</f>
        <v>57276243</v>
      </c>
      <c r="XX1329" s="97">
        <f t="shared" ref="XX1329:XX1336" si="2328">$I1329*XR1329</f>
        <v>3388178.86</v>
      </c>
      <c r="XY1329" s="97">
        <f t="shared" ref="XY1329:XY1336" si="2329">$J1329*XS1329</f>
        <v>3454471.02</v>
      </c>
      <c r="XZ1329" s="97">
        <f t="shared" ref="XZ1329:XZ1336" si="2330">$K1329*XT1329</f>
        <v>3502683.5</v>
      </c>
      <c r="YA1329" s="97">
        <f t="shared" ref="YA1329:YA1336" si="2331">$F1329*YA$1349</f>
        <v>40376.080000000002</v>
      </c>
      <c r="YB1329" s="97">
        <f t="shared" ref="YB1329:YB1336" si="2332">$G1329*YB$1349</f>
        <v>42656.01</v>
      </c>
      <c r="YC1329" s="97">
        <f t="shared" ref="YC1329:YC1336" si="2333">$H1329*YC$1349</f>
        <v>44918.59</v>
      </c>
      <c r="YD1329" s="97">
        <f t="shared" ref="YD1329:YD1336" si="2334">$I1329*YD$1349</f>
        <v>17792.27</v>
      </c>
      <c r="YE1329" s="97">
        <f t="shared" ref="YE1329:YE1336" si="2335">$J1329*YE$1349</f>
        <v>21476.36</v>
      </c>
      <c r="YF1329" s="97">
        <f t="shared" ref="YF1329:YF1336" si="2336">$K1329*YF$1349</f>
        <v>21920.68</v>
      </c>
      <c r="YG1329" s="97">
        <f t="shared" ref="YG1329:YI1336" si="2337">XR1329*YA1329</f>
        <v>20551424.719999999</v>
      </c>
      <c r="YH1329" s="97">
        <f t="shared" si="2337"/>
        <v>21711909.09</v>
      </c>
      <c r="YI1329" s="97">
        <f t="shared" si="2337"/>
        <v>22863562.309999999</v>
      </c>
      <c r="YJ1329" s="97">
        <f t="shared" ref="YJ1329:YL1336" si="2338">XR1329*YD1329</f>
        <v>9056265.4299999997</v>
      </c>
      <c r="YK1329" s="97">
        <f t="shared" si="2338"/>
        <v>10931467.24</v>
      </c>
      <c r="YL1329" s="97">
        <f t="shared" si="2338"/>
        <v>11157626.119999999</v>
      </c>
      <c r="YM1329" s="145">
        <f t="shared" ref="YM1329:YO1336" si="2339">L1329+AG1329+BB1329+BW1329+CR1329+DM1329+EH1329+FC1329+FX1329+GS1329+HN1329+II1329+JD1329+JY1329+KT1329+LO1329+MJ1329+NE1329+NZ1329+OU1329+PP1329+QK1329+RF1329+SA1329+SV1329+TQ1329+UL1329+VG1329+WB1329+WW1329+XR1329</f>
        <v>13279</v>
      </c>
      <c r="YN1329" s="145">
        <f t="shared" si="2339"/>
        <v>13279</v>
      </c>
      <c r="YO1329" s="145">
        <f t="shared" si="2339"/>
        <v>13279</v>
      </c>
      <c r="YP1329" s="97">
        <f t="shared" ref="YP1329:YP1336" si="2340">$F1329*YM1329</f>
        <v>1441103475</v>
      </c>
      <c r="YQ1329" s="97">
        <f t="shared" ref="YQ1329:YQ1336" si="2341">$G1329*YN1329</f>
        <v>1472840285</v>
      </c>
      <c r="YR1329" s="97">
        <f t="shared" ref="YR1329:YR1336" si="2342">$H1329*YO1329</f>
        <v>1494246033</v>
      </c>
      <c r="YS1329" s="97">
        <f t="shared" ref="YS1329:YS1336" si="2343">$I1329*YM1329</f>
        <v>88392194.659999996</v>
      </c>
      <c r="YT1329" s="97">
        <f t="shared" ref="YT1329:YT1336" si="2344">$J1329*YN1329</f>
        <v>90121651.620000005</v>
      </c>
      <c r="YU1329" s="97">
        <f t="shared" ref="YU1329:YU1336" si="2345">$K1329*YO1329</f>
        <v>91379438.5</v>
      </c>
      <c r="YV1329" s="97">
        <f t="shared" ref="YV1329:YV1336" si="2346">$F1329*YV$1349</f>
        <v>42554.73</v>
      </c>
      <c r="YW1329" s="97">
        <f t="shared" ref="YW1329:YW1336" si="2347">$G1329*YW$1349</f>
        <v>44897.57</v>
      </c>
      <c r="YX1329" s="97">
        <f t="shared" ref="YX1329:YX1336" si="2348">$H1329*YX$1349</f>
        <v>47256.24</v>
      </c>
      <c r="YY1329" s="97">
        <f t="shared" ref="YY1329:YY1336" si="2349">$I1329*YY$1349</f>
        <v>5723.38</v>
      </c>
      <c r="YZ1329" s="97">
        <f t="shared" ref="YZ1329:YZ1336" si="2350">$J1329*YZ$1349</f>
        <v>6132.6</v>
      </c>
      <c r="ZA1329" s="97">
        <f t="shared" ref="ZA1329:ZA1336" si="2351">$K1329*ZA$1349</f>
        <v>6230.24</v>
      </c>
      <c r="ZB1329" s="97">
        <f t="shared" ref="ZB1329:ZD1336" si="2352">YM1329*YV1329</f>
        <v>565084259.66999996</v>
      </c>
      <c r="ZC1329" s="97">
        <f t="shared" si="2352"/>
        <v>596194832.02999997</v>
      </c>
      <c r="ZD1329" s="97">
        <f t="shared" si="2352"/>
        <v>627515610.96000004</v>
      </c>
      <c r="ZE1329" s="97">
        <f t="shared" ref="ZE1329:ZG1336" si="2353">YM1329*YY1329</f>
        <v>76000763.019999996</v>
      </c>
      <c r="ZF1329" s="97">
        <f t="shared" si="2353"/>
        <v>81434795.400000006</v>
      </c>
      <c r="ZG1329" s="97">
        <f t="shared" si="2353"/>
        <v>82731356.959999993</v>
      </c>
    </row>
    <row r="1330" spans="1:683" ht="72" hidden="1" x14ac:dyDescent="0.25">
      <c r="A1330" s="92" t="s">
        <v>610</v>
      </c>
      <c r="B1330" s="174"/>
      <c r="C1330" s="5"/>
      <c r="D1330" s="340"/>
      <c r="E1330" s="163"/>
      <c r="F1330" s="110">
        <f t="shared" si="1903"/>
        <v>10604</v>
      </c>
      <c r="G1330" s="110">
        <f t="shared" si="1903"/>
        <v>10604</v>
      </c>
      <c r="H1330" s="110">
        <f t="shared" si="1903"/>
        <v>10604</v>
      </c>
      <c r="I1330" s="97">
        <f t="shared" si="1904"/>
        <v>469</v>
      </c>
      <c r="J1330" s="97">
        <f t="shared" si="1904"/>
        <v>469</v>
      </c>
      <c r="K1330" s="97">
        <f t="shared" si="1904"/>
        <v>469</v>
      </c>
      <c r="L1330" s="102"/>
      <c r="M1330" s="102"/>
      <c r="N1330" s="102"/>
      <c r="O1330" s="97">
        <f t="shared" si="1905"/>
        <v>0</v>
      </c>
      <c r="P1330" s="97">
        <f t="shared" si="1906"/>
        <v>0</v>
      </c>
      <c r="Q1330" s="97">
        <f t="shared" si="1907"/>
        <v>0</v>
      </c>
      <c r="R1330" s="97">
        <f t="shared" si="1908"/>
        <v>0</v>
      </c>
      <c r="S1330" s="97">
        <f t="shared" si="1909"/>
        <v>0</v>
      </c>
      <c r="T1330" s="97">
        <f t="shared" si="1910"/>
        <v>0</v>
      </c>
      <c r="U1330" s="97">
        <f t="shared" si="1911"/>
        <v>4575.68</v>
      </c>
      <c r="V1330" s="97">
        <f t="shared" si="1912"/>
        <v>4724.88</v>
      </c>
      <c r="W1330" s="97">
        <f t="shared" si="1913"/>
        <v>4903.1400000000003</v>
      </c>
      <c r="X1330" s="97">
        <f t="shared" si="1914"/>
        <v>367.76</v>
      </c>
      <c r="Y1330" s="97">
        <f t="shared" si="1915"/>
        <v>371.55</v>
      </c>
      <c r="Z1330" s="97">
        <f t="shared" si="1916"/>
        <v>370.5</v>
      </c>
      <c r="AA1330" s="97">
        <f t="shared" si="1917"/>
        <v>0</v>
      </c>
      <c r="AB1330" s="97">
        <f t="shared" si="1917"/>
        <v>0</v>
      </c>
      <c r="AC1330" s="97">
        <f t="shared" si="1917"/>
        <v>0</v>
      </c>
      <c r="AD1330" s="97">
        <f t="shared" si="1918"/>
        <v>0</v>
      </c>
      <c r="AE1330" s="97">
        <f t="shared" si="1918"/>
        <v>0</v>
      </c>
      <c r="AF1330" s="97">
        <f t="shared" si="1918"/>
        <v>0</v>
      </c>
      <c r="AG1330" s="102"/>
      <c r="AH1330" s="102"/>
      <c r="AI1330" s="102"/>
      <c r="AJ1330" s="97">
        <f t="shared" si="1919"/>
        <v>0</v>
      </c>
      <c r="AK1330" s="97">
        <f t="shared" si="1920"/>
        <v>0</v>
      </c>
      <c r="AL1330" s="97">
        <f t="shared" si="1921"/>
        <v>0</v>
      </c>
      <c r="AM1330" s="97">
        <f t="shared" si="1922"/>
        <v>0</v>
      </c>
      <c r="AN1330" s="97">
        <f t="shared" si="1923"/>
        <v>0</v>
      </c>
      <c r="AO1330" s="97">
        <f t="shared" si="1924"/>
        <v>0</v>
      </c>
      <c r="AP1330" s="97">
        <f t="shared" si="1925"/>
        <v>4209.42</v>
      </c>
      <c r="AQ1330" s="97">
        <f t="shared" si="1926"/>
        <v>4345.97</v>
      </c>
      <c r="AR1330" s="97">
        <f t="shared" si="1927"/>
        <v>4509.22</v>
      </c>
      <c r="AS1330" s="97">
        <f t="shared" si="1928"/>
        <v>293.25</v>
      </c>
      <c r="AT1330" s="97">
        <f t="shared" si="1929"/>
        <v>300.76</v>
      </c>
      <c r="AU1330" s="97">
        <f t="shared" si="1930"/>
        <v>302.26</v>
      </c>
      <c r="AV1330" s="97">
        <f t="shared" si="1931"/>
        <v>0</v>
      </c>
      <c r="AW1330" s="97">
        <f t="shared" si="1931"/>
        <v>0</v>
      </c>
      <c r="AX1330" s="97">
        <f t="shared" si="1931"/>
        <v>0</v>
      </c>
      <c r="AY1330" s="97">
        <f t="shared" si="1932"/>
        <v>0</v>
      </c>
      <c r="AZ1330" s="97">
        <f t="shared" si="1932"/>
        <v>0</v>
      </c>
      <c r="BA1330" s="97">
        <f t="shared" si="1932"/>
        <v>0</v>
      </c>
      <c r="BB1330" s="102"/>
      <c r="BC1330" s="102"/>
      <c r="BD1330" s="102"/>
      <c r="BE1330" s="97">
        <f t="shared" si="1933"/>
        <v>0</v>
      </c>
      <c r="BF1330" s="97">
        <f t="shared" si="1934"/>
        <v>0</v>
      </c>
      <c r="BG1330" s="97">
        <f t="shared" si="1935"/>
        <v>0</v>
      </c>
      <c r="BH1330" s="97">
        <f t="shared" si="1936"/>
        <v>0</v>
      </c>
      <c r="BI1330" s="97">
        <f t="shared" si="1937"/>
        <v>0</v>
      </c>
      <c r="BJ1330" s="97">
        <f t="shared" si="1938"/>
        <v>0</v>
      </c>
      <c r="BK1330" s="97">
        <f t="shared" si="1939"/>
        <v>3970.86</v>
      </c>
      <c r="BL1330" s="97">
        <f t="shared" si="1940"/>
        <v>4091.53</v>
      </c>
      <c r="BM1330" s="97">
        <f t="shared" si="1941"/>
        <v>4240.6099999999997</v>
      </c>
      <c r="BN1330" s="97">
        <f t="shared" si="1942"/>
        <v>313.25</v>
      </c>
      <c r="BO1330" s="97">
        <f t="shared" si="1943"/>
        <v>321.27999999999997</v>
      </c>
      <c r="BP1330" s="97">
        <f t="shared" si="1944"/>
        <v>322.29000000000002</v>
      </c>
      <c r="BQ1330" s="97">
        <f t="shared" si="1945"/>
        <v>0</v>
      </c>
      <c r="BR1330" s="97">
        <f t="shared" si="1945"/>
        <v>0</v>
      </c>
      <c r="BS1330" s="97">
        <f t="shared" si="1945"/>
        <v>0</v>
      </c>
      <c r="BT1330" s="97">
        <f t="shared" si="1946"/>
        <v>0</v>
      </c>
      <c r="BU1330" s="97">
        <f t="shared" si="1946"/>
        <v>0</v>
      </c>
      <c r="BV1330" s="97">
        <f t="shared" si="1946"/>
        <v>0</v>
      </c>
      <c r="BW1330" s="102"/>
      <c r="BX1330" s="102"/>
      <c r="BY1330" s="102"/>
      <c r="BZ1330" s="97">
        <f t="shared" si="1947"/>
        <v>0</v>
      </c>
      <c r="CA1330" s="97">
        <f t="shared" si="1948"/>
        <v>0</v>
      </c>
      <c r="CB1330" s="97">
        <f t="shared" si="1949"/>
        <v>0</v>
      </c>
      <c r="CC1330" s="97">
        <f t="shared" si="1950"/>
        <v>0</v>
      </c>
      <c r="CD1330" s="97">
        <f t="shared" si="1951"/>
        <v>0</v>
      </c>
      <c r="CE1330" s="97">
        <f t="shared" si="1952"/>
        <v>0</v>
      </c>
      <c r="CF1330" s="97">
        <f t="shared" si="1953"/>
        <v>4100.82</v>
      </c>
      <c r="CG1330" s="97">
        <f t="shared" si="1954"/>
        <v>4237.03</v>
      </c>
      <c r="CH1330" s="97">
        <f t="shared" si="1955"/>
        <v>4396.46</v>
      </c>
      <c r="CI1330" s="97">
        <f t="shared" si="1956"/>
        <v>482.92</v>
      </c>
      <c r="CJ1330" s="97">
        <f t="shared" si="1957"/>
        <v>485.42</v>
      </c>
      <c r="CK1330" s="97">
        <f t="shared" si="1958"/>
        <v>483.08</v>
      </c>
      <c r="CL1330" s="97">
        <f t="shared" si="1959"/>
        <v>0</v>
      </c>
      <c r="CM1330" s="97">
        <f t="shared" si="1959"/>
        <v>0</v>
      </c>
      <c r="CN1330" s="97">
        <f t="shared" si="1959"/>
        <v>0</v>
      </c>
      <c r="CO1330" s="97">
        <f t="shared" si="1960"/>
        <v>0</v>
      </c>
      <c r="CP1330" s="97">
        <f t="shared" si="1960"/>
        <v>0</v>
      </c>
      <c r="CQ1330" s="97">
        <f t="shared" si="1960"/>
        <v>0</v>
      </c>
      <c r="CR1330" s="102"/>
      <c r="CS1330" s="102"/>
      <c r="CT1330" s="102"/>
      <c r="CU1330" s="97">
        <f t="shared" si="1961"/>
        <v>0</v>
      </c>
      <c r="CV1330" s="97">
        <f t="shared" si="1962"/>
        <v>0</v>
      </c>
      <c r="CW1330" s="97">
        <f t="shared" si="1963"/>
        <v>0</v>
      </c>
      <c r="CX1330" s="97">
        <f t="shared" si="1964"/>
        <v>0</v>
      </c>
      <c r="CY1330" s="97">
        <f t="shared" si="1965"/>
        <v>0</v>
      </c>
      <c r="CZ1330" s="97">
        <f t="shared" si="1966"/>
        <v>0</v>
      </c>
      <c r="DA1330" s="97">
        <f t="shared" si="1967"/>
        <v>4132.3999999999996</v>
      </c>
      <c r="DB1330" s="97">
        <f t="shared" si="1968"/>
        <v>4265.99</v>
      </c>
      <c r="DC1330" s="97">
        <f t="shared" si="1969"/>
        <v>4426.25</v>
      </c>
      <c r="DD1330" s="97">
        <f t="shared" si="1970"/>
        <v>233.8</v>
      </c>
      <c r="DE1330" s="97">
        <f t="shared" si="1971"/>
        <v>236.16</v>
      </c>
      <c r="DF1330" s="97">
        <f t="shared" si="1972"/>
        <v>235.75</v>
      </c>
      <c r="DG1330" s="97">
        <f t="shared" si="1973"/>
        <v>0</v>
      </c>
      <c r="DH1330" s="97">
        <f t="shared" si="1973"/>
        <v>0</v>
      </c>
      <c r="DI1330" s="97">
        <f t="shared" si="1973"/>
        <v>0</v>
      </c>
      <c r="DJ1330" s="97">
        <f t="shared" si="1974"/>
        <v>0</v>
      </c>
      <c r="DK1330" s="97">
        <f t="shared" si="1974"/>
        <v>0</v>
      </c>
      <c r="DL1330" s="97">
        <f t="shared" si="1974"/>
        <v>0</v>
      </c>
      <c r="DM1330" s="102"/>
      <c r="DN1330" s="102"/>
      <c r="DO1330" s="102"/>
      <c r="DP1330" s="97">
        <f t="shared" si="1975"/>
        <v>0</v>
      </c>
      <c r="DQ1330" s="97">
        <f t="shared" si="1976"/>
        <v>0</v>
      </c>
      <c r="DR1330" s="97">
        <f t="shared" si="1977"/>
        <v>0</v>
      </c>
      <c r="DS1330" s="97">
        <f t="shared" si="1978"/>
        <v>0</v>
      </c>
      <c r="DT1330" s="97">
        <f t="shared" si="1979"/>
        <v>0</v>
      </c>
      <c r="DU1330" s="97">
        <f t="shared" si="1980"/>
        <v>0</v>
      </c>
      <c r="DV1330" s="97">
        <f t="shared" si="1981"/>
        <v>4487.0600000000004</v>
      </c>
      <c r="DW1330" s="97">
        <f t="shared" si="1982"/>
        <v>4639.32</v>
      </c>
      <c r="DX1330" s="97">
        <f t="shared" si="1983"/>
        <v>4815.92</v>
      </c>
      <c r="DY1330" s="97">
        <f t="shared" si="1984"/>
        <v>489.7</v>
      </c>
      <c r="DZ1330" s="97">
        <f t="shared" si="1985"/>
        <v>475.73</v>
      </c>
      <c r="EA1330" s="97">
        <f t="shared" si="1986"/>
        <v>474.43</v>
      </c>
      <c r="EB1330" s="97">
        <f t="shared" si="1987"/>
        <v>0</v>
      </c>
      <c r="EC1330" s="97">
        <f t="shared" si="1987"/>
        <v>0</v>
      </c>
      <c r="ED1330" s="97">
        <f t="shared" si="1987"/>
        <v>0</v>
      </c>
      <c r="EE1330" s="97">
        <f t="shared" si="1988"/>
        <v>0</v>
      </c>
      <c r="EF1330" s="97">
        <f t="shared" si="1988"/>
        <v>0</v>
      </c>
      <c r="EG1330" s="97">
        <f t="shared" si="1988"/>
        <v>0</v>
      </c>
      <c r="EH1330" s="102"/>
      <c r="EI1330" s="102"/>
      <c r="EJ1330" s="102"/>
      <c r="EK1330" s="97">
        <f t="shared" si="1989"/>
        <v>0</v>
      </c>
      <c r="EL1330" s="97">
        <f t="shared" si="1990"/>
        <v>0</v>
      </c>
      <c r="EM1330" s="97">
        <f t="shared" si="1991"/>
        <v>0</v>
      </c>
      <c r="EN1330" s="97">
        <f t="shared" si="1992"/>
        <v>0</v>
      </c>
      <c r="EO1330" s="97">
        <f t="shared" si="1993"/>
        <v>0</v>
      </c>
      <c r="EP1330" s="97">
        <f t="shared" si="1994"/>
        <v>0</v>
      </c>
      <c r="EQ1330" s="97">
        <f t="shared" si="1995"/>
        <v>4435.29</v>
      </c>
      <c r="ER1330" s="97">
        <f t="shared" si="1996"/>
        <v>4571.63</v>
      </c>
      <c r="ES1330" s="97">
        <f t="shared" si="1997"/>
        <v>4741.16</v>
      </c>
      <c r="ET1330" s="97">
        <f t="shared" si="1998"/>
        <v>411.13</v>
      </c>
      <c r="EU1330" s="97">
        <f t="shared" si="1999"/>
        <v>420.97</v>
      </c>
      <c r="EV1330" s="97">
        <f t="shared" si="2000"/>
        <v>422.73</v>
      </c>
      <c r="EW1330" s="97">
        <f t="shared" si="2001"/>
        <v>0</v>
      </c>
      <c r="EX1330" s="97">
        <f t="shared" si="2001"/>
        <v>0</v>
      </c>
      <c r="EY1330" s="97">
        <f t="shared" si="2001"/>
        <v>0</v>
      </c>
      <c r="EZ1330" s="97">
        <f t="shared" si="2002"/>
        <v>0</v>
      </c>
      <c r="FA1330" s="97">
        <f t="shared" si="2002"/>
        <v>0</v>
      </c>
      <c r="FB1330" s="97">
        <f t="shared" si="2002"/>
        <v>0</v>
      </c>
      <c r="FC1330" s="102"/>
      <c r="FD1330" s="102"/>
      <c r="FE1330" s="102"/>
      <c r="FF1330" s="97">
        <f t="shared" si="2003"/>
        <v>0</v>
      </c>
      <c r="FG1330" s="97">
        <f t="shared" si="2004"/>
        <v>0</v>
      </c>
      <c r="FH1330" s="97">
        <f t="shared" si="2005"/>
        <v>0</v>
      </c>
      <c r="FI1330" s="97">
        <f t="shared" si="2006"/>
        <v>0</v>
      </c>
      <c r="FJ1330" s="97">
        <f t="shared" si="2007"/>
        <v>0</v>
      </c>
      <c r="FK1330" s="97">
        <f t="shared" si="2008"/>
        <v>0</v>
      </c>
      <c r="FL1330" s="97">
        <f t="shared" si="2009"/>
        <v>4309.09</v>
      </c>
      <c r="FM1330" s="97">
        <f t="shared" si="2010"/>
        <v>4450.54</v>
      </c>
      <c r="FN1330" s="97">
        <f t="shared" si="2011"/>
        <v>4618.32</v>
      </c>
      <c r="FO1330" s="97">
        <f t="shared" si="2012"/>
        <v>442.18</v>
      </c>
      <c r="FP1330" s="97">
        <f t="shared" si="2013"/>
        <v>455.59</v>
      </c>
      <c r="FQ1330" s="97">
        <f t="shared" si="2014"/>
        <v>447.06</v>
      </c>
      <c r="FR1330" s="97">
        <f t="shared" si="2015"/>
        <v>0</v>
      </c>
      <c r="FS1330" s="97">
        <f t="shared" si="2015"/>
        <v>0</v>
      </c>
      <c r="FT1330" s="97">
        <f t="shared" si="2015"/>
        <v>0</v>
      </c>
      <c r="FU1330" s="97">
        <f t="shared" si="2016"/>
        <v>0</v>
      </c>
      <c r="FV1330" s="97">
        <f t="shared" si="2016"/>
        <v>0</v>
      </c>
      <c r="FW1330" s="97">
        <f t="shared" si="2016"/>
        <v>0</v>
      </c>
      <c r="FX1330" s="102"/>
      <c r="FY1330" s="102"/>
      <c r="FZ1330" s="102"/>
      <c r="GA1330" s="97">
        <f t="shared" si="2017"/>
        <v>0</v>
      </c>
      <c r="GB1330" s="97">
        <f t="shared" si="2018"/>
        <v>0</v>
      </c>
      <c r="GC1330" s="97">
        <f t="shared" si="2019"/>
        <v>0</v>
      </c>
      <c r="GD1330" s="97">
        <f t="shared" si="2020"/>
        <v>0</v>
      </c>
      <c r="GE1330" s="97">
        <f t="shared" si="2021"/>
        <v>0</v>
      </c>
      <c r="GF1330" s="97">
        <f t="shared" si="2022"/>
        <v>0</v>
      </c>
      <c r="GG1330" s="97">
        <f t="shared" si="2023"/>
        <v>4302.32</v>
      </c>
      <c r="GH1330" s="97">
        <f t="shared" si="2024"/>
        <v>4438.7</v>
      </c>
      <c r="GI1330" s="97">
        <f t="shared" si="2025"/>
        <v>4603.7299999999996</v>
      </c>
      <c r="GJ1330" s="97">
        <f t="shared" si="2026"/>
        <v>331.56</v>
      </c>
      <c r="GK1330" s="97">
        <f t="shared" si="2027"/>
        <v>368.2</v>
      </c>
      <c r="GL1330" s="97">
        <f t="shared" si="2028"/>
        <v>391.36</v>
      </c>
      <c r="GM1330" s="97">
        <f t="shared" si="2029"/>
        <v>0</v>
      </c>
      <c r="GN1330" s="97">
        <f t="shared" si="2029"/>
        <v>0</v>
      </c>
      <c r="GO1330" s="97">
        <f t="shared" si="2029"/>
        <v>0</v>
      </c>
      <c r="GP1330" s="97">
        <f t="shared" si="2030"/>
        <v>0</v>
      </c>
      <c r="GQ1330" s="97">
        <f t="shared" si="2030"/>
        <v>0</v>
      </c>
      <c r="GR1330" s="97">
        <f t="shared" si="2030"/>
        <v>0</v>
      </c>
      <c r="GS1330" s="102"/>
      <c r="GT1330" s="102"/>
      <c r="GU1330" s="102"/>
      <c r="GV1330" s="97">
        <f t="shared" si="2031"/>
        <v>0</v>
      </c>
      <c r="GW1330" s="97">
        <f t="shared" si="2032"/>
        <v>0</v>
      </c>
      <c r="GX1330" s="97">
        <f t="shared" si="2033"/>
        <v>0</v>
      </c>
      <c r="GY1330" s="97">
        <f t="shared" si="2034"/>
        <v>0</v>
      </c>
      <c r="GZ1330" s="97">
        <f t="shared" si="2035"/>
        <v>0</v>
      </c>
      <c r="HA1330" s="97">
        <f t="shared" si="2036"/>
        <v>0</v>
      </c>
      <c r="HB1330" s="97">
        <f t="shared" si="2037"/>
        <v>4494.3599999999997</v>
      </c>
      <c r="HC1330" s="97">
        <f t="shared" si="2038"/>
        <v>4634.96</v>
      </c>
      <c r="HD1330" s="97">
        <f t="shared" si="2039"/>
        <v>4807.1499999999996</v>
      </c>
      <c r="HE1330" s="97">
        <f t="shared" si="2040"/>
        <v>385.77</v>
      </c>
      <c r="HF1330" s="97">
        <f t="shared" si="2041"/>
        <v>393.83</v>
      </c>
      <c r="HG1330" s="97">
        <f t="shared" si="2042"/>
        <v>394.53</v>
      </c>
      <c r="HH1330" s="97">
        <f t="shared" si="2043"/>
        <v>0</v>
      </c>
      <c r="HI1330" s="97">
        <f t="shared" si="2043"/>
        <v>0</v>
      </c>
      <c r="HJ1330" s="97">
        <f t="shared" si="2043"/>
        <v>0</v>
      </c>
      <c r="HK1330" s="97">
        <f t="shared" si="2044"/>
        <v>0</v>
      </c>
      <c r="HL1330" s="97">
        <f t="shared" si="2044"/>
        <v>0</v>
      </c>
      <c r="HM1330" s="97">
        <f t="shared" si="2044"/>
        <v>0</v>
      </c>
      <c r="HN1330" s="102"/>
      <c r="HO1330" s="102"/>
      <c r="HP1330" s="102"/>
      <c r="HQ1330" s="97">
        <f t="shared" si="2045"/>
        <v>0</v>
      </c>
      <c r="HR1330" s="97">
        <f t="shared" si="2046"/>
        <v>0</v>
      </c>
      <c r="HS1330" s="97">
        <f t="shared" si="2047"/>
        <v>0</v>
      </c>
      <c r="HT1330" s="97">
        <f t="shared" si="2048"/>
        <v>0</v>
      </c>
      <c r="HU1330" s="97">
        <f t="shared" si="2049"/>
        <v>0</v>
      </c>
      <c r="HV1330" s="97">
        <f t="shared" si="2050"/>
        <v>0</v>
      </c>
      <c r="HW1330" s="97">
        <f t="shared" si="2051"/>
        <v>4423.08</v>
      </c>
      <c r="HX1330" s="97">
        <f t="shared" si="2052"/>
        <v>4568.1899999999996</v>
      </c>
      <c r="HY1330" s="97">
        <f t="shared" si="2053"/>
        <v>4738.76</v>
      </c>
      <c r="HZ1330" s="97">
        <f t="shared" si="2054"/>
        <v>368</v>
      </c>
      <c r="IA1330" s="97">
        <f t="shared" si="2055"/>
        <v>375.46</v>
      </c>
      <c r="IB1330" s="97">
        <f t="shared" si="2056"/>
        <v>369.69</v>
      </c>
      <c r="IC1330" s="97">
        <f t="shared" si="2057"/>
        <v>0</v>
      </c>
      <c r="ID1330" s="97">
        <f t="shared" si="2057"/>
        <v>0</v>
      </c>
      <c r="IE1330" s="97">
        <f t="shared" si="2057"/>
        <v>0</v>
      </c>
      <c r="IF1330" s="97">
        <f t="shared" si="2058"/>
        <v>0</v>
      </c>
      <c r="IG1330" s="97">
        <f t="shared" si="2058"/>
        <v>0</v>
      </c>
      <c r="IH1330" s="97">
        <f t="shared" si="2058"/>
        <v>0</v>
      </c>
      <c r="II1330" s="102"/>
      <c r="IJ1330" s="102"/>
      <c r="IK1330" s="102"/>
      <c r="IL1330" s="97">
        <f t="shared" si="2059"/>
        <v>0</v>
      </c>
      <c r="IM1330" s="97">
        <f t="shared" si="2060"/>
        <v>0</v>
      </c>
      <c r="IN1330" s="97">
        <f t="shared" si="2061"/>
        <v>0</v>
      </c>
      <c r="IO1330" s="97">
        <f t="shared" si="2062"/>
        <v>0</v>
      </c>
      <c r="IP1330" s="97">
        <f t="shared" si="2063"/>
        <v>0</v>
      </c>
      <c r="IQ1330" s="97">
        <f t="shared" si="2064"/>
        <v>0</v>
      </c>
      <c r="IR1330" s="97">
        <f t="shared" si="2065"/>
        <v>6008.45</v>
      </c>
      <c r="IS1330" s="97">
        <f t="shared" si="2066"/>
        <v>6189.48</v>
      </c>
      <c r="IT1330" s="97">
        <f t="shared" si="2067"/>
        <v>6418.25</v>
      </c>
      <c r="IU1330" s="97">
        <f t="shared" si="2068"/>
        <v>556.34</v>
      </c>
      <c r="IV1330" s="97">
        <f t="shared" si="2069"/>
        <v>567.59</v>
      </c>
      <c r="IW1330" s="97">
        <f t="shared" si="2070"/>
        <v>554.94000000000005</v>
      </c>
      <c r="IX1330" s="97">
        <f t="shared" si="2071"/>
        <v>0</v>
      </c>
      <c r="IY1330" s="97">
        <f t="shared" si="2071"/>
        <v>0</v>
      </c>
      <c r="IZ1330" s="97">
        <f t="shared" si="2071"/>
        <v>0</v>
      </c>
      <c r="JA1330" s="97">
        <f t="shared" si="2072"/>
        <v>0</v>
      </c>
      <c r="JB1330" s="97">
        <f t="shared" si="2072"/>
        <v>0</v>
      </c>
      <c r="JC1330" s="97">
        <f t="shared" si="2072"/>
        <v>0</v>
      </c>
      <c r="JD1330" s="102"/>
      <c r="JE1330" s="102"/>
      <c r="JF1330" s="102"/>
      <c r="JG1330" s="97">
        <f t="shared" si="2073"/>
        <v>0</v>
      </c>
      <c r="JH1330" s="97">
        <f t="shared" si="2074"/>
        <v>0</v>
      </c>
      <c r="JI1330" s="97">
        <f t="shared" si="2075"/>
        <v>0</v>
      </c>
      <c r="JJ1330" s="97">
        <f t="shared" si="2076"/>
        <v>0</v>
      </c>
      <c r="JK1330" s="97">
        <f t="shared" si="2077"/>
        <v>0</v>
      </c>
      <c r="JL1330" s="97">
        <f t="shared" si="2078"/>
        <v>0</v>
      </c>
      <c r="JM1330" s="97">
        <f t="shared" si="2079"/>
        <v>4027.71</v>
      </c>
      <c r="JN1330" s="97">
        <f t="shared" si="2080"/>
        <v>4157.3500000000004</v>
      </c>
      <c r="JO1330" s="97">
        <f t="shared" si="2081"/>
        <v>4313.3100000000004</v>
      </c>
      <c r="JP1330" s="97">
        <f t="shared" si="2082"/>
        <v>303.32</v>
      </c>
      <c r="JQ1330" s="97">
        <f t="shared" si="2083"/>
        <v>315.10000000000002</v>
      </c>
      <c r="JR1330" s="97">
        <f t="shared" si="2084"/>
        <v>315.85000000000002</v>
      </c>
      <c r="JS1330" s="97">
        <f t="shared" si="2085"/>
        <v>0</v>
      </c>
      <c r="JT1330" s="97">
        <f t="shared" si="2085"/>
        <v>0</v>
      </c>
      <c r="JU1330" s="97">
        <f t="shared" si="2085"/>
        <v>0</v>
      </c>
      <c r="JV1330" s="97">
        <f t="shared" si="2086"/>
        <v>0</v>
      </c>
      <c r="JW1330" s="97">
        <f t="shared" si="2086"/>
        <v>0</v>
      </c>
      <c r="JX1330" s="97">
        <f t="shared" si="2086"/>
        <v>0</v>
      </c>
      <c r="JY1330" s="102"/>
      <c r="JZ1330" s="102"/>
      <c r="KA1330" s="102"/>
      <c r="KB1330" s="97">
        <f t="shared" si="2087"/>
        <v>0</v>
      </c>
      <c r="KC1330" s="97">
        <f t="shared" si="2088"/>
        <v>0</v>
      </c>
      <c r="KD1330" s="97">
        <f t="shared" si="2089"/>
        <v>0</v>
      </c>
      <c r="KE1330" s="97">
        <f t="shared" si="2090"/>
        <v>0</v>
      </c>
      <c r="KF1330" s="97">
        <f t="shared" si="2091"/>
        <v>0</v>
      </c>
      <c r="KG1330" s="97">
        <f t="shared" si="2092"/>
        <v>0</v>
      </c>
      <c r="KH1330" s="97">
        <f t="shared" si="2093"/>
        <v>4140.91</v>
      </c>
      <c r="KI1330" s="97">
        <f t="shared" si="2094"/>
        <v>4270.58</v>
      </c>
      <c r="KJ1330" s="97">
        <f t="shared" si="2095"/>
        <v>4429.79</v>
      </c>
      <c r="KK1330" s="97">
        <f t="shared" si="2096"/>
        <v>284.33999999999997</v>
      </c>
      <c r="KL1330" s="97">
        <f t="shared" si="2097"/>
        <v>292.02999999999997</v>
      </c>
      <c r="KM1330" s="97">
        <f t="shared" si="2098"/>
        <v>290.64999999999998</v>
      </c>
      <c r="KN1330" s="97">
        <f t="shared" si="2099"/>
        <v>0</v>
      </c>
      <c r="KO1330" s="97">
        <f t="shared" si="2099"/>
        <v>0</v>
      </c>
      <c r="KP1330" s="97">
        <f t="shared" si="2099"/>
        <v>0</v>
      </c>
      <c r="KQ1330" s="97">
        <f t="shared" si="2100"/>
        <v>0</v>
      </c>
      <c r="KR1330" s="97">
        <f t="shared" si="2100"/>
        <v>0</v>
      </c>
      <c r="KS1330" s="97">
        <f t="shared" si="2100"/>
        <v>0</v>
      </c>
      <c r="KT1330" s="102"/>
      <c r="KU1330" s="102"/>
      <c r="KV1330" s="102"/>
      <c r="KW1330" s="97">
        <f t="shared" si="2101"/>
        <v>0</v>
      </c>
      <c r="KX1330" s="97">
        <f t="shared" si="2102"/>
        <v>0</v>
      </c>
      <c r="KY1330" s="97">
        <f t="shared" si="2103"/>
        <v>0</v>
      </c>
      <c r="KZ1330" s="97">
        <f t="shared" si="2104"/>
        <v>0</v>
      </c>
      <c r="LA1330" s="97">
        <f t="shared" si="2105"/>
        <v>0</v>
      </c>
      <c r="LB1330" s="97">
        <f t="shared" si="2106"/>
        <v>0</v>
      </c>
      <c r="LC1330" s="97">
        <f t="shared" si="2107"/>
        <v>3908.64</v>
      </c>
      <c r="LD1330" s="97">
        <f t="shared" si="2108"/>
        <v>4036.42</v>
      </c>
      <c r="LE1330" s="97">
        <f t="shared" si="2109"/>
        <v>4188.12</v>
      </c>
      <c r="LF1330" s="97">
        <f t="shared" si="2110"/>
        <v>391.89</v>
      </c>
      <c r="LG1330" s="97">
        <f t="shared" si="2111"/>
        <v>408.01</v>
      </c>
      <c r="LH1330" s="97">
        <f t="shared" si="2112"/>
        <v>410.15</v>
      </c>
      <c r="LI1330" s="97">
        <f t="shared" si="2113"/>
        <v>0</v>
      </c>
      <c r="LJ1330" s="97">
        <f t="shared" si="2113"/>
        <v>0</v>
      </c>
      <c r="LK1330" s="97">
        <f t="shared" si="2113"/>
        <v>0</v>
      </c>
      <c r="LL1330" s="97">
        <f t="shared" si="2114"/>
        <v>0</v>
      </c>
      <c r="LM1330" s="97">
        <f t="shared" si="2114"/>
        <v>0</v>
      </c>
      <c r="LN1330" s="97">
        <f t="shared" si="2114"/>
        <v>0</v>
      </c>
      <c r="LO1330" s="102"/>
      <c r="LP1330" s="102"/>
      <c r="LQ1330" s="102"/>
      <c r="LR1330" s="97">
        <f t="shared" si="2115"/>
        <v>0</v>
      </c>
      <c r="LS1330" s="97">
        <f t="shared" si="2116"/>
        <v>0</v>
      </c>
      <c r="LT1330" s="97">
        <f t="shared" si="2117"/>
        <v>0</v>
      </c>
      <c r="LU1330" s="97">
        <f t="shared" si="2118"/>
        <v>0</v>
      </c>
      <c r="LV1330" s="97">
        <f t="shared" si="2119"/>
        <v>0</v>
      </c>
      <c r="LW1330" s="97">
        <f t="shared" si="2120"/>
        <v>0</v>
      </c>
      <c r="LX1330" s="97">
        <f t="shared" si="2121"/>
        <v>3414.37</v>
      </c>
      <c r="LY1330" s="97">
        <f t="shared" si="2122"/>
        <v>3526.19</v>
      </c>
      <c r="LZ1330" s="97">
        <f t="shared" si="2123"/>
        <v>3658.33</v>
      </c>
      <c r="MA1330" s="97">
        <f t="shared" si="2124"/>
        <v>290.89999999999998</v>
      </c>
      <c r="MB1330" s="97">
        <f t="shared" si="2125"/>
        <v>298.10000000000002</v>
      </c>
      <c r="MC1330" s="97">
        <f t="shared" si="2126"/>
        <v>297.22000000000003</v>
      </c>
      <c r="MD1330" s="97">
        <f t="shared" si="2127"/>
        <v>0</v>
      </c>
      <c r="ME1330" s="97">
        <f t="shared" si="2127"/>
        <v>0</v>
      </c>
      <c r="MF1330" s="97">
        <f t="shared" si="2127"/>
        <v>0</v>
      </c>
      <c r="MG1330" s="97">
        <f t="shared" si="2128"/>
        <v>0</v>
      </c>
      <c r="MH1330" s="97">
        <f t="shared" si="2128"/>
        <v>0</v>
      </c>
      <c r="MI1330" s="97">
        <f t="shared" si="2128"/>
        <v>0</v>
      </c>
      <c r="MJ1330" s="102"/>
      <c r="MK1330" s="102"/>
      <c r="ML1330" s="102"/>
      <c r="MM1330" s="97">
        <f t="shared" si="2129"/>
        <v>0</v>
      </c>
      <c r="MN1330" s="97">
        <f t="shared" si="2130"/>
        <v>0</v>
      </c>
      <c r="MO1330" s="97">
        <f t="shared" si="2131"/>
        <v>0</v>
      </c>
      <c r="MP1330" s="97">
        <f t="shared" si="2132"/>
        <v>0</v>
      </c>
      <c r="MQ1330" s="97">
        <f t="shared" si="2133"/>
        <v>0</v>
      </c>
      <c r="MR1330" s="97">
        <f t="shared" si="2134"/>
        <v>0</v>
      </c>
      <c r="MS1330" s="97">
        <f t="shared" si="2135"/>
        <v>3950.05</v>
      </c>
      <c r="MT1330" s="97">
        <f t="shared" si="2136"/>
        <v>4078.91</v>
      </c>
      <c r="MU1330" s="97">
        <f t="shared" si="2137"/>
        <v>4232.1400000000003</v>
      </c>
      <c r="MV1330" s="97">
        <f t="shared" si="2138"/>
        <v>345.12</v>
      </c>
      <c r="MW1330" s="97">
        <f t="shared" si="2139"/>
        <v>348.89</v>
      </c>
      <c r="MX1330" s="97">
        <f t="shared" si="2140"/>
        <v>351.04</v>
      </c>
      <c r="MY1330" s="97">
        <f t="shared" si="2141"/>
        <v>0</v>
      </c>
      <c r="MZ1330" s="97">
        <f t="shared" si="2141"/>
        <v>0</v>
      </c>
      <c r="NA1330" s="97">
        <f t="shared" si="2141"/>
        <v>0</v>
      </c>
      <c r="NB1330" s="97">
        <f t="shared" si="2142"/>
        <v>0</v>
      </c>
      <c r="NC1330" s="97">
        <f t="shared" si="2142"/>
        <v>0</v>
      </c>
      <c r="ND1330" s="97">
        <f t="shared" si="2142"/>
        <v>0</v>
      </c>
      <c r="NE1330" s="102"/>
      <c r="NF1330" s="102"/>
      <c r="NG1330" s="102"/>
      <c r="NH1330" s="97">
        <f t="shared" si="2143"/>
        <v>0</v>
      </c>
      <c r="NI1330" s="97">
        <f t="shared" si="2144"/>
        <v>0</v>
      </c>
      <c r="NJ1330" s="97">
        <f t="shared" si="2145"/>
        <v>0</v>
      </c>
      <c r="NK1330" s="97">
        <f t="shared" si="2146"/>
        <v>0</v>
      </c>
      <c r="NL1330" s="97">
        <f t="shared" si="2147"/>
        <v>0</v>
      </c>
      <c r="NM1330" s="97">
        <f t="shared" si="2148"/>
        <v>0</v>
      </c>
      <c r="NN1330" s="97">
        <f t="shared" si="2149"/>
        <v>4032.91</v>
      </c>
      <c r="NO1330" s="97">
        <f t="shared" si="2150"/>
        <v>4159.1000000000004</v>
      </c>
      <c r="NP1330" s="97">
        <f t="shared" si="2151"/>
        <v>4312.91</v>
      </c>
      <c r="NQ1330" s="97">
        <f t="shared" si="2152"/>
        <v>505.45</v>
      </c>
      <c r="NR1330" s="97">
        <f t="shared" si="2153"/>
        <v>527.95000000000005</v>
      </c>
      <c r="NS1330" s="97">
        <f t="shared" si="2154"/>
        <v>513.37</v>
      </c>
      <c r="NT1330" s="97">
        <f t="shared" si="2155"/>
        <v>0</v>
      </c>
      <c r="NU1330" s="97">
        <f t="shared" si="2155"/>
        <v>0</v>
      </c>
      <c r="NV1330" s="97">
        <f t="shared" si="2155"/>
        <v>0</v>
      </c>
      <c r="NW1330" s="97">
        <f t="shared" si="2156"/>
        <v>0</v>
      </c>
      <c r="NX1330" s="97">
        <f t="shared" si="2156"/>
        <v>0</v>
      </c>
      <c r="NY1330" s="97">
        <f t="shared" si="2156"/>
        <v>0</v>
      </c>
      <c r="NZ1330" s="102"/>
      <c r="OA1330" s="102"/>
      <c r="OB1330" s="102"/>
      <c r="OC1330" s="97">
        <f t="shared" si="2157"/>
        <v>0</v>
      </c>
      <c r="OD1330" s="97">
        <f t="shared" si="2158"/>
        <v>0</v>
      </c>
      <c r="OE1330" s="97">
        <f t="shared" si="2159"/>
        <v>0</v>
      </c>
      <c r="OF1330" s="97">
        <f t="shared" si="2160"/>
        <v>0</v>
      </c>
      <c r="OG1330" s="97">
        <f t="shared" si="2161"/>
        <v>0</v>
      </c>
      <c r="OH1330" s="97">
        <f t="shared" si="2162"/>
        <v>0</v>
      </c>
      <c r="OI1330" s="97">
        <f t="shared" si="2163"/>
        <v>5287.83</v>
      </c>
      <c r="OJ1330" s="97">
        <f t="shared" si="2164"/>
        <v>5444.73</v>
      </c>
      <c r="OK1330" s="97">
        <f t="shared" si="2165"/>
        <v>5644.44</v>
      </c>
      <c r="OL1330" s="97">
        <f t="shared" si="2166"/>
        <v>506.96</v>
      </c>
      <c r="OM1330" s="97">
        <f t="shared" si="2167"/>
        <v>526.76</v>
      </c>
      <c r="ON1330" s="97">
        <f t="shared" si="2168"/>
        <v>524</v>
      </c>
      <c r="OO1330" s="97">
        <f t="shared" si="2169"/>
        <v>0</v>
      </c>
      <c r="OP1330" s="97">
        <f t="shared" si="2169"/>
        <v>0</v>
      </c>
      <c r="OQ1330" s="97">
        <f t="shared" si="2169"/>
        <v>0</v>
      </c>
      <c r="OR1330" s="97">
        <f t="shared" si="2170"/>
        <v>0</v>
      </c>
      <c r="OS1330" s="97">
        <f t="shared" si="2170"/>
        <v>0</v>
      </c>
      <c r="OT1330" s="97">
        <f t="shared" si="2170"/>
        <v>0</v>
      </c>
      <c r="OU1330" s="102"/>
      <c r="OV1330" s="102"/>
      <c r="OW1330" s="102"/>
      <c r="OX1330" s="97">
        <f t="shared" si="2171"/>
        <v>0</v>
      </c>
      <c r="OY1330" s="97">
        <f t="shared" si="2172"/>
        <v>0</v>
      </c>
      <c r="OZ1330" s="97">
        <f t="shared" si="2173"/>
        <v>0</v>
      </c>
      <c r="PA1330" s="97">
        <f t="shared" si="2174"/>
        <v>0</v>
      </c>
      <c r="PB1330" s="97">
        <f t="shared" si="2175"/>
        <v>0</v>
      </c>
      <c r="PC1330" s="97">
        <f t="shared" si="2176"/>
        <v>0</v>
      </c>
      <c r="PD1330" s="97">
        <f t="shared" si="2177"/>
        <v>4446.8999999999996</v>
      </c>
      <c r="PE1330" s="97">
        <f t="shared" si="2178"/>
        <v>4589.9399999999996</v>
      </c>
      <c r="PF1330" s="97">
        <f t="shared" si="2179"/>
        <v>4761.7299999999996</v>
      </c>
      <c r="PG1330" s="97">
        <f t="shared" si="2180"/>
        <v>405.17</v>
      </c>
      <c r="PH1330" s="97">
        <f t="shared" si="2181"/>
        <v>413.93</v>
      </c>
      <c r="PI1330" s="97">
        <f t="shared" si="2182"/>
        <v>417.29</v>
      </c>
      <c r="PJ1330" s="97">
        <f t="shared" si="2183"/>
        <v>0</v>
      </c>
      <c r="PK1330" s="97">
        <f t="shared" si="2183"/>
        <v>0</v>
      </c>
      <c r="PL1330" s="97">
        <f t="shared" si="2183"/>
        <v>0</v>
      </c>
      <c r="PM1330" s="97">
        <f t="shared" si="2184"/>
        <v>0</v>
      </c>
      <c r="PN1330" s="97">
        <f t="shared" si="2184"/>
        <v>0</v>
      </c>
      <c r="PO1330" s="97">
        <f t="shared" si="2184"/>
        <v>0</v>
      </c>
      <c r="PP1330" s="102"/>
      <c r="PQ1330" s="102"/>
      <c r="PR1330" s="102"/>
      <c r="PS1330" s="97">
        <f t="shared" si="2185"/>
        <v>0</v>
      </c>
      <c r="PT1330" s="97">
        <f t="shared" si="2186"/>
        <v>0</v>
      </c>
      <c r="PU1330" s="97">
        <f t="shared" si="2187"/>
        <v>0</v>
      </c>
      <c r="PV1330" s="97">
        <f t="shared" si="2188"/>
        <v>0</v>
      </c>
      <c r="PW1330" s="97">
        <f t="shared" si="2189"/>
        <v>0</v>
      </c>
      <c r="PX1330" s="97">
        <f t="shared" si="2190"/>
        <v>0</v>
      </c>
      <c r="PY1330" s="97">
        <f t="shared" si="2191"/>
        <v>3981.32</v>
      </c>
      <c r="PZ1330" s="97">
        <f t="shared" si="2192"/>
        <v>4112.84</v>
      </c>
      <c r="QA1330" s="97">
        <f t="shared" si="2193"/>
        <v>4267.0600000000004</v>
      </c>
      <c r="QB1330" s="97">
        <f t="shared" si="2194"/>
        <v>417.83</v>
      </c>
      <c r="QC1330" s="97">
        <f t="shared" si="2195"/>
        <v>438.77</v>
      </c>
      <c r="QD1330" s="97">
        <f t="shared" si="2196"/>
        <v>438.39</v>
      </c>
      <c r="QE1330" s="97">
        <f t="shared" si="2197"/>
        <v>0</v>
      </c>
      <c r="QF1330" s="97">
        <f t="shared" si="2197"/>
        <v>0</v>
      </c>
      <c r="QG1330" s="97">
        <f t="shared" si="2197"/>
        <v>0</v>
      </c>
      <c r="QH1330" s="97">
        <f t="shared" si="2198"/>
        <v>0</v>
      </c>
      <c r="QI1330" s="97">
        <f t="shared" si="2198"/>
        <v>0</v>
      </c>
      <c r="QJ1330" s="97">
        <f t="shared" si="2198"/>
        <v>0</v>
      </c>
      <c r="QK1330" s="102"/>
      <c r="QL1330" s="102"/>
      <c r="QM1330" s="102"/>
      <c r="QN1330" s="97">
        <f t="shared" si="2199"/>
        <v>0</v>
      </c>
      <c r="QO1330" s="97">
        <f t="shared" si="2200"/>
        <v>0</v>
      </c>
      <c r="QP1330" s="97">
        <f t="shared" si="2201"/>
        <v>0</v>
      </c>
      <c r="QQ1330" s="97">
        <f t="shared" si="2202"/>
        <v>0</v>
      </c>
      <c r="QR1330" s="97">
        <f t="shared" si="2203"/>
        <v>0</v>
      </c>
      <c r="QS1330" s="97">
        <f t="shared" si="2204"/>
        <v>0</v>
      </c>
      <c r="QT1330" s="97">
        <f t="shared" si="2205"/>
        <v>4048.78</v>
      </c>
      <c r="QU1330" s="97">
        <f t="shared" si="2206"/>
        <v>4181.01</v>
      </c>
      <c r="QV1330" s="97">
        <f t="shared" si="2207"/>
        <v>4338.25</v>
      </c>
      <c r="QW1330" s="97">
        <f t="shared" si="2208"/>
        <v>287.38</v>
      </c>
      <c r="QX1330" s="97">
        <f t="shared" si="2209"/>
        <v>298.20999999999998</v>
      </c>
      <c r="QY1330" s="97">
        <f t="shared" si="2210"/>
        <v>299.87</v>
      </c>
      <c r="QZ1330" s="97">
        <f t="shared" si="2211"/>
        <v>0</v>
      </c>
      <c r="RA1330" s="97">
        <f t="shared" si="2211"/>
        <v>0</v>
      </c>
      <c r="RB1330" s="97">
        <f t="shared" si="2211"/>
        <v>0</v>
      </c>
      <c r="RC1330" s="97">
        <f t="shared" si="2212"/>
        <v>0</v>
      </c>
      <c r="RD1330" s="97">
        <f t="shared" si="2212"/>
        <v>0</v>
      </c>
      <c r="RE1330" s="97">
        <f t="shared" si="2212"/>
        <v>0</v>
      </c>
      <c r="RF1330" s="102"/>
      <c r="RG1330" s="102"/>
      <c r="RH1330" s="102"/>
      <c r="RI1330" s="97">
        <f t="shared" si="2213"/>
        <v>0</v>
      </c>
      <c r="RJ1330" s="97">
        <f t="shared" si="2214"/>
        <v>0</v>
      </c>
      <c r="RK1330" s="97">
        <f t="shared" si="2215"/>
        <v>0</v>
      </c>
      <c r="RL1330" s="97">
        <f t="shared" si="2216"/>
        <v>0</v>
      </c>
      <c r="RM1330" s="97">
        <f t="shared" si="2217"/>
        <v>0</v>
      </c>
      <c r="RN1330" s="97">
        <f t="shared" si="2218"/>
        <v>0</v>
      </c>
      <c r="RO1330" s="97">
        <f t="shared" si="2219"/>
        <v>4337.0600000000004</v>
      </c>
      <c r="RP1330" s="97">
        <f t="shared" si="2220"/>
        <v>4476.84</v>
      </c>
      <c r="RQ1330" s="97">
        <f t="shared" si="2221"/>
        <v>4645.17</v>
      </c>
      <c r="RR1330" s="97">
        <f t="shared" si="2222"/>
        <v>405.38</v>
      </c>
      <c r="RS1330" s="97">
        <f t="shared" si="2223"/>
        <v>412.7</v>
      </c>
      <c r="RT1330" s="97">
        <f t="shared" si="2224"/>
        <v>415.1</v>
      </c>
      <c r="RU1330" s="97">
        <f t="shared" si="2225"/>
        <v>0</v>
      </c>
      <c r="RV1330" s="97">
        <f t="shared" si="2225"/>
        <v>0</v>
      </c>
      <c r="RW1330" s="97">
        <f t="shared" si="2225"/>
        <v>0</v>
      </c>
      <c r="RX1330" s="97">
        <f t="shared" si="2226"/>
        <v>0</v>
      </c>
      <c r="RY1330" s="97">
        <f t="shared" si="2226"/>
        <v>0</v>
      </c>
      <c r="RZ1330" s="97">
        <f t="shared" si="2226"/>
        <v>0</v>
      </c>
      <c r="SA1330" s="102"/>
      <c r="SB1330" s="102"/>
      <c r="SC1330" s="102"/>
      <c r="SD1330" s="97">
        <f t="shared" si="2227"/>
        <v>0</v>
      </c>
      <c r="SE1330" s="97">
        <f t="shared" si="2228"/>
        <v>0</v>
      </c>
      <c r="SF1330" s="97">
        <f t="shared" si="2229"/>
        <v>0</v>
      </c>
      <c r="SG1330" s="97">
        <f t="shared" si="2230"/>
        <v>0</v>
      </c>
      <c r="SH1330" s="97">
        <f t="shared" si="2231"/>
        <v>0</v>
      </c>
      <c r="SI1330" s="97">
        <f t="shared" si="2232"/>
        <v>0</v>
      </c>
      <c r="SJ1330" s="97">
        <f t="shared" si="2233"/>
        <v>4557.04</v>
      </c>
      <c r="SK1330" s="97">
        <f t="shared" si="2234"/>
        <v>4698.68</v>
      </c>
      <c r="SL1330" s="97">
        <f t="shared" si="2235"/>
        <v>4873.33</v>
      </c>
      <c r="SM1330" s="97">
        <f t="shared" si="2236"/>
        <v>567.54999999999995</v>
      </c>
      <c r="SN1330" s="97">
        <f t="shared" si="2237"/>
        <v>585.64</v>
      </c>
      <c r="SO1330" s="97">
        <f t="shared" si="2238"/>
        <v>587.23</v>
      </c>
      <c r="SP1330" s="97">
        <f t="shared" si="2239"/>
        <v>0</v>
      </c>
      <c r="SQ1330" s="97">
        <f t="shared" si="2239"/>
        <v>0</v>
      </c>
      <c r="SR1330" s="97">
        <f t="shared" si="2239"/>
        <v>0</v>
      </c>
      <c r="SS1330" s="97">
        <f t="shared" si="2240"/>
        <v>0</v>
      </c>
      <c r="ST1330" s="97">
        <f t="shared" si="2240"/>
        <v>0</v>
      </c>
      <c r="SU1330" s="97">
        <f t="shared" si="2240"/>
        <v>0</v>
      </c>
      <c r="SV1330" s="102"/>
      <c r="SW1330" s="102"/>
      <c r="SX1330" s="102"/>
      <c r="SY1330" s="97">
        <f t="shared" si="2241"/>
        <v>0</v>
      </c>
      <c r="SZ1330" s="97">
        <f t="shared" si="2242"/>
        <v>0</v>
      </c>
      <c r="TA1330" s="97">
        <f t="shared" si="2243"/>
        <v>0</v>
      </c>
      <c r="TB1330" s="97">
        <f t="shared" si="2244"/>
        <v>0</v>
      </c>
      <c r="TC1330" s="97">
        <f t="shared" si="2245"/>
        <v>0</v>
      </c>
      <c r="TD1330" s="97">
        <f t="shared" si="2246"/>
        <v>0</v>
      </c>
      <c r="TE1330" s="97">
        <f t="shared" si="2247"/>
        <v>4073.36</v>
      </c>
      <c r="TF1330" s="97">
        <f t="shared" si="2248"/>
        <v>4204.76</v>
      </c>
      <c r="TG1330" s="97">
        <f t="shared" si="2249"/>
        <v>4362.1000000000004</v>
      </c>
      <c r="TH1330" s="97">
        <f t="shared" si="2250"/>
        <v>432.21</v>
      </c>
      <c r="TI1330" s="97">
        <f t="shared" si="2251"/>
        <v>443.69</v>
      </c>
      <c r="TJ1330" s="97">
        <f t="shared" si="2252"/>
        <v>442.41</v>
      </c>
      <c r="TK1330" s="97">
        <f t="shared" si="2253"/>
        <v>0</v>
      </c>
      <c r="TL1330" s="97">
        <f t="shared" si="2253"/>
        <v>0</v>
      </c>
      <c r="TM1330" s="97">
        <f t="shared" si="2253"/>
        <v>0</v>
      </c>
      <c r="TN1330" s="97">
        <f t="shared" si="2254"/>
        <v>0</v>
      </c>
      <c r="TO1330" s="97">
        <f t="shared" si="2254"/>
        <v>0</v>
      </c>
      <c r="TP1330" s="97">
        <f t="shared" si="2254"/>
        <v>0</v>
      </c>
      <c r="TQ1330" s="102"/>
      <c r="TR1330" s="102"/>
      <c r="TS1330" s="102"/>
      <c r="TT1330" s="97">
        <f t="shared" si="2255"/>
        <v>0</v>
      </c>
      <c r="TU1330" s="97">
        <f t="shared" si="2256"/>
        <v>0</v>
      </c>
      <c r="TV1330" s="97">
        <f t="shared" si="2257"/>
        <v>0</v>
      </c>
      <c r="TW1330" s="97">
        <f t="shared" si="2258"/>
        <v>0</v>
      </c>
      <c r="TX1330" s="97">
        <f t="shared" si="2259"/>
        <v>0</v>
      </c>
      <c r="TY1330" s="97">
        <f t="shared" si="2260"/>
        <v>0</v>
      </c>
      <c r="TZ1330" s="97">
        <f t="shared" si="2261"/>
        <v>4363.6400000000003</v>
      </c>
      <c r="UA1330" s="97">
        <f t="shared" si="2262"/>
        <v>4501.12</v>
      </c>
      <c r="UB1330" s="97">
        <f t="shared" si="2263"/>
        <v>4669.8599999999997</v>
      </c>
      <c r="UC1330" s="97">
        <f t="shared" si="2264"/>
        <v>394.98</v>
      </c>
      <c r="UD1330" s="97">
        <f t="shared" si="2265"/>
        <v>417.39</v>
      </c>
      <c r="UE1330" s="97">
        <f t="shared" si="2266"/>
        <v>418.67</v>
      </c>
      <c r="UF1330" s="97">
        <f t="shared" si="2267"/>
        <v>0</v>
      </c>
      <c r="UG1330" s="97">
        <f t="shared" si="2267"/>
        <v>0</v>
      </c>
      <c r="UH1330" s="97">
        <f t="shared" si="2267"/>
        <v>0</v>
      </c>
      <c r="UI1330" s="97">
        <f t="shared" si="2268"/>
        <v>0</v>
      </c>
      <c r="UJ1330" s="97">
        <f t="shared" si="2268"/>
        <v>0</v>
      </c>
      <c r="UK1330" s="97">
        <f t="shared" si="2268"/>
        <v>0</v>
      </c>
      <c r="UL1330" s="102"/>
      <c r="UM1330" s="102"/>
      <c r="UN1330" s="102"/>
      <c r="UO1330" s="97">
        <f t="shared" si="2269"/>
        <v>0</v>
      </c>
      <c r="UP1330" s="97">
        <f t="shared" si="2270"/>
        <v>0</v>
      </c>
      <c r="UQ1330" s="97">
        <f t="shared" si="2271"/>
        <v>0</v>
      </c>
      <c r="UR1330" s="97">
        <f t="shared" si="2272"/>
        <v>0</v>
      </c>
      <c r="US1330" s="97">
        <f t="shared" si="2273"/>
        <v>0</v>
      </c>
      <c r="UT1330" s="97">
        <f t="shared" si="2274"/>
        <v>0</v>
      </c>
      <c r="UU1330" s="97">
        <f t="shared" si="2275"/>
        <v>4036.82</v>
      </c>
      <c r="UV1330" s="97">
        <f t="shared" si="2276"/>
        <v>4171.07</v>
      </c>
      <c r="UW1330" s="97">
        <f t="shared" si="2277"/>
        <v>4328.49</v>
      </c>
      <c r="UX1330" s="97">
        <f t="shared" si="2278"/>
        <v>307.89</v>
      </c>
      <c r="UY1330" s="97">
        <f t="shared" si="2279"/>
        <v>323.83999999999997</v>
      </c>
      <c r="UZ1330" s="97">
        <f t="shared" si="2280"/>
        <v>326.26</v>
      </c>
      <c r="VA1330" s="97">
        <f t="shared" si="2281"/>
        <v>0</v>
      </c>
      <c r="VB1330" s="97">
        <f t="shared" si="2281"/>
        <v>0</v>
      </c>
      <c r="VC1330" s="97">
        <f t="shared" si="2281"/>
        <v>0</v>
      </c>
      <c r="VD1330" s="97">
        <f t="shared" si="2282"/>
        <v>0</v>
      </c>
      <c r="VE1330" s="97">
        <f t="shared" si="2282"/>
        <v>0</v>
      </c>
      <c r="VF1330" s="97">
        <f t="shared" si="2282"/>
        <v>0</v>
      </c>
      <c r="VG1330" s="102"/>
      <c r="VH1330" s="102"/>
      <c r="VI1330" s="102"/>
      <c r="VJ1330" s="97">
        <f t="shared" si="2283"/>
        <v>0</v>
      </c>
      <c r="VK1330" s="97">
        <f t="shared" si="2284"/>
        <v>0</v>
      </c>
      <c r="VL1330" s="97">
        <f t="shared" si="2285"/>
        <v>0</v>
      </c>
      <c r="VM1330" s="97">
        <f t="shared" si="2286"/>
        <v>0</v>
      </c>
      <c r="VN1330" s="97">
        <f t="shared" si="2287"/>
        <v>0</v>
      </c>
      <c r="VO1330" s="97">
        <f t="shared" si="2288"/>
        <v>0</v>
      </c>
      <c r="VP1330" s="97">
        <f t="shared" si="2289"/>
        <v>4118.01</v>
      </c>
      <c r="VQ1330" s="97">
        <f t="shared" si="2290"/>
        <v>4251.42</v>
      </c>
      <c r="VR1330" s="97">
        <f t="shared" si="2291"/>
        <v>4411.59</v>
      </c>
      <c r="VS1330" s="97">
        <f t="shared" si="2292"/>
        <v>331.4</v>
      </c>
      <c r="VT1330" s="97">
        <f t="shared" si="2293"/>
        <v>341.47</v>
      </c>
      <c r="VU1330" s="97">
        <f t="shared" si="2294"/>
        <v>343.85</v>
      </c>
      <c r="VV1330" s="97">
        <f t="shared" si="2295"/>
        <v>0</v>
      </c>
      <c r="VW1330" s="97">
        <f t="shared" si="2295"/>
        <v>0</v>
      </c>
      <c r="VX1330" s="97">
        <f t="shared" si="2295"/>
        <v>0</v>
      </c>
      <c r="VY1330" s="97">
        <f t="shared" si="2296"/>
        <v>0</v>
      </c>
      <c r="VZ1330" s="97">
        <f t="shared" si="2296"/>
        <v>0</v>
      </c>
      <c r="WA1330" s="97">
        <f t="shared" si="2296"/>
        <v>0</v>
      </c>
      <c r="WB1330" s="102"/>
      <c r="WC1330" s="102"/>
      <c r="WD1330" s="102"/>
      <c r="WE1330" s="97">
        <f t="shared" si="2297"/>
        <v>0</v>
      </c>
      <c r="WF1330" s="97">
        <f t="shared" si="2298"/>
        <v>0</v>
      </c>
      <c r="WG1330" s="97">
        <f t="shared" si="2299"/>
        <v>0</v>
      </c>
      <c r="WH1330" s="97">
        <f t="shared" si="2300"/>
        <v>0</v>
      </c>
      <c r="WI1330" s="97">
        <f t="shared" si="2301"/>
        <v>0</v>
      </c>
      <c r="WJ1330" s="97">
        <f t="shared" si="2302"/>
        <v>0</v>
      </c>
      <c r="WK1330" s="97">
        <f t="shared" si="2303"/>
        <v>3804.43</v>
      </c>
      <c r="WL1330" s="97">
        <f t="shared" si="2304"/>
        <v>3932.09</v>
      </c>
      <c r="WM1330" s="97">
        <f t="shared" si="2305"/>
        <v>4080.29</v>
      </c>
      <c r="WN1330" s="97">
        <f t="shared" si="2306"/>
        <v>355.89</v>
      </c>
      <c r="WO1330" s="97">
        <f t="shared" si="2307"/>
        <v>375.68</v>
      </c>
      <c r="WP1330" s="97">
        <f t="shared" si="2308"/>
        <v>378.63</v>
      </c>
      <c r="WQ1330" s="97">
        <f t="shared" si="2309"/>
        <v>0</v>
      </c>
      <c r="WR1330" s="97">
        <f t="shared" si="2309"/>
        <v>0</v>
      </c>
      <c r="WS1330" s="97">
        <f t="shared" si="2309"/>
        <v>0</v>
      </c>
      <c r="WT1330" s="97">
        <f t="shared" si="2310"/>
        <v>0</v>
      </c>
      <c r="WU1330" s="97">
        <f t="shared" si="2310"/>
        <v>0</v>
      </c>
      <c r="WV1330" s="97">
        <f t="shared" si="2310"/>
        <v>0</v>
      </c>
      <c r="WW1330" s="102"/>
      <c r="WX1330" s="102"/>
      <c r="WY1330" s="102"/>
      <c r="WZ1330" s="97">
        <f t="shared" si="2311"/>
        <v>0</v>
      </c>
      <c r="XA1330" s="97">
        <f t="shared" si="2312"/>
        <v>0</v>
      </c>
      <c r="XB1330" s="97">
        <f t="shared" si="2313"/>
        <v>0</v>
      </c>
      <c r="XC1330" s="97">
        <f t="shared" si="2314"/>
        <v>0</v>
      </c>
      <c r="XD1330" s="97">
        <f t="shared" si="2315"/>
        <v>0</v>
      </c>
      <c r="XE1330" s="97">
        <f t="shared" si="2316"/>
        <v>0</v>
      </c>
      <c r="XF1330" s="97">
        <f t="shared" si="2317"/>
        <v>3737.47</v>
      </c>
      <c r="XG1330" s="97">
        <f t="shared" si="2318"/>
        <v>3860.29</v>
      </c>
      <c r="XH1330" s="97">
        <f t="shared" si="2319"/>
        <v>4004.99</v>
      </c>
      <c r="XI1330" s="97">
        <f t="shared" si="2320"/>
        <v>286.64999999999998</v>
      </c>
      <c r="XJ1330" s="97">
        <f t="shared" si="2321"/>
        <v>303.69</v>
      </c>
      <c r="XK1330" s="97">
        <f t="shared" si="2322"/>
        <v>304.99</v>
      </c>
      <c r="XL1330" s="97">
        <f t="shared" si="2323"/>
        <v>0</v>
      </c>
      <c r="XM1330" s="97">
        <f t="shared" si="2323"/>
        <v>0</v>
      </c>
      <c r="XN1330" s="97">
        <f t="shared" si="2323"/>
        <v>0</v>
      </c>
      <c r="XO1330" s="97">
        <f t="shared" si="2324"/>
        <v>0</v>
      </c>
      <c r="XP1330" s="97">
        <f t="shared" si="2324"/>
        <v>0</v>
      </c>
      <c r="XQ1330" s="97">
        <f t="shared" si="2324"/>
        <v>0</v>
      </c>
      <c r="XR1330" s="102"/>
      <c r="XS1330" s="102"/>
      <c r="XT1330" s="102"/>
      <c r="XU1330" s="97">
        <f t="shared" si="2325"/>
        <v>0</v>
      </c>
      <c r="XV1330" s="97">
        <f t="shared" si="2326"/>
        <v>0</v>
      </c>
      <c r="XW1330" s="97">
        <f t="shared" si="2327"/>
        <v>0</v>
      </c>
      <c r="XX1330" s="97">
        <f t="shared" si="2328"/>
        <v>0</v>
      </c>
      <c r="XY1330" s="97">
        <f t="shared" si="2329"/>
        <v>0</v>
      </c>
      <c r="XZ1330" s="97">
        <f t="shared" si="2330"/>
        <v>0</v>
      </c>
      <c r="YA1330" s="97">
        <f t="shared" si="2331"/>
        <v>3945.16</v>
      </c>
      <c r="YB1330" s="97">
        <f t="shared" si="2332"/>
        <v>4078.12</v>
      </c>
      <c r="YC1330" s="97">
        <f t="shared" si="2333"/>
        <v>4232.91</v>
      </c>
      <c r="YD1330" s="97">
        <f t="shared" si="2334"/>
        <v>1253.5899999999999</v>
      </c>
      <c r="YE1330" s="97">
        <f t="shared" si="2335"/>
        <v>1484.12</v>
      </c>
      <c r="YF1330" s="97">
        <f t="shared" si="2336"/>
        <v>1493.98</v>
      </c>
      <c r="YG1330" s="97">
        <f t="shared" si="2337"/>
        <v>0</v>
      </c>
      <c r="YH1330" s="97">
        <f t="shared" si="2337"/>
        <v>0</v>
      </c>
      <c r="YI1330" s="97">
        <f t="shared" si="2337"/>
        <v>0</v>
      </c>
      <c r="YJ1330" s="97">
        <f t="shared" si="2338"/>
        <v>0</v>
      </c>
      <c r="YK1330" s="97">
        <f t="shared" si="2338"/>
        <v>0</v>
      </c>
      <c r="YL1330" s="97">
        <f t="shared" si="2338"/>
        <v>0</v>
      </c>
      <c r="YM1330" s="145">
        <f t="shared" si="2339"/>
        <v>0</v>
      </c>
      <c r="YN1330" s="145">
        <f t="shared" si="2339"/>
        <v>0</v>
      </c>
      <c r="YO1330" s="145">
        <f t="shared" si="2339"/>
        <v>0</v>
      </c>
      <c r="YP1330" s="97">
        <f t="shared" si="2340"/>
        <v>0</v>
      </c>
      <c r="YQ1330" s="97">
        <f t="shared" si="2341"/>
        <v>0</v>
      </c>
      <c r="YR1330" s="97">
        <f t="shared" si="2342"/>
        <v>0</v>
      </c>
      <c r="YS1330" s="97">
        <f t="shared" si="2343"/>
        <v>0</v>
      </c>
      <c r="YT1330" s="97">
        <f t="shared" si="2344"/>
        <v>0</v>
      </c>
      <c r="YU1330" s="97">
        <f t="shared" si="2345"/>
        <v>0</v>
      </c>
      <c r="YV1330" s="97">
        <f t="shared" si="2346"/>
        <v>4158.03</v>
      </c>
      <c r="YW1330" s="97">
        <f t="shared" si="2347"/>
        <v>4292.42</v>
      </c>
      <c r="YX1330" s="97">
        <f t="shared" si="2348"/>
        <v>4453.2</v>
      </c>
      <c r="YY1330" s="97">
        <f t="shared" si="2349"/>
        <v>403.25</v>
      </c>
      <c r="YZ1330" s="97">
        <f t="shared" si="2350"/>
        <v>423.79</v>
      </c>
      <c r="ZA1330" s="97">
        <f t="shared" si="2351"/>
        <v>424.61</v>
      </c>
      <c r="ZB1330" s="97">
        <f t="shared" si="2352"/>
        <v>0</v>
      </c>
      <c r="ZC1330" s="97">
        <f t="shared" si="2352"/>
        <v>0</v>
      </c>
      <c r="ZD1330" s="97">
        <f t="shared" si="2352"/>
        <v>0</v>
      </c>
      <c r="ZE1330" s="97">
        <f t="shared" si="2353"/>
        <v>0</v>
      </c>
      <c r="ZF1330" s="97">
        <f t="shared" si="2353"/>
        <v>0</v>
      </c>
      <c r="ZG1330" s="97">
        <f t="shared" si="2353"/>
        <v>0</v>
      </c>
    </row>
    <row r="1331" spans="1:683" ht="48" x14ac:dyDescent="0.25">
      <c r="A1331" s="12" t="s">
        <v>625</v>
      </c>
      <c r="B1331" s="174" t="s">
        <v>605</v>
      </c>
      <c r="C1331" s="5"/>
      <c r="D1331" s="340"/>
      <c r="E1331" s="163"/>
      <c r="F1331" s="110">
        <f t="shared" si="1903"/>
        <v>268916</v>
      </c>
      <c r="G1331" s="110">
        <f t="shared" si="1903"/>
        <v>275492</v>
      </c>
      <c r="H1331" s="110">
        <f t="shared" si="1903"/>
        <v>279933</v>
      </c>
      <c r="I1331" s="97">
        <f t="shared" si="1904"/>
        <v>12653.6</v>
      </c>
      <c r="J1331" s="97">
        <f t="shared" si="1904"/>
        <v>13015.72</v>
      </c>
      <c r="K1331" s="97">
        <f t="shared" si="1904"/>
        <v>13279.08</v>
      </c>
      <c r="L1331" s="102">
        <v>12</v>
      </c>
      <c r="M1331" s="102">
        <v>12</v>
      </c>
      <c r="N1331" s="102">
        <v>12</v>
      </c>
      <c r="O1331" s="97">
        <f t="shared" si="1905"/>
        <v>3226992</v>
      </c>
      <c r="P1331" s="97">
        <f t="shared" si="1906"/>
        <v>3305904</v>
      </c>
      <c r="Q1331" s="97">
        <f t="shared" si="1907"/>
        <v>3359196</v>
      </c>
      <c r="R1331" s="97">
        <f t="shared" si="1908"/>
        <v>151843.20000000001</v>
      </c>
      <c r="S1331" s="97">
        <f t="shared" si="1909"/>
        <v>156188.64000000001</v>
      </c>
      <c r="T1331" s="97">
        <f t="shared" si="1910"/>
        <v>159348.96</v>
      </c>
      <c r="U1331" s="97">
        <f t="shared" si="1911"/>
        <v>116038.69</v>
      </c>
      <c r="V1331" s="97">
        <f t="shared" si="1912"/>
        <v>122752.31</v>
      </c>
      <c r="W1331" s="97">
        <f t="shared" si="1913"/>
        <v>129436.94</v>
      </c>
      <c r="X1331" s="97">
        <f t="shared" si="1914"/>
        <v>9922.08</v>
      </c>
      <c r="Y1331" s="97">
        <f t="shared" si="1915"/>
        <v>10311.15</v>
      </c>
      <c r="Z1331" s="97">
        <f t="shared" si="1916"/>
        <v>10490.07</v>
      </c>
      <c r="AA1331" s="97">
        <f t="shared" si="1917"/>
        <v>1392464.28</v>
      </c>
      <c r="AB1331" s="97">
        <f t="shared" si="1917"/>
        <v>1473027.72</v>
      </c>
      <c r="AC1331" s="97">
        <f t="shared" si="1917"/>
        <v>1553243.28</v>
      </c>
      <c r="AD1331" s="97">
        <f t="shared" si="1918"/>
        <v>119064.96000000001</v>
      </c>
      <c r="AE1331" s="97">
        <f t="shared" si="1918"/>
        <v>123733.8</v>
      </c>
      <c r="AF1331" s="97">
        <f t="shared" si="1918"/>
        <v>125880.84</v>
      </c>
      <c r="AG1331" s="102"/>
      <c r="AH1331" s="102"/>
      <c r="AI1331" s="102"/>
      <c r="AJ1331" s="97">
        <f t="shared" si="1919"/>
        <v>0</v>
      </c>
      <c r="AK1331" s="97">
        <f t="shared" si="1920"/>
        <v>0</v>
      </c>
      <c r="AL1331" s="97">
        <f t="shared" si="1921"/>
        <v>0</v>
      </c>
      <c r="AM1331" s="97">
        <f t="shared" si="1922"/>
        <v>0</v>
      </c>
      <c r="AN1331" s="97">
        <f t="shared" si="1923"/>
        <v>0</v>
      </c>
      <c r="AO1331" s="97">
        <f t="shared" si="1924"/>
        <v>0</v>
      </c>
      <c r="AP1331" s="97">
        <f t="shared" si="1925"/>
        <v>106750.24</v>
      </c>
      <c r="AQ1331" s="97">
        <f t="shared" si="1926"/>
        <v>112908.44</v>
      </c>
      <c r="AR1331" s="97">
        <f t="shared" si="1927"/>
        <v>119038.09</v>
      </c>
      <c r="AS1331" s="97">
        <f t="shared" si="1928"/>
        <v>7911.78</v>
      </c>
      <c r="AT1331" s="97">
        <f t="shared" si="1929"/>
        <v>8346.73</v>
      </c>
      <c r="AU1331" s="97">
        <f t="shared" si="1930"/>
        <v>8558.16</v>
      </c>
      <c r="AV1331" s="97">
        <f t="shared" si="1931"/>
        <v>0</v>
      </c>
      <c r="AW1331" s="97">
        <f t="shared" si="1931"/>
        <v>0</v>
      </c>
      <c r="AX1331" s="97">
        <f t="shared" si="1931"/>
        <v>0</v>
      </c>
      <c r="AY1331" s="97">
        <f t="shared" si="1932"/>
        <v>0</v>
      </c>
      <c r="AZ1331" s="97">
        <f t="shared" si="1932"/>
        <v>0</v>
      </c>
      <c r="BA1331" s="97">
        <f t="shared" si="1932"/>
        <v>0</v>
      </c>
      <c r="BB1331" s="102"/>
      <c r="BC1331" s="102"/>
      <c r="BD1331" s="102"/>
      <c r="BE1331" s="97">
        <f t="shared" si="1933"/>
        <v>0</v>
      </c>
      <c r="BF1331" s="97">
        <f t="shared" si="1934"/>
        <v>0</v>
      </c>
      <c r="BG1331" s="97">
        <f t="shared" si="1935"/>
        <v>0</v>
      </c>
      <c r="BH1331" s="97">
        <f t="shared" si="1936"/>
        <v>0</v>
      </c>
      <c r="BI1331" s="97">
        <f t="shared" si="1937"/>
        <v>0</v>
      </c>
      <c r="BJ1331" s="97">
        <f t="shared" si="1938"/>
        <v>0</v>
      </c>
      <c r="BK1331" s="97">
        <f t="shared" si="1939"/>
        <v>100700.47</v>
      </c>
      <c r="BL1331" s="97">
        <f t="shared" si="1940"/>
        <v>106297.87</v>
      </c>
      <c r="BM1331" s="97">
        <f t="shared" si="1941"/>
        <v>111947.09</v>
      </c>
      <c r="BN1331" s="97">
        <f t="shared" si="1942"/>
        <v>8451.52</v>
      </c>
      <c r="BO1331" s="97">
        <f t="shared" si="1943"/>
        <v>8916.2000000000007</v>
      </c>
      <c r="BP1331" s="97">
        <f t="shared" si="1944"/>
        <v>9125.1</v>
      </c>
      <c r="BQ1331" s="97">
        <f t="shared" si="1945"/>
        <v>0</v>
      </c>
      <c r="BR1331" s="97">
        <f t="shared" si="1945"/>
        <v>0</v>
      </c>
      <c r="BS1331" s="97">
        <f t="shared" si="1945"/>
        <v>0</v>
      </c>
      <c r="BT1331" s="97">
        <f t="shared" si="1946"/>
        <v>0</v>
      </c>
      <c r="BU1331" s="97">
        <f t="shared" si="1946"/>
        <v>0</v>
      </c>
      <c r="BV1331" s="97">
        <f t="shared" si="1946"/>
        <v>0</v>
      </c>
      <c r="BW1331" s="102"/>
      <c r="BX1331" s="102"/>
      <c r="BY1331" s="102"/>
      <c r="BZ1331" s="97">
        <f t="shared" si="1947"/>
        <v>0</v>
      </c>
      <c r="CA1331" s="97">
        <f t="shared" si="1948"/>
        <v>0</v>
      </c>
      <c r="CB1331" s="97">
        <f t="shared" si="1949"/>
        <v>0</v>
      </c>
      <c r="CC1331" s="97">
        <f t="shared" si="1950"/>
        <v>0</v>
      </c>
      <c r="CD1331" s="97">
        <f t="shared" si="1951"/>
        <v>0</v>
      </c>
      <c r="CE1331" s="97">
        <f t="shared" si="1952"/>
        <v>0</v>
      </c>
      <c r="CF1331" s="97">
        <f t="shared" si="1953"/>
        <v>103996.21</v>
      </c>
      <c r="CG1331" s="97">
        <f t="shared" si="1954"/>
        <v>110078.17</v>
      </c>
      <c r="CH1331" s="97">
        <f t="shared" si="1955"/>
        <v>116061.39</v>
      </c>
      <c r="CI1331" s="97">
        <f t="shared" si="1956"/>
        <v>13029.05</v>
      </c>
      <c r="CJ1331" s="97">
        <f t="shared" si="1957"/>
        <v>13471.49</v>
      </c>
      <c r="CK1331" s="97">
        <f t="shared" si="1958"/>
        <v>13677.63</v>
      </c>
      <c r="CL1331" s="97">
        <f t="shared" si="1959"/>
        <v>0</v>
      </c>
      <c r="CM1331" s="97">
        <f t="shared" si="1959"/>
        <v>0</v>
      </c>
      <c r="CN1331" s="97">
        <f t="shared" si="1959"/>
        <v>0</v>
      </c>
      <c r="CO1331" s="97">
        <f t="shared" si="1960"/>
        <v>0</v>
      </c>
      <c r="CP1331" s="97">
        <f t="shared" si="1960"/>
        <v>0</v>
      </c>
      <c r="CQ1331" s="97">
        <f t="shared" si="1960"/>
        <v>0</v>
      </c>
      <c r="CR1331" s="102">
        <v>19</v>
      </c>
      <c r="CS1331" s="102">
        <v>19</v>
      </c>
      <c r="CT1331" s="102">
        <v>19</v>
      </c>
      <c r="CU1331" s="97">
        <f t="shared" si="1961"/>
        <v>5109404</v>
      </c>
      <c r="CV1331" s="97">
        <f t="shared" si="1962"/>
        <v>5234348</v>
      </c>
      <c r="CW1331" s="97">
        <f t="shared" si="1963"/>
        <v>5318727</v>
      </c>
      <c r="CX1331" s="97">
        <f t="shared" si="1964"/>
        <v>240418.4</v>
      </c>
      <c r="CY1331" s="97">
        <f t="shared" si="1965"/>
        <v>247298.68</v>
      </c>
      <c r="CZ1331" s="97">
        <f t="shared" si="1966"/>
        <v>252302.52</v>
      </c>
      <c r="DA1331" s="97">
        <f t="shared" si="1967"/>
        <v>104797.02</v>
      </c>
      <c r="DB1331" s="97">
        <f t="shared" si="1968"/>
        <v>110830.5</v>
      </c>
      <c r="DC1331" s="97">
        <f t="shared" si="1969"/>
        <v>116847.74</v>
      </c>
      <c r="DD1331" s="97">
        <f t="shared" si="1970"/>
        <v>6307.85</v>
      </c>
      <c r="DE1331" s="97">
        <f t="shared" si="1971"/>
        <v>6554.02</v>
      </c>
      <c r="DF1331" s="97">
        <f t="shared" si="1972"/>
        <v>6674.87</v>
      </c>
      <c r="DG1331" s="97">
        <f t="shared" si="1973"/>
        <v>1991143.38</v>
      </c>
      <c r="DH1331" s="97">
        <f t="shared" si="1973"/>
        <v>2105779.5</v>
      </c>
      <c r="DI1331" s="97">
        <f t="shared" si="1973"/>
        <v>2220107.06</v>
      </c>
      <c r="DJ1331" s="97">
        <f t="shared" si="1974"/>
        <v>119849.15</v>
      </c>
      <c r="DK1331" s="97">
        <f t="shared" si="1974"/>
        <v>124526.38</v>
      </c>
      <c r="DL1331" s="97">
        <f t="shared" si="1974"/>
        <v>126822.53</v>
      </c>
      <c r="DM1331" s="102"/>
      <c r="DN1331" s="102"/>
      <c r="DO1331" s="102"/>
      <c r="DP1331" s="97">
        <f t="shared" si="1975"/>
        <v>0</v>
      </c>
      <c r="DQ1331" s="97">
        <f t="shared" si="1976"/>
        <v>0</v>
      </c>
      <c r="DR1331" s="97">
        <f t="shared" si="1977"/>
        <v>0</v>
      </c>
      <c r="DS1331" s="97">
        <f t="shared" si="1978"/>
        <v>0</v>
      </c>
      <c r="DT1331" s="97">
        <f t="shared" si="1979"/>
        <v>0</v>
      </c>
      <c r="DU1331" s="97">
        <f t="shared" si="1980"/>
        <v>0</v>
      </c>
      <c r="DV1331" s="97">
        <f t="shared" si="1981"/>
        <v>113791.29</v>
      </c>
      <c r="DW1331" s="97">
        <f t="shared" si="1982"/>
        <v>120529.49</v>
      </c>
      <c r="DX1331" s="97">
        <f t="shared" si="1983"/>
        <v>127134.67</v>
      </c>
      <c r="DY1331" s="97">
        <f t="shared" si="1984"/>
        <v>13212.08</v>
      </c>
      <c r="DZ1331" s="97">
        <f t="shared" si="1985"/>
        <v>13202.39</v>
      </c>
      <c r="EA1331" s="97">
        <f t="shared" si="1986"/>
        <v>13432.71</v>
      </c>
      <c r="EB1331" s="97">
        <f t="shared" si="1987"/>
        <v>0</v>
      </c>
      <c r="EC1331" s="97">
        <f t="shared" si="1987"/>
        <v>0</v>
      </c>
      <c r="ED1331" s="97">
        <f t="shared" si="1987"/>
        <v>0</v>
      </c>
      <c r="EE1331" s="97">
        <f t="shared" si="1988"/>
        <v>0</v>
      </c>
      <c r="EF1331" s="97">
        <f t="shared" si="1988"/>
        <v>0</v>
      </c>
      <c r="EG1331" s="97">
        <f t="shared" si="1988"/>
        <v>0</v>
      </c>
      <c r="EH1331" s="102"/>
      <c r="EI1331" s="102"/>
      <c r="EJ1331" s="102"/>
      <c r="EK1331" s="97">
        <f t="shared" si="1989"/>
        <v>0</v>
      </c>
      <c r="EL1331" s="97">
        <f t="shared" si="1990"/>
        <v>0</v>
      </c>
      <c r="EM1331" s="97">
        <f t="shared" si="1991"/>
        <v>0</v>
      </c>
      <c r="EN1331" s="97">
        <f t="shared" si="1992"/>
        <v>0</v>
      </c>
      <c r="EO1331" s="97">
        <f t="shared" si="1993"/>
        <v>0</v>
      </c>
      <c r="EP1331" s="97">
        <f t="shared" si="1994"/>
        <v>0</v>
      </c>
      <c r="EQ1331" s="97">
        <f t="shared" si="1995"/>
        <v>112478.29</v>
      </c>
      <c r="ER1331" s="97">
        <f t="shared" si="1996"/>
        <v>118770.89</v>
      </c>
      <c r="ES1331" s="97">
        <f t="shared" si="1997"/>
        <v>125161.09</v>
      </c>
      <c r="ET1331" s="97">
        <f t="shared" si="1998"/>
        <v>11092.15</v>
      </c>
      <c r="EU1331" s="97">
        <f t="shared" si="1999"/>
        <v>11682.71</v>
      </c>
      <c r="EV1331" s="97">
        <f t="shared" si="2000"/>
        <v>11968.93</v>
      </c>
      <c r="EW1331" s="97">
        <f t="shared" si="2001"/>
        <v>0</v>
      </c>
      <c r="EX1331" s="97">
        <f t="shared" si="2001"/>
        <v>0</v>
      </c>
      <c r="EY1331" s="97">
        <f t="shared" si="2001"/>
        <v>0</v>
      </c>
      <c r="EZ1331" s="97">
        <f t="shared" si="2002"/>
        <v>0</v>
      </c>
      <c r="FA1331" s="97">
        <f t="shared" si="2002"/>
        <v>0</v>
      </c>
      <c r="FB1331" s="97">
        <f t="shared" si="2002"/>
        <v>0</v>
      </c>
      <c r="FC1331" s="102"/>
      <c r="FD1331" s="102"/>
      <c r="FE1331" s="102"/>
      <c r="FF1331" s="97">
        <f t="shared" si="2003"/>
        <v>0</v>
      </c>
      <c r="FG1331" s="97">
        <f t="shared" si="2004"/>
        <v>0</v>
      </c>
      <c r="FH1331" s="97">
        <f t="shared" si="2005"/>
        <v>0</v>
      </c>
      <c r="FI1331" s="97">
        <f t="shared" si="2006"/>
        <v>0</v>
      </c>
      <c r="FJ1331" s="97">
        <f t="shared" si="2007"/>
        <v>0</v>
      </c>
      <c r="FK1331" s="97">
        <f t="shared" si="2008"/>
        <v>0</v>
      </c>
      <c r="FL1331" s="97">
        <f t="shared" si="2009"/>
        <v>109278.02</v>
      </c>
      <c r="FM1331" s="97">
        <f t="shared" si="2010"/>
        <v>115625.09</v>
      </c>
      <c r="FN1331" s="97">
        <f t="shared" si="2011"/>
        <v>121918.07</v>
      </c>
      <c r="FO1331" s="97">
        <f t="shared" si="2012"/>
        <v>11930.11</v>
      </c>
      <c r="FP1331" s="97">
        <f t="shared" si="2013"/>
        <v>12643.61</v>
      </c>
      <c r="FQ1331" s="97">
        <f t="shared" si="2014"/>
        <v>12657.86</v>
      </c>
      <c r="FR1331" s="97">
        <f t="shared" si="2015"/>
        <v>0</v>
      </c>
      <c r="FS1331" s="97">
        <f t="shared" si="2015"/>
        <v>0</v>
      </c>
      <c r="FT1331" s="97">
        <f t="shared" si="2015"/>
        <v>0</v>
      </c>
      <c r="FU1331" s="97">
        <f t="shared" si="2016"/>
        <v>0</v>
      </c>
      <c r="FV1331" s="97">
        <f t="shared" si="2016"/>
        <v>0</v>
      </c>
      <c r="FW1331" s="97">
        <f t="shared" si="2016"/>
        <v>0</v>
      </c>
      <c r="FX1331" s="102"/>
      <c r="FY1331" s="102"/>
      <c r="FZ1331" s="102"/>
      <c r="GA1331" s="97">
        <f t="shared" si="2017"/>
        <v>0</v>
      </c>
      <c r="GB1331" s="97">
        <f t="shared" si="2018"/>
        <v>0</v>
      </c>
      <c r="GC1331" s="97">
        <f t="shared" si="2019"/>
        <v>0</v>
      </c>
      <c r="GD1331" s="97">
        <f t="shared" si="2020"/>
        <v>0</v>
      </c>
      <c r="GE1331" s="97">
        <f t="shared" si="2021"/>
        <v>0</v>
      </c>
      <c r="GF1331" s="97">
        <f t="shared" si="2022"/>
        <v>0</v>
      </c>
      <c r="GG1331" s="97">
        <f t="shared" si="2023"/>
        <v>109106.28</v>
      </c>
      <c r="GH1331" s="97">
        <f t="shared" si="2024"/>
        <v>115317.52</v>
      </c>
      <c r="GI1331" s="97">
        <f t="shared" si="2025"/>
        <v>121532.89</v>
      </c>
      <c r="GJ1331" s="97">
        <f t="shared" si="2026"/>
        <v>8945.3700000000008</v>
      </c>
      <c r="GK1331" s="97">
        <f t="shared" si="2027"/>
        <v>10218.280000000001</v>
      </c>
      <c r="GL1331" s="97">
        <f t="shared" si="2028"/>
        <v>11080.69</v>
      </c>
      <c r="GM1331" s="97">
        <f t="shared" si="2029"/>
        <v>0</v>
      </c>
      <c r="GN1331" s="97">
        <f t="shared" si="2029"/>
        <v>0</v>
      </c>
      <c r="GO1331" s="97">
        <f t="shared" si="2029"/>
        <v>0</v>
      </c>
      <c r="GP1331" s="97">
        <f t="shared" si="2030"/>
        <v>0</v>
      </c>
      <c r="GQ1331" s="97">
        <f t="shared" si="2030"/>
        <v>0</v>
      </c>
      <c r="GR1331" s="97">
        <f t="shared" si="2030"/>
        <v>0</v>
      </c>
      <c r="GS1331" s="102">
        <v>15</v>
      </c>
      <c r="GT1331" s="102">
        <v>15</v>
      </c>
      <c r="GU1331" s="102">
        <v>15</v>
      </c>
      <c r="GV1331" s="97">
        <f t="shared" si="2031"/>
        <v>4033740</v>
      </c>
      <c r="GW1331" s="97">
        <f t="shared" si="2032"/>
        <v>4132380</v>
      </c>
      <c r="GX1331" s="97">
        <f t="shared" si="2033"/>
        <v>4198995</v>
      </c>
      <c r="GY1331" s="97">
        <f t="shared" si="2034"/>
        <v>189804</v>
      </c>
      <c r="GZ1331" s="97">
        <f t="shared" si="2035"/>
        <v>195235.8</v>
      </c>
      <c r="HA1331" s="97">
        <f t="shared" si="2036"/>
        <v>199186.2</v>
      </c>
      <c r="HB1331" s="97">
        <f t="shared" si="2037"/>
        <v>113976.36</v>
      </c>
      <c r="HC1331" s="97">
        <f t="shared" si="2038"/>
        <v>120416.3</v>
      </c>
      <c r="HD1331" s="97">
        <f t="shared" si="2039"/>
        <v>126903.03999999999</v>
      </c>
      <c r="HE1331" s="97">
        <f t="shared" si="2040"/>
        <v>10408.07</v>
      </c>
      <c r="HF1331" s="97">
        <f t="shared" si="2041"/>
        <v>10929.64</v>
      </c>
      <c r="HG1331" s="97">
        <f t="shared" si="2042"/>
        <v>11170.57</v>
      </c>
      <c r="HH1331" s="97">
        <f t="shared" si="2043"/>
        <v>1709645.4</v>
      </c>
      <c r="HI1331" s="97">
        <f t="shared" si="2043"/>
        <v>1806244.5</v>
      </c>
      <c r="HJ1331" s="97">
        <f t="shared" si="2043"/>
        <v>1903545.6</v>
      </c>
      <c r="HK1331" s="97">
        <f t="shared" si="2044"/>
        <v>156121.04999999999</v>
      </c>
      <c r="HL1331" s="97">
        <f t="shared" si="2044"/>
        <v>163944.6</v>
      </c>
      <c r="HM1331" s="97">
        <f t="shared" si="2044"/>
        <v>167558.54999999999</v>
      </c>
      <c r="HN1331" s="102"/>
      <c r="HO1331" s="102"/>
      <c r="HP1331" s="102"/>
      <c r="HQ1331" s="97">
        <f t="shared" si="2045"/>
        <v>0</v>
      </c>
      <c r="HR1331" s="97">
        <f t="shared" si="2046"/>
        <v>0</v>
      </c>
      <c r="HS1331" s="97">
        <f t="shared" si="2047"/>
        <v>0</v>
      </c>
      <c r="HT1331" s="97">
        <f t="shared" si="2048"/>
        <v>0</v>
      </c>
      <c r="HU1331" s="97">
        <f t="shared" si="2049"/>
        <v>0</v>
      </c>
      <c r="HV1331" s="97">
        <f t="shared" si="2050"/>
        <v>0</v>
      </c>
      <c r="HW1331" s="97">
        <f t="shared" si="2051"/>
        <v>112168.58</v>
      </c>
      <c r="HX1331" s="97">
        <f t="shared" si="2052"/>
        <v>118681.63</v>
      </c>
      <c r="HY1331" s="97">
        <f t="shared" si="2053"/>
        <v>125097.61</v>
      </c>
      <c r="HZ1331" s="97">
        <f t="shared" si="2054"/>
        <v>9928.6200000000008</v>
      </c>
      <c r="IA1331" s="97">
        <f t="shared" si="2055"/>
        <v>10419.9</v>
      </c>
      <c r="IB1331" s="97">
        <f t="shared" si="2056"/>
        <v>10467.25</v>
      </c>
      <c r="IC1331" s="97">
        <f t="shared" si="2057"/>
        <v>0</v>
      </c>
      <c r="ID1331" s="97">
        <f t="shared" si="2057"/>
        <v>0</v>
      </c>
      <c r="IE1331" s="97">
        <f t="shared" si="2057"/>
        <v>0</v>
      </c>
      <c r="IF1331" s="97">
        <f t="shared" si="2058"/>
        <v>0</v>
      </c>
      <c r="IG1331" s="97">
        <f t="shared" si="2058"/>
        <v>0</v>
      </c>
      <c r="IH1331" s="97">
        <f t="shared" si="2058"/>
        <v>0</v>
      </c>
      <c r="II1331" s="102">
        <v>118</v>
      </c>
      <c r="IJ1331" s="102">
        <v>118</v>
      </c>
      <c r="IK1331" s="102">
        <v>118</v>
      </c>
      <c r="IL1331" s="97">
        <f t="shared" si="2059"/>
        <v>31732088</v>
      </c>
      <c r="IM1331" s="97">
        <f t="shared" si="2060"/>
        <v>32508056</v>
      </c>
      <c r="IN1331" s="97">
        <f t="shared" si="2061"/>
        <v>33032094</v>
      </c>
      <c r="IO1331" s="97">
        <f t="shared" si="2062"/>
        <v>1493124.8</v>
      </c>
      <c r="IP1331" s="97">
        <f t="shared" si="2063"/>
        <v>1535854.96</v>
      </c>
      <c r="IQ1331" s="97">
        <f t="shared" si="2064"/>
        <v>1566931.44</v>
      </c>
      <c r="IR1331" s="97">
        <f t="shared" si="2065"/>
        <v>152373.54</v>
      </c>
      <c r="IS1331" s="97">
        <f t="shared" si="2066"/>
        <v>160802.65</v>
      </c>
      <c r="IT1331" s="97">
        <f t="shared" si="2067"/>
        <v>169434.25</v>
      </c>
      <c r="IU1331" s="97">
        <f t="shared" si="2068"/>
        <v>15010.15</v>
      </c>
      <c r="IV1331" s="97">
        <f t="shared" si="2069"/>
        <v>15751.88</v>
      </c>
      <c r="IW1331" s="97">
        <f t="shared" si="2070"/>
        <v>15712.31</v>
      </c>
      <c r="IX1331" s="97">
        <f t="shared" si="2071"/>
        <v>17980077.719999999</v>
      </c>
      <c r="IY1331" s="97">
        <f t="shared" si="2071"/>
        <v>18974712.699999999</v>
      </c>
      <c r="IZ1331" s="97">
        <f t="shared" si="2071"/>
        <v>19993241.5</v>
      </c>
      <c r="JA1331" s="97">
        <f t="shared" si="2072"/>
        <v>1771197.7</v>
      </c>
      <c r="JB1331" s="97">
        <f t="shared" si="2072"/>
        <v>1858721.84</v>
      </c>
      <c r="JC1331" s="97">
        <f t="shared" si="2072"/>
        <v>1854052.58</v>
      </c>
      <c r="JD1331" s="102">
        <v>9</v>
      </c>
      <c r="JE1331" s="102">
        <v>9</v>
      </c>
      <c r="JF1331" s="102">
        <v>9</v>
      </c>
      <c r="JG1331" s="97">
        <f t="shared" si="2073"/>
        <v>2420244</v>
      </c>
      <c r="JH1331" s="97">
        <f t="shared" si="2074"/>
        <v>2479428</v>
      </c>
      <c r="JI1331" s="97">
        <f t="shared" si="2075"/>
        <v>2519397</v>
      </c>
      <c r="JJ1331" s="97">
        <f t="shared" si="2076"/>
        <v>113882.4</v>
      </c>
      <c r="JK1331" s="97">
        <f t="shared" si="2077"/>
        <v>117141.48</v>
      </c>
      <c r="JL1331" s="97">
        <f t="shared" si="2078"/>
        <v>119511.72</v>
      </c>
      <c r="JM1331" s="97">
        <f t="shared" si="2079"/>
        <v>102142.09</v>
      </c>
      <c r="JN1331" s="97">
        <f t="shared" si="2080"/>
        <v>108008.11</v>
      </c>
      <c r="JO1331" s="97">
        <f t="shared" si="2081"/>
        <v>113866.25</v>
      </c>
      <c r="JP1331" s="97">
        <f t="shared" si="2082"/>
        <v>8183.46</v>
      </c>
      <c r="JQ1331" s="97">
        <f t="shared" si="2083"/>
        <v>8744.6299999999992</v>
      </c>
      <c r="JR1331" s="97">
        <f t="shared" si="2084"/>
        <v>8942.7999999999993</v>
      </c>
      <c r="JS1331" s="97">
        <f t="shared" si="2085"/>
        <v>919278.81</v>
      </c>
      <c r="JT1331" s="97">
        <f t="shared" si="2085"/>
        <v>972072.99</v>
      </c>
      <c r="JU1331" s="97">
        <f t="shared" si="2085"/>
        <v>1024796.25</v>
      </c>
      <c r="JV1331" s="97">
        <f t="shared" si="2086"/>
        <v>73651.14</v>
      </c>
      <c r="JW1331" s="97">
        <f t="shared" si="2086"/>
        <v>78701.67</v>
      </c>
      <c r="JX1331" s="97">
        <f t="shared" si="2086"/>
        <v>80485.2</v>
      </c>
      <c r="JY1331" s="102">
        <v>11</v>
      </c>
      <c r="JZ1331" s="102">
        <v>11</v>
      </c>
      <c r="KA1331" s="102">
        <v>11</v>
      </c>
      <c r="KB1331" s="97">
        <f t="shared" si="2087"/>
        <v>2958076</v>
      </c>
      <c r="KC1331" s="97">
        <f t="shared" si="2088"/>
        <v>3030412</v>
      </c>
      <c r="KD1331" s="97">
        <f t="shared" si="2089"/>
        <v>3079263</v>
      </c>
      <c r="KE1331" s="97">
        <f t="shared" si="2090"/>
        <v>139189.6</v>
      </c>
      <c r="KF1331" s="97">
        <f t="shared" si="2091"/>
        <v>143172.92000000001</v>
      </c>
      <c r="KG1331" s="97">
        <f t="shared" si="2092"/>
        <v>146069.88</v>
      </c>
      <c r="KH1331" s="97">
        <f t="shared" si="2093"/>
        <v>105012.81</v>
      </c>
      <c r="KI1331" s="97">
        <f t="shared" si="2094"/>
        <v>110949.71</v>
      </c>
      <c r="KJ1331" s="97">
        <f t="shared" si="2095"/>
        <v>116941.07</v>
      </c>
      <c r="KK1331" s="97">
        <f t="shared" si="2096"/>
        <v>7671.61</v>
      </c>
      <c r="KL1331" s="97">
        <f t="shared" si="2097"/>
        <v>8104.3</v>
      </c>
      <c r="KM1331" s="97">
        <f t="shared" si="2098"/>
        <v>8229.2099999999991</v>
      </c>
      <c r="KN1331" s="97">
        <f t="shared" si="2099"/>
        <v>1155140.9099999999</v>
      </c>
      <c r="KO1331" s="97">
        <f t="shared" si="2099"/>
        <v>1220446.81</v>
      </c>
      <c r="KP1331" s="97">
        <f t="shared" si="2099"/>
        <v>1286351.77</v>
      </c>
      <c r="KQ1331" s="97">
        <f t="shared" si="2100"/>
        <v>84387.71</v>
      </c>
      <c r="KR1331" s="97">
        <f t="shared" si="2100"/>
        <v>89147.3</v>
      </c>
      <c r="KS1331" s="97">
        <f t="shared" si="2100"/>
        <v>90521.31</v>
      </c>
      <c r="KT1331" s="102"/>
      <c r="KU1331" s="102"/>
      <c r="KV1331" s="102"/>
      <c r="KW1331" s="97">
        <f t="shared" si="2101"/>
        <v>0</v>
      </c>
      <c r="KX1331" s="97">
        <f t="shared" si="2102"/>
        <v>0</v>
      </c>
      <c r="KY1331" s="97">
        <f t="shared" si="2103"/>
        <v>0</v>
      </c>
      <c r="KZ1331" s="97">
        <f t="shared" si="2104"/>
        <v>0</v>
      </c>
      <c r="LA1331" s="97">
        <f t="shared" si="2105"/>
        <v>0</v>
      </c>
      <c r="LB1331" s="97">
        <f t="shared" si="2106"/>
        <v>0</v>
      </c>
      <c r="LC1331" s="97">
        <f t="shared" si="2107"/>
        <v>99122.61</v>
      </c>
      <c r="LD1331" s="97">
        <f t="shared" si="2108"/>
        <v>104866.33</v>
      </c>
      <c r="LE1331" s="97">
        <f t="shared" si="2109"/>
        <v>110561.42</v>
      </c>
      <c r="LF1331" s="97">
        <f t="shared" si="2110"/>
        <v>10573.31</v>
      </c>
      <c r="LG1331" s="97">
        <f t="shared" si="2111"/>
        <v>11323.12</v>
      </c>
      <c r="LH1331" s="97">
        <f t="shared" si="2112"/>
        <v>11612.71</v>
      </c>
      <c r="LI1331" s="97">
        <f t="shared" si="2113"/>
        <v>0</v>
      </c>
      <c r="LJ1331" s="97">
        <f t="shared" si="2113"/>
        <v>0</v>
      </c>
      <c r="LK1331" s="97">
        <f t="shared" si="2113"/>
        <v>0</v>
      </c>
      <c r="LL1331" s="97">
        <f t="shared" si="2114"/>
        <v>0</v>
      </c>
      <c r="LM1331" s="97">
        <f t="shared" si="2114"/>
        <v>0</v>
      </c>
      <c r="LN1331" s="97">
        <f t="shared" si="2114"/>
        <v>0</v>
      </c>
      <c r="LO1331" s="102">
        <v>9</v>
      </c>
      <c r="LP1331" s="102">
        <v>9</v>
      </c>
      <c r="LQ1331" s="102">
        <v>9</v>
      </c>
      <c r="LR1331" s="97">
        <f t="shared" si="2115"/>
        <v>2420244</v>
      </c>
      <c r="LS1331" s="97">
        <f t="shared" si="2116"/>
        <v>2479428</v>
      </c>
      <c r="LT1331" s="97">
        <f t="shared" si="2117"/>
        <v>2519397</v>
      </c>
      <c r="LU1331" s="97">
        <f t="shared" si="2118"/>
        <v>113882.4</v>
      </c>
      <c r="LV1331" s="97">
        <f t="shared" si="2119"/>
        <v>117141.48</v>
      </c>
      <c r="LW1331" s="97">
        <f t="shared" si="2120"/>
        <v>119511.72</v>
      </c>
      <c r="LX1331" s="97">
        <f t="shared" si="2121"/>
        <v>86588</v>
      </c>
      <c r="LY1331" s="97">
        <f t="shared" si="2122"/>
        <v>91610.35</v>
      </c>
      <c r="LZ1331" s="97">
        <f t="shared" si="2123"/>
        <v>96575.55</v>
      </c>
      <c r="MA1331" s="97">
        <f t="shared" si="2124"/>
        <v>7848.56</v>
      </c>
      <c r="MB1331" s="97">
        <f t="shared" si="2125"/>
        <v>8272.7900000000009</v>
      </c>
      <c r="MC1331" s="97">
        <f t="shared" si="2126"/>
        <v>8415.26</v>
      </c>
      <c r="MD1331" s="97">
        <f t="shared" si="2127"/>
        <v>779292</v>
      </c>
      <c r="ME1331" s="97">
        <f t="shared" si="2127"/>
        <v>824493.15</v>
      </c>
      <c r="MF1331" s="97">
        <f t="shared" si="2127"/>
        <v>869179.95</v>
      </c>
      <c r="MG1331" s="97">
        <f t="shared" si="2128"/>
        <v>70637.039999999994</v>
      </c>
      <c r="MH1331" s="97">
        <f t="shared" si="2128"/>
        <v>74455.11</v>
      </c>
      <c r="MI1331" s="97">
        <f t="shared" si="2128"/>
        <v>75737.34</v>
      </c>
      <c r="MJ1331" s="102"/>
      <c r="MK1331" s="102"/>
      <c r="ML1331" s="102"/>
      <c r="MM1331" s="97">
        <f t="shared" si="2129"/>
        <v>0</v>
      </c>
      <c r="MN1331" s="97">
        <f t="shared" si="2130"/>
        <v>0</v>
      </c>
      <c r="MO1331" s="97">
        <f t="shared" si="2131"/>
        <v>0</v>
      </c>
      <c r="MP1331" s="97">
        <f t="shared" si="2132"/>
        <v>0</v>
      </c>
      <c r="MQ1331" s="97">
        <f t="shared" si="2133"/>
        <v>0</v>
      </c>
      <c r="MR1331" s="97">
        <f t="shared" si="2134"/>
        <v>0</v>
      </c>
      <c r="MS1331" s="97">
        <f t="shared" si="2135"/>
        <v>100172.71</v>
      </c>
      <c r="MT1331" s="97">
        <f t="shared" si="2136"/>
        <v>105970.18</v>
      </c>
      <c r="MU1331" s="97">
        <f t="shared" si="2137"/>
        <v>111723.46</v>
      </c>
      <c r="MV1331" s="97">
        <f t="shared" si="2138"/>
        <v>9311.36</v>
      </c>
      <c r="MW1331" s="97">
        <f t="shared" si="2139"/>
        <v>9682.39</v>
      </c>
      <c r="MX1331" s="97">
        <f t="shared" si="2140"/>
        <v>9939.2000000000007</v>
      </c>
      <c r="MY1331" s="97">
        <f t="shared" si="2141"/>
        <v>0</v>
      </c>
      <c r="MZ1331" s="97">
        <f t="shared" si="2141"/>
        <v>0</v>
      </c>
      <c r="NA1331" s="97">
        <f t="shared" si="2141"/>
        <v>0</v>
      </c>
      <c r="NB1331" s="97">
        <f t="shared" si="2142"/>
        <v>0</v>
      </c>
      <c r="NC1331" s="97">
        <f t="shared" si="2142"/>
        <v>0</v>
      </c>
      <c r="ND1331" s="97">
        <f t="shared" si="2142"/>
        <v>0</v>
      </c>
      <c r="NE1331" s="102"/>
      <c r="NF1331" s="102"/>
      <c r="NG1331" s="102"/>
      <c r="NH1331" s="97">
        <f t="shared" si="2143"/>
        <v>0</v>
      </c>
      <c r="NI1331" s="97">
        <f t="shared" si="2144"/>
        <v>0</v>
      </c>
      <c r="NJ1331" s="97">
        <f t="shared" si="2145"/>
        <v>0</v>
      </c>
      <c r="NK1331" s="97">
        <f t="shared" si="2146"/>
        <v>0</v>
      </c>
      <c r="NL1331" s="97">
        <f t="shared" si="2147"/>
        <v>0</v>
      </c>
      <c r="NM1331" s="97">
        <f t="shared" si="2148"/>
        <v>0</v>
      </c>
      <c r="NN1331" s="97">
        <f t="shared" si="2149"/>
        <v>102274.16</v>
      </c>
      <c r="NO1331" s="97">
        <f t="shared" si="2150"/>
        <v>108053.37</v>
      </c>
      <c r="NP1331" s="97">
        <f t="shared" si="2151"/>
        <v>113855.61</v>
      </c>
      <c r="NQ1331" s="97">
        <f t="shared" si="2152"/>
        <v>13637.12</v>
      </c>
      <c r="NR1331" s="97">
        <f t="shared" si="2153"/>
        <v>14651.74</v>
      </c>
      <c r="NS1331" s="97">
        <f t="shared" si="2154"/>
        <v>14535.3</v>
      </c>
      <c r="NT1331" s="97">
        <f t="shared" si="2155"/>
        <v>0</v>
      </c>
      <c r="NU1331" s="97">
        <f t="shared" si="2155"/>
        <v>0</v>
      </c>
      <c r="NV1331" s="97">
        <f t="shared" si="2155"/>
        <v>0</v>
      </c>
      <c r="NW1331" s="97">
        <f t="shared" si="2156"/>
        <v>0</v>
      </c>
      <c r="NX1331" s="97">
        <f t="shared" si="2156"/>
        <v>0</v>
      </c>
      <c r="NY1331" s="97">
        <f t="shared" si="2156"/>
        <v>0</v>
      </c>
      <c r="NZ1331" s="102">
        <v>16</v>
      </c>
      <c r="OA1331" s="102">
        <v>16</v>
      </c>
      <c r="OB1331" s="102">
        <v>16</v>
      </c>
      <c r="OC1331" s="97">
        <f t="shared" si="2157"/>
        <v>4302656</v>
      </c>
      <c r="OD1331" s="97">
        <f t="shared" si="2158"/>
        <v>4407872</v>
      </c>
      <c r="OE1331" s="97">
        <f t="shared" si="2159"/>
        <v>4478928</v>
      </c>
      <c r="OF1331" s="97">
        <f t="shared" si="2160"/>
        <v>202457.60000000001</v>
      </c>
      <c r="OG1331" s="97">
        <f t="shared" si="2161"/>
        <v>208251.51999999999</v>
      </c>
      <c r="OH1331" s="97">
        <f t="shared" si="2162"/>
        <v>212465.28</v>
      </c>
      <c r="OI1331" s="97">
        <f t="shared" si="2163"/>
        <v>134098.54</v>
      </c>
      <c r="OJ1331" s="97">
        <f t="shared" si="2164"/>
        <v>141454.20000000001</v>
      </c>
      <c r="OK1331" s="97">
        <f t="shared" si="2165"/>
        <v>149006.62</v>
      </c>
      <c r="OL1331" s="97">
        <f t="shared" si="2166"/>
        <v>13677.85</v>
      </c>
      <c r="OM1331" s="97">
        <f t="shared" si="2167"/>
        <v>14618.64</v>
      </c>
      <c r="ON1331" s="97">
        <f t="shared" si="2168"/>
        <v>14836.46</v>
      </c>
      <c r="OO1331" s="97">
        <f t="shared" si="2169"/>
        <v>2145576.64</v>
      </c>
      <c r="OP1331" s="97">
        <f t="shared" si="2169"/>
        <v>2263267.2000000002</v>
      </c>
      <c r="OQ1331" s="97">
        <f t="shared" si="2169"/>
        <v>2384105.92</v>
      </c>
      <c r="OR1331" s="97">
        <f t="shared" si="2170"/>
        <v>218845.6</v>
      </c>
      <c r="OS1331" s="97">
        <f t="shared" si="2170"/>
        <v>233898.23999999999</v>
      </c>
      <c r="OT1331" s="97">
        <f t="shared" si="2170"/>
        <v>237383.36</v>
      </c>
      <c r="OU1331" s="102">
        <v>7</v>
      </c>
      <c r="OV1331" s="102">
        <v>7</v>
      </c>
      <c r="OW1331" s="102">
        <v>7</v>
      </c>
      <c r="OX1331" s="97">
        <f t="shared" si="2171"/>
        <v>1882412</v>
      </c>
      <c r="OY1331" s="97">
        <f t="shared" si="2172"/>
        <v>1928444</v>
      </c>
      <c r="OZ1331" s="97">
        <f t="shared" si="2173"/>
        <v>1959531</v>
      </c>
      <c r="PA1331" s="97">
        <f t="shared" si="2174"/>
        <v>88575.2</v>
      </c>
      <c r="PB1331" s="97">
        <f t="shared" si="2175"/>
        <v>91110.04</v>
      </c>
      <c r="PC1331" s="97">
        <f t="shared" si="2176"/>
        <v>92953.56</v>
      </c>
      <c r="PD1331" s="97">
        <f t="shared" si="2177"/>
        <v>112772.7</v>
      </c>
      <c r="PE1331" s="97">
        <f t="shared" si="2178"/>
        <v>119246.76</v>
      </c>
      <c r="PF1331" s="97">
        <f t="shared" si="2179"/>
        <v>125704.06</v>
      </c>
      <c r="PG1331" s="97">
        <f t="shared" si="2180"/>
        <v>10931.5</v>
      </c>
      <c r="PH1331" s="97">
        <f t="shared" si="2181"/>
        <v>11487.35</v>
      </c>
      <c r="PI1331" s="97">
        <f t="shared" si="2182"/>
        <v>11815.03</v>
      </c>
      <c r="PJ1331" s="97">
        <f t="shared" si="2183"/>
        <v>789408.9</v>
      </c>
      <c r="PK1331" s="97">
        <f t="shared" si="2183"/>
        <v>834727.32</v>
      </c>
      <c r="PL1331" s="97">
        <f t="shared" si="2183"/>
        <v>879928.42</v>
      </c>
      <c r="PM1331" s="97">
        <f t="shared" si="2184"/>
        <v>76520.5</v>
      </c>
      <c r="PN1331" s="97">
        <f t="shared" si="2184"/>
        <v>80411.45</v>
      </c>
      <c r="PO1331" s="97">
        <f t="shared" si="2184"/>
        <v>82705.210000000006</v>
      </c>
      <c r="PP1331" s="102"/>
      <c r="PQ1331" s="102"/>
      <c r="PR1331" s="102"/>
      <c r="PS1331" s="97">
        <f t="shared" si="2185"/>
        <v>0</v>
      </c>
      <c r="PT1331" s="97">
        <f t="shared" si="2186"/>
        <v>0</v>
      </c>
      <c r="PU1331" s="97">
        <f t="shared" si="2187"/>
        <v>0</v>
      </c>
      <c r="PV1331" s="97">
        <f t="shared" si="2188"/>
        <v>0</v>
      </c>
      <c r="PW1331" s="97">
        <f t="shared" si="2189"/>
        <v>0</v>
      </c>
      <c r="PX1331" s="97">
        <f t="shared" si="2190"/>
        <v>0</v>
      </c>
      <c r="PY1331" s="97">
        <f t="shared" si="2191"/>
        <v>100965.79</v>
      </c>
      <c r="PZ1331" s="97">
        <f t="shared" si="2192"/>
        <v>106851.67</v>
      </c>
      <c r="QA1331" s="97">
        <f t="shared" si="2193"/>
        <v>112645.26</v>
      </c>
      <c r="QB1331" s="97">
        <f t="shared" si="2194"/>
        <v>11273.08</v>
      </c>
      <c r="QC1331" s="97">
        <f t="shared" si="2195"/>
        <v>12176.75</v>
      </c>
      <c r="QD1331" s="97">
        <f t="shared" si="2196"/>
        <v>12412.31</v>
      </c>
      <c r="QE1331" s="97">
        <f t="shared" si="2197"/>
        <v>0</v>
      </c>
      <c r="QF1331" s="97">
        <f t="shared" si="2197"/>
        <v>0</v>
      </c>
      <c r="QG1331" s="97">
        <f t="shared" si="2197"/>
        <v>0</v>
      </c>
      <c r="QH1331" s="97">
        <f t="shared" si="2198"/>
        <v>0</v>
      </c>
      <c r="QI1331" s="97">
        <f t="shared" si="2198"/>
        <v>0</v>
      </c>
      <c r="QJ1331" s="97">
        <f t="shared" si="2198"/>
        <v>0</v>
      </c>
      <c r="QK1331" s="102">
        <v>39</v>
      </c>
      <c r="QL1331" s="102">
        <v>39</v>
      </c>
      <c r="QM1331" s="102">
        <v>39</v>
      </c>
      <c r="QN1331" s="97">
        <f t="shared" si="2199"/>
        <v>10487724</v>
      </c>
      <c r="QO1331" s="97">
        <f t="shared" si="2200"/>
        <v>10744188</v>
      </c>
      <c r="QP1331" s="97">
        <f t="shared" si="2201"/>
        <v>10917387</v>
      </c>
      <c r="QQ1331" s="97">
        <f t="shared" si="2202"/>
        <v>493490.4</v>
      </c>
      <c r="QR1331" s="97">
        <f t="shared" si="2203"/>
        <v>507613.08</v>
      </c>
      <c r="QS1331" s="97">
        <f t="shared" si="2204"/>
        <v>517884.12</v>
      </c>
      <c r="QT1331" s="97">
        <f t="shared" si="2205"/>
        <v>102676.46</v>
      </c>
      <c r="QU1331" s="97">
        <f t="shared" si="2206"/>
        <v>108622.63</v>
      </c>
      <c r="QV1331" s="97">
        <f t="shared" si="2207"/>
        <v>114524.69</v>
      </c>
      <c r="QW1331" s="97">
        <f t="shared" si="2208"/>
        <v>7753.5</v>
      </c>
      <c r="QX1331" s="97">
        <f t="shared" si="2209"/>
        <v>8275.82</v>
      </c>
      <c r="QY1331" s="97">
        <f t="shared" si="2210"/>
        <v>8490.52</v>
      </c>
      <c r="QZ1331" s="97">
        <f t="shared" si="2211"/>
        <v>4004381.94</v>
      </c>
      <c r="RA1331" s="97">
        <f t="shared" si="2211"/>
        <v>4236282.57</v>
      </c>
      <c r="RB1331" s="97">
        <f t="shared" si="2211"/>
        <v>4466462.91</v>
      </c>
      <c r="RC1331" s="97">
        <f t="shared" si="2212"/>
        <v>302386.5</v>
      </c>
      <c r="RD1331" s="97">
        <f t="shared" si="2212"/>
        <v>322756.98</v>
      </c>
      <c r="RE1331" s="97">
        <f t="shared" si="2212"/>
        <v>331130.28000000003</v>
      </c>
      <c r="RF1331" s="102"/>
      <c r="RG1331" s="102"/>
      <c r="RH1331" s="102"/>
      <c r="RI1331" s="97">
        <f t="shared" si="2213"/>
        <v>0</v>
      </c>
      <c r="RJ1331" s="97">
        <f t="shared" si="2214"/>
        <v>0</v>
      </c>
      <c r="RK1331" s="97">
        <f t="shared" si="2215"/>
        <v>0</v>
      </c>
      <c r="RL1331" s="97">
        <f t="shared" si="2216"/>
        <v>0</v>
      </c>
      <c r="RM1331" s="97">
        <f t="shared" si="2217"/>
        <v>0</v>
      </c>
      <c r="RN1331" s="97">
        <f t="shared" si="2218"/>
        <v>0</v>
      </c>
      <c r="RO1331" s="97">
        <f t="shared" si="2219"/>
        <v>109987.33</v>
      </c>
      <c r="RP1331" s="97">
        <f t="shared" si="2220"/>
        <v>116308.24</v>
      </c>
      <c r="RQ1331" s="97">
        <f t="shared" si="2221"/>
        <v>122626.99</v>
      </c>
      <c r="RR1331" s="97">
        <f t="shared" si="2222"/>
        <v>10937.15</v>
      </c>
      <c r="RS1331" s="97">
        <f t="shared" si="2223"/>
        <v>11453.2</v>
      </c>
      <c r="RT1331" s="97">
        <f t="shared" si="2224"/>
        <v>11752.85</v>
      </c>
      <c r="RU1331" s="97">
        <f t="shared" si="2225"/>
        <v>0</v>
      </c>
      <c r="RV1331" s="97">
        <f t="shared" si="2225"/>
        <v>0</v>
      </c>
      <c r="RW1331" s="97">
        <f t="shared" si="2225"/>
        <v>0</v>
      </c>
      <c r="RX1331" s="97">
        <f t="shared" si="2226"/>
        <v>0</v>
      </c>
      <c r="RY1331" s="97">
        <f t="shared" si="2226"/>
        <v>0</v>
      </c>
      <c r="RZ1331" s="97">
        <f t="shared" si="2226"/>
        <v>0</v>
      </c>
      <c r="SA1331" s="102">
        <v>36</v>
      </c>
      <c r="SB1331" s="102">
        <v>36</v>
      </c>
      <c r="SC1331" s="102">
        <v>36</v>
      </c>
      <c r="SD1331" s="97">
        <f t="shared" si="2227"/>
        <v>9680976</v>
      </c>
      <c r="SE1331" s="97">
        <f t="shared" si="2228"/>
        <v>9917712</v>
      </c>
      <c r="SF1331" s="97">
        <f t="shared" si="2229"/>
        <v>10077588</v>
      </c>
      <c r="SG1331" s="97">
        <f t="shared" si="2230"/>
        <v>455529.6</v>
      </c>
      <c r="SH1331" s="97">
        <f t="shared" si="2231"/>
        <v>468565.92</v>
      </c>
      <c r="SI1331" s="97">
        <f t="shared" si="2232"/>
        <v>478046.88</v>
      </c>
      <c r="SJ1331" s="97">
        <f t="shared" si="2233"/>
        <v>115565.81</v>
      </c>
      <c r="SK1331" s="97">
        <f t="shared" si="2234"/>
        <v>122071.85</v>
      </c>
      <c r="SL1331" s="97">
        <f t="shared" si="2235"/>
        <v>128650.19</v>
      </c>
      <c r="SM1331" s="97">
        <f t="shared" si="2236"/>
        <v>15312.41</v>
      </c>
      <c r="SN1331" s="97">
        <f t="shared" si="2237"/>
        <v>16252.73</v>
      </c>
      <c r="SO1331" s="97">
        <f t="shared" si="2238"/>
        <v>16626.64</v>
      </c>
      <c r="SP1331" s="97">
        <f t="shared" si="2239"/>
        <v>4160369.16</v>
      </c>
      <c r="SQ1331" s="97">
        <f t="shared" si="2239"/>
        <v>4394586.5999999996</v>
      </c>
      <c r="SR1331" s="97">
        <f t="shared" si="2239"/>
        <v>4631406.84</v>
      </c>
      <c r="SS1331" s="97">
        <f t="shared" si="2240"/>
        <v>551246.76</v>
      </c>
      <c r="ST1331" s="97">
        <f t="shared" si="2240"/>
        <v>585098.28</v>
      </c>
      <c r="SU1331" s="97">
        <f t="shared" si="2240"/>
        <v>598559.04</v>
      </c>
      <c r="SV1331" s="102"/>
      <c r="SW1331" s="102"/>
      <c r="SX1331" s="102"/>
      <c r="SY1331" s="97">
        <f t="shared" si="2241"/>
        <v>0</v>
      </c>
      <c r="SZ1331" s="97">
        <f t="shared" si="2242"/>
        <v>0</v>
      </c>
      <c r="TA1331" s="97">
        <f t="shared" si="2243"/>
        <v>0</v>
      </c>
      <c r="TB1331" s="97">
        <f t="shared" si="2244"/>
        <v>0</v>
      </c>
      <c r="TC1331" s="97">
        <f t="shared" si="2245"/>
        <v>0</v>
      </c>
      <c r="TD1331" s="97">
        <f t="shared" si="2246"/>
        <v>0</v>
      </c>
      <c r="TE1331" s="97">
        <f t="shared" si="2247"/>
        <v>103299.73</v>
      </c>
      <c r="TF1331" s="97">
        <f t="shared" si="2248"/>
        <v>109239.58</v>
      </c>
      <c r="TG1331" s="97">
        <f t="shared" si="2249"/>
        <v>115154.32</v>
      </c>
      <c r="TH1331" s="97">
        <f t="shared" si="2250"/>
        <v>11660.97</v>
      </c>
      <c r="TI1331" s="97">
        <f t="shared" si="2251"/>
        <v>12313.39</v>
      </c>
      <c r="TJ1331" s="97">
        <f t="shared" si="2252"/>
        <v>12526.18</v>
      </c>
      <c r="TK1331" s="97">
        <f t="shared" si="2253"/>
        <v>0</v>
      </c>
      <c r="TL1331" s="97">
        <f t="shared" si="2253"/>
        <v>0</v>
      </c>
      <c r="TM1331" s="97">
        <f t="shared" si="2253"/>
        <v>0</v>
      </c>
      <c r="TN1331" s="97">
        <f t="shared" si="2254"/>
        <v>0</v>
      </c>
      <c r="TO1331" s="97">
        <f t="shared" si="2254"/>
        <v>0</v>
      </c>
      <c r="TP1331" s="97">
        <f t="shared" si="2254"/>
        <v>0</v>
      </c>
      <c r="TQ1331" s="102"/>
      <c r="TR1331" s="102"/>
      <c r="TS1331" s="102"/>
      <c r="TT1331" s="97">
        <f t="shared" si="2255"/>
        <v>0</v>
      </c>
      <c r="TU1331" s="97">
        <f t="shared" si="2256"/>
        <v>0</v>
      </c>
      <c r="TV1331" s="97">
        <f t="shared" si="2257"/>
        <v>0</v>
      </c>
      <c r="TW1331" s="97">
        <f t="shared" si="2258"/>
        <v>0</v>
      </c>
      <c r="TX1331" s="97">
        <f t="shared" si="2259"/>
        <v>0</v>
      </c>
      <c r="TY1331" s="97">
        <f t="shared" si="2260"/>
        <v>0</v>
      </c>
      <c r="TZ1331" s="97">
        <f t="shared" si="2261"/>
        <v>110661.31</v>
      </c>
      <c r="UA1331" s="97">
        <f t="shared" si="2262"/>
        <v>116939.21</v>
      </c>
      <c r="UB1331" s="97">
        <f t="shared" si="2263"/>
        <v>123278.68</v>
      </c>
      <c r="UC1331" s="97">
        <f t="shared" si="2264"/>
        <v>10656.59</v>
      </c>
      <c r="UD1331" s="97">
        <f t="shared" si="2265"/>
        <v>11583.34</v>
      </c>
      <c r="UE1331" s="97">
        <f t="shared" si="2266"/>
        <v>11854.18</v>
      </c>
      <c r="UF1331" s="97">
        <f t="shared" si="2267"/>
        <v>0</v>
      </c>
      <c r="UG1331" s="97">
        <f t="shared" si="2267"/>
        <v>0</v>
      </c>
      <c r="UH1331" s="97">
        <f t="shared" si="2267"/>
        <v>0</v>
      </c>
      <c r="UI1331" s="97">
        <f t="shared" si="2268"/>
        <v>0</v>
      </c>
      <c r="UJ1331" s="97">
        <f t="shared" si="2268"/>
        <v>0</v>
      </c>
      <c r="UK1331" s="97">
        <f t="shared" si="2268"/>
        <v>0</v>
      </c>
      <c r="UL1331" s="102"/>
      <c r="UM1331" s="102"/>
      <c r="UN1331" s="102"/>
      <c r="UO1331" s="97">
        <f t="shared" si="2269"/>
        <v>0</v>
      </c>
      <c r="UP1331" s="97">
        <f t="shared" si="2270"/>
        <v>0</v>
      </c>
      <c r="UQ1331" s="97">
        <f t="shared" si="2271"/>
        <v>0</v>
      </c>
      <c r="UR1331" s="97">
        <f t="shared" si="2272"/>
        <v>0</v>
      </c>
      <c r="US1331" s="97">
        <f t="shared" si="2273"/>
        <v>0</v>
      </c>
      <c r="UT1331" s="97">
        <f t="shared" si="2274"/>
        <v>0</v>
      </c>
      <c r="UU1331" s="97">
        <f t="shared" si="2275"/>
        <v>102373.22</v>
      </c>
      <c r="UV1331" s="97">
        <f t="shared" si="2276"/>
        <v>108364.42</v>
      </c>
      <c r="UW1331" s="97">
        <f t="shared" si="2277"/>
        <v>114266.95</v>
      </c>
      <c r="UX1331" s="97">
        <f t="shared" si="2278"/>
        <v>8306.9599999999991</v>
      </c>
      <c r="UY1331" s="97">
        <f t="shared" si="2279"/>
        <v>8987.25</v>
      </c>
      <c r="UZ1331" s="97">
        <f t="shared" si="2280"/>
        <v>9237.66</v>
      </c>
      <c r="VA1331" s="97">
        <f t="shared" si="2281"/>
        <v>0</v>
      </c>
      <c r="VB1331" s="97">
        <f t="shared" si="2281"/>
        <v>0</v>
      </c>
      <c r="VC1331" s="97">
        <f t="shared" si="2281"/>
        <v>0</v>
      </c>
      <c r="VD1331" s="97">
        <f t="shared" si="2282"/>
        <v>0</v>
      </c>
      <c r="VE1331" s="97">
        <f t="shared" si="2282"/>
        <v>0</v>
      </c>
      <c r="VF1331" s="97">
        <f t="shared" si="2282"/>
        <v>0</v>
      </c>
      <c r="VG1331" s="102">
        <v>33</v>
      </c>
      <c r="VH1331" s="102">
        <v>33</v>
      </c>
      <c r="VI1331" s="102">
        <v>33</v>
      </c>
      <c r="VJ1331" s="97">
        <f t="shared" si="2283"/>
        <v>8874228</v>
      </c>
      <c r="VK1331" s="97">
        <f t="shared" si="2284"/>
        <v>9091236</v>
      </c>
      <c r="VL1331" s="97">
        <f t="shared" si="2285"/>
        <v>9237789</v>
      </c>
      <c r="VM1331" s="97">
        <f t="shared" si="2286"/>
        <v>417568.8</v>
      </c>
      <c r="VN1331" s="97">
        <f t="shared" si="2287"/>
        <v>429518.76</v>
      </c>
      <c r="VO1331" s="97">
        <f t="shared" si="2288"/>
        <v>438209.64</v>
      </c>
      <c r="VP1331" s="97">
        <f t="shared" si="2289"/>
        <v>104432.16</v>
      </c>
      <c r="VQ1331" s="97">
        <f t="shared" si="2290"/>
        <v>110452.01</v>
      </c>
      <c r="VR1331" s="97">
        <f t="shared" si="2291"/>
        <v>116460.85</v>
      </c>
      <c r="VS1331" s="97">
        <f t="shared" si="2292"/>
        <v>8941.0400000000009</v>
      </c>
      <c r="VT1331" s="97">
        <f t="shared" si="2293"/>
        <v>9476.4699999999993</v>
      </c>
      <c r="VU1331" s="97">
        <f t="shared" si="2294"/>
        <v>9735.5400000000009</v>
      </c>
      <c r="VV1331" s="97">
        <f t="shared" si="2295"/>
        <v>3446261.28</v>
      </c>
      <c r="VW1331" s="97">
        <f t="shared" si="2295"/>
        <v>3644916.33</v>
      </c>
      <c r="VX1331" s="97">
        <f t="shared" si="2295"/>
        <v>3843208.05</v>
      </c>
      <c r="VY1331" s="97">
        <f t="shared" si="2296"/>
        <v>295054.32</v>
      </c>
      <c r="VZ1331" s="97">
        <f t="shared" si="2296"/>
        <v>312723.51</v>
      </c>
      <c r="WA1331" s="97">
        <f t="shared" si="2296"/>
        <v>321272.82</v>
      </c>
      <c r="WB1331" s="102"/>
      <c r="WC1331" s="102"/>
      <c r="WD1331" s="102"/>
      <c r="WE1331" s="97">
        <f t="shared" si="2297"/>
        <v>0</v>
      </c>
      <c r="WF1331" s="97">
        <f t="shared" si="2298"/>
        <v>0</v>
      </c>
      <c r="WG1331" s="97">
        <f t="shared" si="2299"/>
        <v>0</v>
      </c>
      <c r="WH1331" s="97">
        <f t="shared" si="2300"/>
        <v>0</v>
      </c>
      <c r="WI1331" s="97">
        <f t="shared" si="2301"/>
        <v>0</v>
      </c>
      <c r="WJ1331" s="97">
        <f t="shared" si="2302"/>
        <v>0</v>
      </c>
      <c r="WK1331" s="97">
        <f t="shared" si="2303"/>
        <v>96479.84</v>
      </c>
      <c r="WL1331" s="97">
        <f t="shared" si="2304"/>
        <v>102155.72</v>
      </c>
      <c r="WM1331" s="97">
        <f t="shared" si="2305"/>
        <v>107714.88</v>
      </c>
      <c r="WN1331" s="97">
        <f t="shared" si="2306"/>
        <v>9601.92</v>
      </c>
      <c r="WO1331" s="97">
        <f t="shared" si="2307"/>
        <v>10425.76</v>
      </c>
      <c r="WP1331" s="97">
        <f t="shared" si="2308"/>
        <v>10720.45</v>
      </c>
      <c r="WQ1331" s="97">
        <f t="shared" si="2309"/>
        <v>0</v>
      </c>
      <c r="WR1331" s="97">
        <f t="shared" si="2309"/>
        <v>0</v>
      </c>
      <c r="WS1331" s="97">
        <f t="shared" si="2309"/>
        <v>0</v>
      </c>
      <c r="WT1331" s="97">
        <f t="shared" si="2310"/>
        <v>0</v>
      </c>
      <c r="WU1331" s="97">
        <f t="shared" si="2310"/>
        <v>0</v>
      </c>
      <c r="WV1331" s="97">
        <f t="shared" si="2310"/>
        <v>0</v>
      </c>
      <c r="WW1331" s="102"/>
      <c r="WX1331" s="102"/>
      <c r="WY1331" s="102"/>
      <c r="WZ1331" s="97">
        <f t="shared" si="2311"/>
        <v>0</v>
      </c>
      <c r="XA1331" s="97">
        <f t="shared" si="2312"/>
        <v>0</v>
      </c>
      <c r="XB1331" s="97">
        <f t="shared" si="2313"/>
        <v>0</v>
      </c>
      <c r="XC1331" s="97">
        <f t="shared" si="2314"/>
        <v>0</v>
      </c>
      <c r="XD1331" s="97">
        <f t="shared" si="2315"/>
        <v>0</v>
      </c>
      <c r="XE1331" s="97">
        <f t="shared" si="2316"/>
        <v>0</v>
      </c>
      <c r="XF1331" s="97">
        <f t="shared" si="2317"/>
        <v>94781.83</v>
      </c>
      <c r="XG1331" s="97">
        <f t="shared" si="2318"/>
        <v>100290.36</v>
      </c>
      <c r="XH1331" s="97">
        <f t="shared" si="2319"/>
        <v>105727.03</v>
      </c>
      <c r="XI1331" s="97">
        <f t="shared" si="2320"/>
        <v>7733.81</v>
      </c>
      <c r="XJ1331" s="97">
        <f t="shared" si="2321"/>
        <v>8427.9</v>
      </c>
      <c r="XK1331" s="97">
        <f t="shared" si="2322"/>
        <v>8635.36</v>
      </c>
      <c r="XL1331" s="97">
        <f t="shared" si="2323"/>
        <v>0</v>
      </c>
      <c r="XM1331" s="97">
        <f t="shared" si="2323"/>
        <v>0</v>
      </c>
      <c r="XN1331" s="97">
        <f t="shared" si="2323"/>
        <v>0</v>
      </c>
      <c r="XO1331" s="97">
        <f t="shared" si="2324"/>
        <v>0</v>
      </c>
      <c r="XP1331" s="97">
        <f t="shared" si="2324"/>
        <v>0</v>
      </c>
      <c r="XQ1331" s="97">
        <f t="shared" si="2324"/>
        <v>0</v>
      </c>
      <c r="XR1331" s="102"/>
      <c r="XS1331" s="102"/>
      <c r="XT1331" s="102"/>
      <c r="XU1331" s="97">
        <f t="shared" si="2325"/>
        <v>0</v>
      </c>
      <c r="XV1331" s="97">
        <f t="shared" si="2326"/>
        <v>0</v>
      </c>
      <c r="XW1331" s="97">
        <f t="shared" si="2327"/>
        <v>0</v>
      </c>
      <c r="XX1331" s="97">
        <f t="shared" si="2328"/>
        <v>0</v>
      </c>
      <c r="XY1331" s="97">
        <f t="shared" si="2329"/>
        <v>0</v>
      </c>
      <c r="XZ1331" s="97">
        <f t="shared" si="2330"/>
        <v>0</v>
      </c>
      <c r="YA1331" s="97">
        <f t="shared" si="2331"/>
        <v>100048.6</v>
      </c>
      <c r="YB1331" s="97">
        <f t="shared" si="2332"/>
        <v>105949.5</v>
      </c>
      <c r="YC1331" s="97">
        <f t="shared" si="2333"/>
        <v>111743.82</v>
      </c>
      <c r="YD1331" s="97">
        <f t="shared" si="2334"/>
        <v>33821.82</v>
      </c>
      <c r="YE1331" s="97">
        <f t="shared" si="2335"/>
        <v>41187.46</v>
      </c>
      <c r="YF1331" s="97">
        <f t="shared" si="2336"/>
        <v>42299.87</v>
      </c>
      <c r="YG1331" s="97">
        <f t="shared" si="2337"/>
        <v>0</v>
      </c>
      <c r="YH1331" s="97">
        <f t="shared" si="2337"/>
        <v>0</v>
      </c>
      <c r="YI1331" s="97">
        <f t="shared" si="2337"/>
        <v>0</v>
      </c>
      <c r="YJ1331" s="97">
        <f t="shared" si="2338"/>
        <v>0</v>
      </c>
      <c r="YK1331" s="97">
        <f t="shared" si="2338"/>
        <v>0</v>
      </c>
      <c r="YL1331" s="97">
        <f t="shared" si="2338"/>
        <v>0</v>
      </c>
      <c r="YM1331" s="145">
        <f t="shared" si="2339"/>
        <v>324</v>
      </c>
      <c r="YN1331" s="145">
        <f t="shared" si="2339"/>
        <v>324</v>
      </c>
      <c r="YO1331" s="145">
        <f t="shared" si="2339"/>
        <v>324</v>
      </c>
      <c r="YP1331" s="97">
        <f t="shared" si="2340"/>
        <v>87128784</v>
      </c>
      <c r="YQ1331" s="97">
        <f t="shared" si="2341"/>
        <v>89259408</v>
      </c>
      <c r="YR1331" s="97">
        <f t="shared" si="2342"/>
        <v>90698292</v>
      </c>
      <c r="YS1331" s="97">
        <f t="shared" si="2343"/>
        <v>4099766.4</v>
      </c>
      <c r="YT1331" s="97">
        <f t="shared" si="2344"/>
        <v>4217093.28</v>
      </c>
      <c r="YU1331" s="97">
        <f t="shared" si="2345"/>
        <v>4302421.92</v>
      </c>
      <c r="YV1331" s="97">
        <f t="shared" si="2346"/>
        <v>105447.11</v>
      </c>
      <c r="YW1331" s="97">
        <f t="shared" si="2347"/>
        <v>111517.12</v>
      </c>
      <c r="YX1331" s="97">
        <f t="shared" si="2348"/>
        <v>117559.17</v>
      </c>
      <c r="YY1331" s="97">
        <f t="shared" si="2349"/>
        <v>10879.74</v>
      </c>
      <c r="YZ1331" s="97">
        <f t="shared" si="2350"/>
        <v>11761.14</v>
      </c>
      <c r="ZA1331" s="97">
        <f t="shared" si="2351"/>
        <v>12022.37</v>
      </c>
      <c r="ZB1331" s="97">
        <f t="shared" si="2352"/>
        <v>34164863.640000001</v>
      </c>
      <c r="ZC1331" s="97">
        <f t="shared" si="2352"/>
        <v>36131546.880000003</v>
      </c>
      <c r="ZD1331" s="97">
        <f t="shared" si="2352"/>
        <v>38089171.079999998</v>
      </c>
      <c r="ZE1331" s="97">
        <f t="shared" si="2353"/>
        <v>3525035.76</v>
      </c>
      <c r="ZF1331" s="97">
        <f t="shared" si="2353"/>
        <v>3810609.36</v>
      </c>
      <c r="ZG1331" s="97">
        <f t="shared" si="2353"/>
        <v>3895247.88</v>
      </c>
    </row>
    <row r="1332" spans="1:683" ht="60" hidden="1" x14ac:dyDescent="0.25">
      <c r="A1332" s="92" t="s">
        <v>639</v>
      </c>
      <c r="B1332" s="174"/>
      <c r="C1332" s="5"/>
      <c r="D1332" s="340"/>
      <c r="E1332" s="163"/>
      <c r="F1332" s="110">
        <f t="shared" si="1903"/>
        <v>10604</v>
      </c>
      <c r="G1332" s="110">
        <f t="shared" si="1903"/>
        <v>10604</v>
      </c>
      <c r="H1332" s="110">
        <f t="shared" si="1903"/>
        <v>10604</v>
      </c>
      <c r="I1332" s="97">
        <f t="shared" si="1904"/>
        <v>469</v>
      </c>
      <c r="J1332" s="97">
        <f t="shared" si="1904"/>
        <v>469</v>
      </c>
      <c r="K1332" s="97">
        <f t="shared" si="1904"/>
        <v>469</v>
      </c>
      <c r="L1332" s="102"/>
      <c r="M1332" s="102"/>
      <c r="N1332" s="102"/>
      <c r="O1332" s="97">
        <f t="shared" si="1905"/>
        <v>0</v>
      </c>
      <c r="P1332" s="97">
        <f t="shared" si="1906"/>
        <v>0</v>
      </c>
      <c r="Q1332" s="97">
        <f t="shared" si="1907"/>
        <v>0</v>
      </c>
      <c r="R1332" s="97">
        <f t="shared" si="1908"/>
        <v>0</v>
      </c>
      <c r="S1332" s="97">
        <f t="shared" si="1909"/>
        <v>0</v>
      </c>
      <c r="T1332" s="97">
        <f t="shared" si="1910"/>
        <v>0</v>
      </c>
      <c r="U1332" s="97">
        <f t="shared" si="1911"/>
        <v>4575.68</v>
      </c>
      <c r="V1332" s="97">
        <f t="shared" si="1912"/>
        <v>4724.88</v>
      </c>
      <c r="W1332" s="97">
        <f t="shared" si="1913"/>
        <v>4903.1400000000003</v>
      </c>
      <c r="X1332" s="97">
        <f t="shared" si="1914"/>
        <v>367.76</v>
      </c>
      <c r="Y1332" s="97">
        <f t="shared" si="1915"/>
        <v>371.55</v>
      </c>
      <c r="Z1332" s="97">
        <f t="shared" si="1916"/>
        <v>370.5</v>
      </c>
      <c r="AA1332" s="97">
        <f t="shared" si="1917"/>
        <v>0</v>
      </c>
      <c r="AB1332" s="97">
        <f t="shared" si="1917"/>
        <v>0</v>
      </c>
      <c r="AC1332" s="97">
        <f t="shared" si="1917"/>
        <v>0</v>
      </c>
      <c r="AD1332" s="97">
        <f t="shared" si="1918"/>
        <v>0</v>
      </c>
      <c r="AE1332" s="97">
        <f t="shared" si="1918"/>
        <v>0</v>
      </c>
      <c r="AF1332" s="97">
        <f t="shared" si="1918"/>
        <v>0</v>
      </c>
      <c r="AG1332" s="102"/>
      <c r="AH1332" s="102"/>
      <c r="AI1332" s="102"/>
      <c r="AJ1332" s="97">
        <f t="shared" si="1919"/>
        <v>0</v>
      </c>
      <c r="AK1332" s="97">
        <f t="shared" si="1920"/>
        <v>0</v>
      </c>
      <c r="AL1332" s="97">
        <f t="shared" si="1921"/>
        <v>0</v>
      </c>
      <c r="AM1332" s="97">
        <f t="shared" si="1922"/>
        <v>0</v>
      </c>
      <c r="AN1332" s="97">
        <f t="shared" si="1923"/>
        <v>0</v>
      </c>
      <c r="AO1332" s="97">
        <f t="shared" si="1924"/>
        <v>0</v>
      </c>
      <c r="AP1332" s="97">
        <f t="shared" si="1925"/>
        <v>4209.42</v>
      </c>
      <c r="AQ1332" s="97">
        <f t="shared" si="1926"/>
        <v>4345.97</v>
      </c>
      <c r="AR1332" s="97">
        <f t="shared" si="1927"/>
        <v>4509.22</v>
      </c>
      <c r="AS1332" s="97">
        <f t="shared" si="1928"/>
        <v>293.25</v>
      </c>
      <c r="AT1332" s="97">
        <f t="shared" si="1929"/>
        <v>300.76</v>
      </c>
      <c r="AU1332" s="97">
        <f t="shared" si="1930"/>
        <v>302.26</v>
      </c>
      <c r="AV1332" s="97">
        <f t="shared" si="1931"/>
        <v>0</v>
      </c>
      <c r="AW1332" s="97">
        <f t="shared" si="1931"/>
        <v>0</v>
      </c>
      <c r="AX1332" s="97">
        <f t="shared" si="1931"/>
        <v>0</v>
      </c>
      <c r="AY1332" s="97">
        <f t="shared" si="1932"/>
        <v>0</v>
      </c>
      <c r="AZ1332" s="97">
        <f t="shared" si="1932"/>
        <v>0</v>
      </c>
      <c r="BA1332" s="97">
        <f t="shared" si="1932"/>
        <v>0</v>
      </c>
      <c r="BB1332" s="102"/>
      <c r="BC1332" s="102"/>
      <c r="BD1332" s="102"/>
      <c r="BE1332" s="97">
        <f t="shared" si="1933"/>
        <v>0</v>
      </c>
      <c r="BF1332" s="97">
        <f t="shared" si="1934"/>
        <v>0</v>
      </c>
      <c r="BG1332" s="97">
        <f t="shared" si="1935"/>
        <v>0</v>
      </c>
      <c r="BH1332" s="97">
        <f t="shared" si="1936"/>
        <v>0</v>
      </c>
      <c r="BI1332" s="97">
        <f t="shared" si="1937"/>
        <v>0</v>
      </c>
      <c r="BJ1332" s="97">
        <f t="shared" si="1938"/>
        <v>0</v>
      </c>
      <c r="BK1332" s="97">
        <f t="shared" si="1939"/>
        <v>3970.86</v>
      </c>
      <c r="BL1332" s="97">
        <f t="shared" si="1940"/>
        <v>4091.53</v>
      </c>
      <c r="BM1332" s="97">
        <f t="shared" si="1941"/>
        <v>4240.6099999999997</v>
      </c>
      <c r="BN1332" s="97">
        <f t="shared" si="1942"/>
        <v>313.25</v>
      </c>
      <c r="BO1332" s="97">
        <f t="shared" si="1943"/>
        <v>321.27999999999997</v>
      </c>
      <c r="BP1332" s="97">
        <f t="shared" si="1944"/>
        <v>322.29000000000002</v>
      </c>
      <c r="BQ1332" s="97">
        <f t="shared" si="1945"/>
        <v>0</v>
      </c>
      <c r="BR1332" s="97">
        <f t="shared" si="1945"/>
        <v>0</v>
      </c>
      <c r="BS1332" s="97">
        <f t="shared" si="1945"/>
        <v>0</v>
      </c>
      <c r="BT1332" s="97">
        <f t="shared" si="1946"/>
        <v>0</v>
      </c>
      <c r="BU1332" s="97">
        <f t="shared" si="1946"/>
        <v>0</v>
      </c>
      <c r="BV1332" s="97">
        <f t="shared" si="1946"/>
        <v>0</v>
      </c>
      <c r="BW1332" s="102"/>
      <c r="BX1332" s="102"/>
      <c r="BY1332" s="102"/>
      <c r="BZ1332" s="97">
        <f t="shared" si="1947"/>
        <v>0</v>
      </c>
      <c r="CA1332" s="97">
        <f t="shared" si="1948"/>
        <v>0</v>
      </c>
      <c r="CB1332" s="97">
        <f t="shared" si="1949"/>
        <v>0</v>
      </c>
      <c r="CC1332" s="97">
        <f t="shared" si="1950"/>
        <v>0</v>
      </c>
      <c r="CD1332" s="97">
        <f t="shared" si="1951"/>
        <v>0</v>
      </c>
      <c r="CE1332" s="97">
        <f t="shared" si="1952"/>
        <v>0</v>
      </c>
      <c r="CF1332" s="97">
        <f t="shared" si="1953"/>
        <v>4100.82</v>
      </c>
      <c r="CG1332" s="97">
        <f t="shared" si="1954"/>
        <v>4237.03</v>
      </c>
      <c r="CH1332" s="97">
        <f t="shared" si="1955"/>
        <v>4396.46</v>
      </c>
      <c r="CI1332" s="97">
        <f t="shared" si="1956"/>
        <v>482.92</v>
      </c>
      <c r="CJ1332" s="97">
        <f t="shared" si="1957"/>
        <v>485.42</v>
      </c>
      <c r="CK1332" s="97">
        <f t="shared" si="1958"/>
        <v>483.08</v>
      </c>
      <c r="CL1332" s="97">
        <f t="shared" si="1959"/>
        <v>0</v>
      </c>
      <c r="CM1332" s="97">
        <f t="shared" si="1959"/>
        <v>0</v>
      </c>
      <c r="CN1332" s="97">
        <f t="shared" si="1959"/>
        <v>0</v>
      </c>
      <c r="CO1332" s="97">
        <f t="shared" si="1960"/>
        <v>0</v>
      </c>
      <c r="CP1332" s="97">
        <f t="shared" si="1960"/>
        <v>0</v>
      </c>
      <c r="CQ1332" s="97">
        <f t="shared" si="1960"/>
        <v>0</v>
      </c>
      <c r="CR1332" s="102"/>
      <c r="CS1332" s="102"/>
      <c r="CT1332" s="102"/>
      <c r="CU1332" s="97">
        <f t="shared" si="1961"/>
        <v>0</v>
      </c>
      <c r="CV1332" s="97">
        <f t="shared" si="1962"/>
        <v>0</v>
      </c>
      <c r="CW1332" s="97">
        <f t="shared" si="1963"/>
        <v>0</v>
      </c>
      <c r="CX1332" s="97">
        <f t="shared" si="1964"/>
        <v>0</v>
      </c>
      <c r="CY1332" s="97">
        <f t="shared" si="1965"/>
        <v>0</v>
      </c>
      <c r="CZ1332" s="97">
        <f t="shared" si="1966"/>
        <v>0</v>
      </c>
      <c r="DA1332" s="97">
        <f t="shared" si="1967"/>
        <v>4132.3999999999996</v>
      </c>
      <c r="DB1332" s="97">
        <f t="shared" si="1968"/>
        <v>4265.99</v>
      </c>
      <c r="DC1332" s="97">
        <f t="shared" si="1969"/>
        <v>4426.25</v>
      </c>
      <c r="DD1332" s="97">
        <f t="shared" si="1970"/>
        <v>233.8</v>
      </c>
      <c r="DE1332" s="97">
        <f t="shared" si="1971"/>
        <v>236.16</v>
      </c>
      <c r="DF1332" s="97">
        <f t="shared" si="1972"/>
        <v>235.75</v>
      </c>
      <c r="DG1332" s="97">
        <f t="shared" si="1973"/>
        <v>0</v>
      </c>
      <c r="DH1332" s="97">
        <f t="shared" si="1973"/>
        <v>0</v>
      </c>
      <c r="DI1332" s="97">
        <f t="shared" si="1973"/>
        <v>0</v>
      </c>
      <c r="DJ1332" s="97">
        <f t="shared" si="1974"/>
        <v>0</v>
      </c>
      <c r="DK1332" s="97">
        <f t="shared" si="1974"/>
        <v>0</v>
      </c>
      <c r="DL1332" s="97">
        <f t="shared" si="1974"/>
        <v>0</v>
      </c>
      <c r="DM1332" s="102"/>
      <c r="DN1332" s="102"/>
      <c r="DO1332" s="102"/>
      <c r="DP1332" s="97">
        <f t="shared" si="1975"/>
        <v>0</v>
      </c>
      <c r="DQ1332" s="97">
        <f t="shared" si="1976"/>
        <v>0</v>
      </c>
      <c r="DR1332" s="97">
        <f t="shared" si="1977"/>
        <v>0</v>
      </c>
      <c r="DS1332" s="97">
        <f t="shared" si="1978"/>
        <v>0</v>
      </c>
      <c r="DT1332" s="97">
        <f t="shared" si="1979"/>
        <v>0</v>
      </c>
      <c r="DU1332" s="97">
        <f t="shared" si="1980"/>
        <v>0</v>
      </c>
      <c r="DV1332" s="97">
        <f t="shared" si="1981"/>
        <v>4487.0600000000004</v>
      </c>
      <c r="DW1332" s="97">
        <f t="shared" si="1982"/>
        <v>4639.32</v>
      </c>
      <c r="DX1332" s="97">
        <f t="shared" si="1983"/>
        <v>4815.92</v>
      </c>
      <c r="DY1332" s="97">
        <f t="shared" si="1984"/>
        <v>489.7</v>
      </c>
      <c r="DZ1332" s="97">
        <f t="shared" si="1985"/>
        <v>475.73</v>
      </c>
      <c r="EA1332" s="97">
        <f t="shared" si="1986"/>
        <v>474.43</v>
      </c>
      <c r="EB1332" s="97">
        <f t="shared" si="1987"/>
        <v>0</v>
      </c>
      <c r="EC1332" s="97">
        <f t="shared" si="1987"/>
        <v>0</v>
      </c>
      <c r="ED1332" s="97">
        <f t="shared" si="1987"/>
        <v>0</v>
      </c>
      <c r="EE1332" s="97">
        <f t="shared" si="1988"/>
        <v>0</v>
      </c>
      <c r="EF1332" s="97">
        <f t="shared" si="1988"/>
        <v>0</v>
      </c>
      <c r="EG1332" s="97">
        <f t="shared" si="1988"/>
        <v>0</v>
      </c>
      <c r="EH1332" s="102"/>
      <c r="EI1332" s="102"/>
      <c r="EJ1332" s="102"/>
      <c r="EK1332" s="97">
        <f t="shared" si="1989"/>
        <v>0</v>
      </c>
      <c r="EL1332" s="97">
        <f t="shared" si="1990"/>
        <v>0</v>
      </c>
      <c r="EM1332" s="97">
        <f t="shared" si="1991"/>
        <v>0</v>
      </c>
      <c r="EN1332" s="97">
        <f t="shared" si="1992"/>
        <v>0</v>
      </c>
      <c r="EO1332" s="97">
        <f t="shared" si="1993"/>
        <v>0</v>
      </c>
      <c r="EP1332" s="97">
        <f t="shared" si="1994"/>
        <v>0</v>
      </c>
      <c r="EQ1332" s="97">
        <f t="shared" si="1995"/>
        <v>4435.29</v>
      </c>
      <c r="ER1332" s="97">
        <f t="shared" si="1996"/>
        <v>4571.63</v>
      </c>
      <c r="ES1332" s="97">
        <f t="shared" si="1997"/>
        <v>4741.16</v>
      </c>
      <c r="ET1332" s="97">
        <f t="shared" si="1998"/>
        <v>411.13</v>
      </c>
      <c r="EU1332" s="97">
        <f t="shared" si="1999"/>
        <v>420.97</v>
      </c>
      <c r="EV1332" s="97">
        <f t="shared" si="2000"/>
        <v>422.73</v>
      </c>
      <c r="EW1332" s="97">
        <f t="shared" si="2001"/>
        <v>0</v>
      </c>
      <c r="EX1332" s="97">
        <f t="shared" si="2001"/>
        <v>0</v>
      </c>
      <c r="EY1332" s="97">
        <f t="shared" si="2001"/>
        <v>0</v>
      </c>
      <c r="EZ1332" s="97">
        <f t="shared" si="2002"/>
        <v>0</v>
      </c>
      <c r="FA1332" s="97">
        <f t="shared" si="2002"/>
        <v>0</v>
      </c>
      <c r="FB1332" s="97">
        <f t="shared" si="2002"/>
        <v>0</v>
      </c>
      <c r="FC1332" s="102"/>
      <c r="FD1332" s="102"/>
      <c r="FE1332" s="102"/>
      <c r="FF1332" s="97">
        <f t="shared" si="2003"/>
        <v>0</v>
      </c>
      <c r="FG1332" s="97">
        <f t="shared" si="2004"/>
        <v>0</v>
      </c>
      <c r="FH1332" s="97">
        <f t="shared" si="2005"/>
        <v>0</v>
      </c>
      <c r="FI1332" s="97">
        <f t="shared" si="2006"/>
        <v>0</v>
      </c>
      <c r="FJ1332" s="97">
        <f t="shared" si="2007"/>
        <v>0</v>
      </c>
      <c r="FK1332" s="97">
        <f t="shared" si="2008"/>
        <v>0</v>
      </c>
      <c r="FL1332" s="97">
        <f t="shared" si="2009"/>
        <v>4309.09</v>
      </c>
      <c r="FM1332" s="97">
        <f t="shared" si="2010"/>
        <v>4450.54</v>
      </c>
      <c r="FN1332" s="97">
        <f t="shared" si="2011"/>
        <v>4618.32</v>
      </c>
      <c r="FO1332" s="97">
        <f t="shared" si="2012"/>
        <v>442.18</v>
      </c>
      <c r="FP1332" s="97">
        <f t="shared" si="2013"/>
        <v>455.59</v>
      </c>
      <c r="FQ1332" s="97">
        <f t="shared" si="2014"/>
        <v>447.06</v>
      </c>
      <c r="FR1332" s="97">
        <f t="shared" si="2015"/>
        <v>0</v>
      </c>
      <c r="FS1332" s="97">
        <f t="shared" si="2015"/>
        <v>0</v>
      </c>
      <c r="FT1332" s="97">
        <f t="shared" si="2015"/>
        <v>0</v>
      </c>
      <c r="FU1332" s="97">
        <f t="shared" si="2016"/>
        <v>0</v>
      </c>
      <c r="FV1332" s="97">
        <f t="shared" si="2016"/>
        <v>0</v>
      </c>
      <c r="FW1332" s="97">
        <f t="shared" si="2016"/>
        <v>0</v>
      </c>
      <c r="FX1332" s="102"/>
      <c r="FY1332" s="102"/>
      <c r="FZ1332" s="102"/>
      <c r="GA1332" s="97">
        <f t="shared" si="2017"/>
        <v>0</v>
      </c>
      <c r="GB1332" s="97">
        <f t="shared" si="2018"/>
        <v>0</v>
      </c>
      <c r="GC1332" s="97">
        <f t="shared" si="2019"/>
        <v>0</v>
      </c>
      <c r="GD1332" s="97">
        <f t="shared" si="2020"/>
        <v>0</v>
      </c>
      <c r="GE1332" s="97">
        <f t="shared" si="2021"/>
        <v>0</v>
      </c>
      <c r="GF1332" s="97">
        <f t="shared" si="2022"/>
        <v>0</v>
      </c>
      <c r="GG1332" s="97">
        <f t="shared" si="2023"/>
        <v>4302.32</v>
      </c>
      <c r="GH1332" s="97">
        <f t="shared" si="2024"/>
        <v>4438.7</v>
      </c>
      <c r="GI1332" s="97">
        <f t="shared" si="2025"/>
        <v>4603.7299999999996</v>
      </c>
      <c r="GJ1332" s="97">
        <f t="shared" si="2026"/>
        <v>331.56</v>
      </c>
      <c r="GK1332" s="97">
        <f t="shared" si="2027"/>
        <v>368.2</v>
      </c>
      <c r="GL1332" s="97">
        <f t="shared" si="2028"/>
        <v>391.36</v>
      </c>
      <c r="GM1332" s="97">
        <f t="shared" si="2029"/>
        <v>0</v>
      </c>
      <c r="GN1332" s="97">
        <f t="shared" si="2029"/>
        <v>0</v>
      </c>
      <c r="GO1332" s="97">
        <f t="shared" si="2029"/>
        <v>0</v>
      </c>
      <c r="GP1332" s="97">
        <f t="shared" si="2030"/>
        <v>0</v>
      </c>
      <c r="GQ1332" s="97">
        <f t="shared" si="2030"/>
        <v>0</v>
      </c>
      <c r="GR1332" s="97">
        <f t="shared" si="2030"/>
        <v>0</v>
      </c>
      <c r="GS1332" s="102"/>
      <c r="GT1332" s="102"/>
      <c r="GU1332" s="102"/>
      <c r="GV1332" s="97">
        <f t="shared" si="2031"/>
        <v>0</v>
      </c>
      <c r="GW1332" s="97">
        <f t="shared" si="2032"/>
        <v>0</v>
      </c>
      <c r="GX1332" s="97">
        <f t="shared" si="2033"/>
        <v>0</v>
      </c>
      <c r="GY1332" s="97">
        <f t="shared" si="2034"/>
        <v>0</v>
      </c>
      <c r="GZ1332" s="97">
        <f t="shared" si="2035"/>
        <v>0</v>
      </c>
      <c r="HA1332" s="97">
        <f t="shared" si="2036"/>
        <v>0</v>
      </c>
      <c r="HB1332" s="97">
        <f t="shared" si="2037"/>
        <v>4494.3599999999997</v>
      </c>
      <c r="HC1332" s="97">
        <f t="shared" si="2038"/>
        <v>4634.96</v>
      </c>
      <c r="HD1332" s="97">
        <f t="shared" si="2039"/>
        <v>4807.1499999999996</v>
      </c>
      <c r="HE1332" s="97">
        <f t="shared" si="2040"/>
        <v>385.77</v>
      </c>
      <c r="HF1332" s="97">
        <f t="shared" si="2041"/>
        <v>393.83</v>
      </c>
      <c r="HG1332" s="97">
        <f t="shared" si="2042"/>
        <v>394.53</v>
      </c>
      <c r="HH1332" s="97">
        <f t="shared" si="2043"/>
        <v>0</v>
      </c>
      <c r="HI1332" s="97">
        <f t="shared" si="2043"/>
        <v>0</v>
      </c>
      <c r="HJ1332" s="97">
        <f t="shared" si="2043"/>
        <v>0</v>
      </c>
      <c r="HK1332" s="97">
        <f t="shared" si="2044"/>
        <v>0</v>
      </c>
      <c r="HL1332" s="97">
        <f t="shared" si="2044"/>
        <v>0</v>
      </c>
      <c r="HM1332" s="97">
        <f t="shared" si="2044"/>
        <v>0</v>
      </c>
      <c r="HN1332" s="102"/>
      <c r="HO1332" s="102"/>
      <c r="HP1332" s="102"/>
      <c r="HQ1332" s="97">
        <f t="shared" si="2045"/>
        <v>0</v>
      </c>
      <c r="HR1332" s="97">
        <f t="shared" si="2046"/>
        <v>0</v>
      </c>
      <c r="HS1332" s="97">
        <f t="shared" si="2047"/>
        <v>0</v>
      </c>
      <c r="HT1332" s="97">
        <f t="shared" si="2048"/>
        <v>0</v>
      </c>
      <c r="HU1332" s="97">
        <f t="shared" si="2049"/>
        <v>0</v>
      </c>
      <c r="HV1332" s="97">
        <f t="shared" si="2050"/>
        <v>0</v>
      </c>
      <c r="HW1332" s="97">
        <f t="shared" si="2051"/>
        <v>4423.08</v>
      </c>
      <c r="HX1332" s="97">
        <f t="shared" si="2052"/>
        <v>4568.1899999999996</v>
      </c>
      <c r="HY1332" s="97">
        <f t="shared" si="2053"/>
        <v>4738.76</v>
      </c>
      <c r="HZ1332" s="97">
        <f t="shared" si="2054"/>
        <v>368</v>
      </c>
      <c r="IA1332" s="97">
        <f t="shared" si="2055"/>
        <v>375.46</v>
      </c>
      <c r="IB1332" s="97">
        <f t="shared" si="2056"/>
        <v>369.69</v>
      </c>
      <c r="IC1332" s="97">
        <f t="shared" si="2057"/>
        <v>0</v>
      </c>
      <c r="ID1332" s="97">
        <f t="shared" si="2057"/>
        <v>0</v>
      </c>
      <c r="IE1332" s="97">
        <f t="shared" si="2057"/>
        <v>0</v>
      </c>
      <c r="IF1332" s="97">
        <f t="shared" si="2058"/>
        <v>0</v>
      </c>
      <c r="IG1332" s="97">
        <f t="shared" si="2058"/>
        <v>0</v>
      </c>
      <c r="IH1332" s="97">
        <f t="shared" si="2058"/>
        <v>0</v>
      </c>
      <c r="II1332" s="102"/>
      <c r="IJ1332" s="102"/>
      <c r="IK1332" s="102"/>
      <c r="IL1332" s="97">
        <f t="shared" si="2059"/>
        <v>0</v>
      </c>
      <c r="IM1332" s="97">
        <f t="shared" si="2060"/>
        <v>0</v>
      </c>
      <c r="IN1332" s="97">
        <f t="shared" si="2061"/>
        <v>0</v>
      </c>
      <c r="IO1332" s="97">
        <f t="shared" si="2062"/>
        <v>0</v>
      </c>
      <c r="IP1332" s="97">
        <f t="shared" si="2063"/>
        <v>0</v>
      </c>
      <c r="IQ1332" s="97">
        <f t="shared" si="2064"/>
        <v>0</v>
      </c>
      <c r="IR1332" s="97">
        <f t="shared" si="2065"/>
        <v>6008.45</v>
      </c>
      <c r="IS1332" s="97">
        <f t="shared" si="2066"/>
        <v>6189.48</v>
      </c>
      <c r="IT1332" s="97">
        <f t="shared" si="2067"/>
        <v>6418.25</v>
      </c>
      <c r="IU1332" s="97">
        <f t="shared" si="2068"/>
        <v>556.34</v>
      </c>
      <c r="IV1332" s="97">
        <f t="shared" si="2069"/>
        <v>567.59</v>
      </c>
      <c r="IW1332" s="97">
        <f t="shared" si="2070"/>
        <v>554.94000000000005</v>
      </c>
      <c r="IX1332" s="97">
        <f t="shared" si="2071"/>
        <v>0</v>
      </c>
      <c r="IY1332" s="97">
        <f t="shared" si="2071"/>
        <v>0</v>
      </c>
      <c r="IZ1332" s="97">
        <f t="shared" si="2071"/>
        <v>0</v>
      </c>
      <c r="JA1332" s="97">
        <f t="shared" si="2072"/>
        <v>0</v>
      </c>
      <c r="JB1332" s="97">
        <f t="shared" si="2072"/>
        <v>0</v>
      </c>
      <c r="JC1332" s="97">
        <f t="shared" si="2072"/>
        <v>0</v>
      </c>
      <c r="JD1332" s="102"/>
      <c r="JE1332" s="102"/>
      <c r="JF1332" s="102"/>
      <c r="JG1332" s="97">
        <f t="shared" si="2073"/>
        <v>0</v>
      </c>
      <c r="JH1332" s="97">
        <f t="shared" si="2074"/>
        <v>0</v>
      </c>
      <c r="JI1332" s="97">
        <f t="shared" si="2075"/>
        <v>0</v>
      </c>
      <c r="JJ1332" s="97">
        <f t="shared" si="2076"/>
        <v>0</v>
      </c>
      <c r="JK1332" s="97">
        <f t="shared" si="2077"/>
        <v>0</v>
      </c>
      <c r="JL1332" s="97">
        <f t="shared" si="2078"/>
        <v>0</v>
      </c>
      <c r="JM1332" s="97">
        <f t="shared" si="2079"/>
        <v>4027.71</v>
      </c>
      <c r="JN1332" s="97">
        <f t="shared" si="2080"/>
        <v>4157.3500000000004</v>
      </c>
      <c r="JO1332" s="97">
        <f t="shared" si="2081"/>
        <v>4313.3100000000004</v>
      </c>
      <c r="JP1332" s="97">
        <f t="shared" si="2082"/>
        <v>303.32</v>
      </c>
      <c r="JQ1332" s="97">
        <f t="shared" si="2083"/>
        <v>315.10000000000002</v>
      </c>
      <c r="JR1332" s="97">
        <f t="shared" si="2084"/>
        <v>315.85000000000002</v>
      </c>
      <c r="JS1332" s="97">
        <f t="shared" si="2085"/>
        <v>0</v>
      </c>
      <c r="JT1332" s="97">
        <f t="shared" si="2085"/>
        <v>0</v>
      </c>
      <c r="JU1332" s="97">
        <f t="shared" si="2085"/>
        <v>0</v>
      </c>
      <c r="JV1332" s="97">
        <f t="shared" si="2086"/>
        <v>0</v>
      </c>
      <c r="JW1332" s="97">
        <f t="shared" si="2086"/>
        <v>0</v>
      </c>
      <c r="JX1332" s="97">
        <f t="shared" si="2086"/>
        <v>0</v>
      </c>
      <c r="JY1332" s="102"/>
      <c r="JZ1332" s="102"/>
      <c r="KA1332" s="102"/>
      <c r="KB1332" s="97">
        <f t="shared" si="2087"/>
        <v>0</v>
      </c>
      <c r="KC1332" s="97">
        <f t="shared" si="2088"/>
        <v>0</v>
      </c>
      <c r="KD1332" s="97">
        <f t="shared" si="2089"/>
        <v>0</v>
      </c>
      <c r="KE1332" s="97">
        <f t="shared" si="2090"/>
        <v>0</v>
      </c>
      <c r="KF1332" s="97">
        <f t="shared" si="2091"/>
        <v>0</v>
      </c>
      <c r="KG1332" s="97">
        <f t="shared" si="2092"/>
        <v>0</v>
      </c>
      <c r="KH1332" s="97">
        <f t="shared" si="2093"/>
        <v>4140.91</v>
      </c>
      <c r="KI1332" s="97">
        <f t="shared" si="2094"/>
        <v>4270.58</v>
      </c>
      <c r="KJ1332" s="97">
        <f t="shared" si="2095"/>
        <v>4429.79</v>
      </c>
      <c r="KK1332" s="97">
        <f t="shared" si="2096"/>
        <v>284.33999999999997</v>
      </c>
      <c r="KL1332" s="97">
        <f t="shared" si="2097"/>
        <v>292.02999999999997</v>
      </c>
      <c r="KM1332" s="97">
        <f t="shared" si="2098"/>
        <v>290.64999999999998</v>
      </c>
      <c r="KN1332" s="97">
        <f t="shared" si="2099"/>
        <v>0</v>
      </c>
      <c r="KO1332" s="97">
        <f t="shared" si="2099"/>
        <v>0</v>
      </c>
      <c r="KP1332" s="97">
        <f t="shared" si="2099"/>
        <v>0</v>
      </c>
      <c r="KQ1332" s="97">
        <f t="shared" si="2100"/>
        <v>0</v>
      </c>
      <c r="KR1332" s="97">
        <f t="shared" si="2100"/>
        <v>0</v>
      </c>
      <c r="KS1332" s="97">
        <f t="shared" si="2100"/>
        <v>0</v>
      </c>
      <c r="KT1332" s="102"/>
      <c r="KU1332" s="102"/>
      <c r="KV1332" s="102"/>
      <c r="KW1332" s="97">
        <f t="shared" si="2101"/>
        <v>0</v>
      </c>
      <c r="KX1332" s="97">
        <f t="shared" si="2102"/>
        <v>0</v>
      </c>
      <c r="KY1332" s="97">
        <f t="shared" si="2103"/>
        <v>0</v>
      </c>
      <c r="KZ1332" s="97">
        <f t="shared" si="2104"/>
        <v>0</v>
      </c>
      <c r="LA1332" s="97">
        <f t="shared" si="2105"/>
        <v>0</v>
      </c>
      <c r="LB1332" s="97">
        <f t="shared" si="2106"/>
        <v>0</v>
      </c>
      <c r="LC1332" s="97">
        <f t="shared" si="2107"/>
        <v>3908.64</v>
      </c>
      <c r="LD1332" s="97">
        <f t="shared" si="2108"/>
        <v>4036.42</v>
      </c>
      <c r="LE1332" s="97">
        <f t="shared" si="2109"/>
        <v>4188.12</v>
      </c>
      <c r="LF1332" s="97">
        <f t="shared" si="2110"/>
        <v>391.89</v>
      </c>
      <c r="LG1332" s="97">
        <f t="shared" si="2111"/>
        <v>408.01</v>
      </c>
      <c r="LH1332" s="97">
        <f t="shared" si="2112"/>
        <v>410.15</v>
      </c>
      <c r="LI1332" s="97">
        <f t="shared" si="2113"/>
        <v>0</v>
      </c>
      <c r="LJ1332" s="97">
        <f t="shared" si="2113"/>
        <v>0</v>
      </c>
      <c r="LK1332" s="97">
        <f t="shared" si="2113"/>
        <v>0</v>
      </c>
      <c r="LL1332" s="97">
        <f t="shared" si="2114"/>
        <v>0</v>
      </c>
      <c r="LM1332" s="97">
        <f t="shared" si="2114"/>
        <v>0</v>
      </c>
      <c r="LN1332" s="97">
        <f t="shared" si="2114"/>
        <v>0</v>
      </c>
      <c r="LO1332" s="102"/>
      <c r="LP1332" s="102"/>
      <c r="LQ1332" s="102"/>
      <c r="LR1332" s="97">
        <f t="shared" si="2115"/>
        <v>0</v>
      </c>
      <c r="LS1332" s="97">
        <f t="shared" si="2116"/>
        <v>0</v>
      </c>
      <c r="LT1332" s="97">
        <f t="shared" si="2117"/>
        <v>0</v>
      </c>
      <c r="LU1332" s="97">
        <f t="shared" si="2118"/>
        <v>0</v>
      </c>
      <c r="LV1332" s="97">
        <f t="shared" si="2119"/>
        <v>0</v>
      </c>
      <c r="LW1332" s="97">
        <f t="shared" si="2120"/>
        <v>0</v>
      </c>
      <c r="LX1332" s="97">
        <f t="shared" si="2121"/>
        <v>3414.37</v>
      </c>
      <c r="LY1332" s="97">
        <f t="shared" si="2122"/>
        <v>3526.19</v>
      </c>
      <c r="LZ1332" s="97">
        <f t="shared" si="2123"/>
        <v>3658.33</v>
      </c>
      <c r="MA1332" s="97">
        <f t="shared" si="2124"/>
        <v>290.89999999999998</v>
      </c>
      <c r="MB1332" s="97">
        <f t="shared" si="2125"/>
        <v>298.10000000000002</v>
      </c>
      <c r="MC1332" s="97">
        <f t="shared" si="2126"/>
        <v>297.22000000000003</v>
      </c>
      <c r="MD1332" s="97">
        <f t="shared" si="2127"/>
        <v>0</v>
      </c>
      <c r="ME1332" s="97">
        <f t="shared" si="2127"/>
        <v>0</v>
      </c>
      <c r="MF1332" s="97">
        <f t="shared" si="2127"/>
        <v>0</v>
      </c>
      <c r="MG1332" s="97">
        <f t="shared" si="2128"/>
        <v>0</v>
      </c>
      <c r="MH1332" s="97">
        <f t="shared" si="2128"/>
        <v>0</v>
      </c>
      <c r="MI1332" s="97">
        <f t="shared" si="2128"/>
        <v>0</v>
      </c>
      <c r="MJ1332" s="102"/>
      <c r="MK1332" s="102"/>
      <c r="ML1332" s="102"/>
      <c r="MM1332" s="97">
        <f t="shared" si="2129"/>
        <v>0</v>
      </c>
      <c r="MN1332" s="97">
        <f t="shared" si="2130"/>
        <v>0</v>
      </c>
      <c r="MO1332" s="97">
        <f t="shared" si="2131"/>
        <v>0</v>
      </c>
      <c r="MP1332" s="97">
        <f t="shared" si="2132"/>
        <v>0</v>
      </c>
      <c r="MQ1332" s="97">
        <f t="shared" si="2133"/>
        <v>0</v>
      </c>
      <c r="MR1332" s="97">
        <f t="shared" si="2134"/>
        <v>0</v>
      </c>
      <c r="MS1332" s="97">
        <f t="shared" si="2135"/>
        <v>3950.05</v>
      </c>
      <c r="MT1332" s="97">
        <f t="shared" si="2136"/>
        <v>4078.91</v>
      </c>
      <c r="MU1332" s="97">
        <f t="shared" si="2137"/>
        <v>4232.1400000000003</v>
      </c>
      <c r="MV1332" s="97">
        <f t="shared" si="2138"/>
        <v>345.12</v>
      </c>
      <c r="MW1332" s="97">
        <f t="shared" si="2139"/>
        <v>348.89</v>
      </c>
      <c r="MX1332" s="97">
        <f t="shared" si="2140"/>
        <v>351.04</v>
      </c>
      <c r="MY1332" s="97">
        <f t="shared" si="2141"/>
        <v>0</v>
      </c>
      <c r="MZ1332" s="97">
        <f t="shared" si="2141"/>
        <v>0</v>
      </c>
      <c r="NA1332" s="97">
        <f t="shared" si="2141"/>
        <v>0</v>
      </c>
      <c r="NB1332" s="97">
        <f t="shared" si="2142"/>
        <v>0</v>
      </c>
      <c r="NC1332" s="97">
        <f t="shared" si="2142"/>
        <v>0</v>
      </c>
      <c r="ND1332" s="97">
        <f t="shared" si="2142"/>
        <v>0</v>
      </c>
      <c r="NE1332" s="102"/>
      <c r="NF1332" s="102"/>
      <c r="NG1332" s="102"/>
      <c r="NH1332" s="97">
        <f t="shared" si="2143"/>
        <v>0</v>
      </c>
      <c r="NI1332" s="97">
        <f t="shared" si="2144"/>
        <v>0</v>
      </c>
      <c r="NJ1332" s="97">
        <f t="shared" si="2145"/>
        <v>0</v>
      </c>
      <c r="NK1332" s="97">
        <f t="shared" si="2146"/>
        <v>0</v>
      </c>
      <c r="NL1332" s="97">
        <f t="shared" si="2147"/>
        <v>0</v>
      </c>
      <c r="NM1332" s="97">
        <f t="shared" si="2148"/>
        <v>0</v>
      </c>
      <c r="NN1332" s="97">
        <f t="shared" si="2149"/>
        <v>4032.91</v>
      </c>
      <c r="NO1332" s="97">
        <f t="shared" si="2150"/>
        <v>4159.1000000000004</v>
      </c>
      <c r="NP1332" s="97">
        <f t="shared" si="2151"/>
        <v>4312.91</v>
      </c>
      <c r="NQ1332" s="97">
        <f t="shared" si="2152"/>
        <v>505.45</v>
      </c>
      <c r="NR1332" s="97">
        <f t="shared" si="2153"/>
        <v>527.95000000000005</v>
      </c>
      <c r="NS1332" s="97">
        <f t="shared" si="2154"/>
        <v>513.37</v>
      </c>
      <c r="NT1332" s="97">
        <f t="shared" si="2155"/>
        <v>0</v>
      </c>
      <c r="NU1332" s="97">
        <f t="shared" si="2155"/>
        <v>0</v>
      </c>
      <c r="NV1332" s="97">
        <f t="shared" si="2155"/>
        <v>0</v>
      </c>
      <c r="NW1332" s="97">
        <f t="shared" si="2156"/>
        <v>0</v>
      </c>
      <c r="NX1332" s="97">
        <f t="shared" si="2156"/>
        <v>0</v>
      </c>
      <c r="NY1332" s="97">
        <f t="shared" si="2156"/>
        <v>0</v>
      </c>
      <c r="NZ1332" s="102"/>
      <c r="OA1332" s="102"/>
      <c r="OB1332" s="102"/>
      <c r="OC1332" s="97">
        <f t="shared" si="2157"/>
        <v>0</v>
      </c>
      <c r="OD1332" s="97">
        <f t="shared" si="2158"/>
        <v>0</v>
      </c>
      <c r="OE1332" s="97">
        <f t="shared" si="2159"/>
        <v>0</v>
      </c>
      <c r="OF1332" s="97">
        <f t="shared" si="2160"/>
        <v>0</v>
      </c>
      <c r="OG1332" s="97">
        <f t="shared" si="2161"/>
        <v>0</v>
      </c>
      <c r="OH1332" s="97">
        <f t="shared" si="2162"/>
        <v>0</v>
      </c>
      <c r="OI1332" s="97">
        <f t="shared" si="2163"/>
        <v>5287.83</v>
      </c>
      <c r="OJ1332" s="97">
        <f t="shared" si="2164"/>
        <v>5444.73</v>
      </c>
      <c r="OK1332" s="97">
        <f t="shared" si="2165"/>
        <v>5644.44</v>
      </c>
      <c r="OL1332" s="97">
        <f t="shared" si="2166"/>
        <v>506.96</v>
      </c>
      <c r="OM1332" s="97">
        <f t="shared" si="2167"/>
        <v>526.76</v>
      </c>
      <c r="ON1332" s="97">
        <f t="shared" si="2168"/>
        <v>524</v>
      </c>
      <c r="OO1332" s="97">
        <f t="shared" si="2169"/>
        <v>0</v>
      </c>
      <c r="OP1332" s="97">
        <f t="shared" si="2169"/>
        <v>0</v>
      </c>
      <c r="OQ1332" s="97">
        <f t="shared" si="2169"/>
        <v>0</v>
      </c>
      <c r="OR1332" s="97">
        <f t="shared" si="2170"/>
        <v>0</v>
      </c>
      <c r="OS1332" s="97">
        <f t="shared" si="2170"/>
        <v>0</v>
      </c>
      <c r="OT1332" s="97">
        <f t="shared" si="2170"/>
        <v>0</v>
      </c>
      <c r="OU1332" s="102"/>
      <c r="OV1332" s="102"/>
      <c r="OW1332" s="102"/>
      <c r="OX1332" s="97">
        <f t="shared" si="2171"/>
        <v>0</v>
      </c>
      <c r="OY1332" s="97">
        <f t="shared" si="2172"/>
        <v>0</v>
      </c>
      <c r="OZ1332" s="97">
        <f t="shared" si="2173"/>
        <v>0</v>
      </c>
      <c r="PA1332" s="97">
        <f t="shared" si="2174"/>
        <v>0</v>
      </c>
      <c r="PB1332" s="97">
        <f t="shared" si="2175"/>
        <v>0</v>
      </c>
      <c r="PC1332" s="97">
        <f t="shared" si="2176"/>
        <v>0</v>
      </c>
      <c r="PD1332" s="97">
        <f t="shared" si="2177"/>
        <v>4446.8999999999996</v>
      </c>
      <c r="PE1332" s="97">
        <f t="shared" si="2178"/>
        <v>4589.9399999999996</v>
      </c>
      <c r="PF1332" s="97">
        <f t="shared" si="2179"/>
        <v>4761.7299999999996</v>
      </c>
      <c r="PG1332" s="97">
        <f t="shared" si="2180"/>
        <v>405.17</v>
      </c>
      <c r="PH1332" s="97">
        <f t="shared" si="2181"/>
        <v>413.93</v>
      </c>
      <c r="PI1332" s="97">
        <f t="shared" si="2182"/>
        <v>417.29</v>
      </c>
      <c r="PJ1332" s="97">
        <f t="shared" si="2183"/>
        <v>0</v>
      </c>
      <c r="PK1332" s="97">
        <f t="shared" si="2183"/>
        <v>0</v>
      </c>
      <c r="PL1332" s="97">
        <f t="shared" si="2183"/>
        <v>0</v>
      </c>
      <c r="PM1332" s="97">
        <f t="shared" si="2184"/>
        <v>0</v>
      </c>
      <c r="PN1332" s="97">
        <f t="shared" si="2184"/>
        <v>0</v>
      </c>
      <c r="PO1332" s="97">
        <f t="shared" si="2184"/>
        <v>0</v>
      </c>
      <c r="PP1332" s="102"/>
      <c r="PQ1332" s="102"/>
      <c r="PR1332" s="102"/>
      <c r="PS1332" s="97">
        <f t="shared" si="2185"/>
        <v>0</v>
      </c>
      <c r="PT1332" s="97">
        <f t="shared" si="2186"/>
        <v>0</v>
      </c>
      <c r="PU1332" s="97">
        <f t="shared" si="2187"/>
        <v>0</v>
      </c>
      <c r="PV1332" s="97">
        <f t="shared" si="2188"/>
        <v>0</v>
      </c>
      <c r="PW1332" s="97">
        <f t="shared" si="2189"/>
        <v>0</v>
      </c>
      <c r="PX1332" s="97">
        <f t="shared" si="2190"/>
        <v>0</v>
      </c>
      <c r="PY1332" s="97">
        <f t="shared" si="2191"/>
        <v>3981.32</v>
      </c>
      <c r="PZ1332" s="97">
        <f t="shared" si="2192"/>
        <v>4112.84</v>
      </c>
      <c r="QA1332" s="97">
        <f t="shared" si="2193"/>
        <v>4267.0600000000004</v>
      </c>
      <c r="QB1332" s="97">
        <f t="shared" si="2194"/>
        <v>417.83</v>
      </c>
      <c r="QC1332" s="97">
        <f t="shared" si="2195"/>
        <v>438.77</v>
      </c>
      <c r="QD1332" s="97">
        <f t="shared" si="2196"/>
        <v>438.39</v>
      </c>
      <c r="QE1332" s="97">
        <f t="shared" si="2197"/>
        <v>0</v>
      </c>
      <c r="QF1332" s="97">
        <f t="shared" si="2197"/>
        <v>0</v>
      </c>
      <c r="QG1332" s="97">
        <f t="shared" si="2197"/>
        <v>0</v>
      </c>
      <c r="QH1332" s="97">
        <f t="shared" si="2198"/>
        <v>0</v>
      </c>
      <c r="QI1332" s="97">
        <f t="shared" si="2198"/>
        <v>0</v>
      </c>
      <c r="QJ1332" s="97">
        <f t="shared" si="2198"/>
        <v>0</v>
      </c>
      <c r="QK1332" s="102"/>
      <c r="QL1332" s="102"/>
      <c r="QM1332" s="102"/>
      <c r="QN1332" s="97">
        <f t="shared" si="2199"/>
        <v>0</v>
      </c>
      <c r="QO1332" s="97">
        <f t="shared" si="2200"/>
        <v>0</v>
      </c>
      <c r="QP1332" s="97">
        <f t="shared" si="2201"/>
        <v>0</v>
      </c>
      <c r="QQ1332" s="97">
        <f t="shared" si="2202"/>
        <v>0</v>
      </c>
      <c r="QR1332" s="97">
        <f t="shared" si="2203"/>
        <v>0</v>
      </c>
      <c r="QS1332" s="97">
        <f t="shared" si="2204"/>
        <v>0</v>
      </c>
      <c r="QT1332" s="97">
        <f t="shared" si="2205"/>
        <v>4048.78</v>
      </c>
      <c r="QU1332" s="97">
        <f t="shared" si="2206"/>
        <v>4181.01</v>
      </c>
      <c r="QV1332" s="97">
        <f t="shared" si="2207"/>
        <v>4338.25</v>
      </c>
      <c r="QW1332" s="97">
        <f t="shared" si="2208"/>
        <v>287.38</v>
      </c>
      <c r="QX1332" s="97">
        <f t="shared" si="2209"/>
        <v>298.20999999999998</v>
      </c>
      <c r="QY1332" s="97">
        <f t="shared" si="2210"/>
        <v>299.87</v>
      </c>
      <c r="QZ1332" s="97">
        <f t="shared" si="2211"/>
        <v>0</v>
      </c>
      <c r="RA1332" s="97">
        <f t="shared" si="2211"/>
        <v>0</v>
      </c>
      <c r="RB1332" s="97">
        <f t="shared" si="2211"/>
        <v>0</v>
      </c>
      <c r="RC1332" s="97">
        <f t="shared" si="2212"/>
        <v>0</v>
      </c>
      <c r="RD1332" s="97">
        <f t="shared" si="2212"/>
        <v>0</v>
      </c>
      <c r="RE1332" s="97">
        <f t="shared" si="2212"/>
        <v>0</v>
      </c>
      <c r="RF1332" s="102"/>
      <c r="RG1332" s="102"/>
      <c r="RH1332" s="102"/>
      <c r="RI1332" s="97">
        <f t="shared" si="2213"/>
        <v>0</v>
      </c>
      <c r="RJ1332" s="97">
        <f t="shared" si="2214"/>
        <v>0</v>
      </c>
      <c r="RK1332" s="97">
        <f t="shared" si="2215"/>
        <v>0</v>
      </c>
      <c r="RL1332" s="97">
        <f t="shared" si="2216"/>
        <v>0</v>
      </c>
      <c r="RM1332" s="97">
        <f t="shared" si="2217"/>
        <v>0</v>
      </c>
      <c r="RN1332" s="97">
        <f t="shared" si="2218"/>
        <v>0</v>
      </c>
      <c r="RO1332" s="97">
        <f t="shared" si="2219"/>
        <v>4337.0600000000004</v>
      </c>
      <c r="RP1332" s="97">
        <f t="shared" si="2220"/>
        <v>4476.84</v>
      </c>
      <c r="RQ1332" s="97">
        <f t="shared" si="2221"/>
        <v>4645.17</v>
      </c>
      <c r="RR1332" s="97">
        <f t="shared" si="2222"/>
        <v>405.38</v>
      </c>
      <c r="RS1332" s="97">
        <f t="shared" si="2223"/>
        <v>412.7</v>
      </c>
      <c r="RT1332" s="97">
        <f t="shared" si="2224"/>
        <v>415.1</v>
      </c>
      <c r="RU1332" s="97">
        <f t="shared" si="2225"/>
        <v>0</v>
      </c>
      <c r="RV1332" s="97">
        <f t="shared" si="2225"/>
        <v>0</v>
      </c>
      <c r="RW1332" s="97">
        <f t="shared" si="2225"/>
        <v>0</v>
      </c>
      <c r="RX1332" s="97">
        <f t="shared" si="2226"/>
        <v>0</v>
      </c>
      <c r="RY1332" s="97">
        <f t="shared" si="2226"/>
        <v>0</v>
      </c>
      <c r="RZ1332" s="97">
        <f t="shared" si="2226"/>
        <v>0</v>
      </c>
      <c r="SA1332" s="102"/>
      <c r="SB1332" s="102"/>
      <c r="SC1332" s="102"/>
      <c r="SD1332" s="97">
        <f t="shared" si="2227"/>
        <v>0</v>
      </c>
      <c r="SE1332" s="97">
        <f t="shared" si="2228"/>
        <v>0</v>
      </c>
      <c r="SF1332" s="97">
        <f t="shared" si="2229"/>
        <v>0</v>
      </c>
      <c r="SG1332" s="97">
        <f t="shared" si="2230"/>
        <v>0</v>
      </c>
      <c r="SH1332" s="97">
        <f t="shared" si="2231"/>
        <v>0</v>
      </c>
      <c r="SI1332" s="97">
        <f t="shared" si="2232"/>
        <v>0</v>
      </c>
      <c r="SJ1332" s="97">
        <f t="shared" si="2233"/>
        <v>4557.04</v>
      </c>
      <c r="SK1332" s="97">
        <f t="shared" si="2234"/>
        <v>4698.68</v>
      </c>
      <c r="SL1332" s="97">
        <f t="shared" si="2235"/>
        <v>4873.33</v>
      </c>
      <c r="SM1332" s="97">
        <f t="shared" si="2236"/>
        <v>567.54999999999995</v>
      </c>
      <c r="SN1332" s="97">
        <f t="shared" si="2237"/>
        <v>585.64</v>
      </c>
      <c r="SO1332" s="97">
        <f t="shared" si="2238"/>
        <v>587.23</v>
      </c>
      <c r="SP1332" s="97">
        <f t="shared" si="2239"/>
        <v>0</v>
      </c>
      <c r="SQ1332" s="97">
        <f t="shared" si="2239"/>
        <v>0</v>
      </c>
      <c r="SR1332" s="97">
        <f t="shared" si="2239"/>
        <v>0</v>
      </c>
      <c r="SS1332" s="97">
        <f t="shared" si="2240"/>
        <v>0</v>
      </c>
      <c r="ST1332" s="97">
        <f t="shared" si="2240"/>
        <v>0</v>
      </c>
      <c r="SU1332" s="97">
        <f t="shared" si="2240"/>
        <v>0</v>
      </c>
      <c r="SV1332" s="102"/>
      <c r="SW1332" s="102"/>
      <c r="SX1332" s="102"/>
      <c r="SY1332" s="97">
        <f t="shared" si="2241"/>
        <v>0</v>
      </c>
      <c r="SZ1332" s="97">
        <f t="shared" si="2242"/>
        <v>0</v>
      </c>
      <c r="TA1332" s="97">
        <f t="shared" si="2243"/>
        <v>0</v>
      </c>
      <c r="TB1332" s="97">
        <f t="shared" si="2244"/>
        <v>0</v>
      </c>
      <c r="TC1332" s="97">
        <f t="shared" si="2245"/>
        <v>0</v>
      </c>
      <c r="TD1332" s="97">
        <f t="shared" si="2246"/>
        <v>0</v>
      </c>
      <c r="TE1332" s="97">
        <f t="shared" si="2247"/>
        <v>4073.36</v>
      </c>
      <c r="TF1332" s="97">
        <f t="shared" si="2248"/>
        <v>4204.76</v>
      </c>
      <c r="TG1332" s="97">
        <f t="shared" si="2249"/>
        <v>4362.1000000000004</v>
      </c>
      <c r="TH1332" s="97">
        <f t="shared" si="2250"/>
        <v>432.21</v>
      </c>
      <c r="TI1332" s="97">
        <f t="shared" si="2251"/>
        <v>443.69</v>
      </c>
      <c r="TJ1332" s="97">
        <f t="shared" si="2252"/>
        <v>442.41</v>
      </c>
      <c r="TK1332" s="97">
        <f t="shared" si="2253"/>
        <v>0</v>
      </c>
      <c r="TL1332" s="97">
        <f t="shared" si="2253"/>
        <v>0</v>
      </c>
      <c r="TM1332" s="97">
        <f t="shared" si="2253"/>
        <v>0</v>
      </c>
      <c r="TN1332" s="97">
        <f t="shared" si="2254"/>
        <v>0</v>
      </c>
      <c r="TO1332" s="97">
        <f t="shared" si="2254"/>
        <v>0</v>
      </c>
      <c r="TP1332" s="97">
        <f t="shared" si="2254"/>
        <v>0</v>
      </c>
      <c r="TQ1332" s="102"/>
      <c r="TR1332" s="102"/>
      <c r="TS1332" s="102"/>
      <c r="TT1332" s="97">
        <f t="shared" si="2255"/>
        <v>0</v>
      </c>
      <c r="TU1332" s="97">
        <f t="shared" si="2256"/>
        <v>0</v>
      </c>
      <c r="TV1332" s="97">
        <f t="shared" si="2257"/>
        <v>0</v>
      </c>
      <c r="TW1332" s="97">
        <f t="shared" si="2258"/>
        <v>0</v>
      </c>
      <c r="TX1332" s="97">
        <f t="shared" si="2259"/>
        <v>0</v>
      </c>
      <c r="TY1332" s="97">
        <f t="shared" si="2260"/>
        <v>0</v>
      </c>
      <c r="TZ1332" s="97">
        <f t="shared" si="2261"/>
        <v>4363.6400000000003</v>
      </c>
      <c r="UA1332" s="97">
        <f t="shared" si="2262"/>
        <v>4501.12</v>
      </c>
      <c r="UB1332" s="97">
        <f t="shared" si="2263"/>
        <v>4669.8599999999997</v>
      </c>
      <c r="UC1332" s="97">
        <f t="shared" si="2264"/>
        <v>394.98</v>
      </c>
      <c r="UD1332" s="97">
        <f t="shared" si="2265"/>
        <v>417.39</v>
      </c>
      <c r="UE1332" s="97">
        <f t="shared" si="2266"/>
        <v>418.67</v>
      </c>
      <c r="UF1332" s="97">
        <f t="shared" si="2267"/>
        <v>0</v>
      </c>
      <c r="UG1332" s="97">
        <f t="shared" si="2267"/>
        <v>0</v>
      </c>
      <c r="UH1332" s="97">
        <f t="shared" si="2267"/>
        <v>0</v>
      </c>
      <c r="UI1332" s="97">
        <f t="shared" si="2268"/>
        <v>0</v>
      </c>
      <c r="UJ1332" s="97">
        <f t="shared" si="2268"/>
        <v>0</v>
      </c>
      <c r="UK1332" s="97">
        <f t="shared" si="2268"/>
        <v>0</v>
      </c>
      <c r="UL1332" s="102"/>
      <c r="UM1332" s="102"/>
      <c r="UN1332" s="102"/>
      <c r="UO1332" s="97">
        <f t="shared" si="2269"/>
        <v>0</v>
      </c>
      <c r="UP1332" s="97">
        <f t="shared" si="2270"/>
        <v>0</v>
      </c>
      <c r="UQ1332" s="97">
        <f t="shared" si="2271"/>
        <v>0</v>
      </c>
      <c r="UR1332" s="97">
        <f t="shared" si="2272"/>
        <v>0</v>
      </c>
      <c r="US1332" s="97">
        <f t="shared" si="2273"/>
        <v>0</v>
      </c>
      <c r="UT1332" s="97">
        <f t="shared" si="2274"/>
        <v>0</v>
      </c>
      <c r="UU1332" s="97">
        <f t="shared" si="2275"/>
        <v>4036.82</v>
      </c>
      <c r="UV1332" s="97">
        <f t="shared" si="2276"/>
        <v>4171.07</v>
      </c>
      <c r="UW1332" s="97">
        <f t="shared" si="2277"/>
        <v>4328.49</v>
      </c>
      <c r="UX1332" s="97">
        <f t="shared" si="2278"/>
        <v>307.89</v>
      </c>
      <c r="UY1332" s="97">
        <f t="shared" si="2279"/>
        <v>323.83999999999997</v>
      </c>
      <c r="UZ1332" s="97">
        <f t="shared" si="2280"/>
        <v>326.26</v>
      </c>
      <c r="VA1332" s="97">
        <f t="shared" si="2281"/>
        <v>0</v>
      </c>
      <c r="VB1332" s="97">
        <f t="shared" si="2281"/>
        <v>0</v>
      </c>
      <c r="VC1332" s="97">
        <f t="shared" si="2281"/>
        <v>0</v>
      </c>
      <c r="VD1332" s="97">
        <f t="shared" si="2282"/>
        <v>0</v>
      </c>
      <c r="VE1332" s="97">
        <f t="shared" si="2282"/>
        <v>0</v>
      </c>
      <c r="VF1332" s="97">
        <f t="shared" si="2282"/>
        <v>0</v>
      </c>
      <c r="VG1332" s="102"/>
      <c r="VH1332" s="102"/>
      <c r="VI1332" s="102"/>
      <c r="VJ1332" s="97">
        <f t="shared" si="2283"/>
        <v>0</v>
      </c>
      <c r="VK1332" s="97">
        <f t="shared" si="2284"/>
        <v>0</v>
      </c>
      <c r="VL1332" s="97">
        <f t="shared" si="2285"/>
        <v>0</v>
      </c>
      <c r="VM1332" s="97">
        <f t="shared" si="2286"/>
        <v>0</v>
      </c>
      <c r="VN1332" s="97">
        <f t="shared" si="2287"/>
        <v>0</v>
      </c>
      <c r="VO1332" s="97">
        <f t="shared" si="2288"/>
        <v>0</v>
      </c>
      <c r="VP1332" s="97">
        <f t="shared" si="2289"/>
        <v>4118.01</v>
      </c>
      <c r="VQ1332" s="97">
        <f t="shared" si="2290"/>
        <v>4251.42</v>
      </c>
      <c r="VR1332" s="97">
        <f t="shared" si="2291"/>
        <v>4411.59</v>
      </c>
      <c r="VS1332" s="97">
        <f t="shared" si="2292"/>
        <v>331.4</v>
      </c>
      <c r="VT1332" s="97">
        <f t="shared" si="2293"/>
        <v>341.47</v>
      </c>
      <c r="VU1332" s="97">
        <f t="shared" si="2294"/>
        <v>343.85</v>
      </c>
      <c r="VV1332" s="97">
        <f t="shared" si="2295"/>
        <v>0</v>
      </c>
      <c r="VW1332" s="97">
        <f t="shared" si="2295"/>
        <v>0</v>
      </c>
      <c r="VX1332" s="97">
        <f t="shared" si="2295"/>
        <v>0</v>
      </c>
      <c r="VY1332" s="97">
        <f t="shared" si="2296"/>
        <v>0</v>
      </c>
      <c r="VZ1332" s="97">
        <f t="shared" si="2296"/>
        <v>0</v>
      </c>
      <c r="WA1332" s="97">
        <f t="shared" si="2296"/>
        <v>0</v>
      </c>
      <c r="WB1332" s="102"/>
      <c r="WC1332" s="102"/>
      <c r="WD1332" s="102"/>
      <c r="WE1332" s="97">
        <f t="shared" si="2297"/>
        <v>0</v>
      </c>
      <c r="WF1332" s="97">
        <f t="shared" si="2298"/>
        <v>0</v>
      </c>
      <c r="WG1332" s="97">
        <f t="shared" si="2299"/>
        <v>0</v>
      </c>
      <c r="WH1332" s="97">
        <f t="shared" si="2300"/>
        <v>0</v>
      </c>
      <c r="WI1332" s="97">
        <f t="shared" si="2301"/>
        <v>0</v>
      </c>
      <c r="WJ1332" s="97">
        <f t="shared" si="2302"/>
        <v>0</v>
      </c>
      <c r="WK1332" s="97">
        <f t="shared" si="2303"/>
        <v>3804.43</v>
      </c>
      <c r="WL1332" s="97">
        <f t="shared" si="2304"/>
        <v>3932.09</v>
      </c>
      <c r="WM1332" s="97">
        <f t="shared" si="2305"/>
        <v>4080.29</v>
      </c>
      <c r="WN1332" s="97">
        <f t="shared" si="2306"/>
        <v>355.89</v>
      </c>
      <c r="WO1332" s="97">
        <f t="shared" si="2307"/>
        <v>375.68</v>
      </c>
      <c r="WP1332" s="97">
        <f t="shared" si="2308"/>
        <v>378.63</v>
      </c>
      <c r="WQ1332" s="97">
        <f t="shared" si="2309"/>
        <v>0</v>
      </c>
      <c r="WR1332" s="97">
        <f t="shared" si="2309"/>
        <v>0</v>
      </c>
      <c r="WS1332" s="97">
        <f t="shared" si="2309"/>
        <v>0</v>
      </c>
      <c r="WT1332" s="97">
        <f t="shared" si="2310"/>
        <v>0</v>
      </c>
      <c r="WU1332" s="97">
        <f t="shared" si="2310"/>
        <v>0</v>
      </c>
      <c r="WV1332" s="97">
        <f t="shared" si="2310"/>
        <v>0</v>
      </c>
      <c r="WW1332" s="102"/>
      <c r="WX1332" s="102"/>
      <c r="WY1332" s="102"/>
      <c r="WZ1332" s="97">
        <f t="shared" si="2311"/>
        <v>0</v>
      </c>
      <c r="XA1332" s="97">
        <f t="shared" si="2312"/>
        <v>0</v>
      </c>
      <c r="XB1332" s="97">
        <f t="shared" si="2313"/>
        <v>0</v>
      </c>
      <c r="XC1332" s="97">
        <f t="shared" si="2314"/>
        <v>0</v>
      </c>
      <c r="XD1332" s="97">
        <f t="shared" si="2315"/>
        <v>0</v>
      </c>
      <c r="XE1332" s="97">
        <f t="shared" si="2316"/>
        <v>0</v>
      </c>
      <c r="XF1332" s="97">
        <f t="shared" si="2317"/>
        <v>3737.47</v>
      </c>
      <c r="XG1332" s="97">
        <f t="shared" si="2318"/>
        <v>3860.29</v>
      </c>
      <c r="XH1332" s="97">
        <f t="shared" si="2319"/>
        <v>4004.99</v>
      </c>
      <c r="XI1332" s="97">
        <f t="shared" si="2320"/>
        <v>286.64999999999998</v>
      </c>
      <c r="XJ1332" s="97">
        <f t="shared" si="2321"/>
        <v>303.69</v>
      </c>
      <c r="XK1332" s="97">
        <f t="shared" si="2322"/>
        <v>304.99</v>
      </c>
      <c r="XL1332" s="97">
        <f t="shared" si="2323"/>
        <v>0</v>
      </c>
      <c r="XM1332" s="97">
        <f t="shared" si="2323"/>
        <v>0</v>
      </c>
      <c r="XN1332" s="97">
        <f t="shared" si="2323"/>
        <v>0</v>
      </c>
      <c r="XO1332" s="97">
        <f t="shared" si="2324"/>
        <v>0</v>
      </c>
      <c r="XP1332" s="97">
        <f t="shared" si="2324"/>
        <v>0</v>
      </c>
      <c r="XQ1332" s="97">
        <f t="shared" si="2324"/>
        <v>0</v>
      </c>
      <c r="XR1332" s="102"/>
      <c r="XS1332" s="102"/>
      <c r="XT1332" s="102"/>
      <c r="XU1332" s="97">
        <f t="shared" si="2325"/>
        <v>0</v>
      </c>
      <c r="XV1332" s="97">
        <f t="shared" si="2326"/>
        <v>0</v>
      </c>
      <c r="XW1332" s="97">
        <f t="shared" si="2327"/>
        <v>0</v>
      </c>
      <c r="XX1332" s="97">
        <f t="shared" si="2328"/>
        <v>0</v>
      </c>
      <c r="XY1332" s="97">
        <f t="shared" si="2329"/>
        <v>0</v>
      </c>
      <c r="XZ1332" s="97">
        <f t="shared" si="2330"/>
        <v>0</v>
      </c>
      <c r="YA1332" s="97">
        <f t="shared" si="2331"/>
        <v>3945.16</v>
      </c>
      <c r="YB1332" s="97">
        <f t="shared" si="2332"/>
        <v>4078.12</v>
      </c>
      <c r="YC1332" s="97">
        <f t="shared" si="2333"/>
        <v>4232.91</v>
      </c>
      <c r="YD1332" s="97">
        <f t="shared" si="2334"/>
        <v>1253.5899999999999</v>
      </c>
      <c r="YE1332" s="97">
        <f t="shared" si="2335"/>
        <v>1484.12</v>
      </c>
      <c r="YF1332" s="97">
        <f t="shared" si="2336"/>
        <v>1493.98</v>
      </c>
      <c r="YG1332" s="97">
        <f t="shared" si="2337"/>
        <v>0</v>
      </c>
      <c r="YH1332" s="97">
        <f t="shared" si="2337"/>
        <v>0</v>
      </c>
      <c r="YI1332" s="97">
        <f t="shared" si="2337"/>
        <v>0</v>
      </c>
      <c r="YJ1332" s="97">
        <f t="shared" si="2338"/>
        <v>0</v>
      </c>
      <c r="YK1332" s="97">
        <f t="shared" si="2338"/>
        <v>0</v>
      </c>
      <c r="YL1332" s="97">
        <f t="shared" si="2338"/>
        <v>0</v>
      </c>
      <c r="YM1332" s="145">
        <f t="shared" si="2339"/>
        <v>0</v>
      </c>
      <c r="YN1332" s="145">
        <f t="shared" si="2339"/>
        <v>0</v>
      </c>
      <c r="YO1332" s="145">
        <f t="shared" si="2339"/>
        <v>0</v>
      </c>
      <c r="YP1332" s="97">
        <f t="shared" si="2340"/>
        <v>0</v>
      </c>
      <c r="YQ1332" s="97">
        <f t="shared" si="2341"/>
        <v>0</v>
      </c>
      <c r="YR1332" s="97">
        <f t="shared" si="2342"/>
        <v>0</v>
      </c>
      <c r="YS1332" s="97">
        <f t="shared" si="2343"/>
        <v>0</v>
      </c>
      <c r="YT1332" s="97">
        <f t="shared" si="2344"/>
        <v>0</v>
      </c>
      <c r="YU1332" s="97">
        <f t="shared" si="2345"/>
        <v>0</v>
      </c>
      <c r="YV1332" s="97">
        <f t="shared" si="2346"/>
        <v>4158.03</v>
      </c>
      <c r="YW1332" s="97">
        <f t="shared" si="2347"/>
        <v>4292.42</v>
      </c>
      <c r="YX1332" s="97">
        <f t="shared" si="2348"/>
        <v>4453.2</v>
      </c>
      <c r="YY1332" s="97">
        <f t="shared" si="2349"/>
        <v>403.25</v>
      </c>
      <c r="YZ1332" s="97">
        <f t="shared" si="2350"/>
        <v>423.79</v>
      </c>
      <c r="ZA1332" s="97">
        <f t="shared" si="2351"/>
        <v>424.61</v>
      </c>
      <c r="ZB1332" s="97">
        <f t="shared" si="2352"/>
        <v>0</v>
      </c>
      <c r="ZC1332" s="97">
        <f t="shared" si="2352"/>
        <v>0</v>
      </c>
      <c r="ZD1332" s="97">
        <f t="shared" si="2352"/>
        <v>0</v>
      </c>
      <c r="ZE1332" s="97">
        <f t="shared" si="2353"/>
        <v>0</v>
      </c>
      <c r="ZF1332" s="97">
        <f t="shared" si="2353"/>
        <v>0</v>
      </c>
      <c r="ZG1332" s="97">
        <f t="shared" si="2353"/>
        <v>0</v>
      </c>
    </row>
    <row r="1333" spans="1:683" ht="24" x14ac:dyDescent="0.25">
      <c r="A1333" s="12" t="s">
        <v>626</v>
      </c>
      <c r="B1333" s="174" t="s">
        <v>606</v>
      </c>
      <c r="C1333" s="5"/>
      <c r="D1333" s="340"/>
      <c r="E1333" s="163"/>
      <c r="F1333" s="110">
        <f t="shared" si="1903"/>
        <v>1012038</v>
      </c>
      <c r="G1333" s="110">
        <f t="shared" si="1903"/>
        <v>1067659</v>
      </c>
      <c r="H1333" s="110">
        <f t="shared" si="1903"/>
        <v>1094211</v>
      </c>
      <c r="I1333" s="97">
        <f t="shared" si="1904"/>
        <v>3291.27</v>
      </c>
      <c r="J1333" s="97">
        <f t="shared" si="1904"/>
        <v>3291.27</v>
      </c>
      <c r="K1333" s="97">
        <f t="shared" si="1904"/>
        <v>3291.27</v>
      </c>
      <c r="L1333" s="102">
        <v>1</v>
      </c>
      <c r="M1333" s="102">
        <v>1</v>
      </c>
      <c r="N1333" s="102">
        <v>1</v>
      </c>
      <c r="O1333" s="97">
        <f t="shared" si="1905"/>
        <v>1012038</v>
      </c>
      <c r="P1333" s="97">
        <f t="shared" si="1906"/>
        <v>1067659</v>
      </c>
      <c r="Q1333" s="97">
        <f t="shared" si="1907"/>
        <v>1094211</v>
      </c>
      <c r="R1333" s="97">
        <f t="shared" si="1908"/>
        <v>3291.27</v>
      </c>
      <c r="S1333" s="97">
        <f t="shared" si="1909"/>
        <v>3291.27</v>
      </c>
      <c r="T1333" s="97">
        <f t="shared" si="1910"/>
        <v>3291.27</v>
      </c>
      <c r="U1333" s="97">
        <f t="shared" si="1911"/>
        <v>436699.81</v>
      </c>
      <c r="V1333" s="97">
        <f t="shared" si="1912"/>
        <v>475722</v>
      </c>
      <c r="W1333" s="97">
        <f t="shared" si="1913"/>
        <v>505947.24</v>
      </c>
      <c r="X1333" s="97">
        <f t="shared" si="1914"/>
        <v>2580.79</v>
      </c>
      <c r="Y1333" s="97">
        <f t="shared" si="1915"/>
        <v>2607.37</v>
      </c>
      <c r="Z1333" s="97">
        <f t="shared" si="1916"/>
        <v>2600</v>
      </c>
      <c r="AA1333" s="97">
        <f t="shared" si="1917"/>
        <v>436699.81</v>
      </c>
      <c r="AB1333" s="97">
        <f t="shared" si="1917"/>
        <v>475722</v>
      </c>
      <c r="AC1333" s="97">
        <f t="shared" si="1917"/>
        <v>505947.24</v>
      </c>
      <c r="AD1333" s="97">
        <f t="shared" si="1918"/>
        <v>2580.79</v>
      </c>
      <c r="AE1333" s="97">
        <f t="shared" si="1918"/>
        <v>2607.37</v>
      </c>
      <c r="AF1333" s="97">
        <f t="shared" si="1918"/>
        <v>2600</v>
      </c>
      <c r="AG1333" s="102">
        <v>3</v>
      </c>
      <c r="AH1333" s="102">
        <v>3</v>
      </c>
      <c r="AI1333" s="102">
        <v>3</v>
      </c>
      <c r="AJ1333" s="97">
        <f t="shared" si="1919"/>
        <v>3036114</v>
      </c>
      <c r="AK1333" s="97">
        <f t="shared" si="1920"/>
        <v>3202977</v>
      </c>
      <c r="AL1333" s="97">
        <f t="shared" si="1921"/>
        <v>3282633</v>
      </c>
      <c r="AM1333" s="97">
        <f t="shared" si="1922"/>
        <v>9873.81</v>
      </c>
      <c r="AN1333" s="97">
        <f t="shared" si="1923"/>
        <v>9873.81</v>
      </c>
      <c r="AO1333" s="97">
        <f t="shared" si="1924"/>
        <v>9873.81</v>
      </c>
      <c r="AP1333" s="97">
        <f t="shared" si="1925"/>
        <v>401743.68</v>
      </c>
      <c r="AQ1333" s="97">
        <f t="shared" si="1926"/>
        <v>437572.46</v>
      </c>
      <c r="AR1333" s="97">
        <f t="shared" si="1927"/>
        <v>465299.87</v>
      </c>
      <c r="AS1333" s="97">
        <f t="shared" si="1928"/>
        <v>2057.9</v>
      </c>
      <c r="AT1333" s="97">
        <f t="shared" si="1929"/>
        <v>2110.63</v>
      </c>
      <c r="AU1333" s="97">
        <f t="shared" si="1930"/>
        <v>2121.17</v>
      </c>
      <c r="AV1333" s="97">
        <f t="shared" si="1931"/>
        <v>1205231.04</v>
      </c>
      <c r="AW1333" s="97">
        <f t="shared" si="1931"/>
        <v>1312717.3799999999</v>
      </c>
      <c r="AX1333" s="97">
        <f t="shared" si="1931"/>
        <v>1395899.61</v>
      </c>
      <c r="AY1333" s="97">
        <f t="shared" si="1932"/>
        <v>6173.7</v>
      </c>
      <c r="AZ1333" s="97">
        <f t="shared" si="1932"/>
        <v>6331.89</v>
      </c>
      <c r="BA1333" s="97">
        <f t="shared" si="1932"/>
        <v>6363.51</v>
      </c>
      <c r="BB1333" s="102">
        <v>1</v>
      </c>
      <c r="BC1333" s="102">
        <v>1</v>
      </c>
      <c r="BD1333" s="102">
        <v>1</v>
      </c>
      <c r="BE1333" s="97">
        <f t="shared" si="1933"/>
        <v>1012038</v>
      </c>
      <c r="BF1333" s="97">
        <f t="shared" si="1934"/>
        <v>1067659</v>
      </c>
      <c r="BG1333" s="97">
        <f t="shared" si="1935"/>
        <v>1094211</v>
      </c>
      <c r="BH1333" s="97">
        <f t="shared" si="1936"/>
        <v>3291.27</v>
      </c>
      <c r="BI1333" s="97">
        <f t="shared" si="1937"/>
        <v>3291.27</v>
      </c>
      <c r="BJ1333" s="97">
        <f t="shared" si="1938"/>
        <v>3291.27</v>
      </c>
      <c r="BK1333" s="97">
        <f t="shared" si="1939"/>
        <v>378975.96</v>
      </c>
      <c r="BL1333" s="97">
        <f t="shared" si="1940"/>
        <v>411953.44</v>
      </c>
      <c r="BM1333" s="97">
        <f t="shared" si="1941"/>
        <v>437582.33</v>
      </c>
      <c r="BN1333" s="97">
        <f t="shared" si="1942"/>
        <v>2198.29</v>
      </c>
      <c r="BO1333" s="97">
        <f t="shared" si="1943"/>
        <v>2254.63</v>
      </c>
      <c r="BP1333" s="97">
        <f t="shared" si="1944"/>
        <v>2261.69</v>
      </c>
      <c r="BQ1333" s="97">
        <f t="shared" si="1945"/>
        <v>378975.96</v>
      </c>
      <c r="BR1333" s="97">
        <f t="shared" si="1945"/>
        <v>411953.44</v>
      </c>
      <c r="BS1333" s="97">
        <f t="shared" si="1945"/>
        <v>437582.33</v>
      </c>
      <c r="BT1333" s="97">
        <f t="shared" si="1946"/>
        <v>2198.29</v>
      </c>
      <c r="BU1333" s="97">
        <f t="shared" si="1946"/>
        <v>2254.63</v>
      </c>
      <c r="BV1333" s="97">
        <f t="shared" si="1946"/>
        <v>2261.69</v>
      </c>
      <c r="BW1333" s="102">
        <v>2</v>
      </c>
      <c r="BX1333" s="102">
        <v>2</v>
      </c>
      <c r="BY1333" s="102">
        <v>2</v>
      </c>
      <c r="BZ1333" s="97">
        <f t="shared" si="1947"/>
        <v>2024076</v>
      </c>
      <c r="CA1333" s="97">
        <f t="shared" si="1948"/>
        <v>2135318</v>
      </c>
      <c r="CB1333" s="97">
        <f t="shared" si="1949"/>
        <v>2188422</v>
      </c>
      <c r="CC1333" s="97">
        <f t="shared" si="1950"/>
        <v>6582.54</v>
      </c>
      <c r="CD1333" s="97">
        <f t="shared" si="1951"/>
        <v>6582.54</v>
      </c>
      <c r="CE1333" s="97">
        <f t="shared" si="1952"/>
        <v>6582.54</v>
      </c>
      <c r="CF1333" s="97">
        <f t="shared" si="1953"/>
        <v>391379.15</v>
      </c>
      <c r="CG1333" s="97">
        <f t="shared" si="1954"/>
        <v>426603.86</v>
      </c>
      <c r="CH1333" s="97">
        <f t="shared" si="1955"/>
        <v>453664.44</v>
      </c>
      <c r="CI1333" s="97">
        <f t="shared" si="1956"/>
        <v>3388.93</v>
      </c>
      <c r="CJ1333" s="97">
        <f t="shared" si="1957"/>
        <v>3406.52</v>
      </c>
      <c r="CK1333" s="97">
        <f t="shared" si="1958"/>
        <v>3390.05</v>
      </c>
      <c r="CL1333" s="97">
        <f t="shared" si="1959"/>
        <v>782758.3</v>
      </c>
      <c r="CM1333" s="97">
        <f t="shared" si="1959"/>
        <v>853207.72</v>
      </c>
      <c r="CN1333" s="97">
        <f t="shared" si="1959"/>
        <v>907328.88</v>
      </c>
      <c r="CO1333" s="97">
        <f t="shared" si="1960"/>
        <v>6777.86</v>
      </c>
      <c r="CP1333" s="97">
        <f t="shared" si="1960"/>
        <v>6813.04</v>
      </c>
      <c r="CQ1333" s="97">
        <f t="shared" si="1960"/>
        <v>6780.1</v>
      </c>
      <c r="CR1333" s="102">
        <v>4</v>
      </c>
      <c r="CS1333" s="102">
        <v>4</v>
      </c>
      <c r="CT1333" s="102">
        <v>4</v>
      </c>
      <c r="CU1333" s="97">
        <f t="shared" si="1961"/>
        <v>4048152</v>
      </c>
      <c r="CV1333" s="97">
        <f t="shared" si="1962"/>
        <v>4270636</v>
      </c>
      <c r="CW1333" s="97">
        <f t="shared" si="1963"/>
        <v>4376844</v>
      </c>
      <c r="CX1333" s="97">
        <f t="shared" si="1964"/>
        <v>13165.08</v>
      </c>
      <c r="CY1333" s="97">
        <f t="shared" si="1965"/>
        <v>13165.08</v>
      </c>
      <c r="CZ1333" s="97">
        <f t="shared" si="1966"/>
        <v>13165.08</v>
      </c>
      <c r="DA1333" s="97">
        <f t="shared" si="1967"/>
        <v>394392.92</v>
      </c>
      <c r="DB1333" s="97">
        <f t="shared" si="1968"/>
        <v>429519.46</v>
      </c>
      <c r="DC1333" s="97">
        <f t="shared" si="1969"/>
        <v>456738.16</v>
      </c>
      <c r="DD1333" s="97">
        <f t="shared" si="1970"/>
        <v>1640.71</v>
      </c>
      <c r="DE1333" s="97">
        <f t="shared" si="1971"/>
        <v>1657.31</v>
      </c>
      <c r="DF1333" s="97">
        <f t="shared" si="1972"/>
        <v>1654.39</v>
      </c>
      <c r="DG1333" s="97">
        <f t="shared" si="1973"/>
        <v>1577571.68</v>
      </c>
      <c r="DH1333" s="97">
        <f t="shared" si="1973"/>
        <v>1718077.84</v>
      </c>
      <c r="DI1333" s="97">
        <f t="shared" si="1973"/>
        <v>1826952.64</v>
      </c>
      <c r="DJ1333" s="97">
        <f t="shared" si="1974"/>
        <v>6562.84</v>
      </c>
      <c r="DK1333" s="97">
        <f t="shared" si="1974"/>
        <v>6629.24</v>
      </c>
      <c r="DL1333" s="97">
        <f t="shared" si="1974"/>
        <v>6617.56</v>
      </c>
      <c r="DM1333" s="102">
        <v>1</v>
      </c>
      <c r="DN1333" s="102">
        <v>1</v>
      </c>
      <c r="DO1333" s="102">
        <v>1</v>
      </c>
      <c r="DP1333" s="97">
        <f t="shared" si="1975"/>
        <v>1012038</v>
      </c>
      <c r="DQ1333" s="97">
        <f t="shared" si="1976"/>
        <v>1067659</v>
      </c>
      <c r="DR1333" s="97">
        <f t="shared" si="1977"/>
        <v>1094211</v>
      </c>
      <c r="DS1333" s="97">
        <f t="shared" si="1978"/>
        <v>3291.27</v>
      </c>
      <c r="DT1333" s="97">
        <f t="shared" si="1979"/>
        <v>3291.27</v>
      </c>
      <c r="DU1333" s="97">
        <f t="shared" si="1980"/>
        <v>3291.27</v>
      </c>
      <c r="DV1333" s="97">
        <f t="shared" si="1981"/>
        <v>428241.93</v>
      </c>
      <c r="DW1333" s="97">
        <f t="shared" si="1982"/>
        <v>467107.56</v>
      </c>
      <c r="DX1333" s="97">
        <f t="shared" si="1983"/>
        <v>496948.05</v>
      </c>
      <c r="DY1333" s="97">
        <f t="shared" si="1984"/>
        <v>3436.53</v>
      </c>
      <c r="DZ1333" s="97">
        <f t="shared" si="1985"/>
        <v>3338.47</v>
      </c>
      <c r="EA1333" s="97">
        <f t="shared" si="1986"/>
        <v>3329.35</v>
      </c>
      <c r="EB1333" s="97">
        <f t="shared" si="1987"/>
        <v>428241.93</v>
      </c>
      <c r="EC1333" s="97">
        <f t="shared" si="1987"/>
        <v>467107.56</v>
      </c>
      <c r="ED1333" s="97">
        <f t="shared" si="1987"/>
        <v>496948.05</v>
      </c>
      <c r="EE1333" s="97">
        <f t="shared" si="1988"/>
        <v>3436.53</v>
      </c>
      <c r="EF1333" s="97">
        <f t="shared" si="1988"/>
        <v>3338.47</v>
      </c>
      <c r="EG1333" s="97">
        <f t="shared" si="1988"/>
        <v>3329.35</v>
      </c>
      <c r="EH1333" s="102">
        <v>3</v>
      </c>
      <c r="EI1333" s="102">
        <v>3</v>
      </c>
      <c r="EJ1333" s="102">
        <v>3</v>
      </c>
      <c r="EK1333" s="97">
        <f t="shared" si="1989"/>
        <v>3036114</v>
      </c>
      <c r="EL1333" s="97">
        <f t="shared" si="1990"/>
        <v>3202977</v>
      </c>
      <c r="EM1333" s="97">
        <f t="shared" si="1991"/>
        <v>3282633</v>
      </c>
      <c r="EN1333" s="97">
        <f t="shared" si="1992"/>
        <v>9873.81</v>
      </c>
      <c r="EO1333" s="97">
        <f t="shared" si="1993"/>
        <v>9873.81</v>
      </c>
      <c r="EP1333" s="97">
        <f t="shared" si="1994"/>
        <v>9873.81</v>
      </c>
      <c r="EQ1333" s="97">
        <f t="shared" si="1995"/>
        <v>423300.6</v>
      </c>
      <c r="ER1333" s="97">
        <f t="shared" si="1996"/>
        <v>460292.16</v>
      </c>
      <c r="ES1333" s="97">
        <f t="shared" si="1997"/>
        <v>489233.65</v>
      </c>
      <c r="ET1333" s="97">
        <f t="shared" si="1998"/>
        <v>2885.13</v>
      </c>
      <c r="EU1333" s="97">
        <f t="shared" si="1999"/>
        <v>2954.19</v>
      </c>
      <c r="EV1333" s="97">
        <f t="shared" si="2000"/>
        <v>2966.54</v>
      </c>
      <c r="EW1333" s="97">
        <f t="shared" si="2001"/>
        <v>1269901.8</v>
      </c>
      <c r="EX1333" s="97">
        <f t="shared" si="2001"/>
        <v>1380876.48</v>
      </c>
      <c r="EY1333" s="97">
        <f t="shared" si="2001"/>
        <v>1467700.95</v>
      </c>
      <c r="EZ1333" s="97">
        <f t="shared" si="2002"/>
        <v>8655.39</v>
      </c>
      <c r="FA1333" s="97">
        <f t="shared" si="2002"/>
        <v>8862.57</v>
      </c>
      <c r="FB1333" s="97">
        <f t="shared" si="2002"/>
        <v>8899.6200000000008</v>
      </c>
      <c r="FC1333" s="102">
        <v>1</v>
      </c>
      <c r="FD1333" s="102">
        <v>1</v>
      </c>
      <c r="FE1333" s="102">
        <v>1</v>
      </c>
      <c r="FF1333" s="97">
        <f t="shared" si="2003"/>
        <v>1012038</v>
      </c>
      <c r="FG1333" s="97">
        <f t="shared" si="2004"/>
        <v>1067659</v>
      </c>
      <c r="FH1333" s="97">
        <f t="shared" si="2005"/>
        <v>1094211</v>
      </c>
      <c r="FI1333" s="97">
        <f t="shared" si="2006"/>
        <v>3291.27</v>
      </c>
      <c r="FJ1333" s="97">
        <f t="shared" si="2007"/>
        <v>3291.27</v>
      </c>
      <c r="FK1333" s="97">
        <f t="shared" si="2008"/>
        <v>3291.27</v>
      </c>
      <c r="FL1333" s="97">
        <f t="shared" si="2009"/>
        <v>411256.7</v>
      </c>
      <c r="FM1333" s="97">
        <f t="shared" si="2010"/>
        <v>448100.72</v>
      </c>
      <c r="FN1333" s="97">
        <f t="shared" si="2011"/>
        <v>476557.21</v>
      </c>
      <c r="FO1333" s="97">
        <f t="shared" si="2012"/>
        <v>3103.09</v>
      </c>
      <c r="FP1333" s="97">
        <f t="shared" si="2013"/>
        <v>3197.17</v>
      </c>
      <c r="FQ1333" s="97">
        <f t="shared" si="2014"/>
        <v>3137.3</v>
      </c>
      <c r="FR1333" s="97">
        <f t="shared" si="2015"/>
        <v>411256.7</v>
      </c>
      <c r="FS1333" s="97">
        <f t="shared" si="2015"/>
        <v>448100.72</v>
      </c>
      <c r="FT1333" s="97">
        <f t="shared" si="2015"/>
        <v>476557.21</v>
      </c>
      <c r="FU1333" s="97">
        <f t="shared" si="2016"/>
        <v>3103.09</v>
      </c>
      <c r="FV1333" s="97">
        <f t="shared" si="2016"/>
        <v>3197.17</v>
      </c>
      <c r="FW1333" s="97">
        <f t="shared" si="2016"/>
        <v>3137.3</v>
      </c>
      <c r="FX1333" s="102">
        <v>5</v>
      </c>
      <c r="FY1333" s="102">
        <v>5</v>
      </c>
      <c r="FZ1333" s="102">
        <v>5</v>
      </c>
      <c r="GA1333" s="97">
        <f t="shared" si="2017"/>
        <v>5060190</v>
      </c>
      <c r="GB1333" s="97">
        <f t="shared" si="2018"/>
        <v>5338295</v>
      </c>
      <c r="GC1333" s="97">
        <f t="shared" si="2019"/>
        <v>5471055</v>
      </c>
      <c r="GD1333" s="97">
        <f t="shared" si="2020"/>
        <v>16456.349999999999</v>
      </c>
      <c r="GE1333" s="97">
        <f t="shared" si="2021"/>
        <v>16456.349999999999</v>
      </c>
      <c r="GF1333" s="97">
        <f t="shared" si="2022"/>
        <v>16456.349999999999</v>
      </c>
      <c r="GG1333" s="97">
        <f t="shared" si="2023"/>
        <v>410610.38</v>
      </c>
      <c r="GH1333" s="97">
        <f t="shared" si="2024"/>
        <v>446908.75</v>
      </c>
      <c r="GI1333" s="97">
        <f t="shared" si="2025"/>
        <v>475051.61</v>
      </c>
      <c r="GJ1333" s="97">
        <f t="shared" si="2026"/>
        <v>2326.7399999999998</v>
      </c>
      <c r="GK1333" s="97">
        <f t="shared" si="2027"/>
        <v>2583.89</v>
      </c>
      <c r="GL1333" s="97">
        <f t="shared" si="2028"/>
        <v>2746.39</v>
      </c>
      <c r="GM1333" s="97">
        <f t="shared" si="2029"/>
        <v>2053051.9</v>
      </c>
      <c r="GN1333" s="97">
        <f t="shared" si="2029"/>
        <v>2234543.75</v>
      </c>
      <c r="GO1333" s="97">
        <f t="shared" si="2029"/>
        <v>2375258.0499999998</v>
      </c>
      <c r="GP1333" s="97">
        <f t="shared" si="2030"/>
        <v>11633.7</v>
      </c>
      <c r="GQ1333" s="97">
        <f t="shared" si="2030"/>
        <v>12919.45</v>
      </c>
      <c r="GR1333" s="97">
        <f t="shared" si="2030"/>
        <v>13731.95</v>
      </c>
      <c r="GS1333" s="102">
        <v>2</v>
      </c>
      <c r="GT1333" s="102">
        <v>2</v>
      </c>
      <c r="GU1333" s="102">
        <v>2</v>
      </c>
      <c r="GV1333" s="97">
        <f t="shared" si="2031"/>
        <v>2024076</v>
      </c>
      <c r="GW1333" s="97">
        <f t="shared" si="2032"/>
        <v>2135318</v>
      </c>
      <c r="GX1333" s="97">
        <f t="shared" si="2033"/>
        <v>2188422</v>
      </c>
      <c r="GY1333" s="97">
        <f t="shared" si="2034"/>
        <v>6582.54</v>
      </c>
      <c r="GZ1333" s="97">
        <f t="shared" si="2035"/>
        <v>6582.54</v>
      </c>
      <c r="HA1333" s="97">
        <f t="shared" si="2036"/>
        <v>6582.54</v>
      </c>
      <c r="HB1333" s="97">
        <f t="shared" si="2037"/>
        <v>428938.42</v>
      </c>
      <c r="HC1333" s="97">
        <f t="shared" si="2038"/>
        <v>466668.88</v>
      </c>
      <c r="HD1333" s="97">
        <f t="shared" si="2039"/>
        <v>496042.64</v>
      </c>
      <c r="HE1333" s="97">
        <f t="shared" si="2040"/>
        <v>2707.2</v>
      </c>
      <c r="HF1333" s="97">
        <f t="shared" si="2041"/>
        <v>2763.77</v>
      </c>
      <c r="HG1333" s="97">
        <f t="shared" si="2042"/>
        <v>2768.67</v>
      </c>
      <c r="HH1333" s="97">
        <f t="shared" si="2043"/>
        <v>857876.84</v>
      </c>
      <c r="HI1333" s="97">
        <f t="shared" si="2043"/>
        <v>933337.76</v>
      </c>
      <c r="HJ1333" s="97">
        <f t="shared" si="2043"/>
        <v>992085.28</v>
      </c>
      <c r="HK1333" s="97">
        <f t="shared" si="2044"/>
        <v>5414.4</v>
      </c>
      <c r="HL1333" s="97">
        <f t="shared" si="2044"/>
        <v>5527.54</v>
      </c>
      <c r="HM1333" s="97">
        <f t="shared" si="2044"/>
        <v>5537.34</v>
      </c>
      <c r="HN1333" s="102"/>
      <c r="HO1333" s="102"/>
      <c r="HP1333" s="102"/>
      <c r="HQ1333" s="97">
        <f t="shared" si="2045"/>
        <v>0</v>
      </c>
      <c r="HR1333" s="97">
        <f t="shared" si="2046"/>
        <v>0</v>
      </c>
      <c r="HS1333" s="97">
        <f t="shared" si="2047"/>
        <v>0</v>
      </c>
      <c r="HT1333" s="97">
        <f t="shared" si="2048"/>
        <v>0</v>
      </c>
      <c r="HU1333" s="97">
        <f t="shared" si="2049"/>
        <v>0</v>
      </c>
      <c r="HV1333" s="97">
        <f t="shared" si="2050"/>
        <v>0</v>
      </c>
      <c r="HW1333" s="97">
        <f t="shared" si="2051"/>
        <v>422135.05</v>
      </c>
      <c r="HX1333" s="97">
        <f t="shared" si="2052"/>
        <v>459946.26</v>
      </c>
      <c r="HY1333" s="97">
        <f t="shared" si="2053"/>
        <v>488985.51</v>
      </c>
      <c r="HZ1333" s="97">
        <f t="shared" si="2054"/>
        <v>2582.4899999999998</v>
      </c>
      <c r="IA1333" s="97">
        <f t="shared" si="2055"/>
        <v>2634.87</v>
      </c>
      <c r="IB1333" s="97">
        <f t="shared" si="2056"/>
        <v>2594.35</v>
      </c>
      <c r="IC1333" s="97">
        <f t="shared" si="2057"/>
        <v>0</v>
      </c>
      <c r="ID1333" s="97">
        <f t="shared" si="2057"/>
        <v>0</v>
      </c>
      <c r="IE1333" s="97">
        <f t="shared" si="2057"/>
        <v>0</v>
      </c>
      <c r="IF1333" s="97">
        <f t="shared" si="2058"/>
        <v>0</v>
      </c>
      <c r="IG1333" s="97">
        <f t="shared" si="2058"/>
        <v>0</v>
      </c>
      <c r="IH1333" s="97">
        <f t="shared" si="2058"/>
        <v>0</v>
      </c>
      <c r="II1333" s="102"/>
      <c r="IJ1333" s="102"/>
      <c r="IK1333" s="102"/>
      <c r="IL1333" s="97">
        <f t="shared" si="2059"/>
        <v>0</v>
      </c>
      <c r="IM1333" s="97">
        <f t="shared" si="2060"/>
        <v>0</v>
      </c>
      <c r="IN1333" s="97">
        <f t="shared" si="2061"/>
        <v>0</v>
      </c>
      <c r="IO1333" s="97">
        <f t="shared" si="2062"/>
        <v>0</v>
      </c>
      <c r="IP1333" s="97">
        <f t="shared" si="2063"/>
        <v>0</v>
      </c>
      <c r="IQ1333" s="97">
        <f t="shared" si="2064"/>
        <v>0</v>
      </c>
      <c r="IR1333" s="97">
        <f t="shared" si="2065"/>
        <v>573442.29</v>
      </c>
      <c r="IS1333" s="97">
        <f t="shared" si="2066"/>
        <v>623184.69999999995</v>
      </c>
      <c r="IT1333" s="97">
        <f t="shared" si="2067"/>
        <v>662289.96</v>
      </c>
      <c r="IU1333" s="97">
        <f t="shared" si="2068"/>
        <v>3904.22</v>
      </c>
      <c r="IV1333" s="97">
        <f t="shared" si="2069"/>
        <v>3983.16</v>
      </c>
      <c r="IW1333" s="97">
        <f t="shared" si="2070"/>
        <v>3894.35</v>
      </c>
      <c r="IX1333" s="97">
        <f t="shared" si="2071"/>
        <v>0</v>
      </c>
      <c r="IY1333" s="97">
        <f t="shared" si="2071"/>
        <v>0</v>
      </c>
      <c r="IZ1333" s="97">
        <f t="shared" si="2071"/>
        <v>0</v>
      </c>
      <c r="JA1333" s="97">
        <f t="shared" si="2072"/>
        <v>0</v>
      </c>
      <c r="JB1333" s="97">
        <f t="shared" si="2072"/>
        <v>0</v>
      </c>
      <c r="JC1333" s="97">
        <f t="shared" si="2072"/>
        <v>0</v>
      </c>
      <c r="JD1333" s="102">
        <v>4</v>
      </c>
      <c r="JE1333" s="102">
        <v>4</v>
      </c>
      <c r="JF1333" s="102">
        <v>4</v>
      </c>
      <c r="JG1333" s="97">
        <f t="shared" si="2073"/>
        <v>4048152</v>
      </c>
      <c r="JH1333" s="97">
        <f t="shared" si="2074"/>
        <v>4270636</v>
      </c>
      <c r="JI1333" s="97">
        <f t="shared" si="2075"/>
        <v>4376844</v>
      </c>
      <c r="JJ1333" s="97">
        <f t="shared" si="2076"/>
        <v>13165.08</v>
      </c>
      <c r="JK1333" s="97">
        <f t="shared" si="2077"/>
        <v>13165.08</v>
      </c>
      <c r="JL1333" s="97">
        <f t="shared" si="2078"/>
        <v>13165.08</v>
      </c>
      <c r="JM1333" s="97">
        <f t="shared" si="2079"/>
        <v>384401.37</v>
      </c>
      <c r="JN1333" s="97">
        <f t="shared" si="2080"/>
        <v>418581.4</v>
      </c>
      <c r="JO1333" s="97">
        <f t="shared" si="2081"/>
        <v>445084.01</v>
      </c>
      <c r="JP1333" s="97">
        <f t="shared" si="2082"/>
        <v>2128.56</v>
      </c>
      <c r="JQ1333" s="97">
        <f t="shared" si="2083"/>
        <v>2211.2399999999998</v>
      </c>
      <c r="JR1333" s="97">
        <f t="shared" si="2084"/>
        <v>2216.5100000000002</v>
      </c>
      <c r="JS1333" s="97">
        <f t="shared" si="2085"/>
        <v>1537605.48</v>
      </c>
      <c r="JT1333" s="97">
        <f t="shared" si="2085"/>
        <v>1674325.6</v>
      </c>
      <c r="JU1333" s="97">
        <f t="shared" si="2085"/>
        <v>1780336.04</v>
      </c>
      <c r="JV1333" s="97">
        <f t="shared" si="2086"/>
        <v>8514.24</v>
      </c>
      <c r="JW1333" s="97">
        <f t="shared" si="2086"/>
        <v>8844.9599999999991</v>
      </c>
      <c r="JX1333" s="97">
        <f t="shared" si="2086"/>
        <v>8866.0400000000009</v>
      </c>
      <c r="JY1333" s="102">
        <v>3</v>
      </c>
      <c r="JZ1333" s="102">
        <v>3</v>
      </c>
      <c r="KA1333" s="102">
        <v>3</v>
      </c>
      <c r="KB1333" s="97">
        <f t="shared" si="2087"/>
        <v>3036114</v>
      </c>
      <c r="KC1333" s="97">
        <f t="shared" si="2088"/>
        <v>3202977</v>
      </c>
      <c r="KD1333" s="97">
        <f t="shared" si="2089"/>
        <v>3282633</v>
      </c>
      <c r="KE1333" s="97">
        <f t="shared" si="2090"/>
        <v>9873.81</v>
      </c>
      <c r="KF1333" s="97">
        <f t="shared" si="2091"/>
        <v>9873.81</v>
      </c>
      <c r="KG1333" s="97">
        <f t="shared" si="2092"/>
        <v>9873.81</v>
      </c>
      <c r="KH1333" s="97">
        <f t="shared" si="2093"/>
        <v>395205.02</v>
      </c>
      <c r="KI1333" s="97">
        <f t="shared" si="2094"/>
        <v>429981.49</v>
      </c>
      <c r="KJ1333" s="97">
        <f t="shared" si="2095"/>
        <v>457102.96</v>
      </c>
      <c r="KK1333" s="97">
        <f t="shared" si="2096"/>
        <v>1995.43</v>
      </c>
      <c r="KL1333" s="97">
        <f t="shared" si="2097"/>
        <v>2049.3200000000002</v>
      </c>
      <c r="KM1333" s="97">
        <f t="shared" si="2098"/>
        <v>2039.64</v>
      </c>
      <c r="KN1333" s="97">
        <f t="shared" si="2099"/>
        <v>1185615.06</v>
      </c>
      <c r="KO1333" s="97">
        <f t="shared" si="2099"/>
        <v>1289944.47</v>
      </c>
      <c r="KP1333" s="97">
        <f t="shared" si="2099"/>
        <v>1371308.88</v>
      </c>
      <c r="KQ1333" s="97">
        <f t="shared" si="2100"/>
        <v>5986.29</v>
      </c>
      <c r="KR1333" s="97">
        <f t="shared" si="2100"/>
        <v>6147.96</v>
      </c>
      <c r="KS1333" s="97">
        <f t="shared" si="2100"/>
        <v>6118.92</v>
      </c>
      <c r="KT1333" s="102">
        <v>2</v>
      </c>
      <c r="KU1333" s="102">
        <v>2</v>
      </c>
      <c r="KV1333" s="102">
        <v>2</v>
      </c>
      <c r="KW1333" s="97">
        <f t="shared" si="2101"/>
        <v>2024076</v>
      </c>
      <c r="KX1333" s="97">
        <f t="shared" si="2102"/>
        <v>2135318</v>
      </c>
      <c r="KY1333" s="97">
        <f t="shared" si="2103"/>
        <v>2188422</v>
      </c>
      <c r="KZ1333" s="97">
        <f t="shared" si="2104"/>
        <v>6582.54</v>
      </c>
      <c r="LA1333" s="97">
        <f t="shared" si="2105"/>
        <v>6582.54</v>
      </c>
      <c r="LB1333" s="97">
        <f t="shared" si="2106"/>
        <v>6582.54</v>
      </c>
      <c r="LC1333" s="97">
        <f t="shared" si="2107"/>
        <v>373037.87</v>
      </c>
      <c r="LD1333" s="97">
        <f t="shared" si="2108"/>
        <v>406405.55</v>
      </c>
      <c r="LE1333" s="97">
        <f t="shared" si="2109"/>
        <v>432165.98</v>
      </c>
      <c r="LF1333" s="97">
        <f t="shared" si="2110"/>
        <v>2750.17</v>
      </c>
      <c r="LG1333" s="97">
        <f t="shared" si="2111"/>
        <v>2863.26</v>
      </c>
      <c r="LH1333" s="97">
        <f t="shared" si="2112"/>
        <v>2878.25</v>
      </c>
      <c r="LI1333" s="97">
        <f t="shared" si="2113"/>
        <v>746075.74</v>
      </c>
      <c r="LJ1333" s="97">
        <f t="shared" si="2113"/>
        <v>812811.1</v>
      </c>
      <c r="LK1333" s="97">
        <f t="shared" si="2113"/>
        <v>864331.96</v>
      </c>
      <c r="LL1333" s="97">
        <f t="shared" si="2114"/>
        <v>5500.34</v>
      </c>
      <c r="LM1333" s="97">
        <f t="shared" si="2114"/>
        <v>5726.52</v>
      </c>
      <c r="LN1333" s="97">
        <f t="shared" si="2114"/>
        <v>5756.5</v>
      </c>
      <c r="LO1333" s="102">
        <v>1</v>
      </c>
      <c r="LP1333" s="102">
        <v>1</v>
      </c>
      <c r="LQ1333" s="102">
        <v>1</v>
      </c>
      <c r="LR1333" s="97">
        <f t="shared" si="2115"/>
        <v>1012038</v>
      </c>
      <c r="LS1333" s="97">
        <f t="shared" si="2116"/>
        <v>1067659</v>
      </c>
      <c r="LT1333" s="97">
        <f t="shared" si="2117"/>
        <v>1094211</v>
      </c>
      <c r="LU1333" s="97">
        <f t="shared" si="2118"/>
        <v>3291.27</v>
      </c>
      <c r="LV1333" s="97">
        <f t="shared" si="2119"/>
        <v>3291.27</v>
      </c>
      <c r="LW1333" s="97">
        <f t="shared" si="2120"/>
        <v>3291.27</v>
      </c>
      <c r="LX1333" s="97">
        <f t="shared" si="2121"/>
        <v>325865.11</v>
      </c>
      <c r="LY1333" s="97">
        <f t="shared" si="2122"/>
        <v>355032.5</v>
      </c>
      <c r="LZ1333" s="97">
        <f t="shared" si="2123"/>
        <v>377497.57</v>
      </c>
      <c r="MA1333" s="97">
        <f t="shared" si="2124"/>
        <v>2041.45</v>
      </c>
      <c r="MB1333" s="97">
        <f t="shared" si="2125"/>
        <v>2091.9299999999998</v>
      </c>
      <c r="MC1333" s="97">
        <f t="shared" si="2126"/>
        <v>2085.75</v>
      </c>
      <c r="MD1333" s="97">
        <f t="shared" si="2127"/>
        <v>325865.11</v>
      </c>
      <c r="ME1333" s="97">
        <f t="shared" si="2127"/>
        <v>355032.5</v>
      </c>
      <c r="MF1333" s="97">
        <f t="shared" si="2127"/>
        <v>377497.57</v>
      </c>
      <c r="MG1333" s="97">
        <f t="shared" si="2128"/>
        <v>2041.45</v>
      </c>
      <c r="MH1333" s="97">
        <f t="shared" si="2128"/>
        <v>2091.9299999999998</v>
      </c>
      <c r="MI1333" s="97">
        <f t="shared" si="2128"/>
        <v>2085.75</v>
      </c>
      <c r="MJ1333" s="102">
        <v>2</v>
      </c>
      <c r="MK1333" s="102">
        <v>2</v>
      </c>
      <c r="ML1333" s="102">
        <v>2</v>
      </c>
      <c r="MM1333" s="97">
        <f t="shared" si="2129"/>
        <v>2024076</v>
      </c>
      <c r="MN1333" s="97">
        <f t="shared" si="2130"/>
        <v>2135318</v>
      </c>
      <c r="MO1333" s="97">
        <f t="shared" si="2131"/>
        <v>2188422</v>
      </c>
      <c r="MP1333" s="97">
        <f t="shared" si="2132"/>
        <v>6582.54</v>
      </c>
      <c r="MQ1333" s="97">
        <f t="shared" si="2133"/>
        <v>6582.54</v>
      </c>
      <c r="MR1333" s="97">
        <f t="shared" si="2134"/>
        <v>6582.54</v>
      </c>
      <c r="MS1333" s="97">
        <f t="shared" si="2135"/>
        <v>376989.82</v>
      </c>
      <c r="MT1333" s="97">
        <f t="shared" si="2136"/>
        <v>410683.48</v>
      </c>
      <c r="MU1333" s="97">
        <f t="shared" si="2137"/>
        <v>436708.2</v>
      </c>
      <c r="MV1333" s="97">
        <f t="shared" si="2138"/>
        <v>2421.9299999999998</v>
      </c>
      <c r="MW1333" s="97">
        <f t="shared" si="2139"/>
        <v>2448.38</v>
      </c>
      <c r="MX1333" s="97">
        <f t="shared" si="2140"/>
        <v>2463.4699999999998</v>
      </c>
      <c r="MY1333" s="97">
        <f t="shared" si="2141"/>
        <v>753979.64</v>
      </c>
      <c r="MZ1333" s="97">
        <f t="shared" si="2141"/>
        <v>821366.96</v>
      </c>
      <c r="NA1333" s="97">
        <f t="shared" si="2141"/>
        <v>873416.4</v>
      </c>
      <c r="NB1333" s="97">
        <f t="shared" si="2142"/>
        <v>4843.8599999999997</v>
      </c>
      <c r="NC1333" s="97">
        <f t="shared" si="2142"/>
        <v>4896.76</v>
      </c>
      <c r="ND1333" s="97">
        <f t="shared" si="2142"/>
        <v>4926.9399999999996</v>
      </c>
      <c r="NE1333" s="102">
        <v>3</v>
      </c>
      <c r="NF1333" s="102">
        <v>3</v>
      </c>
      <c r="NG1333" s="102">
        <v>3</v>
      </c>
      <c r="NH1333" s="97">
        <f t="shared" si="2143"/>
        <v>3036114</v>
      </c>
      <c r="NI1333" s="97">
        <f t="shared" si="2144"/>
        <v>3202977</v>
      </c>
      <c r="NJ1333" s="97">
        <f t="shared" si="2145"/>
        <v>3282633</v>
      </c>
      <c r="NK1333" s="97">
        <f t="shared" si="2146"/>
        <v>9873.81</v>
      </c>
      <c r="NL1333" s="97">
        <f t="shared" si="2147"/>
        <v>9873.81</v>
      </c>
      <c r="NM1333" s="97">
        <f t="shared" si="2148"/>
        <v>9873.81</v>
      </c>
      <c r="NN1333" s="97">
        <f t="shared" si="2149"/>
        <v>384898.39</v>
      </c>
      <c r="NO1333" s="97">
        <f t="shared" si="2150"/>
        <v>418756.82</v>
      </c>
      <c r="NP1333" s="97">
        <f t="shared" si="2151"/>
        <v>445042.42</v>
      </c>
      <c r="NQ1333" s="97">
        <f t="shared" si="2152"/>
        <v>3547.09</v>
      </c>
      <c r="NR1333" s="97">
        <f t="shared" si="2153"/>
        <v>3704.97</v>
      </c>
      <c r="NS1333" s="97">
        <f t="shared" si="2154"/>
        <v>3602.63</v>
      </c>
      <c r="NT1333" s="97">
        <f t="shared" si="2155"/>
        <v>1154695.17</v>
      </c>
      <c r="NU1333" s="97">
        <f t="shared" si="2155"/>
        <v>1256270.46</v>
      </c>
      <c r="NV1333" s="97">
        <f t="shared" si="2155"/>
        <v>1335127.26</v>
      </c>
      <c r="NW1333" s="97">
        <f t="shared" si="2156"/>
        <v>10641.27</v>
      </c>
      <c r="NX1333" s="97">
        <f t="shared" si="2156"/>
        <v>11114.91</v>
      </c>
      <c r="NY1333" s="97">
        <f t="shared" si="2156"/>
        <v>10807.89</v>
      </c>
      <c r="NZ1333" s="102">
        <v>3</v>
      </c>
      <c r="OA1333" s="102">
        <v>3</v>
      </c>
      <c r="OB1333" s="102">
        <v>3</v>
      </c>
      <c r="OC1333" s="97">
        <f t="shared" si="2157"/>
        <v>3036114</v>
      </c>
      <c r="OD1333" s="97">
        <f t="shared" si="2158"/>
        <v>3202977</v>
      </c>
      <c r="OE1333" s="97">
        <f t="shared" si="2159"/>
        <v>3282633</v>
      </c>
      <c r="OF1333" s="97">
        <f t="shared" si="2160"/>
        <v>9873.81</v>
      </c>
      <c r="OG1333" s="97">
        <f t="shared" si="2161"/>
        <v>9873.81</v>
      </c>
      <c r="OH1333" s="97">
        <f t="shared" si="2162"/>
        <v>9873.81</v>
      </c>
      <c r="OI1333" s="97">
        <f t="shared" si="2163"/>
        <v>504666.2</v>
      </c>
      <c r="OJ1333" s="97">
        <f t="shared" si="2164"/>
        <v>548200.5</v>
      </c>
      <c r="OK1333" s="97">
        <f t="shared" si="2165"/>
        <v>582441.79</v>
      </c>
      <c r="OL1333" s="97">
        <f t="shared" si="2166"/>
        <v>3557.68</v>
      </c>
      <c r="OM1333" s="97">
        <f t="shared" si="2167"/>
        <v>3696.6</v>
      </c>
      <c r="ON1333" s="97">
        <f t="shared" si="2168"/>
        <v>3677.27</v>
      </c>
      <c r="OO1333" s="97">
        <f t="shared" si="2169"/>
        <v>1513998.6</v>
      </c>
      <c r="OP1333" s="97">
        <f t="shared" si="2169"/>
        <v>1644601.5</v>
      </c>
      <c r="OQ1333" s="97">
        <f t="shared" si="2169"/>
        <v>1747325.37</v>
      </c>
      <c r="OR1333" s="97">
        <f t="shared" si="2170"/>
        <v>10673.04</v>
      </c>
      <c r="OS1333" s="97">
        <f t="shared" si="2170"/>
        <v>11089.8</v>
      </c>
      <c r="OT1333" s="97">
        <f t="shared" si="2170"/>
        <v>11031.81</v>
      </c>
      <c r="OU1333" s="102">
        <v>2</v>
      </c>
      <c r="OV1333" s="102">
        <v>2</v>
      </c>
      <c r="OW1333" s="102">
        <v>2</v>
      </c>
      <c r="OX1333" s="97">
        <f t="shared" si="2171"/>
        <v>2024076</v>
      </c>
      <c r="OY1333" s="97">
        <f t="shared" si="2172"/>
        <v>2135318</v>
      </c>
      <c r="OZ1333" s="97">
        <f t="shared" si="2173"/>
        <v>2188422</v>
      </c>
      <c r="PA1333" s="97">
        <f t="shared" si="2174"/>
        <v>6582.54</v>
      </c>
      <c r="PB1333" s="97">
        <f t="shared" si="2175"/>
        <v>6582.54</v>
      </c>
      <c r="PC1333" s="97">
        <f t="shared" si="2176"/>
        <v>6582.54</v>
      </c>
      <c r="PD1333" s="97">
        <f t="shared" si="2177"/>
        <v>424408.58</v>
      </c>
      <c r="PE1333" s="97">
        <f t="shared" si="2178"/>
        <v>462136.39</v>
      </c>
      <c r="PF1333" s="97">
        <f t="shared" si="2179"/>
        <v>491356.01</v>
      </c>
      <c r="PG1333" s="97">
        <f t="shared" si="2180"/>
        <v>2843.34</v>
      </c>
      <c r="PH1333" s="97">
        <f t="shared" si="2181"/>
        <v>2904.79</v>
      </c>
      <c r="PI1333" s="97">
        <f t="shared" si="2182"/>
        <v>2928.4</v>
      </c>
      <c r="PJ1333" s="97">
        <f t="shared" si="2183"/>
        <v>848817.16</v>
      </c>
      <c r="PK1333" s="97">
        <f t="shared" si="2183"/>
        <v>924272.78</v>
      </c>
      <c r="PL1333" s="97">
        <f t="shared" si="2183"/>
        <v>982712.02</v>
      </c>
      <c r="PM1333" s="97">
        <f t="shared" si="2184"/>
        <v>5686.68</v>
      </c>
      <c r="PN1333" s="97">
        <f t="shared" si="2184"/>
        <v>5809.58</v>
      </c>
      <c r="PO1333" s="97">
        <f t="shared" si="2184"/>
        <v>5856.8</v>
      </c>
      <c r="PP1333" s="102"/>
      <c r="PQ1333" s="102"/>
      <c r="PR1333" s="102"/>
      <c r="PS1333" s="97">
        <f t="shared" si="2185"/>
        <v>0</v>
      </c>
      <c r="PT1333" s="97">
        <f t="shared" si="2186"/>
        <v>0</v>
      </c>
      <c r="PU1333" s="97">
        <f t="shared" si="2187"/>
        <v>0</v>
      </c>
      <c r="PV1333" s="97">
        <f t="shared" si="2188"/>
        <v>0</v>
      </c>
      <c r="PW1333" s="97">
        <f t="shared" si="2189"/>
        <v>0</v>
      </c>
      <c r="PX1333" s="97">
        <f t="shared" si="2190"/>
        <v>0</v>
      </c>
      <c r="PY1333" s="97">
        <f t="shared" si="2191"/>
        <v>379974.49</v>
      </c>
      <c r="PZ1333" s="97">
        <f t="shared" si="2192"/>
        <v>414099.68</v>
      </c>
      <c r="QA1333" s="97">
        <f t="shared" si="2193"/>
        <v>440311.38</v>
      </c>
      <c r="QB1333" s="97">
        <f t="shared" si="2194"/>
        <v>2932.19</v>
      </c>
      <c r="QC1333" s="97">
        <f t="shared" si="2195"/>
        <v>3079.12</v>
      </c>
      <c r="QD1333" s="97">
        <f t="shared" si="2196"/>
        <v>3076.44</v>
      </c>
      <c r="QE1333" s="97">
        <f t="shared" si="2197"/>
        <v>0</v>
      </c>
      <c r="QF1333" s="97">
        <f t="shared" si="2197"/>
        <v>0</v>
      </c>
      <c r="QG1333" s="97">
        <f t="shared" si="2197"/>
        <v>0</v>
      </c>
      <c r="QH1333" s="97">
        <f t="shared" si="2198"/>
        <v>0</v>
      </c>
      <c r="QI1333" s="97">
        <f t="shared" si="2198"/>
        <v>0</v>
      </c>
      <c r="QJ1333" s="97">
        <f t="shared" si="2198"/>
        <v>0</v>
      </c>
      <c r="QK1333" s="102">
        <v>2</v>
      </c>
      <c r="QL1333" s="102">
        <v>2</v>
      </c>
      <c r="QM1333" s="102">
        <v>2</v>
      </c>
      <c r="QN1333" s="97">
        <f t="shared" si="2199"/>
        <v>2024076</v>
      </c>
      <c r="QO1333" s="97">
        <f t="shared" si="2200"/>
        <v>2135318</v>
      </c>
      <c r="QP1333" s="97">
        <f t="shared" si="2201"/>
        <v>2188422</v>
      </c>
      <c r="QQ1333" s="97">
        <f t="shared" si="2202"/>
        <v>6582.54</v>
      </c>
      <c r="QR1333" s="97">
        <f t="shared" si="2203"/>
        <v>6582.54</v>
      </c>
      <c r="QS1333" s="97">
        <f t="shared" si="2204"/>
        <v>6582.54</v>
      </c>
      <c r="QT1333" s="97">
        <f t="shared" si="2205"/>
        <v>386412.4</v>
      </c>
      <c r="QU1333" s="97">
        <f t="shared" si="2206"/>
        <v>420962.95</v>
      </c>
      <c r="QV1333" s="97">
        <f t="shared" si="2207"/>
        <v>447657.73</v>
      </c>
      <c r="QW1333" s="97">
        <f t="shared" si="2208"/>
        <v>2016.73</v>
      </c>
      <c r="QX1333" s="97">
        <f t="shared" si="2209"/>
        <v>2092.6999999999998</v>
      </c>
      <c r="QY1333" s="97">
        <f t="shared" si="2210"/>
        <v>2104.41</v>
      </c>
      <c r="QZ1333" s="97">
        <f t="shared" si="2211"/>
        <v>772824.8</v>
      </c>
      <c r="RA1333" s="97">
        <f t="shared" si="2211"/>
        <v>841925.9</v>
      </c>
      <c r="RB1333" s="97">
        <f t="shared" si="2211"/>
        <v>895315.46</v>
      </c>
      <c r="RC1333" s="97">
        <f t="shared" si="2212"/>
        <v>4033.46</v>
      </c>
      <c r="RD1333" s="97">
        <f t="shared" si="2212"/>
        <v>4185.3999999999996</v>
      </c>
      <c r="RE1333" s="97">
        <f t="shared" si="2212"/>
        <v>4208.82</v>
      </c>
      <c r="RF1333" s="102">
        <v>3</v>
      </c>
      <c r="RG1333" s="102">
        <v>3</v>
      </c>
      <c r="RH1333" s="102">
        <v>3</v>
      </c>
      <c r="RI1333" s="97">
        <f t="shared" si="2213"/>
        <v>3036114</v>
      </c>
      <c r="RJ1333" s="97">
        <f t="shared" si="2214"/>
        <v>3202977</v>
      </c>
      <c r="RK1333" s="97">
        <f t="shared" si="2215"/>
        <v>3282633</v>
      </c>
      <c r="RL1333" s="97">
        <f t="shared" si="2216"/>
        <v>9873.81</v>
      </c>
      <c r="RM1333" s="97">
        <f t="shared" si="2217"/>
        <v>9873.81</v>
      </c>
      <c r="RN1333" s="97">
        <f t="shared" si="2218"/>
        <v>9873.81</v>
      </c>
      <c r="RO1333" s="97">
        <f t="shared" si="2219"/>
        <v>413926.12</v>
      </c>
      <c r="RP1333" s="97">
        <f t="shared" si="2220"/>
        <v>450748.25</v>
      </c>
      <c r="RQ1333" s="97">
        <f t="shared" si="2221"/>
        <v>479328.28</v>
      </c>
      <c r="RR1333" s="97">
        <f t="shared" si="2222"/>
        <v>2844.81</v>
      </c>
      <c r="RS1333" s="97">
        <f t="shared" si="2223"/>
        <v>2896.16</v>
      </c>
      <c r="RT1333" s="97">
        <f t="shared" si="2224"/>
        <v>2912.99</v>
      </c>
      <c r="RU1333" s="97">
        <f t="shared" si="2225"/>
        <v>1241778.3600000001</v>
      </c>
      <c r="RV1333" s="97">
        <f t="shared" si="2225"/>
        <v>1352244.75</v>
      </c>
      <c r="RW1333" s="97">
        <f t="shared" si="2225"/>
        <v>1437984.84</v>
      </c>
      <c r="RX1333" s="97">
        <f t="shared" si="2226"/>
        <v>8534.43</v>
      </c>
      <c r="RY1333" s="97">
        <f t="shared" si="2226"/>
        <v>8688.48</v>
      </c>
      <c r="RZ1333" s="97">
        <f t="shared" si="2226"/>
        <v>8738.9699999999993</v>
      </c>
      <c r="SA1333" s="102">
        <v>4</v>
      </c>
      <c r="SB1333" s="102">
        <v>4</v>
      </c>
      <c r="SC1333" s="102">
        <v>4</v>
      </c>
      <c r="SD1333" s="97">
        <f t="shared" si="2227"/>
        <v>4048152</v>
      </c>
      <c r="SE1333" s="97">
        <f t="shared" si="2228"/>
        <v>4270636</v>
      </c>
      <c r="SF1333" s="97">
        <f t="shared" si="2229"/>
        <v>4376844</v>
      </c>
      <c r="SG1333" s="97">
        <f t="shared" si="2230"/>
        <v>13165.08</v>
      </c>
      <c r="SH1333" s="97">
        <f t="shared" si="2231"/>
        <v>13165.08</v>
      </c>
      <c r="SI1333" s="97">
        <f t="shared" si="2232"/>
        <v>13165.08</v>
      </c>
      <c r="SJ1333" s="97">
        <f t="shared" si="2233"/>
        <v>434920.15</v>
      </c>
      <c r="SK1333" s="97">
        <f t="shared" si="2234"/>
        <v>473084.9</v>
      </c>
      <c r="SL1333" s="97">
        <f t="shared" si="2235"/>
        <v>502871.95</v>
      </c>
      <c r="SM1333" s="97">
        <f t="shared" si="2236"/>
        <v>3982.84</v>
      </c>
      <c r="SN1333" s="97">
        <f t="shared" si="2237"/>
        <v>4109.8100000000004</v>
      </c>
      <c r="SO1333" s="97">
        <f t="shared" si="2238"/>
        <v>4120.9799999999996</v>
      </c>
      <c r="SP1333" s="97">
        <f t="shared" si="2239"/>
        <v>1739680.6</v>
      </c>
      <c r="SQ1333" s="97">
        <f t="shared" si="2239"/>
        <v>1892339.6</v>
      </c>
      <c r="SR1333" s="97">
        <f t="shared" si="2239"/>
        <v>2011487.8</v>
      </c>
      <c r="SS1333" s="97">
        <f t="shared" si="2240"/>
        <v>15931.36</v>
      </c>
      <c r="ST1333" s="97">
        <f t="shared" si="2240"/>
        <v>16439.240000000002</v>
      </c>
      <c r="SU1333" s="97">
        <f t="shared" si="2240"/>
        <v>16483.919999999998</v>
      </c>
      <c r="SV1333" s="102">
        <v>4</v>
      </c>
      <c r="SW1333" s="102">
        <v>4</v>
      </c>
      <c r="SX1333" s="102">
        <v>4</v>
      </c>
      <c r="SY1333" s="97">
        <f t="shared" si="2241"/>
        <v>4048152</v>
      </c>
      <c r="SZ1333" s="97">
        <f t="shared" si="2242"/>
        <v>4270636</v>
      </c>
      <c r="TA1333" s="97">
        <f t="shared" si="2243"/>
        <v>4376844</v>
      </c>
      <c r="TB1333" s="97">
        <f t="shared" si="2244"/>
        <v>13165.08</v>
      </c>
      <c r="TC1333" s="97">
        <f t="shared" si="2245"/>
        <v>13165.08</v>
      </c>
      <c r="TD1333" s="97">
        <f t="shared" si="2246"/>
        <v>13165.08</v>
      </c>
      <c r="TE1333" s="97">
        <f t="shared" si="2247"/>
        <v>388758.04</v>
      </c>
      <c r="TF1333" s="97">
        <f t="shared" si="2248"/>
        <v>423353.92</v>
      </c>
      <c r="TG1333" s="97">
        <f t="shared" si="2249"/>
        <v>450118.86</v>
      </c>
      <c r="TH1333" s="97">
        <f t="shared" si="2250"/>
        <v>3033.08</v>
      </c>
      <c r="TI1333" s="97">
        <f t="shared" si="2251"/>
        <v>3113.67</v>
      </c>
      <c r="TJ1333" s="97">
        <f t="shared" si="2252"/>
        <v>3104.66</v>
      </c>
      <c r="TK1333" s="97">
        <f t="shared" si="2253"/>
        <v>1555032.16</v>
      </c>
      <c r="TL1333" s="97">
        <f t="shared" si="2253"/>
        <v>1693415.68</v>
      </c>
      <c r="TM1333" s="97">
        <f t="shared" si="2253"/>
        <v>1800475.44</v>
      </c>
      <c r="TN1333" s="97">
        <f t="shared" si="2254"/>
        <v>12132.32</v>
      </c>
      <c r="TO1333" s="97">
        <f t="shared" si="2254"/>
        <v>12454.68</v>
      </c>
      <c r="TP1333" s="97">
        <f t="shared" si="2254"/>
        <v>12418.64</v>
      </c>
      <c r="TQ1333" s="102">
        <v>5</v>
      </c>
      <c r="TR1333" s="102">
        <v>5</v>
      </c>
      <c r="TS1333" s="102">
        <v>5</v>
      </c>
      <c r="TT1333" s="97">
        <f t="shared" si="2255"/>
        <v>5060190</v>
      </c>
      <c r="TU1333" s="97">
        <f t="shared" si="2256"/>
        <v>5338295</v>
      </c>
      <c r="TV1333" s="97">
        <f t="shared" si="2257"/>
        <v>5471055</v>
      </c>
      <c r="TW1333" s="97">
        <f t="shared" si="2258"/>
        <v>16456.349999999999</v>
      </c>
      <c r="TX1333" s="97">
        <f t="shared" si="2259"/>
        <v>16456.349999999999</v>
      </c>
      <c r="TY1333" s="97">
        <f t="shared" si="2260"/>
        <v>16456.349999999999</v>
      </c>
      <c r="TZ1333" s="97">
        <f t="shared" si="2261"/>
        <v>416462.58</v>
      </c>
      <c r="UA1333" s="97">
        <f t="shared" si="2262"/>
        <v>453193.55</v>
      </c>
      <c r="UB1333" s="97">
        <f t="shared" si="2263"/>
        <v>481875.62</v>
      </c>
      <c r="UC1333" s="97">
        <f t="shared" si="2264"/>
        <v>2771.84</v>
      </c>
      <c r="UD1333" s="97">
        <f t="shared" si="2265"/>
        <v>2929.07</v>
      </c>
      <c r="UE1333" s="97">
        <f t="shared" si="2266"/>
        <v>2938.1</v>
      </c>
      <c r="UF1333" s="97">
        <f t="shared" si="2267"/>
        <v>2082312.9</v>
      </c>
      <c r="UG1333" s="97">
        <f t="shared" si="2267"/>
        <v>2265967.75</v>
      </c>
      <c r="UH1333" s="97">
        <f t="shared" si="2267"/>
        <v>2409378.1</v>
      </c>
      <c r="UI1333" s="97">
        <f t="shared" si="2268"/>
        <v>13859.2</v>
      </c>
      <c r="UJ1333" s="97">
        <f t="shared" si="2268"/>
        <v>14645.35</v>
      </c>
      <c r="UK1333" s="97">
        <f t="shared" si="2268"/>
        <v>14690.5</v>
      </c>
      <c r="UL1333" s="102">
        <v>2</v>
      </c>
      <c r="UM1333" s="102">
        <v>2</v>
      </c>
      <c r="UN1333" s="102">
        <v>2</v>
      </c>
      <c r="UO1333" s="97">
        <f t="shared" si="2269"/>
        <v>2024076</v>
      </c>
      <c r="UP1333" s="97">
        <f t="shared" si="2270"/>
        <v>2135318</v>
      </c>
      <c r="UQ1333" s="97">
        <f t="shared" si="2271"/>
        <v>2188422</v>
      </c>
      <c r="UR1333" s="97">
        <f t="shared" si="2272"/>
        <v>6582.54</v>
      </c>
      <c r="US1333" s="97">
        <f t="shared" si="2273"/>
        <v>6582.54</v>
      </c>
      <c r="UT1333" s="97">
        <f t="shared" si="2274"/>
        <v>6582.54</v>
      </c>
      <c r="UU1333" s="97">
        <f t="shared" si="2275"/>
        <v>385271.21</v>
      </c>
      <c r="UV1333" s="97">
        <f t="shared" si="2276"/>
        <v>419962.29</v>
      </c>
      <c r="UW1333" s="97">
        <f t="shared" si="2277"/>
        <v>446650.27</v>
      </c>
      <c r="UX1333" s="97">
        <f t="shared" si="2278"/>
        <v>2160.69</v>
      </c>
      <c r="UY1333" s="97">
        <f t="shared" si="2279"/>
        <v>2272.6</v>
      </c>
      <c r="UZ1333" s="97">
        <f t="shared" si="2280"/>
        <v>2289.59</v>
      </c>
      <c r="VA1333" s="97">
        <f t="shared" si="2281"/>
        <v>770542.42</v>
      </c>
      <c r="VB1333" s="97">
        <f t="shared" si="2281"/>
        <v>839924.58</v>
      </c>
      <c r="VC1333" s="97">
        <f t="shared" si="2281"/>
        <v>893300.54</v>
      </c>
      <c r="VD1333" s="97">
        <f t="shared" si="2282"/>
        <v>4321.38</v>
      </c>
      <c r="VE1333" s="97">
        <f t="shared" si="2282"/>
        <v>4545.2</v>
      </c>
      <c r="VF1333" s="97">
        <f t="shared" si="2282"/>
        <v>4579.18</v>
      </c>
      <c r="VG1333" s="102">
        <v>4</v>
      </c>
      <c r="VH1333" s="102">
        <v>4</v>
      </c>
      <c r="VI1333" s="102">
        <v>4</v>
      </c>
      <c r="VJ1333" s="97">
        <f t="shared" si="2283"/>
        <v>4048152</v>
      </c>
      <c r="VK1333" s="97">
        <f t="shared" si="2284"/>
        <v>4270636</v>
      </c>
      <c r="VL1333" s="97">
        <f t="shared" si="2285"/>
        <v>4376844</v>
      </c>
      <c r="VM1333" s="97">
        <f t="shared" si="2286"/>
        <v>13165.08</v>
      </c>
      <c r="VN1333" s="97">
        <f t="shared" si="2287"/>
        <v>13165.08</v>
      </c>
      <c r="VO1333" s="97">
        <f t="shared" si="2288"/>
        <v>13165.08</v>
      </c>
      <c r="VP1333" s="97">
        <f t="shared" si="2289"/>
        <v>393019.8</v>
      </c>
      <c r="VQ1333" s="97">
        <f t="shared" si="2290"/>
        <v>428052.67</v>
      </c>
      <c r="VR1333" s="97">
        <f t="shared" si="2291"/>
        <v>455225.88</v>
      </c>
      <c r="VS1333" s="97">
        <f t="shared" si="2292"/>
        <v>2325.61</v>
      </c>
      <c r="VT1333" s="97">
        <f t="shared" si="2293"/>
        <v>2396.3000000000002</v>
      </c>
      <c r="VU1333" s="97">
        <f t="shared" si="2294"/>
        <v>2412.9899999999998</v>
      </c>
      <c r="VV1333" s="97">
        <f t="shared" si="2295"/>
        <v>1572079.2</v>
      </c>
      <c r="VW1333" s="97">
        <f t="shared" si="2295"/>
        <v>1712210.68</v>
      </c>
      <c r="VX1333" s="97">
        <f t="shared" si="2295"/>
        <v>1820903.52</v>
      </c>
      <c r="VY1333" s="97">
        <f t="shared" si="2296"/>
        <v>9302.44</v>
      </c>
      <c r="VZ1333" s="97">
        <f t="shared" si="2296"/>
        <v>9585.2000000000007</v>
      </c>
      <c r="WA1333" s="97">
        <f t="shared" si="2296"/>
        <v>9651.9599999999991</v>
      </c>
      <c r="WB1333" s="102"/>
      <c r="WC1333" s="102"/>
      <c r="WD1333" s="102"/>
      <c r="WE1333" s="97">
        <f t="shared" si="2297"/>
        <v>0</v>
      </c>
      <c r="WF1333" s="97">
        <f t="shared" si="2298"/>
        <v>0</v>
      </c>
      <c r="WG1333" s="97">
        <f t="shared" si="2299"/>
        <v>0</v>
      </c>
      <c r="WH1333" s="97">
        <f t="shared" si="2300"/>
        <v>0</v>
      </c>
      <c r="WI1333" s="97">
        <f t="shared" si="2301"/>
        <v>0</v>
      </c>
      <c r="WJ1333" s="97">
        <f t="shared" si="2302"/>
        <v>0</v>
      </c>
      <c r="WK1333" s="97">
        <f t="shared" si="2303"/>
        <v>363092.06</v>
      </c>
      <c r="WL1333" s="97">
        <f t="shared" si="2304"/>
        <v>395900.71</v>
      </c>
      <c r="WM1333" s="97">
        <f t="shared" si="2305"/>
        <v>421039.33</v>
      </c>
      <c r="WN1333" s="97">
        <f t="shared" si="2306"/>
        <v>2497.5100000000002</v>
      </c>
      <c r="WO1333" s="97">
        <f t="shared" si="2307"/>
        <v>2636.35</v>
      </c>
      <c r="WP1333" s="97">
        <f t="shared" si="2308"/>
        <v>2657.1</v>
      </c>
      <c r="WQ1333" s="97">
        <f t="shared" si="2309"/>
        <v>0</v>
      </c>
      <c r="WR1333" s="97">
        <f t="shared" si="2309"/>
        <v>0</v>
      </c>
      <c r="WS1333" s="97">
        <f t="shared" si="2309"/>
        <v>0</v>
      </c>
      <c r="WT1333" s="97">
        <f t="shared" si="2310"/>
        <v>0</v>
      </c>
      <c r="WU1333" s="97">
        <f t="shared" si="2310"/>
        <v>0</v>
      </c>
      <c r="WV1333" s="97">
        <f t="shared" si="2310"/>
        <v>0</v>
      </c>
      <c r="WW1333" s="102">
        <v>2</v>
      </c>
      <c r="WX1333" s="102">
        <v>2</v>
      </c>
      <c r="WY1333" s="102">
        <v>2</v>
      </c>
      <c r="WZ1333" s="97">
        <f t="shared" si="2311"/>
        <v>2024076</v>
      </c>
      <c r="XA1333" s="97">
        <f t="shared" si="2312"/>
        <v>2135318</v>
      </c>
      <c r="XB1333" s="97">
        <f t="shared" si="2313"/>
        <v>2188422</v>
      </c>
      <c r="XC1333" s="97">
        <f t="shared" si="2314"/>
        <v>6582.54</v>
      </c>
      <c r="XD1333" s="97">
        <f t="shared" si="2315"/>
        <v>6582.54</v>
      </c>
      <c r="XE1333" s="97">
        <f t="shared" si="2316"/>
        <v>6582.54</v>
      </c>
      <c r="XF1333" s="97">
        <f t="shared" si="2317"/>
        <v>356701.77</v>
      </c>
      <c r="XG1333" s="97">
        <f t="shared" si="2318"/>
        <v>388671.55</v>
      </c>
      <c r="XH1333" s="97">
        <f t="shared" si="2319"/>
        <v>413269.18</v>
      </c>
      <c r="XI1333" s="97">
        <f t="shared" si="2320"/>
        <v>2011.61</v>
      </c>
      <c r="XJ1333" s="97">
        <f t="shared" si="2321"/>
        <v>2131.15</v>
      </c>
      <c r="XK1333" s="97">
        <f t="shared" si="2322"/>
        <v>2140.31</v>
      </c>
      <c r="XL1333" s="97">
        <f t="shared" si="2323"/>
        <v>713403.54</v>
      </c>
      <c r="XM1333" s="97">
        <f t="shared" si="2323"/>
        <v>777343.1</v>
      </c>
      <c r="XN1333" s="97">
        <f t="shared" si="2323"/>
        <v>826538.36</v>
      </c>
      <c r="XO1333" s="97">
        <f t="shared" si="2324"/>
        <v>4023.22</v>
      </c>
      <c r="XP1333" s="97">
        <f t="shared" si="2324"/>
        <v>4262.3</v>
      </c>
      <c r="XQ1333" s="97">
        <f t="shared" si="2324"/>
        <v>4280.62</v>
      </c>
      <c r="XR1333" s="102"/>
      <c r="XS1333" s="102"/>
      <c r="XT1333" s="102"/>
      <c r="XU1333" s="97">
        <f t="shared" si="2325"/>
        <v>0</v>
      </c>
      <c r="XV1333" s="97">
        <f t="shared" si="2326"/>
        <v>0</v>
      </c>
      <c r="XW1333" s="97">
        <f t="shared" si="2327"/>
        <v>0</v>
      </c>
      <c r="XX1333" s="97">
        <f t="shared" si="2328"/>
        <v>0</v>
      </c>
      <c r="XY1333" s="97">
        <f t="shared" si="2329"/>
        <v>0</v>
      </c>
      <c r="XZ1333" s="97">
        <f t="shared" si="2330"/>
        <v>0</v>
      </c>
      <c r="YA1333" s="97">
        <f t="shared" si="2331"/>
        <v>376522.74</v>
      </c>
      <c r="YB1333" s="97">
        <f t="shared" si="2332"/>
        <v>410603.34</v>
      </c>
      <c r="YC1333" s="97">
        <f t="shared" si="2333"/>
        <v>436787.78</v>
      </c>
      <c r="YD1333" s="97">
        <f t="shared" si="2334"/>
        <v>8797.24</v>
      </c>
      <c r="YE1333" s="97">
        <f t="shared" si="2335"/>
        <v>10415.030000000001</v>
      </c>
      <c r="YF1333" s="97">
        <f t="shared" si="2336"/>
        <v>10484.18</v>
      </c>
      <c r="YG1333" s="97">
        <f t="shared" si="2337"/>
        <v>0</v>
      </c>
      <c r="YH1333" s="97">
        <f t="shared" si="2337"/>
        <v>0</v>
      </c>
      <c r="YI1333" s="97">
        <f t="shared" si="2337"/>
        <v>0</v>
      </c>
      <c r="YJ1333" s="97">
        <f t="shared" si="2338"/>
        <v>0</v>
      </c>
      <c r="YK1333" s="97">
        <f t="shared" si="2338"/>
        <v>0</v>
      </c>
      <c r="YL1333" s="97">
        <f t="shared" si="2338"/>
        <v>0</v>
      </c>
      <c r="YM1333" s="145">
        <f t="shared" si="2339"/>
        <v>69</v>
      </c>
      <c r="YN1333" s="145">
        <f t="shared" si="2339"/>
        <v>69</v>
      </c>
      <c r="YO1333" s="145">
        <f t="shared" si="2339"/>
        <v>69</v>
      </c>
      <c r="YP1333" s="97">
        <f t="shared" si="2340"/>
        <v>69830622</v>
      </c>
      <c r="YQ1333" s="97">
        <f t="shared" si="2341"/>
        <v>73668471</v>
      </c>
      <c r="YR1333" s="97">
        <f t="shared" si="2342"/>
        <v>75500559</v>
      </c>
      <c r="YS1333" s="97">
        <f t="shared" si="2343"/>
        <v>227097.63</v>
      </c>
      <c r="YT1333" s="97">
        <f t="shared" si="2344"/>
        <v>227097.63</v>
      </c>
      <c r="YU1333" s="97">
        <f t="shared" si="2345"/>
        <v>227097.63</v>
      </c>
      <c r="YV1333" s="97">
        <f t="shared" si="2346"/>
        <v>396839.47</v>
      </c>
      <c r="YW1333" s="97">
        <f t="shared" si="2347"/>
        <v>432180.46</v>
      </c>
      <c r="YX1333" s="97">
        <f t="shared" si="2348"/>
        <v>459519.02</v>
      </c>
      <c r="YY1333" s="97">
        <f t="shared" si="2349"/>
        <v>2829.88</v>
      </c>
      <c r="YZ1333" s="97">
        <f t="shared" si="2350"/>
        <v>2974.02</v>
      </c>
      <c r="ZA1333" s="97">
        <f t="shared" si="2351"/>
        <v>2979.79</v>
      </c>
      <c r="ZB1333" s="97">
        <f t="shared" si="2352"/>
        <v>27381923.43</v>
      </c>
      <c r="ZC1333" s="97">
        <f t="shared" si="2352"/>
        <v>29820451.739999998</v>
      </c>
      <c r="ZD1333" s="97">
        <f t="shared" si="2352"/>
        <v>31706812.379999999</v>
      </c>
      <c r="ZE1333" s="97">
        <f t="shared" si="2353"/>
        <v>195261.72</v>
      </c>
      <c r="ZF1333" s="97">
        <f t="shared" si="2353"/>
        <v>205207.38</v>
      </c>
      <c r="ZG1333" s="97">
        <f t="shared" si="2353"/>
        <v>205605.51</v>
      </c>
    </row>
    <row r="1334" spans="1:683" ht="36" x14ac:dyDescent="0.25">
      <c r="A1334" s="12" t="s">
        <v>627</v>
      </c>
      <c r="B1334" s="174" t="s">
        <v>607</v>
      </c>
      <c r="C1334" s="5"/>
      <c r="D1334" s="340"/>
      <c r="E1334" s="163"/>
      <c r="F1334" s="110">
        <f t="shared" si="1903"/>
        <v>113929</v>
      </c>
      <c r="G1334" s="110">
        <f t="shared" si="1903"/>
        <v>116559</v>
      </c>
      <c r="H1334" s="110">
        <f t="shared" si="1903"/>
        <v>118336</v>
      </c>
      <c r="I1334" s="97">
        <f t="shared" si="1904"/>
        <v>6660.16</v>
      </c>
      <c r="J1334" s="97">
        <f t="shared" si="1904"/>
        <v>6790.4</v>
      </c>
      <c r="K1334" s="97">
        <f t="shared" si="1904"/>
        <v>6885.12</v>
      </c>
      <c r="L1334" s="102"/>
      <c r="M1334" s="102"/>
      <c r="N1334" s="102"/>
      <c r="O1334" s="97">
        <f t="shared" si="1905"/>
        <v>0</v>
      </c>
      <c r="P1334" s="97">
        <f t="shared" si="1906"/>
        <v>0</v>
      </c>
      <c r="Q1334" s="97">
        <f t="shared" si="1907"/>
        <v>0</v>
      </c>
      <c r="R1334" s="97">
        <f t="shared" si="1908"/>
        <v>0</v>
      </c>
      <c r="S1334" s="97">
        <f t="shared" si="1909"/>
        <v>0</v>
      </c>
      <c r="T1334" s="97">
        <f t="shared" si="1910"/>
        <v>0</v>
      </c>
      <c r="U1334" s="97">
        <f t="shared" si="1911"/>
        <v>49160.97</v>
      </c>
      <c r="V1334" s="97">
        <f t="shared" si="1912"/>
        <v>51935.76</v>
      </c>
      <c r="W1334" s="97">
        <f t="shared" si="1913"/>
        <v>54716.84</v>
      </c>
      <c r="X1334" s="97">
        <f t="shared" si="1914"/>
        <v>5222.4399999999996</v>
      </c>
      <c r="Y1334" s="97">
        <f t="shared" si="1915"/>
        <v>5379.41</v>
      </c>
      <c r="Z1334" s="97">
        <f t="shared" si="1916"/>
        <v>5439.04</v>
      </c>
      <c r="AA1334" s="97">
        <f t="shared" si="1917"/>
        <v>0</v>
      </c>
      <c r="AB1334" s="97">
        <f t="shared" si="1917"/>
        <v>0</v>
      </c>
      <c r="AC1334" s="97">
        <f t="shared" si="1917"/>
        <v>0</v>
      </c>
      <c r="AD1334" s="97">
        <f t="shared" si="1918"/>
        <v>0</v>
      </c>
      <c r="AE1334" s="97">
        <f t="shared" si="1918"/>
        <v>0</v>
      </c>
      <c r="AF1334" s="97">
        <f t="shared" si="1918"/>
        <v>0</v>
      </c>
      <c r="AG1334" s="102"/>
      <c r="AH1334" s="102"/>
      <c r="AI1334" s="102"/>
      <c r="AJ1334" s="97">
        <f t="shared" si="1919"/>
        <v>0</v>
      </c>
      <c r="AK1334" s="97">
        <f t="shared" si="1920"/>
        <v>0</v>
      </c>
      <c r="AL1334" s="97">
        <f t="shared" si="1921"/>
        <v>0</v>
      </c>
      <c r="AM1334" s="97">
        <f t="shared" si="1922"/>
        <v>0</v>
      </c>
      <c r="AN1334" s="97">
        <f t="shared" si="1923"/>
        <v>0</v>
      </c>
      <c r="AO1334" s="97">
        <f t="shared" si="1924"/>
        <v>0</v>
      </c>
      <c r="AP1334" s="97">
        <f t="shared" si="1925"/>
        <v>45225.83</v>
      </c>
      <c r="AQ1334" s="97">
        <f t="shared" si="1926"/>
        <v>47770.879999999997</v>
      </c>
      <c r="AR1334" s="97">
        <f t="shared" si="1927"/>
        <v>50320.94</v>
      </c>
      <c r="AS1334" s="97">
        <f t="shared" si="1928"/>
        <v>4164.33</v>
      </c>
      <c r="AT1334" s="97">
        <f t="shared" si="1929"/>
        <v>4354.55</v>
      </c>
      <c r="AU1334" s="97">
        <f t="shared" si="1930"/>
        <v>4437.3500000000004</v>
      </c>
      <c r="AV1334" s="97">
        <f t="shared" si="1931"/>
        <v>0</v>
      </c>
      <c r="AW1334" s="97">
        <f t="shared" si="1931"/>
        <v>0</v>
      </c>
      <c r="AX1334" s="97">
        <f t="shared" si="1931"/>
        <v>0</v>
      </c>
      <c r="AY1334" s="97">
        <f t="shared" si="1932"/>
        <v>0</v>
      </c>
      <c r="AZ1334" s="97">
        <f t="shared" si="1932"/>
        <v>0</v>
      </c>
      <c r="BA1334" s="97">
        <f t="shared" si="1932"/>
        <v>0</v>
      </c>
      <c r="BB1334" s="102"/>
      <c r="BC1334" s="102"/>
      <c r="BD1334" s="102"/>
      <c r="BE1334" s="97">
        <f t="shared" si="1933"/>
        <v>0</v>
      </c>
      <c r="BF1334" s="97">
        <f t="shared" si="1934"/>
        <v>0</v>
      </c>
      <c r="BG1334" s="97">
        <f t="shared" si="1935"/>
        <v>0</v>
      </c>
      <c r="BH1334" s="97">
        <f t="shared" si="1936"/>
        <v>0</v>
      </c>
      <c r="BI1334" s="97">
        <f t="shared" si="1937"/>
        <v>0</v>
      </c>
      <c r="BJ1334" s="97">
        <f t="shared" si="1938"/>
        <v>0</v>
      </c>
      <c r="BK1334" s="97">
        <f t="shared" si="1939"/>
        <v>42662.78</v>
      </c>
      <c r="BL1334" s="97">
        <f t="shared" si="1940"/>
        <v>44973.99</v>
      </c>
      <c r="BM1334" s="97">
        <f t="shared" si="1941"/>
        <v>47323.360000000001</v>
      </c>
      <c r="BN1334" s="97">
        <f t="shared" si="1942"/>
        <v>4448.41</v>
      </c>
      <c r="BO1334" s="97">
        <f t="shared" si="1943"/>
        <v>4651.6499999999996</v>
      </c>
      <c r="BP1334" s="97">
        <f t="shared" si="1944"/>
        <v>4731.3100000000004</v>
      </c>
      <c r="BQ1334" s="97">
        <f t="shared" si="1945"/>
        <v>0</v>
      </c>
      <c r="BR1334" s="97">
        <f t="shared" si="1945"/>
        <v>0</v>
      </c>
      <c r="BS1334" s="97">
        <f t="shared" si="1945"/>
        <v>0</v>
      </c>
      <c r="BT1334" s="97">
        <f t="shared" si="1946"/>
        <v>0</v>
      </c>
      <c r="BU1334" s="97">
        <f t="shared" si="1946"/>
        <v>0</v>
      </c>
      <c r="BV1334" s="97">
        <f t="shared" si="1946"/>
        <v>0</v>
      </c>
      <c r="BW1334" s="102"/>
      <c r="BX1334" s="102"/>
      <c r="BY1334" s="102"/>
      <c r="BZ1334" s="97">
        <f t="shared" si="1947"/>
        <v>0</v>
      </c>
      <c r="CA1334" s="97">
        <f t="shared" si="1948"/>
        <v>0</v>
      </c>
      <c r="CB1334" s="97">
        <f t="shared" si="1949"/>
        <v>0</v>
      </c>
      <c r="CC1334" s="97">
        <f t="shared" si="1950"/>
        <v>0</v>
      </c>
      <c r="CD1334" s="97">
        <f t="shared" si="1951"/>
        <v>0</v>
      </c>
      <c r="CE1334" s="97">
        <f t="shared" si="1952"/>
        <v>0</v>
      </c>
      <c r="CF1334" s="97">
        <f t="shared" si="1953"/>
        <v>44059.05</v>
      </c>
      <c r="CG1334" s="97">
        <f t="shared" si="1954"/>
        <v>46573.41</v>
      </c>
      <c r="CH1334" s="97">
        <f t="shared" si="1955"/>
        <v>49062.6</v>
      </c>
      <c r="CI1334" s="97">
        <f t="shared" si="1956"/>
        <v>6857.78</v>
      </c>
      <c r="CJ1334" s="97">
        <f t="shared" si="1957"/>
        <v>7028.18</v>
      </c>
      <c r="CK1334" s="97">
        <f t="shared" si="1958"/>
        <v>7091.77</v>
      </c>
      <c r="CL1334" s="97">
        <f t="shared" si="1959"/>
        <v>0</v>
      </c>
      <c r="CM1334" s="97">
        <f t="shared" si="1959"/>
        <v>0</v>
      </c>
      <c r="CN1334" s="97">
        <f t="shared" si="1959"/>
        <v>0</v>
      </c>
      <c r="CO1334" s="97">
        <f t="shared" si="1960"/>
        <v>0</v>
      </c>
      <c r="CP1334" s="97">
        <f t="shared" si="1960"/>
        <v>0</v>
      </c>
      <c r="CQ1334" s="97">
        <f t="shared" si="1960"/>
        <v>0</v>
      </c>
      <c r="CR1334" s="102">
        <v>4</v>
      </c>
      <c r="CS1334" s="102">
        <v>4</v>
      </c>
      <c r="CT1334" s="102">
        <v>4</v>
      </c>
      <c r="CU1334" s="97">
        <f t="shared" si="1961"/>
        <v>455716</v>
      </c>
      <c r="CV1334" s="97">
        <f t="shared" si="1962"/>
        <v>466236</v>
      </c>
      <c r="CW1334" s="97">
        <f t="shared" si="1963"/>
        <v>473344</v>
      </c>
      <c r="CX1334" s="97">
        <f t="shared" si="1964"/>
        <v>26640.639999999999</v>
      </c>
      <c r="CY1334" s="97">
        <f t="shared" si="1965"/>
        <v>27161.599999999999</v>
      </c>
      <c r="CZ1334" s="97">
        <f t="shared" si="1966"/>
        <v>27540.48</v>
      </c>
      <c r="DA1334" s="97">
        <f t="shared" si="1967"/>
        <v>44398.32</v>
      </c>
      <c r="DB1334" s="97">
        <f t="shared" si="1968"/>
        <v>46891.71</v>
      </c>
      <c r="DC1334" s="97">
        <f t="shared" si="1969"/>
        <v>49395.01</v>
      </c>
      <c r="DD1334" s="97">
        <f t="shared" si="1970"/>
        <v>3320.11</v>
      </c>
      <c r="DE1334" s="97">
        <f t="shared" si="1971"/>
        <v>3419.28</v>
      </c>
      <c r="DF1334" s="97">
        <f t="shared" si="1972"/>
        <v>3460.88</v>
      </c>
      <c r="DG1334" s="97">
        <f t="shared" si="1973"/>
        <v>177593.28</v>
      </c>
      <c r="DH1334" s="97">
        <f t="shared" si="1973"/>
        <v>187566.84</v>
      </c>
      <c r="DI1334" s="97">
        <f t="shared" si="1973"/>
        <v>197580.04</v>
      </c>
      <c r="DJ1334" s="97">
        <f t="shared" si="1974"/>
        <v>13280.44</v>
      </c>
      <c r="DK1334" s="97">
        <f t="shared" si="1974"/>
        <v>13677.12</v>
      </c>
      <c r="DL1334" s="97">
        <f t="shared" si="1974"/>
        <v>13843.52</v>
      </c>
      <c r="DM1334" s="102"/>
      <c r="DN1334" s="102"/>
      <c r="DO1334" s="102"/>
      <c r="DP1334" s="97">
        <f t="shared" si="1975"/>
        <v>0</v>
      </c>
      <c r="DQ1334" s="97">
        <f t="shared" si="1976"/>
        <v>0</v>
      </c>
      <c r="DR1334" s="97">
        <f t="shared" si="1977"/>
        <v>0</v>
      </c>
      <c r="DS1334" s="97">
        <f t="shared" si="1978"/>
        <v>0</v>
      </c>
      <c r="DT1334" s="97">
        <f t="shared" si="1979"/>
        <v>0</v>
      </c>
      <c r="DU1334" s="97">
        <f t="shared" si="1980"/>
        <v>0</v>
      </c>
      <c r="DV1334" s="97">
        <f t="shared" si="1981"/>
        <v>48208.84</v>
      </c>
      <c r="DW1334" s="97">
        <f t="shared" si="1982"/>
        <v>50995.3</v>
      </c>
      <c r="DX1334" s="97">
        <f t="shared" si="1983"/>
        <v>53743.61</v>
      </c>
      <c r="DY1334" s="97">
        <f t="shared" si="1984"/>
        <v>6954.12</v>
      </c>
      <c r="DZ1334" s="97">
        <f t="shared" si="1985"/>
        <v>6887.79</v>
      </c>
      <c r="EA1334" s="97">
        <f t="shared" si="1986"/>
        <v>6964.77</v>
      </c>
      <c r="EB1334" s="97">
        <f t="shared" si="1987"/>
        <v>0</v>
      </c>
      <c r="EC1334" s="97">
        <f t="shared" si="1987"/>
        <v>0</v>
      </c>
      <c r="ED1334" s="97">
        <f t="shared" si="1987"/>
        <v>0</v>
      </c>
      <c r="EE1334" s="97">
        <f t="shared" si="1988"/>
        <v>0</v>
      </c>
      <c r="EF1334" s="97">
        <f t="shared" si="1988"/>
        <v>0</v>
      </c>
      <c r="EG1334" s="97">
        <f t="shared" si="1988"/>
        <v>0</v>
      </c>
      <c r="EH1334" s="102"/>
      <c r="EI1334" s="102"/>
      <c r="EJ1334" s="102"/>
      <c r="EK1334" s="97">
        <f t="shared" si="1989"/>
        <v>0</v>
      </c>
      <c r="EL1334" s="97">
        <f t="shared" si="1990"/>
        <v>0</v>
      </c>
      <c r="EM1334" s="97">
        <f t="shared" si="1991"/>
        <v>0</v>
      </c>
      <c r="EN1334" s="97">
        <f t="shared" si="1992"/>
        <v>0</v>
      </c>
      <c r="EO1334" s="97">
        <f t="shared" si="1993"/>
        <v>0</v>
      </c>
      <c r="EP1334" s="97">
        <f t="shared" si="1994"/>
        <v>0</v>
      </c>
      <c r="EQ1334" s="97">
        <f t="shared" si="1995"/>
        <v>47652.57</v>
      </c>
      <c r="ER1334" s="97">
        <f t="shared" si="1996"/>
        <v>50251.24</v>
      </c>
      <c r="ES1334" s="97">
        <f t="shared" si="1997"/>
        <v>52909.31</v>
      </c>
      <c r="ET1334" s="97">
        <f t="shared" si="1998"/>
        <v>5838.3</v>
      </c>
      <c r="EU1334" s="97">
        <f t="shared" si="1999"/>
        <v>6094.96</v>
      </c>
      <c r="EV1334" s="97">
        <f t="shared" si="2000"/>
        <v>6205.81</v>
      </c>
      <c r="EW1334" s="97">
        <f t="shared" si="2001"/>
        <v>0</v>
      </c>
      <c r="EX1334" s="97">
        <f t="shared" si="2001"/>
        <v>0</v>
      </c>
      <c r="EY1334" s="97">
        <f t="shared" si="2001"/>
        <v>0</v>
      </c>
      <c r="EZ1334" s="97">
        <f t="shared" si="2002"/>
        <v>0</v>
      </c>
      <c r="FA1334" s="97">
        <f t="shared" si="2002"/>
        <v>0</v>
      </c>
      <c r="FB1334" s="97">
        <f t="shared" si="2002"/>
        <v>0</v>
      </c>
      <c r="FC1334" s="102">
        <v>3</v>
      </c>
      <c r="FD1334" s="102">
        <v>3</v>
      </c>
      <c r="FE1334" s="102">
        <v>3</v>
      </c>
      <c r="FF1334" s="97">
        <f t="shared" si="2003"/>
        <v>341787</v>
      </c>
      <c r="FG1334" s="97">
        <f t="shared" si="2004"/>
        <v>349677</v>
      </c>
      <c r="FH1334" s="97">
        <f t="shared" si="2005"/>
        <v>355008</v>
      </c>
      <c r="FI1334" s="97">
        <f t="shared" si="2006"/>
        <v>19980.48</v>
      </c>
      <c r="FJ1334" s="97">
        <f t="shared" si="2007"/>
        <v>20371.2</v>
      </c>
      <c r="FK1334" s="97">
        <f t="shared" si="2008"/>
        <v>20655.36</v>
      </c>
      <c r="FL1334" s="97">
        <f t="shared" si="2009"/>
        <v>46296.74</v>
      </c>
      <c r="FM1334" s="97">
        <f t="shared" si="2010"/>
        <v>48920.28</v>
      </c>
      <c r="FN1334" s="97">
        <f t="shared" si="2011"/>
        <v>51538.39</v>
      </c>
      <c r="FO1334" s="97">
        <f t="shared" si="2012"/>
        <v>6279.35</v>
      </c>
      <c r="FP1334" s="97">
        <f t="shared" si="2013"/>
        <v>6596.27</v>
      </c>
      <c r="FQ1334" s="97">
        <f t="shared" si="2014"/>
        <v>6563.02</v>
      </c>
      <c r="FR1334" s="97">
        <f t="shared" si="2015"/>
        <v>138890.22</v>
      </c>
      <c r="FS1334" s="97">
        <f t="shared" si="2015"/>
        <v>146760.84</v>
      </c>
      <c r="FT1334" s="97">
        <f t="shared" si="2015"/>
        <v>154615.17000000001</v>
      </c>
      <c r="FU1334" s="97">
        <f t="shared" si="2016"/>
        <v>18838.05</v>
      </c>
      <c r="FV1334" s="97">
        <f t="shared" si="2016"/>
        <v>19788.810000000001</v>
      </c>
      <c r="FW1334" s="97">
        <f t="shared" si="2016"/>
        <v>19689.060000000001</v>
      </c>
      <c r="FX1334" s="102"/>
      <c r="FY1334" s="102"/>
      <c r="FZ1334" s="102"/>
      <c r="GA1334" s="97">
        <f t="shared" si="2017"/>
        <v>0</v>
      </c>
      <c r="GB1334" s="97">
        <f t="shared" si="2018"/>
        <v>0</v>
      </c>
      <c r="GC1334" s="97">
        <f t="shared" si="2019"/>
        <v>0</v>
      </c>
      <c r="GD1334" s="97">
        <f t="shared" si="2020"/>
        <v>0</v>
      </c>
      <c r="GE1334" s="97">
        <f t="shared" si="2021"/>
        <v>0</v>
      </c>
      <c r="GF1334" s="97">
        <f t="shared" si="2022"/>
        <v>0</v>
      </c>
      <c r="GG1334" s="97">
        <f t="shared" si="2023"/>
        <v>46223.99</v>
      </c>
      <c r="GH1334" s="97">
        <f t="shared" si="2024"/>
        <v>48790.14</v>
      </c>
      <c r="GI1334" s="97">
        <f t="shared" si="2025"/>
        <v>51375.56</v>
      </c>
      <c r="GJ1334" s="97">
        <f t="shared" si="2026"/>
        <v>4708.3500000000004</v>
      </c>
      <c r="GK1334" s="97">
        <f t="shared" si="2027"/>
        <v>5330.96</v>
      </c>
      <c r="GL1334" s="97">
        <f t="shared" si="2028"/>
        <v>5745.27</v>
      </c>
      <c r="GM1334" s="97">
        <f t="shared" si="2029"/>
        <v>0</v>
      </c>
      <c r="GN1334" s="97">
        <f t="shared" si="2029"/>
        <v>0</v>
      </c>
      <c r="GO1334" s="97">
        <f t="shared" si="2029"/>
        <v>0</v>
      </c>
      <c r="GP1334" s="97">
        <f t="shared" si="2030"/>
        <v>0</v>
      </c>
      <c r="GQ1334" s="97">
        <f t="shared" si="2030"/>
        <v>0</v>
      </c>
      <c r="GR1334" s="97">
        <f t="shared" si="2030"/>
        <v>0</v>
      </c>
      <c r="GS1334" s="102">
        <v>1</v>
      </c>
      <c r="GT1334" s="102">
        <v>1</v>
      </c>
      <c r="GU1334" s="102">
        <v>1</v>
      </c>
      <c r="GV1334" s="97">
        <f t="shared" si="2031"/>
        <v>113929</v>
      </c>
      <c r="GW1334" s="97">
        <f t="shared" si="2032"/>
        <v>116559</v>
      </c>
      <c r="GX1334" s="97">
        <f t="shared" si="2033"/>
        <v>118336</v>
      </c>
      <c r="GY1334" s="97">
        <f t="shared" si="2034"/>
        <v>6660.16</v>
      </c>
      <c r="GZ1334" s="97">
        <f t="shared" si="2035"/>
        <v>6790.4</v>
      </c>
      <c r="HA1334" s="97">
        <f t="shared" si="2036"/>
        <v>6885.12</v>
      </c>
      <c r="HB1334" s="97">
        <f t="shared" si="2037"/>
        <v>48287.24</v>
      </c>
      <c r="HC1334" s="97">
        <f t="shared" si="2038"/>
        <v>50947.41</v>
      </c>
      <c r="HD1334" s="97">
        <f t="shared" si="2039"/>
        <v>53645.69</v>
      </c>
      <c r="HE1334" s="97">
        <f t="shared" si="2040"/>
        <v>5478.24</v>
      </c>
      <c r="HF1334" s="97">
        <f t="shared" si="2041"/>
        <v>5702.08</v>
      </c>
      <c r="HG1334" s="97">
        <f t="shared" si="2042"/>
        <v>5791.87</v>
      </c>
      <c r="HH1334" s="97">
        <f t="shared" si="2043"/>
        <v>48287.24</v>
      </c>
      <c r="HI1334" s="97">
        <f t="shared" si="2043"/>
        <v>50947.41</v>
      </c>
      <c r="HJ1334" s="97">
        <f t="shared" si="2043"/>
        <v>53645.69</v>
      </c>
      <c r="HK1334" s="97">
        <f t="shared" si="2044"/>
        <v>5478.24</v>
      </c>
      <c r="HL1334" s="97">
        <f t="shared" si="2044"/>
        <v>5702.08</v>
      </c>
      <c r="HM1334" s="97">
        <f t="shared" si="2044"/>
        <v>5791.87</v>
      </c>
      <c r="HN1334" s="102"/>
      <c r="HO1334" s="102"/>
      <c r="HP1334" s="102"/>
      <c r="HQ1334" s="97">
        <f t="shared" si="2045"/>
        <v>0</v>
      </c>
      <c r="HR1334" s="97">
        <f t="shared" si="2046"/>
        <v>0</v>
      </c>
      <c r="HS1334" s="97">
        <f t="shared" si="2047"/>
        <v>0</v>
      </c>
      <c r="HT1334" s="97">
        <f t="shared" si="2048"/>
        <v>0</v>
      </c>
      <c r="HU1334" s="97">
        <f t="shared" si="2049"/>
        <v>0</v>
      </c>
      <c r="HV1334" s="97">
        <f t="shared" si="2050"/>
        <v>0</v>
      </c>
      <c r="HW1334" s="97">
        <f t="shared" si="2051"/>
        <v>47521.36</v>
      </c>
      <c r="HX1334" s="97">
        <f t="shared" si="2052"/>
        <v>50213.48</v>
      </c>
      <c r="HY1334" s="97">
        <f t="shared" si="2053"/>
        <v>52882.48</v>
      </c>
      <c r="HZ1334" s="97">
        <f t="shared" si="2054"/>
        <v>5225.88</v>
      </c>
      <c r="IA1334" s="97">
        <f t="shared" si="2055"/>
        <v>5436.14</v>
      </c>
      <c r="IB1334" s="97">
        <f t="shared" si="2056"/>
        <v>5427.2</v>
      </c>
      <c r="IC1334" s="97">
        <f t="shared" si="2057"/>
        <v>0</v>
      </c>
      <c r="ID1334" s="97">
        <f t="shared" si="2057"/>
        <v>0</v>
      </c>
      <c r="IE1334" s="97">
        <f t="shared" si="2057"/>
        <v>0</v>
      </c>
      <c r="IF1334" s="97">
        <f t="shared" si="2058"/>
        <v>0</v>
      </c>
      <c r="IG1334" s="97">
        <f t="shared" si="2058"/>
        <v>0</v>
      </c>
      <c r="IH1334" s="97">
        <f t="shared" si="2058"/>
        <v>0</v>
      </c>
      <c r="II1334" s="102"/>
      <c r="IJ1334" s="102"/>
      <c r="IK1334" s="102"/>
      <c r="IL1334" s="97">
        <f t="shared" si="2059"/>
        <v>0</v>
      </c>
      <c r="IM1334" s="97">
        <f t="shared" si="2060"/>
        <v>0</v>
      </c>
      <c r="IN1334" s="97">
        <f t="shared" si="2061"/>
        <v>0</v>
      </c>
      <c r="IO1334" s="97">
        <f t="shared" si="2062"/>
        <v>0</v>
      </c>
      <c r="IP1334" s="97">
        <f t="shared" si="2063"/>
        <v>0</v>
      </c>
      <c r="IQ1334" s="97">
        <f t="shared" si="2064"/>
        <v>0</v>
      </c>
      <c r="IR1334" s="97">
        <f t="shared" si="2065"/>
        <v>64554.6</v>
      </c>
      <c r="IS1334" s="97">
        <f t="shared" si="2066"/>
        <v>68034.63</v>
      </c>
      <c r="IT1334" s="97">
        <f t="shared" si="2067"/>
        <v>71624.89</v>
      </c>
      <c r="IU1334" s="97">
        <f t="shared" si="2068"/>
        <v>7900.52</v>
      </c>
      <c r="IV1334" s="97">
        <f t="shared" si="2069"/>
        <v>8217.8700000000008</v>
      </c>
      <c r="IW1334" s="97">
        <f t="shared" si="2070"/>
        <v>8146.73</v>
      </c>
      <c r="IX1334" s="97">
        <f t="shared" si="2071"/>
        <v>0</v>
      </c>
      <c r="IY1334" s="97">
        <f t="shared" si="2071"/>
        <v>0</v>
      </c>
      <c r="IZ1334" s="97">
        <f t="shared" si="2071"/>
        <v>0</v>
      </c>
      <c r="JA1334" s="97">
        <f t="shared" si="2072"/>
        <v>0</v>
      </c>
      <c r="JB1334" s="97">
        <f t="shared" si="2072"/>
        <v>0</v>
      </c>
      <c r="JC1334" s="97">
        <f t="shared" si="2072"/>
        <v>0</v>
      </c>
      <c r="JD1334" s="102">
        <v>6</v>
      </c>
      <c r="JE1334" s="102">
        <v>6</v>
      </c>
      <c r="JF1334" s="102">
        <v>6</v>
      </c>
      <c r="JG1334" s="97">
        <f t="shared" si="2073"/>
        <v>683574</v>
      </c>
      <c r="JH1334" s="97">
        <f t="shared" si="2074"/>
        <v>699354</v>
      </c>
      <c r="JI1334" s="97">
        <f t="shared" si="2075"/>
        <v>710016</v>
      </c>
      <c r="JJ1334" s="97">
        <f t="shared" si="2076"/>
        <v>39960.959999999999</v>
      </c>
      <c r="JK1334" s="97">
        <f t="shared" si="2077"/>
        <v>40742.400000000001</v>
      </c>
      <c r="JL1334" s="97">
        <f t="shared" si="2078"/>
        <v>41310.720000000001</v>
      </c>
      <c r="JM1334" s="97">
        <f t="shared" si="2079"/>
        <v>43273.54</v>
      </c>
      <c r="JN1334" s="97">
        <f t="shared" si="2080"/>
        <v>45697.58</v>
      </c>
      <c r="JO1334" s="97">
        <f t="shared" si="2081"/>
        <v>48134.65</v>
      </c>
      <c r="JP1334" s="97">
        <f t="shared" si="2082"/>
        <v>4307.33</v>
      </c>
      <c r="JQ1334" s="97">
        <f t="shared" si="2083"/>
        <v>4562.1400000000003</v>
      </c>
      <c r="JR1334" s="97">
        <f t="shared" si="2084"/>
        <v>4636.78</v>
      </c>
      <c r="JS1334" s="97">
        <f t="shared" si="2085"/>
        <v>259641.24</v>
      </c>
      <c r="JT1334" s="97">
        <f t="shared" si="2085"/>
        <v>274185.48</v>
      </c>
      <c r="JU1334" s="97">
        <f t="shared" si="2085"/>
        <v>288807.90000000002</v>
      </c>
      <c r="JV1334" s="97">
        <f t="shared" si="2086"/>
        <v>25843.98</v>
      </c>
      <c r="JW1334" s="97">
        <f t="shared" si="2086"/>
        <v>27372.84</v>
      </c>
      <c r="JX1334" s="97">
        <f t="shared" si="2086"/>
        <v>27820.68</v>
      </c>
      <c r="JY1334" s="102">
        <v>3</v>
      </c>
      <c r="JZ1334" s="102">
        <v>3</v>
      </c>
      <c r="KA1334" s="102">
        <v>3</v>
      </c>
      <c r="KB1334" s="97">
        <f t="shared" si="2087"/>
        <v>341787</v>
      </c>
      <c r="KC1334" s="97">
        <f t="shared" si="2088"/>
        <v>349677</v>
      </c>
      <c r="KD1334" s="97">
        <f t="shared" si="2089"/>
        <v>355008</v>
      </c>
      <c r="KE1334" s="97">
        <f t="shared" si="2090"/>
        <v>19980.48</v>
      </c>
      <c r="KF1334" s="97">
        <f t="shared" si="2091"/>
        <v>20371.2</v>
      </c>
      <c r="KG1334" s="97">
        <f t="shared" si="2092"/>
        <v>20655.36</v>
      </c>
      <c r="KH1334" s="97">
        <f t="shared" si="2093"/>
        <v>44489.75</v>
      </c>
      <c r="KI1334" s="97">
        <f t="shared" si="2094"/>
        <v>46942.15</v>
      </c>
      <c r="KJ1334" s="97">
        <f t="shared" si="2095"/>
        <v>49434.47</v>
      </c>
      <c r="KK1334" s="97">
        <f t="shared" si="2096"/>
        <v>4037.92</v>
      </c>
      <c r="KL1334" s="97">
        <f t="shared" si="2097"/>
        <v>4228.07</v>
      </c>
      <c r="KM1334" s="97">
        <f t="shared" si="2098"/>
        <v>4266.79</v>
      </c>
      <c r="KN1334" s="97">
        <f t="shared" si="2099"/>
        <v>133469.25</v>
      </c>
      <c r="KO1334" s="97">
        <f t="shared" si="2099"/>
        <v>140826.45000000001</v>
      </c>
      <c r="KP1334" s="97">
        <f t="shared" si="2099"/>
        <v>148303.41</v>
      </c>
      <c r="KQ1334" s="97">
        <f t="shared" si="2100"/>
        <v>12113.76</v>
      </c>
      <c r="KR1334" s="97">
        <f t="shared" si="2100"/>
        <v>12684.21</v>
      </c>
      <c r="KS1334" s="97">
        <f t="shared" si="2100"/>
        <v>12800.37</v>
      </c>
      <c r="KT1334" s="102">
        <v>6</v>
      </c>
      <c r="KU1334" s="102">
        <v>6</v>
      </c>
      <c r="KV1334" s="102">
        <v>6</v>
      </c>
      <c r="KW1334" s="97">
        <f t="shared" si="2101"/>
        <v>683574</v>
      </c>
      <c r="KX1334" s="97">
        <f t="shared" si="2102"/>
        <v>699354</v>
      </c>
      <c r="KY1334" s="97">
        <f t="shared" si="2103"/>
        <v>710016</v>
      </c>
      <c r="KZ1334" s="97">
        <f t="shared" si="2104"/>
        <v>39960.959999999999</v>
      </c>
      <c r="LA1334" s="97">
        <f t="shared" si="2105"/>
        <v>40742.400000000001</v>
      </c>
      <c r="LB1334" s="97">
        <f t="shared" si="2106"/>
        <v>41310.720000000001</v>
      </c>
      <c r="LC1334" s="97">
        <f t="shared" si="2107"/>
        <v>41994.3</v>
      </c>
      <c r="LD1334" s="97">
        <f t="shared" si="2108"/>
        <v>44368.31</v>
      </c>
      <c r="LE1334" s="97">
        <f t="shared" si="2109"/>
        <v>46737.599999999999</v>
      </c>
      <c r="LF1334" s="97">
        <f t="shared" si="2110"/>
        <v>5565.21</v>
      </c>
      <c r="LG1334" s="97">
        <f t="shared" si="2111"/>
        <v>5907.36</v>
      </c>
      <c r="LH1334" s="97">
        <f t="shared" si="2112"/>
        <v>6021.12</v>
      </c>
      <c r="LI1334" s="97">
        <f t="shared" si="2113"/>
        <v>251965.8</v>
      </c>
      <c r="LJ1334" s="97">
        <f t="shared" si="2113"/>
        <v>266209.86</v>
      </c>
      <c r="LK1334" s="97">
        <f t="shared" si="2113"/>
        <v>280425.59999999998</v>
      </c>
      <c r="LL1334" s="97">
        <f t="shared" si="2114"/>
        <v>33391.26</v>
      </c>
      <c r="LM1334" s="97">
        <f t="shared" si="2114"/>
        <v>35444.160000000003</v>
      </c>
      <c r="LN1334" s="97">
        <f t="shared" si="2114"/>
        <v>36126.720000000001</v>
      </c>
      <c r="LO1334" s="102">
        <v>4</v>
      </c>
      <c r="LP1334" s="102">
        <v>4</v>
      </c>
      <c r="LQ1334" s="102">
        <v>4</v>
      </c>
      <c r="LR1334" s="97">
        <f t="shared" si="2115"/>
        <v>455716</v>
      </c>
      <c r="LS1334" s="97">
        <f t="shared" si="2116"/>
        <v>466236</v>
      </c>
      <c r="LT1334" s="97">
        <f t="shared" si="2117"/>
        <v>473344</v>
      </c>
      <c r="LU1334" s="97">
        <f t="shared" si="2118"/>
        <v>26640.639999999999</v>
      </c>
      <c r="LV1334" s="97">
        <f t="shared" si="2119"/>
        <v>27161.599999999999</v>
      </c>
      <c r="LW1334" s="97">
        <f t="shared" si="2120"/>
        <v>27540.48</v>
      </c>
      <c r="LX1334" s="97">
        <f t="shared" si="2121"/>
        <v>36683.89</v>
      </c>
      <c r="LY1334" s="97">
        <f t="shared" si="2122"/>
        <v>38759.79</v>
      </c>
      <c r="LZ1334" s="97">
        <f t="shared" si="2123"/>
        <v>40825.360000000001</v>
      </c>
      <c r="MA1334" s="97">
        <f t="shared" si="2124"/>
        <v>4131.05</v>
      </c>
      <c r="MB1334" s="97">
        <f t="shared" si="2125"/>
        <v>4315.9799999999996</v>
      </c>
      <c r="MC1334" s="97">
        <f t="shared" si="2126"/>
        <v>4363.26</v>
      </c>
      <c r="MD1334" s="97">
        <f t="shared" si="2127"/>
        <v>146735.56</v>
      </c>
      <c r="ME1334" s="97">
        <f t="shared" si="2127"/>
        <v>155039.16</v>
      </c>
      <c r="MF1334" s="97">
        <f t="shared" si="2127"/>
        <v>163301.44</v>
      </c>
      <c r="MG1334" s="97">
        <f t="shared" si="2128"/>
        <v>16524.2</v>
      </c>
      <c r="MH1334" s="97">
        <f t="shared" si="2128"/>
        <v>17263.919999999998</v>
      </c>
      <c r="MI1334" s="97">
        <f t="shared" si="2128"/>
        <v>17453.04</v>
      </c>
      <c r="MJ1334" s="102"/>
      <c r="MK1334" s="102"/>
      <c r="ML1334" s="102"/>
      <c r="MM1334" s="97">
        <f t="shared" si="2129"/>
        <v>0</v>
      </c>
      <c r="MN1334" s="97">
        <f t="shared" si="2130"/>
        <v>0</v>
      </c>
      <c r="MO1334" s="97">
        <f t="shared" si="2131"/>
        <v>0</v>
      </c>
      <c r="MP1334" s="97">
        <f t="shared" si="2132"/>
        <v>0</v>
      </c>
      <c r="MQ1334" s="97">
        <f t="shared" si="2133"/>
        <v>0</v>
      </c>
      <c r="MR1334" s="97">
        <f t="shared" si="2134"/>
        <v>0</v>
      </c>
      <c r="MS1334" s="97">
        <f t="shared" si="2135"/>
        <v>42439.19</v>
      </c>
      <c r="MT1334" s="97">
        <f t="shared" si="2136"/>
        <v>44835.34</v>
      </c>
      <c r="MU1334" s="97">
        <f t="shared" si="2137"/>
        <v>47228.83</v>
      </c>
      <c r="MV1334" s="97">
        <f t="shared" si="2138"/>
        <v>4900.99</v>
      </c>
      <c r="MW1334" s="97">
        <f t="shared" si="2139"/>
        <v>5051.38</v>
      </c>
      <c r="MX1334" s="97">
        <f t="shared" si="2140"/>
        <v>5153.41</v>
      </c>
      <c r="MY1334" s="97">
        <f t="shared" si="2141"/>
        <v>0</v>
      </c>
      <c r="MZ1334" s="97">
        <f t="shared" si="2141"/>
        <v>0</v>
      </c>
      <c r="NA1334" s="97">
        <f t="shared" si="2141"/>
        <v>0</v>
      </c>
      <c r="NB1334" s="97">
        <f t="shared" si="2142"/>
        <v>0</v>
      </c>
      <c r="NC1334" s="97">
        <f t="shared" si="2142"/>
        <v>0</v>
      </c>
      <c r="ND1334" s="97">
        <f t="shared" si="2142"/>
        <v>0</v>
      </c>
      <c r="NE1334" s="102">
        <v>1</v>
      </c>
      <c r="NF1334" s="102">
        <v>1</v>
      </c>
      <c r="NG1334" s="102">
        <v>1</v>
      </c>
      <c r="NH1334" s="97">
        <f t="shared" si="2143"/>
        <v>113929</v>
      </c>
      <c r="NI1334" s="97">
        <f t="shared" si="2144"/>
        <v>116559</v>
      </c>
      <c r="NJ1334" s="97">
        <f t="shared" si="2145"/>
        <v>118336</v>
      </c>
      <c r="NK1334" s="97">
        <f t="shared" si="2146"/>
        <v>6660.16</v>
      </c>
      <c r="NL1334" s="97">
        <f t="shared" si="2147"/>
        <v>6790.4</v>
      </c>
      <c r="NM1334" s="97">
        <f t="shared" si="2148"/>
        <v>6885.12</v>
      </c>
      <c r="NN1334" s="97">
        <f t="shared" si="2149"/>
        <v>43329.49</v>
      </c>
      <c r="NO1334" s="97">
        <f t="shared" si="2150"/>
        <v>45716.73</v>
      </c>
      <c r="NP1334" s="97">
        <f t="shared" si="2151"/>
        <v>48130.15</v>
      </c>
      <c r="NQ1334" s="97">
        <f t="shared" si="2152"/>
        <v>7177.83</v>
      </c>
      <c r="NR1334" s="97">
        <f t="shared" si="2153"/>
        <v>7643.93</v>
      </c>
      <c r="NS1334" s="97">
        <f t="shared" si="2154"/>
        <v>7536.46</v>
      </c>
      <c r="NT1334" s="97">
        <f t="shared" si="2155"/>
        <v>43329.49</v>
      </c>
      <c r="NU1334" s="97">
        <f t="shared" si="2155"/>
        <v>45716.73</v>
      </c>
      <c r="NV1334" s="97">
        <f t="shared" si="2155"/>
        <v>48130.15</v>
      </c>
      <c r="NW1334" s="97">
        <f t="shared" si="2156"/>
        <v>7177.83</v>
      </c>
      <c r="NX1334" s="97">
        <f t="shared" si="2156"/>
        <v>7643.93</v>
      </c>
      <c r="NY1334" s="97">
        <f t="shared" si="2156"/>
        <v>7536.46</v>
      </c>
      <c r="NZ1334" s="102">
        <v>11</v>
      </c>
      <c r="OA1334" s="102">
        <v>11</v>
      </c>
      <c r="OB1334" s="102">
        <v>11</v>
      </c>
      <c r="OC1334" s="97">
        <f t="shared" si="2157"/>
        <v>1253219</v>
      </c>
      <c r="OD1334" s="97">
        <f t="shared" si="2158"/>
        <v>1282149</v>
      </c>
      <c r="OE1334" s="97">
        <f t="shared" si="2159"/>
        <v>1301696</v>
      </c>
      <c r="OF1334" s="97">
        <f t="shared" si="2160"/>
        <v>73261.759999999995</v>
      </c>
      <c r="OG1334" s="97">
        <f t="shared" si="2161"/>
        <v>74694.399999999994</v>
      </c>
      <c r="OH1334" s="97">
        <f t="shared" si="2162"/>
        <v>75736.320000000007</v>
      </c>
      <c r="OI1334" s="97">
        <f t="shared" si="2163"/>
        <v>56812.21</v>
      </c>
      <c r="OJ1334" s="97">
        <f t="shared" si="2164"/>
        <v>59848.42</v>
      </c>
      <c r="OK1334" s="97">
        <f t="shared" si="2165"/>
        <v>62989.53</v>
      </c>
      <c r="OL1334" s="97">
        <f t="shared" si="2166"/>
        <v>7199.27</v>
      </c>
      <c r="OM1334" s="97">
        <f t="shared" si="2167"/>
        <v>7626.66</v>
      </c>
      <c r="ON1334" s="97">
        <f t="shared" si="2168"/>
        <v>7692.61</v>
      </c>
      <c r="OO1334" s="97">
        <f t="shared" si="2169"/>
        <v>624934.31000000006</v>
      </c>
      <c r="OP1334" s="97">
        <f t="shared" si="2169"/>
        <v>658332.62</v>
      </c>
      <c r="OQ1334" s="97">
        <f t="shared" si="2169"/>
        <v>692884.83</v>
      </c>
      <c r="OR1334" s="97">
        <f t="shared" si="2170"/>
        <v>79191.97</v>
      </c>
      <c r="OS1334" s="97">
        <f t="shared" si="2170"/>
        <v>83893.26</v>
      </c>
      <c r="OT1334" s="97">
        <f t="shared" si="2170"/>
        <v>84618.71</v>
      </c>
      <c r="OU1334" s="102">
        <v>1</v>
      </c>
      <c r="OV1334" s="102">
        <v>1</v>
      </c>
      <c r="OW1334" s="102">
        <v>1</v>
      </c>
      <c r="OX1334" s="97">
        <f t="shared" si="2171"/>
        <v>113929</v>
      </c>
      <c r="OY1334" s="97">
        <f t="shared" si="2172"/>
        <v>116559</v>
      </c>
      <c r="OZ1334" s="97">
        <f t="shared" si="2173"/>
        <v>118336</v>
      </c>
      <c r="PA1334" s="97">
        <f t="shared" si="2174"/>
        <v>6660.16</v>
      </c>
      <c r="PB1334" s="97">
        <f t="shared" si="2175"/>
        <v>6790.4</v>
      </c>
      <c r="PC1334" s="97">
        <f t="shared" si="2176"/>
        <v>6885.12</v>
      </c>
      <c r="PD1334" s="97">
        <f t="shared" si="2177"/>
        <v>47777.3</v>
      </c>
      <c r="PE1334" s="97">
        <f t="shared" si="2178"/>
        <v>50452.58</v>
      </c>
      <c r="PF1334" s="97">
        <f t="shared" si="2179"/>
        <v>53138.84</v>
      </c>
      <c r="PG1334" s="97">
        <f t="shared" si="2180"/>
        <v>5753.74</v>
      </c>
      <c r="PH1334" s="97">
        <f t="shared" si="2181"/>
        <v>5993.04</v>
      </c>
      <c r="PI1334" s="97">
        <f t="shared" si="2182"/>
        <v>6126.02</v>
      </c>
      <c r="PJ1334" s="97">
        <f t="shared" si="2183"/>
        <v>47777.3</v>
      </c>
      <c r="PK1334" s="97">
        <f t="shared" si="2183"/>
        <v>50452.58</v>
      </c>
      <c r="PL1334" s="97">
        <f t="shared" si="2183"/>
        <v>53138.84</v>
      </c>
      <c r="PM1334" s="97">
        <f t="shared" si="2184"/>
        <v>5753.74</v>
      </c>
      <c r="PN1334" s="97">
        <f t="shared" si="2184"/>
        <v>5993.04</v>
      </c>
      <c r="PO1334" s="97">
        <f t="shared" si="2184"/>
        <v>6126.02</v>
      </c>
      <c r="PP1334" s="102"/>
      <c r="PQ1334" s="102"/>
      <c r="PR1334" s="102"/>
      <c r="PS1334" s="97">
        <f t="shared" si="2185"/>
        <v>0</v>
      </c>
      <c r="PT1334" s="97">
        <f t="shared" si="2186"/>
        <v>0</v>
      </c>
      <c r="PU1334" s="97">
        <f t="shared" si="2187"/>
        <v>0</v>
      </c>
      <c r="PV1334" s="97">
        <f t="shared" si="2188"/>
        <v>0</v>
      </c>
      <c r="PW1334" s="97">
        <f t="shared" si="2189"/>
        <v>0</v>
      </c>
      <c r="PX1334" s="97">
        <f t="shared" si="2190"/>
        <v>0</v>
      </c>
      <c r="PY1334" s="97">
        <f t="shared" si="2191"/>
        <v>42775.19</v>
      </c>
      <c r="PZ1334" s="97">
        <f t="shared" si="2192"/>
        <v>45208.3</v>
      </c>
      <c r="QA1334" s="97">
        <f t="shared" si="2193"/>
        <v>47618.5</v>
      </c>
      <c r="QB1334" s="97">
        <f t="shared" si="2194"/>
        <v>5933.53</v>
      </c>
      <c r="QC1334" s="97">
        <f t="shared" si="2195"/>
        <v>6352.7</v>
      </c>
      <c r="QD1334" s="97">
        <f t="shared" si="2196"/>
        <v>6435.71</v>
      </c>
      <c r="QE1334" s="97">
        <f t="shared" si="2197"/>
        <v>0</v>
      </c>
      <c r="QF1334" s="97">
        <f t="shared" si="2197"/>
        <v>0</v>
      </c>
      <c r="QG1334" s="97">
        <f t="shared" si="2197"/>
        <v>0</v>
      </c>
      <c r="QH1334" s="97">
        <f t="shared" si="2198"/>
        <v>0</v>
      </c>
      <c r="QI1334" s="97">
        <f t="shared" si="2198"/>
        <v>0</v>
      </c>
      <c r="QJ1334" s="97">
        <f t="shared" si="2198"/>
        <v>0</v>
      </c>
      <c r="QK1334" s="102"/>
      <c r="QL1334" s="102"/>
      <c r="QM1334" s="102"/>
      <c r="QN1334" s="97">
        <f t="shared" si="2199"/>
        <v>0</v>
      </c>
      <c r="QO1334" s="97">
        <f t="shared" si="2200"/>
        <v>0</v>
      </c>
      <c r="QP1334" s="97">
        <f t="shared" si="2201"/>
        <v>0</v>
      </c>
      <c r="QQ1334" s="97">
        <f t="shared" si="2202"/>
        <v>0</v>
      </c>
      <c r="QR1334" s="97">
        <f t="shared" si="2203"/>
        <v>0</v>
      </c>
      <c r="QS1334" s="97">
        <f t="shared" si="2204"/>
        <v>0</v>
      </c>
      <c r="QT1334" s="97">
        <f t="shared" si="2205"/>
        <v>43499.93</v>
      </c>
      <c r="QU1334" s="97">
        <f t="shared" si="2206"/>
        <v>45957.58</v>
      </c>
      <c r="QV1334" s="97">
        <f t="shared" si="2207"/>
        <v>48412.99</v>
      </c>
      <c r="QW1334" s="97">
        <f t="shared" si="2208"/>
        <v>4081.02</v>
      </c>
      <c r="QX1334" s="97">
        <f t="shared" si="2209"/>
        <v>4317.5600000000004</v>
      </c>
      <c r="QY1334" s="97">
        <f t="shared" si="2210"/>
        <v>4402.28</v>
      </c>
      <c r="QZ1334" s="97">
        <f t="shared" si="2211"/>
        <v>0</v>
      </c>
      <c r="RA1334" s="97">
        <f t="shared" si="2211"/>
        <v>0</v>
      </c>
      <c r="RB1334" s="97">
        <f t="shared" si="2211"/>
        <v>0</v>
      </c>
      <c r="RC1334" s="97">
        <f t="shared" si="2212"/>
        <v>0</v>
      </c>
      <c r="RD1334" s="97">
        <f t="shared" si="2212"/>
        <v>0</v>
      </c>
      <c r="RE1334" s="97">
        <f t="shared" si="2212"/>
        <v>0</v>
      </c>
      <c r="RF1334" s="102">
        <v>3</v>
      </c>
      <c r="RG1334" s="102">
        <v>3</v>
      </c>
      <c r="RH1334" s="102">
        <v>3</v>
      </c>
      <c r="RI1334" s="97">
        <f t="shared" si="2213"/>
        <v>341787</v>
      </c>
      <c r="RJ1334" s="97">
        <f t="shared" si="2214"/>
        <v>349677</v>
      </c>
      <c r="RK1334" s="97">
        <f t="shared" si="2215"/>
        <v>355008</v>
      </c>
      <c r="RL1334" s="97">
        <f t="shared" si="2216"/>
        <v>19980.48</v>
      </c>
      <c r="RM1334" s="97">
        <f t="shared" si="2217"/>
        <v>20371.2</v>
      </c>
      <c r="RN1334" s="97">
        <f t="shared" si="2218"/>
        <v>20655.36</v>
      </c>
      <c r="RO1334" s="97">
        <f t="shared" si="2219"/>
        <v>46597.25</v>
      </c>
      <c r="RP1334" s="97">
        <f t="shared" si="2220"/>
        <v>49209.31</v>
      </c>
      <c r="RQ1334" s="97">
        <f t="shared" si="2221"/>
        <v>51838.07</v>
      </c>
      <c r="RR1334" s="97">
        <f t="shared" si="2222"/>
        <v>5756.72</v>
      </c>
      <c r="RS1334" s="97">
        <f t="shared" si="2223"/>
        <v>5975.22</v>
      </c>
      <c r="RT1334" s="97">
        <f t="shared" si="2224"/>
        <v>6093.78</v>
      </c>
      <c r="RU1334" s="97">
        <f t="shared" si="2225"/>
        <v>139791.75</v>
      </c>
      <c r="RV1334" s="97">
        <f t="shared" si="2225"/>
        <v>147627.93</v>
      </c>
      <c r="RW1334" s="97">
        <f t="shared" si="2225"/>
        <v>155514.21</v>
      </c>
      <c r="RX1334" s="97">
        <f t="shared" si="2226"/>
        <v>17270.16</v>
      </c>
      <c r="RY1334" s="97">
        <f t="shared" si="2226"/>
        <v>17925.66</v>
      </c>
      <c r="RZ1334" s="97">
        <f t="shared" si="2226"/>
        <v>18281.34</v>
      </c>
      <c r="SA1334" s="102">
        <v>3</v>
      </c>
      <c r="SB1334" s="102">
        <v>3</v>
      </c>
      <c r="SC1334" s="102">
        <v>3</v>
      </c>
      <c r="SD1334" s="97">
        <f t="shared" si="2227"/>
        <v>341787</v>
      </c>
      <c r="SE1334" s="97">
        <f t="shared" si="2228"/>
        <v>349677</v>
      </c>
      <c r="SF1334" s="97">
        <f t="shared" si="2229"/>
        <v>355008</v>
      </c>
      <c r="SG1334" s="97">
        <f t="shared" si="2230"/>
        <v>19980.48</v>
      </c>
      <c r="SH1334" s="97">
        <f t="shared" si="2231"/>
        <v>20371.2</v>
      </c>
      <c r="SI1334" s="97">
        <f t="shared" si="2232"/>
        <v>20655.36</v>
      </c>
      <c r="SJ1334" s="97">
        <f t="shared" si="2233"/>
        <v>48960.63</v>
      </c>
      <c r="SK1334" s="97">
        <f t="shared" si="2234"/>
        <v>51647.86</v>
      </c>
      <c r="SL1334" s="97">
        <f t="shared" si="2235"/>
        <v>54384.26</v>
      </c>
      <c r="SM1334" s="97">
        <f t="shared" si="2236"/>
        <v>8059.61</v>
      </c>
      <c r="SN1334" s="97">
        <f t="shared" si="2237"/>
        <v>8479.17</v>
      </c>
      <c r="SO1334" s="97">
        <f t="shared" si="2238"/>
        <v>8620.81</v>
      </c>
      <c r="SP1334" s="97">
        <f t="shared" si="2239"/>
        <v>146881.89000000001</v>
      </c>
      <c r="SQ1334" s="97">
        <f t="shared" si="2239"/>
        <v>154943.57999999999</v>
      </c>
      <c r="SR1334" s="97">
        <f t="shared" si="2239"/>
        <v>163152.78</v>
      </c>
      <c r="SS1334" s="97">
        <f t="shared" si="2240"/>
        <v>24178.83</v>
      </c>
      <c r="ST1334" s="97">
        <f t="shared" si="2240"/>
        <v>25437.51</v>
      </c>
      <c r="SU1334" s="97">
        <f t="shared" si="2240"/>
        <v>25862.43</v>
      </c>
      <c r="SV1334" s="102">
        <v>1</v>
      </c>
      <c r="SW1334" s="102">
        <v>1</v>
      </c>
      <c r="SX1334" s="102">
        <v>1</v>
      </c>
      <c r="SY1334" s="97">
        <f t="shared" si="2241"/>
        <v>113929</v>
      </c>
      <c r="SZ1334" s="97">
        <f t="shared" si="2242"/>
        <v>116559</v>
      </c>
      <c r="TA1334" s="97">
        <f t="shared" si="2243"/>
        <v>118336</v>
      </c>
      <c r="TB1334" s="97">
        <f t="shared" si="2244"/>
        <v>6660.16</v>
      </c>
      <c r="TC1334" s="97">
        <f t="shared" si="2245"/>
        <v>6790.4</v>
      </c>
      <c r="TD1334" s="97">
        <f t="shared" si="2246"/>
        <v>6885.12</v>
      </c>
      <c r="TE1334" s="97">
        <f t="shared" si="2247"/>
        <v>43763.98</v>
      </c>
      <c r="TF1334" s="97">
        <f t="shared" si="2248"/>
        <v>46218.6</v>
      </c>
      <c r="TG1334" s="97">
        <f t="shared" si="2249"/>
        <v>48679.15</v>
      </c>
      <c r="TH1334" s="97">
        <f t="shared" si="2250"/>
        <v>6137.69</v>
      </c>
      <c r="TI1334" s="97">
        <f t="shared" si="2251"/>
        <v>6423.99</v>
      </c>
      <c r="TJ1334" s="97">
        <f t="shared" si="2252"/>
        <v>6494.74</v>
      </c>
      <c r="TK1334" s="97">
        <f t="shared" si="2253"/>
        <v>43763.98</v>
      </c>
      <c r="TL1334" s="97">
        <f t="shared" si="2253"/>
        <v>46218.6</v>
      </c>
      <c r="TM1334" s="97">
        <f t="shared" si="2253"/>
        <v>48679.15</v>
      </c>
      <c r="TN1334" s="97">
        <f t="shared" si="2254"/>
        <v>6137.69</v>
      </c>
      <c r="TO1334" s="97">
        <f t="shared" si="2254"/>
        <v>6423.99</v>
      </c>
      <c r="TP1334" s="97">
        <f t="shared" si="2254"/>
        <v>6494.74</v>
      </c>
      <c r="TQ1334" s="102">
        <v>7</v>
      </c>
      <c r="TR1334" s="102">
        <v>7</v>
      </c>
      <c r="TS1334" s="102">
        <v>7</v>
      </c>
      <c r="TT1334" s="97">
        <f t="shared" si="2255"/>
        <v>797503</v>
      </c>
      <c r="TU1334" s="97">
        <f t="shared" si="2256"/>
        <v>815913</v>
      </c>
      <c r="TV1334" s="97">
        <f t="shared" si="2257"/>
        <v>828352</v>
      </c>
      <c r="TW1334" s="97">
        <f t="shared" si="2258"/>
        <v>46621.120000000003</v>
      </c>
      <c r="TX1334" s="97">
        <f t="shared" si="2259"/>
        <v>47532.800000000003</v>
      </c>
      <c r="TY1334" s="97">
        <f t="shared" si="2260"/>
        <v>48195.839999999997</v>
      </c>
      <c r="TZ1334" s="97">
        <f t="shared" si="2261"/>
        <v>46882.79</v>
      </c>
      <c r="UA1334" s="97">
        <f t="shared" si="2262"/>
        <v>49476.27</v>
      </c>
      <c r="UB1334" s="97">
        <f t="shared" si="2263"/>
        <v>52113.56</v>
      </c>
      <c r="UC1334" s="97">
        <f t="shared" si="2264"/>
        <v>5609.04</v>
      </c>
      <c r="UD1334" s="97">
        <f t="shared" si="2265"/>
        <v>6043.12</v>
      </c>
      <c r="UE1334" s="97">
        <f t="shared" si="2266"/>
        <v>6146.32</v>
      </c>
      <c r="UF1334" s="97">
        <f t="shared" si="2267"/>
        <v>328179.53000000003</v>
      </c>
      <c r="UG1334" s="97">
        <f t="shared" si="2267"/>
        <v>346333.89</v>
      </c>
      <c r="UH1334" s="97">
        <f t="shared" si="2267"/>
        <v>364794.92</v>
      </c>
      <c r="UI1334" s="97">
        <f t="shared" si="2268"/>
        <v>39263.279999999999</v>
      </c>
      <c r="UJ1334" s="97">
        <f t="shared" si="2268"/>
        <v>42301.84</v>
      </c>
      <c r="UK1334" s="97">
        <f t="shared" si="2268"/>
        <v>43024.24</v>
      </c>
      <c r="UL1334" s="102">
        <v>6</v>
      </c>
      <c r="UM1334" s="102">
        <v>6</v>
      </c>
      <c r="UN1334" s="102">
        <v>6</v>
      </c>
      <c r="UO1334" s="97">
        <f t="shared" si="2269"/>
        <v>683574</v>
      </c>
      <c r="UP1334" s="97">
        <f t="shared" si="2270"/>
        <v>699354</v>
      </c>
      <c r="UQ1334" s="97">
        <f t="shared" si="2271"/>
        <v>710016</v>
      </c>
      <c r="UR1334" s="97">
        <f t="shared" si="2272"/>
        <v>39960.959999999999</v>
      </c>
      <c r="US1334" s="97">
        <f t="shared" si="2273"/>
        <v>40742.400000000001</v>
      </c>
      <c r="UT1334" s="97">
        <f t="shared" si="2274"/>
        <v>41310.720000000001</v>
      </c>
      <c r="UU1334" s="97">
        <f t="shared" si="2275"/>
        <v>43371.46</v>
      </c>
      <c r="UV1334" s="97">
        <f t="shared" si="2276"/>
        <v>45848.33</v>
      </c>
      <c r="UW1334" s="97">
        <f t="shared" si="2277"/>
        <v>48304.04</v>
      </c>
      <c r="UX1334" s="97">
        <f t="shared" si="2278"/>
        <v>4372.33</v>
      </c>
      <c r="UY1334" s="97">
        <f t="shared" si="2279"/>
        <v>4688.72</v>
      </c>
      <c r="UZ1334" s="97">
        <f t="shared" si="2280"/>
        <v>4789.67</v>
      </c>
      <c r="VA1334" s="97">
        <f t="shared" si="2281"/>
        <v>260228.76</v>
      </c>
      <c r="VB1334" s="97">
        <f t="shared" si="2281"/>
        <v>275089.98</v>
      </c>
      <c r="VC1334" s="97">
        <f t="shared" si="2281"/>
        <v>289824.24</v>
      </c>
      <c r="VD1334" s="97">
        <f t="shared" si="2282"/>
        <v>26233.98</v>
      </c>
      <c r="VE1334" s="97">
        <f t="shared" si="2282"/>
        <v>28132.32</v>
      </c>
      <c r="VF1334" s="97">
        <f t="shared" si="2282"/>
        <v>28738.02</v>
      </c>
      <c r="VG1334" s="102">
        <v>2</v>
      </c>
      <c r="VH1334" s="102">
        <v>2</v>
      </c>
      <c r="VI1334" s="102">
        <v>2</v>
      </c>
      <c r="VJ1334" s="97">
        <f t="shared" si="2283"/>
        <v>227858</v>
      </c>
      <c r="VK1334" s="97">
        <f t="shared" si="2284"/>
        <v>233118</v>
      </c>
      <c r="VL1334" s="97">
        <f t="shared" si="2285"/>
        <v>236672</v>
      </c>
      <c r="VM1334" s="97">
        <f t="shared" si="2286"/>
        <v>13320.32</v>
      </c>
      <c r="VN1334" s="97">
        <f t="shared" si="2287"/>
        <v>13580.8</v>
      </c>
      <c r="VO1334" s="97">
        <f t="shared" si="2288"/>
        <v>13770.24</v>
      </c>
      <c r="VP1334" s="97">
        <f t="shared" si="2289"/>
        <v>44243.75</v>
      </c>
      <c r="VQ1334" s="97">
        <f t="shared" si="2290"/>
        <v>46731.58</v>
      </c>
      <c r="VR1334" s="97">
        <f t="shared" si="2291"/>
        <v>49231.46</v>
      </c>
      <c r="VS1334" s="97">
        <f t="shared" si="2292"/>
        <v>4706.07</v>
      </c>
      <c r="VT1334" s="97">
        <f t="shared" si="2293"/>
        <v>4943.95</v>
      </c>
      <c r="VU1334" s="97">
        <f t="shared" si="2294"/>
        <v>5047.82</v>
      </c>
      <c r="VV1334" s="97">
        <f t="shared" si="2295"/>
        <v>88487.5</v>
      </c>
      <c r="VW1334" s="97">
        <f t="shared" si="2295"/>
        <v>93463.16</v>
      </c>
      <c r="VX1334" s="97">
        <f t="shared" si="2295"/>
        <v>98462.92</v>
      </c>
      <c r="VY1334" s="97">
        <f t="shared" si="2296"/>
        <v>9412.14</v>
      </c>
      <c r="VZ1334" s="97">
        <f t="shared" si="2296"/>
        <v>9887.9</v>
      </c>
      <c r="WA1334" s="97">
        <f t="shared" si="2296"/>
        <v>10095.64</v>
      </c>
      <c r="WB1334" s="102"/>
      <c r="WC1334" s="102"/>
      <c r="WD1334" s="102"/>
      <c r="WE1334" s="97">
        <f t="shared" si="2297"/>
        <v>0</v>
      </c>
      <c r="WF1334" s="97">
        <f t="shared" si="2298"/>
        <v>0</v>
      </c>
      <c r="WG1334" s="97">
        <f t="shared" si="2299"/>
        <v>0</v>
      </c>
      <c r="WH1334" s="97">
        <f t="shared" si="2300"/>
        <v>0</v>
      </c>
      <c r="WI1334" s="97">
        <f t="shared" si="2301"/>
        <v>0</v>
      </c>
      <c r="WJ1334" s="97">
        <f t="shared" si="2302"/>
        <v>0</v>
      </c>
      <c r="WK1334" s="97">
        <f t="shared" si="2303"/>
        <v>40874.67</v>
      </c>
      <c r="WL1334" s="97">
        <f t="shared" si="2304"/>
        <v>43221.47</v>
      </c>
      <c r="WM1334" s="97">
        <f t="shared" si="2305"/>
        <v>45534.28</v>
      </c>
      <c r="WN1334" s="97">
        <f t="shared" si="2306"/>
        <v>5053.92</v>
      </c>
      <c r="WO1334" s="97">
        <f t="shared" si="2307"/>
        <v>5439.2</v>
      </c>
      <c r="WP1334" s="97">
        <f t="shared" si="2308"/>
        <v>5558.48</v>
      </c>
      <c r="WQ1334" s="97">
        <f t="shared" si="2309"/>
        <v>0</v>
      </c>
      <c r="WR1334" s="97">
        <f t="shared" si="2309"/>
        <v>0</v>
      </c>
      <c r="WS1334" s="97">
        <f t="shared" si="2309"/>
        <v>0</v>
      </c>
      <c r="WT1334" s="97">
        <f t="shared" si="2310"/>
        <v>0</v>
      </c>
      <c r="WU1334" s="97">
        <f t="shared" si="2310"/>
        <v>0</v>
      </c>
      <c r="WV1334" s="97">
        <f t="shared" si="2310"/>
        <v>0</v>
      </c>
      <c r="WW1334" s="102"/>
      <c r="WX1334" s="102"/>
      <c r="WY1334" s="102"/>
      <c r="WZ1334" s="97">
        <f t="shared" si="2311"/>
        <v>0</v>
      </c>
      <c r="XA1334" s="97">
        <f t="shared" si="2312"/>
        <v>0</v>
      </c>
      <c r="XB1334" s="97">
        <f t="shared" si="2313"/>
        <v>0</v>
      </c>
      <c r="XC1334" s="97">
        <f t="shared" si="2314"/>
        <v>0</v>
      </c>
      <c r="XD1334" s="97">
        <f t="shared" si="2315"/>
        <v>0</v>
      </c>
      <c r="XE1334" s="97">
        <f t="shared" si="2316"/>
        <v>0</v>
      </c>
      <c r="XF1334" s="97">
        <f t="shared" si="2317"/>
        <v>40155.29</v>
      </c>
      <c r="XG1334" s="97">
        <f t="shared" si="2318"/>
        <v>42432.24</v>
      </c>
      <c r="XH1334" s="97">
        <f t="shared" si="2319"/>
        <v>44693.96</v>
      </c>
      <c r="XI1334" s="97">
        <f t="shared" si="2320"/>
        <v>4070.65</v>
      </c>
      <c r="XJ1334" s="97">
        <f t="shared" si="2321"/>
        <v>4396.8999999999996</v>
      </c>
      <c r="XK1334" s="97">
        <f t="shared" si="2322"/>
        <v>4477.38</v>
      </c>
      <c r="XL1334" s="97">
        <f t="shared" si="2323"/>
        <v>0</v>
      </c>
      <c r="XM1334" s="97">
        <f t="shared" si="2323"/>
        <v>0</v>
      </c>
      <c r="XN1334" s="97">
        <f t="shared" si="2323"/>
        <v>0</v>
      </c>
      <c r="XO1334" s="97">
        <f t="shared" si="2324"/>
        <v>0</v>
      </c>
      <c r="XP1334" s="97">
        <f t="shared" si="2324"/>
        <v>0</v>
      </c>
      <c r="XQ1334" s="97">
        <f t="shared" si="2324"/>
        <v>0</v>
      </c>
      <c r="XR1334" s="102">
        <v>1</v>
      </c>
      <c r="XS1334" s="102">
        <v>1</v>
      </c>
      <c r="XT1334" s="102">
        <v>1</v>
      </c>
      <c r="XU1334" s="97">
        <f t="shared" si="2325"/>
        <v>113929</v>
      </c>
      <c r="XV1334" s="97">
        <f t="shared" si="2326"/>
        <v>116559</v>
      </c>
      <c r="XW1334" s="97">
        <f t="shared" si="2327"/>
        <v>118336</v>
      </c>
      <c r="XX1334" s="97">
        <f t="shared" si="2328"/>
        <v>6660.16</v>
      </c>
      <c r="XY1334" s="97">
        <f t="shared" si="2329"/>
        <v>6790.4</v>
      </c>
      <c r="XZ1334" s="97">
        <f t="shared" si="2330"/>
        <v>6885.12</v>
      </c>
      <c r="YA1334" s="97">
        <f t="shared" si="2331"/>
        <v>42386.61</v>
      </c>
      <c r="YB1334" s="97">
        <f t="shared" si="2332"/>
        <v>44826.59</v>
      </c>
      <c r="YC1334" s="97">
        <f t="shared" si="2333"/>
        <v>47237.43</v>
      </c>
      <c r="YD1334" s="97">
        <f t="shared" si="2334"/>
        <v>17801.95</v>
      </c>
      <c r="YE1334" s="97">
        <f t="shared" si="2335"/>
        <v>21487.81</v>
      </c>
      <c r="YF1334" s="97">
        <f t="shared" si="2336"/>
        <v>21932.22</v>
      </c>
      <c r="YG1334" s="97">
        <f t="shared" si="2337"/>
        <v>42386.61</v>
      </c>
      <c r="YH1334" s="97">
        <f t="shared" si="2337"/>
        <v>44826.59</v>
      </c>
      <c r="YI1334" s="97">
        <f t="shared" si="2337"/>
        <v>47237.43</v>
      </c>
      <c r="YJ1334" s="97">
        <f t="shared" si="2338"/>
        <v>17801.95</v>
      </c>
      <c r="YK1334" s="97">
        <f t="shared" si="2338"/>
        <v>21487.81</v>
      </c>
      <c r="YL1334" s="97">
        <f t="shared" si="2338"/>
        <v>21932.22</v>
      </c>
      <c r="YM1334" s="145">
        <f t="shared" si="2339"/>
        <v>63</v>
      </c>
      <c r="YN1334" s="145">
        <f t="shared" si="2339"/>
        <v>63</v>
      </c>
      <c r="YO1334" s="145">
        <f t="shared" si="2339"/>
        <v>63</v>
      </c>
      <c r="YP1334" s="97">
        <f t="shared" si="2340"/>
        <v>7177527</v>
      </c>
      <c r="YQ1334" s="97">
        <f t="shared" si="2341"/>
        <v>7343217</v>
      </c>
      <c r="YR1334" s="97">
        <f t="shared" si="2342"/>
        <v>7455168</v>
      </c>
      <c r="YS1334" s="97">
        <f t="shared" si="2343"/>
        <v>419590.08</v>
      </c>
      <c r="YT1334" s="97">
        <f t="shared" si="2344"/>
        <v>427795.20000000001</v>
      </c>
      <c r="YU1334" s="97">
        <f t="shared" si="2345"/>
        <v>433762.56</v>
      </c>
      <c r="YV1334" s="97">
        <f t="shared" si="2346"/>
        <v>44673.74</v>
      </c>
      <c r="YW1334" s="97">
        <f t="shared" si="2347"/>
        <v>47182.22</v>
      </c>
      <c r="YX1334" s="97">
        <f t="shared" si="2348"/>
        <v>49695.76</v>
      </c>
      <c r="YY1334" s="97">
        <f t="shared" si="2349"/>
        <v>5726.5</v>
      </c>
      <c r="YZ1334" s="97">
        <f t="shared" si="2350"/>
        <v>6135.87</v>
      </c>
      <c r="ZA1334" s="97">
        <f t="shared" si="2351"/>
        <v>6233.52</v>
      </c>
      <c r="ZB1334" s="97">
        <f t="shared" si="2352"/>
        <v>2814445.62</v>
      </c>
      <c r="ZC1334" s="97">
        <f t="shared" si="2352"/>
        <v>2972479.86</v>
      </c>
      <c r="ZD1334" s="97">
        <f t="shared" si="2352"/>
        <v>3130832.88</v>
      </c>
      <c r="ZE1334" s="97">
        <f t="shared" si="2353"/>
        <v>360769.5</v>
      </c>
      <c r="ZF1334" s="97">
        <f t="shared" si="2353"/>
        <v>386559.81</v>
      </c>
      <c r="ZG1334" s="97">
        <f t="shared" si="2353"/>
        <v>392711.76</v>
      </c>
    </row>
    <row r="1335" spans="1:683" x14ac:dyDescent="0.25">
      <c r="A1335" s="174" t="s">
        <v>608</v>
      </c>
      <c r="B1335" s="174" t="s">
        <v>979</v>
      </c>
      <c r="C1335" s="5"/>
      <c r="D1335" s="340"/>
      <c r="E1335" s="163"/>
      <c r="F1335" s="110">
        <f t="shared" si="1903"/>
        <v>70376</v>
      </c>
      <c r="G1335" s="110">
        <f t="shared" si="1903"/>
        <v>72080</v>
      </c>
      <c r="H1335" s="110">
        <f t="shared" si="1903"/>
        <v>73243</v>
      </c>
      <c r="I1335" s="97">
        <f t="shared" si="1904"/>
        <v>6657.16</v>
      </c>
      <c r="J1335" s="97">
        <f t="shared" si="1904"/>
        <v>6787.4</v>
      </c>
      <c r="K1335" s="97">
        <f t="shared" si="1904"/>
        <v>6882.12</v>
      </c>
      <c r="L1335" s="102"/>
      <c r="M1335" s="102"/>
      <c r="N1335" s="102"/>
      <c r="O1335" s="97">
        <f t="shared" si="1905"/>
        <v>0</v>
      </c>
      <c r="P1335" s="97">
        <f t="shared" si="1906"/>
        <v>0</v>
      </c>
      <c r="Q1335" s="97">
        <f t="shared" si="1907"/>
        <v>0</v>
      </c>
      <c r="R1335" s="97">
        <f t="shared" si="1908"/>
        <v>0</v>
      </c>
      <c r="S1335" s="97">
        <f t="shared" si="1909"/>
        <v>0</v>
      </c>
      <c r="T1335" s="97">
        <f t="shared" si="1910"/>
        <v>0</v>
      </c>
      <c r="U1335" s="97">
        <f t="shared" si="1911"/>
        <v>30367.62</v>
      </c>
      <c r="V1335" s="97">
        <f t="shared" si="1912"/>
        <v>32117.040000000001</v>
      </c>
      <c r="W1335" s="97">
        <f t="shared" si="1913"/>
        <v>33866.5</v>
      </c>
      <c r="X1335" s="97">
        <f t="shared" si="1914"/>
        <v>5220.09</v>
      </c>
      <c r="Y1335" s="97">
        <f t="shared" si="1915"/>
        <v>5377.03</v>
      </c>
      <c r="Z1335" s="97">
        <f t="shared" si="1916"/>
        <v>5436.67</v>
      </c>
      <c r="AA1335" s="97">
        <f t="shared" si="1917"/>
        <v>0</v>
      </c>
      <c r="AB1335" s="97">
        <f t="shared" si="1917"/>
        <v>0</v>
      </c>
      <c r="AC1335" s="97">
        <f t="shared" si="1917"/>
        <v>0</v>
      </c>
      <c r="AD1335" s="97">
        <f t="shared" si="1918"/>
        <v>0</v>
      </c>
      <c r="AE1335" s="97">
        <f t="shared" si="1918"/>
        <v>0</v>
      </c>
      <c r="AF1335" s="97">
        <f t="shared" si="1918"/>
        <v>0</v>
      </c>
      <c r="AG1335" s="102"/>
      <c r="AH1335" s="102"/>
      <c r="AI1335" s="102"/>
      <c r="AJ1335" s="97">
        <f t="shared" si="1919"/>
        <v>0</v>
      </c>
      <c r="AK1335" s="97">
        <f t="shared" si="1920"/>
        <v>0</v>
      </c>
      <c r="AL1335" s="97">
        <f t="shared" si="1921"/>
        <v>0</v>
      </c>
      <c r="AM1335" s="97">
        <f t="shared" si="1922"/>
        <v>0</v>
      </c>
      <c r="AN1335" s="97">
        <f t="shared" si="1923"/>
        <v>0</v>
      </c>
      <c r="AO1335" s="97">
        <f t="shared" si="1924"/>
        <v>0</v>
      </c>
      <c r="AP1335" s="97">
        <f t="shared" si="1925"/>
        <v>27936.81</v>
      </c>
      <c r="AQ1335" s="97">
        <f t="shared" si="1926"/>
        <v>29541.48</v>
      </c>
      <c r="AR1335" s="97">
        <f t="shared" si="1927"/>
        <v>31145.69</v>
      </c>
      <c r="AS1335" s="97">
        <f t="shared" si="1928"/>
        <v>4162.45</v>
      </c>
      <c r="AT1335" s="97">
        <f t="shared" si="1929"/>
        <v>4352.63</v>
      </c>
      <c r="AU1335" s="97">
        <f t="shared" si="1930"/>
        <v>4435.42</v>
      </c>
      <c r="AV1335" s="97">
        <f t="shared" si="1931"/>
        <v>0</v>
      </c>
      <c r="AW1335" s="97">
        <f t="shared" si="1931"/>
        <v>0</v>
      </c>
      <c r="AX1335" s="97">
        <f t="shared" si="1931"/>
        <v>0</v>
      </c>
      <c r="AY1335" s="97">
        <f t="shared" si="1932"/>
        <v>0</v>
      </c>
      <c r="AZ1335" s="97">
        <f t="shared" si="1932"/>
        <v>0</v>
      </c>
      <c r="BA1335" s="97">
        <f t="shared" si="1932"/>
        <v>0</v>
      </c>
      <c r="BB1335" s="102"/>
      <c r="BC1335" s="102"/>
      <c r="BD1335" s="102"/>
      <c r="BE1335" s="97">
        <f t="shared" si="1933"/>
        <v>0</v>
      </c>
      <c r="BF1335" s="97">
        <f t="shared" si="1934"/>
        <v>0</v>
      </c>
      <c r="BG1335" s="97">
        <f t="shared" si="1935"/>
        <v>0</v>
      </c>
      <c r="BH1335" s="97">
        <f t="shared" si="1936"/>
        <v>0</v>
      </c>
      <c r="BI1335" s="97">
        <f t="shared" si="1937"/>
        <v>0</v>
      </c>
      <c r="BJ1335" s="97">
        <f t="shared" si="1938"/>
        <v>0</v>
      </c>
      <c r="BK1335" s="97">
        <f t="shared" si="1939"/>
        <v>26353.57</v>
      </c>
      <c r="BL1335" s="97">
        <f t="shared" si="1940"/>
        <v>27811.88</v>
      </c>
      <c r="BM1335" s="97">
        <f t="shared" si="1941"/>
        <v>29290.37</v>
      </c>
      <c r="BN1335" s="97">
        <f t="shared" si="1942"/>
        <v>4446.41</v>
      </c>
      <c r="BO1335" s="97">
        <f t="shared" si="1943"/>
        <v>4649.59</v>
      </c>
      <c r="BP1335" s="97">
        <f t="shared" si="1944"/>
        <v>4729.24</v>
      </c>
      <c r="BQ1335" s="97">
        <f t="shared" si="1945"/>
        <v>0</v>
      </c>
      <c r="BR1335" s="97">
        <f t="shared" si="1945"/>
        <v>0</v>
      </c>
      <c r="BS1335" s="97">
        <f t="shared" si="1945"/>
        <v>0</v>
      </c>
      <c r="BT1335" s="97">
        <f t="shared" si="1946"/>
        <v>0</v>
      </c>
      <c r="BU1335" s="97">
        <f t="shared" si="1946"/>
        <v>0</v>
      </c>
      <c r="BV1335" s="97">
        <f t="shared" si="1946"/>
        <v>0</v>
      </c>
      <c r="BW1335" s="102"/>
      <c r="BX1335" s="102"/>
      <c r="BY1335" s="102"/>
      <c r="BZ1335" s="97">
        <f t="shared" si="1947"/>
        <v>0</v>
      </c>
      <c r="CA1335" s="97">
        <f t="shared" si="1948"/>
        <v>0</v>
      </c>
      <c r="CB1335" s="97">
        <f t="shared" si="1949"/>
        <v>0</v>
      </c>
      <c r="CC1335" s="97">
        <f t="shared" si="1950"/>
        <v>0</v>
      </c>
      <c r="CD1335" s="97">
        <f t="shared" si="1951"/>
        <v>0</v>
      </c>
      <c r="CE1335" s="97">
        <f t="shared" si="1952"/>
        <v>0</v>
      </c>
      <c r="CF1335" s="97">
        <f t="shared" si="1953"/>
        <v>27216.07</v>
      </c>
      <c r="CG1335" s="97">
        <f t="shared" si="1954"/>
        <v>28800.959999999999</v>
      </c>
      <c r="CH1335" s="97">
        <f t="shared" si="1955"/>
        <v>30366.85</v>
      </c>
      <c r="CI1335" s="97">
        <f t="shared" si="1956"/>
        <v>6854.69</v>
      </c>
      <c r="CJ1335" s="97">
        <f t="shared" si="1957"/>
        <v>7025.07</v>
      </c>
      <c r="CK1335" s="97">
        <f t="shared" si="1958"/>
        <v>7088.68</v>
      </c>
      <c r="CL1335" s="97">
        <f t="shared" si="1959"/>
        <v>0</v>
      </c>
      <c r="CM1335" s="97">
        <f t="shared" si="1959"/>
        <v>0</v>
      </c>
      <c r="CN1335" s="97">
        <f t="shared" si="1959"/>
        <v>0</v>
      </c>
      <c r="CO1335" s="97">
        <f t="shared" si="1960"/>
        <v>0</v>
      </c>
      <c r="CP1335" s="97">
        <f t="shared" si="1960"/>
        <v>0</v>
      </c>
      <c r="CQ1335" s="97">
        <f t="shared" si="1960"/>
        <v>0</v>
      </c>
      <c r="CR1335" s="102"/>
      <c r="CS1335" s="102"/>
      <c r="CT1335" s="102"/>
      <c r="CU1335" s="97">
        <f t="shared" si="1961"/>
        <v>0</v>
      </c>
      <c r="CV1335" s="97">
        <f t="shared" si="1962"/>
        <v>0</v>
      </c>
      <c r="CW1335" s="97">
        <f t="shared" si="1963"/>
        <v>0</v>
      </c>
      <c r="CX1335" s="97">
        <f t="shared" si="1964"/>
        <v>0</v>
      </c>
      <c r="CY1335" s="97">
        <f t="shared" si="1965"/>
        <v>0</v>
      </c>
      <c r="CZ1335" s="97">
        <f t="shared" si="1966"/>
        <v>0</v>
      </c>
      <c r="DA1335" s="97">
        <f t="shared" si="1967"/>
        <v>27425.65</v>
      </c>
      <c r="DB1335" s="97">
        <f t="shared" si="1968"/>
        <v>28997.8</v>
      </c>
      <c r="DC1335" s="97">
        <f t="shared" si="1969"/>
        <v>30572.6</v>
      </c>
      <c r="DD1335" s="97">
        <f t="shared" si="1970"/>
        <v>3318.61</v>
      </c>
      <c r="DE1335" s="97">
        <f t="shared" si="1971"/>
        <v>3417.77</v>
      </c>
      <c r="DF1335" s="97">
        <f t="shared" si="1972"/>
        <v>3459.37</v>
      </c>
      <c r="DG1335" s="97">
        <f t="shared" si="1973"/>
        <v>0</v>
      </c>
      <c r="DH1335" s="97">
        <f t="shared" si="1973"/>
        <v>0</v>
      </c>
      <c r="DI1335" s="97">
        <f t="shared" si="1973"/>
        <v>0</v>
      </c>
      <c r="DJ1335" s="97">
        <f t="shared" si="1974"/>
        <v>0</v>
      </c>
      <c r="DK1335" s="97">
        <f t="shared" si="1974"/>
        <v>0</v>
      </c>
      <c r="DL1335" s="97">
        <f t="shared" si="1974"/>
        <v>0</v>
      </c>
      <c r="DM1335" s="102"/>
      <c r="DN1335" s="102"/>
      <c r="DO1335" s="102"/>
      <c r="DP1335" s="97">
        <f t="shared" si="1975"/>
        <v>0</v>
      </c>
      <c r="DQ1335" s="97">
        <f t="shared" si="1976"/>
        <v>0</v>
      </c>
      <c r="DR1335" s="97">
        <f t="shared" si="1977"/>
        <v>0</v>
      </c>
      <c r="DS1335" s="97">
        <f t="shared" si="1978"/>
        <v>0</v>
      </c>
      <c r="DT1335" s="97">
        <f t="shared" si="1979"/>
        <v>0</v>
      </c>
      <c r="DU1335" s="97">
        <f t="shared" si="1980"/>
        <v>0</v>
      </c>
      <c r="DV1335" s="97">
        <f t="shared" si="1981"/>
        <v>29779.47</v>
      </c>
      <c r="DW1335" s="97">
        <f t="shared" si="1982"/>
        <v>31535.46</v>
      </c>
      <c r="DX1335" s="97">
        <f t="shared" si="1983"/>
        <v>33264.120000000003</v>
      </c>
      <c r="DY1335" s="97">
        <f t="shared" si="1984"/>
        <v>6950.98</v>
      </c>
      <c r="DZ1335" s="97">
        <f t="shared" si="1985"/>
        <v>6884.74</v>
      </c>
      <c r="EA1335" s="97">
        <f t="shared" si="1986"/>
        <v>6961.74</v>
      </c>
      <c r="EB1335" s="97">
        <f t="shared" si="1987"/>
        <v>0</v>
      </c>
      <c r="EC1335" s="97">
        <f t="shared" si="1987"/>
        <v>0</v>
      </c>
      <c r="ED1335" s="97">
        <f t="shared" si="1987"/>
        <v>0</v>
      </c>
      <c r="EE1335" s="97">
        <f t="shared" si="1988"/>
        <v>0</v>
      </c>
      <c r="EF1335" s="97">
        <f t="shared" si="1988"/>
        <v>0</v>
      </c>
      <c r="EG1335" s="97">
        <f t="shared" si="1988"/>
        <v>0</v>
      </c>
      <c r="EH1335" s="102"/>
      <c r="EI1335" s="102"/>
      <c r="EJ1335" s="102"/>
      <c r="EK1335" s="97">
        <f t="shared" si="1989"/>
        <v>0</v>
      </c>
      <c r="EL1335" s="97">
        <f t="shared" si="1990"/>
        <v>0</v>
      </c>
      <c r="EM1335" s="97">
        <f t="shared" si="1991"/>
        <v>0</v>
      </c>
      <c r="EN1335" s="97">
        <f t="shared" si="1992"/>
        <v>0</v>
      </c>
      <c r="EO1335" s="97">
        <f t="shared" si="1993"/>
        <v>0</v>
      </c>
      <c r="EP1335" s="97">
        <f t="shared" si="1994"/>
        <v>0</v>
      </c>
      <c r="EQ1335" s="97">
        <f t="shared" si="1995"/>
        <v>29435.85</v>
      </c>
      <c r="ER1335" s="97">
        <f t="shared" si="1996"/>
        <v>31075.33</v>
      </c>
      <c r="ES1335" s="97">
        <f t="shared" si="1997"/>
        <v>32747.74</v>
      </c>
      <c r="ET1335" s="97">
        <f t="shared" si="1998"/>
        <v>5835.67</v>
      </c>
      <c r="EU1335" s="97">
        <f t="shared" si="1999"/>
        <v>6092.26</v>
      </c>
      <c r="EV1335" s="97">
        <f t="shared" si="2000"/>
        <v>6203.11</v>
      </c>
      <c r="EW1335" s="97">
        <f t="shared" si="2001"/>
        <v>0</v>
      </c>
      <c r="EX1335" s="97">
        <f t="shared" si="2001"/>
        <v>0</v>
      </c>
      <c r="EY1335" s="97">
        <f t="shared" si="2001"/>
        <v>0</v>
      </c>
      <c r="EZ1335" s="97">
        <f t="shared" si="2002"/>
        <v>0</v>
      </c>
      <c r="FA1335" s="97">
        <f t="shared" si="2002"/>
        <v>0</v>
      </c>
      <c r="FB1335" s="97">
        <f t="shared" si="2002"/>
        <v>0</v>
      </c>
      <c r="FC1335" s="102"/>
      <c r="FD1335" s="102"/>
      <c r="FE1335" s="102"/>
      <c r="FF1335" s="97">
        <f t="shared" si="2003"/>
        <v>0</v>
      </c>
      <c r="FG1335" s="97">
        <f t="shared" si="2004"/>
        <v>0</v>
      </c>
      <c r="FH1335" s="97">
        <f t="shared" si="2005"/>
        <v>0</v>
      </c>
      <c r="FI1335" s="97">
        <f t="shared" si="2006"/>
        <v>0</v>
      </c>
      <c r="FJ1335" s="97">
        <f t="shared" si="2007"/>
        <v>0</v>
      </c>
      <c r="FK1335" s="97">
        <f t="shared" si="2008"/>
        <v>0</v>
      </c>
      <c r="FL1335" s="97">
        <f t="shared" si="2009"/>
        <v>28598.33</v>
      </c>
      <c r="FM1335" s="97">
        <f t="shared" si="2010"/>
        <v>30252.26</v>
      </c>
      <c r="FN1335" s="97">
        <f t="shared" si="2011"/>
        <v>31899.22</v>
      </c>
      <c r="FO1335" s="97">
        <f t="shared" si="2012"/>
        <v>6276.53</v>
      </c>
      <c r="FP1335" s="97">
        <f t="shared" si="2013"/>
        <v>6593.35</v>
      </c>
      <c r="FQ1335" s="97">
        <f t="shared" si="2014"/>
        <v>6560.16</v>
      </c>
      <c r="FR1335" s="97">
        <f t="shared" si="2015"/>
        <v>0</v>
      </c>
      <c r="FS1335" s="97">
        <f t="shared" si="2015"/>
        <v>0</v>
      </c>
      <c r="FT1335" s="97">
        <f t="shared" si="2015"/>
        <v>0</v>
      </c>
      <c r="FU1335" s="97">
        <f t="shared" si="2016"/>
        <v>0</v>
      </c>
      <c r="FV1335" s="97">
        <f t="shared" si="2016"/>
        <v>0</v>
      </c>
      <c r="FW1335" s="97">
        <f t="shared" si="2016"/>
        <v>0</v>
      </c>
      <c r="FX1335" s="102"/>
      <c r="FY1335" s="102"/>
      <c r="FZ1335" s="102"/>
      <c r="GA1335" s="97">
        <f t="shared" si="2017"/>
        <v>0</v>
      </c>
      <c r="GB1335" s="97">
        <f t="shared" si="2018"/>
        <v>0</v>
      </c>
      <c r="GC1335" s="97">
        <f t="shared" si="2019"/>
        <v>0</v>
      </c>
      <c r="GD1335" s="97">
        <f t="shared" si="2020"/>
        <v>0</v>
      </c>
      <c r="GE1335" s="97">
        <f t="shared" si="2021"/>
        <v>0</v>
      </c>
      <c r="GF1335" s="97">
        <f t="shared" si="2022"/>
        <v>0</v>
      </c>
      <c r="GG1335" s="97">
        <f t="shared" si="2023"/>
        <v>28553.39</v>
      </c>
      <c r="GH1335" s="97">
        <f t="shared" si="2024"/>
        <v>30171.79</v>
      </c>
      <c r="GI1335" s="97">
        <f t="shared" si="2025"/>
        <v>31798.44</v>
      </c>
      <c r="GJ1335" s="97">
        <f t="shared" si="2026"/>
        <v>4706.2299999999996</v>
      </c>
      <c r="GK1335" s="97">
        <f t="shared" si="2027"/>
        <v>5328.6</v>
      </c>
      <c r="GL1335" s="97">
        <f t="shared" si="2028"/>
        <v>5742.76</v>
      </c>
      <c r="GM1335" s="97">
        <f t="shared" si="2029"/>
        <v>0</v>
      </c>
      <c r="GN1335" s="97">
        <f t="shared" si="2029"/>
        <v>0</v>
      </c>
      <c r="GO1335" s="97">
        <f t="shared" si="2029"/>
        <v>0</v>
      </c>
      <c r="GP1335" s="97">
        <f t="shared" si="2030"/>
        <v>0</v>
      </c>
      <c r="GQ1335" s="97">
        <f t="shared" si="2030"/>
        <v>0</v>
      </c>
      <c r="GR1335" s="97">
        <f t="shared" si="2030"/>
        <v>0</v>
      </c>
      <c r="GS1335" s="102"/>
      <c r="GT1335" s="102"/>
      <c r="GU1335" s="102"/>
      <c r="GV1335" s="97">
        <f t="shared" si="2031"/>
        <v>0</v>
      </c>
      <c r="GW1335" s="97">
        <f t="shared" si="2032"/>
        <v>0</v>
      </c>
      <c r="GX1335" s="97">
        <f t="shared" si="2033"/>
        <v>0</v>
      </c>
      <c r="GY1335" s="97">
        <f t="shared" si="2034"/>
        <v>0</v>
      </c>
      <c r="GZ1335" s="97">
        <f t="shared" si="2035"/>
        <v>0</v>
      </c>
      <c r="HA1335" s="97">
        <f t="shared" si="2036"/>
        <v>0</v>
      </c>
      <c r="HB1335" s="97">
        <f t="shared" si="2037"/>
        <v>29827.9</v>
      </c>
      <c r="HC1335" s="97">
        <f t="shared" si="2038"/>
        <v>31505.84</v>
      </c>
      <c r="HD1335" s="97">
        <f t="shared" si="2039"/>
        <v>33203.519999999997</v>
      </c>
      <c r="HE1335" s="97">
        <f t="shared" si="2040"/>
        <v>5475.77</v>
      </c>
      <c r="HF1335" s="97">
        <f t="shared" si="2041"/>
        <v>5699.56</v>
      </c>
      <c r="HG1335" s="97">
        <f t="shared" si="2042"/>
        <v>5789.35</v>
      </c>
      <c r="HH1335" s="97">
        <f t="shared" si="2043"/>
        <v>0</v>
      </c>
      <c r="HI1335" s="97">
        <f t="shared" si="2043"/>
        <v>0</v>
      </c>
      <c r="HJ1335" s="97">
        <f t="shared" si="2043"/>
        <v>0</v>
      </c>
      <c r="HK1335" s="97">
        <f t="shared" si="2044"/>
        <v>0</v>
      </c>
      <c r="HL1335" s="97">
        <f t="shared" si="2044"/>
        <v>0</v>
      </c>
      <c r="HM1335" s="97">
        <f t="shared" si="2044"/>
        <v>0</v>
      </c>
      <c r="HN1335" s="102"/>
      <c r="HO1335" s="102"/>
      <c r="HP1335" s="102"/>
      <c r="HQ1335" s="97">
        <f t="shared" si="2045"/>
        <v>0</v>
      </c>
      <c r="HR1335" s="97">
        <f t="shared" si="2046"/>
        <v>0</v>
      </c>
      <c r="HS1335" s="97">
        <f t="shared" si="2047"/>
        <v>0</v>
      </c>
      <c r="HT1335" s="97">
        <f t="shared" si="2048"/>
        <v>0</v>
      </c>
      <c r="HU1335" s="97">
        <f t="shared" si="2049"/>
        <v>0</v>
      </c>
      <c r="HV1335" s="97">
        <f t="shared" si="2050"/>
        <v>0</v>
      </c>
      <c r="HW1335" s="97">
        <f t="shared" si="2051"/>
        <v>29354.799999999999</v>
      </c>
      <c r="HX1335" s="97">
        <f t="shared" si="2052"/>
        <v>31051.98</v>
      </c>
      <c r="HY1335" s="97">
        <f t="shared" si="2053"/>
        <v>32731.13</v>
      </c>
      <c r="HZ1335" s="97">
        <f t="shared" si="2054"/>
        <v>5223.53</v>
      </c>
      <c r="IA1335" s="97">
        <f t="shared" si="2055"/>
        <v>5433.74</v>
      </c>
      <c r="IB1335" s="97">
        <f t="shared" si="2056"/>
        <v>5424.84</v>
      </c>
      <c r="IC1335" s="97">
        <f t="shared" si="2057"/>
        <v>0</v>
      </c>
      <c r="ID1335" s="97">
        <f t="shared" si="2057"/>
        <v>0</v>
      </c>
      <c r="IE1335" s="97">
        <f t="shared" si="2057"/>
        <v>0</v>
      </c>
      <c r="IF1335" s="97">
        <f t="shared" si="2058"/>
        <v>0</v>
      </c>
      <c r="IG1335" s="97">
        <f t="shared" si="2058"/>
        <v>0</v>
      </c>
      <c r="IH1335" s="97">
        <f t="shared" si="2058"/>
        <v>0</v>
      </c>
      <c r="II1335" s="102">
        <v>119</v>
      </c>
      <c r="IJ1335" s="102">
        <v>119</v>
      </c>
      <c r="IK1335" s="102">
        <v>119</v>
      </c>
      <c r="IL1335" s="97">
        <f t="shared" si="2059"/>
        <v>8374744</v>
      </c>
      <c r="IM1335" s="97">
        <f t="shared" si="2060"/>
        <v>8577520</v>
      </c>
      <c r="IN1335" s="97">
        <f t="shared" si="2061"/>
        <v>8715917</v>
      </c>
      <c r="IO1335" s="97">
        <f t="shared" si="2062"/>
        <v>792202.04</v>
      </c>
      <c r="IP1335" s="97">
        <f t="shared" si="2063"/>
        <v>807700.6</v>
      </c>
      <c r="IQ1335" s="97">
        <f t="shared" si="2064"/>
        <v>818972.28</v>
      </c>
      <c r="IR1335" s="97">
        <f t="shared" si="2065"/>
        <v>39876.54</v>
      </c>
      <c r="IS1335" s="97">
        <f t="shared" si="2066"/>
        <v>42072.57</v>
      </c>
      <c r="IT1335" s="97">
        <f t="shared" si="2067"/>
        <v>44331.58</v>
      </c>
      <c r="IU1335" s="97">
        <f t="shared" si="2068"/>
        <v>7896.96</v>
      </c>
      <c r="IV1335" s="97">
        <f t="shared" si="2069"/>
        <v>8214.24</v>
      </c>
      <c r="IW1335" s="97">
        <f t="shared" si="2070"/>
        <v>8143.18</v>
      </c>
      <c r="IX1335" s="97">
        <f t="shared" si="2071"/>
        <v>4745308.26</v>
      </c>
      <c r="IY1335" s="97">
        <f t="shared" si="2071"/>
        <v>5006635.83</v>
      </c>
      <c r="IZ1335" s="97">
        <f t="shared" si="2071"/>
        <v>5275458.0199999996</v>
      </c>
      <c r="JA1335" s="97">
        <f t="shared" si="2072"/>
        <v>939738.24</v>
      </c>
      <c r="JB1335" s="97">
        <f t="shared" si="2072"/>
        <v>977494.56</v>
      </c>
      <c r="JC1335" s="97">
        <f t="shared" si="2072"/>
        <v>969038.42</v>
      </c>
      <c r="JD1335" s="102"/>
      <c r="JE1335" s="102"/>
      <c r="JF1335" s="102"/>
      <c r="JG1335" s="97">
        <f t="shared" si="2073"/>
        <v>0</v>
      </c>
      <c r="JH1335" s="97">
        <f t="shared" si="2074"/>
        <v>0</v>
      </c>
      <c r="JI1335" s="97">
        <f t="shared" si="2075"/>
        <v>0</v>
      </c>
      <c r="JJ1335" s="97">
        <f t="shared" si="2076"/>
        <v>0</v>
      </c>
      <c r="JK1335" s="97">
        <f t="shared" si="2077"/>
        <v>0</v>
      </c>
      <c r="JL1335" s="97">
        <f t="shared" si="2078"/>
        <v>0</v>
      </c>
      <c r="JM1335" s="97">
        <f t="shared" si="2079"/>
        <v>26730.84</v>
      </c>
      <c r="JN1335" s="97">
        <f t="shared" si="2080"/>
        <v>28259.35</v>
      </c>
      <c r="JO1335" s="97">
        <f t="shared" si="2081"/>
        <v>29792.51</v>
      </c>
      <c r="JP1335" s="97">
        <f t="shared" si="2082"/>
        <v>4305.3900000000003</v>
      </c>
      <c r="JQ1335" s="97">
        <f t="shared" si="2083"/>
        <v>4560.12</v>
      </c>
      <c r="JR1335" s="97">
        <f t="shared" si="2084"/>
        <v>4634.76</v>
      </c>
      <c r="JS1335" s="97">
        <f t="shared" si="2085"/>
        <v>0</v>
      </c>
      <c r="JT1335" s="97">
        <f t="shared" si="2085"/>
        <v>0</v>
      </c>
      <c r="JU1335" s="97">
        <f t="shared" si="2085"/>
        <v>0</v>
      </c>
      <c r="JV1335" s="97">
        <f t="shared" si="2086"/>
        <v>0</v>
      </c>
      <c r="JW1335" s="97">
        <f t="shared" si="2086"/>
        <v>0</v>
      </c>
      <c r="JX1335" s="97">
        <f t="shared" si="2086"/>
        <v>0</v>
      </c>
      <c r="JY1335" s="102"/>
      <c r="JZ1335" s="102"/>
      <c r="KA1335" s="102"/>
      <c r="KB1335" s="97">
        <f t="shared" si="2087"/>
        <v>0</v>
      </c>
      <c r="KC1335" s="97">
        <f t="shared" si="2088"/>
        <v>0</v>
      </c>
      <c r="KD1335" s="97">
        <f t="shared" si="2089"/>
        <v>0</v>
      </c>
      <c r="KE1335" s="97">
        <f t="shared" si="2090"/>
        <v>0</v>
      </c>
      <c r="KF1335" s="97">
        <f t="shared" si="2091"/>
        <v>0</v>
      </c>
      <c r="KG1335" s="97">
        <f t="shared" si="2092"/>
        <v>0</v>
      </c>
      <c r="KH1335" s="97">
        <f t="shared" si="2093"/>
        <v>27482.12</v>
      </c>
      <c r="KI1335" s="97">
        <f t="shared" si="2094"/>
        <v>29028.99</v>
      </c>
      <c r="KJ1335" s="97">
        <f t="shared" si="2095"/>
        <v>30597.02</v>
      </c>
      <c r="KK1335" s="97">
        <f t="shared" si="2096"/>
        <v>4036.1</v>
      </c>
      <c r="KL1335" s="97">
        <f t="shared" si="2097"/>
        <v>4226.21</v>
      </c>
      <c r="KM1335" s="97">
        <f t="shared" si="2098"/>
        <v>4264.93</v>
      </c>
      <c r="KN1335" s="97">
        <f t="shared" si="2099"/>
        <v>0</v>
      </c>
      <c r="KO1335" s="97">
        <f t="shared" si="2099"/>
        <v>0</v>
      </c>
      <c r="KP1335" s="97">
        <f t="shared" si="2099"/>
        <v>0</v>
      </c>
      <c r="KQ1335" s="97">
        <f t="shared" si="2100"/>
        <v>0</v>
      </c>
      <c r="KR1335" s="97">
        <f t="shared" si="2100"/>
        <v>0</v>
      </c>
      <c r="KS1335" s="97">
        <f t="shared" si="2100"/>
        <v>0</v>
      </c>
      <c r="KT1335" s="102"/>
      <c r="KU1335" s="102"/>
      <c r="KV1335" s="102"/>
      <c r="KW1335" s="97">
        <f t="shared" si="2101"/>
        <v>0</v>
      </c>
      <c r="KX1335" s="97">
        <f t="shared" si="2102"/>
        <v>0</v>
      </c>
      <c r="KY1335" s="97">
        <f t="shared" si="2103"/>
        <v>0</v>
      </c>
      <c r="KZ1335" s="97">
        <f t="shared" si="2104"/>
        <v>0</v>
      </c>
      <c r="LA1335" s="97">
        <f t="shared" si="2105"/>
        <v>0</v>
      </c>
      <c r="LB1335" s="97">
        <f t="shared" si="2106"/>
        <v>0</v>
      </c>
      <c r="LC1335" s="97">
        <f t="shared" si="2107"/>
        <v>25940.639999999999</v>
      </c>
      <c r="LD1335" s="97">
        <f t="shared" si="2108"/>
        <v>27437.33</v>
      </c>
      <c r="LE1335" s="97">
        <f t="shared" si="2109"/>
        <v>28927.81</v>
      </c>
      <c r="LF1335" s="97">
        <f t="shared" si="2110"/>
        <v>5562.7</v>
      </c>
      <c r="LG1335" s="97">
        <f t="shared" si="2111"/>
        <v>5904.75</v>
      </c>
      <c r="LH1335" s="97">
        <f t="shared" si="2112"/>
        <v>6018.5</v>
      </c>
      <c r="LI1335" s="97">
        <f t="shared" si="2113"/>
        <v>0</v>
      </c>
      <c r="LJ1335" s="97">
        <f t="shared" si="2113"/>
        <v>0</v>
      </c>
      <c r="LK1335" s="97">
        <f t="shared" si="2113"/>
        <v>0</v>
      </c>
      <c r="LL1335" s="97">
        <f t="shared" si="2114"/>
        <v>0</v>
      </c>
      <c r="LM1335" s="97">
        <f t="shared" si="2114"/>
        <v>0</v>
      </c>
      <c r="LN1335" s="97">
        <f t="shared" si="2114"/>
        <v>0</v>
      </c>
      <c r="LO1335" s="102"/>
      <c r="LP1335" s="102"/>
      <c r="LQ1335" s="102"/>
      <c r="LR1335" s="97">
        <f t="shared" si="2115"/>
        <v>0</v>
      </c>
      <c r="LS1335" s="97">
        <f t="shared" si="2116"/>
        <v>0</v>
      </c>
      <c r="LT1335" s="97">
        <f t="shared" si="2117"/>
        <v>0</v>
      </c>
      <c r="LU1335" s="97">
        <f t="shared" si="2118"/>
        <v>0</v>
      </c>
      <c r="LV1335" s="97">
        <f t="shared" si="2119"/>
        <v>0</v>
      </c>
      <c r="LW1335" s="97">
        <f t="shared" si="2120"/>
        <v>0</v>
      </c>
      <c r="LX1335" s="97">
        <f t="shared" si="2121"/>
        <v>22660.3</v>
      </c>
      <c r="LY1335" s="97">
        <f t="shared" si="2122"/>
        <v>23969.02</v>
      </c>
      <c r="LZ1335" s="97">
        <f t="shared" si="2123"/>
        <v>25268.49</v>
      </c>
      <c r="MA1335" s="97">
        <f t="shared" si="2124"/>
        <v>4129.1899999999996</v>
      </c>
      <c r="MB1335" s="97">
        <f t="shared" si="2125"/>
        <v>4314.07</v>
      </c>
      <c r="MC1335" s="97">
        <f t="shared" si="2126"/>
        <v>4361.3599999999997</v>
      </c>
      <c r="MD1335" s="97">
        <f t="shared" si="2127"/>
        <v>0</v>
      </c>
      <c r="ME1335" s="97">
        <f t="shared" si="2127"/>
        <v>0</v>
      </c>
      <c r="MF1335" s="97">
        <f t="shared" si="2127"/>
        <v>0</v>
      </c>
      <c r="MG1335" s="97">
        <f t="shared" si="2128"/>
        <v>0</v>
      </c>
      <c r="MH1335" s="97">
        <f t="shared" si="2128"/>
        <v>0</v>
      </c>
      <c r="MI1335" s="97">
        <f t="shared" si="2128"/>
        <v>0</v>
      </c>
      <c r="MJ1335" s="102"/>
      <c r="MK1335" s="102"/>
      <c r="ML1335" s="102"/>
      <c r="MM1335" s="97">
        <f t="shared" si="2129"/>
        <v>0</v>
      </c>
      <c r="MN1335" s="97">
        <f t="shared" si="2130"/>
        <v>0</v>
      </c>
      <c r="MO1335" s="97">
        <f t="shared" si="2131"/>
        <v>0</v>
      </c>
      <c r="MP1335" s="97">
        <f t="shared" si="2132"/>
        <v>0</v>
      </c>
      <c r="MQ1335" s="97">
        <f t="shared" si="2133"/>
        <v>0</v>
      </c>
      <c r="MR1335" s="97">
        <f t="shared" si="2134"/>
        <v>0</v>
      </c>
      <c r="MS1335" s="97">
        <f t="shared" si="2135"/>
        <v>26215.45</v>
      </c>
      <c r="MT1335" s="97">
        <f t="shared" si="2136"/>
        <v>27726.14</v>
      </c>
      <c r="MU1335" s="97">
        <f t="shared" si="2137"/>
        <v>29231.86</v>
      </c>
      <c r="MV1335" s="97">
        <f t="shared" si="2138"/>
        <v>4898.78</v>
      </c>
      <c r="MW1335" s="97">
        <f t="shared" si="2139"/>
        <v>5049.1499999999996</v>
      </c>
      <c r="MX1335" s="97">
        <f t="shared" si="2140"/>
        <v>5151.17</v>
      </c>
      <c r="MY1335" s="97">
        <f t="shared" si="2141"/>
        <v>0</v>
      </c>
      <c r="MZ1335" s="97">
        <f t="shared" si="2141"/>
        <v>0</v>
      </c>
      <c r="NA1335" s="97">
        <f t="shared" si="2141"/>
        <v>0</v>
      </c>
      <c r="NB1335" s="97">
        <f t="shared" si="2142"/>
        <v>0</v>
      </c>
      <c r="NC1335" s="97">
        <f t="shared" si="2142"/>
        <v>0</v>
      </c>
      <c r="ND1335" s="97">
        <f t="shared" si="2142"/>
        <v>0</v>
      </c>
      <c r="NE1335" s="102"/>
      <c r="NF1335" s="102"/>
      <c r="NG1335" s="102"/>
      <c r="NH1335" s="97">
        <f t="shared" si="2143"/>
        <v>0</v>
      </c>
      <c r="NI1335" s="97">
        <f t="shared" si="2144"/>
        <v>0</v>
      </c>
      <c r="NJ1335" s="97">
        <f t="shared" si="2145"/>
        <v>0</v>
      </c>
      <c r="NK1335" s="97">
        <f t="shared" si="2146"/>
        <v>0</v>
      </c>
      <c r="NL1335" s="97">
        <f t="shared" si="2147"/>
        <v>0</v>
      </c>
      <c r="NM1335" s="97">
        <f t="shared" si="2148"/>
        <v>0</v>
      </c>
      <c r="NN1335" s="97">
        <f t="shared" si="2149"/>
        <v>26765.41</v>
      </c>
      <c r="NO1335" s="97">
        <f t="shared" si="2150"/>
        <v>28271.19</v>
      </c>
      <c r="NP1335" s="97">
        <f t="shared" si="2151"/>
        <v>29789.72</v>
      </c>
      <c r="NQ1335" s="97">
        <f t="shared" si="2152"/>
        <v>7174.6</v>
      </c>
      <c r="NR1335" s="97">
        <f t="shared" si="2153"/>
        <v>7640.55</v>
      </c>
      <c r="NS1335" s="97">
        <f t="shared" si="2154"/>
        <v>7533.18</v>
      </c>
      <c r="NT1335" s="97">
        <f t="shared" si="2155"/>
        <v>0</v>
      </c>
      <c r="NU1335" s="97">
        <f t="shared" si="2155"/>
        <v>0</v>
      </c>
      <c r="NV1335" s="97">
        <f t="shared" si="2155"/>
        <v>0</v>
      </c>
      <c r="NW1335" s="97">
        <f t="shared" si="2156"/>
        <v>0</v>
      </c>
      <c r="NX1335" s="97">
        <f t="shared" si="2156"/>
        <v>0</v>
      </c>
      <c r="NY1335" s="97">
        <f t="shared" si="2156"/>
        <v>0</v>
      </c>
      <c r="NZ1335" s="102"/>
      <c r="OA1335" s="102"/>
      <c r="OB1335" s="102"/>
      <c r="OC1335" s="97">
        <f t="shared" si="2157"/>
        <v>0</v>
      </c>
      <c r="OD1335" s="97">
        <f t="shared" si="2158"/>
        <v>0</v>
      </c>
      <c r="OE1335" s="97">
        <f t="shared" si="2159"/>
        <v>0</v>
      </c>
      <c r="OF1335" s="97">
        <f t="shared" si="2160"/>
        <v>0</v>
      </c>
      <c r="OG1335" s="97">
        <f t="shared" si="2161"/>
        <v>0</v>
      </c>
      <c r="OH1335" s="97">
        <f t="shared" si="2162"/>
        <v>0</v>
      </c>
      <c r="OI1335" s="97">
        <f t="shared" si="2163"/>
        <v>35093.93</v>
      </c>
      <c r="OJ1335" s="97">
        <f t="shared" si="2164"/>
        <v>37010.22</v>
      </c>
      <c r="OK1335" s="97">
        <f t="shared" si="2165"/>
        <v>38986.800000000003</v>
      </c>
      <c r="OL1335" s="97">
        <f t="shared" si="2166"/>
        <v>7196.03</v>
      </c>
      <c r="OM1335" s="97">
        <f t="shared" si="2167"/>
        <v>7623.29</v>
      </c>
      <c r="ON1335" s="97">
        <f t="shared" si="2168"/>
        <v>7689.26</v>
      </c>
      <c r="OO1335" s="97">
        <f t="shared" si="2169"/>
        <v>0</v>
      </c>
      <c r="OP1335" s="97">
        <f t="shared" si="2169"/>
        <v>0</v>
      </c>
      <c r="OQ1335" s="97">
        <f t="shared" si="2169"/>
        <v>0</v>
      </c>
      <c r="OR1335" s="97">
        <f t="shared" si="2170"/>
        <v>0</v>
      </c>
      <c r="OS1335" s="97">
        <f t="shared" si="2170"/>
        <v>0</v>
      </c>
      <c r="OT1335" s="97">
        <f t="shared" si="2170"/>
        <v>0</v>
      </c>
      <c r="OU1335" s="102"/>
      <c r="OV1335" s="102"/>
      <c r="OW1335" s="102"/>
      <c r="OX1335" s="97">
        <f t="shared" si="2171"/>
        <v>0</v>
      </c>
      <c r="OY1335" s="97">
        <f t="shared" si="2172"/>
        <v>0</v>
      </c>
      <c r="OZ1335" s="97">
        <f t="shared" si="2173"/>
        <v>0</v>
      </c>
      <c r="PA1335" s="97">
        <f t="shared" si="2174"/>
        <v>0</v>
      </c>
      <c r="PB1335" s="97">
        <f t="shared" si="2175"/>
        <v>0</v>
      </c>
      <c r="PC1335" s="97">
        <f t="shared" si="2176"/>
        <v>0</v>
      </c>
      <c r="PD1335" s="97">
        <f t="shared" si="2177"/>
        <v>29512.9</v>
      </c>
      <c r="PE1335" s="97">
        <f t="shared" si="2178"/>
        <v>31199.84</v>
      </c>
      <c r="PF1335" s="97">
        <f t="shared" si="2179"/>
        <v>32889.81</v>
      </c>
      <c r="PG1335" s="97">
        <f t="shared" si="2180"/>
        <v>5751.15</v>
      </c>
      <c r="PH1335" s="97">
        <f t="shared" si="2181"/>
        <v>5990.39</v>
      </c>
      <c r="PI1335" s="97">
        <f t="shared" si="2182"/>
        <v>6123.35</v>
      </c>
      <c r="PJ1335" s="97">
        <f t="shared" si="2183"/>
        <v>0</v>
      </c>
      <c r="PK1335" s="97">
        <f t="shared" si="2183"/>
        <v>0</v>
      </c>
      <c r="PL1335" s="97">
        <f t="shared" si="2183"/>
        <v>0</v>
      </c>
      <c r="PM1335" s="97">
        <f t="shared" si="2184"/>
        <v>0</v>
      </c>
      <c r="PN1335" s="97">
        <f t="shared" si="2184"/>
        <v>0</v>
      </c>
      <c r="PO1335" s="97">
        <f t="shared" si="2184"/>
        <v>0</v>
      </c>
      <c r="PP1335" s="102"/>
      <c r="PQ1335" s="102"/>
      <c r="PR1335" s="102"/>
      <c r="PS1335" s="97">
        <f t="shared" si="2185"/>
        <v>0</v>
      </c>
      <c r="PT1335" s="97">
        <f t="shared" si="2186"/>
        <v>0</v>
      </c>
      <c r="PU1335" s="97">
        <f t="shared" si="2187"/>
        <v>0</v>
      </c>
      <c r="PV1335" s="97">
        <f t="shared" si="2188"/>
        <v>0</v>
      </c>
      <c r="PW1335" s="97">
        <f t="shared" si="2189"/>
        <v>0</v>
      </c>
      <c r="PX1335" s="97">
        <f t="shared" si="2190"/>
        <v>0</v>
      </c>
      <c r="PY1335" s="97">
        <f t="shared" si="2191"/>
        <v>26423</v>
      </c>
      <c r="PZ1335" s="97">
        <f t="shared" si="2192"/>
        <v>27956.78</v>
      </c>
      <c r="QA1335" s="97">
        <f t="shared" si="2193"/>
        <v>29473.040000000001</v>
      </c>
      <c r="QB1335" s="97">
        <f t="shared" si="2194"/>
        <v>5930.86</v>
      </c>
      <c r="QC1335" s="97">
        <f t="shared" si="2195"/>
        <v>6349.89</v>
      </c>
      <c r="QD1335" s="97">
        <f t="shared" si="2196"/>
        <v>6432.9</v>
      </c>
      <c r="QE1335" s="97">
        <f t="shared" si="2197"/>
        <v>0</v>
      </c>
      <c r="QF1335" s="97">
        <f t="shared" si="2197"/>
        <v>0</v>
      </c>
      <c r="QG1335" s="97">
        <f t="shared" si="2197"/>
        <v>0</v>
      </c>
      <c r="QH1335" s="97">
        <f t="shared" si="2198"/>
        <v>0</v>
      </c>
      <c r="QI1335" s="97">
        <f t="shared" si="2198"/>
        <v>0</v>
      </c>
      <c r="QJ1335" s="97">
        <f t="shared" si="2198"/>
        <v>0</v>
      </c>
      <c r="QK1335" s="102"/>
      <c r="QL1335" s="102"/>
      <c r="QM1335" s="102"/>
      <c r="QN1335" s="97">
        <f t="shared" si="2199"/>
        <v>0</v>
      </c>
      <c r="QO1335" s="97">
        <f t="shared" si="2200"/>
        <v>0</v>
      </c>
      <c r="QP1335" s="97">
        <f t="shared" si="2201"/>
        <v>0</v>
      </c>
      <c r="QQ1335" s="97">
        <f t="shared" si="2202"/>
        <v>0</v>
      </c>
      <c r="QR1335" s="97">
        <f t="shared" si="2203"/>
        <v>0</v>
      </c>
      <c r="QS1335" s="97">
        <f t="shared" si="2204"/>
        <v>0</v>
      </c>
      <c r="QT1335" s="97">
        <f t="shared" si="2205"/>
        <v>26870.69</v>
      </c>
      <c r="QU1335" s="97">
        <f t="shared" si="2206"/>
        <v>28420.13</v>
      </c>
      <c r="QV1335" s="97">
        <f t="shared" si="2207"/>
        <v>29964.78</v>
      </c>
      <c r="QW1335" s="97">
        <f t="shared" si="2208"/>
        <v>4079.18</v>
      </c>
      <c r="QX1335" s="97">
        <f t="shared" si="2209"/>
        <v>4315.6499999999996</v>
      </c>
      <c r="QY1335" s="97">
        <f t="shared" si="2210"/>
        <v>4400.3599999999997</v>
      </c>
      <c r="QZ1335" s="97">
        <f t="shared" si="2211"/>
        <v>0</v>
      </c>
      <c r="RA1335" s="97">
        <f t="shared" si="2211"/>
        <v>0</v>
      </c>
      <c r="RB1335" s="97">
        <f t="shared" si="2211"/>
        <v>0</v>
      </c>
      <c r="RC1335" s="97">
        <f t="shared" si="2212"/>
        <v>0</v>
      </c>
      <c r="RD1335" s="97">
        <f t="shared" si="2212"/>
        <v>0</v>
      </c>
      <c r="RE1335" s="97">
        <f t="shared" si="2212"/>
        <v>0</v>
      </c>
      <c r="RF1335" s="102"/>
      <c r="RG1335" s="102"/>
      <c r="RH1335" s="102"/>
      <c r="RI1335" s="97">
        <f t="shared" si="2213"/>
        <v>0</v>
      </c>
      <c r="RJ1335" s="97">
        <f t="shared" si="2214"/>
        <v>0</v>
      </c>
      <c r="RK1335" s="97">
        <f t="shared" si="2215"/>
        <v>0</v>
      </c>
      <c r="RL1335" s="97">
        <f t="shared" si="2216"/>
        <v>0</v>
      </c>
      <c r="RM1335" s="97">
        <f t="shared" si="2217"/>
        <v>0</v>
      </c>
      <c r="RN1335" s="97">
        <f t="shared" si="2218"/>
        <v>0</v>
      </c>
      <c r="RO1335" s="97">
        <f t="shared" si="2219"/>
        <v>28783.96</v>
      </c>
      <c r="RP1335" s="97">
        <f t="shared" si="2220"/>
        <v>30431</v>
      </c>
      <c r="RQ1335" s="97">
        <f t="shared" si="2221"/>
        <v>32084.71</v>
      </c>
      <c r="RR1335" s="97">
        <f t="shared" si="2222"/>
        <v>5754.12</v>
      </c>
      <c r="RS1335" s="97">
        <f t="shared" si="2223"/>
        <v>5972.58</v>
      </c>
      <c r="RT1335" s="97">
        <f t="shared" si="2224"/>
        <v>6091.12</v>
      </c>
      <c r="RU1335" s="97">
        <f t="shared" si="2225"/>
        <v>0</v>
      </c>
      <c r="RV1335" s="97">
        <f t="shared" si="2225"/>
        <v>0</v>
      </c>
      <c r="RW1335" s="97">
        <f t="shared" si="2225"/>
        <v>0</v>
      </c>
      <c r="RX1335" s="97">
        <f t="shared" si="2226"/>
        <v>0</v>
      </c>
      <c r="RY1335" s="97">
        <f t="shared" si="2226"/>
        <v>0</v>
      </c>
      <c r="RZ1335" s="97">
        <f t="shared" si="2226"/>
        <v>0</v>
      </c>
      <c r="SA1335" s="102"/>
      <c r="SB1335" s="102"/>
      <c r="SC1335" s="102"/>
      <c r="SD1335" s="97">
        <f t="shared" si="2227"/>
        <v>0</v>
      </c>
      <c r="SE1335" s="97">
        <f t="shared" si="2228"/>
        <v>0</v>
      </c>
      <c r="SF1335" s="97">
        <f t="shared" si="2229"/>
        <v>0</v>
      </c>
      <c r="SG1335" s="97">
        <f t="shared" si="2230"/>
        <v>0</v>
      </c>
      <c r="SH1335" s="97">
        <f t="shared" si="2231"/>
        <v>0</v>
      </c>
      <c r="SI1335" s="97">
        <f t="shared" si="2232"/>
        <v>0</v>
      </c>
      <c r="SJ1335" s="97">
        <f t="shared" si="2233"/>
        <v>30243.86</v>
      </c>
      <c r="SK1335" s="97">
        <f t="shared" si="2234"/>
        <v>31939</v>
      </c>
      <c r="SL1335" s="97">
        <f t="shared" si="2235"/>
        <v>33660.65</v>
      </c>
      <c r="SM1335" s="97">
        <f t="shared" si="2236"/>
        <v>8055.98</v>
      </c>
      <c r="SN1335" s="97">
        <f t="shared" si="2237"/>
        <v>8475.43</v>
      </c>
      <c r="SO1335" s="97">
        <f t="shared" si="2238"/>
        <v>8617.0499999999993</v>
      </c>
      <c r="SP1335" s="97">
        <f t="shared" si="2239"/>
        <v>0</v>
      </c>
      <c r="SQ1335" s="97">
        <f t="shared" si="2239"/>
        <v>0</v>
      </c>
      <c r="SR1335" s="97">
        <f t="shared" si="2239"/>
        <v>0</v>
      </c>
      <c r="SS1335" s="97">
        <f t="shared" si="2240"/>
        <v>0</v>
      </c>
      <c r="ST1335" s="97">
        <f t="shared" si="2240"/>
        <v>0</v>
      </c>
      <c r="SU1335" s="97">
        <f t="shared" si="2240"/>
        <v>0</v>
      </c>
      <c r="SV1335" s="102"/>
      <c r="SW1335" s="102"/>
      <c r="SX1335" s="102"/>
      <c r="SY1335" s="97">
        <f t="shared" si="2241"/>
        <v>0</v>
      </c>
      <c r="SZ1335" s="97">
        <f t="shared" si="2242"/>
        <v>0</v>
      </c>
      <c r="TA1335" s="97">
        <f t="shared" si="2243"/>
        <v>0</v>
      </c>
      <c r="TB1335" s="97">
        <f t="shared" si="2244"/>
        <v>0</v>
      </c>
      <c r="TC1335" s="97">
        <f t="shared" si="2245"/>
        <v>0</v>
      </c>
      <c r="TD1335" s="97">
        <f t="shared" si="2246"/>
        <v>0</v>
      </c>
      <c r="TE1335" s="97">
        <f t="shared" si="2247"/>
        <v>27033.8</v>
      </c>
      <c r="TF1335" s="97">
        <f t="shared" si="2248"/>
        <v>28581.55</v>
      </c>
      <c r="TG1335" s="97">
        <f t="shared" si="2249"/>
        <v>30129.52</v>
      </c>
      <c r="TH1335" s="97">
        <f t="shared" si="2250"/>
        <v>6134.93</v>
      </c>
      <c r="TI1335" s="97">
        <f t="shared" si="2251"/>
        <v>6421.15</v>
      </c>
      <c r="TJ1335" s="97">
        <f t="shared" si="2252"/>
        <v>6491.91</v>
      </c>
      <c r="TK1335" s="97">
        <f t="shared" si="2253"/>
        <v>0</v>
      </c>
      <c r="TL1335" s="97">
        <f t="shared" si="2253"/>
        <v>0</v>
      </c>
      <c r="TM1335" s="97">
        <f t="shared" si="2253"/>
        <v>0</v>
      </c>
      <c r="TN1335" s="97">
        <f t="shared" si="2254"/>
        <v>0</v>
      </c>
      <c r="TO1335" s="97">
        <f t="shared" si="2254"/>
        <v>0</v>
      </c>
      <c r="TP1335" s="97">
        <f t="shared" si="2254"/>
        <v>0</v>
      </c>
      <c r="TQ1335" s="102"/>
      <c r="TR1335" s="102"/>
      <c r="TS1335" s="102"/>
      <c r="TT1335" s="97">
        <f t="shared" si="2255"/>
        <v>0</v>
      </c>
      <c r="TU1335" s="97">
        <f t="shared" si="2256"/>
        <v>0</v>
      </c>
      <c r="TV1335" s="97">
        <f t="shared" si="2257"/>
        <v>0</v>
      </c>
      <c r="TW1335" s="97">
        <f t="shared" si="2258"/>
        <v>0</v>
      </c>
      <c r="TX1335" s="97">
        <f t="shared" si="2259"/>
        <v>0</v>
      </c>
      <c r="TY1335" s="97">
        <f t="shared" si="2260"/>
        <v>0</v>
      </c>
      <c r="TZ1335" s="97">
        <f t="shared" si="2261"/>
        <v>28960.35</v>
      </c>
      <c r="UA1335" s="97">
        <f t="shared" si="2262"/>
        <v>30596.09</v>
      </c>
      <c r="UB1335" s="97">
        <f t="shared" si="2263"/>
        <v>32255.22</v>
      </c>
      <c r="UC1335" s="97">
        <f t="shared" si="2264"/>
        <v>5606.52</v>
      </c>
      <c r="UD1335" s="97">
        <f t="shared" si="2265"/>
        <v>6040.45</v>
      </c>
      <c r="UE1335" s="97">
        <f t="shared" si="2266"/>
        <v>6143.64</v>
      </c>
      <c r="UF1335" s="97">
        <f t="shared" si="2267"/>
        <v>0</v>
      </c>
      <c r="UG1335" s="97">
        <f t="shared" si="2267"/>
        <v>0</v>
      </c>
      <c r="UH1335" s="97">
        <f t="shared" si="2267"/>
        <v>0</v>
      </c>
      <c r="UI1335" s="97">
        <f t="shared" si="2268"/>
        <v>0</v>
      </c>
      <c r="UJ1335" s="97">
        <f t="shared" si="2268"/>
        <v>0</v>
      </c>
      <c r="UK1335" s="97">
        <f t="shared" si="2268"/>
        <v>0</v>
      </c>
      <c r="UL1335" s="102"/>
      <c r="UM1335" s="102"/>
      <c r="UN1335" s="102"/>
      <c r="UO1335" s="97">
        <f t="shared" si="2269"/>
        <v>0</v>
      </c>
      <c r="UP1335" s="97">
        <f t="shared" si="2270"/>
        <v>0</v>
      </c>
      <c r="UQ1335" s="97">
        <f t="shared" si="2271"/>
        <v>0</v>
      </c>
      <c r="UR1335" s="97">
        <f t="shared" si="2272"/>
        <v>0</v>
      </c>
      <c r="US1335" s="97">
        <f t="shared" si="2273"/>
        <v>0</v>
      </c>
      <c r="UT1335" s="97">
        <f t="shared" si="2274"/>
        <v>0</v>
      </c>
      <c r="UU1335" s="97">
        <f t="shared" si="2275"/>
        <v>26791.33</v>
      </c>
      <c r="UV1335" s="97">
        <f t="shared" si="2276"/>
        <v>28352.57</v>
      </c>
      <c r="UW1335" s="97">
        <f t="shared" si="2277"/>
        <v>29897.35</v>
      </c>
      <c r="UX1335" s="97">
        <f t="shared" si="2278"/>
        <v>4370.3599999999997</v>
      </c>
      <c r="UY1335" s="97">
        <f t="shared" si="2279"/>
        <v>4686.6499999999996</v>
      </c>
      <c r="UZ1335" s="97">
        <f t="shared" si="2280"/>
        <v>4787.58</v>
      </c>
      <c r="VA1335" s="97">
        <f t="shared" si="2281"/>
        <v>0</v>
      </c>
      <c r="VB1335" s="97">
        <f t="shared" si="2281"/>
        <v>0</v>
      </c>
      <c r="VC1335" s="97">
        <f t="shared" si="2281"/>
        <v>0</v>
      </c>
      <c r="VD1335" s="97">
        <f t="shared" si="2282"/>
        <v>0</v>
      </c>
      <c r="VE1335" s="97">
        <f t="shared" si="2282"/>
        <v>0</v>
      </c>
      <c r="VF1335" s="97">
        <f t="shared" si="2282"/>
        <v>0</v>
      </c>
      <c r="VG1335" s="102"/>
      <c r="VH1335" s="102"/>
      <c r="VI1335" s="102"/>
      <c r="VJ1335" s="97">
        <f t="shared" si="2283"/>
        <v>0</v>
      </c>
      <c r="VK1335" s="97">
        <f t="shared" si="2284"/>
        <v>0</v>
      </c>
      <c r="VL1335" s="97">
        <f t="shared" si="2285"/>
        <v>0</v>
      </c>
      <c r="VM1335" s="97">
        <f t="shared" si="2286"/>
        <v>0</v>
      </c>
      <c r="VN1335" s="97">
        <f t="shared" si="2287"/>
        <v>0</v>
      </c>
      <c r="VO1335" s="97">
        <f t="shared" si="2288"/>
        <v>0</v>
      </c>
      <c r="VP1335" s="97">
        <f t="shared" si="2289"/>
        <v>27330.16</v>
      </c>
      <c r="VQ1335" s="97">
        <f t="shared" si="2290"/>
        <v>28898.77</v>
      </c>
      <c r="VR1335" s="97">
        <f t="shared" si="2291"/>
        <v>30471.37</v>
      </c>
      <c r="VS1335" s="97">
        <f t="shared" si="2292"/>
        <v>4703.95</v>
      </c>
      <c r="VT1335" s="97">
        <f t="shared" si="2293"/>
        <v>4941.76</v>
      </c>
      <c r="VU1335" s="97">
        <f t="shared" si="2294"/>
        <v>5045.62</v>
      </c>
      <c r="VV1335" s="97">
        <f t="shared" si="2295"/>
        <v>0</v>
      </c>
      <c r="VW1335" s="97">
        <f t="shared" si="2295"/>
        <v>0</v>
      </c>
      <c r="VX1335" s="97">
        <f t="shared" si="2295"/>
        <v>0</v>
      </c>
      <c r="VY1335" s="97">
        <f t="shared" si="2296"/>
        <v>0</v>
      </c>
      <c r="VZ1335" s="97">
        <f t="shared" si="2296"/>
        <v>0</v>
      </c>
      <c r="WA1335" s="97">
        <f t="shared" si="2296"/>
        <v>0</v>
      </c>
      <c r="WB1335" s="102"/>
      <c r="WC1335" s="102"/>
      <c r="WD1335" s="102"/>
      <c r="WE1335" s="97">
        <f t="shared" si="2297"/>
        <v>0</v>
      </c>
      <c r="WF1335" s="97">
        <f t="shared" si="2298"/>
        <v>0</v>
      </c>
      <c r="WG1335" s="97">
        <f t="shared" si="2299"/>
        <v>0</v>
      </c>
      <c r="WH1335" s="97">
        <f t="shared" si="2300"/>
        <v>0</v>
      </c>
      <c r="WI1335" s="97">
        <f t="shared" si="2301"/>
        <v>0</v>
      </c>
      <c r="WJ1335" s="97">
        <f t="shared" si="2302"/>
        <v>0</v>
      </c>
      <c r="WK1335" s="97">
        <f t="shared" si="2303"/>
        <v>25249.02</v>
      </c>
      <c r="WL1335" s="97">
        <f t="shared" si="2304"/>
        <v>26728.12</v>
      </c>
      <c r="WM1335" s="97">
        <f t="shared" si="2305"/>
        <v>28183.03</v>
      </c>
      <c r="WN1335" s="97">
        <f t="shared" si="2306"/>
        <v>5051.6499999999996</v>
      </c>
      <c r="WO1335" s="97">
        <f t="shared" si="2307"/>
        <v>5436.8</v>
      </c>
      <c r="WP1335" s="97">
        <f t="shared" si="2308"/>
        <v>5556.06</v>
      </c>
      <c r="WQ1335" s="97">
        <f t="shared" si="2309"/>
        <v>0</v>
      </c>
      <c r="WR1335" s="97">
        <f t="shared" si="2309"/>
        <v>0</v>
      </c>
      <c r="WS1335" s="97">
        <f t="shared" si="2309"/>
        <v>0</v>
      </c>
      <c r="WT1335" s="97">
        <f t="shared" si="2310"/>
        <v>0</v>
      </c>
      <c r="WU1335" s="97">
        <f t="shared" si="2310"/>
        <v>0</v>
      </c>
      <c r="WV1335" s="97">
        <f t="shared" si="2310"/>
        <v>0</v>
      </c>
      <c r="WW1335" s="102"/>
      <c r="WX1335" s="102"/>
      <c r="WY1335" s="102"/>
      <c r="WZ1335" s="97">
        <f t="shared" si="2311"/>
        <v>0</v>
      </c>
      <c r="XA1335" s="97">
        <f t="shared" si="2312"/>
        <v>0</v>
      </c>
      <c r="XB1335" s="97">
        <f t="shared" si="2313"/>
        <v>0</v>
      </c>
      <c r="XC1335" s="97">
        <f t="shared" si="2314"/>
        <v>0</v>
      </c>
      <c r="XD1335" s="97">
        <f t="shared" si="2315"/>
        <v>0</v>
      </c>
      <c r="XE1335" s="97">
        <f t="shared" si="2316"/>
        <v>0</v>
      </c>
      <c r="XF1335" s="97">
        <f t="shared" si="2317"/>
        <v>24804.65</v>
      </c>
      <c r="XG1335" s="97">
        <f t="shared" si="2318"/>
        <v>26240.07</v>
      </c>
      <c r="XH1335" s="97">
        <f t="shared" si="2319"/>
        <v>27662.92</v>
      </c>
      <c r="XI1335" s="97">
        <f t="shared" si="2320"/>
        <v>4068.82</v>
      </c>
      <c r="XJ1335" s="97">
        <f t="shared" si="2321"/>
        <v>4394.96</v>
      </c>
      <c r="XK1335" s="97">
        <f t="shared" si="2322"/>
        <v>4475.43</v>
      </c>
      <c r="XL1335" s="97">
        <f t="shared" si="2323"/>
        <v>0</v>
      </c>
      <c r="XM1335" s="97">
        <f t="shared" si="2323"/>
        <v>0</v>
      </c>
      <c r="XN1335" s="97">
        <f t="shared" si="2323"/>
        <v>0</v>
      </c>
      <c r="XO1335" s="97">
        <f t="shared" si="2324"/>
        <v>0</v>
      </c>
      <c r="XP1335" s="97">
        <f t="shared" si="2324"/>
        <v>0</v>
      </c>
      <c r="XQ1335" s="97">
        <f t="shared" si="2324"/>
        <v>0</v>
      </c>
      <c r="XR1335" s="102"/>
      <c r="XS1335" s="102"/>
      <c r="XT1335" s="102"/>
      <c r="XU1335" s="97">
        <f t="shared" si="2325"/>
        <v>0</v>
      </c>
      <c r="XV1335" s="97">
        <f t="shared" si="2326"/>
        <v>0</v>
      </c>
      <c r="XW1335" s="97">
        <f t="shared" si="2327"/>
        <v>0</v>
      </c>
      <c r="XX1335" s="97">
        <f t="shared" si="2328"/>
        <v>0</v>
      </c>
      <c r="XY1335" s="97">
        <f t="shared" si="2329"/>
        <v>0</v>
      </c>
      <c r="XZ1335" s="97">
        <f t="shared" si="2330"/>
        <v>0</v>
      </c>
      <c r="YA1335" s="97">
        <f t="shared" si="2331"/>
        <v>26182.97</v>
      </c>
      <c r="YB1335" s="97">
        <f t="shared" si="2332"/>
        <v>27720.73</v>
      </c>
      <c r="YC1335" s="97">
        <f t="shared" si="2333"/>
        <v>29237.18</v>
      </c>
      <c r="YD1335" s="97">
        <f t="shared" si="2334"/>
        <v>17793.93</v>
      </c>
      <c r="YE1335" s="97">
        <f t="shared" si="2335"/>
        <v>21478.32</v>
      </c>
      <c r="YF1335" s="97">
        <f t="shared" si="2336"/>
        <v>21922.66</v>
      </c>
      <c r="YG1335" s="97">
        <f t="shared" si="2337"/>
        <v>0</v>
      </c>
      <c r="YH1335" s="97">
        <f t="shared" si="2337"/>
        <v>0</v>
      </c>
      <c r="YI1335" s="97">
        <f t="shared" si="2337"/>
        <v>0</v>
      </c>
      <c r="YJ1335" s="97">
        <f t="shared" si="2338"/>
        <v>0</v>
      </c>
      <c r="YK1335" s="97">
        <f t="shared" si="2338"/>
        <v>0</v>
      </c>
      <c r="YL1335" s="97">
        <f t="shared" si="2338"/>
        <v>0</v>
      </c>
      <c r="YM1335" s="145">
        <f t="shared" si="2339"/>
        <v>119</v>
      </c>
      <c r="YN1335" s="145">
        <f t="shared" si="2339"/>
        <v>119</v>
      </c>
      <c r="YO1335" s="145">
        <f t="shared" si="2339"/>
        <v>119</v>
      </c>
      <c r="YP1335" s="97">
        <f t="shared" si="2340"/>
        <v>8374744</v>
      </c>
      <c r="YQ1335" s="97">
        <f t="shared" si="2341"/>
        <v>8577520</v>
      </c>
      <c r="YR1335" s="97">
        <f t="shared" si="2342"/>
        <v>8715917</v>
      </c>
      <c r="YS1335" s="97">
        <f t="shared" si="2343"/>
        <v>792202.04</v>
      </c>
      <c r="YT1335" s="97">
        <f t="shared" si="2344"/>
        <v>807700.6</v>
      </c>
      <c r="YU1335" s="97">
        <f t="shared" si="2345"/>
        <v>818972.28</v>
      </c>
      <c r="YV1335" s="97">
        <f t="shared" si="2346"/>
        <v>27595.78</v>
      </c>
      <c r="YW1335" s="97">
        <f t="shared" si="2347"/>
        <v>29177.45</v>
      </c>
      <c r="YX1335" s="97">
        <f t="shared" si="2348"/>
        <v>30758.74</v>
      </c>
      <c r="YY1335" s="97">
        <f t="shared" si="2349"/>
        <v>5723.92</v>
      </c>
      <c r="YZ1335" s="97">
        <f t="shared" si="2350"/>
        <v>6133.16</v>
      </c>
      <c r="ZA1335" s="97">
        <f t="shared" si="2351"/>
        <v>6230.81</v>
      </c>
      <c r="ZB1335" s="97">
        <f t="shared" si="2352"/>
        <v>3283897.82</v>
      </c>
      <c r="ZC1335" s="97">
        <f t="shared" si="2352"/>
        <v>3472116.55</v>
      </c>
      <c r="ZD1335" s="97">
        <f t="shared" si="2352"/>
        <v>3660290.06</v>
      </c>
      <c r="ZE1335" s="97">
        <f t="shared" si="2353"/>
        <v>681146.48</v>
      </c>
      <c r="ZF1335" s="97">
        <f t="shared" si="2353"/>
        <v>729846.04</v>
      </c>
      <c r="ZG1335" s="97">
        <f t="shared" si="2353"/>
        <v>741466.39</v>
      </c>
    </row>
    <row r="1336" spans="1:683" x14ac:dyDescent="0.25">
      <c r="A1336" s="174" t="s">
        <v>611</v>
      </c>
      <c r="B1336" s="174" t="s">
        <v>2233</v>
      </c>
      <c r="C1336" s="5"/>
      <c r="D1336" s="340"/>
      <c r="E1336" s="163"/>
      <c r="F1336" s="110">
        <f t="shared" si="1903"/>
        <v>51151</v>
      </c>
      <c r="G1336" s="110">
        <f t="shared" si="1903"/>
        <v>52203</v>
      </c>
      <c r="H1336" s="110">
        <f t="shared" si="1903"/>
        <v>53106</v>
      </c>
      <c r="I1336" s="97">
        <f t="shared" si="1904"/>
        <v>3366.65</v>
      </c>
      <c r="J1336" s="97">
        <f t="shared" si="1904"/>
        <v>3366.65</v>
      </c>
      <c r="K1336" s="97">
        <f t="shared" si="1904"/>
        <v>3366.65</v>
      </c>
      <c r="L1336" s="102"/>
      <c r="M1336" s="102"/>
      <c r="N1336" s="102"/>
      <c r="O1336" s="97">
        <f t="shared" si="1905"/>
        <v>0</v>
      </c>
      <c r="P1336" s="97">
        <f t="shared" si="1906"/>
        <v>0</v>
      </c>
      <c r="Q1336" s="97">
        <f t="shared" si="1907"/>
        <v>0</v>
      </c>
      <c r="R1336" s="97">
        <f t="shared" si="1908"/>
        <v>0</v>
      </c>
      <c r="S1336" s="97">
        <f t="shared" si="1909"/>
        <v>0</v>
      </c>
      <c r="T1336" s="97">
        <f t="shared" si="1910"/>
        <v>0</v>
      </c>
      <c r="U1336" s="97">
        <f t="shared" si="1911"/>
        <v>22071.93</v>
      </c>
      <c r="V1336" s="97">
        <f t="shared" si="1912"/>
        <v>23260.34</v>
      </c>
      <c r="W1336" s="97">
        <f t="shared" si="1913"/>
        <v>24555.439999999999</v>
      </c>
      <c r="X1336" s="97">
        <f t="shared" si="1914"/>
        <v>2639.9</v>
      </c>
      <c r="Y1336" s="97">
        <f t="shared" si="1915"/>
        <v>2667.09</v>
      </c>
      <c r="Z1336" s="97">
        <f t="shared" si="1916"/>
        <v>2659.55</v>
      </c>
      <c r="AA1336" s="97">
        <f t="shared" si="1917"/>
        <v>0</v>
      </c>
      <c r="AB1336" s="97">
        <f t="shared" si="1917"/>
        <v>0</v>
      </c>
      <c r="AC1336" s="97">
        <f t="shared" si="1917"/>
        <v>0</v>
      </c>
      <c r="AD1336" s="97">
        <f t="shared" si="1918"/>
        <v>0</v>
      </c>
      <c r="AE1336" s="97">
        <f t="shared" si="1918"/>
        <v>0</v>
      </c>
      <c r="AF1336" s="97">
        <f t="shared" si="1918"/>
        <v>0</v>
      </c>
      <c r="AG1336" s="102"/>
      <c r="AH1336" s="102">
        <f t="shared" ref="AH1336" si="2354">AG1336</f>
        <v>0</v>
      </c>
      <c r="AI1336" s="102"/>
      <c r="AJ1336" s="97">
        <f t="shared" si="1919"/>
        <v>0</v>
      </c>
      <c r="AK1336" s="97">
        <f t="shared" si="1920"/>
        <v>0</v>
      </c>
      <c r="AL1336" s="97">
        <f t="shared" si="1921"/>
        <v>0</v>
      </c>
      <c r="AM1336" s="97">
        <f t="shared" si="1922"/>
        <v>0</v>
      </c>
      <c r="AN1336" s="97">
        <f t="shared" si="1923"/>
        <v>0</v>
      </c>
      <c r="AO1336" s="97">
        <f t="shared" si="1924"/>
        <v>0</v>
      </c>
      <c r="AP1336" s="97">
        <f t="shared" si="1925"/>
        <v>20305.16</v>
      </c>
      <c r="AQ1336" s="97">
        <f t="shared" si="1926"/>
        <v>21395.03</v>
      </c>
      <c r="AR1336" s="97">
        <f t="shared" si="1927"/>
        <v>22582.68</v>
      </c>
      <c r="AS1336" s="97">
        <f t="shared" si="1928"/>
        <v>2105.0300000000002</v>
      </c>
      <c r="AT1336" s="97">
        <f t="shared" si="1929"/>
        <v>2158.9699999999998</v>
      </c>
      <c r="AU1336" s="97">
        <f t="shared" si="1930"/>
        <v>2169.75</v>
      </c>
      <c r="AV1336" s="97">
        <f t="shared" si="1931"/>
        <v>0</v>
      </c>
      <c r="AW1336" s="97">
        <f t="shared" si="1931"/>
        <v>0</v>
      </c>
      <c r="AX1336" s="97">
        <f t="shared" si="1931"/>
        <v>0</v>
      </c>
      <c r="AY1336" s="97">
        <f t="shared" si="1932"/>
        <v>0</v>
      </c>
      <c r="AZ1336" s="97">
        <f t="shared" si="1932"/>
        <v>0</v>
      </c>
      <c r="BA1336" s="97">
        <f t="shared" si="1932"/>
        <v>0</v>
      </c>
      <c r="BB1336" s="102"/>
      <c r="BC1336" s="102"/>
      <c r="BD1336" s="102"/>
      <c r="BE1336" s="97">
        <f t="shared" si="1933"/>
        <v>0</v>
      </c>
      <c r="BF1336" s="97">
        <f t="shared" si="1934"/>
        <v>0</v>
      </c>
      <c r="BG1336" s="97">
        <f t="shared" si="1935"/>
        <v>0</v>
      </c>
      <c r="BH1336" s="97">
        <f t="shared" si="1936"/>
        <v>0</v>
      </c>
      <c r="BI1336" s="97">
        <f t="shared" si="1937"/>
        <v>0</v>
      </c>
      <c r="BJ1336" s="97">
        <f t="shared" si="1938"/>
        <v>0</v>
      </c>
      <c r="BK1336" s="97">
        <f t="shared" si="1939"/>
        <v>19154.419999999998</v>
      </c>
      <c r="BL1336" s="97">
        <f t="shared" si="1940"/>
        <v>20142.39</v>
      </c>
      <c r="BM1336" s="97">
        <f t="shared" si="1941"/>
        <v>21237.45</v>
      </c>
      <c r="BN1336" s="97">
        <f t="shared" si="1942"/>
        <v>2248.63</v>
      </c>
      <c r="BO1336" s="97">
        <f t="shared" si="1943"/>
        <v>2306.27</v>
      </c>
      <c r="BP1336" s="97">
        <f t="shared" si="1944"/>
        <v>2313.4899999999998</v>
      </c>
      <c r="BQ1336" s="97">
        <f t="shared" si="1945"/>
        <v>0</v>
      </c>
      <c r="BR1336" s="97">
        <f t="shared" si="1945"/>
        <v>0</v>
      </c>
      <c r="BS1336" s="97">
        <f t="shared" si="1945"/>
        <v>0</v>
      </c>
      <c r="BT1336" s="97">
        <f t="shared" si="1946"/>
        <v>0</v>
      </c>
      <c r="BU1336" s="97">
        <f t="shared" si="1946"/>
        <v>0</v>
      </c>
      <c r="BV1336" s="97">
        <f t="shared" si="1946"/>
        <v>0</v>
      </c>
      <c r="BW1336" s="102"/>
      <c r="BX1336" s="102"/>
      <c r="BY1336" s="102"/>
      <c r="BZ1336" s="97">
        <f t="shared" si="1947"/>
        <v>0</v>
      </c>
      <c r="CA1336" s="97">
        <f t="shared" si="1948"/>
        <v>0</v>
      </c>
      <c r="CB1336" s="97">
        <f t="shared" si="1949"/>
        <v>0</v>
      </c>
      <c r="CC1336" s="97">
        <f t="shared" si="1950"/>
        <v>0</v>
      </c>
      <c r="CD1336" s="97">
        <f t="shared" si="1951"/>
        <v>0</v>
      </c>
      <c r="CE1336" s="97">
        <f t="shared" si="1952"/>
        <v>0</v>
      </c>
      <c r="CF1336" s="97">
        <f t="shared" si="1953"/>
        <v>19781.310000000001</v>
      </c>
      <c r="CG1336" s="97">
        <f t="shared" si="1954"/>
        <v>20858.72</v>
      </c>
      <c r="CH1336" s="97">
        <f t="shared" si="1955"/>
        <v>22017.97</v>
      </c>
      <c r="CI1336" s="97">
        <f t="shared" si="1956"/>
        <v>3466.54</v>
      </c>
      <c r="CJ1336" s="97">
        <f t="shared" si="1957"/>
        <v>3484.54</v>
      </c>
      <c r="CK1336" s="97">
        <f t="shared" si="1958"/>
        <v>3467.69</v>
      </c>
      <c r="CL1336" s="97">
        <f t="shared" si="1959"/>
        <v>0</v>
      </c>
      <c r="CM1336" s="97">
        <f t="shared" si="1959"/>
        <v>0</v>
      </c>
      <c r="CN1336" s="97">
        <f t="shared" si="1959"/>
        <v>0</v>
      </c>
      <c r="CO1336" s="97">
        <f t="shared" si="1960"/>
        <v>0</v>
      </c>
      <c r="CP1336" s="97">
        <f t="shared" si="1960"/>
        <v>0</v>
      </c>
      <c r="CQ1336" s="97">
        <f t="shared" si="1960"/>
        <v>0</v>
      </c>
      <c r="CR1336" s="102"/>
      <c r="CS1336" s="102"/>
      <c r="CT1336" s="102"/>
      <c r="CU1336" s="97">
        <f t="shared" si="1961"/>
        <v>0</v>
      </c>
      <c r="CV1336" s="97">
        <f t="shared" si="1962"/>
        <v>0</v>
      </c>
      <c r="CW1336" s="97">
        <f t="shared" si="1963"/>
        <v>0</v>
      </c>
      <c r="CX1336" s="97">
        <f t="shared" si="1964"/>
        <v>0</v>
      </c>
      <c r="CY1336" s="97">
        <f t="shared" si="1965"/>
        <v>0</v>
      </c>
      <c r="CZ1336" s="97">
        <f t="shared" si="1966"/>
        <v>0</v>
      </c>
      <c r="DA1336" s="97">
        <f t="shared" si="1967"/>
        <v>19933.63</v>
      </c>
      <c r="DB1336" s="97">
        <f t="shared" si="1968"/>
        <v>21001.279999999999</v>
      </c>
      <c r="DC1336" s="97">
        <f t="shared" si="1969"/>
        <v>22167.15</v>
      </c>
      <c r="DD1336" s="97">
        <f t="shared" si="1970"/>
        <v>1678.28</v>
      </c>
      <c r="DE1336" s="97">
        <f t="shared" si="1971"/>
        <v>1695.26</v>
      </c>
      <c r="DF1336" s="97">
        <f t="shared" si="1972"/>
        <v>1692.28</v>
      </c>
      <c r="DG1336" s="97">
        <f t="shared" si="1973"/>
        <v>0</v>
      </c>
      <c r="DH1336" s="97">
        <f t="shared" si="1973"/>
        <v>0</v>
      </c>
      <c r="DI1336" s="97">
        <f t="shared" si="1973"/>
        <v>0</v>
      </c>
      <c r="DJ1336" s="97">
        <f t="shared" si="1974"/>
        <v>0</v>
      </c>
      <c r="DK1336" s="97">
        <f t="shared" si="1974"/>
        <v>0</v>
      </c>
      <c r="DL1336" s="97">
        <f t="shared" si="1974"/>
        <v>0</v>
      </c>
      <c r="DM1336" s="102"/>
      <c r="DN1336" s="102"/>
      <c r="DO1336" s="102"/>
      <c r="DP1336" s="97">
        <f t="shared" si="1975"/>
        <v>0</v>
      </c>
      <c r="DQ1336" s="97">
        <f t="shared" si="1976"/>
        <v>0</v>
      </c>
      <c r="DR1336" s="97">
        <f t="shared" si="1977"/>
        <v>0</v>
      </c>
      <c r="DS1336" s="97">
        <f t="shared" si="1978"/>
        <v>0</v>
      </c>
      <c r="DT1336" s="97">
        <f t="shared" si="1979"/>
        <v>0</v>
      </c>
      <c r="DU1336" s="97">
        <f t="shared" si="1980"/>
        <v>0</v>
      </c>
      <c r="DV1336" s="97">
        <f t="shared" si="1981"/>
        <v>21644.45</v>
      </c>
      <c r="DW1336" s="97">
        <f t="shared" si="1982"/>
        <v>22839.14</v>
      </c>
      <c r="DX1336" s="97">
        <f t="shared" si="1983"/>
        <v>24118.68</v>
      </c>
      <c r="DY1336" s="97">
        <f t="shared" si="1984"/>
        <v>3515.24</v>
      </c>
      <c r="DZ1336" s="97">
        <f t="shared" si="1985"/>
        <v>3414.93</v>
      </c>
      <c r="EA1336" s="97">
        <f t="shared" si="1986"/>
        <v>3405.6</v>
      </c>
      <c r="EB1336" s="97">
        <f t="shared" si="1987"/>
        <v>0</v>
      </c>
      <c r="EC1336" s="97">
        <f t="shared" si="1987"/>
        <v>0</v>
      </c>
      <c r="ED1336" s="97">
        <f t="shared" si="1987"/>
        <v>0</v>
      </c>
      <c r="EE1336" s="97">
        <f t="shared" si="1988"/>
        <v>0</v>
      </c>
      <c r="EF1336" s="97">
        <f t="shared" si="1988"/>
        <v>0</v>
      </c>
      <c r="EG1336" s="97">
        <f t="shared" si="1988"/>
        <v>0</v>
      </c>
      <c r="EH1336" s="102"/>
      <c r="EI1336" s="102"/>
      <c r="EJ1336" s="102"/>
      <c r="EK1336" s="97">
        <f t="shared" si="1989"/>
        <v>0</v>
      </c>
      <c r="EL1336" s="97">
        <f t="shared" si="1990"/>
        <v>0</v>
      </c>
      <c r="EM1336" s="97">
        <f t="shared" si="1991"/>
        <v>0</v>
      </c>
      <c r="EN1336" s="97">
        <f t="shared" si="1992"/>
        <v>0</v>
      </c>
      <c r="EO1336" s="97">
        <f t="shared" si="1993"/>
        <v>0</v>
      </c>
      <c r="EP1336" s="97">
        <f t="shared" si="1994"/>
        <v>0</v>
      </c>
      <c r="EQ1336" s="97">
        <f t="shared" si="1995"/>
        <v>21394.7</v>
      </c>
      <c r="ER1336" s="97">
        <f t="shared" si="1996"/>
        <v>22505.9</v>
      </c>
      <c r="ES1336" s="97">
        <f t="shared" si="1997"/>
        <v>23744.27</v>
      </c>
      <c r="ET1336" s="97">
        <f t="shared" si="1998"/>
        <v>2951.21</v>
      </c>
      <c r="EU1336" s="97">
        <f t="shared" si="1999"/>
        <v>3021.85</v>
      </c>
      <c r="EV1336" s="97">
        <f t="shared" si="2000"/>
        <v>3034.49</v>
      </c>
      <c r="EW1336" s="97">
        <f t="shared" si="2001"/>
        <v>0</v>
      </c>
      <c r="EX1336" s="97">
        <f t="shared" si="2001"/>
        <v>0</v>
      </c>
      <c r="EY1336" s="97">
        <f t="shared" si="2001"/>
        <v>0</v>
      </c>
      <c r="EZ1336" s="97">
        <f t="shared" si="2002"/>
        <v>0</v>
      </c>
      <c r="FA1336" s="97">
        <f t="shared" si="2002"/>
        <v>0</v>
      </c>
      <c r="FB1336" s="97">
        <f t="shared" si="2002"/>
        <v>0</v>
      </c>
      <c r="FC1336" s="102"/>
      <c r="FD1336" s="102"/>
      <c r="FE1336" s="102"/>
      <c r="FF1336" s="97">
        <f t="shared" si="2003"/>
        <v>0</v>
      </c>
      <c r="FG1336" s="97">
        <f t="shared" si="2004"/>
        <v>0</v>
      </c>
      <c r="FH1336" s="97">
        <f t="shared" si="2005"/>
        <v>0</v>
      </c>
      <c r="FI1336" s="97">
        <f t="shared" si="2006"/>
        <v>0</v>
      </c>
      <c r="FJ1336" s="97">
        <f t="shared" si="2007"/>
        <v>0</v>
      </c>
      <c r="FK1336" s="97">
        <f t="shared" si="2008"/>
        <v>0</v>
      </c>
      <c r="FL1336" s="97">
        <f t="shared" si="2009"/>
        <v>20785.97</v>
      </c>
      <c r="FM1336" s="97">
        <f t="shared" si="2010"/>
        <v>21909.81</v>
      </c>
      <c r="FN1336" s="97">
        <f t="shared" si="2011"/>
        <v>23129.040000000001</v>
      </c>
      <c r="FO1336" s="97">
        <f t="shared" si="2012"/>
        <v>3174.16</v>
      </c>
      <c r="FP1336" s="97">
        <f t="shared" si="2013"/>
        <v>3270.4</v>
      </c>
      <c r="FQ1336" s="97">
        <f t="shared" si="2014"/>
        <v>3209.15</v>
      </c>
      <c r="FR1336" s="97">
        <f t="shared" si="2015"/>
        <v>0</v>
      </c>
      <c r="FS1336" s="97">
        <f t="shared" si="2015"/>
        <v>0</v>
      </c>
      <c r="FT1336" s="97">
        <f t="shared" si="2015"/>
        <v>0</v>
      </c>
      <c r="FU1336" s="97">
        <f t="shared" si="2016"/>
        <v>0</v>
      </c>
      <c r="FV1336" s="97">
        <f t="shared" si="2016"/>
        <v>0</v>
      </c>
      <c r="FW1336" s="97">
        <f t="shared" si="2016"/>
        <v>0</v>
      </c>
      <c r="FX1336" s="102"/>
      <c r="FY1336" s="102"/>
      <c r="FZ1336" s="102"/>
      <c r="GA1336" s="97">
        <f t="shared" si="2017"/>
        <v>0</v>
      </c>
      <c r="GB1336" s="97">
        <f t="shared" si="2018"/>
        <v>0</v>
      </c>
      <c r="GC1336" s="97">
        <f t="shared" si="2019"/>
        <v>0</v>
      </c>
      <c r="GD1336" s="97">
        <f t="shared" si="2020"/>
        <v>0</v>
      </c>
      <c r="GE1336" s="97">
        <f t="shared" si="2021"/>
        <v>0</v>
      </c>
      <c r="GF1336" s="97">
        <f t="shared" si="2022"/>
        <v>0</v>
      </c>
      <c r="GG1336" s="97">
        <f t="shared" si="2023"/>
        <v>20753.3</v>
      </c>
      <c r="GH1336" s="97">
        <f t="shared" si="2024"/>
        <v>21851.53</v>
      </c>
      <c r="GI1336" s="97">
        <f t="shared" si="2025"/>
        <v>23055.97</v>
      </c>
      <c r="GJ1336" s="97">
        <f t="shared" si="2026"/>
        <v>2380.0300000000002</v>
      </c>
      <c r="GK1336" s="97">
        <f t="shared" si="2027"/>
        <v>2643.06</v>
      </c>
      <c r="GL1336" s="97">
        <f t="shared" si="2028"/>
        <v>2809.29</v>
      </c>
      <c r="GM1336" s="97">
        <f t="shared" si="2029"/>
        <v>0</v>
      </c>
      <c r="GN1336" s="97">
        <f t="shared" si="2029"/>
        <v>0</v>
      </c>
      <c r="GO1336" s="97">
        <f t="shared" si="2029"/>
        <v>0</v>
      </c>
      <c r="GP1336" s="97">
        <f t="shared" si="2030"/>
        <v>0</v>
      </c>
      <c r="GQ1336" s="97">
        <f t="shared" si="2030"/>
        <v>0</v>
      </c>
      <c r="GR1336" s="97">
        <f t="shared" si="2030"/>
        <v>0</v>
      </c>
      <c r="GS1336" s="102"/>
      <c r="GT1336" s="102"/>
      <c r="GU1336" s="102"/>
      <c r="GV1336" s="97">
        <f t="shared" si="2031"/>
        <v>0</v>
      </c>
      <c r="GW1336" s="97">
        <f t="shared" si="2032"/>
        <v>0</v>
      </c>
      <c r="GX1336" s="97">
        <f t="shared" si="2033"/>
        <v>0</v>
      </c>
      <c r="GY1336" s="97">
        <f t="shared" si="2034"/>
        <v>0</v>
      </c>
      <c r="GZ1336" s="97">
        <f t="shared" si="2035"/>
        <v>0</v>
      </c>
      <c r="HA1336" s="97">
        <f t="shared" si="2036"/>
        <v>0</v>
      </c>
      <c r="HB1336" s="97">
        <f t="shared" si="2037"/>
        <v>21679.65</v>
      </c>
      <c r="HC1336" s="97">
        <f t="shared" si="2038"/>
        <v>22817.69</v>
      </c>
      <c r="HD1336" s="97">
        <f t="shared" si="2039"/>
        <v>24074.74</v>
      </c>
      <c r="HE1336" s="97">
        <f t="shared" si="2040"/>
        <v>2769.2</v>
      </c>
      <c r="HF1336" s="97">
        <f t="shared" si="2041"/>
        <v>2827.06</v>
      </c>
      <c r="HG1336" s="97">
        <f t="shared" si="2042"/>
        <v>2832.08</v>
      </c>
      <c r="HH1336" s="97">
        <f t="shared" si="2043"/>
        <v>0</v>
      </c>
      <c r="HI1336" s="97">
        <f t="shared" si="2043"/>
        <v>0</v>
      </c>
      <c r="HJ1336" s="97">
        <f t="shared" si="2043"/>
        <v>0</v>
      </c>
      <c r="HK1336" s="97">
        <f t="shared" si="2044"/>
        <v>0</v>
      </c>
      <c r="HL1336" s="97">
        <f t="shared" si="2044"/>
        <v>0</v>
      </c>
      <c r="HM1336" s="97">
        <f t="shared" si="2044"/>
        <v>0</v>
      </c>
      <c r="HN1336" s="102"/>
      <c r="HO1336" s="102"/>
      <c r="HP1336" s="102"/>
      <c r="HQ1336" s="97">
        <f t="shared" si="2045"/>
        <v>0</v>
      </c>
      <c r="HR1336" s="97">
        <f t="shared" si="2046"/>
        <v>0</v>
      </c>
      <c r="HS1336" s="97">
        <f t="shared" si="2047"/>
        <v>0</v>
      </c>
      <c r="HT1336" s="97">
        <f t="shared" si="2048"/>
        <v>0</v>
      </c>
      <c r="HU1336" s="97">
        <f t="shared" si="2049"/>
        <v>0</v>
      </c>
      <c r="HV1336" s="97">
        <f t="shared" si="2050"/>
        <v>0</v>
      </c>
      <c r="HW1336" s="97">
        <f t="shared" si="2051"/>
        <v>21335.79</v>
      </c>
      <c r="HX1336" s="97">
        <f t="shared" si="2052"/>
        <v>22488.99</v>
      </c>
      <c r="HY1336" s="97">
        <f t="shared" si="2053"/>
        <v>23732.23</v>
      </c>
      <c r="HZ1336" s="97">
        <f t="shared" si="2054"/>
        <v>2641.64</v>
      </c>
      <c r="IA1336" s="97">
        <f t="shared" si="2055"/>
        <v>2695.21</v>
      </c>
      <c r="IB1336" s="97">
        <f t="shared" si="2056"/>
        <v>2653.76</v>
      </c>
      <c r="IC1336" s="97">
        <f t="shared" si="2057"/>
        <v>0</v>
      </c>
      <c r="ID1336" s="97">
        <f t="shared" si="2057"/>
        <v>0</v>
      </c>
      <c r="IE1336" s="97">
        <f t="shared" si="2057"/>
        <v>0</v>
      </c>
      <c r="IF1336" s="97">
        <f t="shared" si="2058"/>
        <v>0</v>
      </c>
      <c r="IG1336" s="97">
        <f t="shared" si="2058"/>
        <v>0</v>
      </c>
      <c r="IH1336" s="97">
        <f t="shared" si="2058"/>
        <v>0</v>
      </c>
      <c r="II1336" s="102">
        <v>5</v>
      </c>
      <c r="IJ1336" s="102">
        <v>5</v>
      </c>
      <c r="IK1336" s="102">
        <v>5</v>
      </c>
      <c r="IL1336" s="97">
        <f t="shared" si="2059"/>
        <v>255755</v>
      </c>
      <c r="IM1336" s="97">
        <f t="shared" si="2060"/>
        <v>261015</v>
      </c>
      <c r="IN1336" s="97">
        <f t="shared" si="2061"/>
        <v>265530</v>
      </c>
      <c r="IO1336" s="97">
        <f t="shared" si="2062"/>
        <v>16833.25</v>
      </c>
      <c r="IP1336" s="97">
        <f t="shared" si="2063"/>
        <v>16833.25</v>
      </c>
      <c r="IQ1336" s="97">
        <f t="shared" si="2064"/>
        <v>16833.25</v>
      </c>
      <c r="IR1336" s="97">
        <f t="shared" si="2065"/>
        <v>28983.25</v>
      </c>
      <c r="IS1336" s="97">
        <f t="shared" si="2066"/>
        <v>30470.51</v>
      </c>
      <c r="IT1336" s="97">
        <f t="shared" si="2067"/>
        <v>32143.32</v>
      </c>
      <c r="IU1336" s="97">
        <f t="shared" si="2068"/>
        <v>3993.64</v>
      </c>
      <c r="IV1336" s="97">
        <f t="shared" si="2069"/>
        <v>4074.39</v>
      </c>
      <c r="IW1336" s="97">
        <f t="shared" si="2070"/>
        <v>3983.55</v>
      </c>
      <c r="IX1336" s="97">
        <f t="shared" si="2071"/>
        <v>144916.25</v>
      </c>
      <c r="IY1336" s="97">
        <f t="shared" si="2071"/>
        <v>152352.54999999999</v>
      </c>
      <c r="IZ1336" s="97">
        <f t="shared" si="2071"/>
        <v>160716.6</v>
      </c>
      <c r="JA1336" s="97">
        <f t="shared" si="2072"/>
        <v>19968.2</v>
      </c>
      <c r="JB1336" s="97">
        <f t="shared" si="2072"/>
        <v>20371.95</v>
      </c>
      <c r="JC1336" s="97">
        <f t="shared" si="2072"/>
        <v>19917.75</v>
      </c>
      <c r="JD1336" s="102"/>
      <c r="JE1336" s="102"/>
      <c r="JF1336" s="102"/>
      <c r="JG1336" s="97">
        <f t="shared" si="2073"/>
        <v>0</v>
      </c>
      <c r="JH1336" s="97">
        <f t="shared" si="2074"/>
        <v>0</v>
      </c>
      <c r="JI1336" s="97">
        <f t="shared" si="2075"/>
        <v>0</v>
      </c>
      <c r="JJ1336" s="97">
        <f t="shared" si="2076"/>
        <v>0</v>
      </c>
      <c r="JK1336" s="97">
        <f t="shared" si="2077"/>
        <v>0</v>
      </c>
      <c r="JL1336" s="97">
        <f t="shared" si="2078"/>
        <v>0</v>
      </c>
      <c r="JM1336" s="97">
        <f t="shared" si="2079"/>
        <v>19428.63</v>
      </c>
      <c r="JN1336" s="97">
        <f t="shared" si="2080"/>
        <v>20466.46</v>
      </c>
      <c r="JO1336" s="97">
        <f t="shared" si="2081"/>
        <v>21601.53</v>
      </c>
      <c r="JP1336" s="97">
        <f t="shared" si="2082"/>
        <v>2177.31</v>
      </c>
      <c r="JQ1336" s="97">
        <f t="shared" si="2083"/>
        <v>2261.89</v>
      </c>
      <c r="JR1336" s="97">
        <f t="shared" si="2084"/>
        <v>2267.27</v>
      </c>
      <c r="JS1336" s="97">
        <f t="shared" si="2085"/>
        <v>0</v>
      </c>
      <c r="JT1336" s="97">
        <f t="shared" si="2085"/>
        <v>0</v>
      </c>
      <c r="JU1336" s="97">
        <f t="shared" si="2085"/>
        <v>0</v>
      </c>
      <c r="JV1336" s="97">
        <f t="shared" si="2086"/>
        <v>0</v>
      </c>
      <c r="JW1336" s="97">
        <f t="shared" si="2086"/>
        <v>0</v>
      </c>
      <c r="JX1336" s="97">
        <f t="shared" si="2086"/>
        <v>0</v>
      </c>
      <c r="JY1336" s="102"/>
      <c r="JZ1336" s="102"/>
      <c r="KA1336" s="102"/>
      <c r="KB1336" s="97">
        <f t="shared" si="2087"/>
        <v>0</v>
      </c>
      <c r="KC1336" s="97">
        <f t="shared" si="2088"/>
        <v>0</v>
      </c>
      <c r="KD1336" s="97">
        <f t="shared" si="2089"/>
        <v>0</v>
      </c>
      <c r="KE1336" s="97">
        <f t="shared" si="2090"/>
        <v>0</v>
      </c>
      <c r="KF1336" s="97">
        <f t="shared" si="2091"/>
        <v>0</v>
      </c>
      <c r="KG1336" s="97">
        <f t="shared" si="2092"/>
        <v>0</v>
      </c>
      <c r="KH1336" s="97">
        <f t="shared" si="2093"/>
        <v>19974.68</v>
      </c>
      <c r="KI1336" s="97">
        <f t="shared" si="2094"/>
        <v>21023.87</v>
      </c>
      <c r="KJ1336" s="97">
        <f t="shared" si="2095"/>
        <v>22184.85</v>
      </c>
      <c r="KK1336" s="97">
        <f t="shared" si="2096"/>
        <v>2041.13</v>
      </c>
      <c r="KL1336" s="97">
        <f t="shared" si="2097"/>
        <v>2096.2600000000002</v>
      </c>
      <c r="KM1336" s="97">
        <f t="shared" si="2098"/>
        <v>2086.35</v>
      </c>
      <c r="KN1336" s="97">
        <f t="shared" si="2099"/>
        <v>0</v>
      </c>
      <c r="KO1336" s="97">
        <f t="shared" si="2099"/>
        <v>0</v>
      </c>
      <c r="KP1336" s="97">
        <f t="shared" si="2099"/>
        <v>0</v>
      </c>
      <c r="KQ1336" s="97">
        <f t="shared" si="2100"/>
        <v>0</v>
      </c>
      <c r="KR1336" s="97">
        <f t="shared" si="2100"/>
        <v>0</v>
      </c>
      <c r="KS1336" s="97">
        <f t="shared" si="2100"/>
        <v>0</v>
      </c>
      <c r="KT1336" s="102"/>
      <c r="KU1336" s="102"/>
      <c r="KV1336" s="102"/>
      <c r="KW1336" s="97">
        <f t="shared" si="2101"/>
        <v>0</v>
      </c>
      <c r="KX1336" s="97">
        <f t="shared" si="2102"/>
        <v>0</v>
      </c>
      <c r="KY1336" s="97">
        <f t="shared" si="2103"/>
        <v>0</v>
      </c>
      <c r="KZ1336" s="97">
        <f t="shared" si="2104"/>
        <v>0</v>
      </c>
      <c r="LA1336" s="97">
        <f t="shared" si="2105"/>
        <v>0</v>
      </c>
      <c r="LB1336" s="97">
        <f t="shared" si="2106"/>
        <v>0</v>
      </c>
      <c r="LC1336" s="97">
        <f t="shared" si="2107"/>
        <v>18854.29</v>
      </c>
      <c r="LD1336" s="97">
        <f t="shared" si="2108"/>
        <v>19871.13</v>
      </c>
      <c r="LE1336" s="97">
        <f t="shared" si="2109"/>
        <v>20974.57</v>
      </c>
      <c r="LF1336" s="97">
        <f t="shared" si="2110"/>
        <v>2813.16</v>
      </c>
      <c r="LG1336" s="97">
        <f t="shared" si="2111"/>
        <v>2928.84</v>
      </c>
      <c r="LH1336" s="97">
        <f t="shared" si="2112"/>
        <v>2944.18</v>
      </c>
      <c r="LI1336" s="97">
        <f t="shared" si="2113"/>
        <v>0</v>
      </c>
      <c r="LJ1336" s="97">
        <f t="shared" si="2113"/>
        <v>0</v>
      </c>
      <c r="LK1336" s="97">
        <f t="shared" si="2113"/>
        <v>0</v>
      </c>
      <c r="LL1336" s="97">
        <f t="shared" si="2114"/>
        <v>0</v>
      </c>
      <c r="LM1336" s="97">
        <f t="shared" si="2114"/>
        <v>0</v>
      </c>
      <c r="LN1336" s="97">
        <f t="shared" si="2114"/>
        <v>0</v>
      </c>
      <c r="LO1336" s="102"/>
      <c r="LP1336" s="102"/>
      <c r="LQ1336" s="102"/>
      <c r="LR1336" s="97">
        <f t="shared" si="2115"/>
        <v>0</v>
      </c>
      <c r="LS1336" s="97">
        <f t="shared" si="2116"/>
        <v>0</v>
      </c>
      <c r="LT1336" s="97">
        <f t="shared" si="2117"/>
        <v>0</v>
      </c>
      <c r="LU1336" s="97">
        <f t="shared" si="2118"/>
        <v>0</v>
      </c>
      <c r="LV1336" s="97">
        <f t="shared" si="2119"/>
        <v>0</v>
      </c>
      <c r="LW1336" s="97">
        <f t="shared" si="2120"/>
        <v>0</v>
      </c>
      <c r="LX1336" s="97">
        <f t="shared" si="2121"/>
        <v>16470.060000000001</v>
      </c>
      <c r="LY1336" s="97">
        <f t="shared" si="2122"/>
        <v>17359.25</v>
      </c>
      <c r="LZ1336" s="97">
        <f t="shared" si="2123"/>
        <v>18321.32</v>
      </c>
      <c r="MA1336" s="97">
        <f t="shared" si="2124"/>
        <v>2088.21</v>
      </c>
      <c r="MB1336" s="97">
        <f t="shared" si="2125"/>
        <v>2139.84</v>
      </c>
      <c r="MC1336" s="97">
        <f t="shared" si="2126"/>
        <v>2133.52</v>
      </c>
      <c r="MD1336" s="97">
        <f t="shared" si="2127"/>
        <v>0</v>
      </c>
      <c r="ME1336" s="97">
        <f t="shared" si="2127"/>
        <v>0</v>
      </c>
      <c r="MF1336" s="97">
        <f t="shared" si="2127"/>
        <v>0</v>
      </c>
      <c r="MG1336" s="97">
        <f t="shared" si="2128"/>
        <v>0</v>
      </c>
      <c r="MH1336" s="97">
        <f t="shared" si="2128"/>
        <v>0</v>
      </c>
      <c r="MI1336" s="97">
        <f t="shared" si="2128"/>
        <v>0</v>
      </c>
      <c r="MJ1336" s="102"/>
      <c r="MK1336" s="102"/>
      <c r="ML1336" s="102"/>
      <c r="MM1336" s="97">
        <f t="shared" si="2129"/>
        <v>0</v>
      </c>
      <c r="MN1336" s="97">
        <f t="shared" si="2130"/>
        <v>0</v>
      </c>
      <c r="MO1336" s="97">
        <f t="shared" si="2131"/>
        <v>0</v>
      </c>
      <c r="MP1336" s="97">
        <f t="shared" si="2132"/>
        <v>0</v>
      </c>
      <c r="MQ1336" s="97">
        <f t="shared" si="2133"/>
        <v>0</v>
      </c>
      <c r="MR1336" s="97">
        <f t="shared" si="2134"/>
        <v>0</v>
      </c>
      <c r="MS1336" s="97">
        <f t="shared" si="2135"/>
        <v>19054.03</v>
      </c>
      <c r="MT1336" s="97">
        <f t="shared" si="2136"/>
        <v>20080.3</v>
      </c>
      <c r="MU1336" s="97">
        <f t="shared" si="2137"/>
        <v>21195.02</v>
      </c>
      <c r="MV1336" s="97">
        <f t="shared" si="2138"/>
        <v>2477.4</v>
      </c>
      <c r="MW1336" s="97">
        <f t="shared" si="2139"/>
        <v>2504.4499999999998</v>
      </c>
      <c r="MX1336" s="97">
        <f t="shared" si="2140"/>
        <v>2519.89</v>
      </c>
      <c r="MY1336" s="97">
        <f t="shared" si="2141"/>
        <v>0</v>
      </c>
      <c r="MZ1336" s="97">
        <f t="shared" si="2141"/>
        <v>0</v>
      </c>
      <c r="NA1336" s="97">
        <f t="shared" si="2141"/>
        <v>0</v>
      </c>
      <c r="NB1336" s="97">
        <f t="shared" si="2142"/>
        <v>0</v>
      </c>
      <c r="NC1336" s="97">
        <f t="shared" si="2142"/>
        <v>0</v>
      </c>
      <c r="ND1336" s="97">
        <f t="shared" si="2142"/>
        <v>0</v>
      </c>
      <c r="NE1336" s="102"/>
      <c r="NF1336" s="102"/>
      <c r="NG1336" s="102"/>
      <c r="NH1336" s="97">
        <f t="shared" si="2143"/>
        <v>0</v>
      </c>
      <c r="NI1336" s="97">
        <f t="shared" si="2144"/>
        <v>0</v>
      </c>
      <c r="NJ1336" s="97">
        <f t="shared" si="2145"/>
        <v>0</v>
      </c>
      <c r="NK1336" s="97">
        <f t="shared" si="2146"/>
        <v>0</v>
      </c>
      <c r="NL1336" s="97">
        <f t="shared" si="2147"/>
        <v>0</v>
      </c>
      <c r="NM1336" s="97">
        <f t="shared" si="2148"/>
        <v>0</v>
      </c>
      <c r="NN1336" s="97">
        <f t="shared" si="2149"/>
        <v>19453.75</v>
      </c>
      <c r="NO1336" s="97">
        <f t="shared" si="2150"/>
        <v>20475.04</v>
      </c>
      <c r="NP1336" s="97">
        <f t="shared" si="2151"/>
        <v>21599.51</v>
      </c>
      <c r="NQ1336" s="97">
        <f t="shared" si="2152"/>
        <v>3628.33</v>
      </c>
      <c r="NR1336" s="97">
        <f t="shared" si="2153"/>
        <v>3789.82</v>
      </c>
      <c r="NS1336" s="97">
        <f t="shared" si="2154"/>
        <v>3685.14</v>
      </c>
      <c r="NT1336" s="97">
        <f t="shared" si="2155"/>
        <v>0</v>
      </c>
      <c r="NU1336" s="97">
        <f t="shared" si="2155"/>
        <v>0</v>
      </c>
      <c r="NV1336" s="97">
        <f t="shared" si="2155"/>
        <v>0</v>
      </c>
      <c r="NW1336" s="97">
        <f t="shared" si="2156"/>
        <v>0</v>
      </c>
      <c r="NX1336" s="97">
        <f t="shared" si="2156"/>
        <v>0</v>
      </c>
      <c r="NY1336" s="97">
        <f t="shared" si="2156"/>
        <v>0</v>
      </c>
      <c r="NZ1336" s="102"/>
      <c r="OA1336" s="102"/>
      <c r="OB1336" s="102"/>
      <c r="OC1336" s="97">
        <f t="shared" si="2157"/>
        <v>0</v>
      </c>
      <c r="OD1336" s="97">
        <f t="shared" si="2158"/>
        <v>0</v>
      </c>
      <c r="OE1336" s="97">
        <f t="shared" si="2159"/>
        <v>0</v>
      </c>
      <c r="OF1336" s="97">
        <f t="shared" si="2160"/>
        <v>0</v>
      </c>
      <c r="OG1336" s="97">
        <f t="shared" si="2161"/>
        <v>0</v>
      </c>
      <c r="OH1336" s="97">
        <f t="shared" si="2162"/>
        <v>0</v>
      </c>
      <c r="OI1336" s="97">
        <f t="shared" si="2163"/>
        <v>25507.13</v>
      </c>
      <c r="OJ1336" s="97">
        <f t="shared" si="2164"/>
        <v>26804.17</v>
      </c>
      <c r="OK1336" s="97">
        <f t="shared" si="2165"/>
        <v>28268</v>
      </c>
      <c r="OL1336" s="97">
        <f t="shared" si="2166"/>
        <v>3639.16</v>
      </c>
      <c r="OM1336" s="97">
        <f t="shared" si="2167"/>
        <v>3781.26</v>
      </c>
      <c r="ON1336" s="97">
        <f t="shared" si="2168"/>
        <v>3761.49</v>
      </c>
      <c r="OO1336" s="97">
        <f t="shared" si="2169"/>
        <v>0</v>
      </c>
      <c r="OP1336" s="97">
        <f t="shared" si="2169"/>
        <v>0</v>
      </c>
      <c r="OQ1336" s="97">
        <f t="shared" si="2169"/>
        <v>0</v>
      </c>
      <c r="OR1336" s="97">
        <f t="shared" si="2170"/>
        <v>0</v>
      </c>
      <c r="OS1336" s="97">
        <f t="shared" si="2170"/>
        <v>0</v>
      </c>
      <c r="OT1336" s="97">
        <f t="shared" si="2170"/>
        <v>0</v>
      </c>
      <c r="OU1336" s="102"/>
      <c r="OV1336" s="102"/>
      <c r="OW1336" s="102"/>
      <c r="OX1336" s="97">
        <f t="shared" si="2171"/>
        <v>0</v>
      </c>
      <c r="OY1336" s="97">
        <f t="shared" si="2172"/>
        <v>0</v>
      </c>
      <c r="OZ1336" s="97">
        <f t="shared" si="2173"/>
        <v>0</v>
      </c>
      <c r="PA1336" s="97">
        <f t="shared" si="2174"/>
        <v>0</v>
      </c>
      <c r="PB1336" s="97">
        <f t="shared" si="2175"/>
        <v>0</v>
      </c>
      <c r="PC1336" s="97">
        <f t="shared" si="2176"/>
        <v>0</v>
      </c>
      <c r="PD1336" s="97">
        <f t="shared" si="2177"/>
        <v>21450.7</v>
      </c>
      <c r="PE1336" s="97">
        <f t="shared" si="2178"/>
        <v>22596.080000000002</v>
      </c>
      <c r="PF1336" s="97">
        <f t="shared" si="2179"/>
        <v>23847.279999999999</v>
      </c>
      <c r="PG1336" s="97">
        <f t="shared" si="2180"/>
        <v>2908.46</v>
      </c>
      <c r="PH1336" s="97">
        <f t="shared" si="2181"/>
        <v>2971.32</v>
      </c>
      <c r="PI1336" s="97">
        <f t="shared" si="2182"/>
        <v>2995.47</v>
      </c>
      <c r="PJ1336" s="97">
        <f t="shared" si="2183"/>
        <v>0</v>
      </c>
      <c r="PK1336" s="97">
        <f t="shared" si="2183"/>
        <v>0</v>
      </c>
      <c r="PL1336" s="97">
        <f t="shared" si="2183"/>
        <v>0</v>
      </c>
      <c r="PM1336" s="97">
        <f t="shared" si="2184"/>
        <v>0</v>
      </c>
      <c r="PN1336" s="97">
        <f t="shared" si="2184"/>
        <v>0</v>
      </c>
      <c r="PO1336" s="97">
        <f t="shared" si="2184"/>
        <v>0</v>
      </c>
      <c r="PP1336" s="102"/>
      <c r="PQ1336" s="102"/>
      <c r="PR1336" s="102"/>
      <c r="PS1336" s="97">
        <f t="shared" si="2185"/>
        <v>0</v>
      </c>
      <c r="PT1336" s="97">
        <f t="shared" si="2186"/>
        <v>0</v>
      </c>
      <c r="PU1336" s="97">
        <f t="shared" si="2187"/>
        <v>0</v>
      </c>
      <c r="PV1336" s="97">
        <f t="shared" si="2188"/>
        <v>0</v>
      </c>
      <c r="PW1336" s="97">
        <f t="shared" si="2189"/>
        <v>0</v>
      </c>
      <c r="PX1336" s="97">
        <f t="shared" si="2190"/>
        <v>0</v>
      </c>
      <c r="PY1336" s="97">
        <f t="shared" si="2191"/>
        <v>19204.89</v>
      </c>
      <c r="PZ1336" s="97">
        <f t="shared" si="2192"/>
        <v>20247.330000000002</v>
      </c>
      <c r="QA1336" s="97">
        <f t="shared" si="2193"/>
        <v>21369.9</v>
      </c>
      <c r="QB1336" s="97">
        <f t="shared" si="2194"/>
        <v>2999.34</v>
      </c>
      <c r="QC1336" s="97">
        <f t="shared" si="2195"/>
        <v>3149.64</v>
      </c>
      <c r="QD1336" s="97">
        <f t="shared" si="2196"/>
        <v>3146.9</v>
      </c>
      <c r="QE1336" s="97">
        <f t="shared" si="2197"/>
        <v>0</v>
      </c>
      <c r="QF1336" s="97">
        <f t="shared" si="2197"/>
        <v>0</v>
      </c>
      <c r="QG1336" s="97">
        <f t="shared" si="2197"/>
        <v>0</v>
      </c>
      <c r="QH1336" s="97">
        <f t="shared" si="2198"/>
        <v>0</v>
      </c>
      <c r="QI1336" s="97">
        <f t="shared" si="2198"/>
        <v>0</v>
      </c>
      <c r="QJ1336" s="97">
        <f t="shared" si="2198"/>
        <v>0</v>
      </c>
      <c r="QK1336" s="102"/>
      <c r="QL1336" s="102"/>
      <c r="QM1336" s="102"/>
      <c r="QN1336" s="97">
        <f t="shared" si="2199"/>
        <v>0</v>
      </c>
      <c r="QO1336" s="97">
        <f t="shared" si="2200"/>
        <v>0</v>
      </c>
      <c r="QP1336" s="97">
        <f t="shared" si="2201"/>
        <v>0</v>
      </c>
      <c r="QQ1336" s="97">
        <f t="shared" si="2202"/>
        <v>0</v>
      </c>
      <c r="QR1336" s="97">
        <f t="shared" si="2203"/>
        <v>0</v>
      </c>
      <c r="QS1336" s="97">
        <f t="shared" si="2204"/>
        <v>0</v>
      </c>
      <c r="QT1336" s="97">
        <f t="shared" si="2205"/>
        <v>19530.28</v>
      </c>
      <c r="QU1336" s="97">
        <f t="shared" si="2206"/>
        <v>20582.91</v>
      </c>
      <c r="QV1336" s="97">
        <f t="shared" si="2207"/>
        <v>21726.44</v>
      </c>
      <c r="QW1336" s="97">
        <f t="shared" si="2208"/>
        <v>2062.92</v>
      </c>
      <c r="QX1336" s="97">
        <f t="shared" si="2209"/>
        <v>2140.63</v>
      </c>
      <c r="QY1336" s="97">
        <f t="shared" si="2210"/>
        <v>2152.6</v>
      </c>
      <c r="QZ1336" s="97">
        <f t="shared" si="2211"/>
        <v>0</v>
      </c>
      <c r="RA1336" s="97">
        <f t="shared" si="2211"/>
        <v>0</v>
      </c>
      <c r="RB1336" s="97">
        <f t="shared" si="2211"/>
        <v>0</v>
      </c>
      <c r="RC1336" s="97">
        <f t="shared" si="2212"/>
        <v>0</v>
      </c>
      <c r="RD1336" s="97">
        <f t="shared" si="2212"/>
        <v>0</v>
      </c>
      <c r="RE1336" s="97">
        <f t="shared" si="2212"/>
        <v>0</v>
      </c>
      <c r="RF1336" s="102"/>
      <c r="RG1336" s="102"/>
      <c r="RH1336" s="102"/>
      <c r="RI1336" s="97">
        <f t="shared" si="2213"/>
        <v>0</v>
      </c>
      <c r="RJ1336" s="97">
        <f t="shared" si="2214"/>
        <v>0</v>
      </c>
      <c r="RK1336" s="97">
        <f t="shared" si="2215"/>
        <v>0</v>
      </c>
      <c r="RL1336" s="97">
        <f t="shared" si="2216"/>
        <v>0</v>
      </c>
      <c r="RM1336" s="97">
        <f t="shared" si="2217"/>
        <v>0</v>
      </c>
      <c r="RN1336" s="97">
        <f t="shared" si="2218"/>
        <v>0</v>
      </c>
      <c r="RO1336" s="97">
        <f t="shared" si="2219"/>
        <v>20920.89</v>
      </c>
      <c r="RP1336" s="97">
        <f t="shared" si="2220"/>
        <v>22039.26</v>
      </c>
      <c r="RQ1336" s="97">
        <f t="shared" si="2221"/>
        <v>23263.53</v>
      </c>
      <c r="RR1336" s="97">
        <f t="shared" si="2222"/>
        <v>2909.97</v>
      </c>
      <c r="RS1336" s="97">
        <f t="shared" si="2223"/>
        <v>2962.49</v>
      </c>
      <c r="RT1336" s="97">
        <f t="shared" si="2224"/>
        <v>2979.7</v>
      </c>
      <c r="RU1336" s="97">
        <f t="shared" si="2225"/>
        <v>0</v>
      </c>
      <c r="RV1336" s="97">
        <f t="shared" si="2225"/>
        <v>0</v>
      </c>
      <c r="RW1336" s="97">
        <f t="shared" si="2225"/>
        <v>0</v>
      </c>
      <c r="RX1336" s="97">
        <f t="shared" si="2226"/>
        <v>0</v>
      </c>
      <c r="RY1336" s="97">
        <f t="shared" si="2226"/>
        <v>0</v>
      </c>
      <c r="RZ1336" s="97">
        <f t="shared" si="2226"/>
        <v>0</v>
      </c>
      <c r="SA1336" s="102"/>
      <c r="SB1336" s="102"/>
      <c r="SC1336" s="102"/>
      <c r="SD1336" s="97">
        <f t="shared" si="2227"/>
        <v>0</v>
      </c>
      <c r="SE1336" s="97">
        <f t="shared" si="2228"/>
        <v>0</v>
      </c>
      <c r="SF1336" s="97">
        <f t="shared" si="2229"/>
        <v>0</v>
      </c>
      <c r="SG1336" s="97">
        <f t="shared" si="2230"/>
        <v>0</v>
      </c>
      <c r="SH1336" s="97">
        <f t="shared" si="2231"/>
        <v>0</v>
      </c>
      <c r="SI1336" s="97">
        <f t="shared" si="2232"/>
        <v>0</v>
      </c>
      <c r="SJ1336" s="97">
        <f t="shared" si="2233"/>
        <v>21981.98</v>
      </c>
      <c r="SK1336" s="97">
        <f t="shared" si="2234"/>
        <v>23131.4</v>
      </c>
      <c r="SL1336" s="97">
        <f t="shared" si="2235"/>
        <v>24406.19</v>
      </c>
      <c r="SM1336" s="97">
        <f t="shared" si="2236"/>
        <v>4074.06</v>
      </c>
      <c r="SN1336" s="97">
        <f t="shared" si="2237"/>
        <v>4203.9399999999996</v>
      </c>
      <c r="SO1336" s="97">
        <f t="shared" si="2238"/>
        <v>4215.3599999999997</v>
      </c>
      <c r="SP1336" s="97">
        <f t="shared" si="2239"/>
        <v>0</v>
      </c>
      <c r="SQ1336" s="97">
        <f t="shared" si="2239"/>
        <v>0</v>
      </c>
      <c r="SR1336" s="97">
        <f t="shared" si="2239"/>
        <v>0</v>
      </c>
      <c r="SS1336" s="97">
        <f t="shared" si="2240"/>
        <v>0</v>
      </c>
      <c r="ST1336" s="97">
        <f t="shared" si="2240"/>
        <v>0</v>
      </c>
      <c r="SU1336" s="97">
        <f t="shared" si="2240"/>
        <v>0</v>
      </c>
      <c r="SV1336" s="102"/>
      <c r="SW1336" s="102"/>
      <c r="SX1336" s="102"/>
      <c r="SY1336" s="97">
        <f t="shared" si="2241"/>
        <v>0</v>
      </c>
      <c r="SZ1336" s="97">
        <f t="shared" si="2242"/>
        <v>0</v>
      </c>
      <c r="TA1336" s="97">
        <f t="shared" si="2243"/>
        <v>0</v>
      </c>
      <c r="TB1336" s="97">
        <f t="shared" si="2244"/>
        <v>0</v>
      </c>
      <c r="TC1336" s="97">
        <f t="shared" si="2245"/>
        <v>0</v>
      </c>
      <c r="TD1336" s="97">
        <f t="shared" si="2246"/>
        <v>0</v>
      </c>
      <c r="TE1336" s="97">
        <f t="shared" si="2247"/>
        <v>19648.830000000002</v>
      </c>
      <c r="TF1336" s="97">
        <f t="shared" si="2248"/>
        <v>20699.82</v>
      </c>
      <c r="TG1336" s="97">
        <f t="shared" si="2249"/>
        <v>21845.89</v>
      </c>
      <c r="TH1336" s="97">
        <f t="shared" si="2250"/>
        <v>3102.55</v>
      </c>
      <c r="TI1336" s="97">
        <f t="shared" si="2251"/>
        <v>3184.99</v>
      </c>
      <c r="TJ1336" s="97">
        <f t="shared" si="2252"/>
        <v>3175.77</v>
      </c>
      <c r="TK1336" s="97">
        <f t="shared" si="2253"/>
        <v>0</v>
      </c>
      <c r="TL1336" s="97">
        <f t="shared" si="2253"/>
        <v>0</v>
      </c>
      <c r="TM1336" s="97">
        <f t="shared" si="2253"/>
        <v>0</v>
      </c>
      <c r="TN1336" s="97">
        <f t="shared" si="2254"/>
        <v>0</v>
      </c>
      <c r="TO1336" s="97">
        <f t="shared" si="2254"/>
        <v>0</v>
      </c>
      <c r="TP1336" s="97">
        <f t="shared" si="2254"/>
        <v>0</v>
      </c>
      <c r="TQ1336" s="102"/>
      <c r="TR1336" s="102"/>
      <c r="TS1336" s="102"/>
      <c r="TT1336" s="97">
        <f t="shared" si="2255"/>
        <v>0</v>
      </c>
      <c r="TU1336" s="97">
        <f t="shared" si="2256"/>
        <v>0</v>
      </c>
      <c r="TV1336" s="97">
        <f t="shared" si="2257"/>
        <v>0</v>
      </c>
      <c r="TW1336" s="97">
        <f t="shared" si="2258"/>
        <v>0</v>
      </c>
      <c r="TX1336" s="97">
        <f t="shared" si="2259"/>
        <v>0</v>
      </c>
      <c r="TY1336" s="97">
        <f t="shared" si="2260"/>
        <v>0</v>
      </c>
      <c r="TZ1336" s="97">
        <f t="shared" si="2261"/>
        <v>21049.09</v>
      </c>
      <c r="UA1336" s="97">
        <f t="shared" si="2262"/>
        <v>22158.82</v>
      </c>
      <c r="UB1336" s="97">
        <f t="shared" si="2263"/>
        <v>23387.16</v>
      </c>
      <c r="UC1336" s="97">
        <f t="shared" si="2264"/>
        <v>2835.32</v>
      </c>
      <c r="UD1336" s="97">
        <f t="shared" si="2265"/>
        <v>2996.15</v>
      </c>
      <c r="UE1336" s="97">
        <f t="shared" si="2266"/>
        <v>3005.39</v>
      </c>
      <c r="UF1336" s="97">
        <f t="shared" si="2267"/>
        <v>0</v>
      </c>
      <c r="UG1336" s="97">
        <f t="shared" si="2267"/>
        <v>0</v>
      </c>
      <c r="UH1336" s="97">
        <f t="shared" si="2267"/>
        <v>0</v>
      </c>
      <c r="UI1336" s="97">
        <f t="shared" si="2268"/>
        <v>0</v>
      </c>
      <c r="UJ1336" s="97">
        <f t="shared" si="2268"/>
        <v>0</v>
      </c>
      <c r="UK1336" s="97">
        <f t="shared" si="2268"/>
        <v>0</v>
      </c>
      <c r="UL1336" s="102"/>
      <c r="UM1336" s="102"/>
      <c r="UN1336" s="102"/>
      <c r="UO1336" s="97">
        <f t="shared" si="2269"/>
        <v>0</v>
      </c>
      <c r="UP1336" s="97">
        <f t="shared" si="2270"/>
        <v>0</v>
      </c>
      <c r="UQ1336" s="97">
        <f t="shared" si="2271"/>
        <v>0</v>
      </c>
      <c r="UR1336" s="97">
        <f t="shared" si="2272"/>
        <v>0</v>
      </c>
      <c r="US1336" s="97">
        <f t="shared" si="2273"/>
        <v>0</v>
      </c>
      <c r="UT1336" s="97">
        <f t="shared" si="2274"/>
        <v>0</v>
      </c>
      <c r="UU1336" s="97">
        <f t="shared" si="2275"/>
        <v>19472.599999999999</v>
      </c>
      <c r="UV1336" s="97">
        <f t="shared" si="2276"/>
        <v>20533.98</v>
      </c>
      <c r="UW1336" s="97">
        <f t="shared" si="2277"/>
        <v>21677.55</v>
      </c>
      <c r="UX1336" s="97">
        <f t="shared" si="2278"/>
        <v>2210.17</v>
      </c>
      <c r="UY1336" s="97">
        <f t="shared" si="2279"/>
        <v>2324.65</v>
      </c>
      <c r="UZ1336" s="97">
        <f t="shared" si="2280"/>
        <v>2342.0300000000002</v>
      </c>
      <c r="VA1336" s="97">
        <f t="shared" si="2281"/>
        <v>0</v>
      </c>
      <c r="VB1336" s="97">
        <f t="shared" si="2281"/>
        <v>0</v>
      </c>
      <c r="VC1336" s="97">
        <f t="shared" si="2281"/>
        <v>0</v>
      </c>
      <c r="VD1336" s="97">
        <f t="shared" si="2282"/>
        <v>0</v>
      </c>
      <c r="VE1336" s="97">
        <f t="shared" si="2282"/>
        <v>0</v>
      </c>
      <c r="VF1336" s="97">
        <f t="shared" si="2282"/>
        <v>0</v>
      </c>
      <c r="VG1336" s="102"/>
      <c r="VH1336" s="102"/>
      <c r="VI1336" s="102"/>
      <c r="VJ1336" s="97">
        <f t="shared" si="2283"/>
        <v>0</v>
      </c>
      <c r="VK1336" s="97">
        <f t="shared" si="2284"/>
        <v>0</v>
      </c>
      <c r="VL1336" s="97">
        <f t="shared" si="2285"/>
        <v>0</v>
      </c>
      <c r="VM1336" s="97">
        <f t="shared" si="2286"/>
        <v>0</v>
      </c>
      <c r="VN1336" s="97">
        <f t="shared" si="2287"/>
        <v>0</v>
      </c>
      <c r="VO1336" s="97">
        <f t="shared" si="2288"/>
        <v>0</v>
      </c>
      <c r="VP1336" s="97">
        <f t="shared" si="2289"/>
        <v>19864.23</v>
      </c>
      <c r="VQ1336" s="97">
        <f t="shared" si="2290"/>
        <v>20929.560000000001</v>
      </c>
      <c r="VR1336" s="97">
        <f t="shared" si="2291"/>
        <v>22093.75</v>
      </c>
      <c r="VS1336" s="97">
        <f t="shared" si="2292"/>
        <v>2378.88</v>
      </c>
      <c r="VT1336" s="97">
        <f t="shared" si="2293"/>
        <v>2451.19</v>
      </c>
      <c r="VU1336" s="97">
        <f t="shared" si="2294"/>
        <v>2468.2600000000002</v>
      </c>
      <c r="VV1336" s="97">
        <f t="shared" si="2295"/>
        <v>0</v>
      </c>
      <c r="VW1336" s="97">
        <f t="shared" si="2295"/>
        <v>0</v>
      </c>
      <c r="VX1336" s="97">
        <f t="shared" si="2295"/>
        <v>0</v>
      </c>
      <c r="VY1336" s="97">
        <f t="shared" si="2296"/>
        <v>0</v>
      </c>
      <c r="VZ1336" s="97">
        <f t="shared" si="2296"/>
        <v>0</v>
      </c>
      <c r="WA1336" s="97">
        <f t="shared" si="2296"/>
        <v>0</v>
      </c>
      <c r="WB1336" s="102"/>
      <c r="WC1336" s="102"/>
      <c r="WD1336" s="102"/>
      <c r="WE1336" s="97">
        <f t="shared" si="2297"/>
        <v>0</v>
      </c>
      <c r="WF1336" s="97">
        <f t="shared" si="2298"/>
        <v>0</v>
      </c>
      <c r="WG1336" s="97">
        <f t="shared" si="2299"/>
        <v>0</v>
      </c>
      <c r="WH1336" s="97">
        <f t="shared" si="2300"/>
        <v>0</v>
      </c>
      <c r="WI1336" s="97">
        <f t="shared" si="2301"/>
        <v>0</v>
      </c>
      <c r="WJ1336" s="97">
        <f t="shared" si="2302"/>
        <v>0</v>
      </c>
      <c r="WK1336" s="97">
        <f t="shared" si="2303"/>
        <v>18351.61</v>
      </c>
      <c r="WL1336" s="97">
        <f t="shared" si="2304"/>
        <v>19357.5</v>
      </c>
      <c r="WM1336" s="97">
        <f t="shared" si="2305"/>
        <v>20434.560000000001</v>
      </c>
      <c r="WN1336" s="97">
        <f t="shared" si="2306"/>
        <v>2554.71</v>
      </c>
      <c r="WO1336" s="97">
        <f t="shared" si="2307"/>
        <v>2696.73</v>
      </c>
      <c r="WP1336" s="97">
        <f t="shared" si="2308"/>
        <v>2717.96</v>
      </c>
      <c r="WQ1336" s="97">
        <f t="shared" si="2309"/>
        <v>0</v>
      </c>
      <c r="WR1336" s="97">
        <f t="shared" si="2309"/>
        <v>0</v>
      </c>
      <c r="WS1336" s="97">
        <f t="shared" si="2309"/>
        <v>0</v>
      </c>
      <c r="WT1336" s="97">
        <f t="shared" si="2310"/>
        <v>0</v>
      </c>
      <c r="WU1336" s="97">
        <f t="shared" si="2310"/>
        <v>0</v>
      </c>
      <c r="WV1336" s="97">
        <f t="shared" si="2310"/>
        <v>0</v>
      </c>
      <c r="WW1336" s="102"/>
      <c r="WX1336" s="102"/>
      <c r="WY1336" s="102"/>
      <c r="WZ1336" s="97">
        <f t="shared" si="2311"/>
        <v>0</v>
      </c>
      <c r="XA1336" s="97">
        <f t="shared" si="2312"/>
        <v>0</v>
      </c>
      <c r="XB1336" s="97">
        <f t="shared" si="2313"/>
        <v>0</v>
      </c>
      <c r="XC1336" s="97">
        <f t="shared" si="2314"/>
        <v>0</v>
      </c>
      <c r="XD1336" s="97">
        <f t="shared" si="2315"/>
        <v>0</v>
      </c>
      <c r="XE1336" s="97">
        <f t="shared" si="2316"/>
        <v>0</v>
      </c>
      <c r="XF1336" s="97">
        <f t="shared" si="2317"/>
        <v>18028.62</v>
      </c>
      <c r="XG1336" s="97">
        <f t="shared" si="2318"/>
        <v>19004.03</v>
      </c>
      <c r="XH1336" s="97">
        <f t="shared" si="2319"/>
        <v>20057.439999999999</v>
      </c>
      <c r="XI1336" s="97">
        <f t="shared" si="2320"/>
        <v>2057.6799999999998</v>
      </c>
      <c r="XJ1336" s="97">
        <f t="shared" si="2321"/>
        <v>2179.96</v>
      </c>
      <c r="XK1336" s="97">
        <f t="shared" si="2322"/>
        <v>2189.33</v>
      </c>
      <c r="XL1336" s="97">
        <f t="shared" si="2323"/>
        <v>0</v>
      </c>
      <c r="XM1336" s="97">
        <f t="shared" si="2323"/>
        <v>0</v>
      </c>
      <c r="XN1336" s="97">
        <f t="shared" si="2323"/>
        <v>0</v>
      </c>
      <c r="XO1336" s="97">
        <f t="shared" si="2324"/>
        <v>0</v>
      </c>
      <c r="XP1336" s="97">
        <f t="shared" si="2324"/>
        <v>0</v>
      </c>
      <c r="XQ1336" s="97">
        <f t="shared" si="2324"/>
        <v>0</v>
      </c>
      <c r="XR1336" s="102"/>
      <c r="XS1336" s="102"/>
      <c r="XT1336" s="102"/>
      <c r="XU1336" s="97">
        <f t="shared" si="2325"/>
        <v>0</v>
      </c>
      <c r="XV1336" s="97">
        <f t="shared" si="2326"/>
        <v>0</v>
      </c>
      <c r="XW1336" s="97">
        <f t="shared" si="2327"/>
        <v>0</v>
      </c>
      <c r="XX1336" s="97">
        <f t="shared" si="2328"/>
        <v>0</v>
      </c>
      <c r="XY1336" s="97">
        <f t="shared" si="2329"/>
        <v>0</v>
      </c>
      <c r="XZ1336" s="97">
        <f t="shared" si="2330"/>
        <v>0</v>
      </c>
      <c r="YA1336" s="97">
        <f t="shared" si="2331"/>
        <v>19030.43</v>
      </c>
      <c r="YB1336" s="97">
        <f t="shared" si="2332"/>
        <v>20076.38</v>
      </c>
      <c r="YC1336" s="97">
        <f t="shared" si="2333"/>
        <v>21198.880000000001</v>
      </c>
      <c r="YD1336" s="97">
        <f t="shared" si="2334"/>
        <v>8998.7199999999993</v>
      </c>
      <c r="YE1336" s="97">
        <f t="shared" si="2335"/>
        <v>10653.56</v>
      </c>
      <c r="YF1336" s="97">
        <f t="shared" si="2336"/>
        <v>10724.3</v>
      </c>
      <c r="YG1336" s="97">
        <f t="shared" si="2337"/>
        <v>0</v>
      </c>
      <c r="YH1336" s="97">
        <f t="shared" si="2337"/>
        <v>0</v>
      </c>
      <c r="YI1336" s="97">
        <f t="shared" si="2337"/>
        <v>0</v>
      </c>
      <c r="YJ1336" s="97">
        <f t="shared" si="2338"/>
        <v>0</v>
      </c>
      <c r="YK1336" s="97">
        <f t="shared" si="2338"/>
        <v>0</v>
      </c>
      <c r="YL1336" s="97">
        <f t="shared" si="2338"/>
        <v>0</v>
      </c>
      <c r="YM1336" s="145">
        <f t="shared" si="2339"/>
        <v>5</v>
      </c>
      <c r="YN1336" s="145">
        <f t="shared" si="2339"/>
        <v>5</v>
      </c>
      <c r="YO1336" s="145">
        <f t="shared" si="2339"/>
        <v>5</v>
      </c>
      <c r="YP1336" s="97">
        <f t="shared" si="2340"/>
        <v>255755</v>
      </c>
      <c r="YQ1336" s="97">
        <f t="shared" si="2341"/>
        <v>261015</v>
      </c>
      <c r="YR1336" s="97">
        <f t="shared" si="2342"/>
        <v>265530</v>
      </c>
      <c r="YS1336" s="97">
        <f t="shared" si="2343"/>
        <v>16833.25</v>
      </c>
      <c r="YT1336" s="97">
        <f t="shared" si="2344"/>
        <v>16833.25</v>
      </c>
      <c r="YU1336" s="97">
        <f t="shared" si="2345"/>
        <v>16833.25</v>
      </c>
      <c r="YV1336" s="97">
        <f t="shared" si="2346"/>
        <v>20057.29</v>
      </c>
      <c r="YW1336" s="97">
        <f t="shared" si="2347"/>
        <v>21131.39</v>
      </c>
      <c r="YX1336" s="97">
        <f t="shared" si="2348"/>
        <v>22302.11</v>
      </c>
      <c r="YY1336" s="97">
        <f t="shared" si="2349"/>
        <v>2894.69</v>
      </c>
      <c r="YZ1336" s="97">
        <f t="shared" si="2350"/>
        <v>3042.14</v>
      </c>
      <c r="ZA1336" s="97">
        <f t="shared" si="2351"/>
        <v>3048.04</v>
      </c>
      <c r="ZB1336" s="97">
        <f t="shared" si="2352"/>
        <v>100286.45</v>
      </c>
      <c r="ZC1336" s="97">
        <f t="shared" si="2352"/>
        <v>105656.95</v>
      </c>
      <c r="ZD1336" s="97">
        <f t="shared" si="2352"/>
        <v>111510.55</v>
      </c>
      <c r="ZE1336" s="97">
        <f t="shared" si="2353"/>
        <v>14473.45</v>
      </c>
      <c r="ZF1336" s="97">
        <f t="shared" si="2353"/>
        <v>15210.7</v>
      </c>
      <c r="ZG1336" s="97">
        <f t="shared" si="2353"/>
        <v>15240.2</v>
      </c>
    </row>
    <row r="1337" spans="1:683" s="158" customFormat="1" ht="41.25" customHeight="1" x14ac:dyDescent="0.25">
      <c r="A1337" s="184" t="s">
        <v>620</v>
      </c>
      <c r="B1337" s="331"/>
      <c r="YM1337" s="296"/>
    </row>
    <row r="1338" spans="1:683" x14ac:dyDescent="0.25">
      <c r="A1338" s="347" t="s">
        <v>596</v>
      </c>
      <c r="B1338" s="106"/>
      <c r="C1338" s="113" t="s">
        <v>592</v>
      </c>
      <c r="D1338" s="1279"/>
      <c r="E1338" s="1280"/>
      <c r="F1338" s="185" t="s">
        <v>699</v>
      </c>
      <c r="G1338" s="185" t="s">
        <v>699</v>
      </c>
      <c r="H1338" s="185" t="s">
        <v>699</v>
      </c>
      <c r="I1338" s="185" t="s">
        <v>699</v>
      </c>
      <c r="J1338" s="185" t="s">
        <v>699</v>
      </c>
      <c r="K1338" s="185" t="s">
        <v>699</v>
      </c>
      <c r="L1338" s="129">
        <f t="shared" ref="L1338:T1338" si="2355">SUM(L1339:L1346)</f>
        <v>49</v>
      </c>
      <c r="M1338" s="129">
        <f t="shared" si="2355"/>
        <v>49</v>
      </c>
      <c r="N1338" s="129">
        <f t="shared" si="2355"/>
        <v>49</v>
      </c>
      <c r="O1338" s="129">
        <f t="shared" si="2355"/>
        <v>8129247</v>
      </c>
      <c r="P1338" s="129">
        <f t="shared" si="2355"/>
        <v>8383312</v>
      </c>
      <c r="Q1338" s="129">
        <f t="shared" si="2355"/>
        <v>8563240</v>
      </c>
      <c r="R1338" s="129">
        <f t="shared" si="2355"/>
        <v>326171.44</v>
      </c>
      <c r="S1338" s="129">
        <f t="shared" si="2355"/>
        <v>332553.2</v>
      </c>
      <c r="T1338" s="129">
        <f t="shared" si="2355"/>
        <v>337194.48</v>
      </c>
      <c r="U1338" s="185" t="s">
        <v>699</v>
      </c>
      <c r="V1338" s="185" t="s">
        <v>699</v>
      </c>
      <c r="W1338" s="185" t="s">
        <v>699</v>
      </c>
      <c r="X1338" s="185" t="s">
        <v>699</v>
      </c>
      <c r="Y1338" s="185" t="s">
        <v>699</v>
      </c>
      <c r="Z1338" s="185" t="s">
        <v>699</v>
      </c>
      <c r="AA1338" s="129">
        <f t="shared" ref="AA1338:AO1338" si="2356">SUM(AA1339:AA1346)</f>
        <v>3507813.47</v>
      </c>
      <c r="AB1338" s="129">
        <f t="shared" si="2356"/>
        <v>3735392.99</v>
      </c>
      <c r="AC1338" s="129">
        <f t="shared" si="2356"/>
        <v>3959517.52</v>
      </c>
      <c r="AD1338" s="129">
        <f t="shared" si="2356"/>
        <v>255761.38</v>
      </c>
      <c r="AE1338" s="129">
        <f t="shared" si="2356"/>
        <v>263450.95</v>
      </c>
      <c r="AF1338" s="129">
        <f t="shared" si="2356"/>
        <v>266373.31</v>
      </c>
      <c r="AG1338" s="129">
        <f t="shared" si="2356"/>
        <v>79</v>
      </c>
      <c r="AH1338" s="129">
        <f t="shared" si="2356"/>
        <v>79</v>
      </c>
      <c r="AI1338" s="129">
        <f t="shared" si="2356"/>
        <v>79</v>
      </c>
      <c r="AJ1338" s="129">
        <f t="shared" si="2356"/>
        <v>13106337</v>
      </c>
      <c r="AK1338" s="129">
        <f t="shared" si="2356"/>
        <v>13515952</v>
      </c>
      <c r="AL1338" s="129">
        <f t="shared" si="2356"/>
        <v>13806040</v>
      </c>
      <c r="AM1338" s="129">
        <f t="shared" si="2356"/>
        <v>525868.24</v>
      </c>
      <c r="AN1338" s="129">
        <f t="shared" si="2356"/>
        <v>536157.19999999995</v>
      </c>
      <c r="AO1338" s="129">
        <f t="shared" si="2356"/>
        <v>543640.07999999996</v>
      </c>
      <c r="AP1338" s="185" t="s">
        <v>699</v>
      </c>
      <c r="AQ1338" s="185" t="s">
        <v>699</v>
      </c>
      <c r="AR1338" s="185" t="s">
        <v>699</v>
      </c>
      <c r="AS1338" s="185" t="s">
        <v>699</v>
      </c>
      <c r="AT1338" s="185" t="s">
        <v>699</v>
      </c>
      <c r="AU1338" s="185" t="s">
        <v>699</v>
      </c>
      <c r="AV1338" s="129">
        <f t="shared" ref="AV1338:BJ1338" si="2357">SUM(AV1339:AV1346)</f>
        <v>5202757.51</v>
      </c>
      <c r="AW1338" s="129">
        <f t="shared" si="2357"/>
        <v>5539416.7999999998</v>
      </c>
      <c r="AX1338" s="129">
        <f t="shared" si="2357"/>
        <v>5870850.2400000002</v>
      </c>
      <c r="AY1338" s="129">
        <f t="shared" si="2357"/>
        <v>328804.32</v>
      </c>
      <c r="AZ1338" s="129">
        <f t="shared" si="2357"/>
        <v>343827.75</v>
      </c>
      <c r="BA1338" s="129">
        <f t="shared" si="2357"/>
        <v>350367.37</v>
      </c>
      <c r="BB1338" s="129">
        <f t="shared" si="2357"/>
        <v>214</v>
      </c>
      <c r="BC1338" s="129">
        <f t="shared" si="2357"/>
        <v>214</v>
      </c>
      <c r="BD1338" s="129">
        <f t="shared" si="2357"/>
        <v>214</v>
      </c>
      <c r="BE1338" s="129">
        <f t="shared" si="2357"/>
        <v>35503242</v>
      </c>
      <c r="BF1338" s="129">
        <f t="shared" si="2357"/>
        <v>36612832</v>
      </c>
      <c r="BG1338" s="129">
        <f t="shared" si="2357"/>
        <v>37398640</v>
      </c>
      <c r="BH1338" s="129">
        <f t="shared" si="2357"/>
        <v>1424503.84</v>
      </c>
      <c r="BI1338" s="129">
        <f t="shared" si="2357"/>
        <v>1452375.2</v>
      </c>
      <c r="BJ1338" s="129">
        <f t="shared" si="2357"/>
        <v>1472645.28</v>
      </c>
      <c r="BK1338" s="185" t="s">
        <v>699</v>
      </c>
      <c r="BL1338" s="185" t="s">
        <v>699</v>
      </c>
      <c r="BM1338" s="185" t="s">
        <v>699</v>
      </c>
      <c r="BN1338" s="185" t="s">
        <v>699</v>
      </c>
      <c r="BO1338" s="185" t="s">
        <v>699</v>
      </c>
      <c r="BP1338" s="185" t="s">
        <v>699</v>
      </c>
      <c r="BQ1338" s="129">
        <f t="shared" ref="BQ1338:CE1338" si="2358">SUM(BQ1339:BQ1346)</f>
        <v>13294831.32</v>
      </c>
      <c r="BR1338" s="129">
        <f t="shared" si="2358"/>
        <v>14126966.039999999</v>
      </c>
      <c r="BS1338" s="129">
        <f t="shared" si="2358"/>
        <v>14955967.800000001</v>
      </c>
      <c r="BT1338" s="129">
        <f t="shared" si="2358"/>
        <v>951446.14</v>
      </c>
      <c r="BU1338" s="129">
        <f t="shared" si="2358"/>
        <v>994924.52</v>
      </c>
      <c r="BV1338" s="129">
        <f t="shared" si="2358"/>
        <v>1011969.62</v>
      </c>
      <c r="BW1338" s="129">
        <f t="shared" si="2358"/>
        <v>43</v>
      </c>
      <c r="BX1338" s="129">
        <f t="shared" si="2358"/>
        <v>43</v>
      </c>
      <c r="BY1338" s="129">
        <f t="shared" si="2358"/>
        <v>43</v>
      </c>
      <c r="BZ1338" s="129">
        <f t="shared" si="2358"/>
        <v>7133829</v>
      </c>
      <c r="CA1338" s="129">
        <f t="shared" si="2358"/>
        <v>7356784</v>
      </c>
      <c r="CB1338" s="129">
        <f t="shared" si="2358"/>
        <v>7514680</v>
      </c>
      <c r="CC1338" s="129">
        <f t="shared" si="2358"/>
        <v>286232.08</v>
      </c>
      <c r="CD1338" s="129">
        <f t="shared" si="2358"/>
        <v>291832.40000000002</v>
      </c>
      <c r="CE1338" s="129">
        <f t="shared" si="2358"/>
        <v>295905.36</v>
      </c>
      <c r="CF1338" s="185" t="s">
        <v>699</v>
      </c>
      <c r="CG1338" s="185" t="s">
        <v>699</v>
      </c>
      <c r="CH1338" s="185" t="s">
        <v>699</v>
      </c>
      <c r="CI1338" s="185" t="s">
        <v>699</v>
      </c>
      <c r="CJ1338" s="185" t="s">
        <v>699</v>
      </c>
      <c r="CK1338" s="185" t="s">
        <v>699</v>
      </c>
      <c r="CL1338" s="129">
        <f t="shared" ref="CL1338:CZ1338" si="2359">SUM(CL1339:CL1346)</f>
        <v>2758821.09</v>
      </c>
      <c r="CM1338" s="129">
        <f t="shared" si="2359"/>
        <v>2939545.79</v>
      </c>
      <c r="CN1338" s="129">
        <f t="shared" si="2359"/>
        <v>3115617.46</v>
      </c>
      <c r="CO1338" s="129">
        <f t="shared" si="2359"/>
        <v>294725.01</v>
      </c>
      <c r="CP1338" s="129">
        <f t="shared" si="2359"/>
        <v>302051.34999999998</v>
      </c>
      <c r="CQ1338" s="129">
        <f t="shared" si="2359"/>
        <v>304786.58</v>
      </c>
      <c r="CR1338" s="129">
        <f t="shared" si="2359"/>
        <v>55</v>
      </c>
      <c r="CS1338" s="129">
        <f t="shared" si="2359"/>
        <v>55</v>
      </c>
      <c r="CT1338" s="129">
        <f t="shared" si="2359"/>
        <v>55</v>
      </c>
      <c r="CU1338" s="129">
        <f t="shared" si="2359"/>
        <v>9141541</v>
      </c>
      <c r="CV1338" s="129">
        <f t="shared" si="2359"/>
        <v>9427536</v>
      </c>
      <c r="CW1338" s="129">
        <f t="shared" si="2359"/>
        <v>9630081</v>
      </c>
      <c r="CX1338" s="129">
        <f t="shared" si="2359"/>
        <v>366498.5</v>
      </c>
      <c r="CY1338" s="129">
        <f t="shared" si="2359"/>
        <v>373661.7</v>
      </c>
      <c r="CZ1338" s="129">
        <f t="shared" si="2359"/>
        <v>378871.3</v>
      </c>
      <c r="DA1338" s="185" t="s">
        <v>699</v>
      </c>
      <c r="DB1338" s="185" t="s">
        <v>699</v>
      </c>
      <c r="DC1338" s="185" t="s">
        <v>699</v>
      </c>
      <c r="DD1338" s="185" t="s">
        <v>699</v>
      </c>
      <c r="DE1338" s="185" t="s">
        <v>699</v>
      </c>
      <c r="DF1338" s="185" t="s">
        <v>699</v>
      </c>
      <c r="DG1338" s="129">
        <f t="shared" ref="DG1338:DU1338" si="2360">SUM(DG1339:DG1346)</f>
        <v>3562474.01</v>
      </c>
      <c r="DH1338" s="129">
        <f t="shared" si="2360"/>
        <v>3792699.81</v>
      </c>
      <c r="DI1338" s="129">
        <f t="shared" si="2360"/>
        <v>4019723.43</v>
      </c>
      <c r="DJ1338" s="129">
        <f t="shared" si="2360"/>
        <v>182700.32</v>
      </c>
      <c r="DK1338" s="129">
        <f t="shared" si="2360"/>
        <v>188156.07</v>
      </c>
      <c r="DL1338" s="129">
        <f t="shared" si="2360"/>
        <v>190443.73</v>
      </c>
      <c r="DM1338" s="129">
        <f t="shared" si="2360"/>
        <v>38</v>
      </c>
      <c r="DN1338" s="129">
        <f t="shared" si="2360"/>
        <v>38</v>
      </c>
      <c r="DO1338" s="129">
        <f t="shared" si="2360"/>
        <v>38</v>
      </c>
      <c r="DP1338" s="129">
        <f t="shared" si="2360"/>
        <v>6304314</v>
      </c>
      <c r="DQ1338" s="129">
        <f t="shared" si="2360"/>
        <v>6501344</v>
      </c>
      <c r="DR1338" s="129">
        <f t="shared" si="2360"/>
        <v>6640880</v>
      </c>
      <c r="DS1338" s="129">
        <f t="shared" si="2360"/>
        <v>252949.28</v>
      </c>
      <c r="DT1338" s="129">
        <f t="shared" si="2360"/>
        <v>257898.4</v>
      </c>
      <c r="DU1338" s="129">
        <f t="shared" si="2360"/>
        <v>261497.76</v>
      </c>
      <c r="DV1338" s="185" t="s">
        <v>699</v>
      </c>
      <c r="DW1338" s="185" t="s">
        <v>699</v>
      </c>
      <c r="DX1338" s="185" t="s">
        <v>699</v>
      </c>
      <c r="DY1338" s="185" t="s">
        <v>699</v>
      </c>
      <c r="DZ1338" s="185" t="s">
        <v>699</v>
      </c>
      <c r="EA1338" s="185" t="s">
        <v>699</v>
      </c>
      <c r="EB1338" s="129">
        <f t="shared" ref="EB1338:EP1338" si="2361">SUM(EB1339:EB1346)</f>
        <v>2667658.14</v>
      </c>
      <c r="EC1338" s="129">
        <f t="shared" si="2361"/>
        <v>2844379.04</v>
      </c>
      <c r="ED1338" s="129">
        <f t="shared" si="2361"/>
        <v>3016029.22</v>
      </c>
      <c r="EE1338" s="129">
        <f t="shared" si="2361"/>
        <v>264113.68</v>
      </c>
      <c r="EF1338" s="129">
        <f t="shared" si="2361"/>
        <v>261597.32</v>
      </c>
      <c r="EG1338" s="129">
        <f t="shared" si="2361"/>
        <v>264522.94</v>
      </c>
      <c r="EH1338" s="129">
        <f t="shared" si="2361"/>
        <v>51</v>
      </c>
      <c r="EI1338" s="129">
        <f t="shared" si="2361"/>
        <v>51</v>
      </c>
      <c r="EJ1338" s="129">
        <f t="shared" si="2361"/>
        <v>51</v>
      </c>
      <c r="EK1338" s="129">
        <f t="shared" si="2361"/>
        <v>8461053</v>
      </c>
      <c r="EL1338" s="129">
        <f t="shared" si="2361"/>
        <v>8725488</v>
      </c>
      <c r="EM1338" s="129">
        <f t="shared" si="2361"/>
        <v>8912760</v>
      </c>
      <c r="EN1338" s="129">
        <f t="shared" si="2361"/>
        <v>339484.56</v>
      </c>
      <c r="EO1338" s="129">
        <f t="shared" si="2361"/>
        <v>346126.8</v>
      </c>
      <c r="EP1338" s="129">
        <f t="shared" si="2361"/>
        <v>350957.52</v>
      </c>
      <c r="EQ1338" s="185" t="s">
        <v>699</v>
      </c>
      <c r="ER1338" s="185" t="s">
        <v>699</v>
      </c>
      <c r="ES1338" s="185" t="s">
        <v>699</v>
      </c>
      <c r="ET1338" s="185" t="s">
        <v>699</v>
      </c>
      <c r="EU1338" s="185" t="s">
        <v>699</v>
      </c>
      <c r="EV1338" s="185" t="s">
        <v>699</v>
      </c>
      <c r="EW1338" s="129">
        <f t="shared" ref="EW1338:FK1338" si="2362">SUM(EW1339:EW1346)</f>
        <v>3538966.5</v>
      </c>
      <c r="EX1338" s="129">
        <f t="shared" si="2362"/>
        <v>3761756.94</v>
      </c>
      <c r="EY1338" s="129">
        <f t="shared" si="2362"/>
        <v>3984992.1</v>
      </c>
      <c r="EZ1338" s="129">
        <f t="shared" si="2362"/>
        <v>297592.14</v>
      </c>
      <c r="FA1338" s="129">
        <f t="shared" si="2362"/>
        <v>310678.23</v>
      </c>
      <c r="FB1338" s="129">
        <f t="shared" si="2362"/>
        <v>316331.07</v>
      </c>
      <c r="FC1338" s="129">
        <f t="shared" si="2362"/>
        <v>72</v>
      </c>
      <c r="FD1338" s="129">
        <f t="shared" si="2362"/>
        <v>72</v>
      </c>
      <c r="FE1338" s="129">
        <f t="shared" si="2362"/>
        <v>72</v>
      </c>
      <c r="FF1338" s="129">
        <f t="shared" si="2362"/>
        <v>11945016</v>
      </c>
      <c r="FG1338" s="129">
        <f t="shared" si="2362"/>
        <v>12318336</v>
      </c>
      <c r="FH1338" s="129">
        <f t="shared" si="2362"/>
        <v>12582720</v>
      </c>
      <c r="FI1338" s="129">
        <f t="shared" si="2362"/>
        <v>479272.32</v>
      </c>
      <c r="FJ1338" s="129">
        <f t="shared" si="2362"/>
        <v>488649.6</v>
      </c>
      <c r="FK1338" s="129">
        <f t="shared" si="2362"/>
        <v>495469.44</v>
      </c>
      <c r="FL1338" s="185" t="s">
        <v>699</v>
      </c>
      <c r="FM1338" s="185" t="s">
        <v>699</v>
      </c>
      <c r="FN1338" s="185" t="s">
        <v>699</v>
      </c>
      <c r="FO1338" s="185" t="s">
        <v>699</v>
      </c>
      <c r="FP1338" s="185" t="s">
        <v>699</v>
      </c>
      <c r="FQ1338" s="185" t="s">
        <v>699</v>
      </c>
      <c r="FR1338" s="129">
        <f t="shared" ref="FR1338:GF1338" si="2363">SUM(FR1339:FR1346)</f>
        <v>4854034.8</v>
      </c>
      <c r="FS1338" s="129">
        <f t="shared" si="2363"/>
        <v>5170054.32</v>
      </c>
      <c r="FT1338" s="129">
        <f t="shared" si="2363"/>
        <v>5480100</v>
      </c>
      <c r="FU1338" s="129">
        <f t="shared" si="2363"/>
        <v>451869.12</v>
      </c>
      <c r="FV1338" s="129">
        <f t="shared" si="2363"/>
        <v>474679.44</v>
      </c>
      <c r="FW1338" s="129">
        <f t="shared" si="2363"/>
        <v>472290.48</v>
      </c>
      <c r="FX1338" s="129">
        <f t="shared" si="2363"/>
        <v>109</v>
      </c>
      <c r="FY1338" s="129">
        <f t="shared" si="2363"/>
        <v>109</v>
      </c>
      <c r="FZ1338" s="129">
        <f t="shared" si="2363"/>
        <v>109</v>
      </c>
      <c r="GA1338" s="129">
        <f t="shared" si="2363"/>
        <v>18083427</v>
      </c>
      <c r="GB1338" s="129">
        <f t="shared" si="2363"/>
        <v>18648592</v>
      </c>
      <c r="GC1338" s="129">
        <f t="shared" si="2363"/>
        <v>19048840</v>
      </c>
      <c r="GD1338" s="129">
        <f t="shared" si="2363"/>
        <v>725565.04</v>
      </c>
      <c r="GE1338" s="129">
        <f t="shared" si="2363"/>
        <v>739761.2</v>
      </c>
      <c r="GF1338" s="129">
        <f t="shared" si="2363"/>
        <v>750085.68</v>
      </c>
      <c r="GG1338" s="185" t="s">
        <v>699</v>
      </c>
      <c r="GH1338" s="185" t="s">
        <v>699</v>
      </c>
      <c r="GI1338" s="185" t="s">
        <v>699</v>
      </c>
      <c r="GJ1338" s="185" t="s">
        <v>699</v>
      </c>
      <c r="GK1338" s="185" t="s">
        <v>699</v>
      </c>
      <c r="GL1338" s="185" t="s">
        <v>699</v>
      </c>
      <c r="GM1338" s="129">
        <f t="shared" ref="GM1338:HA1338" si="2364">SUM(GM1339:GM1346)</f>
        <v>7336920.7999999998</v>
      </c>
      <c r="GN1338" s="129">
        <f t="shared" si="2364"/>
        <v>7806067.7000000002</v>
      </c>
      <c r="GO1338" s="129">
        <f t="shared" si="2364"/>
        <v>8270052.3600000003</v>
      </c>
      <c r="GP1338" s="129">
        <f t="shared" si="2364"/>
        <v>512933.29</v>
      </c>
      <c r="GQ1338" s="129">
        <f t="shared" si="2364"/>
        <v>580766.17000000004</v>
      </c>
      <c r="GR1338" s="129">
        <f t="shared" si="2364"/>
        <v>625906.34</v>
      </c>
      <c r="GS1338" s="129">
        <f t="shared" si="2364"/>
        <v>39</v>
      </c>
      <c r="GT1338" s="129">
        <f t="shared" si="2364"/>
        <v>39</v>
      </c>
      <c r="GU1338" s="129">
        <f t="shared" si="2364"/>
        <v>39</v>
      </c>
      <c r="GV1338" s="129">
        <f t="shared" si="2364"/>
        <v>7331596</v>
      </c>
      <c r="GW1338" s="129">
        <f t="shared" si="2364"/>
        <v>7585094</v>
      </c>
      <c r="GX1338" s="129">
        <f t="shared" si="2364"/>
        <v>7767547</v>
      </c>
      <c r="GY1338" s="129">
        <f t="shared" si="2364"/>
        <v>256236.26</v>
      </c>
      <c r="GZ1338" s="129">
        <f t="shared" si="2364"/>
        <v>261185.38</v>
      </c>
      <c r="HA1338" s="129">
        <f t="shared" si="2364"/>
        <v>264784.74</v>
      </c>
      <c r="HB1338" s="185" t="s">
        <v>699</v>
      </c>
      <c r="HC1338" s="185" t="s">
        <v>699</v>
      </c>
      <c r="HD1338" s="185" t="s">
        <v>699</v>
      </c>
      <c r="HE1338" s="185" t="s">
        <v>699</v>
      </c>
      <c r="HF1338" s="185" t="s">
        <v>699</v>
      </c>
      <c r="HG1338" s="185" t="s">
        <v>699</v>
      </c>
      <c r="HH1338" s="129">
        <f t="shared" ref="HH1338:HV1338" si="2365">SUM(HH1339:HH1346)</f>
        <v>3107396.36</v>
      </c>
      <c r="HI1338" s="129">
        <f t="shared" si="2365"/>
        <v>3315409.82</v>
      </c>
      <c r="HJ1338" s="129">
        <f t="shared" si="2365"/>
        <v>3521290.46</v>
      </c>
      <c r="HK1338" s="129">
        <f t="shared" si="2365"/>
        <v>210764.31</v>
      </c>
      <c r="HL1338" s="129">
        <f t="shared" si="2365"/>
        <v>219324.06</v>
      </c>
      <c r="HM1338" s="129">
        <f t="shared" si="2365"/>
        <v>222740.98</v>
      </c>
      <c r="HN1338" s="129">
        <f t="shared" si="2365"/>
        <v>87</v>
      </c>
      <c r="HO1338" s="129">
        <f t="shared" si="2365"/>
        <v>87</v>
      </c>
      <c r="HP1338" s="129">
        <f t="shared" si="2365"/>
        <v>87</v>
      </c>
      <c r="HQ1338" s="129">
        <f t="shared" si="2365"/>
        <v>15294940</v>
      </c>
      <c r="HR1338" s="129">
        <f t="shared" si="2365"/>
        <v>15797318</v>
      </c>
      <c r="HS1338" s="129">
        <f t="shared" si="2365"/>
        <v>16156027</v>
      </c>
      <c r="HT1338" s="129">
        <f t="shared" si="2365"/>
        <v>575751.14</v>
      </c>
      <c r="HU1338" s="129">
        <f t="shared" si="2365"/>
        <v>586951.78</v>
      </c>
      <c r="HV1338" s="129">
        <f t="shared" si="2365"/>
        <v>595097.69999999995</v>
      </c>
      <c r="HW1338" s="185" t="s">
        <v>699</v>
      </c>
      <c r="HX1338" s="185" t="s">
        <v>699</v>
      </c>
      <c r="HY1338" s="185" t="s">
        <v>699</v>
      </c>
      <c r="HZ1338" s="185" t="s">
        <v>699</v>
      </c>
      <c r="IA1338" s="185" t="s">
        <v>699</v>
      </c>
      <c r="IB1338" s="185" t="s">
        <v>699</v>
      </c>
      <c r="IC1338" s="129">
        <f t="shared" ref="IC1338:IQ1338" si="2366">SUM(IC1339:IC1346)</f>
        <v>6379731.3700000001</v>
      </c>
      <c r="ID1338" s="129">
        <f t="shared" si="2366"/>
        <v>6805466.0999999996</v>
      </c>
      <c r="IE1338" s="129">
        <f t="shared" si="2366"/>
        <v>7219872</v>
      </c>
      <c r="IF1338" s="129">
        <f t="shared" si="2366"/>
        <v>451762.28</v>
      </c>
      <c r="IG1338" s="129">
        <f t="shared" si="2366"/>
        <v>469891.79</v>
      </c>
      <c r="IH1338" s="129">
        <f t="shared" si="2366"/>
        <v>469085.92</v>
      </c>
      <c r="II1338" s="129">
        <f t="shared" si="2366"/>
        <v>41</v>
      </c>
      <c r="IJ1338" s="129">
        <f t="shared" si="2366"/>
        <v>41</v>
      </c>
      <c r="IK1338" s="129">
        <f t="shared" si="2366"/>
        <v>41</v>
      </c>
      <c r="IL1338" s="129">
        <f t="shared" si="2366"/>
        <v>4519594</v>
      </c>
      <c r="IM1338" s="129">
        <f t="shared" si="2366"/>
        <v>4679002</v>
      </c>
      <c r="IN1338" s="129">
        <f t="shared" si="2366"/>
        <v>4793064</v>
      </c>
      <c r="IO1338" s="129">
        <f t="shared" si="2366"/>
        <v>273216.21000000002</v>
      </c>
      <c r="IP1338" s="129">
        <f t="shared" si="2366"/>
        <v>278556.05</v>
      </c>
      <c r="IQ1338" s="129">
        <f t="shared" si="2366"/>
        <v>282439.57</v>
      </c>
      <c r="IR1338" s="185" t="s">
        <v>699</v>
      </c>
      <c r="IS1338" s="185" t="s">
        <v>699</v>
      </c>
      <c r="IT1338" s="185" t="s">
        <v>699</v>
      </c>
      <c r="IU1338" s="185" t="s">
        <v>699</v>
      </c>
      <c r="IV1338" s="185" t="s">
        <v>699</v>
      </c>
      <c r="IW1338" s="185" t="s">
        <v>699</v>
      </c>
      <c r="IX1338" s="129">
        <f t="shared" ref="IX1338:JL1338" si="2367">SUM(IX1339:IX1346)</f>
        <v>2560898.13</v>
      </c>
      <c r="IY1338" s="129">
        <f t="shared" si="2367"/>
        <v>2731098.97</v>
      </c>
      <c r="IZ1338" s="129">
        <f t="shared" si="2367"/>
        <v>2901084.15</v>
      </c>
      <c r="JA1338" s="129">
        <f t="shared" si="2367"/>
        <v>324098.84999999998</v>
      </c>
      <c r="JB1338" s="129">
        <f t="shared" si="2367"/>
        <v>337113.89</v>
      </c>
      <c r="JC1338" s="129">
        <f t="shared" si="2367"/>
        <v>334193.05</v>
      </c>
      <c r="JD1338" s="129">
        <f t="shared" si="2367"/>
        <v>49</v>
      </c>
      <c r="JE1338" s="129">
        <f t="shared" si="2367"/>
        <v>49</v>
      </c>
      <c r="JF1338" s="129">
        <f t="shared" si="2367"/>
        <v>49</v>
      </c>
      <c r="JG1338" s="129">
        <f t="shared" si="2367"/>
        <v>8129247</v>
      </c>
      <c r="JH1338" s="129">
        <f t="shared" si="2367"/>
        <v>8383312</v>
      </c>
      <c r="JI1338" s="129">
        <f t="shared" si="2367"/>
        <v>8563240</v>
      </c>
      <c r="JJ1338" s="129">
        <f t="shared" si="2367"/>
        <v>326171.44</v>
      </c>
      <c r="JK1338" s="129">
        <f t="shared" si="2367"/>
        <v>332553.2</v>
      </c>
      <c r="JL1338" s="129">
        <f t="shared" si="2367"/>
        <v>337194.48</v>
      </c>
      <c r="JM1338" s="185" t="s">
        <v>699</v>
      </c>
      <c r="JN1338" s="185" t="s">
        <v>699</v>
      </c>
      <c r="JO1338" s="185" t="s">
        <v>699</v>
      </c>
      <c r="JP1338" s="185" t="s">
        <v>699</v>
      </c>
      <c r="JQ1338" s="185" t="s">
        <v>699</v>
      </c>
      <c r="JR1338" s="185" t="s">
        <v>699</v>
      </c>
      <c r="JS1338" s="129">
        <f t="shared" ref="JS1338:KG1338" si="2368">SUM(JS1339:JS1346)</f>
        <v>3087723.73</v>
      </c>
      <c r="JT1338" s="129">
        <f t="shared" si="2368"/>
        <v>3286722.04</v>
      </c>
      <c r="JU1338" s="129">
        <f t="shared" si="2368"/>
        <v>3483205.18</v>
      </c>
      <c r="JV1338" s="129">
        <f t="shared" si="2368"/>
        <v>210945</v>
      </c>
      <c r="JW1338" s="129">
        <f t="shared" si="2368"/>
        <v>223426.28</v>
      </c>
      <c r="JX1338" s="129">
        <f t="shared" si="2368"/>
        <v>227083.64</v>
      </c>
      <c r="JY1338" s="129">
        <f t="shared" si="2368"/>
        <v>66</v>
      </c>
      <c r="JZ1338" s="129">
        <f t="shared" si="2368"/>
        <v>66</v>
      </c>
      <c r="KA1338" s="129">
        <f t="shared" si="2368"/>
        <v>66</v>
      </c>
      <c r="KB1338" s="129">
        <f t="shared" si="2368"/>
        <v>10949598</v>
      </c>
      <c r="KC1338" s="129">
        <f t="shared" si="2368"/>
        <v>11291808</v>
      </c>
      <c r="KD1338" s="129">
        <f t="shared" si="2368"/>
        <v>11534160</v>
      </c>
      <c r="KE1338" s="129">
        <f t="shared" si="2368"/>
        <v>439332.96</v>
      </c>
      <c r="KF1338" s="129">
        <f t="shared" si="2368"/>
        <v>447928.8</v>
      </c>
      <c r="KG1338" s="129">
        <f t="shared" si="2368"/>
        <v>454180.32</v>
      </c>
      <c r="KH1338" s="185" t="s">
        <v>699</v>
      </c>
      <c r="KI1338" s="185" t="s">
        <v>699</v>
      </c>
      <c r="KJ1338" s="185" t="s">
        <v>699</v>
      </c>
      <c r="KK1338" s="185" t="s">
        <v>699</v>
      </c>
      <c r="KL1338" s="185" t="s">
        <v>699</v>
      </c>
      <c r="KM1338" s="185" t="s">
        <v>699</v>
      </c>
      <c r="KN1338" s="129">
        <f t="shared" ref="KN1338:LB1338" si="2369">SUM(KN1339:KN1346)</f>
        <v>4275863.46</v>
      </c>
      <c r="KO1338" s="129">
        <f t="shared" si="2369"/>
        <v>4547583.4800000004</v>
      </c>
      <c r="KP1338" s="129">
        <f t="shared" si="2369"/>
        <v>4818356.4000000004</v>
      </c>
      <c r="KQ1338" s="129">
        <f t="shared" si="2369"/>
        <v>266358.18</v>
      </c>
      <c r="KR1338" s="129">
        <f t="shared" si="2369"/>
        <v>278904.78000000003</v>
      </c>
      <c r="KS1338" s="129">
        <f t="shared" si="2369"/>
        <v>281460.96000000002</v>
      </c>
      <c r="KT1338" s="129">
        <f t="shared" si="2369"/>
        <v>72</v>
      </c>
      <c r="KU1338" s="129">
        <f t="shared" si="2369"/>
        <v>72</v>
      </c>
      <c r="KV1338" s="129">
        <f t="shared" si="2369"/>
        <v>72</v>
      </c>
      <c r="KW1338" s="129">
        <f t="shared" si="2369"/>
        <v>11945016</v>
      </c>
      <c r="KX1338" s="129">
        <f t="shared" si="2369"/>
        <v>12318336</v>
      </c>
      <c r="KY1338" s="129">
        <f t="shared" si="2369"/>
        <v>12582720</v>
      </c>
      <c r="KZ1338" s="129">
        <f t="shared" si="2369"/>
        <v>479272.32</v>
      </c>
      <c r="LA1338" s="129">
        <f t="shared" si="2369"/>
        <v>488649.6</v>
      </c>
      <c r="LB1338" s="129">
        <f t="shared" si="2369"/>
        <v>495469.44</v>
      </c>
      <c r="LC1338" s="185" t="s">
        <v>699</v>
      </c>
      <c r="LD1338" s="185" t="s">
        <v>699</v>
      </c>
      <c r="LE1338" s="185" t="s">
        <v>699</v>
      </c>
      <c r="LF1338" s="185" t="s">
        <v>699</v>
      </c>
      <c r="LG1338" s="185" t="s">
        <v>699</v>
      </c>
      <c r="LH1338" s="185" t="s">
        <v>699</v>
      </c>
      <c r="LI1338" s="129">
        <f t="shared" ref="LI1338:LW1338" si="2370">SUM(LI1339:LI1346)</f>
        <v>4402940.4000000004</v>
      </c>
      <c r="LJ1338" s="129">
        <f t="shared" si="2370"/>
        <v>4688987.76</v>
      </c>
      <c r="LK1338" s="129">
        <f t="shared" si="2370"/>
        <v>4969629.3600000003</v>
      </c>
      <c r="LL1338" s="129">
        <f t="shared" si="2370"/>
        <v>400478.4</v>
      </c>
      <c r="LM1338" s="129">
        <f t="shared" si="2370"/>
        <v>425104.56</v>
      </c>
      <c r="LN1338" s="129">
        <f t="shared" si="2370"/>
        <v>433293.84</v>
      </c>
      <c r="LO1338" s="129">
        <f t="shared" si="2370"/>
        <v>45</v>
      </c>
      <c r="LP1338" s="129">
        <f t="shared" si="2370"/>
        <v>45</v>
      </c>
      <c r="LQ1338" s="129">
        <f t="shared" si="2370"/>
        <v>45</v>
      </c>
      <c r="LR1338" s="129">
        <f t="shared" si="2370"/>
        <v>7465635</v>
      </c>
      <c r="LS1338" s="129">
        <f t="shared" si="2370"/>
        <v>7698960</v>
      </c>
      <c r="LT1338" s="129">
        <f t="shared" si="2370"/>
        <v>7864200</v>
      </c>
      <c r="LU1338" s="129">
        <f t="shared" si="2370"/>
        <v>299545.2</v>
      </c>
      <c r="LV1338" s="129">
        <f t="shared" si="2370"/>
        <v>305406</v>
      </c>
      <c r="LW1338" s="129">
        <f t="shared" si="2370"/>
        <v>309668.40000000002</v>
      </c>
      <c r="LX1338" s="185" t="s">
        <v>699</v>
      </c>
      <c r="LY1338" s="185" t="s">
        <v>699</v>
      </c>
      <c r="LZ1338" s="185" t="s">
        <v>699</v>
      </c>
      <c r="MA1338" s="185" t="s">
        <v>699</v>
      </c>
      <c r="MB1338" s="185" t="s">
        <v>699</v>
      </c>
      <c r="MC1338" s="185" t="s">
        <v>699</v>
      </c>
      <c r="MD1338" s="129">
        <f t="shared" ref="MD1338:MR1338" si="2371">SUM(MD1339:MD1346)</f>
        <v>2403852.2999999998</v>
      </c>
      <c r="ME1338" s="129">
        <f t="shared" si="2371"/>
        <v>2560162.9500000002</v>
      </c>
      <c r="MF1338" s="129">
        <f t="shared" si="2371"/>
        <v>2713111.65</v>
      </c>
      <c r="MG1338" s="129">
        <f t="shared" si="2371"/>
        <v>185796.9</v>
      </c>
      <c r="MH1338" s="129">
        <f t="shared" si="2371"/>
        <v>194116.05</v>
      </c>
      <c r="MI1338" s="129">
        <f t="shared" si="2371"/>
        <v>196244.1</v>
      </c>
      <c r="MJ1338" s="129">
        <f t="shared" si="2371"/>
        <v>102</v>
      </c>
      <c r="MK1338" s="129">
        <f t="shared" si="2371"/>
        <v>102</v>
      </c>
      <c r="ML1338" s="129">
        <f t="shared" si="2371"/>
        <v>102</v>
      </c>
      <c r="MM1338" s="129">
        <f t="shared" si="2371"/>
        <v>16922106</v>
      </c>
      <c r="MN1338" s="129">
        <f t="shared" si="2371"/>
        <v>17450976</v>
      </c>
      <c r="MO1338" s="129">
        <f t="shared" si="2371"/>
        <v>17825520</v>
      </c>
      <c r="MP1338" s="129">
        <f t="shared" si="2371"/>
        <v>678969.12</v>
      </c>
      <c r="MQ1338" s="129">
        <f t="shared" si="2371"/>
        <v>692253.6</v>
      </c>
      <c r="MR1338" s="129">
        <f t="shared" si="2371"/>
        <v>701915.04</v>
      </c>
      <c r="MS1338" s="185" t="s">
        <v>699</v>
      </c>
      <c r="MT1338" s="185" t="s">
        <v>699</v>
      </c>
      <c r="MU1338" s="185" t="s">
        <v>699</v>
      </c>
      <c r="MV1338" s="185" t="s">
        <v>699</v>
      </c>
      <c r="MW1338" s="185" t="s">
        <v>699</v>
      </c>
      <c r="MX1338" s="185" t="s">
        <v>699</v>
      </c>
      <c r="MY1338" s="129">
        <f t="shared" ref="MY1338:NM1338" si="2372">SUM(MY1339:MY1346)</f>
        <v>6303579.5999999996</v>
      </c>
      <c r="MZ1338" s="129">
        <f t="shared" si="2372"/>
        <v>6712655.7000000002</v>
      </c>
      <c r="NA1338" s="129">
        <f t="shared" si="2372"/>
        <v>7114305.1799999997</v>
      </c>
      <c r="NB1338" s="129">
        <f t="shared" si="2372"/>
        <v>499630.68</v>
      </c>
      <c r="NC1338" s="129">
        <f t="shared" si="2372"/>
        <v>514967.4</v>
      </c>
      <c r="ND1338" s="129">
        <f t="shared" si="2372"/>
        <v>525373.43999999994</v>
      </c>
      <c r="NE1338" s="129">
        <f t="shared" si="2372"/>
        <v>60</v>
      </c>
      <c r="NF1338" s="129">
        <f t="shared" si="2372"/>
        <v>60</v>
      </c>
      <c r="NG1338" s="129">
        <f t="shared" si="2372"/>
        <v>60</v>
      </c>
      <c r="NH1338" s="129">
        <f t="shared" si="2372"/>
        <v>10815559</v>
      </c>
      <c r="NI1338" s="129">
        <f t="shared" si="2372"/>
        <v>11177942</v>
      </c>
      <c r="NJ1338" s="129">
        <f t="shared" si="2372"/>
        <v>11437507</v>
      </c>
      <c r="NK1338" s="129">
        <f t="shared" si="2372"/>
        <v>396024.02</v>
      </c>
      <c r="NL1338" s="129">
        <f t="shared" si="2372"/>
        <v>403708.18</v>
      </c>
      <c r="NM1338" s="129">
        <f t="shared" si="2372"/>
        <v>409296.66</v>
      </c>
      <c r="NN1338" s="185" t="s">
        <v>699</v>
      </c>
      <c r="NO1338" s="185" t="s">
        <v>699</v>
      </c>
      <c r="NP1338" s="185" t="s">
        <v>699</v>
      </c>
      <c r="NQ1338" s="185" t="s">
        <v>699</v>
      </c>
      <c r="NR1338" s="185" t="s">
        <v>699</v>
      </c>
      <c r="NS1338" s="185" t="s">
        <v>699</v>
      </c>
      <c r="NT1338" s="129">
        <f t="shared" ref="NT1338:OH1338" si="2373">SUM(NT1339:NT1346)</f>
        <v>4113374.14</v>
      </c>
      <c r="NU1338" s="129">
        <f t="shared" si="2373"/>
        <v>4384208.16</v>
      </c>
      <c r="NV1338" s="129">
        <f t="shared" si="2373"/>
        <v>4651914.0999999996</v>
      </c>
      <c r="NW1338" s="129">
        <f t="shared" si="2373"/>
        <v>426805.52</v>
      </c>
      <c r="NX1338" s="129">
        <f t="shared" si="2373"/>
        <v>454452.47</v>
      </c>
      <c r="NY1338" s="129">
        <f t="shared" si="2373"/>
        <v>448016.61</v>
      </c>
      <c r="NZ1338" s="129">
        <f t="shared" si="2373"/>
        <v>34</v>
      </c>
      <c r="OA1338" s="129">
        <f t="shared" si="2373"/>
        <v>34</v>
      </c>
      <c r="OB1338" s="129">
        <f t="shared" si="2373"/>
        <v>34</v>
      </c>
      <c r="OC1338" s="129">
        <f t="shared" si="2373"/>
        <v>5640702</v>
      </c>
      <c r="OD1338" s="129">
        <f t="shared" si="2373"/>
        <v>5816992</v>
      </c>
      <c r="OE1338" s="129">
        <f t="shared" si="2373"/>
        <v>5941840</v>
      </c>
      <c r="OF1338" s="129">
        <f t="shared" si="2373"/>
        <v>226323.04</v>
      </c>
      <c r="OG1338" s="129">
        <f t="shared" si="2373"/>
        <v>230751.2</v>
      </c>
      <c r="OH1338" s="129">
        <f t="shared" si="2373"/>
        <v>233971.68</v>
      </c>
      <c r="OI1338" s="185" t="s">
        <v>699</v>
      </c>
      <c r="OJ1338" s="185" t="s">
        <v>699</v>
      </c>
      <c r="OK1338" s="185" t="s">
        <v>699</v>
      </c>
      <c r="OL1338" s="185" t="s">
        <v>699</v>
      </c>
      <c r="OM1338" s="185" t="s">
        <v>699</v>
      </c>
      <c r="ON1338" s="185" t="s">
        <v>699</v>
      </c>
      <c r="OO1338" s="129">
        <f t="shared" ref="OO1338:PC1338" si="2374">SUM(OO1339:OO1346)</f>
        <v>2812811.16</v>
      </c>
      <c r="OP1338" s="129">
        <f t="shared" si="2374"/>
        <v>2986794.26</v>
      </c>
      <c r="OQ1338" s="129">
        <f t="shared" si="2374"/>
        <v>3162804.78</v>
      </c>
      <c r="OR1338" s="129">
        <f t="shared" si="2374"/>
        <v>244642.92</v>
      </c>
      <c r="OS1338" s="129">
        <f t="shared" si="2374"/>
        <v>259168.74</v>
      </c>
      <c r="OT1338" s="129">
        <f t="shared" si="2374"/>
        <v>261412.06</v>
      </c>
      <c r="OU1338" s="129">
        <f t="shared" si="2374"/>
        <v>86</v>
      </c>
      <c r="OV1338" s="129">
        <f t="shared" si="2374"/>
        <v>86</v>
      </c>
      <c r="OW1338" s="129">
        <f t="shared" si="2374"/>
        <v>86</v>
      </c>
      <c r="OX1338" s="129">
        <f t="shared" si="2374"/>
        <v>14267658</v>
      </c>
      <c r="OY1338" s="129">
        <f t="shared" si="2374"/>
        <v>14713568</v>
      </c>
      <c r="OZ1338" s="129">
        <f t="shared" si="2374"/>
        <v>15029360</v>
      </c>
      <c r="PA1338" s="129">
        <f t="shared" si="2374"/>
        <v>572464.16</v>
      </c>
      <c r="PB1338" s="129">
        <f t="shared" si="2374"/>
        <v>583664.80000000005</v>
      </c>
      <c r="PC1338" s="129">
        <f t="shared" si="2374"/>
        <v>591810.72</v>
      </c>
      <c r="PD1338" s="185" t="s">
        <v>699</v>
      </c>
      <c r="PE1338" s="185" t="s">
        <v>699</v>
      </c>
      <c r="PF1338" s="185" t="s">
        <v>699</v>
      </c>
      <c r="PG1338" s="185" t="s">
        <v>699</v>
      </c>
      <c r="PH1338" s="185" t="s">
        <v>699</v>
      </c>
      <c r="PI1338" s="185" t="s">
        <v>699</v>
      </c>
      <c r="PJ1338" s="129">
        <f t="shared" ref="PJ1338:PX1338" si="2375">SUM(PJ1339:PJ1346)</f>
        <v>5983290.04</v>
      </c>
      <c r="PK1338" s="129">
        <f t="shared" si="2375"/>
        <v>6368770.4199999999</v>
      </c>
      <c r="PL1338" s="129">
        <f t="shared" si="2375"/>
        <v>6748942.0199999996</v>
      </c>
      <c r="PM1338" s="129">
        <f t="shared" si="2375"/>
        <v>494554.18</v>
      </c>
      <c r="PN1338" s="129">
        <f t="shared" si="2375"/>
        <v>515127.96</v>
      </c>
      <c r="PO1338" s="129">
        <f t="shared" si="2375"/>
        <v>526562.52</v>
      </c>
      <c r="PP1338" s="129">
        <f t="shared" si="2375"/>
        <v>165</v>
      </c>
      <c r="PQ1338" s="129">
        <f t="shared" si="2375"/>
        <v>165</v>
      </c>
      <c r="PR1338" s="129">
        <f t="shared" si="2375"/>
        <v>165</v>
      </c>
      <c r="PS1338" s="129">
        <f t="shared" si="2375"/>
        <v>28235374</v>
      </c>
      <c r="PT1338" s="129">
        <f t="shared" si="2375"/>
        <v>29142182</v>
      </c>
      <c r="PU1338" s="129">
        <f t="shared" si="2375"/>
        <v>29787307</v>
      </c>
      <c r="PV1338" s="129">
        <f t="shared" si="2375"/>
        <v>1094962.82</v>
      </c>
      <c r="PW1338" s="129">
        <f t="shared" si="2375"/>
        <v>1116322.18</v>
      </c>
      <c r="PX1338" s="129">
        <f t="shared" si="2375"/>
        <v>1131856.26</v>
      </c>
      <c r="PY1338" s="185" t="s">
        <v>699</v>
      </c>
      <c r="PZ1338" s="185" t="s">
        <v>699</v>
      </c>
      <c r="QA1338" s="185" t="s">
        <v>699</v>
      </c>
      <c r="QB1338" s="185" t="s">
        <v>699</v>
      </c>
      <c r="QC1338" s="185" t="s">
        <v>699</v>
      </c>
      <c r="QD1338" s="185" t="s">
        <v>699</v>
      </c>
      <c r="QE1338" s="129">
        <f t="shared" ref="QE1338:QS1338" si="2376">SUM(QE1339:QE1346)</f>
        <v>10601105.4</v>
      </c>
      <c r="QF1338" s="129">
        <f t="shared" si="2376"/>
        <v>11303016.619999999</v>
      </c>
      <c r="QG1338" s="129">
        <f t="shared" si="2376"/>
        <v>11986435.539999999</v>
      </c>
      <c r="QH1338" s="129">
        <f t="shared" si="2376"/>
        <v>975500.85</v>
      </c>
      <c r="QI1338" s="129">
        <f t="shared" si="2376"/>
        <v>1044365.23</v>
      </c>
      <c r="QJ1338" s="129">
        <f t="shared" si="2376"/>
        <v>1057976.19</v>
      </c>
      <c r="QK1338" s="129">
        <f t="shared" si="2376"/>
        <v>58</v>
      </c>
      <c r="QL1338" s="129">
        <f t="shared" si="2376"/>
        <v>58</v>
      </c>
      <c r="QM1338" s="129">
        <f t="shared" si="2376"/>
        <v>58</v>
      </c>
      <c r="QN1338" s="129">
        <f t="shared" si="2376"/>
        <v>10483753</v>
      </c>
      <c r="QO1338" s="129">
        <f t="shared" si="2376"/>
        <v>10835766</v>
      </c>
      <c r="QP1338" s="129">
        <f t="shared" si="2376"/>
        <v>11087987</v>
      </c>
      <c r="QQ1338" s="129">
        <f t="shared" si="2376"/>
        <v>382710.9</v>
      </c>
      <c r="QR1338" s="129">
        <f t="shared" si="2376"/>
        <v>390134.58</v>
      </c>
      <c r="QS1338" s="129">
        <f t="shared" si="2376"/>
        <v>395533.62</v>
      </c>
      <c r="QT1338" s="185" t="s">
        <v>699</v>
      </c>
      <c r="QU1338" s="185" t="s">
        <v>699</v>
      </c>
      <c r="QV1338" s="185" t="s">
        <v>699</v>
      </c>
      <c r="QW1338" s="185" t="s">
        <v>699</v>
      </c>
      <c r="QX1338" s="185" t="s">
        <v>699</v>
      </c>
      <c r="QY1338" s="185" t="s">
        <v>699</v>
      </c>
      <c r="QZ1338" s="129">
        <f t="shared" ref="QZ1338:RN1338" si="2377">SUM(QZ1339:QZ1346)</f>
        <v>4002865.88</v>
      </c>
      <c r="RA1338" s="129">
        <f t="shared" si="2377"/>
        <v>4272390.5999999996</v>
      </c>
      <c r="RB1338" s="129">
        <f t="shared" si="2377"/>
        <v>4536257.55</v>
      </c>
      <c r="RC1338" s="129">
        <f t="shared" si="2377"/>
        <v>234506.27</v>
      </c>
      <c r="RD1338" s="129">
        <f t="shared" si="2377"/>
        <v>248060.36</v>
      </c>
      <c r="RE1338" s="129">
        <f t="shared" si="2377"/>
        <v>252900.52</v>
      </c>
      <c r="RF1338" s="129">
        <f t="shared" si="2377"/>
        <v>50</v>
      </c>
      <c r="RG1338" s="129">
        <f t="shared" si="2377"/>
        <v>50</v>
      </c>
      <c r="RH1338" s="129">
        <f t="shared" si="2377"/>
        <v>50</v>
      </c>
      <c r="RI1338" s="129">
        <f t="shared" si="2377"/>
        <v>8295150</v>
      </c>
      <c r="RJ1338" s="129">
        <f t="shared" si="2377"/>
        <v>8554400</v>
      </c>
      <c r="RK1338" s="129">
        <f t="shared" si="2377"/>
        <v>8738000</v>
      </c>
      <c r="RL1338" s="129">
        <f t="shared" si="2377"/>
        <v>332828</v>
      </c>
      <c r="RM1338" s="129">
        <f t="shared" si="2377"/>
        <v>339340</v>
      </c>
      <c r="RN1338" s="129">
        <f t="shared" si="2377"/>
        <v>344076</v>
      </c>
      <c r="RO1338" s="185" t="s">
        <v>699</v>
      </c>
      <c r="RP1338" s="185" t="s">
        <v>699</v>
      </c>
      <c r="RQ1338" s="185" t="s">
        <v>699</v>
      </c>
      <c r="RR1338" s="185" t="s">
        <v>699</v>
      </c>
      <c r="RS1338" s="185" t="s">
        <v>699</v>
      </c>
      <c r="RT1338" s="185" t="s">
        <v>699</v>
      </c>
      <c r="RU1338" s="129">
        <f t="shared" ref="RU1338:SI1338" si="2378">SUM(RU1339:RU1346)</f>
        <v>3392737.5</v>
      </c>
      <c r="RV1338" s="129">
        <f t="shared" si="2378"/>
        <v>3611528.5</v>
      </c>
      <c r="RW1338" s="129">
        <f t="shared" si="2378"/>
        <v>3827754</v>
      </c>
      <c r="RX1338" s="129">
        <f t="shared" si="2378"/>
        <v>287680.5</v>
      </c>
      <c r="RY1338" s="129">
        <f t="shared" si="2378"/>
        <v>298602.5</v>
      </c>
      <c r="RZ1338" s="129">
        <f t="shared" si="2378"/>
        <v>304529.5</v>
      </c>
      <c r="SA1338" s="129">
        <f t="shared" si="2378"/>
        <v>29</v>
      </c>
      <c r="SB1338" s="129">
        <f t="shared" si="2378"/>
        <v>29</v>
      </c>
      <c r="SC1338" s="129">
        <f t="shared" si="2378"/>
        <v>29</v>
      </c>
      <c r="SD1338" s="129">
        <f t="shared" si="2378"/>
        <v>4811187</v>
      </c>
      <c r="SE1338" s="129">
        <f t="shared" si="2378"/>
        <v>4961552</v>
      </c>
      <c r="SF1338" s="129">
        <f t="shared" si="2378"/>
        <v>5068040</v>
      </c>
      <c r="SG1338" s="129">
        <f t="shared" si="2378"/>
        <v>193040.24</v>
      </c>
      <c r="SH1338" s="129">
        <f t="shared" si="2378"/>
        <v>196817.2</v>
      </c>
      <c r="SI1338" s="129">
        <f t="shared" si="2378"/>
        <v>199564.08</v>
      </c>
      <c r="SJ1338" s="185" t="s">
        <v>699</v>
      </c>
      <c r="SK1338" s="185" t="s">
        <v>699</v>
      </c>
      <c r="SL1338" s="185" t="s">
        <v>699</v>
      </c>
      <c r="SM1338" s="185" t="s">
        <v>699</v>
      </c>
      <c r="SN1338" s="185" t="s">
        <v>699</v>
      </c>
      <c r="SO1338" s="185" t="s">
        <v>699</v>
      </c>
      <c r="SP1338" s="129">
        <f t="shared" ref="SP1338:TD1338" si="2379">SUM(SP1339:SP1346)</f>
        <v>2067592.41</v>
      </c>
      <c r="SQ1338" s="129">
        <f t="shared" si="2379"/>
        <v>2198487.9700000002</v>
      </c>
      <c r="SR1338" s="129">
        <f t="shared" si="2379"/>
        <v>2329144.2799999998</v>
      </c>
      <c r="SS1338" s="129">
        <f t="shared" si="2379"/>
        <v>233602.25</v>
      </c>
      <c r="ST1338" s="129">
        <f t="shared" si="2379"/>
        <v>245765.72</v>
      </c>
      <c r="SU1338" s="129">
        <f t="shared" si="2379"/>
        <v>249872.7</v>
      </c>
      <c r="SV1338" s="129">
        <f t="shared" si="2379"/>
        <v>73</v>
      </c>
      <c r="SW1338" s="129">
        <f t="shared" si="2379"/>
        <v>73</v>
      </c>
      <c r="SX1338" s="129">
        <f t="shared" si="2379"/>
        <v>73</v>
      </c>
      <c r="SY1338" s="129">
        <f t="shared" si="2379"/>
        <v>12972298</v>
      </c>
      <c r="SZ1338" s="129">
        <f t="shared" si="2379"/>
        <v>13402086</v>
      </c>
      <c r="TA1338" s="129">
        <f t="shared" si="2379"/>
        <v>13709387</v>
      </c>
      <c r="TB1338" s="129">
        <f t="shared" si="2379"/>
        <v>482559.3</v>
      </c>
      <c r="TC1338" s="129">
        <f t="shared" si="2379"/>
        <v>491936.58</v>
      </c>
      <c r="TD1338" s="129">
        <f t="shared" si="2379"/>
        <v>498756.42</v>
      </c>
      <c r="TE1338" s="185" t="s">
        <v>699</v>
      </c>
      <c r="TF1338" s="185" t="s">
        <v>699</v>
      </c>
      <c r="TG1338" s="185" t="s">
        <v>699</v>
      </c>
      <c r="TH1338" s="185" t="s">
        <v>699</v>
      </c>
      <c r="TI1338" s="185" t="s">
        <v>699</v>
      </c>
      <c r="TJ1338" s="185" t="s">
        <v>699</v>
      </c>
      <c r="TK1338" s="129">
        <f t="shared" ref="TK1338:TY1338" si="2380">SUM(TK1339:TK1346)</f>
        <v>4983098.8899999997</v>
      </c>
      <c r="TL1338" s="129">
        <f t="shared" si="2380"/>
        <v>5314267.6900000004</v>
      </c>
      <c r="TM1338" s="129">
        <f t="shared" si="2380"/>
        <v>5639546.4800000004</v>
      </c>
      <c r="TN1338" s="129">
        <f t="shared" si="2380"/>
        <v>444704.49</v>
      </c>
      <c r="TO1338" s="129">
        <f t="shared" si="2380"/>
        <v>465391.37</v>
      </c>
      <c r="TP1338" s="129">
        <f t="shared" si="2380"/>
        <v>470477.81</v>
      </c>
      <c r="TQ1338" s="129">
        <f t="shared" si="2380"/>
        <v>42</v>
      </c>
      <c r="TR1338" s="129">
        <f t="shared" si="2380"/>
        <v>42</v>
      </c>
      <c r="TS1338" s="129">
        <f t="shared" si="2380"/>
        <v>42</v>
      </c>
      <c r="TT1338" s="129">
        <f t="shared" si="2380"/>
        <v>6967926</v>
      </c>
      <c r="TU1338" s="129">
        <f t="shared" si="2380"/>
        <v>7185696</v>
      </c>
      <c r="TV1338" s="129">
        <f t="shared" si="2380"/>
        <v>7339920</v>
      </c>
      <c r="TW1338" s="129">
        <f t="shared" si="2380"/>
        <v>279575.52</v>
      </c>
      <c r="TX1338" s="129">
        <f t="shared" si="2380"/>
        <v>285045.59999999998</v>
      </c>
      <c r="TY1338" s="129">
        <f t="shared" si="2380"/>
        <v>289023.84000000003</v>
      </c>
      <c r="TZ1338" s="185" t="s">
        <v>699</v>
      </c>
      <c r="UA1338" s="185" t="s">
        <v>699</v>
      </c>
      <c r="UB1338" s="185" t="s">
        <v>699</v>
      </c>
      <c r="UC1338" s="185" t="s">
        <v>699</v>
      </c>
      <c r="UD1338" s="185" t="s">
        <v>699</v>
      </c>
      <c r="UE1338" s="185" t="s">
        <v>699</v>
      </c>
      <c r="UF1338" s="129">
        <f t="shared" ref="UF1338:UT1338" si="2381">SUM(UF1339:UF1346)</f>
        <v>2867363.1</v>
      </c>
      <c r="UG1338" s="129">
        <f t="shared" si="2381"/>
        <v>3050141.64</v>
      </c>
      <c r="UH1338" s="129">
        <f t="shared" si="2381"/>
        <v>3232400.64</v>
      </c>
      <c r="UI1338" s="129">
        <f t="shared" si="2381"/>
        <v>235452.42</v>
      </c>
      <c r="UJ1338" s="129">
        <f t="shared" si="2381"/>
        <v>253676.22</v>
      </c>
      <c r="UK1338" s="129">
        <f t="shared" si="2381"/>
        <v>258010.2</v>
      </c>
      <c r="UL1338" s="129">
        <f t="shared" si="2381"/>
        <v>105</v>
      </c>
      <c r="UM1338" s="129">
        <f t="shared" si="2381"/>
        <v>105</v>
      </c>
      <c r="UN1338" s="129">
        <f t="shared" si="2381"/>
        <v>105</v>
      </c>
      <c r="UO1338" s="129">
        <f t="shared" si="2381"/>
        <v>17419815</v>
      </c>
      <c r="UP1338" s="129">
        <f t="shared" si="2381"/>
        <v>17964240</v>
      </c>
      <c r="UQ1338" s="129">
        <f t="shared" si="2381"/>
        <v>18349800</v>
      </c>
      <c r="UR1338" s="129">
        <f t="shared" si="2381"/>
        <v>698938.8</v>
      </c>
      <c r="US1338" s="129">
        <f t="shared" si="2381"/>
        <v>712614</v>
      </c>
      <c r="UT1338" s="129">
        <f t="shared" si="2381"/>
        <v>722559.6</v>
      </c>
      <c r="UU1338" s="185" t="s">
        <v>699</v>
      </c>
      <c r="UV1338" s="185" t="s">
        <v>699</v>
      </c>
      <c r="UW1338" s="185" t="s">
        <v>699</v>
      </c>
      <c r="UX1338" s="185" t="s">
        <v>699</v>
      </c>
      <c r="UY1338" s="185" t="s">
        <v>699</v>
      </c>
      <c r="UZ1338" s="185" t="s">
        <v>699</v>
      </c>
      <c r="VA1338" s="129">
        <f t="shared" ref="VA1338:VO1338" si="2382">SUM(VA1339:VA1346)</f>
        <v>6631522.7999999998</v>
      </c>
      <c r="VB1338" s="129">
        <f t="shared" si="2382"/>
        <v>7066210.2000000002</v>
      </c>
      <c r="VC1338" s="129">
        <f t="shared" si="2382"/>
        <v>7490276.8499999996</v>
      </c>
      <c r="VD1338" s="129">
        <f t="shared" si="2382"/>
        <v>458846.85</v>
      </c>
      <c r="VE1338" s="129">
        <f t="shared" si="2382"/>
        <v>492054.15</v>
      </c>
      <c r="VF1338" s="129">
        <f t="shared" si="2382"/>
        <v>502652.85</v>
      </c>
      <c r="VG1338" s="129">
        <f t="shared" si="2382"/>
        <v>45</v>
      </c>
      <c r="VH1338" s="129">
        <f t="shared" si="2382"/>
        <v>45</v>
      </c>
      <c r="VI1338" s="129">
        <f t="shared" si="2382"/>
        <v>45</v>
      </c>
      <c r="VJ1338" s="129">
        <f t="shared" si="2382"/>
        <v>7465635</v>
      </c>
      <c r="VK1338" s="129">
        <f t="shared" si="2382"/>
        <v>7698960</v>
      </c>
      <c r="VL1338" s="129">
        <f t="shared" si="2382"/>
        <v>7864200</v>
      </c>
      <c r="VM1338" s="129">
        <f t="shared" si="2382"/>
        <v>299545.2</v>
      </c>
      <c r="VN1338" s="129">
        <f t="shared" si="2382"/>
        <v>305406</v>
      </c>
      <c r="VO1338" s="129">
        <f t="shared" si="2382"/>
        <v>309668.40000000002</v>
      </c>
      <c r="VP1338" s="185" t="s">
        <v>699</v>
      </c>
      <c r="VQ1338" s="185" t="s">
        <v>699</v>
      </c>
      <c r="VR1338" s="185" t="s">
        <v>699</v>
      </c>
      <c r="VS1338" s="185" t="s">
        <v>699</v>
      </c>
      <c r="VT1338" s="185" t="s">
        <v>699</v>
      </c>
      <c r="VU1338" s="185" t="s">
        <v>699</v>
      </c>
      <c r="VV1338" s="129">
        <f t="shared" ref="VV1338:WJ1338" si="2383">SUM(VV1339:VV1346)</f>
        <v>2899241.1</v>
      </c>
      <c r="VW1338" s="129">
        <f t="shared" si="2383"/>
        <v>3086716.5</v>
      </c>
      <c r="VX1338" s="129">
        <f t="shared" si="2383"/>
        <v>3271752.45</v>
      </c>
      <c r="VY1338" s="129">
        <f t="shared" si="2383"/>
        <v>211658.85</v>
      </c>
      <c r="VZ1338" s="129">
        <f t="shared" si="2383"/>
        <v>222359.85</v>
      </c>
      <c r="WA1338" s="129">
        <f t="shared" si="2383"/>
        <v>227033.1</v>
      </c>
      <c r="WB1338" s="129">
        <f t="shared" si="2383"/>
        <v>120</v>
      </c>
      <c r="WC1338" s="129">
        <f t="shared" si="2383"/>
        <v>120</v>
      </c>
      <c r="WD1338" s="129">
        <f t="shared" si="2383"/>
        <v>120</v>
      </c>
      <c r="WE1338" s="129">
        <f t="shared" si="2383"/>
        <v>19908360</v>
      </c>
      <c r="WF1338" s="129">
        <f t="shared" si="2383"/>
        <v>20530560</v>
      </c>
      <c r="WG1338" s="129">
        <f t="shared" si="2383"/>
        <v>20971200</v>
      </c>
      <c r="WH1338" s="129">
        <f t="shared" si="2383"/>
        <v>798787.2</v>
      </c>
      <c r="WI1338" s="129">
        <f t="shared" si="2383"/>
        <v>814416</v>
      </c>
      <c r="WJ1338" s="129">
        <f t="shared" si="2383"/>
        <v>825782.4</v>
      </c>
      <c r="WK1338" s="185" t="s">
        <v>699</v>
      </c>
      <c r="WL1338" s="185" t="s">
        <v>699</v>
      </c>
      <c r="WM1338" s="185" t="s">
        <v>699</v>
      </c>
      <c r="WN1338" s="185" t="s">
        <v>699</v>
      </c>
      <c r="WO1338" s="185" t="s">
        <v>699</v>
      </c>
      <c r="WP1338" s="185" t="s">
        <v>699</v>
      </c>
      <c r="WQ1338" s="129">
        <f t="shared" ref="WQ1338:XE1338" si="2384">SUM(WQ1339:WQ1346)</f>
        <v>7142584.7999999998</v>
      </c>
      <c r="WR1338" s="129">
        <f t="shared" si="2384"/>
        <v>7612976.4000000004</v>
      </c>
      <c r="WS1338" s="129">
        <f t="shared" si="2384"/>
        <v>8069467.2000000002</v>
      </c>
      <c r="WT1338" s="129">
        <f t="shared" si="2384"/>
        <v>606142.80000000005</v>
      </c>
      <c r="WU1338" s="129">
        <f t="shared" si="2384"/>
        <v>652358.40000000002</v>
      </c>
      <c r="WV1338" s="129">
        <f t="shared" si="2384"/>
        <v>666669.6</v>
      </c>
      <c r="WW1338" s="129">
        <f t="shared" si="2384"/>
        <v>143</v>
      </c>
      <c r="WX1338" s="129">
        <f t="shared" si="2384"/>
        <v>143</v>
      </c>
      <c r="WY1338" s="129">
        <f t="shared" si="2384"/>
        <v>143</v>
      </c>
      <c r="WZ1338" s="129">
        <f t="shared" si="2384"/>
        <v>23724129</v>
      </c>
      <c r="XA1338" s="129">
        <f t="shared" si="2384"/>
        <v>24465584</v>
      </c>
      <c r="XB1338" s="129">
        <f t="shared" si="2384"/>
        <v>24990680</v>
      </c>
      <c r="XC1338" s="129">
        <f t="shared" si="2384"/>
        <v>951888.08</v>
      </c>
      <c r="XD1338" s="129">
        <f t="shared" si="2384"/>
        <v>970512.4</v>
      </c>
      <c r="XE1338" s="129">
        <f t="shared" si="2384"/>
        <v>984057.36</v>
      </c>
      <c r="XF1338" s="185" t="s">
        <v>699</v>
      </c>
      <c r="XG1338" s="185" t="s">
        <v>699</v>
      </c>
      <c r="XH1338" s="185" t="s">
        <v>699</v>
      </c>
      <c r="XI1338" s="185" t="s">
        <v>699</v>
      </c>
      <c r="XJ1338" s="185" t="s">
        <v>699</v>
      </c>
      <c r="XK1338" s="185" t="s">
        <v>699</v>
      </c>
      <c r="XL1338" s="129">
        <f t="shared" ref="XL1338:XZ1338" si="2385">SUM(XL1339:XL1346)</f>
        <v>8361779.1399999997</v>
      </c>
      <c r="XM1338" s="129">
        <f t="shared" si="2385"/>
        <v>8906473.2899999991</v>
      </c>
      <c r="XN1338" s="129">
        <f t="shared" si="2385"/>
        <v>9438653.5099999998</v>
      </c>
      <c r="XO1338" s="129">
        <f t="shared" si="2385"/>
        <v>581788.35</v>
      </c>
      <c r="XP1338" s="129">
        <f t="shared" si="2385"/>
        <v>628423.51</v>
      </c>
      <c r="XQ1338" s="129">
        <f t="shared" si="2385"/>
        <v>639930.72</v>
      </c>
      <c r="XR1338" s="129">
        <f t="shared" si="2385"/>
        <v>56</v>
      </c>
      <c r="XS1338" s="129">
        <f t="shared" si="2385"/>
        <v>56</v>
      </c>
      <c r="XT1338" s="129">
        <f t="shared" si="2385"/>
        <v>56</v>
      </c>
      <c r="XU1338" s="129">
        <f t="shared" si="2385"/>
        <v>9290568</v>
      </c>
      <c r="XV1338" s="129">
        <f t="shared" si="2385"/>
        <v>9580928</v>
      </c>
      <c r="XW1338" s="129">
        <f t="shared" si="2385"/>
        <v>9786560</v>
      </c>
      <c r="XX1338" s="129">
        <f t="shared" si="2385"/>
        <v>372767.36</v>
      </c>
      <c r="XY1338" s="129">
        <f t="shared" si="2385"/>
        <v>380060.8</v>
      </c>
      <c r="XZ1338" s="129">
        <f t="shared" si="2385"/>
        <v>385365.12</v>
      </c>
      <c r="YA1338" s="185" t="s">
        <v>699</v>
      </c>
      <c r="YB1338" s="185" t="s">
        <v>699</v>
      </c>
      <c r="YC1338" s="185" t="s">
        <v>699</v>
      </c>
      <c r="YD1338" s="185" t="s">
        <v>699</v>
      </c>
      <c r="YE1338" s="185" t="s">
        <v>699</v>
      </c>
      <c r="YF1338" s="185" t="s">
        <v>699</v>
      </c>
      <c r="YG1338" s="129">
        <f t="shared" ref="YG1338:YU1338" si="2386">SUM(YG1339:YG1346)</f>
        <v>3456500.88</v>
      </c>
      <c r="YH1338" s="129">
        <f t="shared" si="2386"/>
        <v>3684660.56</v>
      </c>
      <c r="YI1338" s="129">
        <f t="shared" si="2386"/>
        <v>3906604.8</v>
      </c>
      <c r="YJ1338" s="129">
        <f t="shared" si="2386"/>
        <v>996370.48</v>
      </c>
      <c r="YK1338" s="129">
        <f t="shared" si="2386"/>
        <v>1202679.52</v>
      </c>
      <c r="YL1338" s="129">
        <f t="shared" si="2386"/>
        <v>1227562</v>
      </c>
      <c r="YM1338" s="129">
        <f t="shared" si="2386"/>
        <v>2277</v>
      </c>
      <c r="YN1338" s="129">
        <f t="shared" si="2386"/>
        <v>2277</v>
      </c>
      <c r="YO1338" s="129">
        <f t="shared" si="2386"/>
        <v>2277</v>
      </c>
      <c r="YP1338" s="129">
        <f t="shared" si="2386"/>
        <v>380663852</v>
      </c>
      <c r="YQ1338" s="129">
        <f t="shared" si="2386"/>
        <v>392725438</v>
      </c>
      <c r="YR1338" s="129">
        <f t="shared" si="2386"/>
        <v>401286147</v>
      </c>
      <c r="YS1338" s="129">
        <f t="shared" si="2386"/>
        <v>15137454.59</v>
      </c>
      <c r="YT1338" s="129">
        <f t="shared" si="2386"/>
        <v>15433229.630000001</v>
      </c>
      <c r="YU1338" s="129">
        <f t="shared" si="2386"/>
        <v>15648338.75</v>
      </c>
      <c r="YV1338" s="185" t="s">
        <v>699</v>
      </c>
      <c r="YW1338" s="185" t="s">
        <v>699</v>
      </c>
      <c r="YX1338" s="185" t="s">
        <v>699</v>
      </c>
      <c r="YY1338" s="185" t="s">
        <v>699</v>
      </c>
      <c r="YZ1338" s="185" t="s">
        <v>699</v>
      </c>
      <c r="ZA1338" s="185" t="s">
        <v>699</v>
      </c>
      <c r="ZB1338" s="129">
        <f t="shared" ref="ZB1338:ZG1338" si="2387">SUM(ZB1339:ZB1346)</f>
        <v>149265578.44</v>
      </c>
      <c r="ZC1338" s="129">
        <f t="shared" si="2387"/>
        <v>158972359.22999999</v>
      </c>
      <c r="ZD1338" s="129">
        <f t="shared" si="2387"/>
        <v>168521995.59</v>
      </c>
      <c r="ZE1338" s="129">
        <f t="shared" si="2387"/>
        <v>13015387.32</v>
      </c>
      <c r="ZF1338" s="129">
        <f t="shared" si="2387"/>
        <v>13945619.800000001</v>
      </c>
      <c r="ZG1338" s="129">
        <f t="shared" si="2387"/>
        <v>14167396.24</v>
      </c>
    </row>
    <row r="1339" spans="1:683" x14ac:dyDescent="0.25">
      <c r="A1339" s="12" t="s">
        <v>609</v>
      </c>
      <c r="B1339" s="174" t="s">
        <v>621</v>
      </c>
      <c r="C1339" s="5"/>
      <c r="D1339" s="340"/>
      <c r="E1339" s="163"/>
      <c r="F1339" s="110">
        <f t="shared" ref="F1339:H1346" si="2388">F62</f>
        <v>165903</v>
      </c>
      <c r="G1339" s="110">
        <f t="shared" si="2388"/>
        <v>171088</v>
      </c>
      <c r="H1339" s="110">
        <f t="shared" si="2388"/>
        <v>174760</v>
      </c>
      <c r="I1339" s="97">
        <f t="shared" ref="I1339:K1346" si="2389">F377</f>
        <v>6656.56</v>
      </c>
      <c r="J1339" s="97">
        <f t="shared" si="2389"/>
        <v>6786.8</v>
      </c>
      <c r="K1339" s="97">
        <f t="shared" si="2389"/>
        <v>6881.52</v>
      </c>
      <c r="L1339" s="102">
        <v>49</v>
      </c>
      <c r="M1339" s="102">
        <v>49</v>
      </c>
      <c r="N1339" s="102">
        <v>49</v>
      </c>
      <c r="O1339" s="97">
        <f t="shared" ref="O1339:O1346" si="2390">$F1339*L1339</f>
        <v>8129247</v>
      </c>
      <c r="P1339" s="97">
        <f t="shared" ref="P1339:P1346" si="2391">$G1339*M1339</f>
        <v>8383312</v>
      </c>
      <c r="Q1339" s="97">
        <f t="shared" ref="Q1339:Q1346" si="2392">$H1339*N1339</f>
        <v>8563240</v>
      </c>
      <c r="R1339" s="97">
        <f t="shared" ref="R1339:R1346" si="2393">$I1339*L1339</f>
        <v>326171.44</v>
      </c>
      <c r="S1339" s="97">
        <f t="shared" ref="S1339:S1346" si="2394">$J1339*M1339</f>
        <v>332553.2</v>
      </c>
      <c r="T1339" s="97">
        <f t="shared" ref="T1339:T1346" si="2395">$K1339*N1339</f>
        <v>337194.48</v>
      </c>
      <c r="U1339" s="97">
        <f t="shared" ref="U1339:U1346" si="2396">$F1339*U$1349</f>
        <v>71588.03</v>
      </c>
      <c r="V1339" s="97">
        <f t="shared" ref="V1339:V1346" si="2397">$G1339*V$1349</f>
        <v>76232.509999999995</v>
      </c>
      <c r="W1339" s="97">
        <f t="shared" ref="W1339:W1346" si="2398">$H1339*W$1349</f>
        <v>80806.48</v>
      </c>
      <c r="X1339" s="97">
        <f t="shared" ref="X1339:X1346" si="2399">$I1339*X$1349</f>
        <v>5219.62</v>
      </c>
      <c r="Y1339" s="97">
        <f t="shared" ref="Y1339:Y1346" si="2400">$J1339*Y$1349</f>
        <v>5376.55</v>
      </c>
      <c r="Z1339" s="97">
        <f t="shared" ref="Z1339:Z1346" si="2401">$K1339*Z$1349</f>
        <v>5436.19</v>
      </c>
      <c r="AA1339" s="97">
        <f t="shared" ref="AA1339:AC1346" si="2402">L1339*U1339</f>
        <v>3507813.47</v>
      </c>
      <c r="AB1339" s="97">
        <f t="shared" si="2402"/>
        <v>3735392.99</v>
      </c>
      <c r="AC1339" s="97">
        <f t="shared" si="2402"/>
        <v>3959517.52</v>
      </c>
      <c r="AD1339" s="97">
        <f t="shared" ref="AD1339:AF1346" si="2403">L1339*X1339</f>
        <v>255761.38</v>
      </c>
      <c r="AE1339" s="97">
        <f t="shared" si="2403"/>
        <v>263450.95</v>
      </c>
      <c r="AF1339" s="97">
        <f t="shared" si="2403"/>
        <v>266373.31</v>
      </c>
      <c r="AG1339" s="102">
        <v>79</v>
      </c>
      <c r="AH1339" s="102">
        <v>79</v>
      </c>
      <c r="AI1339" s="102">
        <v>79</v>
      </c>
      <c r="AJ1339" s="97">
        <f t="shared" ref="AJ1339:AJ1346" si="2404">$F1339*AG1339</f>
        <v>13106337</v>
      </c>
      <c r="AK1339" s="97">
        <f t="shared" ref="AK1339:AK1346" si="2405">$G1339*AH1339</f>
        <v>13515952</v>
      </c>
      <c r="AL1339" s="97">
        <f t="shared" ref="AL1339:AL1346" si="2406">$H1339*AI1339</f>
        <v>13806040</v>
      </c>
      <c r="AM1339" s="97">
        <f t="shared" ref="AM1339:AM1346" si="2407">$I1339*AG1339</f>
        <v>525868.24</v>
      </c>
      <c r="AN1339" s="97">
        <f t="shared" ref="AN1339:AN1346" si="2408">$J1339*AH1339</f>
        <v>536157.19999999995</v>
      </c>
      <c r="AO1339" s="97">
        <f t="shared" ref="AO1339:AO1346" si="2409">$K1339*AI1339</f>
        <v>543640.07999999996</v>
      </c>
      <c r="AP1339" s="97">
        <f t="shared" ref="AP1339:AP1346" si="2410">$F1339*AP$1349</f>
        <v>65857.69</v>
      </c>
      <c r="AQ1339" s="97">
        <f t="shared" ref="AQ1339:AQ1346" si="2411">$G1339*AQ$1349</f>
        <v>70119.199999999997</v>
      </c>
      <c r="AR1339" s="97">
        <f t="shared" ref="AR1339:AR1346" si="2412">$H1339*AR$1349</f>
        <v>74314.559999999998</v>
      </c>
      <c r="AS1339" s="97">
        <f t="shared" ref="AS1339:AS1346" si="2413">$I1339*AS$1349</f>
        <v>4162.08</v>
      </c>
      <c r="AT1339" s="97">
        <f t="shared" ref="AT1339:AT1346" si="2414">$J1339*AT$1349</f>
        <v>4352.25</v>
      </c>
      <c r="AU1339" s="97">
        <f t="shared" ref="AU1339:AU1346" si="2415">$K1339*AU$1349</f>
        <v>4435.03</v>
      </c>
      <c r="AV1339" s="97">
        <f t="shared" ref="AV1339:AX1346" si="2416">AG1339*AP1339</f>
        <v>5202757.51</v>
      </c>
      <c r="AW1339" s="97">
        <f t="shared" si="2416"/>
        <v>5539416.7999999998</v>
      </c>
      <c r="AX1339" s="97">
        <f t="shared" si="2416"/>
        <v>5870850.2400000002</v>
      </c>
      <c r="AY1339" s="97">
        <f t="shared" ref="AY1339:BA1346" si="2417">AG1339*AS1339</f>
        <v>328804.32</v>
      </c>
      <c r="AZ1339" s="97">
        <f t="shared" si="2417"/>
        <v>343827.75</v>
      </c>
      <c r="BA1339" s="97">
        <f t="shared" si="2417"/>
        <v>350367.37</v>
      </c>
      <c r="BB1339" s="102">
        <v>214</v>
      </c>
      <c r="BC1339" s="102">
        <v>214</v>
      </c>
      <c r="BD1339" s="102">
        <v>214</v>
      </c>
      <c r="BE1339" s="97">
        <f t="shared" ref="BE1339:BE1346" si="2418">$F1339*BB1339</f>
        <v>35503242</v>
      </c>
      <c r="BF1339" s="97">
        <f t="shared" ref="BF1339:BF1346" si="2419">$G1339*BC1339</f>
        <v>36612832</v>
      </c>
      <c r="BG1339" s="97">
        <f t="shared" ref="BG1339:BG1346" si="2420">$H1339*BD1339</f>
        <v>37398640</v>
      </c>
      <c r="BH1339" s="97">
        <f t="shared" ref="BH1339:BH1346" si="2421">$I1339*BB1339</f>
        <v>1424503.84</v>
      </c>
      <c r="BI1339" s="97">
        <f t="shared" ref="BI1339:BI1346" si="2422">$J1339*BC1339</f>
        <v>1452375.2</v>
      </c>
      <c r="BJ1339" s="97">
        <f t="shared" ref="BJ1339:BJ1346" si="2423">$K1339*BD1339</f>
        <v>1472645.28</v>
      </c>
      <c r="BK1339" s="97">
        <f t="shared" ref="BK1339:BK1346" si="2424">$F1339*BK$1349</f>
        <v>62125.38</v>
      </c>
      <c r="BL1339" s="97">
        <f t="shared" ref="BL1339:BL1346" si="2425">$G1339*BL$1349</f>
        <v>66013.86</v>
      </c>
      <c r="BM1339" s="97">
        <f t="shared" ref="BM1339:BM1346" si="2426">$H1339*BM$1349</f>
        <v>69887.7</v>
      </c>
      <c r="BN1339" s="97">
        <f t="shared" ref="BN1339:BN1346" si="2427">$I1339*BN$1349</f>
        <v>4446.01</v>
      </c>
      <c r="BO1339" s="97">
        <f t="shared" ref="BO1339:BO1346" si="2428">$J1339*BO$1349</f>
        <v>4649.18</v>
      </c>
      <c r="BP1339" s="97">
        <f t="shared" ref="BP1339:BP1346" si="2429">$K1339*BP$1349</f>
        <v>4728.83</v>
      </c>
      <c r="BQ1339" s="97">
        <f t="shared" ref="BQ1339:BS1346" si="2430">BB1339*BK1339</f>
        <v>13294831.32</v>
      </c>
      <c r="BR1339" s="97">
        <f t="shared" si="2430"/>
        <v>14126966.039999999</v>
      </c>
      <c r="BS1339" s="97">
        <f t="shared" si="2430"/>
        <v>14955967.800000001</v>
      </c>
      <c r="BT1339" s="97">
        <f t="shared" ref="BT1339:BV1346" si="2431">BB1339*BN1339</f>
        <v>951446.14</v>
      </c>
      <c r="BU1339" s="97">
        <f t="shared" si="2431"/>
        <v>994924.52</v>
      </c>
      <c r="BV1339" s="97">
        <f t="shared" si="2431"/>
        <v>1011969.62</v>
      </c>
      <c r="BW1339" s="102">
        <v>43</v>
      </c>
      <c r="BX1339" s="102">
        <v>43</v>
      </c>
      <c r="BY1339" s="102">
        <v>43</v>
      </c>
      <c r="BZ1339" s="97">
        <f t="shared" ref="BZ1339:BZ1346" si="2432">$F1339*BW1339</f>
        <v>7133829</v>
      </c>
      <c r="CA1339" s="97">
        <f t="shared" ref="CA1339:CA1346" si="2433">$G1339*BX1339</f>
        <v>7356784</v>
      </c>
      <c r="CB1339" s="97">
        <f t="shared" ref="CB1339:CB1346" si="2434">$H1339*BY1339</f>
        <v>7514680</v>
      </c>
      <c r="CC1339" s="97">
        <f t="shared" ref="CC1339:CC1346" si="2435">$I1339*BW1339</f>
        <v>286232.08</v>
      </c>
      <c r="CD1339" s="97">
        <f t="shared" ref="CD1339:CD1346" si="2436">$J1339*BX1339</f>
        <v>291832.40000000002</v>
      </c>
      <c r="CE1339" s="97">
        <f t="shared" ref="CE1339:CE1346" si="2437">$K1339*BY1339</f>
        <v>295905.36</v>
      </c>
      <c r="CF1339" s="97">
        <f t="shared" ref="CF1339:CF1346" si="2438">$F1339*CF$1349</f>
        <v>64158.63</v>
      </c>
      <c r="CG1339" s="97">
        <f t="shared" ref="CG1339:CG1346" si="2439">$G1339*CG$1349</f>
        <v>68361.53</v>
      </c>
      <c r="CH1339" s="97">
        <f t="shared" ref="CH1339:CH1346" si="2440">$H1339*CH$1349</f>
        <v>72456.22</v>
      </c>
      <c r="CI1339" s="97">
        <f t="shared" ref="CI1339:CI1346" si="2441">$I1339*CI$1349</f>
        <v>6854.07</v>
      </c>
      <c r="CJ1339" s="97">
        <f t="shared" ref="CJ1339:CJ1346" si="2442">$J1339*CJ$1349</f>
        <v>7024.45</v>
      </c>
      <c r="CK1339" s="97">
        <f t="shared" ref="CK1339:CK1346" si="2443">$K1339*CK$1349</f>
        <v>7088.06</v>
      </c>
      <c r="CL1339" s="97">
        <f t="shared" ref="CL1339:CN1346" si="2444">BW1339*CF1339</f>
        <v>2758821.09</v>
      </c>
      <c r="CM1339" s="97">
        <f t="shared" si="2444"/>
        <v>2939545.79</v>
      </c>
      <c r="CN1339" s="97">
        <f t="shared" si="2444"/>
        <v>3115617.46</v>
      </c>
      <c r="CO1339" s="97">
        <f t="shared" ref="CO1339:CQ1346" si="2445">BW1339*CI1339</f>
        <v>294725.01</v>
      </c>
      <c r="CP1339" s="97">
        <f t="shared" si="2445"/>
        <v>302051.34999999998</v>
      </c>
      <c r="CQ1339" s="97">
        <f t="shared" si="2445"/>
        <v>304786.58</v>
      </c>
      <c r="CR1339" s="102">
        <v>54</v>
      </c>
      <c r="CS1339" s="102">
        <v>54</v>
      </c>
      <c r="CT1339" s="102">
        <v>54</v>
      </c>
      <c r="CU1339" s="97">
        <f t="shared" ref="CU1339:CU1346" si="2446">$F1339*CR1339</f>
        <v>8958762</v>
      </c>
      <c r="CV1339" s="97">
        <f t="shared" ref="CV1339:CV1346" si="2447">$G1339*CS1339</f>
        <v>9238752</v>
      </c>
      <c r="CW1339" s="97">
        <f t="shared" ref="CW1339:CW1346" si="2448">$H1339*CT1339</f>
        <v>9437040</v>
      </c>
      <c r="CX1339" s="97">
        <f t="shared" ref="CX1339:CX1346" si="2449">$I1339*CR1339</f>
        <v>359454.24</v>
      </c>
      <c r="CY1339" s="97">
        <f t="shared" ref="CY1339:CY1346" si="2450">$J1339*CS1339</f>
        <v>366487.2</v>
      </c>
      <c r="CZ1339" s="97">
        <f t="shared" ref="CZ1339:CZ1346" si="2451">$K1339*CT1339</f>
        <v>371602.08</v>
      </c>
      <c r="DA1339" s="97">
        <f t="shared" ref="DA1339:DA1346" si="2452">$F1339*DA$1349</f>
        <v>64652.68</v>
      </c>
      <c r="DB1339" s="97">
        <f t="shared" ref="DB1339:DB1346" si="2453">$G1339*DB$1349</f>
        <v>68828.740000000005</v>
      </c>
      <c r="DC1339" s="97">
        <f t="shared" ref="DC1339:DC1346" si="2454">$H1339*DC$1349</f>
        <v>72947.14</v>
      </c>
      <c r="DD1339" s="97">
        <f t="shared" ref="DD1339:DD1346" si="2455">$I1339*DD$1349</f>
        <v>3318.31</v>
      </c>
      <c r="DE1339" s="97">
        <f t="shared" ref="DE1339:DE1346" si="2456">$J1339*DE$1349</f>
        <v>3417.47</v>
      </c>
      <c r="DF1339" s="97">
        <f t="shared" ref="DF1339:DF1346" si="2457">$K1339*DF$1349</f>
        <v>3459.07</v>
      </c>
      <c r="DG1339" s="97">
        <f t="shared" ref="DG1339:DI1346" si="2458">CR1339*DA1339</f>
        <v>3491244.72</v>
      </c>
      <c r="DH1339" s="97">
        <f t="shared" si="2458"/>
        <v>3716751.96</v>
      </c>
      <c r="DI1339" s="97">
        <f t="shared" si="2458"/>
        <v>3939145.56</v>
      </c>
      <c r="DJ1339" s="97">
        <f t="shared" ref="DJ1339:DL1346" si="2459">CR1339*DD1339</f>
        <v>179188.74</v>
      </c>
      <c r="DK1339" s="97">
        <f t="shared" si="2459"/>
        <v>184543.38</v>
      </c>
      <c r="DL1339" s="97">
        <f t="shared" si="2459"/>
        <v>186789.78</v>
      </c>
      <c r="DM1339" s="102">
        <v>38</v>
      </c>
      <c r="DN1339" s="102">
        <v>38</v>
      </c>
      <c r="DO1339" s="102">
        <v>38</v>
      </c>
      <c r="DP1339" s="97">
        <f t="shared" ref="DP1339:DP1346" si="2460">$F1339*DM1339</f>
        <v>6304314</v>
      </c>
      <c r="DQ1339" s="97">
        <f t="shared" ref="DQ1339:DQ1346" si="2461">$G1339*DN1339</f>
        <v>6501344</v>
      </c>
      <c r="DR1339" s="97">
        <f t="shared" ref="DR1339:DR1346" si="2462">$H1339*DO1339</f>
        <v>6640880</v>
      </c>
      <c r="DS1339" s="97">
        <f t="shared" ref="DS1339:DS1346" si="2463">$I1339*DM1339</f>
        <v>252949.28</v>
      </c>
      <c r="DT1339" s="97">
        <f t="shared" ref="DT1339:DT1346" si="2464">$J1339*DN1339</f>
        <v>257898.4</v>
      </c>
      <c r="DU1339" s="97">
        <f t="shared" ref="DU1339:DU1346" si="2465">$K1339*DO1339</f>
        <v>261497.76</v>
      </c>
      <c r="DV1339" s="97">
        <f t="shared" ref="DV1339:DV1346" si="2466">$F1339*DV$1349</f>
        <v>70201.53</v>
      </c>
      <c r="DW1339" s="97">
        <f t="shared" ref="DW1339:DW1346" si="2467">$G1339*DW$1349</f>
        <v>74852.08</v>
      </c>
      <c r="DX1339" s="97">
        <f t="shared" ref="DX1339:DX1346" si="2468">$H1339*DX$1349</f>
        <v>79369.19</v>
      </c>
      <c r="DY1339" s="97">
        <f t="shared" ref="DY1339:DY1346" si="2469">$I1339*DY$1349</f>
        <v>6950.36</v>
      </c>
      <c r="DZ1339" s="97">
        <f t="shared" ref="DZ1339:DZ1346" si="2470">$J1339*DZ$1349</f>
        <v>6884.14</v>
      </c>
      <c r="EA1339" s="97">
        <f t="shared" ref="EA1339:EA1346" si="2471">$K1339*EA$1349</f>
        <v>6961.13</v>
      </c>
      <c r="EB1339" s="97">
        <f t="shared" ref="EB1339:ED1346" si="2472">DM1339*DV1339</f>
        <v>2667658.14</v>
      </c>
      <c r="EC1339" s="97">
        <f t="shared" si="2472"/>
        <v>2844379.04</v>
      </c>
      <c r="ED1339" s="97">
        <f t="shared" si="2472"/>
        <v>3016029.22</v>
      </c>
      <c r="EE1339" s="97">
        <f t="shared" ref="EE1339:EG1346" si="2473">DM1339*DY1339</f>
        <v>264113.68</v>
      </c>
      <c r="EF1339" s="97">
        <f t="shared" si="2473"/>
        <v>261597.32</v>
      </c>
      <c r="EG1339" s="97">
        <f t="shared" si="2473"/>
        <v>264522.94</v>
      </c>
      <c r="EH1339" s="102">
        <v>51</v>
      </c>
      <c r="EI1339" s="102">
        <v>51</v>
      </c>
      <c r="EJ1339" s="102">
        <v>51</v>
      </c>
      <c r="EK1339" s="97">
        <f t="shared" ref="EK1339:EK1346" si="2474">$F1339*EH1339</f>
        <v>8461053</v>
      </c>
      <c r="EL1339" s="97">
        <f t="shared" ref="EL1339:EL1346" si="2475">$G1339*EI1339</f>
        <v>8725488</v>
      </c>
      <c r="EM1339" s="97">
        <f t="shared" ref="EM1339:EM1346" si="2476">$H1339*EJ1339</f>
        <v>8912760</v>
      </c>
      <c r="EN1339" s="97">
        <f t="shared" ref="EN1339:EN1346" si="2477">$I1339*EH1339</f>
        <v>339484.56</v>
      </c>
      <c r="EO1339" s="97">
        <f t="shared" ref="EO1339:EO1346" si="2478">$J1339*EI1339</f>
        <v>346126.8</v>
      </c>
      <c r="EP1339" s="97">
        <f t="shared" ref="EP1339:EP1346" si="2479">$K1339*EJ1339</f>
        <v>350957.52</v>
      </c>
      <c r="EQ1339" s="97">
        <f t="shared" ref="EQ1339:EQ1346" si="2480">$F1339*EQ$1349</f>
        <v>69391.5</v>
      </c>
      <c r="ER1339" s="97">
        <f t="shared" ref="ER1339:ER1346" si="2481">$G1339*ER$1349</f>
        <v>73759.94</v>
      </c>
      <c r="ES1339" s="97">
        <f t="shared" ref="ES1339:ES1346" si="2482">$H1339*ES$1349</f>
        <v>78137.100000000006</v>
      </c>
      <c r="ET1339" s="97">
        <f t="shared" ref="ET1339:ET1346" si="2483">$I1339*ET$1349</f>
        <v>5835.14</v>
      </c>
      <c r="EU1339" s="97">
        <f t="shared" ref="EU1339:EU1346" si="2484">$J1339*EU$1349</f>
        <v>6091.73</v>
      </c>
      <c r="EV1339" s="97">
        <f t="shared" ref="EV1339:EV1346" si="2485">$K1339*EV$1349</f>
        <v>6202.57</v>
      </c>
      <c r="EW1339" s="97">
        <f t="shared" ref="EW1339:EY1346" si="2486">EH1339*EQ1339</f>
        <v>3538966.5</v>
      </c>
      <c r="EX1339" s="97">
        <f t="shared" si="2486"/>
        <v>3761756.94</v>
      </c>
      <c r="EY1339" s="97">
        <f t="shared" si="2486"/>
        <v>3984992.1</v>
      </c>
      <c r="EZ1339" s="97">
        <f t="shared" ref="EZ1339:FB1346" si="2487">EH1339*ET1339</f>
        <v>297592.14</v>
      </c>
      <c r="FA1339" s="97">
        <f t="shared" si="2487"/>
        <v>310678.23</v>
      </c>
      <c r="FB1339" s="97">
        <f t="shared" si="2487"/>
        <v>316331.07</v>
      </c>
      <c r="FC1339" s="102">
        <v>72</v>
      </c>
      <c r="FD1339" s="102">
        <v>72</v>
      </c>
      <c r="FE1339" s="102">
        <v>72</v>
      </c>
      <c r="FF1339" s="97">
        <f t="shared" ref="FF1339:FF1346" si="2488">$F1339*FC1339</f>
        <v>11945016</v>
      </c>
      <c r="FG1339" s="97">
        <f t="shared" ref="FG1339:FG1346" si="2489">$G1339*FD1339</f>
        <v>12318336</v>
      </c>
      <c r="FH1339" s="97">
        <f t="shared" ref="FH1339:FH1346" si="2490">$H1339*FE1339</f>
        <v>12582720</v>
      </c>
      <c r="FI1339" s="97">
        <f t="shared" ref="FI1339:FI1346" si="2491">$I1339*FC1339</f>
        <v>479272.32</v>
      </c>
      <c r="FJ1339" s="97">
        <f t="shared" ref="FJ1339:FJ1346" si="2492">$J1339*FD1339</f>
        <v>488649.6</v>
      </c>
      <c r="FK1339" s="97">
        <f t="shared" ref="FK1339:FK1346" si="2493">$K1339*FE1339</f>
        <v>495469.44</v>
      </c>
      <c r="FL1339" s="97">
        <f t="shared" ref="FL1339:FL1346" si="2494">$F1339*FL$1349</f>
        <v>67417.149999999994</v>
      </c>
      <c r="FM1339" s="97">
        <f t="shared" ref="FM1339:FM1346" si="2495">$G1339*FM$1349</f>
        <v>71806.31</v>
      </c>
      <c r="FN1339" s="97">
        <f t="shared" ref="FN1339:FN1346" si="2496">$H1339*FN$1349</f>
        <v>76112.5</v>
      </c>
      <c r="FO1339" s="97">
        <f t="shared" ref="FO1339:FO1346" si="2497">$I1339*FO$1349</f>
        <v>6275.96</v>
      </c>
      <c r="FP1339" s="97">
        <f t="shared" ref="FP1339:FP1346" si="2498">$J1339*FP$1349</f>
        <v>6592.77</v>
      </c>
      <c r="FQ1339" s="97">
        <f t="shared" ref="FQ1339:FQ1346" si="2499">$K1339*FQ$1349</f>
        <v>6559.59</v>
      </c>
      <c r="FR1339" s="97">
        <f t="shared" ref="FR1339:FT1346" si="2500">FC1339*FL1339</f>
        <v>4854034.8</v>
      </c>
      <c r="FS1339" s="97">
        <f t="shared" si="2500"/>
        <v>5170054.32</v>
      </c>
      <c r="FT1339" s="97">
        <f t="shared" si="2500"/>
        <v>5480100</v>
      </c>
      <c r="FU1339" s="97">
        <f t="shared" ref="FU1339:FW1346" si="2501">FC1339*FO1339</f>
        <v>451869.12</v>
      </c>
      <c r="FV1339" s="97">
        <f t="shared" si="2501"/>
        <v>474679.44</v>
      </c>
      <c r="FW1339" s="97">
        <f t="shared" si="2501"/>
        <v>472290.48</v>
      </c>
      <c r="FX1339" s="102">
        <v>109</v>
      </c>
      <c r="FY1339" s="102">
        <v>109</v>
      </c>
      <c r="FZ1339" s="102">
        <v>109</v>
      </c>
      <c r="GA1339" s="97">
        <f t="shared" ref="GA1339:GA1346" si="2502">$F1339*FX1339</f>
        <v>18083427</v>
      </c>
      <c r="GB1339" s="97">
        <f t="shared" ref="GB1339:GB1346" si="2503">$G1339*FY1339</f>
        <v>18648592</v>
      </c>
      <c r="GC1339" s="97">
        <f t="shared" ref="GC1339:GC1346" si="2504">$H1339*FZ1339</f>
        <v>19048840</v>
      </c>
      <c r="GD1339" s="97">
        <f t="shared" ref="GD1339:GD1346" si="2505">$I1339*FX1339</f>
        <v>725565.04</v>
      </c>
      <c r="GE1339" s="97">
        <f t="shared" ref="GE1339:GE1346" si="2506">$J1339*FY1339</f>
        <v>739761.2</v>
      </c>
      <c r="GF1339" s="97">
        <f t="shared" ref="GF1339:GF1346" si="2507">$K1339*FZ1339</f>
        <v>750085.68</v>
      </c>
      <c r="GG1339" s="97">
        <f t="shared" ref="GG1339:GG1346" si="2508">$F1339*GG$1349</f>
        <v>67311.199999999997</v>
      </c>
      <c r="GH1339" s="97">
        <f t="shared" ref="GH1339:GH1346" si="2509">$G1339*GH$1349</f>
        <v>71615.3</v>
      </c>
      <c r="GI1339" s="97">
        <f t="shared" ref="GI1339:GI1346" si="2510">$H1339*GI$1349</f>
        <v>75872.039999999994</v>
      </c>
      <c r="GJ1339" s="97">
        <f t="shared" ref="GJ1339:GJ1346" si="2511">$I1339*GJ$1349</f>
        <v>4705.8100000000004</v>
      </c>
      <c r="GK1339" s="97">
        <f t="shared" ref="GK1339:GK1346" si="2512">$J1339*GK$1349</f>
        <v>5328.13</v>
      </c>
      <c r="GL1339" s="97">
        <f t="shared" ref="GL1339:GL1346" si="2513">$K1339*GL$1349</f>
        <v>5742.26</v>
      </c>
      <c r="GM1339" s="97">
        <f t="shared" ref="GM1339:GO1346" si="2514">FX1339*GG1339</f>
        <v>7336920.7999999998</v>
      </c>
      <c r="GN1339" s="97">
        <f t="shared" si="2514"/>
        <v>7806067.7000000002</v>
      </c>
      <c r="GO1339" s="97">
        <f t="shared" si="2514"/>
        <v>8270052.3600000003</v>
      </c>
      <c r="GP1339" s="97">
        <f t="shared" ref="GP1339:GR1346" si="2515">FX1339*GJ1339</f>
        <v>512933.29</v>
      </c>
      <c r="GQ1339" s="97">
        <f t="shared" si="2515"/>
        <v>580766.17000000004</v>
      </c>
      <c r="GR1339" s="97">
        <f t="shared" si="2515"/>
        <v>625906.34</v>
      </c>
      <c r="GS1339" s="102">
        <v>38</v>
      </c>
      <c r="GT1339" s="102">
        <v>38</v>
      </c>
      <c r="GU1339" s="102">
        <v>38</v>
      </c>
      <c r="GV1339" s="97">
        <f t="shared" ref="GV1339:GV1346" si="2516">$F1339*GS1339</f>
        <v>6304314</v>
      </c>
      <c r="GW1339" s="97">
        <f t="shared" ref="GW1339:GW1346" si="2517">$G1339*GT1339</f>
        <v>6501344</v>
      </c>
      <c r="GX1339" s="97">
        <f t="shared" ref="GX1339:GX1346" si="2518">$H1339*GU1339</f>
        <v>6640880</v>
      </c>
      <c r="GY1339" s="97">
        <f t="shared" ref="GY1339:GY1346" si="2519">$I1339*GS1339</f>
        <v>252949.28</v>
      </c>
      <c r="GZ1339" s="97">
        <f t="shared" ref="GZ1339:GZ1346" si="2520">$J1339*GT1339</f>
        <v>257898.4</v>
      </c>
      <c r="HA1339" s="97">
        <f t="shared" ref="HA1339:HA1346" si="2521">$K1339*GU1339</f>
        <v>261497.76</v>
      </c>
      <c r="HB1339" s="97">
        <f t="shared" ref="HB1339:HB1346" si="2522">$F1339*HB$1349</f>
        <v>70315.710000000006</v>
      </c>
      <c r="HC1339" s="97">
        <f t="shared" ref="HC1339:HC1346" si="2523">$G1339*HC$1349</f>
        <v>74781.78</v>
      </c>
      <c r="HD1339" s="97">
        <f t="shared" ref="HD1339:HD1346" si="2524">$H1339*HD$1349</f>
        <v>79224.59</v>
      </c>
      <c r="HE1339" s="97">
        <f t="shared" ref="HE1339:HE1346" si="2525">$I1339*HE$1349</f>
        <v>5475.28</v>
      </c>
      <c r="HF1339" s="97">
        <f t="shared" ref="HF1339:HF1346" si="2526">$J1339*HF$1349</f>
        <v>5699.05</v>
      </c>
      <c r="HG1339" s="97">
        <f t="shared" ref="HG1339:HG1346" si="2527">$K1339*HG$1349</f>
        <v>5788.84</v>
      </c>
      <c r="HH1339" s="97">
        <f t="shared" ref="HH1339:HJ1346" si="2528">GS1339*HB1339</f>
        <v>2671996.98</v>
      </c>
      <c r="HI1339" s="97">
        <f t="shared" si="2528"/>
        <v>2841707.64</v>
      </c>
      <c r="HJ1339" s="97">
        <f t="shared" si="2528"/>
        <v>3010534.42</v>
      </c>
      <c r="HK1339" s="97">
        <f t="shared" ref="HK1339:HM1346" si="2529">GS1339*HE1339</f>
        <v>208060.64</v>
      </c>
      <c r="HL1339" s="97">
        <f t="shared" si="2529"/>
        <v>216563.9</v>
      </c>
      <c r="HM1339" s="97">
        <f t="shared" si="2529"/>
        <v>219975.92</v>
      </c>
      <c r="HN1339" s="102">
        <v>86</v>
      </c>
      <c r="HO1339" s="102">
        <v>86</v>
      </c>
      <c r="HP1339" s="102">
        <v>86</v>
      </c>
      <c r="HQ1339" s="97">
        <f t="shared" ref="HQ1339:HQ1346" si="2530">$F1339*HN1339</f>
        <v>14267658</v>
      </c>
      <c r="HR1339" s="97">
        <f t="shared" ref="HR1339:HR1346" si="2531">$G1339*HO1339</f>
        <v>14713568</v>
      </c>
      <c r="HS1339" s="97">
        <f t="shared" ref="HS1339:HS1346" si="2532">$H1339*HP1339</f>
        <v>15029360</v>
      </c>
      <c r="HT1339" s="97">
        <f t="shared" ref="HT1339:HT1346" si="2533">$I1339*HN1339</f>
        <v>572464.16</v>
      </c>
      <c r="HU1339" s="97">
        <f t="shared" ref="HU1339:HU1346" si="2534">$J1339*HO1339</f>
        <v>583664.80000000005</v>
      </c>
      <c r="HV1339" s="97">
        <f t="shared" ref="HV1339:HV1346" si="2535">$K1339*HP1339</f>
        <v>591810.72</v>
      </c>
      <c r="HW1339" s="97">
        <f t="shared" ref="HW1339:HW1346" si="2536">$F1339*HW$1349</f>
        <v>69200.44</v>
      </c>
      <c r="HX1339" s="97">
        <f t="shared" ref="HX1339:HX1346" si="2537">$G1339*HX$1349</f>
        <v>73704.509999999995</v>
      </c>
      <c r="HY1339" s="97">
        <f t="shared" ref="HY1339:HY1346" si="2538">$H1339*HY$1349</f>
        <v>78097.47</v>
      </c>
      <c r="HZ1339" s="97">
        <f t="shared" ref="HZ1339:HZ1346" si="2539">$I1339*HZ$1349</f>
        <v>5223.0600000000004</v>
      </c>
      <c r="IA1339" s="97">
        <f t="shared" ref="IA1339:IA1346" si="2540">$J1339*IA$1349</f>
        <v>5433.26</v>
      </c>
      <c r="IB1339" s="97">
        <f t="shared" ref="IB1339:IB1346" si="2541">$K1339*IB$1349</f>
        <v>5424.36</v>
      </c>
      <c r="IC1339" s="97">
        <f t="shared" ref="IC1339:IE1346" si="2542">HN1339*HW1339</f>
        <v>5951237.8399999999</v>
      </c>
      <c r="ID1339" s="97">
        <f t="shared" si="2542"/>
        <v>6338587.8600000003</v>
      </c>
      <c r="IE1339" s="97">
        <f t="shared" si="2542"/>
        <v>6716382.4199999999</v>
      </c>
      <c r="IF1339" s="97">
        <f t="shared" ref="IF1339:IH1346" si="2543">HN1339*HZ1339</f>
        <v>449183.16</v>
      </c>
      <c r="IG1339" s="97">
        <f t="shared" si="2543"/>
        <v>467260.36</v>
      </c>
      <c r="IH1339" s="97">
        <f t="shared" si="2543"/>
        <v>466494.96</v>
      </c>
      <c r="II1339" s="102"/>
      <c r="IJ1339" s="102"/>
      <c r="IK1339" s="102"/>
      <c r="IL1339" s="97">
        <f t="shared" ref="IL1339:IL1346" si="2544">$F1339*II1339</f>
        <v>0</v>
      </c>
      <c r="IM1339" s="97">
        <f t="shared" ref="IM1339:IM1346" si="2545">$G1339*IJ1339</f>
        <v>0</v>
      </c>
      <c r="IN1339" s="97">
        <f t="shared" ref="IN1339:IN1346" si="2546">$H1339*IK1339</f>
        <v>0</v>
      </c>
      <c r="IO1339" s="97">
        <f t="shared" ref="IO1339:IO1346" si="2547">$I1339*II1339</f>
        <v>0</v>
      </c>
      <c r="IP1339" s="97">
        <f t="shared" ref="IP1339:IP1346" si="2548">$J1339*IJ1339</f>
        <v>0</v>
      </c>
      <c r="IQ1339" s="97">
        <f t="shared" ref="IQ1339:IQ1346" si="2549">$K1339*IK1339</f>
        <v>0</v>
      </c>
      <c r="IR1339" s="97">
        <f t="shared" ref="IR1339:IR1346" si="2550">$F1339*IR$1349</f>
        <v>94004.17</v>
      </c>
      <c r="IS1339" s="97">
        <f t="shared" ref="IS1339:IS1346" si="2551">$G1339*IS$1349</f>
        <v>99862.81</v>
      </c>
      <c r="IT1339" s="97">
        <f t="shared" ref="IT1339:IT1346" si="2552">$H1339*IT$1349</f>
        <v>105776.49</v>
      </c>
      <c r="IU1339" s="97">
        <f t="shared" ref="IU1339:IU1346" si="2553">$I1339*IU$1349</f>
        <v>7896.25</v>
      </c>
      <c r="IV1339" s="97">
        <f t="shared" ref="IV1339:IV1346" si="2554">$J1339*IV$1349</f>
        <v>8213.52</v>
      </c>
      <c r="IW1339" s="97">
        <f t="shared" ref="IW1339:IW1346" si="2555">$K1339*IW$1349</f>
        <v>8142.47</v>
      </c>
      <c r="IX1339" s="97">
        <f t="shared" ref="IX1339:IZ1346" si="2556">II1339*IR1339</f>
        <v>0</v>
      </c>
      <c r="IY1339" s="97">
        <f t="shared" si="2556"/>
        <v>0</v>
      </c>
      <c r="IZ1339" s="97">
        <f t="shared" si="2556"/>
        <v>0</v>
      </c>
      <c r="JA1339" s="97">
        <f t="shared" ref="JA1339:JC1346" si="2557">II1339*IU1339</f>
        <v>0</v>
      </c>
      <c r="JB1339" s="97">
        <f t="shared" si="2557"/>
        <v>0</v>
      </c>
      <c r="JC1339" s="97">
        <f t="shared" si="2557"/>
        <v>0</v>
      </c>
      <c r="JD1339" s="102">
        <v>49</v>
      </c>
      <c r="JE1339" s="102">
        <v>49</v>
      </c>
      <c r="JF1339" s="102">
        <v>49</v>
      </c>
      <c r="JG1339" s="97">
        <f t="shared" ref="JG1339:JG1346" si="2558">$F1339*JD1339</f>
        <v>8129247</v>
      </c>
      <c r="JH1339" s="97">
        <f t="shared" ref="JH1339:JH1346" si="2559">$G1339*JE1339</f>
        <v>8383312</v>
      </c>
      <c r="JI1339" s="97">
        <f t="shared" ref="JI1339:JI1346" si="2560">$H1339*JF1339</f>
        <v>8563240</v>
      </c>
      <c r="JJ1339" s="97">
        <f t="shared" ref="JJ1339:JJ1346" si="2561">$I1339*JD1339</f>
        <v>326171.44</v>
      </c>
      <c r="JK1339" s="97">
        <f t="shared" ref="JK1339:JK1346" si="2562">$J1339*JE1339</f>
        <v>332553.2</v>
      </c>
      <c r="JL1339" s="97">
        <f t="shared" ref="JL1339:JL1346" si="2563">$K1339*JF1339</f>
        <v>337194.48</v>
      </c>
      <c r="JM1339" s="97">
        <f t="shared" ref="JM1339:JM1346" si="2564">$F1339*JM$1349</f>
        <v>63014.77</v>
      </c>
      <c r="JN1339" s="97">
        <f t="shared" ref="JN1339:JN1346" si="2565">$G1339*JN$1349</f>
        <v>67075.960000000006</v>
      </c>
      <c r="JO1339" s="97">
        <f t="shared" ref="JO1339:JO1346" si="2566">$H1339*JO$1349</f>
        <v>71085.820000000007</v>
      </c>
      <c r="JP1339" s="97">
        <f t="shared" ref="JP1339:JP1346" si="2567">$I1339*JP$1349</f>
        <v>4305</v>
      </c>
      <c r="JQ1339" s="97">
        <f t="shared" ref="JQ1339:JQ1346" si="2568">$J1339*JQ$1349</f>
        <v>4559.72</v>
      </c>
      <c r="JR1339" s="97">
        <f t="shared" ref="JR1339:JR1346" si="2569">$K1339*JR$1349</f>
        <v>4634.3599999999997</v>
      </c>
      <c r="JS1339" s="97">
        <f t="shared" ref="JS1339:JU1346" si="2570">JD1339*JM1339</f>
        <v>3087723.73</v>
      </c>
      <c r="JT1339" s="97">
        <f t="shared" si="2570"/>
        <v>3286722.04</v>
      </c>
      <c r="JU1339" s="97">
        <f t="shared" si="2570"/>
        <v>3483205.18</v>
      </c>
      <c r="JV1339" s="97">
        <f t="shared" ref="JV1339:JX1346" si="2571">JD1339*JP1339</f>
        <v>210945</v>
      </c>
      <c r="JW1339" s="97">
        <f t="shared" si="2571"/>
        <v>223426.28</v>
      </c>
      <c r="JX1339" s="97">
        <f t="shared" si="2571"/>
        <v>227083.64</v>
      </c>
      <c r="JY1339" s="102">
        <v>66</v>
      </c>
      <c r="JZ1339" s="102">
        <v>66</v>
      </c>
      <c r="KA1339" s="102">
        <v>66</v>
      </c>
      <c r="KB1339" s="97">
        <f t="shared" ref="KB1339:KB1346" si="2572">$F1339*JY1339</f>
        <v>10949598</v>
      </c>
      <c r="KC1339" s="97">
        <f t="shared" ref="KC1339:KC1346" si="2573">$G1339*JZ1339</f>
        <v>11291808</v>
      </c>
      <c r="KD1339" s="97">
        <f t="shared" ref="KD1339:KD1346" si="2574">$H1339*KA1339</f>
        <v>11534160</v>
      </c>
      <c r="KE1339" s="97">
        <f t="shared" ref="KE1339:KE1346" si="2575">$I1339*JY1339</f>
        <v>439332.96</v>
      </c>
      <c r="KF1339" s="97">
        <f t="shared" ref="KF1339:KF1346" si="2576">$J1339*JZ1339</f>
        <v>447928.8</v>
      </c>
      <c r="KG1339" s="97">
        <f t="shared" ref="KG1339:KG1346" si="2577">$K1339*KA1339</f>
        <v>454180.32</v>
      </c>
      <c r="KH1339" s="97">
        <f t="shared" ref="KH1339:KH1346" si="2578">$F1339*KH$1349</f>
        <v>64785.81</v>
      </c>
      <c r="KI1339" s="97">
        <f t="shared" ref="KI1339:KI1346" si="2579">$G1339*KI$1349</f>
        <v>68902.78</v>
      </c>
      <c r="KJ1339" s="97">
        <f t="shared" ref="KJ1339:KJ1346" si="2580">$H1339*KJ$1349</f>
        <v>73005.399999999994</v>
      </c>
      <c r="KK1339" s="97">
        <f t="shared" ref="KK1339:KK1346" si="2581">$I1339*KK$1349</f>
        <v>4035.73</v>
      </c>
      <c r="KL1339" s="97">
        <f t="shared" ref="KL1339:KL1346" si="2582">$J1339*KL$1349</f>
        <v>4225.83</v>
      </c>
      <c r="KM1339" s="97">
        <f t="shared" ref="KM1339:KM1346" si="2583">$K1339*KM$1349</f>
        <v>4264.5600000000004</v>
      </c>
      <c r="KN1339" s="97">
        <f t="shared" ref="KN1339:KP1346" si="2584">JY1339*KH1339</f>
        <v>4275863.46</v>
      </c>
      <c r="KO1339" s="97">
        <f t="shared" si="2584"/>
        <v>4547583.4800000004</v>
      </c>
      <c r="KP1339" s="97">
        <f t="shared" si="2584"/>
        <v>4818356.4000000004</v>
      </c>
      <c r="KQ1339" s="97">
        <f t="shared" ref="KQ1339:KS1346" si="2585">JY1339*KK1339</f>
        <v>266358.18</v>
      </c>
      <c r="KR1339" s="97">
        <f t="shared" si="2585"/>
        <v>278904.78000000003</v>
      </c>
      <c r="KS1339" s="97">
        <f t="shared" si="2585"/>
        <v>281460.96000000002</v>
      </c>
      <c r="KT1339" s="102">
        <v>72</v>
      </c>
      <c r="KU1339" s="102">
        <v>72</v>
      </c>
      <c r="KV1339" s="102">
        <v>72</v>
      </c>
      <c r="KW1339" s="97">
        <f t="shared" ref="KW1339:KW1346" si="2586">$F1339*KT1339</f>
        <v>11945016</v>
      </c>
      <c r="KX1339" s="97">
        <f t="shared" ref="KX1339:KX1346" si="2587">$G1339*KU1339</f>
        <v>12318336</v>
      </c>
      <c r="KY1339" s="97">
        <f t="shared" ref="KY1339:KY1346" si="2588">$H1339*KV1339</f>
        <v>12582720</v>
      </c>
      <c r="KZ1339" s="97">
        <f t="shared" ref="KZ1339:KZ1346" si="2589">$I1339*KT1339</f>
        <v>479272.32</v>
      </c>
      <c r="LA1339" s="97">
        <f t="shared" ref="LA1339:LA1346" si="2590">$J1339*KU1339</f>
        <v>488649.6</v>
      </c>
      <c r="LB1339" s="97">
        <f t="shared" ref="LB1339:LB1346" si="2591">$K1339*KV1339</f>
        <v>495469.44</v>
      </c>
      <c r="LC1339" s="97">
        <f t="shared" ref="LC1339:LC1346" si="2592">$F1339*LC$1349</f>
        <v>61151.95</v>
      </c>
      <c r="LD1339" s="97">
        <f t="shared" ref="LD1339:LD1346" si="2593">$G1339*LD$1349</f>
        <v>65124.83</v>
      </c>
      <c r="LE1339" s="97">
        <f t="shared" ref="LE1339:LE1346" si="2594">$H1339*LE$1349</f>
        <v>69022.63</v>
      </c>
      <c r="LF1339" s="97">
        <f t="shared" ref="LF1339:LF1346" si="2595">$I1339*LF$1349</f>
        <v>5562.2</v>
      </c>
      <c r="LG1339" s="97">
        <f t="shared" ref="LG1339:LG1346" si="2596">$J1339*LG$1349</f>
        <v>5904.23</v>
      </c>
      <c r="LH1339" s="97">
        <f t="shared" ref="LH1339:LH1346" si="2597">$K1339*LH$1349</f>
        <v>6017.97</v>
      </c>
      <c r="LI1339" s="97">
        <f t="shared" ref="LI1339:LK1346" si="2598">KT1339*LC1339</f>
        <v>4402940.4000000004</v>
      </c>
      <c r="LJ1339" s="97">
        <f t="shared" si="2598"/>
        <v>4688987.76</v>
      </c>
      <c r="LK1339" s="97">
        <f t="shared" si="2598"/>
        <v>4969629.3600000003</v>
      </c>
      <c r="LL1339" s="97">
        <f t="shared" ref="LL1339:LN1346" si="2599">KT1339*LF1339</f>
        <v>400478.4</v>
      </c>
      <c r="LM1339" s="97">
        <f t="shared" si="2599"/>
        <v>425104.56</v>
      </c>
      <c r="LN1339" s="97">
        <f t="shared" si="2599"/>
        <v>433293.84</v>
      </c>
      <c r="LO1339" s="102">
        <v>45</v>
      </c>
      <c r="LP1339" s="102">
        <v>45</v>
      </c>
      <c r="LQ1339" s="102">
        <v>45</v>
      </c>
      <c r="LR1339" s="97">
        <f t="shared" ref="LR1339:LR1346" si="2600">$F1339*LO1339</f>
        <v>7465635</v>
      </c>
      <c r="LS1339" s="97">
        <f t="shared" ref="LS1339:LS1346" si="2601">$G1339*LP1339</f>
        <v>7698960</v>
      </c>
      <c r="LT1339" s="97">
        <f t="shared" ref="LT1339:LT1346" si="2602">$H1339*LQ1339</f>
        <v>7864200</v>
      </c>
      <c r="LU1339" s="97">
        <f t="shared" ref="LU1339:LU1346" si="2603">$I1339*LO1339</f>
        <v>299545.2</v>
      </c>
      <c r="LV1339" s="97">
        <f t="shared" ref="LV1339:LV1346" si="2604">$J1339*LP1339</f>
        <v>305406</v>
      </c>
      <c r="LW1339" s="97">
        <f t="shared" ref="LW1339:LW1346" si="2605">$K1339*LQ1339</f>
        <v>309668.40000000002</v>
      </c>
      <c r="LX1339" s="97">
        <f t="shared" ref="LX1339:LX1346" si="2606">$F1339*LX$1349</f>
        <v>53418.94</v>
      </c>
      <c r="LY1339" s="97">
        <f t="shared" ref="LY1339:LY1346" si="2607">$G1339*LY$1349</f>
        <v>56892.51</v>
      </c>
      <c r="LZ1339" s="97">
        <f t="shared" ref="LZ1339:LZ1346" si="2608">$H1339*LZ$1349</f>
        <v>60291.37</v>
      </c>
      <c r="MA1339" s="97">
        <f t="shared" ref="MA1339:MA1346" si="2609">$I1339*MA$1349</f>
        <v>4128.82</v>
      </c>
      <c r="MB1339" s="97">
        <f t="shared" ref="MB1339:MB1346" si="2610">$J1339*MB$1349</f>
        <v>4313.6899999999996</v>
      </c>
      <c r="MC1339" s="97">
        <f t="shared" ref="MC1339:MC1346" si="2611">$K1339*MC$1349</f>
        <v>4360.9799999999996</v>
      </c>
      <c r="MD1339" s="97">
        <f t="shared" ref="MD1339:MF1346" si="2612">LO1339*LX1339</f>
        <v>2403852.2999999998</v>
      </c>
      <c r="ME1339" s="97">
        <f t="shared" si="2612"/>
        <v>2560162.9500000002</v>
      </c>
      <c r="MF1339" s="97">
        <f t="shared" si="2612"/>
        <v>2713111.65</v>
      </c>
      <c r="MG1339" s="97">
        <f t="shared" ref="MG1339:MI1346" si="2613">LO1339*MA1339</f>
        <v>185796.9</v>
      </c>
      <c r="MH1339" s="97">
        <f t="shared" si="2613"/>
        <v>194116.05</v>
      </c>
      <c r="MI1339" s="97">
        <f t="shared" si="2613"/>
        <v>196244.1</v>
      </c>
      <c r="MJ1339" s="102">
        <v>102</v>
      </c>
      <c r="MK1339" s="102">
        <v>102</v>
      </c>
      <c r="ML1339" s="102">
        <v>102</v>
      </c>
      <c r="MM1339" s="97">
        <f t="shared" ref="MM1339:MM1346" si="2614">$F1339*MJ1339</f>
        <v>16922106</v>
      </c>
      <c r="MN1339" s="97">
        <f t="shared" ref="MN1339:MN1346" si="2615">$G1339*MK1339</f>
        <v>17450976</v>
      </c>
      <c r="MO1339" s="97">
        <f t="shared" ref="MO1339:MO1346" si="2616">$H1339*ML1339</f>
        <v>17825520</v>
      </c>
      <c r="MP1339" s="97">
        <f t="shared" ref="MP1339:MP1346" si="2617">$I1339*MJ1339</f>
        <v>678969.12</v>
      </c>
      <c r="MQ1339" s="97">
        <f t="shared" ref="MQ1339:MQ1346" si="2618">$J1339*MK1339</f>
        <v>692253.6</v>
      </c>
      <c r="MR1339" s="97">
        <f t="shared" ref="MR1339:MR1346" si="2619">$K1339*ML1339</f>
        <v>701915.04</v>
      </c>
      <c r="MS1339" s="97">
        <f t="shared" ref="MS1339:MS1346" si="2620">$F1339*MS$1349</f>
        <v>61799.8</v>
      </c>
      <c r="MT1339" s="97">
        <f t="shared" ref="MT1339:MT1346" si="2621">$G1339*MT$1349</f>
        <v>65810.350000000006</v>
      </c>
      <c r="MU1339" s="97">
        <f t="shared" ref="MU1339:MU1346" si="2622">$H1339*MU$1349</f>
        <v>69748.09</v>
      </c>
      <c r="MV1339" s="97">
        <f t="shared" ref="MV1339:MV1346" si="2623">$I1339*MV$1349</f>
        <v>4898.34</v>
      </c>
      <c r="MW1339" s="97">
        <f t="shared" ref="MW1339:MW1346" si="2624">$J1339*MW$1349</f>
        <v>5048.7</v>
      </c>
      <c r="MX1339" s="97">
        <f t="shared" ref="MX1339:MX1346" si="2625">$K1339*MX$1349</f>
        <v>5150.72</v>
      </c>
      <c r="MY1339" s="97">
        <f t="shared" ref="MY1339:NA1346" si="2626">MJ1339*MS1339</f>
        <v>6303579.5999999996</v>
      </c>
      <c r="MZ1339" s="97">
        <f t="shared" si="2626"/>
        <v>6712655.7000000002</v>
      </c>
      <c r="NA1339" s="97">
        <f t="shared" si="2626"/>
        <v>7114305.1799999997</v>
      </c>
      <c r="NB1339" s="97">
        <f t="shared" ref="NB1339:ND1346" si="2627">MJ1339*MV1339</f>
        <v>499630.68</v>
      </c>
      <c r="NC1339" s="97">
        <f t="shared" si="2627"/>
        <v>514967.4</v>
      </c>
      <c r="ND1339" s="97">
        <f t="shared" si="2627"/>
        <v>525373.43999999994</v>
      </c>
      <c r="NE1339" s="102">
        <v>59</v>
      </c>
      <c r="NF1339" s="102">
        <v>59</v>
      </c>
      <c r="NG1339" s="102">
        <v>59</v>
      </c>
      <c r="NH1339" s="97">
        <f t="shared" ref="NH1339:NH1346" si="2628">$F1339*NE1339</f>
        <v>9788277</v>
      </c>
      <c r="NI1339" s="97">
        <f t="shared" ref="NI1339:NI1346" si="2629">$G1339*NF1339</f>
        <v>10094192</v>
      </c>
      <c r="NJ1339" s="97">
        <f t="shared" ref="NJ1339:NJ1346" si="2630">$H1339*NG1339</f>
        <v>10310840</v>
      </c>
      <c r="NK1339" s="97">
        <f t="shared" ref="NK1339:NK1346" si="2631">$I1339*NE1339</f>
        <v>392737.04</v>
      </c>
      <c r="NL1339" s="97">
        <f t="shared" ref="NL1339:NL1346" si="2632">$J1339*NF1339</f>
        <v>400421.2</v>
      </c>
      <c r="NM1339" s="97">
        <f t="shared" ref="NM1339:NM1346" si="2633">$K1339*NG1339</f>
        <v>406009.68</v>
      </c>
      <c r="NN1339" s="97">
        <f t="shared" ref="NN1339:NN1346" si="2634">$F1339*NN$1349</f>
        <v>63096.24</v>
      </c>
      <c r="NO1339" s="97">
        <f t="shared" ref="NO1339:NO1346" si="2635">$G1339*NO$1349</f>
        <v>67104.070000000007</v>
      </c>
      <c r="NP1339" s="97">
        <f t="shared" ref="NP1339:NP1346" si="2636">$H1339*NP$1349</f>
        <v>71079.17</v>
      </c>
      <c r="NQ1339" s="97">
        <f t="shared" ref="NQ1339:NQ1346" si="2637">$I1339*NQ$1349</f>
        <v>7173.95</v>
      </c>
      <c r="NR1339" s="97">
        <f t="shared" ref="NR1339:NR1346" si="2638">$J1339*NR$1349</f>
        <v>7639.87</v>
      </c>
      <c r="NS1339" s="97">
        <f t="shared" ref="NS1339:NS1346" si="2639">$K1339*NS$1349</f>
        <v>7532.52</v>
      </c>
      <c r="NT1339" s="97">
        <f t="shared" ref="NT1339:NV1346" si="2640">NE1339*NN1339</f>
        <v>3722678.16</v>
      </c>
      <c r="NU1339" s="97">
        <f t="shared" si="2640"/>
        <v>3959140.13</v>
      </c>
      <c r="NV1339" s="97">
        <f t="shared" si="2640"/>
        <v>4193671.03</v>
      </c>
      <c r="NW1339" s="97">
        <f t="shared" ref="NW1339:NY1346" si="2641">NE1339*NQ1339</f>
        <v>423263.05</v>
      </c>
      <c r="NX1339" s="97">
        <f t="shared" si="2641"/>
        <v>450752.33</v>
      </c>
      <c r="NY1339" s="97">
        <f t="shared" si="2641"/>
        <v>444418.68</v>
      </c>
      <c r="NZ1339" s="102">
        <v>34</v>
      </c>
      <c r="OA1339" s="102">
        <v>34</v>
      </c>
      <c r="OB1339" s="102">
        <v>34</v>
      </c>
      <c r="OC1339" s="97">
        <f t="shared" ref="OC1339:OC1346" si="2642">$F1339*NZ1339</f>
        <v>5640702</v>
      </c>
      <c r="OD1339" s="97">
        <f t="shared" ref="OD1339:OD1346" si="2643">$G1339*OA1339</f>
        <v>5816992</v>
      </c>
      <c r="OE1339" s="97">
        <f t="shared" ref="OE1339:OE1346" si="2644">$H1339*OB1339</f>
        <v>5941840</v>
      </c>
      <c r="OF1339" s="97">
        <f t="shared" ref="OF1339:OF1346" si="2645">$I1339*NZ1339</f>
        <v>226323.04</v>
      </c>
      <c r="OG1339" s="97">
        <f t="shared" ref="OG1339:OG1346" si="2646">$J1339*OA1339</f>
        <v>230751.2</v>
      </c>
      <c r="OH1339" s="97">
        <f t="shared" ref="OH1339:OH1346" si="2647">$K1339*OB1339</f>
        <v>233971.68</v>
      </c>
      <c r="OI1339" s="97">
        <f t="shared" ref="OI1339:OI1346" si="2648">$F1339*OI$1349</f>
        <v>82729.740000000005</v>
      </c>
      <c r="OJ1339" s="97">
        <f t="shared" ref="OJ1339:OJ1346" si="2649">$G1339*OJ$1349</f>
        <v>87846.89</v>
      </c>
      <c r="OK1339" s="97">
        <f t="shared" ref="OK1339:OK1346" si="2650">$H1339*OK$1349</f>
        <v>93023.67</v>
      </c>
      <c r="OL1339" s="97">
        <f t="shared" ref="OL1339:OL1346" si="2651">$I1339*OL$1349</f>
        <v>7195.38</v>
      </c>
      <c r="OM1339" s="97">
        <f t="shared" ref="OM1339:OM1346" si="2652">$J1339*OM$1349</f>
        <v>7622.61</v>
      </c>
      <c r="ON1339" s="97">
        <f t="shared" ref="ON1339:ON1346" si="2653">$K1339*ON$1349</f>
        <v>7688.59</v>
      </c>
      <c r="OO1339" s="97">
        <f t="shared" ref="OO1339:OQ1346" si="2654">NZ1339*OI1339</f>
        <v>2812811.16</v>
      </c>
      <c r="OP1339" s="97">
        <f t="shared" si="2654"/>
        <v>2986794.26</v>
      </c>
      <c r="OQ1339" s="97">
        <f t="shared" si="2654"/>
        <v>3162804.78</v>
      </c>
      <c r="OR1339" s="97">
        <f t="shared" ref="OR1339:OT1346" si="2655">NZ1339*OL1339</f>
        <v>244642.92</v>
      </c>
      <c r="OS1339" s="97">
        <f t="shared" si="2655"/>
        <v>259168.74</v>
      </c>
      <c r="OT1339" s="97">
        <f t="shared" si="2655"/>
        <v>261412.06</v>
      </c>
      <c r="OU1339" s="102">
        <v>86</v>
      </c>
      <c r="OV1339" s="102">
        <v>86</v>
      </c>
      <c r="OW1339" s="102">
        <v>86</v>
      </c>
      <c r="OX1339" s="97">
        <f t="shared" ref="OX1339:OX1346" si="2656">$F1339*OU1339</f>
        <v>14267658</v>
      </c>
      <c r="OY1339" s="97">
        <f t="shared" ref="OY1339:OY1346" si="2657">$G1339*OV1339</f>
        <v>14713568</v>
      </c>
      <c r="OZ1339" s="97">
        <f t="shared" ref="OZ1339:OZ1346" si="2658">$H1339*OW1339</f>
        <v>15029360</v>
      </c>
      <c r="PA1339" s="97">
        <f t="shared" ref="PA1339:PA1346" si="2659">$I1339*OU1339</f>
        <v>572464.16</v>
      </c>
      <c r="PB1339" s="97">
        <f t="shared" ref="PB1339:PB1346" si="2660">$J1339*OV1339</f>
        <v>583664.80000000005</v>
      </c>
      <c r="PC1339" s="97">
        <f t="shared" ref="PC1339:PC1346" si="2661">$K1339*OW1339</f>
        <v>591810.72</v>
      </c>
      <c r="PD1339" s="97">
        <f t="shared" ref="PD1339:PD1346" si="2662">$F1339*PD$1349</f>
        <v>69573.14</v>
      </c>
      <c r="PE1339" s="97">
        <f t="shared" ref="PE1339:PE1346" si="2663">$G1339*PE$1349</f>
        <v>74055.47</v>
      </c>
      <c r="PF1339" s="97">
        <f t="shared" ref="PF1339:PF1346" si="2664">$H1339*PF$1349</f>
        <v>78476.070000000007</v>
      </c>
      <c r="PG1339" s="97">
        <f t="shared" ref="PG1339:PG1346" si="2665">$I1339*PG$1349</f>
        <v>5750.63</v>
      </c>
      <c r="PH1339" s="97">
        <f t="shared" ref="PH1339:PH1346" si="2666">$J1339*PH$1349</f>
        <v>5989.86</v>
      </c>
      <c r="PI1339" s="97">
        <f t="shared" ref="PI1339:PI1346" si="2667">$K1339*PI$1349</f>
        <v>6122.82</v>
      </c>
      <c r="PJ1339" s="97">
        <f t="shared" ref="PJ1339:PL1346" si="2668">OU1339*PD1339</f>
        <v>5983290.04</v>
      </c>
      <c r="PK1339" s="97">
        <f t="shared" si="2668"/>
        <v>6368770.4199999999</v>
      </c>
      <c r="PL1339" s="97">
        <f t="shared" si="2668"/>
        <v>6748942.0199999996</v>
      </c>
      <c r="PM1339" s="97">
        <f t="shared" ref="PM1339:PO1346" si="2669">OU1339*PG1339</f>
        <v>494554.18</v>
      </c>
      <c r="PN1339" s="97">
        <f t="shared" si="2669"/>
        <v>515127.96</v>
      </c>
      <c r="PO1339" s="97">
        <f t="shared" si="2669"/>
        <v>526562.52</v>
      </c>
      <c r="PP1339" s="102">
        <v>164</v>
      </c>
      <c r="PQ1339" s="102">
        <v>164</v>
      </c>
      <c r="PR1339" s="102">
        <v>164</v>
      </c>
      <c r="PS1339" s="97">
        <f t="shared" ref="PS1339:PS1346" si="2670">$F1339*PP1339</f>
        <v>27208092</v>
      </c>
      <c r="PT1339" s="97">
        <f t="shared" ref="PT1339:PT1346" si="2671">$G1339*PQ1339</f>
        <v>28058432</v>
      </c>
      <c r="PU1339" s="97">
        <f t="shared" ref="PU1339:PU1346" si="2672">$H1339*PR1339</f>
        <v>28660640</v>
      </c>
      <c r="PV1339" s="97">
        <f t="shared" ref="PV1339:PV1346" si="2673">$I1339*PP1339</f>
        <v>1091675.8400000001</v>
      </c>
      <c r="PW1339" s="97">
        <f t="shared" ref="PW1339:PW1346" si="2674">$J1339*PQ1339</f>
        <v>1113035.2</v>
      </c>
      <c r="PX1339" s="97">
        <f t="shared" ref="PX1339:PX1346" si="2675">$K1339*PR1339</f>
        <v>1128569.28</v>
      </c>
      <c r="PY1339" s="97">
        <f t="shared" ref="PY1339:PY1346" si="2676">$F1339*PY$1349</f>
        <v>62289.07</v>
      </c>
      <c r="PZ1339" s="97">
        <f t="shared" ref="PZ1339:PZ1346" si="2677">$G1339*PZ$1349</f>
        <v>66357.78</v>
      </c>
      <c r="QA1339" s="97">
        <f t="shared" ref="QA1339:QA1346" si="2678">$H1339*QA$1349</f>
        <v>70323.56</v>
      </c>
      <c r="QB1339" s="97">
        <f t="shared" ref="QB1339:QB1346" si="2679">$I1339*QB$1349</f>
        <v>5930.32</v>
      </c>
      <c r="QC1339" s="97">
        <f t="shared" ref="QC1339:QC1346" si="2680">$J1339*QC$1349</f>
        <v>6349.33</v>
      </c>
      <c r="QD1339" s="97">
        <f t="shared" ref="QD1339:QD1346" si="2681">$K1339*QD$1349</f>
        <v>6432.34</v>
      </c>
      <c r="QE1339" s="97">
        <f t="shared" ref="QE1339:QG1346" si="2682">PP1339*PY1339</f>
        <v>10215407.48</v>
      </c>
      <c r="QF1339" s="97">
        <f t="shared" si="2682"/>
        <v>10882675.92</v>
      </c>
      <c r="QG1339" s="97">
        <f t="shared" si="2682"/>
        <v>11533063.84</v>
      </c>
      <c r="QH1339" s="97">
        <f t="shared" ref="QH1339:QJ1346" si="2683">PP1339*QB1339</f>
        <v>972572.48</v>
      </c>
      <c r="QI1339" s="97">
        <f t="shared" si="2683"/>
        <v>1041290.12</v>
      </c>
      <c r="QJ1339" s="97">
        <f t="shared" si="2683"/>
        <v>1054903.76</v>
      </c>
      <c r="QK1339" s="102">
        <v>57</v>
      </c>
      <c r="QL1339" s="102">
        <v>57</v>
      </c>
      <c r="QM1339" s="102">
        <v>57</v>
      </c>
      <c r="QN1339" s="97">
        <f t="shared" ref="QN1339:QN1346" si="2684">$F1339*QK1339</f>
        <v>9456471</v>
      </c>
      <c r="QO1339" s="97">
        <f t="shared" ref="QO1339:QO1346" si="2685">$G1339*QL1339</f>
        <v>9752016</v>
      </c>
      <c r="QP1339" s="97">
        <f t="shared" ref="QP1339:QP1346" si="2686">$H1339*QM1339</f>
        <v>9961320</v>
      </c>
      <c r="QQ1339" s="97">
        <f t="shared" ref="QQ1339:QQ1346" si="2687">$I1339*QK1339</f>
        <v>379423.92</v>
      </c>
      <c r="QR1339" s="97">
        <f t="shared" ref="QR1339:QR1346" si="2688">$J1339*QL1339</f>
        <v>386847.6</v>
      </c>
      <c r="QS1339" s="97">
        <f t="shared" ref="QS1339:QS1346" si="2689">$K1339*QM1339</f>
        <v>392246.64</v>
      </c>
      <c r="QT1339" s="97">
        <f t="shared" ref="QT1339:QT1346" si="2690">$F1339*QT$1349</f>
        <v>63344.44</v>
      </c>
      <c r="QU1339" s="97">
        <f t="shared" ref="QU1339:QU1346" si="2691">$G1339*QU$1349</f>
        <v>67457.600000000006</v>
      </c>
      <c r="QV1339" s="97">
        <f t="shared" ref="QV1339:QV1346" si="2692">$H1339*QV$1349</f>
        <v>71496.87</v>
      </c>
      <c r="QW1339" s="97">
        <f t="shared" ref="QW1339:QW1346" si="2693">$I1339*QW$1349</f>
        <v>4078.81</v>
      </c>
      <c r="QX1339" s="97">
        <f t="shared" ref="QX1339:QX1346" si="2694">$J1339*QX$1349</f>
        <v>4315.2700000000004</v>
      </c>
      <c r="QY1339" s="97">
        <f t="shared" ref="QY1339:QY1346" si="2695">$K1339*QY$1349</f>
        <v>4399.9799999999996</v>
      </c>
      <c r="QZ1339" s="97">
        <f t="shared" ref="QZ1339:RB1346" si="2696">QK1339*QT1339</f>
        <v>3610633.08</v>
      </c>
      <c r="RA1339" s="97">
        <f t="shared" si="2696"/>
        <v>3845083.2</v>
      </c>
      <c r="RB1339" s="97">
        <f t="shared" si="2696"/>
        <v>4075321.59</v>
      </c>
      <c r="RC1339" s="97">
        <f t="shared" ref="RC1339:RE1346" si="2697">QK1339*QW1339</f>
        <v>232492.17</v>
      </c>
      <c r="RD1339" s="97">
        <f t="shared" si="2697"/>
        <v>245970.39</v>
      </c>
      <c r="RE1339" s="97">
        <f t="shared" si="2697"/>
        <v>250798.86</v>
      </c>
      <c r="RF1339" s="102">
        <v>50</v>
      </c>
      <c r="RG1339" s="102">
        <v>50</v>
      </c>
      <c r="RH1339" s="102">
        <v>50</v>
      </c>
      <c r="RI1339" s="97">
        <f t="shared" ref="RI1339:RI1346" si="2698">$F1339*RF1339</f>
        <v>8295150</v>
      </c>
      <c r="RJ1339" s="97">
        <f t="shared" ref="RJ1339:RJ1346" si="2699">$G1339*RG1339</f>
        <v>8554400</v>
      </c>
      <c r="RK1339" s="97">
        <f t="shared" ref="RK1339:RK1346" si="2700">$H1339*RH1339</f>
        <v>8738000</v>
      </c>
      <c r="RL1339" s="97">
        <f t="shared" ref="RL1339:RL1346" si="2701">$I1339*RF1339</f>
        <v>332828</v>
      </c>
      <c r="RM1339" s="97">
        <f t="shared" ref="RM1339:RM1346" si="2702">$J1339*RG1339</f>
        <v>339340</v>
      </c>
      <c r="RN1339" s="97">
        <f t="shared" ref="RN1339:RN1346" si="2703">$K1339*RH1339</f>
        <v>344076</v>
      </c>
      <c r="RO1339" s="97">
        <f t="shared" ref="RO1339:RO1346" si="2704">$F1339*RO$1349</f>
        <v>67854.75</v>
      </c>
      <c r="RP1339" s="97">
        <f t="shared" ref="RP1339:RP1346" si="2705">$G1339*RP$1349</f>
        <v>72230.570000000007</v>
      </c>
      <c r="RQ1339" s="97">
        <f t="shared" ref="RQ1339:RQ1346" si="2706">$H1339*RQ$1349</f>
        <v>76555.08</v>
      </c>
      <c r="RR1339" s="97">
        <f t="shared" ref="RR1339:RR1346" si="2707">$I1339*RR$1349</f>
        <v>5753.61</v>
      </c>
      <c r="RS1339" s="97">
        <f t="shared" ref="RS1339:RS1346" si="2708">$J1339*RS$1349</f>
        <v>5972.05</v>
      </c>
      <c r="RT1339" s="97">
        <f t="shared" ref="RT1339:RT1346" si="2709">$K1339*RT$1349</f>
        <v>6090.59</v>
      </c>
      <c r="RU1339" s="97">
        <f t="shared" ref="RU1339:RW1346" si="2710">RF1339*RO1339</f>
        <v>3392737.5</v>
      </c>
      <c r="RV1339" s="97">
        <f t="shared" si="2710"/>
        <v>3611528.5</v>
      </c>
      <c r="RW1339" s="97">
        <f t="shared" si="2710"/>
        <v>3827754</v>
      </c>
      <c r="RX1339" s="97">
        <f t="shared" ref="RX1339:RZ1346" si="2711">RF1339*RR1339</f>
        <v>287680.5</v>
      </c>
      <c r="RY1339" s="97">
        <f t="shared" si="2711"/>
        <v>298602.5</v>
      </c>
      <c r="RZ1339" s="97">
        <f t="shared" si="2711"/>
        <v>304529.5</v>
      </c>
      <c r="SA1339" s="102">
        <v>29</v>
      </c>
      <c r="SB1339" s="102">
        <v>29</v>
      </c>
      <c r="SC1339" s="102">
        <v>29</v>
      </c>
      <c r="SD1339" s="97">
        <f t="shared" ref="SD1339:SD1346" si="2712">$F1339*SA1339</f>
        <v>4811187</v>
      </c>
      <c r="SE1339" s="97">
        <f t="shared" ref="SE1339:SE1346" si="2713">$G1339*SB1339</f>
        <v>4961552</v>
      </c>
      <c r="SF1339" s="97">
        <f t="shared" ref="SF1339:SF1346" si="2714">$H1339*SC1339</f>
        <v>5068040</v>
      </c>
      <c r="SG1339" s="97">
        <f t="shared" ref="SG1339:SG1346" si="2715">$I1339*SA1339</f>
        <v>193040.24</v>
      </c>
      <c r="SH1339" s="97">
        <f t="shared" ref="SH1339:SH1346" si="2716">$J1339*SB1339</f>
        <v>196817.2</v>
      </c>
      <c r="SI1339" s="97">
        <f t="shared" ref="SI1339:SI1346" si="2717">$K1339*SC1339</f>
        <v>199564.08</v>
      </c>
      <c r="SJ1339" s="97">
        <f t="shared" ref="SJ1339:SJ1346" si="2718">$F1339*SJ$1349</f>
        <v>71296.289999999994</v>
      </c>
      <c r="SK1339" s="97">
        <f t="shared" ref="SK1339:SK1346" si="2719">$G1339*SK$1349</f>
        <v>75809.929999999993</v>
      </c>
      <c r="SL1339" s="97">
        <f t="shared" ref="SL1339:SL1346" si="2720">$H1339*SL$1349</f>
        <v>80315.320000000007</v>
      </c>
      <c r="SM1339" s="97">
        <f t="shared" ref="SM1339:SM1346" si="2721">$I1339*SM$1349</f>
        <v>8055.25</v>
      </c>
      <c r="SN1339" s="97">
        <f t="shared" ref="SN1339:SN1346" si="2722">$J1339*SN$1349</f>
        <v>8474.68</v>
      </c>
      <c r="SO1339" s="97">
        <f t="shared" ref="SO1339:SO1346" si="2723">$K1339*SO$1349</f>
        <v>8616.2999999999993</v>
      </c>
      <c r="SP1339" s="97">
        <f t="shared" ref="SP1339:SR1346" si="2724">SA1339*SJ1339</f>
        <v>2067592.41</v>
      </c>
      <c r="SQ1339" s="97">
        <f t="shared" si="2724"/>
        <v>2198487.9700000002</v>
      </c>
      <c r="SR1339" s="97">
        <f t="shared" si="2724"/>
        <v>2329144.2799999998</v>
      </c>
      <c r="SS1339" s="97">
        <f t="shared" ref="SS1339:SU1346" si="2725">SA1339*SM1339</f>
        <v>233602.25</v>
      </c>
      <c r="ST1339" s="97">
        <f t="shared" si="2725"/>
        <v>245765.72</v>
      </c>
      <c r="SU1339" s="97">
        <f t="shared" si="2725"/>
        <v>249872.7</v>
      </c>
      <c r="SV1339" s="102">
        <v>72</v>
      </c>
      <c r="SW1339" s="102">
        <v>72</v>
      </c>
      <c r="SX1339" s="102">
        <v>72</v>
      </c>
      <c r="SY1339" s="97">
        <f t="shared" ref="SY1339:SY1346" si="2726">$F1339*SV1339</f>
        <v>11945016</v>
      </c>
      <c r="SZ1339" s="97">
        <f t="shared" ref="SZ1339:SZ1346" si="2727">$G1339*SW1339</f>
        <v>12318336</v>
      </c>
      <c r="TA1339" s="97">
        <f t="shared" ref="TA1339:TA1346" si="2728">$H1339*SX1339</f>
        <v>12582720</v>
      </c>
      <c r="TB1339" s="97">
        <f t="shared" ref="TB1339:TB1346" si="2729">$I1339*SV1339</f>
        <v>479272.32</v>
      </c>
      <c r="TC1339" s="97">
        <f t="shared" ref="TC1339:TC1346" si="2730">$J1339*SW1339</f>
        <v>488649.6</v>
      </c>
      <c r="TD1339" s="97">
        <f t="shared" ref="TD1339:TD1346" si="2731">$K1339*SX1339</f>
        <v>495469.44</v>
      </c>
      <c r="TE1339" s="97">
        <f t="shared" ref="TE1339:TE1346" si="2732">$F1339*TE$1349</f>
        <v>63728.959999999999</v>
      </c>
      <c r="TF1339" s="97">
        <f t="shared" ref="TF1339:TF1346" si="2733">$G1339*TF$1349</f>
        <v>67840.740000000005</v>
      </c>
      <c r="TG1339" s="97">
        <f t="shared" ref="TG1339:TG1346" si="2734">$H1339*TG$1349</f>
        <v>71889.95</v>
      </c>
      <c r="TH1339" s="97">
        <f t="shared" ref="TH1339:TH1346" si="2735">$I1339*TH$1349</f>
        <v>6134.38</v>
      </c>
      <c r="TI1339" s="97">
        <f t="shared" ref="TI1339:TI1346" si="2736">$J1339*TI$1349</f>
        <v>6420.58</v>
      </c>
      <c r="TJ1339" s="97">
        <f t="shared" ref="TJ1339:TJ1346" si="2737">$K1339*TJ$1349</f>
        <v>6491.35</v>
      </c>
      <c r="TK1339" s="97">
        <f t="shared" ref="TK1339:TM1346" si="2738">SV1339*TE1339</f>
        <v>4588485.12</v>
      </c>
      <c r="TL1339" s="97">
        <f t="shared" si="2738"/>
        <v>4884533.28</v>
      </c>
      <c r="TM1339" s="97">
        <f t="shared" si="2738"/>
        <v>5176076.4000000004</v>
      </c>
      <c r="TN1339" s="97">
        <f t="shared" ref="TN1339:TP1346" si="2739">SV1339*TH1339</f>
        <v>441675.36</v>
      </c>
      <c r="TO1339" s="97">
        <f t="shared" si="2739"/>
        <v>462281.76</v>
      </c>
      <c r="TP1339" s="97">
        <f t="shared" si="2739"/>
        <v>467377.2</v>
      </c>
      <c r="TQ1339" s="102">
        <v>42</v>
      </c>
      <c r="TR1339" s="102">
        <v>42</v>
      </c>
      <c r="TS1339" s="102">
        <v>42</v>
      </c>
      <c r="TT1339" s="97">
        <f t="shared" ref="TT1339:TT1346" si="2740">$F1339*TQ1339</f>
        <v>6967926</v>
      </c>
      <c r="TU1339" s="97">
        <f t="shared" ref="TU1339:TU1346" si="2741">$G1339*TR1339</f>
        <v>7185696</v>
      </c>
      <c r="TV1339" s="97">
        <f t="shared" ref="TV1339:TV1346" si="2742">$H1339*TS1339</f>
        <v>7339920</v>
      </c>
      <c r="TW1339" s="97">
        <f t="shared" ref="TW1339:TW1346" si="2743">$I1339*TQ1339</f>
        <v>279575.52</v>
      </c>
      <c r="TX1339" s="97">
        <f t="shared" ref="TX1339:TX1346" si="2744">$J1339*TR1339</f>
        <v>285045.59999999998</v>
      </c>
      <c r="TY1339" s="97">
        <f t="shared" ref="TY1339:TY1346" si="2745">$K1339*TS1339</f>
        <v>289023.84000000003</v>
      </c>
      <c r="TZ1339" s="97">
        <f t="shared" ref="TZ1339:TZ1346" si="2746">$F1339*TZ$1349</f>
        <v>68270.55</v>
      </c>
      <c r="UA1339" s="97">
        <f t="shared" ref="UA1339:UA1346" si="2747">$G1339*UA$1349</f>
        <v>72622.42</v>
      </c>
      <c r="UB1339" s="97">
        <f t="shared" ref="UB1339:UB1346" si="2748">$H1339*UB$1349</f>
        <v>76961.919999999998</v>
      </c>
      <c r="UC1339" s="97">
        <f t="shared" ref="UC1339:UC1346" si="2749">$I1339*UC$1349</f>
        <v>5606.01</v>
      </c>
      <c r="UD1339" s="97">
        <f t="shared" ref="UD1339:UD1346" si="2750">$J1339*UD$1349</f>
        <v>6039.91</v>
      </c>
      <c r="UE1339" s="97">
        <f t="shared" ref="UE1339:UE1346" si="2751">$K1339*UE$1349</f>
        <v>6143.1</v>
      </c>
      <c r="UF1339" s="97">
        <f t="shared" ref="UF1339:UH1346" si="2752">TQ1339*TZ1339</f>
        <v>2867363.1</v>
      </c>
      <c r="UG1339" s="97">
        <f t="shared" si="2752"/>
        <v>3050141.64</v>
      </c>
      <c r="UH1339" s="97">
        <f t="shared" si="2752"/>
        <v>3232400.64</v>
      </c>
      <c r="UI1339" s="97">
        <f t="shared" ref="UI1339:UK1346" si="2753">TQ1339*UC1339</f>
        <v>235452.42</v>
      </c>
      <c r="UJ1339" s="97">
        <f t="shared" si="2753"/>
        <v>253676.22</v>
      </c>
      <c r="UK1339" s="97">
        <f t="shared" si="2753"/>
        <v>258010.2</v>
      </c>
      <c r="UL1339" s="102">
        <v>105</v>
      </c>
      <c r="UM1339" s="102">
        <v>105</v>
      </c>
      <c r="UN1339" s="102">
        <v>105</v>
      </c>
      <c r="UO1339" s="97">
        <f t="shared" ref="UO1339:UO1346" si="2754">$F1339*UL1339</f>
        <v>17419815</v>
      </c>
      <c r="UP1339" s="97">
        <f t="shared" ref="UP1339:UP1346" si="2755">$G1339*UM1339</f>
        <v>17964240</v>
      </c>
      <c r="UQ1339" s="97">
        <f t="shared" ref="UQ1339:UQ1346" si="2756">$H1339*UN1339</f>
        <v>18349800</v>
      </c>
      <c r="UR1339" s="97">
        <f t="shared" ref="UR1339:UR1346" si="2757">$I1339*UL1339</f>
        <v>698938.8</v>
      </c>
      <c r="US1339" s="97">
        <f t="shared" ref="US1339:US1346" si="2758">$J1339*UM1339</f>
        <v>712614</v>
      </c>
      <c r="UT1339" s="97">
        <f t="shared" ref="UT1339:UT1346" si="2759">$K1339*UN1339</f>
        <v>722559.6</v>
      </c>
      <c r="UU1339" s="97">
        <f t="shared" ref="UU1339:UU1346" si="2760">$F1339*UU$1349</f>
        <v>63157.36</v>
      </c>
      <c r="UV1339" s="97">
        <f t="shared" ref="UV1339:UV1346" si="2761">$G1339*UV$1349</f>
        <v>67297.240000000005</v>
      </c>
      <c r="UW1339" s="97">
        <f t="shared" ref="UW1339:UW1346" si="2762">$H1339*UW$1349</f>
        <v>71335.97</v>
      </c>
      <c r="UX1339" s="97">
        <f t="shared" ref="UX1339:UX1346" si="2763">$I1339*UX$1349</f>
        <v>4369.97</v>
      </c>
      <c r="UY1339" s="97">
        <f t="shared" ref="UY1339:UY1346" si="2764">$J1339*UY$1349</f>
        <v>4686.2299999999996</v>
      </c>
      <c r="UZ1339" s="97">
        <f t="shared" ref="UZ1339:UZ1346" si="2765">$K1339*UZ$1349</f>
        <v>4787.17</v>
      </c>
      <c r="VA1339" s="97">
        <f t="shared" ref="VA1339:VC1346" si="2766">UL1339*UU1339</f>
        <v>6631522.7999999998</v>
      </c>
      <c r="VB1339" s="97">
        <f t="shared" si="2766"/>
        <v>7066210.2000000002</v>
      </c>
      <c r="VC1339" s="97">
        <f t="shared" si="2766"/>
        <v>7490276.8499999996</v>
      </c>
      <c r="VD1339" s="97">
        <f t="shared" ref="VD1339:VF1346" si="2767">UL1339*UX1339</f>
        <v>458846.85</v>
      </c>
      <c r="VE1339" s="97">
        <f t="shared" si="2767"/>
        <v>492054.15</v>
      </c>
      <c r="VF1339" s="97">
        <f t="shared" si="2767"/>
        <v>502652.85</v>
      </c>
      <c r="VG1339" s="102">
        <v>45</v>
      </c>
      <c r="VH1339" s="102">
        <v>45</v>
      </c>
      <c r="VI1339" s="102">
        <v>45</v>
      </c>
      <c r="VJ1339" s="97">
        <f t="shared" ref="VJ1339:VJ1346" si="2768">$F1339*VG1339</f>
        <v>7465635</v>
      </c>
      <c r="VK1339" s="97">
        <f t="shared" ref="VK1339:VK1346" si="2769">$G1339*VH1339</f>
        <v>7698960</v>
      </c>
      <c r="VL1339" s="97">
        <f t="shared" ref="VL1339:VL1346" si="2770">$H1339*VI1339</f>
        <v>7864200</v>
      </c>
      <c r="VM1339" s="97">
        <f t="shared" ref="VM1339:VM1346" si="2771">$I1339*VG1339</f>
        <v>299545.2</v>
      </c>
      <c r="VN1339" s="97">
        <f t="shared" ref="VN1339:VN1346" si="2772">$J1339*VH1339</f>
        <v>305406</v>
      </c>
      <c r="VO1339" s="97">
        <f t="shared" ref="VO1339:VO1346" si="2773">$K1339*VI1339</f>
        <v>309668.40000000002</v>
      </c>
      <c r="VP1339" s="97">
        <f t="shared" ref="VP1339:VP1346" si="2774">$F1339*VP$1349</f>
        <v>64427.58</v>
      </c>
      <c r="VQ1339" s="97">
        <f t="shared" ref="VQ1339:VQ1346" si="2775">$G1339*VQ$1349</f>
        <v>68593.7</v>
      </c>
      <c r="VR1339" s="97">
        <f t="shared" ref="VR1339:VR1346" si="2776">$H1339*VR$1349</f>
        <v>72705.61</v>
      </c>
      <c r="VS1339" s="97">
        <f t="shared" ref="VS1339:VS1346" si="2777">$I1339*VS$1349</f>
        <v>4703.53</v>
      </c>
      <c r="VT1339" s="97">
        <f t="shared" ref="VT1339:VT1346" si="2778">$J1339*VT$1349</f>
        <v>4941.33</v>
      </c>
      <c r="VU1339" s="97">
        <f t="shared" ref="VU1339:VU1346" si="2779">$K1339*VU$1349</f>
        <v>5045.18</v>
      </c>
      <c r="VV1339" s="97">
        <f t="shared" ref="VV1339:VX1346" si="2780">VG1339*VP1339</f>
        <v>2899241.1</v>
      </c>
      <c r="VW1339" s="97">
        <f t="shared" si="2780"/>
        <v>3086716.5</v>
      </c>
      <c r="VX1339" s="97">
        <f t="shared" si="2780"/>
        <v>3271752.45</v>
      </c>
      <c r="VY1339" s="97">
        <f t="shared" ref="VY1339:WA1346" si="2781">VG1339*VS1339</f>
        <v>211658.85</v>
      </c>
      <c r="VZ1339" s="97">
        <f t="shared" si="2781"/>
        <v>222359.85</v>
      </c>
      <c r="WA1339" s="97">
        <f t="shared" si="2781"/>
        <v>227033.1</v>
      </c>
      <c r="WB1339" s="102">
        <v>120</v>
      </c>
      <c r="WC1339" s="102">
        <v>120</v>
      </c>
      <c r="WD1339" s="102">
        <v>120</v>
      </c>
      <c r="WE1339" s="97">
        <f t="shared" ref="WE1339:WE1346" si="2782">$F1339*WB1339</f>
        <v>19908360</v>
      </c>
      <c r="WF1339" s="97">
        <f t="shared" ref="WF1339:WF1346" si="2783">$G1339*WC1339</f>
        <v>20530560</v>
      </c>
      <c r="WG1339" s="97">
        <f t="shared" ref="WG1339:WG1346" si="2784">$H1339*WD1339</f>
        <v>20971200</v>
      </c>
      <c r="WH1339" s="97">
        <f t="shared" ref="WH1339:WH1346" si="2785">$I1339*WB1339</f>
        <v>798787.2</v>
      </c>
      <c r="WI1339" s="97">
        <f t="shared" ref="WI1339:WI1346" si="2786">$J1339*WC1339</f>
        <v>814416</v>
      </c>
      <c r="WJ1339" s="97">
        <f t="shared" ref="WJ1339:WJ1346" si="2787">$K1339*WD1339</f>
        <v>825782.4</v>
      </c>
      <c r="WK1339" s="97">
        <f t="shared" ref="WK1339:WK1346" si="2788">$F1339*WK$1349</f>
        <v>59521.54</v>
      </c>
      <c r="WL1339" s="97">
        <f t="shared" ref="WL1339:WL1346" si="2789">$G1339*WL$1349</f>
        <v>63441.47</v>
      </c>
      <c r="WM1339" s="97">
        <f t="shared" ref="WM1339:WM1346" si="2790">$H1339*WM$1349</f>
        <v>67245.56</v>
      </c>
      <c r="WN1339" s="97">
        <f t="shared" ref="WN1339:WN1346" si="2791">$I1339*WN$1349</f>
        <v>5051.1899999999996</v>
      </c>
      <c r="WO1339" s="97">
        <f t="shared" ref="WO1339:WO1346" si="2792">$J1339*WO$1349</f>
        <v>5436.32</v>
      </c>
      <c r="WP1339" s="97">
        <f t="shared" ref="WP1339:WP1346" si="2793">$K1339*WP$1349</f>
        <v>5555.58</v>
      </c>
      <c r="WQ1339" s="97">
        <f t="shared" ref="WQ1339:WS1346" si="2794">WB1339*WK1339</f>
        <v>7142584.7999999998</v>
      </c>
      <c r="WR1339" s="97">
        <f t="shared" si="2794"/>
        <v>7612976.4000000004</v>
      </c>
      <c r="WS1339" s="97">
        <f t="shared" si="2794"/>
        <v>8069467.2000000002</v>
      </c>
      <c r="WT1339" s="97">
        <f t="shared" ref="WT1339:WV1346" si="2795">WB1339*WN1339</f>
        <v>606142.80000000005</v>
      </c>
      <c r="WU1339" s="97">
        <f t="shared" si="2795"/>
        <v>652358.40000000002</v>
      </c>
      <c r="WV1339" s="97">
        <f t="shared" si="2795"/>
        <v>666669.6</v>
      </c>
      <c r="WW1339" s="102">
        <v>143</v>
      </c>
      <c r="WX1339" s="102">
        <v>143</v>
      </c>
      <c r="WY1339" s="102">
        <v>143</v>
      </c>
      <c r="WZ1339" s="97">
        <f t="shared" ref="WZ1339:WZ1346" si="2796">$F1339*WW1339</f>
        <v>23724129</v>
      </c>
      <c r="XA1339" s="97">
        <f t="shared" ref="XA1339:XA1346" si="2797">$G1339*WX1339</f>
        <v>24465584</v>
      </c>
      <c r="XB1339" s="97">
        <f t="shared" ref="XB1339:XB1346" si="2798">$H1339*WY1339</f>
        <v>24990680</v>
      </c>
      <c r="XC1339" s="97">
        <f t="shared" ref="XC1339:XC1346" si="2799">$I1339*WW1339</f>
        <v>951888.08</v>
      </c>
      <c r="XD1339" s="97">
        <f t="shared" ref="XD1339:XD1346" si="2800">$J1339*WX1339</f>
        <v>970512.4</v>
      </c>
      <c r="XE1339" s="97">
        <f t="shared" ref="XE1339:XE1346" si="2801">$K1339*WY1339</f>
        <v>984057.36</v>
      </c>
      <c r="XF1339" s="97">
        <f t="shared" ref="XF1339:XF1346" si="2802">$F1339*XF$1349</f>
        <v>58473.98</v>
      </c>
      <c r="XG1339" s="97">
        <f t="shared" ref="XG1339:XG1346" si="2803">$G1339*XG$1349</f>
        <v>62283.03</v>
      </c>
      <c r="XH1339" s="97">
        <f t="shared" ref="XH1339:XH1346" si="2804">$H1339*XH$1349</f>
        <v>66004.570000000007</v>
      </c>
      <c r="XI1339" s="97">
        <f t="shared" ref="XI1339:XI1346" si="2805">$I1339*XI$1349</f>
        <v>4068.45</v>
      </c>
      <c r="XJ1339" s="97">
        <f t="shared" ref="XJ1339:XJ1346" si="2806">$J1339*XJ$1349</f>
        <v>4394.57</v>
      </c>
      <c r="XK1339" s="97">
        <f t="shared" ref="XK1339:XK1346" si="2807">$K1339*XK$1349</f>
        <v>4475.04</v>
      </c>
      <c r="XL1339" s="97">
        <f t="shared" ref="XL1339:XN1346" si="2808">WW1339*XF1339</f>
        <v>8361779.1399999997</v>
      </c>
      <c r="XM1339" s="97">
        <f t="shared" si="2808"/>
        <v>8906473.2899999991</v>
      </c>
      <c r="XN1339" s="97">
        <f t="shared" si="2808"/>
        <v>9438653.5099999998</v>
      </c>
      <c r="XO1339" s="97">
        <f t="shared" ref="XO1339:XQ1346" si="2809">WW1339*XI1339</f>
        <v>581788.35</v>
      </c>
      <c r="XP1339" s="97">
        <f t="shared" si="2809"/>
        <v>628423.51</v>
      </c>
      <c r="XQ1339" s="97">
        <f t="shared" si="2809"/>
        <v>639930.72</v>
      </c>
      <c r="XR1339" s="102">
        <v>56</v>
      </c>
      <c r="XS1339" s="102">
        <v>56</v>
      </c>
      <c r="XT1339" s="102">
        <v>56</v>
      </c>
      <c r="XU1339" s="97">
        <f t="shared" ref="XU1339:XU1346" si="2810">$F1339*XR1339</f>
        <v>9290568</v>
      </c>
      <c r="XV1339" s="97">
        <f t="shared" ref="XV1339:XV1346" si="2811">$G1339*XS1339</f>
        <v>9580928</v>
      </c>
      <c r="XW1339" s="97">
        <f t="shared" ref="XW1339:XW1346" si="2812">$H1339*XT1339</f>
        <v>9786560</v>
      </c>
      <c r="XX1339" s="97">
        <f t="shared" ref="XX1339:XX1346" si="2813">$I1339*XR1339</f>
        <v>372767.36</v>
      </c>
      <c r="XY1339" s="97">
        <f t="shared" ref="XY1339:XY1346" si="2814">$J1339*XS1339</f>
        <v>380060.8</v>
      </c>
      <c r="XZ1339" s="97">
        <f t="shared" ref="XZ1339:XZ1346" si="2815">$K1339*XT1339</f>
        <v>385365.12</v>
      </c>
      <c r="YA1339" s="97">
        <f t="shared" ref="YA1339:YA1346" si="2816">$F1339*YA$1349</f>
        <v>61723.23</v>
      </c>
      <c r="YB1339" s="97">
        <f t="shared" ref="YB1339:YB1346" si="2817">$G1339*YB$1349</f>
        <v>65797.509999999995</v>
      </c>
      <c r="YC1339" s="97">
        <f t="shared" ref="YC1339:YC1346" si="2818">$H1339*YC$1349</f>
        <v>69760.800000000003</v>
      </c>
      <c r="YD1339" s="97">
        <f t="shared" ref="YD1339:YD1346" si="2819">$I1339*YD$1349</f>
        <v>17792.330000000002</v>
      </c>
      <c r="YE1339" s="97">
        <f t="shared" ref="YE1339:YE1346" si="2820">$J1339*YE$1349</f>
        <v>21476.42</v>
      </c>
      <c r="YF1339" s="97">
        <f t="shared" ref="YF1339:YF1346" si="2821">$K1339*YF$1349</f>
        <v>21920.75</v>
      </c>
      <c r="YG1339" s="97">
        <f t="shared" ref="YG1339:YI1346" si="2822">XR1339*YA1339</f>
        <v>3456500.88</v>
      </c>
      <c r="YH1339" s="97">
        <f t="shared" si="2822"/>
        <v>3684660.56</v>
      </c>
      <c r="YI1339" s="97">
        <f t="shared" si="2822"/>
        <v>3906604.8</v>
      </c>
      <c r="YJ1339" s="97">
        <f t="shared" ref="YJ1339:YL1346" si="2823">XR1339*YD1339</f>
        <v>996370.48</v>
      </c>
      <c r="YK1339" s="97">
        <f t="shared" si="2823"/>
        <v>1202679.52</v>
      </c>
      <c r="YL1339" s="97">
        <f t="shared" si="2823"/>
        <v>1227562</v>
      </c>
      <c r="YM1339" s="145">
        <f t="shared" ref="YM1339:YO1346" si="2824">L1339+AG1339+BB1339+BW1339+CR1339+DM1339+EH1339+FC1339+FX1339+GS1339+HN1339+II1339+JD1339+JY1339+KT1339+LO1339+MJ1339+NE1339+NZ1339+OU1339+PP1339+QK1339+RF1339+SA1339+SV1339+TQ1339+UL1339+VG1339+WB1339+WW1339+XR1339</f>
        <v>2229</v>
      </c>
      <c r="YN1339" s="145">
        <f t="shared" si="2824"/>
        <v>2229</v>
      </c>
      <c r="YO1339" s="145">
        <f t="shared" si="2824"/>
        <v>2229</v>
      </c>
      <c r="YP1339" s="97">
        <f t="shared" ref="YP1339:YP1346" si="2825">$F1339*YM1339</f>
        <v>369797787</v>
      </c>
      <c r="YQ1339" s="97">
        <f t="shared" ref="YQ1339:YQ1346" si="2826">$G1339*YN1339</f>
        <v>381355152</v>
      </c>
      <c r="YR1339" s="97">
        <f t="shared" ref="YR1339:YR1346" si="2827">$H1339*YO1339</f>
        <v>389540040</v>
      </c>
      <c r="YS1339" s="97">
        <f t="shared" ref="YS1339:YS1346" si="2828">$I1339*YM1339</f>
        <v>14837472.24</v>
      </c>
      <c r="YT1339" s="97">
        <f t="shared" ref="YT1339:YT1346" si="2829">$J1339*YN1339</f>
        <v>15127777.199999999</v>
      </c>
      <c r="YU1339" s="97">
        <f t="shared" ref="YU1339:YU1346" si="2830">$K1339*YO1339</f>
        <v>15338908.08</v>
      </c>
      <c r="YV1339" s="97">
        <f t="shared" ref="YV1339:YV1346" si="2831">$F1339*YV$1349</f>
        <v>65053.74</v>
      </c>
      <c r="YW1339" s="97">
        <f t="shared" ref="YW1339:YW1346" si="2832">$G1339*YW$1349</f>
        <v>69255.16</v>
      </c>
      <c r="YX1339" s="97">
        <f t="shared" ref="YX1339:YX1346" si="2833">$H1339*YX$1349</f>
        <v>73391.28</v>
      </c>
      <c r="YY1339" s="97">
        <f t="shared" ref="YY1339:YY1346" si="2834">$I1339*YY$1349</f>
        <v>5723.4</v>
      </c>
      <c r="YZ1339" s="97">
        <f t="shared" ref="YZ1339:YZ1346" si="2835">$J1339*YZ$1349</f>
        <v>6132.62</v>
      </c>
      <c r="ZA1339" s="97">
        <f t="shared" ref="ZA1339:ZA1346" si="2836">$K1339*ZA$1349</f>
        <v>6230.26</v>
      </c>
      <c r="ZB1339" s="97">
        <f t="shared" ref="ZB1339:ZD1346" si="2837">YM1339*YV1339</f>
        <v>145004786.46000001</v>
      </c>
      <c r="ZC1339" s="97">
        <f t="shared" si="2837"/>
        <v>154369751.63999999</v>
      </c>
      <c r="ZD1339" s="97">
        <f t="shared" si="2837"/>
        <v>163589163.12</v>
      </c>
      <c r="ZE1339" s="97">
        <f t="shared" ref="ZE1339:ZG1346" si="2838">YM1339*YY1339</f>
        <v>12757458.6</v>
      </c>
      <c r="ZF1339" s="97">
        <f t="shared" si="2838"/>
        <v>13669609.98</v>
      </c>
      <c r="ZG1339" s="97">
        <f t="shared" si="2838"/>
        <v>13887249.539999999</v>
      </c>
    </row>
    <row r="1340" spans="1:683" ht="72" hidden="1" x14ac:dyDescent="0.25">
      <c r="A1340" s="92" t="s">
        <v>610</v>
      </c>
      <c r="B1340" s="174"/>
      <c r="C1340" s="5"/>
      <c r="D1340" s="340"/>
      <c r="E1340" s="163"/>
      <c r="F1340" s="110">
        <f t="shared" si="2388"/>
        <v>10604</v>
      </c>
      <c r="G1340" s="110">
        <f t="shared" si="2388"/>
        <v>10604</v>
      </c>
      <c r="H1340" s="110">
        <f t="shared" si="2388"/>
        <v>10604</v>
      </c>
      <c r="I1340" s="97">
        <f t="shared" si="2389"/>
        <v>469</v>
      </c>
      <c r="J1340" s="97">
        <f t="shared" si="2389"/>
        <v>469</v>
      </c>
      <c r="K1340" s="97">
        <f t="shared" si="2389"/>
        <v>469</v>
      </c>
      <c r="L1340" s="102"/>
      <c r="M1340" s="102"/>
      <c r="N1340" s="102"/>
      <c r="O1340" s="97">
        <f t="shared" si="2390"/>
        <v>0</v>
      </c>
      <c r="P1340" s="97">
        <f t="shared" si="2391"/>
        <v>0</v>
      </c>
      <c r="Q1340" s="97">
        <f t="shared" si="2392"/>
        <v>0</v>
      </c>
      <c r="R1340" s="97">
        <f t="shared" si="2393"/>
        <v>0</v>
      </c>
      <c r="S1340" s="97">
        <f t="shared" si="2394"/>
        <v>0</v>
      </c>
      <c r="T1340" s="97">
        <f t="shared" si="2395"/>
        <v>0</v>
      </c>
      <c r="U1340" s="97">
        <f t="shared" si="2396"/>
        <v>4575.68</v>
      </c>
      <c r="V1340" s="97">
        <f t="shared" si="2397"/>
        <v>4724.88</v>
      </c>
      <c r="W1340" s="97">
        <f t="shared" si="2398"/>
        <v>4903.1400000000003</v>
      </c>
      <c r="X1340" s="97">
        <f t="shared" si="2399"/>
        <v>367.76</v>
      </c>
      <c r="Y1340" s="97">
        <f t="shared" si="2400"/>
        <v>371.55</v>
      </c>
      <c r="Z1340" s="97">
        <f t="shared" si="2401"/>
        <v>370.5</v>
      </c>
      <c r="AA1340" s="97">
        <f t="shared" si="2402"/>
        <v>0</v>
      </c>
      <c r="AB1340" s="97">
        <f t="shared" si="2402"/>
        <v>0</v>
      </c>
      <c r="AC1340" s="97">
        <f t="shared" si="2402"/>
        <v>0</v>
      </c>
      <c r="AD1340" s="97">
        <f t="shared" si="2403"/>
        <v>0</v>
      </c>
      <c r="AE1340" s="97">
        <f t="shared" si="2403"/>
        <v>0</v>
      </c>
      <c r="AF1340" s="97">
        <f t="shared" si="2403"/>
        <v>0</v>
      </c>
      <c r="AG1340" s="102"/>
      <c r="AH1340" s="102"/>
      <c r="AI1340" s="102"/>
      <c r="AJ1340" s="97">
        <f t="shared" si="2404"/>
        <v>0</v>
      </c>
      <c r="AK1340" s="97">
        <f t="shared" si="2405"/>
        <v>0</v>
      </c>
      <c r="AL1340" s="97">
        <f t="shared" si="2406"/>
        <v>0</v>
      </c>
      <c r="AM1340" s="97">
        <f t="shared" si="2407"/>
        <v>0</v>
      </c>
      <c r="AN1340" s="97">
        <f t="shared" si="2408"/>
        <v>0</v>
      </c>
      <c r="AO1340" s="97">
        <f t="shared" si="2409"/>
        <v>0</v>
      </c>
      <c r="AP1340" s="97">
        <f t="shared" si="2410"/>
        <v>4209.42</v>
      </c>
      <c r="AQ1340" s="97">
        <f t="shared" si="2411"/>
        <v>4345.97</v>
      </c>
      <c r="AR1340" s="97">
        <f t="shared" si="2412"/>
        <v>4509.22</v>
      </c>
      <c r="AS1340" s="97">
        <f t="shared" si="2413"/>
        <v>293.25</v>
      </c>
      <c r="AT1340" s="97">
        <f t="shared" si="2414"/>
        <v>300.76</v>
      </c>
      <c r="AU1340" s="97">
        <f t="shared" si="2415"/>
        <v>302.26</v>
      </c>
      <c r="AV1340" s="97">
        <f t="shared" si="2416"/>
        <v>0</v>
      </c>
      <c r="AW1340" s="97">
        <f t="shared" si="2416"/>
        <v>0</v>
      </c>
      <c r="AX1340" s="97">
        <f t="shared" si="2416"/>
        <v>0</v>
      </c>
      <c r="AY1340" s="97">
        <f t="shared" si="2417"/>
        <v>0</v>
      </c>
      <c r="AZ1340" s="97">
        <f t="shared" si="2417"/>
        <v>0</v>
      </c>
      <c r="BA1340" s="97">
        <f t="shared" si="2417"/>
        <v>0</v>
      </c>
      <c r="BB1340" s="102"/>
      <c r="BC1340" s="102"/>
      <c r="BD1340" s="102"/>
      <c r="BE1340" s="97">
        <f t="shared" si="2418"/>
        <v>0</v>
      </c>
      <c r="BF1340" s="97">
        <f t="shared" si="2419"/>
        <v>0</v>
      </c>
      <c r="BG1340" s="97">
        <f t="shared" si="2420"/>
        <v>0</v>
      </c>
      <c r="BH1340" s="97">
        <f t="shared" si="2421"/>
        <v>0</v>
      </c>
      <c r="BI1340" s="97">
        <f t="shared" si="2422"/>
        <v>0</v>
      </c>
      <c r="BJ1340" s="97">
        <f t="shared" si="2423"/>
        <v>0</v>
      </c>
      <c r="BK1340" s="97">
        <f t="shared" si="2424"/>
        <v>3970.86</v>
      </c>
      <c r="BL1340" s="97">
        <f t="shared" si="2425"/>
        <v>4091.53</v>
      </c>
      <c r="BM1340" s="97">
        <f t="shared" si="2426"/>
        <v>4240.6099999999997</v>
      </c>
      <c r="BN1340" s="97">
        <f t="shared" si="2427"/>
        <v>313.25</v>
      </c>
      <c r="BO1340" s="97">
        <f t="shared" si="2428"/>
        <v>321.27999999999997</v>
      </c>
      <c r="BP1340" s="97">
        <f t="shared" si="2429"/>
        <v>322.29000000000002</v>
      </c>
      <c r="BQ1340" s="97">
        <f t="shared" si="2430"/>
        <v>0</v>
      </c>
      <c r="BR1340" s="97">
        <f t="shared" si="2430"/>
        <v>0</v>
      </c>
      <c r="BS1340" s="97">
        <f t="shared" si="2430"/>
        <v>0</v>
      </c>
      <c r="BT1340" s="97">
        <f t="shared" si="2431"/>
        <v>0</v>
      </c>
      <c r="BU1340" s="97">
        <f t="shared" si="2431"/>
        <v>0</v>
      </c>
      <c r="BV1340" s="97">
        <f t="shared" si="2431"/>
        <v>0</v>
      </c>
      <c r="BW1340" s="102"/>
      <c r="BX1340" s="102"/>
      <c r="BY1340" s="102"/>
      <c r="BZ1340" s="97">
        <f t="shared" si="2432"/>
        <v>0</v>
      </c>
      <c r="CA1340" s="97">
        <f t="shared" si="2433"/>
        <v>0</v>
      </c>
      <c r="CB1340" s="97">
        <f t="shared" si="2434"/>
        <v>0</v>
      </c>
      <c r="CC1340" s="97">
        <f t="shared" si="2435"/>
        <v>0</v>
      </c>
      <c r="CD1340" s="97">
        <f t="shared" si="2436"/>
        <v>0</v>
      </c>
      <c r="CE1340" s="97">
        <f t="shared" si="2437"/>
        <v>0</v>
      </c>
      <c r="CF1340" s="97">
        <f t="shared" si="2438"/>
        <v>4100.82</v>
      </c>
      <c r="CG1340" s="97">
        <f t="shared" si="2439"/>
        <v>4237.03</v>
      </c>
      <c r="CH1340" s="97">
        <f t="shared" si="2440"/>
        <v>4396.46</v>
      </c>
      <c r="CI1340" s="97">
        <f t="shared" si="2441"/>
        <v>482.92</v>
      </c>
      <c r="CJ1340" s="97">
        <f t="shared" si="2442"/>
        <v>485.42</v>
      </c>
      <c r="CK1340" s="97">
        <f t="shared" si="2443"/>
        <v>483.08</v>
      </c>
      <c r="CL1340" s="97">
        <f t="shared" si="2444"/>
        <v>0</v>
      </c>
      <c r="CM1340" s="97">
        <f t="shared" si="2444"/>
        <v>0</v>
      </c>
      <c r="CN1340" s="97">
        <f t="shared" si="2444"/>
        <v>0</v>
      </c>
      <c r="CO1340" s="97">
        <f t="shared" si="2445"/>
        <v>0</v>
      </c>
      <c r="CP1340" s="97">
        <f t="shared" si="2445"/>
        <v>0</v>
      </c>
      <c r="CQ1340" s="97">
        <f t="shared" si="2445"/>
        <v>0</v>
      </c>
      <c r="CR1340" s="102"/>
      <c r="CS1340" s="102"/>
      <c r="CT1340" s="102"/>
      <c r="CU1340" s="97">
        <f t="shared" si="2446"/>
        <v>0</v>
      </c>
      <c r="CV1340" s="97">
        <f t="shared" si="2447"/>
        <v>0</v>
      </c>
      <c r="CW1340" s="97">
        <f t="shared" si="2448"/>
        <v>0</v>
      </c>
      <c r="CX1340" s="97">
        <f t="shared" si="2449"/>
        <v>0</v>
      </c>
      <c r="CY1340" s="97">
        <f t="shared" si="2450"/>
        <v>0</v>
      </c>
      <c r="CZ1340" s="97">
        <f t="shared" si="2451"/>
        <v>0</v>
      </c>
      <c r="DA1340" s="97">
        <f t="shared" si="2452"/>
        <v>4132.3999999999996</v>
      </c>
      <c r="DB1340" s="97">
        <f t="shared" si="2453"/>
        <v>4265.99</v>
      </c>
      <c r="DC1340" s="97">
        <f t="shared" si="2454"/>
        <v>4426.25</v>
      </c>
      <c r="DD1340" s="97">
        <f t="shared" si="2455"/>
        <v>233.8</v>
      </c>
      <c r="DE1340" s="97">
        <f t="shared" si="2456"/>
        <v>236.16</v>
      </c>
      <c r="DF1340" s="97">
        <f t="shared" si="2457"/>
        <v>235.75</v>
      </c>
      <c r="DG1340" s="97">
        <f t="shared" si="2458"/>
        <v>0</v>
      </c>
      <c r="DH1340" s="97">
        <f t="shared" si="2458"/>
        <v>0</v>
      </c>
      <c r="DI1340" s="97">
        <f t="shared" si="2458"/>
        <v>0</v>
      </c>
      <c r="DJ1340" s="97">
        <f t="shared" si="2459"/>
        <v>0</v>
      </c>
      <c r="DK1340" s="97">
        <f t="shared" si="2459"/>
        <v>0</v>
      </c>
      <c r="DL1340" s="97">
        <f t="shared" si="2459"/>
        <v>0</v>
      </c>
      <c r="DM1340" s="102"/>
      <c r="DN1340" s="102"/>
      <c r="DO1340" s="102"/>
      <c r="DP1340" s="97">
        <f t="shared" si="2460"/>
        <v>0</v>
      </c>
      <c r="DQ1340" s="97">
        <f t="shared" si="2461"/>
        <v>0</v>
      </c>
      <c r="DR1340" s="97">
        <f t="shared" si="2462"/>
        <v>0</v>
      </c>
      <c r="DS1340" s="97">
        <f t="shared" si="2463"/>
        <v>0</v>
      </c>
      <c r="DT1340" s="97">
        <f t="shared" si="2464"/>
        <v>0</v>
      </c>
      <c r="DU1340" s="97">
        <f t="shared" si="2465"/>
        <v>0</v>
      </c>
      <c r="DV1340" s="97">
        <f t="shared" si="2466"/>
        <v>4487.0600000000004</v>
      </c>
      <c r="DW1340" s="97">
        <f t="shared" si="2467"/>
        <v>4639.32</v>
      </c>
      <c r="DX1340" s="97">
        <f t="shared" si="2468"/>
        <v>4815.92</v>
      </c>
      <c r="DY1340" s="97">
        <f t="shared" si="2469"/>
        <v>489.7</v>
      </c>
      <c r="DZ1340" s="97">
        <f t="shared" si="2470"/>
        <v>475.73</v>
      </c>
      <c r="EA1340" s="97">
        <f t="shared" si="2471"/>
        <v>474.43</v>
      </c>
      <c r="EB1340" s="97">
        <f t="shared" si="2472"/>
        <v>0</v>
      </c>
      <c r="EC1340" s="97">
        <f t="shared" si="2472"/>
        <v>0</v>
      </c>
      <c r="ED1340" s="97">
        <f t="shared" si="2472"/>
        <v>0</v>
      </c>
      <c r="EE1340" s="97">
        <f t="shared" si="2473"/>
        <v>0</v>
      </c>
      <c r="EF1340" s="97">
        <f t="shared" si="2473"/>
        <v>0</v>
      </c>
      <c r="EG1340" s="97">
        <f t="shared" si="2473"/>
        <v>0</v>
      </c>
      <c r="EH1340" s="102"/>
      <c r="EI1340" s="102"/>
      <c r="EJ1340" s="102"/>
      <c r="EK1340" s="97">
        <f t="shared" si="2474"/>
        <v>0</v>
      </c>
      <c r="EL1340" s="97">
        <f t="shared" si="2475"/>
        <v>0</v>
      </c>
      <c r="EM1340" s="97">
        <f t="shared" si="2476"/>
        <v>0</v>
      </c>
      <c r="EN1340" s="97">
        <f t="shared" si="2477"/>
        <v>0</v>
      </c>
      <c r="EO1340" s="97">
        <f t="shared" si="2478"/>
        <v>0</v>
      </c>
      <c r="EP1340" s="97">
        <f t="shared" si="2479"/>
        <v>0</v>
      </c>
      <c r="EQ1340" s="97">
        <f t="shared" si="2480"/>
        <v>4435.29</v>
      </c>
      <c r="ER1340" s="97">
        <f t="shared" si="2481"/>
        <v>4571.63</v>
      </c>
      <c r="ES1340" s="97">
        <f t="shared" si="2482"/>
        <v>4741.16</v>
      </c>
      <c r="ET1340" s="97">
        <f t="shared" si="2483"/>
        <v>411.13</v>
      </c>
      <c r="EU1340" s="97">
        <f t="shared" si="2484"/>
        <v>420.97</v>
      </c>
      <c r="EV1340" s="97">
        <f t="shared" si="2485"/>
        <v>422.73</v>
      </c>
      <c r="EW1340" s="97">
        <f t="shared" si="2486"/>
        <v>0</v>
      </c>
      <c r="EX1340" s="97">
        <f t="shared" si="2486"/>
        <v>0</v>
      </c>
      <c r="EY1340" s="97">
        <f t="shared" si="2486"/>
        <v>0</v>
      </c>
      <c r="EZ1340" s="97">
        <f t="shared" si="2487"/>
        <v>0</v>
      </c>
      <c r="FA1340" s="97">
        <f t="shared" si="2487"/>
        <v>0</v>
      </c>
      <c r="FB1340" s="97">
        <f t="shared" si="2487"/>
        <v>0</v>
      </c>
      <c r="FC1340" s="102"/>
      <c r="FD1340" s="102"/>
      <c r="FE1340" s="102"/>
      <c r="FF1340" s="97">
        <f t="shared" si="2488"/>
        <v>0</v>
      </c>
      <c r="FG1340" s="97">
        <f t="shared" si="2489"/>
        <v>0</v>
      </c>
      <c r="FH1340" s="97">
        <f t="shared" si="2490"/>
        <v>0</v>
      </c>
      <c r="FI1340" s="97">
        <f t="shared" si="2491"/>
        <v>0</v>
      </c>
      <c r="FJ1340" s="97">
        <f t="shared" si="2492"/>
        <v>0</v>
      </c>
      <c r="FK1340" s="97">
        <f t="shared" si="2493"/>
        <v>0</v>
      </c>
      <c r="FL1340" s="97">
        <f t="shared" si="2494"/>
        <v>4309.09</v>
      </c>
      <c r="FM1340" s="97">
        <f t="shared" si="2495"/>
        <v>4450.54</v>
      </c>
      <c r="FN1340" s="97">
        <f t="shared" si="2496"/>
        <v>4618.32</v>
      </c>
      <c r="FO1340" s="97">
        <f t="shared" si="2497"/>
        <v>442.18</v>
      </c>
      <c r="FP1340" s="97">
        <f t="shared" si="2498"/>
        <v>455.59</v>
      </c>
      <c r="FQ1340" s="97">
        <f t="shared" si="2499"/>
        <v>447.06</v>
      </c>
      <c r="FR1340" s="97">
        <f t="shared" si="2500"/>
        <v>0</v>
      </c>
      <c r="FS1340" s="97">
        <f t="shared" si="2500"/>
        <v>0</v>
      </c>
      <c r="FT1340" s="97">
        <f t="shared" si="2500"/>
        <v>0</v>
      </c>
      <c r="FU1340" s="97">
        <f t="shared" si="2501"/>
        <v>0</v>
      </c>
      <c r="FV1340" s="97">
        <f t="shared" si="2501"/>
        <v>0</v>
      </c>
      <c r="FW1340" s="97">
        <f t="shared" si="2501"/>
        <v>0</v>
      </c>
      <c r="FX1340" s="102"/>
      <c r="FY1340" s="102"/>
      <c r="FZ1340" s="102"/>
      <c r="GA1340" s="97">
        <f t="shared" si="2502"/>
        <v>0</v>
      </c>
      <c r="GB1340" s="97">
        <f t="shared" si="2503"/>
        <v>0</v>
      </c>
      <c r="GC1340" s="97">
        <f t="shared" si="2504"/>
        <v>0</v>
      </c>
      <c r="GD1340" s="97">
        <f t="shared" si="2505"/>
        <v>0</v>
      </c>
      <c r="GE1340" s="97">
        <f t="shared" si="2506"/>
        <v>0</v>
      </c>
      <c r="GF1340" s="97">
        <f t="shared" si="2507"/>
        <v>0</v>
      </c>
      <c r="GG1340" s="97">
        <f t="shared" si="2508"/>
        <v>4302.32</v>
      </c>
      <c r="GH1340" s="97">
        <f t="shared" si="2509"/>
        <v>4438.7</v>
      </c>
      <c r="GI1340" s="97">
        <f t="shared" si="2510"/>
        <v>4603.7299999999996</v>
      </c>
      <c r="GJ1340" s="97">
        <f t="shared" si="2511"/>
        <v>331.56</v>
      </c>
      <c r="GK1340" s="97">
        <f t="shared" si="2512"/>
        <v>368.2</v>
      </c>
      <c r="GL1340" s="97">
        <f t="shared" si="2513"/>
        <v>391.36</v>
      </c>
      <c r="GM1340" s="97">
        <f t="shared" si="2514"/>
        <v>0</v>
      </c>
      <c r="GN1340" s="97">
        <f t="shared" si="2514"/>
        <v>0</v>
      </c>
      <c r="GO1340" s="97">
        <f t="shared" si="2514"/>
        <v>0</v>
      </c>
      <c r="GP1340" s="97">
        <f t="shared" si="2515"/>
        <v>0</v>
      </c>
      <c r="GQ1340" s="97">
        <f t="shared" si="2515"/>
        <v>0</v>
      </c>
      <c r="GR1340" s="97">
        <f t="shared" si="2515"/>
        <v>0</v>
      </c>
      <c r="GS1340" s="102"/>
      <c r="GT1340" s="102"/>
      <c r="GU1340" s="102"/>
      <c r="GV1340" s="97">
        <f t="shared" si="2516"/>
        <v>0</v>
      </c>
      <c r="GW1340" s="97">
        <f t="shared" si="2517"/>
        <v>0</v>
      </c>
      <c r="GX1340" s="97">
        <f t="shared" si="2518"/>
        <v>0</v>
      </c>
      <c r="GY1340" s="97">
        <f t="shared" si="2519"/>
        <v>0</v>
      </c>
      <c r="GZ1340" s="97">
        <f t="shared" si="2520"/>
        <v>0</v>
      </c>
      <c r="HA1340" s="97">
        <f t="shared" si="2521"/>
        <v>0</v>
      </c>
      <c r="HB1340" s="97">
        <f t="shared" si="2522"/>
        <v>4494.3599999999997</v>
      </c>
      <c r="HC1340" s="97">
        <f t="shared" si="2523"/>
        <v>4634.96</v>
      </c>
      <c r="HD1340" s="97">
        <f t="shared" si="2524"/>
        <v>4807.1499999999996</v>
      </c>
      <c r="HE1340" s="97">
        <f t="shared" si="2525"/>
        <v>385.77</v>
      </c>
      <c r="HF1340" s="97">
        <f t="shared" si="2526"/>
        <v>393.83</v>
      </c>
      <c r="HG1340" s="97">
        <f t="shared" si="2527"/>
        <v>394.53</v>
      </c>
      <c r="HH1340" s="97">
        <f t="shared" si="2528"/>
        <v>0</v>
      </c>
      <c r="HI1340" s="97">
        <f t="shared" si="2528"/>
        <v>0</v>
      </c>
      <c r="HJ1340" s="97">
        <f t="shared" si="2528"/>
        <v>0</v>
      </c>
      <c r="HK1340" s="97">
        <f t="shared" si="2529"/>
        <v>0</v>
      </c>
      <c r="HL1340" s="97">
        <f t="shared" si="2529"/>
        <v>0</v>
      </c>
      <c r="HM1340" s="97">
        <f t="shared" si="2529"/>
        <v>0</v>
      </c>
      <c r="HN1340" s="102"/>
      <c r="HO1340" s="102"/>
      <c r="HP1340" s="102"/>
      <c r="HQ1340" s="97">
        <f t="shared" si="2530"/>
        <v>0</v>
      </c>
      <c r="HR1340" s="97">
        <f t="shared" si="2531"/>
        <v>0</v>
      </c>
      <c r="HS1340" s="97">
        <f t="shared" si="2532"/>
        <v>0</v>
      </c>
      <c r="HT1340" s="97">
        <f t="shared" si="2533"/>
        <v>0</v>
      </c>
      <c r="HU1340" s="97">
        <f t="shared" si="2534"/>
        <v>0</v>
      </c>
      <c r="HV1340" s="97">
        <f t="shared" si="2535"/>
        <v>0</v>
      </c>
      <c r="HW1340" s="97">
        <f t="shared" si="2536"/>
        <v>4423.08</v>
      </c>
      <c r="HX1340" s="97">
        <f t="shared" si="2537"/>
        <v>4568.1899999999996</v>
      </c>
      <c r="HY1340" s="97">
        <f t="shared" si="2538"/>
        <v>4738.76</v>
      </c>
      <c r="HZ1340" s="97">
        <f t="shared" si="2539"/>
        <v>368</v>
      </c>
      <c r="IA1340" s="97">
        <f t="shared" si="2540"/>
        <v>375.46</v>
      </c>
      <c r="IB1340" s="97">
        <f t="shared" si="2541"/>
        <v>369.69</v>
      </c>
      <c r="IC1340" s="97">
        <f t="shared" si="2542"/>
        <v>0</v>
      </c>
      <c r="ID1340" s="97">
        <f t="shared" si="2542"/>
        <v>0</v>
      </c>
      <c r="IE1340" s="97">
        <f t="shared" si="2542"/>
        <v>0</v>
      </c>
      <c r="IF1340" s="97">
        <f t="shared" si="2543"/>
        <v>0</v>
      </c>
      <c r="IG1340" s="97">
        <f t="shared" si="2543"/>
        <v>0</v>
      </c>
      <c r="IH1340" s="97">
        <f t="shared" si="2543"/>
        <v>0</v>
      </c>
      <c r="II1340" s="102"/>
      <c r="IJ1340" s="102"/>
      <c r="IK1340" s="102"/>
      <c r="IL1340" s="97">
        <f t="shared" si="2544"/>
        <v>0</v>
      </c>
      <c r="IM1340" s="97">
        <f t="shared" si="2545"/>
        <v>0</v>
      </c>
      <c r="IN1340" s="97">
        <f t="shared" si="2546"/>
        <v>0</v>
      </c>
      <c r="IO1340" s="97">
        <f t="shared" si="2547"/>
        <v>0</v>
      </c>
      <c r="IP1340" s="97">
        <f t="shared" si="2548"/>
        <v>0</v>
      </c>
      <c r="IQ1340" s="97">
        <f t="shared" si="2549"/>
        <v>0</v>
      </c>
      <c r="IR1340" s="97">
        <f t="shared" si="2550"/>
        <v>6008.45</v>
      </c>
      <c r="IS1340" s="97">
        <f t="shared" si="2551"/>
        <v>6189.48</v>
      </c>
      <c r="IT1340" s="97">
        <f t="shared" si="2552"/>
        <v>6418.25</v>
      </c>
      <c r="IU1340" s="97">
        <f t="shared" si="2553"/>
        <v>556.34</v>
      </c>
      <c r="IV1340" s="97">
        <f t="shared" si="2554"/>
        <v>567.59</v>
      </c>
      <c r="IW1340" s="97">
        <f t="shared" si="2555"/>
        <v>554.94000000000005</v>
      </c>
      <c r="IX1340" s="97">
        <f t="shared" si="2556"/>
        <v>0</v>
      </c>
      <c r="IY1340" s="97">
        <f t="shared" si="2556"/>
        <v>0</v>
      </c>
      <c r="IZ1340" s="97">
        <f t="shared" si="2556"/>
        <v>0</v>
      </c>
      <c r="JA1340" s="97">
        <f t="shared" si="2557"/>
        <v>0</v>
      </c>
      <c r="JB1340" s="97">
        <f t="shared" si="2557"/>
        <v>0</v>
      </c>
      <c r="JC1340" s="97">
        <f t="shared" si="2557"/>
        <v>0</v>
      </c>
      <c r="JD1340" s="102"/>
      <c r="JE1340" s="102"/>
      <c r="JF1340" s="102"/>
      <c r="JG1340" s="97">
        <f t="shared" si="2558"/>
        <v>0</v>
      </c>
      <c r="JH1340" s="97">
        <f t="shared" si="2559"/>
        <v>0</v>
      </c>
      <c r="JI1340" s="97">
        <f t="shared" si="2560"/>
        <v>0</v>
      </c>
      <c r="JJ1340" s="97">
        <f t="shared" si="2561"/>
        <v>0</v>
      </c>
      <c r="JK1340" s="97">
        <f t="shared" si="2562"/>
        <v>0</v>
      </c>
      <c r="JL1340" s="97">
        <f t="shared" si="2563"/>
        <v>0</v>
      </c>
      <c r="JM1340" s="97">
        <f t="shared" si="2564"/>
        <v>4027.71</v>
      </c>
      <c r="JN1340" s="97">
        <f t="shared" si="2565"/>
        <v>4157.3500000000004</v>
      </c>
      <c r="JO1340" s="97">
        <f t="shared" si="2566"/>
        <v>4313.3100000000004</v>
      </c>
      <c r="JP1340" s="97">
        <f t="shared" si="2567"/>
        <v>303.32</v>
      </c>
      <c r="JQ1340" s="97">
        <f t="shared" si="2568"/>
        <v>315.10000000000002</v>
      </c>
      <c r="JR1340" s="97">
        <f t="shared" si="2569"/>
        <v>315.85000000000002</v>
      </c>
      <c r="JS1340" s="97">
        <f t="shared" si="2570"/>
        <v>0</v>
      </c>
      <c r="JT1340" s="97">
        <f t="shared" si="2570"/>
        <v>0</v>
      </c>
      <c r="JU1340" s="97">
        <f t="shared" si="2570"/>
        <v>0</v>
      </c>
      <c r="JV1340" s="97">
        <f t="shared" si="2571"/>
        <v>0</v>
      </c>
      <c r="JW1340" s="97">
        <f t="shared" si="2571"/>
        <v>0</v>
      </c>
      <c r="JX1340" s="97">
        <f t="shared" si="2571"/>
        <v>0</v>
      </c>
      <c r="JY1340" s="102"/>
      <c r="JZ1340" s="102"/>
      <c r="KA1340" s="102"/>
      <c r="KB1340" s="97">
        <f t="shared" si="2572"/>
        <v>0</v>
      </c>
      <c r="KC1340" s="97">
        <f t="shared" si="2573"/>
        <v>0</v>
      </c>
      <c r="KD1340" s="97">
        <f t="shared" si="2574"/>
        <v>0</v>
      </c>
      <c r="KE1340" s="97">
        <f t="shared" si="2575"/>
        <v>0</v>
      </c>
      <c r="KF1340" s="97">
        <f t="shared" si="2576"/>
        <v>0</v>
      </c>
      <c r="KG1340" s="97">
        <f t="shared" si="2577"/>
        <v>0</v>
      </c>
      <c r="KH1340" s="97">
        <f t="shared" si="2578"/>
        <v>4140.91</v>
      </c>
      <c r="KI1340" s="97">
        <f t="shared" si="2579"/>
        <v>4270.58</v>
      </c>
      <c r="KJ1340" s="97">
        <f t="shared" si="2580"/>
        <v>4429.79</v>
      </c>
      <c r="KK1340" s="97">
        <f t="shared" si="2581"/>
        <v>284.33999999999997</v>
      </c>
      <c r="KL1340" s="97">
        <f t="shared" si="2582"/>
        <v>292.02999999999997</v>
      </c>
      <c r="KM1340" s="97">
        <f t="shared" si="2583"/>
        <v>290.64999999999998</v>
      </c>
      <c r="KN1340" s="97">
        <f t="shared" si="2584"/>
        <v>0</v>
      </c>
      <c r="KO1340" s="97">
        <f t="shared" si="2584"/>
        <v>0</v>
      </c>
      <c r="KP1340" s="97">
        <f t="shared" si="2584"/>
        <v>0</v>
      </c>
      <c r="KQ1340" s="97">
        <f t="shared" si="2585"/>
        <v>0</v>
      </c>
      <c r="KR1340" s="97">
        <f t="shared" si="2585"/>
        <v>0</v>
      </c>
      <c r="KS1340" s="97">
        <f t="shared" si="2585"/>
        <v>0</v>
      </c>
      <c r="KT1340" s="102"/>
      <c r="KU1340" s="102"/>
      <c r="KV1340" s="102"/>
      <c r="KW1340" s="97">
        <f t="shared" si="2586"/>
        <v>0</v>
      </c>
      <c r="KX1340" s="97">
        <f t="shared" si="2587"/>
        <v>0</v>
      </c>
      <c r="KY1340" s="97">
        <f t="shared" si="2588"/>
        <v>0</v>
      </c>
      <c r="KZ1340" s="97">
        <f t="shared" si="2589"/>
        <v>0</v>
      </c>
      <c r="LA1340" s="97">
        <f t="shared" si="2590"/>
        <v>0</v>
      </c>
      <c r="LB1340" s="97">
        <f t="shared" si="2591"/>
        <v>0</v>
      </c>
      <c r="LC1340" s="97">
        <f t="shared" si="2592"/>
        <v>3908.64</v>
      </c>
      <c r="LD1340" s="97">
        <f t="shared" si="2593"/>
        <v>4036.42</v>
      </c>
      <c r="LE1340" s="97">
        <f t="shared" si="2594"/>
        <v>4188.12</v>
      </c>
      <c r="LF1340" s="97">
        <f t="shared" si="2595"/>
        <v>391.89</v>
      </c>
      <c r="LG1340" s="97">
        <f t="shared" si="2596"/>
        <v>408.01</v>
      </c>
      <c r="LH1340" s="97">
        <f t="shared" si="2597"/>
        <v>410.15</v>
      </c>
      <c r="LI1340" s="97">
        <f t="shared" si="2598"/>
        <v>0</v>
      </c>
      <c r="LJ1340" s="97">
        <f t="shared" si="2598"/>
        <v>0</v>
      </c>
      <c r="LK1340" s="97">
        <f t="shared" si="2598"/>
        <v>0</v>
      </c>
      <c r="LL1340" s="97">
        <f t="shared" si="2599"/>
        <v>0</v>
      </c>
      <c r="LM1340" s="97">
        <f t="shared" si="2599"/>
        <v>0</v>
      </c>
      <c r="LN1340" s="97">
        <f t="shared" si="2599"/>
        <v>0</v>
      </c>
      <c r="LO1340" s="102"/>
      <c r="LP1340" s="102"/>
      <c r="LQ1340" s="102"/>
      <c r="LR1340" s="97">
        <f t="shared" si="2600"/>
        <v>0</v>
      </c>
      <c r="LS1340" s="97">
        <f t="shared" si="2601"/>
        <v>0</v>
      </c>
      <c r="LT1340" s="97">
        <f t="shared" si="2602"/>
        <v>0</v>
      </c>
      <c r="LU1340" s="97">
        <f t="shared" si="2603"/>
        <v>0</v>
      </c>
      <c r="LV1340" s="97">
        <f t="shared" si="2604"/>
        <v>0</v>
      </c>
      <c r="LW1340" s="97">
        <f t="shared" si="2605"/>
        <v>0</v>
      </c>
      <c r="LX1340" s="97">
        <f t="shared" si="2606"/>
        <v>3414.37</v>
      </c>
      <c r="LY1340" s="97">
        <f t="shared" si="2607"/>
        <v>3526.19</v>
      </c>
      <c r="LZ1340" s="97">
        <f t="shared" si="2608"/>
        <v>3658.33</v>
      </c>
      <c r="MA1340" s="97">
        <f t="shared" si="2609"/>
        <v>290.89999999999998</v>
      </c>
      <c r="MB1340" s="97">
        <f t="shared" si="2610"/>
        <v>298.10000000000002</v>
      </c>
      <c r="MC1340" s="97">
        <f t="shared" si="2611"/>
        <v>297.22000000000003</v>
      </c>
      <c r="MD1340" s="97">
        <f t="shared" si="2612"/>
        <v>0</v>
      </c>
      <c r="ME1340" s="97">
        <f t="shared" si="2612"/>
        <v>0</v>
      </c>
      <c r="MF1340" s="97">
        <f t="shared" si="2612"/>
        <v>0</v>
      </c>
      <c r="MG1340" s="97">
        <f t="shared" si="2613"/>
        <v>0</v>
      </c>
      <c r="MH1340" s="97">
        <f t="shared" si="2613"/>
        <v>0</v>
      </c>
      <c r="MI1340" s="97">
        <f t="shared" si="2613"/>
        <v>0</v>
      </c>
      <c r="MJ1340" s="102"/>
      <c r="MK1340" s="102"/>
      <c r="ML1340" s="102"/>
      <c r="MM1340" s="97">
        <f t="shared" si="2614"/>
        <v>0</v>
      </c>
      <c r="MN1340" s="97">
        <f t="shared" si="2615"/>
        <v>0</v>
      </c>
      <c r="MO1340" s="97">
        <f t="shared" si="2616"/>
        <v>0</v>
      </c>
      <c r="MP1340" s="97">
        <f t="shared" si="2617"/>
        <v>0</v>
      </c>
      <c r="MQ1340" s="97">
        <f t="shared" si="2618"/>
        <v>0</v>
      </c>
      <c r="MR1340" s="97">
        <f t="shared" si="2619"/>
        <v>0</v>
      </c>
      <c r="MS1340" s="97">
        <f t="shared" si="2620"/>
        <v>3950.05</v>
      </c>
      <c r="MT1340" s="97">
        <f t="shared" si="2621"/>
        <v>4078.91</v>
      </c>
      <c r="MU1340" s="97">
        <f t="shared" si="2622"/>
        <v>4232.1400000000003</v>
      </c>
      <c r="MV1340" s="97">
        <f t="shared" si="2623"/>
        <v>345.12</v>
      </c>
      <c r="MW1340" s="97">
        <f t="shared" si="2624"/>
        <v>348.89</v>
      </c>
      <c r="MX1340" s="97">
        <f t="shared" si="2625"/>
        <v>351.04</v>
      </c>
      <c r="MY1340" s="97">
        <f t="shared" si="2626"/>
        <v>0</v>
      </c>
      <c r="MZ1340" s="97">
        <f t="shared" si="2626"/>
        <v>0</v>
      </c>
      <c r="NA1340" s="97">
        <f t="shared" si="2626"/>
        <v>0</v>
      </c>
      <c r="NB1340" s="97">
        <f t="shared" si="2627"/>
        <v>0</v>
      </c>
      <c r="NC1340" s="97">
        <f t="shared" si="2627"/>
        <v>0</v>
      </c>
      <c r="ND1340" s="97">
        <f t="shared" si="2627"/>
        <v>0</v>
      </c>
      <c r="NE1340" s="102"/>
      <c r="NF1340" s="102"/>
      <c r="NG1340" s="102"/>
      <c r="NH1340" s="97">
        <f t="shared" si="2628"/>
        <v>0</v>
      </c>
      <c r="NI1340" s="97">
        <f t="shared" si="2629"/>
        <v>0</v>
      </c>
      <c r="NJ1340" s="97">
        <f t="shared" si="2630"/>
        <v>0</v>
      </c>
      <c r="NK1340" s="97">
        <f t="shared" si="2631"/>
        <v>0</v>
      </c>
      <c r="NL1340" s="97">
        <f t="shared" si="2632"/>
        <v>0</v>
      </c>
      <c r="NM1340" s="97">
        <f t="shared" si="2633"/>
        <v>0</v>
      </c>
      <c r="NN1340" s="97">
        <f t="shared" si="2634"/>
        <v>4032.91</v>
      </c>
      <c r="NO1340" s="97">
        <f t="shared" si="2635"/>
        <v>4159.1000000000004</v>
      </c>
      <c r="NP1340" s="97">
        <f t="shared" si="2636"/>
        <v>4312.91</v>
      </c>
      <c r="NQ1340" s="97">
        <f t="shared" si="2637"/>
        <v>505.45</v>
      </c>
      <c r="NR1340" s="97">
        <f t="shared" si="2638"/>
        <v>527.95000000000005</v>
      </c>
      <c r="NS1340" s="97">
        <f t="shared" si="2639"/>
        <v>513.37</v>
      </c>
      <c r="NT1340" s="97">
        <f t="shared" si="2640"/>
        <v>0</v>
      </c>
      <c r="NU1340" s="97">
        <f t="shared" si="2640"/>
        <v>0</v>
      </c>
      <c r="NV1340" s="97">
        <f t="shared" si="2640"/>
        <v>0</v>
      </c>
      <c r="NW1340" s="97">
        <f t="shared" si="2641"/>
        <v>0</v>
      </c>
      <c r="NX1340" s="97">
        <f t="shared" si="2641"/>
        <v>0</v>
      </c>
      <c r="NY1340" s="97">
        <f t="shared" si="2641"/>
        <v>0</v>
      </c>
      <c r="NZ1340" s="102"/>
      <c r="OA1340" s="102"/>
      <c r="OB1340" s="102"/>
      <c r="OC1340" s="97">
        <f t="shared" si="2642"/>
        <v>0</v>
      </c>
      <c r="OD1340" s="97">
        <f t="shared" si="2643"/>
        <v>0</v>
      </c>
      <c r="OE1340" s="97">
        <f t="shared" si="2644"/>
        <v>0</v>
      </c>
      <c r="OF1340" s="97">
        <f t="shared" si="2645"/>
        <v>0</v>
      </c>
      <c r="OG1340" s="97">
        <f t="shared" si="2646"/>
        <v>0</v>
      </c>
      <c r="OH1340" s="97">
        <f t="shared" si="2647"/>
        <v>0</v>
      </c>
      <c r="OI1340" s="97">
        <f t="shared" si="2648"/>
        <v>5287.83</v>
      </c>
      <c r="OJ1340" s="97">
        <f t="shared" si="2649"/>
        <v>5444.73</v>
      </c>
      <c r="OK1340" s="97">
        <f t="shared" si="2650"/>
        <v>5644.44</v>
      </c>
      <c r="OL1340" s="97">
        <f t="shared" si="2651"/>
        <v>506.96</v>
      </c>
      <c r="OM1340" s="97">
        <f t="shared" si="2652"/>
        <v>526.76</v>
      </c>
      <c r="ON1340" s="97">
        <f t="shared" si="2653"/>
        <v>524</v>
      </c>
      <c r="OO1340" s="97">
        <f t="shared" si="2654"/>
        <v>0</v>
      </c>
      <c r="OP1340" s="97">
        <f t="shared" si="2654"/>
        <v>0</v>
      </c>
      <c r="OQ1340" s="97">
        <f t="shared" si="2654"/>
        <v>0</v>
      </c>
      <c r="OR1340" s="97">
        <f t="shared" si="2655"/>
        <v>0</v>
      </c>
      <c r="OS1340" s="97">
        <f t="shared" si="2655"/>
        <v>0</v>
      </c>
      <c r="OT1340" s="97">
        <f t="shared" si="2655"/>
        <v>0</v>
      </c>
      <c r="OU1340" s="102"/>
      <c r="OV1340" s="102"/>
      <c r="OW1340" s="102"/>
      <c r="OX1340" s="97">
        <f t="shared" si="2656"/>
        <v>0</v>
      </c>
      <c r="OY1340" s="97">
        <f t="shared" si="2657"/>
        <v>0</v>
      </c>
      <c r="OZ1340" s="97">
        <f t="shared" si="2658"/>
        <v>0</v>
      </c>
      <c r="PA1340" s="97">
        <f t="shared" si="2659"/>
        <v>0</v>
      </c>
      <c r="PB1340" s="97">
        <f t="shared" si="2660"/>
        <v>0</v>
      </c>
      <c r="PC1340" s="97">
        <f t="shared" si="2661"/>
        <v>0</v>
      </c>
      <c r="PD1340" s="97">
        <f t="shared" si="2662"/>
        <v>4446.8999999999996</v>
      </c>
      <c r="PE1340" s="97">
        <f t="shared" si="2663"/>
        <v>4589.9399999999996</v>
      </c>
      <c r="PF1340" s="97">
        <f t="shared" si="2664"/>
        <v>4761.7299999999996</v>
      </c>
      <c r="PG1340" s="97">
        <f t="shared" si="2665"/>
        <v>405.17</v>
      </c>
      <c r="PH1340" s="97">
        <f t="shared" si="2666"/>
        <v>413.93</v>
      </c>
      <c r="PI1340" s="97">
        <f t="shared" si="2667"/>
        <v>417.29</v>
      </c>
      <c r="PJ1340" s="97">
        <f t="shared" si="2668"/>
        <v>0</v>
      </c>
      <c r="PK1340" s="97">
        <f t="shared" si="2668"/>
        <v>0</v>
      </c>
      <c r="PL1340" s="97">
        <f t="shared" si="2668"/>
        <v>0</v>
      </c>
      <c r="PM1340" s="97">
        <f t="shared" si="2669"/>
        <v>0</v>
      </c>
      <c r="PN1340" s="97">
        <f t="shared" si="2669"/>
        <v>0</v>
      </c>
      <c r="PO1340" s="97">
        <f t="shared" si="2669"/>
        <v>0</v>
      </c>
      <c r="PP1340" s="102"/>
      <c r="PQ1340" s="102"/>
      <c r="PR1340" s="102"/>
      <c r="PS1340" s="97">
        <f t="shared" si="2670"/>
        <v>0</v>
      </c>
      <c r="PT1340" s="97">
        <f t="shared" si="2671"/>
        <v>0</v>
      </c>
      <c r="PU1340" s="97">
        <f t="shared" si="2672"/>
        <v>0</v>
      </c>
      <c r="PV1340" s="97">
        <f t="shared" si="2673"/>
        <v>0</v>
      </c>
      <c r="PW1340" s="97">
        <f t="shared" si="2674"/>
        <v>0</v>
      </c>
      <c r="PX1340" s="97">
        <f t="shared" si="2675"/>
        <v>0</v>
      </c>
      <c r="PY1340" s="97">
        <f t="shared" si="2676"/>
        <v>3981.32</v>
      </c>
      <c r="PZ1340" s="97">
        <f t="shared" si="2677"/>
        <v>4112.84</v>
      </c>
      <c r="QA1340" s="97">
        <f t="shared" si="2678"/>
        <v>4267.0600000000004</v>
      </c>
      <c r="QB1340" s="97">
        <f t="shared" si="2679"/>
        <v>417.83</v>
      </c>
      <c r="QC1340" s="97">
        <f t="shared" si="2680"/>
        <v>438.77</v>
      </c>
      <c r="QD1340" s="97">
        <f t="shared" si="2681"/>
        <v>438.39</v>
      </c>
      <c r="QE1340" s="97">
        <f t="shared" si="2682"/>
        <v>0</v>
      </c>
      <c r="QF1340" s="97">
        <f t="shared" si="2682"/>
        <v>0</v>
      </c>
      <c r="QG1340" s="97">
        <f t="shared" si="2682"/>
        <v>0</v>
      </c>
      <c r="QH1340" s="97">
        <f t="shared" si="2683"/>
        <v>0</v>
      </c>
      <c r="QI1340" s="97">
        <f t="shared" si="2683"/>
        <v>0</v>
      </c>
      <c r="QJ1340" s="97">
        <f t="shared" si="2683"/>
        <v>0</v>
      </c>
      <c r="QK1340" s="102"/>
      <c r="QL1340" s="102"/>
      <c r="QM1340" s="102"/>
      <c r="QN1340" s="97">
        <f t="shared" si="2684"/>
        <v>0</v>
      </c>
      <c r="QO1340" s="97">
        <f t="shared" si="2685"/>
        <v>0</v>
      </c>
      <c r="QP1340" s="97">
        <f t="shared" si="2686"/>
        <v>0</v>
      </c>
      <c r="QQ1340" s="97">
        <f t="shared" si="2687"/>
        <v>0</v>
      </c>
      <c r="QR1340" s="97">
        <f t="shared" si="2688"/>
        <v>0</v>
      </c>
      <c r="QS1340" s="97">
        <f t="shared" si="2689"/>
        <v>0</v>
      </c>
      <c r="QT1340" s="97">
        <f t="shared" si="2690"/>
        <v>4048.78</v>
      </c>
      <c r="QU1340" s="97">
        <f t="shared" si="2691"/>
        <v>4181.01</v>
      </c>
      <c r="QV1340" s="97">
        <f t="shared" si="2692"/>
        <v>4338.25</v>
      </c>
      <c r="QW1340" s="97">
        <f t="shared" si="2693"/>
        <v>287.38</v>
      </c>
      <c r="QX1340" s="97">
        <f t="shared" si="2694"/>
        <v>298.20999999999998</v>
      </c>
      <c r="QY1340" s="97">
        <f t="shared" si="2695"/>
        <v>299.87</v>
      </c>
      <c r="QZ1340" s="97">
        <f t="shared" si="2696"/>
        <v>0</v>
      </c>
      <c r="RA1340" s="97">
        <f t="shared" si="2696"/>
        <v>0</v>
      </c>
      <c r="RB1340" s="97">
        <f t="shared" si="2696"/>
        <v>0</v>
      </c>
      <c r="RC1340" s="97">
        <f t="shared" si="2697"/>
        <v>0</v>
      </c>
      <c r="RD1340" s="97">
        <f t="shared" si="2697"/>
        <v>0</v>
      </c>
      <c r="RE1340" s="97">
        <f t="shared" si="2697"/>
        <v>0</v>
      </c>
      <c r="RF1340" s="102"/>
      <c r="RG1340" s="102"/>
      <c r="RH1340" s="102"/>
      <c r="RI1340" s="97">
        <f t="shared" si="2698"/>
        <v>0</v>
      </c>
      <c r="RJ1340" s="97">
        <f t="shared" si="2699"/>
        <v>0</v>
      </c>
      <c r="RK1340" s="97">
        <f t="shared" si="2700"/>
        <v>0</v>
      </c>
      <c r="RL1340" s="97">
        <f t="shared" si="2701"/>
        <v>0</v>
      </c>
      <c r="RM1340" s="97">
        <f t="shared" si="2702"/>
        <v>0</v>
      </c>
      <c r="RN1340" s="97">
        <f t="shared" si="2703"/>
        <v>0</v>
      </c>
      <c r="RO1340" s="97">
        <f t="shared" si="2704"/>
        <v>4337.0600000000004</v>
      </c>
      <c r="RP1340" s="97">
        <f t="shared" si="2705"/>
        <v>4476.84</v>
      </c>
      <c r="RQ1340" s="97">
        <f t="shared" si="2706"/>
        <v>4645.17</v>
      </c>
      <c r="RR1340" s="97">
        <f t="shared" si="2707"/>
        <v>405.38</v>
      </c>
      <c r="RS1340" s="97">
        <f t="shared" si="2708"/>
        <v>412.7</v>
      </c>
      <c r="RT1340" s="97">
        <f t="shared" si="2709"/>
        <v>415.1</v>
      </c>
      <c r="RU1340" s="97">
        <f t="shared" si="2710"/>
        <v>0</v>
      </c>
      <c r="RV1340" s="97">
        <f t="shared" si="2710"/>
        <v>0</v>
      </c>
      <c r="RW1340" s="97">
        <f t="shared" si="2710"/>
        <v>0</v>
      </c>
      <c r="RX1340" s="97">
        <f t="shared" si="2711"/>
        <v>0</v>
      </c>
      <c r="RY1340" s="97">
        <f t="shared" si="2711"/>
        <v>0</v>
      </c>
      <c r="RZ1340" s="97">
        <f t="shared" si="2711"/>
        <v>0</v>
      </c>
      <c r="SA1340" s="102"/>
      <c r="SB1340" s="102"/>
      <c r="SC1340" s="102"/>
      <c r="SD1340" s="97">
        <f t="shared" si="2712"/>
        <v>0</v>
      </c>
      <c r="SE1340" s="97">
        <f t="shared" si="2713"/>
        <v>0</v>
      </c>
      <c r="SF1340" s="97">
        <f t="shared" si="2714"/>
        <v>0</v>
      </c>
      <c r="SG1340" s="97">
        <f t="shared" si="2715"/>
        <v>0</v>
      </c>
      <c r="SH1340" s="97">
        <f t="shared" si="2716"/>
        <v>0</v>
      </c>
      <c r="SI1340" s="97">
        <f t="shared" si="2717"/>
        <v>0</v>
      </c>
      <c r="SJ1340" s="97">
        <f t="shared" si="2718"/>
        <v>4557.04</v>
      </c>
      <c r="SK1340" s="97">
        <f t="shared" si="2719"/>
        <v>4698.68</v>
      </c>
      <c r="SL1340" s="97">
        <f t="shared" si="2720"/>
        <v>4873.33</v>
      </c>
      <c r="SM1340" s="97">
        <f t="shared" si="2721"/>
        <v>567.54999999999995</v>
      </c>
      <c r="SN1340" s="97">
        <f t="shared" si="2722"/>
        <v>585.64</v>
      </c>
      <c r="SO1340" s="97">
        <f t="shared" si="2723"/>
        <v>587.23</v>
      </c>
      <c r="SP1340" s="97">
        <f t="shared" si="2724"/>
        <v>0</v>
      </c>
      <c r="SQ1340" s="97">
        <f t="shared" si="2724"/>
        <v>0</v>
      </c>
      <c r="SR1340" s="97">
        <f t="shared" si="2724"/>
        <v>0</v>
      </c>
      <c r="SS1340" s="97">
        <f t="shared" si="2725"/>
        <v>0</v>
      </c>
      <c r="ST1340" s="97">
        <f t="shared" si="2725"/>
        <v>0</v>
      </c>
      <c r="SU1340" s="97">
        <f t="shared" si="2725"/>
        <v>0</v>
      </c>
      <c r="SV1340" s="102"/>
      <c r="SW1340" s="102"/>
      <c r="SX1340" s="102"/>
      <c r="SY1340" s="97">
        <f t="shared" si="2726"/>
        <v>0</v>
      </c>
      <c r="SZ1340" s="97">
        <f t="shared" si="2727"/>
        <v>0</v>
      </c>
      <c r="TA1340" s="97">
        <f t="shared" si="2728"/>
        <v>0</v>
      </c>
      <c r="TB1340" s="97">
        <f t="shared" si="2729"/>
        <v>0</v>
      </c>
      <c r="TC1340" s="97">
        <f t="shared" si="2730"/>
        <v>0</v>
      </c>
      <c r="TD1340" s="97">
        <f t="shared" si="2731"/>
        <v>0</v>
      </c>
      <c r="TE1340" s="97">
        <f t="shared" si="2732"/>
        <v>4073.36</v>
      </c>
      <c r="TF1340" s="97">
        <f t="shared" si="2733"/>
        <v>4204.76</v>
      </c>
      <c r="TG1340" s="97">
        <f t="shared" si="2734"/>
        <v>4362.1000000000004</v>
      </c>
      <c r="TH1340" s="97">
        <f t="shared" si="2735"/>
        <v>432.21</v>
      </c>
      <c r="TI1340" s="97">
        <f t="shared" si="2736"/>
        <v>443.69</v>
      </c>
      <c r="TJ1340" s="97">
        <f t="shared" si="2737"/>
        <v>442.41</v>
      </c>
      <c r="TK1340" s="97">
        <f t="shared" si="2738"/>
        <v>0</v>
      </c>
      <c r="TL1340" s="97">
        <f t="shared" si="2738"/>
        <v>0</v>
      </c>
      <c r="TM1340" s="97">
        <f t="shared" si="2738"/>
        <v>0</v>
      </c>
      <c r="TN1340" s="97">
        <f t="shared" si="2739"/>
        <v>0</v>
      </c>
      <c r="TO1340" s="97">
        <f t="shared" si="2739"/>
        <v>0</v>
      </c>
      <c r="TP1340" s="97">
        <f t="shared" si="2739"/>
        <v>0</v>
      </c>
      <c r="TQ1340" s="102"/>
      <c r="TR1340" s="102"/>
      <c r="TS1340" s="102"/>
      <c r="TT1340" s="97">
        <f t="shared" si="2740"/>
        <v>0</v>
      </c>
      <c r="TU1340" s="97">
        <f t="shared" si="2741"/>
        <v>0</v>
      </c>
      <c r="TV1340" s="97">
        <f t="shared" si="2742"/>
        <v>0</v>
      </c>
      <c r="TW1340" s="97">
        <f t="shared" si="2743"/>
        <v>0</v>
      </c>
      <c r="TX1340" s="97">
        <f t="shared" si="2744"/>
        <v>0</v>
      </c>
      <c r="TY1340" s="97">
        <f t="shared" si="2745"/>
        <v>0</v>
      </c>
      <c r="TZ1340" s="97">
        <f t="shared" si="2746"/>
        <v>4363.6400000000003</v>
      </c>
      <c r="UA1340" s="97">
        <f t="shared" si="2747"/>
        <v>4501.12</v>
      </c>
      <c r="UB1340" s="97">
        <f t="shared" si="2748"/>
        <v>4669.8599999999997</v>
      </c>
      <c r="UC1340" s="97">
        <f t="shared" si="2749"/>
        <v>394.98</v>
      </c>
      <c r="UD1340" s="97">
        <f t="shared" si="2750"/>
        <v>417.39</v>
      </c>
      <c r="UE1340" s="97">
        <f t="shared" si="2751"/>
        <v>418.67</v>
      </c>
      <c r="UF1340" s="97">
        <f t="shared" si="2752"/>
        <v>0</v>
      </c>
      <c r="UG1340" s="97">
        <f t="shared" si="2752"/>
        <v>0</v>
      </c>
      <c r="UH1340" s="97">
        <f t="shared" si="2752"/>
        <v>0</v>
      </c>
      <c r="UI1340" s="97">
        <f t="shared" si="2753"/>
        <v>0</v>
      </c>
      <c r="UJ1340" s="97">
        <f t="shared" si="2753"/>
        <v>0</v>
      </c>
      <c r="UK1340" s="97">
        <f t="shared" si="2753"/>
        <v>0</v>
      </c>
      <c r="UL1340" s="102"/>
      <c r="UM1340" s="102"/>
      <c r="UN1340" s="102"/>
      <c r="UO1340" s="97">
        <f t="shared" si="2754"/>
        <v>0</v>
      </c>
      <c r="UP1340" s="97">
        <f t="shared" si="2755"/>
        <v>0</v>
      </c>
      <c r="UQ1340" s="97">
        <f t="shared" si="2756"/>
        <v>0</v>
      </c>
      <c r="UR1340" s="97">
        <f t="shared" si="2757"/>
        <v>0</v>
      </c>
      <c r="US1340" s="97">
        <f t="shared" si="2758"/>
        <v>0</v>
      </c>
      <c r="UT1340" s="97">
        <f t="shared" si="2759"/>
        <v>0</v>
      </c>
      <c r="UU1340" s="97">
        <f t="shared" si="2760"/>
        <v>4036.82</v>
      </c>
      <c r="UV1340" s="97">
        <f t="shared" si="2761"/>
        <v>4171.07</v>
      </c>
      <c r="UW1340" s="97">
        <f t="shared" si="2762"/>
        <v>4328.49</v>
      </c>
      <c r="UX1340" s="97">
        <f t="shared" si="2763"/>
        <v>307.89</v>
      </c>
      <c r="UY1340" s="97">
        <f t="shared" si="2764"/>
        <v>323.83999999999997</v>
      </c>
      <c r="UZ1340" s="97">
        <f t="shared" si="2765"/>
        <v>326.26</v>
      </c>
      <c r="VA1340" s="97">
        <f t="shared" si="2766"/>
        <v>0</v>
      </c>
      <c r="VB1340" s="97">
        <f t="shared" si="2766"/>
        <v>0</v>
      </c>
      <c r="VC1340" s="97">
        <f t="shared" si="2766"/>
        <v>0</v>
      </c>
      <c r="VD1340" s="97">
        <f t="shared" si="2767"/>
        <v>0</v>
      </c>
      <c r="VE1340" s="97">
        <f t="shared" si="2767"/>
        <v>0</v>
      </c>
      <c r="VF1340" s="97">
        <f t="shared" si="2767"/>
        <v>0</v>
      </c>
      <c r="VG1340" s="102"/>
      <c r="VH1340" s="102"/>
      <c r="VI1340" s="102"/>
      <c r="VJ1340" s="97">
        <f t="shared" si="2768"/>
        <v>0</v>
      </c>
      <c r="VK1340" s="97">
        <f t="shared" si="2769"/>
        <v>0</v>
      </c>
      <c r="VL1340" s="97">
        <f t="shared" si="2770"/>
        <v>0</v>
      </c>
      <c r="VM1340" s="97">
        <f t="shared" si="2771"/>
        <v>0</v>
      </c>
      <c r="VN1340" s="97">
        <f t="shared" si="2772"/>
        <v>0</v>
      </c>
      <c r="VO1340" s="97">
        <f t="shared" si="2773"/>
        <v>0</v>
      </c>
      <c r="VP1340" s="97">
        <f t="shared" si="2774"/>
        <v>4118.01</v>
      </c>
      <c r="VQ1340" s="97">
        <f t="shared" si="2775"/>
        <v>4251.42</v>
      </c>
      <c r="VR1340" s="97">
        <f t="shared" si="2776"/>
        <v>4411.59</v>
      </c>
      <c r="VS1340" s="97">
        <f t="shared" si="2777"/>
        <v>331.4</v>
      </c>
      <c r="VT1340" s="97">
        <f t="shared" si="2778"/>
        <v>341.47</v>
      </c>
      <c r="VU1340" s="97">
        <f t="shared" si="2779"/>
        <v>343.85</v>
      </c>
      <c r="VV1340" s="97">
        <f t="shared" si="2780"/>
        <v>0</v>
      </c>
      <c r="VW1340" s="97">
        <f t="shared" si="2780"/>
        <v>0</v>
      </c>
      <c r="VX1340" s="97">
        <f t="shared" si="2780"/>
        <v>0</v>
      </c>
      <c r="VY1340" s="97">
        <f t="shared" si="2781"/>
        <v>0</v>
      </c>
      <c r="VZ1340" s="97">
        <f t="shared" si="2781"/>
        <v>0</v>
      </c>
      <c r="WA1340" s="97">
        <f t="shared" si="2781"/>
        <v>0</v>
      </c>
      <c r="WB1340" s="102"/>
      <c r="WC1340" s="102"/>
      <c r="WD1340" s="102"/>
      <c r="WE1340" s="97">
        <f t="shared" si="2782"/>
        <v>0</v>
      </c>
      <c r="WF1340" s="97">
        <f t="shared" si="2783"/>
        <v>0</v>
      </c>
      <c r="WG1340" s="97">
        <f t="shared" si="2784"/>
        <v>0</v>
      </c>
      <c r="WH1340" s="97">
        <f t="shared" si="2785"/>
        <v>0</v>
      </c>
      <c r="WI1340" s="97">
        <f t="shared" si="2786"/>
        <v>0</v>
      </c>
      <c r="WJ1340" s="97">
        <f t="shared" si="2787"/>
        <v>0</v>
      </c>
      <c r="WK1340" s="97">
        <f t="shared" si="2788"/>
        <v>3804.43</v>
      </c>
      <c r="WL1340" s="97">
        <f t="shared" si="2789"/>
        <v>3932.09</v>
      </c>
      <c r="WM1340" s="97">
        <f t="shared" si="2790"/>
        <v>4080.29</v>
      </c>
      <c r="WN1340" s="97">
        <f t="shared" si="2791"/>
        <v>355.89</v>
      </c>
      <c r="WO1340" s="97">
        <f t="shared" si="2792"/>
        <v>375.68</v>
      </c>
      <c r="WP1340" s="97">
        <f t="shared" si="2793"/>
        <v>378.63</v>
      </c>
      <c r="WQ1340" s="97">
        <f t="shared" si="2794"/>
        <v>0</v>
      </c>
      <c r="WR1340" s="97">
        <f t="shared" si="2794"/>
        <v>0</v>
      </c>
      <c r="WS1340" s="97">
        <f t="shared" si="2794"/>
        <v>0</v>
      </c>
      <c r="WT1340" s="97">
        <f t="shared" si="2795"/>
        <v>0</v>
      </c>
      <c r="WU1340" s="97">
        <f t="shared" si="2795"/>
        <v>0</v>
      </c>
      <c r="WV1340" s="97">
        <f t="shared" si="2795"/>
        <v>0</v>
      </c>
      <c r="WW1340" s="102"/>
      <c r="WX1340" s="102"/>
      <c r="WY1340" s="102"/>
      <c r="WZ1340" s="97">
        <f t="shared" si="2796"/>
        <v>0</v>
      </c>
      <c r="XA1340" s="97">
        <f t="shared" si="2797"/>
        <v>0</v>
      </c>
      <c r="XB1340" s="97">
        <f t="shared" si="2798"/>
        <v>0</v>
      </c>
      <c r="XC1340" s="97">
        <f t="shared" si="2799"/>
        <v>0</v>
      </c>
      <c r="XD1340" s="97">
        <f t="shared" si="2800"/>
        <v>0</v>
      </c>
      <c r="XE1340" s="97">
        <f t="shared" si="2801"/>
        <v>0</v>
      </c>
      <c r="XF1340" s="97">
        <f t="shared" si="2802"/>
        <v>3737.47</v>
      </c>
      <c r="XG1340" s="97">
        <f t="shared" si="2803"/>
        <v>3860.29</v>
      </c>
      <c r="XH1340" s="97">
        <f t="shared" si="2804"/>
        <v>4004.99</v>
      </c>
      <c r="XI1340" s="97">
        <f t="shared" si="2805"/>
        <v>286.64999999999998</v>
      </c>
      <c r="XJ1340" s="97">
        <f t="shared" si="2806"/>
        <v>303.69</v>
      </c>
      <c r="XK1340" s="97">
        <f t="shared" si="2807"/>
        <v>304.99</v>
      </c>
      <c r="XL1340" s="97">
        <f t="shared" si="2808"/>
        <v>0</v>
      </c>
      <c r="XM1340" s="97">
        <f t="shared" si="2808"/>
        <v>0</v>
      </c>
      <c r="XN1340" s="97">
        <f t="shared" si="2808"/>
        <v>0</v>
      </c>
      <c r="XO1340" s="97">
        <f t="shared" si="2809"/>
        <v>0</v>
      </c>
      <c r="XP1340" s="97">
        <f t="shared" si="2809"/>
        <v>0</v>
      </c>
      <c r="XQ1340" s="97">
        <f t="shared" si="2809"/>
        <v>0</v>
      </c>
      <c r="XR1340" s="102"/>
      <c r="XS1340" s="102"/>
      <c r="XT1340" s="102"/>
      <c r="XU1340" s="97">
        <f t="shared" si="2810"/>
        <v>0</v>
      </c>
      <c r="XV1340" s="97">
        <f t="shared" si="2811"/>
        <v>0</v>
      </c>
      <c r="XW1340" s="97">
        <f t="shared" si="2812"/>
        <v>0</v>
      </c>
      <c r="XX1340" s="97">
        <f t="shared" si="2813"/>
        <v>0</v>
      </c>
      <c r="XY1340" s="97">
        <f t="shared" si="2814"/>
        <v>0</v>
      </c>
      <c r="XZ1340" s="97">
        <f t="shared" si="2815"/>
        <v>0</v>
      </c>
      <c r="YA1340" s="97">
        <f t="shared" si="2816"/>
        <v>3945.16</v>
      </c>
      <c r="YB1340" s="97">
        <f t="shared" si="2817"/>
        <v>4078.12</v>
      </c>
      <c r="YC1340" s="97">
        <f t="shared" si="2818"/>
        <v>4232.91</v>
      </c>
      <c r="YD1340" s="97">
        <f t="shared" si="2819"/>
        <v>1253.5899999999999</v>
      </c>
      <c r="YE1340" s="97">
        <f t="shared" si="2820"/>
        <v>1484.12</v>
      </c>
      <c r="YF1340" s="97">
        <f t="shared" si="2821"/>
        <v>1493.98</v>
      </c>
      <c r="YG1340" s="97">
        <f t="shared" si="2822"/>
        <v>0</v>
      </c>
      <c r="YH1340" s="97">
        <f t="shared" si="2822"/>
        <v>0</v>
      </c>
      <c r="YI1340" s="97">
        <f t="shared" si="2822"/>
        <v>0</v>
      </c>
      <c r="YJ1340" s="97">
        <f t="shared" si="2823"/>
        <v>0</v>
      </c>
      <c r="YK1340" s="97">
        <f t="shared" si="2823"/>
        <v>0</v>
      </c>
      <c r="YL1340" s="97">
        <f t="shared" si="2823"/>
        <v>0</v>
      </c>
      <c r="YM1340" s="145">
        <f t="shared" si="2824"/>
        <v>0</v>
      </c>
      <c r="YN1340" s="145">
        <f t="shared" si="2824"/>
        <v>0</v>
      </c>
      <c r="YO1340" s="145">
        <f t="shared" si="2824"/>
        <v>0</v>
      </c>
      <c r="YP1340" s="97">
        <f t="shared" si="2825"/>
        <v>0</v>
      </c>
      <c r="YQ1340" s="97">
        <f t="shared" si="2826"/>
        <v>0</v>
      </c>
      <c r="YR1340" s="97">
        <f t="shared" si="2827"/>
        <v>0</v>
      </c>
      <c r="YS1340" s="97">
        <f t="shared" si="2828"/>
        <v>0</v>
      </c>
      <c r="YT1340" s="97">
        <f t="shared" si="2829"/>
        <v>0</v>
      </c>
      <c r="YU1340" s="97">
        <f t="shared" si="2830"/>
        <v>0</v>
      </c>
      <c r="YV1340" s="97">
        <f t="shared" si="2831"/>
        <v>4158.03</v>
      </c>
      <c r="YW1340" s="97">
        <f t="shared" si="2832"/>
        <v>4292.42</v>
      </c>
      <c r="YX1340" s="97">
        <f t="shared" si="2833"/>
        <v>4453.2</v>
      </c>
      <c r="YY1340" s="97">
        <f t="shared" si="2834"/>
        <v>403.25</v>
      </c>
      <c r="YZ1340" s="97">
        <f t="shared" si="2835"/>
        <v>423.79</v>
      </c>
      <c r="ZA1340" s="97">
        <f t="shared" si="2836"/>
        <v>424.61</v>
      </c>
      <c r="ZB1340" s="97">
        <f t="shared" si="2837"/>
        <v>0</v>
      </c>
      <c r="ZC1340" s="97">
        <f t="shared" si="2837"/>
        <v>0</v>
      </c>
      <c r="ZD1340" s="97">
        <f t="shared" si="2837"/>
        <v>0</v>
      </c>
      <c r="ZE1340" s="97">
        <f t="shared" si="2838"/>
        <v>0</v>
      </c>
      <c r="ZF1340" s="97">
        <f t="shared" si="2838"/>
        <v>0</v>
      </c>
      <c r="ZG1340" s="97">
        <f t="shared" si="2838"/>
        <v>0</v>
      </c>
    </row>
    <row r="1341" spans="1:683" ht="48" hidden="1" x14ac:dyDescent="0.25">
      <c r="A1341" s="92" t="s">
        <v>625</v>
      </c>
      <c r="B1341" s="174"/>
      <c r="C1341" s="5"/>
      <c r="D1341" s="340"/>
      <c r="E1341" s="163"/>
      <c r="F1341" s="110">
        <f t="shared" si="2388"/>
        <v>10604</v>
      </c>
      <c r="G1341" s="110">
        <f t="shared" si="2388"/>
        <v>10604</v>
      </c>
      <c r="H1341" s="110">
        <f t="shared" si="2388"/>
        <v>10604</v>
      </c>
      <c r="I1341" s="97">
        <f t="shared" si="2389"/>
        <v>469</v>
      </c>
      <c r="J1341" s="97">
        <f t="shared" si="2389"/>
        <v>469</v>
      </c>
      <c r="K1341" s="97">
        <f t="shared" si="2389"/>
        <v>469</v>
      </c>
      <c r="L1341" s="102"/>
      <c r="M1341" s="102"/>
      <c r="N1341" s="102"/>
      <c r="O1341" s="97">
        <f t="shared" si="2390"/>
        <v>0</v>
      </c>
      <c r="P1341" s="97">
        <f t="shared" si="2391"/>
        <v>0</v>
      </c>
      <c r="Q1341" s="97">
        <f t="shared" si="2392"/>
        <v>0</v>
      </c>
      <c r="R1341" s="97">
        <f t="shared" si="2393"/>
        <v>0</v>
      </c>
      <c r="S1341" s="97">
        <f t="shared" si="2394"/>
        <v>0</v>
      </c>
      <c r="T1341" s="97">
        <f t="shared" si="2395"/>
        <v>0</v>
      </c>
      <c r="U1341" s="97">
        <f t="shared" si="2396"/>
        <v>4575.68</v>
      </c>
      <c r="V1341" s="97">
        <f t="shared" si="2397"/>
        <v>4724.88</v>
      </c>
      <c r="W1341" s="97">
        <f t="shared" si="2398"/>
        <v>4903.1400000000003</v>
      </c>
      <c r="X1341" s="97">
        <f t="shared" si="2399"/>
        <v>367.76</v>
      </c>
      <c r="Y1341" s="97">
        <f t="shared" si="2400"/>
        <v>371.55</v>
      </c>
      <c r="Z1341" s="97">
        <f t="shared" si="2401"/>
        <v>370.5</v>
      </c>
      <c r="AA1341" s="97">
        <f t="shared" si="2402"/>
        <v>0</v>
      </c>
      <c r="AB1341" s="97">
        <f t="shared" si="2402"/>
        <v>0</v>
      </c>
      <c r="AC1341" s="97">
        <f t="shared" si="2402"/>
        <v>0</v>
      </c>
      <c r="AD1341" s="97">
        <f t="shared" si="2403"/>
        <v>0</v>
      </c>
      <c r="AE1341" s="97">
        <f t="shared" si="2403"/>
        <v>0</v>
      </c>
      <c r="AF1341" s="97">
        <f t="shared" si="2403"/>
        <v>0</v>
      </c>
      <c r="AG1341" s="102"/>
      <c r="AH1341" s="102"/>
      <c r="AI1341" s="102"/>
      <c r="AJ1341" s="97">
        <f t="shared" si="2404"/>
        <v>0</v>
      </c>
      <c r="AK1341" s="97">
        <f t="shared" si="2405"/>
        <v>0</v>
      </c>
      <c r="AL1341" s="97">
        <f t="shared" si="2406"/>
        <v>0</v>
      </c>
      <c r="AM1341" s="97">
        <f t="shared" si="2407"/>
        <v>0</v>
      </c>
      <c r="AN1341" s="97">
        <f t="shared" si="2408"/>
        <v>0</v>
      </c>
      <c r="AO1341" s="97">
        <f t="shared" si="2409"/>
        <v>0</v>
      </c>
      <c r="AP1341" s="97">
        <f t="shared" si="2410"/>
        <v>4209.42</v>
      </c>
      <c r="AQ1341" s="97">
        <f t="shared" si="2411"/>
        <v>4345.97</v>
      </c>
      <c r="AR1341" s="97">
        <f t="shared" si="2412"/>
        <v>4509.22</v>
      </c>
      <c r="AS1341" s="97">
        <f t="shared" si="2413"/>
        <v>293.25</v>
      </c>
      <c r="AT1341" s="97">
        <f t="shared" si="2414"/>
        <v>300.76</v>
      </c>
      <c r="AU1341" s="97">
        <f t="shared" si="2415"/>
        <v>302.26</v>
      </c>
      <c r="AV1341" s="97">
        <f t="shared" si="2416"/>
        <v>0</v>
      </c>
      <c r="AW1341" s="97">
        <f t="shared" si="2416"/>
        <v>0</v>
      </c>
      <c r="AX1341" s="97">
        <f t="shared" si="2416"/>
        <v>0</v>
      </c>
      <c r="AY1341" s="97">
        <f t="shared" si="2417"/>
        <v>0</v>
      </c>
      <c r="AZ1341" s="97">
        <f t="shared" si="2417"/>
        <v>0</v>
      </c>
      <c r="BA1341" s="97">
        <f t="shared" si="2417"/>
        <v>0</v>
      </c>
      <c r="BB1341" s="102"/>
      <c r="BC1341" s="102"/>
      <c r="BD1341" s="102"/>
      <c r="BE1341" s="97">
        <f t="shared" si="2418"/>
        <v>0</v>
      </c>
      <c r="BF1341" s="97">
        <f t="shared" si="2419"/>
        <v>0</v>
      </c>
      <c r="BG1341" s="97">
        <f t="shared" si="2420"/>
        <v>0</v>
      </c>
      <c r="BH1341" s="97">
        <f t="shared" si="2421"/>
        <v>0</v>
      </c>
      <c r="BI1341" s="97">
        <f t="shared" si="2422"/>
        <v>0</v>
      </c>
      <c r="BJ1341" s="97">
        <f t="shared" si="2423"/>
        <v>0</v>
      </c>
      <c r="BK1341" s="97">
        <f t="shared" si="2424"/>
        <v>3970.86</v>
      </c>
      <c r="BL1341" s="97">
        <f t="shared" si="2425"/>
        <v>4091.53</v>
      </c>
      <c r="BM1341" s="97">
        <f t="shared" si="2426"/>
        <v>4240.6099999999997</v>
      </c>
      <c r="BN1341" s="97">
        <f t="shared" si="2427"/>
        <v>313.25</v>
      </c>
      <c r="BO1341" s="97">
        <f t="shared" si="2428"/>
        <v>321.27999999999997</v>
      </c>
      <c r="BP1341" s="97">
        <f t="shared" si="2429"/>
        <v>322.29000000000002</v>
      </c>
      <c r="BQ1341" s="97">
        <f t="shared" si="2430"/>
        <v>0</v>
      </c>
      <c r="BR1341" s="97">
        <f t="shared" si="2430"/>
        <v>0</v>
      </c>
      <c r="BS1341" s="97">
        <f t="shared" si="2430"/>
        <v>0</v>
      </c>
      <c r="BT1341" s="97">
        <f t="shared" si="2431"/>
        <v>0</v>
      </c>
      <c r="BU1341" s="97">
        <f t="shared" si="2431"/>
        <v>0</v>
      </c>
      <c r="BV1341" s="97">
        <f t="shared" si="2431"/>
        <v>0</v>
      </c>
      <c r="BW1341" s="102"/>
      <c r="BX1341" s="102"/>
      <c r="BY1341" s="102"/>
      <c r="BZ1341" s="97">
        <f t="shared" si="2432"/>
        <v>0</v>
      </c>
      <c r="CA1341" s="97">
        <f t="shared" si="2433"/>
        <v>0</v>
      </c>
      <c r="CB1341" s="97">
        <f t="shared" si="2434"/>
        <v>0</v>
      </c>
      <c r="CC1341" s="97">
        <f t="shared" si="2435"/>
        <v>0</v>
      </c>
      <c r="CD1341" s="97">
        <f t="shared" si="2436"/>
        <v>0</v>
      </c>
      <c r="CE1341" s="97">
        <f t="shared" si="2437"/>
        <v>0</v>
      </c>
      <c r="CF1341" s="97">
        <f t="shared" si="2438"/>
        <v>4100.82</v>
      </c>
      <c r="CG1341" s="97">
        <f t="shared" si="2439"/>
        <v>4237.03</v>
      </c>
      <c r="CH1341" s="97">
        <f t="shared" si="2440"/>
        <v>4396.46</v>
      </c>
      <c r="CI1341" s="97">
        <f t="shared" si="2441"/>
        <v>482.92</v>
      </c>
      <c r="CJ1341" s="97">
        <f t="shared" si="2442"/>
        <v>485.42</v>
      </c>
      <c r="CK1341" s="97">
        <f t="shared" si="2443"/>
        <v>483.08</v>
      </c>
      <c r="CL1341" s="97">
        <f t="shared" si="2444"/>
        <v>0</v>
      </c>
      <c r="CM1341" s="97">
        <f t="shared" si="2444"/>
        <v>0</v>
      </c>
      <c r="CN1341" s="97">
        <f t="shared" si="2444"/>
        <v>0</v>
      </c>
      <c r="CO1341" s="97">
        <f t="shared" si="2445"/>
        <v>0</v>
      </c>
      <c r="CP1341" s="97">
        <f t="shared" si="2445"/>
        <v>0</v>
      </c>
      <c r="CQ1341" s="97">
        <f t="shared" si="2445"/>
        <v>0</v>
      </c>
      <c r="CR1341" s="102"/>
      <c r="CS1341" s="102"/>
      <c r="CT1341" s="102"/>
      <c r="CU1341" s="97">
        <f t="shared" si="2446"/>
        <v>0</v>
      </c>
      <c r="CV1341" s="97">
        <f t="shared" si="2447"/>
        <v>0</v>
      </c>
      <c r="CW1341" s="97">
        <f t="shared" si="2448"/>
        <v>0</v>
      </c>
      <c r="CX1341" s="97">
        <f t="shared" si="2449"/>
        <v>0</v>
      </c>
      <c r="CY1341" s="97">
        <f t="shared" si="2450"/>
        <v>0</v>
      </c>
      <c r="CZ1341" s="97">
        <f t="shared" si="2451"/>
        <v>0</v>
      </c>
      <c r="DA1341" s="97">
        <f t="shared" si="2452"/>
        <v>4132.3999999999996</v>
      </c>
      <c r="DB1341" s="97">
        <f t="shared" si="2453"/>
        <v>4265.99</v>
      </c>
      <c r="DC1341" s="97">
        <f t="shared" si="2454"/>
        <v>4426.25</v>
      </c>
      <c r="DD1341" s="97">
        <f t="shared" si="2455"/>
        <v>233.8</v>
      </c>
      <c r="DE1341" s="97">
        <f t="shared" si="2456"/>
        <v>236.16</v>
      </c>
      <c r="DF1341" s="97">
        <f t="shared" si="2457"/>
        <v>235.75</v>
      </c>
      <c r="DG1341" s="97">
        <f t="shared" si="2458"/>
        <v>0</v>
      </c>
      <c r="DH1341" s="97">
        <f t="shared" si="2458"/>
        <v>0</v>
      </c>
      <c r="DI1341" s="97">
        <f t="shared" si="2458"/>
        <v>0</v>
      </c>
      <c r="DJ1341" s="97">
        <f t="shared" si="2459"/>
        <v>0</v>
      </c>
      <c r="DK1341" s="97">
        <f t="shared" si="2459"/>
        <v>0</v>
      </c>
      <c r="DL1341" s="97">
        <f t="shared" si="2459"/>
        <v>0</v>
      </c>
      <c r="DM1341" s="102"/>
      <c r="DN1341" s="102"/>
      <c r="DO1341" s="102"/>
      <c r="DP1341" s="97">
        <f t="shared" si="2460"/>
        <v>0</v>
      </c>
      <c r="DQ1341" s="97">
        <f t="shared" si="2461"/>
        <v>0</v>
      </c>
      <c r="DR1341" s="97">
        <f t="shared" si="2462"/>
        <v>0</v>
      </c>
      <c r="DS1341" s="97">
        <f t="shared" si="2463"/>
        <v>0</v>
      </c>
      <c r="DT1341" s="97">
        <f t="shared" si="2464"/>
        <v>0</v>
      </c>
      <c r="DU1341" s="97">
        <f t="shared" si="2465"/>
        <v>0</v>
      </c>
      <c r="DV1341" s="97">
        <f t="shared" si="2466"/>
        <v>4487.0600000000004</v>
      </c>
      <c r="DW1341" s="97">
        <f t="shared" si="2467"/>
        <v>4639.32</v>
      </c>
      <c r="DX1341" s="97">
        <f t="shared" si="2468"/>
        <v>4815.92</v>
      </c>
      <c r="DY1341" s="97">
        <f t="shared" si="2469"/>
        <v>489.7</v>
      </c>
      <c r="DZ1341" s="97">
        <f t="shared" si="2470"/>
        <v>475.73</v>
      </c>
      <c r="EA1341" s="97">
        <f t="shared" si="2471"/>
        <v>474.43</v>
      </c>
      <c r="EB1341" s="97">
        <f t="shared" si="2472"/>
        <v>0</v>
      </c>
      <c r="EC1341" s="97">
        <f t="shared" si="2472"/>
        <v>0</v>
      </c>
      <c r="ED1341" s="97">
        <f t="shared" si="2472"/>
        <v>0</v>
      </c>
      <c r="EE1341" s="97">
        <f t="shared" si="2473"/>
        <v>0</v>
      </c>
      <c r="EF1341" s="97">
        <f t="shared" si="2473"/>
        <v>0</v>
      </c>
      <c r="EG1341" s="97">
        <f t="shared" si="2473"/>
        <v>0</v>
      </c>
      <c r="EH1341" s="102"/>
      <c r="EI1341" s="102"/>
      <c r="EJ1341" s="102"/>
      <c r="EK1341" s="97">
        <f t="shared" si="2474"/>
        <v>0</v>
      </c>
      <c r="EL1341" s="97">
        <f t="shared" si="2475"/>
        <v>0</v>
      </c>
      <c r="EM1341" s="97">
        <f t="shared" si="2476"/>
        <v>0</v>
      </c>
      <c r="EN1341" s="97">
        <f t="shared" si="2477"/>
        <v>0</v>
      </c>
      <c r="EO1341" s="97">
        <f t="shared" si="2478"/>
        <v>0</v>
      </c>
      <c r="EP1341" s="97">
        <f t="shared" si="2479"/>
        <v>0</v>
      </c>
      <c r="EQ1341" s="97">
        <f t="shared" si="2480"/>
        <v>4435.29</v>
      </c>
      <c r="ER1341" s="97">
        <f t="shared" si="2481"/>
        <v>4571.63</v>
      </c>
      <c r="ES1341" s="97">
        <f t="shared" si="2482"/>
        <v>4741.16</v>
      </c>
      <c r="ET1341" s="97">
        <f t="shared" si="2483"/>
        <v>411.13</v>
      </c>
      <c r="EU1341" s="97">
        <f t="shared" si="2484"/>
        <v>420.97</v>
      </c>
      <c r="EV1341" s="97">
        <f t="shared" si="2485"/>
        <v>422.73</v>
      </c>
      <c r="EW1341" s="97">
        <f t="shared" si="2486"/>
        <v>0</v>
      </c>
      <c r="EX1341" s="97">
        <f t="shared" si="2486"/>
        <v>0</v>
      </c>
      <c r="EY1341" s="97">
        <f t="shared" si="2486"/>
        <v>0</v>
      </c>
      <c r="EZ1341" s="97">
        <f t="shared" si="2487"/>
        <v>0</v>
      </c>
      <c r="FA1341" s="97">
        <f t="shared" si="2487"/>
        <v>0</v>
      </c>
      <c r="FB1341" s="97">
        <f t="shared" si="2487"/>
        <v>0</v>
      </c>
      <c r="FC1341" s="102"/>
      <c r="FD1341" s="102"/>
      <c r="FE1341" s="102"/>
      <c r="FF1341" s="97">
        <f t="shared" si="2488"/>
        <v>0</v>
      </c>
      <c r="FG1341" s="97">
        <f t="shared" si="2489"/>
        <v>0</v>
      </c>
      <c r="FH1341" s="97">
        <f t="shared" si="2490"/>
        <v>0</v>
      </c>
      <c r="FI1341" s="97">
        <f t="shared" si="2491"/>
        <v>0</v>
      </c>
      <c r="FJ1341" s="97">
        <f t="shared" si="2492"/>
        <v>0</v>
      </c>
      <c r="FK1341" s="97">
        <f t="shared" si="2493"/>
        <v>0</v>
      </c>
      <c r="FL1341" s="97">
        <f t="shared" si="2494"/>
        <v>4309.09</v>
      </c>
      <c r="FM1341" s="97">
        <f t="shared" si="2495"/>
        <v>4450.54</v>
      </c>
      <c r="FN1341" s="97">
        <f t="shared" si="2496"/>
        <v>4618.32</v>
      </c>
      <c r="FO1341" s="97">
        <f t="shared" si="2497"/>
        <v>442.18</v>
      </c>
      <c r="FP1341" s="97">
        <f t="shared" si="2498"/>
        <v>455.59</v>
      </c>
      <c r="FQ1341" s="97">
        <f t="shared" si="2499"/>
        <v>447.06</v>
      </c>
      <c r="FR1341" s="97">
        <f t="shared" si="2500"/>
        <v>0</v>
      </c>
      <c r="FS1341" s="97">
        <f t="shared" si="2500"/>
        <v>0</v>
      </c>
      <c r="FT1341" s="97">
        <f t="shared" si="2500"/>
        <v>0</v>
      </c>
      <c r="FU1341" s="97">
        <f t="shared" si="2501"/>
        <v>0</v>
      </c>
      <c r="FV1341" s="97">
        <f t="shared" si="2501"/>
        <v>0</v>
      </c>
      <c r="FW1341" s="97">
        <f t="shared" si="2501"/>
        <v>0</v>
      </c>
      <c r="FX1341" s="102"/>
      <c r="FY1341" s="102"/>
      <c r="FZ1341" s="102"/>
      <c r="GA1341" s="97">
        <f t="shared" si="2502"/>
        <v>0</v>
      </c>
      <c r="GB1341" s="97">
        <f t="shared" si="2503"/>
        <v>0</v>
      </c>
      <c r="GC1341" s="97">
        <f t="shared" si="2504"/>
        <v>0</v>
      </c>
      <c r="GD1341" s="97">
        <f t="shared" si="2505"/>
        <v>0</v>
      </c>
      <c r="GE1341" s="97">
        <f t="shared" si="2506"/>
        <v>0</v>
      </c>
      <c r="GF1341" s="97">
        <f t="shared" si="2507"/>
        <v>0</v>
      </c>
      <c r="GG1341" s="97">
        <f t="shared" si="2508"/>
        <v>4302.32</v>
      </c>
      <c r="GH1341" s="97">
        <f t="shared" si="2509"/>
        <v>4438.7</v>
      </c>
      <c r="GI1341" s="97">
        <f t="shared" si="2510"/>
        <v>4603.7299999999996</v>
      </c>
      <c r="GJ1341" s="97">
        <f t="shared" si="2511"/>
        <v>331.56</v>
      </c>
      <c r="GK1341" s="97">
        <f t="shared" si="2512"/>
        <v>368.2</v>
      </c>
      <c r="GL1341" s="97">
        <f t="shared" si="2513"/>
        <v>391.36</v>
      </c>
      <c r="GM1341" s="97">
        <f t="shared" si="2514"/>
        <v>0</v>
      </c>
      <c r="GN1341" s="97">
        <f t="shared" si="2514"/>
        <v>0</v>
      </c>
      <c r="GO1341" s="97">
        <f t="shared" si="2514"/>
        <v>0</v>
      </c>
      <c r="GP1341" s="97">
        <f t="shared" si="2515"/>
        <v>0</v>
      </c>
      <c r="GQ1341" s="97">
        <f t="shared" si="2515"/>
        <v>0</v>
      </c>
      <c r="GR1341" s="97">
        <f t="shared" si="2515"/>
        <v>0</v>
      </c>
      <c r="GS1341" s="102"/>
      <c r="GT1341" s="102"/>
      <c r="GU1341" s="102"/>
      <c r="GV1341" s="97">
        <f t="shared" si="2516"/>
        <v>0</v>
      </c>
      <c r="GW1341" s="97">
        <f t="shared" si="2517"/>
        <v>0</v>
      </c>
      <c r="GX1341" s="97">
        <f t="shared" si="2518"/>
        <v>0</v>
      </c>
      <c r="GY1341" s="97">
        <f t="shared" si="2519"/>
        <v>0</v>
      </c>
      <c r="GZ1341" s="97">
        <f t="shared" si="2520"/>
        <v>0</v>
      </c>
      <c r="HA1341" s="97">
        <f t="shared" si="2521"/>
        <v>0</v>
      </c>
      <c r="HB1341" s="97">
        <f t="shared" si="2522"/>
        <v>4494.3599999999997</v>
      </c>
      <c r="HC1341" s="97">
        <f t="shared" si="2523"/>
        <v>4634.96</v>
      </c>
      <c r="HD1341" s="97">
        <f t="shared" si="2524"/>
        <v>4807.1499999999996</v>
      </c>
      <c r="HE1341" s="97">
        <f t="shared" si="2525"/>
        <v>385.77</v>
      </c>
      <c r="HF1341" s="97">
        <f t="shared" si="2526"/>
        <v>393.83</v>
      </c>
      <c r="HG1341" s="97">
        <f t="shared" si="2527"/>
        <v>394.53</v>
      </c>
      <c r="HH1341" s="97">
        <f t="shared" si="2528"/>
        <v>0</v>
      </c>
      <c r="HI1341" s="97">
        <f t="shared" si="2528"/>
        <v>0</v>
      </c>
      <c r="HJ1341" s="97">
        <f t="shared" si="2528"/>
        <v>0</v>
      </c>
      <c r="HK1341" s="97">
        <f t="shared" si="2529"/>
        <v>0</v>
      </c>
      <c r="HL1341" s="97">
        <f t="shared" si="2529"/>
        <v>0</v>
      </c>
      <c r="HM1341" s="97">
        <f t="shared" si="2529"/>
        <v>0</v>
      </c>
      <c r="HN1341" s="102"/>
      <c r="HO1341" s="102"/>
      <c r="HP1341" s="102"/>
      <c r="HQ1341" s="97">
        <f t="shared" si="2530"/>
        <v>0</v>
      </c>
      <c r="HR1341" s="97">
        <f t="shared" si="2531"/>
        <v>0</v>
      </c>
      <c r="HS1341" s="97">
        <f t="shared" si="2532"/>
        <v>0</v>
      </c>
      <c r="HT1341" s="97">
        <f t="shared" si="2533"/>
        <v>0</v>
      </c>
      <c r="HU1341" s="97">
        <f t="shared" si="2534"/>
        <v>0</v>
      </c>
      <c r="HV1341" s="97">
        <f t="shared" si="2535"/>
        <v>0</v>
      </c>
      <c r="HW1341" s="97">
        <f t="shared" si="2536"/>
        <v>4423.08</v>
      </c>
      <c r="HX1341" s="97">
        <f t="shared" si="2537"/>
        <v>4568.1899999999996</v>
      </c>
      <c r="HY1341" s="97">
        <f t="shared" si="2538"/>
        <v>4738.76</v>
      </c>
      <c r="HZ1341" s="97">
        <f t="shared" si="2539"/>
        <v>368</v>
      </c>
      <c r="IA1341" s="97">
        <f t="shared" si="2540"/>
        <v>375.46</v>
      </c>
      <c r="IB1341" s="97">
        <f t="shared" si="2541"/>
        <v>369.69</v>
      </c>
      <c r="IC1341" s="97">
        <f t="shared" si="2542"/>
        <v>0</v>
      </c>
      <c r="ID1341" s="97">
        <f t="shared" si="2542"/>
        <v>0</v>
      </c>
      <c r="IE1341" s="97">
        <f t="shared" si="2542"/>
        <v>0</v>
      </c>
      <c r="IF1341" s="97">
        <f t="shared" si="2543"/>
        <v>0</v>
      </c>
      <c r="IG1341" s="97">
        <f t="shared" si="2543"/>
        <v>0</v>
      </c>
      <c r="IH1341" s="97">
        <f t="shared" si="2543"/>
        <v>0</v>
      </c>
      <c r="II1341" s="102"/>
      <c r="IJ1341" s="102"/>
      <c r="IK1341" s="102"/>
      <c r="IL1341" s="97">
        <f t="shared" si="2544"/>
        <v>0</v>
      </c>
      <c r="IM1341" s="97">
        <f t="shared" si="2545"/>
        <v>0</v>
      </c>
      <c r="IN1341" s="97">
        <f t="shared" si="2546"/>
        <v>0</v>
      </c>
      <c r="IO1341" s="97">
        <f t="shared" si="2547"/>
        <v>0</v>
      </c>
      <c r="IP1341" s="97">
        <f t="shared" si="2548"/>
        <v>0</v>
      </c>
      <c r="IQ1341" s="97">
        <f t="shared" si="2549"/>
        <v>0</v>
      </c>
      <c r="IR1341" s="97">
        <f t="shared" si="2550"/>
        <v>6008.45</v>
      </c>
      <c r="IS1341" s="97">
        <f t="shared" si="2551"/>
        <v>6189.48</v>
      </c>
      <c r="IT1341" s="97">
        <f t="shared" si="2552"/>
        <v>6418.25</v>
      </c>
      <c r="IU1341" s="97">
        <f t="shared" si="2553"/>
        <v>556.34</v>
      </c>
      <c r="IV1341" s="97">
        <f t="shared" si="2554"/>
        <v>567.59</v>
      </c>
      <c r="IW1341" s="97">
        <f t="shared" si="2555"/>
        <v>554.94000000000005</v>
      </c>
      <c r="IX1341" s="97">
        <f t="shared" si="2556"/>
        <v>0</v>
      </c>
      <c r="IY1341" s="97">
        <f t="shared" si="2556"/>
        <v>0</v>
      </c>
      <c r="IZ1341" s="97">
        <f t="shared" si="2556"/>
        <v>0</v>
      </c>
      <c r="JA1341" s="97">
        <f t="shared" si="2557"/>
        <v>0</v>
      </c>
      <c r="JB1341" s="97">
        <f t="shared" si="2557"/>
        <v>0</v>
      </c>
      <c r="JC1341" s="97">
        <f t="shared" si="2557"/>
        <v>0</v>
      </c>
      <c r="JD1341" s="102"/>
      <c r="JE1341" s="102"/>
      <c r="JF1341" s="102"/>
      <c r="JG1341" s="97">
        <f t="shared" si="2558"/>
        <v>0</v>
      </c>
      <c r="JH1341" s="97">
        <f t="shared" si="2559"/>
        <v>0</v>
      </c>
      <c r="JI1341" s="97">
        <f t="shared" si="2560"/>
        <v>0</v>
      </c>
      <c r="JJ1341" s="97">
        <f t="shared" si="2561"/>
        <v>0</v>
      </c>
      <c r="JK1341" s="97">
        <f t="shared" si="2562"/>
        <v>0</v>
      </c>
      <c r="JL1341" s="97">
        <f t="shared" si="2563"/>
        <v>0</v>
      </c>
      <c r="JM1341" s="97">
        <f t="shared" si="2564"/>
        <v>4027.71</v>
      </c>
      <c r="JN1341" s="97">
        <f t="shared" si="2565"/>
        <v>4157.3500000000004</v>
      </c>
      <c r="JO1341" s="97">
        <f t="shared" si="2566"/>
        <v>4313.3100000000004</v>
      </c>
      <c r="JP1341" s="97">
        <f t="shared" si="2567"/>
        <v>303.32</v>
      </c>
      <c r="JQ1341" s="97">
        <f t="shared" si="2568"/>
        <v>315.10000000000002</v>
      </c>
      <c r="JR1341" s="97">
        <f t="shared" si="2569"/>
        <v>315.85000000000002</v>
      </c>
      <c r="JS1341" s="97">
        <f t="shared" si="2570"/>
        <v>0</v>
      </c>
      <c r="JT1341" s="97">
        <f t="shared" si="2570"/>
        <v>0</v>
      </c>
      <c r="JU1341" s="97">
        <f t="shared" si="2570"/>
        <v>0</v>
      </c>
      <c r="JV1341" s="97">
        <f t="shared" si="2571"/>
        <v>0</v>
      </c>
      <c r="JW1341" s="97">
        <f t="shared" si="2571"/>
        <v>0</v>
      </c>
      <c r="JX1341" s="97">
        <f t="shared" si="2571"/>
        <v>0</v>
      </c>
      <c r="JY1341" s="102"/>
      <c r="JZ1341" s="102"/>
      <c r="KA1341" s="102"/>
      <c r="KB1341" s="97">
        <f t="shared" si="2572"/>
        <v>0</v>
      </c>
      <c r="KC1341" s="97">
        <f t="shared" si="2573"/>
        <v>0</v>
      </c>
      <c r="KD1341" s="97">
        <f t="shared" si="2574"/>
        <v>0</v>
      </c>
      <c r="KE1341" s="97">
        <f t="shared" si="2575"/>
        <v>0</v>
      </c>
      <c r="KF1341" s="97">
        <f t="shared" si="2576"/>
        <v>0</v>
      </c>
      <c r="KG1341" s="97">
        <f t="shared" si="2577"/>
        <v>0</v>
      </c>
      <c r="KH1341" s="97">
        <f t="shared" si="2578"/>
        <v>4140.91</v>
      </c>
      <c r="KI1341" s="97">
        <f t="shared" si="2579"/>
        <v>4270.58</v>
      </c>
      <c r="KJ1341" s="97">
        <f t="shared" si="2580"/>
        <v>4429.79</v>
      </c>
      <c r="KK1341" s="97">
        <f t="shared" si="2581"/>
        <v>284.33999999999997</v>
      </c>
      <c r="KL1341" s="97">
        <f t="shared" si="2582"/>
        <v>292.02999999999997</v>
      </c>
      <c r="KM1341" s="97">
        <f t="shared" si="2583"/>
        <v>290.64999999999998</v>
      </c>
      <c r="KN1341" s="97">
        <f t="shared" si="2584"/>
        <v>0</v>
      </c>
      <c r="KO1341" s="97">
        <f t="shared" si="2584"/>
        <v>0</v>
      </c>
      <c r="KP1341" s="97">
        <f t="shared" si="2584"/>
        <v>0</v>
      </c>
      <c r="KQ1341" s="97">
        <f t="shared" si="2585"/>
        <v>0</v>
      </c>
      <c r="KR1341" s="97">
        <f t="shared" si="2585"/>
        <v>0</v>
      </c>
      <c r="KS1341" s="97">
        <f t="shared" si="2585"/>
        <v>0</v>
      </c>
      <c r="KT1341" s="102"/>
      <c r="KU1341" s="102"/>
      <c r="KV1341" s="102"/>
      <c r="KW1341" s="97">
        <f t="shared" si="2586"/>
        <v>0</v>
      </c>
      <c r="KX1341" s="97">
        <f t="shared" si="2587"/>
        <v>0</v>
      </c>
      <c r="KY1341" s="97">
        <f t="shared" si="2588"/>
        <v>0</v>
      </c>
      <c r="KZ1341" s="97">
        <f t="shared" si="2589"/>
        <v>0</v>
      </c>
      <c r="LA1341" s="97">
        <f t="shared" si="2590"/>
        <v>0</v>
      </c>
      <c r="LB1341" s="97">
        <f t="shared" si="2591"/>
        <v>0</v>
      </c>
      <c r="LC1341" s="97">
        <f t="shared" si="2592"/>
        <v>3908.64</v>
      </c>
      <c r="LD1341" s="97">
        <f t="shared" si="2593"/>
        <v>4036.42</v>
      </c>
      <c r="LE1341" s="97">
        <f t="shared" si="2594"/>
        <v>4188.12</v>
      </c>
      <c r="LF1341" s="97">
        <f t="shared" si="2595"/>
        <v>391.89</v>
      </c>
      <c r="LG1341" s="97">
        <f t="shared" si="2596"/>
        <v>408.01</v>
      </c>
      <c r="LH1341" s="97">
        <f t="shared" si="2597"/>
        <v>410.15</v>
      </c>
      <c r="LI1341" s="97">
        <f t="shared" si="2598"/>
        <v>0</v>
      </c>
      <c r="LJ1341" s="97">
        <f t="shared" si="2598"/>
        <v>0</v>
      </c>
      <c r="LK1341" s="97">
        <f t="shared" si="2598"/>
        <v>0</v>
      </c>
      <c r="LL1341" s="97">
        <f t="shared" si="2599"/>
        <v>0</v>
      </c>
      <c r="LM1341" s="97">
        <f t="shared" si="2599"/>
        <v>0</v>
      </c>
      <c r="LN1341" s="97">
        <f t="shared" si="2599"/>
        <v>0</v>
      </c>
      <c r="LO1341" s="102"/>
      <c r="LP1341" s="102"/>
      <c r="LQ1341" s="102"/>
      <c r="LR1341" s="97">
        <f t="shared" si="2600"/>
        <v>0</v>
      </c>
      <c r="LS1341" s="97">
        <f t="shared" si="2601"/>
        <v>0</v>
      </c>
      <c r="LT1341" s="97">
        <f t="shared" si="2602"/>
        <v>0</v>
      </c>
      <c r="LU1341" s="97">
        <f t="shared" si="2603"/>
        <v>0</v>
      </c>
      <c r="LV1341" s="97">
        <f t="shared" si="2604"/>
        <v>0</v>
      </c>
      <c r="LW1341" s="97">
        <f t="shared" si="2605"/>
        <v>0</v>
      </c>
      <c r="LX1341" s="97">
        <f t="shared" si="2606"/>
        <v>3414.37</v>
      </c>
      <c r="LY1341" s="97">
        <f t="shared" si="2607"/>
        <v>3526.19</v>
      </c>
      <c r="LZ1341" s="97">
        <f t="shared" si="2608"/>
        <v>3658.33</v>
      </c>
      <c r="MA1341" s="97">
        <f t="shared" si="2609"/>
        <v>290.89999999999998</v>
      </c>
      <c r="MB1341" s="97">
        <f t="shared" si="2610"/>
        <v>298.10000000000002</v>
      </c>
      <c r="MC1341" s="97">
        <f t="shared" si="2611"/>
        <v>297.22000000000003</v>
      </c>
      <c r="MD1341" s="97">
        <f t="shared" si="2612"/>
        <v>0</v>
      </c>
      <c r="ME1341" s="97">
        <f t="shared" si="2612"/>
        <v>0</v>
      </c>
      <c r="MF1341" s="97">
        <f t="shared" si="2612"/>
        <v>0</v>
      </c>
      <c r="MG1341" s="97">
        <f t="shared" si="2613"/>
        <v>0</v>
      </c>
      <c r="MH1341" s="97">
        <f t="shared" si="2613"/>
        <v>0</v>
      </c>
      <c r="MI1341" s="97">
        <f t="shared" si="2613"/>
        <v>0</v>
      </c>
      <c r="MJ1341" s="102"/>
      <c r="MK1341" s="102"/>
      <c r="ML1341" s="102"/>
      <c r="MM1341" s="97">
        <f t="shared" si="2614"/>
        <v>0</v>
      </c>
      <c r="MN1341" s="97">
        <f t="shared" si="2615"/>
        <v>0</v>
      </c>
      <c r="MO1341" s="97">
        <f t="shared" si="2616"/>
        <v>0</v>
      </c>
      <c r="MP1341" s="97">
        <f t="shared" si="2617"/>
        <v>0</v>
      </c>
      <c r="MQ1341" s="97">
        <f t="shared" si="2618"/>
        <v>0</v>
      </c>
      <c r="MR1341" s="97">
        <f t="shared" si="2619"/>
        <v>0</v>
      </c>
      <c r="MS1341" s="97">
        <f t="shared" si="2620"/>
        <v>3950.05</v>
      </c>
      <c r="MT1341" s="97">
        <f t="shared" si="2621"/>
        <v>4078.91</v>
      </c>
      <c r="MU1341" s="97">
        <f t="shared" si="2622"/>
        <v>4232.1400000000003</v>
      </c>
      <c r="MV1341" s="97">
        <f t="shared" si="2623"/>
        <v>345.12</v>
      </c>
      <c r="MW1341" s="97">
        <f t="shared" si="2624"/>
        <v>348.89</v>
      </c>
      <c r="MX1341" s="97">
        <f t="shared" si="2625"/>
        <v>351.04</v>
      </c>
      <c r="MY1341" s="97">
        <f t="shared" si="2626"/>
        <v>0</v>
      </c>
      <c r="MZ1341" s="97">
        <f t="shared" si="2626"/>
        <v>0</v>
      </c>
      <c r="NA1341" s="97">
        <f t="shared" si="2626"/>
        <v>0</v>
      </c>
      <c r="NB1341" s="97">
        <f t="shared" si="2627"/>
        <v>0</v>
      </c>
      <c r="NC1341" s="97">
        <f t="shared" si="2627"/>
        <v>0</v>
      </c>
      <c r="ND1341" s="97">
        <f t="shared" si="2627"/>
        <v>0</v>
      </c>
      <c r="NE1341" s="102"/>
      <c r="NF1341" s="102"/>
      <c r="NG1341" s="102"/>
      <c r="NH1341" s="97">
        <f t="shared" si="2628"/>
        <v>0</v>
      </c>
      <c r="NI1341" s="97">
        <f t="shared" si="2629"/>
        <v>0</v>
      </c>
      <c r="NJ1341" s="97">
        <f t="shared" si="2630"/>
        <v>0</v>
      </c>
      <c r="NK1341" s="97">
        <f t="shared" si="2631"/>
        <v>0</v>
      </c>
      <c r="NL1341" s="97">
        <f t="shared" si="2632"/>
        <v>0</v>
      </c>
      <c r="NM1341" s="97">
        <f t="shared" si="2633"/>
        <v>0</v>
      </c>
      <c r="NN1341" s="97">
        <f t="shared" si="2634"/>
        <v>4032.91</v>
      </c>
      <c r="NO1341" s="97">
        <f t="shared" si="2635"/>
        <v>4159.1000000000004</v>
      </c>
      <c r="NP1341" s="97">
        <f t="shared" si="2636"/>
        <v>4312.91</v>
      </c>
      <c r="NQ1341" s="97">
        <f t="shared" si="2637"/>
        <v>505.45</v>
      </c>
      <c r="NR1341" s="97">
        <f t="shared" si="2638"/>
        <v>527.95000000000005</v>
      </c>
      <c r="NS1341" s="97">
        <f t="shared" si="2639"/>
        <v>513.37</v>
      </c>
      <c r="NT1341" s="97">
        <f t="shared" si="2640"/>
        <v>0</v>
      </c>
      <c r="NU1341" s="97">
        <f t="shared" si="2640"/>
        <v>0</v>
      </c>
      <c r="NV1341" s="97">
        <f t="shared" si="2640"/>
        <v>0</v>
      </c>
      <c r="NW1341" s="97">
        <f t="shared" si="2641"/>
        <v>0</v>
      </c>
      <c r="NX1341" s="97">
        <f t="shared" si="2641"/>
        <v>0</v>
      </c>
      <c r="NY1341" s="97">
        <f t="shared" si="2641"/>
        <v>0</v>
      </c>
      <c r="NZ1341" s="102"/>
      <c r="OA1341" s="102"/>
      <c r="OB1341" s="102"/>
      <c r="OC1341" s="97">
        <f t="shared" si="2642"/>
        <v>0</v>
      </c>
      <c r="OD1341" s="97">
        <f t="shared" si="2643"/>
        <v>0</v>
      </c>
      <c r="OE1341" s="97">
        <f t="shared" si="2644"/>
        <v>0</v>
      </c>
      <c r="OF1341" s="97">
        <f t="shared" si="2645"/>
        <v>0</v>
      </c>
      <c r="OG1341" s="97">
        <f t="shared" si="2646"/>
        <v>0</v>
      </c>
      <c r="OH1341" s="97">
        <f t="shared" si="2647"/>
        <v>0</v>
      </c>
      <c r="OI1341" s="97">
        <f t="shared" si="2648"/>
        <v>5287.83</v>
      </c>
      <c r="OJ1341" s="97">
        <f t="shared" si="2649"/>
        <v>5444.73</v>
      </c>
      <c r="OK1341" s="97">
        <f t="shared" si="2650"/>
        <v>5644.44</v>
      </c>
      <c r="OL1341" s="97">
        <f t="shared" si="2651"/>
        <v>506.96</v>
      </c>
      <c r="OM1341" s="97">
        <f t="shared" si="2652"/>
        <v>526.76</v>
      </c>
      <c r="ON1341" s="97">
        <f t="shared" si="2653"/>
        <v>524</v>
      </c>
      <c r="OO1341" s="97">
        <f t="shared" si="2654"/>
        <v>0</v>
      </c>
      <c r="OP1341" s="97">
        <f t="shared" si="2654"/>
        <v>0</v>
      </c>
      <c r="OQ1341" s="97">
        <f t="shared" si="2654"/>
        <v>0</v>
      </c>
      <c r="OR1341" s="97">
        <f t="shared" si="2655"/>
        <v>0</v>
      </c>
      <c r="OS1341" s="97">
        <f t="shared" si="2655"/>
        <v>0</v>
      </c>
      <c r="OT1341" s="97">
        <f t="shared" si="2655"/>
        <v>0</v>
      </c>
      <c r="OU1341" s="102"/>
      <c r="OV1341" s="102"/>
      <c r="OW1341" s="102"/>
      <c r="OX1341" s="97">
        <f t="shared" si="2656"/>
        <v>0</v>
      </c>
      <c r="OY1341" s="97">
        <f t="shared" si="2657"/>
        <v>0</v>
      </c>
      <c r="OZ1341" s="97">
        <f t="shared" si="2658"/>
        <v>0</v>
      </c>
      <c r="PA1341" s="97">
        <f t="shared" si="2659"/>
        <v>0</v>
      </c>
      <c r="PB1341" s="97">
        <f t="shared" si="2660"/>
        <v>0</v>
      </c>
      <c r="PC1341" s="97">
        <f t="shared" si="2661"/>
        <v>0</v>
      </c>
      <c r="PD1341" s="97">
        <f t="shared" si="2662"/>
        <v>4446.8999999999996</v>
      </c>
      <c r="PE1341" s="97">
        <f t="shared" si="2663"/>
        <v>4589.9399999999996</v>
      </c>
      <c r="PF1341" s="97">
        <f t="shared" si="2664"/>
        <v>4761.7299999999996</v>
      </c>
      <c r="PG1341" s="97">
        <f t="shared" si="2665"/>
        <v>405.17</v>
      </c>
      <c r="PH1341" s="97">
        <f t="shared" si="2666"/>
        <v>413.93</v>
      </c>
      <c r="PI1341" s="97">
        <f t="shared" si="2667"/>
        <v>417.29</v>
      </c>
      <c r="PJ1341" s="97">
        <f t="shared" si="2668"/>
        <v>0</v>
      </c>
      <c r="PK1341" s="97">
        <f t="shared" si="2668"/>
        <v>0</v>
      </c>
      <c r="PL1341" s="97">
        <f t="shared" si="2668"/>
        <v>0</v>
      </c>
      <c r="PM1341" s="97">
        <f t="shared" si="2669"/>
        <v>0</v>
      </c>
      <c r="PN1341" s="97">
        <f t="shared" si="2669"/>
        <v>0</v>
      </c>
      <c r="PO1341" s="97">
        <f t="shared" si="2669"/>
        <v>0</v>
      </c>
      <c r="PP1341" s="102"/>
      <c r="PQ1341" s="102"/>
      <c r="PR1341" s="102"/>
      <c r="PS1341" s="97">
        <f t="shared" si="2670"/>
        <v>0</v>
      </c>
      <c r="PT1341" s="97">
        <f t="shared" si="2671"/>
        <v>0</v>
      </c>
      <c r="PU1341" s="97">
        <f t="shared" si="2672"/>
        <v>0</v>
      </c>
      <c r="PV1341" s="97">
        <f t="shared" si="2673"/>
        <v>0</v>
      </c>
      <c r="PW1341" s="97">
        <f t="shared" si="2674"/>
        <v>0</v>
      </c>
      <c r="PX1341" s="97">
        <f t="shared" si="2675"/>
        <v>0</v>
      </c>
      <c r="PY1341" s="97">
        <f t="shared" si="2676"/>
        <v>3981.32</v>
      </c>
      <c r="PZ1341" s="97">
        <f t="shared" si="2677"/>
        <v>4112.84</v>
      </c>
      <c r="QA1341" s="97">
        <f t="shared" si="2678"/>
        <v>4267.0600000000004</v>
      </c>
      <c r="QB1341" s="97">
        <f t="shared" si="2679"/>
        <v>417.83</v>
      </c>
      <c r="QC1341" s="97">
        <f t="shared" si="2680"/>
        <v>438.77</v>
      </c>
      <c r="QD1341" s="97">
        <f t="shared" si="2681"/>
        <v>438.39</v>
      </c>
      <c r="QE1341" s="97">
        <f t="shared" si="2682"/>
        <v>0</v>
      </c>
      <c r="QF1341" s="97">
        <f t="shared" si="2682"/>
        <v>0</v>
      </c>
      <c r="QG1341" s="97">
        <f t="shared" si="2682"/>
        <v>0</v>
      </c>
      <c r="QH1341" s="97">
        <f t="shared" si="2683"/>
        <v>0</v>
      </c>
      <c r="QI1341" s="97">
        <f t="shared" si="2683"/>
        <v>0</v>
      </c>
      <c r="QJ1341" s="97">
        <f t="shared" si="2683"/>
        <v>0</v>
      </c>
      <c r="QK1341" s="102"/>
      <c r="QL1341" s="102"/>
      <c r="QM1341" s="102"/>
      <c r="QN1341" s="97">
        <f t="shared" si="2684"/>
        <v>0</v>
      </c>
      <c r="QO1341" s="97">
        <f t="shared" si="2685"/>
        <v>0</v>
      </c>
      <c r="QP1341" s="97">
        <f t="shared" si="2686"/>
        <v>0</v>
      </c>
      <c r="QQ1341" s="97">
        <f t="shared" si="2687"/>
        <v>0</v>
      </c>
      <c r="QR1341" s="97">
        <f t="shared" si="2688"/>
        <v>0</v>
      </c>
      <c r="QS1341" s="97">
        <f t="shared" si="2689"/>
        <v>0</v>
      </c>
      <c r="QT1341" s="97">
        <f t="shared" si="2690"/>
        <v>4048.78</v>
      </c>
      <c r="QU1341" s="97">
        <f t="shared" si="2691"/>
        <v>4181.01</v>
      </c>
      <c r="QV1341" s="97">
        <f t="shared" si="2692"/>
        <v>4338.25</v>
      </c>
      <c r="QW1341" s="97">
        <f t="shared" si="2693"/>
        <v>287.38</v>
      </c>
      <c r="QX1341" s="97">
        <f t="shared" si="2694"/>
        <v>298.20999999999998</v>
      </c>
      <c r="QY1341" s="97">
        <f t="shared" si="2695"/>
        <v>299.87</v>
      </c>
      <c r="QZ1341" s="97">
        <f t="shared" si="2696"/>
        <v>0</v>
      </c>
      <c r="RA1341" s="97">
        <f t="shared" si="2696"/>
        <v>0</v>
      </c>
      <c r="RB1341" s="97">
        <f t="shared" si="2696"/>
        <v>0</v>
      </c>
      <c r="RC1341" s="97">
        <f t="shared" si="2697"/>
        <v>0</v>
      </c>
      <c r="RD1341" s="97">
        <f t="shared" si="2697"/>
        <v>0</v>
      </c>
      <c r="RE1341" s="97">
        <f t="shared" si="2697"/>
        <v>0</v>
      </c>
      <c r="RF1341" s="102"/>
      <c r="RG1341" s="102"/>
      <c r="RH1341" s="102"/>
      <c r="RI1341" s="97">
        <f t="shared" si="2698"/>
        <v>0</v>
      </c>
      <c r="RJ1341" s="97">
        <f t="shared" si="2699"/>
        <v>0</v>
      </c>
      <c r="RK1341" s="97">
        <f t="shared" si="2700"/>
        <v>0</v>
      </c>
      <c r="RL1341" s="97">
        <f t="shared" si="2701"/>
        <v>0</v>
      </c>
      <c r="RM1341" s="97">
        <f t="shared" si="2702"/>
        <v>0</v>
      </c>
      <c r="RN1341" s="97">
        <f t="shared" si="2703"/>
        <v>0</v>
      </c>
      <c r="RO1341" s="97">
        <f t="shared" si="2704"/>
        <v>4337.0600000000004</v>
      </c>
      <c r="RP1341" s="97">
        <f t="shared" si="2705"/>
        <v>4476.84</v>
      </c>
      <c r="RQ1341" s="97">
        <f t="shared" si="2706"/>
        <v>4645.17</v>
      </c>
      <c r="RR1341" s="97">
        <f t="shared" si="2707"/>
        <v>405.38</v>
      </c>
      <c r="RS1341" s="97">
        <f t="shared" si="2708"/>
        <v>412.7</v>
      </c>
      <c r="RT1341" s="97">
        <f t="shared" si="2709"/>
        <v>415.1</v>
      </c>
      <c r="RU1341" s="97">
        <f t="shared" si="2710"/>
        <v>0</v>
      </c>
      <c r="RV1341" s="97">
        <f t="shared" si="2710"/>
        <v>0</v>
      </c>
      <c r="RW1341" s="97">
        <f t="shared" si="2710"/>
        <v>0</v>
      </c>
      <c r="RX1341" s="97">
        <f t="shared" si="2711"/>
        <v>0</v>
      </c>
      <c r="RY1341" s="97">
        <f t="shared" si="2711"/>
        <v>0</v>
      </c>
      <c r="RZ1341" s="97">
        <f t="shared" si="2711"/>
        <v>0</v>
      </c>
      <c r="SA1341" s="102"/>
      <c r="SB1341" s="102"/>
      <c r="SC1341" s="102"/>
      <c r="SD1341" s="97">
        <f t="shared" si="2712"/>
        <v>0</v>
      </c>
      <c r="SE1341" s="97">
        <f t="shared" si="2713"/>
        <v>0</v>
      </c>
      <c r="SF1341" s="97">
        <f t="shared" si="2714"/>
        <v>0</v>
      </c>
      <c r="SG1341" s="97">
        <f t="shared" si="2715"/>
        <v>0</v>
      </c>
      <c r="SH1341" s="97">
        <f t="shared" si="2716"/>
        <v>0</v>
      </c>
      <c r="SI1341" s="97">
        <f t="shared" si="2717"/>
        <v>0</v>
      </c>
      <c r="SJ1341" s="97">
        <f t="shared" si="2718"/>
        <v>4557.04</v>
      </c>
      <c r="SK1341" s="97">
        <f t="shared" si="2719"/>
        <v>4698.68</v>
      </c>
      <c r="SL1341" s="97">
        <f t="shared" si="2720"/>
        <v>4873.33</v>
      </c>
      <c r="SM1341" s="97">
        <f t="shared" si="2721"/>
        <v>567.54999999999995</v>
      </c>
      <c r="SN1341" s="97">
        <f t="shared" si="2722"/>
        <v>585.64</v>
      </c>
      <c r="SO1341" s="97">
        <f t="shared" si="2723"/>
        <v>587.23</v>
      </c>
      <c r="SP1341" s="97">
        <f t="shared" si="2724"/>
        <v>0</v>
      </c>
      <c r="SQ1341" s="97">
        <f t="shared" si="2724"/>
        <v>0</v>
      </c>
      <c r="SR1341" s="97">
        <f t="shared" si="2724"/>
        <v>0</v>
      </c>
      <c r="SS1341" s="97">
        <f t="shared" si="2725"/>
        <v>0</v>
      </c>
      <c r="ST1341" s="97">
        <f t="shared" si="2725"/>
        <v>0</v>
      </c>
      <c r="SU1341" s="97">
        <f t="shared" si="2725"/>
        <v>0</v>
      </c>
      <c r="SV1341" s="102"/>
      <c r="SW1341" s="102"/>
      <c r="SX1341" s="102"/>
      <c r="SY1341" s="97">
        <f t="shared" si="2726"/>
        <v>0</v>
      </c>
      <c r="SZ1341" s="97">
        <f t="shared" si="2727"/>
        <v>0</v>
      </c>
      <c r="TA1341" s="97">
        <f t="shared" si="2728"/>
        <v>0</v>
      </c>
      <c r="TB1341" s="97">
        <f t="shared" si="2729"/>
        <v>0</v>
      </c>
      <c r="TC1341" s="97">
        <f t="shared" si="2730"/>
        <v>0</v>
      </c>
      <c r="TD1341" s="97">
        <f t="shared" si="2731"/>
        <v>0</v>
      </c>
      <c r="TE1341" s="97">
        <f t="shared" si="2732"/>
        <v>4073.36</v>
      </c>
      <c r="TF1341" s="97">
        <f t="shared" si="2733"/>
        <v>4204.76</v>
      </c>
      <c r="TG1341" s="97">
        <f t="shared" si="2734"/>
        <v>4362.1000000000004</v>
      </c>
      <c r="TH1341" s="97">
        <f t="shared" si="2735"/>
        <v>432.21</v>
      </c>
      <c r="TI1341" s="97">
        <f t="shared" si="2736"/>
        <v>443.69</v>
      </c>
      <c r="TJ1341" s="97">
        <f t="shared" si="2737"/>
        <v>442.41</v>
      </c>
      <c r="TK1341" s="97">
        <f t="shared" si="2738"/>
        <v>0</v>
      </c>
      <c r="TL1341" s="97">
        <f t="shared" si="2738"/>
        <v>0</v>
      </c>
      <c r="TM1341" s="97">
        <f t="shared" si="2738"/>
        <v>0</v>
      </c>
      <c r="TN1341" s="97">
        <f t="shared" si="2739"/>
        <v>0</v>
      </c>
      <c r="TO1341" s="97">
        <f t="shared" si="2739"/>
        <v>0</v>
      </c>
      <c r="TP1341" s="97">
        <f t="shared" si="2739"/>
        <v>0</v>
      </c>
      <c r="TQ1341" s="102"/>
      <c r="TR1341" s="102"/>
      <c r="TS1341" s="102"/>
      <c r="TT1341" s="97">
        <f t="shared" si="2740"/>
        <v>0</v>
      </c>
      <c r="TU1341" s="97">
        <f t="shared" si="2741"/>
        <v>0</v>
      </c>
      <c r="TV1341" s="97">
        <f t="shared" si="2742"/>
        <v>0</v>
      </c>
      <c r="TW1341" s="97">
        <f t="shared" si="2743"/>
        <v>0</v>
      </c>
      <c r="TX1341" s="97">
        <f t="shared" si="2744"/>
        <v>0</v>
      </c>
      <c r="TY1341" s="97">
        <f t="shared" si="2745"/>
        <v>0</v>
      </c>
      <c r="TZ1341" s="97">
        <f t="shared" si="2746"/>
        <v>4363.6400000000003</v>
      </c>
      <c r="UA1341" s="97">
        <f t="shared" si="2747"/>
        <v>4501.12</v>
      </c>
      <c r="UB1341" s="97">
        <f t="shared" si="2748"/>
        <v>4669.8599999999997</v>
      </c>
      <c r="UC1341" s="97">
        <f t="shared" si="2749"/>
        <v>394.98</v>
      </c>
      <c r="UD1341" s="97">
        <f t="shared" si="2750"/>
        <v>417.39</v>
      </c>
      <c r="UE1341" s="97">
        <f t="shared" si="2751"/>
        <v>418.67</v>
      </c>
      <c r="UF1341" s="97">
        <f t="shared" si="2752"/>
        <v>0</v>
      </c>
      <c r="UG1341" s="97">
        <f t="shared" si="2752"/>
        <v>0</v>
      </c>
      <c r="UH1341" s="97">
        <f t="shared" si="2752"/>
        <v>0</v>
      </c>
      <c r="UI1341" s="97">
        <f t="shared" si="2753"/>
        <v>0</v>
      </c>
      <c r="UJ1341" s="97">
        <f t="shared" si="2753"/>
        <v>0</v>
      </c>
      <c r="UK1341" s="97">
        <f t="shared" si="2753"/>
        <v>0</v>
      </c>
      <c r="UL1341" s="102"/>
      <c r="UM1341" s="102"/>
      <c r="UN1341" s="102"/>
      <c r="UO1341" s="97">
        <f t="shared" si="2754"/>
        <v>0</v>
      </c>
      <c r="UP1341" s="97">
        <f t="shared" si="2755"/>
        <v>0</v>
      </c>
      <c r="UQ1341" s="97">
        <f t="shared" si="2756"/>
        <v>0</v>
      </c>
      <c r="UR1341" s="97">
        <f t="shared" si="2757"/>
        <v>0</v>
      </c>
      <c r="US1341" s="97">
        <f t="shared" si="2758"/>
        <v>0</v>
      </c>
      <c r="UT1341" s="97">
        <f t="shared" si="2759"/>
        <v>0</v>
      </c>
      <c r="UU1341" s="97">
        <f t="shared" si="2760"/>
        <v>4036.82</v>
      </c>
      <c r="UV1341" s="97">
        <f t="shared" si="2761"/>
        <v>4171.07</v>
      </c>
      <c r="UW1341" s="97">
        <f t="shared" si="2762"/>
        <v>4328.49</v>
      </c>
      <c r="UX1341" s="97">
        <f t="shared" si="2763"/>
        <v>307.89</v>
      </c>
      <c r="UY1341" s="97">
        <f t="shared" si="2764"/>
        <v>323.83999999999997</v>
      </c>
      <c r="UZ1341" s="97">
        <f t="shared" si="2765"/>
        <v>326.26</v>
      </c>
      <c r="VA1341" s="97">
        <f t="shared" si="2766"/>
        <v>0</v>
      </c>
      <c r="VB1341" s="97">
        <f t="shared" si="2766"/>
        <v>0</v>
      </c>
      <c r="VC1341" s="97">
        <f t="shared" si="2766"/>
        <v>0</v>
      </c>
      <c r="VD1341" s="97">
        <f t="shared" si="2767"/>
        <v>0</v>
      </c>
      <c r="VE1341" s="97">
        <f t="shared" si="2767"/>
        <v>0</v>
      </c>
      <c r="VF1341" s="97">
        <f t="shared" si="2767"/>
        <v>0</v>
      </c>
      <c r="VG1341" s="102"/>
      <c r="VH1341" s="102"/>
      <c r="VI1341" s="102"/>
      <c r="VJ1341" s="97">
        <f t="shared" si="2768"/>
        <v>0</v>
      </c>
      <c r="VK1341" s="97">
        <f t="shared" si="2769"/>
        <v>0</v>
      </c>
      <c r="VL1341" s="97">
        <f t="shared" si="2770"/>
        <v>0</v>
      </c>
      <c r="VM1341" s="97">
        <f t="shared" si="2771"/>
        <v>0</v>
      </c>
      <c r="VN1341" s="97">
        <f t="shared" si="2772"/>
        <v>0</v>
      </c>
      <c r="VO1341" s="97">
        <f t="shared" si="2773"/>
        <v>0</v>
      </c>
      <c r="VP1341" s="97">
        <f t="shared" si="2774"/>
        <v>4118.01</v>
      </c>
      <c r="VQ1341" s="97">
        <f t="shared" si="2775"/>
        <v>4251.42</v>
      </c>
      <c r="VR1341" s="97">
        <f t="shared" si="2776"/>
        <v>4411.59</v>
      </c>
      <c r="VS1341" s="97">
        <f t="shared" si="2777"/>
        <v>331.4</v>
      </c>
      <c r="VT1341" s="97">
        <f t="shared" si="2778"/>
        <v>341.47</v>
      </c>
      <c r="VU1341" s="97">
        <f t="shared" si="2779"/>
        <v>343.85</v>
      </c>
      <c r="VV1341" s="97">
        <f t="shared" si="2780"/>
        <v>0</v>
      </c>
      <c r="VW1341" s="97">
        <f t="shared" si="2780"/>
        <v>0</v>
      </c>
      <c r="VX1341" s="97">
        <f t="shared" si="2780"/>
        <v>0</v>
      </c>
      <c r="VY1341" s="97">
        <f t="shared" si="2781"/>
        <v>0</v>
      </c>
      <c r="VZ1341" s="97">
        <f t="shared" si="2781"/>
        <v>0</v>
      </c>
      <c r="WA1341" s="97">
        <f t="shared" si="2781"/>
        <v>0</v>
      </c>
      <c r="WB1341" s="102"/>
      <c r="WC1341" s="102"/>
      <c r="WD1341" s="102"/>
      <c r="WE1341" s="97">
        <f t="shared" si="2782"/>
        <v>0</v>
      </c>
      <c r="WF1341" s="97">
        <f t="shared" si="2783"/>
        <v>0</v>
      </c>
      <c r="WG1341" s="97">
        <f t="shared" si="2784"/>
        <v>0</v>
      </c>
      <c r="WH1341" s="97">
        <f t="shared" si="2785"/>
        <v>0</v>
      </c>
      <c r="WI1341" s="97">
        <f t="shared" si="2786"/>
        <v>0</v>
      </c>
      <c r="WJ1341" s="97">
        <f t="shared" si="2787"/>
        <v>0</v>
      </c>
      <c r="WK1341" s="97">
        <f t="shared" si="2788"/>
        <v>3804.43</v>
      </c>
      <c r="WL1341" s="97">
        <f t="shared" si="2789"/>
        <v>3932.09</v>
      </c>
      <c r="WM1341" s="97">
        <f t="shared" si="2790"/>
        <v>4080.29</v>
      </c>
      <c r="WN1341" s="97">
        <f t="shared" si="2791"/>
        <v>355.89</v>
      </c>
      <c r="WO1341" s="97">
        <f t="shared" si="2792"/>
        <v>375.68</v>
      </c>
      <c r="WP1341" s="97">
        <f t="shared" si="2793"/>
        <v>378.63</v>
      </c>
      <c r="WQ1341" s="97">
        <f t="shared" si="2794"/>
        <v>0</v>
      </c>
      <c r="WR1341" s="97">
        <f t="shared" si="2794"/>
        <v>0</v>
      </c>
      <c r="WS1341" s="97">
        <f t="shared" si="2794"/>
        <v>0</v>
      </c>
      <c r="WT1341" s="97">
        <f t="shared" si="2795"/>
        <v>0</v>
      </c>
      <c r="WU1341" s="97">
        <f t="shared" si="2795"/>
        <v>0</v>
      </c>
      <c r="WV1341" s="97">
        <f t="shared" si="2795"/>
        <v>0</v>
      </c>
      <c r="WW1341" s="102"/>
      <c r="WX1341" s="102"/>
      <c r="WY1341" s="102"/>
      <c r="WZ1341" s="97">
        <f t="shared" si="2796"/>
        <v>0</v>
      </c>
      <c r="XA1341" s="97">
        <f t="shared" si="2797"/>
        <v>0</v>
      </c>
      <c r="XB1341" s="97">
        <f t="shared" si="2798"/>
        <v>0</v>
      </c>
      <c r="XC1341" s="97">
        <f t="shared" si="2799"/>
        <v>0</v>
      </c>
      <c r="XD1341" s="97">
        <f t="shared" si="2800"/>
        <v>0</v>
      </c>
      <c r="XE1341" s="97">
        <f t="shared" si="2801"/>
        <v>0</v>
      </c>
      <c r="XF1341" s="97">
        <f t="shared" si="2802"/>
        <v>3737.47</v>
      </c>
      <c r="XG1341" s="97">
        <f t="shared" si="2803"/>
        <v>3860.29</v>
      </c>
      <c r="XH1341" s="97">
        <f t="shared" si="2804"/>
        <v>4004.99</v>
      </c>
      <c r="XI1341" s="97">
        <f t="shared" si="2805"/>
        <v>286.64999999999998</v>
      </c>
      <c r="XJ1341" s="97">
        <f t="shared" si="2806"/>
        <v>303.69</v>
      </c>
      <c r="XK1341" s="97">
        <f t="shared" si="2807"/>
        <v>304.99</v>
      </c>
      <c r="XL1341" s="97">
        <f t="shared" si="2808"/>
        <v>0</v>
      </c>
      <c r="XM1341" s="97">
        <f t="shared" si="2808"/>
        <v>0</v>
      </c>
      <c r="XN1341" s="97">
        <f t="shared" si="2808"/>
        <v>0</v>
      </c>
      <c r="XO1341" s="97">
        <f t="shared" si="2809"/>
        <v>0</v>
      </c>
      <c r="XP1341" s="97">
        <f t="shared" si="2809"/>
        <v>0</v>
      </c>
      <c r="XQ1341" s="97">
        <f t="shared" si="2809"/>
        <v>0</v>
      </c>
      <c r="XR1341" s="102"/>
      <c r="XS1341" s="102"/>
      <c r="XT1341" s="102"/>
      <c r="XU1341" s="97">
        <f t="shared" si="2810"/>
        <v>0</v>
      </c>
      <c r="XV1341" s="97">
        <f t="shared" si="2811"/>
        <v>0</v>
      </c>
      <c r="XW1341" s="97">
        <f t="shared" si="2812"/>
        <v>0</v>
      </c>
      <c r="XX1341" s="97">
        <f t="shared" si="2813"/>
        <v>0</v>
      </c>
      <c r="XY1341" s="97">
        <f t="shared" si="2814"/>
        <v>0</v>
      </c>
      <c r="XZ1341" s="97">
        <f t="shared" si="2815"/>
        <v>0</v>
      </c>
      <c r="YA1341" s="97">
        <f t="shared" si="2816"/>
        <v>3945.16</v>
      </c>
      <c r="YB1341" s="97">
        <f t="shared" si="2817"/>
        <v>4078.12</v>
      </c>
      <c r="YC1341" s="97">
        <f t="shared" si="2818"/>
        <v>4232.91</v>
      </c>
      <c r="YD1341" s="97">
        <f t="shared" si="2819"/>
        <v>1253.5899999999999</v>
      </c>
      <c r="YE1341" s="97">
        <f t="shared" si="2820"/>
        <v>1484.12</v>
      </c>
      <c r="YF1341" s="97">
        <f t="shared" si="2821"/>
        <v>1493.98</v>
      </c>
      <c r="YG1341" s="97">
        <f t="shared" si="2822"/>
        <v>0</v>
      </c>
      <c r="YH1341" s="97">
        <f t="shared" si="2822"/>
        <v>0</v>
      </c>
      <c r="YI1341" s="97">
        <f t="shared" si="2822"/>
        <v>0</v>
      </c>
      <c r="YJ1341" s="97">
        <f t="shared" si="2823"/>
        <v>0</v>
      </c>
      <c r="YK1341" s="97">
        <f t="shared" si="2823"/>
        <v>0</v>
      </c>
      <c r="YL1341" s="97">
        <f t="shared" si="2823"/>
        <v>0</v>
      </c>
      <c r="YM1341" s="145">
        <f t="shared" si="2824"/>
        <v>0</v>
      </c>
      <c r="YN1341" s="145">
        <f t="shared" si="2824"/>
        <v>0</v>
      </c>
      <c r="YO1341" s="145">
        <f t="shared" si="2824"/>
        <v>0</v>
      </c>
      <c r="YP1341" s="97">
        <f t="shared" si="2825"/>
        <v>0</v>
      </c>
      <c r="YQ1341" s="97">
        <f t="shared" si="2826"/>
        <v>0</v>
      </c>
      <c r="YR1341" s="97">
        <f t="shared" si="2827"/>
        <v>0</v>
      </c>
      <c r="YS1341" s="97">
        <f t="shared" si="2828"/>
        <v>0</v>
      </c>
      <c r="YT1341" s="97">
        <f t="shared" si="2829"/>
        <v>0</v>
      </c>
      <c r="YU1341" s="97">
        <f t="shared" si="2830"/>
        <v>0</v>
      </c>
      <c r="YV1341" s="97">
        <f t="shared" si="2831"/>
        <v>4158.03</v>
      </c>
      <c r="YW1341" s="97">
        <f t="shared" si="2832"/>
        <v>4292.42</v>
      </c>
      <c r="YX1341" s="97">
        <f t="shared" si="2833"/>
        <v>4453.2</v>
      </c>
      <c r="YY1341" s="97">
        <f t="shared" si="2834"/>
        <v>403.25</v>
      </c>
      <c r="YZ1341" s="97">
        <f t="shared" si="2835"/>
        <v>423.79</v>
      </c>
      <c r="ZA1341" s="97">
        <f t="shared" si="2836"/>
        <v>424.61</v>
      </c>
      <c r="ZB1341" s="97">
        <f t="shared" si="2837"/>
        <v>0</v>
      </c>
      <c r="ZC1341" s="97">
        <f t="shared" si="2837"/>
        <v>0</v>
      </c>
      <c r="ZD1341" s="97">
        <f t="shared" si="2837"/>
        <v>0</v>
      </c>
      <c r="ZE1341" s="97">
        <f t="shared" si="2838"/>
        <v>0</v>
      </c>
      <c r="ZF1341" s="97">
        <f t="shared" si="2838"/>
        <v>0</v>
      </c>
      <c r="ZG1341" s="97">
        <f t="shared" si="2838"/>
        <v>0</v>
      </c>
    </row>
    <row r="1342" spans="1:683" ht="60" hidden="1" x14ac:dyDescent="0.25">
      <c r="A1342" s="92" t="s">
        <v>639</v>
      </c>
      <c r="B1342" s="174"/>
      <c r="C1342" s="5"/>
      <c r="D1342" s="340"/>
      <c r="E1342" s="163"/>
      <c r="F1342" s="110">
        <f t="shared" si="2388"/>
        <v>10604</v>
      </c>
      <c r="G1342" s="110">
        <f t="shared" si="2388"/>
        <v>10604</v>
      </c>
      <c r="H1342" s="110">
        <f t="shared" si="2388"/>
        <v>10604</v>
      </c>
      <c r="I1342" s="97">
        <f t="shared" si="2389"/>
        <v>469</v>
      </c>
      <c r="J1342" s="97">
        <f t="shared" si="2389"/>
        <v>469</v>
      </c>
      <c r="K1342" s="97">
        <f t="shared" si="2389"/>
        <v>469</v>
      </c>
      <c r="L1342" s="102"/>
      <c r="M1342" s="102"/>
      <c r="N1342" s="102"/>
      <c r="O1342" s="97">
        <f t="shared" si="2390"/>
        <v>0</v>
      </c>
      <c r="P1342" s="97">
        <f t="shared" si="2391"/>
        <v>0</v>
      </c>
      <c r="Q1342" s="97">
        <f t="shared" si="2392"/>
        <v>0</v>
      </c>
      <c r="R1342" s="97">
        <f t="shared" si="2393"/>
        <v>0</v>
      </c>
      <c r="S1342" s="97">
        <f t="shared" si="2394"/>
        <v>0</v>
      </c>
      <c r="T1342" s="97">
        <f t="shared" si="2395"/>
        <v>0</v>
      </c>
      <c r="U1342" s="97">
        <f t="shared" si="2396"/>
        <v>4575.68</v>
      </c>
      <c r="V1342" s="97">
        <f t="shared" si="2397"/>
        <v>4724.88</v>
      </c>
      <c r="W1342" s="97">
        <f t="shared" si="2398"/>
        <v>4903.1400000000003</v>
      </c>
      <c r="X1342" s="97">
        <f t="shared" si="2399"/>
        <v>367.76</v>
      </c>
      <c r="Y1342" s="97">
        <f t="shared" si="2400"/>
        <v>371.55</v>
      </c>
      <c r="Z1342" s="97">
        <f t="shared" si="2401"/>
        <v>370.5</v>
      </c>
      <c r="AA1342" s="97">
        <f t="shared" si="2402"/>
        <v>0</v>
      </c>
      <c r="AB1342" s="97">
        <f t="shared" si="2402"/>
        <v>0</v>
      </c>
      <c r="AC1342" s="97">
        <f t="shared" si="2402"/>
        <v>0</v>
      </c>
      <c r="AD1342" s="97">
        <f t="shared" si="2403"/>
        <v>0</v>
      </c>
      <c r="AE1342" s="97">
        <f t="shared" si="2403"/>
        <v>0</v>
      </c>
      <c r="AF1342" s="97">
        <f t="shared" si="2403"/>
        <v>0</v>
      </c>
      <c r="AG1342" s="102"/>
      <c r="AH1342" s="102"/>
      <c r="AI1342" s="102"/>
      <c r="AJ1342" s="97">
        <f t="shared" si="2404"/>
        <v>0</v>
      </c>
      <c r="AK1342" s="97">
        <f t="shared" si="2405"/>
        <v>0</v>
      </c>
      <c r="AL1342" s="97">
        <f t="shared" si="2406"/>
        <v>0</v>
      </c>
      <c r="AM1342" s="97">
        <f t="shared" si="2407"/>
        <v>0</v>
      </c>
      <c r="AN1342" s="97">
        <f t="shared" si="2408"/>
        <v>0</v>
      </c>
      <c r="AO1342" s="97">
        <f t="shared" si="2409"/>
        <v>0</v>
      </c>
      <c r="AP1342" s="97">
        <f t="shared" si="2410"/>
        <v>4209.42</v>
      </c>
      <c r="AQ1342" s="97">
        <f t="shared" si="2411"/>
        <v>4345.97</v>
      </c>
      <c r="AR1342" s="97">
        <f t="shared" si="2412"/>
        <v>4509.22</v>
      </c>
      <c r="AS1342" s="97">
        <f t="shared" si="2413"/>
        <v>293.25</v>
      </c>
      <c r="AT1342" s="97">
        <f t="shared" si="2414"/>
        <v>300.76</v>
      </c>
      <c r="AU1342" s="97">
        <f t="shared" si="2415"/>
        <v>302.26</v>
      </c>
      <c r="AV1342" s="97">
        <f t="shared" si="2416"/>
        <v>0</v>
      </c>
      <c r="AW1342" s="97">
        <f t="shared" si="2416"/>
        <v>0</v>
      </c>
      <c r="AX1342" s="97">
        <f t="shared" si="2416"/>
        <v>0</v>
      </c>
      <c r="AY1342" s="97">
        <f t="shared" si="2417"/>
        <v>0</v>
      </c>
      <c r="AZ1342" s="97">
        <f t="shared" si="2417"/>
        <v>0</v>
      </c>
      <c r="BA1342" s="97">
        <f t="shared" si="2417"/>
        <v>0</v>
      </c>
      <c r="BB1342" s="102"/>
      <c r="BC1342" s="102"/>
      <c r="BD1342" s="102"/>
      <c r="BE1342" s="97">
        <f t="shared" si="2418"/>
        <v>0</v>
      </c>
      <c r="BF1342" s="97">
        <f t="shared" si="2419"/>
        <v>0</v>
      </c>
      <c r="BG1342" s="97">
        <f t="shared" si="2420"/>
        <v>0</v>
      </c>
      <c r="BH1342" s="97">
        <f t="shared" si="2421"/>
        <v>0</v>
      </c>
      <c r="BI1342" s="97">
        <f t="shared" si="2422"/>
        <v>0</v>
      </c>
      <c r="BJ1342" s="97">
        <f t="shared" si="2423"/>
        <v>0</v>
      </c>
      <c r="BK1342" s="97">
        <f t="shared" si="2424"/>
        <v>3970.86</v>
      </c>
      <c r="BL1342" s="97">
        <f t="shared" si="2425"/>
        <v>4091.53</v>
      </c>
      <c r="BM1342" s="97">
        <f t="shared" si="2426"/>
        <v>4240.6099999999997</v>
      </c>
      <c r="BN1342" s="97">
        <f t="shared" si="2427"/>
        <v>313.25</v>
      </c>
      <c r="BO1342" s="97">
        <f t="shared" si="2428"/>
        <v>321.27999999999997</v>
      </c>
      <c r="BP1342" s="97">
        <f t="shared" si="2429"/>
        <v>322.29000000000002</v>
      </c>
      <c r="BQ1342" s="97">
        <f t="shared" si="2430"/>
        <v>0</v>
      </c>
      <c r="BR1342" s="97">
        <f t="shared" si="2430"/>
        <v>0</v>
      </c>
      <c r="BS1342" s="97">
        <f t="shared" si="2430"/>
        <v>0</v>
      </c>
      <c r="BT1342" s="97">
        <f t="shared" si="2431"/>
        <v>0</v>
      </c>
      <c r="BU1342" s="97">
        <f t="shared" si="2431"/>
        <v>0</v>
      </c>
      <c r="BV1342" s="97">
        <f t="shared" si="2431"/>
        <v>0</v>
      </c>
      <c r="BW1342" s="102"/>
      <c r="BX1342" s="102"/>
      <c r="BY1342" s="102"/>
      <c r="BZ1342" s="97">
        <f t="shared" si="2432"/>
        <v>0</v>
      </c>
      <c r="CA1342" s="97">
        <f t="shared" si="2433"/>
        <v>0</v>
      </c>
      <c r="CB1342" s="97">
        <f t="shared" si="2434"/>
        <v>0</v>
      </c>
      <c r="CC1342" s="97">
        <f t="shared" si="2435"/>
        <v>0</v>
      </c>
      <c r="CD1342" s="97">
        <f t="shared" si="2436"/>
        <v>0</v>
      </c>
      <c r="CE1342" s="97">
        <f t="shared" si="2437"/>
        <v>0</v>
      </c>
      <c r="CF1342" s="97">
        <f t="shared" si="2438"/>
        <v>4100.82</v>
      </c>
      <c r="CG1342" s="97">
        <f t="shared" si="2439"/>
        <v>4237.03</v>
      </c>
      <c r="CH1342" s="97">
        <f t="shared" si="2440"/>
        <v>4396.46</v>
      </c>
      <c r="CI1342" s="97">
        <f t="shared" si="2441"/>
        <v>482.92</v>
      </c>
      <c r="CJ1342" s="97">
        <f t="shared" si="2442"/>
        <v>485.42</v>
      </c>
      <c r="CK1342" s="97">
        <f t="shared" si="2443"/>
        <v>483.08</v>
      </c>
      <c r="CL1342" s="97">
        <f t="shared" si="2444"/>
        <v>0</v>
      </c>
      <c r="CM1342" s="97">
        <f t="shared" si="2444"/>
        <v>0</v>
      </c>
      <c r="CN1342" s="97">
        <f t="shared" si="2444"/>
        <v>0</v>
      </c>
      <c r="CO1342" s="97">
        <f t="shared" si="2445"/>
        <v>0</v>
      </c>
      <c r="CP1342" s="97">
        <f t="shared" si="2445"/>
        <v>0</v>
      </c>
      <c r="CQ1342" s="97">
        <f t="shared" si="2445"/>
        <v>0</v>
      </c>
      <c r="CR1342" s="102"/>
      <c r="CS1342" s="102"/>
      <c r="CT1342" s="102"/>
      <c r="CU1342" s="97">
        <f t="shared" si="2446"/>
        <v>0</v>
      </c>
      <c r="CV1342" s="97">
        <f t="shared" si="2447"/>
        <v>0</v>
      </c>
      <c r="CW1342" s="97">
        <f t="shared" si="2448"/>
        <v>0</v>
      </c>
      <c r="CX1342" s="97">
        <f t="shared" si="2449"/>
        <v>0</v>
      </c>
      <c r="CY1342" s="97">
        <f t="shared" si="2450"/>
        <v>0</v>
      </c>
      <c r="CZ1342" s="97">
        <f t="shared" si="2451"/>
        <v>0</v>
      </c>
      <c r="DA1342" s="97">
        <f t="shared" si="2452"/>
        <v>4132.3999999999996</v>
      </c>
      <c r="DB1342" s="97">
        <f t="shared" si="2453"/>
        <v>4265.99</v>
      </c>
      <c r="DC1342" s="97">
        <f t="shared" si="2454"/>
        <v>4426.25</v>
      </c>
      <c r="DD1342" s="97">
        <f t="shared" si="2455"/>
        <v>233.8</v>
      </c>
      <c r="DE1342" s="97">
        <f t="shared" si="2456"/>
        <v>236.16</v>
      </c>
      <c r="DF1342" s="97">
        <f t="shared" si="2457"/>
        <v>235.75</v>
      </c>
      <c r="DG1342" s="97">
        <f t="shared" si="2458"/>
        <v>0</v>
      </c>
      <c r="DH1342" s="97">
        <f t="shared" si="2458"/>
        <v>0</v>
      </c>
      <c r="DI1342" s="97">
        <f t="shared" si="2458"/>
        <v>0</v>
      </c>
      <c r="DJ1342" s="97">
        <f t="shared" si="2459"/>
        <v>0</v>
      </c>
      <c r="DK1342" s="97">
        <f t="shared" si="2459"/>
        <v>0</v>
      </c>
      <c r="DL1342" s="97">
        <f t="shared" si="2459"/>
        <v>0</v>
      </c>
      <c r="DM1342" s="102"/>
      <c r="DN1342" s="102"/>
      <c r="DO1342" s="102"/>
      <c r="DP1342" s="97">
        <f t="shared" si="2460"/>
        <v>0</v>
      </c>
      <c r="DQ1342" s="97">
        <f t="shared" si="2461"/>
        <v>0</v>
      </c>
      <c r="DR1342" s="97">
        <f t="shared" si="2462"/>
        <v>0</v>
      </c>
      <c r="DS1342" s="97">
        <f t="shared" si="2463"/>
        <v>0</v>
      </c>
      <c r="DT1342" s="97">
        <f t="shared" si="2464"/>
        <v>0</v>
      </c>
      <c r="DU1342" s="97">
        <f t="shared" si="2465"/>
        <v>0</v>
      </c>
      <c r="DV1342" s="97">
        <f t="shared" si="2466"/>
        <v>4487.0600000000004</v>
      </c>
      <c r="DW1342" s="97">
        <f t="shared" si="2467"/>
        <v>4639.32</v>
      </c>
      <c r="DX1342" s="97">
        <f t="shared" si="2468"/>
        <v>4815.92</v>
      </c>
      <c r="DY1342" s="97">
        <f t="shared" si="2469"/>
        <v>489.7</v>
      </c>
      <c r="DZ1342" s="97">
        <f t="shared" si="2470"/>
        <v>475.73</v>
      </c>
      <c r="EA1342" s="97">
        <f t="shared" si="2471"/>
        <v>474.43</v>
      </c>
      <c r="EB1342" s="97">
        <f t="shared" si="2472"/>
        <v>0</v>
      </c>
      <c r="EC1342" s="97">
        <f t="shared" si="2472"/>
        <v>0</v>
      </c>
      <c r="ED1342" s="97">
        <f t="shared" si="2472"/>
        <v>0</v>
      </c>
      <c r="EE1342" s="97">
        <f t="shared" si="2473"/>
        <v>0</v>
      </c>
      <c r="EF1342" s="97">
        <f t="shared" si="2473"/>
        <v>0</v>
      </c>
      <c r="EG1342" s="97">
        <f t="shared" si="2473"/>
        <v>0</v>
      </c>
      <c r="EH1342" s="102"/>
      <c r="EI1342" s="102"/>
      <c r="EJ1342" s="102"/>
      <c r="EK1342" s="97">
        <f t="shared" si="2474"/>
        <v>0</v>
      </c>
      <c r="EL1342" s="97">
        <f t="shared" si="2475"/>
        <v>0</v>
      </c>
      <c r="EM1342" s="97">
        <f t="shared" si="2476"/>
        <v>0</v>
      </c>
      <c r="EN1342" s="97">
        <f t="shared" si="2477"/>
        <v>0</v>
      </c>
      <c r="EO1342" s="97">
        <f t="shared" si="2478"/>
        <v>0</v>
      </c>
      <c r="EP1342" s="97">
        <f t="shared" si="2479"/>
        <v>0</v>
      </c>
      <c r="EQ1342" s="97">
        <f t="shared" si="2480"/>
        <v>4435.29</v>
      </c>
      <c r="ER1342" s="97">
        <f t="shared" si="2481"/>
        <v>4571.63</v>
      </c>
      <c r="ES1342" s="97">
        <f t="shared" si="2482"/>
        <v>4741.16</v>
      </c>
      <c r="ET1342" s="97">
        <f t="shared" si="2483"/>
        <v>411.13</v>
      </c>
      <c r="EU1342" s="97">
        <f t="shared" si="2484"/>
        <v>420.97</v>
      </c>
      <c r="EV1342" s="97">
        <f t="shared" si="2485"/>
        <v>422.73</v>
      </c>
      <c r="EW1342" s="97">
        <f t="shared" si="2486"/>
        <v>0</v>
      </c>
      <c r="EX1342" s="97">
        <f t="shared" si="2486"/>
        <v>0</v>
      </c>
      <c r="EY1342" s="97">
        <f t="shared" si="2486"/>
        <v>0</v>
      </c>
      <c r="EZ1342" s="97">
        <f t="shared" si="2487"/>
        <v>0</v>
      </c>
      <c r="FA1342" s="97">
        <f t="shared" si="2487"/>
        <v>0</v>
      </c>
      <c r="FB1342" s="97">
        <f t="shared" si="2487"/>
        <v>0</v>
      </c>
      <c r="FC1342" s="102"/>
      <c r="FD1342" s="102"/>
      <c r="FE1342" s="102"/>
      <c r="FF1342" s="97">
        <f t="shared" si="2488"/>
        <v>0</v>
      </c>
      <c r="FG1342" s="97">
        <f t="shared" si="2489"/>
        <v>0</v>
      </c>
      <c r="FH1342" s="97">
        <f t="shared" si="2490"/>
        <v>0</v>
      </c>
      <c r="FI1342" s="97">
        <f t="shared" si="2491"/>
        <v>0</v>
      </c>
      <c r="FJ1342" s="97">
        <f t="shared" si="2492"/>
        <v>0</v>
      </c>
      <c r="FK1342" s="97">
        <f t="shared" si="2493"/>
        <v>0</v>
      </c>
      <c r="FL1342" s="97">
        <f t="shared" si="2494"/>
        <v>4309.09</v>
      </c>
      <c r="FM1342" s="97">
        <f t="shared" si="2495"/>
        <v>4450.54</v>
      </c>
      <c r="FN1342" s="97">
        <f t="shared" si="2496"/>
        <v>4618.32</v>
      </c>
      <c r="FO1342" s="97">
        <f t="shared" si="2497"/>
        <v>442.18</v>
      </c>
      <c r="FP1342" s="97">
        <f t="shared" si="2498"/>
        <v>455.59</v>
      </c>
      <c r="FQ1342" s="97">
        <f t="shared" si="2499"/>
        <v>447.06</v>
      </c>
      <c r="FR1342" s="97">
        <f t="shared" si="2500"/>
        <v>0</v>
      </c>
      <c r="FS1342" s="97">
        <f t="shared" si="2500"/>
        <v>0</v>
      </c>
      <c r="FT1342" s="97">
        <f t="shared" si="2500"/>
        <v>0</v>
      </c>
      <c r="FU1342" s="97">
        <f t="shared" si="2501"/>
        <v>0</v>
      </c>
      <c r="FV1342" s="97">
        <f t="shared" si="2501"/>
        <v>0</v>
      </c>
      <c r="FW1342" s="97">
        <f t="shared" si="2501"/>
        <v>0</v>
      </c>
      <c r="FX1342" s="102"/>
      <c r="FY1342" s="102"/>
      <c r="FZ1342" s="102"/>
      <c r="GA1342" s="97">
        <f t="shared" si="2502"/>
        <v>0</v>
      </c>
      <c r="GB1342" s="97">
        <f t="shared" si="2503"/>
        <v>0</v>
      </c>
      <c r="GC1342" s="97">
        <f t="shared" si="2504"/>
        <v>0</v>
      </c>
      <c r="GD1342" s="97">
        <f t="shared" si="2505"/>
        <v>0</v>
      </c>
      <c r="GE1342" s="97">
        <f t="shared" si="2506"/>
        <v>0</v>
      </c>
      <c r="GF1342" s="97">
        <f t="shared" si="2507"/>
        <v>0</v>
      </c>
      <c r="GG1342" s="97">
        <f t="shared" si="2508"/>
        <v>4302.32</v>
      </c>
      <c r="GH1342" s="97">
        <f t="shared" si="2509"/>
        <v>4438.7</v>
      </c>
      <c r="GI1342" s="97">
        <f t="shared" si="2510"/>
        <v>4603.7299999999996</v>
      </c>
      <c r="GJ1342" s="97">
        <f t="shared" si="2511"/>
        <v>331.56</v>
      </c>
      <c r="GK1342" s="97">
        <f t="shared" si="2512"/>
        <v>368.2</v>
      </c>
      <c r="GL1342" s="97">
        <f t="shared" si="2513"/>
        <v>391.36</v>
      </c>
      <c r="GM1342" s="97">
        <f t="shared" si="2514"/>
        <v>0</v>
      </c>
      <c r="GN1342" s="97">
        <f t="shared" si="2514"/>
        <v>0</v>
      </c>
      <c r="GO1342" s="97">
        <f t="shared" si="2514"/>
        <v>0</v>
      </c>
      <c r="GP1342" s="97">
        <f t="shared" si="2515"/>
        <v>0</v>
      </c>
      <c r="GQ1342" s="97">
        <f t="shared" si="2515"/>
        <v>0</v>
      </c>
      <c r="GR1342" s="97">
        <f t="shared" si="2515"/>
        <v>0</v>
      </c>
      <c r="GS1342" s="102"/>
      <c r="GT1342" s="102"/>
      <c r="GU1342" s="102"/>
      <c r="GV1342" s="97">
        <f t="shared" si="2516"/>
        <v>0</v>
      </c>
      <c r="GW1342" s="97">
        <f t="shared" si="2517"/>
        <v>0</v>
      </c>
      <c r="GX1342" s="97">
        <f t="shared" si="2518"/>
        <v>0</v>
      </c>
      <c r="GY1342" s="97">
        <f t="shared" si="2519"/>
        <v>0</v>
      </c>
      <c r="GZ1342" s="97">
        <f t="shared" si="2520"/>
        <v>0</v>
      </c>
      <c r="HA1342" s="97">
        <f t="shared" si="2521"/>
        <v>0</v>
      </c>
      <c r="HB1342" s="97">
        <f t="shared" si="2522"/>
        <v>4494.3599999999997</v>
      </c>
      <c r="HC1342" s="97">
        <f t="shared" si="2523"/>
        <v>4634.96</v>
      </c>
      <c r="HD1342" s="97">
        <f t="shared" si="2524"/>
        <v>4807.1499999999996</v>
      </c>
      <c r="HE1342" s="97">
        <f t="shared" si="2525"/>
        <v>385.77</v>
      </c>
      <c r="HF1342" s="97">
        <f t="shared" si="2526"/>
        <v>393.83</v>
      </c>
      <c r="HG1342" s="97">
        <f t="shared" si="2527"/>
        <v>394.53</v>
      </c>
      <c r="HH1342" s="97">
        <f t="shared" si="2528"/>
        <v>0</v>
      </c>
      <c r="HI1342" s="97">
        <f t="shared" si="2528"/>
        <v>0</v>
      </c>
      <c r="HJ1342" s="97">
        <f t="shared" si="2528"/>
        <v>0</v>
      </c>
      <c r="HK1342" s="97">
        <f t="shared" si="2529"/>
        <v>0</v>
      </c>
      <c r="HL1342" s="97">
        <f t="shared" si="2529"/>
        <v>0</v>
      </c>
      <c r="HM1342" s="97">
        <f t="shared" si="2529"/>
        <v>0</v>
      </c>
      <c r="HN1342" s="102"/>
      <c r="HO1342" s="102"/>
      <c r="HP1342" s="102"/>
      <c r="HQ1342" s="97">
        <f t="shared" si="2530"/>
        <v>0</v>
      </c>
      <c r="HR1342" s="97">
        <f t="shared" si="2531"/>
        <v>0</v>
      </c>
      <c r="HS1342" s="97">
        <f t="shared" si="2532"/>
        <v>0</v>
      </c>
      <c r="HT1342" s="97">
        <f t="shared" si="2533"/>
        <v>0</v>
      </c>
      <c r="HU1342" s="97">
        <f t="shared" si="2534"/>
        <v>0</v>
      </c>
      <c r="HV1342" s="97">
        <f t="shared" si="2535"/>
        <v>0</v>
      </c>
      <c r="HW1342" s="97">
        <f t="shared" si="2536"/>
        <v>4423.08</v>
      </c>
      <c r="HX1342" s="97">
        <f t="shared" si="2537"/>
        <v>4568.1899999999996</v>
      </c>
      <c r="HY1342" s="97">
        <f t="shared" si="2538"/>
        <v>4738.76</v>
      </c>
      <c r="HZ1342" s="97">
        <f t="shared" si="2539"/>
        <v>368</v>
      </c>
      <c r="IA1342" s="97">
        <f t="shared" si="2540"/>
        <v>375.46</v>
      </c>
      <c r="IB1342" s="97">
        <f t="shared" si="2541"/>
        <v>369.69</v>
      </c>
      <c r="IC1342" s="97">
        <f t="shared" si="2542"/>
        <v>0</v>
      </c>
      <c r="ID1342" s="97">
        <f t="shared" si="2542"/>
        <v>0</v>
      </c>
      <c r="IE1342" s="97">
        <f t="shared" si="2542"/>
        <v>0</v>
      </c>
      <c r="IF1342" s="97">
        <f t="shared" si="2543"/>
        <v>0</v>
      </c>
      <c r="IG1342" s="97">
        <f t="shared" si="2543"/>
        <v>0</v>
      </c>
      <c r="IH1342" s="97">
        <f t="shared" si="2543"/>
        <v>0</v>
      </c>
      <c r="II1342" s="102"/>
      <c r="IJ1342" s="102"/>
      <c r="IK1342" s="102"/>
      <c r="IL1342" s="97">
        <f t="shared" si="2544"/>
        <v>0</v>
      </c>
      <c r="IM1342" s="97">
        <f t="shared" si="2545"/>
        <v>0</v>
      </c>
      <c r="IN1342" s="97">
        <f t="shared" si="2546"/>
        <v>0</v>
      </c>
      <c r="IO1342" s="97">
        <f t="shared" si="2547"/>
        <v>0</v>
      </c>
      <c r="IP1342" s="97">
        <f t="shared" si="2548"/>
        <v>0</v>
      </c>
      <c r="IQ1342" s="97">
        <f t="shared" si="2549"/>
        <v>0</v>
      </c>
      <c r="IR1342" s="97">
        <f t="shared" si="2550"/>
        <v>6008.45</v>
      </c>
      <c r="IS1342" s="97">
        <f t="shared" si="2551"/>
        <v>6189.48</v>
      </c>
      <c r="IT1342" s="97">
        <f t="shared" si="2552"/>
        <v>6418.25</v>
      </c>
      <c r="IU1342" s="97">
        <f t="shared" si="2553"/>
        <v>556.34</v>
      </c>
      <c r="IV1342" s="97">
        <f t="shared" si="2554"/>
        <v>567.59</v>
      </c>
      <c r="IW1342" s="97">
        <f t="shared" si="2555"/>
        <v>554.94000000000005</v>
      </c>
      <c r="IX1342" s="97">
        <f t="shared" si="2556"/>
        <v>0</v>
      </c>
      <c r="IY1342" s="97">
        <f t="shared" si="2556"/>
        <v>0</v>
      </c>
      <c r="IZ1342" s="97">
        <f t="shared" si="2556"/>
        <v>0</v>
      </c>
      <c r="JA1342" s="97">
        <f t="shared" si="2557"/>
        <v>0</v>
      </c>
      <c r="JB1342" s="97">
        <f t="shared" si="2557"/>
        <v>0</v>
      </c>
      <c r="JC1342" s="97">
        <f t="shared" si="2557"/>
        <v>0</v>
      </c>
      <c r="JD1342" s="102"/>
      <c r="JE1342" s="102"/>
      <c r="JF1342" s="102"/>
      <c r="JG1342" s="97">
        <f t="shared" si="2558"/>
        <v>0</v>
      </c>
      <c r="JH1342" s="97">
        <f t="shared" si="2559"/>
        <v>0</v>
      </c>
      <c r="JI1342" s="97">
        <f t="shared" si="2560"/>
        <v>0</v>
      </c>
      <c r="JJ1342" s="97">
        <f t="shared" si="2561"/>
        <v>0</v>
      </c>
      <c r="JK1342" s="97">
        <f t="shared" si="2562"/>
        <v>0</v>
      </c>
      <c r="JL1342" s="97">
        <f t="shared" si="2563"/>
        <v>0</v>
      </c>
      <c r="JM1342" s="97">
        <f t="shared" si="2564"/>
        <v>4027.71</v>
      </c>
      <c r="JN1342" s="97">
        <f t="shared" si="2565"/>
        <v>4157.3500000000004</v>
      </c>
      <c r="JO1342" s="97">
        <f t="shared" si="2566"/>
        <v>4313.3100000000004</v>
      </c>
      <c r="JP1342" s="97">
        <f t="shared" si="2567"/>
        <v>303.32</v>
      </c>
      <c r="JQ1342" s="97">
        <f t="shared" si="2568"/>
        <v>315.10000000000002</v>
      </c>
      <c r="JR1342" s="97">
        <f t="shared" si="2569"/>
        <v>315.85000000000002</v>
      </c>
      <c r="JS1342" s="97">
        <f t="shared" si="2570"/>
        <v>0</v>
      </c>
      <c r="JT1342" s="97">
        <f t="shared" si="2570"/>
        <v>0</v>
      </c>
      <c r="JU1342" s="97">
        <f t="shared" si="2570"/>
        <v>0</v>
      </c>
      <c r="JV1342" s="97">
        <f t="shared" si="2571"/>
        <v>0</v>
      </c>
      <c r="JW1342" s="97">
        <f t="shared" si="2571"/>
        <v>0</v>
      </c>
      <c r="JX1342" s="97">
        <f t="shared" si="2571"/>
        <v>0</v>
      </c>
      <c r="JY1342" s="102"/>
      <c r="JZ1342" s="102"/>
      <c r="KA1342" s="102"/>
      <c r="KB1342" s="97">
        <f t="shared" si="2572"/>
        <v>0</v>
      </c>
      <c r="KC1342" s="97">
        <f t="shared" si="2573"/>
        <v>0</v>
      </c>
      <c r="KD1342" s="97">
        <f t="shared" si="2574"/>
        <v>0</v>
      </c>
      <c r="KE1342" s="97">
        <f t="shared" si="2575"/>
        <v>0</v>
      </c>
      <c r="KF1342" s="97">
        <f t="shared" si="2576"/>
        <v>0</v>
      </c>
      <c r="KG1342" s="97">
        <f t="shared" si="2577"/>
        <v>0</v>
      </c>
      <c r="KH1342" s="97">
        <f t="shared" si="2578"/>
        <v>4140.91</v>
      </c>
      <c r="KI1342" s="97">
        <f t="shared" si="2579"/>
        <v>4270.58</v>
      </c>
      <c r="KJ1342" s="97">
        <f t="shared" si="2580"/>
        <v>4429.79</v>
      </c>
      <c r="KK1342" s="97">
        <f t="shared" si="2581"/>
        <v>284.33999999999997</v>
      </c>
      <c r="KL1342" s="97">
        <f t="shared" si="2582"/>
        <v>292.02999999999997</v>
      </c>
      <c r="KM1342" s="97">
        <f t="shared" si="2583"/>
        <v>290.64999999999998</v>
      </c>
      <c r="KN1342" s="97">
        <f t="shared" si="2584"/>
        <v>0</v>
      </c>
      <c r="KO1342" s="97">
        <f t="shared" si="2584"/>
        <v>0</v>
      </c>
      <c r="KP1342" s="97">
        <f t="shared" si="2584"/>
        <v>0</v>
      </c>
      <c r="KQ1342" s="97">
        <f t="shared" si="2585"/>
        <v>0</v>
      </c>
      <c r="KR1342" s="97">
        <f t="shared" si="2585"/>
        <v>0</v>
      </c>
      <c r="KS1342" s="97">
        <f t="shared" si="2585"/>
        <v>0</v>
      </c>
      <c r="KT1342" s="102"/>
      <c r="KU1342" s="102"/>
      <c r="KV1342" s="102"/>
      <c r="KW1342" s="97">
        <f t="shared" si="2586"/>
        <v>0</v>
      </c>
      <c r="KX1342" s="97">
        <f t="shared" si="2587"/>
        <v>0</v>
      </c>
      <c r="KY1342" s="97">
        <f t="shared" si="2588"/>
        <v>0</v>
      </c>
      <c r="KZ1342" s="97">
        <f t="shared" si="2589"/>
        <v>0</v>
      </c>
      <c r="LA1342" s="97">
        <f t="shared" si="2590"/>
        <v>0</v>
      </c>
      <c r="LB1342" s="97">
        <f t="shared" si="2591"/>
        <v>0</v>
      </c>
      <c r="LC1342" s="97">
        <f t="shared" si="2592"/>
        <v>3908.64</v>
      </c>
      <c r="LD1342" s="97">
        <f t="shared" si="2593"/>
        <v>4036.42</v>
      </c>
      <c r="LE1342" s="97">
        <f t="shared" si="2594"/>
        <v>4188.12</v>
      </c>
      <c r="LF1342" s="97">
        <f t="shared" si="2595"/>
        <v>391.89</v>
      </c>
      <c r="LG1342" s="97">
        <f t="shared" si="2596"/>
        <v>408.01</v>
      </c>
      <c r="LH1342" s="97">
        <f t="shared" si="2597"/>
        <v>410.15</v>
      </c>
      <c r="LI1342" s="97">
        <f t="shared" si="2598"/>
        <v>0</v>
      </c>
      <c r="LJ1342" s="97">
        <f t="shared" si="2598"/>
        <v>0</v>
      </c>
      <c r="LK1342" s="97">
        <f t="shared" si="2598"/>
        <v>0</v>
      </c>
      <c r="LL1342" s="97">
        <f t="shared" si="2599"/>
        <v>0</v>
      </c>
      <c r="LM1342" s="97">
        <f t="shared" si="2599"/>
        <v>0</v>
      </c>
      <c r="LN1342" s="97">
        <f t="shared" si="2599"/>
        <v>0</v>
      </c>
      <c r="LO1342" s="102"/>
      <c r="LP1342" s="102"/>
      <c r="LQ1342" s="102"/>
      <c r="LR1342" s="97">
        <f t="shared" si="2600"/>
        <v>0</v>
      </c>
      <c r="LS1342" s="97">
        <f t="shared" si="2601"/>
        <v>0</v>
      </c>
      <c r="LT1342" s="97">
        <f t="shared" si="2602"/>
        <v>0</v>
      </c>
      <c r="LU1342" s="97">
        <f t="shared" si="2603"/>
        <v>0</v>
      </c>
      <c r="LV1342" s="97">
        <f t="shared" si="2604"/>
        <v>0</v>
      </c>
      <c r="LW1342" s="97">
        <f t="shared" si="2605"/>
        <v>0</v>
      </c>
      <c r="LX1342" s="97">
        <f t="shared" si="2606"/>
        <v>3414.37</v>
      </c>
      <c r="LY1342" s="97">
        <f t="shared" si="2607"/>
        <v>3526.19</v>
      </c>
      <c r="LZ1342" s="97">
        <f t="shared" si="2608"/>
        <v>3658.33</v>
      </c>
      <c r="MA1342" s="97">
        <f t="shared" si="2609"/>
        <v>290.89999999999998</v>
      </c>
      <c r="MB1342" s="97">
        <f t="shared" si="2610"/>
        <v>298.10000000000002</v>
      </c>
      <c r="MC1342" s="97">
        <f t="shared" si="2611"/>
        <v>297.22000000000003</v>
      </c>
      <c r="MD1342" s="97">
        <f t="shared" si="2612"/>
        <v>0</v>
      </c>
      <c r="ME1342" s="97">
        <f t="shared" si="2612"/>
        <v>0</v>
      </c>
      <c r="MF1342" s="97">
        <f t="shared" si="2612"/>
        <v>0</v>
      </c>
      <c r="MG1342" s="97">
        <f t="shared" si="2613"/>
        <v>0</v>
      </c>
      <c r="MH1342" s="97">
        <f t="shared" si="2613"/>
        <v>0</v>
      </c>
      <c r="MI1342" s="97">
        <f t="shared" si="2613"/>
        <v>0</v>
      </c>
      <c r="MJ1342" s="102"/>
      <c r="MK1342" s="102"/>
      <c r="ML1342" s="102"/>
      <c r="MM1342" s="97">
        <f t="shared" si="2614"/>
        <v>0</v>
      </c>
      <c r="MN1342" s="97">
        <f t="shared" si="2615"/>
        <v>0</v>
      </c>
      <c r="MO1342" s="97">
        <f t="shared" si="2616"/>
        <v>0</v>
      </c>
      <c r="MP1342" s="97">
        <f t="shared" si="2617"/>
        <v>0</v>
      </c>
      <c r="MQ1342" s="97">
        <f t="shared" si="2618"/>
        <v>0</v>
      </c>
      <c r="MR1342" s="97">
        <f t="shared" si="2619"/>
        <v>0</v>
      </c>
      <c r="MS1342" s="97">
        <f t="shared" si="2620"/>
        <v>3950.05</v>
      </c>
      <c r="MT1342" s="97">
        <f t="shared" si="2621"/>
        <v>4078.91</v>
      </c>
      <c r="MU1342" s="97">
        <f t="shared" si="2622"/>
        <v>4232.1400000000003</v>
      </c>
      <c r="MV1342" s="97">
        <f t="shared" si="2623"/>
        <v>345.12</v>
      </c>
      <c r="MW1342" s="97">
        <f t="shared" si="2624"/>
        <v>348.89</v>
      </c>
      <c r="MX1342" s="97">
        <f t="shared" si="2625"/>
        <v>351.04</v>
      </c>
      <c r="MY1342" s="97">
        <f t="shared" si="2626"/>
        <v>0</v>
      </c>
      <c r="MZ1342" s="97">
        <f t="shared" si="2626"/>
        <v>0</v>
      </c>
      <c r="NA1342" s="97">
        <f t="shared" si="2626"/>
        <v>0</v>
      </c>
      <c r="NB1342" s="97">
        <f t="shared" si="2627"/>
        <v>0</v>
      </c>
      <c r="NC1342" s="97">
        <f t="shared" si="2627"/>
        <v>0</v>
      </c>
      <c r="ND1342" s="97">
        <f t="shared" si="2627"/>
        <v>0</v>
      </c>
      <c r="NE1342" s="102"/>
      <c r="NF1342" s="102"/>
      <c r="NG1342" s="102"/>
      <c r="NH1342" s="97">
        <f t="shared" si="2628"/>
        <v>0</v>
      </c>
      <c r="NI1342" s="97">
        <f t="shared" si="2629"/>
        <v>0</v>
      </c>
      <c r="NJ1342" s="97">
        <f t="shared" si="2630"/>
        <v>0</v>
      </c>
      <c r="NK1342" s="97">
        <f t="shared" si="2631"/>
        <v>0</v>
      </c>
      <c r="NL1342" s="97">
        <f t="shared" si="2632"/>
        <v>0</v>
      </c>
      <c r="NM1342" s="97">
        <f t="shared" si="2633"/>
        <v>0</v>
      </c>
      <c r="NN1342" s="97">
        <f t="shared" si="2634"/>
        <v>4032.91</v>
      </c>
      <c r="NO1342" s="97">
        <f t="shared" si="2635"/>
        <v>4159.1000000000004</v>
      </c>
      <c r="NP1342" s="97">
        <f t="shared" si="2636"/>
        <v>4312.91</v>
      </c>
      <c r="NQ1342" s="97">
        <f t="shared" si="2637"/>
        <v>505.45</v>
      </c>
      <c r="NR1342" s="97">
        <f t="shared" si="2638"/>
        <v>527.95000000000005</v>
      </c>
      <c r="NS1342" s="97">
        <f t="shared" si="2639"/>
        <v>513.37</v>
      </c>
      <c r="NT1342" s="97">
        <f t="shared" si="2640"/>
        <v>0</v>
      </c>
      <c r="NU1342" s="97">
        <f t="shared" si="2640"/>
        <v>0</v>
      </c>
      <c r="NV1342" s="97">
        <f t="shared" si="2640"/>
        <v>0</v>
      </c>
      <c r="NW1342" s="97">
        <f t="shared" si="2641"/>
        <v>0</v>
      </c>
      <c r="NX1342" s="97">
        <f t="shared" si="2641"/>
        <v>0</v>
      </c>
      <c r="NY1342" s="97">
        <f t="shared" si="2641"/>
        <v>0</v>
      </c>
      <c r="NZ1342" s="102"/>
      <c r="OA1342" s="102"/>
      <c r="OB1342" s="102"/>
      <c r="OC1342" s="97">
        <f t="shared" si="2642"/>
        <v>0</v>
      </c>
      <c r="OD1342" s="97">
        <f t="shared" si="2643"/>
        <v>0</v>
      </c>
      <c r="OE1342" s="97">
        <f t="shared" si="2644"/>
        <v>0</v>
      </c>
      <c r="OF1342" s="97">
        <f t="shared" si="2645"/>
        <v>0</v>
      </c>
      <c r="OG1342" s="97">
        <f t="shared" si="2646"/>
        <v>0</v>
      </c>
      <c r="OH1342" s="97">
        <f t="shared" si="2647"/>
        <v>0</v>
      </c>
      <c r="OI1342" s="97">
        <f t="shared" si="2648"/>
        <v>5287.83</v>
      </c>
      <c r="OJ1342" s="97">
        <f t="shared" si="2649"/>
        <v>5444.73</v>
      </c>
      <c r="OK1342" s="97">
        <f t="shared" si="2650"/>
        <v>5644.44</v>
      </c>
      <c r="OL1342" s="97">
        <f t="shared" si="2651"/>
        <v>506.96</v>
      </c>
      <c r="OM1342" s="97">
        <f t="shared" si="2652"/>
        <v>526.76</v>
      </c>
      <c r="ON1342" s="97">
        <f t="shared" si="2653"/>
        <v>524</v>
      </c>
      <c r="OO1342" s="97">
        <f t="shared" si="2654"/>
        <v>0</v>
      </c>
      <c r="OP1342" s="97">
        <f t="shared" si="2654"/>
        <v>0</v>
      </c>
      <c r="OQ1342" s="97">
        <f t="shared" si="2654"/>
        <v>0</v>
      </c>
      <c r="OR1342" s="97">
        <f t="shared" si="2655"/>
        <v>0</v>
      </c>
      <c r="OS1342" s="97">
        <f t="shared" si="2655"/>
        <v>0</v>
      </c>
      <c r="OT1342" s="97">
        <f t="shared" si="2655"/>
        <v>0</v>
      </c>
      <c r="OU1342" s="102"/>
      <c r="OV1342" s="102"/>
      <c r="OW1342" s="102"/>
      <c r="OX1342" s="97">
        <f t="shared" si="2656"/>
        <v>0</v>
      </c>
      <c r="OY1342" s="97">
        <f t="shared" si="2657"/>
        <v>0</v>
      </c>
      <c r="OZ1342" s="97">
        <f t="shared" si="2658"/>
        <v>0</v>
      </c>
      <c r="PA1342" s="97">
        <f t="shared" si="2659"/>
        <v>0</v>
      </c>
      <c r="PB1342" s="97">
        <f t="shared" si="2660"/>
        <v>0</v>
      </c>
      <c r="PC1342" s="97">
        <f t="shared" si="2661"/>
        <v>0</v>
      </c>
      <c r="PD1342" s="97">
        <f t="shared" si="2662"/>
        <v>4446.8999999999996</v>
      </c>
      <c r="PE1342" s="97">
        <f t="shared" si="2663"/>
        <v>4589.9399999999996</v>
      </c>
      <c r="PF1342" s="97">
        <f t="shared" si="2664"/>
        <v>4761.7299999999996</v>
      </c>
      <c r="PG1342" s="97">
        <f t="shared" si="2665"/>
        <v>405.17</v>
      </c>
      <c r="PH1342" s="97">
        <f t="shared" si="2666"/>
        <v>413.93</v>
      </c>
      <c r="PI1342" s="97">
        <f t="shared" si="2667"/>
        <v>417.29</v>
      </c>
      <c r="PJ1342" s="97">
        <f t="shared" si="2668"/>
        <v>0</v>
      </c>
      <c r="PK1342" s="97">
        <f t="shared" si="2668"/>
        <v>0</v>
      </c>
      <c r="PL1342" s="97">
        <f t="shared" si="2668"/>
        <v>0</v>
      </c>
      <c r="PM1342" s="97">
        <f t="shared" si="2669"/>
        <v>0</v>
      </c>
      <c r="PN1342" s="97">
        <f t="shared" si="2669"/>
        <v>0</v>
      </c>
      <c r="PO1342" s="97">
        <f t="shared" si="2669"/>
        <v>0</v>
      </c>
      <c r="PP1342" s="102"/>
      <c r="PQ1342" s="102"/>
      <c r="PR1342" s="102"/>
      <c r="PS1342" s="97">
        <f t="shared" si="2670"/>
        <v>0</v>
      </c>
      <c r="PT1342" s="97">
        <f t="shared" si="2671"/>
        <v>0</v>
      </c>
      <c r="PU1342" s="97">
        <f t="shared" si="2672"/>
        <v>0</v>
      </c>
      <c r="PV1342" s="97">
        <f t="shared" si="2673"/>
        <v>0</v>
      </c>
      <c r="PW1342" s="97">
        <f t="shared" si="2674"/>
        <v>0</v>
      </c>
      <c r="PX1342" s="97">
        <f t="shared" si="2675"/>
        <v>0</v>
      </c>
      <c r="PY1342" s="97">
        <f t="shared" si="2676"/>
        <v>3981.32</v>
      </c>
      <c r="PZ1342" s="97">
        <f t="shared" si="2677"/>
        <v>4112.84</v>
      </c>
      <c r="QA1342" s="97">
        <f t="shared" si="2678"/>
        <v>4267.0600000000004</v>
      </c>
      <c r="QB1342" s="97">
        <f t="shared" si="2679"/>
        <v>417.83</v>
      </c>
      <c r="QC1342" s="97">
        <f t="shared" si="2680"/>
        <v>438.77</v>
      </c>
      <c r="QD1342" s="97">
        <f t="shared" si="2681"/>
        <v>438.39</v>
      </c>
      <c r="QE1342" s="97">
        <f t="shared" si="2682"/>
        <v>0</v>
      </c>
      <c r="QF1342" s="97">
        <f t="shared" si="2682"/>
        <v>0</v>
      </c>
      <c r="QG1342" s="97">
        <f t="shared" si="2682"/>
        <v>0</v>
      </c>
      <c r="QH1342" s="97">
        <f t="shared" si="2683"/>
        <v>0</v>
      </c>
      <c r="QI1342" s="97">
        <f t="shared" si="2683"/>
        <v>0</v>
      </c>
      <c r="QJ1342" s="97">
        <f t="shared" si="2683"/>
        <v>0</v>
      </c>
      <c r="QK1342" s="102"/>
      <c r="QL1342" s="102"/>
      <c r="QM1342" s="102"/>
      <c r="QN1342" s="97">
        <f t="shared" si="2684"/>
        <v>0</v>
      </c>
      <c r="QO1342" s="97">
        <f t="shared" si="2685"/>
        <v>0</v>
      </c>
      <c r="QP1342" s="97">
        <f t="shared" si="2686"/>
        <v>0</v>
      </c>
      <c r="QQ1342" s="97">
        <f t="shared" si="2687"/>
        <v>0</v>
      </c>
      <c r="QR1342" s="97">
        <f t="shared" si="2688"/>
        <v>0</v>
      </c>
      <c r="QS1342" s="97">
        <f t="shared" si="2689"/>
        <v>0</v>
      </c>
      <c r="QT1342" s="97">
        <f t="shared" si="2690"/>
        <v>4048.78</v>
      </c>
      <c r="QU1342" s="97">
        <f t="shared" si="2691"/>
        <v>4181.01</v>
      </c>
      <c r="QV1342" s="97">
        <f t="shared" si="2692"/>
        <v>4338.25</v>
      </c>
      <c r="QW1342" s="97">
        <f t="shared" si="2693"/>
        <v>287.38</v>
      </c>
      <c r="QX1342" s="97">
        <f t="shared" si="2694"/>
        <v>298.20999999999998</v>
      </c>
      <c r="QY1342" s="97">
        <f t="shared" si="2695"/>
        <v>299.87</v>
      </c>
      <c r="QZ1342" s="97">
        <f t="shared" si="2696"/>
        <v>0</v>
      </c>
      <c r="RA1342" s="97">
        <f t="shared" si="2696"/>
        <v>0</v>
      </c>
      <c r="RB1342" s="97">
        <f t="shared" si="2696"/>
        <v>0</v>
      </c>
      <c r="RC1342" s="97">
        <f t="shared" si="2697"/>
        <v>0</v>
      </c>
      <c r="RD1342" s="97">
        <f t="shared" si="2697"/>
        <v>0</v>
      </c>
      <c r="RE1342" s="97">
        <f t="shared" si="2697"/>
        <v>0</v>
      </c>
      <c r="RF1342" s="102"/>
      <c r="RG1342" s="102"/>
      <c r="RH1342" s="102"/>
      <c r="RI1342" s="97">
        <f t="shared" si="2698"/>
        <v>0</v>
      </c>
      <c r="RJ1342" s="97">
        <f t="shared" si="2699"/>
        <v>0</v>
      </c>
      <c r="RK1342" s="97">
        <f t="shared" si="2700"/>
        <v>0</v>
      </c>
      <c r="RL1342" s="97">
        <f t="shared" si="2701"/>
        <v>0</v>
      </c>
      <c r="RM1342" s="97">
        <f t="shared" si="2702"/>
        <v>0</v>
      </c>
      <c r="RN1342" s="97">
        <f t="shared" si="2703"/>
        <v>0</v>
      </c>
      <c r="RO1342" s="97">
        <f t="shared" si="2704"/>
        <v>4337.0600000000004</v>
      </c>
      <c r="RP1342" s="97">
        <f t="shared" si="2705"/>
        <v>4476.84</v>
      </c>
      <c r="RQ1342" s="97">
        <f t="shared" si="2706"/>
        <v>4645.17</v>
      </c>
      <c r="RR1342" s="97">
        <f t="shared" si="2707"/>
        <v>405.38</v>
      </c>
      <c r="RS1342" s="97">
        <f t="shared" si="2708"/>
        <v>412.7</v>
      </c>
      <c r="RT1342" s="97">
        <f t="shared" si="2709"/>
        <v>415.1</v>
      </c>
      <c r="RU1342" s="97">
        <f t="shared" si="2710"/>
        <v>0</v>
      </c>
      <c r="RV1342" s="97">
        <f t="shared" si="2710"/>
        <v>0</v>
      </c>
      <c r="RW1342" s="97">
        <f t="shared" si="2710"/>
        <v>0</v>
      </c>
      <c r="RX1342" s="97">
        <f t="shared" si="2711"/>
        <v>0</v>
      </c>
      <c r="RY1342" s="97">
        <f t="shared" si="2711"/>
        <v>0</v>
      </c>
      <c r="RZ1342" s="97">
        <f t="shared" si="2711"/>
        <v>0</v>
      </c>
      <c r="SA1342" s="102"/>
      <c r="SB1342" s="102"/>
      <c r="SC1342" s="102"/>
      <c r="SD1342" s="97">
        <f t="shared" si="2712"/>
        <v>0</v>
      </c>
      <c r="SE1342" s="97">
        <f t="shared" si="2713"/>
        <v>0</v>
      </c>
      <c r="SF1342" s="97">
        <f t="shared" si="2714"/>
        <v>0</v>
      </c>
      <c r="SG1342" s="97">
        <f t="shared" si="2715"/>
        <v>0</v>
      </c>
      <c r="SH1342" s="97">
        <f t="shared" si="2716"/>
        <v>0</v>
      </c>
      <c r="SI1342" s="97">
        <f t="shared" si="2717"/>
        <v>0</v>
      </c>
      <c r="SJ1342" s="97">
        <f t="shared" si="2718"/>
        <v>4557.04</v>
      </c>
      <c r="SK1342" s="97">
        <f t="shared" si="2719"/>
        <v>4698.68</v>
      </c>
      <c r="SL1342" s="97">
        <f t="shared" si="2720"/>
        <v>4873.33</v>
      </c>
      <c r="SM1342" s="97">
        <f t="shared" si="2721"/>
        <v>567.54999999999995</v>
      </c>
      <c r="SN1342" s="97">
        <f t="shared" si="2722"/>
        <v>585.64</v>
      </c>
      <c r="SO1342" s="97">
        <f t="shared" si="2723"/>
        <v>587.23</v>
      </c>
      <c r="SP1342" s="97">
        <f t="shared" si="2724"/>
        <v>0</v>
      </c>
      <c r="SQ1342" s="97">
        <f t="shared" si="2724"/>
        <v>0</v>
      </c>
      <c r="SR1342" s="97">
        <f t="shared" si="2724"/>
        <v>0</v>
      </c>
      <c r="SS1342" s="97">
        <f t="shared" si="2725"/>
        <v>0</v>
      </c>
      <c r="ST1342" s="97">
        <f t="shared" si="2725"/>
        <v>0</v>
      </c>
      <c r="SU1342" s="97">
        <f t="shared" si="2725"/>
        <v>0</v>
      </c>
      <c r="SV1342" s="102"/>
      <c r="SW1342" s="102"/>
      <c r="SX1342" s="102"/>
      <c r="SY1342" s="97">
        <f t="shared" si="2726"/>
        <v>0</v>
      </c>
      <c r="SZ1342" s="97">
        <f t="shared" si="2727"/>
        <v>0</v>
      </c>
      <c r="TA1342" s="97">
        <f t="shared" si="2728"/>
        <v>0</v>
      </c>
      <c r="TB1342" s="97">
        <f t="shared" si="2729"/>
        <v>0</v>
      </c>
      <c r="TC1342" s="97">
        <f t="shared" si="2730"/>
        <v>0</v>
      </c>
      <c r="TD1342" s="97">
        <f t="shared" si="2731"/>
        <v>0</v>
      </c>
      <c r="TE1342" s="97">
        <f t="shared" si="2732"/>
        <v>4073.36</v>
      </c>
      <c r="TF1342" s="97">
        <f t="shared" si="2733"/>
        <v>4204.76</v>
      </c>
      <c r="TG1342" s="97">
        <f t="shared" si="2734"/>
        <v>4362.1000000000004</v>
      </c>
      <c r="TH1342" s="97">
        <f t="shared" si="2735"/>
        <v>432.21</v>
      </c>
      <c r="TI1342" s="97">
        <f t="shared" si="2736"/>
        <v>443.69</v>
      </c>
      <c r="TJ1342" s="97">
        <f t="shared" si="2737"/>
        <v>442.41</v>
      </c>
      <c r="TK1342" s="97">
        <f t="shared" si="2738"/>
        <v>0</v>
      </c>
      <c r="TL1342" s="97">
        <f t="shared" si="2738"/>
        <v>0</v>
      </c>
      <c r="TM1342" s="97">
        <f t="shared" si="2738"/>
        <v>0</v>
      </c>
      <c r="TN1342" s="97">
        <f t="shared" si="2739"/>
        <v>0</v>
      </c>
      <c r="TO1342" s="97">
        <f t="shared" si="2739"/>
        <v>0</v>
      </c>
      <c r="TP1342" s="97">
        <f t="shared" si="2739"/>
        <v>0</v>
      </c>
      <c r="TQ1342" s="102"/>
      <c r="TR1342" s="102"/>
      <c r="TS1342" s="102"/>
      <c r="TT1342" s="97">
        <f t="shared" si="2740"/>
        <v>0</v>
      </c>
      <c r="TU1342" s="97">
        <f t="shared" si="2741"/>
        <v>0</v>
      </c>
      <c r="TV1342" s="97">
        <f t="shared" si="2742"/>
        <v>0</v>
      </c>
      <c r="TW1342" s="97">
        <f t="shared" si="2743"/>
        <v>0</v>
      </c>
      <c r="TX1342" s="97">
        <f t="shared" si="2744"/>
        <v>0</v>
      </c>
      <c r="TY1342" s="97">
        <f t="shared" si="2745"/>
        <v>0</v>
      </c>
      <c r="TZ1342" s="97">
        <f t="shared" si="2746"/>
        <v>4363.6400000000003</v>
      </c>
      <c r="UA1342" s="97">
        <f t="shared" si="2747"/>
        <v>4501.12</v>
      </c>
      <c r="UB1342" s="97">
        <f t="shared" si="2748"/>
        <v>4669.8599999999997</v>
      </c>
      <c r="UC1342" s="97">
        <f t="shared" si="2749"/>
        <v>394.98</v>
      </c>
      <c r="UD1342" s="97">
        <f t="shared" si="2750"/>
        <v>417.39</v>
      </c>
      <c r="UE1342" s="97">
        <f t="shared" si="2751"/>
        <v>418.67</v>
      </c>
      <c r="UF1342" s="97">
        <f t="shared" si="2752"/>
        <v>0</v>
      </c>
      <c r="UG1342" s="97">
        <f t="shared" si="2752"/>
        <v>0</v>
      </c>
      <c r="UH1342" s="97">
        <f t="shared" si="2752"/>
        <v>0</v>
      </c>
      <c r="UI1342" s="97">
        <f t="shared" si="2753"/>
        <v>0</v>
      </c>
      <c r="UJ1342" s="97">
        <f t="shared" si="2753"/>
        <v>0</v>
      </c>
      <c r="UK1342" s="97">
        <f t="shared" si="2753"/>
        <v>0</v>
      </c>
      <c r="UL1342" s="102"/>
      <c r="UM1342" s="102"/>
      <c r="UN1342" s="102"/>
      <c r="UO1342" s="97">
        <f t="shared" si="2754"/>
        <v>0</v>
      </c>
      <c r="UP1342" s="97">
        <f t="shared" si="2755"/>
        <v>0</v>
      </c>
      <c r="UQ1342" s="97">
        <f t="shared" si="2756"/>
        <v>0</v>
      </c>
      <c r="UR1342" s="97">
        <f t="shared" si="2757"/>
        <v>0</v>
      </c>
      <c r="US1342" s="97">
        <f t="shared" si="2758"/>
        <v>0</v>
      </c>
      <c r="UT1342" s="97">
        <f t="shared" si="2759"/>
        <v>0</v>
      </c>
      <c r="UU1342" s="97">
        <f t="shared" si="2760"/>
        <v>4036.82</v>
      </c>
      <c r="UV1342" s="97">
        <f t="shared" si="2761"/>
        <v>4171.07</v>
      </c>
      <c r="UW1342" s="97">
        <f t="shared" si="2762"/>
        <v>4328.49</v>
      </c>
      <c r="UX1342" s="97">
        <f t="shared" si="2763"/>
        <v>307.89</v>
      </c>
      <c r="UY1342" s="97">
        <f t="shared" si="2764"/>
        <v>323.83999999999997</v>
      </c>
      <c r="UZ1342" s="97">
        <f t="shared" si="2765"/>
        <v>326.26</v>
      </c>
      <c r="VA1342" s="97">
        <f t="shared" si="2766"/>
        <v>0</v>
      </c>
      <c r="VB1342" s="97">
        <f t="shared" si="2766"/>
        <v>0</v>
      </c>
      <c r="VC1342" s="97">
        <f t="shared" si="2766"/>
        <v>0</v>
      </c>
      <c r="VD1342" s="97">
        <f t="shared" si="2767"/>
        <v>0</v>
      </c>
      <c r="VE1342" s="97">
        <f t="shared" si="2767"/>
        <v>0</v>
      </c>
      <c r="VF1342" s="97">
        <f t="shared" si="2767"/>
        <v>0</v>
      </c>
      <c r="VG1342" s="102"/>
      <c r="VH1342" s="102"/>
      <c r="VI1342" s="102"/>
      <c r="VJ1342" s="97">
        <f t="shared" si="2768"/>
        <v>0</v>
      </c>
      <c r="VK1342" s="97">
        <f t="shared" si="2769"/>
        <v>0</v>
      </c>
      <c r="VL1342" s="97">
        <f t="shared" si="2770"/>
        <v>0</v>
      </c>
      <c r="VM1342" s="97">
        <f t="shared" si="2771"/>
        <v>0</v>
      </c>
      <c r="VN1342" s="97">
        <f t="shared" si="2772"/>
        <v>0</v>
      </c>
      <c r="VO1342" s="97">
        <f t="shared" si="2773"/>
        <v>0</v>
      </c>
      <c r="VP1342" s="97">
        <f t="shared" si="2774"/>
        <v>4118.01</v>
      </c>
      <c r="VQ1342" s="97">
        <f t="shared" si="2775"/>
        <v>4251.42</v>
      </c>
      <c r="VR1342" s="97">
        <f t="shared" si="2776"/>
        <v>4411.59</v>
      </c>
      <c r="VS1342" s="97">
        <f t="shared" si="2777"/>
        <v>331.4</v>
      </c>
      <c r="VT1342" s="97">
        <f t="shared" si="2778"/>
        <v>341.47</v>
      </c>
      <c r="VU1342" s="97">
        <f t="shared" si="2779"/>
        <v>343.85</v>
      </c>
      <c r="VV1342" s="97">
        <f t="shared" si="2780"/>
        <v>0</v>
      </c>
      <c r="VW1342" s="97">
        <f t="shared" si="2780"/>
        <v>0</v>
      </c>
      <c r="VX1342" s="97">
        <f t="shared" si="2780"/>
        <v>0</v>
      </c>
      <c r="VY1342" s="97">
        <f t="shared" si="2781"/>
        <v>0</v>
      </c>
      <c r="VZ1342" s="97">
        <f t="shared" si="2781"/>
        <v>0</v>
      </c>
      <c r="WA1342" s="97">
        <f t="shared" si="2781"/>
        <v>0</v>
      </c>
      <c r="WB1342" s="102"/>
      <c r="WC1342" s="102"/>
      <c r="WD1342" s="102"/>
      <c r="WE1342" s="97">
        <f t="shared" si="2782"/>
        <v>0</v>
      </c>
      <c r="WF1342" s="97">
        <f t="shared" si="2783"/>
        <v>0</v>
      </c>
      <c r="WG1342" s="97">
        <f t="shared" si="2784"/>
        <v>0</v>
      </c>
      <c r="WH1342" s="97">
        <f t="shared" si="2785"/>
        <v>0</v>
      </c>
      <c r="WI1342" s="97">
        <f t="shared" si="2786"/>
        <v>0</v>
      </c>
      <c r="WJ1342" s="97">
        <f t="shared" si="2787"/>
        <v>0</v>
      </c>
      <c r="WK1342" s="97">
        <f t="shared" si="2788"/>
        <v>3804.43</v>
      </c>
      <c r="WL1342" s="97">
        <f t="shared" si="2789"/>
        <v>3932.09</v>
      </c>
      <c r="WM1342" s="97">
        <f t="shared" si="2790"/>
        <v>4080.29</v>
      </c>
      <c r="WN1342" s="97">
        <f t="shared" si="2791"/>
        <v>355.89</v>
      </c>
      <c r="WO1342" s="97">
        <f t="shared" si="2792"/>
        <v>375.68</v>
      </c>
      <c r="WP1342" s="97">
        <f t="shared" si="2793"/>
        <v>378.63</v>
      </c>
      <c r="WQ1342" s="97">
        <f t="shared" si="2794"/>
        <v>0</v>
      </c>
      <c r="WR1342" s="97">
        <f t="shared" si="2794"/>
        <v>0</v>
      </c>
      <c r="WS1342" s="97">
        <f t="shared" si="2794"/>
        <v>0</v>
      </c>
      <c r="WT1342" s="97">
        <f t="shared" si="2795"/>
        <v>0</v>
      </c>
      <c r="WU1342" s="97">
        <f t="shared" si="2795"/>
        <v>0</v>
      </c>
      <c r="WV1342" s="97">
        <f t="shared" si="2795"/>
        <v>0</v>
      </c>
      <c r="WW1342" s="102"/>
      <c r="WX1342" s="102"/>
      <c r="WY1342" s="102"/>
      <c r="WZ1342" s="97">
        <f t="shared" si="2796"/>
        <v>0</v>
      </c>
      <c r="XA1342" s="97">
        <f t="shared" si="2797"/>
        <v>0</v>
      </c>
      <c r="XB1342" s="97">
        <f t="shared" si="2798"/>
        <v>0</v>
      </c>
      <c r="XC1342" s="97">
        <f t="shared" si="2799"/>
        <v>0</v>
      </c>
      <c r="XD1342" s="97">
        <f t="shared" si="2800"/>
        <v>0</v>
      </c>
      <c r="XE1342" s="97">
        <f t="shared" si="2801"/>
        <v>0</v>
      </c>
      <c r="XF1342" s="97">
        <f t="shared" si="2802"/>
        <v>3737.47</v>
      </c>
      <c r="XG1342" s="97">
        <f t="shared" si="2803"/>
        <v>3860.29</v>
      </c>
      <c r="XH1342" s="97">
        <f t="shared" si="2804"/>
        <v>4004.99</v>
      </c>
      <c r="XI1342" s="97">
        <f t="shared" si="2805"/>
        <v>286.64999999999998</v>
      </c>
      <c r="XJ1342" s="97">
        <f t="shared" si="2806"/>
        <v>303.69</v>
      </c>
      <c r="XK1342" s="97">
        <f t="shared" si="2807"/>
        <v>304.99</v>
      </c>
      <c r="XL1342" s="97">
        <f t="shared" si="2808"/>
        <v>0</v>
      </c>
      <c r="XM1342" s="97">
        <f t="shared" si="2808"/>
        <v>0</v>
      </c>
      <c r="XN1342" s="97">
        <f t="shared" si="2808"/>
        <v>0</v>
      </c>
      <c r="XO1342" s="97">
        <f t="shared" si="2809"/>
        <v>0</v>
      </c>
      <c r="XP1342" s="97">
        <f t="shared" si="2809"/>
        <v>0</v>
      </c>
      <c r="XQ1342" s="97">
        <f t="shared" si="2809"/>
        <v>0</v>
      </c>
      <c r="XR1342" s="102"/>
      <c r="XS1342" s="102"/>
      <c r="XT1342" s="102"/>
      <c r="XU1342" s="97">
        <f t="shared" si="2810"/>
        <v>0</v>
      </c>
      <c r="XV1342" s="97">
        <f t="shared" si="2811"/>
        <v>0</v>
      </c>
      <c r="XW1342" s="97">
        <f t="shared" si="2812"/>
        <v>0</v>
      </c>
      <c r="XX1342" s="97">
        <f t="shared" si="2813"/>
        <v>0</v>
      </c>
      <c r="XY1342" s="97">
        <f t="shared" si="2814"/>
        <v>0</v>
      </c>
      <c r="XZ1342" s="97">
        <f t="shared" si="2815"/>
        <v>0</v>
      </c>
      <c r="YA1342" s="97">
        <f t="shared" si="2816"/>
        <v>3945.16</v>
      </c>
      <c r="YB1342" s="97">
        <f t="shared" si="2817"/>
        <v>4078.12</v>
      </c>
      <c r="YC1342" s="97">
        <f t="shared" si="2818"/>
        <v>4232.91</v>
      </c>
      <c r="YD1342" s="97">
        <f t="shared" si="2819"/>
        <v>1253.5899999999999</v>
      </c>
      <c r="YE1342" s="97">
        <f t="shared" si="2820"/>
        <v>1484.12</v>
      </c>
      <c r="YF1342" s="97">
        <f t="shared" si="2821"/>
        <v>1493.98</v>
      </c>
      <c r="YG1342" s="97">
        <f t="shared" si="2822"/>
        <v>0</v>
      </c>
      <c r="YH1342" s="97">
        <f t="shared" si="2822"/>
        <v>0</v>
      </c>
      <c r="YI1342" s="97">
        <f t="shared" si="2822"/>
        <v>0</v>
      </c>
      <c r="YJ1342" s="97">
        <f t="shared" si="2823"/>
        <v>0</v>
      </c>
      <c r="YK1342" s="97">
        <f t="shared" si="2823"/>
        <v>0</v>
      </c>
      <c r="YL1342" s="97">
        <f t="shared" si="2823"/>
        <v>0</v>
      </c>
      <c r="YM1342" s="145">
        <f t="shared" si="2824"/>
        <v>0</v>
      </c>
      <c r="YN1342" s="145">
        <f t="shared" si="2824"/>
        <v>0</v>
      </c>
      <c r="YO1342" s="145">
        <f t="shared" si="2824"/>
        <v>0</v>
      </c>
      <c r="YP1342" s="97">
        <f t="shared" si="2825"/>
        <v>0</v>
      </c>
      <c r="YQ1342" s="97">
        <f t="shared" si="2826"/>
        <v>0</v>
      </c>
      <c r="YR1342" s="97">
        <f t="shared" si="2827"/>
        <v>0</v>
      </c>
      <c r="YS1342" s="97">
        <f t="shared" si="2828"/>
        <v>0</v>
      </c>
      <c r="YT1342" s="97">
        <f t="shared" si="2829"/>
        <v>0</v>
      </c>
      <c r="YU1342" s="97">
        <f t="shared" si="2830"/>
        <v>0</v>
      </c>
      <c r="YV1342" s="97">
        <f t="shared" si="2831"/>
        <v>4158.03</v>
      </c>
      <c r="YW1342" s="97">
        <f t="shared" si="2832"/>
        <v>4292.42</v>
      </c>
      <c r="YX1342" s="97">
        <f t="shared" si="2833"/>
        <v>4453.2</v>
      </c>
      <c r="YY1342" s="97">
        <f t="shared" si="2834"/>
        <v>403.25</v>
      </c>
      <c r="YZ1342" s="97">
        <f t="shared" si="2835"/>
        <v>423.79</v>
      </c>
      <c r="ZA1342" s="97">
        <f t="shared" si="2836"/>
        <v>424.61</v>
      </c>
      <c r="ZB1342" s="97">
        <f t="shared" si="2837"/>
        <v>0</v>
      </c>
      <c r="ZC1342" s="97">
        <f t="shared" si="2837"/>
        <v>0</v>
      </c>
      <c r="ZD1342" s="97">
        <f t="shared" si="2837"/>
        <v>0</v>
      </c>
      <c r="ZE1342" s="97">
        <f t="shared" si="2838"/>
        <v>0</v>
      </c>
      <c r="ZF1342" s="97">
        <f t="shared" si="2838"/>
        <v>0</v>
      </c>
      <c r="ZG1342" s="97">
        <f t="shared" si="2838"/>
        <v>0</v>
      </c>
    </row>
    <row r="1343" spans="1:683" ht="24" x14ac:dyDescent="0.25">
      <c r="A1343" s="12" t="s">
        <v>626</v>
      </c>
      <c r="B1343" s="174" t="s">
        <v>980</v>
      </c>
      <c r="C1343" s="5"/>
      <c r="D1343" s="340"/>
      <c r="E1343" s="163"/>
      <c r="F1343" s="110">
        <f t="shared" si="2388"/>
        <v>1027282</v>
      </c>
      <c r="G1343" s="110">
        <f t="shared" si="2388"/>
        <v>1083750</v>
      </c>
      <c r="H1343" s="110">
        <f t="shared" si="2388"/>
        <v>1126667</v>
      </c>
      <c r="I1343" s="97">
        <f t="shared" si="2389"/>
        <v>3286.98</v>
      </c>
      <c r="J1343" s="97">
        <f t="shared" si="2389"/>
        <v>3286.98</v>
      </c>
      <c r="K1343" s="97">
        <f t="shared" si="2389"/>
        <v>3286.98</v>
      </c>
      <c r="L1343" s="102"/>
      <c r="M1343" s="102"/>
      <c r="N1343" s="102"/>
      <c r="O1343" s="97">
        <f t="shared" si="2390"/>
        <v>0</v>
      </c>
      <c r="P1343" s="97">
        <f t="shared" si="2391"/>
        <v>0</v>
      </c>
      <c r="Q1343" s="97">
        <f t="shared" si="2392"/>
        <v>0</v>
      </c>
      <c r="R1343" s="97">
        <f t="shared" si="2393"/>
        <v>0</v>
      </c>
      <c r="S1343" s="97">
        <f t="shared" si="2394"/>
        <v>0</v>
      </c>
      <c r="T1343" s="97">
        <f t="shared" si="2395"/>
        <v>0</v>
      </c>
      <c r="U1343" s="97">
        <f t="shared" si="2396"/>
        <v>443277.67</v>
      </c>
      <c r="V1343" s="97">
        <f t="shared" si="2397"/>
        <v>482891.75</v>
      </c>
      <c r="W1343" s="97">
        <f t="shared" si="2398"/>
        <v>520954.42</v>
      </c>
      <c r="X1343" s="97">
        <f t="shared" si="2399"/>
        <v>2577.42</v>
      </c>
      <c r="Y1343" s="97">
        <f t="shared" si="2400"/>
        <v>2603.9699999999998</v>
      </c>
      <c r="Z1343" s="97">
        <f t="shared" si="2401"/>
        <v>2596.61</v>
      </c>
      <c r="AA1343" s="97">
        <f t="shared" si="2402"/>
        <v>0</v>
      </c>
      <c r="AB1343" s="97">
        <f t="shared" si="2402"/>
        <v>0</v>
      </c>
      <c r="AC1343" s="97">
        <f t="shared" si="2402"/>
        <v>0</v>
      </c>
      <c r="AD1343" s="97">
        <f t="shared" si="2403"/>
        <v>0</v>
      </c>
      <c r="AE1343" s="97">
        <f t="shared" si="2403"/>
        <v>0</v>
      </c>
      <c r="AF1343" s="97">
        <f t="shared" si="2403"/>
        <v>0</v>
      </c>
      <c r="AG1343" s="102"/>
      <c r="AH1343" s="102"/>
      <c r="AI1343" s="102"/>
      <c r="AJ1343" s="97">
        <f t="shared" si="2404"/>
        <v>0</v>
      </c>
      <c r="AK1343" s="97">
        <f t="shared" si="2405"/>
        <v>0</v>
      </c>
      <c r="AL1343" s="97">
        <f t="shared" si="2406"/>
        <v>0</v>
      </c>
      <c r="AM1343" s="97">
        <f t="shared" si="2407"/>
        <v>0</v>
      </c>
      <c r="AN1343" s="97">
        <f t="shared" si="2408"/>
        <v>0</v>
      </c>
      <c r="AO1343" s="97">
        <f t="shared" si="2409"/>
        <v>0</v>
      </c>
      <c r="AP1343" s="97">
        <f t="shared" si="2410"/>
        <v>407795.02</v>
      </c>
      <c r="AQ1343" s="97">
        <f t="shared" si="2411"/>
        <v>444167.24</v>
      </c>
      <c r="AR1343" s="97">
        <f t="shared" si="2412"/>
        <v>479101.39</v>
      </c>
      <c r="AS1343" s="97">
        <f t="shared" si="2413"/>
        <v>2055.2199999999998</v>
      </c>
      <c r="AT1343" s="97">
        <f t="shared" si="2414"/>
        <v>2107.88</v>
      </c>
      <c r="AU1343" s="97">
        <f t="shared" si="2415"/>
        <v>2118.41</v>
      </c>
      <c r="AV1343" s="97">
        <f t="shared" si="2416"/>
        <v>0</v>
      </c>
      <c r="AW1343" s="97">
        <f t="shared" si="2416"/>
        <v>0</v>
      </c>
      <c r="AX1343" s="97">
        <f t="shared" si="2416"/>
        <v>0</v>
      </c>
      <c r="AY1343" s="97">
        <f t="shared" si="2417"/>
        <v>0</v>
      </c>
      <c r="AZ1343" s="97">
        <f t="shared" si="2417"/>
        <v>0</v>
      </c>
      <c r="BA1343" s="97">
        <f t="shared" si="2417"/>
        <v>0</v>
      </c>
      <c r="BB1343" s="102"/>
      <c r="BC1343" s="102"/>
      <c r="BD1343" s="102"/>
      <c r="BE1343" s="97">
        <f t="shared" si="2418"/>
        <v>0</v>
      </c>
      <c r="BF1343" s="97">
        <f t="shared" si="2419"/>
        <v>0</v>
      </c>
      <c r="BG1343" s="97">
        <f t="shared" si="2420"/>
        <v>0</v>
      </c>
      <c r="BH1343" s="97">
        <f t="shared" si="2421"/>
        <v>0</v>
      </c>
      <c r="BI1343" s="97">
        <f t="shared" si="2422"/>
        <v>0</v>
      </c>
      <c r="BJ1343" s="97">
        <f t="shared" si="2423"/>
        <v>0</v>
      </c>
      <c r="BK1343" s="97">
        <f t="shared" si="2424"/>
        <v>384684.35</v>
      </c>
      <c r="BL1343" s="97">
        <f t="shared" si="2425"/>
        <v>418162.11</v>
      </c>
      <c r="BM1343" s="97">
        <f t="shared" si="2426"/>
        <v>450561.7</v>
      </c>
      <c r="BN1343" s="97">
        <f t="shared" si="2427"/>
        <v>2195.42</v>
      </c>
      <c r="BO1343" s="97">
        <f t="shared" si="2428"/>
        <v>2251.69</v>
      </c>
      <c r="BP1343" s="97">
        <f t="shared" si="2429"/>
        <v>2258.7399999999998</v>
      </c>
      <c r="BQ1343" s="97">
        <f t="shared" si="2430"/>
        <v>0</v>
      </c>
      <c r="BR1343" s="97">
        <f t="shared" si="2430"/>
        <v>0</v>
      </c>
      <c r="BS1343" s="97">
        <f t="shared" si="2430"/>
        <v>0</v>
      </c>
      <c r="BT1343" s="97">
        <f t="shared" si="2431"/>
        <v>0</v>
      </c>
      <c r="BU1343" s="97">
        <f t="shared" si="2431"/>
        <v>0</v>
      </c>
      <c r="BV1343" s="97">
        <f t="shared" si="2431"/>
        <v>0</v>
      </c>
      <c r="BW1343" s="102"/>
      <c r="BX1343" s="102"/>
      <c r="BY1343" s="102"/>
      <c r="BZ1343" s="97">
        <f t="shared" si="2432"/>
        <v>0</v>
      </c>
      <c r="CA1343" s="97">
        <f t="shared" si="2433"/>
        <v>0</v>
      </c>
      <c r="CB1343" s="97">
        <f t="shared" si="2434"/>
        <v>0</v>
      </c>
      <c r="CC1343" s="97">
        <f t="shared" si="2435"/>
        <v>0</v>
      </c>
      <c r="CD1343" s="97">
        <f t="shared" si="2436"/>
        <v>0</v>
      </c>
      <c r="CE1343" s="97">
        <f t="shared" si="2437"/>
        <v>0</v>
      </c>
      <c r="CF1343" s="97">
        <f t="shared" si="2438"/>
        <v>397274.37</v>
      </c>
      <c r="CG1343" s="97">
        <f t="shared" si="2439"/>
        <v>433033.33</v>
      </c>
      <c r="CH1343" s="97">
        <f t="shared" si="2440"/>
        <v>467120.83</v>
      </c>
      <c r="CI1343" s="97">
        <f t="shared" si="2441"/>
        <v>3384.51</v>
      </c>
      <c r="CJ1343" s="97">
        <f t="shared" si="2442"/>
        <v>3402.08</v>
      </c>
      <c r="CK1343" s="97">
        <f t="shared" si="2443"/>
        <v>3385.63</v>
      </c>
      <c r="CL1343" s="97">
        <f t="shared" si="2444"/>
        <v>0</v>
      </c>
      <c r="CM1343" s="97">
        <f t="shared" si="2444"/>
        <v>0</v>
      </c>
      <c r="CN1343" s="97">
        <f t="shared" si="2444"/>
        <v>0</v>
      </c>
      <c r="CO1343" s="97">
        <f t="shared" si="2445"/>
        <v>0</v>
      </c>
      <c r="CP1343" s="97">
        <f t="shared" si="2445"/>
        <v>0</v>
      </c>
      <c r="CQ1343" s="97">
        <f t="shared" si="2445"/>
        <v>0</v>
      </c>
      <c r="CR1343" s="102"/>
      <c r="CS1343" s="102"/>
      <c r="CT1343" s="102"/>
      <c r="CU1343" s="97">
        <f t="shared" si="2446"/>
        <v>0</v>
      </c>
      <c r="CV1343" s="97">
        <f t="shared" si="2447"/>
        <v>0</v>
      </c>
      <c r="CW1343" s="97">
        <f t="shared" si="2448"/>
        <v>0</v>
      </c>
      <c r="CX1343" s="97">
        <f t="shared" si="2449"/>
        <v>0</v>
      </c>
      <c r="CY1343" s="97">
        <f t="shared" si="2450"/>
        <v>0</v>
      </c>
      <c r="CZ1343" s="97">
        <f t="shared" si="2451"/>
        <v>0</v>
      </c>
      <c r="DA1343" s="97">
        <f t="shared" si="2452"/>
        <v>400333.53</v>
      </c>
      <c r="DB1343" s="97">
        <f t="shared" si="2453"/>
        <v>435992.88</v>
      </c>
      <c r="DC1343" s="97">
        <f t="shared" si="2454"/>
        <v>470285.73</v>
      </c>
      <c r="DD1343" s="97">
        <f t="shared" si="2455"/>
        <v>1638.57</v>
      </c>
      <c r="DE1343" s="97">
        <f t="shared" si="2456"/>
        <v>1655.15</v>
      </c>
      <c r="DF1343" s="97">
        <f t="shared" si="2457"/>
        <v>1652.24</v>
      </c>
      <c r="DG1343" s="97">
        <f t="shared" si="2458"/>
        <v>0</v>
      </c>
      <c r="DH1343" s="97">
        <f t="shared" si="2458"/>
        <v>0</v>
      </c>
      <c r="DI1343" s="97">
        <f t="shared" si="2458"/>
        <v>0</v>
      </c>
      <c r="DJ1343" s="97">
        <f t="shared" si="2459"/>
        <v>0</v>
      </c>
      <c r="DK1343" s="97">
        <f t="shared" si="2459"/>
        <v>0</v>
      </c>
      <c r="DL1343" s="97">
        <f t="shared" si="2459"/>
        <v>0</v>
      </c>
      <c r="DM1343" s="102"/>
      <c r="DN1343" s="102"/>
      <c r="DO1343" s="102"/>
      <c r="DP1343" s="97">
        <f t="shared" si="2460"/>
        <v>0</v>
      </c>
      <c r="DQ1343" s="97">
        <f t="shared" si="2461"/>
        <v>0</v>
      </c>
      <c r="DR1343" s="97">
        <f t="shared" si="2462"/>
        <v>0</v>
      </c>
      <c r="DS1343" s="97">
        <f t="shared" si="2463"/>
        <v>0</v>
      </c>
      <c r="DT1343" s="97">
        <f t="shared" si="2464"/>
        <v>0</v>
      </c>
      <c r="DU1343" s="97">
        <f t="shared" si="2465"/>
        <v>0</v>
      </c>
      <c r="DV1343" s="97">
        <f t="shared" si="2466"/>
        <v>434692.4</v>
      </c>
      <c r="DW1343" s="97">
        <f t="shared" si="2467"/>
        <v>474147.48</v>
      </c>
      <c r="DX1343" s="97">
        <f t="shared" si="2468"/>
        <v>511688.3</v>
      </c>
      <c r="DY1343" s="97">
        <f t="shared" si="2469"/>
        <v>3432.06</v>
      </c>
      <c r="DZ1343" s="97">
        <f t="shared" si="2470"/>
        <v>3334.12</v>
      </c>
      <c r="EA1343" s="97">
        <f t="shared" si="2471"/>
        <v>3325.01</v>
      </c>
      <c r="EB1343" s="97">
        <f t="shared" si="2472"/>
        <v>0</v>
      </c>
      <c r="EC1343" s="97">
        <f t="shared" si="2472"/>
        <v>0</v>
      </c>
      <c r="ED1343" s="97">
        <f t="shared" si="2472"/>
        <v>0</v>
      </c>
      <c r="EE1343" s="97">
        <f t="shared" si="2473"/>
        <v>0</v>
      </c>
      <c r="EF1343" s="97">
        <f t="shared" si="2473"/>
        <v>0</v>
      </c>
      <c r="EG1343" s="97">
        <f t="shared" si="2473"/>
        <v>0</v>
      </c>
      <c r="EH1343" s="102"/>
      <c r="EI1343" s="102"/>
      <c r="EJ1343" s="102"/>
      <c r="EK1343" s="97">
        <f t="shared" si="2474"/>
        <v>0</v>
      </c>
      <c r="EL1343" s="97">
        <f t="shared" si="2475"/>
        <v>0</v>
      </c>
      <c r="EM1343" s="97">
        <f t="shared" si="2476"/>
        <v>0</v>
      </c>
      <c r="EN1343" s="97">
        <f t="shared" si="2477"/>
        <v>0</v>
      </c>
      <c r="EO1343" s="97">
        <f t="shared" si="2478"/>
        <v>0</v>
      </c>
      <c r="EP1343" s="97">
        <f t="shared" si="2479"/>
        <v>0</v>
      </c>
      <c r="EQ1343" s="97">
        <f t="shared" si="2480"/>
        <v>429676.64</v>
      </c>
      <c r="ER1343" s="97">
        <f t="shared" si="2481"/>
        <v>467229.35</v>
      </c>
      <c r="ES1343" s="97">
        <f t="shared" si="2482"/>
        <v>503745.08</v>
      </c>
      <c r="ET1343" s="97">
        <f t="shared" si="2483"/>
        <v>2881.37</v>
      </c>
      <c r="EU1343" s="97">
        <f t="shared" si="2484"/>
        <v>2950.34</v>
      </c>
      <c r="EV1343" s="97">
        <f t="shared" si="2485"/>
        <v>2962.68</v>
      </c>
      <c r="EW1343" s="97">
        <f t="shared" si="2486"/>
        <v>0</v>
      </c>
      <c r="EX1343" s="97">
        <f t="shared" si="2486"/>
        <v>0</v>
      </c>
      <c r="EY1343" s="97">
        <f t="shared" si="2486"/>
        <v>0</v>
      </c>
      <c r="EZ1343" s="97">
        <f t="shared" si="2487"/>
        <v>0</v>
      </c>
      <c r="FA1343" s="97">
        <f t="shared" si="2487"/>
        <v>0</v>
      </c>
      <c r="FB1343" s="97">
        <f t="shared" si="2487"/>
        <v>0</v>
      </c>
      <c r="FC1343" s="102"/>
      <c r="FD1343" s="102"/>
      <c r="FE1343" s="102"/>
      <c r="FF1343" s="97">
        <f t="shared" si="2488"/>
        <v>0</v>
      </c>
      <c r="FG1343" s="97">
        <f t="shared" si="2489"/>
        <v>0</v>
      </c>
      <c r="FH1343" s="97">
        <f t="shared" si="2490"/>
        <v>0</v>
      </c>
      <c r="FI1343" s="97">
        <f t="shared" si="2491"/>
        <v>0</v>
      </c>
      <c r="FJ1343" s="97">
        <f t="shared" si="2492"/>
        <v>0</v>
      </c>
      <c r="FK1343" s="97">
        <f t="shared" si="2493"/>
        <v>0</v>
      </c>
      <c r="FL1343" s="97">
        <f t="shared" si="2494"/>
        <v>417451.33</v>
      </c>
      <c r="FM1343" s="97">
        <f t="shared" si="2495"/>
        <v>454854.18</v>
      </c>
      <c r="FN1343" s="97">
        <f t="shared" si="2496"/>
        <v>490692.64</v>
      </c>
      <c r="FO1343" s="97">
        <f t="shared" si="2497"/>
        <v>3099.04</v>
      </c>
      <c r="FP1343" s="97">
        <f t="shared" si="2498"/>
        <v>3193.01</v>
      </c>
      <c r="FQ1343" s="97">
        <f t="shared" si="2499"/>
        <v>3133.21</v>
      </c>
      <c r="FR1343" s="97">
        <f t="shared" si="2500"/>
        <v>0</v>
      </c>
      <c r="FS1343" s="97">
        <f t="shared" si="2500"/>
        <v>0</v>
      </c>
      <c r="FT1343" s="97">
        <f t="shared" si="2500"/>
        <v>0</v>
      </c>
      <c r="FU1343" s="97">
        <f t="shared" si="2501"/>
        <v>0</v>
      </c>
      <c r="FV1343" s="97">
        <f t="shared" si="2501"/>
        <v>0</v>
      </c>
      <c r="FW1343" s="97">
        <f t="shared" si="2501"/>
        <v>0</v>
      </c>
      <c r="FX1343" s="102"/>
      <c r="FY1343" s="102"/>
      <c r="FZ1343" s="102"/>
      <c r="GA1343" s="97">
        <f t="shared" si="2502"/>
        <v>0</v>
      </c>
      <c r="GB1343" s="97">
        <f t="shared" si="2503"/>
        <v>0</v>
      </c>
      <c r="GC1343" s="97">
        <f t="shared" si="2504"/>
        <v>0</v>
      </c>
      <c r="GD1343" s="97">
        <f t="shared" si="2505"/>
        <v>0</v>
      </c>
      <c r="GE1343" s="97">
        <f t="shared" si="2506"/>
        <v>0</v>
      </c>
      <c r="GF1343" s="97">
        <f t="shared" si="2507"/>
        <v>0</v>
      </c>
      <c r="GG1343" s="97">
        <f t="shared" si="2508"/>
        <v>416795.27</v>
      </c>
      <c r="GH1343" s="97">
        <f t="shared" si="2509"/>
        <v>453644.24</v>
      </c>
      <c r="GI1343" s="97">
        <f t="shared" si="2510"/>
        <v>489142.38</v>
      </c>
      <c r="GJ1343" s="97">
        <f t="shared" si="2511"/>
        <v>2323.71</v>
      </c>
      <c r="GK1343" s="97">
        <f t="shared" si="2512"/>
        <v>2580.52</v>
      </c>
      <c r="GL1343" s="97">
        <f t="shared" si="2513"/>
        <v>2742.81</v>
      </c>
      <c r="GM1343" s="97">
        <f t="shared" si="2514"/>
        <v>0</v>
      </c>
      <c r="GN1343" s="97">
        <f t="shared" si="2514"/>
        <v>0</v>
      </c>
      <c r="GO1343" s="97">
        <f t="shared" si="2514"/>
        <v>0</v>
      </c>
      <c r="GP1343" s="97">
        <f t="shared" si="2515"/>
        <v>0</v>
      </c>
      <c r="GQ1343" s="97">
        <f t="shared" si="2515"/>
        <v>0</v>
      </c>
      <c r="GR1343" s="97">
        <f t="shared" si="2515"/>
        <v>0</v>
      </c>
      <c r="GS1343" s="102">
        <v>1</v>
      </c>
      <c r="GT1343" s="102">
        <v>1</v>
      </c>
      <c r="GU1343" s="102">
        <v>1</v>
      </c>
      <c r="GV1343" s="97">
        <f t="shared" si="2516"/>
        <v>1027282</v>
      </c>
      <c r="GW1343" s="97">
        <f t="shared" si="2517"/>
        <v>1083750</v>
      </c>
      <c r="GX1343" s="97">
        <f t="shared" si="2518"/>
        <v>1126667</v>
      </c>
      <c r="GY1343" s="97">
        <f t="shared" si="2519"/>
        <v>3286.98</v>
      </c>
      <c r="GZ1343" s="97">
        <f t="shared" si="2520"/>
        <v>3286.98</v>
      </c>
      <c r="HA1343" s="97">
        <f t="shared" si="2521"/>
        <v>3286.98</v>
      </c>
      <c r="HB1343" s="97">
        <f t="shared" si="2522"/>
        <v>435399.38</v>
      </c>
      <c r="HC1343" s="97">
        <f t="shared" si="2523"/>
        <v>473702.18</v>
      </c>
      <c r="HD1343" s="97">
        <f t="shared" si="2524"/>
        <v>510756.04</v>
      </c>
      <c r="HE1343" s="97">
        <f t="shared" si="2525"/>
        <v>2703.67</v>
      </c>
      <c r="HF1343" s="97">
        <f t="shared" si="2526"/>
        <v>2760.16</v>
      </c>
      <c r="HG1343" s="97">
        <f t="shared" si="2527"/>
        <v>2765.06</v>
      </c>
      <c r="HH1343" s="97">
        <f t="shared" si="2528"/>
        <v>435399.38</v>
      </c>
      <c r="HI1343" s="97">
        <f t="shared" si="2528"/>
        <v>473702.18</v>
      </c>
      <c r="HJ1343" s="97">
        <f t="shared" si="2528"/>
        <v>510756.04</v>
      </c>
      <c r="HK1343" s="97">
        <f t="shared" si="2529"/>
        <v>2703.67</v>
      </c>
      <c r="HL1343" s="97">
        <f t="shared" si="2529"/>
        <v>2760.16</v>
      </c>
      <c r="HM1343" s="97">
        <f t="shared" si="2529"/>
        <v>2765.06</v>
      </c>
      <c r="HN1343" s="102">
        <v>1</v>
      </c>
      <c r="HO1343" s="102">
        <v>1</v>
      </c>
      <c r="HP1343" s="102">
        <v>1</v>
      </c>
      <c r="HQ1343" s="97">
        <f t="shared" si="2530"/>
        <v>1027282</v>
      </c>
      <c r="HR1343" s="97">
        <f t="shared" si="2531"/>
        <v>1083750</v>
      </c>
      <c r="HS1343" s="97">
        <f t="shared" si="2532"/>
        <v>1126667</v>
      </c>
      <c r="HT1343" s="97">
        <f t="shared" si="2533"/>
        <v>3286.98</v>
      </c>
      <c r="HU1343" s="97">
        <f t="shared" si="2534"/>
        <v>3286.98</v>
      </c>
      <c r="HV1343" s="97">
        <f t="shared" si="2535"/>
        <v>3286.98</v>
      </c>
      <c r="HW1343" s="97">
        <f t="shared" si="2536"/>
        <v>428493.53</v>
      </c>
      <c r="HX1343" s="97">
        <f t="shared" si="2537"/>
        <v>466878.24</v>
      </c>
      <c r="HY1343" s="97">
        <f t="shared" si="2538"/>
        <v>503489.58</v>
      </c>
      <c r="HZ1343" s="97">
        <f t="shared" si="2539"/>
        <v>2579.12</v>
      </c>
      <c r="IA1343" s="97">
        <f t="shared" si="2540"/>
        <v>2631.43</v>
      </c>
      <c r="IB1343" s="97">
        <f t="shared" si="2541"/>
        <v>2590.96</v>
      </c>
      <c r="IC1343" s="97">
        <f t="shared" si="2542"/>
        <v>428493.53</v>
      </c>
      <c r="ID1343" s="97">
        <f t="shared" si="2542"/>
        <v>466878.24</v>
      </c>
      <c r="IE1343" s="97">
        <f t="shared" si="2542"/>
        <v>503489.58</v>
      </c>
      <c r="IF1343" s="97">
        <f t="shared" si="2543"/>
        <v>2579.12</v>
      </c>
      <c r="IG1343" s="97">
        <f t="shared" si="2543"/>
        <v>2631.43</v>
      </c>
      <c r="IH1343" s="97">
        <f t="shared" si="2543"/>
        <v>2590.96</v>
      </c>
      <c r="II1343" s="102"/>
      <c r="IJ1343" s="102"/>
      <c r="IK1343" s="102"/>
      <c r="IL1343" s="97">
        <f t="shared" si="2544"/>
        <v>0</v>
      </c>
      <c r="IM1343" s="97">
        <f t="shared" si="2545"/>
        <v>0</v>
      </c>
      <c r="IN1343" s="97">
        <f t="shared" si="2546"/>
        <v>0</v>
      </c>
      <c r="IO1343" s="97">
        <f t="shared" si="2547"/>
        <v>0</v>
      </c>
      <c r="IP1343" s="97">
        <f t="shared" si="2548"/>
        <v>0</v>
      </c>
      <c r="IQ1343" s="97">
        <f t="shared" si="2549"/>
        <v>0</v>
      </c>
      <c r="IR1343" s="97">
        <f t="shared" si="2550"/>
        <v>582079.87</v>
      </c>
      <c r="IS1343" s="97">
        <f t="shared" si="2551"/>
        <v>632576.9</v>
      </c>
      <c r="IT1343" s="97">
        <f t="shared" si="2552"/>
        <v>681934.51</v>
      </c>
      <c r="IU1343" s="97">
        <f t="shared" si="2553"/>
        <v>3899.13</v>
      </c>
      <c r="IV1343" s="97">
        <f t="shared" si="2554"/>
        <v>3977.97</v>
      </c>
      <c r="IW1343" s="97">
        <f t="shared" si="2555"/>
        <v>3889.28</v>
      </c>
      <c r="IX1343" s="97">
        <f t="shared" si="2556"/>
        <v>0</v>
      </c>
      <c r="IY1343" s="97">
        <f t="shared" si="2556"/>
        <v>0</v>
      </c>
      <c r="IZ1343" s="97">
        <f t="shared" si="2556"/>
        <v>0</v>
      </c>
      <c r="JA1343" s="97">
        <f t="shared" si="2557"/>
        <v>0</v>
      </c>
      <c r="JB1343" s="97">
        <f t="shared" si="2557"/>
        <v>0</v>
      </c>
      <c r="JC1343" s="97">
        <f t="shared" si="2557"/>
        <v>0</v>
      </c>
      <c r="JD1343" s="102"/>
      <c r="JE1343" s="102"/>
      <c r="JF1343" s="102"/>
      <c r="JG1343" s="97">
        <f t="shared" si="2558"/>
        <v>0</v>
      </c>
      <c r="JH1343" s="97">
        <f t="shared" si="2559"/>
        <v>0</v>
      </c>
      <c r="JI1343" s="97">
        <f t="shared" si="2560"/>
        <v>0</v>
      </c>
      <c r="JJ1343" s="97">
        <f t="shared" si="2561"/>
        <v>0</v>
      </c>
      <c r="JK1343" s="97">
        <f t="shared" si="2562"/>
        <v>0</v>
      </c>
      <c r="JL1343" s="97">
        <f t="shared" si="2563"/>
        <v>0</v>
      </c>
      <c r="JM1343" s="97">
        <f t="shared" si="2564"/>
        <v>390191.48</v>
      </c>
      <c r="JN1343" s="97">
        <f t="shared" si="2565"/>
        <v>424889.96</v>
      </c>
      <c r="JO1343" s="97">
        <f t="shared" si="2566"/>
        <v>458285.9</v>
      </c>
      <c r="JP1343" s="97">
        <f t="shared" si="2567"/>
        <v>2125.79</v>
      </c>
      <c r="JQ1343" s="97">
        <f t="shared" si="2568"/>
        <v>2208.36</v>
      </c>
      <c r="JR1343" s="97">
        <f t="shared" si="2569"/>
        <v>2213.62</v>
      </c>
      <c r="JS1343" s="97">
        <f t="shared" si="2570"/>
        <v>0</v>
      </c>
      <c r="JT1343" s="97">
        <f t="shared" si="2570"/>
        <v>0</v>
      </c>
      <c r="JU1343" s="97">
        <f t="shared" si="2570"/>
        <v>0</v>
      </c>
      <c r="JV1343" s="97">
        <f t="shared" si="2571"/>
        <v>0</v>
      </c>
      <c r="JW1343" s="97">
        <f t="shared" si="2571"/>
        <v>0</v>
      </c>
      <c r="JX1343" s="97">
        <f t="shared" si="2571"/>
        <v>0</v>
      </c>
      <c r="JY1343" s="102"/>
      <c r="JZ1343" s="102"/>
      <c r="KA1343" s="102"/>
      <c r="KB1343" s="97">
        <f t="shared" si="2572"/>
        <v>0</v>
      </c>
      <c r="KC1343" s="97">
        <f t="shared" si="2573"/>
        <v>0</v>
      </c>
      <c r="KD1343" s="97">
        <f t="shared" si="2574"/>
        <v>0</v>
      </c>
      <c r="KE1343" s="97">
        <f t="shared" si="2575"/>
        <v>0</v>
      </c>
      <c r="KF1343" s="97">
        <f t="shared" si="2576"/>
        <v>0</v>
      </c>
      <c r="KG1343" s="97">
        <f t="shared" si="2577"/>
        <v>0</v>
      </c>
      <c r="KH1343" s="97">
        <f t="shared" si="2578"/>
        <v>401157.87</v>
      </c>
      <c r="KI1343" s="97">
        <f t="shared" si="2579"/>
        <v>436461.87</v>
      </c>
      <c r="KJ1343" s="97">
        <f t="shared" si="2580"/>
        <v>470661.34</v>
      </c>
      <c r="KK1343" s="97">
        <f t="shared" si="2581"/>
        <v>1992.83</v>
      </c>
      <c r="KL1343" s="97">
        <f t="shared" si="2582"/>
        <v>2046.65</v>
      </c>
      <c r="KM1343" s="97">
        <f t="shared" si="2583"/>
        <v>2036.98</v>
      </c>
      <c r="KN1343" s="97">
        <f t="shared" si="2584"/>
        <v>0</v>
      </c>
      <c r="KO1343" s="97">
        <f t="shared" si="2584"/>
        <v>0</v>
      </c>
      <c r="KP1343" s="97">
        <f t="shared" si="2584"/>
        <v>0</v>
      </c>
      <c r="KQ1343" s="97">
        <f t="shared" si="2585"/>
        <v>0</v>
      </c>
      <c r="KR1343" s="97">
        <f t="shared" si="2585"/>
        <v>0</v>
      </c>
      <c r="KS1343" s="97">
        <f t="shared" si="2585"/>
        <v>0</v>
      </c>
      <c r="KT1343" s="102"/>
      <c r="KU1343" s="102"/>
      <c r="KV1343" s="102"/>
      <c r="KW1343" s="97">
        <f t="shared" si="2586"/>
        <v>0</v>
      </c>
      <c r="KX1343" s="97">
        <f t="shared" si="2587"/>
        <v>0</v>
      </c>
      <c r="KY1343" s="97">
        <f t="shared" si="2588"/>
        <v>0</v>
      </c>
      <c r="KZ1343" s="97">
        <f t="shared" si="2589"/>
        <v>0</v>
      </c>
      <c r="LA1343" s="97">
        <f t="shared" si="2590"/>
        <v>0</v>
      </c>
      <c r="LB1343" s="97">
        <f t="shared" si="2591"/>
        <v>0</v>
      </c>
      <c r="LC1343" s="97">
        <f t="shared" si="2592"/>
        <v>378656.82</v>
      </c>
      <c r="LD1343" s="97">
        <f t="shared" si="2593"/>
        <v>412530.61</v>
      </c>
      <c r="LE1343" s="97">
        <f t="shared" si="2594"/>
        <v>444984.69</v>
      </c>
      <c r="LF1343" s="97">
        <f t="shared" si="2595"/>
        <v>2746.59</v>
      </c>
      <c r="LG1343" s="97">
        <f t="shared" si="2596"/>
        <v>2859.53</v>
      </c>
      <c r="LH1343" s="97">
        <f t="shared" si="2597"/>
        <v>2874.5</v>
      </c>
      <c r="LI1343" s="97">
        <f t="shared" si="2598"/>
        <v>0</v>
      </c>
      <c r="LJ1343" s="97">
        <f t="shared" si="2598"/>
        <v>0</v>
      </c>
      <c r="LK1343" s="97">
        <f t="shared" si="2598"/>
        <v>0</v>
      </c>
      <c r="LL1343" s="97">
        <f t="shared" si="2599"/>
        <v>0</v>
      </c>
      <c r="LM1343" s="97">
        <f t="shared" si="2599"/>
        <v>0</v>
      </c>
      <c r="LN1343" s="97">
        <f t="shared" si="2599"/>
        <v>0</v>
      </c>
      <c r="LO1343" s="102"/>
      <c r="LP1343" s="102"/>
      <c r="LQ1343" s="102"/>
      <c r="LR1343" s="97">
        <f t="shared" si="2600"/>
        <v>0</v>
      </c>
      <c r="LS1343" s="97">
        <f t="shared" si="2601"/>
        <v>0</v>
      </c>
      <c r="LT1343" s="97">
        <f t="shared" si="2602"/>
        <v>0</v>
      </c>
      <c r="LU1343" s="97">
        <f t="shared" si="2603"/>
        <v>0</v>
      </c>
      <c r="LV1343" s="97">
        <f t="shared" si="2604"/>
        <v>0</v>
      </c>
      <c r="LW1343" s="97">
        <f t="shared" si="2605"/>
        <v>0</v>
      </c>
      <c r="LX1343" s="97">
        <f t="shared" si="2606"/>
        <v>330773.52</v>
      </c>
      <c r="LY1343" s="97">
        <f t="shared" si="2607"/>
        <v>360383.3</v>
      </c>
      <c r="LZ1343" s="97">
        <f t="shared" si="2608"/>
        <v>388694.74</v>
      </c>
      <c r="MA1343" s="97">
        <f t="shared" si="2609"/>
        <v>2038.79</v>
      </c>
      <c r="MB1343" s="97">
        <f t="shared" si="2610"/>
        <v>2089.1999999999998</v>
      </c>
      <c r="MC1343" s="97">
        <f t="shared" si="2611"/>
        <v>2083.0300000000002</v>
      </c>
      <c r="MD1343" s="97">
        <f t="shared" si="2612"/>
        <v>0</v>
      </c>
      <c r="ME1343" s="97">
        <f t="shared" si="2612"/>
        <v>0</v>
      </c>
      <c r="MF1343" s="97">
        <f t="shared" si="2612"/>
        <v>0</v>
      </c>
      <c r="MG1343" s="97">
        <f t="shared" si="2613"/>
        <v>0</v>
      </c>
      <c r="MH1343" s="97">
        <f t="shared" si="2613"/>
        <v>0</v>
      </c>
      <c r="MI1343" s="97">
        <f t="shared" si="2613"/>
        <v>0</v>
      </c>
      <c r="MJ1343" s="102"/>
      <c r="MK1343" s="102"/>
      <c r="ML1343" s="102"/>
      <c r="MM1343" s="97">
        <f t="shared" si="2614"/>
        <v>0</v>
      </c>
      <c r="MN1343" s="97">
        <f t="shared" si="2615"/>
        <v>0</v>
      </c>
      <c r="MO1343" s="97">
        <f t="shared" si="2616"/>
        <v>0</v>
      </c>
      <c r="MP1343" s="97">
        <f t="shared" si="2617"/>
        <v>0</v>
      </c>
      <c r="MQ1343" s="97">
        <f t="shared" si="2618"/>
        <v>0</v>
      </c>
      <c r="MR1343" s="97">
        <f t="shared" si="2619"/>
        <v>0</v>
      </c>
      <c r="MS1343" s="97">
        <f t="shared" si="2620"/>
        <v>382668.29</v>
      </c>
      <c r="MT1343" s="97">
        <f t="shared" si="2621"/>
        <v>416873.01</v>
      </c>
      <c r="MU1343" s="97">
        <f t="shared" si="2622"/>
        <v>449661.65</v>
      </c>
      <c r="MV1343" s="97">
        <f t="shared" si="2623"/>
        <v>2418.7800000000002</v>
      </c>
      <c r="MW1343" s="97">
        <f t="shared" si="2624"/>
        <v>2445.1799999999998</v>
      </c>
      <c r="MX1343" s="97">
        <f t="shared" si="2625"/>
        <v>2460.2600000000002</v>
      </c>
      <c r="MY1343" s="97">
        <f t="shared" si="2626"/>
        <v>0</v>
      </c>
      <c r="MZ1343" s="97">
        <f t="shared" si="2626"/>
        <v>0</v>
      </c>
      <c r="NA1343" s="97">
        <f t="shared" si="2626"/>
        <v>0</v>
      </c>
      <c r="NB1343" s="97">
        <f t="shared" si="2627"/>
        <v>0</v>
      </c>
      <c r="NC1343" s="97">
        <f t="shared" si="2627"/>
        <v>0</v>
      </c>
      <c r="ND1343" s="97">
        <f t="shared" si="2627"/>
        <v>0</v>
      </c>
      <c r="NE1343" s="102">
        <v>1</v>
      </c>
      <c r="NF1343" s="102">
        <v>1</v>
      </c>
      <c r="NG1343" s="102">
        <v>1</v>
      </c>
      <c r="NH1343" s="97">
        <f t="shared" si="2628"/>
        <v>1027282</v>
      </c>
      <c r="NI1343" s="97">
        <f t="shared" si="2629"/>
        <v>1083750</v>
      </c>
      <c r="NJ1343" s="97">
        <f t="shared" si="2630"/>
        <v>1126667</v>
      </c>
      <c r="NK1343" s="97">
        <f t="shared" si="2631"/>
        <v>3286.98</v>
      </c>
      <c r="NL1343" s="97">
        <f t="shared" si="2632"/>
        <v>3286.98</v>
      </c>
      <c r="NM1343" s="97">
        <f t="shared" si="2633"/>
        <v>3286.98</v>
      </c>
      <c r="NN1343" s="97">
        <f t="shared" si="2634"/>
        <v>390695.98</v>
      </c>
      <c r="NO1343" s="97">
        <f t="shared" si="2635"/>
        <v>425068.03</v>
      </c>
      <c r="NP1343" s="97">
        <f t="shared" si="2636"/>
        <v>458243.07</v>
      </c>
      <c r="NQ1343" s="97">
        <f t="shared" si="2637"/>
        <v>3542.47</v>
      </c>
      <c r="NR1343" s="97">
        <f t="shared" si="2638"/>
        <v>3700.14</v>
      </c>
      <c r="NS1343" s="97">
        <f t="shared" si="2639"/>
        <v>3597.93</v>
      </c>
      <c r="NT1343" s="97">
        <f t="shared" si="2640"/>
        <v>390695.98</v>
      </c>
      <c r="NU1343" s="97">
        <f t="shared" si="2640"/>
        <v>425068.03</v>
      </c>
      <c r="NV1343" s="97">
        <f t="shared" si="2640"/>
        <v>458243.07</v>
      </c>
      <c r="NW1343" s="97">
        <f t="shared" si="2641"/>
        <v>3542.47</v>
      </c>
      <c r="NX1343" s="97">
        <f t="shared" si="2641"/>
        <v>3700.14</v>
      </c>
      <c r="NY1343" s="97">
        <f t="shared" si="2641"/>
        <v>3597.93</v>
      </c>
      <c r="NZ1343" s="102"/>
      <c r="OA1343" s="102"/>
      <c r="OB1343" s="102"/>
      <c r="OC1343" s="97">
        <f t="shared" si="2642"/>
        <v>0</v>
      </c>
      <c r="OD1343" s="97">
        <f t="shared" si="2643"/>
        <v>0</v>
      </c>
      <c r="OE1343" s="97">
        <f t="shared" si="2644"/>
        <v>0</v>
      </c>
      <c r="OF1343" s="97">
        <f t="shared" si="2645"/>
        <v>0</v>
      </c>
      <c r="OG1343" s="97">
        <f t="shared" si="2646"/>
        <v>0</v>
      </c>
      <c r="OH1343" s="97">
        <f t="shared" si="2647"/>
        <v>0</v>
      </c>
      <c r="OI1343" s="97">
        <f t="shared" si="2648"/>
        <v>512267.82</v>
      </c>
      <c r="OJ1343" s="97">
        <f t="shared" si="2649"/>
        <v>556462.59</v>
      </c>
      <c r="OK1343" s="97">
        <f t="shared" si="2650"/>
        <v>599717.92000000004</v>
      </c>
      <c r="OL1343" s="97">
        <f t="shared" si="2651"/>
        <v>3553.05</v>
      </c>
      <c r="OM1343" s="97">
        <f t="shared" si="2652"/>
        <v>3691.78</v>
      </c>
      <c r="ON1343" s="97">
        <f t="shared" si="2653"/>
        <v>3672.48</v>
      </c>
      <c r="OO1343" s="97">
        <f t="shared" si="2654"/>
        <v>0</v>
      </c>
      <c r="OP1343" s="97">
        <f t="shared" si="2654"/>
        <v>0</v>
      </c>
      <c r="OQ1343" s="97">
        <f t="shared" si="2654"/>
        <v>0</v>
      </c>
      <c r="OR1343" s="97">
        <f t="shared" si="2655"/>
        <v>0</v>
      </c>
      <c r="OS1343" s="97">
        <f t="shared" si="2655"/>
        <v>0</v>
      </c>
      <c r="OT1343" s="97">
        <f t="shared" si="2655"/>
        <v>0</v>
      </c>
      <c r="OU1343" s="102"/>
      <c r="OV1343" s="102"/>
      <c r="OW1343" s="102"/>
      <c r="OX1343" s="97">
        <f t="shared" si="2656"/>
        <v>0</v>
      </c>
      <c r="OY1343" s="97">
        <f t="shared" si="2657"/>
        <v>0</v>
      </c>
      <c r="OZ1343" s="97">
        <f t="shared" si="2658"/>
        <v>0</v>
      </c>
      <c r="PA1343" s="97">
        <f t="shared" si="2659"/>
        <v>0</v>
      </c>
      <c r="PB1343" s="97">
        <f t="shared" si="2660"/>
        <v>0</v>
      </c>
      <c r="PC1343" s="97">
        <f t="shared" si="2661"/>
        <v>0</v>
      </c>
      <c r="PD1343" s="97">
        <f t="shared" si="2662"/>
        <v>430801.31</v>
      </c>
      <c r="PE1343" s="97">
        <f t="shared" si="2663"/>
        <v>469101.38</v>
      </c>
      <c r="PF1343" s="97">
        <f t="shared" si="2664"/>
        <v>505930.39</v>
      </c>
      <c r="PG1343" s="97">
        <f t="shared" si="2665"/>
        <v>2839.64</v>
      </c>
      <c r="PH1343" s="97">
        <f t="shared" si="2666"/>
        <v>2901.01</v>
      </c>
      <c r="PI1343" s="97">
        <f t="shared" si="2667"/>
        <v>2924.58</v>
      </c>
      <c r="PJ1343" s="97">
        <f t="shared" si="2668"/>
        <v>0</v>
      </c>
      <c r="PK1343" s="97">
        <f t="shared" si="2668"/>
        <v>0</v>
      </c>
      <c r="PL1343" s="97">
        <f t="shared" si="2668"/>
        <v>0</v>
      </c>
      <c r="PM1343" s="97">
        <f t="shared" si="2669"/>
        <v>0</v>
      </c>
      <c r="PN1343" s="97">
        <f t="shared" si="2669"/>
        <v>0</v>
      </c>
      <c r="PO1343" s="97">
        <f t="shared" si="2669"/>
        <v>0</v>
      </c>
      <c r="PP1343" s="102">
        <v>1</v>
      </c>
      <c r="PQ1343" s="102">
        <v>1</v>
      </c>
      <c r="PR1343" s="102">
        <v>1</v>
      </c>
      <c r="PS1343" s="97">
        <f t="shared" si="2670"/>
        <v>1027282</v>
      </c>
      <c r="PT1343" s="97">
        <f t="shared" si="2671"/>
        <v>1083750</v>
      </c>
      <c r="PU1343" s="97">
        <f t="shared" si="2672"/>
        <v>1126667</v>
      </c>
      <c r="PV1343" s="97">
        <f t="shared" si="2673"/>
        <v>3286.98</v>
      </c>
      <c r="PW1343" s="97">
        <f t="shared" si="2674"/>
        <v>3286.98</v>
      </c>
      <c r="PX1343" s="97">
        <f t="shared" si="2675"/>
        <v>3286.98</v>
      </c>
      <c r="PY1343" s="97">
        <f t="shared" si="2676"/>
        <v>385697.92</v>
      </c>
      <c r="PZ1343" s="97">
        <f t="shared" si="2677"/>
        <v>420340.7</v>
      </c>
      <c r="QA1343" s="97">
        <f t="shared" si="2678"/>
        <v>453371.7</v>
      </c>
      <c r="QB1343" s="97">
        <f t="shared" si="2679"/>
        <v>2928.37</v>
      </c>
      <c r="QC1343" s="97">
        <f t="shared" si="2680"/>
        <v>3075.11</v>
      </c>
      <c r="QD1343" s="97">
        <f t="shared" si="2681"/>
        <v>3072.43</v>
      </c>
      <c r="QE1343" s="97">
        <f t="shared" si="2682"/>
        <v>385697.92</v>
      </c>
      <c r="QF1343" s="97">
        <f t="shared" si="2682"/>
        <v>420340.7</v>
      </c>
      <c r="QG1343" s="97">
        <f t="shared" si="2682"/>
        <v>453371.7</v>
      </c>
      <c r="QH1343" s="97">
        <f t="shared" si="2683"/>
        <v>2928.37</v>
      </c>
      <c r="QI1343" s="97">
        <f t="shared" si="2683"/>
        <v>3075.11</v>
      </c>
      <c r="QJ1343" s="97">
        <f t="shared" si="2683"/>
        <v>3072.43</v>
      </c>
      <c r="QK1343" s="102">
        <v>1</v>
      </c>
      <c r="QL1343" s="102">
        <v>1</v>
      </c>
      <c r="QM1343" s="102">
        <v>1</v>
      </c>
      <c r="QN1343" s="97">
        <f t="shared" si="2684"/>
        <v>1027282</v>
      </c>
      <c r="QO1343" s="97">
        <f t="shared" si="2685"/>
        <v>1083750</v>
      </c>
      <c r="QP1343" s="97">
        <f t="shared" si="2686"/>
        <v>1126667</v>
      </c>
      <c r="QQ1343" s="97">
        <f t="shared" si="2687"/>
        <v>3286.98</v>
      </c>
      <c r="QR1343" s="97">
        <f t="shared" si="2688"/>
        <v>3286.98</v>
      </c>
      <c r="QS1343" s="97">
        <f t="shared" si="2689"/>
        <v>3286.98</v>
      </c>
      <c r="QT1343" s="97">
        <f t="shared" si="2690"/>
        <v>392232.8</v>
      </c>
      <c r="QU1343" s="97">
        <f t="shared" si="2691"/>
        <v>427307.4</v>
      </c>
      <c r="QV1343" s="97">
        <f t="shared" si="2692"/>
        <v>460935.96</v>
      </c>
      <c r="QW1343" s="97">
        <f t="shared" si="2693"/>
        <v>2014.1</v>
      </c>
      <c r="QX1343" s="97">
        <f t="shared" si="2694"/>
        <v>2089.9699999999998</v>
      </c>
      <c r="QY1343" s="97">
        <f t="shared" si="2695"/>
        <v>2101.66</v>
      </c>
      <c r="QZ1343" s="97">
        <f t="shared" si="2696"/>
        <v>392232.8</v>
      </c>
      <c r="RA1343" s="97">
        <f t="shared" si="2696"/>
        <v>427307.4</v>
      </c>
      <c r="RB1343" s="97">
        <f t="shared" si="2696"/>
        <v>460935.96</v>
      </c>
      <c r="RC1343" s="97">
        <f t="shared" si="2697"/>
        <v>2014.1</v>
      </c>
      <c r="RD1343" s="97">
        <f t="shared" si="2697"/>
        <v>2089.9699999999998</v>
      </c>
      <c r="RE1343" s="97">
        <f t="shared" si="2697"/>
        <v>2101.66</v>
      </c>
      <c r="RF1343" s="102"/>
      <c r="RG1343" s="102"/>
      <c r="RH1343" s="102"/>
      <c r="RI1343" s="97">
        <f t="shared" si="2698"/>
        <v>0</v>
      </c>
      <c r="RJ1343" s="97">
        <f t="shared" si="2699"/>
        <v>0</v>
      </c>
      <c r="RK1343" s="97">
        <f t="shared" si="2700"/>
        <v>0</v>
      </c>
      <c r="RL1343" s="97">
        <f t="shared" si="2701"/>
        <v>0</v>
      </c>
      <c r="RM1343" s="97">
        <f t="shared" si="2702"/>
        <v>0</v>
      </c>
      <c r="RN1343" s="97">
        <f t="shared" si="2703"/>
        <v>0</v>
      </c>
      <c r="RO1343" s="97">
        <f t="shared" si="2704"/>
        <v>420160.95</v>
      </c>
      <c r="RP1343" s="97">
        <f t="shared" si="2705"/>
        <v>457541.6</v>
      </c>
      <c r="RQ1343" s="97">
        <f t="shared" si="2706"/>
        <v>493545.9</v>
      </c>
      <c r="RR1343" s="97">
        <f t="shared" si="2707"/>
        <v>2841.11</v>
      </c>
      <c r="RS1343" s="97">
        <f t="shared" si="2708"/>
        <v>2892.38</v>
      </c>
      <c r="RT1343" s="97">
        <f t="shared" si="2709"/>
        <v>2909.19</v>
      </c>
      <c r="RU1343" s="97">
        <f t="shared" si="2710"/>
        <v>0</v>
      </c>
      <c r="RV1343" s="97">
        <f t="shared" si="2710"/>
        <v>0</v>
      </c>
      <c r="RW1343" s="97">
        <f t="shared" si="2710"/>
        <v>0</v>
      </c>
      <c r="RX1343" s="97">
        <f t="shared" si="2711"/>
        <v>0</v>
      </c>
      <c r="RY1343" s="97">
        <f t="shared" si="2711"/>
        <v>0</v>
      </c>
      <c r="RZ1343" s="97">
        <f t="shared" si="2711"/>
        <v>0</v>
      </c>
      <c r="SA1343" s="102"/>
      <c r="SB1343" s="102"/>
      <c r="SC1343" s="102"/>
      <c r="SD1343" s="97">
        <f t="shared" si="2712"/>
        <v>0</v>
      </c>
      <c r="SE1343" s="97">
        <f t="shared" si="2713"/>
        <v>0</v>
      </c>
      <c r="SF1343" s="97">
        <f t="shared" si="2714"/>
        <v>0</v>
      </c>
      <c r="SG1343" s="97">
        <f t="shared" si="2715"/>
        <v>0</v>
      </c>
      <c r="SH1343" s="97">
        <f t="shared" si="2716"/>
        <v>0</v>
      </c>
      <c r="SI1343" s="97">
        <f t="shared" si="2717"/>
        <v>0</v>
      </c>
      <c r="SJ1343" s="97">
        <f t="shared" si="2718"/>
        <v>441471.21</v>
      </c>
      <c r="SK1343" s="97">
        <f t="shared" si="2719"/>
        <v>480214.9</v>
      </c>
      <c r="SL1343" s="97">
        <f t="shared" si="2720"/>
        <v>517787.91</v>
      </c>
      <c r="SM1343" s="97">
        <f t="shared" si="2721"/>
        <v>3977.65</v>
      </c>
      <c r="SN1343" s="97">
        <f t="shared" si="2722"/>
        <v>4104.45</v>
      </c>
      <c r="SO1343" s="97">
        <f t="shared" si="2723"/>
        <v>4115.6000000000004</v>
      </c>
      <c r="SP1343" s="97">
        <f t="shared" si="2724"/>
        <v>0</v>
      </c>
      <c r="SQ1343" s="97">
        <f t="shared" si="2724"/>
        <v>0</v>
      </c>
      <c r="SR1343" s="97">
        <f t="shared" si="2724"/>
        <v>0</v>
      </c>
      <c r="SS1343" s="97">
        <f t="shared" si="2725"/>
        <v>0</v>
      </c>
      <c r="ST1343" s="97">
        <f t="shared" si="2725"/>
        <v>0</v>
      </c>
      <c r="SU1343" s="97">
        <f t="shared" si="2725"/>
        <v>0</v>
      </c>
      <c r="SV1343" s="102">
        <v>1</v>
      </c>
      <c r="SW1343" s="102">
        <v>1</v>
      </c>
      <c r="SX1343" s="102">
        <v>1</v>
      </c>
      <c r="SY1343" s="97">
        <f t="shared" si="2726"/>
        <v>1027282</v>
      </c>
      <c r="SZ1343" s="97">
        <f t="shared" si="2727"/>
        <v>1083750</v>
      </c>
      <c r="TA1343" s="97">
        <f t="shared" si="2728"/>
        <v>1126667</v>
      </c>
      <c r="TB1343" s="97">
        <f t="shared" si="2729"/>
        <v>3286.98</v>
      </c>
      <c r="TC1343" s="97">
        <f t="shared" si="2730"/>
        <v>3286.98</v>
      </c>
      <c r="TD1343" s="97">
        <f t="shared" si="2731"/>
        <v>3286.98</v>
      </c>
      <c r="TE1343" s="97">
        <f t="shared" si="2732"/>
        <v>394613.77</v>
      </c>
      <c r="TF1343" s="97">
        <f t="shared" si="2733"/>
        <v>429734.41</v>
      </c>
      <c r="TG1343" s="97">
        <f t="shared" si="2734"/>
        <v>463470.08000000002</v>
      </c>
      <c r="TH1343" s="97">
        <f t="shared" si="2735"/>
        <v>3029.13</v>
      </c>
      <c r="TI1343" s="97">
        <f t="shared" si="2736"/>
        <v>3109.61</v>
      </c>
      <c r="TJ1343" s="97">
        <f t="shared" si="2737"/>
        <v>3100.61</v>
      </c>
      <c r="TK1343" s="97">
        <f t="shared" si="2738"/>
        <v>394613.77</v>
      </c>
      <c r="TL1343" s="97">
        <f t="shared" si="2738"/>
        <v>429734.41</v>
      </c>
      <c r="TM1343" s="97">
        <f t="shared" si="2738"/>
        <v>463470.08000000002</v>
      </c>
      <c r="TN1343" s="97">
        <f t="shared" si="2739"/>
        <v>3029.13</v>
      </c>
      <c r="TO1343" s="97">
        <f t="shared" si="2739"/>
        <v>3109.61</v>
      </c>
      <c r="TP1343" s="97">
        <f t="shared" si="2739"/>
        <v>3100.61</v>
      </c>
      <c r="TQ1343" s="102"/>
      <c r="TR1343" s="102"/>
      <c r="TS1343" s="102"/>
      <c r="TT1343" s="97">
        <f t="shared" si="2740"/>
        <v>0</v>
      </c>
      <c r="TU1343" s="97">
        <f t="shared" si="2741"/>
        <v>0</v>
      </c>
      <c r="TV1343" s="97">
        <f t="shared" si="2742"/>
        <v>0</v>
      </c>
      <c r="TW1343" s="97">
        <f t="shared" si="2743"/>
        <v>0</v>
      </c>
      <c r="TX1343" s="97">
        <f t="shared" si="2744"/>
        <v>0</v>
      </c>
      <c r="TY1343" s="97">
        <f t="shared" si="2745"/>
        <v>0</v>
      </c>
      <c r="TZ1343" s="97">
        <f t="shared" si="2746"/>
        <v>422735.62</v>
      </c>
      <c r="UA1343" s="97">
        <f t="shared" si="2747"/>
        <v>460023.76</v>
      </c>
      <c r="UB1343" s="97">
        <f t="shared" si="2748"/>
        <v>496168.81</v>
      </c>
      <c r="UC1343" s="97">
        <f t="shared" si="2749"/>
        <v>2768.22</v>
      </c>
      <c r="UD1343" s="97">
        <f t="shared" si="2750"/>
        <v>2925.25</v>
      </c>
      <c r="UE1343" s="97">
        <f t="shared" si="2751"/>
        <v>2934.27</v>
      </c>
      <c r="UF1343" s="97">
        <f t="shared" si="2752"/>
        <v>0</v>
      </c>
      <c r="UG1343" s="97">
        <f t="shared" si="2752"/>
        <v>0</v>
      </c>
      <c r="UH1343" s="97">
        <f t="shared" si="2752"/>
        <v>0</v>
      </c>
      <c r="UI1343" s="97">
        <f t="shared" si="2753"/>
        <v>0</v>
      </c>
      <c r="UJ1343" s="97">
        <f t="shared" si="2753"/>
        <v>0</v>
      </c>
      <c r="UK1343" s="97">
        <f t="shared" si="2753"/>
        <v>0</v>
      </c>
      <c r="UL1343" s="102"/>
      <c r="UM1343" s="102"/>
      <c r="UN1343" s="102"/>
      <c r="UO1343" s="97">
        <f t="shared" si="2754"/>
        <v>0</v>
      </c>
      <c r="UP1343" s="97">
        <f t="shared" si="2755"/>
        <v>0</v>
      </c>
      <c r="UQ1343" s="97">
        <f t="shared" si="2756"/>
        <v>0</v>
      </c>
      <c r="UR1343" s="97">
        <f t="shared" si="2757"/>
        <v>0</v>
      </c>
      <c r="US1343" s="97">
        <f t="shared" si="2758"/>
        <v>0</v>
      </c>
      <c r="UT1343" s="97">
        <f t="shared" si="2759"/>
        <v>0</v>
      </c>
      <c r="UU1343" s="97">
        <f t="shared" si="2760"/>
        <v>391074.43</v>
      </c>
      <c r="UV1343" s="97">
        <f t="shared" si="2761"/>
        <v>426291.66</v>
      </c>
      <c r="UW1343" s="97">
        <f t="shared" si="2762"/>
        <v>459898.61</v>
      </c>
      <c r="UX1343" s="97">
        <f t="shared" si="2763"/>
        <v>2157.87</v>
      </c>
      <c r="UY1343" s="97">
        <f t="shared" si="2764"/>
        <v>2269.63</v>
      </c>
      <c r="UZ1343" s="97">
        <f t="shared" si="2765"/>
        <v>2286.61</v>
      </c>
      <c r="VA1343" s="97">
        <f t="shared" si="2766"/>
        <v>0</v>
      </c>
      <c r="VB1343" s="97">
        <f t="shared" si="2766"/>
        <v>0</v>
      </c>
      <c r="VC1343" s="97">
        <f t="shared" si="2766"/>
        <v>0</v>
      </c>
      <c r="VD1343" s="97">
        <f t="shared" si="2767"/>
        <v>0</v>
      </c>
      <c r="VE1343" s="97">
        <f t="shared" si="2767"/>
        <v>0</v>
      </c>
      <c r="VF1343" s="97">
        <f t="shared" si="2767"/>
        <v>0</v>
      </c>
      <c r="VG1343" s="102"/>
      <c r="VH1343" s="102"/>
      <c r="VI1343" s="102"/>
      <c r="VJ1343" s="97">
        <f t="shared" si="2768"/>
        <v>0</v>
      </c>
      <c r="VK1343" s="97">
        <f t="shared" si="2769"/>
        <v>0</v>
      </c>
      <c r="VL1343" s="97">
        <f t="shared" si="2770"/>
        <v>0</v>
      </c>
      <c r="VM1343" s="97">
        <f t="shared" si="2771"/>
        <v>0</v>
      </c>
      <c r="VN1343" s="97">
        <f t="shared" si="2772"/>
        <v>0</v>
      </c>
      <c r="VO1343" s="97">
        <f t="shared" si="2773"/>
        <v>0</v>
      </c>
      <c r="VP1343" s="97">
        <f t="shared" si="2774"/>
        <v>398939.73</v>
      </c>
      <c r="VQ1343" s="97">
        <f t="shared" si="2775"/>
        <v>434503.98</v>
      </c>
      <c r="VR1343" s="97">
        <f t="shared" si="2776"/>
        <v>468728.59</v>
      </c>
      <c r="VS1343" s="97">
        <f t="shared" si="2777"/>
        <v>2322.58</v>
      </c>
      <c r="VT1343" s="97">
        <f t="shared" si="2778"/>
        <v>2393.1799999999998</v>
      </c>
      <c r="VU1343" s="97">
        <f t="shared" si="2779"/>
        <v>2409.85</v>
      </c>
      <c r="VV1343" s="97">
        <f t="shared" si="2780"/>
        <v>0</v>
      </c>
      <c r="VW1343" s="97">
        <f t="shared" si="2780"/>
        <v>0</v>
      </c>
      <c r="VX1343" s="97">
        <f t="shared" si="2780"/>
        <v>0</v>
      </c>
      <c r="VY1343" s="97">
        <f t="shared" si="2781"/>
        <v>0</v>
      </c>
      <c r="VZ1343" s="97">
        <f t="shared" si="2781"/>
        <v>0</v>
      </c>
      <c r="WA1343" s="97">
        <f t="shared" si="2781"/>
        <v>0</v>
      </c>
      <c r="WB1343" s="102"/>
      <c r="WC1343" s="102"/>
      <c r="WD1343" s="102"/>
      <c r="WE1343" s="97">
        <f t="shared" si="2782"/>
        <v>0</v>
      </c>
      <c r="WF1343" s="97">
        <f t="shared" si="2783"/>
        <v>0</v>
      </c>
      <c r="WG1343" s="97">
        <f t="shared" si="2784"/>
        <v>0</v>
      </c>
      <c r="WH1343" s="97">
        <f t="shared" si="2785"/>
        <v>0</v>
      </c>
      <c r="WI1343" s="97">
        <f t="shared" si="2786"/>
        <v>0</v>
      </c>
      <c r="WJ1343" s="97">
        <f t="shared" si="2787"/>
        <v>0</v>
      </c>
      <c r="WK1343" s="97">
        <f t="shared" si="2788"/>
        <v>368561.2</v>
      </c>
      <c r="WL1343" s="97">
        <f t="shared" si="2789"/>
        <v>401867.44</v>
      </c>
      <c r="WM1343" s="97">
        <f t="shared" si="2790"/>
        <v>433528.02</v>
      </c>
      <c r="WN1343" s="97">
        <f t="shared" si="2791"/>
        <v>2494.2600000000002</v>
      </c>
      <c r="WO1343" s="97">
        <f t="shared" si="2792"/>
        <v>2632.91</v>
      </c>
      <c r="WP1343" s="97">
        <f t="shared" si="2793"/>
        <v>2653.64</v>
      </c>
      <c r="WQ1343" s="97">
        <f t="shared" si="2794"/>
        <v>0</v>
      </c>
      <c r="WR1343" s="97">
        <f t="shared" si="2794"/>
        <v>0</v>
      </c>
      <c r="WS1343" s="97">
        <f t="shared" si="2794"/>
        <v>0</v>
      </c>
      <c r="WT1343" s="97">
        <f t="shared" si="2795"/>
        <v>0</v>
      </c>
      <c r="WU1343" s="97">
        <f t="shared" si="2795"/>
        <v>0</v>
      </c>
      <c r="WV1343" s="97">
        <f t="shared" si="2795"/>
        <v>0</v>
      </c>
      <c r="WW1343" s="102"/>
      <c r="WX1343" s="102"/>
      <c r="WY1343" s="102"/>
      <c r="WZ1343" s="97">
        <f t="shared" si="2796"/>
        <v>0</v>
      </c>
      <c r="XA1343" s="97">
        <f t="shared" si="2797"/>
        <v>0</v>
      </c>
      <c r="XB1343" s="97">
        <f t="shared" si="2798"/>
        <v>0</v>
      </c>
      <c r="XC1343" s="97">
        <f t="shared" si="2799"/>
        <v>0</v>
      </c>
      <c r="XD1343" s="97">
        <f t="shared" si="2800"/>
        <v>0</v>
      </c>
      <c r="XE1343" s="97">
        <f t="shared" si="2801"/>
        <v>0</v>
      </c>
      <c r="XF1343" s="97">
        <f t="shared" si="2802"/>
        <v>362074.65</v>
      </c>
      <c r="XG1343" s="97">
        <f t="shared" si="2803"/>
        <v>394529.33</v>
      </c>
      <c r="XH1343" s="97">
        <f t="shared" si="2804"/>
        <v>425527.38</v>
      </c>
      <c r="XI1343" s="97">
        <f t="shared" si="2805"/>
        <v>2008.98</v>
      </c>
      <c r="XJ1343" s="97">
        <f t="shared" si="2806"/>
        <v>2128.38</v>
      </c>
      <c r="XK1343" s="97">
        <f t="shared" si="2807"/>
        <v>2137.52</v>
      </c>
      <c r="XL1343" s="97">
        <f t="shared" si="2808"/>
        <v>0</v>
      </c>
      <c r="XM1343" s="97">
        <f t="shared" si="2808"/>
        <v>0</v>
      </c>
      <c r="XN1343" s="97">
        <f t="shared" si="2808"/>
        <v>0</v>
      </c>
      <c r="XO1343" s="97">
        <f t="shared" si="2809"/>
        <v>0</v>
      </c>
      <c r="XP1343" s="97">
        <f t="shared" si="2809"/>
        <v>0</v>
      </c>
      <c r="XQ1343" s="97">
        <f t="shared" si="2809"/>
        <v>0</v>
      </c>
      <c r="XR1343" s="102"/>
      <c r="XS1343" s="102"/>
      <c r="XT1343" s="102"/>
      <c r="XU1343" s="97">
        <f t="shared" si="2810"/>
        <v>0</v>
      </c>
      <c r="XV1343" s="97">
        <f t="shared" si="2811"/>
        <v>0</v>
      </c>
      <c r="XW1343" s="97">
        <f t="shared" si="2812"/>
        <v>0</v>
      </c>
      <c r="XX1343" s="97">
        <f t="shared" si="2813"/>
        <v>0</v>
      </c>
      <c r="XY1343" s="97">
        <f t="shared" si="2814"/>
        <v>0</v>
      </c>
      <c r="XZ1343" s="97">
        <f t="shared" si="2815"/>
        <v>0</v>
      </c>
      <c r="YA1343" s="97">
        <f t="shared" si="2816"/>
        <v>382194.18</v>
      </c>
      <c r="YB1343" s="97">
        <f t="shared" si="2817"/>
        <v>416791.66</v>
      </c>
      <c r="YC1343" s="97">
        <f t="shared" si="2818"/>
        <v>449743.59</v>
      </c>
      <c r="YD1343" s="97">
        <f t="shared" si="2819"/>
        <v>8785.77</v>
      </c>
      <c r="YE1343" s="97">
        <f t="shared" si="2820"/>
        <v>10401.450000000001</v>
      </c>
      <c r="YF1343" s="97">
        <f t="shared" si="2821"/>
        <v>10470.52</v>
      </c>
      <c r="YG1343" s="97">
        <f t="shared" si="2822"/>
        <v>0</v>
      </c>
      <c r="YH1343" s="97">
        <f t="shared" si="2822"/>
        <v>0</v>
      </c>
      <c r="YI1343" s="97">
        <f t="shared" si="2822"/>
        <v>0</v>
      </c>
      <c r="YJ1343" s="97">
        <f t="shared" si="2823"/>
        <v>0</v>
      </c>
      <c r="YK1343" s="97">
        <f t="shared" si="2823"/>
        <v>0</v>
      </c>
      <c r="YL1343" s="97">
        <f t="shared" si="2823"/>
        <v>0</v>
      </c>
      <c r="YM1343" s="145">
        <f t="shared" si="2824"/>
        <v>6</v>
      </c>
      <c r="YN1343" s="145">
        <f t="shared" si="2824"/>
        <v>6</v>
      </c>
      <c r="YO1343" s="145">
        <f t="shared" si="2824"/>
        <v>6</v>
      </c>
      <c r="YP1343" s="97">
        <f t="shared" si="2825"/>
        <v>6163692</v>
      </c>
      <c r="YQ1343" s="97">
        <f t="shared" si="2826"/>
        <v>6502500</v>
      </c>
      <c r="YR1343" s="97">
        <f t="shared" si="2827"/>
        <v>6760002</v>
      </c>
      <c r="YS1343" s="97">
        <f t="shared" si="2828"/>
        <v>19721.88</v>
      </c>
      <c r="YT1343" s="97">
        <f t="shared" si="2829"/>
        <v>19721.88</v>
      </c>
      <c r="YU1343" s="97">
        <f t="shared" si="2830"/>
        <v>19721.88</v>
      </c>
      <c r="YV1343" s="97">
        <f t="shared" si="2831"/>
        <v>402816.93</v>
      </c>
      <c r="YW1343" s="97">
        <f t="shared" si="2832"/>
        <v>438693.98</v>
      </c>
      <c r="YX1343" s="97">
        <f t="shared" si="2833"/>
        <v>473149.07</v>
      </c>
      <c r="YY1343" s="97">
        <f t="shared" si="2834"/>
        <v>2826.19</v>
      </c>
      <c r="YZ1343" s="97">
        <f t="shared" si="2835"/>
        <v>2970.15</v>
      </c>
      <c r="ZA1343" s="97">
        <f t="shared" si="2836"/>
        <v>2975.9</v>
      </c>
      <c r="ZB1343" s="97">
        <f t="shared" si="2837"/>
        <v>2416901.58</v>
      </c>
      <c r="ZC1343" s="97">
        <f t="shared" si="2837"/>
        <v>2632163.88</v>
      </c>
      <c r="ZD1343" s="97">
        <f t="shared" si="2837"/>
        <v>2838894.42</v>
      </c>
      <c r="ZE1343" s="97">
        <f t="shared" si="2838"/>
        <v>16957.14</v>
      </c>
      <c r="ZF1343" s="97">
        <f t="shared" si="2838"/>
        <v>17820.900000000001</v>
      </c>
      <c r="ZG1343" s="97">
        <f t="shared" si="2838"/>
        <v>17855.400000000001</v>
      </c>
    </row>
    <row r="1344" spans="1:683" ht="36" x14ac:dyDescent="0.25">
      <c r="A1344" s="12" t="s">
        <v>627</v>
      </c>
      <c r="B1344" s="174" t="s">
        <v>622</v>
      </c>
      <c r="C1344" s="5"/>
      <c r="D1344" s="340"/>
      <c r="E1344" s="163"/>
      <c r="F1344" s="110">
        <f t="shared" si="2388"/>
        <v>182779</v>
      </c>
      <c r="G1344" s="110">
        <f t="shared" si="2388"/>
        <v>188784</v>
      </c>
      <c r="H1344" s="110">
        <f t="shared" si="2388"/>
        <v>193041</v>
      </c>
      <c r="I1344" s="97">
        <f t="shared" si="2389"/>
        <v>7044.26</v>
      </c>
      <c r="J1344" s="97">
        <f t="shared" si="2389"/>
        <v>7174.5</v>
      </c>
      <c r="K1344" s="97">
        <f t="shared" si="2389"/>
        <v>7269.22</v>
      </c>
      <c r="L1344" s="102"/>
      <c r="M1344" s="102"/>
      <c r="N1344" s="102"/>
      <c r="O1344" s="97">
        <f t="shared" si="2390"/>
        <v>0</v>
      </c>
      <c r="P1344" s="97">
        <f t="shared" si="2391"/>
        <v>0</v>
      </c>
      <c r="Q1344" s="97">
        <f t="shared" si="2392"/>
        <v>0</v>
      </c>
      <c r="R1344" s="97">
        <f t="shared" si="2393"/>
        <v>0</v>
      </c>
      <c r="S1344" s="97">
        <f t="shared" si="2394"/>
        <v>0</v>
      </c>
      <c r="T1344" s="97">
        <f t="shared" si="2395"/>
        <v>0</v>
      </c>
      <c r="U1344" s="97">
        <f t="shared" si="2396"/>
        <v>78870.12</v>
      </c>
      <c r="V1344" s="97">
        <f t="shared" si="2397"/>
        <v>84117.4</v>
      </c>
      <c r="W1344" s="97">
        <f t="shared" si="2398"/>
        <v>89259.35</v>
      </c>
      <c r="X1344" s="97">
        <f t="shared" si="2399"/>
        <v>5523.63</v>
      </c>
      <c r="Y1344" s="97">
        <f t="shared" si="2400"/>
        <v>5683.69</v>
      </c>
      <c r="Z1344" s="97">
        <f t="shared" si="2401"/>
        <v>5742.46</v>
      </c>
      <c r="AA1344" s="97">
        <f t="shared" si="2402"/>
        <v>0</v>
      </c>
      <c r="AB1344" s="97">
        <f t="shared" si="2402"/>
        <v>0</v>
      </c>
      <c r="AC1344" s="97">
        <f t="shared" si="2402"/>
        <v>0</v>
      </c>
      <c r="AD1344" s="97">
        <f t="shared" si="2403"/>
        <v>0</v>
      </c>
      <c r="AE1344" s="97">
        <f t="shared" si="2403"/>
        <v>0</v>
      </c>
      <c r="AF1344" s="97">
        <f t="shared" si="2403"/>
        <v>0</v>
      </c>
      <c r="AG1344" s="102"/>
      <c r="AH1344" s="102"/>
      <c r="AI1344" s="102"/>
      <c r="AJ1344" s="97">
        <f t="shared" si="2404"/>
        <v>0</v>
      </c>
      <c r="AK1344" s="97">
        <f t="shared" si="2405"/>
        <v>0</v>
      </c>
      <c r="AL1344" s="97">
        <f t="shared" si="2406"/>
        <v>0</v>
      </c>
      <c r="AM1344" s="97">
        <f t="shared" si="2407"/>
        <v>0</v>
      </c>
      <c r="AN1344" s="97">
        <f t="shared" si="2408"/>
        <v>0</v>
      </c>
      <c r="AO1344" s="97">
        <f t="shared" si="2409"/>
        <v>0</v>
      </c>
      <c r="AP1344" s="97">
        <f t="shared" si="2410"/>
        <v>72556.87</v>
      </c>
      <c r="AQ1344" s="97">
        <f t="shared" si="2411"/>
        <v>77371.78</v>
      </c>
      <c r="AR1344" s="97">
        <f t="shared" si="2412"/>
        <v>82088.33</v>
      </c>
      <c r="AS1344" s="97">
        <f t="shared" si="2413"/>
        <v>4404.49</v>
      </c>
      <c r="AT1344" s="97">
        <f t="shared" si="2414"/>
        <v>4600.87</v>
      </c>
      <c r="AU1344" s="97">
        <f t="shared" si="2415"/>
        <v>4684.8999999999996</v>
      </c>
      <c r="AV1344" s="97">
        <f t="shared" si="2416"/>
        <v>0</v>
      </c>
      <c r="AW1344" s="97">
        <f t="shared" si="2416"/>
        <v>0</v>
      </c>
      <c r="AX1344" s="97">
        <f t="shared" si="2416"/>
        <v>0</v>
      </c>
      <c r="AY1344" s="97">
        <f t="shared" si="2417"/>
        <v>0</v>
      </c>
      <c r="AZ1344" s="97">
        <f t="shared" si="2417"/>
        <v>0</v>
      </c>
      <c r="BA1344" s="97">
        <f t="shared" si="2417"/>
        <v>0</v>
      </c>
      <c r="BB1344" s="102"/>
      <c r="BC1344" s="102"/>
      <c r="BD1344" s="102"/>
      <c r="BE1344" s="97">
        <f t="shared" si="2418"/>
        <v>0</v>
      </c>
      <c r="BF1344" s="97">
        <f t="shared" si="2419"/>
        <v>0</v>
      </c>
      <c r="BG1344" s="97">
        <f t="shared" si="2420"/>
        <v>0</v>
      </c>
      <c r="BH1344" s="97">
        <f t="shared" si="2421"/>
        <v>0</v>
      </c>
      <c r="BI1344" s="97">
        <f t="shared" si="2422"/>
        <v>0</v>
      </c>
      <c r="BJ1344" s="97">
        <f t="shared" si="2423"/>
        <v>0</v>
      </c>
      <c r="BK1344" s="97">
        <f t="shared" si="2424"/>
        <v>68444.91</v>
      </c>
      <c r="BL1344" s="97">
        <f t="shared" si="2425"/>
        <v>72841.81</v>
      </c>
      <c r="BM1344" s="97">
        <f t="shared" si="2426"/>
        <v>77198.39</v>
      </c>
      <c r="BN1344" s="97">
        <f t="shared" si="2427"/>
        <v>4704.96</v>
      </c>
      <c r="BO1344" s="97">
        <f t="shared" si="2428"/>
        <v>4914.7700000000004</v>
      </c>
      <c r="BP1344" s="97">
        <f t="shared" si="2429"/>
        <v>4995.25</v>
      </c>
      <c r="BQ1344" s="97">
        <f t="shared" si="2430"/>
        <v>0</v>
      </c>
      <c r="BR1344" s="97">
        <f t="shared" si="2430"/>
        <v>0</v>
      </c>
      <c r="BS1344" s="97">
        <f t="shared" si="2430"/>
        <v>0</v>
      </c>
      <c r="BT1344" s="97">
        <f t="shared" si="2431"/>
        <v>0</v>
      </c>
      <c r="BU1344" s="97">
        <f t="shared" si="2431"/>
        <v>0</v>
      </c>
      <c r="BV1344" s="97">
        <f t="shared" si="2431"/>
        <v>0</v>
      </c>
      <c r="BW1344" s="102"/>
      <c r="BX1344" s="102"/>
      <c r="BY1344" s="102"/>
      <c r="BZ1344" s="97">
        <f t="shared" si="2432"/>
        <v>0</v>
      </c>
      <c r="CA1344" s="97">
        <f t="shared" si="2433"/>
        <v>0</v>
      </c>
      <c r="CB1344" s="97">
        <f t="shared" si="2434"/>
        <v>0</v>
      </c>
      <c r="CC1344" s="97">
        <f t="shared" si="2435"/>
        <v>0</v>
      </c>
      <c r="CD1344" s="97">
        <f t="shared" si="2436"/>
        <v>0</v>
      </c>
      <c r="CE1344" s="97">
        <f t="shared" si="2437"/>
        <v>0</v>
      </c>
      <c r="CF1344" s="97">
        <f t="shared" si="2438"/>
        <v>70684.98</v>
      </c>
      <c r="CG1344" s="97">
        <f t="shared" si="2439"/>
        <v>75432.31</v>
      </c>
      <c r="CH1344" s="97">
        <f t="shared" si="2440"/>
        <v>80035.600000000006</v>
      </c>
      <c r="CI1344" s="97">
        <f t="shared" si="2441"/>
        <v>7253.27</v>
      </c>
      <c r="CJ1344" s="97">
        <f t="shared" si="2442"/>
        <v>7425.73</v>
      </c>
      <c r="CK1344" s="97">
        <f t="shared" si="2443"/>
        <v>7487.39</v>
      </c>
      <c r="CL1344" s="97">
        <f t="shared" si="2444"/>
        <v>0</v>
      </c>
      <c r="CM1344" s="97">
        <f t="shared" si="2444"/>
        <v>0</v>
      </c>
      <c r="CN1344" s="97">
        <f t="shared" si="2444"/>
        <v>0</v>
      </c>
      <c r="CO1344" s="97">
        <f t="shared" si="2445"/>
        <v>0</v>
      </c>
      <c r="CP1344" s="97">
        <f t="shared" si="2445"/>
        <v>0</v>
      </c>
      <c r="CQ1344" s="97">
        <f t="shared" si="2445"/>
        <v>0</v>
      </c>
      <c r="CR1344" s="102">
        <v>1</v>
      </c>
      <c r="CS1344" s="102">
        <v>1</v>
      </c>
      <c r="CT1344" s="102">
        <v>1</v>
      </c>
      <c r="CU1344" s="97">
        <f t="shared" si="2446"/>
        <v>182779</v>
      </c>
      <c r="CV1344" s="97">
        <f t="shared" si="2447"/>
        <v>188784</v>
      </c>
      <c r="CW1344" s="97">
        <f t="shared" si="2448"/>
        <v>193041</v>
      </c>
      <c r="CX1344" s="97">
        <f t="shared" si="2449"/>
        <v>7044.26</v>
      </c>
      <c r="CY1344" s="97">
        <f t="shared" si="2450"/>
        <v>7174.5</v>
      </c>
      <c r="CZ1344" s="97">
        <f t="shared" si="2451"/>
        <v>7269.22</v>
      </c>
      <c r="DA1344" s="97">
        <f t="shared" si="2452"/>
        <v>71229.289999999994</v>
      </c>
      <c r="DB1344" s="97">
        <f t="shared" si="2453"/>
        <v>75947.850000000006</v>
      </c>
      <c r="DC1344" s="97">
        <f t="shared" si="2454"/>
        <v>80577.87</v>
      </c>
      <c r="DD1344" s="97">
        <f t="shared" si="2455"/>
        <v>3511.58</v>
      </c>
      <c r="DE1344" s="97">
        <f t="shared" si="2456"/>
        <v>3612.69</v>
      </c>
      <c r="DF1344" s="97">
        <f t="shared" si="2457"/>
        <v>3653.95</v>
      </c>
      <c r="DG1344" s="97">
        <f t="shared" si="2458"/>
        <v>71229.289999999994</v>
      </c>
      <c r="DH1344" s="97">
        <f t="shared" si="2458"/>
        <v>75947.850000000006</v>
      </c>
      <c r="DI1344" s="97">
        <f t="shared" si="2458"/>
        <v>80577.87</v>
      </c>
      <c r="DJ1344" s="97">
        <f t="shared" si="2459"/>
        <v>3511.58</v>
      </c>
      <c r="DK1344" s="97">
        <f t="shared" si="2459"/>
        <v>3612.69</v>
      </c>
      <c r="DL1344" s="97">
        <f t="shared" si="2459"/>
        <v>3653.95</v>
      </c>
      <c r="DM1344" s="102"/>
      <c r="DN1344" s="102"/>
      <c r="DO1344" s="102"/>
      <c r="DP1344" s="97">
        <f t="shared" si="2460"/>
        <v>0</v>
      </c>
      <c r="DQ1344" s="97">
        <f t="shared" si="2461"/>
        <v>0</v>
      </c>
      <c r="DR1344" s="97">
        <f t="shared" si="2462"/>
        <v>0</v>
      </c>
      <c r="DS1344" s="97">
        <f t="shared" si="2463"/>
        <v>0</v>
      </c>
      <c r="DT1344" s="97">
        <f t="shared" si="2464"/>
        <v>0</v>
      </c>
      <c r="DU1344" s="97">
        <f t="shared" si="2465"/>
        <v>0</v>
      </c>
      <c r="DV1344" s="97">
        <f t="shared" si="2466"/>
        <v>77342.58</v>
      </c>
      <c r="DW1344" s="97">
        <f t="shared" si="2467"/>
        <v>82594.19</v>
      </c>
      <c r="DX1344" s="97">
        <f t="shared" si="2468"/>
        <v>87671.71</v>
      </c>
      <c r="DY1344" s="97">
        <f t="shared" si="2469"/>
        <v>7355.17</v>
      </c>
      <c r="DZ1344" s="97">
        <f t="shared" si="2470"/>
        <v>7277.4</v>
      </c>
      <c r="EA1344" s="97">
        <f t="shared" si="2471"/>
        <v>7353.32</v>
      </c>
      <c r="EB1344" s="97">
        <f t="shared" si="2472"/>
        <v>0</v>
      </c>
      <c r="EC1344" s="97">
        <f t="shared" si="2472"/>
        <v>0</v>
      </c>
      <c r="ED1344" s="97">
        <f t="shared" si="2472"/>
        <v>0</v>
      </c>
      <c r="EE1344" s="97">
        <f t="shared" si="2473"/>
        <v>0</v>
      </c>
      <c r="EF1344" s="97">
        <f t="shared" si="2473"/>
        <v>0</v>
      </c>
      <c r="EG1344" s="97">
        <f t="shared" si="2473"/>
        <v>0</v>
      </c>
      <c r="EH1344" s="102"/>
      <c r="EI1344" s="102"/>
      <c r="EJ1344" s="102"/>
      <c r="EK1344" s="97">
        <f t="shared" si="2474"/>
        <v>0</v>
      </c>
      <c r="EL1344" s="97">
        <f t="shared" si="2475"/>
        <v>0</v>
      </c>
      <c r="EM1344" s="97">
        <f t="shared" si="2476"/>
        <v>0</v>
      </c>
      <c r="EN1344" s="97">
        <f t="shared" si="2477"/>
        <v>0</v>
      </c>
      <c r="EO1344" s="97">
        <f t="shared" si="2478"/>
        <v>0</v>
      </c>
      <c r="EP1344" s="97">
        <f t="shared" si="2479"/>
        <v>0</v>
      </c>
      <c r="EQ1344" s="97">
        <f t="shared" si="2480"/>
        <v>76450.149999999994</v>
      </c>
      <c r="ER1344" s="97">
        <f t="shared" si="2481"/>
        <v>81389.09</v>
      </c>
      <c r="ES1344" s="97">
        <f t="shared" si="2482"/>
        <v>86310.73</v>
      </c>
      <c r="ET1344" s="97">
        <f t="shared" si="2483"/>
        <v>6175</v>
      </c>
      <c r="EU1344" s="97">
        <f t="shared" si="2484"/>
        <v>6439.72</v>
      </c>
      <c r="EV1344" s="97">
        <f t="shared" si="2485"/>
        <v>6552.02</v>
      </c>
      <c r="EW1344" s="97">
        <f t="shared" si="2486"/>
        <v>0</v>
      </c>
      <c r="EX1344" s="97">
        <f t="shared" si="2486"/>
        <v>0</v>
      </c>
      <c r="EY1344" s="97">
        <f t="shared" si="2486"/>
        <v>0</v>
      </c>
      <c r="EZ1344" s="97">
        <f t="shared" si="2487"/>
        <v>0</v>
      </c>
      <c r="FA1344" s="97">
        <f t="shared" si="2487"/>
        <v>0</v>
      </c>
      <c r="FB1344" s="97">
        <f t="shared" si="2487"/>
        <v>0</v>
      </c>
      <c r="FC1344" s="102"/>
      <c r="FD1344" s="102"/>
      <c r="FE1344" s="102"/>
      <c r="FF1344" s="97">
        <f t="shared" si="2488"/>
        <v>0</v>
      </c>
      <c r="FG1344" s="97">
        <f t="shared" si="2489"/>
        <v>0</v>
      </c>
      <c r="FH1344" s="97">
        <f t="shared" si="2490"/>
        <v>0</v>
      </c>
      <c r="FI1344" s="97">
        <f t="shared" si="2491"/>
        <v>0</v>
      </c>
      <c r="FJ1344" s="97">
        <f t="shared" si="2492"/>
        <v>0</v>
      </c>
      <c r="FK1344" s="97">
        <f t="shared" si="2493"/>
        <v>0</v>
      </c>
      <c r="FL1344" s="97">
        <f t="shared" si="2494"/>
        <v>74274.97</v>
      </c>
      <c r="FM1344" s="97">
        <f t="shared" si="2495"/>
        <v>79233.39</v>
      </c>
      <c r="FN1344" s="97">
        <f t="shared" si="2496"/>
        <v>84074.35</v>
      </c>
      <c r="FO1344" s="97">
        <f t="shared" si="2497"/>
        <v>6641.49</v>
      </c>
      <c r="FP1344" s="97">
        <f t="shared" si="2498"/>
        <v>6969.39</v>
      </c>
      <c r="FQ1344" s="97">
        <f t="shared" si="2499"/>
        <v>6929.15</v>
      </c>
      <c r="FR1344" s="97">
        <f t="shared" si="2500"/>
        <v>0</v>
      </c>
      <c r="FS1344" s="97">
        <f t="shared" si="2500"/>
        <v>0</v>
      </c>
      <c r="FT1344" s="97">
        <f t="shared" si="2500"/>
        <v>0</v>
      </c>
      <c r="FU1344" s="97">
        <f t="shared" si="2501"/>
        <v>0</v>
      </c>
      <c r="FV1344" s="97">
        <f t="shared" si="2501"/>
        <v>0</v>
      </c>
      <c r="FW1344" s="97">
        <f t="shared" si="2501"/>
        <v>0</v>
      </c>
      <c r="FX1344" s="102"/>
      <c r="FY1344" s="102"/>
      <c r="FZ1344" s="102"/>
      <c r="GA1344" s="97">
        <f t="shared" si="2502"/>
        <v>0</v>
      </c>
      <c r="GB1344" s="97">
        <f t="shared" si="2503"/>
        <v>0</v>
      </c>
      <c r="GC1344" s="97">
        <f t="shared" si="2504"/>
        <v>0</v>
      </c>
      <c r="GD1344" s="97">
        <f t="shared" si="2505"/>
        <v>0</v>
      </c>
      <c r="GE1344" s="97">
        <f t="shared" si="2506"/>
        <v>0</v>
      </c>
      <c r="GF1344" s="97">
        <f t="shared" si="2507"/>
        <v>0</v>
      </c>
      <c r="GG1344" s="97">
        <f t="shared" si="2508"/>
        <v>74158.240000000005</v>
      </c>
      <c r="GH1344" s="97">
        <f t="shared" si="2509"/>
        <v>79022.63</v>
      </c>
      <c r="GI1344" s="97">
        <f t="shared" si="2510"/>
        <v>83808.73</v>
      </c>
      <c r="GJ1344" s="97">
        <f t="shared" si="2511"/>
        <v>4979.8900000000003</v>
      </c>
      <c r="GK1344" s="97">
        <f t="shared" si="2512"/>
        <v>5632.5</v>
      </c>
      <c r="GL1344" s="97">
        <f t="shared" si="2513"/>
        <v>6065.78</v>
      </c>
      <c r="GM1344" s="97">
        <f t="shared" si="2514"/>
        <v>0</v>
      </c>
      <c r="GN1344" s="97">
        <f t="shared" si="2514"/>
        <v>0</v>
      </c>
      <c r="GO1344" s="97">
        <f t="shared" si="2514"/>
        <v>0</v>
      </c>
      <c r="GP1344" s="97">
        <f t="shared" si="2515"/>
        <v>0</v>
      </c>
      <c r="GQ1344" s="97">
        <f t="shared" si="2515"/>
        <v>0</v>
      </c>
      <c r="GR1344" s="97">
        <f t="shared" si="2515"/>
        <v>0</v>
      </c>
      <c r="GS1344" s="102"/>
      <c r="GT1344" s="102"/>
      <c r="GU1344" s="102"/>
      <c r="GV1344" s="97">
        <f t="shared" si="2516"/>
        <v>0</v>
      </c>
      <c r="GW1344" s="97">
        <f t="shared" si="2517"/>
        <v>0</v>
      </c>
      <c r="GX1344" s="97">
        <f t="shared" si="2518"/>
        <v>0</v>
      </c>
      <c r="GY1344" s="97">
        <f t="shared" si="2519"/>
        <v>0</v>
      </c>
      <c r="GZ1344" s="97">
        <f t="shared" si="2520"/>
        <v>0</v>
      </c>
      <c r="HA1344" s="97">
        <f t="shared" si="2521"/>
        <v>0</v>
      </c>
      <c r="HB1344" s="97">
        <f t="shared" si="2522"/>
        <v>77468.37</v>
      </c>
      <c r="HC1344" s="97">
        <f t="shared" si="2523"/>
        <v>82516.63</v>
      </c>
      <c r="HD1344" s="97">
        <f t="shared" si="2524"/>
        <v>87511.98</v>
      </c>
      <c r="HE1344" s="97">
        <f t="shared" si="2525"/>
        <v>5794.17</v>
      </c>
      <c r="HF1344" s="97">
        <f t="shared" si="2526"/>
        <v>6024.61</v>
      </c>
      <c r="HG1344" s="97">
        <f t="shared" si="2527"/>
        <v>6114.98</v>
      </c>
      <c r="HH1344" s="97">
        <f t="shared" si="2528"/>
        <v>0</v>
      </c>
      <c r="HI1344" s="97">
        <f t="shared" si="2528"/>
        <v>0</v>
      </c>
      <c r="HJ1344" s="97">
        <f t="shared" si="2528"/>
        <v>0</v>
      </c>
      <c r="HK1344" s="97">
        <f t="shared" si="2529"/>
        <v>0</v>
      </c>
      <c r="HL1344" s="97">
        <f t="shared" si="2529"/>
        <v>0</v>
      </c>
      <c r="HM1344" s="97">
        <f t="shared" si="2529"/>
        <v>0</v>
      </c>
      <c r="HN1344" s="102"/>
      <c r="HO1344" s="102"/>
      <c r="HP1344" s="102"/>
      <c r="HQ1344" s="97">
        <f t="shared" si="2530"/>
        <v>0</v>
      </c>
      <c r="HR1344" s="97">
        <f t="shared" si="2531"/>
        <v>0</v>
      </c>
      <c r="HS1344" s="97">
        <f t="shared" si="2532"/>
        <v>0</v>
      </c>
      <c r="HT1344" s="97">
        <f t="shared" si="2533"/>
        <v>0</v>
      </c>
      <c r="HU1344" s="97">
        <f t="shared" si="2534"/>
        <v>0</v>
      </c>
      <c r="HV1344" s="97">
        <f t="shared" si="2535"/>
        <v>0</v>
      </c>
      <c r="HW1344" s="97">
        <f t="shared" si="2536"/>
        <v>76239.649999999994</v>
      </c>
      <c r="HX1344" s="97">
        <f t="shared" si="2537"/>
        <v>81327.929999999993</v>
      </c>
      <c r="HY1344" s="97">
        <f t="shared" si="2538"/>
        <v>86266.96</v>
      </c>
      <c r="HZ1344" s="97">
        <f t="shared" si="2539"/>
        <v>5527.26</v>
      </c>
      <c r="IA1344" s="97">
        <f t="shared" si="2540"/>
        <v>5743.64</v>
      </c>
      <c r="IB1344" s="97">
        <f t="shared" si="2541"/>
        <v>5729.97</v>
      </c>
      <c r="IC1344" s="97">
        <f t="shared" si="2542"/>
        <v>0</v>
      </c>
      <c r="ID1344" s="97">
        <f t="shared" si="2542"/>
        <v>0</v>
      </c>
      <c r="IE1344" s="97">
        <f t="shared" si="2542"/>
        <v>0</v>
      </c>
      <c r="IF1344" s="97">
        <f t="shared" si="2543"/>
        <v>0</v>
      </c>
      <c r="IG1344" s="97">
        <f t="shared" si="2543"/>
        <v>0</v>
      </c>
      <c r="IH1344" s="97">
        <f t="shared" si="2543"/>
        <v>0</v>
      </c>
      <c r="II1344" s="102"/>
      <c r="IJ1344" s="102"/>
      <c r="IK1344" s="102"/>
      <c r="IL1344" s="97">
        <f t="shared" si="2544"/>
        <v>0</v>
      </c>
      <c r="IM1344" s="97">
        <f t="shared" si="2545"/>
        <v>0</v>
      </c>
      <c r="IN1344" s="97">
        <f t="shared" si="2546"/>
        <v>0</v>
      </c>
      <c r="IO1344" s="97">
        <f t="shared" si="2547"/>
        <v>0</v>
      </c>
      <c r="IP1344" s="97">
        <f t="shared" si="2548"/>
        <v>0</v>
      </c>
      <c r="IQ1344" s="97">
        <f t="shared" si="2549"/>
        <v>0</v>
      </c>
      <c r="IR1344" s="97">
        <f t="shared" si="2550"/>
        <v>103566.48</v>
      </c>
      <c r="IS1344" s="97">
        <f t="shared" si="2551"/>
        <v>110191.83</v>
      </c>
      <c r="IT1344" s="97">
        <f t="shared" si="2552"/>
        <v>116841.37</v>
      </c>
      <c r="IU1344" s="97">
        <f t="shared" si="2553"/>
        <v>8356.15</v>
      </c>
      <c r="IV1344" s="97">
        <f t="shared" si="2554"/>
        <v>8682.7199999999993</v>
      </c>
      <c r="IW1344" s="97">
        <f t="shared" si="2555"/>
        <v>8601.2199999999993</v>
      </c>
      <c r="IX1344" s="97">
        <f t="shared" si="2556"/>
        <v>0</v>
      </c>
      <c r="IY1344" s="97">
        <f t="shared" si="2556"/>
        <v>0</v>
      </c>
      <c r="IZ1344" s="97">
        <f t="shared" si="2556"/>
        <v>0</v>
      </c>
      <c r="JA1344" s="97">
        <f t="shared" si="2557"/>
        <v>0</v>
      </c>
      <c r="JB1344" s="97">
        <f t="shared" si="2557"/>
        <v>0</v>
      </c>
      <c r="JC1344" s="97">
        <f t="shared" si="2557"/>
        <v>0</v>
      </c>
      <c r="JD1344" s="102"/>
      <c r="JE1344" s="102"/>
      <c r="JF1344" s="102"/>
      <c r="JG1344" s="97">
        <f t="shared" si="2558"/>
        <v>0</v>
      </c>
      <c r="JH1344" s="97">
        <f t="shared" si="2559"/>
        <v>0</v>
      </c>
      <c r="JI1344" s="97">
        <f t="shared" si="2560"/>
        <v>0</v>
      </c>
      <c r="JJ1344" s="97">
        <f t="shared" si="2561"/>
        <v>0</v>
      </c>
      <c r="JK1344" s="97">
        <f t="shared" si="2562"/>
        <v>0</v>
      </c>
      <c r="JL1344" s="97">
        <f t="shared" si="2563"/>
        <v>0</v>
      </c>
      <c r="JM1344" s="97">
        <f t="shared" si="2564"/>
        <v>69424.759999999995</v>
      </c>
      <c r="JN1344" s="97">
        <f t="shared" si="2565"/>
        <v>74013.77</v>
      </c>
      <c r="JO1344" s="97">
        <f t="shared" si="2566"/>
        <v>78521.84</v>
      </c>
      <c r="JP1344" s="97">
        <f t="shared" si="2567"/>
        <v>4555.74</v>
      </c>
      <c r="JQ1344" s="97">
        <f t="shared" si="2568"/>
        <v>4820.2</v>
      </c>
      <c r="JR1344" s="97">
        <f t="shared" si="2569"/>
        <v>4895.46</v>
      </c>
      <c r="JS1344" s="97">
        <f t="shared" si="2570"/>
        <v>0</v>
      </c>
      <c r="JT1344" s="97">
        <f t="shared" si="2570"/>
        <v>0</v>
      </c>
      <c r="JU1344" s="97">
        <f t="shared" si="2570"/>
        <v>0</v>
      </c>
      <c r="JV1344" s="97">
        <f t="shared" si="2571"/>
        <v>0</v>
      </c>
      <c r="JW1344" s="97">
        <f t="shared" si="2571"/>
        <v>0</v>
      </c>
      <c r="JX1344" s="97">
        <f t="shared" si="2571"/>
        <v>0</v>
      </c>
      <c r="JY1344" s="102"/>
      <c r="JZ1344" s="102"/>
      <c r="KA1344" s="102"/>
      <c r="KB1344" s="97">
        <f t="shared" si="2572"/>
        <v>0</v>
      </c>
      <c r="KC1344" s="97">
        <f t="shared" si="2573"/>
        <v>0</v>
      </c>
      <c r="KD1344" s="97">
        <f t="shared" si="2574"/>
        <v>0</v>
      </c>
      <c r="KE1344" s="97">
        <f t="shared" si="2575"/>
        <v>0</v>
      </c>
      <c r="KF1344" s="97">
        <f t="shared" si="2576"/>
        <v>0</v>
      </c>
      <c r="KG1344" s="97">
        <f t="shared" si="2577"/>
        <v>0</v>
      </c>
      <c r="KH1344" s="97">
        <f t="shared" si="2578"/>
        <v>71375.95</v>
      </c>
      <c r="KI1344" s="97">
        <f t="shared" si="2579"/>
        <v>76029.539999999994</v>
      </c>
      <c r="KJ1344" s="97">
        <f t="shared" si="2580"/>
        <v>80642.23</v>
      </c>
      <c r="KK1344" s="97">
        <f t="shared" si="2581"/>
        <v>4270.79</v>
      </c>
      <c r="KL1344" s="97">
        <f t="shared" si="2582"/>
        <v>4467.24</v>
      </c>
      <c r="KM1344" s="97">
        <f t="shared" si="2583"/>
        <v>4504.83</v>
      </c>
      <c r="KN1344" s="97">
        <f t="shared" si="2584"/>
        <v>0</v>
      </c>
      <c r="KO1344" s="97">
        <f t="shared" si="2584"/>
        <v>0</v>
      </c>
      <c r="KP1344" s="97">
        <f t="shared" si="2584"/>
        <v>0</v>
      </c>
      <c r="KQ1344" s="97">
        <f t="shared" si="2585"/>
        <v>0</v>
      </c>
      <c r="KR1344" s="97">
        <f t="shared" si="2585"/>
        <v>0</v>
      </c>
      <c r="KS1344" s="97">
        <f t="shared" si="2585"/>
        <v>0</v>
      </c>
      <c r="KT1344" s="102"/>
      <c r="KU1344" s="102"/>
      <c r="KV1344" s="102"/>
      <c r="KW1344" s="97">
        <f t="shared" si="2586"/>
        <v>0</v>
      </c>
      <c r="KX1344" s="97">
        <f t="shared" si="2587"/>
        <v>0</v>
      </c>
      <c r="KY1344" s="97">
        <f t="shared" si="2588"/>
        <v>0</v>
      </c>
      <c r="KZ1344" s="97">
        <f t="shared" si="2589"/>
        <v>0</v>
      </c>
      <c r="LA1344" s="97">
        <f t="shared" si="2590"/>
        <v>0</v>
      </c>
      <c r="LB1344" s="97">
        <f t="shared" si="2591"/>
        <v>0</v>
      </c>
      <c r="LC1344" s="97">
        <f t="shared" si="2592"/>
        <v>67372.460000000006</v>
      </c>
      <c r="LD1344" s="97">
        <f t="shared" si="2593"/>
        <v>71860.83</v>
      </c>
      <c r="LE1344" s="97">
        <f t="shared" si="2594"/>
        <v>76242.84</v>
      </c>
      <c r="LF1344" s="97">
        <f t="shared" si="2595"/>
        <v>5886.16</v>
      </c>
      <c r="LG1344" s="97">
        <f t="shared" si="2596"/>
        <v>6241.51</v>
      </c>
      <c r="LH1344" s="97">
        <f t="shared" si="2597"/>
        <v>6357.02</v>
      </c>
      <c r="LI1344" s="97">
        <f t="shared" si="2598"/>
        <v>0</v>
      </c>
      <c r="LJ1344" s="97">
        <f t="shared" si="2598"/>
        <v>0</v>
      </c>
      <c r="LK1344" s="97">
        <f t="shared" si="2598"/>
        <v>0</v>
      </c>
      <c r="LL1344" s="97">
        <f t="shared" si="2599"/>
        <v>0</v>
      </c>
      <c r="LM1344" s="97">
        <f t="shared" si="2599"/>
        <v>0</v>
      </c>
      <c r="LN1344" s="97">
        <f t="shared" si="2599"/>
        <v>0</v>
      </c>
      <c r="LO1344" s="102"/>
      <c r="LP1344" s="102"/>
      <c r="LQ1344" s="102"/>
      <c r="LR1344" s="97">
        <f t="shared" si="2600"/>
        <v>0</v>
      </c>
      <c r="LS1344" s="97">
        <f t="shared" si="2601"/>
        <v>0</v>
      </c>
      <c r="LT1344" s="97">
        <f t="shared" si="2602"/>
        <v>0</v>
      </c>
      <c r="LU1344" s="97">
        <f t="shared" si="2603"/>
        <v>0</v>
      </c>
      <c r="LV1344" s="97">
        <f t="shared" si="2604"/>
        <v>0</v>
      </c>
      <c r="LW1344" s="97">
        <f t="shared" si="2605"/>
        <v>0</v>
      </c>
      <c r="LX1344" s="97">
        <f t="shared" si="2606"/>
        <v>58852.83</v>
      </c>
      <c r="LY1344" s="97">
        <f t="shared" si="2607"/>
        <v>62777.03</v>
      </c>
      <c r="LZ1344" s="97">
        <f t="shared" si="2608"/>
        <v>66598.22</v>
      </c>
      <c r="MA1344" s="97">
        <f t="shared" si="2609"/>
        <v>4369.29</v>
      </c>
      <c r="MB1344" s="97">
        <f t="shared" si="2610"/>
        <v>4560.1099999999997</v>
      </c>
      <c r="MC1344" s="97">
        <f t="shared" si="2611"/>
        <v>4606.67</v>
      </c>
      <c r="MD1344" s="97">
        <f t="shared" si="2612"/>
        <v>0</v>
      </c>
      <c r="ME1344" s="97">
        <f t="shared" si="2612"/>
        <v>0</v>
      </c>
      <c r="MF1344" s="97">
        <f t="shared" si="2612"/>
        <v>0</v>
      </c>
      <c r="MG1344" s="97">
        <f t="shared" si="2613"/>
        <v>0</v>
      </c>
      <c r="MH1344" s="97">
        <f t="shared" si="2613"/>
        <v>0</v>
      </c>
      <c r="MI1344" s="97">
        <f t="shared" si="2613"/>
        <v>0</v>
      </c>
      <c r="MJ1344" s="102"/>
      <c r="MK1344" s="102"/>
      <c r="ML1344" s="102"/>
      <c r="MM1344" s="97">
        <f t="shared" si="2614"/>
        <v>0</v>
      </c>
      <c r="MN1344" s="97">
        <f t="shared" si="2615"/>
        <v>0</v>
      </c>
      <c r="MO1344" s="97">
        <f t="shared" si="2616"/>
        <v>0</v>
      </c>
      <c r="MP1344" s="97">
        <f t="shared" si="2617"/>
        <v>0</v>
      </c>
      <c r="MQ1344" s="97">
        <f t="shared" si="2618"/>
        <v>0</v>
      </c>
      <c r="MR1344" s="97">
        <f t="shared" si="2619"/>
        <v>0</v>
      </c>
      <c r="MS1344" s="97">
        <f t="shared" si="2620"/>
        <v>68086.2</v>
      </c>
      <c r="MT1344" s="97">
        <f t="shared" si="2621"/>
        <v>72617.259999999995</v>
      </c>
      <c r="MU1344" s="97">
        <f t="shared" si="2622"/>
        <v>77044.179999999993</v>
      </c>
      <c r="MV1344" s="97">
        <f t="shared" si="2623"/>
        <v>5183.63</v>
      </c>
      <c r="MW1344" s="97">
        <f t="shared" si="2624"/>
        <v>5337.11</v>
      </c>
      <c r="MX1344" s="97">
        <f t="shared" si="2625"/>
        <v>5440.91</v>
      </c>
      <c r="MY1344" s="97">
        <f t="shared" si="2626"/>
        <v>0</v>
      </c>
      <c r="MZ1344" s="97">
        <f t="shared" si="2626"/>
        <v>0</v>
      </c>
      <c r="NA1344" s="97">
        <f t="shared" si="2626"/>
        <v>0</v>
      </c>
      <c r="NB1344" s="97">
        <f t="shared" si="2627"/>
        <v>0</v>
      </c>
      <c r="NC1344" s="97">
        <f t="shared" si="2627"/>
        <v>0</v>
      </c>
      <c r="ND1344" s="97">
        <f t="shared" si="2627"/>
        <v>0</v>
      </c>
      <c r="NE1344" s="102"/>
      <c r="NF1344" s="102"/>
      <c r="NG1344" s="102"/>
      <c r="NH1344" s="97">
        <f t="shared" si="2628"/>
        <v>0</v>
      </c>
      <c r="NI1344" s="97">
        <f t="shared" si="2629"/>
        <v>0</v>
      </c>
      <c r="NJ1344" s="97">
        <f t="shared" si="2630"/>
        <v>0</v>
      </c>
      <c r="NK1344" s="97">
        <f t="shared" si="2631"/>
        <v>0</v>
      </c>
      <c r="NL1344" s="97">
        <f t="shared" si="2632"/>
        <v>0</v>
      </c>
      <c r="NM1344" s="97">
        <f t="shared" si="2633"/>
        <v>0</v>
      </c>
      <c r="NN1344" s="97">
        <f t="shared" si="2634"/>
        <v>69514.53</v>
      </c>
      <c r="NO1344" s="97">
        <f t="shared" si="2635"/>
        <v>74044.789999999994</v>
      </c>
      <c r="NP1344" s="97">
        <f t="shared" si="2636"/>
        <v>78514.5</v>
      </c>
      <c r="NQ1344" s="97">
        <f t="shared" si="2637"/>
        <v>7591.79</v>
      </c>
      <c r="NR1344" s="97">
        <f t="shared" si="2638"/>
        <v>8076.31</v>
      </c>
      <c r="NS1344" s="97">
        <f t="shared" si="2639"/>
        <v>7956.9</v>
      </c>
      <c r="NT1344" s="97">
        <f t="shared" si="2640"/>
        <v>0</v>
      </c>
      <c r="NU1344" s="97">
        <f t="shared" si="2640"/>
        <v>0</v>
      </c>
      <c r="NV1344" s="97">
        <f t="shared" si="2640"/>
        <v>0</v>
      </c>
      <c r="NW1344" s="97">
        <f t="shared" si="2641"/>
        <v>0</v>
      </c>
      <c r="NX1344" s="97">
        <f t="shared" si="2641"/>
        <v>0</v>
      </c>
      <c r="NY1344" s="97">
        <f t="shared" si="2641"/>
        <v>0</v>
      </c>
      <c r="NZ1344" s="102"/>
      <c r="OA1344" s="102"/>
      <c r="OB1344" s="102"/>
      <c r="OC1344" s="97">
        <f t="shared" si="2642"/>
        <v>0</v>
      </c>
      <c r="OD1344" s="97">
        <f t="shared" si="2643"/>
        <v>0</v>
      </c>
      <c r="OE1344" s="97">
        <f t="shared" si="2644"/>
        <v>0</v>
      </c>
      <c r="OF1344" s="97">
        <f t="shared" si="2645"/>
        <v>0</v>
      </c>
      <c r="OG1344" s="97">
        <f t="shared" si="2646"/>
        <v>0</v>
      </c>
      <c r="OH1344" s="97">
        <f t="shared" si="2647"/>
        <v>0</v>
      </c>
      <c r="OI1344" s="97">
        <f t="shared" si="2648"/>
        <v>91145.18</v>
      </c>
      <c r="OJ1344" s="97">
        <f t="shared" si="2649"/>
        <v>96933.09</v>
      </c>
      <c r="OK1344" s="97">
        <f t="shared" si="2650"/>
        <v>102754.54</v>
      </c>
      <c r="OL1344" s="97">
        <f t="shared" si="2651"/>
        <v>7614.46</v>
      </c>
      <c r="OM1344" s="97">
        <f t="shared" si="2652"/>
        <v>8058.06</v>
      </c>
      <c r="ON1344" s="97">
        <f t="shared" si="2653"/>
        <v>8121.76</v>
      </c>
      <c r="OO1344" s="97">
        <f t="shared" si="2654"/>
        <v>0</v>
      </c>
      <c r="OP1344" s="97">
        <f t="shared" si="2654"/>
        <v>0</v>
      </c>
      <c r="OQ1344" s="97">
        <f t="shared" si="2654"/>
        <v>0</v>
      </c>
      <c r="OR1344" s="97">
        <f t="shared" si="2655"/>
        <v>0</v>
      </c>
      <c r="OS1344" s="97">
        <f t="shared" si="2655"/>
        <v>0</v>
      </c>
      <c r="OT1344" s="97">
        <f t="shared" si="2655"/>
        <v>0</v>
      </c>
      <c r="OU1344" s="102"/>
      <c r="OV1344" s="102"/>
      <c r="OW1344" s="102"/>
      <c r="OX1344" s="97">
        <f t="shared" si="2656"/>
        <v>0</v>
      </c>
      <c r="OY1344" s="97">
        <f t="shared" si="2657"/>
        <v>0</v>
      </c>
      <c r="OZ1344" s="97">
        <f t="shared" si="2658"/>
        <v>0</v>
      </c>
      <c r="PA1344" s="97">
        <f t="shared" si="2659"/>
        <v>0</v>
      </c>
      <c r="PB1344" s="97">
        <f t="shared" si="2660"/>
        <v>0</v>
      </c>
      <c r="PC1344" s="97">
        <f t="shared" si="2661"/>
        <v>0</v>
      </c>
      <c r="PD1344" s="97">
        <f t="shared" si="2662"/>
        <v>76650.259999999995</v>
      </c>
      <c r="PE1344" s="97">
        <f t="shared" si="2663"/>
        <v>81715.19</v>
      </c>
      <c r="PF1344" s="97">
        <f t="shared" si="2664"/>
        <v>86685.16</v>
      </c>
      <c r="PG1344" s="97">
        <f t="shared" si="2665"/>
        <v>6085.57</v>
      </c>
      <c r="PH1344" s="97">
        <f t="shared" si="2666"/>
        <v>6332.03</v>
      </c>
      <c r="PI1344" s="97">
        <f t="shared" si="2667"/>
        <v>6467.77</v>
      </c>
      <c r="PJ1344" s="97">
        <f t="shared" si="2668"/>
        <v>0</v>
      </c>
      <c r="PK1344" s="97">
        <f t="shared" si="2668"/>
        <v>0</v>
      </c>
      <c r="PL1344" s="97">
        <f t="shared" si="2668"/>
        <v>0</v>
      </c>
      <c r="PM1344" s="97">
        <f t="shared" si="2669"/>
        <v>0</v>
      </c>
      <c r="PN1344" s="97">
        <f t="shared" si="2669"/>
        <v>0</v>
      </c>
      <c r="PO1344" s="97">
        <f t="shared" si="2669"/>
        <v>0</v>
      </c>
      <c r="PP1344" s="102"/>
      <c r="PQ1344" s="102"/>
      <c r="PR1344" s="102"/>
      <c r="PS1344" s="97">
        <f t="shared" si="2670"/>
        <v>0</v>
      </c>
      <c r="PT1344" s="97">
        <f t="shared" si="2671"/>
        <v>0</v>
      </c>
      <c r="PU1344" s="97">
        <f t="shared" si="2672"/>
        <v>0</v>
      </c>
      <c r="PV1344" s="97">
        <f t="shared" si="2673"/>
        <v>0</v>
      </c>
      <c r="PW1344" s="97">
        <f t="shared" si="2674"/>
        <v>0</v>
      </c>
      <c r="PX1344" s="97">
        <f t="shared" si="2675"/>
        <v>0</v>
      </c>
      <c r="PY1344" s="97">
        <f t="shared" si="2676"/>
        <v>68625.25</v>
      </c>
      <c r="PZ1344" s="97">
        <f t="shared" si="2677"/>
        <v>73221.31</v>
      </c>
      <c r="QA1344" s="97">
        <f t="shared" si="2678"/>
        <v>77679.850000000006</v>
      </c>
      <c r="QB1344" s="97">
        <f t="shared" si="2679"/>
        <v>6275.72</v>
      </c>
      <c r="QC1344" s="97">
        <f t="shared" si="2680"/>
        <v>6712.04</v>
      </c>
      <c r="QD1344" s="97">
        <f t="shared" si="2681"/>
        <v>6794.74</v>
      </c>
      <c r="QE1344" s="97">
        <f t="shared" si="2682"/>
        <v>0</v>
      </c>
      <c r="QF1344" s="97">
        <f t="shared" si="2682"/>
        <v>0</v>
      </c>
      <c r="QG1344" s="97">
        <f t="shared" si="2682"/>
        <v>0</v>
      </c>
      <c r="QH1344" s="97">
        <f t="shared" si="2683"/>
        <v>0</v>
      </c>
      <c r="QI1344" s="97">
        <f t="shared" si="2683"/>
        <v>0</v>
      </c>
      <c r="QJ1344" s="97">
        <f t="shared" si="2683"/>
        <v>0</v>
      </c>
      <c r="QK1344" s="102"/>
      <c r="QL1344" s="102"/>
      <c r="QM1344" s="102"/>
      <c r="QN1344" s="97">
        <f t="shared" si="2684"/>
        <v>0</v>
      </c>
      <c r="QO1344" s="97">
        <f t="shared" si="2685"/>
        <v>0</v>
      </c>
      <c r="QP1344" s="97">
        <f t="shared" si="2686"/>
        <v>0</v>
      </c>
      <c r="QQ1344" s="97">
        <f t="shared" si="2687"/>
        <v>0</v>
      </c>
      <c r="QR1344" s="97">
        <f t="shared" si="2688"/>
        <v>0</v>
      </c>
      <c r="QS1344" s="97">
        <f t="shared" si="2689"/>
        <v>0</v>
      </c>
      <c r="QT1344" s="97">
        <f t="shared" si="2690"/>
        <v>69787.960000000006</v>
      </c>
      <c r="QU1344" s="97">
        <f t="shared" si="2691"/>
        <v>74434.880000000005</v>
      </c>
      <c r="QV1344" s="97">
        <f t="shared" si="2692"/>
        <v>78975.899999999994</v>
      </c>
      <c r="QW1344" s="97">
        <f t="shared" si="2693"/>
        <v>4316.37</v>
      </c>
      <c r="QX1344" s="97">
        <f t="shared" si="2694"/>
        <v>4561.78</v>
      </c>
      <c r="QY1344" s="97">
        <f t="shared" si="2695"/>
        <v>4647.87</v>
      </c>
      <c r="QZ1344" s="97">
        <f t="shared" si="2696"/>
        <v>0</v>
      </c>
      <c r="RA1344" s="97">
        <f t="shared" si="2696"/>
        <v>0</v>
      </c>
      <c r="RB1344" s="97">
        <f t="shared" si="2696"/>
        <v>0</v>
      </c>
      <c r="RC1344" s="97">
        <f t="shared" si="2697"/>
        <v>0</v>
      </c>
      <c r="RD1344" s="97">
        <f t="shared" si="2697"/>
        <v>0</v>
      </c>
      <c r="RE1344" s="97">
        <f t="shared" si="2697"/>
        <v>0</v>
      </c>
      <c r="RF1344" s="102"/>
      <c r="RG1344" s="102"/>
      <c r="RH1344" s="102"/>
      <c r="RI1344" s="97">
        <f t="shared" si="2698"/>
        <v>0</v>
      </c>
      <c r="RJ1344" s="97">
        <f t="shared" si="2699"/>
        <v>0</v>
      </c>
      <c r="RK1344" s="97">
        <f t="shared" si="2700"/>
        <v>0</v>
      </c>
      <c r="RL1344" s="97">
        <f t="shared" si="2701"/>
        <v>0</v>
      </c>
      <c r="RM1344" s="97">
        <f t="shared" si="2702"/>
        <v>0</v>
      </c>
      <c r="RN1344" s="97">
        <f t="shared" si="2703"/>
        <v>0</v>
      </c>
      <c r="RO1344" s="97">
        <f t="shared" si="2704"/>
        <v>74757.08</v>
      </c>
      <c r="RP1344" s="97">
        <f t="shared" si="2705"/>
        <v>79701.53</v>
      </c>
      <c r="RQ1344" s="97">
        <f t="shared" si="2706"/>
        <v>84563.22</v>
      </c>
      <c r="RR1344" s="97">
        <f t="shared" si="2707"/>
        <v>6088.71</v>
      </c>
      <c r="RS1344" s="97">
        <f t="shared" si="2708"/>
        <v>6313.21</v>
      </c>
      <c r="RT1344" s="97">
        <f t="shared" si="2709"/>
        <v>6433.73</v>
      </c>
      <c r="RU1344" s="97">
        <f t="shared" si="2710"/>
        <v>0</v>
      </c>
      <c r="RV1344" s="97">
        <f t="shared" si="2710"/>
        <v>0</v>
      </c>
      <c r="RW1344" s="97">
        <f t="shared" si="2710"/>
        <v>0</v>
      </c>
      <c r="RX1344" s="97">
        <f t="shared" si="2711"/>
        <v>0</v>
      </c>
      <c r="RY1344" s="97">
        <f t="shared" si="2711"/>
        <v>0</v>
      </c>
      <c r="RZ1344" s="97">
        <f t="shared" si="2711"/>
        <v>0</v>
      </c>
      <c r="SA1344" s="102"/>
      <c r="SB1344" s="102"/>
      <c r="SC1344" s="102"/>
      <c r="SD1344" s="97">
        <f t="shared" si="2712"/>
        <v>0</v>
      </c>
      <c r="SE1344" s="97">
        <f t="shared" si="2713"/>
        <v>0</v>
      </c>
      <c r="SF1344" s="97">
        <f t="shared" si="2714"/>
        <v>0</v>
      </c>
      <c r="SG1344" s="97">
        <f t="shared" si="2715"/>
        <v>0</v>
      </c>
      <c r="SH1344" s="97">
        <f t="shared" si="2716"/>
        <v>0</v>
      </c>
      <c r="SI1344" s="97">
        <f t="shared" si="2717"/>
        <v>0</v>
      </c>
      <c r="SJ1344" s="97">
        <f t="shared" si="2718"/>
        <v>78548.7</v>
      </c>
      <c r="SK1344" s="97">
        <f t="shared" si="2719"/>
        <v>83651.11</v>
      </c>
      <c r="SL1344" s="97">
        <f t="shared" si="2720"/>
        <v>88716.800000000003</v>
      </c>
      <c r="SM1344" s="97">
        <f t="shared" si="2721"/>
        <v>8524.42</v>
      </c>
      <c r="SN1344" s="97">
        <f t="shared" si="2722"/>
        <v>8958.7999999999993</v>
      </c>
      <c r="SO1344" s="97">
        <f t="shared" si="2723"/>
        <v>9101.74</v>
      </c>
      <c r="SP1344" s="97">
        <f t="shared" si="2724"/>
        <v>0</v>
      </c>
      <c r="SQ1344" s="97">
        <f t="shared" si="2724"/>
        <v>0</v>
      </c>
      <c r="SR1344" s="97">
        <f t="shared" si="2724"/>
        <v>0</v>
      </c>
      <c r="SS1344" s="97">
        <f t="shared" si="2725"/>
        <v>0</v>
      </c>
      <c r="ST1344" s="97">
        <f t="shared" si="2725"/>
        <v>0</v>
      </c>
      <c r="SU1344" s="97">
        <f t="shared" si="2725"/>
        <v>0</v>
      </c>
      <c r="SV1344" s="102"/>
      <c r="SW1344" s="102"/>
      <c r="SX1344" s="102"/>
      <c r="SY1344" s="97">
        <f t="shared" si="2726"/>
        <v>0</v>
      </c>
      <c r="SZ1344" s="97">
        <f t="shared" si="2727"/>
        <v>0</v>
      </c>
      <c r="TA1344" s="97">
        <f t="shared" si="2728"/>
        <v>0</v>
      </c>
      <c r="TB1344" s="97">
        <f t="shared" si="2729"/>
        <v>0</v>
      </c>
      <c r="TC1344" s="97">
        <f t="shared" si="2730"/>
        <v>0</v>
      </c>
      <c r="TD1344" s="97">
        <f t="shared" si="2731"/>
        <v>0</v>
      </c>
      <c r="TE1344" s="97">
        <f t="shared" si="2732"/>
        <v>70211.600000000006</v>
      </c>
      <c r="TF1344" s="97">
        <f t="shared" si="2733"/>
        <v>74857.649999999994</v>
      </c>
      <c r="TG1344" s="97">
        <f t="shared" si="2734"/>
        <v>79410.09</v>
      </c>
      <c r="TH1344" s="97">
        <f t="shared" si="2735"/>
        <v>6491.66</v>
      </c>
      <c r="TI1344" s="97">
        <f t="shared" si="2736"/>
        <v>6787.36</v>
      </c>
      <c r="TJ1344" s="97">
        <f t="shared" si="2737"/>
        <v>6857.07</v>
      </c>
      <c r="TK1344" s="97">
        <f t="shared" si="2738"/>
        <v>0</v>
      </c>
      <c r="TL1344" s="97">
        <f t="shared" si="2738"/>
        <v>0</v>
      </c>
      <c r="TM1344" s="97">
        <f t="shared" si="2738"/>
        <v>0</v>
      </c>
      <c r="TN1344" s="97">
        <f t="shared" si="2739"/>
        <v>0</v>
      </c>
      <c r="TO1344" s="97">
        <f t="shared" si="2739"/>
        <v>0</v>
      </c>
      <c r="TP1344" s="97">
        <f t="shared" si="2739"/>
        <v>0</v>
      </c>
      <c r="TQ1344" s="102"/>
      <c r="TR1344" s="102"/>
      <c r="TS1344" s="102"/>
      <c r="TT1344" s="97">
        <f t="shared" si="2740"/>
        <v>0</v>
      </c>
      <c r="TU1344" s="97">
        <f t="shared" si="2741"/>
        <v>0</v>
      </c>
      <c r="TV1344" s="97">
        <f t="shared" si="2742"/>
        <v>0</v>
      </c>
      <c r="TW1344" s="97">
        <f t="shared" si="2743"/>
        <v>0</v>
      </c>
      <c r="TX1344" s="97">
        <f t="shared" si="2744"/>
        <v>0</v>
      </c>
      <c r="TY1344" s="97">
        <f t="shared" si="2745"/>
        <v>0</v>
      </c>
      <c r="TZ1344" s="97">
        <f t="shared" si="2746"/>
        <v>75215.17</v>
      </c>
      <c r="UA1344" s="97">
        <f t="shared" si="2747"/>
        <v>80133.91</v>
      </c>
      <c r="UB1344" s="97">
        <f t="shared" si="2748"/>
        <v>85012.63</v>
      </c>
      <c r="UC1344" s="97">
        <f t="shared" si="2749"/>
        <v>5932.52</v>
      </c>
      <c r="UD1344" s="97">
        <f t="shared" si="2750"/>
        <v>6384.95</v>
      </c>
      <c r="UE1344" s="97">
        <f t="shared" si="2751"/>
        <v>6489.2</v>
      </c>
      <c r="UF1344" s="97">
        <f t="shared" si="2752"/>
        <v>0</v>
      </c>
      <c r="UG1344" s="97">
        <f t="shared" si="2752"/>
        <v>0</v>
      </c>
      <c r="UH1344" s="97">
        <f t="shared" si="2752"/>
        <v>0</v>
      </c>
      <c r="UI1344" s="97">
        <f t="shared" si="2753"/>
        <v>0</v>
      </c>
      <c r="UJ1344" s="97">
        <f t="shared" si="2753"/>
        <v>0</v>
      </c>
      <c r="UK1344" s="97">
        <f t="shared" si="2753"/>
        <v>0</v>
      </c>
      <c r="UL1344" s="102"/>
      <c r="UM1344" s="102"/>
      <c r="UN1344" s="102"/>
      <c r="UO1344" s="97">
        <f t="shared" si="2754"/>
        <v>0</v>
      </c>
      <c r="UP1344" s="97">
        <f t="shared" si="2755"/>
        <v>0</v>
      </c>
      <c r="UQ1344" s="97">
        <f t="shared" si="2756"/>
        <v>0</v>
      </c>
      <c r="UR1344" s="97">
        <f t="shared" si="2757"/>
        <v>0</v>
      </c>
      <c r="US1344" s="97">
        <f t="shared" si="2758"/>
        <v>0</v>
      </c>
      <c r="UT1344" s="97">
        <f t="shared" si="2759"/>
        <v>0</v>
      </c>
      <c r="UU1344" s="97">
        <f t="shared" si="2760"/>
        <v>69581.86</v>
      </c>
      <c r="UV1344" s="97">
        <f t="shared" si="2761"/>
        <v>74257.94</v>
      </c>
      <c r="UW1344" s="97">
        <f t="shared" si="2762"/>
        <v>78798.16</v>
      </c>
      <c r="UX1344" s="97">
        <f t="shared" si="2763"/>
        <v>4624.49</v>
      </c>
      <c r="UY1344" s="97">
        <f t="shared" si="2764"/>
        <v>4953.9399999999996</v>
      </c>
      <c r="UZ1344" s="97">
        <f t="shared" si="2765"/>
        <v>5056.87</v>
      </c>
      <c r="VA1344" s="97">
        <f t="shared" si="2766"/>
        <v>0</v>
      </c>
      <c r="VB1344" s="97">
        <f t="shared" si="2766"/>
        <v>0</v>
      </c>
      <c r="VC1344" s="97">
        <f t="shared" si="2766"/>
        <v>0</v>
      </c>
      <c r="VD1344" s="97">
        <f t="shared" si="2767"/>
        <v>0</v>
      </c>
      <c r="VE1344" s="97">
        <f t="shared" si="2767"/>
        <v>0</v>
      </c>
      <c r="VF1344" s="97">
        <f t="shared" si="2767"/>
        <v>0</v>
      </c>
      <c r="VG1344" s="102"/>
      <c r="VH1344" s="102"/>
      <c r="VI1344" s="102"/>
      <c r="VJ1344" s="97">
        <f t="shared" si="2768"/>
        <v>0</v>
      </c>
      <c r="VK1344" s="97">
        <f t="shared" si="2769"/>
        <v>0</v>
      </c>
      <c r="VL1344" s="97">
        <f t="shared" si="2770"/>
        <v>0</v>
      </c>
      <c r="VM1344" s="97">
        <f t="shared" si="2771"/>
        <v>0</v>
      </c>
      <c r="VN1344" s="97">
        <f t="shared" si="2772"/>
        <v>0</v>
      </c>
      <c r="VO1344" s="97">
        <f t="shared" si="2773"/>
        <v>0</v>
      </c>
      <c r="VP1344" s="97">
        <f t="shared" si="2774"/>
        <v>70981.289999999994</v>
      </c>
      <c r="VQ1344" s="97">
        <f t="shared" si="2775"/>
        <v>75688.490000000005</v>
      </c>
      <c r="VR1344" s="97">
        <f t="shared" si="2776"/>
        <v>80311.070000000007</v>
      </c>
      <c r="VS1344" s="97">
        <f t="shared" si="2777"/>
        <v>4977.4799999999996</v>
      </c>
      <c r="VT1344" s="97">
        <f t="shared" si="2778"/>
        <v>5223.6000000000004</v>
      </c>
      <c r="VU1344" s="97">
        <f t="shared" si="2779"/>
        <v>5329.42</v>
      </c>
      <c r="VV1344" s="97">
        <f t="shared" si="2780"/>
        <v>0</v>
      </c>
      <c r="VW1344" s="97">
        <f t="shared" si="2780"/>
        <v>0</v>
      </c>
      <c r="VX1344" s="97">
        <f t="shared" si="2780"/>
        <v>0</v>
      </c>
      <c r="VY1344" s="97">
        <f t="shared" si="2781"/>
        <v>0</v>
      </c>
      <c r="VZ1344" s="97">
        <f t="shared" si="2781"/>
        <v>0</v>
      </c>
      <c r="WA1344" s="97">
        <f t="shared" si="2781"/>
        <v>0</v>
      </c>
      <c r="WB1344" s="102"/>
      <c r="WC1344" s="102"/>
      <c r="WD1344" s="102"/>
      <c r="WE1344" s="97">
        <f t="shared" si="2782"/>
        <v>0</v>
      </c>
      <c r="WF1344" s="97">
        <f t="shared" si="2783"/>
        <v>0</v>
      </c>
      <c r="WG1344" s="97">
        <f t="shared" si="2784"/>
        <v>0</v>
      </c>
      <c r="WH1344" s="97">
        <f t="shared" si="2785"/>
        <v>0</v>
      </c>
      <c r="WI1344" s="97">
        <f t="shared" si="2786"/>
        <v>0</v>
      </c>
      <c r="WJ1344" s="97">
        <f t="shared" si="2787"/>
        <v>0</v>
      </c>
      <c r="WK1344" s="97">
        <f t="shared" si="2788"/>
        <v>65576.2</v>
      </c>
      <c r="WL1344" s="97">
        <f t="shared" si="2789"/>
        <v>70003.360000000001</v>
      </c>
      <c r="WM1344" s="97">
        <f t="shared" si="2790"/>
        <v>74279.87</v>
      </c>
      <c r="WN1344" s="97">
        <f t="shared" si="2791"/>
        <v>5345.39</v>
      </c>
      <c r="WO1344" s="97">
        <f t="shared" si="2792"/>
        <v>5746.87</v>
      </c>
      <c r="WP1344" s="97">
        <f t="shared" si="2793"/>
        <v>5868.57</v>
      </c>
      <c r="WQ1344" s="97">
        <f t="shared" si="2794"/>
        <v>0</v>
      </c>
      <c r="WR1344" s="97">
        <f t="shared" si="2794"/>
        <v>0</v>
      </c>
      <c r="WS1344" s="97">
        <f t="shared" si="2794"/>
        <v>0</v>
      </c>
      <c r="WT1344" s="97">
        <f t="shared" si="2795"/>
        <v>0</v>
      </c>
      <c r="WU1344" s="97">
        <f t="shared" si="2795"/>
        <v>0</v>
      </c>
      <c r="WV1344" s="97">
        <f t="shared" si="2795"/>
        <v>0</v>
      </c>
      <c r="WW1344" s="102"/>
      <c r="WX1344" s="102"/>
      <c r="WY1344" s="102"/>
      <c r="WZ1344" s="97">
        <f t="shared" si="2796"/>
        <v>0</v>
      </c>
      <c r="XA1344" s="97">
        <f t="shared" si="2797"/>
        <v>0</v>
      </c>
      <c r="XB1344" s="97">
        <f t="shared" si="2798"/>
        <v>0</v>
      </c>
      <c r="XC1344" s="97">
        <f t="shared" si="2799"/>
        <v>0</v>
      </c>
      <c r="XD1344" s="97">
        <f t="shared" si="2800"/>
        <v>0</v>
      </c>
      <c r="XE1344" s="97">
        <f t="shared" si="2801"/>
        <v>0</v>
      </c>
      <c r="XF1344" s="97">
        <f t="shared" si="2802"/>
        <v>64422.080000000002</v>
      </c>
      <c r="XG1344" s="97">
        <f t="shared" si="2803"/>
        <v>68725.100000000006</v>
      </c>
      <c r="XH1344" s="97">
        <f t="shared" si="2804"/>
        <v>72909.06</v>
      </c>
      <c r="XI1344" s="97">
        <f t="shared" si="2805"/>
        <v>4305.41</v>
      </c>
      <c r="XJ1344" s="97">
        <f t="shared" si="2806"/>
        <v>4645.6099999999997</v>
      </c>
      <c r="XK1344" s="97">
        <f t="shared" si="2807"/>
        <v>4727.16</v>
      </c>
      <c r="XL1344" s="97">
        <f t="shared" si="2808"/>
        <v>0</v>
      </c>
      <c r="XM1344" s="97">
        <f t="shared" si="2808"/>
        <v>0</v>
      </c>
      <c r="XN1344" s="97">
        <f t="shared" si="2808"/>
        <v>0</v>
      </c>
      <c r="XO1344" s="97">
        <f t="shared" si="2809"/>
        <v>0</v>
      </c>
      <c r="XP1344" s="97">
        <f t="shared" si="2809"/>
        <v>0</v>
      </c>
      <c r="XQ1344" s="97">
        <f t="shared" si="2809"/>
        <v>0</v>
      </c>
      <c r="XR1344" s="102"/>
      <c r="XS1344" s="102"/>
      <c r="XT1344" s="102"/>
      <c r="XU1344" s="97">
        <f t="shared" si="2810"/>
        <v>0</v>
      </c>
      <c r="XV1344" s="97">
        <f t="shared" si="2811"/>
        <v>0</v>
      </c>
      <c r="XW1344" s="97">
        <f t="shared" si="2812"/>
        <v>0</v>
      </c>
      <c r="XX1344" s="97">
        <f t="shared" si="2813"/>
        <v>0</v>
      </c>
      <c r="XY1344" s="97">
        <f t="shared" si="2814"/>
        <v>0</v>
      </c>
      <c r="XZ1344" s="97">
        <f t="shared" si="2815"/>
        <v>0</v>
      </c>
      <c r="YA1344" s="97">
        <f t="shared" si="2816"/>
        <v>68001.84</v>
      </c>
      <c r="YB1344" s="97">
        <f t="shared" si="2817"/>
        <v>72603.09</v>
      </c>
      <c r="YC1344" s="97">
        <f t="shared" si="2818"/>
        <v>77058.22</v>
      </c>
      <c r="YD1344" s="97">
        <f t="shared" si="2819"/>
        <v>18828.61</v>
      </c>
      <c r="YE1344" s="97">
        <f t="shared" si="2820"/>
        <v>22703.27</v>
      </c>
      <c r="YF1344" s="97">
        <f t="shared" si="2821"/>
        <v>23155.75</v>
      </c>
      <c r="YG1344" s="97">
        <f t="shared" si="2822"/>
        <v>0</v>
      </c>
      <c r="YH1344" s="97">
        <f t="shared" si="2822"/>
        <v>0</v>
      </c>
      <c r="YI1344" s="97">
        <f t="shared" si="2822"/>
        <v>0</v>
      </c>
      <c r="YJ1344" s="97">
        <f t="shared" si="2823"/>
        <v>0</v>
      </c>
      <c r="YK1344" s="97">
        <f t="shared" si="2823"/>
        <v>0</v>
      </c>
      <c r="YL1344" s="97">
        <f t="shared" si="2823"/>
        <v>0</v>
      </c>
      <c r="YM1344" s="145">
        <f t="shared" si="2824"/>
        <v>1</v>
      </c>
      <c r="YN1344" s="145">
        <f t="shared" si="2824"/>
        <v>1</v>
      </c>
      <c r="YO1344" s="145">
        <f t="shared" si="2824"/>
        <v>1</v>
      </c>
      <c r="YP1344" s="97">
        <f t="shared" si="2825"/>
        <v>182779</v>
      </c>
      <c r="YQ1344" s="97">
        <f t="shared" si="2826"/>
        <v>188784</v>
      </c>
      <c r="YR1344" s="97">
        <f t="shared" si="2827"/>
        <v>193041</v>
      </c>
      <c r="YS1344" s="97">
        <f t="shared" si="2828"/>
        <v>7044.26</v>
      </c>
      <c r="YT1344" s="97">
        <f t="shared" si="2829"/>
        <v>7174.5</v>
      </c>
      <c r="YU1344" s="97">
        <f t="shared" si="2830"/>
        <v>7269.22</v>
      </c>
      <c r="YV1344" s="97">
        <f t="shared" si="2831"/>
        <v>71671.14</v>
      </c>
      <c r="YW1344" s="97">
        <f t="shared" si="2832"/>
        <v>76418.37</v>
      </c>
      <c r="YX1344" s="97">
        <f t="shared" si="2833"/>
        <v>81068.47</v>
      </c>
      <c r="YY1344" s="97">
        <f t="shared" si="2834"/>
        <v>6056.75</v>
      </c>
      <c r="YZ1344" s="97">
        <f t="shared" si="2835"/>
        <v>6482.95</v>
      </c>
      <c r="ZA1344" s="97">
        <f t="shared" si="2836"/>
        <v>6581.27</v>
      </c>
      <c r="ZB1344" s="97">
        <f t="shared" si="2837"/>
        <v>71671.14</v>
      </c>
      <c r="ZC1344" s="97">
        <f t="shared" si="2837"/>
        <v>76418.37</v>
      </c>
      <c r="ZD1344" s="97">
        <f t="shared" si="2837"/>
        <v>81068.47</v>
      </c>
      <c r="ZE1344" s="97">
        <f t="shared" si="2838"/>
        <v>6056.75</v>
      </c>
      <c r="ZF1344" s="97">
        <f t="shared" si="2838"/>
        <v>6482.95</v>
      </c>
      <c r="ZG1344" s="97">
        <f t="shared" si="2838"/>
        <v>6581.27</v>
      </c>
    </row>
    <row r="1345" spans="1:683" x14ac:dyDescent="0.25">
      <c r="A1345" s="174" t="s">
        <v>608</v>
      </c>
      <c r="B1345" s="174" t="s">
        <v>623</v>
      </c>
      <c r="C1345" s="5"/>
      <c r="D1345" s="340"/>
      <c r="E1345" s="163"/>
      <c r="F1345" s="110">
        <f t="shared" si="2388"/>
        <v>110234</v>
      </c>
      <c r="G1345" s="110">
        <f t="shared" si="2388"/>
        <v>114122</v>
      </c>
      <c r="H1345" s="110">
        <f t="shared" si="2388"/>
        <v>116904</v>
      </c>
      <c r="I1345" s="97">
        <f t="shared" si="2389"/>
        <v>6663.81</v>
      </c>
      <c r="J1345" s="97">
        <f t="shared" si="2389"/>
        <v>6794.05</v>
      </c>
      <c r="K1345" s="97">
        <f t="shared" si="2389"/>
        <v>6888.77</v>
      </c>
      <c r="L1345" s="102"/>
      <c r="M1345" s="102"/>
      <c r="N1345" s="102"/>
      <c r="O1345" s="97">
        <f t="shared" si="2390"/>
        <v>0</v>
      </c>
      <c r="P1345" s="97">
        <f t="shared" si="2391"/>
        <v>0</v>
      </c>
      <c r="Q1345" s="97">
        <f t="shared" si="2392"/>
        <v>0</v>
      </c>
      <c r="R1345" s="97">
        <f t="shared" si="2393"/>
        <v>0</v>
      </c>
      <c r="S1345" s="97">
        <f t="shared" si="2394"/>
        <v>0</v>
      </c>
      <c r="T1345" s="97">
        <f t="shared" si="2395"/>
        <v>0</v>
      </c>
      <c r="U1345" s="97">
        <f t="shared" si="2396"/>
        <v>47566.559999999998</v>
      </c>
      <c r="V1345" s="97">
        <f t="shared" si="2397"/>
        <v>50849.89</v>
      </c>
      <c r="W1345" s="97">
        <f t="shared" si="2398"/>
        <v>54054.71</v>
      </c>
      <c r="X1345" s="97">
        <f t="shared" si="2399"/>
        <v>5225.3</v>
      </c>
      <c r="Y1345" s="97">
        <f t="shared" si="2400"/>
        <v>5382.3</v>
      </c>
      <c r="Z1345" s="97">
        <f t="shared" si="2401"/>
        <v>5441.92</v>
      </c>
      <c r="AA1345" s="97">
        <f t="shared" si="2402"/>
        <v>0</v>
      </c>
      <c r="AB1345" s="97">
        <f t="shared" si="2402"/>
        <v>0</v>
      </c>
      <c r="AC1345" s="97">
        <f t="shared" si="2402"/>
        <v>0</v>
      </c>
      <c r="AD1345" s="97">
        <f t="shared" si="2403"/>
        <v>0</v>
      </c>
      <c r="AE1345" s="97">
        <f t="shared" si="2403"/>
        <v>0</v>
      </c>
      <c r="AF1345" s="97">
        <f t="shared" si="2403"/>
        <v>0</v>
      </c>
      <c r="AG1345" s="102"/>
      <c r="AH1345" s="102"/>
      <c r="AI1345" s="102"/>
      <c r="AJ1345" s="97">
        <f t="shared" si="2404"/>
        <v>0</v>
      </c>
      <c r="AK1345" s="97">
        <f t="shared" si="2405"/>
        <v>0</v>
      </c>
      <c r="AL1345" s="97">
        <f t="shared" si="2406"/>
        <v>0</v>
      </c>
      <c r="AM1345" s="97">
        <f t="shared" si="2407"/>
        <v>0</v>
      </c>
      <c r="AN1345" s="97">
        <f t="shared" si="2408"/>
        <v>0</v>
      </c>
      <c r="AO1345" s="97">
        <f t="shared" si="2409"/>
        <v>0</v>
      </c>
      <c r="AP1345" s="97">
        <f t="shared" si="2410"/>
        <v>43759.040000000001</v>
      </c>
      <c r="AQ1345" s="97">
        <f t="shared" si="2411"/>
        <v>46772.09</v>
      </c>
      <c r="AR1345" s="97">
        <f t="shared" si="2412"/>
        <v>49712</v>
      </c>
      <c r="AS1345" s="97">
        <f t="shared" si="2413"/>
        <v>4166.6099999999997</v>
      </c>
      <c r="AT1345" s="97">
        <f t="shared" si="2414"/>
        <v>4356.8999999999996</v>
      </c>
      <c r="AU1345" s="97">
        <f t="shared" si="2415"/>
        <v>4439.7</v>
      </c>
      <c r="AV1345" s="97">
        <f t="shared" si="2416"/>
        <v>0</v>
      </c>
      <c r="AW1345" s="97">
        <f t="shared" si="2416"/>
        <v>0</v>
      </c>
      <c r="AX1345" s="97">
        <f t="shared" si="2416"/>
        <v>0</v>
      </c>
      <c r="AY1345" s="97">
        <f t="shared" si="2417"/>
        <v>0</v>
      </c>
      <c r="AZ1345" s="97">
        <f t="shared" si="2417"/>
        <v>0</v>
      </c>
      <c r="BA1345" s="97">
        <f t="shared" si="2417"/>
        <v>0</v>
      </c>
      <c r="BB1345" s="102"/>
      <c r="BC1345" s="102"/>
      <c r="BD1345" s="102"/>
      <c r="BE1345" s="97">
        <f t="shared" si="2418"/>
        <v>0</v>
      </c>
      <c r="BF1345" s="97">
        <f t="shared" si="2419"/>
        <v>0</v>
      </c>
      <c r="BG1345" s="97">
        <f t="shared" si="2420"/>
        <v>0</v>
      </c>
      <c r="BH1345" s="97">
        <f t="shared" si="2421"/>
        <v>0</v>
      </c>
      <c r="BI1345" s="97">
        <f t="shared" si="2422"/>
        <v>0</v>
      </c>
      <c r="BJ1345" s="97">
        <f t="shared" si="2423"/>
        <v>0</v>
      </c>
      <c r="BK1345" s="97">
        <f t="shared" si="2424"/>
        <v>41279.120000000003</v>
      </c>
      <c r="BL1345" s="97">
        <f t="shared" si="2425"/>
        <v>44033.68</v>
      </c>
      <c r="BM1345" s="97">
        <f t="shared" si="2426"/>
        <v>46750.69</v>
      </c>
      <c r="BN1345" s="97">
        <f t="shared" si="2427"/>
        <v>4450.8500000000004</v>
      </c>
      <c r="BO1345" s="97">
        <f t="shared" si="2428"/>
        <v>4654.1499999999996</v>
      </c>
      <c r="BP1345" s="97">
        <f t="shared" si="2429"/>
        <v>4733.8100000000004</v>
      </c>
      <c r="BQ1345" s="97">
        <f t="shared" si="2430"/>
        <v>0</v>
      </c>
      <c r="BR1345" s="97">
        <f t="shared" si="2430"/>
        <v>0</v>
      </c>
      <c r="BS1345" s="97">
        <f t="shared" si="2430"/>
        <v>0</v>
      </c>
      <c r="BT1345" s="97">
        <f t="shared" si="2431"/>
        <v>0</v>
      </c>
      <c r="BU1345" s="97">
        <f t="shared" si="2431"/>
        <v>0</v>
      </c>
      <c r="BV1345" s="97">
        <f t="shared" si="2431"/>
        <v>0</v>
      </c>
      <c r="BW1345" s="102"/>
      <c r="BX1345" s="102"/>
      <c r="BY1345" s="102"/>
      <c r="BZ1345" s="97">
        <f t="shared" si="2432"/>
        <v>0</v>
      </c>
      <c r="CA1345" s="97">
        <f t="shared" si="2433"/>
        <v>0</v>
      </c>
      <c r="CB1345" s="97">
        <f t="shared" si="2434"/>
        <v>0</v>
      </c>
      <c r="CC1345" s="97">
        <f t="shared" si="2435"/>
        <v>0</v>
      </c>
      <c r="CD1345" s="97">
        <f t="shared" si="2436"/>
        <v>0</v>
      </c>
      <c r="CE1345" s="97">
        <f t="shared" si="2437"/>
        <v>0</v>
      </c>
      <c r="CF1345" s="97">
        <f t="shared" si="2438"/>
        <v>42630.11</v>
      </c>
      <c r="CG1345" s="97">
        <f t="shared" si="2439"/>
        <v>45599.66</v>
      </c>
      <c r="CH1345" s="97">
        <f t="shared" si="2440"/>
        <v>48468.89</v>
      </c>
      <c r="CI1345" s="97">
        <f t="shared" si="2441"/>
        <v>6861.54</v>
      </c>
      <c r="CJ1345" s="97">
        <f t="shared" si="2442"/>
        <v>7031.96</v>
      </c>
      <c r="CK1345" s="97">
        <f t="shared" si="2443"/>
        <v>7095.53</v>
      </c>
      <c r="CL1345" s="97">
        <f t="shared" si="2444"/>
        <v>0</v>
      </c>
      <c r="CM1345" s="97">
        <f t="shared" si="2444"/>
        <v>0</v>
      </c>
      <c r="CN1345" s="97">
        <f t="shared" si="2444"/>
        <v>0</v>
      </c>
      <c r="CO1345" s="97">
        <f t="shared" si="2445"/>
        <v>0</v>
      </c>
      <c r="CP1345" s="97">
        <f t="shared" si="2445"/>
        <v>0</v>
      </c>
      <c r="CQ1345" s="97">
        <f t="shared" si="2445"/>
        <v>0</v>
      </c>
      <c r="CR1345" s="102"/>
      <c r="CS1345" s="102"/>
      <c r="CT1345" s="102"/>
      <c r="CU1345" s="97">
        <f t="shared" si="2446"/>
        <v>0</v>
      </c>
      <c r="CV1345" s="97">
        <f t="shared" si="2447"/>
        <v>0</v>
      </c>
      <c r="CW1345" s="97">
        <f t="shared" si="2448"/>
        <v>0</v>
      </c>
      <c r="CX1345" s="97">
        <f t="shared" si="2449"/>
        <v>0</v>
      </c>
      <c r="CY1345" s="97">
        <f t="shared" si="2450"/>
        <v>0</v>
      </c>
      <c r="CZ1345" s="97">
        <f t="shared" si="2451"/>
        <v>0</v>
      </c>
      <c r="DA1345" s="97">
        <f t="shared" si="2452"/>
        <v>42958.38</v>
      </c>
      <c r="DB1345" s="97">
        <f t="shared" si="2453"/>
        <v>45911.31</v>
      </c>
      <c r="DC1345" s="97">
        <f t="shared" si="2454"/>
        <v>48797.279999999999</v>
      </c>
      <c r="DD1345" s="97">
        <f t="shared" si="2455"/>
        <v>3321.92</v>
      </c>
      <c r="DE1345" s="97">
        <f t="shared" si="2456"/>
        <v>3421.12</v>
      </c>
      <c r="DF1345" s="97">
        <f t="shared" si="2457"/>
        <v>3462.71</v>
      </c>
      <c r="DG1345" s="97">
        <f t="shared" si="2458"/>
        <v>0</v>
      </c>
      <c r="DH1345" s="97">
        <f t="shared" si="2458"/>
        <v>0</v>
      </c>
      <c r="DI1345" s="97">
        <f t="shared" si="2458"/>
        <v>0</v>
      </c>
      <c r="DJ1345" s="97">
        <f t="shared" si="2459"/>
        <v>0</v>
      </c>
      <c r="DK1345" s="97">
        <f t="shared" si="2459"/>
        <v>0</v>
      </c>
      <c r="DL1345" s="97">
        <f t="shared" si="2459"/>
        <v>0</v>
      </c>
      <c r="DM1345" s="102"/>
      <c r="DN1345" s="102"/>
      <c r="DO1345" s="102"/>
      <c r="DP1345" s="97">
        <f t="shared" si="2460"/>
        <v>0</v>
      </c>
      <c r="DQ1345" s="97">
        <f t="shared" si="2461"/>
        <v>0</v>
      </c>
      <c r="DR1345" s="97">
        <f t="shared" si="2462"/>
        <v>0</v>
      </c>
      <c r="DS1345" s="97">
        <f t="shared" si="2463"/>
        <v>0</v>
      </c>
      <c r="DT1345" s="97">
        <f t="shared" si="2464"/>
        <v>0</v>
      </c>
      <c r="DU1345" s="97">
        <f t="shared" si="2465"/>
        <v>0</v>
      </c>
      <c r="DV1345" s="97">
        <f t="shared" si="2466"/>
        <v>46645.3</v>
      </c>
      <c r="DW1345" s="97">
        <f t="shared" si="2467"/>
        <v>49929.1</v>
      </c>
      <c r="DX1345" s="97">
        <f t="shared" si="2468"/>
        <v>53093.25</v>
      </c>
      <c r="DY1345" s="97">
        <f t="shared" si="2469"/>
        <v>6957.93</v>
      </c>
      <c r="DZ1345" s="97">
        <f t="shared" si="2470"/>
        <v>6891.49</v>
      </c>
      <c r="EA1345" s="97">
        <f t="shared" si="2471"/>
        <v>6968.47</v>
      </c>
      <c r="EB1345" s="97">
        <f t="shared" si="2472"/>
        <v>0</v>
      </c>
      <c r="EC1345" s="97">
        <f t="shared" si="2472"/>
        <v>0</v>
      </c>
      <c r="ED1345" s="97">
        <f t="shared" si="2472"/>
        <v>0</v>
      </c>
      <c r="EE1345" s="97">
        <f t="shared" si="2473"/>
        <v>0</v>
      </c>
      <c r="EF1345" s="97">
        <f t="shared" si="2473"/>
        <v>0</v>
      </c>
      <c r="EG1345" s="97">
        <f t="shared" si="2473"/>
        <v>0</v>
      </c>
      <c r="EH1345" s="102"/>
      <c r="EI1345" s="102"/>
      <c r="EJ1345" s="102"/>
      <c r="EK1345" s="97">
        <f t="shared" si="2474"/>
        <v>0</v>
      </c>
      <c r="EL1345" s="97">
        <f t="shared" si="2475"/>
        <v>0</v>
      </c>
      <c r="EM1345" s="97">
        <f t="shared" si="2476"/>
        <v>0</v>
      </c>
      <c r="EN1345" s="97">
        <f t="shared" si="2477"/>
        <v>0</v>
      </c>
      <c r="EO1345" s="97">
        <f t="shared" si="2478"/>
        <v>0</v>
      </c>
      <c r="EP1345" s="97">
        <f t="shared" si="2479"/>
        <v>0</v>
      </c>
      <c r="EQ1345" s="97">
        <f t="shared" si="2480"/>
        <v>46107.08</v>
      </c>
      <c r="ER1345" s="97">
        <f t="shared" si="2481"/>
        <v>49200.6</v>
      </c>
      <c r="ES1345" s="97">
        <f t="shared" si="2482"/>
        <v>52269.05</v>
      </c>
      <c r="ET1345" s="97">
        <f t="shared" si="2483"/>
        <v>5841.5</v>
      </c>
      <c r="EU1345" s="97">
        <f t="shared" si="2484"/>
        <v>6098.23</v>
      </c>
      <c r="EV1345" s="97">
        <f t="shared" si="2485"/>
        <v>6209.1</v>
      </c>
      <c r="EW1345" s="97">
        <f t="shared" si="2486"/>
        <v>0</v>
      </c>
      <c r="EX1345" s="97">
        <f t="shared" si="2486"/>
        <v>0</v>
      </c>
      <c r="EY1345" s="97">
        <f t="shared" si="2486"/>
        <v>0</v>
      </c>
      <c r="EZ1345" s="97">
        <f t="shared" si="2487"/>
        <v>0</v>
      </c>
      <c r="FA1345" s="97">
        <f t="shared" si="2487"/>
        <v>0</v>
      </c>
      <c r="FB1345" s="97">
        <f t="shared" si="2487"/>
        <v>0</v>
      </c>
      <c r="FC1345" s="102"/>
      <c r="FD1345" s="102"/>
      <c r="FE1345" s="102"/>
      <c r="FF1345" s="97">
        <f t="shared" si="2488"/>
        <v>0</v>
      </c>
      <c r="FG1345" s="97">
        <f t="shared" si="2489"/>
        <v>0</v>
      </c>
      <c r="FH1345" s="97">
        <f t="shared" si="2490"/>
        <v>0</v>
      </c>
      <c r="FI1345" s="97">
        <f t="shared" si="2491"/>
        <v>0</v>
      </c>
      <c r="FJ1345" s="97">
        <f t="shared" si="2492"/>
        <v>0</v>
      </c>
      <c r="FK1345" s="97">
        <f t="shared" si="2493"/>
        <v>0</v>
      </c>
      <c r="FL1345" s="97">
        <f t="shared" si="2494"/>
        <v>44795.23</v>
      </c>
      <c r="FM1345" s="97">
        <f t="shared" si="2495"/>
        <v>47897.46</v>
      </c>
      <c r="FN1345" s="97">
        <f t="shared" si="2496"/>
        <v>50914.720000000001</v>
      </c>
      <c r="FO1345" s="97">
        <f t="shared" si="2497"/>
        <v>6282.8</v>
      </c>
      <c r="FP1345" s="97">
        <f t="shared" si="2498"/>
        <v>6599.81</v>
      </c>
      <c r="FQ1345" s="97">
        <f t="shared" si="2499"/>
        <v>6566.5</v>
      </c>
      <c r="FR1345" s="97">
        <f t="shared" si="2500"/>
        <v>0</v>
      </c>
      <c r="FS1345" s="97">
        <f t="shared" si="2500"/>
        <v>0</v>
      </c>
      <c r="FT1345" s="97">
        <f t="shared" si="2500"/>
        <v>0</v>
      </c>
      <c r="FU1345" s="97">
        <f t="shared" si="2501"/>
        <v>0</v>
      </c>
      <c r="FV1345" s="97">
        <f t="shared" si="2501"/>
        <v>0</v>
      </c>
      <c r="FW1345" s="97">
        <f t="shared" si="2501"/>
        <v>0</v>
      </c>
      <c r="FX1345" s="102"/>
      <c r="FY1345" s="102"/>
      <c r="FZ1345" s="102"/>
      <c r="GA1345" s="97">
        <f t="shared" si="2502"/>
        <v>0</v>
      </c>
      <c r="GB1345" s="97">
        <f t="shared" si="2503"/>
        <v>0</v>
      </c>
      <c r="GC1345" s="97">
        <f t="shared" si="2504"/>
        <v>0</v>
      </c>
      <c r="GD1345" s="97">
        <f t="shared" si="2505"/>
        <v>0</v>
      </c>
      <c r="GE1345" s="97">
        <f t="shared" si="2506"/>
        <v>0</v>
      </c>
      <c r="GF1345" s="97">
        <f t="shared" si="2507"/>
        <v>0</v>
      </c>
      <c r="GG1345" s="97">
        <f t="shared" si="2508"/>
        <v>44724.83</v>
      </c>
      <c r="GH1345" s="97">
        <f t="shared" si="2509"/>
        <v>47770.05</v>
      </c>
      <c r="GI1345" s="97">
        <f t="shared" si="2510"/>
        <v>50753.86</v>
      </c>
      <c r="GJ1345" s="97">
        <f t="shared" si="2511"/>
        <v>4710.93</v>
      </c>
      <c r="GK1345" s="97">
        <f t="shared" si="2512"/>
        <v>5333.82</v>
      </c>
      <c r="GL1345" s="97">
        <f t="shared" si="2513"/>
        <v>5748.31</v>
      </c>
      <c r="GM1345" s="97">
        <f t="shared" si="2514"/>
        <v>0</v>
      </c>
      <c r="GN1345" s="97">
        <f t="shared" si="2514"/>
        <v>0</v>
      </c>
      <c r="GO1345" s="97">
        <f t="shared" si="2514"/>
        <v>0</v>
      </c>
      <c r="GP1345" s="97">
        <f t="shared" si="2515"/>
        <v>0</v>
      </c>
      <c r="GQ1345" s="97">
        <f t="shared" si="2515"/>
        <v>0</v>
      </c>
      <c r="GR1345" s="97">
        <f t="shared" si="2515"/>
        <v>0</v>
      </c>
      <c r="GS1345" s="102"/>
      <c r="GT1345" s="102"/>
      <c r="GU1345" s="102"/>
      <c r="GV1345" s="97">
        <f t="shared" si="2516"/>
        <v>0</v>
      </c>
      <c r="GW1345" s="97">
        <f t="shared" si="2517"/>
        <v>0</v>
      </c>
      <c r="GX1345" s="97">
        <f t="shared" si="2518"/>
        <v>0</v>
      </c>
      <c r="GY1345" s="97">
        <f t="shared" si="2519"/>
        <v>0</v>
      </c>
      <c r="GZ1345" s="97">
        <f t="shared" si="2520"/>
        <v>0</v>
      </c>
      <c r="HA1345" s="97">
        <f t="shared" si="2521"/>
        <v>0</v>
      </c>
      <c r="HB1345" s="97">
        <f t="shared" si="2522"/>
        <v>46721.17</v>
      </c>
      <c r="HC1345" s="97">
        <f t="shared" si="2523"/>
        <v>49882.21</v>
      </c>
      <c r="HD1345" s="97">
        <f t="shared" si="2524"/>
        <v>52996.51</v>
      </c>
      <c r="HE1345" s="97">
        <f t="shared" si="2525"/>
        <v>5481.24</v>
      </c>
      <c r="HF1345" s="97">
        <f t="shared" si="2526"/>
        <v>5705.14</v>
      </c>
      <c r="HG1345" s="97">
        <f t="shared" si="2527"/>
        <v>5794.94</v>
      </c>
      <c r="HH1345" s="97">
        <f t="shared" si="2528"/>
        <v>0</v>
      </c>
      <c r="HI1345" s="97">
        <f t="shared" si="2528"/>
        <v>0</v>
      </c>
      <c r="HJ1345" s="97">
        <f t="shared" si="2528"/>
        <v>0</v>
      </c>
      <c r="HK1345" s="97">
        <f t="shared" si="2529"/>
        <v>0</v>
      </c>
      <c r="HL1345" s="97">
        <f t="shared" si="2529"/>
        <v>0</v>
      </c>
      <c r="HM1345" s="97">
        <f t="shared" si="2529"/>
        <v>0</v>
      </c>
      <c r="HN1345" s="102"/>
      <c r="HO1345" s="102"/>
      <c r="HP1345" s="102"/>
      <c r="HQ1345" s="97">
        <f t="shared" si="2530"/>
        <v>0</v>
      </c>
      <c r="HR1345" s="97">
        <f t="shared" si="2531"/>
        <v>0</v>
      </c>
      <c r="HS1345" s="97">
        <f t="shared" si="2532"/>
        <v>0</v>
      </c>
      <c r="HT1345" s="97">
        <f t="shared" si="2533"/>
        <v>0</v>
      </c>
      <c r="HU1345" s="97">
        <f t="shared" si="2534"/>
        <v>0</v>
      </c>
      <c r="HV1345" s="97">
        <f t="shared" si="2535"/>
        <v>0</v>
      </c>
      <c r="HW1345" s="97">
        <f t="shared" si="2536"/>
        <v>45980.13</v>
      </c>
      <c r="HX1345" s="97">
        <f t="shared" si="2537"/>
        <v>49163.63</v>
      </c>
      <c r="HY1345" s="97">
        <f t="shared" si="2538"/>
        <v>52242.54</v>
      </c>
      <c r="HZ1345" s="97">
        <f t="shared" si="2539"/>
        <v>5228.75</v>
      </c>
      <c r="IA1345" s="97">
        <f t="shared" si="2540"/>
        <v>5439.06</v>
      </c>
      <c r="IB1345" s="97">
        <f t="shared" si="2541"/>
        <v>5430.08</v>
      </c>
      <c r="IC1345" s="97">
        <f t="shared" si="2542"/>
        <v>0</v>
      </c>
      <c r="ID1345" s="97">
        <f t="shared" si="2542"/>
        <v>0</v>
      </c>
      <c r="IE1345" s="97">
        <f t="shared" si="2542"/>
        <v>0</v>
      </c>
      <c r="IF1345" s="97">
        <f t="shared" si="2543"/>
        <v>0</v>
      </c>
      <c r="IG1345" s="97">
        <f t="shared" si="2543"/>
        <v>0</v>
      </c>
      <c r="IH1345" s="97">
        <f t="shared" si="2543"/>
        <v>0</v>
      </c>
      <c r="II1345" s="102">
        <v>41</v>
      </c>
      <c r="IJ1345" s="102">
        <v>41</v>
      </c>
      <c r="IK1345" s="102">
        <v>41</v>
      </c>
      <c r="IL1345" s="97">
        <f t="shared" si="2544"/>
        <v>4519594</v>
      </c>
      <c r="IM1345" s="97">
        <f t="shared" si="2545"/>
        <v>4679002</v>
      </c>
      <c r="IN1345" s="97">
        <f t="shared" si="2546"/>
        <v>4793064</v>
      </c>
      <c r="IO1345" s="97">
        <f t="shared" si="2547"/>
        <v>273216.21000000002</v>
      </c>
      <c r="IP1345" s="97">
        <f t="shared" si="2548"/>
        <v>278556.05</v>
      </c>
      <c r="IQ1345" s="97">
        <f t="shared" si="2549"/>
        <v>282439.57</v>
      </c>
      <c r="IR1345" s="97">
        <f t="shared" si="2550"/>
        <v>62460.93</v>
      </c>
      <c r="IS1345" s="97">
        <f t="shared" si="2551"/>
        <v>66612.17</v>
      </c>
      <c r="IT1345" s="97">
        <f t="shared" si="2552"/>
        <v>70758.149999999994</v>
      </c>
      <c r="IU1345" s="97">
        <f t="shared" si="2553"/>
        <v>7904.85</v>
      </c>
      <c r="IV1345" s="97">
        <f t="shared" si="2554"/>
        <v>8222.2900000000009</v>
      </c>
      <c r="IW1345" s="97">
        <f t="shared" si="2555"/>
        <v>8151.05</v>
      </c>
      <c r="IX1345" s="97">
        <f t="shared" si="2556"/>
        <v>2560898.13</v>
      </c>
      <c r="IY1345" s="97">
        <f t="shared" si="2556"/>
        <v>2731098.97</v>
      </c>
      <c r="IZ1345" s="97">
        <f t="shared" si="2556"/>
        <v>2901084.15</v>
      </c>
      <c r="JA1345" s="97">
        <f t="shared" si="2557"/>
        <v>324098.84999999998</v>
      </c>
      <c r="JB1345" s="97">
        <f t="shared" si="2557"/>
        <v>337113.89</v>
      </c>
      <c r="JC1345" s="97">
        <f t="shared" si="2557"/>
        <v>334193.05</v>
      </c>
      <c r="JD1345" s="102"/>
      <c r="JE1345" s="102"/>
      <c r="JF1345" s="102"/>
      <c r="JG1345" s="97">
        <f t="shared" si="2558"/>
        <v>0</v>
      </c>
      <c r="JH1345" s="97">
        <f t="shared" si="2559"/>
        <v>0</v>
      </c>
      <c r="JI1345" s="97">
        <f t="shared" si="2560"/>
        <v>0</v>
      </c>
      <c r="JJ1345" s="97">
        <f t="shared" si="2561"/>
        <v>0</v>
      </c>
      <c r="JK1345" s="97">
        <f t="shared" si="2562"/>
        <v>0</v>
      </c>
      <c r="JL1345" s="97">
        <f t="shared" si="2563"/>
        <v>0</v>
      </c>
      <c r="JM1345" s="97">
        <f t="shared" si="2564"/>
        <v>41870.07</v>
      </c>
      <c r="JN1345" s="97">
        <f t="shared" si="2565"/>
        <v>44742.14</v>
      </c>
      <c r="JO1345" s="97">
        <f t="shared" si="2566"/>
        <v>47552.160000000003</v>
      </c>
      <c r="JP1345" s="97">
        <f t="shared" si="2567"/>
        <v>4309.6899999999996</v>
      </c>
      <c r="JQ1345" s="97">
        <f t="shared" si="2568"/>
        <v>4564.59</v>
      </c>
      <c r="JR1345" s="97">
        <f t="shared" si="2569"/>
        <v>4639.24</v>
      </c>
      <c r="JS1345" s="97">
        <f t="shared" si="2570"/>
        <v>0</v>
      </c>
      <c r="JT1345" s="97">
        <f t="shared" si="2570"/>
        <v>0</v>
      </c>
      <c r="JU1345" s="97">
        <f t="shared" si="2570"/>
        <v>0</v>
      </c>
      <c r="JV1345" s="97">
        <f t="shared" si="2571"/>
        <v>0</v>
      </c>
      <c r="JW1345" s="97">
        <f t="shared" si="2571"/>
        <v>0</v>
      </c>
      <c r="JX1345" s="97">
        <f t="shared" si="2571"/>
        <v>0</v>
      </c>
      <c r="JY1345" s="102"/>
      <c r="JZ1345" s="102"/>
      <c r="KA1345" s="102"/>
      <c r="KB1345" s="97">
        <f t="shared" si="2572"/>
        <v>0</v>
      </c>
      <c r="KC1345" s="97">
        <f t="shared" si="2573"/>
        <v>0</v>
      </c>
      <c r="KD1345" s="97">
        <f t="shared" si="2574"/>
        <v>0</v>
      </c>
      <c r="KE1345" s="97">
        <f t="shared" si="2575"/>
        <v>0</v>
      </c>
      <c r="KF1345" s="97">
        <f t="shared" si="2576"/>
        <v>0</v>
      </c>
      <c r="KG1345" s="97">
        <f t="shared" si="2577"/>
        <v>0</v>
      </c>
      <c r="KH1345" s="97">
        <f t="shared" si="2578"/>
        <v>43046.83</v>
      </c>
      <c r="KI1345" s="97">
        <f t="shared" si="2579"/>
        <v>45960.69</v>
      </c>
      <c r="KJ1345" s="97">
        <f t="shared" si="2580"/>
        <v>48836.25</v>
      </c>
      <c r="KK1345" s="97">
        <f t="shared" si="2581"/>
        <v>4040.13</v>
      </c>
      <c r="KL1345" s="97">
        <f t="shared" si="2582"/>
        <v>4230.3500000000004</v>
      </c>
      <c r="KM1345" s="97">
        <f t="shared" si="2583"/>
        <v>4269.0600000000004</v>
      </c>
      <c r="KN1345" s="97">
        <f t="shared" si="2584"/>
        <v>0</v>
      </c>
      <c r="KO1345" s="97">
        <f t="shared" si="2584"/>
        <v>0</v>
      </c>
      <c r="KP1345" s="97">
        <f t="shared" si="2584"/>
        <v>0</v>
      </c>
      <c r="KQ1345" s="97">
        <f t="shared" si="2585"/>
        <v>0</v>
      </c>
      <c r="KR1345" s="97">
        <f t="shared" si="2585"/>
        <v>0</v>
      </c>
      <c r="KS1345" s="97">
        <f t="shared" si="2585"/>
        <v>0</v>
      </c>
      <c r="KT1345" s="102"/>
      <c r="KU1345" s="102"/>
      <c r="KV1345" s="102"/>
      <c r="KW1345" s="97">
        <f t="shared" si="2586"/>
        <v>0</v>
      </c>
      <c r="KX1345" s="97">
        <f t="shared" si="2587"/>
        <v>0</v>
      </c>
      <c r="KY1345" s="97">
        <f t="shared" si="2588"/>
        <v>0</v>
      </c>
      <c r="KZ1345" s="97">
        <f t="shared" si="2589"/>
        <v>0</v>
      </c>
      <c r="LA1345" s="97">
        <f t="shared" si="2590"/>
        <v>0</v>
      </c>
      <c r="LB1345" s="97">
        <f t="shared" si="2591"/>
        <v>0</v>
      </c>
      <c r="LC1345" s="97">
        <f t="shared" si="2592"/>
        <v>40632.32</v>
      </c>
      <c r="LD1345" s="97">
        <f t="shared" si="2593"/>
        <v>43440.66</v>
      </c>
      <c r="LE1345" s="97">
        <f t="shared" si="2594"/>
        <v>46172.02</v>
      </c>
      <c r="LF1345" s="97">
        <f t="shared" si="2595"/>
        <v>5568.26</v>
      </c>
      <c r="LG1345" s="97">
        <f t="shared" si="2596"/>
        <v>5910.53</v>
      </c>
      <c r="LH1345" s="97">
        <f t="shared" si="2597"/>
        <v>6024.31</v>
      </c>
      <c r="LI1345" s="97">
        <f t="shared" si="2598"/>
        <v>0</v>
      </c>
      <c r="LJ1345" s="97">
        <f t="shared" si="2598"/>
        <v>0</v>
      </c>
      <c r="LK1345" s="97">
        <f t="shared" si="2598"/>
        <v>0</v>
      </c>
      <c r="LL1345" s="97">
        <f t="shared" si="2599"/>
        <v>0</v>
      </c>
      <c r="LM1345" s="97">
        <f t="shared" si="2599"/>
        <v>0</v>
      </c>
      <c r="LN1345" s="97">
        <f t="shared" si="2599"/>
        <v>0</v>
      </c>
      <c r="LO1345" s="102"/>
      <c r="LP1345" s="102"/>
      <c r="LQ1345" s="102"/>
      <c r="LR1345" s="97">
        <f t="shared" si="2600"/>
        <v>0</v>
      </c>
      <c r="LS1345" s="97">
        <f t="shared" si="2601"/>
        <v>0</v>
      </c>
      <c r="LT1345" s="97">
        <f t="shared" si="2602"/>
        <v>0</v>
      </c>
      <c r="LU1345" s="97">
        <f t="shared" si="2603"/>
        <v>0</v>
      </c>
      <c r="LV1345" s="97">
        <f t="shared" si="2604"/>
        <v>0</v>
      </c>
      <c r="LW1345" s="97">
        <f t="shared" si="2605"/>
        <v>0</v>
      </c>
      <c r="LX1345" s="97">
        <f t="shared" si="2606"/>
        <v>35494.14</v>
      </c>
      <c r="LY1345" s="97">
        <f t="shared" si="2607"/>
        <v>37949.4</v>
      </c>
      <c r="LZ1345" s="97">
        <f t="shared" si="2608"/>
        <v>40331.32</v>
      </c>
      <c r="MA1345" s="97">
        <f t="shared" si="2609"/>
        <v>4133.3100000000004</v>
      </c>
      <c r="MB1345" s="97">
        <f t="shared" si="2610"/>
        <v>4318.3</v>
      </c>
      <c r="MC1345" s="97">
        <f t="shared" si="2611"/>
        <v>4365.57</v>
      </c>
      <c r="MD1345" s="97">
        <f t="shared" si="2612"/>
        <v>0</v>
      </c>
      <c r="ME1345" s="97">
        <f t="shared" si="2612"/>
        <v>0</v>
      </c>
      <c r="MF1345" s="97">
        <f t="shared" si="2612"/>
        <v>0</v>
      </c>
      <c r="MG1345" s="97">
        <f t="shared" si="2613"/>
        <v>0</v>
      </c>
      <c r="MH1345" s="97">
        <f t="shared" si="2613"/>
        <v>0</v>
      </c>
      <c r="MI1345" s="97">
        <f t="shared" si="2613"/>
        <v>0</v>
      </c>
      <c r="MJ1345" s="102"/>
      <c r="MK1345" s="102"/>
      <c r="ML1345" s="102"/>
      <c r="MM1345" s="97">
        <f t="shared" si="2614"/>
        <v>0</v>
      </c>
      <c r="MN1345" s="97">
        <f t="shared" si="2615"/>
        <v>0</v>
      </c>
      <c r="MO1345" s="97">
        <f t="shared" si="2616"/>
        <v>0</v>
      </c>
      <c r="MP1345" s="97">
        <f t="shared" si="2617"/>
        <v>0</v>
      </c>
      <c r="MQ1345" s="97">
        <f t="shared" si="2618"/>
        <v>0</v>
      </c>
      <c r="MR1345" s="97">
        <f t="shared" si="2619"/>
        <v>0</v>
      </c>
      <c r="MS1345" s="97">
        <f t="shared" si="2620"/>
        <v>41062.78</v>
      </c>
      <c r="MT1345" s="97">
        <f t="shared" si="2621"/>
        <v>43897.93</v>
      </c>
      <c r="MU1345" s="97">
        <f t="shared" si="2622"/>
        <v>46657.3</v>
      </c>
      <c r="MV1345" s="97">
        <f t="shared" si="2623"/>
        <v>4903.67</v>
      </c>
      <c r="MW1345" s="97">
        <f t="shared" si="2624"/>
        <v>5054.09</v>
      </c>
      <c r="MX1345" s="97">
        <f t="shared" si="2625"/>
        <v>5156.1400000000003</v>
      </c>
      <c r="MY1345" s="97">
        <f t="shared" si="2626"/>
        <v>0</v>
      </c>
      <c r="MZ1345" s="97">
        <f t="shared" si="2626"/>
        <v>0</v>
      </c>
      <c r="NA1345" s="97">
        <f t="shared" si="2626"/>
        <v>0</v>
      </c>
      <c r="NB1345" s="97">
        <f t="shared" si="2627"/>
        <v>0</v>
      </c>
      <c r="NC1345" s="97">
        <f t="shared" si="2627"/>
        <v>0</v>
      </c>
      <c r="ND1345" s="97">
        <f t="shared" si="2627"/>
        <v>0</v>
      </c>
      <c r="NE1345" s="102"/>
      <c r="NF1345" s="102"/>
      <c r="NG1345" s="102"/>
      <c r="NH1345" s="97">
        <f t="shared" si="2628"/>
        <v>0</v>
      </c>
      <c r="NI1345" s="97">
        <f t="shared" si="2629"/>
        <v>0</v>
      </c>
      <c r="NJ1345" s="97">
        <f t="shared" si="2630"/>
        <v>0</v>
      </c>
      <c r="NK1345" s="97">
        <f t="shared" si="2631"/>
        <v>0</v>
      </c>
      <c r="NL1345" s="97">
        <f t="shared" si="2632"/>
        <v>0</v>
      </c>
      <c r="NM1345" s="97">
        <f t="shared" si="2633"/>
        <v>0</v>
      </c>
      <c r="NN1345" s="97">
        <f t="shared" si="2634"/>
        <v>41924.21</v>
      </c>
      <c r="NO1345" s="97">
        <f t="shared" si="2635"/>
        <v>44760.89</v>
      </c>
      <c r="NP1345" s="97">
        <f t="shared" si="2636"/>
        <v>47547.72</v>
      </c>
      <c r="NQ1345" s="97">
        <f t="shared" si="2637"/>
        <v>7181.76</v>
      </c>
      <c r="NR1345" s="97">
        <f t="shared" si="2638"/>
        <v>7648.04</v>
      </c>
      <c r="NS1345" s="97">
        <f t="shared" si="2639"/>
        <v>7540.46</v>
      </c>
      <c r="NT1345" s="97">
        <f t="shared" si="2640"/>
        <v>0</v>
      </c>
      <c r="NU1345" s="97">
        <f t="shared" si="2640"/>
        <v>0</v>
      </c>
      <c r="NV1345" s="97">
        <f t="shared" si="2640"/>
        <v>0</v>
      </c>
      <c r="NW1345" s="97">
        <f t="shared" si="2641"/>
        <v>0</v>
      </c>
      <c r="NX1345" s="97">
        <f t="shared" si="2641"/>
        <v>0</v>
      </c>
      <c r="NY1345" s="97">
        <f t="shared" si="2641"/>
        <v>0</v>
      </c>
      <c r="NZ1345" s="102"/>
      <c r="OA1345" s="102"/>
      <c r="OB1345" s="102"/>
      <c r="OC1345" s="97">
        <f t="shared" si="2642"/>
        <v>0</v>
      </c>
      <c r="OD1345" s="97">
        <f t="shared" si="2643"/>
        <v>0</v>
      </c>
      <c r="OE1345" s="97">
        <f t="shared" si="2644"/>
        <v>0</v>
      </c>
      <c r="OF1345" s="97">
        <f t="shared" si="2645"/>
        <v>0</v>
      </c>
      <c r="OG1345" s="97">
        <f t="shared" si="2646"/>
        <v>0</v>
      </c>
      <c r="OH1345" s="97">
        <f t="shared" si="2647"/>
        <v>0</v>
      </c>
      <c r="OI1345" s="97">
        <f t="shared" si="2648"/>
        <v>54969.65</v>
      </c>
      <c r="OJ1345" s="97">
        <f t="shared" si="2649"/>
        <v>58597.120000000003</v>
      </c>
      <c r="OK1345" s="97">
        <f t="shared" si="2650"/>
        <v>62227.28</v>
      </c>
      <c r="OL1345" s="97">
        <f t="shared" si="2651"/>
        <v>7203.21</v>
      </c>
      <c r="OM1345" s="97">
        <f t="shared" si="2652"/>
        <v>7630.76</v>
      </c>
      <c r="ON1345" s="97">
        <f t="shared" si="2653"/>
        <v>7696.69</v>
      </c>
      <c r="OO1345" s="97">
        <f t="shared" si="2654"/>
        <v>0</v>
      </c>
      <c r="OP1345" s="97">
        <f t="shared" si="2654"/>
        <v>0</v>
      </c>
      <c r="OQ1345" s="97">
        <f t="shared" si="2654"/>
        <v>0</v>
      </c>
      <c r="OR1345" s="97">
        <f t="shared" si="2655"/>
        <v>0</v>
      </c>
      <c r="OS1345" s="97">
        <f t="shared" si="2655"/>
        <v>0</v>
      </c>
      <c r="OT1345" s="97">
        <f t="shared" si="2655"/>
        <v>0</v>
      </c>
      <c r="OU1345" s="102"/>
      <c r="OV1345" s="102"/>
      <c r="OW1345" s="102"/>
      <c r="OX1345" s="97">
        <f t="shared" si="2656"/>
        <v>0</v>
      </c>
      <c r="OY1345" s="97">
        <f t="shared" si="2657"/>
        <v>0</v>
      </c>
      <c r="OZ1345" s="97">
        <f t="shared" si="2658"/>
        <v>0</v>
      </c>
      <c r="PA1345" s="97">
        <f t="shared" si="2659"/>
        <v>0</v>
      </c>
      <c r="PB1345" s="97">
        <f t="shared" si="2660"/>
        <v>0</v>
      </c>
      <c r="PC1345" s="97">
        <f t="shared" si="2661"/>
        <v>0</v>
      </c>
      <c r="PD1345" s="97">
        <f t="shared" si="2662"/>
        <v>46227.77</v>
      </c>
      <c r="PE1345" s="97">
        <f t="shared" si="2663"/>
        <v>49397.73</v>
      </c>
      <c r="PF1345" s="97">
        <f t="shared" si="2664"/>
        <v>52495.8</v>
      </c>
      <c r="PG1345" s="97">
        <f t="shared" si="2665"/>
        <v>5756.89</v>
      </c>
      <c r="PH1345" s="97">
        <f t="shared" si="2666"/>
        <v>5996.26</v>
      </c>
      <c r="PI1345" s="97">
        <f t="shared" si="2667"/>
        <v>6129.27</v>
      </c>
      <c r="PJ1345" s="97">
        <f t="shared" si="2668"/>
        <v>0</v>
      </c>
      <c r="PK1345" s="97">
        <f t="shared" si="2668"/>
        <v>0</v>
      </c>
      <c r="PL1345" s="97">
        <f t="shared" si="2668"/>
        <v>0</v>
      </c>
      <c r="PM1345" s="97">
        <f t="shared" si="2669"/>
        <v>0</v>
      </c>
      <c r="PN1345" s="97">
        <f t="shared" si="2669"/>
        <v>0</v>
      </c>
      <c r="PO1345" s="97">
        <f t="shared" si="2669"/>
        <v>0</v>
      </c>
      <c r="PP1345" s="102"/>
      <c r="PQ1345" s="102"/>
      <c r="PR1345" s="102"/>
      <c r="PS1345" s="97">
        <f t="shared" si="2670"/>
        <v>0</v>
      </c>
      <c r="PT1345" s="97">
        <f t="shared" si="2671"/>
        <v>0</v>
      </c>
      <c r="PU1345" s="97">
        <f t="shared" si="2672"/>
        <v>0</v>
      </c>
      <c r="PV1345" s="97">
        <f t="shared" si="2673"/>
        <v>0</v>
      </c>
      <c r="PW1345" s="97">
        <f t="shared" si="2674"/>
        <v>0</v>
      </c>
      <c r="PX1345" s="97">
        <f t="shared" si="2675"/>
        <v>0</v>
      </c>
      <c r="PY1345" s="97">
        <f t="shared" si="2676"/>
        <v>41387.879999999997</v>
      </c>
      <c r="PZ1345" s="97">
        <f t="shared" si="2677"/>
        <v>44263.09</v>
      </c>
      <c r="QA1345" s="97">
        <f t="shared" si="2678"/>
        <v>47042.26</v>
      </c>
      <c r="QB1345" s="97">
        <f t="shared" si="2679"/>
        <v>5936.78</v>
      </c>
      <c r="QC1345" s="97">
        <f t="shared" si="2680"/>
        <v>6356.12</v>
      </c>
      <c r="QD1345" s="97">
        <f t="shared" si="2681"/>
        <v>6439.12</v>
      </c>
      <c r="QE1345" s="97">
        <f t="shared" si="2682"/>
        <v>0</v>
      </c>
      <c r="QF1345" s="97">
        <f t="shared" si="2682"/>
        <v>0</v>
      </c>
      <c r="QG1345" s="97">
        <f t="shared" si="2682"/>
        <v>0</v>
      </c>
      <c r="QH1345" s="97">
        <f t="shared" si="2683"/>
        <v>0</v>
      </c>
      <c r="QI1345" s="97">
        <f t="shared" si="2683"/>
        <v>0</v>
      </c>
      <c r="QJ1345" s="97">
        <f t="shared" si="2683"/>
        <v>0</v>
      </c>
      <c r="QK1345" s="102"/>
      <c r="QL1345" s="102"/>
      <c r="QM1345" s="102"/>
      <c r="QN1345" s="97">
        <f t="shared" si="2684"/>
        <v>0</v>
      </c>
      <c r="QO1345" s="97">
        <f t="shared" si="2685"/>
        <v>0</v>
      </c>
      <c r="QP1345" s="97">
        <f t="shared" si="2686"/>
        <v>0</v>
      </c>
      <c r="QQ1345" s="97">
        <f t="shared" si="2687"/>
        <v>0</v>
      </c>
      <c r="QR1345" s="97">
        <f t="shared" si="2688"/>
        <v>0</v>
      </c>
      <c r="QS1345" s="97">
        <f t="shared" si="2689"/>
        <v>0</v>
      </c>
      <c r="QT1345" s="97">
        <f t="shared" si="2690"/>
        <v>42089.120000000003</v>
      </c>
      <c r="QU1345" s="97">
        <f t="shared" si="2691"/>
        <v>44996.7</v>
      </c>
      <c r="QV1345" s="97">
        <f t="shared" si="2692"/>
        <v>47827.14</v>
      </c>
      <c r="QW1345" s="97">
        <f t="shared" si="2693"/>
        <v>4083.25</v>
      </c>
      <c r="QX1345" s="97">
        <f t="shared" si="2694"/>
        <v>4319.88</v>
      </c>
      <c r="QY1345" s="97">
        <f t="shared" si="2695"/>
        <v>4404.62</v>
      </c>
      <c r="QZ1345" s="97">
        <f t="shared" si="2696"/>
        <v>0</v>
      </c>
      <c r="RA1345" s="97">
        <f t="shared" si="2696"/>
        <v>0</v>
      </c>
      <c r="RB1345" s="97">
        <f t="shared" si="2696"/>
        <v>0</v>
      </c>
      <c r="RC1345" s="97">
        <f t="shared" si="2697"/>
        <v>0</v>
      </c>
      <c r="RD1345" s="97">
        <f t="shared" si="2697"/>
        <v>0</v>
      </c>
      <c r="RE1345" s="97">
        <f t="shared" si="2697"/>
        <v>0</v>
      </c>
      <c r="RF1345" s="102"/>
      <c r="RG1345" s="102"/>
      <c r="RH1345" s="102"/>
      <c r="RI1345" s="97">
        <f t="shared" si="2698"/>
        <v>0</v>
      </c>
      <c r="RJ1345" s="97">
        <f t="shared" si="2699"/>
        <v>0</v>
      </c>
      <c r="RK1345" s="97">
        <f t="shared" si="2700"/>
        <v>0</v>
      </c>
      <c r="RL1345" s="97">
        <f t="shared" si="2701"/>
        <v>0</v>
      </c>
      <c r="RM1345" s="97">
        <f t="shared" si="2702"/>
        <v>0</v>
      </c>
      <c r="RN1345" s="97">
        <f t="shared" si="2703"/>
        <v>0</v>
      </c>
      <c r="RO1345" s="97">
        <f t="shared" si="2704"/>
        <v>45085.99</v>
      </c>
      <c r="RP1345" s="97">
        <f t="shared" si="2705"/>
        <v>48180.45</v>
      </c>
      <c r="RQ1345" s="97">
        <f t="shared" si="2706"/>
        <v>51210.78</v>
      </c>
      <c r="RR1345" s="97">
        <f t="shared" si="2707"/>
        <v>5759.87</v>
      </c>
      <c r="RS1345" s="97">
        <f t="shared" si="2708"/>
        <v>5978.43</v>
      </c>
      <c r="RT1345" s="97">
        <f t="shared" si="2709"/>
        <v>6097.01</v>
      </c>
      <c r="RU1345" s="97">
        <f t="shared" si="2710"/>
        <v>0</v>
      </c>
      <c r="RV1345" s="97">
        <f t="shared" si="2710"/>
        <v>0</v>
      </c>
      <c r="RW1345" s="97">
        <f t="shared" si="2710"/>
        <v>0</v>
      </c>
      <c r="RX1345" s="97">
        <f t="shared" si="2711"/>
        <v>0</v>
      </c>
      <c r="RY1345" s="97">
        <f t="shared" si="2711"/>
        <v>0</v>
      </c>
      <c r="RZ1345" s="97">
        <f t="shared" si="2711"/>
        <v>0</v>
      </c>
      <c r="SA1345" s="102"/>
      <c r="SB1345" s="102"/>
      <c r="SC1345" s="102"/>
      <c r="SD1345" s="97">
        <f t="shared" si="2712"/>
        <v>0</v>
      </c>
      <c r="SE1345" s="97">
        <f t="shared" si="2713"/>
        <v>0</v>
      </c>
      <c r="SF1345" s="97">
        <f t="shared" si="2714"/>
        <v>0</v>
      </c>
      <c r="SG1345" s="97">
        <f t="shared" si="2715"/>
        <v>0</v>
      </c>
      <c r="SH1345" s="97">
        <f t="shared" si="2716"/>
        <v>0</v>
      </c>
      <c r="SI1345" s="97">
        <f t="shared" si="2717"/>
        <v>0</v>
      </c>
      <c r="SJ1345" s="97">
        <f t="shared" si="2718"/>
        <v>47372.71</v>
      </c>
      <c r="SK1345" s="97">
        <f t="shared" si="2719"/>
        <v>50568.01</v>
      </c>
      <c r="SL1345" s="97">
        <f t="shared" si="2720"/>
        <v>53726.15</v>
      </c>
      <c r="SM1345" s="97">
        <f t="shared" si="2721"/>
        <v>8064.03</v>
      </c>
      <c r="SN1345" s="97">
        <f t="shared" si="2722"/>
        <v>8483.73</v>
      </c>
      <c r="SO1345" s="97">
        <f t="shared" si="2723"/>
        <v>8625.3799999999992</v>
      </c>
      <c r="SP1345" s="97">
        <f t="shared" si="2724"/>
        <v>0</v>
      </c>
      <c r="SQ1345" s="97">
        <f t="shared" si="2724"/>
        <v>0</v>
      </c>
      <c r="SR1345" s="97">
        <f t="shared" si="2724"/>
        <v>0</v>
      </c>
      <c r="SS1345" s="97">
        <f t="shared" si="2725"/>
        <v>0</v>
      </c>
      <c r="ST1345" s="97">
        <f t="shared" si="2725"/>
        <v>0</v>
      </c>
      <c r="SU1345" s="97">
        <f t="shared" si="2725"/>
        <v>0</v>
      </c>
      <c r="SV1345" s="102"/>
      <c r="SW1345" s="102"/>
      <c r="SX1345" s="102"/>
      <c r="SY1345" s="97">
        <f t="shared" si="2726"/>
        <v>0</v>
      </c>
      <c r="SZ1345" s="97">
        <f t="shared" si="2727"/>
        <v>0</v>
      </c>
      <c r="TA1345" s="97">
        <f t="shared" si="2728"/>
        <v>0</v>
      </c>
      <c r="TB1345" s="97">
        <f t="shared" si="2729"/>
        <v>0</v>
      </c>
      <c r="TC1345" s="97">
        <f t="shared" si="2730"/>
        <v>0</v>
      </c>
      <c r="TD1345" s="97">
        <f t="shared" si="2731"/>
        <v>0</v>
      </c>
      <c r="TE1345" s="97">
        <f t="shared" si="2732"/>
        <v>42344.61</v>
      </c>
      <c r="TF1345" s="97">
        <f t="shared" si="2733"/>
        <v>45252.27</v>
      </c>
      <c r="TG1345" s="97">
        <f t="shared" si="2734"/>
        <v>48090.080000000002</v>
      </c>
      <c r="TH1345" s="97">
        <f t="shared" si="2735"/>
        <v>6141.06</v>
      </c>
      <c r="TI1345" s="97">
        <f t="shared" si="2736"/>
        <v>6427.44</v>
      </c>
      <c r="TJ1345" s="97">
        <f t="shared" si="2737"/>
        <v>6498.19</v>
      </c>
      <c r="TK1345" s="97">
        <f t="shared" si="2738"/>
        <v>0</v>
      </c>
      <c r="TL1345" s="97">
        <f t="shared" si="2738"/>
        <v>0</v>
      </c>
      <c r="TM1345" s="97">
        <f t="shared" si="2738"/>
        <v>0</v>
      </c>
      <c r="TN1345" s="97">
        <f t="shared" si="2739"/>
        <v>0</v>
      </c>
      <c r="TO1345" s="97">
        <f t="shared" si="2739"/>
        <v>0</v>
      </c>
      <c r="TP1345" s="97">
        <f t="shared" si="2739"/>
        <v>0</v>
      </c>
      <c r="TQ1345" s="102"/>
      <c r="TR1345" s="102"/>
      <c r="TS1345" s="102"/>
      <c r="TT1345" s="97">
        <f t="shared" si="2740"/>
        <v>0</v>
      </c>
      <c r="TU1345" s="97">
        <f t="shared" si="2741"/>
        <v>0</v>
      </c>
      <c r="TV1345" s="97">
        <f t="shared" si="2742"/>
        <v>0</v>
      </c>
      <c r="TW1345" s="97">
        <f t="shared" si="2743"/>
        <v>0</v>
      </c>
      <c r="TX1345" s="97">
        <f t="shared" si="2744"/>
        <v>0</v>
      </c>
      <c r="TY1345" s="97">
        <f t="shared" si="2745"/>
        <v>0</v>
      </c>
      <c r="TZ1345" s="97">
        <f t="shared" si="2746"/>
        <v>45362.27</v>
      </c>
      <c r="UA1345" s="97">
        <f t="shared" si="2747"/>
        <v>48441.83</v>
      </c>
      <c r="UB1345" s="97">
        <f t="shared" si="2748"/>
        <v>51482.93</v>
      </c>
      <c r="UC1345" s="97">
        <f t="shared" si="2749"/>
        <v>5612.12</v>
      </c>
      <c r="UD1345" s="97">
        <f t="shared" si="2750"/>
        <v>6046.37</v>
      </c>
      <c r="UE1345" s="97">
        <f t="shared" si="2751"/>
        <v>6149.58</v>
      </c>
      <c r="UF1345" s="97">
        <f t="shared" si="2752"/>
        <v>0</v>
      </c>
      <c r="UG1345" s="97">
        <f t="shared" si="2752"/>
        <v>0</v>
      </c>
      <c r="UH1345" s="97">
        <f t="shared" si="2752"/>
        <v>0</v>
      </c>
      <c r="UI1345" s="97">
        <f t="shared" si="2753"/>
        <v>0</v>
      </c>
      <c r="UJ1345" s="97">
        <f t="shared" si="2753"/>
        <v>0</v>
      </c>
      <c r="UK1345" s="97">
        <f t="shared" si="2753"/>
        <v>0</v>
      </c>
      <c r="UL1345" s="102"/>
      <c r="UM1345" s="102"/>
      <c r="UN1345" s="102"/>
      <c r="UO1345" s="97">
        <f t="shared" si="2754"/>
        <v>0</v>
      </c>
      <c r="UP1345" s="97">
        <f t="shared" si="2755"/>
        <v>0</v>
      </c>
      <c r="UQ1345" s="97">
        <f t="shared" si="2756"/>
        <v>0</v>
      </c>
      <c r="UR1345" s="97">
        <f t="shared" si="2757"/>
        <v>0</v>
      </c>
      <c r="US1345" s="97">
        <f t="shared" si="2758"/>
        <v>0</v>
      </c>
      <c r="UT1345" s="97">
        <f t="shared" si="2759"/>
        <v>0</v>
      </c>
      <c r="UU1345" s="97">
        <f t="shared" si="2760"/>
        <v>41964.81</v>
      </c>
      <c r="UV1345" s="97">
        <f t="shared" si="2761"/>
        <v>44889.74</v>
      </c>
      <c r="UW1345" s="97">
        <f t="shared" si="2762"/>
        <v>47719.5</v>
      </c>
      <c r="UX1345" s="97">
        <f t="shared" si="2763"/>
        <v>4374.7299999999996</v>
      </c>
      <c r="UY1345" s="97">
        <f t="shared" si="2764"/>
        <v>4691.24</v>
      </c>
      <c r="UZ1345" s="97">
        <f t="shared" si="2765"/>
        <v>4792.21</v>
      </c>
      <c r="VA1345" s="97">
        <f t="shared" si="2766"/>
        <v>0</v>
      </c>
      <c r="VB1345" s="97">
        <f t="shared" si="2766"/>
        <v>0</v>
      </c>
      <c r="VC1345" s="97">
        <f t="shared" si="2766"/>
        <v>0</v>
      </c>
      <c r="VD1345" s="97">
        <f t="shared" si="2767"/>
        <v>0</v>
      </c>
      <c r="VE1345" s="97">
        <f t="shared" si="2767"/>
        <v>0</v>
      </c>
      <c r="VF1345" s="97">
        <f t="shared" si="2767"/>
        <v>0</v>
      </c>
      <c r="VG1345" s="102"/>
      <c r="VH1345" s="102"/>
      <c r="VI1345" s="102"/>
      <c r="VJ1345" s="97">
        <f t="shared" si="2768"/>
        <v>0</v>
      </c>
      <c r="VK1345" s="97">
        <f t="shared" si="2769"/>
        <v>0</v>
      </c>
      <c r="VL1345" s="97">
        <f t="shared" si="2770"/>
        <v>0</v>
      </c>
      <c r="VM1345" s="97">
        <f t="shared" si="2771"/>
        <v>0</v>
      </c>
      <c r="VN1345" s="97">
        <f t="shared" si="2772"/>
        <v>0</v>
      </c>
      <c r="VO1345" s="97">
        <f t="shared" si="2773"/>
        <v>0</v>
      </c>
      <c r="VP1345" s="97">
        <f t="shared" si="2774"/>
        <v>42808.81</v>
      </c>
      <c r="VQ1345" s="97">
        <f t="shared" si="2775"/>
        <v>45754.52</v>
      </c>
      <c r="VR1345" s="97">
        <f t="shared" si="2776"/>
        <v>48635.71</v>
      </c>
      <c r="VS1345" s="97">
        <f t="shared" si="2777"/>
        <v>4708.6499999999996</v>
      </c>
      <c r="VT1345" s="97">
        <f t="shared" si="2778"/>
        <v>4946.6099999999997</v>
      </c>
      <c r="VU1345" s="97">
        <f t="shared" si="2779"/>
        <v>5050.49</v>
      </c>
      <c r="VV1345" s="97">
        <f t="shared" si="2780"/>
        <v>0</v>
      </c>
      <c r="VW1345" s="97">
        <f t="shared" si="2780"/>
        <v>0</v>
      </c>
      <c r="VX1345" s="97">
        <f t="shared" si="2780"/>
        <v>0</v>
      </c>
      <c r="VY1345" s="97">
        <f t="shared" si="2781"/>
        <v>0</v>
      </c>
      <c r="VZ1345" s="97">
        <f t="shared" si="2781"/>
        <v>0</v>
      </c>
      <c r="WA1345" s="97">
        <f t="shared" si="2781"/>
        <v>0</v>
      </c>
      <c r="WB1345" s="102"/>
      <c r="WC1345" s="102"/>
      <c r="WD1345" s="102"/>
      <c r="WE1345" s="97">
        <f t="shared" si="2782"/>
        <v>0</v>
      </c>
      <c r="WF1345" s="97">
        <f t="shared" si="2783"/>
        <v>0</v>
      </c>
      <c r="WG1345" s="97">
        <f t="shared" si="2784"/>
        <v>0</v>
      </c>
      <c r="WH1345" s="97">
        <f t="shared" si="2785"/>
        <v>0</v>
      </c>
      <c r="WI1345" s="97">
        <f t="shared" si="2786"/>
        <v>0</v>
      </c>
      <c r="WJ1345" s="97">
        <f t="shared" si="2787"/>
        <v>0</v>
      </c>
      <c r="WK1345" s="97">
        <f t="shared" si="2788"/>
        <v>39549</v>
      </c>
      <c r="WL1345" s="97">
        <f t="shared" si="2789"/>
        <v>42317.8</v>
      </c>
      <c r="WM1345" s="97">
        <f t="shared" si="2790"/>
        <v>44983.26</v>
      </c>
      <c r="WN1345" s="97">
        <f t="shared" si="2791"/>
        <v>5056.6899999999996</v>
      </c>
      <c r="WO1345" s="97">
        <f t="shared" si="2792"/>
        <v>5442.12</v>
      </c>
      <c r="WP1345" s="97">
        <f t="shared" si="2793"/>
        <v>5561.43</v>
      </c>
      <c r="WQ1345" s="97">
        <f t="shared" si="2794"/>
        <v>0</v>
      </c>
      <c r="WR1345" s="97">
        <f t="shared" si="2794"/>
        <v>0</v>
      </c>
      <c r="WS1345" s="97">
        <f t="shared" si="2794"/>
        <v>0</v>
      </c>
      <c r="WT1345" s="97">
        <f t="shared" si="2795"/>
        <v>0</v>
      </c>
      <c r="WU1345" s="97">
        <f t="shared" si="2795"/>
        <v>0</v>
      </c>
      <c r="WV1345" s="97">
        <f t="shared" si="2795"/>
        <v>0</v>
      </c>
      <c r="WW1345" s="102"/>
      <c r="WX1345" s="102"/>
      <c r="WY1345" s="102"/>
      <c r="WZ1345" s="97">
        <f t="shared" si="2796"/>
        <v>0</v>
      </c>
      <c r="XA1345" s="97">
        <f t="shared" si="2797"/>
        <v>0</v>
      </c>
      <c r="XB1345" s="97">
        <f t="shared" si="2798"/>
        <v>0</v>
      </c>
      <c r="XC1345" s="97">
        <f t="shared" si="2799"/>
        <v>0</v>
      </c>
      <c r="XD1345" s="97">
        <f t="shared" si="2800"/>
        <v>0</v>
      </c>
      <c r="XE1345" s="97">
        <f t="shared" si="2801"/>
        <v>0</v>
      </c>
      <c r="XF1345" s="97">
        <f t="shared" si="2802"/>
        <v>38852.949999999997</v>
      </c>
      <c r="XG1345" s="97">
        <f t="shared" si="2803"/>
        <v>41545.08</v>
      </c>
      <c r="XH1345" s="97">
        <f t="shared" si="2804"/>
        <v>44153.11</v>
      </c>
      <c r="XI1345" s="97">
        <f t="shared" si="2805"/>
        <v>4072.88</v>
      </c>
      <c r="XJ1345" s="97">
        <f t="shared" si="2806"/>
        <v>4399.26</v>
      </c>
      <c r="XK1345" s="97">
        <f t="shared" si="2807"/>
        <v>4479.76</v>
      </c>
      <c r="XL1345" s="97">
        <f t="shared" si="2808"/>
        <v>0</v>
      </c>
      <c r="XM1345" s="97">
        <f t="shared" si="2808"/>
        <v>0</v>
      </c>
      <c r="XN1345" s="97">
        <f t="shared" si="2808"/>
        <v>0</v>
      </c>
      <c r="XO1345" s="97">
        <f t="shared" si="2809"/>
        <v>0</v>
      </c>
      <c r="XP1345" s="97">
        <f t="shared" si="2809"/>
        <v>0</v>
      </c>
      <c r="XQ1345" s="97">
        <f t="shared" si="2809"/>
        <v>0</v>
      </c>
      <c r="XR1345" s="102"/>
      <c r="XS1345" s="102"/>
      <c r="XT1345" s="102"/>
      <c r="XU1345" s="97">
        <f t="shared" si="2810"/>
        <v>0</v>
      </c>
      <c r="XV1345" s="97">
        <f t="shared" si="2811"/>
        <v>0</v>
      </c>
      <c r="XW1345" s="97">
        <f t="shared" si="2812"/>
        <v>0</v>
      </c>
      <c r="XX1345" s="97">
        <f t="shared" si="2813"/>
        <v>0</v>
      </c>
      <c r="XY1345" s="97">
        <f t="shared" si="2814"/>
        <v>0</v>
      </c>
      <c r="XZ1345" s="97">
        <f t="shared" si="2815"/>
        <v>0</v>
      </c>
      <c r="YA1345" s="97">
        <f t="shared" si="2816"/>
        <v>41011.910000000003</v>
      </c>
      <c r="YB1345" s="97">
        <f t="shared" si="2817"/>
        <v>43889.36</v>
      </c>
      <c r="YC1345" s="97">
        <f t="shared" si="2818"/>
        <v>46665.81</v>
      </c>
      <c r="YD1345" s="97">
        <f t="shared" si="2819"/>
        <v>17811.71</v>
      </c>
      <c r="YE1345" s="97">
        <f t="shared" si="2820"/>
        <v>21499.360000000001</v>
      </c>
      <c r="YF1345" s="97">
        <f t="shared" si="2821"/>
        <v>21943.84</v>
      </c>
      <c r="YG1345" s="97">
        <f t="shared" si="2822"/>
        <v>0</v>
      </c>
      <c r="YH1345" s="97">
        <f t="shared" si="2822"/>
        <v>0</v>
      </c>
      <c r="YI1345" s="97">
        <f t="shared" si="2822"/>
        <v>0</v>
      </c>
      <c r="YJ1345" s="97">
        <f t="shared" si="2823"/>
        <v>0</v>
      </c>
      <c r="YK1345" s="97">
        <f t="shared" si="2823"/>
        <v>0</v>
      </c>
      <c r="YL1345" s="97">
        <f t="shared" si="2823"/>
        <v>0</v>
      </c>
      <c r="YM1345" s="145">
        <f t="shared" si="2824"/>
        <v>41</v>
      </c>
      <c r="YN1345" s="145">
        <f t="shared" si="2824"/>
        <v>41</v>
      </c>
      <c r="YO1345" s="145">
        <f t="shared" si="2824"/>
        <v>41</v>
      </c>
      <c r="YP1345" s="97">
        <f t="shared" si="2825"/>
        <v>4519594</v>
      </c>
      <c r="YQ1345" s="97">
        <f t="shared" si="2826"/>
        <v>4679002</v>
      </c>
      <c r="YR1345" s="97">
        <f t="shared" si="2827"/>
        <v>4793064</v>
      </c>
      <c r="YS1345" s="97">
        <f t="shared" si="2828"/>
        <v>273216.21000000002</v>
      </c>
      <c r="YT1345" s="97">
        <f t="shared" si="2829"/>
        <v>278556.05</v>
      </c>
      <c r="YU1345" s="97">
        <f t="shared" si="2830"/>
        <v>282439.57</v>
      </c>
      <c r="YV1345" s="97">
        <f t="shared" si="2831"/>
        <v>43224.86</v>
      </c>
      <c r="YW1345" s="97">
        <f t="shared" si="2832"/>
        <v>46195.74</v>
      </c>
      <c r="YX1345" s="97">
        <f t="shared" si="2833"/>
        <v>49094.38</v>
      </c>
      <c r="YY1345" s="97">
        <f t="shared" si="2834"/>
        <v>5729.63</v>
      </c>
      <c r="YZ1345" s="97">
        <f t="shared" si="2835"/>
        <v>6139.17</v>
      </c>
      <c r="ZA1345" s="97">
        <f t="shared" si="2836"/>
        <v>6236.83</v>
      </c>
      <c r="ZB1345" s="97">
        <f t="shared" si="2837"/>
        <v>1772219.26</v>
      </c>
      <c r="ZC1345" s="97">
        <f t="shared" si="2837"/>
        <v>1894025.34</v>
      </c>
      <c r="ZD1345" s="97">
        <f t="shared" si="2837"/>
        <v>2012869.58</v>
      </c>
      <c r="ZE1345" s="97">
        <f t="shared" si="2838"/>
        <v>234914.83</v>
      </c>
      <c r="ZF1345" s="97">
        <f t="shared" si="2838"/>
        <v>251705.97</v>
      </c>
      <c r="ZG1345" s="97">
        <f t="shared" si="2838"/>
        <v>255710.03</v>
      </c>
    </row>
    <row r="1346" spans="1:683" hidden="1" x14ac:dyDescent="0.25">
      <c r="A1346" s="92" t="s">
        <v>611</v>
      </c>
      <c r="B1346" s="174"/>
      <c r="C1346" s="5"/>
      <c r="D1346" s="340"/>
      <c r="E1346" s="163"/>
      <c r="F1346" s="110">
        <f t="shared" si="2388"/>
        <v>79011</v>
      </c>
      <c r="G1346" s="110">
        <f t="shared" si="2388"/>
        <v>82135</v>
      </c>
      <c r="H1346" s="110">
        <f t="shared" si="2388"/>
        <v>84129</v>
      </c>
      <c r="I1346" s="97">
        <f t="shared" si="2389"/>
        <v>469</v>
      </c>
      <c r="J1346" s="97">
        <f t="shared" si="2389"/>
        <v>469</v>
      </c>
      <c r="K1346" s="97">
        <f t="shared" si="2389"/>
        <v>469</v>
      </c>
      <c r="L1346" s="102"/>
      <c r="M1346" s="102"/>
      <c r="N1346" s="102"/>
      <c r="O1346" s="97">
        <f t="shared" si="2390"/>
        <v>0</v>
      </c>
      <c r="P1346" s="97">
        <f t="shared" si="2391"/>
        <v>0</v>
      </c>
      <c r="Q1346" s="97">
        <f t="shared" si="2392"/>
        <v>0</v>
      </c>
      <c r="R1346" s="97">
        <f t="shared" si="2393"/>
        <v>0</v>
      </c>
      <c r="S1346" s="97">
        <f t="shared" si="2394"/>
        <v>0</v>
      </c>
      <c r="T1346" s="97">
        <f t="shared" si="2395"/>
        <v>0</v>
      </c>
      <c r="U1346" s="97">
        <f t="shared" si="2396"/>
        <v>34093.67</v>
      </c>
      <c r="V1346" s="97">
        <f t="shared" si="2397"/>
        <v>36597.29</v>
      </c>
      <c r="W1346" s="97">
        <f t="shared" si="2398"/>
        <v>38900.03</v>
      </c>
      <c r="X1346" s="97">
        <f t="shared" si="2399"/>
        <v>367.76</v>
      </c>
      <c r="Y1346" s="97">
        <f t="shared" si="2400"/>
        <v>371.55</v>
      </c>
      <c r="Z1346" s="97">
        <f t="shared" si="2401"/>
        <v>370.5</v>
      </c>
      <c r="AA1346" s="97">
        <f t="shared" si="2402"/>
        <v>0</v>
      </c>
      <c r="AB1346" s="97">
        <f t="shared" si="2402"/>
        <v>0</v>
      </c>
      <c r="AC1346" s="97">
        <f t="shared" si="2402"/>
        <v>0</v>
      </c>
      <c r="AD1346" s="97">
        <f t="shared" si="2403"/>
        <v>0</v>
      </c>
      <c r="AE1346" s="97">
        <f t="shared" si="2403"/>
        <v>0</v>
      </c>
      <c r="AF1346" s="97">
        <f t="shared" si="2403"/>
        <v>0</v>
      </c>
      <c r="AG1346" s="102"/>
      <c r="AH1346" s="102"/>
      <c r="AI1346" s="102"/>
      <c r="AJ1346" s="97">
        <f t="shared" si="2404"/>
        <v>0</v>
      </c>
      <c r="AK1346" s="97">
        <f t="shared" si="2405"/>
        <v>0</v>
      </c>
      <c r="AL1346" s="97">
        <f t="shared" si="2406"/>
        <v>0</v>
      </c>
      <c r="AM1346" s="97">
        <f t="shared" si="2407"/>
        <v>0</v>
      </c>
      <c r="AN1346" s="97">
        <f t="shared" si="2408"/>
        <v>0</v>
      </c>
      <c r="AO1346" s="97">
        <f t="shared" si="2409"/>
        <v>0</v>
      </c>
      <c r="AP1346" s="97">
        <f t="shared" si="2410"/>
        <v>31364.6</v>
      </c>
      <c r="AQ1346" s="97">
        <f t="shared" si="2411"/>
        <v>33662.449999999997</v>
      </c>
      <c r="AR1346" s="97">
        <f t="shared" si="2412"/>
        <v>35774.83</v>
      </c>
      <c r="AS1346" s="97">
        <f t="shared" si="2413"/>
        <v>293.25</v>
      </c>
      <c r="AT1346" s="97">
        <f t="shared" si="2414"/>
        <v>300.76</v>
      </c>
      <c r="AU1346" s="97">
        <f t="shared" si="2415"/>
        <v>302.26</v>
      </c>
      <c r="AV1346" s="97">
        <f t="shared" si="2416"/>
        <v>0</v>
      </c>
      <c r="AW1346" s="97">
        <f t="shared" si="2416"/>
        <v>0</v>
      </c>
      <c r="AX1346" s="97">
        <f t="shared" si="2416"/>
        <v>0</v>
      </c>
      <c r="AY1346" s="97">
        <f t="shared" si="2417"/>
        <v>0</v>
      </c>
      <c r="AZ1346" s="97">
        <f t="shared" si="2417"/>
        <v>0</v>
      </c>
      <c r="BA1346" s="97">
        <f t="shared" si="2417"/>
        <v>0</v>
      </c>
      <c r="BB1346" s="102"/>
      <c r="BC1346" s="102"/>
      <c r="BD1346" s="102"/>
      <c r="BE1346" s="97">
        <f t="shared" si="2418"/>
        <v>0</v>
      </c>
      <c r="BF1346" s="97">
        <f t="shared" si="2419"/>
        <v>0</v>
      </c>
      <c r="BG1346" s="97">
        <f t="shared" si="2420"/>
        <v>0</v>
      </c>
      <c r="BH1346" s="97">
        <f t="shared" si="2421"/>
        <v>0</v>
      </c>
      <c r="BI1346" s="97">
        <f t="shared" si="2422"/>
        <v>0</v>
      </c>
      <c r="BJ1346" s="97">
        <f t="shared" si="2423"/>
        <v>0</v>
      </c>
      <c r="BK1346" s="97">
        <f t="shared" si="2424"/>
        <v>29587.1</v>
      </c>
      <c r="BL1346" s="97">
        <f t="shared" si="2425"/>
        <v>31691.58</v>
      </c>
      <c r="BM1346" s="97">
        <f t="shared" si="2426"/>
        <v>33643.75</v>
      </c>
      <c r="BN1346" s="97">
        <f t="shared" si="2427"/>
        <v>313.25</v>
      </c>
      <c r="BO1346" s="97">
        <f t="shared" si="2428"/>
        <v>321.27999999999997</v>
      </c>
      <c r="BP1346" s="97">
        <f t="shared" si="2429"/>
        <v>322.29000000000002</v>
      </c>
      <c r="BQ1346" s="97">
        <f t="shared" si="2430"/>
        <v>0</v>
      </c>
      <c r="BR1346" s="97">
        <f t="shared" si="2430"/>
        <v>0</v>
      </c>
      <c r="BS1346" s="97">
        <f t="shared" si="2430"/>
        <v>0</v>
      </c>
      <c r="BT1346" s="97">
        <f t="shared" si="2431"/>
        <v>0</v>
      </c>
      <c r="BU1346" s="97">
        <f t="shared" si="2431"/>
        <v>0</v>
      </c>
      <c r="BV1346" s="97">
        <f t="shared" si="2431"/>
        <v>0</v>
      </c>
      <c r="BW1346" s="102"/>
      <c r="BX1346" s="102"/>
      <c r="BY1346" s="102"/>
      <c r="BZ1346" s="97">
        <f t="shared" si="2432"/>
        <v>0</v>
      </c>
      <c r="CA1346" s="97">
        <f t="shared" si="2433"/>
        <v>0</v>
      </c>
      <c r="CB1346" s="97">
        <f t="shared" si="2434"/>
        <v>0</v>
      </c>
      <c r="CC1346" s="97">
        <f t="shared" si="2435"/>
        <v>0</v>
      </c>
      <c r="CD1346" s="97">
        <f t="shared" si="2436"/>
        <v>0</v>
      </c>
      <c r="CE1346" s="97">
        <f t="shared" si="2437"/>
        <v>0</v>
      </c>
      <c r="CF1346" s="97">
        <f t="shared" si="2438"/>
        <v>30555.43</v>
      </c>
      <c r="CG1346" s="97">
        <f t="shared" si="2439"/>
        <v>32818.629999999997</v>
      </c>
      <c r="CH1346" s="97">
        <f t="shared" si="2440"/>
        <v>34880.230000000003</v>
      </c>
      <c r="CI1346" s="97">
        <f t="shared" si="2441"/>
        <v>482.92</v>
      </c>
      <c r="CJ1346" s="97">
        <f t="shared" si="2442"/>
        <v>485.42</v>
      </c>
      <c r="CK1346" s="97">
        <f t="shared" si="2443"/>
        <v>483.08</v>
      </c>
      <c r="CL1346" s="97">
        <f t="shared" si="2444"/>
        <v>0</v>
      </c>
      <c r="CM1346" s="97">
        <f t="shared" si="2444"/>
        <v>0</v>
      </c>
      <c r="CN1346" s="97">
        <f t="shared" si="2444"/>
        <v>0</v>
      </c>
      <c r="CO1346" s="97">
        <f t="shared" si="2445"/>
        <v>0</v>
      </c>
      <c r="CP1346" s="97">
        <f t="shared" si="2445"/>
        <v>0</v>
      </c>
      <c r="CQ1346" s="97">
        <f t="shared" si="2445"/>
        <v>0</v>
      </c>
      <c r="CR1346" s="102"/>
      <c r="CS1346" s="102"/>
      <c r="CT1346" s="102"/>
      <c r="CU1346" s="97">
        <f t="shared" si="2446"/>
        <v>0</v>
      </c>
      <c r="CV1346" s="97">
        <f t="shared" si="2447"/>
        <v>0</v>
      </c>
      <c r="CW1346" s="97">
        <f t="shared" si="2448"/>
        <v>0</v>
      </c>
      <c r="CX1346" s="97">
        <f t="shared" si="2449"/>
        <v>0</v>
      </c>
      <c r="CY1346" s="97">
        <f t="shared" si="2450"/>
        <v>0</v>
      </c>
      <c r="CZ1346" s="97">
        <f t="shared" si="2451"/>
        <v>0</v>
      </c>
      <c r="DA1346" s="97">
        <f t="shared" si="2452"/>
        <v>30790.720000000001</v>
      </c>
      <c r="DB1346" s="97">
        <f t="shared" si="2453"/>
        <v>33042.93</v>
      </c>
      <c r="DC1346" s="97">
        <f t="shared" si="2454"/>
        <v>35116.559999999998</v>
      </c>
      <c r="DD1346" s="97">
        <f t="shared" si="2455"/>
        <v>233.8</v>
      </c>
      <c r="DE1346" s="97">
        <f t="shared" si="2456"/>
        <v>236.16</v>
      </c>
      <c r="DF1346" s="97">
        <f t="shared" si="2457"/>
        <v>235.75</v>
      </c>
      <c r="DG1346" s="97">
        <f t="shared" si="2458"/>
        <v>0</v>
      </c>
      <c r="DH1346" s="97">
        <f t="shared" si="2458"/>
        <v>0</v>
      </c>
      <c r="DI1346" s="97">
        <f t="shared" si="2458"/>
        <v>0</v>
      </c>
      <c r="DJ1346" s="97">
        <f t="shared" si="2459"/>
        <v>0</v>
      </c>
      <c r="DK1346" s="97">
        <f t="shared" si="2459"/>
        <v>0</v>
      </c>
      <c r="DL1346" s="97">
        <f t="shared" si="2459"/>
        <v>0</v>
      </c>
      <c r="DM1346" s="102"/>
      <c r="DN1346" s="102"/>
      <c r="DO1346" s="102"/>
      <c r="DP1346" s="97">
        <f t="shared" si="2460"/>
        <v>0</v>
      </c>
      <c r="DQ1346" s="97">
        <f t="shared" si="2461"/>
        <v>0</v>
      </c>
      <c r="DR1346" s="97">
        <f t="shared" si="2462"/>
        <v>0</v>
      </c>
      <c r="DS1346" s="97">
        <f t="shared" si="2463"/>
        <v>0</v>
      </c>
      <c r="DT1346" s="97">
        <f t="shared" si="2464"/>
        <v>0</v>
      </c>
      <c r="DU1346" s="97">
        <f t="shared" si="2465"/>
        <v>0</v>
      </c>
      <c r="DV1346" s="97">
        <f t="shared" si="2466"/>
        <v>33433.35</v>
      </c>
      <c r="DW1346" s="97">
        <f t="shared" si="2467"/>
        <v>35934.58</v>
      </c>
      <c r="DX1346" s="97">
        <f t="shared" si="2468"/>
        <v>38208.120000000003</v>
      </c>
      <c r="DY1346" s="97">
        <f t="shared" si="2469"/>
        <v>489.7</v>
      </c>
      <c r="DZ1346" s="97">
        <f t="shared" si="2470"/>
        <v>475.73</v>
      </c>
      <c r="EA1346" s="97">
        <f t="shared" si="2471"/>
        <v>474.43</v>
      </c>
      <c r="EB1346" s="97">
        <f t="shared" si="2472"/>
        <v>0</v>
      </c>
      <c r="EC1346" s="97">
        <f t="shared" si="2472"/>
        <v>0</v>
      </c>
      <c r="ED1346" s="97">
        <f t="shared" si="2472"/>
        <v>0</v>
      </c>
      <c r="EE1346" s="97">
        <f t="shared" si="2473"/>
        <v>0</v>
      </c>
      <c r="EF1346" s="97">
        <f t="shared" si="2473"/>
        <v>0</v>
      </c>
      <c r="EG1346" s="97">
        <f t="shared" si="2473"/>
        <v>0</v>
      </c>
      <c r="EH1346" s="102"/>
      <c r="EI1346" s="102"/>
      <c r="EJ1346" s="102"/>
      <c r="EK1346" s="97">
        <f t="shared" si="2474"/>
        <v>0</v>
      </c>
      <c r="EL1346" s="97">
        <f t="shared" si="2475"/>
        <v>0</v>
      </c>
      <c r="EM1346" s="97">
        <f t="shared" si="2476"/>
        <v>0</v>
      </c>
      <c r="EN1346" s="97">
        <f t="shared" si="2477"/>
        <v>0</v>
      </c>
      <c r="EO1346" s="97">
        <f t="shared" si="2478"/>
        <v>0</v>
      </c>
      <c r="EP1346" s="97">
        <f t="shared" si="2479"/>
        <v>0</v>
      </c>
      <c r="EQ1346" s="97">
        <f t="shared" si="2480"/>
        <v>33047.58</v>
      </c>
      <c r="ER1346" s="97">
        <f t="shared" si="2481"/>
        <v>35410.269999999997</v>
      </c>
      <c r="ES1346" s="97">
        <f t="shared" si="2482"/>
        <v>37614.99</v>
      </c>
      <c r="ET1346" s="97">
        <f t="shared" si="2483"/>
        <v>411.13</v>
      </c>
      <c r="EU1346" s="97">
        <f t="shared" si="2484"/>
        <v>420.97</v>
      </c>
      <c r="EV1346" s="97">
        <f t="shared" si="2485"/>
        <v>422.73</v>
      </c>
      <c r="EW1346" s="97">
        <f t="shared" si="2486"/>
        <v>0</v>
      </c>
      <c r="EX1346" s="97">
        <f t="shared" si="2486"/>
        <v>0</v>
      </c>
      <c r="EY1346" s="97">
        <f t="shared" si="2486"/>
        <v>0</v>
      </c>
      <c r="EZ1346" s="97">
        <f t="shared" si="2487"/>
        <v>0</v>
      </c>
      <c r="FA1346" s="97">
        <f t="shared" si="2487"/>
        <v>0</v>
      </c>
      <c r="FB1346" s="97">
        <f t="shared" si="2487"/>
        <v>0</v>
      </c>
      <c r="FC1346" s="102"/>
      <c r="FD1346" s="102"/>
      <c r="FE1346" s="102"/>
      <c r="FF1346" s="97">
        <f t="shared" si="2488"/>
        <v>0</v>
      </c>
      <c r="FG1346" s="97">
        <f t="shared" si="2489"/>
        <v>0</v>
      </c>
      <c r="FH1346" s="97">
        <f t="shared" si="2490"/>
        <v>0</v>
      </c>
      <c r="FI1346" s="97">
        <f t="shared" si="2491"/>
        <v>0</v>
      </c>
      <c r="FJ1346" s="97">
        <f t="shared" si="2492"/>
        <v>0</v>
      </c>
      <c r="FK1346" s="97">
        <f t="shared" si="2493"/>
        <v>0</v>
      </c>
      <c r="FL1346" s="97">
        <f t="shared" si="2494"/>
        <v>32107.3</v>
      </c>
      <c r="FM1346" s="97">
        <f t="shared" si="2495"/>
        <v>34472.39</v>
      </c>
      <c r="FN1346" s="97">
        <f t="shared" si="2496"/>
        <v>36640.36</v>
      </c>
      <c r="FO1346" s="97">
        <f t="shared" si="2497"/>
        <v>442.18</v>
      </c>
      <c r="FP1346" s="97">
        <f t="shared" si="2498"/>
        <v>455.59</v>
      </c>
      <c r="FQ1346" s="97">
        <f t="shared" si="2499"/>
        <v>447.06</v>
      </c>
      <c r="FR1346" s="97">
        <f t="shared" si="2500"/>
        <v>0</v>
      </c>
      <c r="FS1346" s="97">
        <f t="shared" si="2500"/>
        <v>0</v>
      </c>
      <c r="FT1346" s="97">
        <f t="shared" si="2500"/>
        <v>0</v>
      </c>
      <c r="FU1346" s="97">
        <f t="shared" si="2501"/>
        <v>0</v>
      </c>
      <c r="FV1346" s="97">
        <f t="shared" si="2501"/>
        <v>0</v>
      </c>
      <c r="FW1346" s="97">
        <f t="shared" si="2501"/>
        <v>0</v>
      </c>
      <c r="FX1346" s="102"/>
      <c r="FY1346" s="102"/>
      <c r="FZ1346" s="102"/>
      <c r="GA1346" s="97">
        <f t="shared" si="2502"/>
        <v>0</v>
      </c>
      <c r="GB1346" s="97">
        <f t="shared" si="2503"/>
        <v>0</v>
      </c>
      <c r="GC1346" s="97">
        <f t="shared" si="2504"/>
        <v>0</v>
      </c>
      <c r="GD1346" s="97">
        <f t="shared" si="2505"/>
        <v>0</v>
      </c>
      <c r="GE1346" s="97">
        <f t="shared" si="2506"/>
        <v>0</v>
      </c>
      <c r="GF1346" s="97">
        <f t="shared" si="2507"/>
        <v>0</v>
      </c>
      <c r="GG1346" s="97">
        <f t="shared" si="2508"/>
        <v>32056.84</v>
      </c>
      <c r="GH1346" s="97">
        <f t="shared" si="2509"/>
        <v>34380.69</v>
      </c>
      <c r="GI1346" s="97">
        <f t="shared" si="2510"/>
        <v>36524.6</v>
      </c>
      <c r="GJ1346" s="97">
        <f t="shared" si="2511"/>
        <v>331.56</v>
      </c>
      <c r="GK1346" s="97">
        <f t="shared" si="2512"/>
        <v>368.2</v>
      </c>
      <c r="GL1346" s="97">
        <f t="shared" si="2513"/>
        <v>391.36</v>
      </c>
      <c r="GM1346" s="97">
        <f t="shared" si="2514"/>
        <v>0</v>
      </c>
      <c r="GN1346" s="97">
        <f t="shared" si="2514"/>
        <v>0</v>
      </c>
      <c r="GO1346" s="97">
        <f t="shared" si="2514"/>
        <v>0</v>
      </c>
      <c r="GP1346" s="97">
        <f t="shared" si="2515"/>
        <v>0</v>
      </c>
      <c r="GQ1346" s="97">
        <f t="shared" si="2515"/>
        <v>0</v>
      </c>
      <c r="GR1346" s="97">
        <f t="shared" si="2515"/>
        <v>0</v>
      </c>
      <c r="GS1346" s="102"/>
      <c r="GT1346" s="102"/>
      <c r="GU1346" s="102"/>
      <c r="GV1346" s="97">
        <f t="shared" si="2516"/>
        <v>0</v>
      </c>
      <c r="GW1346" s="97">
        <f t="shared" si="2517"/>
        <v>0</v>
      </c>
      <c r="GX1346" s="97">
        <f t="shared" si="2518"/>
        <v>0</v>
      </c>
      <c r="GY1346" s="97">
        <f t="shared" si="2519"/>
        <v>0</v>
      </c>
      <c r="GZ1346" s="97">
        <f t="shared" si="2520"/>
        <v>0</v>
      </c>
      <c r="HA1346" s="97">
        <f t="shared" si="2521"/>
        <v>0</v>
      </c>
      <c r="HB1346" s="97">
        <f t="shared" si="2522"/>
        <v>33487.730000000003</v>
      </c>
      <c r="HC1346" s="97">
        <f t="shared" si="2523"/>
        <v>35900.83</v>
      </c>
      <c r="HD1346" s="97">
        <f t="shared" si="2524"/>
        <v>38138.5</v>
      </c>
      <c r="HE1346" s="97">
        <f t="shared" si="2525"/>
        <v>385.77</v>
      </c>
      <c r="HF1346" s="97">
        <f t="shared" si="2526"/>
        <v>393.83</v>
      </c>
      <c r="HG1346" s="97">
        <f t="shared" si="2527"/>
        <v>394.53</v>
      </c>
      <c r="HH1346" s="97">
        <f t="shared" si="2528"/>
        <v>0</v>
      </c>
      <c r="HI1346" s="97">
        <f t="shared" si="2528"/>
        <v>0</v>
      </c>
      <c r="HJ1346" s="97">
        <f t="shared" si="2528"/>
        <v>0</v>
      </c>
      <c r="HK1346" s="97">
        <f t="shared" si="2529"/>
        <v>0</v>
      </c>
      <c r="HL1346" s="97">
        <f t="shared" si="2529"/>
        <v>0</v>
      </c>
      <c r="HM1346" s="97">
        <f t="shared" si="2529"/>
        <v>0</v>
      </c>
      <c r="HN1346" s="102"/>
      <c r="HO1346" s="102"/>
      <c r="HP1346" s="102"/>
      <c r="HQ1346" s="97">
        <f t="shared" si="2530"/>
        <v>0</v>
      </c>
      <c r="HR1346" s="97">
        <f t="shared" si="2531"/>
        <v>0</v>
      </c>
      <c r="HS1346" s="97">
        <f t="shared" si="2532"/>
        <v>0</v>
      </c>
      <c r="HT1346" s="97">
        <f t="shared" si="2533"/>
        <v>0</v>
      </c>
      <c r="HU1346" s="97">
        <f t="shared" si="2534"/>
        <v>0</v>
      </c>
      <c r="HV1346" s="97">
        <f t="shared" si="2535"/>
        <v>0</v>
      </c>
      <c r="HW1346" s="97">
        <f t="shared" si="2536"/>
        <v>32956.58</v>
      </c>
      <c r="HX1346" s="97">
        <f t="shared" si="2537"/>
        <v>35383.660000000003</v>
      </c>
      <c r="HY1346" s="97">
        <f t="shared" si="2538"/>
        <v>37595.910000000003</v>
      </c>
      <c r="HZ1346" s="97">
        <f t="shared" si="2539"/>
        <v>368</v>
      </c>
      <c r="IA1346" s="97">
        <f t="shared" si="2540"/>
        <v>375.46</v>
      </c>
      <c r="IB1346" s="97">
        <f t="shared" si="2541"/>
        <v>369.69</v>
      </c>
      <c r="IC1346" s="97">
        <f t="shared" si="2542"/>
        <v>0</v>
      </c>
      <c r="ID1346" s="97">
        <f t="shared" si="2542"/>
        <v>0</v>
      </c>
      <c r="IE1346" s="97">
        <f t="shared" si="2542"/>
        <v>0</v>
      </c>
      <c r="IF1346" s="97">
        <f t="shared" si="2543"/>
        <v>0</v>
      </c>
      <c r="IG1346" s="97">
        <f t="shared" si="2543"/>
        <v>0</v>
      </c>
      <c r="IH1346" s="97">
        <f t="shared" si="2543"/>
        <v>0</v>
      </c>
      <c r="II1346" s="102"/>
      <c r="IJ1346" s="102"/>
      <c r="IK1346" s="102"/>
      <c r="IL1346" s="97">
        <f t="shared" si="2544"/>
        <v>0</v>
      </c>
      <c r="IM1346" s="97">
        <f t="shared" si="2545"/>
        <v>0</v>
      </c>
      <c r="IN1346" s="97">
        <f t="shared" si="2546"/>
        <v>0</v>
      </c>
      <c r="IO1346" s="97">
        <f t="shared" si="2547"/>
        <v>0</v>
      </c>
      <c r="IP1346" s="97">
        <f t="shared" si="2548"/>
        <v>0</v>
      </c>
      <c r="IQ1346" s="97">
        <f t="shared" si="2549"/>
        <v>0</v>
      </c>
      <c r="IR1346" s="97">
        <f t="shared" si="2550"/>
        <v>44769.32</v>
      </c>
      <c r="IS1346" s="97">
        <f t="shared" si="2551"/>
        <v>47941.599999999999</v>
      </c>
      <c r="IT1346" s="97">
        <f t="shared" si="2552"/>
        <v>50920.52</v>
      </c>
      <c r="IU1346" s="97">
        <f t="shared" si="2553"/>
        <v>556.34</v>
      </c>
      <c r="IV1346" s="97">
        <f t="shared" si="2554"/>
        <v>567.59</v>
      </c>
      <c r="IW1346" s="97">
        <f t="shared" si="2555"/>
        <v>554.94000000000005</v>
      </c>
      <c r="IX1346" s="97">
        <f t="shared" si="2556"/>
        <v>0</v>
      </c>
      <c r="IY1346" s="97">
        <f t="shared" si="2556"/>
        <v>0</v>
      </c>
      <c r="IZ1346" s="97">
        <f t="shared" si="2556"/>
        <v>0</v>
      </c>
      <c r="JA1346" s="97">
        <f t="shared" si="2557"/>
        <v>0</v>
      </c>
      <c r="JB1346" s="97">
        <f t="shared" si="2557"/>
        <v>0</v>
      </c>
      <c r="JC1346" s="97">
        <f t="shared" si="2557"/>
        <v>0</v>
      </c>
      <c r="JD1346" s="102"/>
      <c r="JE1346" s="102"/>
      <c r="JF1346" s="102"/>
      <c r="JG1346" s="97">
        <f t="shared" si="2558"/>
        <v>0</v>
      </c>
      <c r="JH1346" s="97">
        <f t="shared" si="2559"/>
        <v>0</v>
      </c>
      <c r="JI1346" s="97">
        <f t="shared" si="2560"/>
        <v>0</v>
      </c>
      <c r="JJ1346" s="97">
        <f t="shared" si="2561"/>
        <v>0</v>
      </c>
      <c r="JK1346" s="97">
        <f t="shared" si="2562"/>
        <v>0</v>
      </c>
      <c r="JL1346" s="97">
        <f t="shared" si="2563"/>
        <v>0</v>
      </c>
      <c r="JM1346" s="97">
        <f t="shared" si="2564"/>
        <v>30010.67</v>
      </c>
      <c r="JN1346" s="97">
        <f t="shared" si="2565"/>
        <v>32201.46</v>
      </c>
      <c r="JO1346" s="97">
        <f t="shared" si="2566"/>
        <v>34220.519999999997</v>
      </c>
      <c r="JP1346" s="97">
        <f t="shared" si="2567"/>
        <v>303.32</v>
      </c>
      <c r="JQ1346" s="97">
        <f t="shared" si="2568"/>
        <v>315.10000000000002</v>
      </c>
      <c r="JR1346" s="97">
        <f t="shared" si="2569"/>
        <v>315.85000000000002</v>
      </c>
      <c r="JS1346" s="97">
        <f t="shared" si="2570"/>
        <v>0</v>
      </c>
      <c r="JT1346" s="97">
        <f t="shared" si="2570"/>
        <v>0</v>
      </c>
      <c r="JU1346" s="97">
        <f t="shared" si="2570"/>
        <v>0</v>
      </c>
      <c r="JV1346" s="97">
        <f t="shared" si="2571"/>
        <v>0</v>
      </c>
      <c r="JW1346" s="97">
        <f t="shared" si="2571"/>
        <v>0</v>
      </c>
      <c r="JX1346" s="97">
        <f t="shared" si="2571"/>
        <v>0</v>
      </c>
      <c r="JY1346" s="102"/>
      <c r="JZ1346" s="102"/>
      <c r="KA1346" s="102"/>
      <c r="KB1346" s="97">
        <f t="shared" si="2572"/>
        <v>0</v>
      </c>
      <c r="KC1346" s="97">
        <f t="shared" si="2573"/>
        <v>0</v>
      </c>
      <c r="KD1346" s="97">
        <f t="shared" si="2574"/>
        <v>0</v>
      </c>
      <c r="KE1346" s="97">
        <f t="shared" si="2575"/>
        <v>0</v>
      </c>
      <c r="KF1346" s="97">
        <f t="shared" si="2576"/>
        <v>0</v>
      </c>
      <c r="KG1346" s="97">
        <f t="shared" si="2577"/>
        <v>0</v>
      </c>
      <c r="KH1346" s="97">
        <f t="shared" si="2578"/>
        <v>30854.12</v>
      </c>
      <c r="KI1346" s="97">
        <f t="shared" si="2579"/>
        <v>33078.47</v>
      </c>
      <c r="KJ1346" s="97">
        <f t="shared" si="2580"/>
        <v>35144.61</v>
      </c>
      <c r="KK1346" s="97">
        <f t="shared" si="2581"/>
        <v>284.33999999999997</v>
      </c>
      <c r="KL1346" s="97">
        <f t="shared" si="2582"/>
        <v>292.02999999999997</v>
      </c>
      <c r="KM1346" s="97">
        <f t="shared" si="2583"/>
        <v>290.64999999999998</v>
      </c>
      <c r="KN1346" s="97">
        <f t="shared" si="2584"/>
        <v>0</v>
      </c>
      <c r="KO1346" s="97">
        <f t="shared" si="2584"/>
        <v>0</v>
      </c>
      <c r="KP1346" s="97">
        <f t="shared" si="2584"/>
        <v>0</v>
      </c>
      <c r="KQ1346" s="97">
        <f t="shared" si="2585"/>
        <v>0</v>
      </c>
      <c r="KR1346" s="97">
        <f t="shared" si="2585"/>
        <v>0</v>
      </c>
      <c r="KS1346" s="97">
        <f t="shared" si="2585"/>
        <v>0</v>
      </c>
      <c r="KT1346" s="102"/>
      <c r="KU1346" s="102"/>
      <c r="KV1346" s="102"/>
      <c r="KW1346" s="97">
        <f t="shared" si="2586"/>
        <v>0</v>
      </c>
      <c r="KX1346" s="97">
        <f t="shared" si="2587"/>
        <v>0</v>
      </c>
      <c r="KY1346" s="97">
        <f t="shared" si="2588"/>
        <v>0</v>
      </c>
      <c r="KZ1346" s="97">
        <f t="shared" si="2589"/>
        <v>0</v>
      </c>
      <c r="LA1346" s="97">
        <f t="shared" si="2590"/>
        <v>0</v>
      </c>
      <c r="LB1346" s="97">
        <f t="shared" si="2591"/>
        <v>0</v>
      </c>
      <c r="LC1346" s="97">
        <f t="shared" si="2592"/>
        <v>29123.51</v>
      </c>
      <c r="LD1346" s="97">
        <f t="shared" si="2593"/>
        <v>31264.78</v>
      </c>
      <c r="LE1346" s="97">
        <f t="shared" si="2594"/>
        <v>33227.31</v>
      </c>
      <c r="LF1346" s="97">
        <f t="shared" si="2595"/>
        <v>391.89</v>
      </c>
      <c r="LG1346" s="97">
        <f t="shared" si="2596"/>
        <v>408.01</v>
      </c>
      <c r="LH1346" s="97">
        <f t="shared" si="2597"/>
        <v>410.15</v>
      </c>
      <c r="LI1346" s="97">
        <f t="shared" si="2598"/>
        <v>0</v>
      </c>
      <c r="LJ1346" s="97">
        <f t="shared" si="2598"/>
        <v>0</v>
      </c>
      <c r="LK1346" s="97">
        <f t="shared" si="2598"/>
        <v>0</v>
      </c>
      <c r="LL1346" s="97">
        <f t="shared" si="2599"/>
        <v>0</v>
      </c>
      <c r="LM1346" s="97">
        <f t="shared" si="2599"/>
        <v>0</v>
      </c>
      <c r="LN1346" s="97">
        <f t="shared" si="2599"/>
        <v>0</v>
      </c>
      <c r="LO1346" s="102"/>
      <c r="LP1346" s="102"/>
      <c r="LQ1346" s="102"/>
      <c r="LR1346" s="97">
        <f t="shared" si="2600"/>
        <v>0</v>
      </c>
      <c r="LS1346" s="97">
        <f t="shared" si="2601"/>
        <v>0</v>
      </c>
      <c r="LT1346" s="97">
        <f t="shared" si="2602"/>
        <v>0</v>
      </c>
      <c r="LU1346" s="97">
        <f t="shared" si="2603"/>
        <v>0</v>
      </c>
      <c r="LV1346" s="97">
        <f t="shared" si="2604"/>
        <v>0</v>
      </c>
      <c r="LW1346" s="97">
        <f t="shared" si="2605"/>
        <v>0</v>
      </c>
      <c r="LX1346" s="97">
        <f t="shared" si="2606"/>
        <v>25440.67</v>
      </c>
      <c r="LY1346" s="97">
        <f t="shared" si="2607"/>
        <v>27312.65</v>
      </c>
      <c r="LZ1346" s="97">
        <f t="shared" si="2608"/>
        <v>29024.1</v>
      </c>
      <c r="MA1346" s="97">
        <f t="shared" si="2609"/>
        <v>290.89999999999998</v>
      </c>
      <c r="MB1346" s="97">
        <f t="shared" si="2610"/>
        <v>298.10000000000002</v>
      </c>
      <c r="MC1346" s="97">
        <f t="shared" si="2611"/>
        <v>297.22000000000003</v>
      </c>
      <c r="MD1346" s="97">
        <f t="shared" si="2612"/>
        <v>0</v>
      </c>
      <c r="ME1346" s="97">
        <f t="shared" si="2612"/>
        <v>0</v>
      </c>
      <c r="MF1346" s="97">
        <f t="shared" si="2612"/>
        <v>0</v>
      </c>
      <c r="MG1346" s="97">
        <f t="shared" si="2613"/>
        <v>0</v>
      </c>
      <c r="MH1346" s="97">
        <f t="shared" si="2613"/>
        <v>0</v>
      </c>
      <c r="MI1346" s="97">
        <f t="shared" si="2613"/>
        <v>0</v>
      </c>
      <c r="MJ1346" s="102"/>
      <c r="MK1346" s="102"/>
      <c r="ML1346" s="102"/>
      <c r="MM1346" s="97">
        <f t="shared" si="2614"/>
        <v>0</v>
      </c>
      <c r="MN1346" s="97">
        <f t="shared" si="2615"/>
        <v>0</v>
      </c>
      <c r="MO1346" s="97">
        <f t="shared" si="2616"/>
        <v>0</v>
      </c>
      <c r="MP1346" s="97">
        <f t="shared" si="2617"/>
        <v>0</v>
      </c>
      <c r="MQ1346" s="97">
        <f t="shared" si="2618"/>
        <v>0</v>
      </c>
      <c r="MR1346" s="97">
        <f t="shared" si="2619"/>
        <v>0</v>
      </c>
      <c r="MS1346" s="97">
        <f t="shared" si="2620"/>
        <v>29432.04</v>
      </c>
      <c r="MT1346" s="97">
        <f t="shared" si="2621"/>
        <v>31593.88</v>
      </c>
      <c r="MU1346" s="97">
        <f t="shared" si="2622"/>
        <v>33576.54</v>
      </c>
      <c r="MV1346" s="97">
        <f t="shared" si="2623"/>
        <v>345.12</v>
      </c>
      <c r="MW1346" s="97">
        <f t="shared" si="2624"/>
        <v>348.89</v>
      </c>
      <c r="MX1346" s="97">
        <f t="shared" si="2625"/>
        <v>351.04</v>
      </c>
      <c r="MY1346" s="97">
        <f t="shared" si="2626"/>
        <v>0</v>
      </c>
      <c r="MZ1346" s="97">
        <f t="shared" si="2626"/>
        <v>0</v>
      </c>
      <c r="NA1346" s="97">
        <f t="shared" si="2626"/>
        <v>0</v>
      </c>
      <c r="NB1346" s="97">
        <f t="shared" si="2627"/>
        <v>0</v>
      </c>
      <c r="NC1346" s="97">
        <f t="shared" si="2627"/>
        <v>0</v>
      </c>
      <c r="ND1346" s="97">
        <f t="shared" si="2627"/>
        <v>0</v>
      </c>
      <c r="NE1346" s="102"/>
      <c r="NF1346" s="102"/>
      <c r="NG1346" s="102"/>
      <c r="NH1346" s="97">
        <f t="shared" si="2628"/>
        <v>0</v>
      </c>
      <c r="NI1346" s="97">
        <f t="shared" si="2629"/>
        <v>0</v>
      </c>
      <c r="NJ1346" s="97">
        <f t="shared" si="2630"/>
        <v>0</v>
      </c>
      <c r="NK1346" s="97">
        <f t="shared" si="2631"/>
        <v>0</v>
      </c>
      <c r="NL1346" s="97">
        <f t="shared" si="2632"/>
        <v>0</v>
      </c>
      <c r="NM1346" s="97">
        <f t="shared" si="2633"/>
        <v>0</v>
      </c>
      <c r="NN1346" s="97">
        <f t="shared" si="2634"/>
        <v>30049.47</v>
      </c>
      <c r="NO1346" s="97">
        <f t="shared" si="2635"/>
        <v>32214.959999999999</v>
      </c>
      <c r="NP1346" s="97">
        <f t="shared" si="2636"/>
        <v>34217.33</v>
      </c>
      <c r="NQ1346" s="97">
        <f t="shared" si="2637"/>
        <v>505.45</v>
      </c>
      <c r="NR1346" s="97">
        <f t="shared" si="2638"/>
        <v>527.95000000000005</v>
      </c>
      <c r="NS1346" s="97">
        <f t="shared" si="2639"/>
        <v>513.37</v>
      </c>
      <c r="NT1346" s="97">
        <f t="shared" si="2640"/>
        <v>0</v>
      </c>
      <c r="NU1346" s="97">
        <f t="shared" si="2640"/>
        <v>0</v>
      </c>
      <c r="NV1346" s="97">
        <f t="shared" si="2640"/>
        <v>0</v>
      </c>
      <c r="NW1346" s="97">
        <f t="shared" si="2641"/>
        <v>0</v>
      </c>
      <c r="NX1346" s="97">
        <f t="shared" si="2641"/>
        <v>0</v>
      </c>
      <c r="NY1346" s="97">
        <f t="shared" si="2641"/>
        <v>0</v>
      </c>
      <c r="NZ1346" s="102"/>
      <c r="OA1346" s="102"/>
      <c r="OB1346" s="102"/>
      <c r="OC1346" s="97">
        <f t="shared" si="2642"/>
        <v>0</v>
      </c>
      <c r="OD1346" s="97">
        <f t="shared" si="2643"/>
        <v>0</v>
      </c>
      <c r="OE1346" s="97">
        <f t="shared" si="2644"/>
        <v>0</v>
      </c>
      <c r="OF1346" s="97">
        <f t="shared" si="2645"/>
        <v>0</v>
      </c>
      <c r="OG1346" s="97">
        <f t="shared" si="2646"/>
        <v>0</v>
      </c>
      <c r="OH1346" s="97">
        <f t="shared" si="2647"/>
        <v>0</v>
      </c>
      <c r="OI1346" s="97">
        <f t="shared" si="2648"/>
        <v>39399.89</v>
      </c>
      <c r="OJ1346" s="97">
        <f t="shared" si="2649"/>
        <v>42173.06</v>
      </c>
      <c r="OK1346" s="97">
        <f t="shared" si="2650"/>
        <v>44781.35</v>
      </c>
      <c r="OL1346" s="97">
        <f t="shared" si="2651"/>
        <v>506.96</v>
      </c>
      <c r="OM1346" s="97">
        <f t="shared" si="2652"/>
        <v>526.76</v>
      </c>
      <c r="ON1346" s="97">
        <f t="shared" si="2653"/>
        <v>524</v>
      </c>
      <c r="OO1346" s="97">
        <f t="shared" si="2654"/>
        <v>0</v>
      </c>
      <c r="OP1346" s="97">
        <f t="shared" si="2654"/>
        <v>0</v>
      </c>
      <c r="OQ1346" s="97">
        <f t="shared" si="2654"/>
        <v>0</v>
      </c>
      <c r="OR1346" s="97">
        <f t="shared" si="2655"/>
        <v>0</v>
      </c>
      <c r="OS1346" s="97">
        <f t="shared" si="2655"/>
        <v>0</v>
      </c>
      <c r="OT1346" s="97">
        <f t="shared" si="2655"/>
        <v>0</v>
      </c>
      <c r="OU1346" s="102"/>
      <c r="OV1346" s="102"/>
      <c r="OW1346" s="102"/>
      <c r="OX1346" s="97">
        <f t="shared" si="2656"/>
        <v>0</v>
      </c>
      <c r="OY1346" s="97">
        <f t="shared" si="2657"/>
        <v>0</v>
      </c>
      <c r="OZ1346" s="97">
        <f t="shared" si="2658"/>
        <v>0</v>
      </c>
      <c r="PA1346" s="97">
        <f t="shared" si="2659"/>
        <v>0</v>
      </c>
      <c r="PB1346" s="97">
        <f t="shared" si="2660"/>
        <v>0</v>
      </c>
      <c r="PC1346" s="97">
        <f t="shared" si="2661"/>
        <v>0</v>
      </c>
      <c r="PD1346" s="97">
        <f t="shared" si="2662"/>
        <v>33134.080000000002</v>
      </c>
      <c r="PE1346" s="97">
        <f t="shared" si="2663"/>
        <v>35552.15</v>
      </c>
      <c r="PF1346" s="97">
        <f t="shared" si="2664"/>
        <v>37778.17</v>
      </c>
      <c r="PG1346" s="97">
        <f t="shared" si="2665"/>
        <v>405.17</v>
      </c>
      <c r="PH1346" s="97">
        <f t="shared" si="2666"/>
        <v>413.93</v>
      </c>
      <c r="PI1346" s="97">
        <f t="shared" si="2667"/>
        <v>417.29</v>
      </c>
      <c r="PJ1346" s="97">
        <f t="shared" si="2668"/>
        <v>0</v>
      </c>
      <c r="PK1346" s="97">
        <f t="shared" si="2668"/>
        <v>0</v>
      </c>
      <c r="PL1346" s="97">
        <f t="shared" si="2668"/>
        <v>0</v>
      </c>
      <c r="PM1346" s="97">
        <f t="shared" si="2669"/>
        <v>0</v>
      </c>
      <c r="PN1346" s="97">
        <f t="shared" si="2669"/>
        <v>0</v>
      </c>
      <c r="PO1346" s="97">
        <f t="shared" si="2669"/>
        <v>0</v>
      </c>
      <c r="PP1346" s="102"/>
      <c r="PQ1346" s="102"/>
      <c r="PR1346" s="102"/>
      <c r="PS1346" s="97">
        <f t="shared" si="2670"/>
        <v>0</v>
      </c>
      <c r="PT1346" s="97">
        <f t="shared" si="2671"/>
        <v>0</v>
      </c>
      <c r="PU1346" s="97">
        <f t="shared" si="2672"/>
        <v>0</v>
      </c>
      <c r="PV1346" s="97">
        <f t="shared" si="2673"/>
        <v>0</v>
      </c>
      <c r="PW1346" s="97">
        <f t="shared" si="2674"/>
        <v>0</v>
      </c>
      <c r="PX1346" s="97">
        <f t="shared" si="2675"/>
        <v>0</v>
      </c>
      <c r="PY1346" s="97">
        <f t="shared" si="2676"/>
        <v>29665.06</v>
      </c>
      <c r="PZ1346" s="97">
        <f t="shared" si="2677"/>
        <v>31856.69</v>
      </c>
      <c r="QA1346" s="97">
        <f t="shared" si="2678"/>
        <v>33853.58</v>
      </c>
      <c r="QB1346" s="97">
        <f t="shared" si="2679"/>
        <v>417.83</v>
      </c>
      <c r="QC1346" s="97">
        <f t="shared" si="2680"/>
        <v>438.77</v>
      </c>
      <c r="QD1346" s="97">
        <f t="shared" si="2681"/>
        <v>438.39</v>
      </c>
      <c r="QE1346" s="97">
        <f t="shared" si="2682"/>
        <v>0</v>
      </c>
      <c r="QF1346" s="97">
        <f t="shared" si="2682"/>
        <v>0</v>
      </c>
      <c r="QG1346" s="97">
        <f t="shared" si="2682"/>
        <v>0</v>
      </c>
      <c r="QH1346" s="97">
        <f t="shared" si="2683"/>
        <v>0</v>
      </c>
      <c r="QI1346" s="97">
        <f t="shared" si="2683"/>
        <v>0</v>
      </c>
      <c r="QJ1346" s="97">
        <f t="shared" si="2683"/>
        <v>0</v>
      </c>
      <c r="QK1346" s="102"/>
      <c r="QL1346" s="102"/>
      <c r="QM1346" s="102"/>
      <c r="QN1346" s="97">
        <f t="shared" si="2684"/>
        <v>0</v>
      </c>
      <c r="QO1346" s="97">
        <f t="shared" si="2685"/>
        <v>0</v>
      </c>
      <c r="QP1346" s="97">
        <f t="shared" si="2686"/>
        <v>0</v>
      </c>
      <c r="QQ1346" s="97">
        <f t="shared" si="2687"/>
        <v>0</v>
      </c>
      <c r="QR1346" s="97">
        <f t="shared" si="2688"/>
        <v>0</v>
      </c>
      <c r="QS1346" s="97">
        <f t="shared" si="2689"/>
        <v>0</v>
      </c>
      <c r="QT1346" s="97">
        <f t="shared" si="2690"/>
        <v>30167.67</v>
      </c>
      <c r="QU1346" s="97">
        <f t="shared" si="2691"/>
        <v>32384.68</v>
      </c>
      <c r="QV1346" s="97">
        <f t="shared" si="2692"/>
        <v>34418.410000000003</v>
      </c>
      <c r="QW1346" s="97">
        <f t="shared" si="2693"/>
        <v>287.38</v>
      </c>
      <c r="QX1346" s="97">
        <f t="shared" si="2694"/>
        <v>298.20999999999998</v>
      </c>
      <c r="QY1346" s="97">
        <f t="shared" si="2695"/>
        <v>299.87</v>
      </c>
      <c r="QZ1346" s="97">
        <f t="shared" si="2696"/>
        <v>0</v>
      </c>
      <c r="RA1346" s="97">
        <f t="shared" si="2696"/>
        <v>0</v>
      </c>
      <c r="RB1346" s="97">
        <f t="shared" si="2696"/>
        <v>0</v>
      </c>
      <c r="RC1346" s="97">
        <f t="shared" si="2697"/>
        <v>0</v>
      </c>
      <c r="RD1346" s="97">
        <f t="shared" si="2697"/>
        <v>0</v>
      </c>
      <c r="RE1346" s="97">
        <f t="shared" si="2697"/>
        <v>0</v>
      </c>
      <c r="RF1346" s="102"/>
      <c r="RG1346" s="102"/>
      <c r="RH1346" s="102"/>
      <c r="RI1346" s="97">
        <f t="shared" si="2698"/>
        <v>0</v>
      </c>
      <c r="RJ1346" s="97">
        <f t="shared" si="2699"/>
        <v>0</v>
      </c>
      <c r="RK1346" s="97">
        <f t="shared" si="2700"/>
        <v>0</v>
      </c>
      <c r="RL1346" s="97">
        <f t="shared" si="2701"/>
        <v>0</v>
      </c>
      <c r="RM1346" s="97">
        <f t="shared" si="2702"/>
        <v>0</v>
      </c>
      <c r="RN1346" s="97">
        <f t="shared" si="2703"/>
        <v>0</v>
      </c>
      <c r="RO1346" s="97">
        <f t="shared" si="2704"/>
        <v>32315.7</v>
      </c>
      <c r="RP1346" s="97">
        <f t="shared" si="2705"/>
        <v>34676.06</v>
      </c>
      <c r="RQ1346" s="97">
        <f t="shared" si="2706"/>
        <v>36853.410000000003</v>
      </c>
      <c r="RR1346" s="97">
        <f t="shared" si="2707"/>
        <v>405.38</v>
      </c>
      <c r="RS1346" s="97">
        <f t="shared" si="2708"/>
        <v>412.7</v>
      </c>
      <c r="RT1346" s="97">
        <f t="shared" si="2709"/>
        <v>415.1</v>
      </c>
      <c r="RU1346" s="97">
        <f t="shared" si="2710"/>
        <v>0</v>
      </c>
      <c r="RV1346" s="97">
        <f t="shared" si="2710"/>
        <v>0</v>
      </c>
      <c r="RW1346" s="97">
        <f t="shared" si="2710"/>
        <v>0</v>
      </c>
      <c r="RX1346" s="97">
        <f t="shared" si="2711"/>
        <v>0</v>
      </c>
      <c r="RY1346" s="97">
        <f t="shared" si="2711"/>
        <v>0</v>
      </c>
      <c r="RZ1346" s="97">
        <f t="shared" si="2711"/>
        <v>0</v>
      </c>
      <c r="SA1346" s="102"/>
      <c r="SB1346" s="102"/>
      <c r="SC1346" s="102"/>
      <c r="SD1346" s="97">
        <f t="shared" si="2712"/>
        <v>0</v>
      </c>
      <c r="SE1346" s="97">
        <f t="shared" si="2713"/>
        <v>0</v>
      </c>
      <c r="SF1346" s="97">
        <f t="shared" si="2714"/>
        <v>0</v>
      </c>
      <c r="SG1346" s="97">
        <f t="shared" si="2715"/>
        <v>0</v>
      </c>
      <c r="SH1346" s="97">
        <f t="shared" si="2716"/>
        <v>0</v>
      </c>
      <c r="SI1346" s="97">
        <f t="shared" si="2717"/>
        <v>0</v>
      </c>
      <c r="SJ1346" s="97">
        <f t="shared" si="2718"/>
        <v>33954.730000000003</v>
      </c>
      <c r="SK1346" s="97">
        <f t="shared" si="2719"/>
        <v>36394.42</v>
      </c>
      <c r="SL1346" s="97">
        <f t="shared" si="2720"/>
        <v>38663.58</v>
      </c>
      <c r="SM1346" s="97">
        <f t="shared" si="2721"/>
        <v>567.54999999999995</v>
      </c>
      <c r="SN1346" s="97">
        <f t="shared" si="2722"/>
        <v>585.64</v>
      </c>
      <c r="SO1346" s="97">
        <f t="shared" si="2723"/>
        <v>587.23</v>
      </c>
      <c r="SP1346" s="97">
        <f t="shared" si="2724"/>
        <v>0</v>
      </c>
      <c r="SQ1346" s="97">
        <f t="shared" si="2724"/>
        <v>0</v>
      </c>
      <c r="SR1346" s="97">
        <f t="shared" si="2724"/>
        <v>0</v>
      </c>
      <c r="SS1346" s="97">
        <f t="shared" si="2725"/>
        <v>0</v>
      </c>
      <c r="ST1346" s="97">
        <f t="shared" si="2725"/>
        <v>0</v>
      </c>
      <c r="SU1346" s="97">
        <f t="shared" si="2725"/>
        <v>0</v>
      </c>
      <c r="SV1346" s="102"/>
      <c r="SW1346" s="102"/>
      <c r="SX1346" s="102"/>
      <c r="SY1346" s="97">
        <f t="shared" si="2726"/>
        <v>0</v>
      </c>
      <c r="SZ1346" s="97">
        <f t="shared" si="2727"/>
        <v>0</v>
      </c>
      <c r="TA1346" s="97">
        <f t="shared" si="2728"/>
        <v>0</v>
      </c>
      <c r="TB1346" s="97">
        <f t="shared" si="2729"/>
        <v>0</v>
      </c>
      <c r="TC1346" s="97">
        <f t="shared" si="2730"/>
        <v>0</v>
      </c>
      <c r="TD1346" s="97">
        <f t="shared" si="2731"/>
        <v>0</v>
      </c>
      <c r="TE1346" s="97">
        <f t="shared" si="2732"/>
        <v>30350.799999999999</v>
      </c>
      <c r="TF1346" s="97">
        <f t="shared" si="2733"/>
        <v>32568.61</v>
      </c>
      <c r="TG1346" s="97">
        <f t="shared" si="2734"/>
        <v>34607.629999999997</v>
      </c>
      <c r="TH1346" s="97">
        <f t="shared" si="2735"/>
        <v>432.21</v>
      </c>
      <c r="TI1346" s="97">
        <f t="shared" si="2736"/>
        <v>443.69</v>
      </c>
      <c r="TJ1346" s="97">
        <f t="shared" si="2737"/>
        <v>442.41</v>
      </c>
      <c r="TK1346" s="97">
        <f t="shared" si="2738"/>
        <v>0</v>
      </c>
      <c r="TL1346" s="97">
        <f t="shared" si="2738"/>
        <v>0</v>
      </c>
      <c r="TM1346" s="97">
        <f t="shared" si="2738"/>
        <v>0</v>
      </c>
      <c r="TN1346" s="97">
        <f t="shared" si="2739"/>
        <v>0</v>
      </c>
      <c r="TO1346" s="97">
        <f t="shared" si="2739"/>
        <v>0</v>
      </c>
      <c r="TP1346" s="97">
        <f t="shared" si="2739"/>
        <v>0</v>
      </c>
      <c r="TQ1346" s="102"/>
      <c r="TR1346" s="102"/>
      <c r="TS1346" s="102"/>
      <c r="TT1346" s="97">
        <f t="shared" si="2740"/>
        <v>0</v>
      </c>
      <c r="TU1346" s="97">
        <f t="shared" si="2741"/>
        <v>0</v>
      </c>
      <c r="TV1346" s="97">
        <f t="shared" si="2742"/>
        <v>0</v>
      </c>
      <c r="TW1346" s="97">
        <f t="shared" si="2743"/>
        <v>0</v>
      </c>
      <c r="TX1346" s="97">
        <f t="shared" si="2744"/>
        <v>0</v>
      </c>
      <c r="TY1346" s="97">
        <f t="shared" si="2745"/>
        <v>0</v>
      </c>
      <c r="TZ1346" s="97">
        <f t="shared" si="2746"/>
        <v>32513.73</v>
      </c>
      <c r="UA1346" s="97">
        <f t="shared" si="2747"/>
        <v>34864.18</v>
      </c>
      <c r="UB1346" s="97">
        <f t="shared" si="2748"/>
        <v>37049.269999999997</v>
      </c>
      <c r="UC1346" s="97">
        <f t="shared" si="2749"/>
        <v>394.98</v>
      </c>
      <c r="UD1346" s="97">
        <f t="shared" si="2750"/>
        <v>417.39</v>
      </c>
      <c r="UE1346" s="97">
        <f t="shared" si="2751"/>
        <v>418.67</v>
      </c>
      <c r="UF1346" s="97">
        <f t="shared" si="2752"/>
        <v>0</v>
      </c>
      <c r="UG1346" s="97">
        <f t="shared" si="2752"/>
        <v>0</v>
      </c>
      <c r="UH1346" s="97">
        <f t="shared" si="2752"/>
        <v>0</v>
      </c>
      <c r="UI1346" s="97">
        <f t="shared" si="2753"/>
        <v>0</v>
      </c>
      <c r="UJ1346" s="97">
        <f t="shared" si="2753"/>
        <v>0</v>
      </c>
      <c r="UK1346" s="97">
        <f t="shared" si="2753"/>
        <v>0</v>
      </c>
      <c r="UL1346" s="102"/>
      <c r="UM1346" s="102"/>
      <c r="UN1346" s="102"/>
      <c r="UO1346" s="97">
        <f t="shared" si="2754"/>
        <v>0</v>
      </c>
      <c r="UP1346" s="97">
        <f t="shared" si="2755"/>
        <v>0</v>
      </c>
      <c r="UQ1346" s="97">
        <f t="shared" si="2756"/>
        <v>0</v>
      </c>
      <c r="UR1346" s="97">
        <f t="shared" si="2757"/>
        <v>0</v>
      </c>
      <c r="US1346" s="97">
        <f t="shared" si="2758"/>
        <v>0</v>
      </c>
      <c r="UT1346" s="97">
        <f t="shared" si="2759"/>
        <v>0</v>
      </c>
      <c r="UU1346" s="97">
        <f t="shared" si="2760"/>
        <v>30078.58</v>
      </c>
      <c r="UV1346" s="97">
        <f t="shared" si="2761"/>
        <v>32307.7</v>
      </c>
      <c r="UW1346" s="97">
        <f t="shared" si="2762"/>
        <v>34340.949999999997</v>
      </c>
      <c r="UX1346" s="97">
        <f t="shared" si="2763"/>
        <v>307.89</v>
      </c>
      <c r="UY1346" s="97">
        <f t="shared" si="2764"/>
        <v>323.83999999999997</v>
      </c>
      <c r="UZ1346" s="97">
        <f t="shared" si="2765"/>
        <v>326.26</v>
      </c>
      <c r="VA1346" s="97">
        <f t="shared" si="2766"/>
        <v>0</v>
      </c>
      <c r="VB1346" s="97">
        <f t="shared" si="2766"/>
        <v>0</v>
      </c>
      <c r="VC1346" s="97">
        <f t="shared" si="2766"/>
        <v>0</v>
      </c>
      <c r="VD1346" s="97">
        <f t="shared" si="2767"/>
        <v>0</v>
      </c>
      <c r="VE1346" s="97">
        <f t="shared" si="2767"/>
        <v>0</v>
      </c>
      <c r="VF1346" s="97">
        <f t="shared" si="2767"/>
        <v>0</v>
      </c>
      <c r="VG1346" s="102"/>
      <c r="VH1346" s="102"/>
      <c r="VI1346" s="102"/>
      <c r="VJ1346" s="97">
        <f t="shared" si="2768"/>
        <v>0</v>
      </c>
      <c r="VK1346" s="97">
        <f t="shared" si="2769"/>
        <v>0</v>
      </c>
      <c r="VL1346" s="97">
        <f t="shared" si="2770"/>
        <v>0</v>
      </c>
      <c r="VM1346" s="97">
        <f t="shared" si="2771"/>
        <v>0</v>
      </c>
      <c r="VN1346" s="97">
        <f t="shared" si="2772"/>
        <v>0</v>
      </c>
      <c r="VO1346" s="97">
        <f t="shared" si="2773"/>
        <v>0</v>
      </c>
      <c r="VP1346" s="97">
        <f t="shared" si="2774"/>
        <v>30683.52</v>
      </c>
      <c r="VQ1346" s="97">
        <f t="shared" si="2775"/>
        <v>32930.089999999997</v>
      </c>
      <c r="VR1346" s="97">
        <f t="shared" si="2776"/>
        <v>35000.29</v>
      </c>
      <c r="VS1346" s="97">
        <f t="shared" si="2777"/>
        <v>331.4</v>
      </c>
      <c r="VT1346" s="97">
        <f t="shared" si="2778"/>
        <v>341.47</v>
      </c>
      <c r="VU1346" s="97">
        <f t="shared" si="2779"/>
        <v>343.85</v>
      </c>
      <c r="VV1346" s="97">
        <f t="shared" si="2780"/>
        <v>0</v>
      </c>
      <c r="VW1346" s="97">
        <f t="shared" si="2780"/>
        <v>0</v>
      </c>
      <c r="VX1346" s="97">
        <f t="shared" si="2780"/>
        <v>0</v>
      </c>
      <c r="VY1346" s="97">
        <f t="shared" si="2781"/>
        <v>0</v>
      </c>
      <c r="VZ1346" s="97">
        <f t="shared" si="2781"/>
        <v>0</v>
      </c>
      <c r="WA1346" s="97">
        <f t="shared" si="2781"/>
        <v>0</v>
      </c>
      <c r="WB1346" s="102"/>
      <c r="WC1346" s="102"/>
      <c r="WD1346" s="102"/>
      <c r="WE1346" s="97">
        <f t="shared" si="2782"/>
        <v>0</v>
      </c>
      <c r="WF1346" s="97">
        <f t="shared" si="2783"/>
        <v>0</v>
      </c>
      <c r="WG1346" s="97">
        <f t="shared" si="2784"/>
        <v>0</v>
      </c>
      <c r="WH1346" s="97">
        <f t="shared" si="2785"/>
        <v>0</v>
      </c>
      <c r="WI1346" s="97">
        <f t="shared" si="2786"/>
        <v>0</v>
      </c>
      <c r="WJ1346" s="97">
        <f t="shared" si="2787"/>
        <v>0</v>
      </c>
      <c r="WK1346" s="97">
        <f t="shared" si="2788"/>
        <v>28347.03</v>
      </c>
      <c r="WL1346" s="97">
        <f t="shared" si="2789"/>
        <v>30456.639999999999</v>
      </c>
      <c r="WM1346" s="97">
        <f t="shared" si="2790"/>
        <v>32371.84</v>
      </c>
      <c r="WN1346" s="97">
        <f t="shared" si="2791"/>
        <v>355.89</v>
      </c>
      <c r="WO1346" s="97">
        <f t="shared" si="2792"/>
        <v>375.68</v>
      </c>
      <c r="WP1346" s="97">
        <f t="shared" si="2793"/>
        <v>378.63</v>
      </c>
      <c r="WQ1346" s="97">
        <f t="shared" si="2794"/>
        <v>0</v>
      </c>
      <c r="WR1346" s="97">
        <f t="shared" si="2794"/>
        <v>0</v>
      </c>
      <c r="WS1346" s="97">
        <f t="shared" si="2794"/>
        <v>0</v>
      </c>
      <c r="WT1346" s="97">
        <f t="shared" si="2795"/>
        <v>0</v>
      </c>
      <c r="WU1346" s="97">
        <f t="shared" si="2795"/>
        <v>0</v>
      </c>
      <c r="WV1346" s="97">
        <f t="shared" si="2795"/>
        <v>0</v>
      </c>
      <c r="WW1346" s="102"/>
      <c r="WX1346" s="102"/>
      <c r="WY1346" s="102"/>
      <c r="WZ1346" s="97">
        <f t="shared" si="2796"/>
        <v>0</v>
      </c>
      <c r="XA1346" s="97">
        <f t="shared" si="2797"/>
        <v>0</v>
      </c>
      <c r="XB1346" s="97">
        <f t="shared" si="2798"/>
        <v>0</v>
      </c>
      <c r="XC1346" s="97">
        <f t="shared" si="2799"/>
        <v>0</v>
      </c>
      <c r="XD1346" s="97">
        <f t="shared" si="2800"/>
        <v>0</v>
      </c>
      <c r="XE1346" s="97">
        <f t="shared" si="2801"/>
        <v>0</v>
      </c>
      <c r="XF1346" s="97">
        <f t="shared" si="2802"/>
        <v>27848.13</v>
      </c>
      <c r="XG1346" s="97">
        <f t="shared" si="2803"/>
        <v>29900.5</v>
      </c>
      <c r="XH1346" s="97">
        <f t="shared" si="2804"/>
        <v>31774.42</v>
      </c>
      <c r="XI1346" s="97">
        <f t="shared" si="2805"/>
        <v>286.64999999999998</v>
      </c>
      <c r="XJ1346" s="97">
        <f t="shared" si="2806"/>
        <v>303.69</v>
      </c>
      <c r="XK1346" s="97">
        <f t="shared" si="2807"/>
        <v>304.99</v>
      </c>
      <c r="XL1346" s="97">
        <f t="shared" si="2808"/>
        <v>0</v>
      </c>
      <c r="XM1346" s="97">
        <f t="shared" si="2808"/>
        <v>0</v>
      </c>
      <c r="XN1346" s="97">
        <f t="shared" si="2808"/>
        <v>0</v>
      </c>
      <c r="XO1346" s="97">
        <f t="shared" si="2809"/>
        <v>0</v>
      </c>
      <c r="XP1346" s="97">
        <f t="shared" si="2809"/>
        <v>0</v>
      </c>
      <c r="XQ1346" s="97">
        <f t="shared" si="2809"/>
        <v>0</v>
      </c>
      <c r="XR1346" s="102"/>
      <c r="XS1346" s="102"/>
      <c r="XT1346" s="102"/>
      <c r="XU1346" s="97">
        <f t="shared" si="2810"/>
        <v>0</v>
      </c>
      <c r="XV1346" s="97">
        <f t="shared" si="2811"/>
        <v>0</v>
      </c>
      <c r="XW1346" s="97">
        <f t="shared" si="2812"/>
        <v>0</v>
      </c>
      <c r="XX1346" s="97">
        <f t="shared" si="2813"/>
        <v>0</v>
      </c>
      <c r="XY1346" s="97">
        <f t="shared" si="2814"/>
        <v>0</v>
      </c>
      <c r="XZ1346" s="97">
        <f t="shared" si="2815"/>
        <v>0</v>
      </c>
      <c r="YA1346" s="97">
        <f t="shared" si="2816"/>
        <v>29395.57</v>
      </c>
      <c r="YB1346" s="97">
        <f t="shared" si="2817"/>
        <v>31587.71</v>
      </c>
      <c r="YC1346" s="97">
        <f t="shared" si="2818"/>
        <v>33582.660000000003</v>
      </c>
      <c r="YD1346" s="97">
        <f t="shared" si="2819"/>
        <v>1253.5899999999999</v>
      </c>
      <c r="YE1346" s="97">
        <f t="shared" si="2820"/>
        <v>1484.12</v>
      </c>
      <c r="YF1346" s="97">
        <f t="shared" si="2821"/>
        <v>1493.98</v>
      </c>
      <c r="YG1346" s="97">
        <f t="shared" si="2822"/>
        <v>0</v>
      </c>
      <c r="YH1346" s="97">
        <f t="shared" si="2822"/>
        <v>0</v>
      </c>
      <c r="YI1346" s="97">
        <f t="shared" si="2822"/>
        <v>0</v>
      </c>
      <c r="YJ1346" s="97">
        <f t="shared" si="2823"/>
        <v>0</v>
      </c>
      <c r="YK1346" s="97">
        <f t="shared" si="2823"/>
        <v>0</v>
      </c>
      <c r="YL1346" s="97">
        <f t="shared" si="2823"/>
        <v>0</v>
      </c>
      <c r="YM1346" s="145">
        <f t="shared" si="2824"/>
        <v>0</v>
      </c>
      <c r="YN1346" s="145">
        <f t="shared" si="2824"/>
        <v>0</v>
      </c>
      <c r="YO1346" s="145">
        <f t="shared" si="2824"/>
        <v>0</v>
      </c>
      <c r="YP1346" s="97">
        <f t="shared" si="2825"/>
        <v>0</v>
      </c>
      <c r="YQ1346" s="97">
        <f t="shared" si="2826"/>
        <v>0</v>
      </c>
      <c r="YR1346" s="97">
        <f t="shared" si="2827"/>
        <v>0</v>
      </c>
      <c r="YS1346" s="97">
        <f t="shared" si="2828"/>
        <v>0</v>
      </c>
      <c r="YT1346" s="97">
        <f t="shared" si="2829"/>
        <v>0</v>
      </c>
      <c r="YU1346" s="97">
        <f t="shared" si="2830"/>
        <v>0</v>
      </c>
      <c r="YV1346" s="97">
        <f t="shared" si="2831"/>
        <v>30981.73</v>
      </c>
      <c r="YW1346" s="97">
        <f t="shared" si="2832"/>
        <v>33247.64</v>
      </c>
      <c r="YX1346" s="97">
        <f t="shared" si="2833"/>
        <v>35330.370000000003</v>
      </c>
      <c r="YY1346" s="97">
        <f t="shared" si="2834"/>
        <v>403.25</v>
      </c>
      <c r="YZ1346" s="97">
        <f t="shared" si="2835"/>
        <v>423.79</v>
      </c>
      <c r="ZA1346" s="97">
        <f t="shared" si="2836"/>
        <v>424.61</v>
      </c>
      <c r="ZB1346" s="97">
        <f t="shared" si="2837"/>
        <v>0</v>
      </c>
      <c r="ZC1346" s="97">
        <f t="shared" si="2837"/>
        <v>0</v>
      </c>
      <c r="ZD1346" s="97">
        <f t="shared" si="2837"/>
        <v>0</v>
      </c>
      <c r="ZE1346" s="97">
        <f t="shared" si="2838"/>
        <v>0</v>
      </c>
      <c r="ZF1346" s="97">
        <f t="shared" si="2838"/>
        <v>0</v>
      </c>
      <c r="ZG1346" s="97">
        <f t="shared" si="2838"/>
        <v>0</v>
      </c>
    </row>
    <row r="1347" spans="1:683" s="68" customFormat="1" ht="24" customHeight="1" x14ac:dyDescent="0.25">
      <c r="A1347" s="184" t="s">
        <v>715</v>
      </c>
      <c r="B1347" s="332"/>
      <c r="C1347" s="186"/>
      <c r="D1347" s="351"/>
      <c r="E1347" s="187"/>
      <c r="F1347" s="187"/>
      <c r="G1347" s="187"/>
      <c r="H1347" s="187"/>
      <c r="I1347" s="188"/>
      <c r="J1347" s="188"/>
      <c r="K1347" s="188"/>
      <c r="L1347" s="188"/>
      <c r="M1347" s="188"/>
      <c r="N1347" s="188"/>
      <c r="O1347" s="188"/>
      <c r="P1347" s="188"/>
      <c r="Q1347" s="188"/>
      <c r="R1347" s="188"/>
      <c r="S1347" s="188"/>
      <c r="T1347" s="188"/>
      <c r="U1347" s="188"/>
      <c r="V1347" s="188"/>
      <c r="W1347" s="188"/>
      <c r="X1347" s="188"/>
      <c r="Y1347" s="188"/>
      <c r="Z1347" s="188"/>
      <c r="AA1347" s="188"/>
      <c r="AB1347" s="188"/>
      <c r="AC1347" s="188"/>
      <c r="AD1347" s="188"/>
      <c r="AE1347" s="188"/>
      <c r="AF1347" s="188"/>
      <c r="AG1347" s="188"/>
      <c r="AH1347" s="188"/>
      <c r="AI1347" s="188"/>
      <c r="AJ1347" s="188"/>
      <c r="AK1347" s="188"/>
      <c r="AL1347" s="188"/>
      <c r="AM1347" s="188"/>
      <c r="AN1347" s="188"/>
      <c r="AO1347" s="188"/>
      <c r="AP1347" s="188"/>
      <c r="AQ1347" s="188"/>
      <c r="AR1347" s="188"/>
      <c r="AS1347" s="188"/>
      <c r="AT1347" s="188"/>
      <c r="AU1347" s="188"/>
      <c r="AV1347" s="188"/>
      <c r="AW1347" s="188"/>
      <c r="AX1347" s="188"/>
      <c r="AY1347" s="188"/>
      <c r="AZ1347" s="188"/>
      <c r="BA1347" s="188"/>
      <c r="BB1347" s="188"/>
      <c r="BC1347" s="188"/>
      <c r="BD1347" s="188"/>
      <c r="BE1347" s="188"/>
      <c r="BF1347" s="188"/>
      <c r="BG1347" s="188"/>
      <c r="BH1347" s="188"/>
      <c r="BI1347" s="188"/>
      <c r="BJ1347" s="188"/>
      <c r="BK1347" s="188"/>
      <c r="BL1347" s="188"/>
      <c r="BM1347" s="188"/>
      <c r="BN1347" s="188"/>
      <c r="BO1347" s="188"/>
      <c r="BP1347" s="188"/>
      <c r="BQ1347" s="188"/>
      <c r="BR1347" s="188"/>
      <c r="BS1347" s="188"/>
      <c r="BT1347" s="188"/>
      <c r="BU1347" s="188"/>
      <c r="BV1347" s="188"/>
      <c r="BW1347" s="188"/>
      <c r="BX1347" s="188"/>
      <c r="BY1347" s="188"/>
      <c r="BZ1347" s="188"/>
      <c r="CA1347" s="188"/>
      <c r="CB1347" s="188"/>
      <c r="CC1347" s="188"/>
      <c r="CD1347" s="188"/>
      <c r="CE1347" s="188"/>
      <c r="CF1347" s="188"/>
      <c r="CG1347" s="188"/>
      <c r="CH1347" s="188"/>
      <c r="CI1347" s="188"/>
      <c r="CJ1347" s="188"/>
      <c r="CK1347" s="188"/>
      <c r="CL1347" s="188"/>
      <c r="CM1347" s="188"/>
      <c r="CN1347" s="188"/>
      <c r="CO1347" s="188"/>
      <c r="CP1347" s="188"/>
      <c r="CQ1347" s="188"/>
      <c r="CR1347" s="188"/>
      <c r="CS1347" s="188"/>
      <c r="CT1347" s="188"/>
      <c r="CU1347" s="188"/>
      <c r="CV1347" s="188"/>
      <c r="CW1347" s="188"/>
      <c r="CX1347" s="188"/>
      <c r="CY1347" s="188"/>
      <c r="CZ1347" s="188"/>
      <c r="DA1347" s="188"/>
      <c r="DB1347" s="188"/>
      <c r="DC1347" s="188"/>
      <c r="DD1347" s="188"/>
      <c r="DE1347" s="188"/>
      <c r="DF1347" s="188"/>
      <c r="DG1347" s="188"/>
      <c r="DH1347" s="188"/>
      <c r="DI1347" s="188"/>
      <c r="DJ1347" s="188"/>
      <c r="DK1347" s="188"/>
      <c r="DL1347" s="188"/>
      <c r="DM1347" s="188"/>
      <c r="DN1347" s="188"/>
      <c r="DO1347" s="188"/>
      <c r="DP1347" s="188"/>
      <c r="DQ1347" s="188"/>
      <c r="DR1347" s="188"/>
      <c r="DS1347" s="188"/>
      <c r="DT1347" s="188"/>
      <c r="DU1347" s="188"/>
      <c r="DV1347" s="188"/>
      <c r="DW1347" s="188"/>
      <c r="DX1347" s="188"/>
      <c r="DY1347" s="188"/>
      <c r="DZ1347" s="188"/>
      <c r="EA1347" s="188"/>
      <c r="EB1347" s="188"/>
      <c r="EC1347" s="188"/>
      <c r="ED1347" s="188"/>
      <c r="EE1347" s="188"/>
      <c r="EF1347" s="188"/>
      <c r="EG1347" s="188"/>
      <c r="EH1347" s="188"/>
      <c r="EI1347" s="188"/>
      <c r="EJ1347" s="188"/>
      <c r="EK1347" s="188"/>
      <c r="EL1347" s="188"/>
      <c r="EM1347" s="188"/>
      <c r="EN1347" s="188"/>
      <c r="EO1347" s="188"/>
      <c r="EP1347" s="188"/>
      <c r="EQ1347" s="188"/>
      <c r="ER1347" s="188"/>
      <c r="ES1347" s="188"/>
      <c r="ET1347" s="188"/>
      <c r="EU1347" s="188"/>
      <c r="EV1347" s="188"/>
      <c r="EW1347" s="188"/>
      <c r="EX1347" s="188"/>
      <c r="EY1347" s="188"/>
      <c r="EZ1347" s="188"/>
      <c r="FA1347" s="188"/>
      <c r="FB1347" s="188"/>
      <c r="FC1347" s="188"/>
      <c r="FD1347" s="188"/>
      <c r="FE1347" s="188"/>
      <c r="FF1347" s="188"/>
      <c r="FG1347" s="188"/>
      <c r="FH1347" s="188"/>
      <c r="FI1347" s="188"/>
      <c r="FJ1347" s="188"/>
      <c r="FK1347" s="188"/>
      <c r="FL1347" s="188"/>
      <c r="FM1347" s="188"/>
      <c r="FN1347" s="188"/>
      <c r="FO1347" s="188"/>
      <c r="FP1347" s="188"/>
      <c r="FQ1347" s="188"/>
      <c r="FR1347" s="188"/>
      <c r="FS1347" s="188"/>
      <c r="FT1347" s="188"/>
      <c r="FU1347" s="188"/>
      <c r="FV1347" s="188"/>
      <c r="FW1347" s="188"/>
      <c r="FX1347" s="188"/>
      <c r="FY1347" s="188"/>
      <c r="FZ1347" s="188"/>
      <c r="GA1347" s="188"/>
      <c r="GB1347" s="188"/>
      <c r="GC1347" s="188"/>
      <c r="GD1347" s="188"/>
      <c r="GE1347" s="188"/>
      <c r="GF1347" s="188"/>
      <c r="GG1347" s="188"/>
      <c r="GH1347" s="188"/>
      <c r="GI1347" s="188"/>
      <c r="GJ1347" s="188"/>
      <c r="GK1347" s="188"/>
      <c r="GL1347" s="188"/>
      <c r="GM1347" s="188"/>
      <c r="GN1347" s="188"/>
      <c r="GO1347" s="188"/>
      <c r="GP1347" s="188"/>
      <c r="GQ1347" s="188"/>
      <c r="GR1347" s="188"/>
      <c r="GS1347" s="188"/>
      <c r="GT1347" s="188"/>
      <c r="GU1347" s="188"/>
      <c r="GV1347" s="188"/>
      <c r="GW1347" s="188"/>
      <c r="GX1347" s="188"/>
      <c r="GY1347" s="188"/>
      <c r="GZ1347" s="188"/>
      <c r="HA1347" s="188"/>
      <c r="HB1347" s="188"/>
      <c r="HC1347" s="188"/>
      <c r="HD1347" s="188"/>
      <c r="HE1347" s="188"/>
      <c r="HF1347" s="188"/>
      <c r="HG1347" s="188"/>
      <c r="HH1347" s="188"/>
      <c r="HI1347" s="188"/>
      <c r="HJ1347" s="188"/>
      <c r="HK1347" s="188"/>
      <c r="HL1347" s="188"/>
      <c r="HM1347" s="188"/>
      <c r="HN1347" s="188"/>
      <c r="HO1347" s="188"/>
      <c r="HP1347" s="188"/>
      <c r="HQ1347" s="188"/>
      <c r="HR1347" s="188"/>
      <c r="HS1347" s="188"/>
      <c r="HT1347" s="188"/>
      <c r="HU1347" s="188"/>
      <c r="HV1347" s="188"/>
      <c r="HW1347" s="188"/>
      <c r="HX1347" s="188"/>
      <c r="HY1347" s="188"/>
      <c r="HZ1347" s="188"/>
      <c r="IA1347" s="188"/>
      <c r="IB1347" s="188"/>
      <c r="IC1347" s="188"/>
      <c r="ID1347" s="188"/>
      <c r="IE1347" s="188"/>
      <c r="IF1347" s="188"/>
      <c r="IG1347" s="188"/>
      <c r="IH1347" s="188"/>
      <c r="II1347" s="188"/>
      <c r="IJ1347" s="188"/>
      <c r="IK1347" s="188"/>
      <c r="IL1347" s="188"/>
      <c r="IM1347" s="188"/>
      <c r="IN1347" s="188"/>
      <c r="IO1347" s="188"/>
      <c r="IP1347" s="188"/>
      <c r="IQ1347" s="188"/>
      <c r="IR1347" s="188"/>
      <c r="IS1347" s="188"/>
      <c r="IT1347" s="188"/>
      <c r="IU1347" s="188"/>
      <c r="IV1347" s="188"/>
      <c r="IW1347" s="188"/>
      <c r="IX1347" s="188"/>
      <c r="IY1347" s="188"/>
      <c r="IZ1347" s="188"/>
      <c r="JA1347" s="188"/>
      <c r="JB1347" s="188"/>
      <c r="JC1347" s="188"/>
      <c r="JD1347" s="188"/>
      <c r="JE1347" s="188"/>
      <c r="JF1347" s="188"/>
      <c r="JG1347" s="188"/>
      <c r="JH1347" s="188"/>
      <c r="JI1347" s="188"/>
      <c r="JJ1347" s="188"/>
      <c r="JK1347" s="188"/>
      <c r="JL1347" s="188"/>
      <c r="JM1347" s="188"/>
      <c r="JN1347" s="188"/>
      <c r="JO1347" s="188"/>
      <c r="JP1347" s="188"/>
      <c r="JQ1347" s="188"/>
      <c r="JR1347" s="188"/>
      <c r="JS1347" s="188"/>
      <c r="JT1347" s="188"/>
      <c r="JU1347" s="188"/>
      <c r="JV1347" s="188"/>
      <c r="JW1347" s="188"/>
      <c r="JX1347" s="188"/>
      <c r="JY1347" s="188"/>
      <c r="JZ1347" s="188"/>
      <c r="KA1347" s="188"/>
      <c r="KB1347" s="188"/>
      <c r="KC1347" s="188"/>
      <c r="KD1347" s="188"/>
      <c r="KE1347" s="188"/>
      <c r="KF1347" s="188"/>
      <c r="KG1347" s="188"/>
      <c r="KH1347" s="188"/>
      <c r="KI1347" s="188"/>
      <c r="KJ1347" s="188"/>
      <c r="KK1347" s="188"/>
      <c r="KL1347" s="188"/>
      <c r="KM1347" s="188"/>
      <c r="KN1347" s="188"/>
      <c r="KO1347" s="188"/>
      <c r="KP1347" s="188"/>
      <c r="KQ1347" s="188"/>
      <c r="KR1347" s="188"/>
      <c r="KS1347" s="188"/>
      <c r="KT1347" s="188"/>
      <c r="KU1347" s="188"/>
      <c r="KV1347" s="188"/>
      <c r="KW1347" s="188"/>
      <c r="KX1347" s="188"/>
      <c r="KY1347" s="188"/>
      <c r="KZ1347" s="188"/>
      <c r="LA1347" s="188"/>
      <c r="LB1347" s="188"/>
      <c r="LC1347" s="188"/>
      <c r="LD1347" s="188"/>
      <c r="LE1347" s="188"/>
      <c r="LF1347" s="188"/>
      <c r="LG1347" s="188"/>
      <c r="LH1347" s="188"/>
      <c r="LI1347" s="188"/>
      <c r="LJ1347" s="188"/>
      <c r="LK1347" s="188"/>
      <c r="LL1347" s="188"/>
      <c r="LM1347" s="188"/>
      <c r="LN1347" s="188"/>
      <c r="LO1347" s="188"/>
      <c r="LP1347" s="188"/>
      <c r="LQ1347" s="188"/>
      <c r="LR1347" s="188"/>
      <c r="LS1347" s="188"/>
      <c r="LT1347" s="188"/>
      <c r="LU1347" s="188"/>
      <c r="LV1347" s="188"/>
      <c r="LW1347" s="188"/>
      <c r="LX1347" s="188"/>
      <c r="LY1347" s="188"/>
      <c r="LZ1347" s="188"/>
      <c r="MA1347" s="188"/>
      <c r="MB1347" s="188"/>
      <c r="MC1347" s="188"/>
      <c r="MD1347" s="188"/>
      <c r="ME1347" s="188"/>
      <c r="MF1347" s="188"/>
      <c r="MG1347" s="188"/>
      <c r="MH1347" s="188"/>
      <c r="MI1347" s="188"/>
      <c r="MJ1347" s="188"/>
      <c r="MK1347" s="188"/>
      <c r="ML1347" s="188"/>
      <c r="MM1347" s="188"/>
      <c r="MN1347" s="188"/>
      <c r="MO1347" s="188"/>
      <c r="MP1347" s="188"/>
      <c r="MQ1347" s="188"/>
      <c r="MR1347" s="188"/>
      <c r="MS1347" s="188"/>
      <c r="MT1347" s="188"/>
      <c r="MU1347" s="188"/>
      <c r="MV1347" s="188"/>
      <c r="MW1347" s="188"/>
      <c r="MX1347" s="188"/>
      <c r="MY1347" s="188"/>
      <c r="MZ1347" s="188"/>
      <c r="NA1347" s="188"/>
      <c r="NB1347" s="188"/>
      <c r="NC1347" s="188"/>
      <c r="ND1347" s="188"/>
      <c r="NE1347" s="188"/>
      <c r="NF1347" s="188"/>
      <c r="NG1347" s="188"/>
      <c r="NH1347" s="188"/>
      <c r="NI1347" s="188"/>
      <c r="NJ1347" s="188"/>
      <c r="NK1347" s="188"/>
      <c r="NL1347" s="188"/>
      <c r="NM1347" s="188"/>
      <c r="NN1347" s="188"/>
      <c r="NO1347" s="188"/>
      <c r="NP1347" s="188"/>
      <c r="NQ1347" s="188"/>
      <c r="NR1347" s="188"/>
      <c r="NS1347" s="188"/>
      <c r="NT1347" s="188"/>
      <c r="NU1347" s="188"/>
      <c r="NV1347" s="188"/>
      <c r="NW1347" s="188"/>
      <c r="NX1347" s="188"/>
      <c r="NY1347" s="188"/>
      <c r="NZ1347" s="188"/>
      <c r="OA1347" s="188"/>
      <c r="OB1347" s="188"/>
      <c r="OC1347" s="188"/>
      <c r="OD1347" s="188"/>
      <c r="OE1347" s="188"/>
      <c r="OF1347" s="188"/>
      <c r="OG1347" s="188"/>
      <c r="OH1347" s="188"/>
      <c r="OI1347" s="188"/>
      <c r="OJ1347" s="188"/>
      <c r="OK1347" s="188"/>
      <c r="OL1347" s="188"/>
      <c r="OM1347" s="188"/>
      <c r="ON1347" s="188"/>
      <c r="OO1347" s="188"/>
      <c r="OP1347" s="188"/>
      <c r="OQ1347" s="188"/>
      <c r="OR1347" s="188"/>
      <c r="OS1347" s="188"/>
      <c r="OT1347" s="188"/>
      <c r="OU1347" s="188"/>
      <c r="OV1347" s="188"/>
      <c r="OW1347" s="188"/>
      <c r="OX1347" s="188"/>
      <c r="OY1347" s="188"/>
      <c r="OZ1347" s="188"/>
      <c r="PA1347" s="188"/>
      <c r="PB1347" s="188"/>
      <c r="PC1347" s="188"/>
      <c r="PD1347" s="188"/>
      <c r="PE1347" s="188"/>
      <c r="PF1347" s="188"/>
      <c r="PG1347" s="188"/>
      <c r="PH1347" s="188"/>
      <c r="PI1347" s="188"/>
      <c r="PJ1347" s="188"/>
      <c r="PK1347" s="188"/>
      <c r="PL1347" s="188"/>
      <c r="PM1347" s="188"/>
      <c r="PN1347" s="188"/>
      <c r="PO1347" s="188"/>
      <c r="PP1347" s="188"/>
      <c r="PQ1347" s="188"/>
      <c r="PR1347" s="188"/>
      <c r="PS1347" s="188"/>
      <c r="PT1347" s="188"/>
      <c r="PU1347" s="188"/>
      <c r="PV1347" s="188"/>
      <c r="PW1347" s="188"/>
      <c r="PX1347" s="188"/>
      <c r="PY1347" s="188"/>
      <c r="PZ1347" s="188"/>
      <c r="QA1347" s="188"/>
      <c r="QB1347" s="188"/>
      <c r="QC1347" s="188"/>
      <c r="QD1347" s="188"/>
      <c r="QE1347" s="188"/>
      <c r="QF1347" s="188"/>
      <c r="QG1347" s="188"/>
      <c r="QH1347" s="188"/>
      <c r="QI1347" s="188"/>
      <c r="QJ1347" s="188"/>
      <c r="QK1347" s="188"/>
      <c r="QL1347" s="188"/>
      <c r="QM1347" s="188"/>
      <c r="QN1347" s="188"/>
      <c r="QO1347" s="188"/>
      <c r="QP1347" s="188"/>
      <c r="QQ1347" s="188"/>
      <c r="QR1347" s="188"/>
      <c r="QS1347" s="188"/>
      <c r="QT1347" s="188"/>
      <c r="QU1347" s="188"/>
      <c r="QV1347" s="188"/>
      <c r="QW1347" s="188"/>
      <c r="QX1347" s="188"/>
      <c r="QY1347" s="188"/>
      <c r="QZ1347" s="188"/>
      <c r="RA1347" s="188"/>
      <c r="RB1347" s="188"/>
      <c r="RC1347" s="188"/>
      <c r="RD1347" s="188"/>
      <c r="RE1347" s="188"/>
      <c r="RF1347" s="188"/>
      <c r="RG1347" s="188"/>
      <c r="RH1347" s="188"/>
      <c r="RI1347" s="188"/>
      <c r="RJ1347" s="188"/>
      <c r="RK1347" s="188"/>
      <c r="RL1347" s="188"/>
      <c r="RM1347" s="188"/>
      <c r="RN1347" s="188"/>
      <c r="RO1347" s="188"/>
      <c r="RP1347" s="188"/>
      <c r="RQ1347" s="188"/>
      <c r="RR1347" s="188"/>
      <c r="RS1347" s="188"/>
      <c r="RT1347" s="188"/>
      <c r="RU1347" s="188"/>
      <c r="RV1347" s="188"/>
      <c r="RW1347" s="188"/>
      <c r="RX1347" s="188"/>
      <c r="RY1347" s="188"/>
      <c r="RZ1347" s="188"/>
      <c r="SA1347" s="188"/>
      <c r="SB1347" s="188"/>
      <c r="SC1347" s="188"/>
      <c r="SD1347" s="188"/>
      <c r="SE1347" s="188"/>
      <c r="SF1347" s="188"/>
      <c r="SG1347" s="188"/>
      <c r="SH1347" s="188"/>
      <c r="SI1347" s="188"/>
      <c r="SJ1347" s="188"/>
      <c r="SK1347" s="188"/>
      <c r="SL1347" s="188"/>
      <c r="SM1347" s="188"/>
      <c r="SN1347" s="188"/>
      <c r="SO1347" s="188"/>
      <c r="SP1347" s="188"/>
      <c r="SQ1347" s="188"/>
      <c r="SR1347" s="188"/>
      <c r="SS1347" s="188"/>
      <c r="ST1347" s="188"/>
      <c r="SU1347" s="188"/>
      <c r="SV1347" s="188"/>
      <c r="SW1347" s="188"/>
      <c r="SX1347" s="188"/>
      <c r="SY1347" s="188"/>
      <c r="SZ1347" s="188"/>
      <c r="TA1347" s="188"/>
      <c r="TB1347" s="188"/>
      <c r="TC1347" s="188"/>
      <c r="TD1347" s="188"/>
      <c r="TE1347" s="188"/>
      <c r="TF1347" s="188"/>
      <c r="TG1347" s="188"/>
      <c r="TH1347" s="188"/>
      <c r="TI1347" s="188"/>
      <c r="TJ1347" s="188"/>
      <c r="TK1347" s="188"/>
      <c r="TL1347" s="188"/>
      <c r="TM1347" s="188"/>
      <c r="TN1347" s="188"/>
      <c r="TO1347" s="188"/>
      <c r="TP1347" s="188"/>
      <c r="TQ1347" s="188"/>
      <c r="TR1347" s="188"/>
      <c r="TS1347" s="188"/>
      <c r="TT1347" s="188"/>
      <c r="TU1347" s="188"/>
      <c r="TV1347" s="188"/>
      <c r="TW1347" s="188"/>
      <c r="TX1347" s="188"/>
      <c r="TY1347" s="188"/>
      <c r="TZ1347" s="188"/>
      <c r="UA1347" s="188"/>
      <c r="UB1347" s="188"/>
      <c r="UC1347" s="188"/>
      <c r="UD1347" s="188"/>
      <c r="UE1347" s="188"/>
      <c r="UF1347" s="188"/>
      <c r="UG1347" s="188"/>
      <c r="UH1347" s="188"/>
      <c r="UI1347" s="188"/>
      <c r="UJ1347" s="188"/>
      <c r="UK1347" s="188"/>
      <c r="UL1347" s="188"/>
      <c r="UM1347" s="188"/>
      <c r="UN1347" s="188"/>
      <c r="UO1347" s="188"/>
      <c r="UP1347" s="188"/>
      <c r="UQ1347" s="188"/>
      <c r="UR1347" s="188"/>
      <c r="US1347" s="188"/>
      <c r="UT1347" s="188"/>
      <c r="UU1347" s="188"/>
      <c r="UV1347" s="188"/>
      <c r="UW1347" s="188"/>
      <c r="UX1347" s="188"/>
      <c r="UY1347" s="188"/>
      <c r="UZ1347" s="188"/>
      <c r="VA1347" s="188"/>
      <c r="VB1347" s="188"/>
      <c r="VC1347" s="188"/>
      <c r="VD1347" s="188"/>
      <c r="VE1347" s="188"/>
      <c r="VF1347" s="188"/>
      <c r="VG1347" s="188"/>
      <c r="VH1347" s="188"/>
      <c r="VI1347" s="188"/>
      <c r="VJ1347" s="188"/>
      <c r="VK1347" s="188"/>
      <c r="VL1347" s="188"/>
      <c r="VM1347" s="188"/>
      <c r="VN1347" s="188"/>
      <c r="VO1347" s="188"/>
      <c r="VP1347" s="188"/>
      <c r="VQ1347" s="188"/>
      <c r="VR1347" s="188"/>
      <c r="VS1347" s="188"/>
      <c r="VT1347" s="188"/>
      <c r="VU1347" s="188"/>
      <c r="VV1347" s="188"/>
      <c r="VW1347" s="188"/>
      <c r="VX1347" s="188"/>
      <c r="VY1347" s="188"/>
      <c r="VZ1347" s="188"/>
      <c r="WA1347" s="188"/>
      <c r="WB1347" s="188"/>
      <c r="WC1347" s="188"/>
      <c r="WD1347" s="188"/>
      <c r="WE1347" s="188"/>
      <c r="WF1347" s="188"/>
      <c r="WG1347" s="188"/>
      <c r="WH1347" s="188"/>
      <c r="WI1347" s="188"/>
      <c r="WJ1347" s="188"/>
      <c r="WK1347" s="188"/>
      <c r="WL1347" s="188"/>
      <c r="WM1347" s="188"/>
      <c r="WN1347" s="188"/>
      <c r="WO1347" s="188"/>
      <c r="WP1347" s="188"/>
      <c r="WQ1347" s="188"/>
      <c r="WR1347" s="188"/>
      <c r="WS1347" s="188"/>
      <c r="WT1347" s="188"/>
      <c r="WU1347" s="188"/>
      <c r="WV1347" s="188"/>
      <c r="WW1347" s="188"/>
      <c r="WX1347" s="188"/>
      <c r="WY1347" s="188"/>
      <c r="WZ1347" s="188"/>
      <c r="XA1347" s="188"/>
      <c r="XB1347" s="188"/>
      <c r="XC1347" s="188"/>
      <c r="XD1347" s="188"/>
      <c r="XE1347" s="188"/>
      <c r="XF1347" s="188"/>
      <c r="XG1347" s="188"/>
      <c r="XH1347" s="188"/>
      <c r="XI1347" s="188"/>
      <c r="XJ1347" s="188"/>
      <c r="XK1347" s="188"/>
      <c r="XL1347" s="188"/>
      <c r="XM1347" s="188"/>
      <c r="XN1347" s="188"/>
      <c r="XO1347" s="188"/>
      <c r="XP1347" s="188"/>
      <c r="XQ1347" s="188"/>
      <c r="XR1347" s="188"/>
      <c r="XS1347" s="188"/>
      <c r="XT1347" s="188"/>
      <c r="XU1347" s="188"/>
      <c r="XV1347" s="188"/>
      <c r="XW1347" s="188"/>
      <c r="XX1347" s="188"/>
      <c r="XY1347" s="188"/>
      <c r="XZ1347" s="188"/>
      <c r="YA1347" s="188"/>
      <c r="YB1347" s="188"/>
      <c r="YC1347" s="188"/>
      <c r="YD1347" s="188"/>
      <c r="YE1347" s="188"/>
      <c r="YF1347" s="188"/>
      <c r="YG1347" s="188"/>
      <c r="YH1347" s="188"/>
      <c r="YI1347" s="188"/>
      <c r="YJ1347" s="188"/>
      <c r="YK1347" s="188"/>
      <c r="YL1347" s="188"/>
      <c r="YM1347" s="188"/>
      <c r="YN1347" s="188"/>
      <c r="YO1347" s="188"/>
      <c r="YP1347" s="188"/>
      <c r="YQ1347" s="188"/>
      <c r="YR1347" s="188"/>
      <c r="YS1347" s="188"/>
      <c r="YT1347" s="188"/>
      <c r="YU1347" s="188"/>
      <c r="YV1347" s="188"/>
      <c r="YW1347" s="188"/>
      <c r="YX1347" s="188"/>
      <c r="YY1347" s="188"/>
      <c r="YZ1347" s="188"/>
      <c r="ZA1347" s="188"/>
      <c r="ZB1347" s="188"/>
      <c r="ZC1347" s="188"/>
      <c r="ZD1347" s="188"/>
      <c r="ZE1347" s="188"/>
      <c r="ZF1347" s="188"/>
      <c r="ZG1347" s="188"/>
    </row>
    <row r="1348" spans="1:683" s="156" customFormat="1" ht="24" x14ac:dyDescent="0.25">
      <c r="A1348" s="114" t="s">
        <v>711</v>
      </c>
      <c r="B1348" s="333"/>
      <c r="C1348" s="150" t="s">
        <v>593</v>
      </c>
      <c r="D1348" s="1279"/>
      <c r="E1348" s="1280"/>
      <c r="F1348" s="151"/>
      <c r="G1348" s="151"/>
      <c r="H1348" s="151"/>
      <c r="I1348" s="189"/>
      <c r="J1348" s="189"/>
      <c r="K1348" s="189"/>
      <c r="L1348" s="185" t="s">
        <v>699</v>
      </c>
      <c r="M1348" s="185" t="s">
        <v>699</v>
      </c>
      <c r="N1348" s="185" t="s">
        <v>699</v>
      </c>
      <c r="O1348" s="151">
        <f>O1318+O1328+O1338</f>
        <v>70051276</v>
      </c>
      <c r="P1348" s="151">
        <f t="shared" ref="P1348:T1348" si="2839">P1318+P1328+P1338</f>
        <v>71663604</v>
      </c>
      <c r="Q1348" s="151">
        <f t="shared" si="2839"/>
        <v>72826038</v>
      </c>
      <c r="R1348" s="151">
        <f t="shared" si="2839"/>
        <v>4072466.31</v>
      </c>
      <c r="S1348" s="151">
        <f t="shared" si="2839"/>
        <v>4153392.87</v>
      </c>
      <c r="T1348" s="151">
        <f t="shared" si="2839"/>
        <v>4212248.55</v>
      </c>
      <c r="U1348" s="185" t="s">
        <v>699</v>
      </c>
      <c r="V1348" s="185" t="s">
        <v>699</v>
      </c>
      <c r="W1348" s="185" t="s">
        <v>699</v>
      </c>
      <c r="X1348" s="185" t="s">
        <v>699</v>
      </c>
      <c r="Y1348" s="185" t="s">
        <v>699</v>
      </c>
      <c r="Z1348" s="185" t="s">
        <v>699</v>
      </c>
      <c r="AA1348" s="185" t="s">
        <v>699</v>
      </c>
      <c r="AB1348" s="185" t="s">
        <v>699</v>
      </c>
      <c r="AC1348" s="185" t="s">
        <v>699</v>
      </c>
      <c r="AD1348" s="185" t="s">
        <v>699</v>
      </c>
      <c r="AE1348" s="185" t="s">
        <v>699</v>
      </c>
      <c r="AF1348" s="185" t="s">
        <v>699</v>
      </c>
      <c r="AG1348" s="185" t="s">
        <v>699</v>
      </c>
      <c r="AH1348" s="185" t="s">
        <v>699</v>
      </c>
      <c r="AI1348" s="185" t="s">
        <v>699</v>
      </c>
      <c r="AJ1348" s="151">
        <f t="shared" ref="AJ1348:AO1348" si="2840">AJ1318+AJ1328+AJ1338</f>
        <v>124861128</v>
      </c>
      <c r="AK1348" s="151">
        <f t="shared" si="2840"/>
        <v>127756026</v>
      </c>
      <c r="AL1348" s="151">
        <f t="shared" si="2840"/>
        <v>129848524</v>
      </c>
      <c r="AM1348" s="151">
        <f t="shared" si="2840"/>
        <v>7275360.0099999998</v>
      </c>
      <c r="AN1348" s="151">
        <f t="shared" si="2840"/>
        <v>7417321.6100000003</v>
      </c>
      <c r="AO1348" s="151">
        <f t="shared" si="2840"/>
        <v>7520566.4100000001</v>
      </c>
      <c r="AP1348" s="185" t="s">
        <v>699</v>
      </c>
      <c r="AQ1348" s="185" t="s">
        <v>699</v>
      </c>
      <c r="AR1348" s="185" t="s">
        <v>699</v>
      </c>
      <c r="AS1348" s="185" t="s">
        <v>699</v>
      </c>
      <c r="AT1348" s="185" t="s">
        <v>699</v>
      </c>
      <c r="AU1348" s="185" t="s">
        <v>699</v>
      </c>
      <c r="AV1348" s="185" t="s">
        <v>699</v>
      </c>
      <c r="AW1348" s="185" t="s">
        <v>699</v>
      </c>
      <c r="AX1348" s="185" t="s">
        <v>699</v>
      </c>
      <c r="AY1348" s="185" t="s">
        <v>699</v>
      </c>
      <c r="AZ1348" s="185" t="s">
        <v>699</v>
      </c>
      <c r="BA1348" s="185" t="s">
        <v>699</v>
      </c>
      <c r="BB1348" s="185" t="s">
        <v>699</v>
      </c>
      <c r="BC1348" s="185" t="s">
        <v>699</v>
      </c>
      <c r="BD1348" s="185" t="s">
        <v>699</v>
      </c>
      <c r="BE1348" s="151">
        <f t="shared" ref="BE1348:BJ1348" si="2841">BE1318+BE1328+BE1338</f>
        <v>106746872</v>
      </c>
      <c r="BF1348" s="151">
        <f t="shared" si="2841"/>
        <v>109438604</v>
      </c>
      <c r="BG1348" s="151">
        <f t="shared" si="2841"/>
        <v>111351968</v>
      </c>
      <c r="BH1348" s="151">
        <f t="shared" si="2841"/>
        <v>5741147.1699999999</v>
      </c>
      <c r="BI1348" s="151">
        <f t="shared" si="2841"/>
        <v>5853283.8099999996</v>
      </c>
      <c r="BJ1348" s="151">
        <f t="shared" si="2841"/>
        <v>5934837.7300000004</v>
      </c>
      <c r="BK1348" s="185" t="s">
        <v>699</v>
      </c>
      <c r="BL1348" s="185" t="s">
        <v>699</v>
      </c>
      <c r="BM1348" s="185" t="s">
        <v>699</v>
      </c>
      <c r="BN1348" s="185" t="s">
        <v>699</v>
      </c>
      <c r="BO1348" s="185" t="s">
        <v>699</v>
      </c>
      <c r="BP1348" s="185" t="s">
        <v>699</v>
      </c>
      <c r="BQ1348" s="185" t="s">
        <v>699</v>
      </c>
      <c r="BR1348" s="185" t="s">
        <v>699</v>
      </c>
      <c r="BS1348" s="185" t="s">
        <v>699</v>
      </c>
      <c r="BT1348" s="185" t="s">
        <v>699</v>
      </c>
      <c r="BU1348" s="185" t="s">
        <v>699</v>
      </c>
      <c r="BV1348" s="185" t="s">
        <v>699</v>
      </c>
      <c r="BW1348" s="185" t="s">
        <v>699</v>
      </c>
      <c r="BX1348" s="185" t="s">
        <v>699</v>
      </c>
      <c r="BY1348" s="185" t="s">
        <v>699</v>
      </c>
      <c r="BZ1348" s="151">
        <f t="shared" ref="BZ1348:CE1348" si="2842">BZ1318+BZ1328+BZ1338</f>
        <v>77921251</v>
      </c>
      <c r="CA1348" s="151">
        <f t="shared" si="2842"/>
        <v>79668514</v>
      </c>
      <c r="CB1348" s="151">
        <f t="shared" si="2842"/>
        <v>80968072</v>
      </c>
      <c r="CC1348" s="151">
        <f t="shared" si="2842"/>
        <v>4569775.57</v>
      </c>
      <c r="CD1348" s="151">
        <f t="shared" si="2842"/>
        <v>4661921.6900000004</v>
      </c>
      <c r="CE1348" s="151">
        <f t="shared" si="2842"/>
        <v>4728937.05</v>
      </c>
      <c r="CF1348" s="185" t="s">
        <v>699</v>
      </c>
      <c r="CG1348" s="185" t="s">
        <v>699</v>
      </c>
      <c r="CH1348" s="185" t="s">
        <v>699</v>
      </c>
      <c r="CI1348" s="185" t="s">
        <v>699</v>
      </c>
      <c r="CJ1348" s="185" t="s">
        <v>699</v>
      </c>
      <c r="CK1348" s="185" t="s">
        <v>699</v>
      </c>
      <c r="CL1348" s="185" t="s">
        <v>699</v>
      </c>
      <c r="CM1348" s="185" t="s">
        <v>699</v>
      </c>
      <c r="CN1348" s="185" t="s">
        <v>699</v>
      </c>
      <c r="CO1348" s="185" t="s">
        <v>699</v>
      </c>
      <c r="CP1348" s="185" t="s">
        <v>699</v>
      </c>
      <c r="CQ1348" s="185" t="s">
        <v>699</v>
      </c>
      <c r="CR1348" s="185" t="s">
        <v>699</v>
      </c>
      <c r="CS1348" s="185" t="s">
        <v>699</v>
      </c>
      <c r="CT1348" s="185" t="s">
        <v>699</v>
      </c>
      <c r="CU1348" s="151">
        <f t="shared" ref="CU1348:CZ1348" si="2843">CU1318+CU1328+CU1338</f>
        <v>111320277</v>
      </c>
      <c r="CV1348" s="151">
        <f t="shared" si="2843"/>
        <v>113913929</v>
      </c>
      <c r="CW1348" s="151">
        <f t="shared" si="2843"/>
        <v>115778789</v>
      </c>
      <c r="CX1348" s="151">
        <f t="shared" si="2843"/>
        <v>6424513.4800000004</v>
      </c>
      <c r="CY1348" s="151">
        <f t="shared" si="2843"/>
        <v>6551996</v>
      </c>
      <c r="CZ1348" s="151">
        <f t="shared" si="2843"/>
        <v>6644710.5599999996</v>
      </c>
      <c r="DA1348" s="185" t="s">
        <v>699</v>
      </c>
      <c r="DB1348" s="185" t="s">
        <v>699</v>
      </c>
      <c r="DC1348" s="185" t="s">
        <v>699</v>
      </c>
      <c r="DD1348" s="185" t="s">
        <v>699</v>
      </c>
      <c r="DE1348" s="185" t="s">
        <v>699</v>
      </c>
      <c r="DF1348" s="185" t="s">
        <v>699</v>
      </c>
      <c r="DG1348" s="185" t="s">
        <v>699</v>
      </c>
      <c r="DH1348" s="185" t="s">
        <v>699</v>
      </c>
      <c r="DI1348" s="185" t="s">
        <v>699</v>
      </c>
      <c r="DJ1348" s="185" t="s">
        <v>699</v>
      </c>
      <c r="DK1348" s="185" t="s">
        <v>699</v>
      </c>
      <c r="DL1348" s="185" t="s">
        <v>699</v>
      </c>
      <c r="DM1348" s="185" t="s">
        <v>699</v>
      </c>
      <c r="DN1348" s="185" t="s">
        <v>699</v>
      </c>
      <c r="DO1348" s="185" t="s">
        <v>699</v>
      </c>
      <c r="DP1348" s="151">
        <f t="shared" ref="DP1348:DU1348" si="2844">DP1318+DP1328+DP1338</f>
        <v>81204198</v>
      </c>
      <c r="DQ1348" s="151">
        <f t="shared" si="2844"/>
        <v>82967258</v>
      </c>
      <c r="DR1348" s="151">
        <f t="shared" si="2844"/>
        <v>84285074</v>
      </c>
      <c r="DS1348" s="151">
        <f t="shared" si="2844"/>
        <v>4949101.25</v>
      </c>
      <c r="DT1348" s="151">
        <f t="shared" si="2844"/>
        <v>5045869.57</v>
      </c>
      <c r="DU1348" s="151">
        <f t="shared" si="2844"/>
        <v>5116246.53</v>
      </c>
      <c r="DV1348" s="185" t="s">
        <v>699</v>
      </c>
      <c r="DW1348" s="185" t="s">
        <v>699</v>
      </c>
      <c r="DX1348" s="185" t="s">
        <v>699</v>
      </c>
      <c r="DY1348" s="185" t="s">
        <v>699</v>
      </c>
      <c r="DZ1348" s="185" t="s">
        <v>699</v>
      </c>
      <c r="EA1348" s="185" t="s">
        <v>699</v>
      </c>
      <c r="EB1348" s="185" t="s">
        <v>699</v>
      </c>
      <c r="EC1348" s="185" t="s">
        <v>699</v>
      </c>
      <c r="ED1348" s="185" t="s">
        <v>699</v>
      </c>
      <c r="EE1348" s="185" t="s">
        <v>699</v>
      </c>
      <c r="EF1348" s="185" t="s">
        <v>699</v>
      </c>
      <c r="EG1348" s="185" t="s">
        <v>699</v>
      </c>
      <c r="EH1348" s="185" t="s">
        <v>699</v>
      </c>
      <c r="EI1348" s="185" t="s">
        <v>699</v>
      </c>
      <c r="EJ1348" s="185" t="s">
        <v>699</v>
      </c>
      <c r="EK1348" s="151">
        <f t="shared" ref="EK1348:EP1348" si="2845">EK1318+EK1328+EK1338</f>
        <v>73826788</v>
      </c>
      <c r="EL1348" s="151">
        <f t="shared" si="2845"/>
        <v>75663126</v>
      </c>
      <c r="EM1348" s="151">
        <f t="shared" si="2845"/>
        <v>76937738</v>
      </c>
      <c r="EN1348" s="151">
        <f t="shared" si="2845"/>
        <v>4083505.59</v>
      </c>
      <c r="EO1348" s="151">
        <f t="shared" si="2845"/>
        <v>4162951.99</v>
      </c>
      <c r="EP1348" s="151">
        <f t="shared" si="2845"/>
        <v>4220731.1900000004</v>
      </c>
      <c r="EQ1348" s="185" t="s">
        <v>699</v>
      </c>
      <c r="ER1348" s="185" t="s">
        <v>699</v>
      </c>
      <c r="ES1348" s="185" t="s">
        <v>699</v>
      </c>
      <c r="ET1348" s="185" t="s">
        <v>699</v>
      </c>
      <c r="EU1348" s="185" t="s">
        <v>699</v>
      </c>
      <c r="EV1348" s="185" t="s">
        <v>699</v>
      </c>
      <c r="EW1348" s="185" t="s">
        <v>699</v>
      </c>
      <c r="EX1348" s="185" t="s">
        <v>699</v>
      </c>
      <c r="EY1348" s="185" t="s">
        <v>699</v>
      </c>
      <c r="EZ1348" s="185" t="s">
        <v>699</v>
      </c>
      <c r="FA1348" s="185" t="s">
        <v>699</v>
      </c>
      <c r="FB1348" s="185" t="s">
        <v>699</v>
      </c>
      <c r="FC1348" s="185" t="s">
        <v>699</v>
      </c>
      <c r="FD1348" s="185" t="s">
        <v>699</v>
      </c>
      <c r="FE1348" s="185" t="s">
        <v>699</v>
      </c>
      <c r="FF1348" s="151">
        <f t="shared" ref="FF1348:FK1348" si="2846">FF1318+FF1328+FF1338</f>
        <v>89013352</v>
      </c>
      <c r="FG1348" s="151">
        <f t="shared" si="2846"/>
        <v>91042741</v>
      </c>
      <c r="FH1348" s="151">
        <f t="shared" si="2846"/>
        <v>92522630</v>
      </c>
      <c r="FI1348" s="151">
        <f t="shared" si="2846"/>
        <v>5238629.3499999996</v>
      </c>
      <c r="FJ1348" s="151">
        <f t="shared" si="2846"/>
        <v>5340997.99</v>
      </c>
      <c r="FK1348" s="151">
        <f t="shared" si="2846"/>
        <v>5415447.9100000001</v>
      </c>
      <c r="FL1348" s="185" t="s">
        <v>699</v>
      </c>
      <c r="FM1348" s="185" t="s">
        <v>699</v>
      </c>
      <c r="FN1348" s="185" t="s">
        <v>699</v>
      </c>
      <c r="FO1348" s="185" t="s">
        <v>699</v>
      </c>
      <c r="FP1348" s="185" t="s">
        <v>699</v>
      </c>
      <c r="FQ1348" s="185" t="s">
        <v>699</v>
      </c>
      <c r="FR1348" s="185" t="s">
        <v>699</v>
      </c>
      <c r="FS1348" s="185" t="s">
        <v>699</v>
      </c>
      <c r="FT1348" s="185" t="s">
        <v>699</v>
      </c>
      <c r="FU1348" s="185" t="s">
        <v>699</v>
      </c>
      <c r="FV1348" s="185" t="s">
        <v>699</v>
      </c>
      <c r="FW1348" s="185" t="s">
        <v>699</v>
      </c>
      <c r="FX1348" s="185" t="s">
        <v>699</v>
      </c>
      <c r="FY1348" s="185" t="s">
        <v>699</v>
      </c>
      <c r="FZ1348" s="185" t="s">
        <v>699</v>
      </c>
      <c r="GA1348" s="151">
        <f t="shared" ref="GA1348:GF1348" si="2847">GA1318+GA1328+GA1338</f>
        <v>108162093</v>
      </c>
      <c r="GB1348" s="151">
        <f t="shared" si="2847"/>
        <v>110749117</v>
      </c>
      <c r="GC1348" s="151">
        <f t="shared" si="2847"/>
        <v>112604653</v>
      </c>
      <c r="GD1348" s="151">
        <f t="shared" si="2847"/>
        <v>6133818.79</v>
      </c>
      <c r="GE1348" s="151">
        <f t="shared" si="2847"/>
        <v>6253509.3499999996</v>
      </c>
      <c r="GF1348" s="151">
        <f t="shared" si="2847"/>
        <v>6340557.0300000003</v>
      </c>
      <c r="GG1348" s="185" t="s">
        <v>699</v>
      </c>
      <c r="GH1348" s="185" t="s">
        <v>699</v>
      </c>
      <c r="GI1348" s="185" t="s">
        <v>699</v>
      </c>
      <c r="GJ1348" s="185" t="s">
        <v>699</v>
      </c>
      <c r="GK1348" s="185" t="s">
        <v>699</v>
      </c>
      <c r="GL1348" s="185" t="s">
        <v>699</v>
      </c>
      <c r="GM1348" s="185" t="s">
        <v>699</v>
      </c>
      <c r="GN1348" s="185" t="s">
        <v>699</v>
      </c>
      <c r="GO1348" s="185" t="s">
        <v>699</v>
      </c>
      <c r="GP1348" s="185" t="s">
        <v>699</v>
      </c>
      <c r="GQ1348" s="185" t="s">
        <v>699</v>
      </c>
      <c r="GR1348" s="185" t="s">
        <v>699</v>
      </c>
      <c r="GS1348" s="185" t="s">
        <v>699</v>
      </c>
      <c r="GT1348" s="185" t="s">
        <v>699</v>
      </c>
      <c r="GU1348" s="185" t="s">
        <v>699</v>
      </c>
      <c r="GV1348" s="151">
        <f t="shared" ref="GV1348:HA1348" si="2848">GV1318+GV1328+GV1338</f>
        <v>90803459</v>
      </c>
      <c r="GW1348" s="151">
        <f t="shared" si="2848"/>
        <v>93012409</v>
      </c>
      <c r="GX1348" s="151">
        <f t="shared" si="2848"/>
        <v>94573394</v>
      </c>
      <c r="GY1348" s="151">
        <f t="shared" si="2848"/>
        <v>5063436.84</v>
      </c>
      <c r="GZ1348" s="151">
        <f t="shared" si="2848"/>
        <v>5164626.72</v>
      </c>
      <c r="HA1348" s="151">
        <f t="shared" si="2848"/>
        <v>5238219.3600000003</v>
      </c>
      <c r="HB1348" s="185" t="s">
        <v>699</v>
      </c>
      <c r="HC1348" s="185" t="s">
        <v>699</v>
      </c>
      <c r="HD1348" s="185" t="s">
        <v>699</v>
      </c>
      <c r="HE1348" s="185" t="s">
        <v>699</v>
      </c>
      <c r="HF1348" s="185" t="s">
        <v>699</v>
      </c>
      <c r="HG1348" s="185" t="s">
        <v>699</v>
      </c>
      <c r="HH1348" s="185" t="s">
        <v>699</v>
      </c>
      <c r="HI1348" s="185" t="s">
        <v>699</v>
      </c>
      <c r="HJ1348" s="185" t="s">
        <v>699</v>
      </c>
      <c r="HK1348" s="185" t="s">
        <v>699</v>
      </c>
      <c r="HL1348" s="185" t="s">
        <v>699</v>
      </c>
      <c r="HM1348" s="185" t="s">
        <v>699</v>
      </c>
      <c r="HN1348" s="185" t="s">
        <v>699</v>
      </c>
      <c r="HO1348" s="185" t="s">
        <v>699</v>
      </c>
      <c r="HP1348" s="185" t="s">
        <v>699</v>
      </c>
      <c r="HQ1348" s="151">
        <f t="shared" ref="HQ1348:HV1348" si="2849">HQ1318+HQ1328+HQ1338</f>
        <v>93475922</v>
      </c>
      <c r="HR1348" s="151">
        <f t="shared" si="2849"/>
        <v>95609357</v>
      </c>
      <c r="HS1348" s="151">
        <f t="shared" si="2849"/>
        <v>97195668</v>
      </c>
      <c r="HT1348" s="151">
        <f t="shared" si="2849"/>
        <v>5484906.46</v>
      </c>
      <c r="HU1348" s="151">
        <f t="shared" si="2849"/>
        <v>5592093.9800000004</v>
      </c>
      <c r="HV1348" s="151">
        <f t="shared" si="2849"/>
        <v>5670048.54</v>
      </c>
      <c r="HW1348" s="185" t="s">
        <v>699</v>
      </c>
      <c r="HX1348" s="185" t="s">
        <v>699</v>
      </c>
      <c r="HY1348" s="185" t="s">
        <v>699</v>
      </c>
      <c r="HZ1348" s="185" t="s">
        <v>699</v>
      </c>
      <c r="IA1348" s="185" t="s">
        <v>699</v>
      </c>
      <c r="IB1348" s="185" t="s">
        <v>699</v>
      </c>
      <c r="IC1348" s="185" t="s">
        <v>699</v>
      </c>
      <c r="ID1348" s="185" t="s">
        <v>699</v>
      </c>
      <c r="IE1348" s="185" t="s">
        <v>699</v>
      </c>
      <c r="IF1348" s="185" t="s">
        <v>699</v>
      </c>
      <c r="IG1348" s="185" t="s">
        <v>699</v>
      </c>
      <c r="IH1348" s="185" t="s">
        <v>699</v>
      </c>
      <c r="II1348" s="185" t="s">
        <v>699</v>
      </c>
      <c r="IJ1348" s="185" t="s">
        <v>699</v>
      </c>
      <c r="IK1348" s="185" t="s">
        <v>699</v>
      </c>
      <c r="IL1348" s="151">
        <f t="shared" ref="IL1348:IQ1348" si="2850">IL1318+IL1328+IL1338</f>
        <v>44882181</v>
      </c>
      <c r="IM1348" s="151">
        <f t="shared" si="2850"/>
        <v>46025593</v>
      </c>
      <c r="IN1348" s="151">
        <f t="shared" si="2850"/>
        <v>46806605</v>
      </c>
      <c r="IO1348" s="151">
        <f t="shared" si="2850"/>
        <v>2575376.2999999998</v>
      </c>
      <c r="IP1348" s="151">
        <f t="shared" si="2850"/>
        <v>2638944.86</v>
      </c>
      <c r="IQ1348" s="151">
        <f t="shared" si="2850"/>
        <v>2685176.54</v>
      </c>
      <c r="IR1348" s="185" t="s">
        <v>699</v>
      </c>
      <c r="IS1348" s="185" t="s">
        <v>699</v>
      </c>
      <c r="IT1348" s="185" t="s">
        <v>699</v>
      </c>
      <c r="IU1348" s="185" t="s">
        <v>699</v>
      </c>
      <c r="IV1348" s="185" t="s">
        <v>699</v>
      </c>
      <c r="IW1348" s="185" t="s">
        <v>699</v>
      </c>
      <c r="IX1348" s="185" t="s">
        <v>699</v>
      </c>
      <c r="IY1348" s="185" t="s">
        <v>699</v>
      </c>
      <c r="IZ1348" s="185" t="s">
        <v>699</v>
      </c>
      <c r="JA1348" s="185" t="s">
        <v>699</v>
      </c>
      <c r="JB1348" s="185" t="s">
        <v>699</v>
      </c>
      <c r="JC1348" s="185" t="s">
        <v>699</v>
      </c>
      <c r="JD1348" s="185" t="s">
        <v>699</v>
      </c>
      <c r="JE1348" s="185" t="s">
        <v>699</v>
      </c>
      <c r="JF1348" s="185" t="s">
        <v>699</v>
      </c>
      <c r="JG1348" s="151">
        <f t="shared" ref="JG1348:JL1348" si="2851">JG1318+JG1328+JG1338</f>
        <v>104921692</v>
      </c>
      <c r="JH1348" s="151">
        <f t="shared" si="2851"/>
        <v>107379998</v>
      </c>
      <c r="JI1348" s="151">
        <f t="shared" si="2851"/>
        <v>109143785</v>
      </c>
      <c r="JJ1348" s="151">
        <f t="shared" si="2851"/>
        <v>5998166.8799999999</v>
      </c>
      <c r="JK1348" s="151">
        <f t="shared" si="2851"/>
        <v>6118460.6799999997</v>
      </c>
      <c r="JL1348" s="151">
        <f t="shared" si="2851"/>
        <v>6205947.0800000001</v>
      </c>
      <c r="JM1348" s="185" t="s">
        <v>699</v>
      </c>
      <c r="JN1348" s="185" t="s">
        <v>699</v>
      </c>
      <c r="JO1348" s="185" t="s">
        <v>699</v>
      </c>
      <c r="JP1348" s="185" t="s">
        <v>699</v>
      </c>
      <c r="JQ1348" s="185" t="s">
        <v>699</v>
      </c>
      <c r="JR1348" s="185" t="s">
        <v>699</v>
      </c>
      <c r="JS1348" s="185" t="s">
        <v>699</v>
      </c>
      <c r="JT1348" s="185" t="s">
        <v>699</v>
      </c>
      <c r="JU1348" s="185" t="s">
        <v>699</v>
      </c>
      <c r="JV1348" s="185" t="s">
        <v>699</v>
      </c>
      <c r="JW1348" s="185" t="s">
        <v>699</v>
      </c>
      <c r="JX1348" s="185" t="s">
        <v>699</v>
      </c>
      <c r="JY1348" s="185" t="s">
        <v>699</v>
      </c>
      <c r="JZ1348" s="185" t="s">
        <v>699</v>
      </c>
      <c r="KA1348" s="185" t="s">
        <v>699</v>
      </c>
      <c r="KB1348" s="151">
        <f t="shared" ref="KB1348:KG1348" si="2852">KB1318+KB1328+KB1338</f>
        <v>114035413</v>
      </c>
      <c r="KC1348" s="151">
        <f t="shared" si="2852"/>
        <v>116806426</v>
      </c>
      <c r="KD1348" s="151">
        <f t="shared" si="2852"/>
        <v>118751885</v>
      </c>
      <c r="KE1348" s="151">
        <f t="shared" si="2852"/>
        <v>6364097.79</v>
      </c>
      <c r="KF1348" s="151">
        <f t="shared" si="2852"/>
        <v>6490786.1100000003</v>
      </c>
      <c r="KG1348" s="151">
        <f t="shared" si="2852"/>
        <v>6582923.0700000003</v>
      </c>
      <c r="KH1348" s="185" t="s">
        <v>699</v>
      </c>
      <c r="KI1348" s="185" t="s">
        <v>699</v>
      </c>
      <c r="KJ1348" s="185" t="s">
        <v>699</v>
      </c>
      <c r="KK1348" s="185" t="s">
        <v>699</v>
      </c>
      <c r="KL1348" s="185" t="s">
        <v>699</v>
      </c>
      <c r="KM1348" s="185" t="s">
        <v>699</v>
      </c>
      <c r="KN1348" s="185" t="s">
        <v>699</v>
      </c>
      <c r="KO1348" s="185" t="s">
        <v>699</v>
      </c>
      <c r="KP1348" s="185" t="s">
        <v>699</v>
      </c>
      <c r="KQ1348" s="185" t="s">
        <v>699</v>
      </c>
      <c r="KR1348" s="185" t="s">
        <v>699</v>
      </c>
      <c r="KS1348" s="185" t="s">
        <v>699</v>
      </c>
      <c r="KT1348" s="185" t="s">
        <v>699</v>
      </c>
      <c r="KU1348" s="185" t="s">
        <v>699</v>
      </c>
      <c r="KV1348" s="185" t="s">
        <v>699</v>
      </c>
      <c r="KW1348" s="151">
        <f t="shared" ref="KW1348:LB1348" si="2853">KW1318+KW1328+KW1338</f>
        <v>108444192</v>
      </c>
      <c r="KX1348" s="151">
        <f t="shared" si="2853"/>
        <v>110931249</v>
      </c>
      <c r="KY1348" s="151">
        <f t="shared" si="2853"/>
        <v>112746534</v>
      </c>
      <c r="KZ1348" s="151">
        <f t="shared" si="2853"/>
        <v>6329624.1399999997</v>
      </c>
      <c r="LA1348" s="151">
        <f t="shared" si="2853"/>
        <v>6454470.1799999997</v>
      </c>
      <c r="LB1348" s="151">
        <f t="shared" si="2853"/>
        <v>6545267.2999999998</v>
      </c>
      <c r="LC1348" s="185" t="s">
        <v>699</v>
      </c>
      <c r="LD1348" s="185" t="s">
        <v>699</v>
      </c>
      <c r="LE1348" s="185" t="s">
        <v>699</v>
      </c>
      <c r="LF1348" s="185" t="s">
        <v>699</v>
      </c>
      <c r="LG1348" s="185" t="s">
        <v>699</v>
      </c>
      <c r="LH1348" s="185" t="s">
        <v>699</v>
      </c>
      <c r="LI1348" s="185" t="s">
        <v>699</v>
      </c>
      <c r="LJ1348" s="185" t="s">
        <v>699</v>
      </c>
      <c r="LK1348" s="185" t="s">
        <v>699</v>
      </c>
      <c r="LL1348" s="185" t="s">
        <v>699</v>
      </c>
      <c r="LM1348" s="185" t="s">
        <v>699</v>
      </c>
      <c r="LN1348" s="185" t="s">
        <v>699</v>
      </c>
      <c r="LO1348" s="185" t="s">
        <v>699</v>
      </c>
      <c r="LP1348" s="185" t="s">
        <v>699</v>
      </c>
      <c r="LQ1348" s="185" t="s">
        <v>699</v>
      </c>
      <c r="LR1348" s="151">
        <f t="shared" ref="LR1348:LW1348" si="2854">LR1318+LR1328+LR1338</f>
        <v>131806051</v>
      </c>
      <c r="LS1348" s="151">
        <f t="shared" si="2854"/>
        <v>134822160</v>
      </c>
      <c r="LT1348" s="151">
        <f t="shared" si="2854"/>
        <v>137042185</v>
      </c>
      <c r="LU1348" s="151">
        <f t="shared" si="2854"/>
        <v>7648272.0800000001</v>
      </c>
      <c r="LV1348" s="151">
        <f t="shared" si="2854"/>
        <v>7801983.4400000004</v>
      </c>
      <c r="LW1348" s="151">
        <f t="shared" si="2854"/>
        <v>7913773.5199999996</v>
      </c>
      <c r="LX1348" s="185" t="s">
        <v>699</v>
      </c>
      <c r="LY1348" s="185" t="s">
        <v>699</v>
      </c>
      <c r="LZ1348" s="185" t="s">
        <v>699</v>
      </c>
      <c r="MA1348" s="185" t="s">
        <v>699</v>
      </c>
      <c r="MB1348" s="185" t="s">
        <v>699</v>
      </c>
      <c r="MC1348" s="185" t="s">
        <v>699</v>
      </c>
      <c r="MD1348" s="185" t="s">
        <v>699</v>
      </c>
      <c r="ME1348" s="185" t="s">
        <v>699</v>
      </c>
      <c r="MF1348" s="185" t="s">
        <v>699</v>
      </c>
      <c r="MG1348" s="185" t="s">
        <v>699</v>
      </c>
      <c r="MH1348" s="185" t="s">
        <v>699</v>
      </c>
      <c r="MI1348" s="185" t="s">
        <v>699</v>
      </c>
      <c r="MJ1348" s="185" t="s">
        <v>699</v>
      </c>
      <c r="MK1348" s="185" t="s">
        <v>699</v>
      </c>
      <c r="ML1348" s="185" t="s">
        <v>699</v>
      </c>
      <c r="MM1348" s="151">
        <f t="shared" ref="MM1348:MR1348" si="2855">MM1318+MM1328+MM1338</f>
        <v>116273153</v>
      </c>
      <c r="MN1348" s="151">
        <f t="shared" si="2855"/>
        <v>118948547</v>
      </c>
      <c r="MO1348" s="151">
        <f t="shared" si="2855"/>
        <v>120896394</v>
      </c>
      <c r="MP1348" s="151">
        <f t="shared" si="2855"/>
        <v>6792881.2300000004</v>
      </c>
      <c r="MQ1348" s="151">
        <f t="shared" si="2855"/>
        <v>6925595.79</v>
      </c>
      <c r="MR1348" s="151">
        <f t="shared" si="2855"/>
        <v>7022115.4699999997</v>
      </c>
      <c r="MS1348" s="185" t="s">
        <v>699</v>
      </c>
      <c r="MT1348" s="185" t="s">
        <v>699</v>
      </c>
      <c r="MU1348" s="185" t="s">
        <v>699</v>
      </c>
      <c r="MV1348" s="185" t="s">
        <v>699</v>
      </c>
      <c r="MW1348" s="185" t="s">
        <v>699</v>
      </c>
      <c r="MX1348" s="185" t="s">
        <v>699</v>
      </c>
      <c r="MY1348" s="185" t="s">
        <v>699</v>
      </c>
      <c r="MZ1348" s="185" t="s">
        <v>699</v>
      </c>
      <c r="NA1348" s="185" t="s">
        <v>699</v>
      </c>
      <c r="NB1348" s="185" t="s">
        <v>699</v>
      </c>
      <c r="NC1348" s="185" t="s">
        <v>699</v>
      </c>
      <c r="ND1348" s="185" t="s">
        <v>699</v>
      </c>
      <c r="NE1348" s="185" t="s">
        <v>699</v>
      </c>
      <c r="NF1348" s="185" t="s">
        <v>699</v>
      </c>
      <c r="NG1348" s="185" t="s">
        <v>699</v>
      </c>
      <c r="NH1348" s="151">
        <f t="shared" ref="NH1348:NM1348" si="2856">NH1318+NH1328+NH1338</f>
        <v>96893908</v>
      </c>
      <c r="NI1348" s="151">
        <f t="shared" si="2856"/>
        <v>99251023</v>
      </c>
      <c r="NJ1348" s="151">
        <f t="shared" si="2856"/>
        <v>100933187</v>
      </c>
      <c r="NK1348" s="151">
        <f t="shared" si="2856"/>
        <v>5408202.2999999998</v>
      </c>
      <c r="NL1348" s="151">
        <f t="shared" si="2856"/>
        <v>5515221.2999999998</v>
      </c>
      <c r="NM1348" s="151">
        <f t="shared" si="2856"/>
        <v>5593053.2999999998</v>
      </c>
      <c r="NN1348" s="185" t="s">
        <v>699</v>
      </c>
      <c r="NO1348" s="185" t="s">
        <v>699</v>
      </c>
      <c r="NP1348" s="185" t="s">
        <v>699</v>
      </c>
      <c r="NQ1348" s="185" t="s">
        <v>699</v>
      </c>
      <c r="NR1348" s="185" t="s">
        <v>699</v>
      </c>
      <c r="NS1348" s="185" t="s">
        <v>699</v>
      </c>
      <c r="NT1348" s="185" t="s">
        <v>699</v>
      </c>
      <c r="NU1348" s="185" t="s">
        <v>699</v>
      </c>
      <c r="NV1348" s="185" t="s">
        <v>699</v>
      </c>
      <c r="NW1348" s="185" t="s">
        <v>699</v>
      </c>
      <c r="NX1348" s="185" t="s">
        <v>699</v>
      </c>
      <c r="NY1348" s="185" t="s">
        <v>699</v>
      </c>
      <c r="NZ1348" s="185" t="s">
        <v>699</v>
      </c>
      <c r="OA1348" s="185" t="s">
        <v>699</v>
      </c>
      <c r="OB1348" s="185" t="s">
        <v>699</v>
      </c>
      <c r="OC1348" s="151">
        <f t="shared" ref="OC1348:OH1348" si="2857">OC1318+OC1328+OC1338</f>
        <v>70952285</v>
      </c>
      <c r="OD1348" s="151">
        <f t="shared" si="2857"/>
        <v>72792192</v>
      </c>
      <c r="OE1348" s="151">
        <f t="shared" si="2857"/>
        <v>74048009</v>
      </c>
      <c r="OF1348" s="151">
        <f t="shared" si="2857"/>
        <v>3665704.23</v>
      </c>
      <c r="OG1348" s="151">
        <f t="shared" si="2857"/>
        <v>3742345.19</v>
      </c>
      <c r="OH1348" s="151">
        <f t="shared" si="2857"/>
        <v>3798084.07</v>
      </c>
      <c r="OI1348" s="185" t="s">
        <v>699</v>
      </c>
      <c r="OJ1348" s="185" t="s">
        <v>699</v>
      </c>
      <c r="OK1348" s="185" t="s">
        <v>699</v>
      </c>
      <c r="OL1348" s="185" t="s">
        <v>699</v>
      </c>
      <c r="OM1348" s="185" t="s">
        <v>699</v>
      </c>
      <c r="ON1348" s="185" t="s">
        <v>699</v>
      </c>
      <c r="OO1348" s="185" t="s">
        <v>699</v>
      </c>
      <c r="OP1348" s="185" t="s">
        <v>699</v>
      </c>
      <c r="OQ1348" s="185" t="s">
        <v>699</v>
      </c>
      <c r="OR1348" s="185" t="s">
        <v>699</v>
      </c>
      <c r="OS1348" s="185" t="s">
        <v>699</v>
      </c>
      <c r="OT1348" s="185" t="s">
        <v>699</v>
      </c>
      <c r="OU1348" s="185" t="s">
        <v>699</v>
      </c>
      <c r="OV1348" s="185" t="s">
        <v>699</v>
      </c>
      <c r="OW1348" s="185" t="s">
        <v>699</v>
      </c>
      <c r="OX1348" s="151">
        <f t="shared" ref="OX1348:PC1348" si="2858">OX1318+OX1328+OX1338</f>
        <v>100542416</v>
      </c>
      <c r="OY1348" s="151">
        <f t="shared" si="2858"/>
        <v>102899807</v>
      </c>
      <c r="OZ1348" s="151">
        <f t="shared" si="2858"/>
        <v>104599591</v>
      </c>
      <c r="PA1348" s="151">
        <f t="shared" si="2858"/>
        <v>5779762.3799999999</v>
      </c>
      <c r="PB1348" s="151">
        <f t="shared" si="2858"/>
        <v>5893391.9400000004</v>
      </c>
      <c r="PC1348" s="151">
        <f t="shared" si="2858"/>
        <v>5976031.6200000001</v>
      </c>
      <c r="PD1348" s="185" t="s">
        <v>699</v>
      </c>
      <c r="PE1348" s="185" t="s">
        <v>699</v>
      </c>
      <c r="PF1348" s="185" t="s">
        <v>699</v>
      </c>
      <c r="PG1348" s="185" t="s">
        <v>699</v>
      </c>
      <c r="PH1348" s="185" t="s">
        <v>699</v>
      </c>
      <c r="PI1348" s="185" t="s">
        <v>699</v>
      </c>
      <c r="PJ1348" s="185" t="s">
        <v>699</v>
      </c>
      <c r="PK1348" s="185" t="s">
        <v>699</v>
      </c>
      <c r="PL1348" s="185" t="s">
        <v>699</v>
      </c>
      <c r="PM1348" s="185" t="s">
        <v>699</v>
      </c>
      <c r="PN1348" s="185" t="s">
        <v>699</v>
      </c>
      <c r="PO1348" s="185" t="s">
        <v>699</v>
      </c>
      <c r="PP1348" s="185" t="s">
        <v>699</v>
      </c>
      <c r="PQ1348" s="185" t="s">
        <v>699</v>
      </c>
      <c r="PR1348" s="185" t="s">
        <v>699</v>
      </c>
      <c r="PS1348" s="151">
        <f t="shared" ref="PS1348:PX1348" si="2859">PS1318+PS1328+PS1338</f>
        <v>182441952</v>
      </c>
      <c r="PT1348" s="151">
        <f t="shared" si="2859"/>
        <v>186564080</v>
      </c>
      <c r="PU1348" s="151">
        <f t="shared" si="2859"/>
        <v>189632081</v>
      </c>
      <c r="PV1348" s="151">
        <f t="shared" si="2859"/>
        <v>10780142.66</v>
      </c>
      <c r="PW1348" s="151">
        <f t="shared" si="2859"/>
        <v>10990870.98</v>
      </c>
      <c r="PX1348" s="151">
        <f t="shared" si="2859"/>
        <v>11144127.939999999</v>
      </c>
      <c r="PY1348" s="185" t="s">
        <v>699</v>
      </c>
      <c r="PZ1348" s="185" t="s">
        <v>699</v>
      </c>
      <c r="QA1348" s="185" t="s">
        <v>699</v>
      </c>
      <c r="QB1348" s="185" t="s">
        <v>699</v>
      </c>
      <c r="QC1348" s="185" t="s">
        <v>699</v>
      </c>
      <c r="QD1348" s="185" t="s">
        <v>699</v>
      </c>
      <c r="QE1348" s="185" t="s">
        <v>699</v>
      </c>
      <c r="QF1348" s="185" t="s">
        <v>699</v>
      </c>
      <c r="QG1348" s="185" t="s">
        <v>699</v>
      </c>
      <c r="QH1348" s="185" t="s">
        <v>699</v>
      </c>
      <c r="QI1348" s="185" t="s">
        <v>699</v>
      </c>
      <c r="QJ1348" s="185" t="s">
        <v>699</v>
      </c>
      <c r="QK1348" s="185" t="s">
        <v>699</v>
      </c>
      <c r="QL1348" s="185" t="s">
        <v>699</v>
      </c>
      <c r="QM1348" s="185" t="s">
        <v>699</v>
      </c>
      <c r="QN1348" s="151">
        <f t="shared" ref="QN1348:QS1348" si="2860">QN1318+QN1328+QN1338</f>
        <v>136662127</v>
      </c>
      <c r="QO1348" s="151">
        <f t="shared" si="2860"/>
        <v>139801074</v>
      </c>
      <c r="QP1348" s="151">
        <f t="shared" si="2860"/>
        <v>142084382</v>
      </c>
      <c r="QQ1348" s="151">
        <f t="shared" si="2860"/>
        <v>7917986.46</v>
      </c>
      <c r="QR1348" s="151">
        <f t="shared" si="2860"/>
        <v>8077676.0999999996</v>
      </c>
      <c r="QS1348" s="151">
        <f t="shared" si="2860"/>
        <v>8193814.0199999996</v>
      </c>
      <c r="QT1348" s="185" t="s">
        <v>699</v>
      </c>
      <c r="QU1348" s="185" t="s">
        <v>699</v>
      </c>
      <c r="QV1348" s="185" t="s">
        <v>699</v>
      </c>
      <c r="QW1348" s="185" t="s">
        <v>699</v>
      </c>
      <c r="QX1348" s="185" t="s">
        <v>699</v>
      </c>
      <c r="QY1348" s="185" t="s">
        <v>699</v>
      </c>
      <c r="QZ1348" s="185" t="s">
        <v>699</v>
      </c>
      <c r="RA1348" s="185" t="s">
        <v>699</v>
      </c>
      <c r="RB1348" s="185" t="s">
        <v>699</v>
      </c>
      <c r="RC1348" s="185" t="s">
        <v>699</v>
      </c>
      <c r="RD1348" s="185" t="s">
        <v>699</v>
      </c>
      <c r="RE1348" s="185" t="s">
        <v>699</v>
      </c>
      <c r="RF1348" s="185" t="s">
        <v>699</v>
      </c>
      <c r="RG1348" s="185" t="s">
        <v>699</v>
      </c>
      <c r="RH1348" s="185" t="s">
        <v>699</v>
      </c>
      <c r="RI1348" s="151">
        <f t="shared" ref="RI1348:RN1348" si="2861">RI1318+RI1328+RI1338</f>
        <v>90177434</v>
      </c>
      <c r="RJ1348" s="151">
        <f t="shared" si="2861"/>
        <v>92287074</v>
      </c>
      <c r="RK1348" s="151">
        <f t="shared" si="2861"/>
        <v>93795264</v>
      </c>
      <c r="RL1348" s="151">
        <f t="shared" si="2861"/>
        <v>5228518.32</v>
      </c>
      <c r="RM1348" s="151">
        <f t="shared" si="2861"/>
        <v>5330496.24</v>
      </c>
      <c r="RN1348" s="151">
        <f t="shared" si="2861"/>
        <v>5404662</v>
      </c>
      <c r="RO1348" s="185" t="s">
        <v>699</v>
      </c>
      <c r="RP1348" s="185" t="s">
        <v>699</v>
      </c>
      <c r="RQ1348" s="185" t="s">
        <v>699</v>
      </c>
      <c r="RR1348" s="185" t="s">
        <v>699</v>
      </c>
      <c r="RS1348" s="185" t="s">
        <v>699</v>
      </c>
      <c r="RT1348" s="185" t="s">
        <v>699</v>
      </c>
      <c r="RU1348" s="185" t="s">
        <v>699</v>
      </c>
      <c r="RV1348" s="185" t="s">
        <v>699</v>
      </c>
      <c r="RW1348" s="185" t="s">
        <v>699</v>
      </c>
      <c r="RX1348" s="185" t="s">
        <v>699</v>
      </c>
      <c r="RY1348" s="185" t="s">
        <v>699</v>
      </c>
      <c r="RZ1348" s="185" t="s">
        <v>699</v>
      </c>
      <c r="SA1348" s="185" t="s">
        <v>699</v>
      </c>
      <c r="SB1348" s="185" t="s">
        <v>699</v>
      </c>
      <c r="SC1348" s="185" t="s">
        <v>699</v>
      </c>
      <c r="SD1348" s="151">
        <f t="shared" ref="SD1348:SI1348" si="2862">SD1318+SD1328+SD1338</f>
        <v>73714094</v>
      </c>
      <c r="SE1348" s="151">
        <f t="shared" si="2862"/>
        <v>75522303</v>
      </c>
      <c r="SF1348" s="151">
        <f t="shared" si="2862"/>
        <v>76788566</v>
      </c>
      <c r="SG1348" s="151">
        <f t="shared" si="2862"/>
        <v>3975405.34</v>
      </c>
      <c r="SH1348" s="151">
        <f t="shared" si="2862"/>
        <v>4059444.46</v>
      </c>
      <c r="SI1348" s="151">
        <f t="shared" si="2862"/>
        <v>4120563.82</v>
      </c>
      <c r="SJ1348" s="185" t="s">
        <v>699</v>
      </c>
      <c r="SK1348" s="185" t="s">
        <v>699</v>
      </c>
      <c r="SL1348" s="185" t="s">
        <v>699</v>
      </c>
      <c r="SM1348" s="185" t="s">
        <v>699</v>
      </c>
      <c r="SN1348" s="185" t="s">
        <v>699</v>
      </c>
      <c r="SO1348" s="185" t="s">
        <v>699</v>
      </c>
      <c r="SP1348" s="185" t="s">
        <v>699</v>
      </c>
      <c r="SQ1348" s="185" t="s">
        <v>699</v>
      </c>
      <c r="SR1348" s="185" t="s">
        <v>699</v>
      </c>
      <c r="SS1348" s="185" t="s">
        <v>699</v>
      </c>
      <c r="ST1348" s="185" t="s">
        <v>699</v>
      </c>
      <c r="SU1348" s="185" t="s">
        <v>699</v>
      </c>
      <c r="SV1348" s="185" t="s">
        <v>699</v>
      </c>
      <c r="SW1348" s="185" t="s">
        <v>699</v>
      </c>
      <c r="SX1348" s="185" t="s">
        <v>699</v>
      </c>
      <c r="SY1348" s="151">
        <f t="shared" ref="SY1348:TD1348" si="2863">SY1318+SY1328+SY1338</f>
        <v>144576435</v>
      </c>
      <c r="SZ1348" s="151">
        <f t="shared" si="2863"/>
        <v>147954202</v>
      </c>
      <c r="TA1348" s="151">
        <f t="shared" si="2863"/>
        <v>150398240</v>
      </c>
      <c r="TB1348" s="151">
        <f t="shared" si="2863"/>
        <v>8390212.7200000007</v>
      </c>
      <c r="TC1348" s="151">
        <f t="shared" si="2863"/>
        <v>8553794.1600000001</v>
      </c>
      <c r="TD1348" s="151">
        <f t="shared" si="2863"/>
        <v>8672762.4800000004</v>
      </c>
      <c r="TE1348" s="185" t="s">
        <v>699</v>
      </c>
      <c r="TF1348" s="185" t="s">
        <v>699</v>
      </c>
      <c r="TG1348" s="185" t="s">
        <v>699</v>
      </c>
      <c r="TH1348" s="185" t="s">
        <v>699</v>
      </c>
      <c r="TI1348" s="185" t="s">
        <v>699</v>
      </c>
      <c r="TJ1348" s="185" t="s">
        <v>699</v>
      </c>
      <c r="TK1348" s="185" t="s">
        <v>699</v>
      </c>
      <c r="TL1348" s="185" t="s">
        <v>699</v>
      </c>
      <c r="TM1348" s="185" t="s">
        <v>699</v>
      </c>
      <c r="TN1348" s="185" t="s">
        <v>699</v>
      </c>
      <c r="TO1348" s="185" t="s">
        <v>699</v>
      </c>
      <c r="TP1348" s="185" t="s">
        <v>699</v>
      </c>
      <c r="TQ1348" s="185" t="s">
        <v>699</v>
      </c>
      <c r="TR1348" s="185" t="s">
        <v>699</v>
      </c>
      <c r="TS1348" s="185" t="s">
        <v>699</v>
      </c>
      <c r="TT1348" s="151">
        <f t="shared" ref="TT1348:TY1348" si="2864">TT1318+TT1328+TT1338</f>
        <v>89924921</v>
      </c>
      <c r="TU1348" s="151">
        <f t="shared" si="2864"/>
        <v>92092553</v>
      </c>
      <c r="TV1348" s="151">
        <f t="shared" si="2864"/>
        <v>93608026</v>
      </c>
      <c r="TW1348" s="151">
        <f t="shared" si="2864"/>
        <v>5108608.47</v>
      </c>
      <c r="TX1348" s="151">
        <f t="shared" si="2864"/>
        <v>5208111.83</v>
      </c>
      <c r="TY1348" s="151">
        <f t="shared" si="2864"/>
        <v>5280477.91</v>
      </c>
      <c r="TZ1348" s="185" t="s">
        <v>699</v>
      </c>
      <c r="UA1348" s="185" t="s">
        <v>699</v>
      </c>
      <c r="UB1348" s="185" t="s">
        <v>699</v>
      </c>
      <c r="UC1348" s="185" t="s">
        <v>699</v>
      </c>
      <c r="UD1348" s="185" t="s">
        <v>699</v>
      </c>
      <c r="UE1348" s="185" t="s">
        <v>699</v>
      </c>
      <c r="UF1348" s="185" t="s">
        <v>699</v>
      </c>
      <c r="UG1348" s="185" t="s">
        <v>699</v>
      </c>
      <c r="UH1348" s="185" t="s">
        <v>699</v>
      </c>
      <c r="UI1348" s="185" t="s">
        <v>699</v>
      </c>
      <c r="UJ1348" s="185" t="s">
        <v>699</v>
      </c>
      <c r="UK1348" s="185" t="s">
        <v>699</v>
      </c>
      <c r="UL1348" s="185" t="s">
        <v>699</v>
      </c>
      <c r="UM1348" s="185" t="s">
        <v>699</v>
      </c>
      <c r="UN1348" s="185" t="s">
        <v>699</v>
      </c>
      <c r="UO1348" s="151">
        <f t="shared" ref="UO1348:UT1348" si="2865">UO1318+UO1328+UO1338</f>
        <v>149587135</v>
      </c>
      <c r="UP1348" s="151">
        <f t="shared" si="2865"/>
        <v>152934023</v>
      </c>
      <c r="UQ1348" s="151">
        <f t="shared" si="2865"/>
        <v>155412410</v>
      </c>
      <c r="UR1348" s="151">
        <f t="shared" si="2865"/>
        <v>8916333.3699999992</v>
      </c>
      <c r="US1348" s="151">
        <f t="shared" si="2865"/>
        <v>9090594.4900000002</v>
      </c>
      <c r="UT1348" s="151">
        <f t="shared" si="2865"/>
        <v>9217329.8499999996</v>
      </c>
      <c r="UU1348" s="185" t="s">
        <v>699</v>
      </c>
      <c r="UV1348" s="185" t="s">
        <v>699</v>
      </c>
      <c r="UW1348" s="185" t="s">
        <v>699</v>
      </c>
      <c r="UX1348" s="185" t="s">
        <v>699</v>
      </c>
      <c r="UY1348" s="185" t="s">
        <v>699</v>
      </c>
      <c r="UZ1348" s="185" t="s">
        <v>699</v>
      </c>
      <c r="VA1348" s="185" t="s">
        <v>699</v>
      </c>
      <c r="VB1348" s="185" t="s">
        <v>699</v>
      </c>
      <c r="VC1348" s="185" t="s">
        <v>699</v>
      </c>
      <c r="VD1348" s="185" t="s">
        <v>699</v>
      </c>
      <c r="VE1348" s="185" t="s">
        <v>699</v>
      </c>
      <c r="VF1348" s="185" t="s">
        <v>699</v>
      </c>
      <c r="VG1348" s="185" t="s">
        <v>699</v>
      </c>
      <c r="VH1348" s="185" t="s">
        <v>699</v>
      </c>
      <c r="VI1348" s="185" t="s">
        <v>699</v>
      </c>
      <c r="VJ1348" s="151">
        <f t="shared" ref="VJ1348:VO1348" si="2866">VJ1318+VJ1328+VJ1338</f>
        <v>148137646</v>
      </c>
      <c r="VK1348" s="151">
        <f t="shared" si="2866"/>
        <v>151577698</v>
      </c>
      <c r="VL1348" s="151">
        <f t="shared" si="2866"/>
        <v>154044227</v>
      </c>
      <c r="VM1348" s="151">
        <f t="shared" si="2866"/>
        <v>8541572.5999999996</v>
      </c>
      <c r="VN1348" s="151">
        <f t="shared" si="2866"/>
        <v>8713041.0399999991</v>
      </c>
      <c r="VO1348" s="151">
        <f t="shared" si="2866"/>
        <v>8837745.3599999994</v>
      </c>
      <c r="VP1348" s="185" t="s">
        <v>699</v>
      </c>
      <c r="VQ1348" s="185" t="s">
        <v>699</v>
      </c>
      <c r="VR1348" s="185" t="s">
        <v>699</v>
      </c>
      <c r="VS1348" s="185" t="s">
        <v>699</v>
      </c>
      <c r="VT1348" s="185" t="s">
        <v>699</v>
      </c>
      <c r="VU1348" s="185" t="s">
        <v>699</v>
      </c>
      <c r="VV1348" s="185" t="s">
        <v>699</v>
      </c>
      <c r="VW1348" s="185" t="s">
        <v>699</v>
      </c>
      <c r="VX1348" s="185" t="s">
        <v>699</v>
      </c>
      <c r="VY1348" s="185" t="s">
        <v>699</v>
      </c>
      <c r="VZ1348" s="185" t="s">
        <v>699</v>
      </c>
      <c r="WA1348" s="185" t="s">
        <v>699</v>
      </c>
      <c r="WB1348" s="185" t="s">
        <v>699</v>
      </c>
      <c r="WC1348" s="185" t="s">
        <v>699</v>
      </c>
      <c r="WD1348" s="185" t="s">
        <v>699</v>
      </c>
      <c r="WE1348" s="151">
        <f t="shared" ref="WE1348:WJ1348" si="2867">WE1318+WE1328+WE1338</f>
        <v>129147624</v>
      </c>
      <c r="WF1348" s="151">
        <f t="shared" si="2867"/>
        <v>131999525</v>
      </c>
      <c r="WG1348" s="151">
        <f t="shared" si="2867"/>
        <v>134144493</v>
      </c>
      <c r="WH1348" s="151">
        <f t="shared" si="2867"/>
        <v>7741558.4199999999</v>
      </c>
      <c r="WI1348" s="151">
        <f t="shared" si="2867"/>
        <v>7893027.54</v>
      </c>
      <c r="WJ1348" s="151">
        <f t="shared" si="2867"/>
        <v>8003186.9000000004</v>
      </c>
      <c r="WK1348" s="185" t="s">
        <v>699</v>
      </c>
      <c r="WL1348" s="185" t="s">
        <v>699</v>
      </c>
      <c r="WM1348" s="185" t="s">
        <v>699</v>
      </c>
      <c r="WN1348" s="185" t="s">
        <v>699</v>
      </c>
      <c r="WO1348" s="185" t="s">
        <v>699</v>
      </c>
      <c r="WP1348" s="185" t="s">
        <v>699</v>
      </c>
      <c r="WQ1348" s="185" t="s">
        <v>699</v>
      </c>
      <c r="WR1348" s="185" t="s">
        <v>699</v>
      </c>
      <c r="WS1348" s="185" t="s">
        <v>699</v>
      </c>
      <c r="WT1348" s="185" t="s">
        <v>699</v>
      </c>
      <c r="WU1348" s="185" t="s">
        <v>699</v>
      </c>
      <c r="WV1348" s="185" t="s">
        <v>699</v>
      </c>
      <c r="WW1348" s="185" t="s">
        <v>699</v>
      </c>
      <c r="WX1348" s="185" t="s">
        <v>699</v>
      </c>
      <c r="WY1348" s="185" t="s">
        <v>699</v>
      </c>
      <c r="WZ1348" s="151">
        <f t="shared" ref="WZ1348:XE1348" si="2868">WZ1318+WZ1328+WZ1338</f>
        <v>151797286</v>
      </c>
      <c r="XA1348" s="151">
        <f t="shared" si="2868"/>
        <v>155253431</v>
      </c>
      <c r="XB1348" s="151">
        <f t="shared" si="2868"/>
        <v>157808221</v>
      </c>
      <c r="XC1348" s="151">
        <f t="shared" si="2868"/>
        <v>8916321.2599999998</v>
      </c>
      <c r="XD1348" s="151">
        <f t="shared" si="2868"/>
        <v>9090582.3800000008</v>
      </c>
      <c r="XE1348" s="151">
        <f t="shared" si="2868"/>
        <v>9217317.7400000002</v>
      </c>
      <c r="XF1348" s="185" t="s">
        <v>699</v>
      </c>
      <c r="XG1348" s="185" t="s">
        <v>699</v>
      </c>
      <c r="XH1348" s="185" t="s">
        <v>699</v>
      </c>
      <c r="XI1348" s="185" t="s">
        <v>699</v>
      </c>
      <c r="XJ1348" s="185" t="s">
        <v>699</v>
      </c>
      <c r="XK1348" s="185" t="s">
        <v>699</v>
      </c>
      <c r="XL1348" s="185" t="s">
        <v>699</v>
      </c>
      <c r="XM1348" s="185" t="s">
        <v>699</v>
      </c>
      <c r="XN1348" s="185" t="s">
        <v>699</v>
      </c>
      <c r="XO1348" s="185" t="s">
        <v>699</v>
      </c>
      <c r="XP1348" s="185" t="s">
        <v>699</v>
      </c>
      <c r="XQ1348" s="185" t="s">
        <v>699</v>
      </c>
      <c r="XR1348" s="185" t="s">
        <v>699</v>
      </c>
      <c r="XS1348" s="185" t="s">
        <v>699</v>
      </c>
      <c r="XT1348" s="185" t="s">
        <v>699</v>
      </c>
      <c r="XU1348" s="151">
        <f t="shared" ref="XU1348:XZ1348" si="2869">XU1318+XU1328+XU1338</f>
        <v>123377586</v>
      </c>
      <c r="XV1348" s="151">
        <f t="shared" si="2869"/>
        <v>126082327</v>
      </c>
      <c r="XW1348" s="151">
        <f t="shared" si="2869"/>
        <v>128101172</v>
      </c>
      <c r="XX1348" s="151">
        <f t="shared" si="2869"/>
        <v>7471836.2000000002</v>
      </c>
      <c r="XY1348" s="151">
        <f t="shared" si="2869"/>
        <v>7617835.2400000002</v>
      </c>
      <c r="XZ1348" s="151">
        <f t="shared" si="2869"/>
        <v>7724016.3600000003</v>
      </c>
      <c r="YA1348" s="185" t="s">
        <v>699</v>
      </c>
      <c r="YB1348" s="185" t="s">
        <v>699</v>
      </c>
      <c r="YC1348" s="185" t="s">
        <v>699</v>
      </c>
      <c r="YD1348" s="185" t="s">
        <v>699</v>
      </c>
      <c r="YE1348" s="185" t="s">
        <v>699</v>
      </c>
      <c r="YF1348" s="185" t="s">
        <v>699</v>
      </c>
      <c r="YG1348" s="185" t="s">
        <v>699</v>
      </c>
      <c r="YH1348" s="185" t="s">
        <v>699</v>
      </c>
      <c r="YI1348" s="185" t="s">
        <v>699</v>
      </c>
      <c r="YJ1348" s="185" t="s">
        <v>699</v>
      </c>
      <c r="YK1348" s="185" t="s">
        <v>699</v>
      </c>
      <c r="YL1348" s="185" t="s">
        <v>699</v>
      </c>
      <c r="YM1348" s="185" t="s">
        <v>699</v>
      </c>
      <c r="YN1348" s="185" t="s">
        <v>699</v>
      </c>
      <c r="YO1348" s="185" t="s">
        <v>699</v>
      </c>
      <c r="YP1348" s="151">
        <f t="shared" ref="YP1348:YU1348" si="2870">YP1318+YP1328+YP1338</f>
        <v>3335682147</v>
      </c>
      <c r="YQ1348" s="151">
        <f t="shared" si="2870"/>
        <v>3413409970</v>
      </c>
      <c r="YR1348" s="151">
        <f t="shared" si="2870"/>
        <v>3469677805</v>
      </c>
      <c r="YS1348" s="151">
        <f t="shared" si="2870"/>
        <v>192587243.97</v>
      </c>
      <c r="YT1348" s="151">
        <f t="shared" si="2870"/>
        <v>196404639.53</v>
      </c>
      <c r="YU1348" s="151">
        <f t="shared" si="2870"/>
        <v>199180927.21000001</v>
      </c>
      <c r="YV1348" s="185" t="s">
        <v>699</v>
      </c>
      <c r="YW1348" s="185" t="s">
        <v>699</v>
      </c>
      <c r="YX1348" s="185" t="s">
        <v>699</v>
      </c>
      <c r="YY1348" s="185" t="s">
        <v>699</v>
      </c>
      <c r="YZ1348" s="185" t="s">
        <v>699</v>
      </c>
      <c r="ZA1348" s="185" t="s">
        <v>699</v>
      </c>
      <c r="ZB1348" s="185" t="s">
        <v>699</v>
      </c>
      <c r="ZC1348" s="185" t="s">
        <v>699</v>
      </c>
      <c r="ZD1348" s="185" t="s">
        <v>699</v>
      </c>
      <c r="ZE1348" s="185" t="s">
        <v>699</v>
      </c>
      <c r="ZF1348" s="185" t="s">
        <v>699</v>
      </c>
      <c r="ZG1348" s="185" t="s">
        <v>699</v>
      </c>
    </row>
    <row r="1349" spans="1:683" s="149" customFormat="1" x14ac:dyDescent="0.25">
      <c r="A1349" s="324" t="s">
        <v>981</v>
      </c>
      <c r="B1349" s="334"/>
      <c r="C1349" s="147" t="s">
        <v>594</v>
      </c>
      <c r="D1349" s="1281"/>
      <c r="E1349" s="1282"/>
      <c r="F1349" s="148"/>
      <c r="G1349" s="148"/>
      <c r="H1349" s="148"/>
      <c r="I1349" s="148"/>
      <c r="J1349" s="148"/>
      <c r="K1349" s="148"/>
      <c r="L1349" s="185" t="s">
        <v>699</v>
      </c>
      <c r="M1349" s="185" t="s">
        <v>699</v>
      </c>
      <c r="N1349" s="185" t="s">
        <v>699</v>
      </c>
      <c r="O1349" s="185" t="s">
        <v>699</v>
      </c>
      <c r="P1349" s="185" t="s">
        <v>699</v>
      </c>
      <c r="Q1349" s="185" t="s">
        <v>699</v>
      </c>
      <c r="R1349" s="185" t="s">
        <v>699</v>
      </c>
      <c r="S1349" s="185" t="s">
        <v>699</v>
      </c>
      <c r="T1349" s="185" t="s">
        <v>699</v>
      </c>
      <c r="U1349" s="148">
        <f>IF(O1348=0,0,(AA1357-AA1352)/O1348)</f>
        <v>0.43150534470000002</v>
      </c>
      <c r="V1349" s="148">
        <f t="shared" ref="V1349:Z1349" si="2871">IF(P1348=0,0,(AB1357-AB1352)/P1348)</f>
        <v>0.44557485549999998</v>
      </c>
      <c r="W1349" s="148">
        <f t="shared" si="2871"/>
        <v>0.46238544520000002</v>
      </c>
      <c r="X1349" s="148">
        <f t="shared" si="2871"/>
        <v>0.78413137570000002</v>
      </c>
      <c r="Y1349" s="148">
        <f t="shared" si="2871"/>
        <v>0.79220741039999998</v>
      </c>
      <c r="Z1349" s="148">
        <f t="shared" si="2871"/>
        <v>0.78996967309999999</v>
      </c>
      <c r="AA1349" s="185" t="s">
        <v>699</v>
      </c>
      <c r="AB1349" s="185" t="s">
        <v>699</v>
      </c>
      <c r="AC1349" s="185" t="s">
        <v>699</v>
      </c>
      <c r="AD1349" s="185" t="s">
        <v>699</v>
      </c>
      <c r="AE1349" s="185" t="s">
        <v>699</v>
      </c>
      <c r="AF1349" s="185" t="s">
        <v>699</v>
      </c>
      <c r="AG1349" s="185" t="s">
        <v>699</v>
      </c>
      <c r="AH1349" s="185" t="s">
        <v>699</v>
      </c>
      <c r="AI1349" s="185" t="s">
        <v>699</v>
      </c>
      <c r="AJ1349" s="185" t="s">
        <v>699</v>
      </c>
      <c r="AK1349" s="185" t="s">
        <v>699</v>
      </c>
      <c r="AL1349" s="185" t="s">
        <v>699</v>
      </c>
      <c r="AM1349" s="185" t="s">
        <v>699</v>
      </c>
      <c r="AN1349" s="185" t="s">
        <v>699</v>
      </c>
      <c r="AO1349" s="185" t="s">
        <v>699</v>
      </c>
      <c r="AP1349" s="148">
        <f>IF(AJ1348=0,0,(AV1357-AV1352)/AJ1348)</f>
        <v>0.3969650186</v>
      </c>
      <c r="AQ1349" s="148">
        <f t="shared" ref="AQ1349:AU1349" si="2872">IF(AK1348=0,0,(AW1357-AW1352)/AK1348)</f>
        <v>0.4098428985</v>
      </c>
      <c r="AR1349" s="148">
        <f t="shared" si="2872"/>
        <v>0.42523779480000001</v>
      </c>
      <c r="AS1349" s="148">
        <f t="shared" si="2872"/>
        <v>0.62525947500000001</v>
      </c>
      <c r="AT1349" s="148">
        <f t="shared" si="2872"/>
        <v>0.64128104860000001</v>
      </c>
      <c r="AU1349" s="148">
        <f t="shared" si="2872"/>
        <v>0.64448440659999995</v>
      </c>
      <c r="AV1349" s="185" t="s">
        <v>699</v>
      </c>
      <c r="AW1349" s="185" t="s">
        <v>699</v>
      </c>
      <c r="AX1349" s="185" t="s">
        <v>699</v>
      </c>
      <c r="AY1349" s="185" t="s">
        <v>699</v>
      </c>
      <c r="AZ1349" s="185" t="s">
        <v>699</v>
      </c>
      <c r="BA1349" s="185" t="s">
        <v>699</v>
      </c>
      <c r="BB1349" s="185" t="s">
        <v>699</v>
      </c>
      <c r="BC1349" s="185" t="s">
        <v>699</v>
      </c>
      <c r="BD1349" s="185" t="s">
        <v>699</v>
      </c>
      <c r="BE1349" s="185" t="s">
        <v>699</v>
      </c>
      <c r="BF1349" s="185" t="s">
        <v>699</v>
      </c>
      <c r="BG1349" s="185" t="s">
        <v>699</v>
      </c>
      <c r="BH1349" s="185" t="s">
        <v>699</v>
      </c>
      <c r="BI1349" s="185" t="s">
        <v>699</v>
      </c>
      <c r="BJ1349" s="185" t="s">
        <v>699</v>
      </c>
      <c r="BK1349" s="148">
        <f>IF(BE1348=0,0,(BQ1357-BQ1352)/BE1348)</f>
        <v>0.37446811559999998</v>
      </c>
      <c r="BL1349" s="148">
        <f t="shared" ref="BL1349:BP1349" si="2873">IF(BF1348=0,0,(BR1357-BR1352)/BF1348)</f>
        <v>0.38584739260000001</v>
      </c>
      <c r="BM1349" s="148">
        <f t="shared" si="2873"/>
        <v>0.3999067174</v>
      </c>
      <c r="BN1349" s="148">
        <f t="shared" si="2873"/>
        <v>0.66791400160000003</v>
      </c>
      <c r="BO1349" s="148">
        <f t="shared" si="2873"/>
        <v>0.68503300199999995</v>
      </c>
      <c r="BP1349" s="148">
        <f t="shared" si="2873"/>
        <v>0.68717844790000004</v>
      </c>
      <c r="BQ1349" s="185" t="s">
        <v>699</v>
      </c>
      <c r="BR1349" s="185" t="s">
        <v>699</v>
      </c>
      <c r="BS1349" s="185" t="s">
        <v>699</v>
      </c>
      <c r="BT1349" s="185" t="s">
        <v>699</v>
      </c>
      <c r="BU1349" s="185" t="s">
        <v>699</v>
      </c>
      <c r="BV1349" s="185" t="s">
        <v>699</v>
      </c>
      <c r="BW1349" s="185" t="s">
        <v>699</v>
      </c>
      <c r="BX1349" s="185" t="s">
        <v>699</v>
      </c>
      <c r="BY1349" s="185" t="s">
        <v>699</v>
      </c>
      <c r="BZ1349" s="185" t="s">
        <v>699</v>
      </c>
      <c r="CA1349" s="185" t="s">
        <v>699</v>
      </c>
      <c r="CB1349" s="185" t="s">
        <v>699</v>
      </c>
      <c r="CC1349" s="185" t="s">
        <v>699</v>
      </c>
      <c r="CD1349" s="185" t="s">
        <v>699</v>
      </c>
      <c r="CE1349" s="185" t="s">
        <v>699</v>
      </c>
      <c r="CF1349" s="148">
        <f>IF(BZ1348=0,0,(CL1357-CL1352)/BZ1348)</f>
        <v>0.38672377060000002</v>
      </c>
      <c r="CG1349" s="148">
        <f t="shared" ref="CG1349:CK1349" si="2874">IF(CA1348=0,0,(CM1357-CM1352)/CA1348)</f>
        <v>0.3995693958</v>
      </c>
      <c r="CH1349" s="148">
        <f t="shared" si="2874"/>
        <v>0.41460416639999997</v>
      </c>
      <c r="CI1349" s="148">
        <f t="shared" si="2874"/>
        <v>1.0296716607</v>
      </c>
      <c r="CJ1349" s="148">
        <f t="shared" si="2874"/>
        <v>1.0350170425</v>
      </c>
      <c r="CK1349" s="148">
        <f t="shared" si="2874"/>
        <v>1.0300133727</v>
      </c>
      <c r="CL1349" s="185" t="s">
        <v>699</v>
      </c>
      <c r="CM1349" s="185" t="s">
        <v>699</v>
      </c>
      <c r="CN1349" s="185" t="s">
        <v>699</v>
      </c>
      <c r="CO1349" s="185" t="s">
        <v>699</v>
      </c>
      <c r="CP1349" s="185" t="s">
        <v>699</v>
      </c>
      <c r="CQ1349" s="185" t="s">
        <v>699</v>
      </c>
      <c r="CR1349" s="185" t="s">
        <v>699</v>
      </c>
      <c r="CS1349" s="185" t="s">
        <v>699</v>
      </c>
      <c r="CT1349" s="185" t="s">
        <v>699</v>
      </c>
      <c r="CU1349" s="185" t="s">
        <v>699</v>
      </c>
      <c r="CV1349" s="185" t="s">
        <v>699</v>
      </c>
      <c r="CW1349" s="185" t="s">
        <v>699</v>
      </c>
      <c r="CX1349" s="185" t="s">
        <v>699</v>
      </c>
      <c r="CY1349" s="185" t="s">
        <v>699</v>
      </c>
      <c r="CZ1349" s="185" t="s">
        <v>699</v>
      </c>
      <c r="DA1349" s="148">
        <f>IF(CU1348=0,0,(DG1357-DG1352)/CU1348)</f>
        <v>0.38970168929999999</v>
      </c>
      <c r="DB1349" s="148">
        <f t="shared" ref="DB1349:DF1349" si="2875">IF(CV1348=0,0,(DH1357-DH1352)/CV1348)</f>
        <v>0.40230023139999999</v>
      </c>
      <c r="DC1349" s="148">
        <f t="shared" si="2875"/>
        <v>0.41741324480000003</v>
      </c>
      <c r="DD1349" s="148">
        <f t="shared" si="2875"/>
        <v>0.4985022959</v>
      </c>
      <c r="DE1349" s="148">
        <f t="shared" si="2875"/>
        <v>0.50354651009999996</v>
      </c>
      <c r="DF1349" s="148">
        <f t="shared" si="2875"/>
        <v>0.50266067869999997</v>
      </c>
      <c r="DG1349" s="185" t="s">
        <v>699</v>
      </c>
      <c r="DH1349" s="185" t="s">
        <v>699</v>
      </c>
      <c r="DI1349" s="185" t="s">
        <v>699</v>
      </c>
      <c r="DJ1349" s="185" t="s">
        <v>699</v>
      </c>
      <c r="DK1349" s="185" t="s">
        <v>699</v>
      </c>
      <c r="DL1349" s="185" t="s">
        <v>699</v>
      </c>
      <c r="DM1349" s="185" t="s">
        <v>699</v>
      </c>
      <c r="DN1349" s="185" t="s">
        <v>699</v>
      </c>
      <c r="DO1349" s="185" t="s">
        <v>699</v>
      </c>
      <c r="DP1349" s="185" t="s">
        <v>699</v>
      </c>
      <c r="DQ1349" s="185" t="s">
        <v>699</v>
      </c>
      <c r="DR1349" s="185" t="s">
        <v>699</v>
      </c>
      <c r="DS1349" s="185" t="s">
        <v>699</v>
      </c>
      <c r="DT1349" s="185" t="s">
        <v>699</v>
      </c>
      <c r="DU1349" s="185" t="s">
        <v>699</v>
      </c>
      <c r="DV1349" s="148">
        <f>IF(DP1348=0,0,(EB1357-EB1352)/DP1348)</f>
        <v>0.4231480742</v>
      </c>
      <c r="DW1349" s="148">
        <f t="shared" ref="DW1349:EA1349" si="2876">IF(DQ1348=0,0,(EC1357-EC1352)/DQ1348)</f>
        <v>0.4375063233</v>
      </c>
      <c r="DX1349" s="148">
        <f t="shared" si="2876"/>
        <v>0.45416107719999999</v>
      </c>
      <c r="DY1349" s="148">
        <f t="shared" si="2876"/>
        <v>1.0441363994999999</v>
      </c>
      <c r="DZ1349" s="148">
        <f t="shared" si="2876"/>
        <v>1.0143418668999999</v>
      </c>
      <c r="EA1349" s="148">
        <f t="shared" si="2876"/>
        <v>1.0115690731</v>
      </c>
      <c r="EB1349" s="185" t="s">
        <v>699</v>
      </c>
      <c r="EC1349" s="185" t="s">
        <v>699</v>
      </c>
      <c r="ED1349" s="185" t="s">
        <v>699</v>
      </c>
      <c r="EE1349" s="185" t="s">
        <v>699</v>
      </c>
      <c r="EF1349" s="185" t="s">
        <v>699</v>
      </c>
      <c r="EG1349" s="185" t="s">
        <v>699</v>
      </c>
      <c r="EH1349" s="185" t="s">
        <v>699</v>
      </c>
      <c r="EI1349" s="185" t="s">
        <v>699</v>
      </c>
      <c r="EJ1349" s="185" t="s">
        <v>699</v>
      </c>
      <c r="EK1349" s="185" t="s">
        <v>699</v>
      </c>
      <c r="EL1349" s="185" t="s">
        <v>699</v>
      </c>
      <c r="EM1349" s="185" t="s">
        <v>699</v>
      </c>
      <c r="EN1349" s="185" t="s">
        <v>699</v>
      </c>
      <c r="EO1349" s="185" t="s">
        <v>699</v>
      </c>
      <c r="EP1349" s="185" t="s">
        <v>699</v>
      </c>
      <c r="EQ1349" s="148">
        <f>IF(EK1348=0,0,(EW1357-EW1352)/EK1348)</f>
        <v>0.41826552169999998</v>
      </c>
      <c r="ER1349" s="148">
        <f t="shared" ref="ER1349:EV1349" si="2877">IF(EL1348=0,0,(EX1357-EX1352)/EL1348)</f>
        <v>0.43112281670000002</v>
      </c>
      <c r="ES1349" s="148">
        <f t="shared" si="2877"/>
        <v>0.44711088329999998</v>
      </c>
      <c r="ET1349" s="148">
        <f t="shared" si="2877"/>
        <v>0.87659997300000003</v>
      </c>
      <c r="EU1349" s="148">
        <f t="shared" si="2877"/>
        <v>0.89758443020000001</v>
      </c>
      <c r="EV1349" s="148">
        <f t="shared" si="2877"/>
        <v>0.90133692929999998</v>
      </c>
      <c r="EW1349" s="185" t="s">
        <v>699</v>
      </c>
      <c r="EX1349" s="185" t="s">
        <v>699</v>
      </c>
      <c r="EY1349" s="185" t="s">
        <v>699</v>
      </c>
      <c r="EZ1349" s="185" t="s">
        <v>699</v>
      </c>
      <c r="FA1349" s="185" t="s">
        <v>699</v>
      </c>
      <c r="FB1349" s="185" t="s">
        <v>699</v>
      </c>
      <c r="FC1349" s="185" t="s">
        <v>699</v>
      </c>
      <c r="FD1349" s="185" t="s">
        <v>699</v>
      </c>
      <c r="FE1349" s="185" t="s">
        <v>699</v>
      </c>
      <c r="FF1349" s="185" t="s">
        <v>699</v>
      </c>
      <c r="FG1349" s="185" t="s">
        <v>699</v>
      </c>
      <c r="FH1349" s="185" t="s">
        <v>699</v>
      </c>
      <c r="FI1349" s="185" t="s">
        <v>699</v>
      </c>
      <c r="FJ1349" s="185" t="s">
        <v>699</v>
      </c>
      <c r="FK1349" s="185" t="s">
        <v>699</v>
      </c>
      <c r="FL1349" s="148">
        <f>IF(FF1348=0,0,(FR1357-FR1352)/FF1348)</f>
        <v>0.4063648788</v>
      </c>
      <c r="FM1349" s="148">
        <f t="shared" ref="FM1349:FQ1349" si="2878">IF(FG1348=0,0,(FS1357-FS1352)/FG1348)</f>
        <v>0.41970397180000002</v>
      </c>
      <c r="FN1349" s="148">
        <f t="shared" si="2878"/>
        <v>0.4355258816</v>
      </c>
      <c r="FO1349" s="148">
        <f t="shared" si="2878"/>
        <v>0.94282330550000004</v>
      </c>
      <c r="FP1349" s="148">
        <f t="shared" si="2878"/>
        <v>0.97141055840000001</v>
      </c>
      <c r="FQ1349" s="148">
        <f t="shared" si="2878"/>
        <v>0.95321789180000005</v>
      </c>
      <c r="FR1349" s="185" t="s">
        <v>699</v>
      </c>
      <c r="FS1349" s="185" t="s">
        <v>699</v>
      </c>
      <c r="FT1349" s="185" t="s">
        <v>699</v>
      </c>
      <c r="FU1349" s="185" t="s">
        <v>699</v>
      </c>
      <c r="FV1349" s="185" t="s">
        <v>699</v>
      </c>
      <c r="FW1349" s="185" t="s">
        <v>699</v>
      </c>
      <c r="FX1349" s="185" t="s">
        <v>699</v>
      </c>
      <c r="FY1349" s="185" t="s">
        <v>699</v>
      </c>
      <c r="FZ1349" s="185" t="s">
        <v>699</v>
      </c>
      <c r="GA1349" s="185" t="s">
        <v>699</v>
      </c>
      <c r="GB1349" s="185" t="s">
        <v>699</v>
      </c>
      <c r="GC1349" s="185" t="s">
        <v>699</v>
      </c>
      <c r="GD1349" s="185" t="s">
        <v>699</v>
      </c>
      <c r="GE1349" s="185" t="s">
        <v>699</v>
      </c>
      <c r="GF1349" s="185" t="s">
        <v>699</v>
      </c>
      <c r="GG1349" s="148">
        <f>IF(GA1348=0,0,(GM1357-GM1352)/GA1348)</f>
        <v>0.40572624639999999</v>
      </c>
      <c r="GH1349" s="148">
        <f t="shared" ref="GH1349:GL1349" si="2879">IF(GB1348=0,0,(GN1357-GN1352)/GB1348)</f>
        <v>0.41858753599999998</v>
      </c>
      <c r="GI1349" s="148">
        <f t="shared" si="2879"/>
        <v>0.4341499103</v>
      </c>
      <c r="GJ1349" s="148">
        <f t="shared" si="2879"/>
        <v>0.70694264839999998</v>
      </c>
      <c r="GK1349" s="148">
        <f t="shared" si="2879"/>
        <v>0.78507248090000004</v>
      </c>
      <c r="GL1349" s="148">
        <f t="shared" si="2879"/>
        <v>0.83444689090000002</v>
      </c>
      <c r="GM1349" s="185" t="s">
        <v>699</v>
      </c>
      <c r="GN1349" s="185" t="s">
        <v>699</v>
      </c>
      <c r="GO1349" s="185" t="s">
        <v>699</v>
      </c>
      <c r="GP1349" s="185" t="s">
        <v>699</v>
      </c>
      <c r="GQ1349" s="185" t="s">
        <v>699</v>
      </c>
      <c r="GR1349" s="185" t="s">
        <v>699</v>
      </c>
      <c r="GS1349" s="185" t="s">
        <v>699</v>
      </c>
      <c r="GT1349" s="185" t="s">
        <v>699</v>
      </c>
      <c r="GU1349" s="185" t="s">
        <v>699</v>
      </c>
      <c r="GV1349" s="185" t="s">
        <v>699</v>
      </c>
      <c r="GW1349" s="185" t="s">
        <v>699</v>
      </c>
      <c r="GX1349" s="185" t="s">
        <v>699</v>
      </c>
      <c r="GY1349" s="185" t="s">
        <v>699</v>
      </c>
      <c r="GZ1349" s="185" t="s">
        <v>699</v>
      </c>
      <c r="HA1349" s="185" t="s">
        <v>699</v>
      </c>
      <c r="HB1349" s="148">
        <f>IF(GV1348=0,0,(HH1357-HH1352)/GV1348)</f>
        <v>0.42383627699999998</v>
      </c>
      <c r="HC1349" s="148">
        <f t="shared" ref="HC1349:HG1349" si="2880">IF(GW1348=0,0,(HI1357-HI1352)/GW1348)</f>
        <v>0.43709544169999998</v>
      </c>
      <c r="HD1349" s="148">
        <f t="shared" si="2880"/>
        <v>0.45333362999999999</v>
      </c>
      <c r="HE1349" s="148">
        <f t="shared" si="2880"/>
        <v>0.8225384697</v>
      </c>
      <c r="HF1349" s="148">
        <f t="shared" si="2880"/>
        <v>0.83972604900000003</v>
      </c>
      <c r="HG1349" s="148">
        <f t="shared" si="2880"/>
        <v>0.84121555189999997</v>
      </c>
      <c r="HH1349" s="185" t="s">
        <v>699</v>
      </c>
      <c r="HI1349" s="185" t="s">
        <v>699</v>
      </c>
      <c r="HJ1349" s="185" t="s">
        <v>699</v>
      </c>
      <c r="HK1349" s="185" t="s">
        <v>699</v>
      </c>
      <c r="HL1349" s="185" t="s">
        <v>699</v>
      </c>
      <c r="HM1349" s="185" t="s">
        <v>699</v>
      </c>
      <c r="HN1349" s="185" t="s">
        <v>699</v>
      </c>
      <c r="HO1349" s="185" t="s">
        <v>699</v>
      </c>
      <c r="HP1349" s="185" t="s">
        <v>699</v>
      </c>
      <c r="HQ1349" s="185" t="s">
        <v>699</v>
      </c>
      <c r="HR1349" s="185" t="s">
        <v>699</v>
      </c>
      <c r="HS1349" s="185" t="s">
        <v>699</v>
      </c>
      <c r="HT1349" s="185" t="s">
        <v>699</v>
      </c>
      <c r="HU1349" s="185" t="s">
        <v>699</v>
      </c>
      <c r="HV1349" s="185" t="s">
        <v>699</v>
      </c>
      <c r="HW1349" s="148">
        <f>IF(HQ1348=0,0,(IC1357-IC1352)/HQ1348)</f>
        <v>0.41711383169999999</v>
      </c>
      <c r="HX1349" s="148">
        <f t="shared" ref="HX1349:IB1349" si="2881">IF(HR1348=0,0,(ID1357-ID1352)/HR1348)</f>
        <v>0.4307988391</v>
      </c>
      <c r="HY1349" s="148">
        <f t="shared" si="2881"/>
        <v>0.44688411420000002</v>
      </c>
      <c r="HZ1349" s="148">
        <f t="shared" si="2881"/>
        <v>0.78464797559999999</v>
      </c>
      <c r="IA1349" s="148">
        <f t="shared" si="2881"/>
        <v>0.80056250230000003</v>
      </c>
      <c r="IB1349" s="148">
        <f t="shared" si="2881"/>
        <v>0.78825087979999997</v>
      </c>
      <c r="IC1349" s="185" t="s">
        <v>699</v>
      </c>
      <c r="ID1349" s="185" t="s">
        <v>699</v>
      </c>
      <c r="IE1349" s="185" t="s">
        <v>699</v>
      </c>
      <c r="IF1349" s="185" t="s">
        <v>699</v>
      </c>
      <c r="IG1349" s="185" t="s">
        <v>699</v>
      </c>
      <c r="IH1349" s="185" t="s">
        <v>699</v>
      </c>
      <c r="II1349" s="185" t="s">
        <v>699</v>
      </c>
      <c r="IJ1349" s="185" t="s">
        <v>699</v>
      </c>
      <c r="IK1349" s="185" t="s">
        <v>699</v>
      </c>
      <c r="IL1349" s="185" t="s">
        <v>699</v>
      </c>
      <c r="IM1349" s="185" t="s">
        <v>699</v>
      </c>
      <c r="IN1349" s="185" t="s">
        <v>699</v>
      </c>
      <c r="IO1349" s="185" t="s">
        <v>699</v>
      </c>
      <c r="IP1349" s="185" t="s">
        <v>699</v>
      </c>
      <c r="IQ1349" s="185" t="s">
        <v>699</v>
      </c>
      <c r="IR1349" s="148">
        <f>IF(IL1348=0,0,(IX1357-IX1352)/IL1348)</f>
        <v>0.56662130570000002</v>
      </c>
      <c r="IS1349" s="148">
        <f t="shared" ref="IS1349:IW1349" si="2882">IF(IM1348=0,0,(IY1357-IY1352)/IM1348)</f>
        <v>0.58369264249999997</v>
      </c>
      <c r="IT1349" s="148">
        <f t="shared" si="2882"/>
        <v>0.60526714130000003</v>
      </c>
      <c r="IU1349" s="148">
        <f t="shared" si="2882"/>
        <v>1.1862353047</v>
      </c>
      <c r="IV1349" s="148">
        <f t="shared" si="2882"/>
        <v>1.2102194094000001</v>
      </c>
      <c r="IW1349" s="148">
        <f t="shared" si="2882"/>
        <v>1.1832377658</v>
      </c>
      <c r="IX1349" s="185" t="s">
        <v>699</v>
      </c>
      <c r="IY1349" s="185" t="s">
        <v>699</v>
      </c>
      <c r="IZ1349" s="185" t="s">
        <v>699</v>
      </c>
      <c r="JA1349" s="185" t="s">
        <v>699</v>
      </c>
      <c r="JB1349" s="185" t="s">
        <v>699</v>
      </c>
      <c r="JC1349" s="185" t="s">
        <v>699</v>
      </c>
      <c r="JD1349" s="185" t="s">
        <v>699</v>
      </c>
      <c r="JE1349" s="185" t="s">
        <v>699</v>
      </c>
      <c r="JF1349" s="185" t="s">
        <v>699</v>
      </c>
      <c r="JG1349" s="185" t="s">
        <v>699</v>
      </c>
      <c r="JH1349" s="185" t="s">
        <v>699</v>
      </c>
      <c r="JI1349" s="185" t="s">
        <v>699</v>
      </c>
      <c r="JJ1349" s="185" t="s">
        <v>699</v>
      </c>
      <c r="JK1349" s="185" t="s">
        <v>699</v>
      </c>
      <c r="JL1349" s="185" t="s">
        <v>699</v>
      </c>
      <c r="JM1349" s="148">
        <f>IF(JG1348=0,0,(JS1357-JS1352)/JG1348)</f>
        <v>0.37982898710000002</v>
      </c>
      <c r="JN1349" s="148">
        <f t="shared" ref="JN1349:JR1349" si="2883">IF(JH1348=0,0,(JT1357-JT1352)/JH1348)</f>
        <v>0.3920553249</v>
      </c>
      <c r="JO1349" s="148">
        <f t="shared" si="2883"/>
        <v>0.40676251060000002</v>
      </c>
      <c r="JP1349" s="148">
        <f t="shared" si="2883"/>
        <v>0.64673016230000002</v>
      </c>
      <c r="JQ1349" s="148">
        <f t="shared" si="2883"/>
        <v>0.67185124740000002</v>
      </c>
      <c r="JR1349" s="148">
        <f t="shared" si="2883"/>
        <v>0.67345006110000005</v>
      </c>
      <c r="JS1349" s="185" t="s">
        <v>699</v>
      </c>
      <c r="JT1349" s="185" t="s">
        <v>699</v>
      </c>
      <c r="JU1349" s="185" t="s">
        <v>699</v>
      </c>
      <c r="JV1349" s="185" t="s">
        <v>699</v>
      </c>
      <c r="JW1349" s="185" t="s">
        <v>699</v>
      </c>
      <c r="JX1349" s="185" t="s">
        <v>699</v>
      </c>
      <c r="JY1349" s="185" t="s">
        <v>699</v>
      </c>
      <c r="JZ1349" s="185" t="s">
        <v>699</v>
      </c>
      <c r="KA1349" s="185" t="s">
        <v>699</v>
      </c>
      <c r="KB1349" s="185" t="s">
        <v>699</v>
      </c>
      <c r="KC1349" s="185" t="s">
        <v>699</v>
      </c>
      <c r="KD1349" s="185" t="s">
        <v>699</v>
      </c>
      <c r="KE1349" s="185" t="s">
        <v>699</v>
      </c>
      <c r="KF1349" s="185" t="s">
        <v>699</v>
      </c>
      <c r="KG1349" s="185" t="s">
        <v>699</v>
      </c>
      <c r="KH1349" s="148">
        <f>IF(KB1348=0,0,(KN1357-KN1352)/KB1348)</f>
        <v>0.39050413229999997</v>
      </c>
      <c r="KI1349" s="148">
        <f t="shared" ref="KI1349:KM1349" si="2884">IF(KC1348=0,0,(KO1357-KO1352)/KC1348)</f>
        <v>0.4027329798</v>
      </c>
      <c r="KJ1349" s="148">
        <f t="shared" si="2884"/>
        <v>0.41774663200000001</v>
      </c>
      <c r="KK1349" s="148">
        <f t="shared" si="2884"/>
        <v>0.60627899620000003</v>
      </c>
      <c r="KL1349" s="148">
        <f t="shared" si="2884"/>
        <v>0.62265475270000004</v>
      </c>
      <c r="KM1349" s="148">
        <f t="shared" si="2884"/>
        <v>0.61971236429999998</v>
      </c>
      <c r="KN1349" s="185" t="s">
        <v>699</v>
      </c>
      <c r="KO1349" s="185" t="s">
        <v>699</v>
      </c>
      <c r="KP1349" s="185" t="s">
        <v>699</v>
      </c>
      <c r="KQ1349" s="185" t="s">
        <v>699</v>
      </c>
      <c r="KR1349" s="185" t="s">
        <v>699</v>
      </c>
      <c r="KS1349" s="185" t="s">
        <v>699</v>
      </c>
      <c r="KT1349" s="185" t="s">
        <v>699</v>
      </c>
      <c r="KU1349" s="185" t="s">
        <v>699</v>
      </c>
      <c r="KV1349" s="185" t="s">
        <v>699</v>
      </c>
      <c r="KW1349" s="185" t="s">
        <v>699</v>
      </c>
      <c r="KX1349" s="185" t="s">
        <v>699</v>
      </c>
      <c r="KY1349" s="185" t="s">
        <v>699</v>
      </c>
      <c r="KZ1349" s="185" t="s">
        <v>699</v>
      </c>
      <c r="LA1349" s="185" t="s">
        <v>699</v>
      </c>
      <c r="LB1349" s="185" t="s">
        <v>699</v>
      </c>
      <c r="LC1349" s="148">
        <f>IF(KW1348=0,0,(LI1357-LI1352)/KW1348)</f>
        <v>0.36860065310000001</v>
      </c>
      <c r="LD1349" s="148">
        <f t="shared" ref="LD1349:LH1349" si="2885">IF(KX1348=0,0,(LJ1357-LJ1352)/KX1348)</f>
        <v>0.38065108240000001</v>
      </c>
      <c r="LE1349" s="148">
        <f t="shared" si="2885"/>
        <v>0.3949567088</v>
      </c>
      <c r="LF1349" s="148">
        <f t="shared" si="2885"/>
        <v>0.83559680530000002</v>
      </c>
      <c r="LG1349" s="148">
        <f t="shared" si="2885"/>
        <v>0.86995734020000004</v>
      </c>
      <c r="LH1349" s="148">
        <f t="shared" si="2885"/>
        <v>0.87451183389999998</v>
      </c>
      <c r="LI1349" s="185" t="s">
        <v>699</v>
      </c>
      <c r="LJ1349" s="185" t="s">
        <v>699</v>
      </c>
      <c r="LK1349" s="185" t="s">
        <v>699</v>
      </c>
      <c r="LL1349" s="185" t="s">
        <v>699</v>
      </c>
      <c r="LM1349" s="185" t="s">
        <v>699</v>
      </c>
      <c r="LN1349" s="185" t="s">
        <v>699</v>
      </c>
      <c r="LO1349" s="185" t="s">
        <v>699</v>
      </c>
      <c r="LP1349" s="185" t="s">
        <v>699</v>
      </c>
      <c r="LQ1349" s="185" t="s">
        <v>699</v>
      </c>
      <c r="LR1349" s="185" t="s">
        <v>699</v>
      </c>
      <c r="LS1349" s="185" t="s">
        <v>699</v>
      </c>
      <c r="LT1349" s="185" t="s">
        <v>699</v>
      </c>
      <c r="LU1349" s="185" t="s">
        <v>699</v>
      </c>
      <c r="LV1349" s="185" t="s">
        <v>699</v>
      </c>
      <c r="LW1349" s="185" t="s">
        <v>699</v>
      </c>
      <c r="LX1349" s="148">
        <f>IF(LR1348=0,0,(MD1357-MD1352)/LR1348)</f>
        <v>0.32198901099999999</v>
      </c>
      <c r="LY1349" s="148">
        <f t="shared" ref="LY1349:MC1349" si="2886">IF(LS1348=0,0,(ME1357-ME1352)/LS1348)</f>
        <v>0.33253361320000002</v>
      </c>
      <c r="LZ1349" s="148">
        <f t="shared" si="2886"/>
        <v>0.34499522900000001</v>
      </c>
      <c r="MA1349" s="148">
        <f t="shared" si="2886"/>
        <v>0.62026278879999996</v>
      </c>
      <c r="MB1349" s="148">
        <f t="shared" si="2886"/>
        <v>0.63559973030000005</v>
      </c>
      <c r="MC1349" s="148">
        <f t="shared" si="2886"/>
        <v>0.63372278179999997</v>
      </c>
      <c r="MD1349" s="185" t="s">
        <v>699</v>
      </c>
      <c r="ME1349" s="185" t="s">
        <v>699</v>
      </c>
      <c r="MF1349" s="185" t="s">
        <v>699</v>
      </c>
      <c r="MG1349" s="185" t="s">
        <v>699</v>
      </c>
      <c r="MH1349" s="185" t="s">
        <v>699</v>
      </c>
      <c r="MI1349" s="185" t="s">
        <v>699</v>
      </c>
      <c r="MJ1349" s="185" t="s">
        <v>699</v>
      </c>
      <c r="MK1349" s="185" t="s">
        <v>699</v>
      </c>
      <c r="ML1349" s="185" t="s">
        <v>699</v>
      </c>
      <c r="MM1349" s="185" t="s">
        <v>699</v>
      </c>
      <c r="MN1349" s="185" t="s">
        <v>699</v>
      </c>
      <c r="MO1349" s="185" t="s">
        <v>699</v>
      </c>
      <c r="MP1349" s="185" t="s">
        <v>699</v>
      </c>
      <c r="MQ1349" s="185" t="s">
        <v>699</v>
      </c>
      <c r="MR1349" s="185" t="s">
        <v>699</v>
      </c>
      <c r="MS1349" s="148">
        <f>IF(MM1348=0,0,(MY1357-MY1352)/MM1348)</f>
        <v>0.37250559459999999</v>
      </c>
      <c r="MT1349" s="148">
        <f t="shared" ref="MT1349:MX1349" si="2887">IF(MN1348=0,0,(MZ1357-MZ1352)/MN1348)</f>
        <v>0.38465791430000001</v>
      </c>
      <c r="MU1349" s="148">
        <f t="shared" si="2887"/>
        <v>0.39910785100000001</v>
      </c>
      <c r="MV1349" s="148">
        <f t="shared" si="2887"/>
        <v>0.73586608990000002</v>
      </c>
      <c r="MW1349" s="148">
        <f t="shared" si="2887"/>
        <v>0.74390003490000001</v>
      </c>
      <c r="MX1349" s="148">
        <f t="shared" si="2887"/>
        <v>0.74848540620000004</v>
      </c>
      <c r="MY1349" s="185" t="s">
        <v>699</v>
      </c>
      <c r="MZ1349" s="185" t="s">
        <v>699</v>
      </c>
      <c r="NA1349" s="185" t="s">
        <v>699</v>
      </c>
      <c r="NB1349" s="185" t="s">
        <v>699</v>
      </c>
      <c r="NC1349" s="185" t="s">
        <v>699</v>
      </c>
      <c r="ND1349" s="185" t="s">
        <v>699</v>
      </c>
      <c r="NE1349" s="185" t="s">
        <v>699</v>
      </c>
      <c r="NF1349" s="185" t="s">
        <v>699</v>
      </c>
      <c r="NG1349" s="185" t="s">
        <v>699</v>
      </c>
      <c r="NH1349" s="185" t="s">
        <v>699</v>
      </c>
      <c r="NI1349" s="185" t="s">
        <v>699</v>
      </c>
      <c r="NJ1349" s="185" t="s">
        <v>699</v>
      </c>
      <c r="NK1349" s="185" t="s">
        <v>699</v>
      </c>
      <c r="NL1349" s="185" t="s">
        <v>699</v>
      </c>
      <c r="NM1349" s="185" t="s">
        <v>699</v>
      </c>
      <c r="NN1349" s="148">
        <f>IF(NH1348=0,0,(NT1357-NT1352)/NH1348)</f>
        <v>0.380320092</v>
      </c>
      <c r="NO1349" s="148">
        <f t="shared" ref="NO1349:NS1349" si="2888">IF(NI1348=0,0,(NU1357-NU1352)/NI1348)</f>
        <v>0.3922196349</v>
      </c>
      <c r="NP1349" s="148">
        <f t="shared" si="2888"/>
        <v>0.40672449979999997</v>
      </c>
      <c r="NQ1349" s="148">
        <f t="shared" si="2888"/>
        <v>1.0777264692999999</v>
      </c>
      <c r="NR1349" s="148">
        <f t="shared" si="2888"/>
        <v>1.1256960386999999</v>
      </c>
      <c r="NS1349" s="148">
        <f t="shared" si="2888"/>
        <v>1.0946011849999999</v>
      </c>
      <c r="NT1349" s="185" t="s">
        <v>699</v>
      </c>
      <c r="NU1349" s="185" t="s">
        <v>699</v>
      </c>
      <c r="NV1349" s="185" t="s">
        <v>699</v>
      </c>
      <c r="NW1349" s="185" t="s">
        <v>699</v>
      </c>
      <c r="NX1349" s="185" t="s">
        <v>699</v>
      </c>
      <c r="NY1349" s="185" t="s">
        <v>699</v>
      </c>
      <c r="NZ1349" s="185" t="s">
        <v>699</v>
      </c>
      <c r="OA1349" s="185" t="s">
        <v>699</v>
      </c>
      <c r="OB1349" s="185" t="s">
        <v>699</v>
      </c>
      <c r="OC1349" s="185" t="s">
        <v>699</v>
      </c>
      <c r="OD1349" s="185" t="s">
        <v>699</v>
      </c>
      <c r="OE1349" s="185" t="s">
        <v>699</v>
      </c>
      <c r="OF1349" s="185" t="s">
        <v>699</v>
      </c>
      <c r="OG1349" s="185" t="s">
        <v>699</v>
      </c>
      <c r="OH1349" s="185" t="s">
        <v>699</v>
      </c>
      <c r="OI1349" s="148">
        <f>IF(OC1348=0,0,(OO1357-OO1352)/OC1348)</f>
        <v>0.49866329180000002</v>
      </c>
      <c r="OJ1349" s="148">
        <f t="shared" ref="OJ1349:ON1349" si="2889">IF(OD1348=0,0,(OP1357-OP1352)/OD1348)</f>
        <v>0.51346028980000002</v>
      </c>
      <c r="OK1349" s="148">
        <f t="shared" si="2889"/>
        <v>0.53229385279999997</v>
      </c>
      <c r="OL1349" s="148">
        <f t="shared" si="2889"/>
        <v>1.0809452157999999</v>
      </c>
      <c r="OM1349" s="148">
        <f t="shared" si="2889"/>
        <v>1.1231527923</v>
      </c>
      <c r="ON1349" s="148">
        <f t="shared" si="2889"/>
        <v>1.1172805477000001</v>
      </c>
      <c r="OO1349" s="185" t="s">
        <v>699</v>
      </c>
      <c r="OP1349" s="185" t="s">
        <v>699</v>
      </c>
      <c r="OQ1349" s="185" t="s">
        <v>699</v>
      </c>
      <c r="OR1349" s="185" t="s">
        <v>699</v>
      </c>
      <c r="OS1349" s="185" t="s">
        <v>699</v>
      </c>
      <c r="OT1349" s="185" t="s">
        <v>699</v>
      </c>
      <c r="OU1349" s="185" t="s">
        <v>699</v>
      </c>
      <c r="OV1349" s="185" t="s">
        <v>699</v>
      </c>
      <c r="OW1349" s="185" t="s">
        <v>699</v>
      </c>
      <c r="OX1349" s="185" t="s">
        <v>699</v>
      </c>
      <c r="OY1349" s="185" t="s">
        <v>699</v>
      </c>
      <c r="OZ1349" s="185" t="s">
        <v>699</v>
      </c>
      <c r="PA1349" s="185" t="s">
        <v>699</v>
      </c>
      <c r="PB1349" s="185" t="s">
        <v>699</v>
      </c>
      <c r="PC1349" s="185" t="s">
        <v>699</v>
      </c>
      <c r="PD1349" s="148">
        <f>IF(OX1348=0,0,(PJ1357-PJ1352)/OX1348)</f>
        <v>0.41936032249999999</v>
      </c>
      <c r="PE1349" s="148">
        <f t="shared" ref="PE1349:PI1349" si="2890">IF(OY1348=0,0,(PK1357-PK1352)/OY1348)</f>
        <v>0.43285018019999999</v>
      </c>
      <c r="PF1349" s="148">
        <f t="shared" si="2890"/>
        <v>0.44905051299999998</v>
      </c>
      <c r="PG1349" s="148">
        <f t="shared" si="2890"/>
        <v>0.8639041247</v>
      </c>
      <c r="PH1349" s="148">
        <f t="shared" si="2890"/>
        <v>0.88257502860000003</v>
      </c>
      <c r="PI1349" s="148">
        <f t="shared" si="2890"/>
        <v>0.88974772859999995</v>
      </c>
      <c r="PJ1349" s="185" t="s">
        <v>699</v>
      </c>
      <c r="PK1349" s="185" t="s">
        <v>699</v>
      </c>
      <c r="PL1349" s="185" t="s">
        <v>699</v>
      </c>
      <c r="PM1349" s="185" t="s">
        <v>699</v>
      </c>
      <c r="PN1349" s="185" t="s">
        <v>699</v>
      </c>
      <c r="PO1349" s="185" t="s">
        <v>699</v>
      </c>
      <c r="PP1349" s="185" t="s">
        <v>699</v>
      </c>
      <c r="PQ1349" s="185" t="s">
        <v>699</v>
      </c>
      <c r="PR1349" s="185" t="s">
        <v>699</v>
      </c>
      <c r="PS1349" s="185" t="s">
        <v>699</v>
      </c>
      <c r="PT1349" s="185" t="s">
        <v>699</v>
      </c>
      <c r="PU1349" s="185" t="s">
        <v>699</v>
      </c>
      <c r="PV1349" s="185" t="s">
        <v>699</v>
      </c>
      <c r="PW1349" s="185" t="s">
        <v>699</v>
      </c>
      <c r="PX1349" s="185" t="s">
        <v>699</v>
      </c>
      <c r="PY1349" s="148">
        <f>IF(PS1348=0,0,(QE1357-QE1352)/PS1348)</f>
        <v>0.37545476379999998</v>
      </c>
      <c r="PZ1349" s="148">
        <f t="shared" ref="PZ1349:QD1349" si="2891">IF(PT1348=0,0,(QF1357-QF1352)/PT1348)</f>
        <v>0.3878576198</v>
      </c>
      <c r="QA1349" s="148">
        <f t="shared" si="2891"/>
        <v>0.40240079420000002</v>
      </c>
      <c r="QB1349" s="148">
        <f t="shared" si="2891"/>
        <v>0.89089876850000005</v>
      </c>
      <c r="QC1349" s="148">
        <f t="shared" si="2891"/>
        <v>0.93554149060000003</v>
      </c>
      <c r="QD1349" s="148">
        <f t="shared" si="2891"/>
        <v>0.93472686930000004</v>
      </c>
      <c r="QE1349" s="185" t="s">
        <v>699</v>
      </c>
      <c r="QF1349" s="185" t="s">
        <v>699</v>
      </c>
      <c r="QG1349" s="185" t="s">
        <v>699</v>
      </c>
      <c r="QH1349" s="185" t="s">
        <v>699</v>
      </c>
      <c r="QI1349" s="185" t="s">
        <v>699</v>
      </c>
      <c r="QJ1349" s="185" t="s">
        <v>699</v>
      </c>
      <c r="QK1349" s="185" t="s">
        <v>699</v>
      </c>
      <c r="QL1349" s="185" t="s">
        <v>699</v>
      </c>
      <c r="QM1349" s="185" t="s">
        <v>699</v>
      </c>
      <c r="QN1349" s="185" t="s">
        <v>699</v>
      </c>
      <c r="QO1349" s="185" t="s">
        <v>699</v>
      </c>
      <c r="QP1349" s="185" t="s">
        <v>699</v>
      </c>
      <c r="QQ1349" s="185" t="s">
        <v>699</v>
      </c>
      <c r="QR1349" s="185" t="s">
        <v>699</v>
      </c>
      <c r="QS1349" s="185" t="s">
        <v>699</v>
      </c>
      <c r="QT1349" s="148">
        <f>IF(QN1348=0,0,(QZ1357-QZ1352)/QN1348)</f>
        <v>0.3818160974</v>
      </c>
      <c r="QU1349" s="148">
        <f t="shared" ref="QU1349:QY1349" si="2892">IF(QO1348=0,0,(RA1357-RA1352)/QO1348)</f>
        <v>0.39428595519999998</v>
      </c>
      <c r="QV1349" s="148">
        <f t="shared" si="2892"/>
        <v>0.40911463440000001</v>
      </c>
      <c r="QW1349" s="148">
        <f t="shared" si="2892"/>
        <v>0.61275037850000003</v>
      </c>
      <c r="QX1349" s="148">
        <f t="shared" si="2892"/>
        <v>0.63583252609999996</v>
      </c>
      <c r="QY1349" s="148">
        <f t="shared" si="2892"/>
        <v>0.63939078760000001</v>
      </c>
      <c r="QZ1349" s="185" t="s">
        <v>699</v>
      </c>
      <c r="RA1349" s="185" t="s">
        <v>699</v>
      </c>
      <c r="RB1349" s="185" t="s">
        <v>699</v>
      </c>
      <c r="RC1349" s="185" t="s">
        <v>699</v>
      </c>
      <c r="RD1349" s="185" t="s">
        <v>699</v>
      </c>
      <c r="RE1349" s="185" t="s">
        <v>699</v>
      </c>
      <c r="RF1349" s="185" t="s">
        <v>699</v>
      </c>
      <c r="RG1349" s="185" t="s">
        <v>699</v>
      </c>
      <c r="RH1349" s="185" t="s">
        <v>699</v>
      </c>
      <c r="RI1349" s="185" t="s">
        <v>699</v>
      </c>
      <c r="RJ1349" s="185" t="s">
        <v>699</v>
      </c>
      <c r="RK1349" s="185" t="s">
        <v>699</v>
      </c>
      <c r="RL1349" s="185" t="s">
        <v>699</v>
      </c>
      <c r="RM1349" s="185" t="s">
        <v>699</v>
      </c>
      <c r="RN1349" s="185" t="s">
        <v>699</v>
      </c>
      <c r="RO1349" s="148">
        <f>IF(RI1348=0,0,(RU1357-RU1352)/RI1348)</f>
        <v>0.40900254489999999</v>
      </c>
      <c r="RP1349" s="148">
        <f t="shared" ref="RP1349:RT1349" si="2893">IF(RJ1348=0,0,(RV1357-RV1352)/RJ1348)</f>
        <v>0.42218371770000002</v>
      </c>
      <c r="RQ1349" s="148">
        <f t="shared" si="2893"/>
        <v>0.43805836510000001</v>
      </c>
      <c r="RR1349" s="148">
        <f t="shared" si="2893"/>
        <v>0.86435122220000005</v>
      </c>
      <c r="RS1349" s="148">
        <f t="shared" si="2893"/>
        <v>0.87995113189999996</v>
      </c>
      <c r="RT1349" s="148">
        <f t="shared" si="2893"/>
        <v>0.88506481999999997</v>
      </c>
      <c r="RU1349" s="185" t="s">
        <v>699</v>
      </c>
      <c r="RV1349" s="185" t="s">
        <v>699</v>
      </c>
      <c r="RW1349" s="185" t="s">
        <v>699</v>
      </c>
      <c r="RX1349" s="185" t="s">
        <v>699</v>
      </c>
      <c r="RY1349" s="185" t="s">
        <v>699</v>
      </c>
      <c r="RZ1349" s="185" t="s">
        <v>699</v>
      </c>
      <c r="SA1349" s="185" t="s">
        <v>699</v>
      </c>
      <c r="SB1349" s="185" t="s">
        <v>699</v>
      </c>
      <c r="SC1349" s="185" t="s">
        <v>699</v>
      </c>
      <c r="SD1349" s="185" t="s">
        <v>699</v>
      </c>
      <c r="SE1349" s="185" t="s">
        <v>699</v>
      </c>
      <c r="SF1349" s="185" t="s">
        <v>699</v>
      </c>
      <c r="SG1349" s="185" t="s">
        <v>699</v>
      </c>
      <c r="SH1349" s="185" t="s">
        <v>699</v>
      </c>
      <c r="SI1349" s="185" t="s">
        <v>699</v>
      </c>
      <c r="SJ1349" s="148">
        <f>IF(SD1348=0,0,(SP1357-SP1352)/SD1348)</f>
        <v>0.42974685410000002</v>
      </c>
      <c r="SK1349" s="148">
        <f t="shared" ref="SK1349:SO1349" si="2894">IF(SE1348=0,0,(SQ1357-SQ1352)/SE1348)</f>
        <v>0.44310486669999999</v>
      </c>
      <c r="SL1349" s="148">
        <f t="shared" si="2894"/>
        <v>0.45957493199999999</v>
      </c>
      <c r="SM1349" s="148">
        <f t="shared" si="2894"/>
        <v>1.2101227896</v>
      </c>
      <c r="SN1349" s="148">
        <f t="shared" si="2894"/>
        <v>1.2487000746000001</v>
      </c>
      <c r="SO1349" s="148">
        <f t="shared" si="2894"/>
        <v>1.252092875</v>
      </c>
      <c r="SP1349" s="185" t="s">
        <v>699</v>
      </c>
      <c r="SQ1349" s="185" t="s">
        <v>699</v>
      </c>
      <c r="SR1349" s="185" t="s">
        <v>699</v>
      </c>
      <c r="SS1349" s="185" t="s">
        <v>699</v>
      </c>
      <c r="ST1349" s="185" t="s">
        <v>699</v>
      </c>
      <c r="SU1349" s="185" t="s">
        <v>699</v>
      </c>
      <c r="SV1349" s="185" t="s">
        <v>699</v>
      </c>
      <c r="SW1349" s="185" t="s">
        <v>699</v>
      </c>
      <c r="SX1349" s="185" t="s">
        <v>699</v>
      </c>
      <c r="SY1349" s="185" t="s">
        <v>699</v>
      </c>
      <c r="SZ1349" s="185" t="s">
        <v>699</v>
      </c>
      <c r="TA1349" s="185" t="s">
        <v>699</v>
      </c>
      <c r="TB1349" s="185" t="s">
        <v>699</v>
      </c>
      <c r="TC1349" s="185" t="s">
        <v>699</v>
      </c>
      <c r="TD1349" s="185" t="s">
        <v>699</v>
      </c>
      <c r="TE1349" s="148">
        <f>IF(SY1348=0,0,(TK1357-TK1352)/SY1348)</f>
        <v>0.38413383200000001</v>
      </c>
      <c r="TF1349" s="148">
        <f t="shared" ref="TF1349:TJ1349" si="2895">IF(SZ1348=0,0,(TL1357-TL1352)/SZ1348)</f>
        <v>0.39652540590000002</v>
      </c>
      <c r="TG1349" s="148">
        <f t="shared" si="2895"/>
        <v>0.41136385640000001</v>
      </c>
      <c r="TH1349" s="148">
        <f t="shared" si="2895"/>
        <v>0.92155354199999995</v>
      </c>
      <c r="TI1349" s="148">
        <f t="shared" si="2895"/>
        <v>0.94603986240000004</v>
      </c>
      <c r="TJ1349" s="148">
        <f t="shared" si="2895"/>
        <v>0.9433015454</v>
      </c>
      <c r="TK1349" s="185" t="s">
        <v>699</v>
      </c>
      <c r="TL1349" s="185" t="s">
        <v>699</v>
      </c>
      <c r="TM1349" s="185" t="s">
        <v>699</v>
      </c>
      <c r="TN1349" s="185" t="s">
        <v>699</v>
      </c>
      <c r="TO1349" s="185" t="s">
        <v>699</v>
      </c>
      <c r="TP1349" s="185" t="s">
        <v>699</v>
      </c>
      <c r="TQ1349" s="185" t="s">
        <v>699</v>
      </c>
      <c r="TR1349" s="185" t="s">
        <v>699</v>
      </c>
      <c r="TS1349" s="185" t="s">
        <v>699</v>
      </c>
      <c r="TT1349" s="185" t="s">
        <v>699</v>
      </c>
      <c r="TU1349" s="185" t="s">
        <v>699</v>
      </c>
      <c r="TV1349" s="185" t="s">
        <v>699</v>
      </c>
      <c r="TW1349" s="185" t="s">
        <v>699</v>
      </c>
      <c r="TX1349" s="185" t="s">
        <v>699</v>
      </c>
      <c r="TY1349" s="185" t="s">
        <v>699</v>
      </c>
      <c r="TZ1349" s="148">
        <f>IF(TT1348=0,0,(UF1357-UF1352)/TT1348)</f>
        <v>0.4115088408</v>
      </c>
      <c r="UA1349" s="148">
        <f t="shared" ref="UA1349:UE1349" si="2896">IF(TU1348=0,0,(UG1357-UG1352)/TU1348)</f>
        <v>0.42447406139999999</v>
      </c>
      <c r="UB1349" s="148">
        <f t="shared" si="2896"/>
        <v>0.4403863831</v>
      </c>
      <c r="UC1349" s="148">
        <f t="shared" si="2896"/>
        <v>0.84217848070000001</v>
      </c>
      <c r="UD1349" s="148">
        <f t="shared" si="2896"/>
        <v>0.88995019139999998</v>
      </c>
      <c r="UE1349" s="148">
        <f t="shared" si="2896"/>
        <v>0.89269573710000005</v>
      </c>
      <c r="UF1349" s="185" t="s">
        <v>699</v>
      </c>
      <c r="UG1349" s="185" t="s">
        <v>699</v>
      </c>
      <c r="UH1349" s="185" t="s">
        <v>699</v>
      </c>
      <c r="UI1349" s="185" t="s">
        <v>699</v>
      </c>
      <c r="UJ1349" s="185" t="s">
        <v>699</v>
      </c>
      <c r="UK1349" s="185" t="s">
        <v>699</v>
      </c>
      <c r="UL1349" s="185" t="s">
        <v>699</v>
      </c>
      <c r="UM1349" s="185" t="s">
        <v>699</v>
      </c>
      <c r="UN1349" s="185" t="s">
        <v>699</v>
      </c>
      <c r="UO1349" s="185" t="s">
        <v>699</v>
      </c>
      <c r="UP1349" s="185" t="s">
        <v>699</v>
      </c>
      <c r="UQ1349" s="185" t="s">
        <v>699</v>
      </c>
      <c r="UR1349" s="185" t="s">
        <v>699</v>
      </c>
      <c r="US1349" s="185" t="s">
        <v>699</v>
      </c>
      <c r="UT1349" s="185" t="s">
        <v>699</v>
      </c>
      <c r="UU1349" s="148">
        <f>IF(UO1348=0,0,(VA1357-VA1352)/UO1348)</f>
        <v>0.38068848630000002</v>
      </c>
      <c r="UV1349" s="148">
        <f t="shared" ref="UV1349:UZ1349" si="2897">IF(UP1348=0,0,(VB1357-VB1352)/UP1348)</f>
        <v>0.39334870570000002</v>
      </c>
      <c r="UW1349" s="148">
        <f t="shared" si="2897"/>
        <v>0.40819391449999998</v>
      </c>
      <c r="UX1349" s="148">
        <f t="shared" si="2897"/>
        <v>0.6564902171</v>
      </c>
      <c r="UY1349" s="148">
        <f t="shared" si="2897"/>
        <v>0.69049231450000004</v>
      </c>
      <c r="UZ1349" s="148">
        <f t="shared" si="2897"/>
        <v>0.69565543760000004</v>
      </c>
      <c r="VA1349" s="185" t="s">
        <v>699</v>
      </c>
      <c r="VB1349" s="185" t="s">
        <v>699</v>
      </c>
      <c r="VC1349" s="185" t="s">
        <v>699</v>
      </c>
      <c r="VD1349" s="185" t="s">
        <v>699</v>
      </c>
      <c r="VE1349" s="185" t="s">
        <v>699</v>
      </c>
      <c r="VF1349" s="185" t="s">
        <v>699</v>
      </c>
      <c r="VG1349" s="185" t="s">
        <v>699</v>
      </c>
      <c r="VH1349" s="185" t="s">
        <v>699</v>
      </c>
      <c r="VI1349" s="185" t="s">
        <v>699</v>
      </c>
      <c r="VJ1349" s="185" t="s">
        <v>699</v>
      </c>
      <c r="VK1349" s="185" t="s">
        <v>699</v>
      </c>
      <c r="VL1349" s="185" t="s">
        <v>699</v>
      </c>
      <c r="VM1349" s="185" t="s">
        <v>699</v>
      </c>
      <c r="VN1349" s="185" t="s">
        <v>699</v>
      </c>
      <c r="VO1349" s="185" t="s">
        <v>699</v>
      </c>
      <c r="VP1349" s="148">
        <f>IF(VJ1348=0,0,(VV1357-VV1352)/VJ1348)</f>
        <v>0.38834490459999998</v>
      </c>
      <c r="VQ1349" s="148">
        <f t="shared" ref="VQ1349:VU1349" si="2898">IF(VK1348=0,0,(VW1357-VW1352)/VK1348)</f>
        <v>0.40092639489999998</v>
      </c>
      <c r="VR1349" s="148">
        <f t="shared" si="2898"/>
        <v>0.41603117010000001</v>
      </c>
      <c r="VS1349" s="148">
        <f t="shared" si="2898"/>
        <v>0.70660082550000003</v>
      </c>
      <c r="VT1349" s="148">
        <f t="shared" si="2898"/>
        <v>0.72807900489999999</v>
      </c>
      <c r="VU1349" s="148">
        <f t="shared" si="2898"/>
        <v>0.73314878240000003</v>
      </c>
      <c r="VV1349" s="185" t="s">
        <v>699</v>
      </c>
      <c r="VW1349" s="185" t="s">
        <v>699</v>
      </c>
      <c r="VX1349" s="185" t="s">
        <v>699</v>
      </c>
      <c r="VY1349" s="185" t="s">
        <v>699</v>
      </c>
      <c r="VZ1349" s="185" t="s">
        <v>699</v>
      </c>
      <c r="WA1349" s="185" t="s">
        <v>699</v>
      </c>
      <c r="WB1349" s="185" t="s">
        <v>699</v>
      </c>
      <c r="WC1349" s="185" t="s">
        <v>699</v>
      </c>
      <c r="WD1349" s="185" t="s">
        <v>699</v>
      </c>
      <c r="WE1349" s="185" t="s">
        <v>699</v>
      </c>
      <c r="WF1349" s="185" t="s">
        <v>699</v>
      </c>
      <c r="WG1349" s="185" t="s">
        <v>699</v>
      </c>
      <c r="WH1349" s="185" t="s">
        <v>699</v>
      </c>
      <c r="WI1349" s="185" t="s">
        <v>699</v>
      </c>
      <c r="WJ1349" s="185" t="s">
        <v>699</v>
      </c>
      <c r="WK1349" s="148">
        <f>IF(WE1348=0,0,(WQ1357-WQ1352)/WE1348)</f>
        <v>0.3587731509</v>
      </c>
      <c r="WL1349" s="148">
        <f t="shared" ref="WL1349:WP1349" si="2899">IF(WF1348=0,0,(WR1357-WR1352)/WF1348)</f>
        <v>0.37081194039999998</v>
      </c>
      <c r="WM1349" s="148">
        <f t="shared" si="2899"/>
        <v>0.38478806580000002</v>
      </c>
      <c r="WN1349" s="148">
        <f t="shared" si="2899"/>
        <v>0.7588291157</v>
      </c>
      <c r="WO1349" s="148">
        <f t="shared" si="2899"/>
        <v>0.80101328650000003</v>
      </c>
      <c r="WP1349" s="148">
        <f t="shared" si="2899"/>
        <v>0.80731838590000005</v>
      </c>
      <c r="WQ1349" s="185" t="s">
        <v>699</v>
      </c>
      <c r="WR1349" s="185" t="s">
        <v>699</v>
      </c>
      <c r="WS1349" s="185" t="s">
        <v>699</v>
      </c>
      <c r="WT1349" s="185" t="s">
        <v>699</v>
      </c>
      <c r="WU1349" s="185" t="s">
        <v>699</v>
      </c>
      <c r="WV1349" s="185" t="s">
        <v>699</v>
      </c>
      <c r="WW1349" s="185" t="s">
        <v>699</v>
      </c>
      <c r="WX1349" s="185" t="s">
        <v>699</v>
      </c>
      <c r="WY1349" s="185" t="s">
        <v>699</v>
      </c>
      <c r="WZ1349" s="185" t="s">
        <v>699</v>
      </c>
      <c r="XA1349" s="185" t="s">
        <v>699</v>
      </c>
      <c r="XB1349" s="185" t="s">
        <v>699</v>
      </c>
      <c r="XC1349" s="185" t="s">
        <v>699</v>
      </c>
      <c r="XD1349" s="185" t="s">
        <v>699</v>
      </c>
      <c r="XE1349" s="185" t="s">
        <v>699</v>
      </c>
      <c r="XF1349" s="148">
        <f>IF(WZ1348=0,0,(XL1357-XL1352)/WZ1348)</f>
        <v>0.35245887069999998</v>
      </c>
      <c r="XG1349" s="148">
        <f t="shared" ref="XG1349:XK1349" si="2900">IF(XA1348=0,0,(XM1357-XM1352)/XA1348)</f>
        <v>0.3640409081</v>
      </c>
      <c r="XH1349" s="148">
        <f t="shared" si="2900"/>
        <v>0.37768691399999998</v>
      </c>
      <c r="XI1349" s="148">
        <f t="shared" si="2900"/>
        <v>0.61119458469999999</v>
      </c>
      <c r="XJ1349" s="148">
        <f t="shared" si="2900"/>
        <v>0.64751707030000005</v>
      </c>
      <c r="XK1349" s="148">
        <f t="shared" si="2900"/>
        <v>0.6502984316</v>
      </c>
      <c r="XL1349" s="185" t="s">
        <v>699</v>
      </c>
      <c r="XM1349" s="185" t="s">
        <v>699</v>
      </c>
      <c r="XN1349" s="185" t="s">
        <v>699</v>
      </c>
      <c r="XO1349" s="185" t="s">
        <v>699</v>
      </c>
      <c r="XP1349" s="185" t="s">
        <v>699</v>
      </c>
      <c r="XQ1349" s="185" t="s">
        <v>699</v>
      </c>
      <c r="XR1349" s="185" t="s">
        <v>699</v>
      </c>
      <c r="XS1349" s="185" t="s">
        <v>699</v>
      </c>
      <c r="XT1349" s="185" t="s">
        <v>699</v>
      </c>
      <c r="XU1349" s="185" t="s">
        <v>699</v>
      </c>
      <c r="XV1349" s="185" t="s">
        <v>699</v>
      </c>
      <c r="XW1349" s="185" t="s">
        <v>699</v>
      </c>
      <c r="XX1349" s="185" t="s">
        <v>699</v>
      </c>
      <c r="XY1349" s="185" t="s">
        <v>699</v>
      </c>
      <c r="XZ1349" s="185" t="s">
        <v>699</v>
      </c>
      <c r="YA1349" s="148">
        <f>IF(XU1348=0,0,(YG1357-YG1352)/XU1348)</f>
        <v>0.37204407610000001</v>
      </c>
      <c r="YB1349" s="148">
        <f t="shared" ref="YB1349:YF1349" si="2901">IF(XV1348=0,0,(YH1357-YH1352)/XV1348)</f>
        <v>0.38458284479999999</v>
      </c>
      <c r="YC1349" s="148">
        <f t="shared" si="2901"/>
        <v>0.39918057890000003</v>
      </c>
      <c r="YD1349" s="148">
        <f t="shared" si="2901"/>
        <v>2.6729011886</v>
      </c>
      <c r="YE1349" s="148">
        <f t="shared" si="2901"/>
        <v>3.1644396473</v>
      </c>
      <c r="YF1349" s="148">
        <f t="shared" si="2901"/>
        <v>3.1854515466</v>
      </c>
      <c r="YG1349" s="185" t="s">
        <v>699</v>
      </c>
      <c r="YH1349" s="185" t="s">
        <v>699</v>
      </c>
      <c r="YI1349" s="185" t="s">
        <v>699</v>
      </c>
      <c r="YJ1349" s="185" t="s">
        <v>699</v>
      </c>
      <c r="YK1349" s="185" t="s">
        <v>699</v>
      </c>
      <c r="YL1349" s="185" t="s">
        <v>699</v>
      </c>
      <c r="YM1349" s="185" t="s">
        <v>699</v>
      </c>
      <c r="YN1349" s="185" t="s">
        <v>699</v>
      </c>
      <c r="YO1349" s="185" t="s">
        <v>699</v>
      </c>
      <c r="YP1349" s="185" t="s">
        <v>699</v>
      </c>
      <c r="YQ1349" s="185" t="s">
        <v>699</v>
      </c>
      <c r="YR1349" s="185" t="s">
        <v>699</v>
      </c>
      <c r="YS1349" s="185" t="s">
        <v>699</v>
      </c>
      <c r="YT1349" s="185" t="s">
        <v>699</v>
      </c>
      <c r="YU1349" s="185" t="s">
        <v>699</v>
      </c>
      <c r="YV1349" s="148">
        <f>IF(YP1348=0,0,(ZB1357-ZB1352)/YP1348)</f>
        <v>0.3921191356</v>
      </c>
      <c r="YW1349" s="148">
        <f t="shared" ref="YW1349:ZA1349" si="2902">IF(YQ1348=0,0,(ZC1357-ZC1352)/YQ1348)</f>
        <v>0.40479260099999997</v>
      </c>
      <c r="YX1349" s="148">
        <f t="shared" si="2902"/>
        <v>0.41995467069999998</v>
      </c>
      <c r="YY1349" s="148">
        <f t="shared" si="2902"/>
        <v>0.8598135697</v>
      </c>
      <c r="YZ1349" s="148">
        <f t="shared" si="2902"/>
        <v>0.90361014959999997</v>
      </c>
      <c r="ZA1349" s="148">
        <f t="shared" si="2902"/>
        <v>0.90536141299999995</v>
      </c>
      <c r="ZB1349" s="185" t="s">
        <v>699</v>
      </c>
      <c r="ZC1349" s="185" t="s">
        <v>699</v>
      </c>
      <c r="ZD1349" s="185" t="s">
        <v>699</v>
      </c>
      <c r="ZE1349" s="185" t="s">
        <v>699</v>
      </c>
      <c r="ZF1349" s="185" t="s">
        <v>699</v>
      </c>
      <c r="ZG1349" s="185" t="s">
        <v>699</v>
      </c>
    </row>
    <row r="1350" spans="1:683" s="156" customFormat="1" ht="24" x14ac:dyDescent="0.25">
      <c r="A1350" s="114" t="s">
        <v>982</v>
      </c>
      <c r="B1350" s="333"/>
      <c r="C1350" s="150" t="s">
        <v>595</v>
      </c>
      <c r="D1350" s="1279"/>
      <c r="E1350" s="1280"/>
      <c r="F1350" s="151"/>
      <c r="G1350" s="151"/>
      <c r="H1350" s="151"/>
      <c r="I1350" s="189"/>
      <c r="J1350" s="189"/>
      <c r="K1350" s="189"/>
      <c r="L1350" s="185" t="s">
        <v>699</v>
      </c>
      <c r="M1350" s="185" t="s">
        <v>699</v>
      </c>
      <c r="N1350" s="185" t="s">
        <v>699</v>
      </c>
      <c r="O1350" s="185" t="s">
        <v>699</v>
      </c>
      <c r="P1350" s="185" t="s">
        <v>699</v>
      </c>
      <c r="Q1350" s="185" t="s">
        <v>699</v>
      </c>
      <c r="R1350" s="185" t="s">
        <v>699</v>
      </c>
      <c r="S1350" s="185" t="s">
        <v>699</v>
      </c>
      <c r="T1350" s="185" t="s">
        <v>699</v>
      </c>
      <c r="U1350" s="185" t="s">
        <v>699</v>
      </c>
      <c r="V1350" s="185" t="s">
        <v>699</v>
      </c>
      <c r="W1350" s="185" t="s">
        <v>699</v>
      </c>
      <c r="X1350" s="185" t="s">
        <v>699</v>
      </c>
      <c r="Y1350" s="185" t="s">
        <v>699</v>
      </c>
      <c r="Z1350" s="185" t="s">
        <v>699</v>
      </c>
      <c r="AA1350" s="151">
        <f>AA1318+AA1328+AA1338</f>
        <v>30227500.329999998</v>
      </c>
      <c r="AB1350" s="151">
        <f t="shared" ref="AB1350:AF1350" si="2903">AB1318+AB1328+AB1338</f>
        <v>31931501.109999999</v>
      </c>
      <c r="AC1350" s="151">
        <f t="shared" si="2903"/>
        <v>33673701.939999998</v>
      </c>
      <c r="AD1350" s="151">
        <f t="shared" si="2903"/>
        <v>3193347.67</v>
      </c>
      <c r="AE1350" s="151">
        <f t="shared" si="2903"/>
        <v>3290349.85</v>
      </c>
      <c r="AF1350" s="151">
        <f t="shared" si="2903"/>
        <v>3327550.49</v>
      </c>
      <c r="AG1350" s="185" t="s">
        <v>699</v>
      </c>
      <c r="AH1350" s="185" t="s">
        <v>699</v>
      </c>
      <c r="AI1350" s="185" t="s">
        <v>699</v>
      </c>
      <c r="AJ1350" s="185" t="s">
        <v>699</v>
      </c>
      <c r="AK1350" s="185" t="s">
        <v>699</v>
      </c>
      <c r="AL1350" s="185" t="s">
        <v>699</v>
      </c>
      <c r="AM1350" s="185" t="s">
        <v>699</v>
      </c>
      <c r="AN1350" s="185" t="s">
        <v>699</v>
      </c>
      <c r="AO1350" s="185" t="s">
        <v>699</v>
      </c>
      <c r="AP1350" s="185" t="s">
        <v>699</v>
      </c>
      <c r="AQ1350" s="185" t="s">
        <v>699</v>
      </c>
      <c r="AR1350" s="185" t="s">
        <v>699</v>
      </c>
      <c r="AS1350" s="185" t="s">
        <v>699</v>
      </c>
      <c r="AT1350" s="185" t="s">
        <v>699</v>
      </c>
      <c r="AU1350" s="185" t="s">
        <v>699</v>
      </c>
      <c r="AV1350" s="151">
        <f t="shared" ref="AV1350:BA1350" si="2904">AV1318+AV1328+AV1338</f>
        <v>49565498.939999998</v>
      </c>
      <c r="AW1350" s="151">
        <f t="shared" si="2904"/>
        <v>52359901.770000003</v>
      </c>
      <c r="AX1350" s="151">
        <f t="shared" si="2904"/>
        <v>55216499.859999999</v>
      </c>
      <c r="AY1350" s="151">
        <f t="shared" si="2904"/>
        <v>4548983.25</v>
      </c>
      <c r="AZ1350" s="151">
        <f t="shared" si="2904"/>
        <v>4756584.66</v>
      </c>
      <c r="BA1350" s="151">
        <f t="shared" si="2904"/>
        <v>4846888.1500000004</v>
      </c>
      <c r="BB1350" s="185" t="s">
        <v>699</v>
      </c>
      <c r="BC1350" s="185" t="s">
        <v>699</v>
      </c>
      <c r="BD1350" s="185" t="s">
        <v>699</v>
      </c>
      <c r="BE1350" s="185" t="s">
        <v>699</v>
      </c>
      <c r="BF1350" s="185" t="s">
        <v>699</v>
      </c>
      <c r="BG1350" s="185" t="s">
        <v>699</v>
      </c>
      <c r="BH1350" s="185" t="s">
        <v>699</v>
      </c>
      <c r="BI1350" s="185" t="s">
        <v>699</v>
      </c>
      <c r="BJ1350" s="185" t="s">
        <v>699</v>
      </c>
      <c r="BK1350" s="185" t="s">
        <v>699</v>
      </c>
      <c r="BL1350" s="185" t="s">
        <v>699</v>
      </c>
      <c r="BM1350" s="185" t="s">
        <v>699</v>
      </c>
      <c r="BN1350" s="185" t="s">
        <v>699</v>
      </c>
      <c r="BO1350" s="185" t="s">
        <v>699</v>
      </c>
      <c r="BP1350" s="185" t="s">
        <v>699</v>
      </c>
      <c r="BQ1350" s="151">
        <f t="shared" ref="BQ1350:BV1350" si="2905">BQ1318+BQ1328+BQ1338</f>
        <v>39973299.039999999</v>
      </c>
      <c r="BR1350" s="151">
        <f t="shared" si="2905"/>
        <v>42226597.969999999</v>
      </c>
      <c r="BS1350" s="151">
        <f t="shared" si="2905"/>
        <v>44530398.899999999</v>
      </c>
      <c r="BT1350" s="151">
        <f t="shared" si="2905"/>
        <v>3834595.07</v>
      </c>
      <c r="BU1350" s="151">
        <f t="shared" si="2905"/>
        <v>4009693.28</v>
      </c>
      <c r="BV1350" s="151">
        <f t="shared" si="2905"/>
        <v>4078293.07</v>
      </c>
      <c r="BW1350" s="185" t="s">
        <v>699</v>
      </c>
      <c r="BX1350" s="185" t="s">
        <v>699</v>
      </c>
      <c r="BY1350" s="185" t="s">
        <v>699</v>
      </c>
      <c r="BZ1350" s="185" t="s">
        <v>699</v>
      </c>
      <c r="CA1350" s="185" t="s">
        <v>699</v>
      </c>
      <c r="CB1350" s="185" t="s">
        <v>699</v>
      </c>
      <c r="CC1350" s="185" t="s">
        <v>699</v>
      </c>
      <c r="CD1350" s="185" t="s">
        <v>699</v>
      </c>
      <c r="CE1350" s="185" t="s">
        <v>699</v>
      </c>
      <c r="CF1350" s="185" t="s">
        <v>699</v>
      </c>
      <c r="CG1350" s="185" t="s">
        <v>699</v>
      </c>
      <c r="CH1350" s="185" t="s">
        <v>699</v>
      </c>
      <c r="CI1350" s="185" t="s">
        <v>699</v>
      </c>
      <c r="CJ1350" s="185" t="s">
        <v>699</v>
      </c>
      <c r="CK1350" s="185" t="s">
        <v>699</v>
      </c>
      <c r="CL1350" s="151">
        <f t="shared" ref="CL1350:CQ1350" si="2906">CL1318+CL1328+CL1338</f>
        <v>30134001.899999999</v>
      </c>
      <c r="CM1350" s="151">
        <f t="shared" si="2906"/>
        <v>31833100.09</v>
      </c>
      <c r="CN1350" s="151">
        <f t="shared" si="2906"/>
        <v>33569700.049999997</v>
      </c>
      <c r="CO1350" s="151">
        <f t="shared" si="2906"/>
        <v>4705368</v>
      </c>
      <c r="CP1350" s="151">
        <f t="shared" si="2906"/>
        <v>4825166.59</v>
      </c>
      <c r="CQ1350" s="151">
        <f t="shared" si="2906"/>
        <v>4870870.3600000003</v>
      </c>
      <c r="CR1350" s="185" t="s">
        <v>699</v>
      </c>
      <c r="CS1350" s="185" t="s">
        <v>699</v>
      </c>
      <c r="CT1350" s="185" t="s">
        <v>699</v>
      </c>
      <c r="CU1350" s="185" t="s">
        <v>699</v>
      </c>
      <c r="CV1350" s="185" t="s">
        <v>699</v>
      </c>
      <c r="CW1350" s="185" t="s">
        <v>699</v>
      </c>
      <c r="CX1350" s="185" t="s">
        <v>699</v>
      </c>
      <c r="CY1350" s="185" t="s">
        <v>699</v>
      </c>
      <c r="CZ1350" s="185" t="s">
        <v>699</v>
      </c>
      <c r="DA1350" s="185" t="s">
        <v>699</v>
      </c>
      <c r="DB1350" s="185" t="s">
        <v>699</v>
      </c>
      <c r="DC1350" s="185" t="s">
        <v>699</v>
      </c>
      <c r="DD1350" s="185" t="s">
        <v>699</v>
      </c>
      <c r="DE1350" s="185" t="s">
        <v>699</v>
      </c>
      <c r="DF1350" s="185" t="s">
        <v>699</v>
      </c>
      <c r="DG1350" s="151">
        <f t="shared" ref="DG1350:DL1350" si="2907">DG1318+DG1328+DG1338</f>
        <v>43381701.75</v>
      </c>
      <c r="DH1350" s="151">
        <f t="shared" si="2907"/>
        <v>45827599.759999998</v>
      </c>
      <c r="DI1350" s="151">
        <f t="shared" si="2907"/>
        <v>48327601.829999998</v>
      </c>
      <c r="DJ1350" s="151">
        <f t="shared" si="2907"/>
        <v>3202634.35</v>
      </c>
      <c r="DK1350" s="151">
        <f t="shared" si="2907"/>
        <v>3299235.27</v>
      </c>
      <c r="DL1350" s="151">
        <f t="shared" si="2907"/>
        <v>3340035.18</v>
      </c>
      <c r="DM1350" s="185" t="s">
        <v>699</v>
      </c>
      <c r="DN1350" s="185" t="s">
        <v>699</v>
      </c>
      <c r="DO1350" s="185" t="s">
        <v>699</v>
      </c>
      <c r="DP1350" s="185" t="s">
        <v>699</v>
      </c>
      <c r="DQ1350" s="185" t="s">
        <v>699</v>
      </c>
      <c r="DR1350" s="185" t="s">
        <v>699</v>
      </c>
      <c r="DS1350" s="185" t="s">
        <v>699</v>
      </c>
      <c r="DT1350" s="185" t="s">
        <v>699</v>
      </c>
      <c r="DU1350" s="185" t="s">
        <v>699</v>
      </c>
      <c r="DV1350" s="185" t="s">
        <v>699</v>
      </c>
      <c r="DW1350" s="185" t="s">
        <v>699</v>
      </c>
      <c r="DX1350" s="185" t="s">
        <v>699</v>
      </c>
      <c r="DY1350" s="185" t="s">
        <v>699</v>
      </c>
      <c r="DZ1350" s="185" t="s">
        <v>699</v>
      </c>
      <c r="EA1350" s="185" t="s">
        <v>699</v>
      </c>
      <c r="EB1350" s="151">
        <f t="shared" ref="EB1350:EG1350" si="2908">EB1318+EB1328+EB1338</f>
        <v>34361396.460000001</v>
      </c>
      <c r="EC1350" s="151">
        <f t="shared" si="2908"/>
        <v>36298697.549999997</v>
      </c>
      <c r="ED1350" s="151">
        <f t="shared" si="2908"/>
        <v>38278999.32</v>
      </c>
      <c r="EE1350" s="151">
        <f t="shared" si="2908"/>
        <v>5167539.91</v>
      </c>
      <c r="EF1350" s="151">
        <f t="shared" si="2908"/>
        <v>5118240.3899999997</v>
      </c>
      <c r="EG1350" s="151">
        <f t="shared" si="2908"/>
        <v>5175434.84</v>
      </c>
      <c r="EH1350" s="185" t="s">
        <v>699</v>
      </c>
      <c r="EI1350" s="185" t="s">
        <v>699</v>
      </c>
      <c r="EJ1350" s="185" t="s">
        <v>699</v>
      </c>
      <c r="EK1350" s="185" t="s">
        <v>699</v>
      </c>
      <c r="EL1350" s="185" t="s">
        <v>699</v>
      </c>
      <c r="EM1350" s="185" t="s">
        <v>699</v>
      </c>
      <c r="EN1350" s="185" t="s">
        <v>699</v>
      </c>
      <c r="EO1350" s="185" t="s">
        <v>699</v>
      </c>
      <c r="EP1350" s="185" t="s">
        <v>699</v>
      </c>
      <c r="EQ1350" s="185" t="s">
        <v>699</v>
      </c>
      <c r="ER1350" s="185" t="s">
        <v>699</v>
      </c>
      <c r="ES1350" s="185" t="s">
        <v>699</v>
      </c>
      <c r="ET1350" s="185" t="s">
        <v>699</v>
      </c>
      <c r="EU1350" s="185" t="s">
        <v>699</v>
      </c>
      <c r="EV1350" s="185" t="s">
        <v>699</v>
      </c>
      <c r="EW1350" s="151">
        <f t="shared" ref="EW1350:FB1350" si="2909">EW1318+EW1328+EW1338</f>
        <v>30879200.23</v>
      </c>
      <c r="EX1350" s="151">
        <f t="shared" si="2909"/>
        <v>32620101.530000001</v>
      </c>
      <c r="EY1350" s="151">
        <f t="shared" si="2909"/>
        <v>34399702.359999999</v>
      </c>
      <c r="EZ1350" s="151">
        <f t="shared" si="2909"/>
        <v>3579599.33</v>
      </c>
      <c r="FA1350" s="151">
        <f t="shared" si="2909"/>
        <v>3736602.17</v>
      </c>
      <c r="FB1350" s="151">
        <f t="shared" si="2909"/>
        <v>3804300.94</v>
      </c>
      <c r="FC1350" s="185" t="s">
        <v>699</v>
      </c>
      <c r="FD1350" s="185" t="s">
        <v>699</v>
      </c>
      <c r="FE1350" s="185" t="s">
        <v>699</v>
      </c>
      <c r="FF1350" s="185" t="s">
        <v>699</v>
      </c>
      <c r="FG1350" s="185" t="s">
        <v>699</v>
      </c>
      <c r="FH1350" s="185" t="s">
        <v>699</v>
      </c>
      <c r="FI1350" s="185" t="s">
        <v>699</v>
      </c>
      <c r="FJ1350" s="185" t="s">
        <v>699</v>
      </c>
      <c r="FK1350" s="185" t="s">
        <v>699</v>
      </c>
      <c r="FL1350" s="185" t="s">
        <v>699</v>
      </c>
      <c r="FM1350" s="185" t="s">
        <v>699</v>
      </c>
      <c r="FN1350" s="185" t="s">
        <v>699</v>
      </c>
      <c r="FO1350" s="185" t="s">
        <v>699</v>
      </c>
      <c r="FP1350" s="185" t="s">
        <v>699</v>
      </c>
      <c r="FQ1350" s="185" t="s">
        <v>699</v>
      </c>
      <c r="FR1350" s="151">
        <f t="shared" ref="FR1350:FW1350" si="2910">FR1318+FR1328+FR1338</f>
        <v>36171900.700000003</v>
      </c>
      <c r="FS1350" s="151">
        <f t="shared" si="2910"/>
        <v>38211000.75</v>
      </c>
      <c r="FT1350" s="151">
        <f t="shared" si="2910"/>
        <v>40296000.850000001</v>
      </c>
      <c r="FU1350" s="151">
        <f t="shared" si="2910"/>
        <v>4939101.0999999996</v>
      </c>
      <c r="FV1350" s="151">
        <f t="shared" si="2910"/>
        <v>5188302.08</v>
      </c>
      <c r="FW1350" s="151">
        <f t="shared" si="2910"/>
        <v>5162102.75</v>
      </c>
      <c r="FX1350" s="185" t="s">
        <v>699</v>
      </c>
      <c r="FY1350" s="185" t="s">
        <v>699</v>
      </c>
      <c r="FZ1350" s="185" t="s">
        <v>699</v>
      </c>
      <c r="GA1350" s="185" t="s">
        <v>699</v>
      </c>
      <c r="GB1350" s="185" t="s">
        <v>699</v>
      </c>
      <c r="GC1350" s="185" t="s">
        <v>699</v>
      </c>
      <c r="GD1350" s="185" t="s">
        <v>699</v>
      </c>
      <c r="GE1350" s="185" t="s">
        <v>699</v>
      </c>
      <c r="GF1350" s="185" t="s">
        <v>699</v>
      </c>
      <c r="GG1350" s="185" t="s">
        <v>699</v>
      </c>
      <c r="GH1350" s="185" t="s">
        <v>699</v>
      </c>
      <c r="GI1350" s="185" t="s">
        <v>699</v>
      </c>
      <c r="GJ1350" s="185" t="s">
        <v>699</v>
      </c>
      <c r="GK1350" s="185" t="s">
        <v>699</v>
      </c>
      <c r="GL1350" s="185" t="s">
        <v>699</v>
      </c>
      <c r="GM1350" s="151">
        <f t="shared" ref="GM1350:GR1350" si="2911">GM1318+GM1328+GM1338</f>
        <v>43884200.359999999</v>
      </c>
      <c r="GN1350" s="151">
        <f t="shared" si="2911"/>
        <v>46358200.609999999</v>
      </c>
      <c r="GO1350" s="151">
        <f t="shared" si="2911"/>
        <v>48887301.009999998</v>
      </c>
      <c r="GP1350" s="151">
        <f t="shared" si="2911"/>
        <v>4336256.8899999997</v>
      </c>
      <c r="GQ1350" s="151">
        <f t="shared" si="2911"/>
        <v>4909454.72</v>
      </c>
      <c r="GR1350" s="151">
        <f t="shared" si="2911"/>
        <v>5290860.79</v>
      </c>
      <c r="GS1350" s="185" t="s">
        <v>699</v>
      </c>
      <c r="GT1350" s="185" t="s">
        <v>699</v>
      </c>
      <c r="GU1350" s="185" t="s">
        <v>699</v>
      </c>
      <c r="GV1350" s="185" t="s">
        <v>699</v>
      </c>
      <c r="GW1350" s="185" t="s">
        <v>699</v>
      </c>
      <c r="GX1350" s="185" t="s">
        <v>699</v>
      </c>
      <c r="GY1350" s="185" t="s">
        <v>699</v>
      </c>
      <c r="GZ1350" s="185" t="s">
        <v>699</v>
      </c>
      <c r="HA1350" s="185" t="s">
        <v>699</v>
      </c>
      <c r="HB1350" s="185" t="s">
        <v>699</v>
      </c>
      <c r="HC1350" s="185" t="s">
        <v>699</v>
      </c>
      <c r="HD1350" s="185" t="s">
        <v>699</v>
      </c>
      <c r="HE1350" s="185" t="s">
        <v>699</v>
      </c>
      <c r="HF1350" s="185" t="s">
        <v>699</v>
      </c>
      <c r="HG1350" s="185" t="s">
        <v>699</v>
      </c>
      <c r="HH1350" s="151">
        <f t="shared" ref="HH1350:HM1350" si="2912">HH1318+HH1328+HH1338</f>
        <v>38485798.920000002</v>
      </c>
      <c r="HI1350" s="151">
        <f t="shared" si="2912"/>
        <v>40655299.020000003</v>
      </c>
      <c r="HJ1350" s="151">
        <f t="shared" si="2912"/>
        <v>42873298.600000001</v>
      </c>
      <c r="HK1350" s="151">
        <f t="shared" si="2912"/>
        <v>4164871.5</v>
      </c>
      <c r="HL1350" s="151">
        <f t="shared" si="2912"/>
        <v>4336874.2300000004</v>
      </c>
      <c r="HM1350" s="151">
        <f t="shared" si="2912"/>
        <v>4406468.3</v>
      </c>
      <c r="HN1350" s="185" t="s">
        <v>699</v>
      </c>
      <c r="HO1350" s="185" t="s">
        <v>699</v>
      </c>
      <c r="HP1350" s="185" t="s">
        <v>699</v>
      </c>
      <c r="HQ1350" s="185" t="s">
        <v>699</v>
      </c>
      <c r="HR1350" s="185" t="s">
        <v>699</v>
      </c>
      <c r="HS1350" s="185" t="s">
        <v>699</v>
      </c>
      <c r="HT1350" s="185" t="s">
        <v>699</v>
      </c>
      <c r="HU1350" s="185" t="s">
        <v>699</v>
      </c>
      <c r="HV1350" s="185" t="s">
        <v>699</v>
      </c>
      <c r="HW1350" s="185" t="s">
        <v>699</v>
      </c>
      <c r="HX1350" s="185" t="s">
        <v>699</v>
      </c>
      <c r="HY1350" s="185" t="s">
        <v>699</v>
      </c>
      <c r="HZ1350" s="185" t="s">
        <v>699</v>
      </c>
      <c r="IA1350" s="185" t="s">
        <v>699</v>
      </c>
      <c r="IB1350" s="185" t="s">
        <v>699</v>
      </c>
      <c r="IC1350" s="151">
        <f t="shared" ref="IC1350:IH1350" si="2913">IC1318+IC1328+IC1338</f>
        <v>38990101.100000001</v>
      </c>
      <c r="ID1350" s="151">
        <f t="shared" si="2913"/>
        <v>41188396.979999997</v>
      </c>
      <c r="IE1350" s="151">
        <f t="shared" si="2913"/>
        <v>43435202.219999999</v>
      </c>
      <c r="IF1350" s="151">
        <f t="shared" si="2913"/>
        <v>4303720.5999999996</v>
      </c>
      <c r="IG1350" s="151">
        <f t="shared" si="2913"/>
        <v>4476819.79</v>
      </c>
      <c r="IH1350" s="151">
        <f t="shared" si="2913"/>
        <v>4469421.54</v>
      </c>
      <c r="II1350" s="185" t="s">
        <v>699</v>
      </c>
      <c r="IJ1350" s="185" t="s">
        <v>699</v>
      </c>
      <c r="IK1350" s="185" t="s">
        <v>699</v>
      </c>
      <c r="IL1350" s="185" t="s">
        <v>699</v>
      </c>
      <c r="IM1350" s="185" t="s">
        <v>699</v>
      </c>
      <c r="IN1350" s="185" t="s">
        <v>699</v>
      </c>
      <c r="IO1350" s="185" t="s">
        <v>699</v>
      </c>
      <c r="IP1350" s="185" t="s">
        <v>699</v>
      </c>
      <c r="IQ1350" s="185" t="s">
        <v>699</v>
      </c>
      <c r="IR1350" s="185" t="s">
        <v>699</v>
      </c>
      <c r="IS1350" s="185" t="s">
        <v>699</v>
      </c>
      <c r="IT1350" s="185" t="s">
        <v>699</v>
      </c>
      <c r="IU1350" s="185" t="s">
        <v>699</v>
      </c>
      <c r="IV1350" s="185" t="s">
        <v>699</v>
      </c>
      <c r="IW1350" s="185" t="s">
        <v>699</v>
      </c>
      <c r="IX1350" s="151">
        <f t="shared" ref="IX1350:JC1350" si="2914">IX1318+IX1328+IX1338</f>
        <v>25431200.359999999</v>
      </c>
      <c r="IY1350" s="151">
        <f t="shared" si="2914"/>
        <v>26864800.050000001</v>
      </c>
      <c r="IZ1350" s="151">
        <f t="shared" si="2914"/>
        <v>28330500.27</v>
      </c>
      <c r="JA1350" s="151">
        <f t="shared" si="2914"/>
        <v>3055002.99</v>
      </c>
      <c r="JB1350" s="151">
        <f t="shared" si="2914"/>
        <v>3193702.24</v>
      </c>
      <c r="JC1350" s="151">
        <f t="shared" si="2914"/>
        <v>3177201.8</v>
      </c>
      <c r="JD1350" s="185" t="s">
        <v>699</v>
      </c>
      <c r="JE1350" s="185" t="s">
        <v>699</v>
      </c>
      <c r="JF1350" s="185" t="s">
        <v>699</v>
      </c>
      <c r="JG1350" s="185" t="s">
        <v>699</v>
      </c>
      <c r="JH1350" s="185" t="s">
        <v>699</v>
      </c>
      <c r="JI1350" s="185" t="s">
        <v>699</v>
      </c>
      <c r="JJ1350" s="185" t="s">
        <v>699</v>
      </c>
      <c r="JK1350" s="185" t="s">
        <v>699</v>
      </c>
      <c r="JL1350" s="185" t="s">
        <v>699</v>
      </c>
      <c r="JM1350" s="185" t="s">
        <v>699</v>
      </c>
      <c r="JN1350" s="185" t="s">
        <v>699</v>
      </c>
      <c r="JO1350" s="185" t="s">
        <v>699</v>
      </c>
      <c r="JP1350" s="185" t="s">
        <v>699</v>
      </c>
      <c r="JQ1350" s="185" t="s">
        <v>699</v>
      </c>
      <c r="JR1350" s="185" t="s">
        <v>699</v>
      </c>
      <c r="JS1350" s="151">
        <f t="shared" ref="JS1350:JX1350" si="2915">JS1318+JS1328+JS1338</f>
        <v>39852298.549999997</v>
      </c>
      <c r="JT1350" s="151">
        <f t="shared" si="2915"/>
        <v>42098901.420000002</v>
      </c>
      <c r="JU1350" s="151">
        <f t="shared" si="2915"/>
        <v>44395603.439999998</v>
      </c>
      <c r="JV1350" s="151">
        <f t="shared" si="2915"/>
        <v>3879199.34</v>
      </c>
      <c r="JW1350" s="151">
        <f t="shared" si="2915"/>
        <v>4110698.15</v>
      </c>
      <c r="JX1350" s="151">
        <f t="shared" si="2915"/>
        <v>4179398.18</v>
      </c>
      <c r="JY1350" s="185" t="s">
        <v>699</v>
      </c>
      <c r="JZ1350" s="185" t="s">
        <v>699</v>
      </c>
      <c r="KA1350" s="185" t="s">
        <v>699</v>
      </c>
      <c r="KB1350" s="185" t="s">
        <v>699</v>
      </c>
      <c r="KC1350" s="185" t="s">
        <v>699</v>
      </c>
      <c r="KD1350" s="185" t="s">
        <v>699</v>
      </c>
      <c r="KE1350" s="185" t="s">
        <v>699</v>
      </c>
      <c r="KF1350" s="185" t="s">
        <v>699</v>
      </c>
      <c r="KG1350" s="185" t="s">
        <v>699</v>
      </c>
      <c r="KH1350" s="185" t="s">
        <v>699</v>
      </c>
      <c r="KI1350" s="185" t="s">
        <v>699</v>
      </c>
      <c r="KJ1350" s="185" t="s">
        <v>699</v>
      </c>
      <c r="KK1350" s="185" t="s">
        <v>699</v>
      </c>
      <c r="KL1350" s="185" t="s">
        <v>699</v>
      </c>
      <c r="KM1350" s="185" t="s">
        <v>699</v>
      </c>
      <c r="KN1350" s="151">
        <f t="shared" ref="KN1350:KS1350" si="2916">KN1318+KN1328+KN1338</f>
        <v>44531299.340000004</v>
      </c>
      <c r="KO1350" s="151">
        <f t="shared" si="2916"/>
        <v>47041800.479999997</v>
      </c>
      <c r="KP1350" s="151">
        <f t="shared" si="2916"/>
        <v>49608202.810000002</v>
      </c>
      <c r="KQ1350" s="151">
        <f t="shared" si="2916"/>
        <v>3858418.27</v>
      </c>
      <c r="KR1350" s="151">
        <f t="shared" si="2916"/>
        <v>4041517.82</v>
      </c>
      <c r="KS1350" s="151">
        <f t="shared" si="2916"/>
        <v>4079518.03</v>
      </c>
      <c r="KT1350" s="185" t="s">
        <v>699</v>
      </c>
      <c r="KU1350" s="185" t="s">
        <v>699</v>
      </c>
      <c r="KV1350" s="185" t="s">
        <v>699</v>
      </c>
      <c r="KW1350" s="185" t="s">
        <v>699</v>
      </c>
      <c r="KX1350" s="185" t="s">
        <v>699</v>
      </c>
      <c r="KY1350" s="185" t="s">
        <v>699</v>
      </c>
      <c r="KZ1350" s="185" t="s">
        <v>699</v>
      </c>
      <c r="LA1350" s="185" t="s">
        <v>699</v>
      </c>
      <c r="LB1350" s="185" t="s">
        <v>699</v>
      </c>
      <c r="LC1350" s="185" t="s">
        <v>699</v>
      </c>
      <c r="LD1350" s="185" t="s">
        <v>699</v>
      </c>
      <c r="LE1350" s="185" t="s">
        <v>699</v>
      </c>
      <c r="LF1350" s="185" t="s">
        <v>699</v>
      </c>
      <c r="LG1350" s="185" t="s">
        <v>699</v>
      </c>
      <c r="LH1350" s="185" t="s">
        <v>699</v>
      </c>
      <c r="LI1350" s="151">
        <f t="shared" ref="LI1350:LN1350" si="2917">LI1318+LI1328+LI1338</f>
        <v>39972601.210000001</v>
      </c>
      <c r="LJ1350" s="151">
        <f t="shared" si="2917"/>
        <v>42226098.780000001</v>
      </c>
      <c r="LK1350" s="151">
        <f t="shared" si="2917"/>
        <v>44529997.899999999</v>
      </c>
      <c r="LL1350" s="151">
        <f t="shared" si="2917"/>
        <v>5289010.6399999997</v>
      </c>
      <c r="LM1350" s="151">
        <f t="shared" si="2917"/>
        <v>5615114.7400000002</v>
      </c>
      <c r="LN1350" s="151">
        <f t="shared" si="2917"/>
        <v>5723910.9500000002</v>
      </c>
      <c r="LO1350" s="185" t="s">
        <v>699</v>
      </c>
      <c r="LP1350" s="185" t="s">
        <v>699</v>
      </c>
      <c r="LQ1350" s="185" t="s">
        <v>699</v>
      </c>
      <c r="LR1350" s="185" t="s">
        <v>699</v>
      </c>
      <c r="LS1350" s="185" t="s">
        <v>699</v>
      </c>
      <c r="LT1350" s="185" t="s">
        <v>699</v>
      </c>
      <c r="LU1350" s="185" t="s">
        <v>699</v>
      </c>
      <c r="LV1350" s="185" t="s">
        <v>699</v>
      </c>
      <c r="LW1350" s="185" t="s">
        <v>699</v>
      </c>
      <c r="LX1350" s="185" t="s">
        <v>699</v>
      </c>
      <c r="LY1350" s="185" t="s">
        <v>699</v>
      </c>
      <c r="LZ1350" s="185" t="s">
        <v>699</v>
      </c>
      <c r="MA1350" s="185" t="s">
        <v>699</v>
      </c>
      <c r="MB1350" s="185" t="s">
        <v>699</v>
      </c>
      <c r="MC1350" s="185" t="s">
        <v>699</v>
      </c>
      <c r="MD1350" s="151">
        <f t="shared" ref="MD1350:MI1350" si="2918">MD1318+MD1328+MD1338</f>
        <v>42440102.979999997</v>
      </c>
      <c r="ME1350" s="151">
        <f t="shared" si="2918"/>
        <v>44832899.009999998</v>
      </c>
      <c r="MF1350" s="151">
        <f t="shared" si="2918"/>
        <v>47278903.259999998</v>
      </c>
      <c r="MG1350" s="151">
        <f t="shared" si="2918"/>
        <v>4743934.5199999996</v>
      </c>
      <c r="MH1350" s="151">
        <f t="shared" si="2918"/>
        <v>4958943.3499999996</v>
      </c>
      <c r="MI1350" s="151">
        <f t="shared" si="2918"/>
        <v>5015135.25</v>
      </c>
      <c r="MJ1350" s="185" t="s">
        <v>699</v>
      </c>
      <c r="MK1350" s="185" t="s">
        <v>699</v>
      </c>
      <c r="ML1350" s="185" t="s">
        <v>699</v>
      </c>
      <c r="MM1350" s="185" t="s">
        <v>699</v>
      </c>
      <c r="MN1350" s="185" t="s">
        <v>699</v>
      </c>
      <c r="MO1350" s="185" t="s">
        <v>699</v>
      </c>
      <c r="MP1350" s="185" t="s">
        <v>699</v>
      </c>
      <c r="MQ1350" s="185" t="s">
        <v>699</v>
      </c>
      <c r="MR1350" s="185" t="s">
        <v>699</v>
      </c>
      <c r="MS1350" s="185" t="s">
        <v>699</v>
      </c>
      <c r="MT1350" s="185" t="s">
        <v>699</v>
      </c>
      <c r="MU1350" s="185" t="s">
        <v>699</v>
      </c>
      <c r="MV1350" s="185" t="s">
        <v>699</v>
      </c>
      <c r="MW1350" s="185" t="s">
        <v>699</v>
      </c>
      <c r="MX1350" s="185" t="s">
        <v>699</v>
      </c>
      <c r="MY1350" s="151">
        <f t="shared" ref="MY1350:ND1350" si="2919">MY1318+MY1328+MY1338</f>
        <v>43312398.630000003</v>
      </c>
      <c r="MZ1350" s="151">
        <f t="shared" si="2919"/>
        <v>45754498.439999998</v>
      </c>
      <c r="NA1350" s="151">
        <f t="shared" si="2919"/>
        <v>48250700.380000003</v>
      </c>
      <c r="NB1350" s="151">
        <f t="shared" si="2919"/>
        <v>4998649.38</v>
      </c>
      <c r="NC1350" s="151">
        <f t="shared" si="2919"/>
        <v>5151954.6500000004</v>
      </c>
      <c r="ND1350" s="151">
        <f t="shared" si="2919"/>
        <v>5255949.0999999996</v>
      </c>
      <c r="NE1350" s="185" t="s">
        <v>699</v>
      </c>
      <c r="NF1350" s="185" t="s">
        <v>699</v>
      </c>
      <c r="NG1350" s="185" t="s">
        <v>699</v>
      </c>
      <c r="NH1350" s="185" t="s">
        <v>699</v>
      </c>
      <c r="NI1350" s="185" t="s">
        <v>699</v>
      </c>
      <c r="NJ1350" s="185" t="s">
        <v>699</v>
      </c>
      <c r="NK1350" s="185" t="s">
        <v>699</v>
      </c>
      <c r="NL1350" s="185" t="s">
        <v>699</v>
      </c>
      <c r="NM1350" s="185" t="s">
        <v>699</v>
      </c>
      <c r="NN1350" s="185" t="s">
        <v>699</v>
      </c>
      <c r="NO1350" s="185" t="s">
        <v>699</v>
      </c>
      <c r="NP1350" s="185" t="s">
        <v>699</v>
      </c>
      <c r="NQ1350" s="185" t="s">
        <v>699</v>
      </c>
      <c r="NR1350" s="185" t="s">
        <v>699</v>
      </c>
      <c r="NS1350" s="185" t="s">
        <v>699</v>
      </c>
      <c r="NT1350" s="151">
        <f t="shared" ref="NT1350:NY1350" si="2920">NT1318+NT1328+NT1338</f>
        <v>36850700.869999997</v>
      </c>
      <c r="NU1350" s="151">
        <f t="shared" si="2920"/>
        <v>38928199.380000003</v>
      </c>
      <c r="NV1350" s="151">
        <f t="shared" si="2920"/>
        <v>41051999.219999999</v>
      </c>
      <c r="NW1350" s="151">
        <f t="shared" si="2920"/>
        <v>5828563.1399999997</v>
      </c>
      <c r="NX1350" s="151">
        <f t="shared" si="2920"/>
        <v>6208461.5999999996</v>
      </c>
      <c r="NY1350" s="151">
        <f t="shared" si="2920"/>
        <v>6122164.1399999997</v>
      </c>
      <c r="NZ1350" s="185" t="s">
        <v>699</v>
      </c>
      <c r="OA1350" s="185" t="s">
        <v>699</v>
      </c>
      <c r="OB1350" s="185" t="s">
        <v>699</v>
      </c>
      <c r="OC1350" s="185" t="s">
        <v>699</v>
      </c>
      <c r="OD1350" s="185" t="s">
        <v>699</v>
      </c>
      <c r="OE1350" s="185" t="s">
        <v>699</v>
      </c>
      <c r="OF1350" s="185" t="s">
        <v>699</v>
      </c>
      <c r="OG1350" s="185" t="s">
        <v>699</v>
      </c>
      <c r="OH1350" s="185" t="s">
        <v>699</v>
      </c>
      <c r="OI1350" s="185" t="s">
        <v>699</v>
      </c>
      <c r="OJ1350" s="185" t="s">
        <v>699</v>
      </c>
      <c r="OK1350" s="185" t="s">
        <v>699</v>
      </c>
      <c r="OL1350" s="185" t="s">
        <v>699</v>
      </c>
      <c r="OM1350" s="185" t="s">
        <v>699</v>
      </c>
      <c r="ON1350" s="185" t="s">
        <v>699</v>
      </c>
      <c r="OO1350" s="151">
        <f t="shared" ref="OO1350:OT1350" si="2921">OO1318+OO1328+OO1338</f>
        <v>35381300.149999999</v>
      </c>
      <c r="OP1350" s="151">
        <f t="shared" si="2921"/>
        <v>37375900.579999998</v>
      </c>
      <c r="OQ1350" s="151">
        <f t="shared" si="2921"/>
        <v>39415299.299999997</v>
      </c>
      <c r="OR1350" s="151">
        <f t="shared" si="2921"/>
        <v>3962427.57</v>
      </c>
      <c r="OS1350" s="151">
        <f t="shared" si="2921"/>
        <v>4203225.12</v>
      </c>
      <c r="OT1350" s="151">
        <f t="shared" si="2921"/>
        <v>4243527.0199999996</v>
      </c>
      <c r="OU1350" s="185" t="s">
        <v>699</v>
      </c>
      <c r="OV1350" s="185" t="s">
        <v>699</v>
      </c>
      <c r="OW1350" s="185" t="s">
        <v>699</v>
      </c>
      <c r="OX1350" s="185" t="s">
        <v>699</v>
      </c>
      <c r="OY1350" s="185" t="s">
        <v>699</v>
      </c>
      <c r="OZ1350" s="185" t="s">
        <v>699</v>
      </c>
      <c r="PA1350" s="185" t="s">
        <v>699</v>
      </c>
      <c r="PB1350" s="185" t="s">
        <v>699</v>
      </c>
      <c r="PC1350" s="185" t="s">
        <v>699</v>
      </c>
      <c r="PD1350" s="185" t="s">
        <v>699</v>
      </c>
      <c r="PE1350" s="185" t="s">
        <v>699</v>
      </c>
      <c r="PF1350" s="185" t="s">
        <v>699</v>
      </c>
      <c r="PG1350" s="185" t="s">
        <v>699</v>
      </c>
      <c r="PH1350" s="185" t="s">
        <v>699</v>
      </c>
      <c r="PI1350" s="185" t="s">
        <v>699</v>
      </c>
      <c r="PJ1350" s="151">
        <f t="shared" ref="PJ1350:PO1350" si="2922">PJ1318+PJ1328+PJ1338</f>
        <v>42163499.710000001</v>
      </c>
      <c r="PK1350" s="151">
        <f t="shared" si="2922"/>
        <v>44540202.450000003</v>
      </c>
      <c r="PL1350" s="151">
        <f t="shared" si="2922"/>
        <v>46970502.07</v>
      </c>
      <c r="PM1350" s="151">
        <f t="shared" si="2922"/>
        <v>4993158.8</v>
      </c>
      <c r="PN1350" s="151">
        <f t="shared" si="2922"/>
        <v>5201358.59</v>
      </c>
      <c r="PO1350" s="151">
        <f t="shared" si="2922"/>
        <v>5317161.59</v>
      </c>
      <c r="PP1350" s="185" t="s">
        <v>699</v>
      </c>
      <c r="PQ1350" s="185" t="s">
        <v>699</v>
      </c>
      <c r="PR1350" s="185" t="s">
        <v>699</v>
      </c>
      <c r="PS1350" s="185" t="s">
        <v>699</v>
      </c>
      <c r="PT1350" s="185" t="s">
        <v>699</v>
      </c>
      <c r="PU1350" s="185" t="s">
        <v>699</v>
      </c>
      <c r="PV1350" s="185" t="s">
        <v>699</v>
      </c>
      <c r="PW1350" s="185" t="s">
        <v>699</v>
      </c>
      <c r="PX1350" s="185" t="s">
        <v>699</v>
      </c>
      <c r="PY1350" s="185" t="s">
        <v>699</v>
      </c>
      <c r="PZ1350" s="185" t="s">
        <v>699</v>
      </c>
      <c r="QA1350" s="185" t="s">
        <v>699</v>
      </c>
      <c r="QB1350" s="185" t="s">
        <v>699</v>
      </c>
      <c r="QC1350" s="185" t="s">
        <v>699</v>
      </c>
      <c r="QD1350" s="185" t="s">
        <v>699</v>
      </c>
      <c r="QE1350" s="151">
        <f t="shared" ref="QE1350:QJ1350" si="2923">QE1318+QE1328+QE1338</f>
        <v>68498703.459999993</v>
      </c>
      <c r="QF1350" s="151">
        <f t="shared" si="2923"/>
        <v>72360304.060000002</v>
      </c>
      <c r="QG1350" s="151">
        <f t="shared" si="2923"/>
        <v>76308096.879999995</v>
      </c>
      <c r="QH1350" s="151">
        <f t="shared" si="2923"/>
        <v>9604010.8699999992</v>
      </c>
      <c r="QI1350" s="151">
        <f t="shared" si="2923"/>
        <v>10282409.109999999</v>
      </c>
      <c r="QJ1350" s="151">
        <f t="shared" si="2923"/>
        <v>10416711.27</v>
      </c>
      <c r="QK1350" s="185" t="s">
        <v>699</v>
      </c>
      <c r="QL1350" s="185" t="s">
        <v>699</v>
      </c>
      <c r="QM1350" s="185" t="s">
        <v>699</v>
      </c>
      <c r="QN1350" s="185" t="s">
        <v>699</v>
      </c>
      <c r="QO1350" s="185" t="s">
        <v>699</v>
      </c>
      <c r="QP1350" s="185" t="s">
        <v>699</v>
      </c>
      <c r="QQ1350" s="185" t="s">
        <v>699</v>
      </c>
      <c r="QR1350" s="185" t="s">
        <v>699</v>
      </c>
      <c r="QS1350" s="185" t="s">
        <v>699</v>
      </c>
      <c r="QT1350" s="185" t="s">
        <v>699</v>
      </c>
      <c r="QU1350" s="185" t="s">
        <v>699</v>
      </c>
      <c r="QV1350" s="185" t="s">
        <v>699</v>
      </c>
      <c r="QW1350" s="185" t="s">
        <v>699</v>
      </c>
      <c r="QX1350" s="185" t="s">
        <v>699</v>
      </c>
      <c r="QY1350" s="185" t="s">
        <v>699</v>
      </c>
      <c r="QZ1350" s="151">
        <f t="shared" ref="QZ1350:RE1350" si="2924">QZ1318+QZ1328+QZ1338</f>
        <v>52179800.43</v>
      </c>
      <c r="RA1350" s="151">
        <f t="shared" si="2924"/>
        <v>55121601.18</v>
      </c>
      <c r="RB1350" s="151">
        <f t="shared" si="2924"/>
        <v>58128798.82</v>
      </c>
      <c r="RC1350" s="151">
        <f t="shared" si="2924"/>
        <v>4851752.0199999996</v>
      </c>
      <c r="RD1350" s="151">
        <f t="shared" si="2924"/>
        <v>5136054.1500000004</v>
      </c>
      <c r="RE1350" s="151">
        <f t="shared" si="2924"/>
        <v>5239051.54</v>
      </c>
      <c r="RF1350" s="185" t="s">
        <v>699</v>
      </c>
      <c r="RG1350" s="185" t="s">
        <v>699</v>
      </c>
      <c r="RH1350" s="185" t="s">
        <v>699</v>
      </c>
      <c r="RI1350" s="185" t="s">
        <v>699</v>
      </c>
      <c r="RJ1350" s="185" t="s">
        <v>699</v>
      </c>
      <c r="RK1350" s="185" t="s">
        <v>699</v>
      </c>
      <c r="RL1350" s="185" t="s">
        <v>699</v>
      </c>
      <c r="RM1350" s="185" t="s">
        <v>699</v>
      </c>
      <c r="RN1350" s="185" t="s">
        <v>699</v>
      </c>
      <c r="RO1350" s="185" t="s">
        <v>699</v>
      </c>
      <c r="RP1350" s="185" t="s">
        <v>699</v>
      </c>
      <c r="RQ1350" s="185" t="s">
        <v>699</v>
      </c>
      <c r="RR1350" s="185" t="s">
        <v>699</v>
      </c>
      <c r="RS1350" s="185" t="s">
        <v>699</v>
      </c>
      <c r="RT1350" s="185" t="s">
        <v>699</v>
      </c>
      <c r="RU1350" s="151">
        <f t="shared" ref="RU1350:RZ1350" si="2925">RU1318+RU1328+RU1338</f>
        <v>36882799.920000002</v>
      </c>
      <c r="RV1350" s="151">
        <f t="shared" si="2925"/>
        <v>38962102.520000003</v>
      </c>
      <c r="RW1350" s="151">
        <f t="shared" si="2925"/>
        <v>41087799.280000001</v>
      </c>
      <c r="RX1350" s="151">
        <f t="shared" si="2925"/>
        <v>4519277.5199999996</v>
      </c>
      <c r="RY1350" s="151">
        <f t="shared" si="2925"/>
        <v>4690572.6500000004</v>
      </c>
      <c r="RZ1350" s="151">
        <f t="shared" si="2925"/>
        <v>4783473.5599999996</v>
      </c>
      <c r="SA1350" s="185" t="s">
        <v>699</v>
      </c>
      <c r="SB1350" s="185" t="s">
        <v>699</v>
      </c>
      <c r="SC1350" s="185" t="s">
        <v>699</v>
      </c>
      <c r="SD1350" s="185" t="s">
        <v>699</v>
      </c>
      <c r="SE1350" s="185" t="s">
        <v>699</v>
      </c>
      <c r="SF1350" s="185" t="s">
        <v>699</v>
      </c>
      <c r="SG1350" s="185" t="s">
        <v>699</v>
      </c>
      <c r="SH1350" s="185" t="s">
        <v>699</v>
      </c>
      <c r="SI1350" s="185" t="s">
        <v>699</v>
      </c>
      <c r="SJ1350" s="185" t="s">
        <v>699</v>
      </c>
      <c r="SK1350" s="185" t="s">
        <v>699</v>
      </c>
      <c r="SL1350" s="185" t="s">
        <v>699</v>
      </c>
      <c r="SM1350" s="185" t="s">
        <v>699</v>
      </c>
      <c r="SN1350" s="185" t="s">
        <v>699</v>
      </c>
      <c r="SO1350" s="185" t="s">
        <v>699</v>
      </c>
      <c r="SP1350" s="151">
        <f t="shared" ref="SP1350:SU1350" si="2926">SP1318+SP1328+SP1338</f>
        <v>31678400.780000001</v>
      </c>
      <c r="SQ1350" s="151">
        <f t="shared" si="2926"/>
        <v>33464300.949999999</v>
      </c>
      <c r="SR1350" s="151">
        <f t="shared" si="2926"/>
        <v>35290101.439999998</v>
      </c>
      <c r="SS1350" s="151">
        <f t="shared" si="2926"/>
        <v>4810728.04</v>
      </c>
      <c r="ST1350" s="151">
        <f t="shared" si="2926"/>
        <v>5069027.51</v>
      </c>
      <c r="SU1350" s="151">
        <f t="shared" si="2926"/>
        <v>5159329.8899999997</v>
      </c>
      <c r="SV1350" s="185" t="s">
        <v>699</v>
      </c>
      <c r="SW1350" s="185" t="s">
        <v>699</v>
      </c>
      <c r="SX1350" s="185" t="s">
        <v>699</v>
      </c>
      <c r="SY1350" s="185" t="s">
        <v>699</v>
      </c>
      <c r="SZ1350" s="185" t="s">
        <v>699</v>
      </c>
      <c r="TA1350" s="185" t="s">
        <v>699</v>
      </c>
      <c r="TB1350" s="185" t="s">
        <v>699</v>
      </c>
      <c r="TC1350" s="185" t="s">
        <v>699</v>
      </c>
      <c r="TD1350" s="185" t="s">
        <v>699</v>
      </c>
      <c r="TE1350" s="185" t="s">
        <v>699</v>
      </c>
      <c r="TF1350" s="185" t="s">
        <v>699</v>
      </c>
      <c r="TG1350" s="185" t="s">
        <v>699</v>
      </c>
      <c r="TH1350" s="185" t="s">
        <v>699</v>
      </c>
      <c r="TI1350" s="185" t="s">
        <v>699</v>
      </c>
      <c r="TJ1350" s="185" t="s">
        <v>699</v>
      </c>
      <c r="TK1350" s="151">
        <f t="shared" ref="TK1350:TP1350" si="2927">TK1318+TK1328+TK1338</f>
        <v>55536695.090000004</v>
      </c>
      <c r="TL1350" s="151">
        <f t="shared" si="2927"/>
        <v>58667602.43</v>
      </c>
      <c r="TM1350" s="151">
        <f t="shared" si="2927"/>
        <v>61868400.979999997</v>
      </c>
      <c r="TN1350" s="151">
        <f t="shared" si="2927"/>
        <v>7732032.8600000003</v>
      </c>
      <c r="TO1350" s="151">
        <f t="shared" si="2927"/>
        <v>8092224.7599999998</v>
      </c>
      <c r="TP1350" s="151">
        <f t="shared" si="2927"/>
        <v>8181030.8600000003</v>
      </c>
      <c r="TQ1350" s="185" t="s">
        <v>699</v>
      </c>
      <c r="TR1350" s="185" t="s">
        <v>699</v>
      </c>
      <c r="TS1350" s="185" t="s">
        <v>699</v>
      </c>
      <c r="TT1350" s="185" t="s">
        <v>699</v>
      </c>
      <c r="TU1350" s="185" t="s">
        <v>699</v>
      </c>
      <c r="TV1350" s="185" t="s">
        <v>699</v>
      </c>
      <c r="TW1350" s="185" t="s">
        <v>699</v>
      </c>
      <c r="TX1350" s="185" t="s">
        <v>699</v>
      </c>
      <c r="TY1350" s="185" t="s">
        <v>699</v>
      </c>
      <c r="TZ1350" s="185" t="s">
        <v>699</v>
      </c>
      <c r="UA1350" s="185" t="s">
        <v>699</v>
      </c>
      <c r="UB1350" s="185" t="s">
        <v>699</v>
      </c>
      <c r="UC1350" s="185" t="s">
        <v>699</v>
      </c>
      <c r="UD1350" s="185" t="s">
        <v>699</v>
      </c>
      <c r="UE1350" s="185" t="s">
        <v>699</v>
      </c>
      <c r="UF1350" s="151">
        <f t="shared" ref="UF1350:UK1350" si="2928">UF1318+UF1328+UF1338</f>
        <v>37004899.729999997</v>
      </c>
      <c r="UG1350" s="151">
        <f t="shared" si="2928"/>
        <v>39090899.920000002</v>
      </c>
      <c r="UH1350" s="151">
        <f t="shared" si="2928"/>
        <v>41223700</v>
      </c>
      <c r="UI1350" s="151">
        <f t="shared" si="2928"/>
        <v>4302356.71</v>
      </c>
      <c r="UJ1350" s="151">
        <f t="shared" si="2928"/>
        <v>4634962.67</v>
      </c>
      <c r="UK1350" s="151">
        <f t="shared" si="2928"/>
        <v>4713862.95</v>
      </c>
      <c r="UL1350" s="185" t="s">
        <v>699</v>
      </c>
      <c r="UM1350" s="185" t="s">
        <v>699</v>
      </c>
      <c r="UN1350" s="185" t="s">
        <v>699</v>
      </c>
      <c r="UO1350" s="185" t="s">
        <v>699</v>
      </c>
      <c r="UP1350" s="185" t="s">
        <v>699</v>
      </c>
      <c r="UQ1350" s="185" t="s">
        <v>699</v>
      </c>
      <c r="UR1350" s="185" t="s">
        <v>699</v>
      </c>
      <c r="US1350" s="185" t="s">
        <v>699</v>
      </c>
      <c r="UT1350" s="185" t="s">
        <v>699</v>
      </c>
      <c r="UU1350" s="185" t="s">
        <v>699</v>
      </c>
      <c r="UV1350" s="185" t="s">
        <v>699</v>
      </c>
      <c r="UW1350" s="185" t="s">
        <v>699</v>
      </c>
      <c r="UX1350" s="185" t="s">
        <v>699</v>
      </c>
      <c r="UY1350" s="185" t="s">
        <v>699</v>
      </c>
      <c r="UZ1350" s="185" t="s">
        <v>699</v>
      </c>
      <c r="VA1350" s="151">
        <f t="shared" ref="VA1350:VF1350" si="2929">VA1318+VA1328+VA1338</f>
        <v>56946104.020000003</v>
      </c>
      <c r="VB1350" s="151">
        <f t="shared" si="2929"/>
        <v>60156397.93</v>
      </c>
      <c r="VC1350" s="151">
        <f t="shared" si="2929"/>
        <v>63438399.740000002</v>
      </c>
      <c r="VD1350" s="151">
        <f t="shared" si="2929"/>
        <v>5853481.8600000003</v>
      </c>
      <c r="VE1350" s="151">
        <f t="shared" si="2929"/>
        <v>6276985.9900000002</v>
      </c>
      <c r="VF1350" s="151">
        <f t="shared" si="2929"/>
        <v>6412082.4100000001</v>
      </c>
      <c r="VG1350" s="185" t="s">
        <v>699</v>
      </c>
      <c r="VH1350" s="185" t="s">
        <v>699</v>
      </c>
      <c r="VI1350" s="185" t="s">
        <v>699</v>
      </c>
      <c r="VJ1350" s="185" t="s">
        <v>699</v>
      </c>
      <c r="VK1350" s="185" t="s">
        <v>699</v>
      </c>
      <c r="VL1350" s="185" t="s">
        <v>699</v>
      </c>
      <c r="VM1350" s="185" t="s">
        <v>699</v>
      </c>
      <c r="VN1350" s="185" t="s">
        <v>699</v>
      </c>
      <c r="VO1350" s="185" t="s">
        <v>699</v>
      </c>
      <c r="VP1350" s="185" t="s">
        <v>699</v>
      </c>
      <c r="VQ1350" s="185" t="s">
        <v>699</v>
      </c>
      <c r="VR1350" s="185" t="s">
        <v>699</v>
      </c>
      <c r="VS1350" s="185" t="s">
        <v>699</v>
      </c>
      <c r="VT1350" s="185" t="s">
        <v>699</v>
      </c>
      <c r="VU1350" s="185" t="s">
        <v>699</v>
      </c>
      <c r="VV1350" s="151">
        <f t="shared" ref="VV1350:WA1350" si="2930">VV1318+VV1328+VV1338</f>
        <v>57528500.350000001</v>
      </c>
      <c r="VW1350" s="151">
        <f t="shared" si="2930"/>
        <v>60771496.939999998</v>
      </c>
      <c r="VX1350" s="151">
        <f t="shared" si="2930"/>
        <v>64087198.259999998</v>
      </c>
      <c r="VY1350" s="151">
        <f t="shared" si="2930"/>
        <v>6035485.8700000001</v>
      </c>
      <c r="VZ1350" s="151">
        <f t="shared" si="2930"/>
        <v>6343780.0099999998</v>
      </c>
      <c r="WA1350" s="151">
        <f t="shared" si="2930"/>
        <v>6479378.4000000004</v>
      </c>
      <c r="WB1350" s="185" t="s">
        <v>699</v>
      </c>
      <c r="WC1350" s="185" t="s">
        <v>699</v>
      </c>
      <c r="WD1350" s="185" t="s">
        <v>699</v>
      </c>
      <c r="WE1350" s="185" t="s">
        <v>699</v>
      </c>
      <c r="WF1350" s="185" t="s">
        <v>699</v>
      </c>
      <c r="WG1350" s="185" t="s">
        <v>699</v>
      </c>
      <c r="WH1350" s="185" t="s">
        <v>699</v>
      </c>
      <c r="WI1350" s="185" t="s">
        <v>699</v>
      </c>
      <c r="WJ1350" s="185" t="s">
        <v>699</v>
      </c>
      <c r="WK1350" s="185" t="s">
        <v>699</v>
      </c>
      <c r="WL1350" s="185" t="s">
        <v>699</v>
      </c>
      <c r="WM1350" s="185" t="s">
        <v>699</v>
      </c>
      <c r="WN1350" s="185" t="s">
        <v>699</v>
      </c>
      <c r="WO1350" s="185" t="s">
        <v>699</v>
      </c>
      <c r="WP1350" s="185" t="s">
        <v>699</v>
      </c>
      <c r="WQ1350" s="151">
        <f t="shared" ref="WQ1350:WV1350" si="2931">WQ1318+WQ1328+WQ1338</f>
        <v>46334703.030000001</v>
      </c>
      <c r="WR1350" s="151">
        <f t="shared" si="2931"/>
        <v>48947000.380000003</v>
      </c>
      <c r="WS1350" s="151">
        <f t="shared" si="2931"/>
        <v>51617203.770000003</v>
      </c>
      <c r="WT1350" s="151">
        <f t="shared" si="2931"/>
        <v>5874523.54</v>
      </c>
      <c r="WU1350" s="151">
        <f t="shared" si="2931"/>
        <v>6322419.2999999998</v>
      </c>
      <c r="WV1350" s="151">
        <f t="shared" si="2931"/>
        <v>6461118.6799999997</v>
      </c>
      <c r="WW1350" s="185" t="s">
        <v>699</v>
      </c>
      <c r="WX1350" s="185" t="s">
        <v>699</v>
      </c>
      <c r="WY1350" s="185" t="s">
        <v>699</v>
      </c>
      <c r="WZ1350" s="185" t="s">
        <v>699</v>
      </c>
      <c r="XA1350" s="185" t="s">
        <v>699</v>
      </c>
      <c r="XB1350" s="185" t="s">
        <v>699</v>
      </c>
      <c r="XC1350" s="185" t="s">
        <v>699</v>
      </c>
      <c r="XD1350" s="185" t="s">
        <v>699</v>
      </c>
      <c r="XE1350" s="185" t="s">
        <v>699</v>
      </c>
      <c r="XF1350" s="185" t="s">
        <v>699</v>
      </c>
      <c r="XG1350" s="185" t="s">
        <v>699</v>
      </c>
      <c r="XH1350" s="185" t="s">
        <v>699</v>
      </c>
      <c r="XI1350" s="185" t="s">
        <v>699</v>
      </c>
      <c r="XJ1350" s="185" t="s">
        <v>699</v>
      </c>
      <c r="XK1350" s="185" t="s">
        <v>699</v>
      </c>
      <c r="XL1350" s="151">
        <f t="shared" ref="XL1350:XQ1350" si="2932">XL1318+XL1328+XL1338</f>
        <v>53502301.700000003</v>
      </c>
      <c r="XM1350" s="151">
        <f t="shared" si="2932"/>
        <v>56518602.909999996</v>
      </c>
      <c r="XN1350" s="151">
        <f t="shared" si="2932"/>
        <v>59602105.219999999</v>
      </c>
      <c r="XO1350" s="151">
        <f t="shared" si="2932"/>
        <v>5449605.3499999996</v>
      </c>
      <c r="XP1350" s="151">
        <f t="shared" si="2932"/>
        <v>5886312.3200000003</v>
      </c>
      <c r="XQ1350" s="151">
        <f t="shared" si="2932"/>
        <v>5994008.6399999997</v>
      </c>
      <c r="XR1350" s="185" t="s">
        <v>699</v>
      </c>
      <c r="XS1350" s="185" t="s">
        <v>699</v>
      </c>
      <c r="XT1350" s="185" t="s">
        <v>699</v>
      </c>
      <c r="XU1350" s="185" t="s">
        <v>699</v>
      </c>
      <c r="XV1350" s="185" t="s">
        <v>699</v>
      </c>
      <c r="XW1350" s="185" t="s">
        <v>699</v>
      </c>
      <c r="XX1350" s="185" t="s">
        <v>699</v>
      </c>
      <c r="XY1350" s="185" t="s">
        <v>699</v>
      </c>
      <c r="XZ1350" s="185" t="s">
        <v>699</v>
      </c>
      <c r="YA1350" s="185" t="s">
        <v>699</v>
      </c>
      <c r="YB1350" s="185" t="s">
        <v>699</v>
      </c>
      <c r="YC1350" s="185" t="s">
        <v>699</v>
      </c>
      <c r="YD1350" s="185" t="s">
        <v>699</v>
      </c>
      <c r="YE1350" s="185" t="s">
        <v>699</v>
      </c>
      <c r="YF1350" s="185" t="s">
        <v>699</v>
      </c>
      <c r="YG1350" s="151">
        <f t="shared" ref="YG1350:YL1350" si="2933">YG1318+YG1328+YG1338</f>
        <v>45901900.439999998</v>
      </c>
      <c r="YH1350" s="151">
        <f t="shared" si="2933"/>
        <v>48489102.75</v>
      </c>
      <c r="YI1350" s="151">
        <f t="shared" si="2933"/>
        <v>51135497.759999998</v>
      </c>
      <c r="YJ1350" s="151">
        <f t="shared" si="2933"/>
        <v>19971476.120000001</v>
      </c>
      <c r="YK1350" s="151">
        <f t="shared" si="2933"/>
        <v>24106184.469999999</v>
      </c>
      <c r="YL1350" s="151">
        <f t="shared" si="2933"/>
        <v>24604474.829999998</v>
      </c>
      <c r="YM1350" s="185" t="s">
        <v>699</v>
      </c>
      <c r="YN1350" s="185" t="s">
        <v>699</v>
      </c>
      <c r="YO1350" s="185" t="s">
        <v>699</v>
      </c>
      <c r="YP1350" s="185" t="s">
        <v>699</v>
      </c>
      <c r="YQ1350" s="185" t="s">
        <v>699</v>
      </c>
      <c r="YR1350" s="185" t="s">
        <v>699</v>
      </c>
      <c r="YS1350" s="185" t="s">
        <v>699</v>
      </c>
      <c r="YT1350" s="185" t="s">
        <v>699</v>
      </c>
      <c r="YU1350" s="185" t="s">
        <v>699</v>
      </c>
      <c r="YV1350" s="185" t="s">
        <v>699</v>
      </c>
      <c r="YW1350" s="185" t="s">
        <v>699</v>
      </c>
      <c r="YX1350" s="185" t="s">
        <v>699</v>
      </c>
      <c r="YY1350" s="185" t="s">
        <v>699</v>
      </c>
      <c r="YZ1350" s="185" t="s">
        <v>699</v>
      </c>
      <c r="ZA1350" s="185" t="s">
        <v>699</v>
      </c>
      <c r="ZB1350" s="151">
        <f t="shared" ref="ZB1350:ZG1350" si="2934">ZB1318+ZB1328+ZB1338</f>
        <v>1307984750.77</v>
      </c>
      <c r="ZC1350" s="151">
        <f t="shared" si="2934"/>
        <v>1381723053.3</v>
      </c>
      <c r="ZD1350" s="151">
        <f t="shared" si="2934"/>
        <v>1457107382.9000001</v>
      </c>
      <c r="ZE1350" s="151">
        <f t="shared" si="2934"/>
        <v>165589038.97</v>
      </c>
      <c r="ZF1350" s="151">
        <f t="shared" si="2934"/>
        <v>177473139.22999999</v>
      </c>
      <c r="ZG1350" s="151">
        <f t="shared" si="2934"/>
        <v>180330605.41</v>
      </c>
    </row>
    <row r="1351" spans="1:683" s="168" customFormat="1" x14ac:dyDescent="0.25">
      <c r="A1351" s="165" t="s">
        <v>712</v>
      </c>
      <c r="B1351" s="335"/>
      <c r="C1351" s="164"/>
      <c r="D1351" s="165"/>
      <c r="E1351" s="166"/>
      <c r="F1351" s="167"/>
      <c r="G1351" s="167"/>
      <c r="H1351" s="167"/>
      <c r="I1351" s="167"/>
      <c r="J1351" s="167"/>
      <c r="K1351" s="167"/>
      <c r="L1351" s="167"/>
      <c r="M1351" s="167"/>
      <c r="N1351" s="167"/>
      <c r="O1351" s="167"/>
      <c r="P1351" s="167"/>
      <c r="Q1351" s="167"/>
      <c r="R1351" s="167"/>
      <c r="S1351" s="167"/>
      <c r="T1351" s="167"/>
      <c r="U1351" s="167"/>
      <c r="V1351" s="167"/>
      <c r="W1351" s="167"/>
      <c r="X1351" s="167"/>
      <c r="Y1351" s="167"/>
      <c r="Z1351" s="167"/>
      <c r="AA1351" s="167">
        <f>AA1357-AA1352-AA1350</f>
        <v>-0.33</v>
      </c>
      <c r="AB1351" s="167">
        <f t="shared" ref="AB1351:AF1351" si="2935">AB1357-AB1352-AB1350</f>
        <v>-1.1100000000000001</v>
      </c>
      <c r="AC1351" s="167">
        <f t="shared" si="2935"/>
        <v>-1.94</v>
      </c>
      <c r="AD1351" s="167">
        <f t="shared" si="2935"/>
        <v>0.94</v>
      </c>
      <c r="AE1351" s="167">
        <f t="shared" si="2935"/>
        <v>-1.24</v>
      </c>
      <c r="AF1351" s="167">
        <f t="shared" si="2935"/>
        <v>-1.88</v>
      </c>
      <c r="AG1351" s="167"/>
      <c r="AH1351" s="167"/>
      <c r="AI1351" s="167"/>
      <c r="AJ1351" s="167"/>
      <c r="AK1351" s="167"/>
      <c r="AL1351" s="167"/>
      <c r="AM1351" s="167"/>
      <c r="AN1351" s="167"/>
      <c r="AO1351" s="167"/>
      <c r="AP1351" s="167"/>
      <c r="AQ1351" s="167"/>
      <c r="AR1351" s="167"/>
      <c r="AS1351" s="167"/>
      <c r="AT1351" s="167"/>
      <c r="AU1351" s="167"/>
      <c r="AV1351" s="167">
        <f t="shared" ref="AV1351:BA1351" si="2936">AV1357-AV1352-AV1350</f>
        <v>1.06</v>
      </c>
      <c r="AW1351" s="167">
        <f t="shared" si="2936"/>
        <v>-1.77</v>
      </c>
      <c r="AX1351" s="167">
        <f t="shared" si="2936"/>
        <v>0.14000000000000001</v>
      </c>
      <c r="AY1351" s="167">
        <f t="shared" si="2936"/>
        <v>4.53</v>
      </c>
      <c r="AZ1351" s="167">
        <f t="shared" si="2936"/>
        <v>3.12</v>
      </c>
      <c r="BA1351" s="167">
        <f t="shared" si="2936"/>
        <v>-0.37</v>
      </c>
      <c r="BB1351" s="167"/>
      <c r="BC1351" s="167"/>
      <c r="BD1351" s="167"/>
      <c r="BE1351" s="167"/>
      <c r="BF1351" s="167"/>
      <c r="BG1351" s="167"/>
      <c r="BH1351" s="167"/>
      <c r="BI1351" s="167"/>
      <c r="BJ1351" s="167"/>
      <c r="BK1351" s="167"/>
      <c r="BL1351" s="167"/>
      <c r="BM1351" s="167"/>
      <c r="BN1351" s="167"/>
      <c r="BO1351" s="167"/>
      <c r="BP1351" s="167"/>
      <c r="BQ1351" s="167">
        <f t="shared" ref="BQ1351:BV1351" si="2937">BQ1357-BQ1352-BQ1350</f>
        <v>0.96</v>
      </c>
      <c r="BR1351" s="167">
        <f t="shared" si="2937"/>
        <v>2.0299999999999998</v>
      </c>
      <c r="BS1351" s="167">
        <f t="shared" si="2937"/>
        <v>1.1000000000000001</v>
      </c>
      <c r="BT1351" s="167">
        <f t="shared" si="2937"/>
        <v>-2.4900000000000002</v>
      </c>
      <c r="BU1351" s="167">
        <f t="shared" si="2937"/>
        <v>-0.7</v>
      </c>
      <c r="BV1351" s="167">
        <f t="shared" si="2937"/>
        <v>-0.49</v>
      </c>
      <c r="BW1351" s="167"/>
      <c r="BX1351" s="167"/>
      <c r="BY1351" s="167"/>
      <c r="BZ1351" s="167"/>
      <c r="CA1351" s="167"/>
      <c r="CB1351" s="167"/>
      <c r="CC1351" s="167"/>
      <c r="CD1351" s="167"/>
      <c r="CE1351" s="167"/>
      <c r="CF1351" s="167"/>
      <c r="CG1351" s="167"/>
      <c r="CH1351" s="167"/>
      <c r="CI1351" s="167"/>
      <c r="CJ1351" s="167"/>
      <c r="CK1351" s="167"/>
      <c r="CL1351" s="167">
        <f t="shared" ref="CL1351:CQ1351" si="2938">CL1357-CL1352-CL1350</f>
        <v>-1.9</v>
      </c>
      <c r="CM1351" s="167">
        <f t="shared" si="2938"/>
        <v>-0.09</v>
      </c>
      <c r="CN1351" s="167">
        <f t="shared" si="2938"/>
        <v>-0.05</v>
      </c>
      <c r="CO1351" s="167">
        <f t="shared" si="2938"/>
        <v>0.4</v>
      </c>
      <c r="CP1351" s="167">
        <f t="shared" si="2938"/>
        <v>1.81</v>
      </c>
      <c r="CQ1351" s="167">
        <f t="shared" si="2938"/>
        <v>-1.96</v>
      </c>
      <c r="CR1351" s="167"/>
      <c r="CS1351" s="167"/>
      <c r="CT1351" s="167"/>
      <c r="CU1351" s="167"/>
      <c r="CV1351" s="167"/>
      <c r="CW1351" s="167"/>
      <c r="CX1351" s="167"/>
      <c r="CY1351" s="167"/>
      <c r="CZ1351" s="167"/>
      <c r="DA1351" s="167"/>
      <c r="DB1351" s="167"/>
      <c r="DC1351" s="167"/>
      <c r="DD1351" s="167"/>
      <c r="DE1351" s="167"/>
      <c r="DF1351" s="167"/>
      <c r="DG1351" s="167">
        <f t="shared" ref="DG1351:DL1351" si="2939">DG1357-DG1352-DG1350</f>
        <v>-1.75</v>
      </c>
      <c r="DH1351" s="167">
        <f t="shared" si="2939"/>
        <v>0.24</v>
      </c>
      <c r="DI1351" s="167">
        <f t="shared" si="2939"/>
        <v>-1.83</v>
      </c>
      <c r="DJ1351" s="167">
        <f t="shared" si="2939"/>
        <v>0.37</v>
      </c>
      <c r="DK1351" s="167">
        <f t="shared" si="2939"/>
        <v>-0.55000000000000004</v>
      </c>
      <c r="DL1351" s="167">
        <f t="shared" si="2939"/>
        <v>-0.46</v>
      </c>
      <c r="DM1351" s="167"/>
      <c r="DN1351" s="167"/>
      <c r="DO1351" s="167"/>
      <c r="DP1351" s="167"/>
      <c r="DQ1351" s="167"/>
      <c r="DR1351" s="167"/>
      <c r="DS1351" s="167"/>
      <c r="DT1351" s="167"/>
      <c r="DU1351" s="167"/>
      <c r="DV1351" s="167"/>
      <c r="DW1351" s="167"/>
      <c r="DX1351" s="167"/>
      <c r="DY1351" s="167"/>
      <c r="DZ1351" s="167"/>
      <c r="EA1351" s="167"/>
      <c r="EB1351" s="167">
        <f t="shared" ref="EB1351:EG1351" si="2940">EB1357-EB1352-EB1350</f>
        <v>3.54</v>
      </c>
      <c r="EC1351" s="167">
        <f t="shared" si="2940"/>
        <v>2.4500000000000002</v>
      </c>
      <c r="ED1351" s="167">
        <f t="shared" si="2940"/>
        <v>0.68</v>
      </c>
      <c r="EE1351" s="167">
        <f t="shared" si="2940"/>
        <v>-3.15</v>
      </c>
      <c r="EF1351" s="167">
        <f t="shared" si="2940"/>
        <v>-3.63</v>
      </c>
      <c r="EG1351" s="167">
        <f t="shared" si="2940"/>
        <v>1.92</v>
      </c>
      <c r="EH1351" s="167"/>
      <c r="EI1351" s="167"/>
      <c r="EJ1351" s="167"/>
      <c r="EK1351" s="167"/>
      <c r="EL1351" s="167"/>
      <c r="EM1351" s="167"/>
      <c r="EN1351" s="167"/>
      <c r="EO1351" s="167"/>
      <c r="EP1351" s="167"/>
      <c r="EQ1351" s="167"/>
      <c r="ER1351" s="167"/>
      <c r="ES1351" s="167"/>
      <c r="ET1351" s="167"/>
      <c r="EU1351" s="167"/>
      <c r="EV1351" s="167"/>
      <c r="EW1351" s="167">
        <f t="shared" ref="EW1351:FB1351" si="2941">EW1357-EW1352-EW1350</f>
        <v>-0.23</v>
      </c>
      <c r="EX1351" s="167">
        <f t="shared" si="2941"/>
        <v>-1.53</v>
      </c>
      <c r="EY1351" s="167">
        <f t="shared" si="2941"/>
        <v>-2.36</v>
      </c>
      <c r="EZ1351" s="167">
        <f t="shared" si="2941"/>
        <v>1.56</v>
      </c>
      <c r="FA1351" s="167">
        <f t="shared" si="2941"/>
        <v>-1.28</v>
      </c>
      <c r="FB1351" s="167">
        <f t="shared" si="2941"/>
        <v>-0.05</v>
      </c>
      <c r="FC1351" s="167"/>
      <c r="FD1351" s="167"/>
      <c r="FE1351" s="167"/>
      <c r="FF1351" s="167"/>
      <c r="FG1351" s="167"/>
      <c r="FH1351" s="167"/>
      <c r="FI1351" s="167"/>
      <c r="FJ1351" s="167"/>
      <c r="FK1351" s="167"/>
      <c r="FL1351" s="167"/>
      <c r="FM1351" s="167"/>
      <c r="FN1351" s="167"/>
      <c r="FO1351" s="167"/>
      <c r="FP1351" s="167"/>
      <c r="FQ1351" s="167"/>
      <c r="FR1351" s="167">
        <f t="shared" ref="FR1351:FW1351" si="2942">FR1357-FR1352-FR1350</f>
        <v>-0.7</v>
      </c>
      <c r="FS1351" s="167">
        <f t="shared" si="2942"/>
        <v>-0.75</v>
      </c>
      <c r="FT1351" s="167">
        <f t="shared" si="2942"/>
        <v>-0.85</v>
      </c>
      <c r="FU1351" s="167">
        <f t="shared" si="2942"/>
        <v>0.74</v>
      </c>
      <c r="FV1351" s="167">
        <f t="shared" si="2942"/>
        <v>-0.24</v>
      </c>
      <c r="FW1351" s="167">
        <f t="shared" si="2942"/>
        <v>-0.91</v>
      </c>
      <c r="FX1351" s="167"/>
      <c r="FY1351" s="167"/>
      <c r="FZ1351" s="167"/>
      <c r="GA1351" s="167"/>
      <c r="GB1351" s="167"/>
      <c r="GC1351" s="167"/>
      <c r="GD1351" s="167"/>
      <c r="GE1351" s="167"/>
      <c r="GF1351" s="167"/>
      <c r="GG1351" s="167"/>
      <c r="GH1351" s="167"/>
      <c r="GI1351" s="167"/>
      <c r="GJ1351" s="167"/>
      <c r="GK1351" s="167"/>
      <c r="GL1351" s="167"/>
      <c r="GM1351" s="167">
        <f t="shared" ref="GM1351:GR1351" si="2943">GM1357-GM1352-GM1350</f>
        <v>-0.36</v>
      </c>
      <c r="GN1351" s="167">
        <f t="shared" si="2943"/>
        <v>-0.61</v>
      </c>
      <c r="GO1351" s="167">
        <f t="shared" si="2943"/>
        <v>-1.01</v>
      </c>
      <c r="GP1351" s="167">
        <f t="shared" si="2943"/>
        <v>1.21</v>
      </c>
      <c r="GQ1351" s="167">
        <f t="shared" si="2943"/>
        <v>3.38</v>
      </c>
      <c r="GR1351" s="167">
        <f t="shared" si="2943"/>
        <v>-2.69</v>
      </c>
      <c r="GS1351" s="167"/>
      <c r="GT1351" s="167"/>
      <c r="GU1351" s="167"/>
      <c r="GV1351" s="167"/>
      <c r="GW1351" s="167"/>
      <c r="GX1351" s="167"/>
      <c r="GY1351" s="167"/>
      <c r="GZ1351" s="167"/>
      <c r="HA1351" s="167"/>
      <c r="HB1351" s="167"/>
      <c r="HC1351" s="167"/>
      <c r="HD1351" s="167"/>
      <c r="HE1351" s="167"/>
      <c r="HF1351" s="167"/>
      <c r="HG1351" s="167"/>
      <c r="HH1351" s="167">
        <f t="shared" ref="HH1351:HM1351" si="2944">HH1357-HH1352-HH1350</f>
        <v>1.08</v>
      </c>
      <c r="HI1351" s="167">
        <f t="shared" si="2944"/>
        <v>0.98</v>
      </c>
      <c r="HJ1351" s="167">
        <f t="shared" si="2944"/>
        <v>1.4</v>
      </c>
      <c r="HK1351" s="167">
        <f t="shared" si="2944"/>
        <v>0.09</v>
      </c>
      <c r="HL1351" s="167">
        <f t="shared" si="2944"/>
        <v>-2.64</v>
      </c>
      <c r="HM1351" s="167">
        <f t="shared" si="2944"/>
        <v>3.29</v>
      </c>
      <c r="HN1351" s="167"/>
      <c r="HO1351" s="167"/>
      <c r="HP1351" s="167"/>
      <c r="HQ1351" s="167"/>
      <c r="HR1351" s="167"/>
      <c r="HS1351" s="167"/>
      <c r="HT1351" s="167"/>
      <c r="HU1351" s="167"/>
      <c r="HV1351" s="167"/>
      <c r="HW1351" s="167"/>
      <c r="HX1351" s="167"/>
      <c r="HY1351" s="167"/>
      <c r="HZ1351" s="167"/>
      <c r="IA1351" s="167"/>
      <c r="IB1351" s="167"/>
      <c r="IC1351" s="167">
        <f t="shared" ref="IC1351:IH1351" si="2945">IC1357-IC1352-IC1350</f>
        <v>-1.1000000000000001</v>
      </c>
      <c r="ID1351" s="167">
        <f t="shared" si="2945"/>
        <v>3.02</v>
      </c>
      <c r="IE1351" s="167">
        <f t="shared" si="2945"/>
        <v>-2.2200000000000002</v>
      </c>
      <c r="IF1351" s="167">
        <f t="shared" si="2945"/>
        <v>0.15</v>
      </c>
      <c r="IG1351" s="167">
        <f t="shared" si="2945"/>
        <v>0.96</v>
      </c>
      <c r="IH1351" s="167">
        <f t="shared" si="2945"/>
        <v>-0.79</v>
      </c>
      <c r="II1351" s="167"/>
      <c r="IJ1351" s="167"/>
      <c r="IK1351" s="167"/>
      <c r="IL1351" s="167"/>
      <c r="IM1351" s="167"/>
      <c r="IN1351" s="167"/>
      <c r="IO1351" s="167"/>
      <c r="IP1351" s="167"/>
      <c r="IQ1351" s="167"/>
      <c r="IR1351" s="167"/>
      <c r="IS1351" s="167"/>
      <c r="IT1351" s="167"/>
      <c r="IU1351" s="167"/>
      <c r="IV1351" s="167"/>
      <c r="IW1351" s="167"/>
      <c r="IX1351" s="167">
        <f t="shared" ref="IX1351:JC1351" si="2946">IX1357-IX1352-IX1350</f>
        <v>-0.36</v>
      </c>
      <c r="IY1351" s="167">
        <f t="shared" si="2946"/>
        <v>-0.05</v>
      </c>
      <c r="IZ1351" s="167">
        <f t="shared" si="2946"/>
        <v>-0.27</v>
      </c>
      <c r="JA1351" s="167">
        <f t="shared" si="2946"/>
        <v>-0.7</v>
      </c>
      <c r="JB1351" s="167">
        <f t="shared" si="2946"/>
        <v>0.05</v>
      </c>
      <c r="JC1351" s="167">
        <f t="shared" si="2946"/>
        <v>0.49</v>
      </c>
      <c r="JD1351" s="167"/>
      <c r="JE1351" s="167"/>
      <c r="JF1351" s="167"/>
      <c r="JG1351" s="167"/>
      <c r="JH1351" s="167"/>
      <c r="JI1351" s="167"/>
      <c r="JJ1351" s="167"/>
      <c r="JK1351" s="167"/>
      <c r="JL1351" s="167"/>
      <c r="JM1351" s="167"/>
      <c r="JN1351" s="167"/>
      <c r="JO1351" s="167"/>
      <c r="JP1351" s="167"/>
      <c r="JQ1351" s="167"/>
      <c r="JR1351" s="167"/>
      <c r="JS1351" s="167">
        <f t="shared" ref="JS1351:JX1351" si="2947">JS1357-JS1352-JS1350</f>
        <v>1.45</v>
      </c>
      <c r="JT1351" s="167">
        <f t="shared" si="2947"/>
        <v>-1.42</v>
      </c>
      <c r="JU1351" s="167">
        <f t="shared" si="2947"/>
        <v>-3.44</v>
      </c>
      <c r="JV1351" s="167">
        <f t="shared" si="2947"/>
        <v>-3.9</v>
      </c>
      <c r="JW1351" s="167">
        <f t="shared" si="2947"/>
        <v>-2.71</v>
      </c>
      <c r="JX1351" s="167">
        <f t="shared" si="2947"/>
        <v>-2.74</v>
      </c>
      <c r="JY1351" s="167"/>
      <c r="JZ1351" s="167"/>
      <c r="KA1351" s="167"/>
      <c r="KB1351" s="167"/>
      <c r="KC1351" s="167"/>
      <c r="KD1351" s="167"/>
      <c r="KE1351" s="167"/>
      <c r="KF1351" s="167"/>
      <c r="KG1351" s="167"/>
      <c r="KH1351" s="167"/>
      <c r="KI1351" s="167"/>
      <c r="KJ1351" s="167"/>
      <c r="KK1351" s="167"/>
      <c r="KL1351" s="167"/>
      <c r="KM1351" s="167"/>
      <c r="KN1351" s="167">
        <f t="shared" ref="KN1351:KS1351" si="2948">KN1357-KN1352-KN1350</f>
        <v>0.66</v>
      </c>
      <c r="KO1351" s="167">
        <f t="shared" si="2948"/>
        <v>-0.48</v>
      </c>
      <c r="KP1351" s="167">
        <f t="shared" si="2948"/>
        <v>-2.81</v>
      </c>
      <c r="KQ1351" s="167">
        <f t="shared" si="2948"/>
        <v>0.55000000000000004</v>
      </c>
      <c r="KR1351" s="167">
        <f t="shared" si="2948"/>
        <v>1</v>
      </c>
      <c r="KS1351" s="167">
        <f t="shared" si="2948"/>
        <v>0.79</v>
      </c>
      <c r="KT1351" s="167"/>
      <c r="KU1351" s="167"/>
      <c r="KV1351" s="167"/>
      <c r="KW1351" s="167"/>
      <c r="KX1351" s="167"/>
      <c r="KY1351" s="167"/>
      <c r="KZ1351" s="167"/>
      <c r="LA1351" s="167"/>
      <c r="LB1351" s="167"/>
      <c r="LC1351" s="167"/>
      <c r="LD1351" s="167"/>
      <c r="LE1351" s="167"/>
      <c r="LF1351" s="167"/>
      <c r="LG1351" s="167"/>
      <c r="LH1351" s="167"/>
      <c r="LI1351" s="167">
        <f t="shared" ref="LI1351:LN1351" si="2949">LI1357-LI1352-LI1350</f>
        <v>-1.21</v>
      </c>
      <c r="LJ1351" s="167">
        <f t="shared" si="2949"/>
        <v>1.22</v>
      </c>
      <c r="LK1351" s="167">
        <f t="shared" si="2949"/>
        <v>2.1</v>
      </c>
      <c r="LL1351" s="167">
        <f t="shared" si="2949"/>
        <v>3.07</v>
      </c>
      <c r="LM1351" s="167">
        <f t="shared" si="2949"/>
        <v>-1.03</v>
      </c>
      <c r="LN1351" s="167">
        <f t="shared" si="2949"/>
        <v>2.76</v>
      </c>
      <c r="LO1351" s="167"/>
      <c r="LP1351" s="167"/>
      <c r="LQ1351" s="167"/>
      <c r="LR1351" s="167"/>
      <c r="LS1351" s="167"/>
      <c r="LT1351" s="167"/>
      <c r="LU1351" s="167"/>
      <c r="LV1351" s="167"/>
      <c r="LW1351" s="167"/>
      <c r="LX1351" s="167"/>
      <c r="LY1351" s="167"/>
      <c r="LZ1351" s="167"/>
      <c r="MA1351" s="167"/>
      <c r="MB1351" s="167"/>
      <c r="MC1351" s="167"/>
      <c r="MD1351" s="167">
        <f t="shared" ref="MD1351:MI1351" si="2950">MD1357-MD1352-MD1350</f>
        <v>-2.98</v>
      </c>
      <c r="ME1351" s="167">
        <f t="shared" si="2950"/>
        <v>0.99</v>
      </c>
      <c r="MF1351" s="167">
        <f t="shared" si="2950"/>
        <v>-3.26</v>
      </c>
      <c r="MG1351" s="167">
        <f t="shared" si="2950"/>
        <v>4.05</v>
      </c>
      <c r="MH1351" s="167">
        <f t="shared" si="2950"/>
        <v>-4.78</v>
      </c>
      <c r="MI1351" s="167">
        <f t="shared" si="2950"/>
        <v>3.32</v>
      </c>
      <c r="MJ1351" s="167"/>
      <c r="MK1351" s="167"/>
      <c r="ML1351" s="167"/>
      <c r="MM1351" s="167"/>
      <c r="MN1351" s="167"/>
      <c r="MO1351" s="167"/>
      <c r="MP1351" s="167"/>
      <c r="MQ1351" s="167"/>
      <c r="MR1351" s="167"/>
      <c r="MS1351" s="167"/>
      <c r="MT1351" s="167"/>
      <c r="MU1351" s="167"/>
      <c r="MV1351" s="167"/>
      <c r="MW1351" s="167"/>
      <c r="MX1351" s="167"/>
      <c r="MY1351" s="167">
        <f t="shared" ref="MY1351:ND1351" si="2951">MY1357-MY1352-MY1350</f>
        <v>1.37</v>
      </c>
      <c r="MZ1351" s="167">
        <f t="shared" si="2951"/>
        <v>1.56</v>
      </c>
      <c r="NA1351" s="167">
        <f t="shared" si="2951"/>
        <v>-0.38</v>
      </c>
      <c r="NB1351" s="167">
        <f t="shared" si="2951"/>
        <v>1.57</v>
      </c>
      <c r="NC1351" s="167">
        <f t="shared" si="2951"/>
        <v>-3.7</v>
      </c>
      <c r="ND1351" s="167">
        <f t="shared" si="2951"/>
        <v>1.85</v>
      </c>
      <c r="NE1351" s="167"/>
      <c r="NF1351" s="167"/>
      <c r="NG1351" s="167"/>
      <c r="NH1351" s="167"/>
      <c r="NI1351" s="167"/>
      <c r="NJ1351" s="167"/>
      <c r="NK1351" s="167"/>
      <c r="NL1351" s="167"/>
      <c r="NM1351" s="167"/>
      <c r="NN1351" s="167"/>
      <c r="NO1351" s="167"/>
      <c r="NP1351" s="167"/>
      <c r="NQ1351" s="167"/>
      <c r="NR1351" s="167"/>
      <c r="NS1351" s="167"/>
      <c r="NT1351" s="167">
        <f t="shared" ref="NT1351:NY1351" si="2952">NT1357-NT1352-NT1350</f>
        <v>-0.87</v>
      </c>
      <c r="NU1351" s="167">
        <f t="shared" si="2952"/>
        <v>0.62</v>
      </c>
      <c r="NV1351" s="167">
        <f t="shared" si="2952"/>
        <v>0.78</v>
      </c>
      <c r="NW1351" s="167">
        <f t="shared" si="2952"/>
        <v>-0.37</v>
      </c>
      <c r="NX1351" s="167">
        <f t="shared" si="2952"/>
        <v>1.17</v>
      </c>
      <c r="NY1351" s="167">
        <f t="shared" si="2952"/>
        <v>-1.37</v>
      </c>
      <c r="NZ1351" s="167"/>
      <c r="OA1351" s="167"/>
      <c r="OB1351" s="167"/>
      <c r="OC1351" s="167"/>
      <c r="OD1351" s="167"/>
      <c r="OE1351" s="167"/>
      <c r="OF1351" s="167"/>
      <c r="OG1351" s="167"/>
      <c r="OH1351" s="167"/>
      <c r="OI1351" s="167"/>
      <c r="OJ1351" s="167"/>
      <c r="OK1351" s="167"/>
      <c r="OL1351" s="167"/>
      <c r="OM1351" s="167"/>
      <c r="ON1351" s="167"/>
      <c r="OO1351" s="167">
        <f t="shared" ref="OO1351:OT1351" si="2953">OO1357-OO1352-OO1350</f>
        <v>-0.15</v>
      </c>
      <c r="OP1351" s="167">
        <f t="shared" si="2953"/>
        <v>-0.57999999999999996</v>
      </c>
      <c r="OQ1351" s="167">
        <f t="shared" si="2953"/>
        <v>0.7</v>
      </c>
      <c r="OR1351" s="167">
        <f t="shared" si="2953"/>
        <v>-2.12</v>
      </c>
      <c r="OS1351" s="167">
        <f t="shared" si="2953"/>
        <v>0.33</v>
      </c>
      <c r="OT1351" s="167">
        <f t="shared" si="2953"/>
        <v>-1.57</v>
      </c>
      <c r="OU1351" s="167"/>
      <c r="OV1351" s="167"/>
      <c r="OW1351" s="167"/>
      <c r="OX1351" s="167"/>
      <c r="OY1351" s="167"/>
      <c r="OZ1351" s="167"/>
      <c r="PA1351" s="167"/>
      <c r="PB1351" s="167"/>
      <c r="PC1351" s="167"/>
      <c r="PD1351" s="167"/>
      <c r="PE1351" s="167"/>
      <c r="PF1351" s="167"/>
      <c r="PG1351" s="167"/>
      <c r="PH1351" s="167"/>
      <c r="PI1351" s="167"/>
      <c r="PJ1351" s="167">
        <f t="shared" ref="PJ1351:PO1351" si="2954">PJ1357-PJ1352-PJ1350</f>
        <v>0.28999999999999998</v>
      </c>
      <c r="PK1351" s="167">
        <f t="shared" si="2954"/>
        <v>-2.4500000000000002</v>
      </c>
      <c r="PL1351" s="167">
        <f t="shared" si="2954"/>
        <v>-2.0699999999999998</v>
      </c>
      <c r="PM1351" s="167">
        <f t="shared" si="2954"/>
        <v>1.76</v>
      </c>
      <c r="PN1351" s="167">
        <f t="shared" si="2954"/>
        <v>1.97</v>
      </c>
      <c r="PO1351" s="167">
        <f t="shared" si="2954"/>
        <v>-1.03</v>
      </c>
      <c r="PP1351" s="167"/>
      <c r="PQ1351" s="167"/>
      <c r="PR1351" s="167"/>
      <c r="PS1351" s="167"/>
      <c r="PT1351" s="167"/>
      <c r="PU1351" s="167"/>
      <c r="PV1351" s="167"/>
      <c r="PW1351" s="167"/>
      <c r="PX1351" s="167"/>
      <c r="PY1351" s="167"/>
      <c r="PZ1351" s="167"/>
      <c r="QA1351" s="167"/>
      <c r="QB1351" s="167"/>
      <c r="QC1351" s="167"/>
      <c r="QD1351" s="167"/>
      <c r="QE1351" s="167">
        <f t="shared" ref="QE1351:QJ1351" si="2955">QE1357-QE1352-QE1350</f>
        <v>-3.46</v>
      </c>
      <c r="QF1351" s="167">
        <f t="shared" si="2955"/>
        <v>-4.0599999999999996</v>
      </c>
      <c r="QG1351" s="167">
        <f t="shared" si="2955"/>
        <v>3.12</v>
      </c>
      <c r="QH1351" s="167">
        <f t="shared" si="2955"/>
        <v>4.95</v>
      </c>
      <c r="QI1351" s="167">
        <f t="shared" si="2955"/>
        <v>6.71</v>
      </c>
      <c r="QJ1351" s="167">
        <f t="shared" si="2955"/>
        <v>4.55</v>
      </c>
      <c r="QK1351" s="167"/>
      <c r="QL1351" s="167"/>
      <c r="QM1351" s="167"/>
      <c r="QN1351" s="167"/>
      <c r="QO1351" s="167"/>
      <c r="QP1351" s="167"/>
      <c r="QQ1351" s="167"/>
      <c r="QR1351" s="167"/>
      <c r="QS1351" s="167"/>
      <c r="QT1351" s="167"/>
      <c r="QU1351" s="167"/>
      <c r="QV1351" s="167"/>
      <c r="QW1351" s="167"/>
      <c r="QX1351" s="167"/>
      <c r="QY1351" s="167"/>
      <c r="QZ1351" s="167">
        <f t="shared" ref="QZ1351:RE1351" si="2956">QZ1357-QZ1352-QZ1350</f>
        <v>-0.43</v>
      </c>
      <c r="RA1351" s="167">
        <f t="shared" si="2956"/>
        <v>-1.18</v>
      </c>
      <c r="RB1351" s="167">
        <f t="shared" si="2956"/>
        <v>1.18</v>
      </c>
      <c r="RC1351" s="167">
        <f t="shared" si="2956"/>
        <v>-2.82</v>
      </c>
      <c r="RD1351" s="167">
        <f t="shared" si="2956"/>
        <v>-4.95</v>
      </c>
      <c r="RE1351" s="167">
        <f t="shared" si="2956"/>
        <v>-2.34</v>
      </c>
      <c r="RF1351" s="167"/>
      <c r="RG1351" s="167"/>
      <c r="RH1351" s="167"/>
      <c r="RI1351" s="167"/>
      <c r="RJ1351" s="167"/>
      <c r="RK1351" s="167"/>
      <c r="RL1351" s="167"/>
      <c r="RM1351" s="167"/>
      <c r="RN1351" s="167"/>
      <c r="RO1351" s="167"/>
      <c r="RP1351" s="167"/>
      <c r="RQ1351" s="167"/>
      <c r="RR1351" s="167"/>
      <c r="RS1351" s="167"/>
      <c r="RT1351" s="167"/>
      <c r="RU1351" s="167">
        <f t="shared" ref="RU1351:RZ1351" si="2957">RU1357-RU1352-RU1350</f>
        <v>0.08</v>
      </c>
      <c r="RV1351" s="167">
        <f t="shared" si="2957"/>
        <v>-2.52</v>
      </c>
      <c r="RW1351" s="167">
        <f t="shared" si="2957"/>
        <v>0.72</v>
      </c>
      <c r="RX1351" s="167">
        <f t="shared" si="2957"/>
        <v>-1.32</v>
      </c>
      <c r="RY1351" s="167">
        <f t="shared" si="2957"/>
        <v>3.55</v>
      </c>
      <c r="RZ1351" s="167">
        <f t="shared" si="2957"/>
        <v>2.64</v>
      </c>
      <c r="SA1351" s="167"/>
      <c r="SB1351" s="167"/>
      <c r="SC1351" s="167"/>
      <c r="SD1351" s="167"/>
      <c r="SE1351" s="167"/>
      <c r="SF1351" s="167"/>
      <c r="SG1351" s="167"/>
      <c r="SH1351" s="167"/>
      <c r="SI1351" s="167"/>
      <c r="SJ1351" s="167"/>
      <c r="SK1351" s="167"/>
      <c r="SL1351" s="167"/>
      <c r="SM1351" s="167"/>
      <c r="SN1351" s="167"/>
      <c r="SO1351" s="167"/>
      <c r="SP1351" s="167">
        <f t="shared" ref="SP1351:SU1351" si="2958">SP1357-SP1352-SP1350</f>
        <v>-0.78</v>
      </c>
      <c r="SQ1351" s="167">
        <f t="shared" si="2958"/>
        <v>-0.95</v>
      </c>
      <c r="SR1351" s="167">
        <f t="shared" si="2958"/>
        <v>-1.44</v>
      </c>
      <c r="SS1351" s="167">
        <f t="shared" si="2958"/>
        <v>0.56000000000000005</v>
      </c>
      <c r="ST1351" s="167">
        <f t="shared" si="2958"/>
        <v>1.0900000000000001</v>
      </c>
      <c r="SU1351" s="167">
        <f t="shared" si="2958"/>
        <v>-1.29</v>
      </c>
      <c r="SV1351" s="167"/>
      <c r="SW1351" s="167"/>
      <c r="SX1351" s="167"/>
      <c r="SY1351" s="167"/>
      <c r="SZ1351" s="167"/>
      <c r="TA1351" s="167"/>
      <c r="TB1351" s="167"/>
      <c r="TC1351" s="167"/>
      <c r="TD1351" s="167"/>
      <c r="TE1351" s="167"/>
      <c r="TF1351" s="167"/>
      <c r="TG1351" s="167"/>
      <c r="TH1351" s="167"/>
      <c r="TI1351" s="167"/>
      <c r="TJ1351" s="167"/>
      <c r="TK1351" s="167">
        <f t="shared" ref="TK1351:TP1351" si="2959">TK1357-TK1352-TK1350</f>
        <v>4.91</v>
      </c>
      <c r="TL1351" s="167">
        <f t="shared" si="2959"/>
        <v>-2.4300000000000002</v>
      </c>
      <c r="TM1351" s="167">
        <f t="shared" si="2959"/>
        <v>-0.98</v>
      </c>
      <c r="TN1351" s="167">
        <f t="shared" si="2959"/>
        <v>-2.61</v>
      </c>
      <c r="TO1351" s="167">
        <f t="shared" si="2959"/>
        <v>5.49</v>
      </c>
      <c r="TP1351" s="167">
        <f t="shared" si="2959"/>
        <v>-0.61</v>
      </c>
      <c r="TQ1351" s="167"/>
      <c r="TR1351" s="167"/>
      <c r="TS1351" s="167"/>
      <c r="TT1351" s="167"/>
      <c r="TU1351" s="167"/>
      <c r="TV1351" s="167"/>
      <c r="TW1351" s="167"/>
      <c r="TX1351" s="167"/>
      <c r="TY1351" s="167"/>
      <c r="TZ1351" s="167"/>
      <c r="UA1351" s="167"/>
      <c r="UB1351" s="167"/>
      <c r="UC1351" s="167"/>
      <c r="UD1351" s="167"/>
      <c r="UE1351" s="167"/>
      <c r="UF1351" s="167">
        <f t="shared" ref="UF1351:UK1351" si="2960">UF1357-UF1352-UF1350</f>
        <v>0.27</v>
      </c>
      <c r="UG1351" s="167">
        <f t="shared" si="2960"/>
        <v>0.08</v>
      </c>
      <c r="UH1351" s="167">
        <f t="shared" si="2960"/>
        <v>0</v>
      </c>
      <c r="UI1351" s="167">
        <f t="shared" si="2960"/>
        <v>3.41</v>
      </c>
      <c r="UJ1351" s="167">
        <f t="shared" si="2960"/>
        <v>-2.5499999999999998</v>
      </c>
      <c r="UK1351" s="167">
        <f t="shared" si="2960"/>
        <v>-2.83</v>
      </c>
      <c r="UL1351" s="167"/>
      <c r="UM1351" s="167"/>
      <c r="UN1351" s="167"/>
      <c r="UO1351" s="167"/>
      <c r="UP1351" s="167"/>
      <c r="UQ1351" s="167"/>
      <c r="UR1351" s="167"/>
      <c r="US1351" s="167"/>
      <c r="UT1351" s="167"/>
      <c r="UU1351" s="167"/>
      <c r="UV1351" s="167"/>
      <c r="UW1351" s="167"/>
      <c r="UX1351" s="167"/>
      <c r="UY1351" s="167"/>
      <c r="UZ1351" s="167"/>
      <c r="VA1351" s="167">
        <f t="shared" ref="VA1351:VF1351" si="2961">VA1357-VA1352-VA1350</f>
        <v>-4.0199999999999996</v>
      </c>
      <c r="VB1351" s="167">
        <f t="shared" si="2961"/>
        <v>2.0699999999999998</v>
      </c>
      <c r="VC1351" s="167">
        <f t="shared" si="2961"/>
        <v>0.26</v>
      </c>
      <c r="VD1351" s="167">
        <f t="shared" si="2961"/>
        <v>3.77</v>
      </c>
      <c r="VE1351" s="167">
        <f t="shared" si="2961"/>
        <v>-0.36</v>
      </c>
      <c r="VF1351" s="167">
        <f t="shared" si="2961"/>
        <v>3.22</v>
      </c>
      <c r="VG1351" s="167"/>
      <c r="VH1351" s="167"/>
      <c r="VI1351" s="167"/>
      <c r="VJ1351" s="167"/>
      <c r="VK1351" s="167"/>
      <c r="VL1351" s="167"/>
      <c r="VM1351" s="167"/>
      <c r="VN1351" s="167"/>
      <c r="VO1351" s="167"/>
      <c r="VP1351" s="167"/>
      <c r="VQ1351" s="167"/>
      <c r="VR1351" s="167"/>
      <c r="VS1351" s="167"/>
      <c r="VT1351" s="167"/>
      <c r="VU1351" s="167"/>
      <c r="VV1351" s="167">
        <f t="shared" ref="VV1351:WA1351" si="2962">VV1357-VV1352-VV1350</f>
        <v>-0.35</v>
      </c>
      <c r="VW1351" s="167">
        <f t="shared" si="2962"/>
        <v>3.06</v>
      </c>
      <c r="VX1351" s="167">
        <f t="shared" si="2962"/>
        <v>1.74</v>
      </c>
      <c r="VY1351" s="167">
        <f t="shared" si="2962"/>
        <v>-3.62</v>
      </c>
      <c r="VZ1351" s="167">
        <f t="shared" si="2962"/>
        <v>2.2400000000000002</v>
      </c>
      <c r="WA1351" s="167">
        <f t="shared" si="2962"/>
        <v>3.85</v>
      </c>
      <c r="WB1351" s="167"/>
      <c r="WC1351" s="167"/>
      <c r="WD1351" s="167"/>
      <c r="WE1351" s="167"/>
      <c r="WF1351" s="167"/>
      <c r="WG1351" s="167"/>
      <c r="WH1351" s="167"/>
      <c r="WI1351" s="167"/>
      <c r="WJ1351" s="167"/>
      <c r="WK1351" s="167"/>
      <c r="WL1351" s="167"/>
      <c r="WM1351" s="167"/>
      <c r="WN1351" s="167"/>
      <c r="WO1351" s="167"/>
      <c r="WP1351" s="167"/>
      <c r="WQ1351" s="167">
        <f t="shared" ref="WQ1351:WV1351" si="2963">WQ1357-WQ1352-WQ1350</f>
        <v>-3.03</v>
      </c>
      <c r="WR1351" s="167">
        <f t="shared" si="2963"/>
        <v>-0.38</v>
      </c>
      <c r="WS1351" s="167">
        <f t="shared" si="2963"/>
        <v>-3.77</v>
      </c>
      <c r="WT1351" s="167">
        <f t="shared" si="2963"/>
        <v>-3.61</v>
      </c>
      <c r="WU1351" s="167">
        <f t="shared" si="2963"/>
        <v>0.63</v>
      </c>
      <c r="WV1351" s="167">
        <f t="shared" si="2963"/>
        <v>1.25</v>
      </c>
      <c r="WW1351" s="167"/>
      <c r="WX1351" s="167"/>
      <c r="WY1351" s="167"/>
      <c r="WZ1351" s="167"/>
      <c r="XA1351" s="167"/>
      <c r="XB1351" s="167"/>
      <c r="XC1351" s="167"/>
      <c r="XD1351" s="167"/>
      <c r="XE1351" s="167"/>
      <c r="XF1351" s="167"/>
      <c r="XG1351" s="167"/>
      <c r="XH1351" s="167"/>
      <c r="XI1351" s="167"/>
      <c r="XJ1351" s="167"/>
      <c r="XK1351" s="167"/>
      <c r="XL1351" s="167">
        <f t="shared" ref="XL1351:XQ1351" si="2964">XL1357-XL1352-XL1350</f>
        <v>-1.7</v>
      </c>
      <c r="XM1351" s="167">
        <f t="shared" si="2964"/>
        <v>-2.91</v>
      </c>
      <c r="XN1351" s="167">
        <f t="shared" si="2964"/>
        <v>-5.22</v>
      </c>
      <c r="XO1351" s="167">
        <f t="shared" si="2964"/>
        <v>1.92</v>
      </c>
      <c r="XP1351" s="167">
        <f t="shared" si="2964"/>
        <v>-5.05</v>
      </c>
      <c r="XQ1351" s="167">
        <f t="shared" si="2964"/>
        <v>-1.37</v>
      </c>
      <c r="XR1351" s="167"/>
      <c r="XS1351" s="167"/>
      <c r="XT1351" s="167"/>
      <c r="XU1351" s="167"/>
      <c r="XV1351" s="167"/>
      <c r="XW1351" s="167"/>
      <c r="XX1351" s="167"/>
      <c r="XY1351" s="167"/>
      <c r="XZ1351" s="167"/>
      <c r="YA1351" s="167"/>
      <c r="YB1351" s="167"/>
      <c r="YC1351" s="167"/>
      <c r="YD1351" s="167"/>
      <c r="YE1351" s="167"/>
      <c r="YF1351" s="167"/>
      <c r="YG1351" s="167">
        <f t="shared" ref="YG1351:YL1351" si="2965">YG1357-YG1352-YG1350</f>
        <v>-0.44</v>
      </c>
      <c r="YH1351" s="167">
        <f t="shared" si="2965"/>
        <v>-2.75</v>
      </c>
      <c r="YI1351" s="167">
        <f t="shared" si="2965"/>
        <v>2.2400000000000002</v>
      </c>
      <c r="YJ1351" s="167">
        <f t="shared" si="2965"/>
        <v>3.74</v>
      </c>
      <c r="YK1351" s="167">
        <f t="shared" si="2965"/>
        <v>-4.6100000000000003</v>
      </c>
      <c r="YL1351" s="167">
        <f t="shared" si="2965"/>
        <v>5.03</v>
      </c>
      <c r="YM1351" s="167"/>
      <c r="YN1351" s="167"/>
      <c r="YO1351" s="167"/>
      <c r="YP1351" s="167"/>
      <c r="YQ1351" s="167"/>
      <c r="YR1351" s="167"/>
      <c r="YS1351" s="167"/>
      <c r="YT1351" s="167"/>
      <c r="YU1351" s="167"/>
      <c r="YV1351" s="167"/>
      <c r="YW1351" s="167"/>
      <c r="YX1351" s="167"/>
      <c r="YY1351" s="167"/>
      <c r="YZ1351" s="167"/>
      <c r="ZA1351" s="167"/>
      <c r="ZB1351" s="167">
        <f t="shared" ref="ZB1351:ZG1352" si="2966">AA1351+AV1351+BQ1351+CL1351+DG1351+EB1351+EW1351+FR1351+GM1351+HH1351+IC1351+IX1351+JS1351+KN1351+LI1351+MD1351+MY1351+NT1351+OO1351+PJ1351+QE1351+QZ1351+RU1351+SP1351+TK1351+UF1351+VA1351+VV1351+WQ1351+XL1351+YG1351</f>
        <v>-10.48</v>
      </c>
      <c r="ZC1351" s="167">
        <f t="shared" si="2966"/>
        <v>-9.6999999999999993</v>
      </c>
      <c r="ZD1351" s="167">
        <f t="shared" si="2966"/>
        <v>-17.739999999999998</v>
      </c>
      <c r="ZE1351" s="167">
        <f t="shared" si="2966"/>
        <v>12.63</v>
      </c>
      <c r="ZF1351" s="167">
        <f t="shared" si="2966"/>
        <v>-6.52</v>
      </c>
      <c r="ZG1351" s="167">
        <f t="shared" si="2966"/>
        <v>10.210000000000001</v>
      </c>
    </row>
    <row r="1352" spans="1:683" ht="60" customHeight="1" x14ac:dyDescent="0.25">
      <c r="A1352" s="323" t="s">
        <v>968</v>
      </c>
      <c r="B1352" s="333"/>
      <c r="C1352" s="152" t="s">
        <v>597</v>
      </c>
      <c r="D1352" s="1279" t="s">
        <v>976</v>
      </c>
      <c r="E1352" s="1280"/>
      <c r="F1352" s="153"/>
      <c r="G1352" s="153"/>
      <c r="H1352" s="153"/>
      <c r="I1352" s="190"/>
      <c r="J1352" s="190"/>
      <c r="K1352" s="190"/>
      <c r="L1352" s="185" t="s">
        <v>699</v>
      </c>
      <c r="M1352" s="185" t="s">
        <v>699</v>
      </c>
      <c r="N1352" s="185" t="s">
        <v>699</v>
      </c>
      <c r="O1352" s="185" t="s">
        <v>699</v>
      </c>
      <c r="P1352" s="185" t="s">
        <v>699</v>
      </c>
      <c r="Q1352" s="185" t="s">
        <v>699</v>
      </c>
      <c r="R1352" s="185" t="s">
        <v>699</v>
      </c>
      <c r="S1352" s="185" t="s">
        <v>699</v>
      </c>
      <c r="T1352" s="185" t="s">
        <v>699</v>
      </c>
      <c r="U1352" s="185" t="s">
        <v>699</v>
      </c>
      <c r="V1352" s="185" t="s">
        <v>699</v>
      </c>
      <c r="W1352" s="185" t="s">
        <v>699</v>
      </c>
      <c r="X1352" s="185" t="s">
        <v>699</v>
      </c>
      <c r="Y1352" s="185" t="s">
        <v>699</v>
      </c>
      <c r="Z1352" s="185" t="s">
        <v>699</v>
      </c>
      <c r="AA1352" s="153"/>
      <c r="AB1352" s="153"/>
      <c r="AC1352" s="153"/>
      <c r="AD1352" s="153">
        <f>AD1356*AD1353</f>
        <v>1074651.3899999999</v>
      </c>
      <c r="AE1352" s="153">
        <f t="shared" ref="AE1352:AF1352" si="2967">AE1356*AE1353</f>
        <v>1074651.3899999999</v>
      </c>
      <c r="AF1352" s="153">
        <f t="shared" si="2967"/>
        <v>1074651.3899999999</v>
      </c>
      <c r="AG1352" s="185" t="s">
        <v>699</v>
      </c>
      <c r="AH1352" s="185" t="s">
        <v>699</v>
      </c>
      <c r="AI1352" s="185" t="s">
        <v>699</v>
      </c>
      <c r="AJ1352" s="185" t="s">
        <v>699</v>
      </c>
      <c r="AK1352" s="185" t="s">
        <v>699</v>
      </c>
      <c r="AL1352" s="185" t="s">
        <v>699</v>
      </c>
      <c r="AM1352" s="185" t="s">
        <v>699</v>
      </c>
      <c r="AN1352" s="185" t="s">
        <v>699</v>
      </c>
      <c r="AO1352" s="185" t="s">
        <v>699</v>
      </c>
      <c r="AP1352" s="185" t="s">
        <v>699</v>
      </c>
      <c r="AQ1352" s="185" t="s">
        <v>699</v>
      </c>
      <c r="AR1352" s="185" t="s">
        <v>699</v>
      </c>
      <c r="AS1352" s="185" t="s">
        <v>699</v>
      </c>
      <c r="AT1352" s="185" t="s">
        <v>699</v>
      </c>
      <c r="AU1352" s="185" t="s">
        <v>699</v>
      </c>
      <c r="AV1352" s="153"/>
      <c r="AW1352" s="153"/>
      <c r="AX1352" s="153"/>
      <c r="AY1352" s="153">
        <f>AY1356*AY1353</f>
        <v>1973712.22</v>
      </c>
      <c r="AZ1352" s="153">
        <f t="shared" ref="AZ1352:BA1352" si="2968">AZ1356*AZ1353</f>
        <v>1973712.22</v>
      </c>
      <c r="BA1352" s="153">
        <f t="shared" si="2968"/>
        <v>1973712.22</v>
      </c>
      <c r="BB1352" s="185" t="s">
        <v>699</v>
      </c>
      <c r="BC1352" s="185" t="s">
        <v>699</v>
      </c>
      <c r="BD1352" s="185" t="s">
        <v>699</v>
      </c>
      <c r="BE1352" s="185" t="s">
        <v>699</v>
      </c>
      <c r="BF1352" s="185" t="s">
        <v>699</v>
      </c>
      <c r="BG1352" s="185" t="s">
        <v>699</v>
      </c>
      <c r="BH1352" s="185" t="s">
        <v>699</v>
      </c>
      <c r="BI1352" s="185" t="s">
        <v>699</v>
      </c>
      <c r="BJ1352" s="185" t="s">
        <v>699</v>
      </c>
      <c r="BK1352" s="185" t="s">
        <v>699</v>
      </c>
      <c r="BL1352" s="185" t="s">
        <v>699</v>
      </c>
      <c r="BM1352" s="185" t="s">
        <v>699</v>
      </c>
      <c r="BN1352" s="185" t="s">
        <v>699</v>
      </c>
      <c r="BO1352" s="185" t="s">
        <v>699</v>
      </c>
      <c r="BP1352" s="185" t="s">
        <v>699</v>
      </c>
      <c r="BQ1352" s="153"/>
      <c r="BR1352" s="153"/>
      <c r="BS1352" s="153"/>
      <c r="BT1352" s="153">
        <f>BT1356*BT1353</f>
        <v>524807.42000000004</v>
      </c>
      <c r="BU1352" s="153">
        <f t="shared" ref="BU1352:BV1352" si="2969">BU1356*BU1353</f>
        <v>524807.42000000004</v>
      </c>
      <c r="BV1352" s="153">
        <f t="shared" si="2969"/>
        <v>524807.42000000004</v>
      </c>
      <c r="BW1352" s="185" t="s">
        <v>699</v>
      </c>
      <c r="BX1352" s="185" t="s">
        <v>699</v>
      </c>
      <c r="BY1352" s="185" t="s">
        <v>699</v>
      </c>
      <c r="BZ1352" s="185" t="s">
        <v>699</v>
      </c>
      <c r="CA1352" s="185" t="s">
        <v>699</v>
      </c>
      <c r="CB1352" s="185" t="s">
        <v>699</v>
      </c>
      <c r="CC1352" s="185" t="s">
        <v>699</v>
      </c>
      <c r="CD1352" s="185" t="s">
        <v>699</v>
      </c>
      <c r="CE1352" s="185" t="s">
        <v>699</v>
      </c>
      <c r="CF1352" s="185" t="s">
        <v>699</v>
      </c>
      <c r="CG1352" s="185" t="s">
        <v>699</v>
      </c>
      <c r="CH1352" s="185" t="s">
        <v>699</v>
      </c>
      <c r="CI1352" s="185" t="s">
        <v>699</v>
      </c>
      <c r="CJ1352" s="185" t="s">
        <v>699</v>
      </c>
      <c r="CK1352" s="185" t="s">
        <v>699</v>
      </c>
      <c r="CL1352" s="153"/>
      <c r="CM1352" s="153"/>
      <c r="CN1352" s="153"/>
      <c r="CO1352" s="153">
        <f>CO1356*CO1353</f>
        <v>1068631.6000000001</v>
      </c>
      <c r="CP1352" s="153">
        <f t="shared" ref="CP1352:CQ1352" si="2970">CP1356*CP1353</f>
        <v>1068631.6000000001</v>
      </c>
      <c r="CQ1352" s="153">
        <f t="shared" si="2970"/>
        <v>1068631.6000000001</v>
      </c>
      <c r="CR1352" s="185" t="s">
        <v>699</v>
      </c>
      <c r="CS1352" s="185" t="s">
        <v>699</v>
      </c>
      <c r="CT1352" s="185" t="s">
        <v>699</v>
      </c>
      <c r="CU1352" s="185" t="s">
        <v>699</v>
      </c>
      <c r="CV1352" s="185" t="s">
        <v>699</v>
      </c>
      <c r="CW1352" s="185" t="s">
        <v>699</v>
      </c>
      <c r="CX1352" s="185" t="s">
        <v>699</v>
      </c>
      <c r="CY1352" s="185" t="s">
        <v>699</v>
      </c>
      <c r="CZ1352" s="185" t="s">
        <v>699</v>
      </c>
      <c r="DA1352" s="185" t="s">
        <v>699</v>
      </c>
      <c r="DB1352" s="185" t="s">
        <v>699</v>
      </c>
      <c r="DC1352" s="185" t="s">
        <v>699</v>
      </c>
      <c r="DD1352" s="185" t="s">
        <v>699</v>
      </c>
      <c r="DE1352" s="185" t="s">
        <v>699</v>
      </c>
      <c r="DF1352" s="185" t="s">
        <v>699</v>
      </c>
      <c r="DG1352" s="153"/>
      <c r="DH1352" s="153"/>
      <c r="DI1352" s="153"/>
      <c r="DJ1352" s="153">
        <f>DJ1356*DJ1353</f>
        <v>1141165.28</v>
      </c>
      <c r="DK1352" s="153">
        <f t="shared" ref="DK1352:DL1352" si="2971">DK1356*DK1353</f>
        <v>1141165.28</v>
      </c>
      <c r="DL1352" s="153">
        <f t="shared" si="2971"/>
        <v>1141165.28</v>
      </c>
      <c r="DM1352" s="185" t="s">
        <v>699</v>
      </c>
      <c r="DN1352" s="185" t="s">
        <v>699</v>
      </c>
      <c r="DO1352" s="185" t="s">
        <v>699</v>
      </c>
      <c r="DP1352" s="185" t="s">
        <v>699</v>
      </c>
      <c r="DQ1352" s="185" t="s">
        <v>699</v>
      </c>
      <c r="DR1352" s="185" t="s">
        <v>699</v>
      </c>
      <c r="DS1352" s="185" t="s">
        <v>699</v>
      </c>
      <c r="DT1352" s="185" t="s">
        <v>699</v>
      </c>
      <c r="DU1352" s="185" t="s">
        <v>699</v>
      </c>
      <c r="DV1352" s="185" t="s">
        <v>699</v>
      </c>
      <c r="DW1352" s="185" t="s">
        <v>699</v>
      </c>
      <c r="DX1352" s="185" t="s">
        <v>699</v>
      </c>
      <c r="DY1352" s="185" t="s">
        <v>699</v>
      </c>
      <c r="DZ1352" s="185" t="s">
        <v>699</v>
      </c>
      <c r="EA1352" s="185" t="s">
        <v>699</v>
      </c>
      <c r="EB1352" s="153"/>
      <c r="EC1352" s="153"/>
      <c r="ED1352" s="153"/>
      <c r="EE1352" s="153">
        <f>EE1356*EE1353</f>
        <v>1405463.24</v>
      </c>
      <c r="EF1352" s="153">
        <f t="shared" ref="EF1352:EG1352" si="2972">EF1356*EF1353</f>
        <v>1405463.24</v>
      </c>
      <c r="EG1352" s="153">
        <f t="shared" si="2972"/>
        <v>1405463.24</v>
      </c>
      <c r="EH1352" s="185" t="s">
        <v>699</v>
      </c>
      <c r="EI1352" s="185" t="s">
        <v>699</v>
      </c>
      <c r="EJ1352" s="185" t="s">
        <v>699</v>
      </c>
      <c r="EK1352" s="185" t="s">
        <v>699</v>
      </c>
      <c r="EL1352" s="185" t="s">
        <v>699</v>
      </c>
      <c r="EM1352" s="185" t="s">
        <v>699</v>
      </c>
      <c r="EN1352" s="185" t="s">
        <v>699</v>
      </c>
      <c r="EO1352" s="185" t="s">
        <v>699</v>
      </c>
      <c r="EP1352" s="185" t="s">
        <v>699</v>
      </c>
      <c r="EQ1352" s="185" t="s">
        <v>699</v>
      </c>
      <c r="ER1352" s="185" t="s">
        <v>699</v>
      </c>
      <c r="ES1352" s="185" t="s">
        <v>699</v>
      </c>
      <c r="ET1352" s="185" t="s">
        <v>699</v>
      </c>
      <c r="EU1352" s="185" t="s">
        <v>699</v>
      </c>
      <c r="EV1352" s="185" t="s">
        <v>699</v>
      </c>
      <c r="EW1352" s="153"/>
      <c r="EX1352" s="153"/>
      <c r="EY1352" s="153"/>
      <c r="EZ1352" s="153">
        <f>EZ1356*EZ1353</f>
        <v>715599.11</v>
      </c>
      <c r="FA1352" s="153">
        <f t="shared" ref="FA1352:FB1352" si="2973">FA1356*FA1353</f>
        <v>715599.11</v>
      </c>
      <c r="FB1352" s="153">
        <f t="shared" si="2973"/>
        <v>715599.11</v>
      </c>
      <c r="FC1352" s="185" t="s">
        <v>699</v>
      </c>
      <c r="FD1352" s="185" t="s">
        <v>699</v>
      </c>
      <c r="FE1352" s="185" t="s">
        <v>699</v>
      </c>
      <c r="FF1352" s="185" t="s">
        <v>699</v>
      </c>
      <c r="FG1352" s="185" t="s">
        <v>699</v>
      </c>
      <c r="FH1352" s="185" t="s">
        <v>699</v>
      </c>
      <c r="FI1352" s="185" t="s">
        <v>699</v>
      </c>
      <c r="FJ1352" s="185" t="s">
        <v>699</v>
      </c>
      <c r="FK1352" s="185" t="s">
        <v>699</v>
      </c>
      <c r="FL1352" s="185" t="s">
        <v>699</v>
      </c>
      <c r="FM1352" s="185" t="s">
        <v>699</v>
      </c>
      <c r="FN1352" s="185" t="s">
        <v>699</v>
      </c>
      <c r="FO1352" s="185" t="s">
        <v>699</v>
      </c>
      <c r="FP1352" s="185" t="s">
        <v>699</v>
      </c>
      <c r="FQ1352" s="185" t="s">
        <v>699</v>
      </c>
      <c r="FR1352" s="153"/>
      <c r="FS1352" s="153"/>
      <c r="FT1352" s="153"/>
      <c r="FU1352" s="153">
        <f>FU1356*FU1353</f>
        <v>720398.16</v>
      </c>
      <c r="FV1352" s="153">
        <f t="shared" ref="FV1352:FW1352" si="2974">FV1356*FV1353</f>
        <v>720398.16</v>
      </c>
      <c r="FW1352" s="153">
        <f t="shared" si="2974"/>
        <v>720398.16</v>
      </c>
      <c r="FX1352" s="185" t="s">
        <v>699</v>
      </c>
      <c r="FY1352" s="185" t="s">
        <v>699</v>
      </c>
      <c r="FZ1352" s="185" t="s">
        <v>699</v>
      </c>
      <c r="GA1352" s="185" t="s">
        <v>699</v>
      </c>
      <c r="GB1352" s="185" t="s">
        <v>699</v>
      </c>
      <c r="GC1352" s="185" t="s">
        <v>699</v>
      </c>
      <c r="GD1352" s="185" t="s">
        <v>699</v>
      </c>
      <c r="GE1352" s="185" t="s">
        <v>699</v>
      </c>
      <c r="GF1352" s="185" t="s">
        <v>699</v>
      </c>
      <c r="GG1352" s="185" t="s">
        <v>699</v>
      </c>
      <c r="GH1352" s="185" t="s">
        <v>699</v>
      </c>
      <c r="GI1352" s="185" t="s">
        <v>699</v>
      </c>
      <c r="GJ1352" s="185" t="s">
        <v>699</v>
      </c>
      <c r="GK1352" s="185" t="s">
        <v>699</v>
      </c>
      <c r="GL1352" s="185" t="s">
        <v>699</v>
      </c>
      <c r="GM1352" s="153"/>
      <c r="GN1352" s="153"/>
      <c r="GO1352" s="153"/>
      <c r="GP1352" s="153">
        <f>GP1356*GP1353</f>
        <v>2038441.9</v>
      </c>
      <c r="GQ1352" s="153">
        <f t="shared" ref="GQ1352:GR1352" si="2975">GQ1356*GQ1353</f>
        <v>2038441.9</v>
      </c>
      <c r="GR1352" s="153">
        <f t="shared" si="2975"/>
        <v>2038441.9</v>
      </c>
      <c r="GS1352" s="185" t="s">
        <v>699</v>
      </c>
      <c r="GT1352" s="185" t="s">
        <v>699</v>
      </c>
      <c r="GU1352" s="185" t="s">
        <v>699</v>
      </c>
      <c r="GV1352" s="185" t="s">
        <v>699</v>
      </c>
      <c r="GW1352" s="185" t="s">
        <v>699</v>
      </c>
      <c r="GX1352" s="185" t="s">
        <v>699</v>
      </c>
      <c r="GY1352" s="185" t="s">
        <v>699</v>
      </c>
      <c r="GZ1352" s="185" t="s">
        <v>699</v>
      </c>
      <c r="HA1352" s="185" t="s">
        <v>699</v>
      </c>
      <c r="HB1352" s="185" t="s">
        <v>699</v>
      </c>
      <c r="HC1352" s="185" t="s">
        <v>699</v>
      </c>
      <c r="HD1352" s="185" t="s">
        <v>699</v>
      </c>
      <c r="HE1352" s="185" t="s">
        <v>699</v>
      </c>
      <c r="HF1352" s="185" t="s">
        <v>699</v>
      </c>
      <c r="HG1352" s="185" t="s">
        <v>699</v>
      </c>
      <c r="HH1352" s="153"/>
      <c r="HI1352" s="153"/>
      <c r="HJ1352" s="153"/>
      <c r="HK1352" s="153">
        <f>HK1356*HK1353</f>
        <v>2077128.41</v>
      </c>
      <c r="HL1352" s="153">
        <f t="shared" ref="HL1352:HM1352" si="2976">HL1356*HL1353</f>
        <v>2077128.41</v>
      </c>
      <c r="HM1352" s="153">
        <f t="shared" si="2976"/>
        <v>2077128.41</v>
      </c>
      <c r="HN1352" s="185" t="s">
        <v>699</v>
      </c>
      <c r="HO1352" s="185" t="s">
        <v>699</v>
      </c>
      <c r="HP1352" s="185" t="s">
        <v>699</v>
      </c>
      <c r="HQ1352" s="185" t="s">
        <v>699</v>
      </c>
      <c r="HR1352" s="185" t="s">
        <v>699</v>
      </c>
      <c r="HS1352" s="185" t="s">
        <v>699</v>
      </c>
      <c r="HT1352" s="185" t="s">
        <v>699</v>
      </c>
      <c r="HU1352" s="185" t="s">
        <v>699</v>
      </c>
      <c r="HV1352" s="185" t="s">
        <v>699</v>
      </c>
      <c r="HW1352" s="185" t="s">
        <v>699</v>
      </c>
      <c r="HX1352" s="185" t="s">
        <v>699</v>
      </c>
      <c r="HY1352" s="185" t="s">
        <v>699</v>
      </c>
      <c r="HZ1352" s="185" t="s">
        <v>699</v>
      </c>
      <c r="IA1352" s="185" t="s">
        <v>699</v>
      </c>
      <c r="IB1352" s="185" t="s">
        <v>699</v>
      </c>
      <c r="IC1352" s="153"/>
      <c r="ID1352" s="153"/>
      <c r="IE1352" s="153"/>
      <c r="IF1352" s="153">
        <f>IF1356*IF1353</f>
        <v>1215879.25</v>
      </c>
      <c r="IG1352" s="153">
        <f t="shared" ref="IG1352:IH1352" si="2977">IG1356*IG1353</f>
        <v>1215879.25</v>
      </c>
      <c r="IH1352" s="153">
        <f t="shared" si="2977"/>
        <v>1215879.25</v>
      </c>
      <c r="II1352" s="185" t="s">
        <v>699</v>
      </c>
      <c r="IJ1352" s="185" t="s">
        <v>699</v>
      </c>
      <c r="IK1352" s="185" t="s">
        <v>699</v>
      </c>
      <c r="IL1352" s="185" t="s">
        <v>699</v>
      </c>
      <c r="IM1352" s="185" t="s">
        <v>699</v>
      </c>
      <c r="IN1352" s="185" t="s">
        <v>699</v>
      </c>
      <c r="IO1352" s="185" t="s">
        <v>699</v>
      </c>
      <c r="IP1352" s="185" t="s">
        <v>699</v>
      </c>
      <c r="IQ1352" s="185" t="s">
        <v>699</v>
      </c>
      <c r="IR1352" s="185" t="s">
        <v>699</v>
      </c>
      <c r="IS1352" s="185" t="s">
        <v>699</v>
      </c>
      <c r="IT1352" s="185" t="s">
        <v>699</v>
      </c>
      <c r="IU1352" s="185" t="s">
        <v>699</v>
      </c>
      <c r="IV1352" s="185" t="s">
        <v>699</v>
      </c>
      <c r="IW1352" s="185" t="s">
        <v>699</v>
      </c>
      <c r="IX1352" s="153"/>
      <c r="IY1352" s="153"/>
      <c r="IZ1352" s="153"/>
      <c r="JA1352" s="153">
        <f>JA1356*JA1353</f>
        <v>597297.71</v>
      </c>
      <c r="JB1352" s="153">
        <f t="shared" ref="JB1352:JC1352" si="2978">JB1356*JB1353</f>
        <v>597297.71</v>
      </c>
      <c r="JC1352" s="153">
        <f t="shared" si="2978"/>
        <v>597297.71</v>
      </c>
      <c r="JD1352" s="185" t="s">
        <v>699</v>
      </c>
      <c r="JE1352" s="185" t="s">
        <v>699</v>
      </c>
      <c r="JF1352" s="185" t="s">
        <v>699</v>
      </c>
      <c r="JG1352" s="185" t="s">
        <v>699</v>
      </c>
      <c r="JH1352" s="185" t="s">
        <v>699</v>
      </c>
      <c r="JI1352" s="185" t="s">
        <v>699</v>
      </c>
      <c r="JJ1352" s="185" t="s">
        <v>699</v>
      </c>
      <c r="JK1352" s="185" t="s">
        <v>699</v>
      </c>
      <c r="JL1352" s="185" t="s">
        <v>699</v>
      </c>
      <c r="JM1352" s="185" t="s">
        <v>699</v>
      </c>
      <c r="JN1352" s="185" t="s">
        <v>699</v>
      </c>
      <c r="JO1352" s="185" t="s">
        <v>699</v>
      </c>
      <c r="JP1352" s="185" t="s">
        <v>699</v>
      </c>
      <c r="JQ1352" s="185" t="s">
        <v>699</v>
      </c>
      <c r="JR1352" s="185" t="s">
        <v>699</v>
      </c>
      <c r="JS1352" s="153"/>
      <c r="JT1352" s="153"/>
      <c r="JU1352" s="153"/>
      <c r="JV1352" s="153">
        <f>JV1356*JV1353</f>
        <v>1290304.56</v>
      </c>
      <c r="JW1352" s="153">
        <f t="shared" ref="JW1352:JX1352" si="2979">JW1356*JW1353</f>
        <v>1290304.56</v>
      </c>
      <c r="JX1352" s="153">
        <f t="shared" si="2979"/>
        <v>1290304.56</v>
      </c>
      <c r="JY1352" s="185" t="s">
        <v>699</v>
      </c>
      <c r="JZ1352" s="185" t="s">
        <v>699</v>
      </c>
      <c r="KA1352" s="185" t="s">
        <v>699</v>
      </c>
      <c r="KB1352" s="185" t="s">
        <v>699</v>
      </c>
      <c r="KC1352" s="185" t="s">
        <v>699</v>
      </c>
      <c r="KD1352" s="185" t="s">
        <v>699</v>
      </c>
      <c r="KE1352" s="185" t="s">
        <v>699</v>
      </c>
      <c r="KF1352" s="185" t="s">
        <v>699</v>
      </c>
      <c r="KG1352" s="185" t="s">
        <v>699</v>
      </c>
      <c r="KH1352" s="185" t="s">
        <v>699</v>
      </c>
      <c r="KI1352" s="185" t="s">
        <v>699</v>
      </c>
      <c r="KJ1352" s="185" t="s">
        <v>699</v>
      </c>
      <c r="KK1352" s="185" t="s">
        <v>699</v>
      </c>
      <c r="KL1352" s="185" t="s">
        <v>699</v>
      </c>
      <c r="KM1352" s="185" t="s">
        <v>699</v>
      </c>
      <c r="KN1352" s="153"/>
      <c r="KO1352" s="153"/>
      <c r="KP1352" s="153"/>
      <c r="KQ1352" s="153">
        <f>KQ1356*KQ1353</f>
        <v>1566581.18</v>
      </c>
      <c r="KR1352" s="153">
        <f t="shared" ref="KR1352:KS1352" si="2980">KR1356*KR1353</f>
        <v>1566581.18</v>
      </c>
      <c r="KS1352" s="153">
        <f t="shared" si="2980"/>
        <v>1566581.18</v>
      </c>
      <c r="KT1352" s="185" t="s">
        <v>699</v>
      </c>
      <c r="KU1352" s="185" t="s">
        <v>699</v>
      </c>
      <c r="KV1352" s="185" t="s">
        <v>699</v>
      </c>
      <c r="KW1352" s="185" t="s">
        <v>699</v>
      </c>
      <c r="KX1352" s="185" t="s">
        <v>699</v>
      </c>
      <c r="KY1352" s="185" t="s">
        <v>699</v>
      </c>
      <c r="KZ1352" s="185" t="s">
        <v>699</v>
      </c>
      <c r="LA1352" s="185" t="s">
        <v>699</v>
      </c>
      <c r="LB1352" s="185" t="s">
        <v>699</v>
      </c>
      <c r="LC1352" s="185" t="s">
        <v>699</v>
      </c>
      <c r="LD1352" s="185" t="s">
        <v>699</v>
      </c>
      <c r="LE1352" s="185" t="s">
        <v>699</v>
      </c>
      <c r="LF1352" s="185" t="s">
        <v>699</v>
      </c>
      <c r="LG1352" s="185" t="s">
        <v>699</v>
      </c>
      <c r="LH1352" s="185" t="s">
        <v>699</v>
      </c>
      <c r="LI1352" s="153"/>
      <c r="LJ1352" s="153"/>
      <c r="LK1352" s="153"/>
      <c r="LL1352" s="153">
        <f>LL1356*LL1353</f>
        <v>1780886.29</v>
      </c>
      <c r="LM1352" s="153">
        <f t="shared" ref="LM1352:LN1352" si="2981">LM1356*LM1353</f>
        <v>1780886.29</v>
      </c>
      <c r="LN1352" s="153">
        <f t="shared" si="2981"/>
        <v>1780886.29</v>
      </c>
      <c r="LO1352" s="185" t="s">
        <v>699</v>
      </c>
      <c r="LP1352" s="185" t="s">
        <v>699</v>
      </c>
      <c r="LQ1352" s="185" t="s">
        <v>699</v>
      </c>
      <c r="LR1352" s="185" t="s">
        <v>699</v>
      </c>
      <c r="LS1352" s="185" t="s">
        <v>699</v>
      </c>
      <c r="LT1352" s="185" t="s">
        <v>699</v>
      </c>
      <c r="LU1352" s="185" t="s">
        <v>699</v>
      </c>
      <c r="LV1352" s="185" t="s">
        <v>699</v>
      </c>
      <c r="LW1352" s="185" t="s">
        <v>699</v>
      </c>
      <c r="LX1352" s="185" t="s">
        <v>699</v>
      </c>
      <c r="LY1352" s="185" t="s">
        <v>699</v>
      </c>
      <c r="LZ1352" s="185" t="s">
        <v>699</v>
      </c>
      <c r="MA1352" s="185" t="s">
        <v>699</v>
      </c>
      <c r="MB1352" s="185" t="s">
        <v>699</v>
      </c>
      <c r="MC1352" s="185" t="s">
        <v>699</v>
      </c>
      <c r="MD1352" s="153"/>
      <c r="ME1352" s="153"/>
      <c r="MF1352" s="153"/>
      <c r="MG1352" s="153">
        <f>MG1356*MG1353</f>
        <v>1868061.43</v>
      </c>
      <c r="MH1352" s="153">
        <f t="shared" ref="MH1352:MI1352" si="2982">MH1356*MH1353</f>
        <v>1868061.43</v>
      </c>
      <c r="MI1352" s="153">
        <f t="shared" si="2982"/>
        <v>1868061.43</v>
      </c>
      <c r="MJ1352" s="185" t="s">
        <v>699</v>
      </c>
      <c r="MK1352" s="185" t="s">
        <v>699</v>
      </c>
      <c r="ML1352" s="185" t="s">
        <v>699</v>
      </c>
      <c r="MM1352" s="185" t="s">
        <v>699</v>
      </c>
      <c r="MN1352" s="185" t="s">
        <v>699</v>
      </c>
      <c r="MO1352" s="185" t="s">
        <v>699</v>
      </c>
      <c r="MP1352" s="185" t="s">
        <v>699</v>
      </c>
      <c r="MQ1352" s="185" t="s">
        <v>699</v>
      </c>
      <c r="MR1352" s="185" t="s">
        <v>699</v>
      </c>
      <c r="MS1352" s="185" t="s">
        <v>699</v>
      </c>
      <c r="MT1352" s="185" t="s">
        <v>699</v>
      </c>
      <c r="MU1352" s="185" t="s">
        <v>699</v>
      </c>
      <c r="MV1352" s="185" t="s">
        <v>699</v>
      </c>
      <c r="MW1352" s="185" t="s">
        <v>699</v>
      </c>
      <c r="MX1352" s="185" t="s">
        <v>699</v>
      </c>
      <c r="MY1352" s="153"/>
      <c r="MZ1352" s="153"/>
      <c r="NA1352" s="153"/>
      <c r="NB1352" s="153">
        <f>NB1356*NB1353</f>
        <v>1178949.05</v>
      </c>
      <c r="NC1352" s="153">
        <f t="shared" ref="NC1352:ND1352" si="2983">NC1356*NC1353</f>
        <v>1178949.05</v>
      </c>
      <c r="ND1352" s="153">
        <f t="shared" si="2983"/>
        <v>1178949.05</v>
      </c>
      <c r="NE1352" s="185" t="s">
        <v>699</v>
      </c>
      <c r="NF1352" s="185" t="s">
        <v>699</v>
      </c>
      <c r="NG1352" s="185" t="s">
        <v>699</v>
      </c>
      <c r="NH1352" s="185" t="s">
        <v>699</v>
      </c>
      <c r="NI1352" s="185" t="s">
        <v>699</v>
      </c>
      <c r="NJ1352" s="185" t="s">
        <v>699</v>
      </c>
      <c r="NK1352" s="185" t="s">
        <v>699</v>
      </c>
      <c r="NL1352" s="185" t="s">
        <v>699</v>
      </c>
      <c r="NM1352" s="185" t="s">
        <v>699</v>
      </c>
      <c r="NN1352" s="185" t="s">
        <v>699</v>
      </c>
      <c r="NO1352" s="185" t="s">
        <v>699</v>
      </c>
      <c r="NP1352" s="185" t="s">
        <v>699</v>
      </c>
      <c r="NQ1352" s="185" t="s">
        <v>699</v>
      </c>
      <c r="NR1352" s="185" t="s">
        <v>699</v>
      </c>
      <c r="NS1352" s="185" t="s">
        <v>699</v>
      </c>
      <c r="NT1352" s="153"/>
      <c r="NU1352" s="153"/>
      <c r="NV1352" s="153"/>
      <c r="NW1352" s="153">
        <f>NW1356*NW1353</f>
        <v>1835837.23</v>
      </c>
      <c r="NX1352" s="153">
        <f t="shared" ref="NX1352:NY1352" si="2984">NX1356*NX1353</f>
        <v>1835837.23</v>
      </c>
      <c r="NY1352" s="153">
        <f t="shared" si="2984"/>
        <v>1835837.23</v>
      </c>
      <c r="NZ1352" s="185" t="s">
        <v>699</v>
      </c>
      <c r="OA1352" s="185" t="s">
        <v>699</v>
      </c>
      <c r="OB1352" s="185" t="s">
        <v>699</v>
      </c>
      <c r="OC1352" s="185" t="s">
        <v>699</v>
      </c>
      <c r="OD1352" s="185" t="s">
        <v>699</v>
      </c>
      <c r="OE1352" s="185" t="s">
        <v>699</v>
      </c>
      <c r="OF1352" s="185" t="s">
        <v>699</v>
      </c>
      <c r="OG1352" s="185" t="s">
        <v>699</v>
      </c>
      <c r="OH1352" s="185" t="s">
        <v>699</v>
      </c>
      <c r="OI1352" s="185" t="s">
        <v>699</v>
      </c>
      <c r="OJ1352" s="185" t="s">
        <v>699</v>
      </c>
      <c r="OK1352" s="185" t="s">
        <v>699</v>
      </c>
      <c r="OL1352" s="185" t="s">
        <v>699</v>
      </c>
      <c r="OM1352" s="185" t="s">
        <v>699</v>
      </c>
      <c r="ON1352" s="185" t="s">
        <v>699</v>
      </c>
      <c r="OO1352" s="153"/>
      <c r="OP1352" s="153"/>
      <c r="OQ1352" s="153"/>
      <c r="OR1352" s="153">
        <f>OR1356*OR1353</f>
        <v>1034974.55</v>
      </c>
      <c r="OS1352" s="153">
        <f t="shared" ref="OS1352:OT1352" si="2985">OS1356*OS1353</f>
        <v>1034974.55</v>
      </c>
      <c r="OT1352" s="153">
        <f t="shared" si="2985"/>
        <v>1034974.55</v>
      </c>
      <c r="OU1352" s="185" t="s">
        <v>699</v>
      </c>
      <c r="OV1352" s="185" t="s">
        <v>699</v>
      </c>
      <c r="OW1352" s="185" t="s">
        <v>699</v>
      </c>
      <c r="OX1352" s="185" t="s">
        <v>699</v>
      </c>
      <c r="OY1352" s="185" t="s">
        <v>699</v>
      </c>
      <c r="OZ1352" s="185" t="s">
        <v>699</v>
      </c>
      <c r="PA1352" s="185" t="s">
        <v>699</v>
      </c>
      <c r="PB1352" s="185" t="s">
        <v>699</v>
      </c>
      <c r="PC1352" s="185" t="s">
        <v>699</v>
      </c>
      <c r="PD1352" s="185" t="s">
        <v>699</v>
      </c>
      <c r="PE1352" s="185" t="s">
        <v>699</v>
      </c>
      <c r="PF1352" s="185" t="s">
        <v>699</v>
      </c>
      <c r="PG1352" s="185" t="s">
        <v>699</v>
      </c>
      <c r="PH1352" s="185" t="s">
        <v>699</v>
      </c>
      <c r="PI1352" s="185" t="s">
        <v>699</v>
      </c>
      <c r="PJ1352" s="153"/>
      <c r="PK1352" s="153"/>
      <c r="PL1352" s="153"/>
      <c r="PM1352" s="153">
        <f>PM1356*PM1353</f>
        <v>1984039.44</v>
      </c>
      <c r="PN1352" s="153">
        <f t="shared" ref="PN1352:PO1352" si="2986">PN1356*PN1353</f>
        <v>1984039.44</v>
      </c>
      <c r="PO1352" s="153">
        <f t="shared" si="2986"/>
        <v>1984039.44</v>
      </c>
      <c r="PP1352" s="185" t="s">
        <v>699</v>
      </c>
      <c r="PQ1352" s="185" t="s">
        <v>699</v>
      </c>
      <c r="PR1352" s="185" t="s">
        <v>699</v>
      </c>
      <c r="PS1352" s="185" t="s">
        <v>699</v>
      </c>
      <c r="PT1352" s="185" t="s">
        <v>699</v>
      </c>
      <c r="PU1352" s="185" t="s">
        <v>699</v>
      </c>
      <c r="PV1352" s="185" t="s">
        <v>699</v>
      </c>
      <c r="PW1352" s="185" t="s">
        <v>699</v>
      </c>
      <c r="PX1352" s="185" t="s">
        <v>699</v>
      </c>
      <c r="PY1352" s="185" t="s">
        <v>699</v>
      </c>
      <c r="PZ1352" s="185" t="s">
        <v>699</v>
      </c>
      <c r="QA1352" s="185" t="s">
        <v>699</v>
      </c>
      <c r="QB1352" s="185" t="s">
        <v>699</v>
      </c>
      <c r="QC1352" s="185" t="s">
        <v>699</v>
      </c>
      <c r="QD1352" s="185" t="s">
        <v>699</v>
      </c>
      <c r="QE1352" s="153"/>
      <c r="QF1352" s="153"/>
      <c r="QG1352" s="153"/>
      <c r="QH1352" s="153">
        <f>QH1356*QH1353</f>
        <v>2520684.1800000002</v>
      </c>
      <c r="QI1352" s="153">
        <f t="shared" ref="QI1352:QJ1352" si="2987">QI1356*QI1353</f>
        <v>2520684.1800000002</v>
      </c>
      <c r="QJ1352" s="153">
        <f t="shared" si="2987"/>
        <v>2520684.1800000002</v>
      </c>
      <c r="QK1352" s="185" t="s">
        <v>699</v>
      </c>
      <c r="QL1352" s="185" t="s">
        <v>699</v>
      </c>
      <c r="QM1352" s="185" t="s">
        <v>699</v>
      </c>
      <c r="QN1352" s="185" t="s">
        <v>699</v>
      </c>
      <c r="QO1352" s="185" t="s">
        <v>699</v>
      </c>
      <c r="QP1352" s="185" t="s">
        <v>699</v>
      </c>
      <c r="QQ1352" s="185" t="s">
        <v>699</v>
      </c>
      <c r="QR1352" s="185" t="s">
        <v>699</v>
      </c>
      <c r="QS1352" s="185" t="s">
        <v>699</v>
      </c>
      <c r="QT1352" s="185" t="s">
        <v>699</v>
      </c>
      <c r="QU1352" s="185" t="s">
        <v>699</v>
      </c>
      <c r="QV1352" s="185" t="s">
        <v>699</v>
      </c>
      <c r="QW1352" s="185" t="s">
        <v>699</v>
      </c>
      <c r="QX1352" s="185" t="s">
        <v>699</v>
      </c>
      <c r="QY1352" s="185" t="s">
        <v>699</v>
      </c>
      <c r="QZ1352" s="153"/>
      <c r="RA1352" s="153"/>
      <c r="RB1352" s="153"/>
      <c r="RC1352" s="153">
        <f>RC1356*RC1353</f>
        <v>3385050.8</v>
      </c>
      <c r="RD1352" s="153">
        <f t="shared" ref="RD1352:RE1352" si="2988">RD1356*RD1353</f>
        <v>3385050.8</v>
      </c>
      <c r="RE1352" s="153">
        <f t="shared" si="2988"/>
        <v>3385050.8</v>
      </c>
      <c r="RF1352" s="185" t="s">
        <v>699</v>
      </c>
      <c r="RG1352" s="185" t="s">
        <v>699</v>
      </c>
      <c r="RH1352" s="185" t="s">
        <v>699</v>
      </c>
      <c r="RI1352" s="185" t="s">
        <v>699</v>
      </c>
      <c r="RJ1352" s="185" t="s">
        <v>699</v>
      </c>
      <c r="RK1352" s="185" t="s">
        <v>699</v>
      </c>
      <c r="RL1352" s="185" t="s">
        <v>699</v>
      </c>
      <c r="RM1352" s="185" t="s">
        <v>699</v>
      </c>
      <c r="RN1352" s="185" t="s">
        <v>699</v>
      </c>
      <c r="RO1352" s="185" t="s">
        <v>699</v>
      </c>
      <c r="RP1352" s="185" t="s">
        <v>699</v>
      </c>
      <c r="RQ1352" s="185" t="s">
        <v>699</v>
      </c>
      <c r="RR1352" s="185" t="s">
        <v>699</v>
      </c>
      <c r="RS1352" s="185" t="s">
        <v>699</v>
      </c>
      <c r="RT1352" s="185" t="s">
        <v>699</v>
      </c>
      <c r="RU1352" s="153"/>
      <c r="RV1352" s="153"/>
      <c r="RW1352" s="153"/>
      <c r="RX1352" s="153">
        <f>RX1356*RX1353</f>
        <v>1226223.8</v>
      </c>
      <c r="RY1352" s="153">
        <f t="shared" ref="RY1352:RZ1352" si="2989">RY1356*RY1353</f>
        <v>1226223.8</v>
      </c>
      <c r="RZ1352" s="153">
        <f t="shared" si="2989"/>
        <v>1226223.8</v>
      </c>
      <c r="SA1352" s="185" t="s">
        <v>699</v>
      </c>
      <c r="SB1352" s="185" t="s">
        <v>699</v>
      </c>
      <c r="SC1352" s="185" t="s">
        <v>699</v>
      </c>
      <c r="SD1352" s="185" t="s">
        <v>699</v>
      </c>
      <c r="SE1352" s="185" t="s">
        <v>699</v>
      </c>
      <c r="SF1352" s="185" t="s">
        <v>699</v>
      </c>
      <c r="SG1352" s="185" t="s">
        <v>699</v>
      </c>
      <c r="SH1352" s="185" t="s">
        <v>699</v>
      </c>
      <c r="SI1352" s="185" t="s">
        <v>699</v>
      </c>
      <c r="SJ1352" s="185" t="s">
        <v>699</v>
      </c>
      <c r="SK1352" s="185" t="s">
        <v>699</v>
      </c>
      <c r="SL1352" s="185" t="s">
        <v>699</v>
      </c>
      <c r="SM1352" s="185" t="s">
        <v>699</v>
      </c>
      <c r="SN1352" s="185" t="s">
        <v>699</v>
      </c>
      <c r="SO1352" s="185" t="s">
        <v>699</v>
      </c>
      <c r="SP1352" s="153"/>
      <c r="SQ1352" s="153"/>
      <c r="SR1352" s="153"/>
      <c r="SS1352" s="153">
        <f>SS1356*SS1353</f>
        <v>1619471.4</v>
      </c>
      <c r="ST1352" s="153">
        <f t="shared" ref="ST1352:SU1352" si="2990">ST1356*ST1353</f>
        <v>1619471.4</v>
      </c>
      <c r="SU1352" s="153">
        <f t="shared" si="2990"/>
        <v>1619471.4</v>
      </c>
      <c r="SV1352" s="185" t="s">
        <v>699</v>
      </c>
      <c r="SW1352" s="185" t="s">
        <v>699</v>
      </c>
      <c r="SX1352" s="185" t="s">
        <v>699</v>
      </c>
      <c r="SY1352" s="185" t="s">
        <v>699</v>
      </c>
      <c r="SZ1352" s="185" t="s">
        <v>699</v>
      </c>
      <c r="TA1352" s="185" t="s">
        <v>699</v>
      </c>
      <c r="TB1352" s="185" t="s">
        <v>699</v>
      </c>
      <c r="TC1352" s="185" t="s">
        <v>699</v>
      </c>
      <c r="TD1352" s="185" t="s">
        <v>699</v>
      </c>
      <c r="TE1352" s="185" t="s">
        <v>699</v>
      </c>
      <c r="TF1352" s="185" t="s">
        <v>699</v>
      </c>
      <c r="TG1352" s="185" t="s">
        <v>699</v>
      </c>
      <c r="TH1352" s="185" t="s">
        <v>699</v>
      </c>
      <c r="TI1352" s="185" t="s">
        <v>699</v>
      </c>
      <c r="TJ1352" s="185" t="s">
        <v>699</v>
      </c>
      <c r="TK1352" s="153"/>
      <c r="TL1352" s="153"/>
      <c r="TM1352" s="153"/>
      <c r="TN1352" s="153">
        <f>TN1356*TN1353</f>
        <v>4242069.75</v>
      </c>
      <c r="TO1352" s="153">
        <f t="shared" ref="TO1352:TP1352" si="2991">TO1356*TO1353</f>
        <v>4242069.75</v>
      </c>
      <c r="TP1352" s="153">
        <f t="shared" si="2991"/>
        <v>4242069.75</v>
      </c>
      <c r="TQ1352" s="185" t="s">
        <v>699</v>
      </c>
      <c r="TR1352" s="185" t="s">
        <v>699</v>
      </c>
      <c r="TS1352" s="185" t="s">
        <v>699</v>
      </c>
      <c r="TT1352" s="185" t="s">
        <v>699</v>
      </c>
      <c r="TU1352" s="185" t="s">
        <v>699</v>
      </c>
      <c r="TV1352" s="185" t="s">
        <v>699</v>
      </c>
      <c r="TW1352" s="185" t="s">
        <v>699</v>
      </c>
      <c r="TX1352" s="185" t="s">
        <v>699</v>
      </c>
      <c r="TY1352" s="185" t="s">
        <v>699</v>
      </c>
      <c r="TZ1352" s="185" t="s">
        <v>699</v>
      </c>
      <c r="UA1352" s="185" t="s">
        <v>699</v>
      </c>
      <c r="UB1352" s="185" t="s">
        <v>699</v>
      </c>
      <c r="UC1352" s="185" t="s">
        <v>699</v>
      </c>
      <c r="UD1352" s="185" t="s">
        <v>699</v>
      </c>
      <c r="UE1352" s="185" t="s">
        <v>699</v>
      </c>
      <c r="UF1352" s="153"/>
      <c r="UG1352" s="153"/>
      <c r="UH1352" s="153"/>
      <c r="UI1352" s="153">
        <f>UI1356*UI1353</f>
        <v>2081839.88</v>
      </c>
      <c r="UJ1352" s="153">
        <f t="shared" ref="UJ1352:UK1352" si="2992">UJ1356*UJ1353</f>
        <v>2081839.88</v>
      </c>
      <c r="UK1352" s="153">
        <f t="shared" si="2992"/>
        <v>2081839.88</v>
      </c>
      <c r="UL1352" s="185" t="s">
        <v>699</v>
      </c>
      <c r="UM1352" s="185" t="s">
        <v>699</v>
      </c>
      <c r="UN1352" s="185" t="s">
        <v>699</v>
      </c>
      <c r="UO1352" s="185" t="s">
        <v>699</v>
      </c>
      <c r="UP1352" s="185" t="s">
        <v>699</v>
      </c>
      <c r="UQ1352" s="185" t="s">
        <v>699</v>
      </c>
      <c r="UR1352" s="185" t="s">
        <v>699</v>
      </c>
      <c r="US1352" s="185" t="s">
        <v>699</v>
      </c>
      <c r="UT1352" s="185" t="s">
        <v>699</v>
      </c>
      <c r="UU1352" s="185" t="s">
        <v>699</v>
      </c>
      <c r="UV1352" s="185" t="s">
        <v>699</v>
      </c>
      <c r="UW1352" s="185" t="s">
        <v>699</v>
      </c>
      <c r="UX1352" s="185" t="s">
        <v>699</v>
      </c>
      <c r="UY1352" s="185" t="s">
        <v>699</v>
      </c>
      <c r="UZ1352" s="185" t="s">
        <v>699</v>
      </c>
      <c r="VA1352" s="153"/>
      <c r="VB1352" s="153"/>
      <c r="VC1352" s="153"/>
      <c r="VD1352" s="153">
        <f>VD1356*VD1353</f>
        <v>2996114.37</v>
      </c>
      <c r="VE1352" s="153">
        <f t="shared" ref="VE1352:VF1352" si="2993">VE1356*VE1353</f>
        <v>2996114.37</v>
      </c>
      <c r="VF1352" s="153">
        <f t="shared" si="2993"/>
        <v>2996114.37</v>
      </c>
      <c r="VG1352" s="185" t="s">
        <v>699</v>
      </c>
      <c r="VH1352" s="185" t="s">
        <v>699</v>
      </c>
      <c r="VI1352" s="185" t="s">
        <v>699</v>
      </c>
      <c r="VJ1352" s="185" t="s">
        <v>699</v>
      </c>
      <c r="VK1352" s="185" t="s">
        <v>699</v>
      </c>
      <c r="VL1352" s="185" t="s">
        <v>699</v>
      </c>
      <c r="VM1352" s="185" t="s">
        <v>699</v>
      </c>
      <c r="VN1352" s="185" t="s">
        <v>699</v>
      </c>
      <c r="VO1352" s="185" t="s">
        <v>699</v>
      </c>
      <c r="VP1352" s="185" t="s">
        <v>699</v>
      </c>
      <c r="VQ1352" s="185" t="s">
        <v>699</v>
      </c>
      <c r="VR1352" s="185" t="s">
        <v>699</v>
      </c>
      <c r="VS1352" s="185" t="s">
        <v>699</v>
      </c>
      <c r="VT1352" s="185" t="s">
        <v>699</v>
      </c>
      <c r="VU1352" s="185" t="s">
        <v>699</v>
      </c>
      <c r="VV1352" s="153"/>
      <c r="VW1352" s="153"/>
      <c r="VX1352" s="153"/>
      <c r="VY1352" s="153">
        <f>VY1356*VY1353</f>
        <v>2668517.75</v>
      </c>
      <c r="VZ1352" s="153">
        <f t="shared" ref="VZ1352:WA1352" si="2994">VZ1356*VZ1353</f>
        <v>2668517.75</v>
      </c>
      <c r="WA1352" s="153">
        <f t="shared" si="2994"/>
        <v>2668517.75</v>
      </c>
      <c r="WB1352" s="185" t="s">
        <v>699</v>
      </c>
      <c r="WC1352" s="185" t="s">
        <v>699</v>
      </c>
      <c r="WD1352" s="185" t="s">
        <v>699</v>
      </c>
      <c r="WE1352" s="185" t="s">
        <v>699</v>
      </c>
      <c r="WF1352" s="185" t="s">
        <v>699</v>
      </c>
      <c r="WG1352" s="185" t="s">
        <v>699</v>
      </c>
      <c r="WH1352" s="185" t="s">
        <v>699</v>
      </c>
      <c r="WI1352" s="185" t="s">
        <v>699</v>
      </c>
      <c r="WJ1352" s="185" t="s">
        <v>699</v>
      </c>
      <c r="WK1352" s="185" t="s">
        <v>699</v>
      </c>
      <c r="WL1352" s="185" t="s">
        <v>699</v>
      </c>
      <c r="WM1352" s="185" t="s">
        <v>699</v>
      </c>
      <c r="WN1352" s="185" t="s">
        <v>699</v>
      </c>
      <c r="WO1352" s="185" t="s">
        <v>699</v>
      </c>
      <c r="WP1352" s="185" t="s">
        <v>699</v>
      </c>
      <c r="WQ1352" s="153"/>
      <c r="WR1352" s="153"/>
      <c r="WS1352" s="153"/>
      <c r="WT1352" s="153">
        <f>WT1356*WT1353</f>
        <v>2253680.0699999998</v>
      </c>
      <c r="WU1352" s="153">
        <f t="shared" ref="WU1352:WV1352" si="2995">WU1356*WU1353</f>
        <v>2253680.0699999998</v>
      </c>
      <c r="WV1352" s="153">
        <f t="shared" si="2995"/>
        <v>2253680.0699999998</v>
      </c>
      <c r="WW1352" s="185" t="s">
        <v>699</v>
      </c>
      <c r="WX1352" s="185" t="s">
        <v>699</v>
      </c>
      <c r="WY1352" s="185" t="s">
        <v>699</v>
      </c>
      <c r="WZ1352" s="185" t="s">
        <v>699</v>
      </c>
      <c r="XA1352" s="185" t="s">
        <v>699</v>
      </c>
      <c r="XB1352" s="185" t="s">
        <v>699</v>
      </c>
      <c r="XC1352" s="185" t="s">
        <v>699</v>
      </c>
      <c r="XD1352" s="185" t="s">
        <v>699</v>
      </c>
      <c r="XE1352" s="185" t="s">
        <v>699</v>
      </c>
      <c r="XF1352" s="185" t="s">
        <v>699</v>
      </c>
      <c r="XG1352" s="185" t="s">
        <v>699</v>
      </c>
      <c r="XH1352" s="185" t="s">
        <v>699</v>
      </c>
      <c r="XI1352" s="185" t="s">
        <v>699</v>
      </c>
      <c r="XJ1352" s="185" t="s">
        <v>699</v>
      </c>
      <c r="XK1352" s="185" t="s">
        <v>699</v>
      </c>
      <c r="XL1352" s="153"/>
      <c r="XM1352" s="153"/>
      <c r="XN1352" s="153"/>
      <c r="XO1352" s="153">
        <f>XO1356*XO1353</f>
        <v>4555292.7300000004</v>
      </c>
      <c r="XP1352" s="153">
        <f t="shared" ref="XP1352:XQ1352" si="2996">XP1356*XP1353</f>
        <v>4555292.7300000004</v>
      </c>
      <c r="XQ1352" s="153">
        <f t="shared" si="2996"/>
        <v>4555292.7300000004</v>
      </c>
      <c r="XR1352" s="185" t="s">
        <v>699</v>
      </c>
      <c r="XS1352" s="185" t="s">
        <v>699</v>
      </c>
      <c r="XT1352" s="185" t="s">
        <v>699</v>
      </c>
      <c r="XU1352" s="185" t="s">
        <v>699</v>
      </c>
      <c r="XV1352" s="185" t="s">
        <v>699</v>
      </c>
      <c r="XW1352" s="185" t="s">
        <v>699</v>
      </c>
      <c r="XX1352" s="185" t="s">
        <v>699</v>
      </c>
      <c r="XY1352" s="185" t="s">
        <v>699</v>
      </c>
      <c r="XZ1352" s="185" t="s">
        <v>699</v>
      </c>
      <c r="YA1352" s="185" t="s">
        <v>699</v>
      </c>
      <c r="YB1352" s="185" t="s">
        <v>699</v>
      </c>
      <c r="YC1352" s="185" t="s">
        <v>699</v>
      </c>
      <c r="YD1352" s="185" t="s">
        <v>699</v>
      </c>
      <c r="YE1352" s="185" t="s">
        <v>699</v>
      </c>
      <c r="YF1352" s="185" t="s">
        <v>699</v>
      </c>
      <c r="YG1352" s="153"/>
      <c r="YH1352" s="153"/>
      <c r="YI1352" s="153"/>
      <c r="YJ1352" s="153">
        <f>YJ1356*YJ1353</f>
        <v>23930920.140000001</v>
      </c>
      <c r="YK1352" s="153">
        <f t="shared" ref="YK1352:YL1352" si="2997">YK1356*YK1353</f>
        <v>23930920.140000001</v>
      </c>
      <c r="YL1352" s="153">
        <f t="shared" si="2997"/>
        <v>23930920.140000001</v>
      </c>
      <c r="YM1352" s="185" t="s">
        <v>699</v>
      </c>
      <c r="YN1352" s="185" t="s">
        <v>699</v>
      </c>
      <c r="YO1352" s="185" t="s">
        <v>699</v>
      </c>
      <c r="YP1352" s="185" t="s">
        <v>699</v>
      </c>
      <c r="YQ1352" s="185" t="s">
        <v>699</v>
      </c>
      <c r="YR1352" s="185" t="s">
        <v>699</v>
      </c>
      <c r="YS1352" s="185" t="s">
        <v>699</v>
      </c>
      <c r="YT1352" s="185" t="s">
        <v>699</v>
      </c>
      <c r="YU1352" s="185" t="s">
        <v>699</v>
      </c>
      <c r="YV1352" s="185" t="s">
        <v>699</v>
      </c>
      <c r="YW1352" s="185" t="s">
        <v>699</v>
      </c>
      <c r="YX1352" s="185" t="s">
        <v>699</v>
      </c>
      <c r="YY1352" s="185" t="s">
        <v>699</v>
      </c>
      <c r="YZ1352" s="185" t="s">
        <v>699</v>
      </c>
      <c r="ZA1352" s="185" t="s">
        <v>699</v>
      </c>
      <c r="ZB1352" s="153">
        <f t="shared" si="2966"/>
        <v>0</v>
      </c>
      <c r="ZC1352" s="153">
        <f t="shared" si="2966"/>
        <v>0</v>
      </c>
      <c r="ZD1352" s="153">
        <f t="shared" si="2966"/>
        <v>0</v>
      </c>
      <c r="ZE1352" s="153">
        <f t="shared" si="2966"/>
        <v>78572674.290000007</v>
      </c>
      <c r="ZF1352" s="153">
        <f t="shared" si="2966"/>
        <v>78572674.290000007</v>
      </c>
      <c r="ZG1352" s="153">
        <f t="shared" si="2966"/>
        <v>78572674.290000007</v>
      </c>
    </row>
    <row r="1353" spans="1:683" s="149" customFormat="1" x14ac:dyDescent="0.25">
      <c r="A1353" s="324" t="s">
        <v>969</v>
      </c>
      <c r="B1353" s="336"/>
      <c r="C1353" s="317" t="s">
        <v>938</v>
      </c>
      <c r="D1353" s="315" t="s">
        <v>977</v>
      </c>
      <c r="E1353" s="316"/>
      <c r="F1353" s="318"/>
      <c r="G1353" s="318"/>
      <c r="H1353" s="318"/>
      <c r="I1353" s="319"/>
      <c r="J1353" s="319"/>
      <c r="K1353" s="319"/>
      <c r="L1353" s="320"/>
      <c r="M1353" s="320"/>
      <c r="N1353" s="320"/>
      <c r="O1353" s="320"/>
      <c r="P1353" s="320"/>
      <c r="Q1353" s="320"/>
      <c r="R1353" s="320"/>
      <c r="S1353" s="320"/>
      <c r="T1353" s="320"/>
      <c r="U1353" s="320"/>
      <c r="V1353" s="320"/>
      <c r="W1353" s="320"/>
      <c r="X1353" s="320"/>
      <c r="Y1353" s="320"/>
      <c r="Z1353" s="320"/>
      <c r="AA1353" s="325"/>
      <c r="AB1353" s="325"/>
      <c r="AC1353" s="325"/>
      <c r="AD1353" s="325">
        <f>IF(AD1355=0,1,AD1354/(AD1354+AD1355))</f>
        <v>0.98231481679999999</v>
      </c>
      <c r="AE1353" s="325">
        <f t="shared" ref="AE1353:AF1353" si="2998">IF(AE1355=0,1,AE1354/(AE1354+AE1355))</f>
        <v>0.98231481679999999</v>
      </c>
      <c r="AF1353" s="325">
        <f t="shared" si="2998"/>
        <v>0.98231481679999999</v>
      </c>
      <c r="AG1353" s="320"/>
      <c r="AH1353" s="320"/>
      <c r="AI1353" s="320"/>
      <c r="AJ1353" s="320"/>
      <c r="AK1353" s="320"/>
      <c r="AL1353" s="320"/>
      <c r="AM1353" s="320"/>
      <c r="AN1353" s="320"/>
      <c r="AO1353" s="320"/>
      <c r="AP1353" s="320"/>
      <c r="AQ1353" s="320"/>
      <c r="AR1353" s="320"/>
      <c r="AS1353" s="320"/>
      <c r="AT1353" s="320"/>
      <c r="AU1353" s="320"/>
      <c r="AV1353" s="325"/>
      <c r="AW1353" s="325"/>
      <c r="AX1353" s="325"/>
      <c r="AY1353" s="325">
        <f>IF(AY1355=0,1,AY1354/(AY1354+AY1355))</f>
        <v>0.9925194651</v>
      </c>
      <c r="AZ1353" s="325">
        <f t="shared" ref="AZ1353:BA1353" si="2999">IF(AZ1355=0,1,AZ1354/(AZ1354+AZ1355))</f>
        <v>0.9925194651</v>
      </c>
      <c r="BA1353" s="325">
        <f t="shared" si="2999"/>
        <v>0.9925194651</v>
      </c>
      <c r="BB1353" s="320"/>
      <c r="BC1353" s="320"/>
      <c r="BD1353" s="320"/>
      <c r="BE1353" s="320"/>
      <c r="BF1353" s="320"/>
      <c r="BG1353" s="320"/>
      <c r="BH1353" s="320"/>
      <c r="BI1353" s="320"/>
      <c r="BJ1353" s="320"/>
      <c r="BK1353" s="320"/>
      <c r="BL1353" s="320"/>
      <c r="BM1353" s="320"/>
      <c r="BN1353" s="320"/>
      <c r="BO1353" s="320"/>
      <c r="BP1353" s="320"/>
      <c r="BQ1353" s="325"/>
      <c r="BR1353" s="325"/>
      <c r="BS1353" s="325"/>
      <c r="BT1353" s="325">
        <f>IF(BT1355=0,1,BT1354/(BT1354+BT1355))</f>
        <v>0.89274530740000002</v>
      </c>
      <c r="BU1353" s="325">
        <f t="shared" ref="BU1353:BV1353" si="3000">IF(BU1355=0,1,BU1354/(BU1354+BU1355))</f>
        <v>0.89274530740000002</v>
      </c>
      <c r="BV1353" s="325">
        <f t="shared" si="3000"/>
        <v>0.89274530740000002</v>
      </c>
      <c r="BW1353" s="320"/>
      <c r="BX1353" s="320"/>
      <c r="BY1353" s="320"/>
      <c r="BZ1353" s="320"/>
      <c r="CA1353" s="320"/>
      <c r="CB1353" s="320"/>
      <c r="CC1353" s="320"/>
      <c r="CD1353" s="320"/>
      <c r="CE1353" s="320"/>
      <c r="CF1353" s="320"/>
      <c r="CG1353" s="320"/>
      <c r="CH1353" s="320"/>
      <c r="CI1353" s="320"/>
      <c r="CJ1353" s="320"/>
      <c r="CK1353" s="320"/>
      <c r="CL1353" s="325"/>
      <c r="CM1353" s="325"/>
      <c r="CN1353" s="325"/>
      <c r="CO1353" s="325">
        <f>IF(CO1355=0,1,CO1354/(CO1354+CO1355))</f>
        <v>0.97319667610000005</v>
      </c>
      <c r="CP1353" s="325">
        <f t="shared" ref="CP1353:CQ1353" si="3001">IF(CP1355=0,1,CP1354/(CP1354+CP1355))</f>
        <v>0.97319667610000005</v>
      </c>
      <c r="CQ1353" s="325">
        <f t="shared" si="3001"/>
        <v>0.97319667610000005</v>
      </c>
      <c r="CR1353" s="320"/>
      <c r="CS1353" s="320"/>
      <c r="CT1353" s="320"/>
      <c r="CU1353" s="320"/>
      <c r="CV1353" s="320"/>
      <c r="CW1353" s="320"/>
      <c r="CX1353" s="320"/>
      <c r="CY1353" s="320"/>
      <c r="CZ1353" s="320"/>
      <c r="DA1353" s="320"/>
      <c r="DB1353" s="320"/>
      <c r="DC1353" s="320"/>
      <c r="DD1353" s="320"/>
      <c r="DE1353" s="320"/>
      <c r="DF1353" s="320"/>
      <c r="DG1353" s="325"/>
      <c r="DH1353" s="325"/>
      <c r="DI1353" s="325"/>
      <c r="DJ1353" s="325">
        <f>IF(DJ1355=0,1,DJ1354/(DJ1354+DJ1355))</f>
        <v>0.98687629690000001</v>
      </c>
      <c r="DK1353" s="325">
        <f t="shared" ref="DK1353:DL1353" si="3002">IF(DK1355=0,1,DK1354/(DK1354+DK1355))</f>
        <v>0.98687629690000001</v>
      </c>
      <c r="DL1353" s="325">
        <f t="shared" si="3002"/>
        <v>0.98687629690000001</v>
      </c>
      <c r="DM1353" s="320"/>
      <c r="DN1353" s="320"/>
      <c r="DO1353" s="320"/>
      <c r="DP1353" s="320"/>
      <c r="DQ1353" s="320"/>
      <c r="DR1353" s="320"/>
      <c r="DS1353" s="320"/>
      <c r="DT1353" s="320"/>
      <c r="DU1353" s="320"/>
      <c r="DV1353" s="320"/>
      <c r="DW1353" s="320"/>
      <c r="DX1353" s="320"/>
      <c r="DY1353" s="320"/>
      <c r="DZ1353" s="320"/>
      <c r="EA1353" s="320"/>
      <c r="EB1353" s="325"/>
      <c r="EC1353" s="325"/>
      <c r="ED1353" s="325"/>
      <c r="EE1353" s="325">
        <f>IF(EE1355=0,1,EE1354/(EE1354+EE1355))</f>
        <v>0.9921768285</v>
      </c>
      <c r="EF1353" s="325">
        <f t="shared" ref="EF1353:EG1353" si="3003">IF(EF1355=0,1,EF1354/(EF1354+EF1355))</f>
        <v>0.9921768285</v>
      </c>
      <c r="EG1353" s="325">
        <f t="shared" si="3003"/>
        <v>0.9921768285</v>
      </c>
      <c r="EH1353" s="320"/>
      <c r="EI1353" s="320"/>
      <c r="EJ1353" s="320"/>
      <c r="EK1353" s="320"/>
      <c r="EL1353" s="320"/>
      <c r="EM1353" s="320"/>
      <c r="EN1353" s="320"/>
      <c r="EO1353" s="320"/>
      <c r="EP1353" s="320"/>
      <c r="EQ1353" s="320"/>
      <c r="ER1353" s="320"/>
      <c r="ES1353" s="320"/>
      <c r="ET1353" s="320"/>
      <c r="EU1353" s="320"/>
      <c r="EV1353" s="320"/>
      <c r="EW1353" s="325"/>
      <c r="EX1353" s="325"/>
      <c r="EY1353" s="325"/>
      <c r="EZ1353" s="325">
        <f>IF(EZ1355=0,1,EZ1354/(EZ1354+EZ1355))</f>
        <v>0.96896676680000005</v>
      </c>
      <c r="FA1353" s="325">
        <f t="shared" ref="FA1353:FB1353" si="3004">IF(FA1355=0,1,FA1354/(FA1354+FA1355))</f>
        <v>0.96896676680000005</v>
      </c>
      <c r="FB1353" s="325">
        <f t="shared" si="3004"/>
        <v>0.96896676680000005</v>
      </c>
      <c r="FC1353" s="320"/>
      <c r="FD1353" s="320"/>
      <c r="FE1353" s="320"/>
      <c r="FF1353" s="320"/>
      <c r="FG1353" s="320"/>
      <c r="FH1353" s="320"/>
      <c r="FI1353" s="320"/>
      <c r="FJ1353" s="320"/>
      <c r="FK1353" s="320"/>
      <c r="FL1353" s="320"/>
      <c r="FM1353" s="320"/>
      <c r="FN1353" s="320"/>
      <c r="FO1353" s="320"/>
      <c r="FP1353" s="320"/>
      <c r="FQ1353" s="320"/>
      <c r="FR1353" s="325"/>
      <c r="FS1353" s="325"/>
      <c r="FT1353" s="325"/>
      <c r="FU1353" s="325">
        <f>IF(FU1355=0,1,FU1354/(FU1354+FU1355))</f>
        <v>0.9829452407</v>
      </c>
      <c r="FV1353" s="325">
        <f t="shared" ref="FV1353:FW1353" si="3005">IF(FV1355=0,1,FV1354/(FV1354+FV1355))</f>
        <v>0.9829452407</v>
      </c>
      <c r="FW1353" s="325">
        <f t="shared" si="3005"/>
        <v>0.9829452407</v>
      </c>
      <c r="FX1353" s="320"/>
      <c r="FY1353" s="320"/>
      <c r="FZ1353" s="320"/>
      <c r="GA1353" s="320"/>
      <c r="GB1353" s="320"/>
      <c r="GC1353" s="320"/>
      <c r="GD1353" s="320"/>
      <c r="GE1353" s="320"/>
      <c r="GF1353" s="320"/>
      <c r="GG1353" s="320"/>
      <c r="GH1353" s="320"/>
      <c r="GI1353" s="320"/>
      <c r="GJ1353" s="320"/>
      <c r="GK1353" s="320"/>
      <c r="GL1353" s="320"/>
      <c r="GM1353" s="325"/>
      <c r="GN1353" s="325"/>
      <c r="GO1353" s="325"/>
      <c r="GP1353" s="325">
        <f>IF(GP1355=0,1,GP1354/(GP1354+GP1355))</f>
        <v>0.92393380290000005</v>
      </c>
      <c r="GQ1353" s="325">
        <f t="shared" ref="GQ1353:GR1353" si="3006">IF(GQ1355=0,1,GQ1354/(GQ1354+GQ1355))</f>
        <v>0.92393380290000005</v>
      </c>
      <c r="GR1353" s="325">
        <f t="shared" si="3006"/>
        <v>0.92393380290000005</v>
      </c>
      <c r="GS1353" s="320"/>
      <c r="GT1353" s="320"/>
      <c r="GU1353" s="320"/>
      <c r="GV1353" s="320"/>
      <c r="GW1353" s="320"/>
      <c r="GX1353" s="320"/>
      <c r="GY1353" s="320"/>
      <c r="GZ1353" s="320"/>
      <c r="HA1353" s="320"/>
      <c r="HB1353" s="320"/>
      <c r="HC1353" s="320"/>
      <c r="HD1353" s="320"/>
      <c r="HE1353" s="320"/>
      <c r="HF1353" s="320"/>
      <c r="HG1353" s="320"/>
      <c r="HH1353" s="325"/>
      <c r="HI1353" s="325"/>
      <c r="HJ1353" s="325"/>
      <c r="HK1353" s="325">
        <f>IF(HK1355=0,1,HK1354/(HK1354+HK1355))</f>
        <v>0.99227506269999999</v>
      </c>
      <c r="HL1353" s="325">
        <f t="shared" ref="HL1353:HM1353" si="3007">IF(HL1355=0,1,HL1354/(HL1354+HL1355))</f>
        <v>0.99227506269999999</v>
      </c>
      <c r="HM1353" s="325">
        <f t="shared" si="3007"/>
        <v>0.99227506269999999</v>
      </c>
      <c r="HN1353" s="320"/>
      <c r="HO1353" s="320"/>
      <c r="HP1353" s="320"/>
      <c r="HQ1353" s="320"/>
      <c r="HR1353" s="320"/>
      <c r="HS1353" s="320"/>
      <c r="HT1353" s="320"/>
      <c r="HU1353" s="320"/>
      <c r="HV1353" s="320"/>
      <c r="HW1353" s="320"/>
      <c r="HX1353" s="320"/>
      <c r="HY1353" s="320"/>
      <c r="HZ1353" s="320"/>
      <c r="IA1353" s="320"/>
      <c r="IB1353" s="320"/>
      <c r="IC1353" s="325"/>
      <c r="ID1353" s="325"/>
      <c r="IE1353" s="325"/>
      <c r="IF1353" s="325">
        <f>IF(IF1355=0,1,IF1354/(IF1354+IF1355))</f>
        <v>0.98615727659999997</v>
      </c>
      <c r="IG1353" s="325">
        <f t="shared" ref="IG1353:IH1353" si="3008">IF(IG1355=0,1,IG1354/(IG1354+IG1355))</f>
        <v>0.98615727659999997</v>
      </c>
      <c r="IH1353" s="325">
        <f t="shared" si="3008"/>
        <v>0.98615727659999997</v>
      </c>
      <c r="II1353" s="320"/>
      <c r="IJ1353" s="320"/>
      <c r="IK1353" s="320"/>
      <c r="IL1353" s="320"/>
      <c r="IM1353" s="320"/>
      <c r="IN1353" s="320"/>
      <c r="IO1353" s="320"/>
      <c r="IP1353" s="320"/>
      <c r="IQ1353" s="320"/>
      <c r="IR1353" s="320"/>
      <c r="IS1353" s="320"/>
      <c r="IT1353" s="320"/>
      <c r="IU1353" s="320"/>
      <c r="IV1353" s="320"/>
      <c r="IW1353" s="320"/>
      <c r="IX1353" s="325"/>
      <c r="IY1353" s="325"/>
      <c r="IZ1353" s="325"/>
      <c r="JA1353" s="325">
        <f>IF(JA1355=0,1,JA1354/(JA1354+JA1355))</f>
        <v>1</v>
      </c>
      <c r="JB1353" s="325">
        <f t="shared" ref="JB1353:JC1353" si="3009">IF(JB1355=0,1,JB1354/(JB1354+JB1355))</f>
        <v>1</v>
      </c>
      <c r="JC1353" s="325">
        <f t="shared" si="3009"/>
        <v>1</v>
      </c>
      <c r="JD1353" s="320"/>
      <c r="JE1353" s="320"/>
      <c r="JF1353" s="320"/>
      <c r="JG1353" s="320"/>
      <c r="JH1353" s="320"/>
      <c r="JI1353" s="320"/>
      <c r="JJ1353" s="320"/>
      <c r="JK1353" s="320"/>
      <c r="JL1353" s="320"/>
      <c r="JM1353" s="320"/>
      <c r="JN1353" s="320"/>
      <c r="JO1353" s="320"/>
      <c r="JP1353" s="320"/>
      <c r="JQ1353" s="320"/>
      <c r="JR1353" s="320"/>
      <c r="JS1353" s="325"/>
      <c r="JT1353" s="325"/>
      <c r="JU1353" s="325"/>
      <c r="JV1353" s="325">
        <f>IF(JV1355=0,1,JV1354/(JV1354+JV1355))</f>
        <v>0.99437014290000003</v>
      </c>
      <c r="JW1353" s="325">
        <f t="shared" ref="JW1353:JX1353" si="3010">IF(JW1355=0,1,JW1354/(JW1354+JW1355))</f>
        <v>0.99437014290000003</v>
      </c>
      <c r="JX1353" s="325">
        <f t="shared" si="3010"/>
        <v>0.99437014290000003</v>
      </c>
      <c r="JY1353" s="320"/>
      <c r="JZ1353" s="320"/>
      <c r="KA1353" s="320"/>
      <c r="KB1353" s="320"/>
      <c r="KC1353" s="320"/>
      <c r="KD1353" s="320"/>
      <c r="KE1353" s="320"/>
      <c r="KF1353" s="320"/>
      <c r="KG1353" s="320"/>
      <c r="KH1353" s="320"/>
      <c r="KI1353" s="320"/>
      <c r="KJ1353" s="320"/>
      <c r="KK1353" s="320"/>
      <c r="KL1353" s="320"/>
      <c r="KM1353" s="320"/>
      <c r="KN1353" s="325"/>
      <c r="KO1353" s="325"/>
      <c r="KP1353" s="325"/>
      <c r="KQ1353" s="325">
        <f>IF(KQ1355=0,1,KQ1354/(KQ1354+KQ1355))</f>
        <v>0.99044820749999996</v>
      </c>
      <c r="KR1353" s="325">
        <f t="shared" ref="KR1353:KS1353" si="3011">IF(KR1355=0,1,KR1354/(KR1354+KR1355))</f>
        <v>0.99044820749999996</v>
      </c>
      <c r="KS1353" s="325">
        <f t="shared" si="3011"/>
        <v>0.99044820749999996</v>
      </c>
      <c r="KT1353" s="320"/>
      <c r="KU1353" s="320"/>
      <c r="KV1353" s="320"/>
      <c r="KW1353" s="320"/>
      <c r="KX1353" s="320"/>
      <c r="KY1353" s="320"/>
      <c r="KZ1353" s="320"/>
      <c r="LA1353" s="320"/>
      <c r="LB1353" s="320"/>
      <c r="LC1353" s="320"/>
      <c r="LD1353" s="320"/>
      <c r="LE1353" s="320"/>
      <c r="LF1353" s="320"/>
      <c r="LG1353" s="320"/>
      <c r="LH1353" s="320"/>
      <c r="LI1353" s="325"/>
      <c r="LJ1353" s="325"/>
      <c r="LK1353" s="325"/>
      <c r="LL1353" s="325">
        <f>IF(LL1355=0,1,LL1354/(LL1354+LL1355))</f>
        <v>0.98055003129999996</v>
      </c>
      <c r="LM1353" s="325">
        <f t="shared" ref="LM1353:LN1353" si="3012">IF(LM1355=0,1,LM1354/(LM1354+LM1355))</f>
        <v>0.98055003129999996</v>
      </c>
      <c r="LN1353" s="325">
        <f t="shared" si="3012"/>
        <v>0.98055003129999996</v>
      </c>
      <c r="LO1353" s="320"/>
      <c r="LP1353" s="320"/>
      <c r="LQ1353" s="320"/>
      <c r="LR1353" s="320"/>
      <c r="LS1353" s="320"/>
      <c r="LT1353" s="320"/>
      <c r="LU1353" s="320"/>
      <c r="LV1353" s="320"/>
      <c r="LW1353" s="320"/>
      <c r="LX1353" s="320"/>
      <c r="LY1353" s="320"/>
      <c r="LZ1353" s="320"/>
      <c r="MA1353" s="320"/>
      <c r="MB1353" s="320"/>
      <c r="MC1353" s="320"/>
      <c r="MD1353" s="325"/>
      <c r="ME1353" s="325"/>
      <c r="MF1353" s="325"/>
      <c r="MG1353" s="325">
        <f>IF(MG1355=0,1,MG1354/(MG1354+MG1355))</f>
        <v>0.93628310000000003</v>
      </c>
      <c r="MH1353" s="325">
        <f t="shared" ref="MH1353:MI1353" si="3013">IF(MH1355=0,1,MH1354/(MH1354+MH1355))</f>
        <v>0.93628310000000003</v>
      </c>
      <c r="MI1353" s="325">
        <f t="shared" si="3013"/>
        <v>0.93628310000000003</v>
      </c>
      <c r="MJ1353" s="320"/>
      <c r="MK1353" s="320"/>
      <c r="ML1353" s="320"/>
      <c r="MM1353" s="320"/>
      <c r="MN1353" s="320"/>
      <c r="MO1353" s="320"/>
      <c r="MP1353" s="320"/>
      <c r="MQ1353" s="320"/>
      <c r="MR1353" s="320"/>
      <c r="MS1353" s="320"/>
      <c r="MT1353" s="320"/>
      <c r="MU1353" s="320"/>
      <c r="MV1353" s="320"/>
      <c r="MW1353" s="320"/>
      <c r="MX1353" s="320"/>
      <c r="MY1353" s="325"/>
      <c r="MZ1353" s="325"/>
      <c r="NA1353" s="325"/>
      <c r="NB1353" s="325">
        <f>IF(NB1355=0,1,NB1354/(NB1354+NB1355))</f>
        <v>0.98666027860000005</v>
      </c>
      <c r="NC1353" s="325">
        <f t="shared" ref="NC1353:ND1353" si="3014">IF(NC1355=0,1,NC1354/(NC1354+NC1355))</f>
        <v>0.98666027860000005</v>
      </c>
      <c r="ND1353" s="325">
        <f t="shared" si="3014"/>
        <v>0.98666027860000005</v>
      </c>
      <c r="NE1353" s="320"/>
      <c r="NF1353" s="320"/>
      <c r="NG1353" s="320"/>
      <c r="NH1353" s="320"/>
      <c r="NI1353" s="320"/>
      <c r="NJ1353" s="320"/>
      <c r="NK1353" s="320"/>
      <c r="NL1353" s="320"/>
      <c r="NM1353" s="320"/>
      <c r="NN1353" s="320"/>
      <c r="NO1353" s="320"/>
      <c r="NP1353" s="320"/>
      <c r="NQ1353" s="320"/>
      <c r="NR1353" s="320"/>
      <c r="NS1353" s="320"/>
      <c r="NT1353" s="325"/>
      <c r="NU1353" s="325"/>
      <c r="NV1353" s="325"/>
      <c r="NW1353" s="325">
        <f>IF(NW1355=0,1,NW1354/(NW1354+NW1355))</f>
        <v>0.98881925240000001</v>
      </c>
      <c r="NX1353" s="325">
        <f t="shared" ref="NX1353:NY1353" si="3015">IF(NX1355=0,1,NX1354/(NX1354+NX1355))</f>
        <v>0.98881925240000001</v>
      </c>
      <c r="NY1353" s="325">
        <f t="shared" si="3015"/>
        <v>0.98881925240000001</v>
      </c>
      <c r="NZ1353" s="320"/>
      <c r="OA1353" s="320"/>
      <c r="OB1353" s="320"/>
      <c r="OC1353" s="320"/>
      <c r="OD1353" s="320"/>
      <c r="OE1353" s="320"/>
      <c r="OF1353" s="320"/>
      <c r="OG1353" s="320"/>
      <c r="OH1353" s="320"/>
      <c r="OI1353" s="320"/>
      <c r="OJ1353" s="320"/>
      <c r="OK1353" s="320"/>
      <c r="OL1353" s="320"/>
      <c r="OM1353" s="320"/>
      <c r="ON1353" s="320"/>
      <c r="OO1353" s="325"/>
      <c r="OP1353" s="325"/>
      <c r="OQ1353" s="325"/>
      <c r="OR1353" s="325">
        <f>IF(OR1355=0,1,OR1354/(OR1354+OR1355))</f>
        <v>0.9823927402</v>
      </c>
      <c r="OS1353" s="325">
        <f t="shared" ref="OS1353:OT1353" si="3016">IF(OS1355=0,1,OS1354/(OS1354+OS1355))</f>
        <v>0.9823927402</v>
      </c>
      <c r="OT1353" s="325">
        <f t="shared" si="3016"/>
        <v>0.9823927402</v>
      </c>
      <c r="OU1353" s="320"/>
      <c r="OV1353" s="320"/>
      <c r="OW1353" s="320"/>
      <c r="OX1353" s="320"/>
      <c r="OY1353" s="320"/>
      <c r="OZ1353" s="320"/>
      <c r="PA1353" s="320"/>
      <c r="PB1353" s="320"/>
      <c r="PC1353" s="320"/>
      <c r="PD1353" s="320"/>
      <c r="PE1353" s="320"/>
      <c r="PF1353" s="320"/>
      <c r="PG1353" s="320"/>
      <c r="PH1353" s="320"/>
      <c r="PI1353" s="320"/>
      <c r="PJ1353" s="325"/>
      <c r="PK1353" s="325"/>
      <c r="PL1353" s="325"/>
      <c r="PM1353" s="325">
        <f>IF(PM1355=0,1,PM1354/(PM1354+PM1355))</f>
        <v>0.97548029469999997</v>
      </c>
      <c r="PN1353" s="325">
        <f t="shared" ref="PN1353:PO1353" si="3017">IF(PN1355=0,1,PN1354/(PN1354+PN1355))</f>
        <v>0.97548029469999997</v>
      </c>
      <c r="PO1353" s="325">
        <f t="shared" si="3017"/>
        <v>0.97548029469999997</v>
      </c>
      <c r="PP1353" s="320"/>
      <c r="PQ1353" s="320"/>
      <c r="PR1353" s="320"/>
      <c r="PS1353" s="320"/>
      <c r="PT1353" s="320"/>
      <c r="PU1353" s="320"/>
      <c r="PV1353" s="320"/>
      <c r="PW1353" s="320"/>
      <c r="PX1353" s="320"/>
      <c r="PY1353" s="320"/>
      <c r="PZ1353" s="320"/>
      <c r="QA1353" s="320"/>
      <c r="QB1353" s="320"/>
      <c r="QC1353" s="320"/>
      <c r="QD1353" s="320"/>
      <c r="QE1353" s="325"/>
      <c r="QF1353" s="325"/>
      <c r="QG1353" s="325"/>
      <c r="QH1353" s="325">
        <f>IF(QH1355=0,1,QH1354/(QH1354+QH1355))</f>
        <v>0.97636352510000002</v>
      </c>
      <c r="QI1353" s="325">
        <f t="shared" ref="QI1353:QJ1353" si="3018">IF(QI1355=0,1,QI1354/(QI1354+QI1355))</f>
        <v>0.97636352510000002</v>
      </c>
      <c r="QJ1353" s="325">
        <f t="shared" si="3018"/>
        <v>0.97636352510000002</v>
      </c>
      <c r="QK1353" s="320"/>
      <c r="QL1353" s="320"/>
      <c r="QM1353" s="320"/>
      <c r="QN1353" s="320"/>
      <c r="QO1353" s="320"/>
      <c r="QP1353" s="320"/>
      <c r="QQ1353" s="320"/>
      <c r="QR1353" s="320"/>
      <c r="QS1353" s="320"/>
      <c r="QT1353" s="320"/>
      <c r="QU1353" s="320"/>
      <c r="QV1353" s="320"/>
      <c r="QW1353" s="320"/>
      <c r="QX1353" s="320"/>
      <c r="QY1353" s="320"/>
      <c r="QZ1353" s="325"/>
      <c r="RA1353" s="325"/>
      <c r="RB1353" s="325"/>
      <c r="RC1353" s="325">
        <f>IF(RC1355=0,1,RC1354/(RC1354+RC1355))</f>
        <v>0.99397414070000001</v>
      </c>
      <c r="RD1353" s="325">
        <f t="shared" ref="RD1353:RE1353" si="3019">IF(RD1355=0,1,RD1354/(RD1354+RD1355))</f>
        <v>0.99397414070000001</v>
      </c>
      <c r="RE1353" s="325">
        <f t="shared" si="3019"/>
        <v>0.99397414070000001</v>
      </c>
      <c r="RF1353" s="320"/>
      <c r="RG1353" s="320"/>
      <c r="RH1353" s="320"/>
      <c r="RI1353" s="320"/>
      <c r="RJ1353" s="320"/>
      <c r="RK1353" s="320"/>
      <c r="RL1353" s="320"/>
      <c r="RM1353" s="320"/>
      <c r="RN1353" s="320"/>
      <c r="RO1353" s="320"/>
      <c r="RP1353" s="320"/>
      <c r="RQ1353" s="320"/>
      <c r="RR1353" s="320"/>
      <c r="RS1353" s="320"/>
      <c r="RT1353" s="320"/>
      <c r="RU1353" s="325"/>
      <c r="RV1353" s="325"/>
      <c r="RW1353" s="325"/>
      <c r="RX1353" s="325">
        <f>IF(RX1355=0,1,RX1354/(RX1354+RX1355))</f>
        <v>0.98365203840000004</v>
      </c>
      <c r="RY1353" s="325">
        <f t="shared" ref="RY1353:RZ1353" si="3020">IF(RY1355=0,1,RY1354/(RY1354+RY1355))</f>
        <v>0.98365203840000004</v>
      </c>
      <c r="RZ1353" s="325">
        <f t="shared" si="3020"/>
        <v>0.98365203840000004</v>
      </c>
      <c r="SA1353" s="320"/>
      <c r="SB1353" s="320"/>
      <c r="SC1353" s="320"/>
      <c r="SD1353" s="320"/>
      <c r="SE1353" s="320"/>
      <c r="SF1353" s="320"/>
      <c r="SG1353" s="320"/>
      <c r="SH1353" s="320"/>
      <c r="SI1353" s="320"/>
      <c r="SJ1353" s="320"/>
      <c r="SK1353" s="320"/>
      <c r="SL1353" s="320"/>
      <c r="SM1353" s="320"/>
      <c r="SN1353" s="320"/>
      <c r="SO1353" s="320"/>
      <c r="SP1353" s="325"/>
      <c r="SQ1353" s="325"/>
      <c r="SR1353" s="325"/>
      <c r="SS1353" s="325">
        <f>IF(SS1355=0,1,SS1354/(SS1354+SS1355))</f>
        <v>0.99587834129999997</v>
      </c>
      <c r="ST1353" s="325">
        <f t="shared" ref="ST1353:SU1353" si="3021">IF(ST1355=0,1,ST1354/(ST1354+ST1355))</f>
        <v>0.99587834129999997</v>
      </c>
      <c r="SU1353" s="325">
        <f t="shared" si="3021"/>
        <v>0.99587834129999997</v>
      </c>
      <c r="SV1353" s="320"/>
      <c r="SW1353" s="320"/>
      <c r="SX1353" s="320"/>
      <c r="SY1353" s="320"/>
      <c r="SZ1353" s="320"/>
      <c r="TA1353" s="320"/>
      <c r="TB1353" s="320"/>
      <c r="TC1353" s="320"/>
      <c r="TD1353" s="320"/>
      <c r="TE1353" s="320"/>
      <c r="TF1353" s="320"/>
      <c r="TG1353" s="320"/>
      <c r="TH1353" s="320"/>
      <c r="TI1353" s="320"/>
      <c r="TJ1353" s="320"/>
      <c r="TK1353" s="325"/>
      <c r="TL1353" s="325"/>
      <c r="TM1353" s="325"/>
      <c r="TN1353" s="325">
        <f>IF(TN1355=0,1,TN1354/(TN1354+TN1355))</f>
        <v>0.97761135899999996</v>
      </c>
      <c r="TO1353" s="325">
        <f t="shared" ref="TO1353:TP1353" si="3022">IF(TO1355=0,1,TO1354/(TO1354+TO1355))</f>
        <v>0.97761135899999996</v>
      </c>
      <c r="TP1353" s="325">
        <f t="shared" si="3022"/>
        <v>0.97761135899999996</v>
      </c>
      <c r="TQ1353" s="320"/>
      <c r="TR1353" s="320"/>
      <c r="TS1353" s="320"/>
      <c r="TT1353" s="320"/>
      <c r="TU1353" s="320"/>
      <c r="TV1353" s="320"/>
      <c r="TW1353" s="320"/>
      <c r="TX1353" s="320"/>
      <c r="TY1353" s="320"/>
      <c r="TZ1353" s="320"/>
      <c r="UA1353" s="320"/>
      <c r="UB1353" s="320"/>
      <c r="UC1353" s="320"/>
      <c r="UD1353" s="320"/>
      <c r="UE1353" s="320"/>
      <c r="UF1353" s="325"/>
      <c r="UG1353" s="325"/>
      <c r="UH1353" s="325"/>
      <c r="UI1353" s="325">
        <f>IF(UI1355=0,1,UI1354/(UI1354+UI1355))</f>
        <v>0.95776520350000005</v>
      </c>
      <c r="UJ1353" s="325">
        <f t="shared" ref="UJ1353:UK1353" si="3023">IF(UJ1355=0,1,UJ1354/(UJ1354+UJ1355))</f>
        <v>0.95776520350000005</v>
      </c>
      <c r="UK1353" s="325">
        <f t="shared" si="3023"/>
        <v>0.95776520350000005</v>
      </c>
      <c r="UL1353" s="320"/>
      <c r="UM1353" s="320"/>
      <c r="UN1353" s="320"/>
      <c r="UO1353" s="320"/>
      <c r="UP1353" s="320"/>
      <c r="UQ1353" s="320"/>
      <c r="UR1353" s="320"/>
      <c r="US1353" s="320"/>
      <c r="UT1353" s="320"/>
      <c r="UU1353" s="320"/>
      <c r="UV1353" s="320"/>
      <c r="UW1353" s="320"/>
      <c r="UX1353" s="320"/>
      <c r="UY1353" s="320"/>
      <c r="UZ1353" s="320"/>
      <c r="VA1353" s="325"/>
      <c r="VB1353" s="325"/>
      <c r="VC1353" s="325"/>
      <c r="VD1353" s="325">
        <f>IF(VD1355=0,1,VD1354/(VD1354+VD1355))</f>
        <v>0.98256217150000003</v>
      </c>
      <c r="VE1353" s="325">
        <f t="shared" ref="VE1353:VF1353" si="3024">IF(VE1355=0,1,VE1354/(VE1354+VE1355))</f>
        <v>0.98256217150000003</v>
      </c>
      <c r="VF1353" s="325">
        <f t="shared" si="3024"/>
        <v>0.98256217150000003</v>
      </c>
      <c r="VG1353" s="320"/>
      <c r="VH1353" s="320"/>
      <c r="VI1353" s="320"/>
      <c r="VJ1353" s="320"/>
      <c r="VK1353" s="320"/>
      <c r="VL1353" s="320"/>
      <c r="VM1353" s="320"/>
      <c r="VN1353" s="320"/>
      <c r="VO1353" s="320"/>
      <c r="VP1353" s="320"/>
      <c r="VQ1353" s="320"/>
      <c r="VR1353" s="320"/>
      <c r="VS1353" s="320"/>
      <c r="VT1353" s="320"/>
      <c r="VU1353" s="320"/>
      <c r="VV1353" s="325"/>
      <c r="VW1353" s="325"/>
      <c r="VX1353" s="325"/>
      <c r="VY1353" s="325">
        <f>IF(VY1355=0,1,VY1354/(VY1354+VY1355))</f>
        <v>0.99338519140000003</v>
      </c>
      <c r="VZ1353" s="325">
        <f t="shared" ref="VZ1353:WA1353" si="3025">IF(VZ1355=0,1,VZ1354/(VZ1354+VZ1355))</f>
        <v>0.99338519140000003</v>
      </c>
      <c r="WA1353" s="325">
        <f t="shared" si="3025"/>
        <v>0.99338519140000003</v>
      </c>
      <c r="WB1353" s="320"/>
      <c r="WC1353" s="320"/>
      <c r="WD1353" s="320"/>
      <c r="WE1353" s="320"/>
      <c r="WF1353" s="320"/>
      <c r="WG1353" s="320"/>
      <c r="WH1353" s="320"/>
      <c r="WI1353" s="320"/>
      <c r="WJ1353" s="320"/>
      <c r="WK1353" s="320"/>
      <c r="WL1353" s="320"/>
      <c r="WM1353" s="320"/>
      <c r="WN1353" s="320"/>
      <c r="WO1353" s="320"/>
      <c r="WP1353" s="320"/>
      <c r="WQ1353" s="325"/>
      <c r="WR1353" s="325"/>
      <c r="WS1353" s="325"/>
      <c r="WT1353" s="325">
        <f>IF(WT1355=0,1,WT1354/(WT1354+WT1355))</f>
        <v>0.88427152539999998</v>
      </c>
      <c r="WU1353" s="325">
        <f t="shared" ref="WU1353:WV1353" si="3026">IF(WU1355=0,1,WU1354/(WU1354+WU1355))</f>
        <v>0.88427152539999998</v>
      </c>
      <c r="WV1353" s="325">
        <f t="shared" si="3026"/>
        <v>0.88427152539999998</v>
      </c>
      <c r="WW1353" s="320"/>
      <c r="WX1353" s="320"/>
      <c r="WY1353" s="320"/>
      <c r="WZ1353" s="320"/>
      <c r="XA1353" s="320"/>
      <c r="XB1353" s="320"/>
      <c r="XC1353" s="320"/>
      <c r="XD1353" s="320"/>
      <c r="XE1353" s="320"/>
      <c r="XF1353" s="320"/>
      <c r="XG1353" s="320"/>
      <c r="XH1353" s="320"/>
      <c r="XI1353" s="320"/>
      <c r="XJ1353" s="320"/>
      <c r="XK1353" s="320"/>
      <c r="XL1353" s="325"/>
      <c r="XM1353" s="325"/>
      <c r="XN1353" s="325"/>
      <c r="XO1353" s="325">
        <f>IF(XO1355=0,1,XO1354/(XO1354+XO1355))</f>
        <v>0.96771819709999995</v>
      </c>
      <c r="XP1353" s="325">
        <f t="shared" ref="XP1353:XQ1353" si="3027">IF(XP1355=0,1,XP1354/(XP1354+XP1355))</f>
        <v>0.96771819709999995</v>
      </c>
      <c r="XQ1353" s="325">
        <f t="shared" si="3027"/>
        <v>0.96771819709999995</v>
      </c>
      <c r="XR1353" s="320"/>
      <c r="XS1353" s="320"/>
      <c r="XT1353" s="320"/>
      <c r="XU1353" s="320"/>
      <c r="XV1353" s="320"/>
      <c r="XW1353" s="320"/>
      <c r="XX1353" s="320"/>
      <c r="XY1353" s="320"/>
      <c r="XZ1353" s="320"/>
      <c r="YA1353" s="320"/>
      <c r="YB1353" s="320"/>
      <c r="YC1353" s="320"/>
      <c r="YD1353" s="320"/>
      <c r="YE1353" s="320"/>
      <c r="YF1353" s="320"/>
      <c r="YG1353" s="325"/>
      <c r="YH1353" s="325"/>
      <c r="YI1353" s="325"/>
      <c r="YJ1353" s="325">
        <f>IF(YJ1355=0,1,YJ1354/(YJ1354+YJ1355))</f>
        <v>1</v>
      </c>
      <c r="YK1353" s="325">
        <f t="shared" ref="YK1353:YL1353" si="3028">IF(YK1355=0,1,YK1354/(YK1354+YK1355))</f>
        <v>1</v>
      </c>
      <c r="YL1353" s="325">
        <f t="shared" si="3028"/>
        <v>1</v>
      </c>
      <c r="YM1353" s="320"/>
      <c r="YN1353" s="320"/>
      <c r="YO1353" s="320"/>
      <c r="YP1353" s="320"/>
      <c r="YQ1353" s="320"/>
      <c r="YR1353" s="320"/>
      <c r="YS1353" s="320"/>
      <c r="YT1353" s="320"/>
      <c r="YU1353" s="320"/>
      <c r="YV1353" s="320"/>
      <c r="YW1353" s="320"/>
      <c r="YX1353" s="320"/>
      <c r="YY1353" s="320"/>
      <c r="YZ1353" s="320"/>
      <c r="ZA1353" s="320"/>
      <c r="ZB1353" s="325"/>
      <c r="ZC1353" s="325"/>
      <c r="ZD1353" s="325"/>
      <c r="ZE1353" s="325">
        <f>IF(ZE1355=0,1,ZE1354/(ZE1354+ZE1355))</f>
        <v>0.97310092520000002</v>
      </c>
      <c r="ZF1353" s="325">
        <f>ZE1353</f>
        <v>0.97310092520000002</v>
      </c>
      <c r="ZG1353" s="325">
        <f>ZE1353</f>
        <v>0.97310092520000002</v>
      </c>
    </row>
    <row r="1354" spans="1:683" s="149" customFormat="1" ht="60" x14ac:dyDescent="0.25">
      <c r="A1354" s="422" t="s">
        <v>1047</v>
      </c>
      <c r="B1354" s="423"/>
      <c r="C1354" s="317" t="s">
        <v>973</v>
      </c>
      <c r="D1354" s="424"/>
      <c r="E1354" s="425"/>
      <c r="F1354" s="318"/>
      <c r="G1354" s="318"/>
      <c r="H1354" s="318"/>
      <c r="I1354" s="319"/>
      <c r="J1354" s="319"/>
      <c r="K1354" s="319"/>
      <c r="L1354" s="426"/>
      <c r="M1354" s="426"/>
      <c r="N1354" s="426"/>
      <c r="O1354" s="426"/>
      <c r="P1354" s="426"/>
      <c r="Q1354" s="426"/>
      <c r="R1354" s="426"/>
      <c r="S1354" s="426"/>
      <c r="T1354" s="426"/>
      <c r="U1354" s="426"/>
      <c r="V1354" s="426"/>
      <c r="W1354" s="426"/>
      <c r="X1354" s="426"/>
      <c r="Y1354" s="426"/>
      <c r="Z1354" s="426"/>
      <c r="AA1354" s="321"/>
      <c r="AB1354" s="321"/>
      <c r="AC1354" s="321"/>
      <c r="AD1354" s="321">
        <v>25175972.989999998</v>
      </c>
      <c r="AE1354" s="352">
        <f>AD1354</f>
        <v>25175972.989999998</v>
      </c>
      <c r="AF1354" s="352">
        <f>AD1354</f>
        <v>25175972.989999998</v>
      </c>
      <c r="AG1354" s="426"/>
      <c r="AH1354" s="426"/>
      <c r="AI1354" s="426"/>
      <c r="AJ1354" s="426"/>
      <c r="AK1354" s="426"/>
      <c r="AL1354" s="426"/>
      <c r="AM1354" s="426"/>
      <c r="AN1354" s="426"/>
      <c r="AO1354" s="426"/>
      <c r="AP1354" s="426"/>
      <c r="AQ1354" s="426"/>
      <c r="AR1354" s="426"/>
      <c r="AS1354" s="426"/>
      <c r="AT1354" s="426"/>
      <c r="AU1354" s="426"/>
      <c r="AV1354" s="321"/>
      <c r="AW1354" s="321"/>
      <c r="AX1354" s="321"/>
      <c r="AY1354" s="321">
        <v>44389783.619999997</v>
      </c>
      <c r="AZ1354" s="352">
        <f>AY1354</f>
        <v>44389783.619999997</v>
      </c>
      <c r="BA1354" s="352">
        <f>AY1354</f>
        <v>44389783.619999997</v>
      </c>
      <c r="BB1354" s="426"/>
      <c r="BC1354" s="426"/>
      <c r="BD1354" s="426"/>
      <c r="BE1354" s="426"/>
      <c r="BF1354" s="426"/>
      <c r="BG1354" s="426"/>
      <c r="BH1354" s="426"/>
      <c r="BI1354" s="426"/>
      <c r="BJ1354" s="426"/>
      <c r="BK1354" s="426"/>
      <c r="BL1354" s="426"/>
      <c r="BM1354" s="426"/>
      <c r="BN1354" s="426"/>
      <c r="BO1354" s="426"/>
      <c r="BP1354" s="426"/>
      <c r="BQ1354" s="321"/>
      <c r="BR1354" s="321"/>
      <c r="BS1354" s="321"/>
      <c r="BT1354" s="321">
        <v>33421125.68</v>
      </c>
      <c r="BU1354" s="352">
        <f>BT1354</f>
        <v>33421125.68</v>
      </c>
      <c r="BV1354" s="352">
        <f>BT1354</f>
        <v>33421125.68</v>
      </c>
      <c r="BW1354" s="426"/>
      <c r="BX1354" s="426"/>
      <c r="BY1354" s="426"/>
      <c r="BZ1354" s="426"/>
      <c r="CA1354" s="426"/>
      <c r="CB1354" s="426"/>
      <c r="CC1354" s="426"/>
      <c r="CD1354" s="426"/>
      <c r="CE1354" s="426"/>
      <c r="CF1354" s="426"/>
      <c r="CG1354" s="426"/>
      <c r="CH1354" s="426"/>
      <c r="CI1354" s="426"/>
      <c r="CJ1354" s="426"/>
      <c r="CK1354" s="426"/>
      <c r="CL1354" s="321"/>
      <c r="CM1354" s="321"/>
      <c r="CN1354" s="321"/>
      <c r="CO1354" s="321">
        <v>27894986.050000001</v>
      </c>
      <c r="CP1354" s="352">
        <f>CO1354</f>
        <v>27894986.050000001</v>
      </c>
      <c r="CQ1354" s="352">
        <f>CO1354</f>
        <v>27894986.050000001</v>
      </c>
      <c r="CR1354" s="426"/>
      <c r="CS1354" s="426"/>
      <c r="CT1354" s="426"/>
      <c r="CU1354" s="426"/>
      <c r="CV1354" s="426"/>
      <c r="CW1354" s="426"/>
      <c r="CX1354" s="426"/>
      <c r="CY1354" s="426"/>
      <c r="CZ1354" s="426"/>
      <c r="DA1354" s="426"/>
      <c r="DB1354" s="426"/>
      <c r="DC1354" s="426"/>
      <c r="DD1354" s="426"/>
      <c r="DE1354" s="426"/>
      <c r="DF1354" s="426"/>
      <c r="DG1354" s="321"/>
      <c r="DH1354" s="321"/>
      <c r="DI1354" s="321"/>
      <c r="DJ1354" s="321">
        <v>37297405.969999999</v>
      </c>
      <c r="DK1354" s="352">
        <f>DJ1354</f>
        <v>37297405.969999999</v>
      </c>
      <c r="DL1354" s="352">
        <f>DJ1354</f>
        <v>37297405.969999999</v>
      </c>
      <c r="DM1354" s="426"/>
      <c r="DN1354" s="426"/>
      <c r="DO1354" s="426"/>
      <c r="DP1354" s="426"/>
      <c r="DQ1354" s="426"/>
      <c r="DR1354" s="426"/>
      <c r="DS1354" s="426"/>
      <c r="DT1354" s="426"/>
      <c r="DU1354" s="426"/>
      <c r="DV1354" s="426"/>
      <c r="DW1354" s="426"/>
      <c r="DX1354" s="426"/>
      <c r="DY1354" s="426"/>
      <c r="DZ1354" s="426"/>
      <c r="EA1354" s="426"/>
      <c r="EB1354" s="321"/>
      <c r="EC1354" s="321"/>
      <c r="ED1354" s="321"/>
      <c r="EE1354" s="321">
        <v>28916190.449999999</v>
      </c>
      <c r="EF1354" s="352">
        <f>EE1354</f>
        <v>28916190.449999999</v>
      </c>
      <c r="EG1354" s="352">
        <f>EE1354</f>
        <v>28916190.449999999</v>
      </c>
      <c r="EH1354" s="426"/>
      <c r="EI1354" s="426"/>
      <c r="EJ1354" s="426"/>
      <c r="EK1354" s="426"/>
      <c r="EL1354" s="426"/>
      <c r="EM1354" s="426"/>
      <c r="EN1354" s="426"/>
      <c r="EO1354" s="426"/>
      <c r="EP1354" s="426"/>
      <c r="EQ1354" s="426"/>
      <c r="ER1354" s="426"/>
      <c r="ES1354" s="426"/>
      <c r="ET1354" s="426"/>
      <c r="EU1354" s="426"/>
      <c r="EV1354" s="426"/>
      <c r="EW1354" s="321"/>
      <c r="EX1354" s="321"/>
      <c r="EY1354" s="321"/>
      <c r="EZ1354" s="321">
        <v>26119723.120000001</v>
      </c>
      <c r="FA1354" s="352">
        <f>EZ1354</f>
        <v>26119723.120000001</v>
      </c>
      <c r="FB1354" s="352">
        <f>EZ1354</f>
        <v>26119723.120000001</v>
      </c>
      <c r="FC1354" s="426"/>
      <c r="FD1354" s="426"/>
      <c r="FE1354" s="426"/>
      <c r="FF1354" s="426"/>
      <c r="FG1354" s="426"/>
      <c r="FH1354" s="426"/>
      <c r="FI1354" s="426"/>
      <c r="FJ1354" s="426"/>
      <c r="FK1354" s="426"/>
      <c r="FL1354" s="426"/>
      <c r="FM1354" s="426"/>
      <c r="FN1354" s="426"/>
      <c r="FO1354" s="426"/>
      <c r="FP1354" s="426"/>
      <c r="FQ1354" s="426"/>
      <c r="FR1354" s="321"/>
      <c r="FS1354" s="321"/>
      <c r="FT1354" s="321"/>
      <c r="FU1354" s="321">
        <v>35148359.149999999</v>
      </c>
      <c r="FV1354" s="352">
        <f>FU1354</f>
        <v>35148359.149999999</v>
      </c>
      <c r="FW1354" s="352">
        <f>FU1354</f>
        <v>35148359.149999999</v>
      </c>
      <c r="FX1354" s="426"/>
      <c r="FY1354" s="426"/>
      <c r="FZ1354" s="426"/>
      <c r="GA1354" s="426"/>
      <c r="GB1354" s="426"/>
      <c r="GC1354" s="426"/>
      <c r="GD1354" s="426"/>
      <c r="GE1354" s="426"/>
      <c r="GF1354" s="426"/>
      <c r="GG1354" s="426"/>
      <c r="GH1354" s="426"/>
      <c r="GI1354" s="426"/>
      <c r="GJ1354" s="426"/>
      <c r="GK1354" s="426"/>
      <c r="GL1354" s="426"/>
      <c r="GM1354" s="321"/>
      <c r="GN1354" s="321"/>
      <c r="GO1354" s="321"/>
      <c r="GP1354" s="321">
        <v>38479183.450000003</v>
      </c>
      <c r="GQ1354" s="352">
        <f>GP1354</f>
        <v>38479183.450000003</v>
      </c>
      <c r="GR1354" s="352">
        <f>GP1354</f>
        <v>38479183.450000003</v>
      </c>
      <c r="GS1354" s="426"/>
      <c r="GT1354" s="426"/>
      <c r="GU1354" s="426"/>
      <c r="GV1354" s="426"/>
      <c r="GW1354" s="426"/>
      <c r="GX1354" s="426"/>
      <c r="GY1354" s="426"/>
      <c r="GZ1354" s="426"/>
      <c r="HA1354" s="426"/>
      <c r="HB1354" s="426"/>
      <c r="HC1354" s="426"/>
      <c r="HD1354" s="426"/>
      <c r="HE1354" s="426"/>
      <c r="HF1354" s="426"/>
      <c r="HG1354" s="426"/>
      <c r="HH1354" s="321"/>
      <c r="HI1354" s="321"/>
      <c r="HJ1354" s="321"/>
      <c r="HK1354" s="321">
        <v>35416900.600000001</v>
      </c>
      <c r="HL1354" s="352">
        <f>HK1354</f>
        <v>35416900.600000001</v>
      </c>
      <c r="HM1354" s="352">
        <f>HK1354</f>
        <v>35416900.600000001</v>
      </c>
      <c r="HN1354" s="426"/>
      <c r="HO1354" s="426"/>
      <c r="HP1354" s="426"/>
      <c r="HQ1354" s="426"/>
      <c r="HR1354" s="426"/>
      <c r="HS1354" s="426"/>
      <c r="HT1354" s="426"/>
      <c r="HU1354" s="426"/>
      <c r="HV1354" s="426"/>
      <c r="HW1354" s="426"/>
      <c r="HX1354" s="426"/>
      <c r="HY1354" s="426"/>
      <c r="HZ1354" s="426"/>
      <c r="IA1354" s="426"/>
      <c r="IB1354" s="426"/>
      <c r="IC1354" s="321"/>
      <c r="ID1354" s="321"/>
      <c r="IE1354" s="321"/>
      <c r="IF1354" s="321">
        <v>33593025.630000003</v>
      </c>
      <c r="IG1354" s="352">
        <f>IF1354</f>
        <v>33593025.630000003</v>
      </c>
      <c r="IH1354" s="352">
        <f>IF1354</f>
        <v>33593025.630000003</v>
      </c>
      <c r="II1354" s="426"/>
      <c r="IJ1354" s="426"/>
      <c r="IK1354" s="426"/>
      <c r="IL1354" s="426"/>
      <c r="IM1354" s="426"/>
      <c r="IN1354" s="426"/>
      <c r="IO1354" s="426"/>
      <c r="IP1354" s="426"/>
      <c r="IQ1354" s="426"/>
      <c r="IR1354" s="426"/>
      <c r="IS1354" s="426"/>
      <c r="IT1354" s="426"/>
      <c r="IU1354" s="426"/>
      <c r="IV1354" s="426"/>
      <c r="IW1354" s="426"/>
      <c r="IX1354" s="321"/>
      <c r="IY1354" s="321"/>
      <c r="IZ1354" s="321"/>
      <c r="JA1354" s="321">
        <v>22216930.5</v>
      </c>
      <c r="JB1354" s="352">
        <f>JA1354</f>
        <v>22216930.5</v>
      </c>
      <c r="JC1354" s="352">
        <f>JA1354</f>
        <v>22216930.5</v>
      </c>
      <c r="JD1354" s="426"/>
      <c r="JE1354" s="426"/>
      <c r="JF1354" s="426"/>
      <c r="JG1354" s="426"/>
      <c r="JH1354" s="426"/>
      <c r="JI1354" s="426"/>
      <c r="JJ1354" s="426"/>
      <c r="JK1354" s="426"/>
      <c r="JL1354" s="426"/>
      <c r="JM1354" s="426"/>
      <c r="JN1354" s="426"/>
      <c r="JO1354" s="426"/>
      <c r="JP1354" s="426"/>
      <c r="JQ1354" s="426"/>
      <c r="JR1354" s="426"/>
      <c r="JS1354" s="321"/>
      <c r="JT1354" s="321"/>
      <c r="JU1354" s="321"/>
      <c r="JV1354" s="321">
        <v>34081564.590000004</v>
      </c>
      <c r="JW1354" s="352">
        <f>JV1354</f>
        <v>34081564.590000004</v>
      </c>
      <c r="JX1354" s="352">
        <f>JV1354</f>
        <v>34081564.590000004</v>
      </c>
      <c r="JY1354" s="426"/>
      <c r="JZ1354" s="426"/>
      <c r="KA1354" s="426"/>
      <c r="KB1354" s="426"/>
      <c r="KC1354" s="426"/>
      <c r="KD1354" s="426"/>
      <c r="KE1354" s="426"/>
      <c r="KF1354" s="426"/>
      <c r="KG1354" s="426"/>
      <c r="KH1354" s="426"/>
      <c r="KI1354" s="426"/>
      <c r="KJ1354" s="426"/>
      <c r="KK1354" s="426"/>
      <c r="KL1354" s="426"/>
      <c r="KM1354" s="426"/>
      <c r="KN1354" s="321"/>
      <c r="KO1354" s="321"/>
      <c r="KP1354" s="321"/>
      <c r="KQ1354" s="321">
        <v>36685121.909999996</v>
      </c>
      <c r="KR1354" s="352">
        <f>KQ1354</f>
        <v>36685121.909999996</v>
      </c>
      <c r="KS1354" s="352">
        <f>KQ1354</f>
        <v>36685121.909999996</v>
      </c>
      <c r="KT1354" s="426"/>
      <c r="KU1354" s="426"/>
      <c r="KV1354" s="426"/>
      <c r="KW1354" s="426"/>
      <c r="KX1354" s="426"/>
      <c r="KY1354" s="426"/>
      <c r="KZ1354" s="426"/>
      <c r="LA1354" s="426"/>
      <c r="LB1354" s="426"/>
      <c r="LC1354" s="426"/>
      <c r="LD1354" s="426"/>
      <c r="LE1354" s="426"/>
      <c r="LF1354" s="426"/>
      <c r="LG1354" s="426"/>
      <c r="LH1354" s="426"/>
      <c r="LI1354" s="321"/>
      <c r="LJ1354" s="321"/>
      <c r="LK1354" s="321"/>
      <c r="LL1354" s="321">
        <v>34584483.840000004</v>
      </c>
      <c r="LM1354" s="352">
        <f>LL1354</f>
        <v>34584483.840000004</v>
      </c>
      <c r="LN1354" s="352">
        <f>LL1354</f>
        <v>34584483.840000004</v>
      </c>
      <c r="LO1354" s="426"/>
      <c r="LP1354" s="426"/>
      <c r="LQ1354" s="426"/>
      <c r="LR1354" s="426"/>
      <c r="LS1354" s="426"/>
      <c r="LT1354" s="426"/>
      <c r="LU1354" s="426"/>
      <c r="LV1354" s="426"/>
      <c r="LW1354" s="426"/>
      <c r="LX1354" s="426"/>
      <c r="LY1354" s="426"/>
      <c r="LZ1354" s="426"/>
      <c r="MA1354" s="426"/>
      <c r="MB1354" s="426"/>
      <c r="MC1354" s="426"/>
      <c r="MD1354" s="321"/>
      <c r="ME1354" s="321"/>
      <c r="MF1354" s="321"/>
      <c r="MG1354" s="321">
        <v>38063046.509999998</v>
      </c>
      <c r="MH1354" s="352">
        <f>MG1354</f>
        <v>38063046.509999998</v>
      </c>
      <c r="MI1354" s="352">
        <f>MG1354</f>
        <v>38063046.509999998</v>
      </c>
      <c r="MJ1354" s="426"/>
      <c r="MK1354" s="426"/>
      <c r="ML1354" s="426"/>
      <c r="MM1354" s="426"/>
      <c r="MN1354" s="426"/>
      <c r="MO1354" s="426"/>
      <c r="MP1354" s="426"/>
      <c r="MQ1354" s="426"/>
      <c r="MR1354" s="426"/>
      <c r="MS1354" s="426"/>
      <c r="MT1354" s="426"/>
      <c r="MU1354" s="426"/>
      <c r="MV1354" s="426"/>
      <c r="MW1354" s="426"/>
      <c r="MX1354" s="426"/>
      <c r="MY1354" s="321"/>
      <c r="MZ1354" s="321"/>
      <c r="NA1354" s="321"/>
      <c r="NB1354" s="321">
        <v>38162028.140000001</v>
      </c>
      <c r="NC1354" s="352">
        <f>NB1354</f>
        <v>38162028.140000001</v>
      </c>
      <c r="ND1354" s="352">
        <f>NB1354</f>
        <v>38162028.140000001</v>
      </c>
      <c r="NE1354" s="426"/>
      <c r="NF1354" s="426"/>
      <c r="NG1354" s="426"/>
      <c r="NH1354" s="426"/>
      <c r="NI1354" s="426"/>
      <c r="NJ1354" s="426"/>
      <c r="NK1354" s="426"/>
      <c r="NL1354" s="426"/>
      <c r="NM1354" s="426"/>
      <c r="NN1354" s="426"/>
      <c r="NO1354" s="426"/>
      <c r="NP1354" s="426"/>
      <c r="NQ1354" s="426"/>
      <c r="NR1354" s="426"/>
      <c r="NS1354" s="426"/>
      <c r="NT1354" s="321"/>
      <c r="NU1354" s="321"/>
      <c r="NV1354" s="321"/>
      <c r="NW1354" s="321">
        <v>31467036.68</v>
      </c>
      <c r="NX1354" s="352">
        <f>NW1354</f>
        <v>31467036.68</v>
      </c>
      <c r="NY1354" s="352">
        <f>NW1354</f>
        <v>31467036.68</v>
      </c>
      <c r="NZ1354" s="426"/>
      <c r="OA1354" s="426"/>
      <c r="OB1354" s="426"/>
      <c r="OC1354" s="426"/>
      <c r="OD1354" s="426"/>
      <c r="OE1354" s="426"/>
      <c r="OF1354" s="426"/>
      <c r="OG1354" s="426"/>
      <c r="OH1354" s="426"/>
      <c r="OI1354" s="426"/>
      <c r="OJ1354" s="426"/>
      <c r="OK1354" s="426"/>
      <c r="OL1354" s="426"/>
      <c r="OM1354" s="426"/>
      <c r="ON1354" s="426"/>
      <c r="OO1354" s="321"/>
      <c r="OP1354" s="321"/>
      <c r="OQ1354" s="321"/>
      <c r="OR1354" s="321">
        <v>24909038.129999999</v>
      </c>
      <c r="OS1354" s="352">
        <f>OR1354</f>
        <v>24909038.129999999</v>
      </c>
      <c r="OT1354" s="352">
        <f>OR1354</f>
        <v>24909038.129999999</v>
      </c>
      <c r="OU1354" s="426"/>
      <c r="OV1354" s="426"/>
      <c r="OW1354" s="426"/>
      <c r="OX1354" s="426"/>
      <c r="OY1354" s="426"/>
      <c r="OZ1354" s="426"/>
      <c r="PA1354" s="426"/>
      <c r="PB1354" s="426"/>
      <c r="PC1354" s="426"/>
      <c r="PD1354" s="426"/>
      <c r="PE1354" s="426"/>
      <c r="PF1354" s="426"/>
      <c r="PG1354" s="426"/>
      <c r="PH1354" s="426"/>
      <c r="PI1354" s="426"/>
      <c r="PJ1354" s="321"/>
      <c r="PK1354" s="321"/>
      <c r="PL1354" s="321"/>
      <c r="PM1354" s="321">
        <v>35441794.049999997</v>
      </c>
      <c r="PN1354" s="352">
        <f>PM1354</f>
        <v>35441794.049999997</v>
      </c>
      <c r="PO1354" s="352">
        <f>PM1354</f>
        <v>35441794.049999997</v>
      </c>
      <c r="PP1354" s="426"/>
      <c r="PQ1354" s="426"/>
      <c r="PR1354" s="426"/>
      <c r="PS1354" s="426"/>
      <c r="PT1354" s="426"/>
      <c r="PU1354" s="426"/>
      <c r="PV1354" s="426"/>
      <c r="PW1354" s="426"/>
      <c r="PX1354" s="426"/>
      <c r="PY1354" s="426"/>
      <c r="PZ1354" s="426"/>
      <c r="QA1354" s="426"/>
      <c r="QB1354" s="426"/>
      <c r="QC1354" s="426"/>
      <c r="QD1354" s="426"/>
      <c r="QE1354" s="321"/>
      <c r="QF1354" s="321"/>
      <c r="QG1354" s="321"/>
      <c r="QH1354" s="321">
        <v>59700202.119999997</v>
      </c>
      <c r="QI1354" s="352">
        <f>QH1354</f>
        <v>59700202.119999997</v>
      </c>
      <c r="QJ1354" s="352">
        <f>QH1354</f>
        <v>59700202.119999997</v>
      </c>
      <c r="QK1354" s="426"/>
      <c r="QL1354" s="426"/>
      <c r="QM1354" s="426"/>
      <c r="QN1354" s="426"/>
      <c r="QO1354" s="426"/>
      <c r="QP1354" s="426"/>
      <c r="QQ1354" s="426"/>
      <c r="QR1354" s="426"/>
      <c r="QS1354" s="426"/>
      <c r="QT1354" s="426"/>
      <c r="QU1354" s="426"/>
      <c r="QV1354" s="426"/>
      <c r="QW1354" s="426"/>
      <c r="QX1354" s="426"/>
      <c r="QY1354" s="426"/>
      <c r="QZ1354" s="321"/>
      <c r="RA1354" s="321"/>
      <c r="RB1354" s="321"/>
      <c r="RC1354" s="321">
        <v>46428995.969999999</v>
      </c>
      <c r="RD1354" s="352">
        <f>RC1354</f>
        <v>46428995.969999999</v>
      </c>
      <c r="RE1354" s="352">
        <f>RC1354</f>
        <v>46428995.969999999</v>
      </c>
      <c r="RF1354" s="426"/>
      <c r="RG1354" s="426"/>
      <c r="RH1354" s="426"/>
      <c r="RI1354" s="426"/>
      <c r="RJ1354" s="426"/>
      <c r="RK1354" s="426"/>
      <c r="RL1354" s="426"/>
      <c r="RM1354" s="426"/>
      <c r="RN1354" s="426"/>
      <c r="RO1354" s="426"/>
      <c r="RP1354" s="426"/>
      <c r="RQ1354" s="426"/>
      <c r="RR1354" s="426"/>
      <c r="RS1354" s="426"/>
      <c r="RT1354" s="426"/>
      <c r="RU1354" s="321"/>
      <c r="RV1354" s="321"/>
      <c r="RW1354" s="321"/>
      <c r="RX1354" s="321">
        <v>30292438.25</v>
      </c>
      <c r="RY1354" s="352">
        <f>RX1354</f>
        <v>30292438.25</v>
      </c>
      <c r="RZ1354" s="352">
        <f>RX1354</f>
        <v>30292438.25</v>
      </c>
      <c r="SA1354" s="426"/>
      <c r="SB1354" s="426"/>
      <c r="SC1354" s="426"/>
      <c r="SD1354" s="426"/>
      <c r="SE1354" s="426"/>
      <c r="SF1354" s="426"/>
      <c r="SG1354" s="426"/>
      <c r="SH1354" s="426"/>
      <c r="SI1354" s="426"/>
      <c r="SJ1354" s="426"/>
      <c r="SK1354" s="426"/>
      <c r="SL1354" s="426"/>
      <c r="SM1354" s="426"/>
      <c r="SN1354" s="426"/>
      <c r="SO1354" s="426"/>
      <c r="SP1354" s="321"/>
      <c r="SQ1354" s="321"/>
      <c r="SR1354" s="321"/>
      <c r="SS1354" s="321">
        <v>24737134.039999999</v>
      </c>
      <c r="ST1354" s="352">
        <f>SS1354</f>
        <v>24737134.039999999</v>
      </c>
      <c r="SU1354" s="352">
        <f>SS1354</f>
        <v>24737134.039999999</v>
      </c>
      <c r="SV1354" s="426"/>
      <c r="SW1354" s="426"/>
      <c r="SX1354" s="426"/>
      <c r="SY1354" s="426"/>
      <c r="SZ1354" s="426"/>
      <c r="TA1354" s="426"/>
      <c r="TB1354" s="426"/>
      <c r="TC1354" s="426"/>
      <c r="TD1354" s="426"/>
      <c r="TE1354" s="426"/>
      <c r="TF1354" s="426"/>
      <c r="TG1354" s="426"/>
      <c r="TH1354" s="426"/>
      <c r="TI1354" s="426"/>
      <c r="TJ1354" s="426"/>
      <c r="TK1354" s="321"/>
      <c r="TL1354" s="321"/>
      <c r="TM1354" s="321"/>
      <c r="TN1354" s="321">
        <v>51908239.439999998</v>
      </c>
      <c r="TO1354" s="352">
        <f>TN1354</f>
        <v>51908239.439999998</v>
      </c>
      <c r="TP1354" s="352">
        <f>TN1354</f>
        <v>51908239.439999998</v>
      </c>
      <c r="TQ1354" s="426"/>
      <c r="TR1354" s="426"/>
      <c r="TS1354" s="426"/>
      <c r="TT1354" s="426"/>
      <c r="TU1354" s="426"/>
      <c r="TV1354" s="426"/>
      <c r="TW1354" s="426"/>
      <c r="TX1354" s="426"/>
      <c r="TY1354" s="426"/>
      <c r="TZ1354" s="426"/>
      <c r="UA1354" s="426"/>
      <c r="UB1354" s="426"/>
      <c r="UC1354" s="426"/>
      <c r="UD1354" s="426"/>
      <c r="UE1354" s="426"/>
      <c r="UF1354" s="321"/>
      <c r="UG1354" s="321"/>
      <c r="UH1354" s="321"/>
      <c r="UI1354" s="321">
        <v>30206327.960000001</v>
      </c>
      <c r="UJ1354" s="352">
        <f>UI1354</f>
        <v>30206327.960000001</v>
      </c>
      <c r="UK1354" s="352">
        <f>UI1354</f>
        <v>30206327.960000001</v>
      </c>
      <c r="UL1354" s="426"/>
      <c r="UM1354" s="426"/>
      <c r="UN1354" s="426"/>
      <c r="UO1354" s="426"/>
      <c r="UP1354" s="426"/>
      <c r="UQ1354" s="426"/>
      <c r="UR1354" s="426"/>
      <c r="US1354" s="426"/>
      <c r="UT1354" s="426"/>
      <c r="UU1354" s="426"/>
      <c r="UV1354" s="426"/>
      <c r="UW1354" s="426"/>
      <c r="UX1354" s="426"/>
      <c r="UY1354" s="426"/>
      <c r="UZ1354" s="426"/>
      <c r="VA1354" s="321"/>
      <c r="VB1354" s="321"/>
      <c r="VC1354" s="321"/>
      <c r="VD1354" s="321">
        <v>57710467.560000002</v>
      </c>
      <c r="VE1354" s="352">
        <f>VD1354</f>
        <v>57710467.560000002</v>
      </c>
      <c r="VF1354" s="352">
        <f>VD1354</f>
        <v>57710467.560000002</v>
      </c>
      <c r="VG1354" s="426"/>
      <c r="VH1354" s="426"/>
      <c r="VI1354" s="426"/>
      <c r="VJ1354" s="426"/>
      <c r="VK1354" s="426"/>
      <c r="VL1354" s="426"/>
      <c r="VM1354" s="426"/>
      <c r="VN1354" s="426"/>
      <c r="VO1354" s="426"/>
      <c r="VP1354" s="426"/>
      <c r="VQ1354" s="426"/>
      <c r="VR1354" s="426"/>
      <c r="VS1354" s="426"/>
      <c r="VT1354" s="426"/>
      <c r="VU1354" s="426"/>
      <c r="VV1354" s="321"/>
      <c r="VW1354" s="321"/>
      <c r="VX1354" s="321"/>
      <c r="VY1354" s="321">
        <v>51596927.020000003</v>
      </c>
      <c r="VZ1354" s="352">
        <f>VY1354</f>
        <v>51596927.020000003</v>
      </c>
      <c r="WA1354" s="352">
        <f>VY1354</f>
        <v>51596927.020000003</v>
      </c>
      <c r="WB1354" s="426"/>
      <c r="WC1354" s="426"/>
      <c r="WD1354" s="426"/>
      <c r="WE1354" s="426"/>
      <c r="WF1354" s="426"/>
      <c r="WG1354" s="426"/>
      <c r="WH1354" s="426"/>
      <c r="WI1354" s="426"/>
      <c r="WJ1354" s="426"/>
      <c r="WK1354" s="426"/>
      <c r="WL1354" s="426"/>
      <c r="WM1354" s="426"/>
      <c r="WN1354" s="426"/>
      <c r="WO1354" s="426"/>
      <c r="WP1354" s="426"/>
      <c r="WQ1354" s="321"/>
      <c r="WR1354" s="321"/>
      <c r="WS1354" s="321"/>
      <c r="WT1354" s="321">
        <v>43690800.549999997</v>
      </c>
      <c r="WU1354" s="352">
        <f>WT1354</f>
        <v>43690800.549999997</v>
      </c>
      <c r="WV1354" s="352">
        <f>WT1354</f>
        <v>43690800.549999997</v>
      </c>
      <c r="WW1354" s="426"/>
      <c r="WX1354" s="426"/>
      <c r="WY1354" s="426"/>
      <c r="WZ1354" s="426"/>
      <c r="XA1354" s="426"/>
      <c r="XB1354" s="426"/>
      <c r="XC1354" s="426"/>
      <c r="XD1354" s="426"/>
      <c r="XE1354" s="426"/>
      <c r="XF1354" s="426"/>
      <c r="XG1354" s="426"/>
      <c r="XH1354" s="426"/>
      <c r="XI1354" s="426"/>
      <c r="XJ1354" s="426"/>
      <c r="XK1354" s="426"/>
      <c r="XL1354" s="321"/>
      <c r="XM1354" s="321"/>
      <c r="XN1354" s="321"/>
      <c r="XO1354" s="321">
        <v>50817402.649999999</v>
      </c>
      <c r="XP1354" s="352">
        <f>XO1354</f>
        <v>50817402.649999999</v>
      </c>
      <c r="XQ1354" s="352">
        <f>XO1354</f>
        <v>50817402.649999999</v>
      </c>
      <c r="XR1354" s="426"/>
      <c r="XS1354" s="426"/>
      <c r="XT1354" s="426"/>
      <c r="XU1354" s="426"/>
      <c r="XV1354" s="426"/>
      <c r="XW1354" s="426"/>
      <c r="XX1354" s="426"/>
      <c r="XY1354" s="426"/>
      <c r="XZ1354" s="426"/>
      <c r="YA1354" s="426"/>
      <c r="YB1354" s="426"/>
      <c r="YC1354" s="426"/>
      <c r="YD1354" s="426"/>
      <c r="YE1354" s="426"/>
      <c r="YF1354" s="426"/>
      <c r="YG1354" s="321"/>
      <c r="YH1354" s="321"/>
      <c r="YI1354" s="321"/>
      <c r="YJ1354" s="321">
        <v>24601410.690000001</v>
      </c>
      <c r="YK1354" s="352">
        <f>YJ1354</f>
        <v>24601410.690000001</v>
      </c>
      <c r="YL1354" s="352">
        <f>YJ1354</f>
        <v>24601410.690000001</v>
      </c>
      <c r="YM1354" s="426"/>
      <c r="YN1354" s="426"/>
      <c r="YO1354" s="426"/>
      <c r="YP1354" s="426"/>
      <c r="YQ1354" s="426"/>
      <c r="YR1354" s="426"/>
      <c r="YS1354" s="426"/>
      <c r="YT1354" s="426"/>
      <c r="YU1354" s="426"/>
      <c r="YV1354" s="426"/>
      <c r="YW1354" s="426"/>
      <c r="YX1354" s="426"/>
      <c r="YY1354" s="426"/>
      <c r="YZ1354" s="426"/>
      <c r="ZA1354" s="426"/>
      <c r="ZB1354" s="191">
        <f t="shared" ref="ZB1354:ZG1357" si="3029">AA1354+AV1354+BQ1354+CL1354+DG1354+EB1354+EW1354+FR1354+GM1354+HH1354+IC1354+IX1354+JS1354+KN1354+LI1354+MD1354+MY1354+NT1354+OO1354+PJ1354+QE1354+QZ1354+RU1354+SP1354+TK1354+UF1354+VA1354+VV1354+WQ1354+XL1354+YG1354</f>
        <v>0</v>
      </c>
      <c r="ZC1354" s="191">
        <f t="shared" si="3029"/>
        <v>0</v>
      </c>
      <c r="ZD1354" s="191">
        <f t="shared" si="3029"/>
        <v>0</v>
      </c>
      <c r="ZE1354" s="191">
        <f t="shared" si="3029"/>
        <v>1133154047.3099999</v>
      </c>
      <c r="ZF1354" s="191">
        <f t="shared" si="3029"/>
        <v>1133154047.3099999</v>
      </c>
      <c r="ZG1354" s="191">
        <f t="shared" si="3029"/>
        <v>1133154047.3099999</v>
      </c>
    </row>
    <row r="1355" spans="1:683" s="149" customFormat="1" ht="36" x14ac:dyDescent="0.25">
      <c r="A1355" s="422" t="s">
        <v>970</v>
      </c>
      <c r="B1355" s="423"/>
      <c r="C1355" s="317" t="s">
        <v>974</v>
      </c>
      <c r="D1355" s="424"/>
      <c r="E1355" s="425"/>
      <c r="F1355" s="318"/>
      <c r="G1355" s="318"/>
      <c r="H1355" s="318"/>
      <c r="I1355" s="319"/>
      <c r="J1355" s="319"/>
      <c r="K1355" s="319"/>
      <c r="L1355" s="426"/>
      <c r="M1355" s="426"/>
      <c r="N1355" s="426"/>
      <c r="O1355" s="426"/>
      <c r="P1355" s="426"/>
      <c r="Q1355" s="426"/>
      <c r="R1355" s="426"/>
      <c r="S1355" s="426"/>
      <c r="T1355" s="426"/>
      <c r="U1355" s="426"/>
      <c r="V1355" s="426"/>
      <c r="W1355" s="426"/>
      <c r="X1355" s="426"/>
      <c r="Y1355" s="426"/>
      <c r="Z1355" s="426"/>
      <c r="AA1355" s="321"/>
      <c r="AB1355" s="321"/>
      <c r="AC1355" s="321"/>
      <c r="AD1355" s="321">
        <v>453257.64</v>
      </c>
      <c r="AE1355" s="352">
        <f>AD1355</f>
        <v>453257.64</v>
      </c>
      <c r="AF1355" s="352">
        <f>AD1355</f>
        <v>453257.64</v>
      </c>
      <c r="AG1355" s="426"/>
      <c r="AH1355" s="426"/>
      <c r="AI1355" s="426"/>
      <c r="AJ1355" s="426"/>
      <c r="AK1355" s="426"/>
      <c r="AL1355" s="426"/>
      <c r="AM1355" s="426"/>
      <c r="AN1355" s="426"/>
      <c r="AO1355" s="426"/>
      <c r="AP1355" s="426"/>
      <c r="AQ1355" s="426"/>
      <c r="AR1355" s="426"/>
      <c r="AS1355" s="426"/>
      <c r="AT1355" s="426"/>
      <c r="AU1355" s="426"/>
      <c r="AV1355" s="321"/>
      <c r="AW1355" s="321"/>
      <c r="AX1355" s="321"/>
      <c r="AY1355" s="321">
        <v>334562.03000000003</v>
      </c>
      <c r="AZ1355" s="352">
        <f>AY1355</f>
        <v>334562.03000000003</v>
      </c>
      <c r="BA1355" s="352">
        <f>AY1355</f>
        <v>334562.03000000003</v>
      </c>
      <c r="BB1355" s="426"/>
      <c r="BC1355" s="426"/>
      <c r="BD1355" s="426"/>
      <c r="BE1355" s="426"/>
      <c r="BF1355" s="426"/>
      <c r="BG1355" s="426"/>
      <c r="BH1355" s="426"/>
      <c r="BI1355" s="426"/>
      <c r="BJ1355" s="426"/>
      <c r="BK1355" s="426"/>
      <c r="BL1355" s="426"/>
      <c r="BM1355" s="426"/>
      <c r="BN1355" s="426"/>
      <c r="BO1355" s="426"/>
      <c r="BP1355" s="426"/>
      <c r="BQ1355" s="321"/>
      <c r="BR1355" s="321"/>
      <c r="BS1355" s="321"/>
      <c r="BT1355" s="321">
        <v>4015224.2</v>
      </c>
      <c r="BU1355" s="352">
        <f>BT1355</f>
        <v>4015224.2</v>
      </c>
      <c r="BV1355" s="352">
        <f>BT1355</f>
        <v>4015224.2</v>
      </c>
      <c r="BW1355" s="426"/>
      <c r="BX1355" s="426"/>
      <c r="BY1355" s="426"/>
      <c r="BZ1355" s="426"/>
      <c r="CA1355" s="426"/>
      <c r="CB1355" s="426"/>
      <c r="CC1355" s="426"/>
      <c r="CD1355" s="426"/>
      <c r="CE1355" s="426"/>
      <c r="CF1355" s="426"/>
      <c r="CG1355" s="426"/>
      <c r="CH1355" s="426"/>
      <c r="CI1355" s="426"/>
      <c r="CJ1355" s="426"/>
      <c r="CK1355" s="426"/>
      <c r="CL1355" s="321"/>
      <c r="CM1355" s="321"/>
      <c r="CN1355" s="321"/>
      <c r="CO1355" s="321">
        <v>768270.55</v>
      </c>
      <c r="CP1355" s="352">
        <f>CO1355</f>
        <v>768270.55</v>
      </c>
      <c r="CQ1355" s="352">
        <f>CO1355</f>
        <v>768270.55</v>
      </c>
      <c r="CR1355" s="426"/>
      <c r="CS1355" s="426"/>
      <c r="CT1355" s="426"/>
      <c r="CU1355" s="426"/>
      <c r="CV1355" s="426"/>
      <c r="CW1355" s="426"/>
      <c r="CX1355" s="426"/>
      <c r="CY1355" s="426"/>
      <c r="CZ1355" s="426"/>
      <c r="DA1355" s="426"/>
      <c r="DB1355" s="426"/>
      <c r="DC1355" s="426"/>
      <c r="DD1355" s="426"/>
      <c r="DE1355" s="426"/>
      <c r="DF1355" s="426"/>
      <c r="DG1355" s="321"/>
      <c r="DH1355" s="321"/>
      <c r="DI1355" s="321"/>
      <c r="DJ1355" s="321">
        <v>495989.3</v>
      </c>
      <c r="DK1355" s="352">
        <f>DJ1355</f>
        <v>495989.3</v>
      </c>
      <c r="DL1355" s="352">
        <f>DJ1355</f>
        <v>495989.3</v>
      </c>
      <c r="DM1355" s="426"/>
      <c r="DN1355" s="426"/>
      <c r="DO1355" s="426"/>
      <c r="DP1355" s="426"/>
      <c r="DQ1355" s="426"/>
      <c r="DR1355" s="426"/>
      <c r="DS1355" s="426"/>
      <c r="DT1355" s="426"/>
      <c r="DU1355" s="426"/>
      <c r="DV1355" s="426"/>
      <c r="DW1355" s="426"/>
      <c r="DX1355" s="426"/>
      <c r="DY1355" s="426"/>
      <c r="DZ1355" s="426"/>
      <c r="EA1355" s="426"/>
      <c r="EB1355" s="321"/>
      <c r="EC1355" s="321"/>
      <c r="ED1355" s="321"/>
      <c r="EE1355" s="321">
        <v>228000</v>
      </c>
      <c r="EF1355" s="352">
        <f>EE1355</f>
        <v>228000</v>
      </c>
      <c r="EG1355" s="352">
        <f>EE1355</f>
        <v>228000</v>
      </c>
      <c r="EH1355" s="426"/>
      <c r="EI1355" s="426"/>
      <c r="EJ1355" s="426"/>
      <c r="EK1355" s="426"/>
      <c r="EL1355" s="426"/>
      <c r="EM1355" s="426"/>
      <c r="EN1355" s="426"/>
      <c r="EO1355" s="426"/>
      <c r="EP1355" s="426"/>
      <c r="EQ1355" s="426"/>
      <c r="ER1355" s="426"/>
      <c r="ES1355" s="426"/>
      <c r="ET1355" s="426"/>
      <c r="EU1355" s="426"/>
      <c r="EV1355" s="426"/>
      <c r="EW1355" s="321"/>
      <c r="EX1355" s="321"/>
      <c r="EY1355" s="321"/>
      <c r="EZ1355" s="321">
        <v>836540</v>
      </c>
      <c r="FA1355" s="352">
        <f>EZ1355</f>
        <v>836540</v>
      </c>
      <c r="FB1355" s="352">
        <f>EZ1355</f>
        <v>836540</v>
      </c>
      <c r="FC1355" s="426"/>
      <c r="FD1355" s="426"/>
      <c r="FE1355" s="426"/>
      <c r="FF1355" s="426"/>
      <c r="FG1355" s="426"/>
      <c r="FH1355" s="426"/>
      <c r="FI1355" s="426"/>
      <c r="FJ1355" s="426"/>
      <c r="FK1355" s="426"/>
      <c r="FL1355" s="426"/>
      <c r="FM1355" s="426"/>
      <c r="FN1355" s="426"/>
      <c r="FO1355" s="426"/>
      <c r="FP1355" s="426"/>
      <c r="FQ1355" s="426"/>
      <c r="FR1355" s="321"/>
      <c r="FS1355" s="321"/>
      <c r="FT1355" s="321"/>
      <c r="FU1355" s="321">
        <v>609847.61</v>
      </c>
      <c r="FV1355" s="352">
        <f>FU1355</f>
        <v>609847.61</v>
      </c>
      <c r="FW1355" s="352">
        <f>FU1355</f>
        <v>609847.61</v>
      </c>
      <c r="FX1355" s="426"/>
      <c r="FY1355" s="426"/>
      <c r="FZ1355" s="426"/>
      <c r="GA1355" s="426"/>
      <c r="GB1355" s="426"/>
      <c r="GC1355" s="426"/>
      <c r="GD1355" s="426"/>
      <c r="GE1355" s="426"/>
      <c r="GF1355" s="426"/>
      <c r="GG1355" s="426"/>
      <c r="GH1355" s="426"/>
      <c r="GI1355" s="426"/>
      <c r="GJ1355" s="426"/>
      <c r="GK1355" s="426"/>
      <c r="GL1355" s="426"/>
      <c r="GM1355" s="321"/>
      <c r="GN1355" s="321"/>
      <c r="GO1355" s="321"/>
      <c r="GP1355" s="321">
        <v>3167938.16</v>
      </c>
      <c r="GQ1355" s="352">
        <f>GP1355</f>
        <v>3167938.16</v>
      </c>
      <c r="GR1355" s="352">
        <f>GP1355</f>
        <v>3167938.16</v>
      </c>
      <c r="GS1355" s="426"/>
      <c r="GT1355" s="426"/>
      <c r="GU1355" s="426"/>
      <c r="GV1355" s="426"/>
      <c r="GW1355" s="426"/>
      <c r="GX1355" s="426"/>
      <c r="GY1355" s="426"/>
      <c r="GZ1355" s="426"/>
      <c r="HA1355" s="426"/>
      <c r="HB1355" s="426"/>
      <c r="HC1355" s="426"/>
      <c r="HD1355" s="426"/>
      <c r="HE1355" s="426"/>
      <c r="HF1355" s="426"/>
      <c r="HG1355" s="426"/>
      <c r="HH1355" s="321"/>
      <c r="HI1355" s="321"/>
      <c r="HJ1355" s="321"/>
      <c r="HK1355" s="321">
        <v>275723.28000000003</v>
      </c>
      <c r="HL1355" s="352">
        <f>HK1355</f>
        <v>275723.28000000003</v>
      </c>
      <c r="HM1355" s="352">
        <f>HK1355</f>
        <v>275723.28000000003</v>
      </c>
      <c r="HN1355" s="426"/>
      <c r="HO1355" s="426"/>
      <c r="HP1355" s="426"/>
      <c r="HQ1355" s="426"/>
      <c r="HR1355" s="426"/>
      <c r="HS1355" s="426"/>
      <c r="HT1355" s="426"/>
      <c r="HU1355" s="426"/>
      <c r="HV1355" s="426"/>
      <c r="HW1355" s="426"/>
      <c r="HX1355" s="426"/>
      <c r="HY1355" s="426"/>
      <c r="HZ1355" s="426"/>
      <c r="IA1355" s="426"/>
      <c r="IB1355" s="426"/>
      <c r="IC1355" s="321"/>
      <c r="ID1355" s="321"/>
      <c r="IE1355" s="321"/>
      <c r="IF1355" s="321">
        <v>471546.45</v>
      </c>
      <c r="IG1355" s="352">
        <f>IF1355</f>
        <v>471546.45</v>
      </c>
      <c r="IH1355" s="352">
        <f>IF1355</f>
        <v>471546.45</v>
      </c>
      <c r="II1355" s="426"/>
      <c r="IJ1355" s="426"/>
      <c r="IK1355" s="426"/>
      <c r="IL1355" s="426"/>
      <c r="IM1355" s="426"/>
      <c r="IN1355" s="426"/>
      <c r="IO1355" s="426"/>
      <c r="IP1355" s="426"/>
      <c r="IQ1355" s="426"/>
      <c r="IR1355" s="426"/>
      <c r="IS1355" s="426"/>
      <c r="IT1355" s="426"/>
      <c r="IU1355" s="426"/>
      <c r="IV1355" s="426"/>
      <c r="IW1355" s="426"/>
      <c r="IX1355" s="321"/>
      <c r="IY1355" s="321"/>
      <c r="IZ1355" s="321"/>
      <c r="JA1355" s="321">
        <v>0</v>
      </c>
      <c r="JB1355" s="352">
        <f>JA1355</f>
        <v>0</v>
      </c>
      <c r="JC1355" s="352">
        <f>JA1355</f>
        <v>0</v>
      </c>
      <c r="JD1355" s="426"/>
      <c r="JE1355" s="426"/>
      <c r="JF1355" s="426"/>
      <c r="JG1355" s="426"/>
      <c r="JH1355" s="426"/>
      <c r="JI1355" s="426"/>
      <c r="JJ1355" s="426"/>
      <c r="JK1355" s="426"/>
      <c r="JL1355" s="426"/>
      <c r="JM1355" s="426"/>
      <c r="JN1355" s="426"/>
      <c r="JO1355" s="426"/>
      <c r="JP1355" s="426"/>
      <c r="JQ1355" s="426"/>
      <c r="JR1355" s="426"/>
      <c r="JS1355" s="321"/>
      <c r="JT1355" s="321"/>
      <c r="JU1355" s="321"/>
      <c r="JV1355" s="321">
        <v>192960.68</v>
      </c>
      <c r="JW1355" s="352">
        <f>JV1355</f>
        <v>192960.68</v>
      </c>
      <c r="JX1355" s="352">
        <f>JV1355</f>
        <v>192960.68</v>
      </c>
      <c r="JY1355" s="426"/>
      <c r="JZ1355" s="426"/>
      <c r="KA1355" s="426"/>
      <c r="KB1355" s="426"/>
      <c r="KC1355" s="426"/>
      <c r="KD1355" s="426"/>
      <c r="KE1355" s="426"/>
      <c r="KF1355" s="426"/>
      <c r="KG1355" s="426"/>
      <c r="KH1355" s="426"/>
      <c r="KI1355" s="426"/>
      <c r="KJ1355" s="426"/>
      <c r="KK1355" s="426"/>
      <c r="KL1355" s="426"/>
      <c r="KM1355" s="426"/>
      <c r="KN1355" s="321"/>
      <c r="KO1355" s="321"/>
      <c r="KP1355" s="321"/>
      <c r="KQ1355" s="321">
        <v>353787.98</v>
      </c>
      <c r="KR1355" s="352">
        <f>KQ1355</f>
        <v>353787.98</v>
      </c>
      <c r="KS1355" s="352">
        <f>KQ1355</f>
        <v>353787.98</v>
      </c>
      <c r="KT1355" s="426"/>
      <c r="KU1355" s="426"/>
      <c r="KV1355" s="426"/>
      <c r="KW1355" s="426"/>
      <c r="KX1355" s="426"/>
      <c r="KY1355" s="426"/>
      <c r="KZ1355" s="426"/>
      <c r="LA1355" s="426"/>
      <c r="LB1355" s="426"/>
      <c r="LC1355" s="426"/>
      <c r="LD1355" s="426"/>
      <c r="LE1355" s="426"/>
      <c r="LF1355" s="426"/>
      <c r="LG1355" s="426"/>
      <c r="LH1355" s="426"/>
      <c r="LI1355" s="321"/>
      <c r="LJ1355" s="321"/>
      <c r="LK1355" s="321"/>
      <c r="LL1355" s="321">
        <v>686010</v>
      </c>
      <c r="LM1355" s="352">
        <f>LL1355</f>
        <v>686010</v>
      </c>
      <c r="LN1355" s="352">
        <f>LL1355</f>
        <v>686010</v>
      </c>
      <c r="LO1355" s="426"/>
      <c r="LP1355" s="426"/>
      <c r="LQ1355" s="426"/>
      <c r="LR1355" s="426"/>
      <c r="LS1355" s="426"/>
      <c r="LT1355" s="426"/>
      <c r="LU1355" s="426"/>
      <c r="LV1355" s="426"/>
      <c r="LW1355" s="426"/>
      <c r="LX1355" s="426"/>
      <c r="LY1355" s="426"/>
      <c r="LZ1355" s="426"/>
      <c r="MA1355" s="426"/>
      <c r="MB1355" s="426"/>
      <c r="MC1355" s="426"/>
      <c r="MD1355" s="321"/>
      <c r="ME1355" s="321"/>
      <c r="MF1355" s="321"/>
      <c r="MG1355" s="321">
        <v>2590305.5699999998</v>
      </c>
      <c r="MH1355" s="352">
        <f>MG1355</f>
        <v>2590305.5699999998</v>
      </c>
      <c r="MI1355" s="352">
        <f>MG1355</f>
        <v>2590305.5699999998</v>
      </c>
      <c r="MJ1355" s="426"/>
      <c r="MK1355" s="426"/>
      <c r="ML1355" s="426"/>
      <c r="MM1355" s="426"/>
      <c r="MN1355" s="426"/>
      <c r="MO1355" s="426"/>
      <c r="MP1355" s="426"/>
      <c r="MQ1355" s="426"/>
      <c r="MR1355" s="426"/>
      <c r="MS1355" s="426"/>
      <c r="MT1355" s="426"/>
      <c r="MU1355" s="426"/>
      <c r="MV1355" s="426"/>
      <c r="MW1355" s="426"/>
      <c r="MX1355" s="426"/>
      <c r="MY1355" s="321"/>
      <c r="MZ1355" s="321"/>
      <c r="NA1355" s="321"/>
      <c r="NB1355" s="321">
        <v>515953.5</v>
      </c>
      <c r="NC1355" s="352">
        <f>NB1355</f>
        <v>515953.5</v>
      </c>
      <c r="ND1355" s="352">
        <f>NB1355</f>
        <v>515953.5</v>
      </c>
      <c r="NE1355" s="426"/>
      <c r="NF1355" s="426"/>
      <c r="NG1355" s="426"/>
      <c r="NH1355" s="426"/>
      <c r="NI1355" s="426"/>
      <c r="NJ1355" s="426"/>
      <c r="NK1355" s="426"/>
      <c r="NL1355" s="426"/>
      <c r="NM1355" s="426"/>
      <c r="NN1355" s="426"/>
      <c r="NO1355" s="426"/>
      <c r="NP1355" s="426"/>
      <c r="NQ1355" s="426"/>
      <c r="NR1355" s="426"/>
      <c r="NS1355" s="426"/>
      <c r="NT1355" s="321"/>
      <c r="NU1355" s="321"/>
      <c r="NV1355" s="321"/>
      <c r="NW1355" s="321">
        <v>355803.14</v>
      </c>
      <c r="NX1355" s="352">
        <f>NW1355</f>
        <v>355803.14</v>
      </c>
      <c r="NY1355" s="352">
        <f>NW1355</f>
        <v>355803.14</v>
      </c>
      <c r="NZ1355" s="426"/>
      <c r="OA1355" s="426"/>
      <c r="OB1355" s="426"/>
      <c r="OC1355" s="426"/>
      <c r="OD1355" s="426"/>
      <c r="OE1355" s="426"/>
      <c r="OF1355" s="426"/>
      <c r="OG1355" s="426"/>
      <c r="OH1355" s="426"/>
      <c r="OI1355" s="426"/>
      <c r="OJ1355" s="426"/>
      <c r="OK1355" s="426"/>
      <c r="OL1355" s="426"/>
      <c r="OM1355" s="426"/>
      <c r="ON1355" s="426"/>
      <c r="OO1355" s="321"/>
      <c r="OP1355" s="321"/>
      <c r="OQ1355" s="321"/>
      <c r="OR1355" s="321">
        <v>446440.5</v>
      </c>
      <c r="OS1355" s="352">
        <f>OR1355</f>
        <v>446440.5</v>
      </c>
      <c r="OT1355" s="352">
        <f>OR1355</f>
        <v>446440.5</v>
      </c>
      <c r="OU1355" s="426"/>
      <c r="OV1355" s="426"/>
      <c r="OW1355" s="426"/>
      <c r="OX1355" s="426"/>
      <c r="OY1355" s="426"/>
      <c r="OZ1355" s="426"/>
      <c r="PA1355" s="426"/>
      <c r="PB1355" s="426"/>
      <c r="PC1355" s="426"/>
      <c r="PD1355" s="426"/>
      <c r="PE1355" s="426"/>
      <c r="PF1355" s="426"/>
      <c r="PG1355" s="426"/>
      <c r="PH1355" s="426"/>
      <c r="PI1355" s="426"/>
      <c r="PJ1355" s="321"/>
      <c r="PK1355" s="321"/>
      <c r="PL1355" s="321"/>
      <c r="PM1355" s="321">
        <v>890866.12</v>
      </c>
      <c r="PN1355" s="352">
        <f>PM1355</f>
        <v>890866.12</v>
      </c>
      <c r="PO1355" s="352">
        <f>PM1355</f>
        <v>890866.12</v>
      </c>
      <c r="PP1355" s="426"/>
      <c r="PQ1355" s="426"/>
      <c r="PR1355" s="426"/>
      <c r="PS1355" s="426"/>
      <c r="PT1355" s="426"/>
      <c r="PU1355" s="426"/>
      <c r="PV1355" s="426"/>
      <c r="PW1355" s="426"/>
      <c r="PX1355" s="426"/>
      <c r="PY1355" s="426"/>
      <c r="PZ1355" s="426"/>
      <c r="QA1355" s="426"/>
      <c r="QB1355" s="426"/>
      <c r="QC1355" s="426"/>
      <c r="QD1355" s="426"/>
      <c r="QE1355" s="321"/>
      <c r="QF1355" s="321"/>
      <c r="QG1355" s="321"/>
      <c r="QH1355" s="321">
        <v>1445263.26</v>
      </c>
      <c r="QI1355" s="352">
        <f>QH1355</f>
        <v>1445263.26</v>
      </c>
      <c r="QJ1355" s="352">
        <f>QH1355</f>
        <v>1445263.26</v>
      </c>
      <c r="QK1355" s="426"/>
      <c r="QL1355" s="426"/>
      <c r="QM1355" s="426"/>
      <c r="QN1355" s="426"/>
      <c r="QO1355" s="426"/>
      <c r="QP1355" s="426"/>
      <c r="QQ1355" s="426"/>
      <c r="QR1355" s="426"/>
      <c r="QS1355" s="426"/>
      <c r="QT1355" s="426"/>
      <c r="QU1355" s="426"/>
      <c r="QV1355" s="426"/>
      <c r="QW1355" s="426"/>
      <c r="QX1355" s="426"/>
      <c r="QY1355" s="426"/>
      <c r="QZ1355" s="321"/>
      <c r="RA1355" s="321"/>
      <c r="RB1355" s="321"/>
      <c r="RC1355" s="321">
        <v>281470.7</v>
      </c>
      <c r="RD1355" s="352">
        <f>RC1355</f>
        <v>281470.7</v>
      </c>
      <c r="RE1355" s="352">
        <f>RC1355</f>
        <v>281470.7</v>
      </c>
      <c r="RF1355" s="426"/>
      <c r="RG1355" s="426"/>
      <c r="RH1355" s="426"/>
      <c r="RI1355" s="426"/>
      <c r="RJ1355" s="426"/>
      <c r="RK1355" s="426"/>
      <c r="RL1355" s="426"/>
      <c r="RM1355" s="426"/>
      <c r="RN1355" s="426"/>
      <c r="RO1355" s="426"/>
      <c r="RP1355" s="426"/>
      <c r="RQ1355" s="426"/>
      <c r="RR1355" s="426"/>
      <c r="RS1355" s="426"/>
      <c r="RT1355" s="426"/>
      <c r="RU1355" s="321"/>
      <c r="RV1355" s="321"/>
      <c r="RW1355" s="321"/>
      <c r="RX1355" s="321">
        <v>503450</v>
      </c>
      <c r="RY1355" s="352">
        <f>RX1355</f>
        <v>503450</v>
      </c>
      <c r="RZ1355" s="352">
        <f>RX1355</f>
        <v>503450</v>
      </c>
      <c r="SA1355" s="426"/>
      <c r="SB1355" s="426"/>
      <c r="SC1355" s="426"/>
      <c r="SD1355" s="426"/>
      <c r="SE1355" s="426"/>
      <c r="SF1355" s="426"/>
      <c r="SG1355" s="426"/>
      <c r="SH1355" s="426"/>
      <c r="SI1355" s="426"/>
      <c r="SJ1355" s="426"/>
      <c r="SK1355" s="426"/>
      <c r="SL1355" s="426"/>
      <c r="SM1355" s="426"/>
      <c r="SN1355" s="426"/>
      <c r="SO1355" s="426"/>
      <c r="SP1355" s="321"/>
      <c r="SQ1355" s="321"/>
      <c r="SR1355" s="321"/>
      <c r="SS1355" s="321">
        <v>102380</v>
      </c>
      <c r="ST1355" s="352">
        <f>SS1355</f>
        <v>102380</v>
      </c>
      <c r="SU1355" s="352">
        <f>SS1355</f>
        <v>102380</v>
      </c>
      <c r="SV1355" s="426"/>
      <c r="SW1355" s="426"/>
      <c r="SX1355" s="426"/>
      <c r="SY1355" s="426"/>
      <c r="SZ1355" s="426"/>
      <c r="TA1355" s="426"/>
      <c r="TB1355" s="426"/>
      <c r="TC1355" s="426"/>
      <c r="TD1355" s="426"/>
      <c r="TE1355" s="426"/>
      <c r="TF1355" s="426"/>
      <c r="TG1355" s="426"/>
      <c r="TH1355" s="426"/>
      <c r="TI1355" s="426"/>
      <c r="TJ1355" s="426"/>
      <c r="TK1355" s="321"/>
      <c r="TL1355" s="321"/>
      <c r="TM1355" s="321"/>
      <c r="TN1355" s="321">
        <v>1188769.8799999999</v>
      </c>
      <c r="TO1355" s="352">
        <f>TN1355</f>
        <v>1188769.8799999999</v>
      </c>
      <c r="TP1355" s="352">
        <f>TN1355</f>
        <v>1188769.8799999999</v>
      </c>
      <c r="TQ1355" s="426"/>
      <c r="TR1355" s="426"/>
      <c r="TS1355" s="426"/>
      <c r="TT1355" s="426"/>
      <c r="TU1355" s="426"/>
      <c r="TV1355" s="426"/>
      <c r="TW1355" s="426"/>
      <c r="TX1355" s="426"/>
      <c r="TY1355" s="426"/>
      <c r="TZ1355" s="426"/>
      <c r="UA1355" s="426"/>
      <c r="UB1355" s="426"/>
      <c r="UC1355" s="426"/>
      <c r="UD1355" s="426"/>
      <c r="UE1355" s="426"/>
      <c r="UF1355" s="321"/>
      <c r="UG1355" s="321"/>
      <c r="UH1355" s="321"/>
      <c r="UI1355" s="321">
        <v>1332015.52</v>
      </c>
      <c r="UJ1355" s="352">
        <f>UI1355</f>
        <v>1332015.52</v>
      </c>
      <c r="UK1355" s="352">
        <f>UI1355</f>
        <v>1332015.52</v>
      </c>
      <c r="UL1355" s="426"/>
      <c r="UM1355" s="426"/>
      <c r="UN1355" s="426"/>
      <c r="UO1355" s="426"/>
      <c r="UP1355" s="426"/>
      <c r="UQ1355" s="426"/>
      <c r="UR1355" s="426"/>
      <c r="US1355" s="426"/>
      <c r="UT1355" s="426"/>
      <c r="UU1355" s="426"/>
      <c r="UV1355" s="426"/>
      <c r="UW1355" s="426"/>
      <c r="UX1355" s="426"/>
      <c r="UY1355" s="426"/>
      <c r="UZ1355" s="426"/>
      <c r="VA1355" s="321"/>
      <c r="VB1355" s="321"/>
      <c r="VC1355" s="321"/>
      <c r="VD1355" s="321">
        <v>1024205.15</v>
      </c>
      <c r="VE1355" s="352">
        <f>VD1355</f>
        <v>1024205.15</v>
      </c>
      <c r="VF1355" s="352">
        <f>VD1355</f>
        <v>1024205.15</v>
      </c>
      <c r="VG1355" s="426"/>
      <c r="VH1355" s="426"/>
      <c r="VI1355" s="426"/>
      <c r="VJ1355" s="426"/>
      <c r="VK1355" s="426"/>
      <c r="VL1355" s="426"/>
      <c r="VM1355" s="426"/>
      <c r="VN1355" s="426"/>
      <c r="VO1355" s="426"/>
      <c r="VP1355" s="426"/>
      <c r="VQ1355" s="426"/>
      <c r="VR1355" s="426"/>
      <c r="VS1355" s="426"/>
      <c r="VT1355" s="426"/>
      <c r="VU1355" s="426"/>
      <c r="VV1355" s="321"/>
      <c r="VW1355" s="321"/>
      <c r="VX1355" s="321"/>
      <c r="VY1355" s="321">
        <v>343576.49</v>
      </c>
      <c r="VZ1355" s="352">
        <f>VY1355</f>
        <v>343576.49</v>
      </c>
      <c r="WA1355" s="352">
        <f>VY1355</f>
        <v>343576.49</v>
      </c>
      <c r="WB1355" s="426"/>
      <c r="WC1355" s="426"/>
      <c r="WD1355" s="426"/>
      <c r="WE1355" s="426"/>
      <c r="WF1355" s="426"/>
      <c r="WG1355" s="426"/>
      <c r="WH1355" s="426"/>
      <c r="WI1355" s="426"/>
      <c r="WJ1355" s="426"/>
      <c r="WK1355" s="426"/>
      <c r="WL1355" s="426"/>
      <c r="WM1355" s="426"/>
      <c r="WN1355" s="426"/>
      <c r="WO1355" s="426"/>
      <c r="WP1355" s="426"/>
      <c r="WQ1355" s="321"/>
      <c r="WR1355" s="321"/>
      <c r="WS1355" s="321"/>
      <c r="WT1355" s="321">
        <v>5718005.79</v>
      </c>
      <c r="WU1355" s="352">
        <f>WT1355</f>
        <v>5718005.79</v>
      </c>
      <c r="WV1355" s="352">
        <f>WT1355</f>
        <v>5718005.79</v>
      </c>
      <c r="WW1355" s="426"/>
      <c r="WX1355" s="426"/>
      <c r="WY1355" s="426"/>
      <c r="WZ1355" s="426"/>
      <c r="XA1355" s="426"/>
      <c r="XB1355" s="426"/>
      <c r="XC1355" s="426"/>
      <c r="XD1355" s="426"/>
      <c r="XE1355" s="426"/>
      <c r="XF1355" s="426"/>
      <c r="XG1355" s="426"/>
      <c r="XH1355" s="426"/>
      <c r="XI1355" s="426"/>
      <c r="XJ1355" s="426"/>
      <c r="XK1355" s="426"/>
      <c r="XL1355" s="321"/>
      <c r="XM1355" s="321"/>
      <c r="XN1355" s="321"/>
      <c r="XO1355" s="321">
        <v>1695201.54</v>
      </c>
      <c r="XP1355" s="352">
        <f>XO1355</f>
        <v>1695201.54</v>
      </c>
      <c r="XQ1355" s="352">
        <f>XO1355</f>
        <v>1695201.54</v>
      </c>
      <c r="XR1355" s="426"/>
      <c r="XS1355" s="426"/>
      <c r="XT1355" s="426"/>
      <c r="XU1355" s="426"/>
      <c r="XV1355" s="426"/>
      <c r="XW1355" s="426"/>
      <c r="XX1355" s="426"/>
      <c r="XY1355" s="426"/>
      <c r="XZ1355" s="426"/>
      <c r="YA1355" s="426"/>
      <c r="YB1355" s="426"/>
      <c r="YC1355" s="426"/>
      <c r="YD1355" s="426"/>
      <c r="YE1355" s="426"/>
      <c r="YF1355" s="426"/>
      <c r="YG1355" s="321"/>
      <c r="YH1355" s="321"/>
      <c r="YI1355" s="321"/>
      <c r="YJ1355" s="321">
        <v>0</v>
      </c>
      <c r="YK1355" s="352">
        <f>YJ1355</f>
        <v>0</v>
      </c>
      <c r="YL1355" s="352">
        <f>YJ1355</f>
        <v>0</v>
      </c>
      <c r="YM1355" s="426"/>
      <c r="YN1355" s="426"/>
      <c r="YO1355" s="426"/>
      <c r="YP1355" s="426"/>
      <c r="YQ1355" s="426"/>
      <c r="YR1355" s="426"/>
      <c r="YS1355" s="426"/>
      <c r="YT1355" s="426"/>
      <c r="YU1355" s="426"/>
      <c r="YV1355" s="426"/>
      <c r="YW1355" s="426"/>
      <c r="YX1355" s="426"/>
      <c r="YY1355" s="426"/>
      <c r="YZ1355" s="426"/>
      <c r="ZA1355" s="426"/>
      <c r="ZB1355" s="191">
        <f t="shared" si="3029"/>
        <v>0</v>
      </c>
      <c r="ZC1355" s="191">
        <f t="shared" si="3029"/>
        <v>0</v>
      </c>
      <c r="ZD1355" s="191">
        <f t="shared" si="3029"/>
        <v>0</v>
      </c>
      <c r="ZE1355" s="191">
        <f t="shared" si="3029"/>
        <v>31323365.039999999</v>
      </c>
      <c r="ZF1355" s="191">
        <f t="shared" si="3029"/>
        <v>31323365.039999999</v>
      </c>
      <c r="ZG1355" s="191">
        <f t="shared" si="3029"/>
        <v>31323365.039999999</v>
      </c>
    </row>
    <row r="1356" spans="1:683" s="149" customFormat="1" ht="48" x14ac:dyDescent="0.25">
      <c r="A1356" s="427" t="s">
        <v>713</v>
      </c>
      <c r="B1356" s="423"/>
      <c r="C1356" s="317" t="s">
        <v>975</v>
      </c>
      <c r="D1356" s="1285"/>
      <c r="E1356" s="1286"/>
      <c r="F1356" s="318"/>
      <c r="G1356" s="318"/>
      <c r="H1356" s="318"/>
      <c r="I1356" s="319"/>
      <c r="J1356" s="319"/>
      <c r="K1356" s="319"/>
      <c r="L1356" s="426" t="s">
        <v>699</v>
      </c>
      <c r="M1356" s="426" t="s">
        <v>699</v>
      </c>
      <c r="N1356" s="426" t="s">
        <v>699</v>
      </c>
      <c r="O1356" s="426" t="s">
        <v>699</v>
      </c>
      <c r="P1356" s="426" t="s">
        <v>699</v>
      </c>
      <c r="Q1356" s="426" t="s">
        <v>699</v>
      </c>
      <c r="R1356" s="426" t="s">
        <v>699</v>
      </c>
      <c r="S1356" s="426" t="s">
        <v>699</v>
      </c>
      <c r="T1356" s="426" t="s">
        <v>699</v>
      </c>
      <c r="U1356" s="426" t="s">
        <v>699</v>
      </c>
      <c r="V1356" s="426" t="s">
        <v>699</v>
      </c>
      <c r="W1356" s="426" t="s">
        <v>699</v>
      </c>
      <c r="X1356" s="426" t="s">
        <v>699</v>
      </c>
      <c r="Y1356" s="426" t="s">
        <v>699</v>
      </c>
      <c r="Z1356" s="426" t="s">
        <v>699</v>
      </c>
      <c r="AA1356" s="321"/>
      <c r="AB1356" s="321"/>
      <c r="AC1356" s="321"/>
      <c r="AD1356" s="321">
        <v>1093998.96</v>
      </c>
      <c r="AE1356" s="352">
        <f>AD1356</f>
        <v>1093998.96</v>
      </c>
      <c r="AF1356" s="352">
        <f>AD1356</f>
        <v>1093998.96</v>
      </c>
      <c r="AG1356" s="426" t="s">
        <v>699</v>
      </c>
      <c r="AH1356" s="426" t="s">
        <v>699</v>
      </c>
      <c r="AI1356" s="426" t="s">
        <v>699</v>
      </c>
      <c r="AJ1356" s="426" t="s">
        <v>699</v>
      </c>
      <c r="AK1356" s="426" t="s">
        <v>699</v>
      </c>
      <c r="AL1356" s="426" t="s">
        <v>699</v>
      </c>
      <c r="AM1356" s="426" t="s">
        <v>699</v>
      </c>
      <c r="AN1356" s="426" t="s">
        <v>699</v>
      </c>
      <c r="AO1356" s="426" t="s">
        <v>699</v>
      </c>
      <c r="AP1356" s="426" t="s">
        <v>699</v>
      </c>
      <c r="AQ1356" s="426" t="s">
        <v>699</v>
      </c>
      <c r="AR1356" s="426" t="s">
        <v>699</v>
      </c>
      <c r="AS1356" s="426" t="s">
        <v>699</v>
      </c>
      <c r="AT1356" s="426" t="s">
        <v>699</v>
      </c>
      <c r="AU1356" s="426" t="s">
        <v>699</v>
      </c>
      <c r="AV1356" s="321"/>
      <c r="AW1356" s="321"/>
      <c r="AX1356" s="321"/>
      <c r="AY1356" s="321">
        <v>1988587.92</v>
      </c>
      <c r="AZ1356" s="352">
        <f>AY1356</f>
        <v>1988587.92</v>
      </c>
      <c r="BA1356" s="352">
        <f>AY1356</f>
        <v>1988587.92</v>
      </c>
      <c r="BB1356" s="426" t="s">
        <v>699</v>
      </c>
      <c r="BC1356" s="426" t="s">
        <v>699</v>
      </c>
      <c r="BD1356" s="426" t="s">
        <v>699</v>
      </c>
      <c r="BE1356" s="426" t="s">
        <v>699</v>
      </c>
      <c r="BF1356" s="426" t="s">
        <v>699</v>
      </c>
      <c r="BG1356" s="426" t="s">
        <v>699</v>
      </c>
      <c r="BH1356" s="426" t="s">
        <v>699</v>
      </c>
      <c r="BI1356" s="426" t="s">
        <v>699</v>
      </c>
      <c r="BJ1356" s="426" t="s">
        <v>699</v>
      </c>
      <c r="BK1356" s="426" t="s">
        <v>699</v>
      </c>
      <c r="BL1356" s="426" t="s">
        <v>699</v>
      </c>
      <c r="BM1356" s="426" t="s">
        <v>699</v>
      </c>
      <c r="BN1356" s="426" t="s">
        <v>699</v>
      </c>
      <c r="BO1356" s="426" t="s">
        <v>699</v>
      </c>
      <c r="BP1356" s="426" t="s">
        <v>699</v>
      </c>
      <c r="BQ1356" s="321"/>
      <c r="BR1356" s="321"/>
      <c r="BS1356" s="321"/>
      <c r="BT1356" s="321">
        <v>587857.93999999994</v>
      </c>
      <c r="BU1356" s="352">
        <f>BT1356</f>
        <v>587857.93999999994</v>
      </c>
      <c r="BV1356" s="352">
        <f>BT1356</f>
        <v>587857.93999999994</v>
      </c>
      <c r="BW1356" s="426" t="s">
        <v>699</v>
      </c>
      <c r="BX1356" s="426" t="s">
        <v>699</v>
      </c>
      <c r="BY1356" s="426" t="s">
        <v>699</v>
      </c>
      <c r="BZ1356" s="426" t="s">
        <v>699</v>
      </c>
      <c r="CA1356" s="426" t="s">
        <v>699</v>
      </c>
      <c r="CB1356" s="426" t="s">
        <v>699</v>
      </c>
      <c r="CC1356" s="426" t="s">
        <v>699</v>
      </c>
      <c r="CD1356" s="426" t="s">
        <v>699</v>
      </c>
      <c r="CE1356" s="426" t="s">
        <v>699</v>
      </c>
      <c r="CF1356" s="426" t="s">
        <v>699</v>
      </c>
      <c r="CG1356" s="426" t="s">
        <v>699</v>
      </c>
      <c r="CH1356" s="426" t="s">
        <v>699</v>
      </c>
      <c r="CI1356" s="426" t="s">
        <v>699</v>
      </c>
      <c r="CJ1356" s="426" t="s">
        <v>699</v>
      </c>
      <c r="CK1356" s="426" t="s">
        <v>699</v>
      </c>
      <c r="CL1356" s="321"/>
      <c r="CM1356" s="321"/>
      <c r="CN1356" s="321"/>
      <c r="CO1356" s="321">
        <v>1098063.3500000001</v>
      </c>
      <c r="CP1356" s="352">
        <f>CO1356</f>
        <v>1098063.3500000001</v>
      </c>
      <c r="CQ1356" s="352">
        <f>CO1356</f>
        <v>1098063.3500000001</v>
      </c>
      <c r="CR1356" s="426" t="s">
        <v>699</v>
      </c>
      <c r="CS1356" s="426" t="s">
        <v>699</v>
      </c>
      <c r="CT1356" s="426" t="s">
        <v>699</v>
      </c>
      <c r="CU1356" s="426" t="s">
        <v>699</v>
      </c>
      <c r="CV1356" s="426" t="s">
        <v>699</v>
      </c>
      <c r="CW1356" s="426" t="s">
        <v>699</v>
      </c>
      <c r="CX1356" s="426" t="s">
        <v>699</v>
      </c>
      <c r="CY1356" s="426" t="s">
        <v>699</v>
      </c>
      <c r="CZ1356" s="426" t="s">
        <v>699</v>
      </c>
      <c r="DA1356" s="426" t="s">
        <v>699</v>
      </c>
      <c r="DB1356" s="426" t="s">
        <v>699</v>
      </c>
      <c r="DC1356" s="426" t="s">
        <v>699</v>
      </c>
      <c r="DD1356" s="426" t="s">
        <v>699</v>
      </c>
      <c r="DE1356" s="426" t="s">
        <v>699</v>
      </c>
      <c r="DF1356" s="426" t="s">
        <v>699</v>
      </c>
      <c r="DG1356" s="321"/>
      <c r="DH1356" s="321"/>
      <c r="DI1356" s="321"/>
      <c r="DJ1356" s="321">
        <v>1156340.75</v>
      </c>
      <c r="DK1356" s="352">
        <f>DJ1356</f>
        <v>1156340.75</v>
      </c>
      <c r="DL1356" s="352">
        <f>DJ1356</f>
        <v>1156340.75</v>
      </c>
      <c r="DM1356" s="426" t="s">
        <v>699</v>
      </c>
      <c r="DN1356" s="426" t="s">
        <v>699</v>
      </c>
      <c r="DO1356" s="426" t="s">
        <v>699</v>
      </c>
      <c r="DP1356" s="426" t="s">
        <v>699</v>
      </c>
      <c r="DQ1356" s="426" t="s">
        <v>699</v>
      </c>
      <c r="DR1356" s="426" t="s">
        <v>699</v>
      </c>
      <c r="DS1356" s="426" t="s">
        <v>699</v>
      </c>
      <c r="DT1356" s="426" t="s">
        <v>699</v>
      </c>
      <c r="DU1356" s="426" t="s">
        <v>699</v>
      </c>
      <c r="DV1356" s="426" t="s">
        <v>699</v>
      </c>
      <c r="DW1356" s="426" t="s">
        <v>699</v>
      </c>
      <c r="DX1356" s="426" t="s">
        <v>699</v>
      </c>
      <c r="DY1356" s="426" t="s">
        <v>699</v>
      </c>
      <c r="DZ1356" s="426" t="s">
        <v>699</v>
      </c>
      <c r="EA1356" s="426" t="s">
        <v>699</v>
      </c>
      <c r="EB1356" s="321"/>
      <c r="EC1356" s="321"/>
      <c r="ED1356" s="321"/>
      <c r="EE1356" s="321">
        <v>1416545.12</v>
      </c>
      <c r="EF1356" s="352">
        <f>EE1356</f>
        <v>1416545.12</v>
      </c>
      <c r="EG1356" s="352">
        <f>EE1356</f>
        <v>1416545.12</v>
      </c>
      <c r="EH1356" s="426" t="s">
        <v>699</v>
      </c>
      <c r="EI1356" s="426" t="s">
        <v>699</v>
      </c>
      <c r="EJ1356" s="426" t="s">
        <v>699</v>
      </c>
      <c r="EK1356" s="426" t="s">
        <v>699</v>
      </c>
      <c r="EL1356" s="426" t="s">
        <v>699</v>
      </c>
      <c r="EM1356" s="426" t="s">
        <v>699</v>
      </c>
      <c r="EN1356" s="426" t="s">
        <v>699</v>
      </c>
      <c r="EO1356" s="426" t="s">
        <v>699</v>
      </c>
      <c r="EP1356" s="426" t="s">
        <v>699</v>
      </c>
      <c r="EQ1356" s="426" t="s">
        <v>699</v>
      </c>
      <c r="ER1356" s="426" t="s">
        <v>699</v>
      </c>
      <c r="ES1356" s="426" t="s">
        <v>699</v>
      </c>
      <c r="ET1356" s="426" t="s">
        <v>699</v>
      </c>
      <c r="EU1356" s="426" t="s">
        <v>699</v>
      </c>
      <c r="EV1356" s="426" t="s">
        <v>699</v>
      </c>
      <c r="EW1356" s="321"/>
      <c r="EX1356" s="321"/>
      <c r="EY1356" s="321"/>
      <c r="EZ1356" s="321">
        <v>738517.7</v>
      </c>
      <c r="FA1356" s="352">
        <f>EZ1356</f>
        <v>738517.7</v>
      </c>
      <c r="FB1356" s="352">
        <f>EZ1356</f>
        <v>738517.7</v>
      </c>
      <c r="FC1356" s="426" t="s">
        <v>699</v>
      </c>
      <c r="FD1356" s="426" t="s">
        <v>699</v>
      </c>
      <c r="FE1356" s="426" t="s">
        <v>699</v>
      </c>
      <c r="FF1356" s="426" t="s">
        <v>699</v>
      </c>
      <c r="FG1356" s="426" t="s">
        <v>699</v>
      </c>
      <c r="FH1356" s="426" t="s">
        <v>699</v>
      </c>
      <c r="FI1356" s="426" t="s">
        <v>699</v>
      </c>
      <c r="FJ1356" s="426" t="s">
        <v>699</v>
      </c>
      <c r="FK1356" s="426" t="s">
        <v>699</v>
      </c>
      <c r="FL1356" s="426" t="s">
        <v>699</v>
      </c>
      <c r="FM1356" s="426" t="s">
        <v>699</v>
      </c>
      <c r="FN1356" s="426" t="s">
        <v>699</v>
      </c>
      <c r="FO1356" s="426" t="s">
        <v>699</v>
      </c>
      <c r="FP1356" s="426" t="s">
        <v>699</v>
      </c>
      <c r="FQ1356" s="426" t="s">
        <v>699</v>
      </c>
      <c r="FR1356" s="321"/>
      <c r="FS1356" s="321"/>
      <c r="FT1356" s="321"/>
      <c r="FU1356" s="321">
        <v>732897.55</v>
      </c>
      <c r="FV1356" s="352">
        <f>FU1356</f>
        <v>732897.55</v>
      </c>
      <c r="FW1356" s="352">
        <f>FU1356</f>
        <v>732897.55</v>
      </c>
      <c r="FX1356" s="426" t="s">
        <v>699</v>
      </c>
      <c r="FY1356" s="426" t="s">
        <v>699</v>
      </c>
      <c r="FZ1356" s="426" t="s">
        <v>699</v>
      </c>
      <c r="GA1356" s="426" t="s">
        <v>699</v>
      </c>
      <c r="GB1356" s="426" t="s">
        <v>699</v>
      </c>
      <c r="GC1356" s="426" t="s">
        <v>699</v>
      </c>
      <c r="GD1356" s="426" t="s">
        <v>699</v>
      </c>
      <c r="GE1356" s="426" t="s">
        <v>699</v>
      </c>
      <c r="GF1356" s="426" t="s">
        <v>699</v>
      </c>
      <c r="GG1356" s="426" t="s">
        <v>699</v>
      </c>
      <c r="GH1356" s="426" t="s">
        <v>699</v>
      </c>
      <c r="GI1356" s="426" t="s">
        <v>699</v>
      </c>
      <c r="GJ1356" s="426" t="s">
        <v>699</v>
      </c>
      <c r="GK1356" s="426" t="s">
        <v>699</v>
      </c>
      <c r="GL1356" s="426" t="s">
        <v>699</v>
      </c>
      <c r="GM1356" s="321"/>
      <c r="GN1356" s="321"/>
      <c r="GO1356" s="321"/>
      <c r="GP1356" s="321">
        <v>2206264.0099999998</v>
      </c>
      <c r="GQ1356" s="352">
        <f>GP1356</f>
        <v>2206264.0099999998</v>
      </c>
      <c r="GR1356" s="352">
        <f>GP1356</f>
        <v>2206264.0099999998</v>
      </c>
      <c r="GS1356" s="426" t="s">
        <v>699</v>
      </c>
      <c r="GT1356" s="426" t="s">
        <v>699</v>
      </c>
      <c r="GU1356" s="426" t="s">
        <v>699</v>
      </c>
      <c r="GV1356" s="426" t="s">
        <v>699</v>
      </c>
      <c r="GW1356" s="426" t="s">
        <v>699</v>
      </c>
      <c r="GX1356" s="426" t="s">
        <v>699</v>
      </c>
      <c r="GY1356" s="426" t="s">
        <v>699</v>
      </c>
      <c r="GZ1356" s="426" t="s">
        <v>699</v>
      </c>
      <c r="HA1356" s="426" t="s">
        <v>699</v>
      </c>
      <c r="HB1356" s="426" t="s">
        <v>699</v>
      </c>
      <c r="HC1356" s="426" t="s">
        <v>699</v>
      </c>
      <c r="HD1356" s="426" t="s">
        <v>699</v>
      </c>
      <c r="HE1356" s="426" t="s">
        <v>699</v>
      </c>
      <c r="HF1356" s="426" t="s">
        <v>699</v>
      </c>
      <c r="HG1356" s="426" t="s">
        <v>699</v>
      </c>
      <c r="HH1356" s="321"/>
      <c r="HI1356" s="321"/>
      <c r="HJ1356" s="321"/>
      <c r="HK1356" s="321">
        <v>2093299.01</v>
      </c>
      <c r="HL1356" s="352">
        <f>HK1356</f>
        <v>2093299.01</v>
      </c>
      <c r="HM1356" s="352">
        <f>HK1356</f>
        <v>2093299.01</v>
      </c>
      <c r="HN1356" s="426" t="s">
        <v>699</v>
      </c>
      <c r="HO1356" s="426" t="s">
        <v>699</v>
      </c>
      <c r="HP1356" s="426" t="s">
        <v>699</v>
      </c>
      <c r="HQ1356" s="426" t="s">
        <v>699</v>
      </c>
      <c r="HR1356" s="426" t="s">
        <v>699</v>
      </c>
      <c r="HS1356" s="426" t="s">
        <v>699</v>
      </c>
      <c r="HT1356" s="426" t="s">
        <v>699</v>
      </c>
      <c r="HU1356" s="426" t="s">
        <v>699</v>
      </c>
      <c r="HV1356" s="426" t="s">
        <v>699</v>
      </c>
      <c r="HW1356" s="426" t="s">
        <v>699</v>
      </c>
      <c r="HX1356" s="426" t="s">
        <v>699</v>
      </c>
      <c r="HY1356" s="426" t="s">
        <v>699</v>
      </c>
      <c r="HZ1356" s="426" t="s">
        <v>699</v>
      </c>
      <c r="IA1356" s="426" t="s">
        <v>699</v>
      </c>
      <c r="IB1356" s="426" t="s">
        <v>699</v>
      </c>
      <c r="IC1356" s="321"/>
      <c r="ID1356" s="321"/>
      <c r="IE1356" s="321"/>
      <c r="IF1356" s="321">
        <v>1232946.5900000001</v>
      </c>
      <c r="IG1356" s="352">
        <f>IF1356</f>
        <v>1232946.5900000001</v>
      </c>
      <c r="IH1356" s="352">
        <f>IF1356</f>
        <v>1232946.5900000001</v>
      </c>
      <c r="II1356" s="426" t="s">
        <v>699</v>
      </c>
      <c r="IJ1356" s="426" t="s">
        <v>699</v>
      </c>
      <c r="IK1356" s="426" t="s">
        <v>699</v>
      </c>
      <c r="IL1356" s="426" t="s">
        <v>699</v>
      </c>
      <c r="IM1356" s="426" t="s">
        <v>699</v>
      </c>
      <c r="IN1356" s="426" t="s">
        <v>699</v>
      </c>
      <c r="IO1356" s="426" t="s">
        <v>699</v>
      </c>
      <c r="IP1356" s="426" t="s">
        <v>699</v>
      </c>
      <c r="IQ1356" s="426" t="s">
        <v>699</v>
      </c>
      <c r="IR1356" s="426" t="s">
        <v>699</v>
      </c>
      <c r="IS1356" s="426" t="s">
        <v>699</v>
      </c>
      <c r="IT1356" s="426" t="s">
        <v>699</v>
      </c>
      <c r="IU1356" s="426" t="s">
        <v>699</v>
      </c>
      <c r="IV1356" s="426" t="s">
        <v>699</v>
      </c>
      <c r="IW1356" s="426" t="s">
        <v>699</v>
      </c>
      <c r="IX1356" s="321"/>
      <c r="IY1356" s="321"/>
      <c r="IZ1356" s="321"/>
      <c r="JA1356" s="321">
        <v>597297.71</v>
      </c>
      <c r="JB1356" s="352">
        <f>JA1356</f>
        <v>597297.71</v>
      </c>
      <c r="JC1356" s="352">
        <f>JA1356</f>
        <v>597297.71</v>
      </c>
      <c r="JD1356" s="426" t="s">
        <v>699</v>
      </c>
      <c r="JE1356" s="426" t="s">
        <v>699</v>
      </c>
      <c r="JF1356" s="426" t="s">
        <v>699</v>
      </c>
      <c r="JG1356" s="426" t="s">
        <v>699</v>
      </c>
      <c r="JH1356" s="426" t="s">
        <v>699</v>
      </c>
      <c r="JI1356" s="426" t="s">
        <v>699</v>
      </c>
      <c r="JJ1356" s="426" t="s">
        <v>699</v>
      </c>
      <c r="JK1356" s="426" t="s">
        <v>699</v>
      </c>
      <c r="JL1356" s="426" t="s">
        <v>699</v>
      </c>
      <c r="JM1356" s="426" t="s">
        <v>699</v>
      </c>
      <c r="JN1356" s="426" t="s">
        <v>699</v>
      </c>
      <c r="JO1356" s="426" t="s">
        <v>699</v>
      </c>
      <c r="JP1356" s="426" t="s">
        <v>699</v>
      </c>
      <c r="JQ1356" s="426" t="s">
        <v>699</v>
      </c>
      <c r="JR1356" s="426" t="s">
        <v>699</v>
      </c>
      <c r="JS1356" s="321"/>
      <c r="JT1356" s="321"/>
      <c r="JU1356" s="321"/>
      <c r="JV1356" s="321">
        <v>1297609.92</v>
      </c>
      <c r="JW1356" s="352">
        <f>JV1356</f>
        <v>1297609.92</v>
      </c>
      <c r="JX1356" s="352">
        <f>JV1356</f>
        <v>1297609.92</v>
      </c>
      <c r="JY1356" s="426" t="s">
        <v>699</v>
      </c>
      <c r="JZ1356" s="426" t="s">
        <v>699</v>
      </c>
      <c r="KA1356" s="426" t="s">
        <v>699</v>
      </c>
      <c r="KB1356" s="426" t="s">
        <v>699</v>
      </c>
      <c r="KC1356" s="426" t="s">
        <v>699</v>
      </c>
      <c r="KD1356" s="426" t="s">
        <v>699</v>
      </c>
      <c r="KE1356" s="426" t="s">
        <v>699</v>
      </c>
      <c r="KF1356" s="426" t="s">
        <v>699</v>
      </c>
      <c r="KG1356" s="426" t="s">
        <v>699</v>
      </c>
      <c r="KH1356" s="426" t="s">
        <v>699</v>
      </c>
      <c r="KI1356" s="426" t="s">
        <v>699</v>
      </c>
      <c r="KJ1356" s="426" t="s">
        <v>699</v>
      </c>
      <c r="KK1356" s="426" t="s">
        <v>699</v>
      </c>
      <c r="KL1356" s="426" t="s">
        <v>699</v>
      </c>
      <c r="KM1356" s="426" t="s">
        <v>699</v>
      </c>
      <c r="KN1356" s="321"/>
      <c r="KO1356" s="321"/>
      <c r="KP1356" s="321"/>
      <c r="KQ1356" s="321">
        <v>1581689.15</v>
      </c>
      <c r="KR1356" s="352">
        <f>KQ1356</f>
        <v>1581689.15</v>
      </c>
      <c r="KS1356" s="352">
        <f>KQ1356</f>
        <v>1581689.15</v>
      </c>
      <c r="KT1356" s="426" t="s">
        <v>699</v>
      </c>
      <c r="KU1356" s="426" t="s">
        <v>699</v>
      </c>
      <c r="KV1356" s="426" t="s">
        <v>699</v>
      </c>
      <c r="KW1356" s="426" t="s">
        <v>699</v>
      </c>
      <c r="KX1356" s="426" t="s">
        <v>699</v>
      </c>
      <c r="KY1356" s="426" t="s">
        <v>699</v>
      </c>
      <c r="KZ1356" s="426" t="s">
        <v>699</v>
      </c>
      <c r="LA1356" s="426" t="s">
        <v>699</v>
      </c>
      <c r="LB1356" s="426" t="s">
        <v>699</v>
      </c>
      <c r="LC1356" s="426" t="s">
        <v>699</v>
      </c>
      <c r="LD1356" s="426" t="s">
        <v>699</v>
      </c>
      <c r="LE1356" s="426" t="s">
        <v>699</v>
      </c>
      <c r="LF1356" s="426" t="s">
        <v>699</v>
      </c>
      <c r="LG1356" s="426" t="s">
        <v>699</v>
      </c>
      <c r="LH1356" s="426" t="s">
        <v>699</v>
      </c>
      <c r="LI1356" s="321"/>
      <c r="LJ1356" s="321"/>
      <c r="LK1356" s="321"/>
      <c r="LL1356" s="321">
        <v>1816211.55</v>
      </c>
      <c r="LM1356" s="352">
        <f>LL1356</f>
        <v>1816211.55</v>
      </c>
      <c r="LN1356" s="352">
        <f>LL1356</f>
        <v>1816211.55</v>
      </c>
      <c r="LO1356" s="426" t="s">
        <v>699</v>
      </c>
      <c r="LP1356" s="426" t="s">
        <v>699</v>
      </c>
      <c r="LQ1356" s="426" t="s">
        <v>699</v>
      </c>
      <c r="LR1356" s="426" t="s">
        <v>699</v>
      </c>
      <c r="LS1356" s="426" t="s">
        <v>699</v>
      </c>
      <c r="LT1356" s="426" t="s">
        <v>699</v>
      </c>
      <c r="LU1356" s="426" t="s">
        <v>699</v>
      </c>
      <c r="LV1356" s="426" t="s">
        <v>699</v>
      </c>
      <c r="LW1356" s="426" t="s">
        <v>699</v>
      </c>
      <c r="LX1356" s="426" t="s">
        <v>699</v>
      </c>
      <c r="LY1356" s="426" t="s">
        <v>699</v>
      </c>
      <c r="LZ1356" s="426" t="s">
        <v>699</v>
      </c>
      <c r="MA1356" s="426" t="s">
        <v>699</v>
      </c>
      <c r="MB1356" s="426" t="s">
        <v>699</v>
      </c>
      <c r="MC1356" s="426" t="s">
        <v>699</v>
      </c>
      <c r="MD1356" s="321"/>
      <c r="ME1356" s="321"/>
      <c r="MF1356" s="321"/>
      <c r="MG1356" s="321">
        <v>1995188.67</v>
      </c>
      <c r="MH1356" s="352">
        <f>MG1356</f>
        <v>1995188.67</v>
      </c>
      <c r="MI1356" s="352">
        <f>MG1356</f>
        <v>1995188.67</v>
      </c>
      <c r="MJ1356" s="426" t="s">
        <v>699</v>
      </c>
      <c r="MK1356" s="426" t="s">
        <v>699</v>
      </c>
      <c r="ML1356" s="426" t="s">
        <v>699</v>
      </c>
      <c r="MM1356" s="426" t="s">
        <v>699</v>
      </c>
      <c r="MN1356" s="426" t="s">
        <v>699</v>
      </c>
      <c r="MO1356" s="426" t="s">
        <v>699</v>
      </c>
      <c r="MP1356" s="426" t="s">
        <v>699</v>
      </c>
      <c r="MQ1356" s="426" t="s">
        <v>699</v>
      </c>
      <c r="MR1356" s="426" t="s">
        <v>699</v>
      </c>
      <c r="MS1356" s="426" t="s">
        <v>699</v>
      </c>
      <c r="MT1356" s="426" t="s">
        <v>699</v>
      </c>
      <c r="MU1356" s="426" t="s">
        <v>699</v>
      </c>
      <c r="MV1356" s="426" t="s">
        <v>699</v>
      </c>
      <c r="MW1356" s="426" t="s">
        <v>699</v>
      </c>
      <c r="MX1356" s="426" t="s">
        <v>699</v>
      </c>
      <c r="MY1356" s="321"/>
      <c r="MZ1356" s="321"/>
      <c r="NA1356" s="321"/>
      <c r="NB1356" s="321">
        <v>1194888.53</v>
      </c>
      <c r="NC1356" s="352">
        <f>NB1356</f>
        <v>1194888.53</v>
      </c>
      <c r="ND1356" s="352">
        <f>NB1356</f>
        <v>1194888.53</v>
      </c>
      <c r="NE1356" s="426" t="s">
        <v>699</v>
      </c>
      <c r="NF1356" s="426" t="s">
        <v>699</v>
      </c>
      <c r="NG1356" s="426" t="s">
        <v>699</v>
      </c>
      <c r="NH1356" s="426" t="s">
        <v>699</v>
      </c>
      <c r="NI1356" s="426" t="s">
        <v>699</v>
      </c>
      <c r="NJ1356" s="426" t="s">
        <v>699</v>
      </c>
      <c r="NK1356" s="426" t="s">
        <v>699</v>
      </c>
      <c r="NL1356" s="426" t="s">
        <v>699</v>
      </c>
      <c r="NM1356" s="426" t="s">
        <v>699</v>
      </c>
      <c r="NN1356" s="426" t="s">
        <v>699</v>
      </c>
      <c r="NO1356" s="426" t="s">
        <v>699</v>
      </c>
      <c r="NP1356" s="426" t="s">
        <v>699</v>
      </c>
      <c r="NQ1356" s="426" t="s">
        <v>699</v>
      </c>
      <c r="NR1356" s="426" t="s">
        <v>699</v>
      </c>
      <c r="NS1356" s="426" t="s">
        <v>699</v>
      </c>
      <c r="NT1356" s="321"/>
      <c r="NU1356" s="321"/>
      <c r="NV1356" s="321"/>
      <c r="NW1356" s="321">
        <v>1856595.35</v>
      </c>
      <c r="NX1356" s="352">
        <f>NW1356</f>
        <v>1856595.35</v>
      </c>
      <c r="NY1356" s="352">
        <f>NW1356</f>
        <v>1856595.35</v>
      </c>
      <c r="NZ1356" s="426" t="s">
        <v>699</v>
      </c>
      <c r="OA1356" s="426" t="s">
        <v>699</v>
      </c>
      <c r="OB1356" s="426" t="s">
        <v>699</v>
      </c>
      <c r="OC1356" s="426" t="s">
        <v>699</v>
      </c>
      <c r="OD1356" s="426" t="s">
        <v>699</v>
      </c>
      <c r="OE1356" s="426" t="s">
        <v>699</v>
      </c>
      <c r="OF1356" s="426" t="s">
        <v>699</v>
      </c>
      <c r="OG1356" s="426" t="s">
        <v>699</v>
      </c>
      <c r="OH1356" s="426" t="s">
        <v>699</v>
      </c>
      <c r="OI1356" s="426" t="s">
        <v>699</v>
      </c>
      <c r="OJ1356" s="426" t="s">
        <v>699</v>
      </c>
      <c r="OK1356" s="426" t="s">
        <v>699</v>
      </c>
      <c r="OL1356" s="426" t="s">
        <v>699</v>
      </c>
      <c r="OM1356" s="426" t="s">
        <v>699</v>
      </c>
      <c r="ON1356" s="426" t="s">
        <v>699</v>
      </c>
      <c r="OO1356" s="321"/>
      <c r="OP1356" s="321"/>
      <c r="OQ1356" s="321"/>
      <c r="OR1356" s="321">
        <v>1053524.22</v>
      </c>
      <c r="OS1356" s="352">
        <f>OR1356</f>
        <v>1053524.22</v>
      </c>
      <c r="OT1356" s="352">
        <f>OR1356</f>
        <v>1053524.22</v>
      </c>
      <c r="OU1356" s="426" t="s">
        <v>699</v>
      </c>
      <c r="OV1356" s="426" t="s">
        <v>699</v>
      </c>
      <c r="OW1356" s="426" t="s">
        <v>699</v>
      </c>
      <c r="OX1356" s="426" t="s">
        <v>699</v>
      </c>
      <c r="OY1356" s="426" t="s">
        <v>699</v>
      </c>
      <c r="OZ1356" s="426" t="s">
        <v>699</v>
      </c>
      <c r="PA1356" s="426" t="s">
        <v>699</v>
      </c>
      <c r="PB1356" s="426" t="s">
        <v>699</v>
      </c>
      <c r="PC1356" s="426" t="s">
        <v>699</v>
      </c>
      <c r="PD1356" s="426" t="s">
        <v>699</v>
      </c>
      <c r="PE1356" s="426" t="s">
        <v>699</v>
      </c>
      <c r="PF1356" s="426" t="s">
        <v>699</v>
      </c>
      <c r="PG1356" s="426" t="s">
        <v>699</v>
      </c>
      <c r="PH1356" s="426" t="s">
        <v>699</v>
      </c>
      <c r="PI1356" s="426" t="s">
        <v>699</v>
      </c>
      <c r="PJ1356" s="321"/>
      <c r="PK1356" s="321"/>
      <c r="PL1356" s="321"/>
      <c r="PM1356" s="321">
        <v>2033910.32</v>
      </c>
      <c r="PN1356" s="352">
        <f>PM1356</f>
        <v>2033910.32</v>
      </c>
      <c r="PO1356" s="352">
        <f>PM1356</f>
        <v>2033910.32</v>
      </c>
      <c r="PP1356" s="426" t="s">
        <v>699</v>
      </c>
      <c r="PQ1356" s="426" t="s">
        <v>699</v>
      </c>
      <c r="PR1356" s="426" t="s">
        <v>699</v>
      </c>
      <c r="PS1356" s="426" t="s">
        <v>699</v>
      </c>
      <c r="PT1356" s="426" t="s">
        <v>699</v>
      </c>
      <c r="PU1356" s="426" t="s">
        <v>699</v>
      </c>
      <c r="PV1356" s="426" t="s">
        <v>699</v>
      </c>
      <c r="PW1356" s="426" t="s">
        <v>699</v>
      </c>
      <c r="PX1356" s="426" t="s">
        <v>699</v>
      </c>
      <c r="PY1356" s="426" t="s">
        <v>699</v>
      </c>
      <c r="PZ1356" s="426" t="s">
        <v>699</v>
      </c>
      <c r="QA1356" s="426" t="s">
        <v>699</v>
      </c>
      <c r="QB1356" s="426" t="s">
        <v>699</v>
      </c>
      <c r="QC1356" s="426" t="s">
        <v>699</v>
      </c>
      <c r="QD1356" s="426" t="s">
        <v>699</v>
      </c>
      <c r="QE1356" s="321"/>
      <c r="QF1356" s="321"/>
      <c r="QG1356" s="321"/>
      <c r="QH1356" s="321">
        <v>2581706.62</v>
      </c>
      <c r="QI1356" s="352">
        <f>QH1356</f>
        <v>2581706.62</v>
      </c>
      <c r="QJ1356" s="352">
        <f>QH1356</f>
        <v>2581706.62</v>
      </c>
      <c r="QK1356" s="426" t="s">
        <v>699</v>
      </c>
      <c r="QL1356" s="426" t="s">
        <v>699</v>
      </c>
      <c r="QM1356" s="426" t="s">
        <v>699</v>
      </c>
      <c r="QN1356" s="426" t="s">
        <v>699</v>
      </c>
      <c r="QO1356" s="426" t="s">
        <v>699</v>
      </c>
      <c r="QP1356" s="426" t="s">
        <v>699</v>
      </c>
      <c r="QQ1356" s="426" t="s">
        <v>699</v>
      </c>
      <c r="QR1356" s="426" t="s">
        <v>699</v>
      </c>
      <c r="QS1356" s="426" t="s">
        <v>699</v>
      </c>
      <c r="QT1356" s="426" t="s">
        <v>699</v>
      </c>
      <c r="QU1356" s="426" t="s">
        <v>699</v>
      </c>
      <c r="QV1356" s="426" t="s">
        <v>699</v>
      </c>
      <c r="QW1356" s="426" t="s">
        <v>699</v>
      </c>
      <c r="QX1356" s="426" t="s">
        <v>699</v>
      </c>
      <c r="QY1356" s="426" t="s">
        <v>699</v>
      </c>
      <c r="QZ1356" s="321"/>
      <c r="RA1356" s="321"/>
      <c r="RB1356" s="321"/>
      <c r="RC1356" s="321">
        <v>3405572.3</v>
      </c>
      <c r="RD1356" s="352">
        <f>RC1356</f>
        <v>3405572.3</v>
      </c>
      <c r="RE1356" s="352">
        <f>RC1356</f>
        <v>3405572.3</v>
      </c>
      <c r="RF1356" s="426" t="s">
        <v>699</v>
      </c>
      <c r="RG1356" s="426" t="s">
        <v>699</v>
      </c>
      <c r="RH1356" s="426" t="s">
        <v>699</v>
      </c>
      <c r="RI1356" s="426" t="s">
        <v>699</v>
      </c>
      <c r="RJ1356" s="426" t="s">
        <v>699</v>
      </c>
      <c r="RK1356" s="426" t="s">
        <v>699</v>
      </c>
      <c r="RL1356" s="426" t="s">
        <v>699</v>
      </c>
      <c r="RM1356" s="426" t="s">
        <v>699</v>
      </c>
      <c r="RN1356" s="426" t="s">
        <v>699</v>
      </c>
      <c r="RO1356" s="426" t="s">
        <v>699</v>
      </c>
      <c r="RP1356" s="426" t="s">
        <v>699</v>
      </c>
      <c r="RQ1356" s="426" t="s">
        <v>699</v>
      </c>
      <c r="RR1356" s="426" t="s">
        <v>699</v>
      </c>
      <c r="RS1356" s="426" t="s">
        <v>699</v>
      </c>
      <c r="RT1356" s="426" t="s">
        <v>699</v>
      </c>
      <c r="RU1356" s="321"/>
      <c r="RV1356" s="321"/>
      <c r="RW1356" s="321"/>
      <c r="RX1356" s="321">
        <v>1246603.22</v>
      </c>
      <c r="RY1356" s="352">
        <f>RX1356</f>
        <v>1246603.22</v>
      </c>
      <c r="RZ1356" s="352">
        <f>RX1356</f>
        <v>1246603.22</v>
      </c>
      <c r="SA1356" s="426" t="s">
        <v>699</v>
      </c>
      <c r="SB1356" s="426" t="s">
        <v>699</v>
      </c>
      <c r="SC1356" s="426" t="s">
        <v>699</v>
      </c>
      <c r="SD1356" s="426" t="s">
        <v>699</v>
      </c>
      <c r="SE1356" s="426" t="s">
        <v>699</v>
      </c>
      <c r="SF1356" s="426" t="s">
        <v>699</v>
      </c>
      <c r="SG1356" s="426" t="s">
        <v>699</v>
      </c>
      <c r="SH1356" s="426" t="s">
        <v>699</v>
      </c>
      <c r="SI1356" s="426" t="s">
        <v>699</v>
      </c>
      <c r="SJ1356" s="426" t="s">
        <v>699</v>
      </c>
      <c r="SK1356" s="426" t="s">
        <v>699</v>
      </c>
      <c r="SL1356" s="426" t="s">
        <v>699</v>
      </c>
      <c r="SM1356" s="426" t="s">
        <v>699</v>
      </c>
      <c r="SN1356" s="426" t="s">
        <v>699</v>
      </c>
      <c r="SO1356" s="426" t="s">
        <v>699</v>
      </c>
      <c r="SP1356" s="321"/>
      <c r="SQ1356" s="321"/>
      <c r="SR1356" s="321"/>
      <c r="SS1356" s="321">
        <v>1626173.93</v>
      </c>
      <c r="ST1356" s="352">
        <f>SS1356</f>
        <v>1626173.93</v>
      </c>
      <c r="SU1356" s="352">
        <f>SS1356</f>
        <v>1626173.93</v>
      </c>
      <c r="SV1356" s="426" t="s">
        <v>699</v>
      </c>
      <c r="SW1356" s="426" t="s">
        <v>699</v>
      </c>
      <c r="SX1356" s="426" t="s">
        <v>699</v>
      </c>
      <c r="SY1356" s="426" t="s">
        <v>699</v>
      </c>
      <c r="SZ1356" s="426" t="s">
        <v>699</v>
      </c>
      <c r="TA1356" s="426" t="s">
        <v>699</v>
      </c>
      <c r="TB1356" s="426" t="s">
        <v>699</v>
      </c>
      <c r="TC1356" s="426" t="s">
        <v>699</v>
      </c>
      <c r="TD1356" s="426" t="s">
        <v>699</v>
      </c>
      <c r="TE1356" s="426" t="s">
        <v>699</v>
      </c>
      <c r="TF1356" s="426" t="s">
        <v>699</v>
      </c>
      <c r="TG1356" s="426" t="s">
        <v>699</v>
      </c>
      <c r="TH1356" s="426" t="s">
        <v>699</v>
      </c>
      <c r="TI1356" s="426" t="s">
        <v>699</v>
      </c>
      <c r="TJ1356" s="426" t="s">
        <v>699</v>
      </c>
      <c r="TK1356" s="321"/>
      <c r="TL1356" s="321"/>
      <c r="TM1356" s="321"/>
      <c r="TN1356" s="321">
        <v>4339218.97</v>
      </c>
      <c r="TO1356" s="352">
        <f>TN1356</f>
        <v>4339218.97</v>
      </c>
      <c r="TP1356" s="352">
        <f>TN1356</f>
        <v>4339218.97</v>
      </c>
      <c r="TQ1356" s="426" t="s">
        <v>699</v>
      </c>
      <c r="TR1356" s="426" t="s">
        <v>699</v>
      </c>
      <c r="TS1356" s="426" t="s">
        <v>699</v>
      </c>
      <c r="TT1356" s="426" t="s">
        <v>699</v>
      </c>
      <c r="TU1356" s="426" t="s">
        <v>699</v>
      </c>
      <c r="TV1356" s="426" t="s">
        <v>699</v>
      </c>
      <c r="TW1356" s="426" t="s">
        <v>699</v>
      </c>
      <c r="TX1356" s="426" t="s">
        <v>699</v>
      </c>
      <c r="TY1356" s="426" t="s">
        <v>699</v>
      </c>
      <c r="TZ1356" s="426" t="s">
        <v>699</v>
      </c>
      <c r="UA1356" s="426" t="s">
        <v>699</v>
      </c>
      <c r="UB1356" s="426" t="s">
        <v>699</v>
      </c>
      <c r="UC1356" s="426" t="s">
        <v>699</v>
      </c>
      <c r="UD1356" s="426" t="s">
        <v>699</v>
      </c>
      <c r="UE1356" s="426" t="s">
        <v>699</v>
      </c>
      <c r="UF1356" s="321"/>
      <c r="UG1356" s="321"/>
      <c r="UH1356" s="321"/>
      <c r="UI1356" s="321">
        <v>2173643.2599999998</v>
      </c>
      <c r="UJ1356" s="352">
        <f>UI1356</f>
        <v>2173643.2599999998</v>
      </c>
      <c r="UK1356" s="352">
        <f>UI1356</f>
        <v>2173643.2599999998</v>
      </c>
      <c r="UL1356" s="426" t="s">
        <v>699</v>
      </c>
      <c r="UM1356" s="426" t="s">
        <v>699</v>
      </c>
      <c r="UN1356" s="426" t="s">
        <v>699</v>
      </c>
      <c r="UO1356" s="426" t="s">
        <v>699</v>
      </c>
      <c r="UP1356" s="426" t="s">
        <v>699</v>
      </c>
      <c r="UQ1356" s="426" t="s">
        <v>699</v>
      </c>
      <c r="UR1356" s="426" t="s">
        <v>699</v>
      </c>
      <c r="US1356" s="426" t="s">
        <v>699</v>
      </c>
      <c r="UT1356" s="426" t="s">
        <v>699</v>
      </c>
      <c r="UU1356" s="426" t="s">
        <v>699</v>
      </c>
      <c r="UV1356" s="426" t="s">
        <v>699</v>
      </c>
      <c r="UW1356" s="426" t="s">
        <v>699</v>
      </c>
      <c r="UX1356" s="426" t="s">
        <v>699</v>
      </c>
      <c r="UY1356" s="426" t="s">
        <v>699</v>
      </c>
      <c r="UZ1356" s="426" t="s">
        <v>699</v>
      </c>
      <c r="VA1356" s="321"/>
      <c r="VB1356" s="321"/>
      <c r="VC1356" s="321"/>
      <c r="VD1356" s="321">
        <v>3049287.32</v>
      </c>
      <c r="VE1356" s="352">
        <f>VD1356</f>
        <v>3049287.32</v>
      </c>
      <c r="VF1356" s="352">
        <f>VD1356</f>
        <v>3049287.32</v>
      </c>
      <c r="VG1356" s="426" t="s">
        <v>699</v>
      </c>
      <c r="VH1356" s="426" t="s">
        <v>699</v>
      </c>
      <c r="VI1356" s="426" t="s">
        <v>699</v>
      </c>
      <c r="VJ1356" s="426" t="s">
        <v>699</v>
      </c>
      <c r="VK1356" s="426" t="s">
        <v>699</v>
      </c>
      <c r="VL1356" s="426" t="s">
        <v>699</v>
      </c>
      <c r="VM1356" s="426" t="s">
        <v>699</v>
      </c>
      <c r="VN1356" s="426" t="s">
        <v>699</v>
      </c>
      <c r="VO1356" s="426" t="s">
        <v>699</v>
      </c>
      <c r="VP1356" s="426" t="s">
        <v>699</v>
      </c>
      <c r="VQ1356" s="426" t="s">
        <v>699</v>
      </c>
      <c r="VR1356" s="426" t="s">
        <v>699</v>
      </c>
      <c r="VS1356" s="426" t="s">
        <v>699</v>
      </c>
      <c r="VT1356" s="426" t="s">
        <v>699</v>
      </c>
      <c r="VU1356" s="426" t="s">
        <v>699</v>
      </c>
      <c r="VV1356" s="321"/>
      <c r="VW1356" s="321"/>
      <c r="VX1356" s="321"/>
      <c r="VY1356" s="321">
        <v>2686287.02</v>
      </c>
      <c r="VZ1356" s="352">
        <f>VY1356</f>
        <v>2686287.02</v>
      </c>
      <c r="WA1356" s="352">
        <f>VY1356</f>
        <v>2686287.02</v>
      </c>
      <c r="WB1356" s="426" t="s">
        <v>699</v>
      </c>
      <c r="WC1356" s="426" t="s">
        <v>699</v>
      </c>
      <c r="WD1356" s="426" t="s">
        <v>699</v>
      </c>
      <c r="WE1356" s="426" t="s">
        <v>699</v>
      </c>
      <c r="WF1356" s="426" t="s">
        <v>699</v>
      </c>
      <c r="WG1356" s="426" t="s">
        <v>699</v>
      </c>
      <c r="WH1356" s="426" t="s">
        <v>699</v>
      </c>
      <c r="WI1356" s="426" t="s">
        <v>699</v>
      </c>
      <c r="WJ1356" s="426" t="s">
        <v>699</v>
      </c>
      <c r="WK1356" s="426" t="s">
        <v>699</v>
      </c>
      <c r="WL1356" s="426" t="s">
        <v>699</v>
      </c>
      <c r="WM1356" s="426" t="s">
        <v>699</v>
      </c>
      <c r="WN1356" s="426" t="s">
        <v>699</v>
      </c>
      <c r="WO1356" s="426" t="s">
        <v>699</v>
      </c>
      <c r="WP1356" s="426" t="s">
        <v>699</v>
      </c>
      <c r="WQ1356" s="321"/>
      <c r="WR1356" s="321"/>
      <c r="WS1356" s="321"/>
      <c r="WT1356" s="321">
        <v>2548629.02</v>
      </c>
      <c r="WU1356" s="352">
        <f>WT1356</f>
        <v>2548629.02</v>
      </c>
      <c r="WV1356" s="352">
        <f>WT1356</f>
        <v>2548629.02</v>
      </c>
      <c r="WW1356" s="426" t="s">
        <v>699</v>
      </c>
      <c r="WX1356" s="426" t="s">
        <v>699</v>
      </c>
      <c r="WY1356" s="426" t="s">
        <v>699</v>
      </c>
      <c r="WZ1356" s="426" t="s">
        <v>699</v>
      </c>
      <c r="XA1356" s="426" t="s">
        <v>699</v>
      </c>
      <c r="XB1356" s="426" t="s">
        <v>699</v>
      </c>
      <c r="XC1356" s="426" t="s">
        <v>699</v>
      </c>
      <c r="XD1356" s="426" t="s">
        <v>699</v>
      </c>
      <c r="XE1356" s="426" t="s">
        <v>699</v>
      </c>
      <c r="XF1356" s="426" t="s">
        <v>699</v>
      </c>
      <c r="XG1356" s="426" t="s">
        <v>699</v>
      </c>
      <c r="XH1356" s="426" t="s">
        <v>699</v>
      </c>
      <c r="XI1356" s="426" t="s">
        <v>699</v>
      </c>
      <c r="XJ1356" s="426" t="s">
        <v>699</v>
      </c>
      <c r="XK1356" s="426" t="s">
        <v>699</v>
      </c>
      <c r="XL1356" s="321"/>
      <c r="XM1356" s="321"/>
      <c r="XN1356" s="321"/>
      <c r="XO1356" s="321">
        <v>4707251.29</v>
      </c>
      <c r="XP1356" s="352">
        <f>XO1356</f>
        <v>4707251.29</v>
      </c>
      <c r="XQ1356" s="352">
        <f>XO1356</f>
        <v>4707251.29</v>
      </c>
      <c r="XR1356" s="426" t="s">
        <v>699</v>
      </c>
      <c r="XS1356" s="426" t="s">
        <v>699</v>
      </c>
      <c r="XT1356" s="426" t="s">
        <v>699</v>
      </c>
      <c r="XU1356" s="426" t="s">
        <v>699</v>
      </c>
      <c r="XV1356" s="426" t="s">
        <v>699</v>
      </c>
      <c r="XW1356" s="426" t="s">
        <v>699</v>
      </c>
      <c r="XX1356" s="426" t="s">
        <v>699</v>
      </c>
      <c r="XY1356" s="426" t="s">
        <v>699</v>
      </c>
      <c r="XZ1356" s="426" t="s">
        <v>699</v>
      </c>
      <c r="YA1356" s="426" t="s">
        <v>699</v>
      </c>
      <c r="YB1356" s="426" t="s">
        <v>699</v>
      </c>
      <c r="YC1356" s="426" t="s">
        <v>699</v>
      </c>
      <c r="YD1356" s="426" t="s">
        <v>699</v>
      </c>
      <c r="YE1356" s="426" t="s">
        <v>699</v>
      </c>
      <c r="YF1356" s="426" t="s">
        <v>699</v>
      </c>
      <c r="YG1356" s="321"/>
      <c r="YH1356" s="321"/>
      <c r="YI1356" s="321"/>
      <c r="YJ1356" s="321">
        <v>23930920.140000001</v>
      </c>
      <c r="YK1356" s="352">
        <f>YJ1356</f>
        <v>23930920.140000001</v>
      </c>
      <c r="YL1356" s="352">
        <f>YJ1356</f>
        <v>23930920.140000001</v>
      </c>
      <c r="YM1356" s="426" t="s">
        <v>699</v>
      </c>
      <c r="YN1356" s="426" t="s">
        <v>699</v>
      </c>
      <c r="YO1356" s="426" t="s">
        <v>699</v>
      </c>
      <c r="YP1356" s="426" t="s">
        <v>699</v>
      </c>
      <c r="YQ1356" s="426" t="s">
        <v>699</v>
      </c>
      <c r="YR1356" s="426" t="s">
        <v>699</v>
      </c>
      <c r="YS1356" s="426" t="s">
        <v>699</v>
      </c>
      <c r="YT1356" s="426" t="s">
        <v>699</v>
      </c>
      <c r="YU1356" s="426" t="s">
        <v>699</v>
      </c>
      <c r="YV1356" s="426" t="s">
        <v>699</v>
      </c>
      <c r="YW1356" s="426" t="s">
        <v>699</v>
      </c>
      <c r="YX1356" s="426" t="s">
        <v>699</v>
      </c>
      <c r="YY1356" s="426" t="s">
        <v>699</v>
      </c>
      <c r="YZ1356" s="426" t="s">
        <v>699</v>
      </c>
      <c r="ZA1356" s="426" t="s">
        <v>699</v>
      </c>
      <c r="ZB1356" s="322">
        <f t="shared" si="3029"/>
        <v>0</v>
      </c>
      <c r="ZC1356" s="322">
        <f t="shared" si="3029"/>
        <v>0</v>
      </c>
      <c r="ZD1356" s="322">
        <f t="shared" si="3029"/>
        <v>0</v>
      </c>
      <c r="ZE1356" s="322">
        <f t="shared" si="3029"/>
        <v>80067527.409999996</v>
      </c>
      <c r="ZF1356" s="322">
        <f t="shared" si="3029"/>
        <v>80067527.409999996</v>
      </c>
      <c r="ZG1356" s="322">
        <f t="shared" si="3029"/>
        <v>80067527.409999996</v>
      </c>
    </row>
    <row r="1357" spans="1:683" s="428" customFormat="1" ht="74.25" customHeight="1" x14ac:dyDescent="0.25">
      <c r="A1357" s="434" t="s">
        <v>984</v>
      </c>
      <c r="B1357" s="429"/>
      <c r="C1357" s="430" t="s">
        <v>598</v>
      </c>
      <c r="D1357" s="1283"/>
      <c r="E1357" s="1284"/>
      <c r="F1357" s="431"/>
      <c r="G1357" s="431"/>
      <c r="H1357" s="431"/>
      <c r="I1357" s="432"/>
      <c r="J1357" s="432"/>
      <c r="K1357" s="432"/>
      <c r="L1357" s="433" t="s">
        <v>699</v>
      </c>
      <c r="M1357" s="433" t="s">
        <v>699</v>
      </c>
      <c r="N1357" s="433" t="s">
        <v>699</v>
      </c>
      <c r="O1357" s="433" t="s">
        <v>699</v>
      </c>
      <c r="P1357" s="433" t="s">
        <v>699</v>
      </c>
      <c r="Q1357" s="433" t="s">
        <v>699</v>
      </c>
      <c r="R1357" s="433" t="s">
        <v>699</v>
      </c>
      <c r="S1357" s="433" t="s">
        <v>699</v>
      </c>
      <c r="T1357" s="433" t="s">
        <v>699</v>
      </c>
      <c r="U1357" s="433" t="s">
        <v>699</v>
      </c>
      <c r="V1357" s="433" t="s">
        <v>699</v>
      </c>
      <c r="W1357" s="433" t="s">
        <v>699</v>
      </c>
      <c r="X1357" s="433" t="s">
        <v>699</v>
      </c>
      <c r="Y1357" s="433" t="s">
        <v>699</v>
      </c>
      <c r="Z1357" s="433" t="s">
        <v>699</v>
      </c>
      <c r="AA1357" s="154">
        <v>30227500</v>
      </c>
      <c r="AB1357" s="154">
        <v>31931500</v>
      </c>
      <c r="AC1357" s="154">
        <v>33673700</v>
      </c>
      <c r="AD1357" s="154">
        <v>4268000</v>
      </c>
      <c r="AE1357" s="154">
        <v>4365000</v>
      </c>
      <c r="AF1357" s="154">
        <v>4402200</v>
      </c>
      <c r="AG1357" s="433" t="s">
        <v>699</v>
      </c>
      <c r="AH1357" s="433" t="s">
        <v>699</v>
      </c>
      <c r="AI1357" s="433" t="s">
        <v>699</v>
      </c>
      <c r="AJ1357" s="433" t="s">
        <v>699</v>
      </c>
      <c r="AK1357" s="433" t="s">
        <v>699</v>
      </c>
      <c r="AL1357" s="433" t="s">
        <v>699</v>
      </c>
      <c r="AM1357" s="433" t="s">
        <v>699</v>
      </c>
      <c r="AN1357" s="433" t="s">
        <v>699</v>
      </c>
      <c r="AO1357" s="433" t="s">
        <v>699</v>
      </c>
      <c r="AP1357" s="433" t="s">
        <v>699</v>
      </c>
      <c r="AQ1357" s="433" t="s">
        <v>699</v>
      </c>
      <c r="AR1357" s="433" t="s">
        <v>699</v>
      </c>
      <c r="AS1357" s="433" t="s">
        <v>699</v>
      </c>
      <c r="AT1357" s="433" t="s">
        <v>699</v>
      </c>
      <c r="AU1357" s="433" t="s">
        <v>699</v>
      </c>
      <c r="AV1357" s="154">
        <v>49565500</v>
      </c>
      <c r="AW1357" s="154">
        <v>52359900</v>
      </c>
      <c r="AX1357" s="154">
        <v>55216500</v>
      </c>
      <c r="AY1357" s="154">
        <v>6522700</v>
      </c>
      <c r="AZ1357" s="154">
        <v>6730300</v>
      </c>
      <c r="BA1357" s="154">
        <v>6820600</v>
      </c>
      <c r="BB1357" s="433" t="s">
        <v>699</v>
      </c>
      <c r="BC1357" s="433" t="s">
        <v>699</v>
      </c>
      <c r="BD1357" s="433" t="s">
        <v>699</v>
      </c>
      <c r="BE1357" s="433" t="s">
        <v>699</v>
      </c>
      <c r="BF1357" s="433" t="s">
        <v>699</v>
      </c>
      <c r="BG1357" s="433" t="s">
        <v>699</v>
      </c>
      <c r="BH1357" s="433" t="s">
        <v>699</v>
      </c>
      <c r="BI1357" s="433" t="s">
        <v>699</v>
      </c>
      <c r="BJ1357" s="433" t="s">
        <v>699</v>
      </c>
      <c r="BK1357" s="433" t="s">
        <v>699</v>
      </c>
      <c r="BL1357" s="433" t="s">
        <v>699</v>
      </c>
      <c r="BM1357" s="433" t="s">
        <v>699</v>
      </c>
      <c r="BN1357" s="433" t="s">
        <v>699</v>
      </c>
      <c r="BO1357" s="433" t="s">
        <v>699</v>
      </c>
      <c r="BP1357" s="433" t="s">
        <v>699</v>
      </c>
      <c r="BQ1357" s="154">
        <v>39973300</v>
      </c>
      <c r="BR1357" s="154">
        <v>42226600</v>
      </c>
      <c r="BS1357" s="154">
        <v>44530400</v>
      </c>
      <c r="BT1357" s="154">
        <v>4359400</v>
      </c>
      <c r="BU1357" s="154">
        <v>4534500</v>
      </c>
      <c r="BV1357" s="154">
        <v>4603100</v>
      </c>
      <c r="BW1357" s="433" t="s">
        <v>699</v>
      </c>
      <c r="BX1357" s="433" t="s">
        <v>699</v>
      </c>
      <c r="BY1357" s="433" t="s">
        <v>699</v>
      </c>
      <c r="BZ1357" s="433" t="s">
        <v>699</v>
      </c>
      <c r="CA1357" s="433" t="s">
        <v>699</v>
      </c>
      <c r="CB1357" s="433" t="s">
        <v>699</v>
      </c>
      <c r="CC1357" s="433" t="s">
        <v>699</v>
      </c>
      <c r="CD1357" s="433" t="s">
        <v>699</v>
      </c>
      <c r="CE1357" s="433" t="s">
        <v>699</v>
      </c>
      <c r="CF1357" s="433" t="s">
        <v>699</v>
      </c>
      <c r="CG1357" s="433" t="s">
        <v>699</v>
      </c>
      <c r="CH1357" s="433" t="s">
        <v>699</v>
      </c>
      <c r="CI1357" s="433" t="s">
        <v>699</v>
      </c>
      <c r="CJ1357" s="433" t="s">
        <v>699</v>
      </c>
      <c r="CK1357" s="433" t="s">
        <v>699</v>
      </c>
      <c r="CL1357" s="154">
        <v>30134000</v>
      </c>
      <c r="CM1357" s="154">
        <v>31833100</v>
      </c>
      <c r="CN1357" s="154">
        <v>33569700</v>
      </c>
      <c r="CO1357" s="154">
        <v>5774000</v>
      </c>
      <c r="CP1357" s="154">
        <v>5893800</v>
      </c>
      <c r="CQ1357" s="154">
        <v>5939500</v>
      </c>
      <c r="CR1357" s="433" t="s">
        <v>699</v>
      </c>
      <c r="CS1357" s="433" t="s">
        <v>699</v>
      </c>
      <c r="CT1357" s="433" t="s">
        <v>699</v>
      </c>
      <c r="CU1357" s="433" t="s">
        <v>699</v>
      </c>
      <c r="CV1357" s="433" t="s">
        <v>699</v>
      </c>
      <c r="CW1357" s="433" t="s">
        <v>699</v>
      </c>
      <c r="CX1357" s="433" t="s">
        <v>699</v>
      </c>
      <c r="CY1357" s="433" t="s">
        <v>699</v>
      </c>
      <c r="CZ1357" s="433" t="s">
        <v>699</v>
      </c>
      <c r="DA1357" s="433" t="s">
        <v>699</v>
      </c>
      <c r="DB1357" s="433" t="s">
        <v>699</v>
      </c>
      <c r="DC1357" s="433" t="s">
        <v>699</v>
      </c>
      <c r="DD1357" s="433" t="s">
        <v>699</v>
      </c>
      <c r="DE1357" s="433" t="s">
        <v>699</v>
      </c>
      <c r="DF1357" s="433" t="s">
        <v>699</v>
      </c>
      <c r="DG1357" s="154">
        <v>43381700</v>
      </c>
      <c r="DH1357" s="154">
        <v>45827600</v>
      </c>
      <c r="DI1357" s="154">
        <v>48327600</v>
      </c>
      <c r="DJ1357" s="154">
        <v>4343800</v>
      </c>
      <c r="DK1357" s="154">
        <v>4440400</v>
      </c>
      <c r="DL1357" s="154">
        <v>4481200</v>
      </c>
      <c r="DM1357" s="433" t="s">
        <v>699</v>
      </c>
      <c r="DN1357" s="433" t="s">
        <v>699</v>
      </c>
      <c r="DO1357" s="433" t="s">
        <v>699</v>
      </c>
      <c r="DP1357" s="433" t="s">
        <v>699</v>
      </c>
      <c r="DQ1357" s="433" t="s">
        <v>699</v>
      </c>
      <c r="DR1357" s="433" t="s">
        <v>699</v>
      </c>
      <c r="DS1357" s="433" t="s">
        <v>699</v>
      </c>
      <c r="DT1357" s="433" t="s">
        <v>699</v>
      </c>
      <c r="DU1357" s="433" t="s">
        <v>699</v>
      </c>
      <c r="DV1357" s="433" t="s">
        <v>699</v>
      </c>
      <c r="DW1357" s="433" t="s">
        <v>699</v>
      </c>
      <c r="DX1357" s="433" t="s">
        <v>699</v>
      </c>
      <c r="DY1357" s="433" t="s">
        <v>699</v>
      </c>
      <c r="DZ1357" s="433" t="s">
        <v>699</v>
      </c>
      <c r="EA1357" s="433" t="s">
        <v>699</v>
      </c>
      <c r="EB1357" s="154">
        <v>34361400</v>
      </c>
      <c r="EC1357" s="154">
        <v>36298700</v>
      </c>
      <c r="ED1357" s="154">
        <v>38279000</v>
      </c>
      <c r="EE1357" s="154">
        <v>6573000</v>
      </c>
      <c r="EF1357" s="154">
        <v>6523700</v>
      </c>
      <c r="EG1357" s="154">
        <v>6580900</v>
      </c>
      <c r="EH1357" s="433" t="s">
        <v>699</v>
      </c>
      <c r="EI1357" s="433" t="s">
        <v>699</v>
      </c>
      <c r="EJ1357" s="433" t="s">
        <v>699</v>
      </c>
      <c r="EK1357" s="433" t="s">
        <v>699</v>
      </c>
      <c r="EL1357" s="433" t="s">
        <v>699</v>
      </c>
      <c r="EM1357" s="433" t="s">
        <v>699</v>
      </c>
      <c r="EN1357" s="433" t="s">
        <v>699</v>
      </c>
      <c r="EO1357" s="433" t="s">
        <v>699</v>
      </c>
      <c r="EP1357" s="433" t="s">
        <v>699</v>
      </c>
      <c r="EQ1357" s="433" t="s">
        <v>699</v>
      </c>
      <c r="ER1357" s="433" t="s">
        <v>699</v>
      </c>
      <c r="ES1357" s="433" t="s">
        <v>699</v>
      </c>
      <c r="ET1357" s="433" t="s">
        <v>699</v>
      </c>
      <c r="EU1357" s="433" t="s">
        <v>699</v>
      </c>
      <c r="EV1357" s="433" t="s">
        <v>699</v>
      </c>
      <c r="EW1357" s="154">
        <v>30879200</v>
      </c>
      <c r="EX1357" s="154">
        <v>32620100</v>
      </c>
      <c r="EY1357" s="154">
        <v>34399700</v>
      </c>
      <c r="EZ1357" s="154">
        <v>4295200</v>
      </c>
      <c r="FA1357" s="154">
        <v>4452200</v>
      </c>
      <c r="FB1357" s="154">
        <v>4519900</v>
      </c>
      <c r="FC1357" s="433" t="s">
        <v>699</v>
      </c>
      <c r="FD1357" s="433" t="s">
        <v>699</v>
      </c>
      <c r="FE1357" s="433" t="s">
        <v>699</v>
      </c>
      <c r="FF1357" s="433" t="s">
        <v>699</v>
      </c>
      <c r="FG1357" s="433" t="s">
        <v>699</v>
      </c>
      <c r="FH1357" s="433" t="s">
        <v>699</v>
      </c>
      <c r="FI1357" s="433" t="s">
        <v>699</v>
      </c>
      <c r="FJ1357" s="433" t="s">
        <v>699</v>
      </c>
      <c r="FK1357" s="433" t="s">
        <v>699</v>
      </c>
      <c r="FL1357" s="433" t="s">
        <v>699</v>
      </c>
      <c r="FM1357" s="433" t="s">
        <v>699</v>
      </c>
      <c r="FN1357" s="433" t="s">
        <v>699</v>
      </c>
      <c r="FO1357" s="433" t="s">
        <v>699</v>
      </c>
      <c r="FP1357" s="433" t="s">
        <v>699</v>
      </c>
      <c r="FQ1357" s="433" t="s">
        <v>699</v>
      </c>
      <c r="FR1357" s="154">
        <v>36171900</v>
      </c>
      <c r="FS1357" s="154">
        <v>38211000</v>
      </c>
      <c r="FT1357" s="154">
        <v>40296000</v>
      </c>
      <c r="FU1357" s="154">
        <v>5659500</v>
      </c>
      <c r="FV1357" s="154">
        <v>5908700</v>
      </c>
      <c r="FW1357" s="154">
        <v>5882500</v>
      </c>
      <c r="FX1357" s="433" t="s">
        <v>699</v>
      </c>
      <c r="FY1357" s="433" t="s">
        <v>699</v>
      </c>
      <c r="FZ1357" s="433" t="s">
        <v>699</v>
      </c>
      <c r="GA1357" s="433" t="s">
        <v>699</v>
      </c>
      <c r="GB1357" s="433" t="s">
        <v>699</v>
      </c>
      <c r="GC1357" s="433" t="s">
        <v>699</v>
      </c>
      <c r="GD1357" s="433" t="s">
        <v>699</v>
      </c>
      <c r="GE1357" s="433" t="s">
        <v>699</v>
      </c>
      <c r="GF1357" s="433" t="s">
        <v>699</v>
      </c>
      <c r="GG1357" s="433" t="s">
        <v>699</v>
      </c>
      <c r="GH1357" s="433" t="s">
        <v>699</v>
      </c>
      <c r="GI1357" s="433" t="s">
        <v>699</v>
      </c>
      <c r="GJ1357" s="433" t="s">
        <v>699</v>
      </c>
      <c r="GK1357" s="433" t="s">
        <v>699</v>
      </c>
      <c r="GL1357" s="433" t="s">
        <v>699</v>
      </c>
      <c r="GM1357" s="154">
        <v>43884200</v>
      </c>
      <c r="GN1357" s="154">
        <v>46358200</v>
      </c>
      <c r="GO1357" s="154">
        <v>48887300</v>
      </c>
      <c r="GP1357" s="154">
        <v>6374700</v>
      </c>
      <c r="GQ1357" s="154">
        <v>6947900</v>
      </c>
      <c r="GR1357" s="154">
        <v>7329300</v>
      </c>
      <c r="GS1357" s="433" t="s">
        <v>699</v>
      </c>
      <c r="GT1357" s="433" t="s">
        <v>699</v>
      </c>
      <c r="GU1357" s="433" t="s">
        <v>699</v>
      </c>
      <c r="GV1357" s="433" t="s">
        <v>699</v>
      </c>
      <c r="GW1357" s="433" t="s">
        <v>699</v>
      </c>
      <c r="GX1357" s="433" t="s">
        <v>699</v>
      </c>
      <c r="GY1357" s="433" t="s">
        <v>699</v>
      </c>
      <c r="GZ1357" s="433" t="s">
        <v>699</v>
      </c>
      <c r="HA1357" s="433" t="s">
        <v>699</v>
      </c>
      <c r="HB1357" s="433" t="s">
        <v>699</v>
      </c>
      <c r="HC1357" s="433" t="s">
        <v>699</v>
      </c>
      <c r="HD1357" s="433" t="s">
        <v>699</v>
      </c>
      <c r="HE1357" s="433" t="s">
        <v>699</v>
      </c>
      <c r="HF1357" s="433" t="s">
        <v>699</v>
      </c>
      <c r="HG1357" s="433" t="s">
        <v>699</v>
      </c>
      <c r="HH1357" s="154">
        <v>38485800</v>
      </c>
      <c r="HI1357" s="154">
        <v>40655300</v>
      </c>
      <c r="HJ1357" s="154">
        <v>42873300</v>
      </c>
      <c r="HK1357" s="154">
        <v>6242000</v>
      </c>
      <c r="HL1357" s="154">
        <v>6414000</v>
      </c>
      <c r="HM1357" s="154">
        <v>6483600</v>
      </c>
      <c r="HN1357" s="433" t="s">
        <v>699</v>
      </c>
      <c r="HO1357" s="433" t="s">
        <v>699</v>
      </c>
      <c r="HP1357" s="433" t="s">
        <v>699</v>
      </c>
      <c r="HQ1357" s="433" t="s">
        <v>699</v>
      </c>
      <c r="HR1357" s="433" t="s">
        <v>699</v>
      </c>
      <c r="HS1357" s="433" t="s">
        <v>699</v>
      </c>
      <c r="HT1357" s="433" t="s">
        <v>699</v>
      </c>
      <c r="HU1357" s="433" t="s">
        <v>699</v>
      </c>
      <c r="HV1357" s="433" t="s">
        <v>699</v>
      </c>
      <c r="HW1357" s="433" t="s">
        <v>699</v>
      </c>
      <c r="HX1357" s="433" t="s">
        <v>699</v>
      </c>
      <c r="HY1357" s="433" t="s">
        <v>699</v>
      </c>
      <c r="HZ1357" s="433" t="s">
        <v>699</v>
      </c>
      <c r="IA1357" s="433" t="s">
        <v>699</v>
      </c>
      <c r="IB1357" s="433" t="s">
        <v>699</v>
      </c>
      <c r="IC1357" s="154">
        <v>38990100</v>
      </c>
      <c r="ID1357" s="154">
        <v>41188400</v>
      </c>
      <c r="IE1357" s="154">
        <v>43435200</v>
      </c>
      <c r="IF1357" s="154">
        <v>5519600</v>
      </c>
      <c r="IG1357" s="154">
        <v>5692700</v>
      </c>
      <c r="IH1357" s="154">
        <v>5685300</v>
      </c>
      <c r="II1357" s="433" t="s">
        <v>699</v>
      </c>
      <c r="IJ1357" s="433" t="s">
        <v>699</v>
      </c>
      <c r="IK1357" s="433" t="s">
        <v>699</v>
      </c>
      <c r="IL1357" s="433" t="s">
        <v>699</v>
      </c>
      <c r="IM1357" s="433" t="s">
        <v>699</v>
      </c>
      <c r="IN1357" s="433" t="s">
        <v>699</v>
      </c>
      <c r="IO1357" s="433" t="s">
        <v>699</v>
      </c>
      <c r="IP1357" s="433" t="s">
        <v>699</v>
      </c>
      <c r="IQ1357" s="433" t="s">
        <v>699</v>
      </c>
      <c r="IR1357" s="433" t="s">
        <v>699</v>
      </c>
      <c r="IS1357" s="433" t="s">
        <v>699</v>
      </c>
      <c r="IT1357" s="433" t="s">
        <v>699</v>
      </c>
      <c r="IU1357" s="433" t="s">
        <v>699</v>
      </c>
      <c r="IV1357" s="433" t="s">
        <v>699</v>
      </c>
      <c r="IW1357" s="433" t="s">
        <v>699</v>
      </c>
      <c r="IX1357" s="154">
        <v>25431200</v>
      </c>
      <c r="IY1357" s="154">
        <v>26864800</v>
      </c>
      <c r="IZ1357" s="154">
        <v>28330500</v>
      </c>
      <c r="JA1357" s="154">
        <v>3652300</v>
      </c>
      <c r="JB1357" s="154">
        <v>3791000</v>
      </c>
      <c r="JC1357" s="154">
        <v>3774500</v>
      </c>
      <c r="JD1357" s="433" t="s">
        <v>699</v>
      </c>
      <c r="JE1357" s="433" t="s">
        <v>699</v>
      </c>
      <c r="JF1357" s="433" t="s">
        <v>699</v>
      </c>
      <c r="JG1357" s="433" t="s">
        <v>699</v>
      </c>
      <c r="JH1357" s="433" t="s">
        <v>699</v>
      </c>
      <c r="JI1357" s="433" t="s">
        <v>699</v>
      </c>
      <c r="JJ1357" s="433" t="s">
        <v>699</v>
      </c>
      <c r="JK1357" s="433" t="s">
        <v>699</v>
      </c>
      <c r="JL1357" s="433" t="s">
        <v>699</v>
      </c>
      <c r="JM1357" s="433" t="s">
        <v>699</v>
      </c>
      <c r="JN1357" s="433" t="s">
        <v>699</v>
      </c>
      <c r="JO1357" s="433" t="s">
        <v>699</v>
      </c>
      <c r="JP1357" s="433" t="s">
        <v>699</v>
      </c>
      <c r="JQ1357" s="433" t="s">
        <v>699</v>
      </c>
      <c r="JR1357" s="433" t="s">
        <v>699</v>
      </c>
      <c r="JS1357" s="154">
        <v>39852300</v>
      </c>
      <c r="JT1357" s="154">
        <v>42098900</v>
      </c>
      <c r="JU1357" s="154">
        <v>44395600</v>
      </c>
      <c r="JV1357" s="154">
        <v>5169500</v>
      </c>
      <c r="JW1357" s="154">
        <v>5401000</v>
      </c>
      <c r="JX1357" s="154">
        <v>5469700</v>
      </c>
      <c r="JY1357" s="433" t="s">
        <v>699</v>
      </c>
      <c r="JZ1357" s="433" t="s">
        <v>699</v>
      </c>
      <c r="KA1357" s="433" t="s">
        <v>699</v>
      </c>
      <c r="KB1357" s="433" t="s">
        <v>699</v>
      </c>
      <c r="KC1357" s="433" t="s">
        <v>699</v>
      </c>
      <c r="KD1357" s="433" t="s">
        <v>699</v>
      </c>
      <c r="KE1357" s="433" t="s">
        <v>699</v>
      </c>
      <c r="KF1357" s="433" t="s">
        <v>699</v>
      </c>
      <c r="KG1357" s="433" t="s">
        <v>699</v>
      </c>
      <c r="KH1357" s="433" t="s">
        <v>699</v>
      </c>
      <c r="KI1357" s="433" t="s">
        <v>699</v>
      </c>
      <c r="KJ1357" s="433" t="s">
        <v>699</v>
      </c>
      <c r="KK1357" s="433" t="s">
        <v>699</v>
      </c>
      <c r="KL1357" s="433" t="s">
        <v>699</v>
      </c>
      <c r="KM1357" s="433" t="s">
        <v>699</v>
      </c>
      <c r="KN1357" s="154">
        <v>44531300</v>
      </c>
      <c r="KO1357" s="154">
        <v>47041800</v>
      </c>
      <c r="KP1357" s="154">
        <v>49608200</v>
      </c>
      <c r="KQ1357" s="154">
        <v>5425000</v>
      </c>
      <c r="KR1357" s="154">
        <v>5608100</v>
      </c>
      <c r="KS1357" s="154">
        <v>5646100</v>
      </c>
      <c r="KT1357" s="433" t="s">
        <v>699</v>
      </c>
      <c r="KU1357" s="433" t="s">
        <v>699</v>
      </c>
      <c r="KV1357" s="433" t="s">
        <v>699</v>
      </c>
      <c r="KW1357" s="433" t="s">
        <v>699</v>
      </c>
      <c r="KX1357" s="433" t="s">
        <v>699</v>
      </c>
      <c r="KY1357" s="433" t="s">
        <v>699</v>
      </c>
      <c r="KZ1357" s="433" t="s">
        <v>699</v>
      </c>
      <c r="LA1357" s="433" t="s">
        <v>699</v>
      </c>
      <c r="LB1357" s="433" t="s">
        <v>699</v>
      </c>
      <c r="LC1357" s="433" t="s">
        <v>699</v>
      </c>
      <c r="LD1357" s="433" t="s">
        <v>699</v>
      </c>
      <c r="LE1357" s="433" t="s">
        <v>699</v>
      </c>
      <c r="LF1357" s="433" t="s">
        <v>699</v>
      </c>
      <c r="LG1357" s="433" t="s">
        <v>699</v>
      </c>
      <c r="LH1357" s="433" t="s">
        <v>699</v>
      </c>
      <c r="LI1357" s="154">
        <v>39972600</v>
      </c>
      <c r="LJ1357" s="154">
        <v>42226100</v>
      </c>
      <c r="LK1357" s="154">
        <v>44530000</v>
      </c>
      <c r="LL1357" s="154">
        <v>7069900</v>
      </c>
      <c r="LM1357" s="154">
        <v>7396000</v>
      </c>
      <c r="LN1357" s="154">
        <v>7504800</v>
      </c>
      <c r="LO1357" s="433" t="s">
        <v>699</v>
      </c>
      <c r="LP1357" s="433" t="s">
        <v>699</v>
      </c>
      <c r="LQ1357" s="433" t="s">
        <v>699</v>
      </c>
      <c r="LR1357" s="433" t="s">
        <v>699</v>
      </c>
      <c r="LS1357" s="433" t="s">
        <v>699</v>
      </c>
      <c r="LT1357" s="433" t="s">
        <v>699</v>
      </c>
      <c r="LU1357" s="433" t="s">
        <v>699</v>
      </c>
      <c r="LV1357" s="433" t="s">
        <v>699</v>
      </c>
      <c r="LW1357" s="433" t="s">
        <v>699</v>
      </c>
      <c r="LX1357" s="433" t="s">
        <v>699</v>
      </c>
      <c r="LY1357" s="433" t="s">
        <v>699</v>
      </c>
      <c r="LZ1357" s="433" t="s">
        <v>699</v>
      </c>
      <c r="MA1357" s="433" t="s">
        <v>699</v>
      </c>
      <c r="MB1357" s="433" t="s">
        <v>699</v>
      </c>
      <c r="MC1357" s="433" t="s">
        <v>699</v>
      </c>
      <c r="MD1357" s="154">
        <v>42440100</v>
      </c>
      <c r="ME1357" s="154">
        <v>44832900</v>
      </c>
      <c r="MF1357" s="154">
        <v>47278900</v>
      </c>
      <c r="MG1357" s="154">
        <v>6612000</v>
      </c>
      <c r="MH1357" s="154">
        <v>6827000</v>
      </c>
      <c r="MI1357" s="154">
        <v>6883200</v>
      </c>
      <c r="MJ1357" s="433" t="s">
        <v>699</v>
      </c>
      <c r="MK1357" s="433" t="s">
        <v>699</v>
      </c>
      <c r="ML1357" s="433" t="s">
        <v>699</v>
      </c>
      <c r="MM1357" s="433" t="s">
        <v>699</v>
      </c>
      <c r="MN1357" s="433" t="s">
        <v>699</v>
      </c>
      <c r="MO1357" s="433" t="s">
        <v>699</v>
      </c>
      <c r="MP1357" s="433" t="s">
        <v>699</v>
      </c>
      <c r="MQ1357" s="433" t="s">
        <v>699</v>
      </c>
      <c r="MR1357" s="433" t="s">
        <v>699</v>
      </c>
      <c r="MS1357" s="433" t="s">
        <v>699</v>
      </c>
      <c r="MT1357" s="433" t="s">
        <v>699</v>
      </c>
      <c r="MU1357" s="433" t="s">
        <v>699</v>
      </c>
      <c r="MV1357" s="433" t="s">
        <v>699</v>
      </c>
      <c r="MW1357" s="433" t="s">
        <v>699</v>
      </c>
      <c r="MX1357" s="433" t="s">
        <v>699</v>
      </c>
      <c r="MY1357" s="154">
        <v>43312400</v>
      </c>
      <c r="MZ1357" s="154">
        <v>45754500</v>
      </c>
      <c r="NA1357" s="154">
        <v>48250700</v>
      </c>
      <c r="NB1357" s="154">
        <v>6177600</v>
      </c>
      <c r="NC1357" s="154">
        <v>6330900</v>
      </c>
      <c r="ND1357" s="154">
        <v>6434900</v>
      </c>
      <c r="NE1357" s="433" t="s">
        <v>699</v>
      </c>
      <c r="NF1357" s="433" t="s">
        <v>699</v>
      </c>
      <c r="NG1357" s="433" t="s">
        <v>699</v>
      </c>
      <c r="NH1357" s="433" t="s">
        <v>699</v>
      </c>
      <c r="NI1357" s="433" t="s">
        <v>699</v>
      </c>
      <c r="NJ1357" s="433" t="s">
        <v>699</v>
      </c>
      <c r="NK1357" s="433" t="s">
        <v>699</v>
      </c>
      <c r="NL1357" s="433" t="s">
        <v>699</v>
      </c>
      <c r="NM1357" s="433" t="s">
        <v>699</v>
      </c>
      <c r="NN1357" s="433" t="s">
        <v>699</v>
      </c>
      <c r="NO1357" s="433" t="s">
        <v>699</v>
      </c>
      <c r="NP1357" s="433" t="s">
        <v>699</v>
      </c>
      <c r="NQ1357" s="433" t="s">
        <v>699</v>
      </c>
      <c r="NR1357" s="433" t="s">
        <v>699</v>
      </c>
      <c r="NS1357" s="433" t="s">
        <v>699</v>
      </c>
      <c r="NT1357" s="154">
        <v>36850700</v>
      </c>
      <c r="NU1357" s="154">
        <v>38928200</v>
      </c>
      <c r="NV1357" s="154">
        <v>41052000</v>
      </c>
      <c r="NW1357" s="154">
        <v>7664400</v>
      </c>
      <c r="NX1357" s="154">
        <v>8044300</v>
      </c>
      <c r="NY1357" s="154">
        <v>7958000</v>
      </c>
      <c r="NZ1357" s="433" t="s">
        <v>699</v>
      </c>
      <c r="OA1357" s="433" t="s">
        <v>699</v>
      </c>
      <c r="OB1357" s="433" t="s">
        <v>699</v>
      </c>
      <c r="OC1357" s="433" t="s">
        <v>699</v>
      </c>
      <c r="OD1357" s="433" t="s">
        <v>699</v>
      </c>
      <c r="OE1357" s="433" t="s">
        <v>699</v>
      </c>
      <c r="OF1357" s="433" t="s">
        <v>699</v>
      </c>
      <c r="OG1357" s="433" t="s">
        <v>699</v>
      </c>
      <c r="OH1357" s="433" t="s">
        <v>699</v>
      </c>
      <c r="OI1357" s="433" t="s">
        <v>699</v>
      </c>
      <c r="OJ1357" s="433" t="s">
        <v>699</v>
      </c>
      <c r="OK1357" s="433" t="s">
        <v>699</v>
      </c>
      <c r="OL1357" s="433" t="s">
        <v>699</v>
      </c>
      <c r="OM1357" s="433" t="s">
        <v>699</v>
      </c>
      <c r="ON1357" s="433" t="s">
        <v>699</v>
      </c>
      <c r="OO1357" s="154">
        <v>35381300</v>
      </c>
      <c r="OP1357" s="154">
        <v>37375900</v>
      </c>
      <c r="OQ1357" s="154">
        <v>39415300</v>
      </c>
      <c r="OR1357" s="154">
        <v>4997400</v>
      </c>
      <c r="OS1357" s="154">
        <v>5238200</v>
      </c>
      <c r="OT1357" s="154">
        <v>5278500</v>
      </c>
      <c r="OU1357" s="433" t="s">
        <v>699</v>
      </c>
      <c r="OV1357" s="433" t="s">
        <v>699</v>
      </c>
      <c r="OW1357" s="433" t="s">
        <v>699</v>
      </c>
      <c r="OX1357" s="433" t="s">
        <v>699</v>
      </c>
      <c r="OY1357" s="433" t="s">
        <v>699</v>
      </c>
      <c r="OZ1357" s="433" t="s">
        <v>699</v>
      </c>
      <c r="PA1357" s="433" t="s">
        <v>699</v>
      </c>
      <c r="PB1357" s="433" t="s">
        <v>699</v>
      </c>
      <c r="PC1357" s="433" t="s">
        <v>699</v>
      </c>
      <c r="PD1357" s="433" t="s">
        <v>699</v>
      </c>
      <c r="PE1357" s="433" t="s">
        <v>699</v>
      </c>
      <c r="PF1357" s="433" t="s">
        <v>699</v>
      </c>
      <c r="PG1357" s="433" t="s">
        <v>699</v>
      </c>
      <c r="PH1357" s="433" t="s">
        <v>699</v>
      </c>
      <c r="PI1357" s="433" t="s">
        <v>699</v>
      </c>
      <c r="PJ1357" s="154">
        <v>42163500</v>
      </c>
      <c r="PK1357" s="154">
        <v>44540200</v>
      </c>
      <c r="PL1357" s="154">
        <v>46970500</v>
      </c>
      <c r="PM1357" s="154">
        <v>6977200</v>
      </c>
      <c r="PN1357" s="154">
        <v>7185400</v>
      </c>
      <c r="PO1357" s="154">
        <v>7301200</v>
      </c>
      <c r="PP1357" s="433" t="s">
        <v>699</v>
      </c>
      <c r="PQ1357" s="433" t="s">
        <v>699</v>
      </c>
      <c r="PR1357" s="433" t="s">
        <v>699</v>
      </c>
      <c r="PS1357" s="433" t="s">
        <v>699</v>
      </c>
      <c r="PT1357" s="433" t="s">
        <v>699</v>
      </c>
      <c r="PU1357" s="433" t="s">
        <v>699</v>
      </c>
      <c r="PV1357" s="433" t="s">
        <v>699</v>
      </c>
      <c r="PW1357" s="433" t="s">
        <v>699</v>
      </c>
      <c r="PX1357" s="433" t="s">
        <v>699</v>
      </c>
      <c r="PY1357" s="433" t="s">
        <v>699</v>
      </c>
      <c r="PZ1357" s="433" t="s">
        <v>699</v>
      </c>
      <c r="QA1357" s="433" t="s">
        <v>699</v>
      </c>
      <c r="QB1357" s="433" t="s">
        <v>699</v>
      </c>
      <c r="QC1357" s="433" t="s">
        <v>699</v>
      </c>
      <c r="QD1357" s="433" t="s">
        <v>699</v>
      </c>
      <c r="QE1357" s="154">
        <v>68498700</v>
      </c>
      <c r="QF1357" s="154">
        <v>72360300</v>
      </c>
      <c r="QG1357" s="154">
        <v>76308100</v>
      </c>
      <c r="QH1357" s="154">
        <v>12124700</v>
      </c>
      <c r="QI1357" s="154">
        <v>12803100</v>
      </c>
      <c r="QJ1357" s="154">
        <v>12937400</v>
      </c>
      <c r="QK1357" s="433" t="s">
        <v>699</v>
      </c>
      <c r="QL1357" s="433" t="s">
        <v>699</v>
      </c>
      <c r="QM1357" s="433" t="s">
        <v>699</v>
      </c>
      <c r="QN1357" s="433" t="s">
        <v>699</v>
      </c>
      <c r="QO1357" s="433" t="s">
        <v>699</v>
      </c>
      <c r="QP1357" s="433" t="s">
        <v>699</v>
      </c>
      <c r="QQ1357" s="433" t="s">
        <v>699</v>
      </c>
      <c r="QR1357" s="433" t="s">
        <v>699</v>
      </c>
      <c r="QS1357" s="433" t="s">
        <v>699</v>
      </c>
      <c r="QT1357" s="433" t="s">
        <v>699</v>
      </c>
      <c r="QU1357" s="433" t="s">
        <v>699</v>
      </c>
      <c r="QV1357" s="433" t="s">
        <v>699</v>
      </c>
      <c r="QW1357" s="433" t="s">
        <v>699</v>
      </c>
      <c r="QX1357" s="433" t="s">
        <v>699</v>
      </c>
      <c r="QY1357" s="433" t="s">
        <v>699</v>
      </c>
      <c r="QZ1357" s="154">
        <v>52179800</v>
      </c>
      <c r="RA1357" s="154">
        <v>55121600</v>
      </c>
      <c r="RB1357" s="154">
        <v>58128800</v>
      </c>
      <c r="RC1357" s="154">
        <v>8236800</v>
      </c>
      <c r="RD1357" s="154">
        <v>8521100</v>
      </c>
      <c r="RE1357" s="154">
        <v>8624100</v>
      </c>
      <c r="RF1357" s="433" t="s">
        <v>699</v>
      </c>
      <c r="RG1357" s="433" t="s">
        <v>699</v>
      </c>
      <c r="RH1357" s="433" t="s">
        <v>699</v>
      </c>
      <c r="RI1357" s="433" t="s">
        <v>699</v>
      </c>
      <c r="RJ1357" s="433" t="s">
        <v>699</v>
      </c>
      <c r="RK1357" s="433" t="s">
        <v>699</v>
      </c>
      <c r="RL1357" s="433" t="s">
        <v>699</v>
      </c>
      <c r="RM1357" s="433" t="s">
        <v>699</v>
      </c>
      <c r="RN1357" s="433" t="s">
        <v>699</v>
      </c>
      <c r="RO1357" s="433" t="s">
        <v>699</v>
      </c>
      <c r="RP1357" s="433" t="s">
        <v>699</v>
      </c>
      <c r="RQ1357" s="433" t="s">
        <v>699</v>
      </c>
      <c r="RR1357" s="433" t="s">
        <v>699</v>
      </c>
      <c r="RS1357" s="433" t="s">
        <v>699</v>
      </c>
      <c r="RT1357" s="433" t="s">
        <v>699</v>
      </c>
      <c r="RU1357" s="154">
        <v>36882800</v>
      </c>
      <c r="RV1357" s="154">
        <v>38962100</v>
      </c>
      <c r="RW1357" s="154">
        <v>41087800</v>
      </c>
      <c r="RX1357" s="154">
        <v>5745500</v>
      </c>
      <c r="RY1357" s="154">
        <v>5916800</v>
      </c>
      <c r="RZ1357" s="154">
        <v>6009700</v>
      </c>
      <c r="SA1357" s="433" t="s">
        <v>699</v>
      </c>
      <c r="SB1357" s="433" t="s">
        <v>699</v>
      </c>
      <c r="SC1357" s="433" t="s">
        <v>699</v>
      </c>
      <c r="SD1357" s="433" t="s">
        <v>699</v>
      </c>
      <c r="SE1357" s="433" t="s">
        <v>699</v>
      </c>
      <c r="SF1357" s="433" t="s">
        <v>699</v>
      </c>
      <c r="SG1357" s="433" t="s">
        <v>699</v>
      </c>
      <c r="SH1357" s="433" t="s">
        <v>699</v>
      </c>
      <c r="SI1357" s="433" t="s">
        <v>699</v>
      </c>
      <c r="SJ1357" s="433" t="s">
        <v>699</v>
      </c>
      <c r="SK1357" s="433" t="s">
        <v>699</v>
      </c>
      <c r="SL1357" s="433" t="s">
        <v>699</v>
      </c>
      <c r="SM1357" s="433" t="s">
        <v>699</v>
      </c>
      <c r="SN1357" s="433" t="s">
        <v>699</v>
      </c>
      <c r="SO1357" s="433" t="s">
        <v>699</v>
      </c>
      <c r="SP1357" s="154">
        <v>31678400</v>
      </c>
      <c r="SQ1357" s="154">
        <v>33464300</v>
      </c>
      <c r="SR1357" s="154">
        <v>35290100</v>
      </c>
      <c r="SS1357" s="154">
        <v>6430200</v>
      </c>
      <c r="ST1357" s="154">
        <v>6688500</v>
      </c>
      <c r="SU1357" s="154">
        <v>6778800</v>
      </c>
      <c r="SV1357" s="433" t="s">
        <v>699</v>
      </c>
      <c r="SW1357" s="433" t="s">
        <v>699</v>
      </c>
      <c r="SX1357" s="433" t="s">
        <v>699</v>
      </c>
      <c r="SY1357" s="433" t="s">
        <v>699</v>
      </c>
      <c r="SZ1357" s="433" t="s">
        <v>699</v>
      </c>
      <c r="TA1357" s="433" t="s">
        <v>699</v>
      </c>
      <c r="TB1357" s="433" t="s">
        <v>699</v>
      </c>
      <c r="TC1357" s="433" t="s">
        <v>699</v>
      </c>
      <c r="TD1357" s="433" t="s">
        <v>699</v>
      </c>
      <c r="TE1357" s="433" t="s">
        <v>699</v>
      </c>
      <c r="TF1357" s="433" t="s">
        <v>699</v>
      </c>
      <c r="TG1357" s="433" t="s">
        <v>699</v>
      </c>
      <c r="TH1357" s="433" t="s">
        <v>699</v>
      </c>
      <c r="TI1357" s="433" t="s">
        <v>699</v>
      </c>
      <c r="TJ1357" s="433" t="s">
        <v>699</v>
      </c>
      <c r="TK1357" s="154">
        <v>55536700</v>
      </c>
      <c r="TL1357" s="154">
        <v>58667600</v>
      </c>
      <c r="TM1357" s="154">
        <v>61868400</v>
      </c>
      <c r="TN1357" s="154">
        <v>11974100</v>
      </c>
      <c r="TO1357" s="154">
        <v>12334300</v>
      </c>
      <c r="TP1357" s="154">
        <v>12423100</v>
      </c>
      <c r="TQ1357" s="433" t="s">
        <v>699</v>
      </c>
      <c r="TR1357" s="433" t="s">
        <v>699</v>
      </c>
      <c r="TS1357" s="433" t="s">
        <v>699</v>
      </c>
      <c r="TT1357" s="433" t="s">
        <v>699</v>
      </c>
      <c r="TU1357" s="433" t="s">
        <v>699</v>
      </c>
      <c r="TV1357" s="433" t="s">
        <v>699</v>
      </c>
      <c r="TW1357" s="433" t="s">
        <v>699</v>
      </c>
      <c r="TX1357" s="433" t="s">
        <v>699</v>
      </c>
      <c r="TY1357" s="433" t="s">
        <v>699</v>
      </c>
      <c r="TZ1357" s="433" t="s">
        <v>699</v>
      </c>
      <c r="UA1357" s="433" t="s">
        <v>699</v>
      </c>
      <c r="UB1357" s="433" t="s">
        <v>699</v>
      </c>
      <c r="UC1357" s="433" t="s">
        <v>699</v>
      </c>
      <c r="UD1357" s="433" t="s">
        <v>699</v>
      </c>
      <c r="UE1357" s="433" t="s">
        <v>699</v>
      </c>
      <c r="UF1357" s="154">
        <v>37004900</v>
      </c>
      <c r="UG1357" s="154">
        <v>39090900</v>
      </c>
      <c r="UH1357" s="154">
        <v>41223700</v>
      </c>
      <c r="UI1357" s="154">
        <v>6384200</v>
      </c>
      <c r="UJ1357" s="154">
        <v>6716800</v>
      </c>
      <c r="UK1357" s="154">
        <v>6795700</v>
      </c>
      <c r="UL1357" s="433" t="s">
        <v>699</v>
      </c>
      <c r="UM1357" s="433" t="s">
        <v>699</v>
      </c>
      <c r="UN1357" s="433" t="s">
        <v>699</v>
      </c>
      <c r="UO1357" s="433" t="s">
        <v>699</v>
      </c>
      <c r="UP1357" s="433" t="s">
        <v>699</v>
      </c>
      <c r="UQ1357" s="433" t="s">
        <v>699</v>
      </c>
      <c r="UR1357" s="433" t="s">
        <v>699</v>
      </c>
      <c r="US1357" s="433" t="s">
        <v>699</v>
      </c>
      <c r="UT1357" s="433" t="s">
        <v>699</v>
      </c>
      <c r="UU1357" s="433" t="s">
        <v>699</v>
      </c>
      <c r="UV1357" s="433" t="s">
        <v>699</v>
      </c>
      <c r="UW1357" s="433" t="s">
        <v>699</v>
      </c>
      <c r="UX1357" s="433" t="s">
        <v>699</v>
      </c>
      <c r="UY1357" s="433" t="s">
        <v>699</v>
      </c>
      <c r="UZ1357" s="433" t="s">
        <v>699</v>
      </c>
      <c r="VA1357" s="154">
        <v>56946100</v>
      </c>
      <c r="VB1357" s="154">
        <v>60156400</v>
      </c>
      <c r="VC1357" s="154">
        <v>63438400</v>
      </c>
      <c r="VD1357" s="154">
        <v>8849600</v>
      </c>
      <c r="VE1357" s="154">
        <v>9273100</v>
      </c>
      <c r="VF1357" s="154">
        <v>9408200</v>
      </c>
      <c r="VG1357" s="433" t="s">
        <v>699</v>
      </c>
      <c r="VH1357" s="433" t="s">
        <v>699</v>
      </c>
      <c r="VI1357" s="433" t="s">
        <v>699</v>
      </c>
      <c r="VJ1357" s="433" t="s">
        <v>699</v>
      </c>
      <c r="VK1357" s="433" t="s">
        <v>699</v>
      </c>
      <c r="VL1357" s="433" t="s">
        <v>699</v>
      </c>
      <c r="VM1357" s="433" t="s">
        <v>699</v>
      </c>
      <c r="VN1357" s="433" t="s">
        <v>699</v>
      </c>
      <c r="VO1357" s="433" t="s">
        <v>699</v>
      </c>
      <c r="VP1357" s="433" t="s">
        <v>699</v>
      </c>
      <c r="VQ1357" s="433" t="s">
        <v>699</v>
      </c>
      <c r="VR1357" s="433" t="s">
        <v>699</v>
      </c>
      <c r="VS1357" s="433" t="s">
        <v>699</v>
      </c>
      <c r="VT1357" s="433" t="s">
        <v>699</v>
      </c>
      <c r="VU1357" s="433" t="s">
        <v>699</v>
      </c>
      <c r="VV1357" s="154">
        <v>57528500</v>
      </c>
      <c r="VW1357" s="154">
        <v>60771500</v>
      </c>
      <c r="VX1357" s="154">
        <v>64087200</v>
      </c>
      <c r="VY1357" s="154">
        <v>8704000</v>
      </c>
      <c r="VZ1357" s="154">
        <v>9012300</v>
      </c>
      <c r="WA1357" s="154">
        <v>9147900</v>
      </c>
      <c r="WB1357" s="433" t="s">
        <v>699</v>
      </c>
      <c r="WC1357" s="433" t="s">
        <v>699</v>
      </c>
      <c r="WD1357" s="433" t="s">
        <v>699</v>
      </c>
      <c r="WE1357" s="433" t="s">
        <v>699</v>
      </c>
      <c r="WF1357" s="433" t="s">
        <v>699</v>
      </c>
      <c r="WG1357" s="433" t="s">
        <v>699</v>
      </c>
      <c r="WH1357" s="433" t="s">
        <v>699</v>
      </c>
      <c r="WI1357" s="433" t="s">
        <v>699</v>
      </c>
      <c r="WJ1357" s="433" t="s">
        <v>699</v>
      </c>
      <c r="WK1357" s="433" t="s">
        <v>699</v>
      </c>
      <c r="WL1357" s="433" t="s">
        <v>699</v>
      </c>
      <c r="WM1357" s="433" t="s">
        <v>699</v>
      </c>
      <c r="WN1357" s="433" t="s">
        <v>699</v>
      </c>
      <c r="WO1357" s="433" t="s">
        <v>699</v>
      </c>
      <c r="WP1357" s="433" t="s">
        <v>699</v>
      </c>
      <c r="WQ1357" s="154">
        <v>46334700</v>
      </c>
      <c r="WR1357" s="154">
        <v>48947000</v>
      </c>
      <c r="WS1357" s="154">
        <v>51617200</v>
      </c>
      <c r="WT1357" s="154">
        <v>8128200</v>
      </c>
      <c r="WU1357" s="154">
        <v>8576100</v>
      </c>
      <c r="WV1357" s="154">
        <v>8714800</v>
      </c>
      <c r="WW1357" s="433" t="s">
        <v>699</v>
      </c>
      <c r="WX1357" s="433" t="s">
        <v>699</v>
      </c>
      <c r="WY1357" s="433" t="s">
        <v>699</v>
      </c>
      <c r="WZ1357" s="433" t="s">
        <v>699</v>
      </c>
      <c r="XA1357" s="433" t="s">
        <v>699</v>
      </c>
      <c r="XB1357" s="433" t="s">
        <v>699</v>
      </c>
      <c r="XC1357" s="433" t="s">
        <v>699</v>
      </c>
      <c r="XD1357" s="433" t="s">
        <v>699</v>
      </c>
      <c r="XE1357" s="433" t="s">
        <v>699</v>
      </c>
      <c r="XF1357" s="433" t="s">
        <v>699</v>
      </c>
      <c r="XG1357" s="433" t="s">
        <v>699</v>
      </c>
      <c r="XH1357" s="433" t="s">
        <v>699</v>
      </c>
      <c r="XI1357" s="433" t="s">
        <v>699</v>
      </c>
      <c r="XJ1357" s="433" t="s">
        <v>699</v>
      </c>
      <c r="XK1357" s="433" t="s">
        <v>699</v>
      </c>
      <c r="XL1357" s="154">
        <v>53502300</v>
      </c>
      <c r="XM1357" s="154">
        <v>56518600</v>
      </c>
      <c r="XN1357" s="154">
        <v>59602100</v>
      </c>
      <c r="XO1357" s="154">
        <v>10004900</v>
      </c>
      <c r="XP1357" s="154">
        <v>10441600</v>
      </c>
      <c r="XQ1357" s="154">
        <v>10549300</v>
      </c>
      <c r="XR1357" s="433" t="s">
        <v>699</v>
      </c>
      <c r="XS1357" s="433" t="s">
        <v>699</v>
      </c>
      <c r="XT1357" s="433" t="s">
        <v>699</v>
      </c>
      <c r="XU1357" s="433" t="s">
        <v>699</v>
      </c>
      <c r="XV1357" s="433" t="s">
        <v>699</v>
      </c>
      <c r="XW1357" s="433" t="s">
        <v>699</v>
      </c>
      <c r="XX1357" s="433" t="s">
        <v>699</v>
      </c>
      <c r="XY1357" s="433" t="s">
        <v>699</v>
      </c>
      <c r="XZ1357" s="433" t="s">
        <v>699</v>
      </c>
      <c r="YA1357" s="433" t="s">
        <v>699</v>
      </c>
      <c r="YB1357" s="433" t="s">
        <v>699</v>
      </c>
      <c r="YC1357" s="433" t="s">
        <v>699</v>
      </c>
      <c r="YD1357" s="433" t="s">
        <v>699</v>
      </c>
      <c r="YE1357" s="433" t="s">
        <v>699</v>
      </c>
      <c r="YF1357" s="433" t="s">
        <v>699</v>
      </c>
      <c r="YG1357" s="154">
        <v>45901900</v>
      </c>
      <c r="YH1357" s="154">
        <v>48489100</v>
      </c>
      <c r="YI1357" s="154">
        <v>51135500</v>
      </c>
      <c r="YJ1357" s="154">
        <v>43902400</v>
      </c>
      <c r="YK1357" s="154">
        <v>48037100</v>
      </c>
      <c r="YL1357" s="154">
        <v>48535400</v>
      </c>
      <c r="YM1357" s="433" t="s">
        <v>699</v>
      </c>
      <c r="YN1357" s="433" t="s">
        <v>699</v>
      </c>
      <c r="YO1357" s="433" t="s">
        <v>699</v>
      </c>
      <c r="YP1357" s="433" t="s">
        <v>699</v>
      </c>
      <c r="YQ1357" s="433" t="s">
        <v>699</v>
      </c>
      <c r="YR1357" s="433" t="s">
        <v>699</v>
      </c>
      <c r="YS1357" s="433" t="s">
        <v>699</v>
      </c>
      <c r="YT1357" s="433" t="s">
        <v>699</v>
      </c>
      <c r="YU1357" s="433" t="s">
        <v>699</v>
      </c>
      <c r="YV1357" s="433" t="s">
        <v>699</v>
      </c>
      <c r="YW1357" s="433" t="s">
        <v>699</v>
      </c>
      <c r="YX1357" s="433" t="s">
        <v>699</v>
      </c>
      <c r="YY1357" s="433" t="s">
        <v>699</v>
      </c>
      <c r="YZ1357" s="433" t="s">
        <v>699</v>
      </c>
      <c r="ZA1357" s="433" t="s">
        <v>699</v>
      </c>
      <c r="ZB1357" s="191">
        <f t="shared" si="3029"/>
        <v>1307984800</v>
      </c>
      <c r="ZC1357" s="191">
        <f t="shared" si="3029"/>
        <v>1381723100</v>
      </c>
      <c r="ZD1357" s="191">
        <f t="shared" si="3029"/>
        <v>1457107400</v>
      </c>
      <c r="ZE1357" s="191">
        <f t="shared" si="3029"/>
        <v>244161800</v>
      </c>
      <c r="ZF1357" s="191">
        <f t="shared" si="3029"/>
        <v>256045900</v>
      </c>
      <c r="ZG1357" s="191">
        <f t="shared" si="3029"/>
        <v>258903400</v>
      </c>
    </row>
    <row r="1358" spans="1:683" x14ac:dyDescent="0.25">
      <c r="AD1358" s="298"/>
      <c r="AE1358" s="298"/>
      <c r="AF1358" s="298"/>
      <c r="AY1358" s="298"/>
      <c r="AZ1358" s="298"/>
      <c r="BA1358" s="298"/>
      <c r="BT1358" s="298"/>
      <c r="BU1358" s="298"/>
      <c r="BV1358" s="298"/>
      <c r="CO1358" s="298"/>
      <c r="CP1358" s="298"/>
      <c r="CQ1358" s="298"/>
      <c r="DJ1358" s="298"/>
      <c r="DK1358" s="298"/>
      <c r="DL1358" s="298"/>
      <c r="EE1358" s="298"/>
      <c r="EF1358" s="298"/>
      <c r="EG1358" s="298"/>
      <c r="EZ1358" s="298"/>
      <c r="FA1358" s="298"/>
      <c r="FB1358" s="298"/>
      <c r="FU1358" s="298"/>
      <c r="FV1358" s="298"/>
      <c r="FW1358" s="298"/>
      <c r="GP1358" s="298"/>
      <c r="GQ1358" s="298"/>
      <c r="GR1358" s="298"/>
      <c r="HK1358" s="298"/>
      <c r="HL1358" s="298"/>
      <c r="HM1358" s="298"/>
      <c r="IF1358" s="298"/>
      <c r="IG1358" s="298"/>
      <c r="IH1358" s="298"/>
      <c r="JA1358" s="298"/>
      <c r="JB1358" s="298"/>
      <c r="JC1358" s="298"/>
      <c r="JV1358" s="298"/>
      <c r="JW1358" s="298"/>
      <c r="JX1358" s="298"/>
      <c r="KQ1358" s="298"/>
      <c r="KR1358" s="298"/>
      <c r="KS1358" s="298"/>
      <c r="LL1358" s="298"/>
      <c r="LM1358" s="298"/>
      <c r="LN1358" s="298"/>
      <c r="MG1358" s="298"/>
      <c r="MH1358" s="298"/>
      <c r="MI1358" s="298"/>
      <c r="NB1358" s="298"/>
      <c r="NC1358" s="298"/>
      <c r="ND1358" s="298"/>
      <c r="NW1358" s="298"/>
      <c r="NX1358" s="298"/>
      <c r="NY1358" s="298"/>
      <c r="OR1358" s="298"/>
      <c r="OS1358" s="298"/>
      <c r="OT1358" s="298"/>
      <c r="PM1358" s="298"/>
      <c r="PN1358" s="298"/>
      <c r="PO1358" s="298"/>
      <c r="QH1358" s="298"/>
      <c r="QI1358" s="298"/>
      <c r="QJ1358" s="298"/>
      <c r="RC1358" s="298"/>
      <c r="RD1358" s="298"/>
      <c r="RE1358" s="298"/>
      <c r="RX1358" s="298"/>
      <c r="RY1358" s="298"/>
      <c r="RZ1358" s="298"/>
      <c r="SS1358" s="298"/>
      <c r="ST1358" s="298"/>
      <c r="SU1358" s="298"/>
      <c r="TN1358" s="298"/>
      <c r="TO1358" s="298"/>
      <c r="TP1358" s="298"/>
      <c r="UI1358" s="298"/>
      <c r="UJ1358" s="298"/>
      <c r="UK1358" s="298"/>
      <c r="VD1358" s="298"/>
      <c r="VE1358" s="298"/>
      <c r="VF1358" s="298"/>
      <c r="VY1358" s="298"/>
      <c r="VZ1358" s="298"/>
      <c r="WA1358" s="298"/>
      <c r="WT1358" s="298"/>
      <c r="WU1358" s="298"/>
      <c r="WV1358" s="298"/>
      <c r="XO1358" s="298"/>
      <c r="XP1358" s="298"/>
      <c r="XQ1358" s="298"/>
      <c r="YJ1358" s="298"/>
      <c r="YK1358" s="298"/>
      <c r="YL1358" s="298"/>
      <c r="ZE1358" s="298"/>
      <c r="ZF1358" s="298"/>
      <c r="ZG1358" s="298"/>
    </row>
    <row r="1359" spans="1:683" s="158" customFormat="1" ht="27.75" customHeight="1" x14ac:dyDescent="0.25">
      <c r="A1359" s="184" t="s">
        <v>601</v>
      </c>
      <c r="B1359" s="331"/>
      <c r="ZB1359" s="296"/>
    </row>
    <row r="1360" spans="1:683" x14ac:dyDescent="0.25">
      <c r="A1360" s="347" t="s">
        <v>596</v>
      </c>
      <c r="B1360" s="106"/>
      <c r="C1360" s="113" t="s">
        <v>599</v>
      </c>
      <c r="D1360" s="1279"/>
      <c r="E1360" s="1280"/>
      <c r="F1360" s="185" t="s">
        <v>699</v>
      </c>
      <c r="G1360" s="185" t="s">
        <v>699</v>
      </c>
      <c r="H1360" s="185" t="s">
        <v>699</v>
      </c>
      <c r="I1360" s="185" t="s">
        <v>699</v>
      </c>
      <c r="J1360" s="185" t="s">
        <v>699</v>
      </c>
      <c r="K1360" s="185" t="s">
        <v>699</v>
      </c>
      <c r="L1360" s="129">
        <f t="shared" ref="L1360:T1360" si="3030">SUM(L1361:L1367)</f>
        <v>3715</v>
      </c>
      <c r="M1360" s="129">
        <f t="shared" si="3030"/>
        <v>3715</v>
      </c>
      <c r="N1360" s="129">
        <f t="shared" si="3030"/>
        <v>3715</v>
      </c>
      <c r="O1360" s="129">
        <f t="shared" si="3030"/>
        <v>143795.1</v>
      </c>
      <c r="P1360" s="129">
        <f t="shared" si="3030"/>
        <v>151749.45000000001</v>
      </c>
      <c r="Q1360" s="129">
        <f t="shared" si="3030"/>
        <v>157820.4</v>
      </c>
      <c r="R1360" s="129">
        <f t="shared" si="3030"/>
        <v>0</v>
      </c>
      <c r="S1360" s="129">
        <f t="shared" si="3030"/>
        <v>0</v>
      </c>
      <c r="T1360" s="129">
        <f t="shared" si="3030"/>
        <v>0</v>
      </c>
      <c r="U1360" s="185" t="s">
        <v>699</v>
      </c>
      <c r="V1360" s="185" t="s">
        <v>699</v>
      </c>
      <c r="W1360" s="185" t="s">
        <v>699</v>
      </c>
      <c r="X1360" s="185" t="s">
        <v>699</v>
      </c>
      <c r="Y1360" s="185" t="s">
        <v>699</v>
      </c>
      <c r="Z1360" s="185" t="s">
        <v>699</v>
      </c>
      <c r="AA1360" s="129">
        <f t="shared" ref="AA1360:AO1360" si="3031">SUM(AA1361:AA1367)</f>
        <v>145000</v>
      </c>
      <c r="AB1360" s="129">
        <f t="shared" si="3031"/>
        <v>152500</v>
      </c>
      <c r="AC1360" s="129">
        <f t="shared" si="3031"/>
        <v>156200</v>
      </c>
      <c r="AD1360" s="129">
        <f t="shared" si="3031"/>
        <v>0</v>
      </c>
      <c r="AE1360" s="129">
        <f t="shared" si="3031"/>
        <v>0</v>
      </c>
      <c r="AF1360" s="129">
        <f t="shared" si="3031"/>
        <v>0</v>
      </c>
      <c r="AG1360" s="129">
        <f t="shared" si="3031"/>
        <v>4104</v>
      </c>
      <c r="AH1360" s="129">
        <f t="shared" si="3031"/>
        <v>4104</v>
      </c>
      <c r="AI1360" s="129">
        <f t="shared" si="3031"/>
        <v>4104</v>
      </c>
      <c r="AJ1360" s="129">
        <f t="shared" si="3031"/>
        <v>154068.48000000001</v>
      </c>
      <c r="AK1360" s="129">
        <f t="shared" si="3031"/>
        <v>162602.64000000001</v>
      </c>
      <c r="AL1360" s="129">
        <f t="shared" si="3031"/>
        <v>169123.68</v>
      </c>
      <c r="AM1360" s="129">
        <f t="shared" si="3031"/>
        <v>0</v>
      </c>
      <c r="AN1360" s="129">
        <f t="shared" si="3031"/>
        <v>0</v>
      </c>
      <c r="AO1360" s="129">
        <f t="shared" si="3031"/>
        <v>0</v>
      </c>
      <c r="AP1360" s="185" t="s">
        <v>699</v>
      </c>
      <c r="AQ1360" s="185" t="s">
        <v>699</v>
      </c>
      <c r="AR1360" s="185" t="s">
        <v>699</v>
      </c>
      <c r="AS1360" s="185" t="s">
        <v>699</v>
      </c>
      <c r="AT1360" s="185" t="s">
        <v>699</v>
      </c>
      <c r="AU1360" s="185" t="s">
        <v>699</v>
      </c>
      <c r="AV1360" s="129">
        <f t="shared" ref="AV1360:BJ1360" si="3032">SUM(AV1361:AV1367)</f>
        <v>155100</v>
      </c>
      <c r="AW1360" s="129">
        <f t="shared" si="3032"/>
        <v>163400</v>
      </c>
      <c r="AX1360" s="129">
        <f t="shared" si="3032"/>
        <v>167500</v>
      </c>
      <c r="AY1360" s="129">
        <f t="shared" si="3032"/>
        <v>0</v>
      </c>
      <c r="AZ1360" s="129">
        <f t="shared" si="3032"/>
        <v>0</v>
      </c>
      <c r="BA1360" s="129">
        <f t="shared" si="3032"/>
        <v>0</v>
      </c>
      <c r="BB1360" s="129">
        <f t="shared" si="3032"/>
        <v>5256</v>
      </c>
      <c r="BC1360" s="129">
        <f t="shared" si="3032"/>
        <v>5256</v>
      </c>
      <c r="BD1360" s="129">
        <f t="shared" si="3032"/>
        <v>5256</v>
      </c>
      <c r="BE1360" s="129">
        <f t="shared" si="3032"/>
        <v>205437.6</v>
      </c>
      <c r="BF1360" s="129">
        <f t="shared" si="3032"/>
        <v>216797.04</v>
      </c>
      <c r="BG1360" s="129">
        <f t="shared" si="3032"/>
        <v>225463.67999999999</v>
      </c>
      <c r="BH1360" s="129">
        <f t="shared" si="3032"/>
        <v>0</v>
      </c>
      <c r="BI1360" s="129">
        <f t="shared" si="3032"/>
        <v>0</v>
      </c>
      <c r="BJ1360" s="129">
        <f t="shared" si="3032"/>
        <v>0</v>
      </c>
      <c r="BK1360" s="185" t="s">
        <v>699</v>
      </c>
      <c r="BL1360" s="185" t="s">
        <v>699</v>
      </c>
      <c r="BM1360" s="185" t="s">
        <v>699</v>
      </c>
      <c r="BN1360" s="185" t="s">
        <v>699</v>
      </c>
      <c r="BO1360" s="185" t="s">
        <v>699</v>
      </c>
      <c r="BP1360" s="185" t="s">
        <v>699</v>
      </c>
      <c r="BQ1360" s="129">
        <f t="shared" ref="BQ1360:CE1360" si="3033">SUM(BQ1361:BQ1367)</f>
        <v>207200</v>
      </c>
      <c r="BR1360" s="129">
        <f t="shared" si="3033"/>
        <v>217800.01</v>
      </c>
      <c r="BS1360" s="129">
        <f t="shared" si="3033"/>
        <v>223000.01</v>
      </c>
      <c r="BT1360" s="129">
        <f t="shared" si="3033"/>
        <v>0</v>
      </c>
      <c r="BU1360" s="129">
        <f t="shared" si="3033"/>
        <v>0</v>
      </c>
      <c r="BV1360" s="129">
        <f t="shared" si="3033"/>
        <v>0</v>
      </c>
      <c r="BW1360" s="129">
        <f t="shared" si="3033"/>
        <v>2995</v>
      </c>
      <c r="BX1360" s="129">
        <f t="shared" si="3033"/>
        <v>2995</v>
      </c>
      <c r="BY1360" s="129">
        <f t="shared" si="3033"/>
        <v>2995</v>
      </c>
      <c r="BZ1360" s="129">
        <f t="shared" si="3033"/>
        <v>109546.14</v>
      </c>
      <c r="CA1360" s="129">
        <f t="shared" si="3033"/>
        <v>115621.29</v>
      </c>
      <c r="CB1360" s="129">
        <f t="shared" si="3033"/>
        <v>120268.08</v>
      </c>
      <c r="CC1360" s="129">
        <f t="shared" si="3033"/>
        <v>0</v>
      </c>
      <c r="CD1360" s="129">
        <f t="shared" si="3033"/>
        <v>0</v>
      </c>
      <c r="CE1360" s="129">
        <f t="shared" si="3033"/>
        <v>0</v>
      </c>
      <c r="CF1360" s="185" t="s">
        <v>699</v>
      </c>
      <c r="CG1360" s="185" t="s">
        <v>699</v>
      </c>
      <c r="CH1360" s="185" t="s">
        <v>699</v>
      </c>
      <c r="CI1360" s="185" t="s">
        <v>699</v>
      </c>
      <c r="CJ1360" s="185" t="s">
        <v>699</v>
      </c>
      <c r="CK1360" s="185" t="s">
        <v>699</v>
      </c>
      <c r="CL1360" s="129">
        <f t="shared" ref="CL1360:CZ1360" si="3034">SUM(CL1361:CL1367)</f>
        <v>110200</v>
      </c>
      <c r="CM1360" s="129">
        <f t="shared" si="3034"/>
        <v>116200</v>
      </c>
      <c r="CN1360" s="129">
        <f t="shared" si="3034"/>
        <v>119200.01</v>
      </c>
      <c r="CO1360" s="129">
        <f t="shared" si="3034"/>
        <v>0</v>
      </c>
      <c r="CP1360" s="129">
        <f t="shared" si="3034"/>
        <v>0</v>
      </c>
      <c r="CQ1360" s="129">
        <f t="shared" si="3034"/>
        <v>0</v>
      </c>
      <c r="CR1360" s="129">
        <f t="shared" si="3034"/>
        <v>6453</v>
      </c>
      <c r="CS1360" s="129">
        <f t="shared" si="3034"/>
        <v>6453</v>
      </c>
      <c r="CT1360" s="129">
        <f t="shared" si="3034"/>
        <v>6453</v>
      </c>
      <c r="CU1360" s="129">
        <f t="shared" si="3034"/>
        <v>249330.96</v>
      </c>
      <c r="CV1360" s="129">
        <f t="shared" si="3034"/>
        <v>263124.33</v>
      </c>
      <c r="CW1360" s="129">
        <f t="shared" si="3034"/>
        <v>273652.46000000002</v>
      </c>
      <c r="CX1360" s="129">
        <f t="shared" si="3034"/>
        <v>0</v>
      </c>
      <c r="CY1360" s="129">
        <f t="shared" si="3034"/>
        <v>0</v>
      </c>
      <c r="CZ1360" s="129">
        <f t="shared" si="3034"/>
        <v>0</v>
      </c>
      <c r="DA1360" s="185" t="s">
        <v>699</v>
      </c>
      <c r="DB1360" s="185" t="s">
        <v>699</v>
      </c>
      <c r="DC1360" s="185" t="s">
        <v>699</v>
      </c>
      <c r="DD1360" s="185" t="s">
        <v>699</v>
      </c>
      <c r="DE1360" s="185" t="s">
        <v>699</v>
      </c>
      <c r="DF1360" s="185" t="s">
        <v>699</v>
      </c>
      <c r="DG1360" s="129">
        <f t="shared" ref="DG1360:DU1360" si="3035">SUM(DG1361:DG1367)</f>
        <v>251299.99</v>
      </c>
      <c r="DH1360" s="129">
        <f t="shared" si="3035"/>
        <v>264200.02</v>
      </c>
      <c r="DI1360" s="129">
        <f t="shared" si="3035"/>
        <v>270700.01</v>
      </c>
      <c r="DJ1360" s="129">
        <f t="shared" si="3035"/>
        <v>0</v>
      </c>
      <c r="DK1360" s="129">
        <f t="shared" si="3035"/>
        <v>0</v>
      </c>
      <c r="DL1360" s="129">
        <f t="shared" si="3035"/>
        <v>0</v>
      </c>
      <c r="DM1360" s="129">
        <f t="shared" si="3035"/>
        <v>3197</v>
      </c>
      <c r="DN1360" s="129">
        <f t="shared" si="3035"/>
        <v>3197</v>
      </c>
      <c r="DO1360" s="129">
        <f t="shared" si="3035"/>
        <v>3197</v>
      </c>
      <c r="DP1360" s="129">
        <f t="shared" si="3035"/>
        <v>123266.76</v>
      </c>
      <c r="DQ1360" s="129">
        <f t="shared" si="3035"/>
        <v>130086.69</v>
      </c>
      <c r="DR1360" s="129">
        <f t="shared" si="3035"/>
        <v>135292.57999999999</v>
      </c>
      <c r="DS1360" s="129">
        <f t="shared" si="3035"/>
        <v>0</v>
      </c>
      <c r="DT1360" s="129">
        <f t="shared" si="3035"/>
        <v>0</v>
      </c>
      <c r="DU1360" s="129">
        <f t="shared" si="3035"/>
        <v>0</v>
      </c>
      <c r="DV1360" s="185" t="s">
        <v>699</v>
      </c>
      <c r="DW1360" s="185" t="s">
        <v>699</v>
      </c>
      <c r="DX1360" s="185" t="s">
        <v>699</v>
      </c>
      <c r="DY1360" s="185" t="s">
        <v>699</v>
      </c>
      <c r="DZ1360" s="185" t="s">
        <v>699</v>
      </c>
      <c r="EA1360" s="185" t="s">
        <v>699</v>
      </c>
      <c r="EB1360" s="129">
        <f t="shared" ref="EB1360:EP1360" si="3036">SUM(EB1361:EB1367)</f>
        <v>124300.01</v>
      </c>
      <c r="EC1360" s="129">
        <f t="shared" si="3036"/>
        <v>130700</v>
      </c>
      <c r="ED1360" s="129">
        <f t="shared" si="3036"/>
        <v>133900</v>
      </c>
      <c r="EE1360" s="129">
        <f t="shared" si="3036"/>
        <v>0</v>
      </c>
      <c r="EF1360" s="129">
        <f t="shared" si="3036"/>
        <v>0</v>
      </c>
      <c r="EG1360" s="129">
        <f t="shared" si="3036"/>
        <v>0</v>
      </c>
      <c r="EH1360" s="129">
        <f t="shared" si="3036"/>
        <v>0</v>
      </c>
      <c r="EI1360" s="129">
        <f t="shared" si="3036"/>
        <v>0</v>
      </c>
      <c r="EJ1360" s="129">
        <f t="shared" si="3036"/>
        <v>0</v>
      </c>
      <c r="EK1360" s="129">
        <f t="shared" si="3036"/>
        <v>0</v>
      </c>
      <c r="EL1360" s="129">
        <f t="shared" si="3036"/>
        <v>0</v>
      </c>
      <c r="EM1360" s="129">
        <f t="shared" si="3036"/>
        <v>0</v>
      </c>
      <c r="EN1360" s="129">
        <f t="shared" si="3036"/>
        <v>0</v>
      </c>
      <c r="EO1360" s="129">
        <f t="shared" si="3036"/>
        <v>0</v>
      </c>
      <c r="EP1360" s="129">
        <f t="shared" si="3036"/>
        <v>0</v>
      </c>
      <c r="EQ1360" s="185" t="s">
        <v>699</v>
      </c>
      <c r="ER1360" s="185" t="s">
        <v>699</v>
      </c>
      <c r="ES1360" s="185" t="s">
        <v>699</v>
      </c>
      <c r="ET1360" s="185" t="s">
        <v>699</v>
      </c>
      <c r="EU1360" s="185" t="s">
        <v>699</v>
      </c>
      <c r="EV1360" s="185" t="s">
        <v>699</v>
      </c>
      <c r="EW1360" s="129">
        <f t="shared" ref="EW1360:FK1360" si="3037">SUM(EW1361:EW1367)</f>
        <v>0</v>
      </c>
      <c r="EX1360" s="129">
        <f t="shared" si="3037"/>
        <v>0</v>
      </c>
      <c r="EY1360" s="129">
        <f t="shared" si="3037"/>
        <v>0</v>
      </c>
      <c r="EZ1360" s="129">
        <f t="shared" si="3037"/>
        <v>0</v>
      </c>
      <c r="FA1360" s="129">
        <f t="shared" si="3037"/>
        <v>0</v>
      </c>
      <c r="FB1360" s="129">
        <f t="shared" si="3037"/>
        <v>0</v>
      </c>
      <c r="FC1360" s="129">
        <f t="shared" si="3037"/>
        <v>5727</v>
      </c>
      <c r="FD1360" s="129">
        <f t="shared" si="3037"/>
        <v>5727</v>
      </c>
      <c r="FE1360" s="129">
        <f t="shared" si="3037"/>
        <v>5727</v>
      </c>
      <c r="FF1360" s="129">
        <f t="shared" si="3037"/>
        <v>220559.58</v>
      </c>
      <c r="FG1360" s="129">
        <f t="shared" si="3037"/>
        <v>232763.01</v>
      </c>
      <c r="FH1360" s="129">
        <f t="shared" si="3037"/>
        <v>242078.72</v>
      </c>
      <c r="FI1360" s="129">
        <f t="shared" si="3037"/>
        <v>0</v>
      </c>
      <c r="FJ1360" s="129">
        <f t="shared" si="3037"/>
        <v>0</v>
      </c>
      <c r="FK1360" s="129">
        <f t="shared" si="3037"/>
        <v>0</v>
      </c>
      <c r="FL1360" s="185" t="s">
        <v>699</v>
      </c>
      <c r="FM1360" s="185" t="s">
        <v>699</v>
      </c>
      <c r="FN1360" s="185" t="s">
        <v>699</v>
      </c>
      <c r="FO1360" s="185" t="s">
        <v>699</v>
      </c>
      <c r="FP1360" s="185" t="s">
        <v>699</v>
      </c>
      <c r="FQ1360" s="185" t="s">
        <v>699</v>
      </c>
      <c r="FR1360" s="129">
        <f t="shared" ref="FR1360:GF1360" si="3038">SUM(FR1361:FR1367)</f>
        <v>222200.01</v>
      </c>
      <c r="FS1360" s="129">
        <f t="shared" si="3038"/>
        <v>233700</v>
      </c>
      <c r="FT1360" s="129">
        <f t="shared" si="3038"/>
        <v>239399.99</v>
      </c>
      <c r="FU1360" s="129">
        <f t="shared" si="3038"/>
        <v>0</v>
      </c>
      <c r="FV1360" s="129">
        <f t="shared" si="3038"/>
        <v>0</v>
      </c>
      <c r="FW1360" s="129">
        <f t="shared" si="3038"/>
        <v>0</v>
      </c>
      <c r="FX1360" s="129">
        <f t="shared" si="3038"/>
        <v>0</v>
      </c>
      <c r="FY1360" s="129">
        <f t="shared" si="3038"/>
        <v>0</v>
      </c>
      <c r="FZ1360" s="129">
        <f t="shared" si="3038"/>
        <v>0</v>
      </c>
      <c r="GA1360" s="129">
        <f t="shared" si="3038"/>
        <v>0</v>
      </c>
      <c r="GB1360" s="129">
        <f t="shared" si="3038"/>
        <v>0</v>
      </c>
      <c r="GC1360" s="129">
        <f t="shared" si="3038"/>
        <v>0</v>
      </c>
      <c r="GD1360" s="129">
        <f t="shared" si="3038"/>
        <v>0</v>
      </c>
      <c r="GE1360" s="129">
        <f t="shared" si="3038"/>
        <v>0</v>
      </c>
      <c r="GF1360" s="129">
        <f t="shared" si="3038"/>
        <v>0</v>
      </c>
      <c r="GG1360" s="185" t="s">
        <v>699</v>
      </c>
      <c r="GH1360" s="185" t="s">
        <v>699</v>
      </c>
      <c r="GI1360" s="185" t="s">
        <v>699</v>
      </c>
      <c r="GJ1360" s="185" t="s">
        <v>699</v>
      </c>
      <c r="GK1360" s="185" t="s">
        <v>699</v>
      </c>
      <c r="GL1360" s="185" t="s">
        <v>699</v>
      </c>
      <c r="GM1360" s="129">
        <f t="shared" ref="GM1360:HA1360" si="3039">SUM(GM1361:GM1367)</f>
        <v>0</v>
      </c>
      <c r="GN1360" s="129">
        <f t="shared" si="3039"/>
        <v>0</v>
      </c>
      <c r="GO1360" s="129">
        <f t="shared" si="3039"/>
        <v>0</v>
      </c>
      <c r="GP1360" s="129">
        <f t="shared" si="3039"/>
        <v>0</v>
      </c>
      <c r="GQ1360" s="129">
        <f t="shared" si="3039"/>
        <v>0</v>
      </c>
      <c r="GR1360" s="129">
        <f t="shared" si="3039"/>
        <v>0</v>
      </c>
      <c r="GS1360" s="129">
        <f t="shared" si="3039"/>
        <v>2995</v>
      </c>
      <c r="GT1360" s="129">
        <f t="shared" si="3039"/>
        <v>2995</v>
      </c>
      <c r="GU1360" s="129">
        <f t="shared" si="3039"/>
        <v>2995</v>
      </c>
      <c r="GV1360" s="129">
        <f t="shared" si="3039"/>
        <v>109546.14</v>
      </c>
      <c r="GW1360" s="129">
        <f t="shared" si="3039"/>
        <v>115621.29</v>
      </c>
      <c r="GX1360" s="129">
        <f t="shared" si="3039"/>
        <v>120268.08</v>
      </c>
      <c r="GY1360" s="129">
        <f t="shared" si="3039"/>
        <v>0</v>
      </c>
      <c r="GZ1360" s="129">
        <f t="shared" si="3039"/>
        <v>0</v>
      </c>
      <c r="HA1360" s="129">
        <f t="shared" si="3039"/>
        <v>0</v>
      </c>
      <c r="HB1360" s="185" t="s">
        <v>699</v>
      </c>
      <c r="HC1360" s="185" t="s">
        <v>699</v>
      </c>
      <c r="HD1360" s="185" t="s">
        <v>699</v>
      </c>
      <c r="HE1360" s="185" t="s">
        <v>699</v>
      </c>
      <c r="HF1360" s="185" t="s">
        <v>699</v>
      </c>
      <c r="HG1360" s="185" t="s">
        <v>699</v>
      </c>
      <c r="HH1360" s="129">
        <f t="shared" ref="HH1360:HV1360" si="3040">SUM(HH1361:HH1367)</f>
        <v>110100</v>
      </c>
      <c r="HI1360" s="129">
        <f t="shared" si="3040"/>
        <v>116200</v>
      </c>
      <c r="HJ1360" s="129">
        <f t="shared" si="3040"/>
        <v>119100</v>
      </c>
      <c r="HK1360" s="129">
        <f t="shared" si="3040"/>
        <v>0</v>
      </c>
      <c r="HL1360" s="129">
        <f t="shared" si="3040"/>
        <v>0</v>
      </c>
      <c r="HM1360" s="129">
        <f t="shared" si="3040"/>
        <v>0</v>
      </c>
      <c r="HN1360" s="129">
        <f t="shared" si="3040"/>
        <v>0</v>
      </c>
      <c r="HO1360" s="129">
        <f t="shared" si="3040"/>
        <v>0</v>
      </c>
      <c r="HP1360" s="129">
        <f t="shared" si="3040"/>
        <v>0</v>
      </c>
      <c r="HQ1360" s="129">
        <f t="shared" si="3040"/>
        <v>0</v>
      </c>
      <c r="HR1360" s="129">
        <f t="shared" si="3040"/>
        <v>0</v>
      </c>
      <c r="HS1360" s="129">
        <f t="shared" si="3040"/>
        <v>0</v>
      </c>
      <c r="HT1360" s="129">
        <f t="shared" si="3040"/>
        <v>0</v>
      </c>
      <c r="HU1360" s="129">
        <f t="shared" si="3040"/>
        <v>0</v>
      </c>
      <c r="HV1360" s="129">
        <f t="shared" si="3040"/>
        <v>0</v>
      </c>
      <c r="HW1360" s="185" t="s">
        <v>699</v>
      </c>
      <c r="HX1360" s="185" t="s">
        <v>699</v>
      </c>
      <c r="HY1360" s="185" t="s">
        <v>699</v>
      </c>
      <c r="HZ1360" s="185" t="s">
        <v>699</v>
      </c>
      <c r="IA1360" s="185" t="s">
        <v>699</v>
      </c>
      <c r="IB1360" s="185" t="s">
        <v>699</v>
      </c>
      <c r="IC1360" s="129">
        <f t="shared" ref="IC1360:IQ1360" si="3041">SUM(IC1361:IC1367)</f>
        <v>0</v>
      </c>
      <c r="ID1360" s="129">
        <f t="shared" si="3041"/>
        <v>0</v>
      </c>
      <c r="IE1360" s="129">
        <f t="shared" si="3041"/>
        <v>0</v>
      </c>
      <c r="IF1360" s="129">
        <f t="shared" si="3041"/>
        <v>0</v>
      </c>
      <c r="IG1360" s="129">
        <f t="shared" si="3041"/>
        <v>0</v>
      </c>
      <c r="IH1360" s="129">
        <f t="shared" si="3041"/>
        <v>0</v>
      </c>
      <c r="II1360" s="129">
        <f t="shared" si="3041"/>
        <v>2765</v>
      </c>
      <c r="IJ1360" s="129">
        <f t="shared" si="3041"/>
        <v>2765</v>
      </c>
      <c r="IK1360" s="129">
        <f t="shared" si="3041"/>
        <v>2765</v>
      </c>
      <c r="IL1360" s="129">
        <f t="shared" si="3041"/>
        <v>109576.95</v>
      </c>
      <c r="IM1360" s="129">
        <f t="shared" si="3041"/>
        <v>115632.3</v>
      </c>
      <c r="IN1360" s="129">
        <f t="shared" si="3041"/>
        <v>120249.85</v>
      </c>
      <c r="IO1360" s="129">
        <f t="shared" si="3041"/>
        <v>0</v>
      </c>
      <c r="IP1360" s="129">
        <f t="shared" si="3041"/>
        <v>0</v>
      </c>
      <c r="IQ1360" s="129">
        <f t="shared" si="3041"/>
        <v>0</v>
      </c>
      <c r="IR1360" s="185" t="s">
        <v>699</v>
      </c>
      <c r="IS1360" s="185" t="s">
        <v>699</v>
      </c>
      <c r="IT1360" s="185" t="s">
        <v>699</v>
      </c>
      <c r="IU1360" s="185" t="s">
        <v>699</v>
      </c>
      <c r="IV1360" s="185" t="s">
        <v>699</v>
      </c>
      <c r="IW1360" s="185" t="s">
        <v>699</v>
      </c>
      <c r="IX1360" s="129">
        <f t="shared" ref="IX1360:JL1360" si="3042">SUM(IX1361:IX1367)</f>
        <v>110600</v>
      </c>
      <c r="IY1360" s="129">
        <f t="shared" si="3042"/>
        <v>116200</v>
      </c>
      <c r="IZ1360" s="129">
        <f t="shared" si="3042"/>
        <v>119000</v>
      </c>
      <c r="JA1360" s="129">
        <f t="shared" si="3042"/>
        <v>0</v>
      </c>
      <c r="JB1360" s="129">
        <f t="shared" si="3042"/>
        <v>0</v>
      </c>
      <c r="JC1360" s="129">
        <f t="shared" si="3042"/>
        <v>0</v>
      </c>
      <c r="JD1360" s="129">
        <f t="shared" si="3042"/>
        <v>0</v>
      </c>
      <c r="JE1360" s="129">
        <f t="shared" si="3042"/>
        <v>0</v>
      </c>
      <c r="JF1360" s="129">
        <f t="shared" si="3042"/>
        <v>0</v>
      </c>
      <c r="JG1360" s="129">
        <f t="shared" si="3042"/>
        <v>0</v>
      </c>
      <c r="JH1360" s="129">
        <f t="shared" si="3042"/>
        <v>0</v>
      </c>
      <c r="JI1360" s="129">
        <f t="shared" si="3042"/>
        <v>0</v>
      </c>
      <c r="JJ1360" s="129">
        <f t="shared" si="3042"/>
        <v>0</v>
      </c>
      <c r="JK1360" s="129">
        <f t="shared" si="3042"/>
        <v>0</v>
      </c>
      <c r="JL1360" s="129">
        <f t="shared" si="3042"/>
        <v>0</v>
      </c>
      <c r="JM1360" s="185" t="s">
        <v>699</v>
      </c>
      <c r="JN1360" s="185" t="s">
        <v>699</v>
      </c>
      <c r="JO1360" s="185" t="s">
        <v>699</v>
      </c>
      <c r="JP1360" s="185" t="s">
        <v>699</v>
      </c>
      <c r="JQ1360" s="185" t="s">
        <v>699</v>
      </c>
      <c r="JR1360" s="185" t="s">
        <v>699</v>
      </c>
      <c r="JS1360" s="129">
        <f t="shared" ref="JS1360:KG1360" si="3043">SUM(JS1361:JS1367)</f>
        <v>0</v>
      </c>
      <c r="JT1360" s="129">
        <f t="shared" si="3043"/>
        <v>0</v>
      </c>
      <c r="JU1360" s="129">
        <f t="shared" si="3043"/>
        <v>0</v>
      </c>
      <c r="JV1360" s="129">
        <f t="shared" si="3043"/>
        <v>0</v>
      </c>
      <c r="JW1360" s="129">
        <f t="shared" si="3043"/>
        <v>0</v>
      </c>
      <c r="JX1360" s="129">
        <f t="shared" si="3043"/>
        <v>0</v>
      </c>
      <c r="JY1360" s="129">
        <f t="shared" si="3043"/>
        <v>3686</v>
      </c>
      <c r="JZ1360" s="129">
        <f t="shared" si="3043"/>
        <v>3686</v>
      </c>
      <c r="KA1360" s="129">
        <f t="shared" si="3043"/>
        <v>3686</v>
      </c>
      <c r="KB1360" s="129">
        <f t="shared" si="3043"/>
        <v>136930.47</v>
      </c>
      <c r="KC1360" s="129">
        <f t="shared" si="3043"/>
        <v>144518.91</v>
      </c>
      <c r="KD1360" s="129">
        <f t="shared" si="3043"/>
        <v>150319.67000000001</v>
      </c>
      <c r="KE1360" s="129">
        <f t="shared" si="3043"/>
        <v>0</v>
      </c>
      <c r="KF1360" s="129">
        <f t="shared" si="3043"/>
        <v>0</v>
      </c>
      <c r="KG1360" s="129">
        <f t="shared" si="3043"/>
        <v>0</v>
      </c>
      <c r="KH1360" s="185" t="s">
        <v>699</v>
      </c>
      <c r="KI1360" s="185" t="s">
        <v>699</v>
      </c>
      <c r="KJ1360" s="185" t="s">
        <v>699</v>
      </c>
      <c r="KK1360" s="185" t="s">
        <v>699</v>
      </c>
      <c r="KL1360" s="185" t="s">
        <v>699</v>
      </c>
      <c r="KM1360" s="185" t="s">
        <v>699</v>
      </c>
      <c r="KN1360" s="129">
        <f t="shared" ref="KN1360:LB1360" si="3044">SUM(KN1361:KN1367)</f>
        <v>137800</v>
      </c>
      <c r="KO1360" s="129">
        <f t="shared" si="3044"/>
        <v>145200</v>
      </c>
      <c r="KP1360" s="129">
        <f t="shared" si="3044"/>
        <v>148900</v>
      </c>
      <c r="KQ1360" s="129">
        <f t="shared" si="3044"/>
        <v>0</v>
      </c>
      <c r="KR1360" s="129">
        <f t="shared" si="3044"/>
        <v>0</v>
      </c>
      <c r="KS1360" s="129">
        <f t="shared" si="3044"/>
        <v>0</v>
      </c>
      <c r="KT1360" s="129">
        <f t="shared" si="3044"/>
        <v>0</v>
      </c>
      <c r="KU1360" s="129">
        <f t="shared" si="3044"/>
        <v>0</v>
      </c>
      <c r="KV1360" s="129">
        <f t="shared" si="3044"/>
        <v>0</v>
      </c>
      <c r="KW1360" s="129">
        <f t="shared" si="3044"/>
        <v>0</v>
      </c>
      <c r="KX1360" s="129">
        <f t="shared" si="3044"/>
        <v>0</v>
      </c>
      <c r="KY1360" s="129">
        <f t="shared" si="3044"/>
        <v>0</v>
      </c>
      <c r="KZ1360" s="129">
        <f t="shared" si="3044"/>
        <v>0</v>
      </c>
      <c r="LA1360" s="129">
        <f t="shared" si="3044"/>
        <v>0</v>
      </c>
      <c r="LB1360" s="129">
        <f t="shared" si="3044"/>
        <v>0</v>
      </c>
      <c r="LC1360" s="185" t="s">
        <v>699</v>
      </c>
      <c r="LD1360" s="185" t="s">
        <v>699</v>
      </c>
      <c r="LE1360" s="185" t="s">
        <v>699</v>
      </c>
      <c r="LF1360" s="185" t="s">
        <v>699</v>
      </c>
      <c r="LG1360" s="185" t="s">
        <v>699</v>
      </c>
      <c r="LH1360" s="185" t="s">
        <v>699</v>
      </c>
      <c r="LI1360" s="129">
        <f t="shared" ref="LI1360:LW1360" si="3045">SUM(LI1361:LI1367)</f>
        <v>0</v>
      </c>
      <c r="LJ1360" s="129">
        <f t="shared" si="3045"/>
        <v>0</v>
      </c>
      <c r="LK1360" s="129">
        <f t="shared" si="3045"/>
        <v>0</v>
      </c>
      <c r="LL1360" s="129">
        <f t="shared" si="3045"/>
        <v>0</v>
      </c>
      <c r="LM1360" s="129">
        <f t="shared" si="3045"/>
        <v>0</v>
      </c>
      <c r="LN1360" s="129">
        <f t="shared" si="3045"/>
        <v>0</v>
      </c>
      <c r="LO1360" s="129">
        <f t="shared" si="3045"/>
        <v>4032</v>
      </c>
      <c r="LP1360" s="129">
        <f t="shared" si="3045"/>
        <v>4032</v>
      </c>
      <c r="LQ1360" s="129">
        <f t="shared" si="3045"/>
        <v>4032</v>
      </c>
      <c r="LR1360" s="129">
        <f t="shared" si="3045"/>
        <v>154072.79999999999</v>
      </c>
      <c r="LS1360" s="129">
        <f t="shared" si="3045"/>
        <v>162600.48000000001</v>
      </c>
      <c r="LT1360" s="129">
        <f t="shared" si="3045"/>
        <v>169112.16</v>
      </c>
      <c r="LU1360" s="129">
        <f t="shared" si="3045"/>
        <v>0</v>
      </c>
      <c r="LV1360" s="129">
        <f t="shared" si="3045"/>
        <v>0</v>
      </c>
      <c r="LW1360" s="129">
        <f t="shared" si="3045"/>
        <v>0</v>
      </c>
      <c r="LX1360" s="185" t="s">
        <v>699</v>
      </c>
      <c r="LY1360" s="185" t="s">
        <v>699</v>
      </c>
      <c r="LZ1360" s="185" t="s">
        <v>699</v>
      </c>
      <c r="MA1360" s="185" t="s">
        <v>699</v>
      </c>
      <c r="MB1360" s="185" t="s">
        <v>699</v>
      </c>
      <c r="MC1360" s="185" t="s">
        <v>699</v>
      </c>
      <c r="MD1360" s="129">
        <f t="shared" ref="MD1360:MR1360" si="3046">SUM(MD1361:MD1367)</f>
        <v>155200</v>
      </c>
      <c r="ME1360" s="129">
        <f t="shared" si="3046"/>
        <v>163300</v>
      </c>
      <c r="MF1360" s="129">
        <f t="shared" si="3046"/>
        <v>167400</v>
      </c>
      <c r="MG1360" s="129">
        <f t="shared" si="3046"/>
        <v>0</v>
      </c>
      <c r="MH1360" s="129">
        <f t="shared" si="3046"/>
        <v>0</v>
      </c>
      <c r="MI1360" s="129">
        <f t="shared" si="3046"/>
        <v>0</v>
      </c>
      <c r="MJ1360" s="129">
        <f t="shared" si="3046"/>
        <v>2736</v>
      </c>
      <c r="MK1360" s="129">
        <f t="shared" si="3046"/>
        <v>2736</v>
      </c>
      <c r="ML1360" s="129">
        <f t="shared" si="3046"/>
        <v>2736</v>
      </c>
      <c r="MM1360" s="129">
        <f t="shared" si="3046"/>
        <v>102712.32000000001</v>
      </c>
      <c r="MN1360" s="129">
        <f t="shared" si="3046"/>
        <v>108401.76</v>
      </c>
      <c r="MO1360" s="129">
        <f t="shared" si="3046"/>
        <v>112749.12</v>
      </c>
      <c r="MP1360" s="129">
        <f t="shared" si="3046"/>
        <v>0</v>
      </c>
      <c r="MQ1360" s="129">
        <f t="shared" si="3046"/>
        <v>0</v>
      </c>
      <c r="MR1360" s="129">
        <f t="shared" si="3046"/>
        <v>0</v>
      </c>
      <c r="MS1360" s="185" t="s">
        <v>699</v>
      </c>
      <c r="MT1360" s="185" t="s">
        <v>699</v>
      </c>
      <c r="MU1360" s="185" t="s">
        <v>699</v>
      </c>
      <c r="MV1360" s="185" t="s">
        <v>699</v>
      </c>
      <c r="MW1360" s="185" t="s">
        <v>699</v>
      </c>
      <c r="MX1360" s="185" t="s">
        <v>699</v>
      </c>
      <c r="MY1360" s="129">
        <f t="shared" ref="MY1360:NM1360" si="3047">SUM(MY1361:MY1367)</f>
        <v>103400</v>
      </c>
      <c r="MZ1360" s="129">
        <f t="shared" si="3047"/>
        <v>108900</v>
      </c>
      <c r="NA1360" s="129">
        <f t="shared" si="3047"/>
        <v>111600</v>
      </c>
      <c r="NB1360" s="129">
        <f t="shared" si="3047"/>
        <v>0</v>
      </c>
      <c r="NC1360" s="129">
        <f t="shared" si="3047"/>
        <v>0</v>
      </c>
      <c r="ND1360" s="129">
        <f t="shared" si="3047"/>
        <v>0</v>
      </c>
      <c r="NE1360" s="129">
        <f t="shared" si="3047"/>
        <v>3917</v>
      </c>
      <c r="NF1360" s="129">
        <f t="shared" si="3047"/>
        <v>3917</v>
      </c>
      <c r="NG1360" s="129">
        <f t="shared" si="3047"/>
        <v>3917</v>
      </c>
      <c r="NH1360" s="129">
        <f t="shared" si="3047"/>
        <v>136939.29</v>
      </c>
      <c r="NI1360" s="129">
        <f t="shared" si="3047"/>
        <v>144549.72</v>
      </c>
      <c r="NJ1360" s="129">
        <f t="shared" si="3047"/>
        <v>150381.39000000001</v>
      </c>
      <c r="NK1360" s="129">
        <f t="shared" si="3047"/>
        <v>0</v>
      </c>
      <c r="NL1360" s="129">
        <f t="shared" si="3047"/>
        <v>0</v>
      </c>
      <c r="NM1360" s="129">
        <f t="shared" si="3047"/>
        <v>0</v>
      </c>
      <c r="NN1360" s="185" t="s">
        <v>699</v>
      </c>
      <c r="NO1360" s="185" t="s">
        <v>699</v>
      </c>
      <c r="NP1360" s="185" t="s">
        <v>699</v>
      </c>
      <c r="NQ1360" s="185" t="s">
        <v>699</v>
      </c>
      <c r="NR1360" s="185" t="s">
        <v>699</v>
      </c>
      <c r="NS1360" s="185" t="s">
        <v>699</v>
      </c>
      <c r="NT1360" s="129">
        <f t="shared" ref="NT1360:OH1360" si="3048">SUM(NT1361:NT1367)</f>
        <v>137400</v>
      </c>
      <c r="NU1360" s="129">
        <f t="shared" si="3048"/>
        <v>145200</v>
      </c>
      <c r="NV1360" s="129">
        <f t="shared" si="3048"/>
        <v>149100</v>
      </c>
      <c r="NW1360" s="129">
        <f t="shared" si="3048"/>
        <v>0</v>
      </c>
      <c r="NX1360" s="129">
        <f t="shared" si="3048"/>
        <v>0</v>
      </c>
      <c r="NY1360" s="129">
        <f t="shared" si="3048"/>
        <v>0</v>
      </c>
      <c r="NZ1360" s="129">
        <f t="shared" si="3048"/>
        <v>5184</v>
      </c>
      <c r="OA1360" s="129">
        <f t="shared" si="3048"/>
        <v>5184</v>
      </c>
      <c r="OB1360" s="129">
        <f t="shared" si="3048"/>
        <v>5184</v>
      </c>
      <c r="OC1360" s="129">
        <f t="shared" si="3048"/>
        <v>205441.92000000001</v>
      </c>
      <c r="OD1360" s="129">
        <f t="shared" si="3048"/>
        <v>216794.88</v>
      </c>
      <c r="OE1360" s="129">
        <f t="shared" si="3048"/>
        <v>225452.16</v>
      </c>
      <c r="OF1360" s="129">
        <f t="shared" si="3048"/>
        <v>0</v>
      </c>
      <c r="OG1360" s="129">
        <f t="shared" si="3048"/>
        <v>0</v>
      </c>
      <c r="OH1360" s="129">
        <f t="shared" si="3048"/>
        <v>0</v>
      </c>
      <c r="OI1360" s="185" t="s">
        <v>699</v>
      </c>
      <c r="OJ1360" s="185" t="s">
        <v>699</v>
      </c>
      <c r="OK1360" s="185" t="s">
        <v>699</v>
      </c>
      <c r="OL1360" s="185" t="s">
        <v>699</v>
      </c>
      <c r="OM1360" s="185" t="s">
        <v>699</v>
      </c>
      <c r="ON1360" s="185" t="s">
        <v>699</v>
      </c>
      <c r="OO1360" s="129">
        <f t="shared" ref="OO1360:PC1360" si="3049">SUM(OO1361:OO1367)</f>
        <v>207400</v>
      </c>
      <c r="OP1360" s="129">
        <f t="shared" si="3049"/>
        <v>217700</v>
      </c>
      <c r="OQ1360" s="129">
        <f t="shared" si="3049"/>
        <v>223000</v>
      </c>
      <c r="OR1360" s="129">
        <f t="shared" si="3049"/>
        <v>0</v>
      </c>
      <c r="OS1360" s="129">
        <f t="shared" si="3049"/>
        <v>0</v>
      </c>
      <c r="OT1360" s="129">
        <f t="shared" si="3049"/>
        <v>0</v>
      </c>
      <c r="OU1360" s="129">
        <f t="shared" si="3049"/>
        <v>3714</v>
      </c>
      <c r="OV1360" s="129">
        <f t="shared" si="3049"/>
        <v>3714</v>
      </c>
      <c r="OW1360" s="129">
        <f t="shared" si="3049"/>
        <v>3714</v>
      </c>
      <c r="OX1360" s="129">
        <f t="shared" si="3049"/>
        <v>143755.47</v>
      </c>
      <c r="OY1360" s="129">
        <f t="shared" si="3049"/>
        <v>151707.63</v>
      </c>
      <c r="OZ1360" s="129">
        <f t="shared" si="3049"/>
        <v>157776.91</v>
      </c>
      <c r="PA1360" s="129">
        <f t="shared" si="3049"/>
        <v>0</v>
      </c>
      <c r="PB1360" s="129">
        <f t="shared" si="3049"/>
        <v>0</v>
      </c>
      <c r="PC1360" s="129">
        <f t="shared" si="3049"/>
        <v>0</v>
      </c>
      <c r="PD1360" s="185" t="s">
        <v>699</v>
      </c>
      <c r="PE1360" s="185" t="s">
        <v>699</v>
      </c>
      <c r="PF1360" s="185" t="s">
        <v>699</v>
      </c>
      <c r="PG1360" s="185" t="s">
        <v>699</v>
      </c>
      <c r="PH1360" s="185" t="s">
        <v>699</v>
      </c>
      <c r="PI1360" s="185" t="s">
        <v>699</v>
      </c>
      <c r="PJ1360" s="129">
        <f t="shared" ref="PJ1360:PX1360" si="3050">SUM(PJ1361:PJ1367)</f>
        <v>145100</v>
      </c>
      <c r="PK1360" s="129">
        <f t="shared" si="3050"/>
        <v>152499.98000000001</v>
      </c>
      <c r="PL1360" s="129">
        <f t="shared" si="3050"/>
        <v>156199.98000000001</v>
      </c>
      <c r="PM1360" s="129">
        <f t="shared" si="3050"/>
        <v>0</v>
      </c>
      <c r="PN1360" s="129">
        <f t="shared" si="3050"/>
        <v>0</v>
      </c>
      <c r="PO1360" s="129">
        <f t="shared" si="3050"/>
        <v>0</v>
      </c>
      <c r="PP1360" s="129">
        <f t="shared" si="3050"/>
        <v>3888</v>
      </c>
      <c r="PQ1360" s="129">
        <f t="shared" si="3050"/>
        <v>3888</v>
      </c>
      <c r="PR1360" s="129">
        <f t="shared" si="3050"/>
        <v>3888</v>
      </c>
      <c r="PS1360" s="129">
        <f t="shared" si="3050"/>
        <v>143796.06</v>
      </c>
      <c r="PT1360" s="129">
        <f t="shared" si="3050"/>
        <v>151766.57999999999</v>
      </c>
      <c r="PU1360" s="129">
        <f t="shared" si="3050"/>
        <v>157860.46</v>
      </c>
      <c r="PV1360" s="129">
        <f t="shared" si="3050"/>
        <v>0</v>
      </c>
      <c r="PW1360" s="129">
        <f t="shared" si="3050"/>
        <v>0</v>
      </c>
      <c r="PX1360" s="129">
        <f t="shared" si="3050"/>
        <v>0</v>
      </c>
      <c r="PY1360" s="185" t="s">
        <v>699</v>
      </c>
      <c r="PZ1360" s="185" t="s">
        <v>699</v>
      </c>
      <c r="QA1360" s="185" t="s">
        <v>699</v>
      </c>
      <c r="QB1360" s="185" t="s">
        <v>699</v>
      </c>
      <c r="QC1360" s="185" t="s">
        <v>699</v>
      </c>
      <c r="QD1360" s="185" t="s">
        <v>699</v>
      </c>
      <c r="QE1360" s="129">
        <f t="shared" ref="QE1360:QS1360" si="3051">SUM(QE1361:QE1367)</f>
        <v>144600</v>
      </c>
      <c r="QF1360" s="129">
        <f t="shared" si="3051"/>
        <v>152500</v>
      </c>
      <c r="QG1360" s="129">
        <f t="shared" si="3051"/>
        <v>156300</v>
      </c>
      <c r="QH1360" s="129">
        <f t="shared" si="3051"/>
        <v>0</v>
      </c>
      <c r="QI1360" s="129">
        <f t="shared" si="3051"/>
        <v>0</v>
      </c>
      <c r="QJ1360" s="129">
        <f t="shared" si="3051"/>
        <v>0</v>
      </c>
      <c r="QK1360" s="129">
        <f t="shared" si="3051"/>
        <v>0</v>
      </c>
      <c r="QL1360" s="129">
        <f t="shared" si="3051"/>
        <v>0</v>
      </c>
      <c r="QM1360" s="129">
        <f t="shared" si="3051"/>
        <v>0</v>
      </c>
      <c r="QN1360" s="129">
        <f t="shared" si="3051"/>
        <v>0</v>
      </c>
      <c r="QO1360" s="129">
        <f t="shared" si="3051"/>
        <v>0</v>
      </c>
      <c r="QP1360" s="129">
        <f t="shared" si="3051"/>
        <v>0</v>
      </c>
      <c r="QQ1360" s="129">
        <f t="shared" si="3051"/>
        <v>0</v>
      </c>
      <c r="QR1360" s="129">
        <f t="shared" si="3051"/>
        <v>0</v>
      </c>
      <c r="QS1360" s="129">
        <f t="shared" si="3051"/>
        <v>0</v>
      </c>
      <c r="QT1360" s="185" t="s">
        <v>699</v>
      </c>
      <c r="QU1360" s="185" t="s">
        <v>699</v>
      </c>
      <c r="QV1360" s="185" t="s">
        <v>699</v>
      </c>
      <c r="QW1360" s="185" t="s">
        <v>699</v>
      </c>
      <c r="QX1360" s="185" t="s">
        <v>699</v>
      </c>
      <c r="QY1360" s="185" t="s">
        <v>699</v>
      </c>
      <c r="QZ1360" s="129">
        <f t="shared" ref="QZ1360:RN1360" si="3052">SUM(QZ1361:QZ1367)</f>
        <v>0</v>
      </c>
      <c r="RA1360" s="129">
        <f t="shared" si="3052"/>
        <v>0</v>
      </c>
      <c r="RB1360" s="129">
        <f t="shared" si="3052"/>
        <v>0</v>
      </c>
      <c r="RC1360" s="129">
        <f t="shared" si="3052"/>
        <v>0</v>
      </c>
      <c r="RD1360" s="129">
        <f t="shared" si="3052"/>
        <v>0</v>
      </c>
      <c r="RE1360" s="129">
        <f t="shared" si="3052"/>
        <v>0</v>
      </c>
      <c r="RF1360" s="129">
        <f t="shared" si="3052"/>
        <v>5645</v>
      </c>
      <c r="RG1360" s="129">
        <f t="shared" si="3052"/>
        <v>5645</v>
      </c>
      <c r="RH1360" s="129">
        <f t="shared" si="3052"/>
        <v>5645</v>
      </c>
      <c r="RI1360" s="129">
        <f t="shared" si="3052"/>
        <v>219141.33</v>
      </c>
      <c r="RJ1360" s="129">
        <f t="shared" si="3052"/>
        <v>231262.07999999999</v>
      </c>
      <c r="RK1360" s="129">
        <f t="shared" si="3052"/>
        <v>240511.91</v>
      </c>
      <c r="RL1360" s="129">
        <f t="shared" si="3052"/>
        <v>0</v>
      </c>
      <c r="RM1360" s="129">
        <f t="shared" si="3052"/>
        <v>0</v>
      </c>
      <c r="RN1360" s="129">
        <f t="shared" si="3052"/>
        <v>0</v>
      </c>
      <c r="RO1360" s="185" t="s">
        <v>699</v>
      </c>
      <c r="RP1360" s="185" t="s">
        <v>699</v>
      </c>
      <c r="RQ1360" s="185" t="s">
        <v>699</v>
      </c>
      <c r="RR1360" s="185" t="s">
        <v>699</v>
      </c>
      <c r="RS1360" s="185" t="s">
        <v>699</v>
      </c>
      <c r="RT1360" s="185" t="s">
        <v>699</v>
      </c>
      <c r="RU1360" s="129">
        <f t="shared" ref="RU1360:SI1360" si="3053">SUM(RU1361:RU1367)</f>
        <v>221000.01</v>
      </c>
      <c r="RV1360" s="129">
        <f t="shared" si="3053"/>
        <v>232200.01</v>
      </c>
      <c r="RW1360" s="129">
        <f t="shared" si="3053"/>
        <v>237900</v>
      </c>
      <c r="RX1360" s="129">
        <f t="shared" si="3053"/>
        <v>0</v>
      </c>
      <c r="RY1360" s="129">
        <f t="shared" si="3053"/>
        <v>0</v>
      </c>
      <c r="RZ1360" s="129">
        <f t="shared" si="3053"/>
        <v>0</v>
      </c>
      <c r="SA1360" s="129">
        <f t="shared" si="3053"/>
        <v>3687</v>
      </c>
      <c r="SB1360" s="129">
        <f t="shared" si="3053"/>
        <v>3687</v>
      </c>
      <c r="SC1360" s="129">
        <f t="shared" si="3053"/>
        <v>3687</v>
      </c>
      <c r="SD1360" s="129">
        <f t="shared" si="3053"/>
        <v>136970.1</v>
      </c>
      <c r="SE1360" s="129">
        <f t="shared" si="3053"/>
        <v>144560.73000000001</v>
      </c>
      <c r="SF1360" s="129">
        <f t="shared" si="3053"/>
        <v>150363.16</v>
      </c>
      <c r="SG1360" s="129">
        <f t="shared" si="3053"/>
        <v>0</v>
      </c>
      <c r="SH1360" s="129">
        <f t="shared" si="3053"/>
        <v>0</v>
      </c>
      <c r="SI1360" s="129">
        <f t="shared" si="3053"/>
        <v>0</v>
      </c>
      <c r="SJ1360" s="185" t="s">
        <v>699</v>
      </c>
      <c r="SK1360" s="185" t="s">
        <v>699</v>
      </c>
      <c r="SL1360" s="185" t="s">
        <v>699</v>
      </c>
      <c r="SM1360" s="185" t="s">
        <v>699</v>
      </c>
      <c r="SN1360" s="185" t="s">
        <v>699</v>
      </c>
      <c r="SO1360" s="185" t="s">
        <v>699</v>
      </c>
      <c r="SP1360" s="129">
        <f t="shared" ref="SP1360:TD1360" si="3054">SUM(SP1361:SP1367)</f>
        <v>137800</v>
      </c>
      <c r="SQ1360" s="129">
        <f t="shared" si="3054"/>
        <v>145200</v>
      </c>
      <c r="SR1360" s="129">
        <f t="shared" si="3054"/>
        <v>148900</v>
      </c>
      <c r="SS1360" s="129">
        <f t="shared" si="3054"/>
        <v>0</v>
      </c>
      <c r="ST1360" s="129">
        <f t="shared" si="3054"/>
        <v>0</v>
      </c>
      <c r="SU1360" s="129">
        <f t="shared" si="3054"/>
        <v>0</v>
      </c>
      <c r="SV1360" s="129">
        <f t="shared" si="3054"/>
        <v>7661</v>
      </c>
      <c r="SW1360" s="129">
        <f t="shared" si="3054"/>
        <v>7661</v>
      </c>
      <c r="SX1360" s="129">
        <f t="shared" si="3054"/>
        <v>7661</v>
      </c>
      <c r="SY1360" s="129">
        <f t="shared" si="3054"/>
        <v>277999.71000000002</v>
      </c>
      <c r="SZ1360" s="129">
        <f t="shared" si="3054"/>
        <v>293422.5</v>
      </c>
      <c r="TA1360" s="129">
        <f t="shared" si="3054"/>
        <v>305222.84999999998</v>
      </c>
      <c r="TB1360" s="129">
        <f t="shared" si="3054"/>
        <v>0</v>
      </c>
      <c r="TC1360" s="129">
        <f t="shared" si="3054"/>
        <v>0</v>
      </c>
      <c r="TD1360" s="129">
        <f t="shared" si="3054"/>
        <v>0</v>
      </c>
      <c r="TE1360" s="185" t="s">
        <v>699</v>
      </c>
      <c r="TF1360" s="185" t="s">
        <v>699</v>
      </c>
      <c r="TG1360" s="185" t="s">
        <v>699</v>
      </c>
      <c r="TH1360" s="185" t="s">
        <v>699</v>
      </c>
      <c r="TI1360" s="185" t="s">
        <v>699</v>
      </c>
      <c r="TJ1360" s="185" t="s">
        <v>699</v>
      </c>
      <c r="TK1360" s="129">
        <f t="shared" ref="TK1360:TY1360" si="3055">SUM(TK1361:TK1367)</f>
        <v>279400</v>
      </c>
      <c r="TL1360" s="129">
        <f t="shared" si="3055"/>
        <v>294600</v>
      </c>
      <c r="TM1360" s="129">
        <f t="shared" si="3055"/>
        <v>302300</v>
      </c>
      <c r="TN1360" s="129">
        <f t="shared" si="3055"/>
        <v>0</v>
      </c>
      <c r="TO1360" s="129">
        <f t="shared" si="3055"/>
        <v>0</v>
      </c>
      <c r="TP1360" s="129">
        <f t="shared" si="3055"/>
        <v>0</v>
      </c>
      <c r="TQ1360" s="129">
        <f t="shared" si="3055"/>
        <v>1872</v>
      </c>
      <c r="TR1360" s="129">
        <f t="shared" si="3055"/>
        <v>1872</v>
      </c>
      <c r="TS1360" s="129">
        <f t="shared" si="3055"/>
        <v>1872</v>
      </c>
      <c r="TT1360" s="129">
        <f t="shared" si="3055"/>
        <v>68472</v>
      </c>
      <c r="TU1360" s="129">
        <f t="shared" si="3055"/>
        <v>72269.279999999999</v>
      </c>
      <c r="TV1360" s="129">
        <f t="shared" si="3055"/>
        <v>75173.759999999995</v>
      </c>
      <c r="TW1360" s="129">
        <f t="shared" si="3055"/>
        <v>0</v>
      </c>
      <c r="TX1360" s="129">
        <f t="shared" si="3055"/>
        <v>0</v>
      </c>
      <c r="TY1360" s="129">
        <f t="shared" si="3055"/>
        <v>0</v>
      </c>
      <c r="TZ1360" s="185" t="s">
        <v>699</v>
      </c>
      <c r="UA1360" s="185" t="s">
        <v>699</v>
      </c>
      <c r="UB1360" s="185" t="s">
        <v>699</v>
      </c>
      <c r="UC1360" s="185" t="s">
        <v>699</v>
      </c>
      <c r="UD1360" s="185" t="s">
        <v>699</v>
      </c>
      <c r="UE1360" s="185" t="s">
        <v>699</v>
      </c>
      <c r="UF1360" s="129">
        <f t="shared" ref="UF1360:UT1360" si="3056">SUM(UF1361:UF1367)</f>
        <v>68900</v>
      </c>
      <c r="UG1360" s="129">
        <f t="shared" si="3056"/>
        <v>72600</v>
      </c>
      <c r="UH1360" s="129">
        <f t="shared" si="3056"/>
        <v>74500</v>
      </c>
      <c r="UI1360" s="129">
        <f t="shared" si="3056"/>
        <v>0</v>
      </c>
      <c r="UJ1360" s="129">
        <f t="shared" si="3056"/>
        <v>0</v>
      </c>
      <c r="UK1360" s="129">
        <f t="shared" si="3056"/>
        <v>0</v>
      </c>
      <c r="UL1360" s="129">
        <f t="shared" si="3056"/>
        <v>864</v>
      </c>
      <c r="UM1360" s="129">
        <f t="shared" si="3056"/>
        <v>864</v>
      </c>
      <c r="UN1360" s="129">
        <f t="shared" si="3056"/>
        <v>864</v>
      </c>
      <c r="UO1360" s="129">
        <f t="shared" si="3056"/>
        <v>34240.32</v>
      </c>
      <c r="UP1360" s="129">
        <f t="shared" si="3056"/>
        <v>36132.480000000003</v>
      </c>
      <c r="UQ1360" s="129">
        <f t="shared" si="3056"/>
        <v>37575.360000000001</v>
      </c>
      <c r="UR1360" s="129">
        <f t="shared" si="3056"/>
        <v>0</v>
      </c>
      <c r="US1360" s="129">
        <f t="shared" si="3056"/>
        <v>0</v>
      </c>
      <c r="UT1360" s="129">
        <f t="shared" si="3056"/>
        <v>0</v>
      </c>
      <c r="UU1360" s="185" t="s">
        <v>699</v>
      </c>
      <c r="UV1360" s="185" t="s">
        <v>699</v>
      </c>
      <c r="UW1360" s="185" t="s">
        <v>699</v>
      </c>
      <c r="UX1360" s="185" t="s">
        <v>699</v>
      </c>
      <c r="UY1360" s="185" t="s">
        <v>699</v>
      </c>
      <c r="UZ1360" s="185" t="s">
        <v>699</v>
      </c>
      <c r="VA1360" s="129">
        <f t="shared" ref="VA1360:VO1360" si="3057">SUM(VA1361:VA1367)</f>
        <v>34600</v>
      </c>
      <c r="VB1360" s="129">
        <f t="shared" si="3057"/>
        <v>36300</v>
      </c>
      <c r="VC1360" s="129">
        <f t="shared" si="3057"/>
        <v>37200</v>
      </c>
      <c r="VD1360" s="129">
        <f t="shared" si="3057"/>
        <v>0</v>
      </c>
      <c r="VE1360" s="129">
        <f t="shared" si="3057"/>
        <v>0</v>
      </c>
      <c r="VF1360" s="129">
        <f t="shared" si="3057"/>
        <v>0</v>
      </c>
      <c r="VG1360" s="129">
        <f t="shared" si="3057"/>
        <v>2995</v>
      </c>
      <c r="VH1360" s="129">
        <f t="shared" si="3057"/>
        <v>2995</v>
      </c>
      <c r="VI1360" s="129">
        <f t="shared" si="3057"/>
        <v>2995</v>
      </c>
      <c r="VJ1360" s="129">
        <f t="shared" si="3057"/>
        <v>109546.14</v>
      </c>
      <c r="VK1360" s="129">
        <f t="shared" si="3057"/>
        <v>115621.29</v>
      </c>
      <c r="VL1360" s="129">
        <f t="shared" si="3057"/>
        <v>120268.08</v>
      </c>
      <c r="VM1360" s="129">
        <f t="shared" si="3057"/>
        <v>0</v>
      </c>
      <c r="VN1360" s="129">
        <f t="shared" si="3057"/>
        <v>0</v>
      </c>
      <c r="VO1360" s="129">
        <f t="shared" si="3057"/>
        <v>0</v>
      </c>
      <c r="VP1360" s="185" t="s">
        <v>699</v>
      </c>
      <c r="VQ1360" s="185" t="s">
        <v>699</v>
      </c>
      <c r="VR1360" s="185" t="s">
        <v>699</v>
      </c>
      <c r="VS1360" s="185" t="s">
        <v>699</v>
      </c>
      <c r="VT1360" s="185" t="s">
        <v>699</v>
      </c>
      <c r="VU1360" s="185" t="s">
        <v>699</v>
      </c>
      <c r="VV1360" s="129">
        <f t="shared" ref="VV1360:WJ1360" si="3058">SUM(VV1361:VV1367)</f>
        <v>110100</v>
      </c>
      <c r="VW1360" s="129">
        <f t="shared" si="3058"/>
        <v>116200</v>
      </c>
      <c r="VX1360" s="129">
        <f t="shared" si="3058"/>
        <v>119100</v>
      </c>
      <c r="VY1360" s="129">
        <f t="shared" si="3058"/>
        <v>0</v>
      </c>
      <c r="VZ1360" s="129">
        <f t="shared" si="3058"/>
        <v>0</v>
      </c>
      <c r="WA1360" s="129">
        <f t="shared" si="3058"/>
        <v>0</v>
      </c>
      <c r="WB1360" s="129">
        <f t="shared" si="3058"/>
        <v>0</v>
      </c>
      <c r="WC1360" s="129">
        <f t="shared" si="3058"/>
        <v>0</v>
      </c>
      <c r="WD1360" s="129">
        <f t="shared" si="3058"/>
        <v>0</v>
      </c>
      <c r="WE1360" s="129">
        <f t="shared" si="3058"/>
        <v>0</v>
      </c>
      <c r="WF1360" s="129">
        <f t="shared" si="3058"/>
        <v>0</v>
      </c>
      <c r="WG1360" s="129">
        <f t="shared" si="3058"/>
        <v>0</v>
      </c>
      <c r="WH1360" s="129">
        <f t="shared" si="3058"/>
        <v>0</v>
      </c>
      <c r="WI1360" s="129">
        <f t="shared" si="3058"/>
        <v>0</v>
      </c>
      <c r="WJ1360" s="129">
        <f t="shared" si="3058"/>
        <v>0</v>
      </c>
      <c r="WK1360" s="185" t="s">
        <v>699</v>
      </c>
      <c r="WL1360" s="185" t="s">
        <v>699</v>
      </c>
      <c r="WM1360" s="185" t="s">
        <v>699</v>
      </c>
      <c r="WN1360" s="185" t="s">
        <v>699</v>
      </c>
      <c r="WO1360" s="185" t="s">
        <v>699</v>
      </c>
      <c r="WP1360" s="185" t="s">
        <v>699</v>
      </c>
      <c r="WQ1360" s="129">
        <f t="shared" ref="WQ1360:XE1360" si="3059">SUM(WQ1361:WQ1367)</f>
        <v>0</v>
      </c>
      <c r="WR1360" s="129">
        <f t="shared" si="3059"/>
        <v>0</v>
      </c>
      <c r="WS1360" s="129">
        <f t="shared" si="3059"/>
        <v>0</v>
      </c>
      <c r="WT1360" s="129">
        <f t="shared" si="3059"/>
        <v>0</v>
      </c>
      <c r="WU1360" s="129">
        <f t="shared" si="3059"/>
        <v>0</v>
      </c>
      <c r="WV1360" s="129">
        <f t="shared" si="3059"/>
        <v>0</v>
      </c>
      <c r="WW1360" s="129">
        <f t="shared" si="3059"/>
        <v>0</v>
      </c>
      <c r="WX1360" s="129">
        <f t="shared" si="3059"/>
        <v>0</v>
      </c>
      <c r="WY1360" s="129">
        <f t="shared" si="3059"/>
        <v>0</v>
      </c>
      <c r="WZ1360" s="129">
        <f t="shared" si="3059"/>
        <v>0</v>
      </c>
      <c r="XA1360" s="129">
        <f t="shared" si="3059"/>
        <v>0</v>
      </c>
      <c r="XB1360" s="129">
        <f t="shared" si="3059"/>
        <v>0</v>
      </c>
      <c r="XC1360" s="129">
        <f t="shared" si="3059"/>
        <v>0</v>
      </c>
      <c r="XD1360" s="129">
        <f t="shared" si="3059"/>
        <v>0</v>
      </c>
      <c r="XE1360" s="129">
        <f t="shared" si="3059"/>
        <v>0</v>
      </c>
      <c r="XF1360" s="185" t="s">
        <v>699</v>
      </c>
      <c r="XG1360" s="185" t="s">
        <v>699</v>
      </c>
      <c r="XH1360" s="185" t="s">
        <v>699</v>
      </c>
      <c r="XI1360" s="185" t="s">
        <v>699</v>
      </c>
      <c r="XJ1360" s="185" t="s">
        <v>699</v>
      </c>
      <c r="XK1360" s="185" t="s">
        <v>699</v>
      </c>
      <c r="XL1360" s="129">
        <f t="shared" ref="XL1360:XZ1360" si="3060">SUM(XL1361:XL1367)</f>
        <v>0</v>
      </c>
      <c r="XM1360" s="129">
        <f t="shared" si="3060"/>
        <v>0</v>
      </c>
      <c r="XN1360" s="129">
        <f t="shared" si="3060"/>
        <v>0</v>
      </c>
      <c r="XO1360" s="129">
        <f t="shared" si="3060"/>
        <v>0</v>
      </c>
      <c r="XP1360" s="129">
        <f t="shared" si="3060"/>
        <v>0</v>
      </c>
      <c r="XQ1360" s="129">
        <f t="shared" si="3060"/>
        <v>0</v>
      </c>
      <c r="XR1360" s="129">
        <f t="shared" si="3060"/>
        <v>9815</v>
      </c>
      <c r="XS1360" s="129">
        <f t="shared" si="3060"/>
        <v>9815</v>
      </c>
      <c r="XT1360" s="129">
        <f t="shared" si="3060"/>
        <v>9815</v>
      </c>
      <c r="XU1360" s="129">
        <f t="shared" si="3060"/>
        <v>388968.45</v>
      </c>
      <c r="XV1360" s="129">
        <f t="shared" si="3060"/>
        <v>410463.3</v>
      </c>
      <c r="XW1360" s="129">
        <f t="shared" si="3060"/>
        <v>426854.35</v>
      </c>
      <c r="XX1360" s="129">
        <f t="shared" si="3060"/>
        <v>0</v>
      </c>
      <c r="XY1360" s="129">
        <f t="shared" si="3060"/>
        <v>0</v>
      </c>
      <c r="XZ1360" s="129">
        <f t="shared" si="3060"/>
        <v>0</v>
      </c>
      <c r="YA1360" s="185" t="s">
        <v>699</v>
      </c>
      <c r="YB1360" s="185" t="s">
        <v>699</v>
      </c>
      <c r="YC1360" s="185" t="s">
        <v>699</v>
      </c>
      <c r="YD1360" s="185" t="s">
        <v>699</v>
      </c>
      <c r="YE1360" s="185" t="s">
        <v>699</v>
      </c>
      <c r="YF1360" s="185" t="s">
        <v>699</v>
      </c>
      <c r="YG1360" s="129">
        <f t="shared" ref="YG1360:YU1360" si="3061">SUM(YG1361:YG1367)</f>
        <v>392600</v>
      </c>
      <c r="YH1360" s="129">
        <f t="shared" si="3061"/>
        <v>405800</v>
      </c>
      <c r="YI1360" s="129">
        <f t="shared" si="3061"/>
        <v>473800</v>
      </c>
      <c r="YJ1360" s="129">
        <f t="shared" si="3061"/>
        <v>0</v>
      </c>
      <c r="YK1360" s="129">
        <f t="shared" si="3061"/>
        <v>0</v>
      </c>
      <c r="YL1360" s="129">
        <f t="shared" si="3061"/>
        <v>0</v>
      </c>
      <c r="YM1360" s="129">
        <f>SUM(YM1361:YM1367)</f>
        <v>96903</v>
      </c>
      <c r="YN1360" s="129">
        <f t="shared" ref="YN1360:YO1360" si="3062">SUM(YN1361:YN1367)</f>
        <v>96903</v>
      </c>
      <c r="YO1360" s="129">
        <f t="shared" si="3062"/>
        <v>96903</v>
      </c>
      <c r="YP1360" s="129">
        <f t="shared" si="3061"/>
        <v>3684114.09</v>
      </c>
      <c r="YQ1360" s="129">
        <f t="shared" si="3061"/>
        <v>3888069.66</v>
      </c>
      <c r="YR1360" s="129">
        <f t="shared" si="3061"/>
        <v>4043838.87</v>
      </c>
      <c r="YS1360" s="129">
        <f t="shared" si="3061"/>
        <v>0</v>
      </c>
      <c r="YT1360" s="129">
        <f t="shared" si="3061"/>
        <v>0</v>
      </c>
      <c r="YU1360" s="129">
        <f t="shared" si="3061"/>
        <v>0</v>
      </c>
      <c r="YV1360" s="185" t="s">
        <v>699</v>
      </c>
      <c r="YW1360" s="185" t="s">
        <v>699</v>
      </c>
      <c r="YX1360" s="185" t="s">
        <v>699</v>
      </c>
      <c r="YY1360" s="185" t="s">
        <v>699</v>
      </c>
      <c r="YZ1360" s="185" t="s">
        <v>699</v>
      </c>
      <c r="ZA1360" s="185" t="s">
        <v>699</v>
      </c>
      <c r="ZB1360" s="129">
        <f t="shared" ref="ZB1360:ZG1360" si="3063">SUM(ZB1361:ZB1367)</f>
        <v>3711299.99</v>
      </c>
      <c r="ZC1360" s="129">
        <f t="shared" si="3063"/>
        <v>3899100</v>
      </c>
      <c r="ZD1360" s="129">
        <f t="shared" si="3063"/>
        <v>4054200</v>
      </c>
      <c r="ZE1360" s="129">
        <f t="shared" si="3063"/>
        <v>0</v>
      </c>
      <c r="ZF1360" s="129">
        <f t="shared" si="3063"/>
        <v>0</v>
      </c>
      <c r="ZG1360" s="129">
        <f t="shared" si="3063"/>
        <v>0</v>
      </c>
    </row>
    <row r="1361" spans="1:684" x14ac:dyDescent="0.25">
      <c r="A1361" s="12" t="s">
        <v>456</v>
      </c>
      <c r="B1361" s="174" t="s">
        <v>648</v>
      </c>
      <c r="C1361" s="5"/>
      <c r="D1361" s="340"/>
      <c r="E1361" s="163"/>
      <c r="F1361" s="110">
        <f t="shared" ref="F1361:H1363" si="3064">F71</f>
        <v>39.630000000000003</v>
      </c>
      <c r="G1361" s="110">
        <f t="shared" si="3064"/>
        <v>41.82</v>
      </c>
      <c r="H1361" s="110">
        <f t="shared" si="3064"/>
        <v>43.49</v>
      </c>
      <c r="I1361" s="97">
        <f t="shared" ref="I1361:K1363" si="3065">F386</f>
        <v>0</v>
      </c>
      <c r="J1361" s="97">
        <f t="shared" si="3065"/>
        <v>0</v>
      </c>
      <c r="K1361" s="97">
        <f t="shared" si="3065"/>
        <v>0</v>
      </c>
      <c r="L1361" s="102"/>
      <c r="M1361" s="102"/>
      <c r="N1361" s="102"/>
      <c r="O1361" s="97">
        <f t="shared" ref="O1361:O1367" si="3066">$F1361*L1361</f>
        <v>0</v>
      </c>
      <c r="P1361" s="97">
        <f t="shared" ref="P1361:P1367" si="3067">$G1361*M1361</f>
        <v>0</v>
      </c>
      <c r="Q1361" s="97">
        <f t="shared" ref="Q1361:Q1367" si="3068">$H1361*N1361</f>
        <v>0</v>
      </c>
      <c r="R1361" s="97">
        <f t="shared" ref="R1361:R1367" si="3069">$I1361*L1361</f>
        <v>0</v>
      </c>
      <c r="S1361" s="97">
        <f t="shared" ref="S1361:S1367" si="3070">$J1361*M1361</f>
        <v>0</v>
      </c>
      <c r="T1361" s="97">
        <f t="shared" ref="T1361:T1367" si="3071">$K1361*N1361</f>
        <v>0</v>
      </c>
      <c r="U1361" s="268">
        <f>$F1361*U$1370</f>
        <v>39.962071028899999</v>
      </c>
      <c r="V1361" s="268">
        <f>$G1361*V$1370</f>
        <v>42.026840954699999</v>
      </c>
      <c r="W1361" s="268">
        <f>$H1361*W$1370</f>
        <v>43.043472200499998</v>
      </c>
      <c r="X1361" s="268">
        <f>$I1361*X$1370</f>
        <v>0</v>
      </c>
      <c r="Y1361" s="268">
        <f>$J1361*Y$1370</f>
        <v>0</v>
      </c>
      <c r="Z1361" s="268">
        <f>$K1361*Z$1370</f>
        <v>0</v>
      </c>
      <c r="AA1361" s="97">
        <f t="shared" ref="AA1361:AC1367" si="3072">L1361*U1361</f>
        <v>0</v>
      </c>
      <c r="AB1361" s="97">
        <f t="shared" si="3072"/>
        <v>0</v>
      </c>
      <c r="AC1361" s="97">
        <f t="shared" si="3072"/>
        <v>0</v>
      </c>
      <c r="AD1361" s="97">
        <f t="shared" ref="AD1361:AF1367" si="3073">L1361*X1361</f>
        <v>0</v>
      </c>
      <c r="AE1361" s="97">
        <f t="shared" si="3073"/>
        <v>0</v>
      </c>
      <c r="AF1361" s="97">
        <f t="shared" si="3073"/>
        <v>0</v>
      </c>
      <c r="AG1361" s="102">
        <v>864</v>
      </c>
      <c r="AH1361" s="102">
        <v>864</v>
      </c>
      <c r="AI1361" s="102">
        <v>864</v>
      </c>
      <c r="AJ1361" s="97">
        <f t="shared" ref="AJ1361:AJ1367" si="3074">$F1361*AG1361</f>
        <v>34240.32</v>
      </c>
      <c r="AK1361" s="97">
        <f t="shared" ref="AK1361:AK1367" si="3075">$G1361*AH1361</f>
        <v>36132.480000000003</v>
      </c>
      <c r="AL1361" s="97">
        <f t="shared" ref="AL1361:AL1367" si="3076">$H1361*AI1361</f>
        <v>37575.360000000001</v>
      </c>
      <c r="AM1361" s="97">
        <f t="shared" ref="AM1361:AM1367" si="3077">$I1361*AG1361</f>
        <v>0</v>
      </c>
      <c r="AN1361" s="97">
        <f t="shared" ref="AN1361:AN1367" si="3078">$J1361*AH1361</f>
        <v>0</v>
      </c>
      <c r="AO1361" s="97">
        <f t="shared" ref="AO1361:AO1367" si="3079">$K1361*AI1361</f>
        <v>0</v>
      </c>
      <c r="AP1361" s="268">
        <f>$F1361*AP$1370</f>
        <v>39.895330958300001</v>
      </c>
      <c r="AQ1361" s="268">
        <f>$G1361*AQ$1370</f>
        <v>42.0250741308</v>
      </c>
      <c r="AR1361" s="268">
        <f>$H1361*AR$1370</f>
        <v>43.072472167500003</v>
      </c>
      <c r="AS1361" s="268">
        <f>$I1361*AS$1370</f>
        <v>0</v>
      </c>
      <c r="AT1361" s="268">
        <f>$J1361*AT$1370</f>
        <v>0</v>
      </c>
      <c r="AU1361" s="268">
        <f>$K1361*AU$1370</f>
        <v>0</v>
      </c>
      <c r="AV1361" s="97">
        <f t="shared" ref="AV1361:AX1367" si="3080">AG1361*AP1361</f>
        <v>34469.57</v>
      </c>
      <c r="AW1361" s="97">
        <f t="shared" si="3080"/>
        <v>36309.660000000003</v>
      </c>
      <c r="AX1361" s="97">
        <f t="shared" si="3080"/>
        <v>37214.620000000003</v>
      </c>
      <c r="AY1361" s="97">
        <f t="shared" ref="AY1361:BA1367" si="3081">AG1361*AS1361</f>
        <v>0</v>
      </c>
      <c r="AZ1361" s="97">
        <f t="shared" si="3081"/>
        <v>0</v>
      </c>
      <c r="BA1361" s="97">
        <f t="shared" si="3081"/>
        <v>0</v>
      </c>
      <c r="BB1361" s="102">
        <v>864</v>
      </c>
      <c r="BC1361" s="102">
        <v>864</v>
      </c>
      <c r="BD1361" s="102">
        <v>864</v>
      </c>
      <c r="BE1361" s="97">
        <f t="shared" ref="BE1361:BE1367" si="3082">$F1361*BB1361</f>
        <v>34240.32</v>
      </c>
      <c r="BF1361" s="97">
        <f t="shared" ref="BF1361:BF1367" si="3083">$G1361*BC1361</f>
        <v>36132.480000000003</v>
      </c>
      <c r="BG1361" s="97">
        <f t="shared" ref="BG1361:BG1367" si="3084">$H1361*BD1361</f>
        <v>37575.360000000001</v>
      </c>
      <c r="BH1361" s="97">
        <f t="shared" ref="BH1361:BH1367" si="3085">$I1361*BB1361</f>
        <v>0</v>
      </c>
      <c r="BI1361" s="97">
        <f t="shared" ref="BI1361:BI1367" si="3086">$J1361*BC1361</f>
        <v>0</v>
      </c>
      <c r="BJ1361" s="97">
        <f t="shared" ref="BJ1361:BJ1367" si="3087">$K1361*BD1361</f>
        <v>0</v>
      </c>
      <c r="BK1361" s="268">
        <f>$F1361*BK$1370</f>
        <v>39.9699762865</v>
      </c>
      <c r="BL1361" s="268">
        <f>$G1361*BL$1370</f>
        <v>42.013470293600001</v>
      </c>
      <c r="BM1361" s="268">
        <f>$H1361*BM$1370</f>
        <v>43.014777367999997</v>
      </c>
      <c r="BN1361" s="268">
        <f>$I1361*BN$1370</f>
        <v>0</v>
      </c>
      <c r="BO1361" s="268">
        <f>$J1361*BO$1370</f>
        <v>0</v>
      </c>
      <c r="BP1361" s="268">
        <f>$K1361*BP$1370</f>
        <v>0</v>
      </c>
      <c r="BQ1361" s="97">
        <f t="shared" ref="BQ1361:BS1367" si="3088">BB1361*BK1361</f>
        <v>34534.06</v>
      </c>
      <c r="BR1361" s="97">
        <f t="shared" si="3088"/>
        <v>36299.64</v>
      </c>
      <c r="BS1361" s="97">
        <f t="shared" si="3088"/>
        <v>37164.769999999997</v>
      </c>
      <c r="BT1361" s="97">
        <f t="shared" ref="BT1361:BV1367" si="3089">BB1361*BN1361</f>
        <v>0</v>
      </c>
      <c r="BU1361" s="97">
        <f t="shared" si="3089"/>
        <v>0</v>
      </c>
      <c r="BV1361" s="97">
        <f t="shared" si="3089"/>
        <v>0</v>
      </c>
      <c r="BW1361" s="102"/>
      <c r="BX1361" s="102"/>
      <c r="BY1361" s="102"/>
      <c r="BZ1361" s="97">
        <f t="shared" ref="BZ1361:BZ1367" si="3090">$F1361*BW1361</f>
        <v>0</v>
      </c>
      <c r="CA1361" s="97">
        <f t="shared" ref="CA1361:CA1367" si="3091">$G1361*BX1361</f>
        <v>0</v>
      </c>
      <c r="CB1361" s="97">
        <f t="shared" ref="CB1361:CB1367" si="3092">$H1361*BY1361</f>
        <v>0</v>
      </c>
      <c r="CC1361" s="97">
        <f t="shared" ref="CC1361:CC1367" si="3093">$I1361*BW1361</f>
        <v>0</v>
      </c>
      <c r="CD1361" s="97">
        <f t="shared" ref="CD1361:CD1367" si="3094">$J1361*BX1361</f>
        <v>0</v>
      </c>
      <c r="CE1361" s="97">
        <f t="shared" ref="CE1361:CE1367" si="3095">$K1361*BY1361</f>
        <v>0</v>
      </c>
      <c r="CF1361" s="268">
        <f>$F1361*CF$1370</f>
        <v>39.8665439046</v>
      </c>
      <c r="CG1361" s="268">
        <f>$G1361*CG$1370</f>
        <v>42.029318304599997</v>
      </c>
      <c r="CH1361" s="268">
        <f>$H1361*CH$1370</f>
        <v>43.103772838099999</v>
      </c>
      <c r="CI1361" s="268">
        <f>$I1361*CI$1370</f>
        <v>0</v>
      </c>
      <c r="CJ1361" s="268">
        <f>$J1361*CJ$1370</f>
        <v>0</v>
      </c>
      <c r="CK1361" s="268">
        <f>$K1361*CK$1370</f>
        <v>0</v>
      </c>
      <c r="CL1361" s="97">
        <f t="shared" ref="CL1361:CN1367" si="3096">BW1361*CF1361</f>
        <v>0</v>
      </c>
      <c r="CM1361" s="97">
        <f t="shared" si="3096"/>
        <v>0</v>
      </c>
      <c r="CN1361" s="97">
        <f t="shared" si="3096"/>
        <v>0</v>
      </c>
      <c r="CO1361" s="97">
        <f t="shared" ref="CO1361:CQ1367" si="3097">BW1361*CI1361</f>
        <v>0</v>
      </c>
      <c r="CP1361" s="97">
        <f t="shared" si="3097"/>
        <v>0</v>
      </c>
      <c r="CQ1361" s="97">
        <f t="shared" si="3097"/>
        <v>0</v>
      </c>
      <c r="CR1361" s="102">
        <v>1210</v>
      </c>
      <c r="CS1361" s="102">
        <v>1210</v>
      </c>
      <c r="CT1361" s="102">
        <v>1210</v>
      </c>
      <c r="CU1361" s="97">
        <f t="shared" ref="CU1361:CU1367" si="3098">$F1361*CR1361</f>
        <v>47952.3</v>
      </c>
      <c r="CV1361" s="97">
        <f t="shared" ref="CV1361:CV1367" si="3099">$G1361*CS1361</f>
        <v>50602.2</v>
      </c>
      <c r="CW1361" s="97">
        <f t="shared" ref="CW1361:CW1367" si="3100">$H1361*CT1361</f>
        <v>52622.9</v>
      </c>
      <c r="CX1361" s="97">
        <f t="shared" ref="CX1361:CX1367" si="3101">$I1361*CR1361</f>
        <v>0</v>
      </c>
      <c r="CY1361" s="97">
        <f t="shared" ref="CY1361:CY1367" si="3102">$J1361*CS1361</f>
        <v>0</v>
      </c>
      <c r="CZ1361" s="97">
        <f t="shared" ref="CZ1361:CZ1367" si="3103">$K1361*CT1361</f>
        <v>0</v>
      </c>
      <c r="DA1361" s="268">
        <f>$F1361*DA$1370</f>
        <v>39.942969777099997</v>
      </c>
      <c r="DB1361" s="268">
        <f>$G1361*DB$1370</f>
        <v>41.990962978699997</v>
      </c>
      <c r="DC1361" s="268">
        <f>$H1361*DC$1370</f>
        <v>43.0207826368</v>
      </c>
      <c r="DD1361" s="268">
        <f>$I1361*DD$1370</f>
        <v>0</v>
      </c>
      <c r="DE1361" s="268">
        <f>$J1361*DE$1370</f>
        <v>0</v>
      </c>
      <c r="DF1361" s="268">
        <f>$K1361*DF$1370</f>
        <v>0</v>
      </c>
      <c r="DG1361" s="97">
        <f t="shared" ref="DG1361:DI1367" si="3104">CR1361*DA1361</f>
        <v>48330.99</v>
      </c>
      <c r="DH1361" s="97">
        <f t="shared" si="3104"/>
        <v>50809.07</v>
      </c>
      <c r="DI1361" s="97">
        <f t="shared" si="3104"/>
        <v>52055.15</v>
      </c>
      <c r="DJ1361" s="97">
        <f t="shared" ref="DJ1361:DL1367" si="3105">CR1361*DD1361</f>
        <v>0</v>
      </c>
      <c r="DK1361" s="97">
        <f t="shared" si="3105"/>
        <v>0</v>
      </c>
      <c r="DL1361" s="97">
        <f t="shared" si="3105"/>
        <v>0</v>
      </c>
      <c r="DM1361" s="102">
        <v>518</v>
      </c>
      <c r="DN1361" s="102">
        <v>518</v>
      </c>
      <c r="DO1361" s="102">
        <v>518</v>
      </c>
      <c r="DP1361" s="97">
        <f t="shared" ref="DP1361:DP1367" si="3106">$F1361*DM1361</f>
        <v>20528.34</v>
      </c>
      <c r="DQ1361" s="97">
        <f t="shared" ref="DQ1361:DQ1367" si="3107">$G1361*DN1361</f>
        <v>21662.76</v>
      </c>
      <c r="DR1361" s="97">
        <f t="shared" ref="DR1361:DR1367" si="3108">$H1361*DO1361</f>
        <v>22527.82</v>
      </c>
      <c r="DS1361" s="97">
        <f t="shared" ref="DS1361:DS1367" si="3109">$I1361*DM1361</f>
        <v>0</v>
      </c>
      <c r="DT1361" s="97">
        <f t="shared" ref="DT1361:DT1367" si="3110">$J1361*DN1361</f>
        <v>0</v>
      </c>
      <c r="DU1361" s="97">
        <f t="shared" ref="DU1361:DU1367" si="3111">$K1361*DO1361</f>
        <v>0</v>
      </c>
      <c r="DV1361" s="268">
        <f>$F1361*DV$1370</f>
        <v>39.962184453900001</v>
      </c>
      <c r="DW1361" s="268">
        <f>$G1361*DW$1370</f>
        <v>42.017165630000001</v>
      </c>
      <c r="DX1361" s="268">
        <f>$H1361*DX$1370</f>
        <v>43.0423530984</v>
      </c>
      <c r="DY1361" s="268">
        <f>$I1361*DY$1370</f>
        <v>0</v>
      </c>
      <c r="DZ1361" s="268">
        <f>$J1361*DZ$1370</f>
        <v>0</v>
      </c>
      <c r="EA1361" s="268">
        <f>$K1361*EA$1370</f>
        <v>0</v>
      </c>
      <c r="EB1361" s="97">
        <f t="shared" ref="EB1361:ED1367" si="3112">DM1361*DV1361</f>
        <v>20700.41</v>
      </c>
      <c r="EC1361" s="97">
        <f t="shared" si="3112"/>
        <v>21764.89</v>
      </c>
      <c r="ED1361" s="97">
        <f t="shared" si="3112"/>
        <v>22295.94</v>
      </c>
      <c r="EE1361" s="97">
        <f t="shared" ref="EE1361:EG1367" si="3113">DM1361*DY1361</f>
        <v>0</v>
      </c>
      <c r="EF1361" s="97">
        <f t="shared" si="3113"/>
        <v>0</v>
      </c>
      <c r="EG1361" s="97">
        <f t="shared" si="3113"/>
        <v>0</v>
      </c>
      <c r="EH1361" s="102"/>
      <c r="EI1361" s="102"/>
      <c r="EJ1361" s="102"/>
      <c r="EK1361" s="97">
        <f t="shared" ref="EK1361:EK1367" si="3114">$F1361*EH1361</f>
        <v>0</v>
      </c>
      <c r="EL1361" s="97">
        <f t="shared" ref="EL1361:EL1367" si="3115">$G1361*EI1361</f>
        <v>0</v>
      </c>
      <c r="EM1361" s="97">
        <f t="shared" ref="EM1361:EM1367" si="3116">$H1361*EJ1361</f>
        <v>0</v>
      </c>
      <c r="EN1361" s="97">
        <f t="shared" ref="EN1361:EN1367" si="3117">$I1361*EH1361</f>
        <v>0</v>
      </c>
      <c r="EO1361" s="97">
        <f t="shared" ref="EO1361:EO1367" si="3118">$J1361*EI1361</f>
        <v>0</v>
      </c>
      <c r="EP1361" s="97">
        <f t="shared" ref="EP1361:EP1367" si="3119">$K1361*EJ1361</f>
        <v>0</v>
      </c>
      <c r="EQ1361" s="268">
        <f>$F1361*EQ$1370</f>
        <v>0</v>
      </c>
      <c r="ER1361" s="268">
        <f>$G1361*ER$1370</f>
        <v>0</v>
      </c>
      <c r="ES1361" s="268">
        <f>$H1361*ES$1370</f>
        <v>0</v>
      </c>
      <c r="ET1361" s="268">
        <f>$I1361*ET$1370</f>
        <v>0</v>
      </c>
      <c r="EU1361" s="268">
        <f>$J1361*EU$1370</f>
        <v>0</v>
      </c>
      <c r="EV1361" s="268">
        <f>$K1361*EV$1370</f>
        <v>0</v>
      </c>
      <c r="EW1361" s="97">
        <f t="shared" ref="EW1361:EY1367" si="3120">EH1361*EQ1361</f>
        <v>0</v>
      </c>
      <c r="EX1361" s="97">
        <f t="shared" si="3120"/>
        <v>0</v>
      </c>
      <c r="EY1361" s="97">
        <f t="shared" si="3120"/>
        <v>0</v>
      </c>
      <c r="EZ1361" s="97">
        <f t="shared" ref="EZ1361:FB1367" si="3121">EH1361*ET1361</f>
        <v>0</v>
      </c>
      <c r="FA1361" s="97">
        <f t="shared" si="3121"/>
        <v>0</v>
      </c>
      <c r="FB1361" s="97">
        <f t="shared" si="3121"/>
        <v>0</v>
      </c>
      <c r="FC1361" s="102">
        <v>484</v>
      </c>
      <c r="FD1361" s="102">
        <v>484</v>
      </c>
      <c r="FE1361" s="102">
        <v>484</v>
      </c>
      <c r="FF1361" s="97">
        <f t="shared" ref="FF1361:FF1367" si="3122">$F1361*FC1361</f>
        <v>19180.919999999998</v>
      </c>
      <c r="FG1361" s="97">
        <f t="shared" ref="FG1361:FG1367" si="3123">$G1361*FD1361</f>
        <v>20240.88</v>
      </c>
      <c r="FH1361" s="97">
        <f t="shared" ref="FH1361:FH1367" si="3124">$H1361*FE1361</f>
        <v>21049.16</v>
      </c>
      <c r="FI1361" s="97">
        <f t="shared" ref="FI1361:FI1367" si="3125">$I1361*FC1361</f>
        <v>0</v>
      </c>
      <c r="FJ1361" s="97">
        <f t="shared" ref="FJ1361:FJ1367" si="3126">$J1361*FD1361</f>
        <v>0</v>
      </c>
      <c r="FK1361" s="97">
        <f t="shared" ref="FK1361:FK1367" si="3127">$K1361*FE1361</f>
        <v>0</v>
      </c>
      <c r="FL1361" s="268">
        <f>$F1361*FL$1370</f>
        <v>39.924749583400001</v>
      </c>
      <c r="FM1361" s="268">
        <f>$G1361*FM$1370</f>
        <v>41.988346861700002</v>
      </c>
      <c r="FN1361" s="268">
        <f>$H1361*FN$1370</f>
        <v>43.008761778999997</v>
      </c>
      <c r="FO1361" s="268">
        <f>$I1361*FO$1370</f>
        <v>0</v>
      </c>
      <c r="FP1361" s="268">
        <f>$J1361*FP$1370</f>
        <v>0</v>
      </c>
      <c r="FQ1361" s="268">
        <f>$K1361*FQ$1370</f>
        <v>0</v>
      </c>
      <c r="FR1361" s="97">
        <f t="shared" ref="FR1361:FT1367" si="3128">FC1361*FL1361</f>
        <v>19323.580000000002</v>
      </c>
      <c r="FS1361" s="97">
        <f t="shared" si="3128"/>
        <v>20322.36</v>
      </c>
      <c r="FT1361" s="97">
        <f t="shared" si="3128"/>
        <v>20816.240000000002</v>
      </c>
      <c r="FU1361" s="97">
        <f t="shared" ref="FU1361:FW1367" si="3129">FC1361*FO1361</f>
        <v>0</v>
      </c>
      <c r="FV1361" s="97">
        <f t="shared" si="3129"/>
        <v>0</v>
      </c>
      <c r="FW1361" s="97">
        <f t="shared" si="3129"/>
        <v>0</v>
      </c>
      <c r="FX1361" s="102"/>
      <c r="FY1361" s="102"/>
      <c r="FZ1361" s="102"/>
      <c r="GA1361" s="97">
        <f t="shared" ref="GA1361:GA1367" si="3130">$F1361*FX1361</f>
        <v>0</v>
      </c>
      <c r="GB1361" s="97">
        <f t="shared" ref="GB1361:GB1367" si="3131">$G1361*FY1361</f>
        <v>0</v>
      </c>
      <c r="GC1361" s="97">
        <f t="shared" ref="GC1361:GC1367" si="3132">$H1361*FZ1361</f>
        <v>0</v>
      </c>
      <c r="GD1361" s="97">
        <f t="shared" ref="GD1361:GD1367" si="3133">$I1361*FX1361</f>
        <v>0</v>
      </c>
      <c r="GE1361" s="97">
        <f t="shared" ref="GE1361:GE1367" si="3134">$J1361*FY1361</f>
        <v>0</v>
      </c>
      <c r="GF1361" s="97">
        <f t="shared" ref="GF1361:GF1367" si="3135">$K1361*FZ1361</f>
        <v>0</v>
      </c>
      <c r="GG1361" s="268">
        <f>$F1361*GG$1370</f>
        <v>0</v>
      </c>
      <c r="GH1361" s="268">
        <f>$G1361*GH$1370</f>
        <v>0</v>
      </c>
      <c r="GI1361" s="268">
        <f>$H1361*GI$1370</f>
        <v>0</v>
      </c>
      <c r="GJ1361" s="268">
        <f>$I1361*GJ$1370</f>
        <v>0</v>
      </c>
      <c r="GK1361" s="268">
        <f>$J1361*GK$1370</f>
        <v>0</v>
      </c>
      <c r="GL1361" s="268">
        <f>$K1361*GL$1370</f>
        <v>0</v>
      </c>
      <c r="GM1361" s="97">
        <f t="shared" ref="GM1361:GO1367" si="3136">FX1361*GG1361</f>
        <v>0</v>
      </c>
      <c r="GN1361" s="97">
        <f t="shared" si="3136"/>
        <v>0</v>
      </c>
      <c r="GO1361" s="97">
        <f t="shared" si="3136"/>
        <v>0</v>
      </c>
      <c r="GP1361" s="97">
        <f t="shared" ref="GP1361:GR1367" si="3137">FX1361*GJ1361</f>
        <v>0</v>
      </c>
      <c r="GQ1361" s="97">
        <f t="shared" si="3137"/>
        <v>0</v>
      </c>
      <c r="GR1361" s="97">
        <f t="shared" si="3137"/>
        <v>0</v>
      </c>
      <c r="GS1361" s="102"/>
      <c r="GT1361" s="102"/>
      <c r="GU1361" s="102"/>
      <c r="GV1361" s="97">
        <f t="shared" ref="GV1361:GV1367" si="3138">$F1361*GS1361</f>
        <v>0</v>
      </c>
      <c r="GW1361" s="97">
        <f t="shared" ref="GW1361:GW1367" si="3139">$G1361*GT1361</f>
        <v>0</v>
      </c>
      <c r="GX1361" s="97">
        <f t="shared" ref="GX1361:GX1367" si="3140">$H1361*GU1361</f>
        <v>0</v>
      </c>
      <c r="GY1361" s="97">
        <f t="shared" ref="GY1361:GY1367" si="3141">$I1361*GS1361</f>
        <v>0</v>
      </c>
      <c r="GZ1361" s="97">
        <f t="shared" ref="GZ1361:GZ1367" si="3142">$J1361*GT1361</f>
        <v>0</v>
      </c>
      <c r="HA1361" s="97">
        <f t="shared" ref="HA1361:HA1367" si="3143">$K1361*GU1361</f>
        <v>0</v>
      </c>
      <c r="HB1361" s="268">
        <f>$F1361*HB$1370</f>
        <v>39.830367369800001</v>
      </c>
      <c r="HC1361" s="268">
        <f>$G1361*HC$1370</f>
        <v>42.029318304599997</v>
      </c>
      <c r="HD1361" s="268">
        <f>$H1361*HD$1370</f>
        <v>43.0676119556</v>
      </c>
      <c r="HE1361" s="268">
        <f>$I1361*HE$1370</f>
        <v>0</v>
      </c>
      <c r="HF1361" s="268">
        <f>$J1361*HF$1370</f>
        <v>0</v>
      </c>
      <c r="HG1361" s="268">
        <f>$K1361*HG$1370</f>
        <v>0</v>
      </c>
      <c r="HH1361" s="97">
        <f t="shared" ref="HH1361:HJ1367" si="3144">GS1361*HB1361</f>
        <v>0</v>
      </c>
      <c r="HI1361" s="97">
        <f t="shared" si="3144"/>
        <v>0</v>
      </c>
      <c r="HJ1361" s="97">
        <f t="shared" si="3144"/>
        <v>0</v>
      </c>
      <c r="HK1361" s="97">
        <f t="shared" ref="HK1361:HM1367" si="3145">GS1361*HE1361</f>
        <v>0</v>
      </c>
      <c r="HL1361" s="97">
        <f t="shared" si="3145"/>
        <v>0</v>
      </c>
      <c r="HM1361" s="97">
        <f t="shared" si="3145"/>
        <v>0</v>
      </c>
      <c r="HN1361" s="102"/>
      <c r="HO1361" s="102"/>
      <c r="HP1361" s="102"/>
      <c r="HQ1361" s="97">
        <f t="shared" ref="HQ1361:HQ1367" si="3146">$F1361*HN1361</f>
        <v>0</v>
      </c>
      <c r="HR1361" s="97">
        <f t="shared" ref="HR1361:HR1367" si="3147">$G1361*HO1361</f>
        <v>0</v>
      </c>
      <c r="HS1361" s="97">
        <f t="shared" ref="HS1361:HS1367" si="3148">$H1361*HP1361</f>
        <v>0</v>
      </c>
      <c r="HT1361" s="97">
        <f t="shared" ref="HT1361:HT1367" si="3149">$I1361*HN1361</f>
        <v>0</v>
      </c>
      <c r="HU1361" s="97">
        <f t="shared" ref="HU1361:HU1367" si="3150">$J1361*HO1361</f>
        <v>0</v>
      </c>
      <c r="HV1361" s="97">
        <f t="shared" ref="HV1361:HV1367" si="3151">$K1361*HP1361</f>
        <v>0</v>
      </c>
      <c r="HW1361" s="268">
        <f>$F1361*HW$1370</f>
        <v>0</v>
      </c>
      <c r="HX1361" s="268">
        <f>$G1361*HX$1370</f>
        <v>0</v>
      </c>
      <c r="HY1361" s="268">
        <f>$H1361*HY$1370</f>
        <v>0</v>
      </c>
      <c r="HZ1361" s="268">
        <f>$I1361*HZ$1370</f>
        <v>0</v>
      </c>
      <c r="IA1361" s="268">
        <f>$J1361*IA$1370</f>
        <v>0</v>
      </c>
      <c r="IB1361" s="268">
        <f>$K1361*IB$1370</f>
        <v>0</v>
      </c>
      <c r="IC1361" s="97">
        <f t="shared" ref="IC1361:IE1367" si="3152">HN1361*HW1361</f>
        <v>0</v>
      </c>
      <c r="ID1361" s="97">
        <f t="shared" si="3152"/>
        <v>0</v>
      </c>
      <c r="IE1361" s="97">
        <f t="shared" si="3152"/>
        <v>0</v>
      </c>
      <c r="IF1361" s="97">
        <f t="shared" ref="IF1361:IH1367" si="3153">HN1361*HZ1361</f>
        <v>0</v>
      </c>
      <c r="IG1361" s="97">
        <f t="shared" si="3153"/>
        <v>0</v>
      </c>
      <c r="IH1361" s="97">
        <f t="shared" si="3153"/>
        <v>0</v>
      </c>
      <c r="II1361" s="102">
        <v>691</v>
      </c>
      <c r="IJ1361" s="102">
        <v>691</v>
      </c>
      <c r="IK1361" s="102">
        <v>691</v>
      </c>
      <c r="IL1361" s="97">
        <f t="shared" ref="IL1361:IL1367" si="3154">$F1361*II1361</f>
        <v>27384.33</v>
      </c>
      <c r="IM1361" s="97">
        <f t="shared" ref="IM1361:IM1367" si="3155">$G1361*IJ1361</f>
        <v>28897.62</v>
      </c>
      <c r="IN1361" s="97">
        <f t="shared" ref="IN1361:IN1367" si="3156">$H1361*IK1361</f>
        <v>30051.59</v>
      </c>
      <c r="IO1361" s="97">
        <f t="shared" ref="IO1361:IO1367" si="3157">$I1361*II1361</f>
        <v>0</v>
      </c>
      <c r="IP1361" s="97">
        <f t="shared" ref="IP1361:IP1367" si="3158">$J1361*IJ1361</f>
        <v>0</v>
      </c>
      <c r="IQ1361" s="97">
        <f t="shared" ref="IQ1361:IQ1367" si="3159">$K1361*IK1361</f>
        <v>0</v>
      </c>
      <c r="IR1361" s="268">
        <f>$F1361*IR$1370</f>
        <v>39.999999998299998</v>
      </c>
      <c r="IS1361" s="268">
        <f>$G1361*IS$1370</f>
        <v>42.025316456799999</v>
      </c>
      <c r="IT1361" s="268">
        <f>$H1361*IT$1370</f>
        <v>43.037974681800002</v>
      </c>
      <c r="IU1361" s="268">
        <f>$I1361*IU$1370</f>
        <v>0</v>
      </c>
      <c r="IV1361" s="268">
        <f>$J1361*IV$1370</f>
        <v>0</v>
      </c>
      <c r="IW1361" s="268">
        <f>$K1361*IW$1370</f>
        <v>0</v>
      </c>
      <c r="IX1361" s="97">
        <f t="shared" ref="IX1361:IZ1367" si="3160">II1361*IR1361</f>
        <v>27640</v>
      </c>
      <c r="IY1361" s="97">
        <f t="shared" si="3160"/>
        <v>29039.49</v>
      </c>
      <c r="IZ1361" s="97">
        <f t="shared" si="3160"/>
        <v>29739.24</v>
      </c>
      <c r="JA1361" s="97">
        <f t="shared" ref="JA1361:JC1367" si="3161">II1361*IU1361</f>
        <v>0</v>
      </c>
      <c r="JB1361" s="97">
        <f t="shared" si="3161"/>
        <v>0</v>
      </c>
      <c r="JC1361" s="97">
        <f t="shared" si="3161"/>
        <v>0</v>
      </c>
      <c r="JD1361" s="102"/>
      <c r="JE1361" s="102"/>
      <c r="JF1361" s="102"/>
      <c r="JG1361" s="97">
        <f t="shared" ref="JG1361:JG1367" si="3162">$F1361*JD1361</f>
        <v>0</v>
      </c>
      <c r="JH1361" s="97">
        <f t="shared" ref="JH1361:JH1367" si="3163">$G1361*JE1361</f>
        <v>0</v>
      </c>
      <c r="JI1361" s="97">
        <f t="shared" ref="JI1361:JI1367" si="3164">$H1361*JF1361</f>
        <v>0</v>
      </c>
      <c r="JJ1361" s="97">
        <f t="shared" ref="JJ1361:JJ1367" si="3165">$I1361*JD1361</f>
        <v>0</v>
      </c>
      <c r="JK1361" s="97">
        <f t="shared" ref="JK1361:JK1367" si="3166">$J1361*JE1361</f>
        <v>0</v>
      </c>
      <c r="JL1361" s="97">
        <f t="shared" ref="JL1361:JL1367" si="3167">$K1361*JF1361</f>
        <v>0</v>
      </c>
      <c r="JM1361" s="268">
        <f>$F1361*JM$1370</f>
        <v>0</v>
      </c>
      <c r="JN1361" s="268">
        <f>$G1361*JN$1370</f>
        <v>0</v>
      </c>
      <c r="JO1361" s="268">
        <f>$H1361*JO$1370</f>
        <v>0</v>
      </c>
      <c r="JP1361" s="268">
        <f>$I1361*JP$1370</f>
        <v>0</v>
      </c>
      <c r="JQ1361" s="268">
        <f>$J1361*JQ$1370</f>
        <v>0</v>
      </c>
      <c r="JR1361" s="268">
        <f>$K1361*JR$1370</f>
        <v>0</v>
      </c>
      <c r="JS1361" s="97">
        <f t="shared" ref="JS1361:JU1367" si="3168">JD1361*JM1361</f>
        <v>0</v>
      </c>
      <c r="JT1361" s="97">
        <f t="shared" si="3168"/>
        <v>0</v>
      </c>
      <c r="JU1361" s="97">
        <f t="shared" si="3168"/>
        <v>0</v>
      </c>
      <c r="JV1361" s="97">
        <f t="shared" ref="JV1361:JX1367" si="3169">JD1361*JP1361</f>
        <v>0</v>
      </c>
      <c r="JW1361" s="97">
        <f t="shared" si="3169"/>
        <v>0</v>
      </c>
      <c r="JX1361" s="97">
        <f t="shared" si="3169"/>
        <v>0</v>
      </c>
      <c r="JY1361" s="102"/>
      <c r="JZ1361" s="102"/>
      <c r="KA1361" s="102"/>
      <c r="KB1361" s="97">
        <f t="shared" ref="KB1361:KB1367" si="3170">$F1361*JY1361</f>
        <v>0</v>
      </c>
      <c r="KC1361" s="97">
        <f t="shared" ref="KC1361:KC1367" si="3171">$G1361*JZ1361</f>
        <v>0</v>
      </c>
      <c r="KD1361" s="97">
        <f t="shared" ref="KD1361:KD1367" si="3172">$H1361*KA1361</f>
        <v>0</v>
      </c>
      <c r="KE1361" s="97">
        <f t="shared" ref="KE1361:KE1367" si="3173">$I1361*JY1361</f>
        <v>0</v>
      </c>
      <c r="KF1361" s="97">
        <f t="shared" ref="KF1361:KF1367" si="3174">$J1361*JZ1361</f>
        <v>0</v>
      </c>
      <c r="KG1361" s="97">
        <f t="shared" ref="KG1361:KG1367" si="3175">$K1361*KA1361</f>
        <v>0</v>
      </c>
      <c r="KH1361" s="268">
        <f>$F1361*KH$1370</f>
        <v>39.881656725900001</v>
      </c>
      <c r="KI1361" s="268">
        <f>$G1361*KI$1370</f>
        <v>42.017089668200001</v>
      </c>
      <c r="KJ1361" s="268">
        <f>$H1361*KJ$1370</f>
        <v>43.079265675099997</v>
      </c>
      <c r="KK1361" s="268">
        <f>$I1361*KK$1370</f>
        <v>0</v>
      </c>
      <c r="KL1361" s="268">
        <f>$J1361*KL$1370</f>
        <v>0</v>
      </c>
      <c r="KM1361" s="268">
        <f>$K1361*KM$1370</f>
        <v>0</v>
      </c>
      <c r="KN1361" s="97">
        <f t="shared" ref="KN1361:KP1367" si="3176">JY1361*KH1361</f>
        <v>0</v>
      </c>
      <c r="KO1361" s="97">
        <f t="shared" si="3176"/>
        <v>0</v>
      </c>
      <c r="KP1361" s="97">
        <f t="shared" si="3176"/>
        <v>0</v>
      </c>
      <c r="KQ1361" s="97">
        <f t="shared" ref="KQ1361:KS1367" si="3177">JY1361*KK1361</f>
        <v>0</v>
      </c>
      <c r="KR1361" s="97">
        <f t="shared" si="3177"/>
        <v>0</v>
      </c>
      <c r="KS1361" s="97">
        <f t="shared" si="3177"/>
        <v>0</v>
      </c>
      <c r="KT1361" s="102"/>
      <c r="KU1361" s="102"/>
      <c r="KV1361" s="102"/>
      <c r="KW1361" s="97">
        <f t="shared" ref="KW1361:KW1367" si="3178">$F1361*KT1361</f>
        <v>0</v>
      </c>
      <c r="KX1361" s="97">
        <f t="shared" ref="KX1361:KX1367" si="3179">$G1361*KU1361</f>
        <v>0</v>
      </c>
      <c r="KY1361" s="97">
        <f t="shared" ref="KY1361:KY1367" si="3180">$H1361*KV1361</f>
        <v>0</v>
      </c>
      <c r="KZ1361" s="97">
        <f t="shared" ref="KZ1361:KZ1367" si="3181">$I1361*KT1361</f>
        <v>0</v>
      </c>
      <c r="LA1361" s="97">
        <f t="shared" ref="LA1361:LA1367" si="3182">$J1361*KU1361</f>
        <v>0</v>
      </c>
      <c r="LB1361" s="97">
        <f t="shared" ref="LB1361:LB1367" si="3183">$K1361*KV1361</f>
        <v>0</v>
      </c>
      <c r="LC1361" s="268">
        <f>$F1361*LC$1370</f>
        <v>0</v>
      </c>
      <c r="LD1361" s="268">
        <f>$G1361*LD$1370</f>
        <v>0</v>
      </c>
      <c r="LE1361" s="268">
        <f>$H1361*LE$1370</f>
        <v>0</v>
      </c>
      <c r="LF1361" s="268">
        <f>$I1361*LF$1370</f>
        <v>0</v>
      </c>
      <c r="LG1361" s="268">
        <f>$J1361*LG$1370</f>
        <v>0</v>
      </c>
      <c r="LH1361" s="268">
        <f>$K1361*LH$1370</f>
        <v>0</v>
      </c>
      <c r="LI1361" s="97">
        <f t="shared" ref="LI1361:LK1367" si="3184">KT1361*LC1361</f>
        <v>0</v>
      </c>
      <c r="LJ1361" s="97">
        <f t="shared" si="3184"/>
        <v>0</v>
      </c>
      <c r="LK1361" s="97">
        <f t="shared" si="3184"/>
        <v>0</v>
      </c>
      <c r="LL1361" s="97">
        <f t="shared" ref="LL1361:LN1367" si="3185">KT1361*LF1361</f>
        <v>0</v>
      </c>
      <c r="LM1361" s="97">
        <f t="shared" si="3185"/>
        <v>0</v>
      </c>
      <c r="LN1361" s="97">
        <f t="shared" si="3185"/>
        <v>0</v>
      </c>
      <c r="LO1361" s="102"/>
      <c r="LP1361" s="102"/>
      <c r="LQ1361" s="102"/>
      <c r="LR1361" s="97">
        <f t="shared" ref="LR1361:LR1367" si="3186">$F1361*LO1361</f>
        <v>0</v>
      </c>
      <c r="LS1361" s="97">
        <f t="shared" ref="LS1361:LS1367" si="3187">$G1361*LP1361</f>
        <v>0</v>
      </c>
      <c r="LT1361" s="97">
        <f t="shared" ref="LT1361:LT1367" si="3188">$H1361*LQ1361</f>
        <v>0</v>
      </c>
      <c r="LU1361" s="97">
        <f t="shared" ref="LU1361:LU1367" si="3189">$I1361*LO1361</f>
        <v>0</v>
      </c>
      <c r="LV1361" s="97">
        <f t="shared" ref="LV1361:LV1367" si="3190">$J1361*LP1361</f>
        <v>0</v>
      </c>
      <c r="LW1361" s="97">
        <f t="shared" ref="LW1361:LW1367" si="3191">$K1361*LQ1361</f>
        <v>0</v>
      </c>
      <c r="LX1361" s="268">
        <f>$F1361*LX$1370</f>
        <v>39.919933951899999</v>
      </c>
      <c r="LY1361" s="268">
        <f>$G1361*LY$1370</f>
        <v>41.999912914500001</v>
      </c>
      <c r="LZ1361" s="268">
        <f>$H1361*LZ$1370</f>
        <v>43.049689626599999</v>
      </c>
      <c r="MA1361" s="268">
        <f>$I1361*MA$1370</f>
        <v>0</v>
      </c>
      <c r="MB1361" s="268">
        <f>$J1361*MB$1370</f>
        <v>0</v>
      </c>
      <c r="MC1361" s="268">
        <f>$K1361*MC$1370</f>
        <v>0</v>
      </c>
      <c r="MD1361" s="97">
        <f t="shared" ref="MD1361:MF1367" si="3192">LO1361*LX1361</f>
        <v>0</v>
      </c>
      <c r="ME1361" s="97">
        <f t="shared" si="3192"/>
        <v>0</v>
      </c>
      <c r="MF1361" s="97">
        <f t="shared" si="3192"/>
        <v>0</v>
      </c>
      <c r="MG1361" s="97">
        <f t="shared" ref="MG1361:MI1367" si="3193">LO1361*MA1361</f>
        <v>0</v>
      </c>
      <c r="MH1361" s="97">
        <f t="shared" si="3193"/>
        <v>0</v>
      </c>
      <c r="MI1361" s="97">
        <f t="shared" si="3193"/>
        <v>0</v>
      </c>
      <c r="MJ1361" s="102"/>
      <c r="MK1361" s="102"/>
      <c r="ML1361" s="102"/>
      <c r="MM1361" s="97">
        <f t="shared" ref="MM1361:MM1367" si="3194">$F1361*MJ1361</f>
        <v>0</v>
      </c>
      <c r="MN1361" s="97">
        <f t="shared" ref="MN1361:MN1367" si="3195">$G1361*MK1361</f>
        <v>0</v>
      </c>
      <c r="MO1361" s="97">
        <f t="shared" ref="MO1361:MO1367" si="3196">$H1361*ML1361</f>
        <v>0</v>
      </c>
      <c r="MP1361" s="97">
        <f t="shared" ref="MP1361:MP1367" si="3197">$I1361*MJ1361</f>
        <v>0</v>
      </c>
      <c r="MQ1361" s="97">
        <f t="shared" ref="MQ1361:MQ1367" si="3198">$J1361*MK1361</f>
        <v>0</v>
      </c>
      <c r="MR1361" s="97">
        <f t="shared" ref="MR1361:MR1367" si="3199">$K1361*ML1361</f>
        <v>0</v>
      </c>
      <c r="MS1361" s="268">
        <f>$F1361*MS$1370</f>
        <v>39.895330958300001</v>
      </c>
      <c r="MT1361" s="268">
        <f>$G1361*MT$1370</f>
        <v>42.0122145602</v>
      </c>
      <c r="MU1361" s="268">
        <f>$H1361*MU$1370</f>
        <v>43.046757261099998</v>
      </c>
      <c r="MV1361" s="268">
        <f>$I1361*MV$1370</f>
        <v>0</v>
      </c>
      <c r="MW1361" s="268">
        <f>$J1361*MW$1370</f>
        <v>0</v>
      </c>
      <c r="MX1361" s="268">
        <f>$K1361*MX$1370</f>
        <v>0</v>
      </c>
      <c r="MY1361" s="97">
        <f t="shared" ref="MY1361:NA1367" si="3200">MJ1361*MS1361</f>
        <v>0</v>
      </c>
      <c r="MZ1361" s="97">
        <f t="shared" si="3200"/>
        <v>0</v>
      </c>
      <c r="NA1361" s="97">
        <f t="shared" si="3200"/>
        <v>0</v>
      </c>
      <c r="NB1361" s="97">
        <f t="shared" ref="NB1361:ND1367" si="3201">MJ1361*MV1361</f>
        <v>0</v>
      </c>
      <c r="NC1361" s="97">
        <f t="shared" si="3201"/>
        <v>0</v>
      </c>
      <c r="ND1361" s="97">
        <f t="shared" si="3201"/>
        <v>0</v>
      </c>
      <c r="NE1361" s="102"/>
      <c r="NF1361" s="102"/>
      <c r="NG1361" s="102"/>
      <c r="NH1361" s="97">
        <f t="shared" ref="NH1361:NH1367" si="3202">$F1361*NE1361</f>
        <v>0</v>
      </c>
      <c r="NI1361" s="97">
        <f t="shared" ref="NI1361:NI1367" si="3203">$G1361*NF1361</f>
        <v>0</v>
      </c>
      <c r="NJ1361" s="97">
        <f t="shared" ref="NJ1361:NJ1367" si="3204">$H1361*NG1361</f>
        <v>0</v>
      </c>
      <c r="NK1361" s="97">
        <f t="shared" ref="NK1361:NK1367" si="3205">$I1361*NE1361</f>
        <v>0</v>
      </c>
      <c r="NL1361" s="97">
        <f t="shared" ref="NL1361:NL1367" si="3206">$J1361*NF1361</f>
        <v>0</v>
      </c>
      <c r="NM1361" s="97">
        <f t="shared" ref="NM1361:NM1367" si="3207">$K1361*NG1361</f>
        <v>0</v>
      </c>
      <c r="NN1361" s="268">
        <f>$F1361*NN$1370</f>
        <v>39.763328699100001</v>
      </c>
      <c r="NO1361" s="268">
        <f>$G1361*NO$1370</f>
        <v>42.008133948699999</v>
      </c>
      <c r="NP1361" s="268">
        <f>$H1361*NP$1370</f>
        <v>43.119424549900003</v>
      </c>
      <c r="NQ1361" s="268">
        <f>$I1361*NQ$1370</f>
        <v>0</v>
      </c>
      <c r="NR1361" s="268">
        <f>$J1361*NR$1370</f>
        <v>0</v>
      </c>
      <c r="NS1361" s="268">
        <f>$K1361*NS$1370</f>
        <v>0</v>
      </c>
      <c r="NT1361" s="97">
        <f t="shared" ref="NT1361:NV1367" si="3208">NE1361*NN1361</f>
        <v>0</v>
      </c>
      <c r="NU1361" s="97">
        <f t="shared" si="3208"/>
        <v>0</v>
      </c>
      <c r="NV1361" s="97">
        <f t="shared" si="3208"/>
        <v>0</v>
      </c>
      <c r="NW1361" s="97">
        <f t="shared" ref="NW1361:NY1367" si="3209">NE1361*NQ1361</f>
        <v>0</v>
      </c>
      <c r="NX1361" s="97">
        <f t="shared" si="3209"/>
        <v>0</v>
      </c>
      <c r="NY1361" s="97">
        <f t="shared" si="3209"/>
        <v>0</v>
      </c>
      <c r="NZ1361" s="102"/>
      <c r="OA1361" s="102"/>
      <c r="OB1361" s="102"/>
      <c r="OC1361" s="97">
        <f t="shared" ref="OC1361:OC1367" si="3210">$F1361*NZ1361</f>
        <v>0</v>
      </c>
      <c r="OD1361" s="97">
        <f t="shared" ref="OD1361:OD1367" si="3211">$G1361*OA1361</f>
        <v>0</v>
      </c>
      <c r="OE1361" s="97">
        <f t="shared" ref="OE1361:OE1367" si="3212">$H1361*OB1361</f>
        <v>0</v>
      </c>
      <c r="OF1361" s="97">
        <f t="shared" ref="OF1361:OF1367" si="3213">$I1361*NZ1361</f>
        <v>0</v>
      </c>
      <c r="OG1361" s="97">
        <f t="shared" ref="OG1361:OG1367" si="3214">$J1361*OA1361</f>
        <v>0</v>
      </c>
      <c r="OH1361" s="97">
        <f t="shared" ref="OH1361:OH1367" si="3215">$K1361*OB1361</f>
        <v>0</v>
      </c>
      <c r="OI1361" s="268">
        <f>$F1361*OI$1370</f>
        <v>40.007716050500001</v>
      </c>
      <c r="OJ1361" s="268">
        <f>$G1361*OJ$1370</f>
        <v>41.994598763500001</v>
      </c>
      <c r="OK1361" s="268">
        <f>$H1361*OK$1370</f>
        <v>43.016975309099998</v>
      </c>
      <c r="OL1361" s="268">
        <f>$I1361*OL$1370</f>
        <v>0</v>
      </c>
      <c r="OM1361" s="268">
        <f>$J1361*OM$1370</f>
        <v>0</v>
      </c>
      <c r="ON1361" s="268">
        <f>$K1361*ON$1370</f>
        <v>0</v>
      </c>
      <c r="OO1361" s="97">
        <f t="shared" ref="OO1361:OQ1367" si="3216">NZ1361*OI1361</f>
        <v>0</v>
      </c>
      <c r="OP1361" s="97">
        <f t="shared" si="3216"/>
        <v>0</v>
      </c>
      <c r="OQ1361" s="97">
        <f t="shared" si="3216"/>
        <v>0</v>
      </c>
      <c r="OR1361" s="97">
        <f t="shared" ref="OR1361:OT1367" si="3217">NZ1361*OL1361</f>
        <v>0</v>
      </c>
      <c r="OS1361" s="97">
        <f t="shared" si="3217"/>
        <v>0</v>
      </c>
      <c r="OT1361" s="97">
        <f t="shared" si="3217"/>
        <v>0</v>
      </c>
      <c r="OU1361" s="102">
        <v>518</v>
      </c>
      <c r="OV1361" s="102">
        <v>518</v>
      </c>
      <c r="OW1361" s="102">
        <v>518</v>
      </c>
      <c r="OX1361" s="97">
        <f t="shared" ref="OX1361:OX1367" si="3218">$F1361*OU1361</f>
        <v>20528.34</v>
      </c>
      <c r="OY1361" s="97">
        <f t="shared" ref="OY1361:OY1367" si="3219">$G1361*OV1361</f>
        <v>21662.76</v>
      </c>
      <c r="OZ1361" s="97">
        <f t="shared" ref="OZ1361:OZ1367" si="3220">$H1361*OW1361</f>
        <v>22527.82</v>
      </c>
      <c r="PA1361" s="97">
        <f t="shared" ref="PA1361:PA1367" si="3221">$I1361*OU1361</f>
        <v>0</v>
      </c>
      <c r="PB1361" s="97">
        <f t="shared" ref="PB1361:PB1367" si="3222">$J1361*OV1361</f>
        <v>0</v>
      </c>
      <c r="PC1361" s="97">
        <f t="shared" ref="PC1361:PC1367" si="3223">$K1361*OW1361</f>
        <v>0</v>
      </c>
      <c r="PD1361" s="268">
        <f>$F1361*PD$1370</f>
        <v>40.000655280399997</v>
      </c>
      <c r="PE1361" s="268">
        <f>$G1361*PE$1370</f>
        <v>42.038426148600003</v>
      </c>
      <c r="PF1361" s="268">
        <f>$H1361*PF$1370</f>
        <v>43.055336803099998</v>
      </c>
      <c r="PG1361" s="268">
        <f>$I1361*PG$1370</f>
        <v>0</v>
      </c>
      <c r="PH1361" s="268">
        <f>$J1361*PH$1370</f>
        <v>0</v>
      </c>
      <c r="PI1361" s="268">
        <f>$K1361*PI$1370</f>
        <v>0</v>
      </c>
      <c r="PJ1361" s="97">
        <f t="shared" ref="PJ1361:PL1367" si="3224">OU1361*PD1361</f>
        <v>20720.34</v>
      </c>
      <c r="PK1361" s="97">
        <f t="shared" si="3224"/>
        <v>21775.9</v>
      </c>
      <c r="PL1361" s="97">
        <f t="shared" si="3224"/>
        <v>22302.66</v>
      </c>
      <c r="PM1361" s="97">
        <f t="shared" ref="PM1361:PO1367" si="3225">OU1361*PG1361</f>
        <v>0</v>
      </c>
      <c r="PN1361" s="97">
        <f t="shared" si="3225"/>
        <v>0</v>
      </c>
      <c r="PO1361" s="97">
        <f t="shared" si="3225"/>
        <v>0</v>
      </c>
      <c r="PP1361" s="102"/>
      <c r="PQ1361" s="102"/>
      <c r="PR1361" s="102"/>
      <c r="PS1361" s="97">
        <f t="shared" ref="PS1361:PS1367" si="3226">$F1361*PP1361</f>
        <v>0</v>
      </c>
      <c r="PT1361" s="97">
        <f t="shared" ref="PT1361:PT1367" si="3227">$G1361*PQ1361</f>
        <v>0</v>
      </c>
      <c r="PU1361" s="97">
        <f t="shared" ref="PU1361:PU1367" si="3228">$H1361*PR1361</f>
        <v>0</v>
      </c>
      <c r="PV1361" s="97">
        <f t="shared" ref="PV1361:PV1367" si="3229">$I1361*PP1361</f>
        <v>0</v>
      </c>
      <c r="PW1361" s="97">
        <f t="shared" ref="PW1361:PW1367" si="3230">$J1361*PQ1361</f>
        <v>0</v>
      </c>
      <c r="PX1361" s="97">
        <f t="shared" ref="PX1361:PX1367" si="3231">$K1361*PR1361</f>
        <v>0</v>
      </c>
      <c r="PY1361" s="268">
        <f>$F1361*PY$1370</f>
        <v>39.851564779199997</v>
      </c>
      <c r="PZ1361" s="268">
        <f>$G1361*PZ$1370</f>
        <v>42.022097353900001</v>
      </c>
      <c r="QA1361" s="268">
        <f>$H1361*QA$1370</f>
        <v>43.0600987754</v>
      </c>
      <c r="QB1361" s="268">
        <f>$I1361*QB$1370</f>
        <v>0</v>
      </c>
      <c r="QC1361" s="268">
        <f>$J1361*QC$1370</f>
        <v>0</v>
      </c>
      <c r="QD1361" s="268">
        <f>$K1361*QD$1370</f>
        <v>0</v>
      </c>
      <c r="QE1361" s="97">
        <f t="shared" ref="QE1361:QG1367" si="3232">PP1361*PY1361</f>
        <v>0</v>
      </c>
      <c r="QF1361" s="97">
        <f t="shared" si="3232"/>
        <v>0</v>
      </c>
      <c r="QG1361" s="97">
        <f t="shared" si="3232"/>
        <v>0</v>
      </c>
      <c r="QH1361" s="97">
        <f t="shared" ref="QH1361:QJ1367" si="3233">PP1361*QB1361</f>
        <v>0</v>
      </c>
      <c r="QI1361" s="97">
        <f t="shared" si="3233"/>
        <v>0</v>
      </c>
      <c r="QJ1361" s="97">
        <f t="shared" si="3233"/>
        <v>0</v>
      </c>
      <c r="QK1361" s="102"/>
      <c r="QL1361" s="102"/>
      <c r="QM1361" s="102"/>
      <c r="QN1361" s="97">
        <f t="shared" ref="QN1361:QN1367" si="3234">$F1361*QK1361</f>
        <v>0</v>
      </c>
      <c r="QO1361" s="97">
        <f t="shared" ref="QO1361:QO1367" si="3235">$G1361*QL1361</f>
        <v>0</v>
      </c>
      <c r="QP1361" s="97">
        <f t="shared" ref="QP1361:QP1367" si="3236">$H1361*QM1361</f>
        <v>0</v>
      </c>
      <c r="QQ1361" s="97">
        <f t="shared" ref="QQ1361:QQ1367" si="3237">$I1361*QK1361</f>
        <v>0</v>
      </c>
      <c r="QR1361" s="97">
        <f t="shared" ref="QR1361:QR1367" si="3238">$J1361*QL1361</f>
        <v>0</v>
      </c>
      <c r="QS1361" s="97">
        <f t="shared" ref="QS1361:QS1367" si="3239">$K1361*QM1361</f>
        <v>0</v>
      </c>
      <c r="QT1361" s="268">
        <f>$F1361*QT$1370</f>
        <v>0</v>
      </c>
      <c r="QU1361" s="268">
        <f>$G1361*QU$1370</f>
        <v>0</v>
      </c>
      <c r="QV1361" s="268">
        <f>$H1361*QV$1370</f>
        <v>0</v>
      </c>
      <c r="QW1361" s="268">
        <f>$I1361*QW$1370</f>
        <v>0</v>
      </c>
      <c r="QX1361" s="268">
        <f>$J1361*QX$1370</f>
        <v>0</v>
      </c>
      <c r="QY1361" s="268">
        <f>$K1361*QY$1370</f>
        <v>0</v>
      </c>
      <c r="QZ1361" s="97">
        <f t="shared" ref="QZ1361:RB1367" si="3240">QK1361*QT1361</f>
        <v>0</v>
      </c>
      <c r="RA1361" s="97">
        <f t="shared" si="3240"/>
        <v>0</v>
      </c>
      <c r="RB1361" s="97">
        <f t="shared" si="3240"/>
        <v>0</v>
      </c>
      <c r="RC1361" s="97">
        <f t="shared" ref="RC1361:RE1367" si="3241">QK1361*QW1361</f>
        <v>0</v>
      </c>
      <c r="RD1361" s="97">
        <f t="shared" si="3241"/>
        <v>0</v>
      </c>
      <c r="RE1361" s="97">
        <f t="shared" si="3241"/>
        <v>0</v>
      </c>
      <c r="RF1361" s="102"/>
      <c r="RG1361" s="102"/>
      <c r="RH1361" s="102"/>
      <c r="RI1361" s="97">
        <f t="shared" ref="RI1361:RI1367" si="3242">$F1361*RF1361</f>
        <v>0</v>
      </c>
      <c r="RJ1361" s="97">
        <f t="shared" ref="RJ1361:RJ1367" si="3243">$G1361*RG1361</f>
        <v>0</v>
      </c>
      <c r="RK1361" s="97">
        <f t="shared" ref="RK1361:RK1367" si="3244">$H1361*RH1361</f>
        <v>0</v>
      </c>
      <c r="RL1361" s="97">
        <f t="shared" ref="RL1361:RL1367" si="3245">$I1361*RF1361</f>
        <v>0</v>
      </c>
      <c r="RM1361" s="97">
        <f t="shared" ref="RM1361:RM1367" si="3246">$J1361*RG1361</f>
        <v>0</v>
      </c>
      <c r="RN1361" s="97">
        <f t="shared" ref="RN1361:RN1367" si="3247">$K1361*RH1361</f>
        <v>0</v>
      </c>
      <c r="RO1361" s="268">
        <f>$F1361*RO$1370</f>
        <v>39.966125970500002</v>
      </c>
      <c r="RP1361" s="268">
        <f>$G1361*RP$1370</f>
        <v>41.9896076343</v>
      </c>
      <c r="RQ1361" s="268">
        <f>$H1361*RQ$1370</f>
        <v>43.017707524099997</v>
      </c>
      <c r="RR1361" s="268">
        <f>$I1361*RR$1370</f>
        <v>0</v>
      </c>
      <c r="RS1361" s="268">
        <f>$J1361*RS$1370</f>
        <v>0</v>
      </c>
      <c r="RT1361" s="268">
        <f>$K1361*RT$1370</f>
        <v>0</v>
      </c>
      <c r="RU1361" s="97">
        <f t="shared" ref="RU1361:RW1367" si="3248">RF1361*RO1361</f>
        <v>0</v>
      </c>
      <c r="RV1361" s="97">
        <f t="shared" si="3248"/>
        <v>0</v>
      </c>
      <c r="RW1361" s="97">
        <f t="shared" si="3248"/>
        <v>0</v>
      </c>
      <c r="RX1361" s="97">
        <f t="shared" ref="RX1361:RZ1367" si="3249">RF1361*RR1361</f>
        <v>0</v>
      </c>
      <c r="RY1361" s="97">
        <f t="shared" si="3249"/>
        <v>0</v>
      </c>
      <c r="RZ1361" s="97">
        <f t="shared" si="3249"/>
        <v>0</v>
      </c>
      <c r="SA1361" s="102"/>
      <c r="SB1361" s="102"/>
      <c r="SC1361" s="102"/>
      <c r="SD1361" s="97">
        <f t="shared" ref="SD1361:SD1367" si="3250">$F1361*SA1361</f>
        <v>0</v>
      </c>
      <c r="SE1361" s="97">
        <f t="shared" ref="SE1361:SE1367" si="3251">$G1361*SB1361</f>
        <v>0</v>
      </c>
      <c r="SF1361" s="97">
        <f t="shared" ref="SF1361:SF1367" si="3252">$H1361*SC1361</f>
        <v>0</v>
      </c>
      <c r="SG1361" s="97">
        <f t="shared" ref="SG1361:SG1367" si="3253">$I1361*SA1361</f>
        <v>0</v>
      </c>
      <c r="SH1361" s="97">
        <f t="shared" ref="SH1361:SH1367" si="3254">$J1361*SB1361</f>
        <v>0</v>
      </c>
      <c r="SI1361" s="97">
        <f t="shared" ref="SI1361:SI1367" si="3255">$K1361*SC1361</f>
        <v>0</v>
      </c>
      <c r="SJ1361" s="268">
        <f>$F1361*SJ$1370</f>
        <v>39.870117639</v>
      </c>
      <c r="SK1361" s="268">
        <f>$G1361*SK$1370</f>
        <v>42.004934534599997</v>
      </c>
      <c r="SL1361" s="268">
        <f>$H1361*SL$1370</f>
        <v>43.0668057249</v>
      </c>
      <c r="SM1361" s="268">
        <f>$I1361*SM$1370</f>
        <v>0</v>
      </c>
      <c r="SN1361" s="268">
        <f>$J1361*SN$1370</f>
        <v>0</v>
      </c>
      <c r="SO1361" s="268">
        <f>$K1361*SO$1370</f>
        <v>0</v>
      </c>
      <c r="SP1361" s="97">
        <f t="shared" ref="SP1361:SR1367" si="3256">SA1361*SJ1361</f>
        <v>0</v>
      </c>
      <c r="SQ1361" s="97">
        <f t="shared" si="3256"/>
        <v>0</v>
      </c>
      <c r="SR1361" s="97">
        <f t="shared" si="3256"/>
        <v>0</v>
      </c>
      <c r="SS1361" s="97">
        <f t="shared" ref="SS1361:SU1367" si="3257">SA1361*SM1361</f>
        <v>0</v>
      </c>
      <c r="ST1361" s="97">
        <f t="shared" si="3257"/>
        <v>0</v>
      </c>
      <c r="SU1361" s="97">
        <f t="shared" si="3257"/>
        <v>0</v>
      </c>
      <c r="SV1361" s="102"/>
      <c r="SW1361" s="102"/>
      <c r="SX1361" s="102"/>
      <c r="SY1361" s="97">
        <f t="shared" ref="SY1361:SY1367" si="3258">$F1361*SV1361</f>
        <v>0</v>
      </c>
      <c r="SZ1361" s="97">
        <f t="shared" ref="SZ1361:SZ1367" si="3259">$G1361*SW1361</f>
        <v>0</v>
      </c>
      <c r="TA1361" s="97">
        <f t="shared" ref="TA1361:TA1367" si="3260">$H1361*SX1361</f>
        <v>0</v>
      </c>
      <c r="TB1361" s="97">
        <f t="shared" ref="TB1361:TB1367" si="3261">$I1361*SV1361</f>
        <v>0</v>
      </c>
      <c r="TC1361" s="97">
        <f t="shared" ref="TC1361:TC1367" si="3262">$J1361*SW1361</f>
        <v>0</v>
      </c>
      <c r="TD1361" s="97">
        <f t="shared" ref="TD1361:TD1367" si="3263">$K1361*SX1361</f>
        <v>0</v>
      </c>
      <c r="TE1361" s="268">
        <f>$F1361*TE$1370</f>
        <v>39.829617086699997</v>
      </c>
      <c r="TF1361" s="268">
        <f>$G1361*TF$1370</f>
        <v>41.987823020199997</v>
      </c>
      <c r="TG1361" s="268">
        <f>$H1361*TG$1370</f>
        <v>43.073534632499999</v>
      </c>
      <c r="TH1361" s="268">
        <f>$I1361*TH$1370</f>
        <v>0</v>
      </c>
      <c r="TI1361" s="268">
        <f>$J1361*TI$1370</f>
        <v>0</v>
      </c>
      <c r="TJ1361" s="268">
        <f>$K1361*TJ$1370</f>
        <v>0</v>
      </c>
      <c r="TK1361" s="97">
        <f t="shared" ref="TK1361:TM1367" si="3264">SV1361*TE1361</f>
        <v>0</v>
      </c>
      <c r="TL1361" s="97">
        <f t="shared" si="3264"/>
        <v>0</v>
      </c>
      <c r="TM1361" s="97">
        <f t="shared" si="3264"/>
        <v>0</v>
      </c>
      <c r="TN1361" s="97">
        <f t="shared" ref="TN1361:TP1367" si="3265">SV1361*TH1361</f>
        <v>0</v>
      </c>
      <c r="TO1361" s="97">
        <f t="shared" si="3265"/>
        <v>0</v>
      </c>
      <c r="TP1361" s="97">
        <f t="shared" si="3265"/>
        <v>0</v>
      </c>
      <c r="TQ1361" s="102"/>
      <c r="TR1361" s="102"/>
      <c r="TS1361" s="102"/>
      <c r="TT1361" s="97">
        <f t="shared" ref="TT1361:TT1367" si="3266">$F1361*TQ1361</f>
        <v>0</v>
      </c>
      <c r="TU1361" s="97">
        <f t="shared" ref="TU1361:TU1367" si="3267">$G1361*TR1361</f>
        <v>0</v>
      </c>
      <c r="TV1361" s="97">
        <f t="shared" ref="TV1361:TV1367" si="3268">$H1361*TS1361</f>
        <v>0</v>
      </c>
      <c r="TW1361" s="97">
        <f t="shared" ref="TW1361:TW1367" si="3269">$I1361*TQ1361</f>
        <v>0</v>
      </c>
      <c r="TX1361" s="97">
        <f t="shared" ref="TX1361:TX1367" si="3270">$J1361*TR1361</f>
        <v>0</v>
      </c>
      <c r="TY1361" s="97">
        <f t="shared" ref="TY1361:TY1367" si="3271">$K1361*TS1361</f>
        <v>0</v>
      </c>
      <c r="TZ1361" s="268">
        <f>$F1361*TZ$1370</f>
        <v>39.877716437799997</v>
      </c>
      <c r="UA1361" s="268">
        <f>$G1361*UA$1370</f>
        <v>42.011377449299999</v>
      </c>
      <c r="UB1361" s="268">
        <f>$H1361*UB$1370</f>
        <v>43.1002120944</v>
      </c>
      <c r="UC1361" s="268">
        <f>$I1361*UC$1370</f>
        <v>0</v>
      </c>
      <c r="UD1361" s="268">
        <f>$J1361*UD$1370</f>
        <v>0</v>
      </c>
      <c r="UE1361" s="268">
        <f>$K1361*UE$1370</f>
        <v>0</v>
      </c>
      <c r="UF1361" s="97">
        <f t="shared" ref="UF1361:UH1367" si="3272">TQ1361*TZ1361</f>
        <v>0</v>
      </c>
      <c r="UG1361" s="97">
        <f t="shared" si="3272"/>
        <v>0</v>
      </c>
      <c r="UH1361" s="97">
        <f t="shared" si="3272"/>
        <v>0</v>
      </c>
      <c r="UI1361" s="97">
        <f t="shared" ref="UI1361:UK1367" si="3273">TQ1361*UC1361</f>
        <v>0</v>
      </c>
      <c r="UJ1361" s="97">
        <f t="shared" si="3273"/>
        <v>0</v>
      </c>
      <c r="UK1361" s="97">
        <f t="shared" si="3273"/>
        <v>0</v>
      </c>
      <c r="UL1361" s="102"/>
      <c r="UM1361" s="102"/>
      <c r="UN1361" s="102"/>
      <c r="UO1361" s="97">
        <f t="shared" ref="UO1361:UO1367" si="3274">$F1361*UL1361</f>
        <v>0</v>
      </c>
      <c r="UP1361" s="97">
        <f t="shared" ref="UP1361:UP1367" si="3275">$G1361*UM1361</f>
        <v>0</v>
      </c>
      <c r="UQ1361" s="97">
        <f t="shared" ref="UQ1361:UQ1367" si="3276">$H1361*UN1361</f>
        <v>0</v>
      </c>
      <c r="UR1361" s="97">
        <f t="shared" ref="UR1361:UR1367" si="3277">$I1361*UL1361</f>
        <v>0</v>
      </c>
      <c r="US1361" s="97">
        <f t="shared" ref="US1361:US1367" si="3278">$J1361*UM1361</f>
        <v>0</v>
      </c>
      <c r="UT1361" s="97">
        <f t="shared" ref="UT1361:UT1367" si="3279">$K1361*UN1361</f>
        <v>0</v>
      </c>
      <c r="UU1361" s="268">
        <f>$F1361*UU$1370</f>
        <v>40.046296295399998</v>
      </c>
      <c r="UV1361" s="268">
        <f>$G1361*UV$1370</f>
        <v>42.013888890899999</v>
      </c>
      <c r="UW1361" s="268">
        <f>$H1361*UW$1370</f>
        <v>43.055555553399998</v>
      </c>
      <c r="UX1361" s="268">
        <f>$I1361*UX$1370</f>
        <v>0</v>
      </c>
      <c r="UY1361" s="268">
        <f>$J1361*UY$1370</f>
        <v>0</v>
      </c>
      <c r="UZ1361" s="268">
        <f>$K1361*UZ$1370</f>
        <v>0</v>
      </c>
      <c r="VA1361" s="97">
        <f t="shared" ref="VA1361:VC1367" si="3280">UL1361*UU1361</f>
        <v>0</v>
      </c>
      <c r="VB1361" s="97">
        <f t="shared" si="3280"/>
        <v>0</v>
      </c>
      <c r="VC1361" s="97">
        <f t="shared" si="3280"/>
        <v>0</v>
      </c>
      <c r="VD1361" s="97">
        <f t="shared" ref="VD1361:VF1367" si="3281">UL1361*UX1361</f>
        <v>0</v>
      </c>
      <c r="VE1361" s="97">
        <f t="shared" si="3281"/>
        <v>0</v>
      </c>
      <c r="VF1361" s="97">
        <f t="shared" si="3281"/>
        <v>0</v>
      </c>
      <c r="VG1361" s="102"/>
      <c r="VH1361" s="102"/>
      <c r="VI1361" s="102"/>
      <c r="VJ1361" s="97">
        <f t="shared" ref="VJ1361:VJ1367" si="3282">$F1361*VG1361</f>
        <v>0</v>
      </c>
      <c r="VK1361" s="97">
        <f t="shared" ref="VK1361:VK1367" si="3283">$G1361*VH1361</f>
        <v>0</v>
      </c>
      <c r="VL1361" s="97">
        <f t="shared" ref="VL1361:VL1367" si="3284">$H1361*VI1361</f>
        <v>0</v>
      </c>
      <c r="VM1361" s="97">
        <f t="shared" ref="VM1361:VM1367" si="3285">$I1361*VG1361</f>
        <v>0</v>
      </c>
      <c r="VN1361" s="97">
        <f t="shared" ref="VN1361:VN1367" si="3286">$J1361*VH1361</f>
        <v>0</v>
      </c>
      <c r="VO1361" s="97">
        <f t="shared" ref="VO1361:VO1367" si="3287">$K1361*VI1361</f>
        <v>0</v>
      </c>
      <c r="VP1361" s="268">
        <f>$F1361*VP$1370</f>
        <v>39.830367369800001</v>
      </c>
      <c r="VQ1361" s="268">
        <f>$G1361*VQ$1370</f>
        <v>42.029318304599997</v>
      </c>
      <c r="VR1361" s="268">
        <f>$H1361*VR$1370</f>
        <v>43.0676119556</v>
      </c>
      <c r="VS1361" s="268">
        <f>$I1361*VS$1370</f>
        <v>0</v>
      </c>
      <c r="VT1361" s="268">
        <f>$J1361*VT$1370</f>
        <v>0</v>
      </c>
      <c r="VU1361" s="268">
        <f>$K1361*VU$1370</f>
        <v>0</v>
      </c>
      <c r="VV1361" s="97">
        <f t="shared" ref="VV1361:VX1367" si="3288">VG1361*VP1361</f>
        <v>0</v>
      </c>
      <c r="VW1361" s="97">
        <f t="shared" si="3288"/>
        <v>0</v>
      </c>
      <c r="VX1361" s="97">
        <f t="shared" si="3288"/>
        <v>0</v>
      </c>
      <c r="VY1361" s="97">
        <f t="shared" ref="VY1361:WA1367" si="3289">VG1361*VS1361</f>
        <v>0</v>
      </c>
      <c r="VZ1361" s="97">
        <f t="shared" si="3289"/>
        <v>0</v>
      </c>
      <c r="WA1361" s="97">
        <f t="shared" si="3289"/>
        <v>0</v>
      </c>
      <c r="WB1361" s="102"/>
      <c r="WC1361" s="102"/>
      <c r="WD1361" s="102"/>
      <c r="WE1361" s="97">
        <f t="shared" ref="WE1361:WE1367" si="3290">$F1361*WB1361</f>
        <v>0</v>
      </c>
      <c r="WF1361" s="97">
        <f t="shared" ref="WF1361:WF1367" si="3291">$G1361*WC1361</f>
        <v>0</v>
      </c>
      <c r="WG1361" s="97">
        <f t="shared" ref="WG1361:WG1367" si="3292">$H1361*WD1361</f>
        <v>0</v>
      </c>
      <c r="WH1361" s="97">
        <f t="shared" ref="WH1361:WH1367" si="3293">$I1361*WB1361</f>
        <v>0</v>
      </c>
      <c r="WI1361" s="97">
        <f t="shared" ref="WI1361:WI1367" si="3294">$J1361*WC1361</f>
        <v>0</v>
      </c>
      <c r="WJ1361" s="97">
        <f t="shared" ref="WJ1361:WJ1367" si="3295">$K1361*WD1361</f>
        <v>0</v>
      </c>
      <c r="WK1361" s="268">
        <f>$F1361*WK$1370</f>
        <v>0</v>
      </c>
      <c r="WL1361" s="268">
        <f>$G1361*WL$1370</f>
        <v>0</v>
      </c>
      <c r="WM1361" s="268">
        <f>$H1361*WM$1370</f>
        <v>0</v>
      </c>
      <c r="WN1361" s="268">
        <f>$I1361*WN$1370</f>
        <v>0</v>
      </c>
      <c r="WO1361" s="268">
        <f>$J1361*WO$1370</f>
        <v>0</v>
      </c>
      <c r="WP1361" s="268">
        <f>$K1361*WP$1370</f>
        <v>0</v>
      </c>
      <c r="WQ1361" s="97">
        <f t="shared" ref="WQ1361:WS1367" si="3296">WB1361*WK1361</f>
        <v>0</v>
      </c>
      <c r="WR1361" s="97">
        <f t="shared" si="3296"/>
        <v>0</v>
      </c>
      <c r="WS1361" s="97">
        <f t="shared" si="3296"/>
        <v>0</v>
      </c>
      <c r="WT1361" s="97">
        <f t="shared" ref="WT1361:WV1367" si="3297">WB1361*WN1361</f>
        <v>0</v>
      </c>
      <c r="WU1361" s="97">
        <f t="shared" si="3297"/>
        <v>0</v>
      </c>
      <c r="WV1361" s="97">
        <f t="shared" si="3297"/>
        <v>0</v>
      </c>
      <c r="WW1361" s="102"/>
      <c r="WX1361" s="102"/>
      <c r="WY1361" s="102"/>
      <c r="WZ1361" s="97">
        <f t="shared" ref="WZ1361:WZ1367" si="3298">$F1361*WW1361</f>
        <v>0</v>
      </c>
      <c r="XA1361" s="97">
        <f t="shared" ref="XA1361:XA1367" si="3299">$G1361*WX1361</f>
        <v>0</v>
      </c>
      <c r="XB1361" s="97">
        <f t="shared" ref="XB1361:XB1367" si="3300">$H1361*WY1361</f>
        <v>0</v>
      </c>
      <c r="XC1361" s="97">
        <f t="shared" ref="XC1361:XC1367" si="3301">$I1361*WW1361</f>
        <v>0</v>
      </c>
      <c r="XD1361" s="97">
        <f t="shared" ref="XD1361:XD1367" si="3302">$J1361*WX1361</f>
        <v>0</v>
      </c>
      <c r="XE1361" s="97">
        <f t="shared" ref="XE1361:XE1367" si="3303">$K1361*WY1361</f>
        <v>0</v>
      </c>
      <c r="XF1361" s="268">
        <f>$F1361*XF$1370</f>
        <v>0</v>
      </c>
      <c r="XG1361" s="268">
        <f>$G1361*XG$1370</f>
        <v>0</v>
      </c>
      <c r="XH1361" s="268">
        <f>$H1361*XH$1370</f>
        <v>0</v>
      </c>
      <c r="XI1361" s="268">
        <f>$I1361*XI$1370</f>
        <v>0</v>
      </c>
      <c r="XJ1361" s="268">
        <f>$J1361*XJ$1370</f>
        <v>0</v>
      </c>
      <c r="XK1361" s="268">
        <f>$K1361*XK$1370</f>
        <v>0</v>
      </c>
      <c r="XL1361" s="97">
        <f t="shared" ref="XL1361:XN1367" si="3304">WW1361*XF1361</f>
        <v>0</v>
      </c>
      <c r="XM1361" s="97">
        <f t="shared" si="3304"/>
        <v>0</v>
      </c>
      <c r="XN1361" s="97">
        <f t="shared" si="3304"/>
        <v>0</v>
      </c>
      <c r="XO1361" s="97">
        <f t="shared" ref="XO1361:XQ1367" si="3305">WW1361*XI1361</f>
        <v>0</v>
      </c>
      <c r="XP1361" s="97">
        <f t="shared" si="3305"/>
        <v>0</v>
      </c>
      <c r="XQ1361" s="97">
        <f t="shared" si="3305"/>
        <v>0</v>
      </c>
      <c r="XR1361" s="102">
        <v>9815</v>
      </c>
      <c r="XS1361" s="102">
        <v>9815</v>
      </c>
      <c r="XT1361" s="102">
        <v>9815</v>
      </c>
      <c r="XU1361" s="97">
        <f t="shared" ref="XU1361:XU1367" si="3306">$F1361*XR1361</f>
        <v>388968.45</v>
      </c>
      <c r="XV1361" s="97">
        <f t="shared" ref="XV1361:XV1367" si="3307">$G1361*XS1361</f>
        <v>410463.3</v>
      </c>
      <c r="XW1361" s="97">
        <f t="shared" ref="XW1361:XW1367" si="3308">$H1361*XT1361</f>
        <v>426854.35</v>
      </c>
      <c r="XX1361" s="97">
        <f t="shared" ref="XX1361:XX1367" si="3309">$I1361*XR1361</f>
        <v>0</v>
      </c>
      <c r="XY1361" s="97">
        <f t="shared" ref="XY1361:XY1367" si="3310">$J1361*XS1361</f>
        <v>0</v>
      </c>
      <c r="XZ1361" s="97">
        <f t="shared" ref="XZ1361:XZ1367" si="3311">$K1361*XT1361</f>
        <v>0</v>
      </c>
      <c r="YA1361" s="268">
        <f>$F1361*YA$1370</f>
        <v>39.999999998299998</v>
      </c>
      <c r="YB1361" s="268">
        <f>$G1361*YB$1370</f>
        <v>41.344880286799999</v>
      </c>
      <c r="YC1361" s="268">
        <f>$H1361*YC$1370</f>
        <v>48.273051453599997</v>
      </c>
      <c r="YD1361" s="268">
        <f>$I1361*YD$1370</f>
        <v>0</v>
      </c>
      <c r="YE1361" s="268">
        <f>$J1361*YE$1370</f>
        <v>0</v>
      </c>
      <c r="YF1361" s="268">
        <f>$K1361*YF$1370</f>
        <v>0</v>
      </c>
      <c r="YG1361" s="97">
        <f t="shared" ref="YG1361:YI1367" si="3312">XR1361*YA1361</f>
        <v>392600</v>
      </c>
      <c r="YH1361" s="97">
        <f t="shared" si="3312"/>
        <v>405800</v>
      </c>
      <c r="YI1361" s="97">
        <f t="shared" si="3312"/>
        <v>473800</v>
      </c>
      <c r="YJ1361" s="97">
        <f t="shared" ref="YJ1361:YL1367" si="3313">XR1361*YD1361</f>
        <v>0</v>
      </c>
      <c r="YK1361" s="97">
        <f t="shared" si="3313"/>
        <v>0</v>
      </c>
      <c r="YL1361" s="97">
        <f t="shared" si="3313"/>
        <v>0</v>
      </c>
      <c r="YM1361" s="145">
        <f t="shared" ref="YM1361:YO1367" si="3314">L1361+AG1361+BB1361+BW1361+CR1361+DM1361+EH1361+FC1361+FX1361+GS1361+HN1361+II1361+JD1361+JY1361+KT1361+LO1361+MJ1361+NE1361+NZ1361+OU1361+PP1361+QK1361+RF1361+SA1361+SV1361+TQ1361+UL1361+VG1361+WB1361+WW1361+XR1361</f>
        <v>14964</v>
      </c>
      <c r="YN1361" s="145">
        <f t="shared" si="3314"/>
        <v>14964</v>
      </c>
      <c r="YO1361" s="145">
        <f t="shared" si="3314"/>
        <v>14964</v>
      </c>
      <c r="YP1361" s="97">
        <f t="shared" ref="YP1361:YP1367" si="3315">$F1361*YM1361</f>
        <v>593023.31999999995</v>
      </c>
      <c r="YQ1361" s="97">
        <f t="shared" ref="YQ1361:YQ1367" si="3316">$G1361*YN1361</f>
        <v>625794.48</v>
      </c>
      <c r="YR1361" s="97">
        <f t="shared" ref="YR1361:YR1367" si="3317">$H1361*YO1361</f>
        <v>650784.36</v>
      </c>
      <c r="YS1361" s="97">
        <f t="shared" ref="YS1361:YS1367" si="3318">$I1361*YM1361</f>
        <v>0</v>
      </c>
      <c r="YT1361" s="97">
        <f t="shared" ref="YT1361:YT1367" si="3319">$J1361*YN1361</f>
        <v>0</v>
      </c>
      <c r="YU1361" s="97">
        <f t="shared" ref="YU1361:YU1367" si="3320">$K1361*YO1361</f>
        <v>0</v>
      </c>
      <c r="YV1361" s="268">
        <f>$F1361*YV$1370</f>
        <v>39.922438722400003</v>
      </c>
      <c r="YW1361" s="268">
        <f>$G1361*YW$1370</f>
        <v>41.938642118899999</v>
      </c>
      <c r="YX1361" s="268">
        <f>$H1361*YX$1370</f>
        <v>43.601430143199998</v>
      </c>
      <c r="YY1361" s="268">
        <f>$I1361*YY$1370</f>
        <v>0</v>
      </c>
      <c r="YZ1361" s="268">
        <f>$J1361*YZ$1370</f>
        <v>0</v>
      </c>
      <c r="ZA1361" s="268">
        <f>$K1361*ZA$1370</f>
        <v>0</v>
      </c>
      <c r="ZB1361" s="97">
        <f t="shared" ref="ZB1361:ZD1367" si="3321">YM1361*YV1361</f>
        <v>597399.37</v>
      </c>
      <c r="ZC1361" s="97">
        <f t="shared" si="3321"/>
        <v>627569.84</v>
      </c>
      <c r="ZD1361" s="97">
        <f t="shared" si="3321"/>
        <v>652451.80000000005</v>
      </c>
      <c r="ZE1361" s="97">
        <f t="shared" ref="ZE1361:ZG1367" si="3322">YM1361*YY1361</f>
        <v>0</v>
      </c>
      <c r="ZF1361" s="97">
        <f t="shared" si="3322"/>
        <v>0</v>
      </c>
      <c r="ZG1361" s="97">
        <f t="shared" si="3322"/>
        <v>0</v>
      </c>
    </row>
    <row r="1362" spans="1:684" x14ac:dyDescent="0.25">
      <c r="A1362" s="12" t="s">
        <v>457</v>
      </c>
      <c r="B1362" s="174" t="s">
        <v>649</v>
      </c>
      <c r="C1362" s="5"/>
      <c r="D1362" s="340"/>
      <c r="E1362" s="163"/>
      <c r="F1362" s="110">
        <f t="shared" si="3064"/>
        <v>39.630000000000003</v>
      </c>
      <c r="G1362" s="110">
        <f t="shared" si="3064"/>
        <v>41.82</v>
      </c>
      <c r="H1362" s="110">
        <f t="shared" si="3064"/>
        <v>43.49</v>
      </c>
      <c r="I1362" s="97">
        <f t="shared" si="3065"/>
        <v>0</v>
      </c>
      <c r="J1362" s="97">
        <f t="shared" si="3065"/>
        <v>0</v>
      </c>
      <c r="K1362" s="97">
        <f t="shared" si="3065"/>
        <v>0</v>
      </c>
      <c r="L1362" s="102">
        <v>1555</v>
      </c>
      <c r="M1362" s="102">
        <v>1555</v>
      </c>
      <c r="N1362" s="102">
        <v>1555</v>
      </c>
      <c r="O1362" s="97">
        <f t="shared" si="3066"/>
        <v>61624.65</v>
      </c>
      <c r="P1362" s="97">
        <f t="shared" si="3067"/>
        <v>65030.1</v>
      </c>
      <c r="Q1362" s="97">
        <f t="shared" si="3068"/>
        <v>67626.95</v>
      </c>
      <c r="R1362" s="97">
        <f t="shared" si="3069"/>
        <v>0</v>
      </c>
      <c r="S1362" s="97">
        <f t="shared" si="3070"/>
        <v>0</v>
      </c>
      <c r="T1362" s="97">
        <f t="shared" si="3071"/>
        <v>0</v>
      </c>
      <c r="U1362" s="268">
        <f>$F1362*U$1370</f>
        <v>39.962071028899999</v>
      </c>
      <c r="V1362" s="268">
        <f>$G1362*V$1370</f>
        <v>42.026840954699999</v>
      </c>
      <c r="W1362" s="268">
        <f>$H1362*W$1370</f>
        <v>43.043472200499998</v>
      </c>
      <c r="X1362" s="268">
        <f>$I1362*X$1370</f>
        <v>0</v>
      </c>
      <c r="Y1362" s="268">
        <f>$J1362*Y$1370</f>
        <v>0</v>
      </c>
      <c r="Z1362" s="268">
        <f>$K1362*Z$1370</f>
        <v>0</v>
      </c>
      <c r="AA1362" s="97">
        <f t="shared" si="3072"/>
        <v>62141.02</v>
      </c>
      <c r="AB1362" s="97">
        <f t="shared" si="3072"/>
        <v>65351.74</v>
      </c>
      <c r="AC1362" s="97">
        <f t="shared" si="3072"/>
        <v>66932.600000000006</v>
      </c>
      <c r="AD1362" s="97">
        <f t="shared" si="3073"/>
        <v>0</v>
      </c>
      <c r="AE1362" s="97">
        <f t="shared" si="3073"/>
        <v>0</v>
      </c>
      <c r="AF1362" s="97">
        <f t="shared" si="3073"/>
        <v>0</v>
      </c>
      <c r="AG1362" s="102"/>
      <c r="AH1362" s="102"/>
      <c r="AI1362" s="102"/>
      <c r="AJ1362" s="97">
        <f t="shared" si="3074"/>
        <v>0</v>
      </c>
      <c r="AK1362" s="97">
        <f t="shared" si="3075"/>
        <v>0</v>
      </c>
      <c r="AL1362" s="97">
        <f t="shared" si="3076"/>
        <v>0</v>
      </c>
      <c r="AM1362" s="97">
        <f t="shared" si="3077"/>
        <v>0</v>
      </c>
      <c r="AN1362" s="97">
        <f t="shared" si="3078"/>
        <v>0</v>
      </c>
      <c r="AO1362" s="97">
        <f t="shared" si="3079"/>
        <v>0</v>
      </c>
      <c r="AP1362" s="268">
        <f>$F1362*AP$1370</f>
        <v>39.895330958300001</v>
      </c>
      <c r="AQ1362" s="268">
        <f>$G1362*AQ$1370</f>
        <v>42.0250741308</v>
      </c>
      <c r="AR1362" s="268">
        <f>$H1362*AR$1370</f>
        <v>43.072472167500003</v>
      </c>
      <c r="AS1362" s="268">
        <f>$I1362*AS$1370</f>
        <v>0</v>
      </c>
      <c r="AT1362" s="268">
        <f>$J1362*AT$1370</f>
        <v>0</v>
      </c>
      <c r="AU1362" s="268">
        <f>$K1362*AU$1370</f>
        <v>0</v>
      </c>
      <c r="AV1362" s="97">
        <f t="shared" si="3080"/>
        <v>0</v>
      </c>
      <c r="AW1362" s="97">
        <f t="shared" si="3080"/>
        <v>0</v>
      </c>
      <c r="AX1362" s="97">
        <f t="shared" si="3080"/>
        <v>0</v>
      </c>
      <c r="AY1362" s="97">
        <f t="shared" si="3081"/>
        <v>0</v>
      </c>
      <c r="AZ1362" s="97">
        <f t="shared" si="3081"/>
        <v>0</v>
      </c>
      <c r="BA1362" s="97">
        <f t="shared" si="3081"/>
        <v>0</v>
      </c>
      <c r="BB1362" s="102">
        <v>864</v>
      </c>
      <c r="BC1362" s="102">
        <v>864</v>
      </c>
      <c r="BD1362" s="102">
        <v>864</v>
      </c>
      <c r="BE1362" s="97">
        <f t="shared" si="3082"/>
        <v>34240.32</v>
      </c>
      <c r="BF1362" s="97">
        <f t="shared" si="3083"/>
        <v>36132.480000000003</v>
      </c>
      <c r="BG1362" s="97">
        <f t="shared" si="3084"/>
        <v>37575.360000000001</v>
      </c>
      <c r="BH1362" s="97">
        <f t="shared" si="3085"/>
        <v>0</v>
      </c>
      <c r="BI1362" s="97">
        <f t="shared" si="3086"/>
        <v>0</v>
      </c>
      <c r="BJ1362" s="97">
        <f t="shared" si="3087"/>
        <v>0</v>
      </c>
      <c r="BK1362" s="268">
        <f>$F1362*BK$1370</f>
        <v>39.9699762865</v>
      </c>
      <c r="BL1362" s="268">
        <f>$G1362*BL$1370</f>
        <v>42.013470293600001</v>
      </c>
      <c r="BM1362" s="268">
        <f>$H1362*BM$1370</f>
        <v>43.014777367999997</v>
      </c>
      <c r="BN1362" s="268">
        <f>$I1362*BN$1370</f>
        <v>0</v>
      </c>
      <c r="BO1362" s="268">
        <f>$J1362*BO$1370</f>
        <v>0</v>
      </c>
      <c r="BP1362" s="268">
        <f>$K1362*BP$1370</f>
        <v>0</v>
      </c>
      <c r="BQ1362" s="97">
        <f t="shared" si="3088"/>
        <v>34534.06</v>
      </c>
      <c r="BR1362" s="97">
        <f t="shared" si="3088"/>
        <v>36299.64</v>
      </c>
      <c r="BS1362" s="97">
        <f t="shared" si="3088"/>
        <v>37164.769999999997</v>
      </c>
      <c r="BT1362" s="97">
        <f t="shared" si="3089"/>
        <v>0</v>
      </c>
      <c r="BU1362" s="97">
        <f t="shared" si="3089"/>
        <v>0</v>
      </c>
      <c r="BV1362" s="97">
        <f t="shared" si="3089"/>
        <v>0</v>
      </c>
      <c r="BW1362" s="102"/>
      <c r="BX1362" s="102"/>
      <c r="BY1362" s="102"/>
      <c r="BZ1362" s="97">
        <f t="shared" si="3090"/>
        <v>0</v>
      </c>
      <c r="CA1362" s="97">
        <f t="shared" si="3091"/>
        <v>0</v>
      </c>
      <c r="CB1362" s="97">
        <f t="shared" si="3092"/>
        <v>0</v>
      </c>
      <c r="CC1362" s="97">
        <f t="shared" si="3093"/>
        <v>0</v>
      </c>
      <c r="CD1362" s="97">
        <f t="shared" si="3094"/>
        <v>0</v>
      </c>
      <c r="CE1362" s="97">
        <f t="shared" si="3095"/>
        <v>0</v>
      </c>
      <c r="CF1362" s="268">
        <f>$F1362*CF$1370</f>
        <v>39.8665439046</v>
      </c>
      <c r="CG1362" s="268">
        <f>$G1362*CG$1370</f>
        <v>42.029318304599997</v>
      </c>
      <c r="CH1362" s="268">
        <f>$H1362*CH$1370</f>
        <v>43.103772838099999</v>
      </c>
      <c r="CI1362" s="268">
        <f>$I1362*CI$1370</f>
        <v>0</v>
      </c>
      <c r="CJ1362" s="268">
        <f>$J1362*CJ$1370</f>
        <v>0</v>
      </c>
      <c r="CK1362" s="268">
        <f>$K1362*CK$1370</f>
        <v>0</v>
      </c>
      <c r="CL1362" s="97">
        <f t="shared" si="3096"/>
        <v>0</v>
      </c>
      <c r="CM1362" s="97">
        <f t="shared" si="3096"/>
        <v>0</v>
      </c>
      <c r="CN1362" s="97">
        <f t="shared" si="3096"/>
        <v>0</v>
      </c>
      <c r="CO1362" s="97">
        <f t="shared" si="3097"/>
        <v>0</v>
      </c>
      <c r="CP1362" s="97">
        <f t="shared" si="3097"/>
        <v>0</v>
      </c>
      <c r="CQ1362" s="97">
        <f t="shared" si="3097"/>
        <v>0</v>
      </c>
      <c r="CR1362" s="102">
        <v>484</v>
      </c>
      <c r="CS1362" s="102">
        <v>484</v>
      </c>
      <c r="CT1362" s="102">
        <v>484</v>
      </c>
      <c r="CU1362" s="97">
        <f t="shared" si="3098"/>
        <v>19180.919999999998</v>
      </c>
      <c r="CV1362" s="97">
        <f t="shared" si="3099"/>
        <v>20240.88</v>
      </c>
      <c r="CW1362" s="97">
        <f t="shared" si="3100"/>
        <v>21049.16</v>
      </c>
      <c r="CX1362" s="97">
        <f t="shared" si="3101"/>
        <v>0</v>
      </c>
      <c r="CY1362" s="97">
        <f t="shared" si="3102"/>
        <v>0</v>
      </c>
      <c r="CZ1362" s="97">
        <f t="shared" si="3103"/>
        <v>0</v>
      </c>
      <c r="DA1362" s="268">
        <f>$F1362*DA$1370</f>
        <v>39.942969777099997</v>
      </c>
      <c r="DB1362" s="268">
        <f>$G1362*DB$1370</f>
        <v>41.990962978699997</v>
      </c>
      <c r="DC1362" s="268">
        <f>$H1362*DC$1370</f>
        <v>43.0207826368</v>
      </c>
      <c r="DD1362" s="268">
        <f>$I1362*DD$1370</f>
        <v>0</v>
      </c>
      <c r="DE1362" s="268">
        <f>$J1362*DE$1370</f>
        <v>0</v>
      </c>
      <c r="DF1362" s="268">
        <f>$K1362*DF$1370</f>
        <v>0</v>
      </c>
      <c r="DG1362" s="97">
        <f t="shared" si="3104"/>
        <v>19332.400000000001</v>
      </c>
      <c r="DH1362" s="97">
        <f t="shared" si="3104"/>
        <v>20323.63</v>
      </c>
      <c r="DI1362" s="97">
        <f t="shared" si="3104"/>
        <v>20822.060000000001</v>
      </c>
      <c r="DJ1362" s="97">
        <f t="shared" si="3105"/>
        <v>0</v>
      </c>
      <c r="DK1362" s="97">
        <f t="shared" si="3105"/>
        <v>0</v>
      </c>
      <c r="DL1362" s="97">
        <f t="shared" si="3105"/>
        <v>0</v>
      </c>
      <c r="DM1362" s="102"/>
      <c r="DN1362" s="102"/>
      <c r="DO1362" s="102"/>
      <c r="DP1362" s="97">
        <f t="shared" si="3106"/>
        <v>0</v>
      </c>
      <c r="DQ1362" s="97">
        <f t="shared" si="3107"/>
        <v>0</v>
      </c>
      <c r="DR1362" s="97">
        <f t="shared" si="3108"/>
        <v>0</v>
      </c>
      <c r="DS1362" s="97">
        <f t="shared" si="3109"/>
        <v>0</v>
      </c>
      <c r="DT1362" s="97">
        <f t="shared" si="3110"/>
        <v>0</v>
      </c>
      <c r="DU1362" s="97">
        <f t="shared" si="3111"/>
        <v>0</v>
      </c>
      <c r="DV1362" s="268">
        <f>$F1362*DV$1370</f>
        <v>39.962184453900001</v>
      </c>
      <c r="DW1362" s="268">
        <f>$G1362*DW$1370</f>
        <v>42.017165630000001</v>
      </c>
      <c r="DX1362" s="268">
        <f>$H1362*DX$1370</f>
        <v>43.0423530984</v>
      </c>
      <c r="DY1362" s="268">
        <f>$I1362*DY$1370</f>
        <v>0</v>
      </c>
      <c r="DZ1362" s="268">
        <f>$J1362*DZ$1370</f>
        <v>0</v>
      </c>
      <c r="EA1362" s="268">
        <f>$K1362*EA$1370</f>
        <v>0</v>
      </c>
      <c r="EB1362" s="97">
        <f t="shared" si="3112"/>
        <v>0</v>
      </c>
      <c r="EC1362" s="97">
        <f t="shared" si="3112"/>
        <v>0</v>
      </c>
      <c r="ED1362" s="97">
        <f t="shared" si="3112"/>
        <v>0</v>
      </c>
      <c r="EE1362" s="97">
        <f t="shared" si="3113"/>
        <v>0</v>
      </c>
      <c r="EF1362" s="97">
        <f t="shared" si="3113"/>
        <v>0</v>
      </c>
      <c r="EG1362" s="97">
        <f t="shared" si="3113"/>
        <v>0</v>
      </c>
      <c r="EH1362" s="102"/>
      <c r="EI1362" s="102"/>
      <c r="EJ1362" s="102"/>
      <c r="EK1362" s="97">
        <f t="shared" si="3114"/>
        <v>0</v>
      </c>
      <c r="EL1362" s="97">
        <f t="shared" si="3115"/>
        <v>0</v>
      </c>
      <c r="EM1362" s="97">
        <f t="shared" si="3116"/>
        <v>0</v>
      </c>
      <c r="EN1362" s="97">
        <f t="shared" si="3117"/>
        <v>0</v>
      </c>
      <c r="EO1362" s="97">
        <f t="shared" si="3118"/>
        <v>0</v>
      </c>
      <c r="EP1362" s="97">
        <f t="shared" si="3119"/>
        <v>0</v>
      </c>
      <c r="EQ1362" s="268">
        <f>$F1362*EQ$1370</f>
        <v>0</v>
      </c>
      <c r="ER1362" s="268">
        <f>$G1362*ER$1370</f>
        <v>0</v>
      </c>
      <c r="ES1362" s="268">
        <f>$H1362*ES$1370</f>
        <v>0</v>
      </c>
      <c r="ET1362" s="268">
        <f>$I1362*ET$1370</f>
        <v>0</v>
      </c>
      <c r="EU1362" s="268">
        <f>$J1362*EU$1370</f>
        <v>0</v>
      </c>
      <c r="EV1362" s="268">
        <f>$K1362*EV$1370</f>
        <v>0</v>
      </c>
      <c r="EW1362" s="97">
        <f t="shared" si="3120"/>
        <v>0</v>
      </c>
      <c r="EX1362" s="97">
        <f t="shared" si="3120"/>
        <v>0</v>
      </c>
      <c r="EY1362" s="97">
        <f t="shared" si="3120"/>
        <v>0</v>
      </c>
      <c r="EZ1362" s="97">
        <f t="shared" si="3121"/>
        <v>0</v>
      </c>
      <c r="FA1362" s="97">
        <f t="shared" si="3121"/>
        <v>0</v>
      </c>
      <c r="FB1362" s="97">
        <f t="shared" si="3121"/>
        <v>0</v>
      </c>
      <c r="FC1362" s="102">
        <v>968</v>
      </c>
      <c r="FD1362" s="102">
        <v>968</v>
      </c>
      <c r="FE1362" s="102">
        <v>968</v>
      </c>
      <c r="FF1362" s="97">
        <f t="shared" si="3122"/>
        <v>38361.839999999997</v>
      </c>
      <c r="FG1362" s="97">
        <f t="shared" si="3123"/>
        <v>40481.760000000002</v>
      </c>
      <c r="FH1362" s="97">
        <f t="shared" si="3124"/>
        <v>42098.32</v>
      </c>
      <c r="FI1362" s="97">
        <f t="shared" si="3125"/>
        <v>0</v>
      </c>
      <c r="FJ1362" s="97">
        <f t="shared" si="3126"/>
        <v>0</v>
      </c>
      <c r="FK1362" s="97">
        <f t="shared" si="3127"/>
        <v>0</v>
      </c>
      <c r="FL1362" s="268">
        <f>$F1362*FL$1370</f>
        <v>39.924749583400001</v>
      </c>
      <c r="FM1362" s="268">
        <f>$G1362*FM$1370</f>
        <v>41.988346861700002</v>
      </c>
      <c r="FN1362" s="268">
        <f>$H1362*FN$1370</f>
        <v>43.008761778999997</v>
      </c>
      <c r="FO1362" s="268">
        <f>$I1362*FO$1370</f>
        <v>0</v>
      </c>
      <c r="FP1362" s="268">
        <f>$J1362*FP$1370</f>
        <v>0</v>
      </c>
      <c r="FQ1362" s="268">
        <f>$K1362*FQ$1370</f>
        <v>0</v>
      </c>
      <c r="FR1362" s="97">
        <f t="shared" si="3128"/>
        <v>38647.160000000003</v>
      </c>
      <c r="FS1362" s="97">
        <f t="shared" si="3128"/>
        <v>40644.720000000001</v>
      </c>
      <c r="FT1362" s="97">
        <f t="shared" si="3128"/>
        <v>41632.480000000003</v>
      </c>
      <c r="FU1362" s="97">
        <f t="shared" si="3129"/>
        <v>0</v>
      </c>
      <c r="FV1362" s="97">
        <f t="shared" si="3129"/>
        <v>0</v>
      </c>
      <c r="FW1362" s="97">
        <f t="shared" si="3129"/>
        <v>0</v>
      </c>
      <c r="FX1362" s="102"/>
      <c r="FY1362" s="102"/>
      <c r="FZ1362" s="102"/>
      <c r="GA1362" s="97">
        <f t="shared" si="3130"/>
        <v>0</v>
      </c>
      <c r="GB1362" s="97">
        <f t="shared" si="3131"/>
        <v>0</v>
      </c>
      <c r="GC1362" s="97">
        <f t="shared" si="3132"/>
        <v>0</v>
      </c>
      <c r="GD1362" s="97">
        <f t="shared" si="3133"/>
        <v>0</v>
      </c>
      <c r="GE1362" s="97">
        <f t="shared" si="3134"/>
        <v>0</v>
      </c>
      <c r="GF1362" s="97">
        <f t="shared" si="3135"/>
        <v>0</v>
      </c>
      <c r="GG1362" s="268">
        <f>$F1362*GG$1370</f>
        <v>0</v>
      </c>
      <c r="GH1362" s="268">
        <f>$G1362*GH$1370</f>
        <v>0</v>
      </c>
      <c r="GI1362" s="268">
        <f>$H1362*GI$1370</f>
        <v>0</v>
      </c>
      <c r="GJ1362" s="268">
        <f>$I1362*GJ$1370</f>
        <v>0</v>
      </c>
      <c r="GK1362" s="268">
        <f>$J1362*GK$1370</f>
        <v>0</v>
      </c>
      <c r="GL1362" s="268">
        <f>$K1362*GL$1370</f>
        <v>0</v>
      </c>
      <c r="GM1362" s="97">
        <f t="shared" si="3136"/>
        <v>0</v>
      </c>
      <c r="GN1362" s="97">
        <f t="shared" si="3136"/>
        <v>0</v>
      </c>
      <c r="GO1362" s="97">
        <f t="shared" si="3136"/>
        <v>0</v>
      </c>
      <c r="GP1362" s="97">
        <f t="shared" si="3137"/>
        <v>0</v>
      </c>
      <c r="GQ1362" s="97">
        <f t="shared" si="3137"/>
        <v>0</v>
      </c>
      <c r="GR1362" s="97">
        <f t="shared" si="3137"/>
        <v>0</v>
      </c>
      <c r="GS1362" s="102"/>
      <c r="GT1362" s="102"/>
      <c r="GU1362" s="102"/>
      <c r="GV1362" s="97">
        <f t="shared" si="3138"/>
        <v>0</v>
      </c>
      <c r="GW1362" s="97">
        <f t="shared" si="3139"/>
        <v>0</v>
      </c>
      <c r="GX1362" s="97">
        <f t="shared" si="3140"/>
        <v>0</v>
      </c>
      <c r="GY1362" s="97">
        <f t="shared" si="3141"/>
        <v>0</v>
      </c>
      <c r="GZ1362" s="97">
        <f t="shared" si="3142"/>
        <v>0</v>
      </c>
      <c r="HA1362" s="97">
        <f t="shared" si="3143"/>
        <v>0</v>
      </c>
      <c r="HB1362" s="268">
        <f>$F1362*HB$1370</f>
        <v>39.830367369800001</v>
      </c>
      <c r="HC1362" s="268">
        <f>$G1362*HC$1370</f>
        <v>42.029318304599997</v>
      </c>
      <c r="HD1362" s="268">
        <f>$H1362*HD$1370</f>
        <v>43.0676119556</v>
      </c>
      <c r="HE1362" s="268">
        <f>$I1362*HE$1370</f>
        <v>0</v>
      </c>
      <c r="HF1362" s="268">
        <f>$J1362*HF$1370</f>
        <v>0</v>
      </c>
      <c r="HG1362" s="268">
        <f>$K1362*HG$1370</f>
        <v>0</v>
      </c>
      <c r="HH1362" s="97">
        <f t="shared" si="3144"/>
        <v>0</v>
      </c>
      <c r="HI1362" s="97">
        <f t="shared" si="3144"/>
        <v>0</v>
      </c>
      <c r="HJ1362" s="97">
        <f t="shared" si="3144"/>
        <v>0</v>
      </c>
      <c r="HK1362" s="97">
        <f t="shared" si="3145"/>
        <v>0</v>
      </c>
      <c r="HL1362" s="97">
        <f t="shared" si="3145"/>
        <v>0</v>
      </c>
      <c r="HM1362" s="97">
        <f t="shared" si="3145"/>
        <v>0</v>
      </c>
      <c r="HN1362" s="102"/>
      <c r="HO1362" s="102"/>
      <c r="HP1362" s="102"/>
      <c r="HQ1362" s="97">
        <f t="shared" si="3146"/>
        <v>0</v>
      </c>
      <c r="HR1362" s="97">
        <f t="shared" si="3147"/>
        <v>0</v>
      </c>
      <c r="HS1362" s="97">
        <f t="shared" si="3148"/>
        <v>0</v>
      </c>
      <c r="HT1362" s="97">
        <f t="shared" si="3149"/>
        <v>0</v>
      </c>
      <c r="HU1362" s="97">
        <f t="shared" si="3150"/>
        <v>0</v>
      </c>
      <c r="HV1362" s="97">
        <f t="shared" si="3151"/>
        <v>0</v>
      </c>
      <c r="HW1362" s="268">
        <f>$F1362*HW$1370</f>
        <v>0</v>
      </c>
      <c r="HX1362" s="268">
        <f>$G1362*HX$1370</f>
        <v>0</v>
      </c>
      <c r="HY1362" s="268">
        <f>$H1362*HY$1370</f>
        <v>0</v>
      </c>
      <c r="HZ1362" s="268">
        <f>$I1362*HZ$1370</f>
        <v>0</v>
      </c>
      <c r="IA1362" s="268">
        <f>$J1362*IA$1370</f>
        <v>0</v>
      </c>
      <c r="IB1362" s="268">
        <f>$K1362*IB$1370</f>
        <v>0</v>
      </c>
      <c r="IC1362" s="97">
        <f t="shared" si="3152"/>
        <v>0</v>
      </c>
      <c r="ID1362" s="97">
        <f t="shared" si="3152"/>
        <v>0</v>
      </c>
      <c r="IE1362" s="97">
        <f t="shared" si="3152"/>
        <v>0</v>
      </c>
      <c r="IF1362" s="97">
        <f t="shared" si="3153"/>
        <v>0</v>
      </c>
      <c r="IG1362" s="97">
        <f t="shared" si="3153"/>
        <v>0</v>
      </c>
      <c r="IH1362" s="97">
        <f t="shared" si="3153"/>
        <v>0</v>
      </c>
      <c r="II1362" s="102"/>
      <c r="IJ1362" s="102"/>
      <c r="IK1362" s="102"/>
      <c r="IL1362" s="97">
        <f t="shared" si="3154"/>
        <v>0</v>
      </c>
      <c r="IM1362" s="97">
        <f t="shared" si="3155"/>
        <v>0</v>
      </c>
      <c r="IN1362" s="97">
        <f t="shared" si="3156"/>
        <v>0</v>
      </c>
      <c r="IO1362" s="97">
        <f t="shared" si="3157"/>
        <v>0</v>
      </c>
      <c r="IP1362" s="97">
        <f t="shared" si="3158"/>
        <v>0</v>
      </c>
      <c r="IQ1362" s="97">
        <f t="shared" si="3159"/>
        <v>0</v>
      </c>
      <c r="IR1362" s="268">
        <f>$F1362*IR$1370</f>
        <v>39.999999998299998</v>
      </c>
      <c r="IS1362" s="268">
        <f>$G1362*IS$1370</f>
        <v>42.025316456799999</v>
      </c>
      <c r="IT1362" s="268">
        <f>$H1362*IT$1370</f>
        <v>43.037974681800002</v>
      </c>
      <c r="IU1362" s="268">
        <f>$I1362*IU$1370</f>
        <v>0</v>
      </c>
      <c r="IV1362" s="268">
        <f>$J1362*IV$1370</f>
        <v>0</v>
      </c>
      <c r="IW1362" s="268">
        <f>$K1362*IW$1370</f>
        <v>0</v>
      </c>
      <c r="IX1362" s="97">
        <f t="shared" si="3160"/>
        <v>0</v>
      </c>
      <c r="IY1362" s="97">
        <f t="shared" si="3160"/>
        <v>0</v>
      </c>
      <c r="IZ1362" s="97">
        <f t="shared" si="3160"/>
        <v>0</v>
      </c>
      <c r="JA1362" s="97">
        <f t="shared" si="3161"/>
        <v>0</v>
      </c>
      <c r="JB1362" s="97">
        <f t="shared" si="3161"/>
        <v>0</v>
      </c>
      <c r="JC1362" s="97">
        <f t="shared" si="3161"/>
        <v>0</v>
      </c>
      <c r="JD1362" s="102"/>
      <c r="JE1362" s="102"/>
      <c r="JF1362" s="102"/>
      <c r="JG1362" s="97">
        <f t="shared" si="3162"/>
        <v>0</v>
      </c>
      <c r="JH1362" s="97">
        <f t="shared" si="3163"/>
        <v>0</v>
      </c>
      <c r="JI1362" s="97">
        <f t="shared" si="3164"/>
        <v>0</v>
      </c>
      <c r="JJ1362" s="97">
        <f t="shared" si="3165"/>
        <v>0</v>
      </c>
      <c r="JK1362" s="97">
        <f t="shared" si="3166"/>
        <v>0</v>
      </c>
      <c r="JL1362" s="97">
        <f t="shared" si="3167"/>
        <v>0</v>
      </c>
      <c r="JM1362" s="268">
        <f>$F1362*JM$1370</f>
        <v>0</v>
      </c>
      <c r="JN1362" s="268">
        <f>$G1362*JN$1370</f>
        <v>0</v>
      </c>
      <c r="JO1362" s="268">
        <f>$H1362*JO$1370</f>
        <v>0</v>
      </c>
      <c r="JP1362" s="268">
        <f>$I1362*JP$1370</f>
        <v>0</v>
      </c>
      <c r="JQ1362" s="268">
        <f>$J1362*JQ$1370</f>
        <v>0</v>
      </c>
      <c r="JR1362" s="268">
        <f>$K1362*JR$1370</f>
        <v>0</v>
      </c>
      <c r="JS1362" s="97">
        <f t="shared" si="3168"/>
        <v>0</v>
      </c>
      <c r="JT1362" s="97">
        <f t="shared" si="3168"/>
        <v>0</v>
      </c>
      <c r="JU1362" s="97">
        <f t="shared" si="3168"/>
        <v>0</v>
      </c>
      <c r="JV1362" s="97">
        <f t="shared" si="3169"/>
        <v>0</v>
      </c>
      <c r="JW1362" s="97">
        <f t="shared" si="3169"/>
        <v>0</v>
      </c>
      <c r="JX1362" s="97">
        <f t="shared" si="3169"/>
        <v>0</v>
      </c>
      <c r="JY1362" s="102"/>
      <c r="JZ1362" s="102"/>
      <c r="KA1362" s="102"/>
      <c r="KB1362" s="97">
        <f t="shared" si="3170"/>
        <v>0</v>
      </c>
      <c r="KC1362" s="97">
        <f t="shared" si="3171"/>
        <v>0</v>
      </c>
      <c r="KD1362" s="97">
        <f t="shared" si="3172"/>
        <v>0</v>
      </c>
      <c r="KE1362" s="97">
        <f t="shared" si="3173"/>
        <v>0</v>
      </c>
      <c r="KF1362" s="97">
        <f t="shared" si="3174"/>
        <v>0</v>
      </c>
      <c r="KG1362" s="97">
        <f t="shared" si="3175"/>
        <v>0</v>
      </c>
      <c r="KH1362" s="268">
        <f>$F1362*KH$1370</f>
        <v>39.881656725900001</v>
      </c>
      <c r="KI1362" s="268">
        <f>$G1362*KI$1370</f>
        <v>42.017089668200001</v>
      </c>
      <c r="KJ1362" s="268">
        <f>$H1362*KJ$1370</f>
        <v>43.079265675099997</v>
      </c>
      <c r="KK1362" s="268">
        <f>$I1362*KK$1370</f>
        <v>0</v>
      </c>
      <c r="KL1362" s="268">
        <f>$J1362*KL$1370</f>
        <v>0</v>
      </c>
      <c r="KM1362" s="268">
        <f>$K1362*KM$1370</f>
        <v>0</v>
      </c>
      <c r="KN1362" s="97">
        <f t="shared" si="3176"/>
        <v>0</v>
      </c>
      <c r="KO1362" s="97">
        <f t="shared" si="3176"/>
        <v>0</v>
      </c>
      <c r="KP1362" s="97">
        <f t="shared" si="3176"/>
        <v>0</v>
      </c>
      <c r="KQ1362" s="97">
        <f t="shared" si="3177"/>
        <v>0</v>
      </c>
      <c r="KR1362" s="97">
        <f t="shared" si="3177"/>
        <v>0</v>
      </c>
      <c r="KS1362" s="97">
        <f t="shared" si="3177"/>
        <v>0</v>
      </c>
      <c r="KT1362" s="102"/>
      <c r="KU1362" s="102"/>
      <c r="KV1362" s="102"/>
      <c r="KW1362" s="97">
        <f t="shared" si="3178"/>
        <v>0</v>
      </c>
      <c r="KX1362" s="97">
        <f t="shared" si="3179"/>
        <v>0</v>
      </c>
      <c r="KY1362" s="97">
        <f t="shared" si="3180"/>
        <v>0</v>
      </c>
      <c r="KZ1362" s="97">
        <f t="shared" si="3181"/>
        <v>0</v>
      </c>
      <c r="LA1362" s="97">
        <f t="shared" si="3182"/>
        <v>0</v>
      </c>
      <c r="LB1362" s="97">
        <f t="shared" si="3183"/>
        <v>0</v>
      </c>
      <c r="LC1362" s="268">
        <f>$F1362*LC$1370</f>
        <v>0</v>
      </c>
      <c r="LD1362" s="268">
        <f>$G1362*LD$1370</f>
        <v>0</v>
      </c>
      <c r="LE1362" s="268">
        <f>$H1362*LE$1370</f>
        <v>0</v>
      </c>
      <c r="LF1362" s="268">
        <f>$I1362*LF$1370</f>
        <v>0</v>
      </c>
      <c r="LG1362" s="268">
        <f>$J1362*LG$1370</f>
        <v>0</v>
      </c>
      <c r="LH1362" s="268">
        <f>$K1362*LH$1370</f>
        <v>0</v>
      </c>
      <c r="LI1362" s="97">
        <f t="shared" si="3184"/>
        <v>0</v>
      </c>
      <c r="LJ1362" s="97">
        <f t="shared" si="3184"/>
        <v>0</v>
      </c>
      <c r="LK1362" s="97">
        <f t="shared" si="3184"/>
        <v>0</v>
      </c>
      <c r="LL1362" s="97">
        <f t="shared" si="3185"/>
        <v>0</v>
      </c>
      <c r="LM1362" s="97">
        <f t="shared" si="3185"/>
        <v>0</v>
      </c>
      <c r="LN1362" s="97">
        <f t="shared" si="3185"/>
        <v>0</v>
      </c>
      <c r="LO1362" s="102"/>
      <c r="LP1362" s="102"/>
      <c r="LQ1362" s="102"/>
      <c r="LR1362" s="97">
        <f t="shared" si="3186"/>
        <v>0</v>
      </c>
      <c r="LS1362" s="97">
        <f t="shared" si="3187"/>
        <v>0</v>
      </c>
      <c r="LT1362" s="97">
        <f t="shared" si="3188"/>
        <v>0</v>
      </c>
      <c r="LU1362" s="97">
        <f t="shared" si="3189"/>
        <v>0</v>
      </c>
      <c r="LV1362" s="97">
        <f t="shared" si="3190"/>
        <v>0</v>
      </c>
      <c r="LW1362" s="97">
        <f t="shared" si="3191"/>
        <v>0</v>
      </c>
      <c r="LX1362" s="268">
        <f>$F1362*LX$1370</f>
        <v>39.919933951899999</v>
      </c>
      <c r="LY1362" s="268">
        <f>$G1362*LY$1370</f>
        <v>41.999912914500001</v>
      </c>
      <c r="LZ1362" s="268">
        <f>$H1362*LZ$1370</f>
        <v>43.049689626599999</v>
      </c>
      <c r="MA1362" s="268">
        <f>$I1362*MA$1370</f>
        <v>0</v>
      </c>
      <c r="MB1362" s="268">
        <f>$J1362*MB$1370</f>
        <v>0</v>
      </c>
      <c r="MC1362" s="268">
        <f>$K1362*MC$1370</f>
        <v>0</v>
      </c>
      <c r="MD1362" s="97">
        <f t="shared" si="3192"/>
        <v>0</v>
      </c>
      <c r="ME1362" s="97">
        <f t="shared" si="3192"/>
        <v>0</v>
      </c>
      <c r="MF1362" s="97">
        <f t="shared" si="3192"/>
        <v>0</v>
      </c>
      <c r="MG1362" s="97">
        <f t="shared" si="3193"/>
        <v>0</v>
      </c>
      <c r="MH1362" s="97">
        <f t="shared" si="3193"/>
        <v>0</v>
      </c>
      <c r="MI1362" s="97">
        <f t="shared" si="3193"/>
        <v>0</v>
      </c>
      <c r="MJ1362" s="102"/>
      <c r="MK1362" s="102"/>
      <c r="ML1362" s="102"/>
      <c r="MM1362" s="97">
        <f t="shared" si="3194"/>
        <v>0</v>
      </c>
      <c r="MN1362" s="97">
        <f t="shared" si="3195"/>
        <v>0</v>
      </c>
      <c r="MO1362" s="97">
        <f t="shared" si="3196"/>
        <v>0</v>
      </c>
      <c r="MP1362" s="97">
        <f t="shared" si="3197"/>
        <v>0</v>
      </c>
      <c r="MQ1362" s="97">
        <f t="shared" si="3198"/>
        <v>0</v>
      </c>
      <c r="MR1362" s="97">
        <f t="shared" si="3199"/>
        <v>0</v>
      </c>
      <c r="MS1362" s="268">
        <f>$F1362*MS$1370</f>
        <v>39.895330958300001</v>
      </c>
      <c r="MT1362" s="268">
        <f>$G1362*MT$1370</f>
        <v>42.0122145602</v>
      </c>
      <c r="MU1362" s="268">
        <f>$H1362*MU$1370</f>
        <v>43.046757261099998</v>
      </c>
      <c r="MV1362" s="268">
        <f>$I1362*MV$1370</f>
        <v>0</v>
      </c>
      <c r="MW1362" s="268">
        <f>$J1362*MW$1370</f>
        <v>0</v>
      </c>
      <c r="MX1362" s="268">
        <f>$K1362*MX$1370</f>
        <v>0</v>
      </c>
      <c r="MY1362" s="97">
        <f t="shared" si="3200"/>
        <v>0</v>
      </c>
      <c r="MZ1362" s="97">
        <f t="shared" si="3200"/>
        <v>0</v>
      </c>
      <c r="NA1362" s="97">
        <f t="shared" si="3200"/>
        <v>0</v>
      </c>
      <c r="NB1362" s="97">
        <f t="shared" si="3201"/>
        <v>0</v>
      </c>
      <c r="NC1362" s="97">
        <f t="shared" si="3201"/>
        <v>0</v>
      </c>
      <c r="ND1362" s="97">
        <f t="shared" si="3201"/>
        <v>0</v>
      </c>
      <c r="NE1362" s="102"/>
      <c r="NF1362" s="102"/>
      <c r="NG1362" s="102"/>
      <c r="NH1362" s="97">
        <f t="shared" si="3202"/>
        <v>0</v>
      </c>
      <c r="NI1362" s="97">
        <f t="shared" si="3203"/>
        <v>0</v>
      </c>
      <c r="NJ1362" s="97">
        <f t="shared" si="3204"/>
        <v>0</v>
      </c>
      <c r="NK1362" s="97">
        <f t="shared" si="3205"/>
        <v>0</v>
      </c>
      <c r="NL1362" s="97">
        <f t="shared" si="3206"/>
        <v>0</v>
      </c>
      <c r="NM1362" s="97">
        <f t="shared" si="3207"/>
        <v>0</v>
      </c>
      <c r="NN1362" s="268">
        <f>$F1362*NN$1370</f>
        <v>39.763328699100001</v>
      </c>
      <c r="NO1362" s="268">
        <f>$G1362*NO$1370</f>
        <v>42.008133948699999</v>
      </c>
      <c r="NP1362" s="268">
        <f>$H1362*NP$1370</f>
        <v>43.119424549900003</v>
      </c>
      <c r="NQ1362" s="268">
        <f>$I1362*NQ$1370</f>
        <v>0</v>
      </c>
      <c r="NR1362" s="268">
        <f>$J1362*NR$1370</f>
        <v>0</v>
      </c>
      <c r="NS1362" s="268">
        <f>$K1362*NS$1370</f>
        <v>0</v>
      </c>
      <c r="NT1362" s="97">
        <f t="shared" si="3208"/>
        <v>0</v>
      </c>
      <c r="NU1362" s="97">
        <f t="shared" si="3208"/>
        <v>0</v>
      </c>
      <c r="NV1362" s="97">
        <f t="shared" si="3208"/>
        <v>0</v>
      </c>
      <c r="NW1362" s="97">
        <f t="shared" si="3209"/>
        <v>0</v>
      </c>
      <c r="NX1362" s="97">
        <f t="shared" si="3209"/>
        <v>0</v>
      </c>
      <c r="NY1362" s="97">
        <f t="shared" si="3209"/>
        <v>0</v>
      </c>
      <c r="NZ1362" s="102"/>
      <c r="OA1362" s="102"/>
      <c r="OB1362" s="102"/>
      <c r="OC1362" s="97">
        <f t="shared" si="3210"/>
        <v>0</v>
      </c>
      <c r="OD1362" s="97">
        <f t="shared" si="3211"/>
        <v>0</v>
      </c>
      <c r="OE1362" s="97">
        <f t="shared" si="3212"/>
        <v>0</v>
      </c>
      <c r="OF1362" s="97">
        <f t="shared" si="3213"/>
        <v>0</v>
      </c>
      <c r="OG1362" s="97">
        <f t="shared" si="3214"/>
        <v>0</v>
      </c>
      <c r="OH1362" s="97">
        <f t="shared" si="3215"/>
        <v>0</v>
      </c>
      <c r="OI1362" s="268">
        <f>$F1362*OI$1370</f>
        <v>40.007716050500001</v>
      </c>
      <c r="OJ1362" s="268">
        <f>$G1362*OJ$1370</f>
        <v>41.994598763500001</v>
      </c>
      <c r="OK1362" s="268">
        <f>$H1362*OK$1370</f>
        <v>43.016975309099998</v>
      </c>
      <c r="OL1362" s="268">
        <f>$I1362*OL$1370</f>
        <v>0</v>
      </c>
      <c r="OM1362" s="268">
        <f>$J1362*OM$1370</f>
        <v>0</v>
      </c>
      <c r="ON1362" s="268">
        <f>$K1362*ON$1370</f>
        <v>0</v>
      </c>
      <c r="OO1362" s="97">
        <f t="shared" si="3216"/>
        <v>0</v>
      </c>
      <c r="OP1362" s="97">
        <f t="shared" si="3216"/>
        <v>0</v>
      </c>
      <c r="OQ1362" s="97">
        <f t="shared" si="3216"/>
        <v>0</v>
      </c>
      <c r="OR1362" s="97">
        <f t="shared" si="3217"/>
        <v>0</v>
      </c>
      <c r="OS1362" s="97">
        <f t="shared" si="3217"/>
        <v>0</v>
      </c>
      <c r="OT1362" s="97">
        <f t="shared" si="3217"/>
        <v>0</v>
      </c>
      <c r="OU1362" s="102">
        <v>518</v>
      </c>
      <c r="OV1362" s="102">
        <v>518</v>
      </c>
      <c r="OW1362" s="102">
        <v>518</v>
      </c>
      <c r="OX1362" s="97">
        <f t="shared" si="3218"/>
        <v>20528.34</v>
      </c>
      <c r="OY1362" s="97">
        <f t="shared" si="3219"/>
        <v>21662.76</v>
      </c>
      <c r="OZ1362" s="97">
        <f t="shared" si="3220"/>
        <v>22527.82</v>
      </c>
      <c r="PA1362" s="97">
        <f t="shared" si="3221"/>
        <v>0</v>
      </c>
      <c r="PB1362" s="97">
        <f t="shared" si="3222"/>
        <v>0</v>
      </c>
      <c r="PC1362" s="97">
        <f t="shared" si="3223"/>
        <v>0</v>
      </c>
      <c r="PD1362" s="268">
        <f>$F1362*PD$1370</f>
        <v>40.000655280399997</v>
      </c>
      <c r="PE1362" s="268">
        <f>$G1362*PE$1370</f>
        <v>42.038426148600003</v>
      </c>
      <c r="PF1362" s="268">
        <f>$H1362*PF$1370</f>
        <v>43.055336803099998</v>
      </c>
      <c r="PG1362" s="268">
        <f>$I1362*PG$1370</f>
        <v>0</v>
      </c>
      <c r="PH1362" s="268">
        <f>$J1362*PH$1370</f>
        <v>0</v>
      </c>
      <c r="PI1362" s="268">
        <f>$K1362*PI$1370</f>
        <v>0</v>
      </c>
      <c r="PJ1362" s="97">
        <f t="shared" si="3224"/>
        <v>20720.34</v>
      </c>
      <c r="PK1362" s="97">
        <f t="shared" si="3224"/>
        <v>21775.9</v>
      </c>
      <c r="PL1362" s="97">
        <f t="shared" si="3224"/>
        <v>22302.66</v>
      </c>
      <c r="PM1362" s="97">
        <f t="shared" si="3225"/>
        <v>0</v>
      </c>
      <c r="PN1362" s="97">
        <f t="shared" si="3225"/>
        <v>0</v>
      </c>
      <c r="PO1362" s="97">
        <f t="shared" si="3225"/>
        <v>0</v>
      </c>
      <c r="PP1362" s="102"/>
      <c r="PQ1362" s="102"/>
      <c r="PR1362" s="102"/>
      <c r="PS1362" s="97">
        <f t="shared" si="3226"/>
        <v>0</v>
      </c>
      <c r="PT1362" s="97">
        <f t="shared" si="3227"/>
        <v>0</v>
      </c>
      <c r="PU1362" s="97">
        <f t="shared" si="3228"/>
        <v>0</v>
      </c>
      <c r="PV1362" s="97">
        <f t="shared" si="3229"/>
        <v>0</v>
      </c>
      <c r="PW1362" s="97">
        <f t="shared" si="3230"/>
        <v>0</v>
      </c>
      <c r="PX1362" s="97">
        <f t="shared" si="3231"/>
        <v>0</v>
      </c>
      <c r="PY1362" s="268">
        <f>$F1362*PY$1370</f>
        <v>39.851564779199997</v>
      </c>
      <c r="PZ1362" s="268">
        <f>$G1362*PZ$1370</f>
        <v>42.022097353900001</v>
      </c>
      <c r="QA1362" s="268">
        <f>$H1362*QA$1370</f>
        <v>43.0600987754</v>
      </c>
      <c r="QB1362" s="268">
        <f>$I1362*QB$1370</f>
        <v>0</v>
      </c>
      <c r="QC1362" s="268">
        <f>$J1362*QC$1370</f>
        <v>0</v>
      </c>
      <c r="QD1362" s="268">
        <f>$K1362*QD$1370</f>
        <v>0</v>
      </c>
      <c r="QE1362" s="97">
        <f t="shared" si="3232"/>
        <v>0</v>
      </c>
      <c r="QF1362" s="97">
        <f t="shared" si="3232"/>
        <v>0</v>
      </c>
      <c r="QG1362" s="97">
        <f t="shared" si="3232"/>
        <v>0</v>
      </c>
      <c r="QH1362" s="97">
        <f t="shared" si="3233"/>
        <v>0</v>
      </c>
      <c r="QI1362" s="97">
        <f t="shared" si="3233"/>
        <v>0</v>
      </c>
      <c r="QJ1362" s="97">
        <f t="shared" si="3233"/>
        <v>0</v>
      </c>
      <c r="QK1362" s="102"/>
      <c r="QL1362" s="102"/>
      <c r="QM1362" s="102"/>
      <c r="QN1362" s="97">
        <f t="shared" si="3234"/>
        <v>0</v>
      </c>
      <c r="QO1362" s="97">
        <f t="shared" si="3235"/>
        <v>0</v>
      </c>
      <c r="QP1362" s="97">
        <f t="shared" si="3236"/>
        <v>0</v>
      </c>
      <c r="QQ1362" s="97">
        <f t="shared" si="3237"/>
        <v>0</v>
      </c>
      <c r="QR1362" s="97">
        <f t="shared" si="3238"/>
        <v>0</v>
      </c>
      <c r="QS1362" s="97">
        <f t="shared" si="3239"/>
        <v>0</v>
      </c>
      <c r="QT1362" s="268">
        <f>$F1362*QT$1370</f>
        <v>0</v>
      </c>
      <c r="QU1362" s="268">
        <f>$G1362*QU$1370</f>
        <v>0</v>
      </c>
      <c r="QV1362" s="268">
        <f>$H1362*QV$1370</f>
        <v>0</v>
      </c>
      <c r="QW1362" s="268">
        <f>$I1362*QW$1370</f>
        <v>0</v>
      </c>
      <c r="QX1362" s="268">
        <f>$J1362*QX$1370</f>
        <v>0</v>
      </c>
      <c r="QY1362" s="268">
        <f>$K1362*QY$1370</f>
        <v>0</v>
      </c>
      <c r="QZ1362" s="97">
        <f t="shared" si="3240"/>
        <v>0</v>
      </c>
      <c r="RA1362" s="97">
        <f t="shared" si="3240"/>
        <v>0</v>
      </c>
      <c r="RB1362" s="97">
        <f t="shared" si="3240"/>
        <v>0</v>
      </c>
      <c r="RC1362" s="97">
        <f t="shared" si="3241"/>
        <v>0</v>
      </c>
      <c r="RD1362" s="97">
        <f t="shared" si="3241"/>
        <v>0</v>
      </c>
      <c r="RE1362" s="97">
        <f t="shared" si="3241"/>
        <v>0</v>
      </c>
      <c r="RF1362" s="102"/>
      <c r="RG1362" s="102"/>
      <c r="RH1362" s="102"/>
      <c r="RI1362" s="97">
        <f t="shared" si="3242"/>
        <v>0</v>
      </c>
      <c r="RJ1362" s="97">
        <f t="shared" si="3243"/>
        <v>0</v>
      </c>
      <c r="RK1362" s="97">
        <f t="shared" si="3244"/>
        <v>0</v>
      </c>
      <c r="RL1362" s="97">
        <f t="shared" si="3245"/>
        <v>0</v>
      </c>
      <c r="RM1362" s="97">
        <f t="shared" si="3246"/>
        <v>0</v>
      </c>
      <c r="RN1362" s="97">
        <f t="shared" si="3247"/>
        <v>0</v>
      </c>
      <c r="RO1362" s="268">
        <f>$F1362*RO$1370</f>
        <v>39.966125970500002</v>
      </c>
      <c r="RP1362" s="268">
        <f>$G1362*RP$1370</f>
        <v>41.9896076343</v>
      </c>
      <c r="RQ1362" s="268">
        <f>$H1362*RQ$1370</f>
        <v>43.017707524099997</v>
      </c>
      <c r="RR1362" s="268">
        <f>$I1362*RR$1370</f>
        <v>0</v>
      </c>
      <c r="RS1362" s="268">
        <f>$J1362*RS$1370</f>
        <v>0</v>
      </c>
      <c r="RT1362" s="268">
        <f>$K1362*RT$1370</f>
        <v>0</v>
      </c>
      <c r="RU1362" s="97">
        <f t="shared" si="3248"/>
        <v>0</v>
      </c>
      <c r="RV1362" s="97">
        <f t="shared" si="3248"/>
        <v>0</v>
      </c>
      <c r="RW1362" s="97">
        <f t="shared" si="3248"/>
        <v>0</v>
      </c>
      <c r="RX1362" s="97">
        <f t="shared" si="3249"/>
        <v>0</v>
      </c>
      <c r="RY1362" s="97">
        <f t="shared" si="3249"/>
        <v>0</v>
      </c>
      <c r="RZ1362" s="97">
        <f t="shared" si="3249"/>
        <v>0</v>
      </c>
      <c r="SA1362" s="102"/>
      <c r="SB1362" s="102"/>
      <c r="SC1362" s="102"/>
      <c r="SD1362" s="97">
        <f t="shared" si="3250"/>
        <v>0</v>
      </c>
      <c r="SE1362" s="97">
        <f t="shared" si="3251"/>
        <v>0</v>
      </c>
      <c r="SF1362" s="97">
        <f t="shared" si="3252"/>
        <v>0</v>
      </c>
      <c r="SG1362" s="97">
        <f t="shared" si="3253"/>
        <v>0</v>
      </c>
      <c r="SH1362" s="97">
        <f t="shared" si="3254"/>
        <v>0</v>
      </c>
      <c r="SI1362" s="97">
        <f t="shared" si="3255"/>
        <v>0</v>
      </c>
      <c r="SJ1362" s="268">
        <f>$F1362*SJ$1370</f>
        <v>39.870117639</v>
      </c>
      <c r="SK1362" s="268">
        <f>$G1362*SK$1370</f>
        <v>42.004934534599997</v>
      </c>
      <c r="SL1362" s="268">
        <f>$H1362*SL$1370</f>
        <v>43.0668057249</v>
      </c>
      <c r="SM1362" s="268">
        <f>$I1362*SM$1370</f>
        <v>0</v>
      </c>
      <c r="SN1362" s="268">
        <f>$J1362*SN$1370</f>
        <v>0</v>
      </c>
      <c r="SO1362" s="268">
        <f>$K1362*SO$1370</f>
        <v>0</v>
      </c>
      <c r="SP1362" s="97">
        <f t="shared" si="3256"/>
        <v>0</v>
      </c>
      <c r="SQ1362" s="97">
        <f t="shared" si="3256"/>
        <v>0</v>
      </c>
      <c r="SR1362" s="97">
        <f t="shared" si="3256"/>
        <v>0</v>
      </c>
      <c r="SS1362" s="97">
        <f t="shared" si="3257"/>
        <v>0</v>
      </c>
      <c r="ST1362" s="97">
        <f t="shared" si="3257"/>
        <v>0</v>
      </c>
      <c r="SU1362" s="97">
        <f t="shared" si="3257"/>
        <v>0</v>
      </c>
      <c r="SV1362" s="102"/>
      <c r="SW1362" s="102"/>
      <c r="SX1362" s="102"/>
      <c r="SY1362" s="97">
        <f t="shared" si="3258"/>
        <v>0</v>
      </c>
      <c r="SZ1362" s="97">
        <f t="shared" si="3259"/>
        <v>0</v>
      </c>
      <c r="TA1362" s="97">
        <f t="shared" si="3260"/>
        <v>0</v>
      </c>
      <c r="TB1362" s="97">
        <f t="shared" si="3261"/>
        <v>0</v>
      </c>
      <c r="TC1362" s="97">
        <f t="shared" si="3262"/>
        <v>0</v>
      </c>
      <c r="TD1362" s="97">
        <f t="shared" si="3263"/>
        <v>0</v>
      </c>
      <c r="TE1362" s="268">
        <f>$F1362*TE$1370</f>
        <v>39.829617086699997</v>
      </c>
      <c r="TF1362" s="268">
        <f>$G1362*TF$1370</f>
        <v>41.987823020199997</v>
      </c>
      <c r="TG1362" s="268">
        <f>$H1362*TG$1370</f>
        <v>43.073534632499999</v>
      </c>
      <c r="TH1362" s="268">
        <f>$I1362*TH$1370</f>
        <v>0</v>
      </c>
      <c r="TI1362" s="268">
        <f>$J1362*TI$1370</f>
        <v>0</v>
      </c>
      <c r="TJ1362" s="268">
        <f>$K1362*TJ$1370</f>
        <v>0</v>
      </c>
      <c r="TK1362" s="97">
        <f t="shared" si="3264"/>
        <v>0</v>
      </c>
      <c r="TL1362" s="97">
        <f t="shared" si="3264"/>
        <v>0</v>
      </c>
      <c r="TM1362" s="97">
        <f t="shared" si="3264"/>
        <v>0</v>
      </c>
      <c r="TN1362" s="97">
        <f t="shared" si="3265"/>
        <v>0</v>
      </c>
      <c r="TO1362" s="97">
        <f t="shared" si="3265"/>
        <v>0</v>
      </c>
      <c r="TP1362" s="97">
        <f t="shared" si="3265"/>
        <v>0</v>
      </c>
      <c r="TQ1362" s="102"/>
      <c r="TR1362" s="102"/>
      <c r="TS1362" s="102"/>
      <c r="TT1362" s="97">
        <f t="shared" si="3266"/>
        <v>0</v>
      </c>
      <c r="TU1362" s="97">
        <f t="shared" si="3267"/>
        <v>0</v>
      </c>
      <c r="TV1362" s="97">
        <f t="shared" si="3268"/>
        <v>0</v>
      </c>
      <c r="TW1362" s="97">
        <f t="shared" si="3269"/>
        <v>0</v>
      </c>
      <c r="TX1362" s="97">
        <f t="shared" si="3270"/>
        <v>0</v>
      </c>
      <c r="TY1362" s="97">
        <f t="shared" si="3271"/>
        <v>0</v>
      </c>
      <c r="TZ1362" s="268">
        <f>$F1362*TZ$1370</f>
        <v>39.877716437799997</v>
      </c>
      <c r="UA1362" s="268">
        <f>$G1362*UA$1370</f>
        <v>42.011377449299999</v>
      </c>
      <c r="UB1362" s="268">
        <f>$H1362*UB$1370</f>
        <v>43.1002120944</v>
      </c>
      <c r="UC1362" s="268">
        <f>$I1362*UC$1370</f>
        <v>0</v>
      </c>
      <c r="UD1362" s="268">
        <f>$J1362*UD$1370</f>
        <v>0</v>
      </c>
      <c r="UE1362" s="268">
        <f>$K1362*UE$1370</f>
        <v>0</v>
      </c>
      <c r="UF1362" s="97">
        <f t="shared" si="3272"/>
        <v>0</v>
      </c>
      <c r="UG1362" s="97">
        <f t="shared" si="3272"/>
        <v>0</v>
      </c>
      <c r="UH1362" s="97">
        <f t="shared" si="3272"/>
        <v>0</v>
      </c>
      <c r="UI1362" s="97">
        <f t="shared" si="3273"/>
        <v>0</v>
      </c>
      <c r="UJ1362" s="97">
        <f t="shared" si="3273"/>
        <v>0</v>
      </c>
      <c r="UK1362" s="97">
        <f t="shared" si="3273"/>
        <v>0</v>
      </c>
      <c r="UL1362" s="102"/>
      <c r="UM1362" s="102"/>
      <c r="UN1362" s="102"/>
      <c r="UO1362" s="97">
        <f t="shared" si="3274"/>
        <v>0</v>
      </c>
      <c r="UP1362" s="97">
        <f t="shared" si="3275"/>
        <v>0</v>
      </c>
      <c r="UQ1362" s="97">
        <f t="shared" si="3276"/>
        <v>0</v>
      </c>
      <c r="UR1362" s="97">
        <f t="shared" si="3277"/>
        <v>0</v>
      </c>
      <c r="US1362" s="97">
        <f t="shared" si="3278"/>
        <v>0</v>
      </c>
      <c r="UT1362" s="97">
        <f t="shared" si="3279"/>
        <v>0</v>
      </c>
      <c r="UU1362" s="268">
        <f>$F1362*UU$1370</f>
        <v>40.046296295399998</v>
      </c>
      <c r="UV1362" s="268">
        <f>$G1362*UV$1370</f>
        <v>42.013888890899999</v>
      </c>
      <c r="UW1362" s="268">
        <f>$H1362*UW$1370</f>
        <v>43.055555553399998</v>
      </c>
      <c r="UX1362" s="268">
        <f>$I1362*UX$1370</f>
        <v>0</v>
      </c>
      <c r="UY1362" s="268">
        <f>$J1362*UY$1370</f>
        <v>0</v>
      </c>
      <c r="UZ1362" s="268">
        <f>$K1362*UZ$1370</f>
        <v>0</v>
      </c>
      <c r="VA1362" s="97">
        <f t="shared" si="3280"/>
        <v>0</v>
      </c>
      <c r="VB1362" s="97">
        <f t="shared" si="3280"/>
        <v>0</v>
      </c>
      <c r="VC1362" s="97">
        <f t="shared" si="3280"/>
        <v>0</v>
      </c>
      <c r="VD1362" s="97">
        <f t="shared" si="3281"/>
        <v>0</v>
      </c>
      <c r="VE1362" s="97">
        <f t="shared" si="3281"/>
        <v>0</v>
      </c>
      <c r="VF1362" s="97">
        <f t="shared" si="3281"/>
        <v>0</v>
      </c>
      <c r="VG1362" s="102"/>
      <c r="VH1362" s="102"/>
      <c r="VI1362" s="102"/>
      <c r="VJ1362" s="97">
        <f t="shared" si="3282"/>
        <v>0</v>
      </c>
      <c r="VK1362" s="97">
        <f t="shared" si="3283"/>
        <v>0</v>
      </c>
      <c r="VL1362" s="97">
        <f t="shared" si="3284"/>
        <v>0</v>
      </c>
      <c r="VM1362" s="97">
        <f t="shared" si="3285"/>
        <v>0</v>
      </c>
      <c r="VN1362" s="97">
        <f t="shared" si="3286"/>
        <v>0</v>
      </c>
      <c r="VO1362" s="97">
        <f t="shared" si="3287"/>
        <v>0</v>
      </c>
      <c r="VP1362" s="268">
        <f>$F1362*VP$1370</f>
        <v>39.830367369800001</v>
      </c>
      <c r="VQ1362" s="268">
        <f>$G1362*VQ$1370</f>
        <v>42.029318304599997</v>
      </c>
      <c r="VR1362" s="268">
        <f>$H1362*VR$1370</f>
        <v>43.0676119556</v>
      </c>
      <c r="VS1362" s="268">
        <f>$I1362*VS$1370</f>
        <v>0</v>
      </c>
      <c r="VT1362" s="268">
        <f>$J1362*VT$1370</f>
        <v>0</v>
      </c>
      <c r="VU1362" s="268">
        <f>$K1362*VU$1370</f>
        <v>0</v>
      </c>
      <c r="VV1362" s="97">
        <f t="shared" si="3288"/>
        <v>0</v>
      </c>
      <c r="VW1362" s="97">
        <f t="shared" si="3288"/>
        <v>0</v>
      </c>
      <c r="VX1362" s="97">
        <f t="shared" si="3288"/>
        <v>0</v>
      </c>
      <c r="VY1362" s="97">
        <f t="shared" si="3289"/>
        <v>0</v>
      </c>
      <c r="VZ1362" s="97">
        <f t="shared" si="3289"/>
        <v>0</v>
      </c>
      <c r="WA1362" s="97">
        <f t="shared" si="3289"/>
        <v>0</v>
      </c>
      <c r="WB1362" s="102"/>
      <c r="WC1362" s="102"/>
      <c r="WD1362" s="102"/>
      <c r="WE1362" s="97">
        <f t="shared" si="3290"/>
        <v>0</v>
      </c>
      <c r="WF1362" s="97">
        <f t="shared" si="3291"/>
        <v>0</v>
      </c>
      <c r="WG1362" s="97">
        <f t="shared" si="3292"/>
        <v>0</v>
      </c>
      <c r="WH1362" s="97">
        <f t="shared" si="3293"/>
        <v>0</v>
      </c>
      <c r="WI1362" s="97">
        <f t="shared" si="3294"/>
        <v>0</v>
      </c>
      <c r="WJ1362" s="97">
        <f t="shared" si="3295"/>
        <v>0</v>
      </c>
      <c r="WK1362" s="268">
        <f>$F1362*WK$1370</f>
        <v>0</v>
      </c>
      <c r="WL1362" s="268">
        <f>$G1362*WL$1370</f>
        <v>0</v>
      </c>
      <c r="WM1362" s="268">
        <f>$H1362*WM$1370</f>
        <v>0</v>
      </c>
      <c r="WN1362" s="268">
        <f>$I1362*WN$1370</f>
        <v>0</v>
      </c>
      <c r="WO1362" s="268">
        <f>$J1362*WO$1370</f>
        <v>0</v>
      </c>
      <c r="WP1362" s="268">
        <f>$K1362*WP$1370</f>
        <v>0</v>
      </c>
      <c r="WQ1362" s="97">
        <f t="shared" si="3296"/>
        <v>0</v>
      </c>
      <c r="WR1362" s="97">
        <f t="shared" si="3296"/>
        <v>0</v>
      </c>
      <c r="WS1362" s="97">
        <f t="shared" si="3296"/>
        <v>0</v>
      </c>
      <c r="WT1362" s="97">
        <f t="shared" si="3297"/>
        <v>0</v>
      </c>
      <c r="WU1362" s="97">
        <f t="shared" si="3297"/>
        <v>0</v>
      </c>
      <c r="WV1362" s="97">
        <f t="shared" si="3297"/>
        <v>0</v>
      </c>
      <c r="WW1362" s="102"/>
      <c r="WX1362" s="102"/>
      <c r="WY1362" s="102"/>
      <c r="WZ1362" s="97">
        <f t="shared" si="3298"/>
        <v>0</v>
      </c>
      <c r="XA1362" s="97">
        <f t="shared" si="3299"/>
        <v>0</v>
      </c>
      <c r="XB1362" s="97">
        <f t="shared" si="3300"/>
        <v>0</v>
      </c>
      <c r="XC1362" s="97">
        <f t="shared" si="3301"/>
        <v>0</v>
      </c>
      <c r="XD1362" s="97">
        <f t="shared" si="3302"/>
        <v>0</v>
      </c>
      <c r="XE1362" s="97">
        <f t="shared" si="3303"/>
        <v>0</v>
      </c>
      <c r="XF1362" s="268">
        <f>$F1362*XF$1370</f>
        <v>0</v>
      </c>
      <c r="XG1362" s="268">
        <f>$G1362*XG$1370</f>
        <v>0</v>
      </c>
      <c r="XH1362" s="268">
        <f>$H1362*XH$1370</f>
        <v>0</v>
      </c>
      <c r="XI1362" s="268">
        <f>$I1362*XI$1370</f>
        <v>0</v>
      </c>
      <c r="XJ1362" s="268">
        <f>$J1362*XJ$1370</f>
        <v>0</v>
      </c>
      <c r="XK1362" s="268">
        <f>$K1362*XK$1370</f>
        <v>0</v>
      </c>
      <c r="XL1362" s="97">
        <f t="shared" si="3304"/>
        <v>0</v>
      </c>
      <c r="XM1362" s="97">
        <f t="shared" si="3304"/>
        <v>0</v>
      </c>
      <c r="XN1362" s="97">
        <f t="shared" si="3304"/>
        <v>0</v>
      </c>
      <c r="XO1362" s="97">
        <f t="shared" si="3305"/>
        <v>0</v>
      </c>
      <c r="XP1362" s="97">
        <f t="shared" si="3305"/>
        <v>0</v>
      </c>
      <c r="XQ1362" s="97">
        <f t="shared" si="3305"/>
        <v>0</v>
      </c>
      <c r="XR1362" s="102"/>
      <c r="XS1362" s="102"/>
      <c r="XT1362" s="102"/>
      <c r="XU1362" s="97">
        <f t="shared" si="3306"/>
        <v>0</v>
      </c>
      <c r="XV1362" s="97">
        <f t="shared" si="3307"/>
        <v>0</v>
      </c>
      <c r="XW1362" s="97">
        <f t="shared" si="3308"/>
        <v>0</v>
      </c>
      <c r="XX1362" s="97">
        <f t="shared" si="3309"/>
        <v>0</v>
      </c>
      <c r="XY1362" s="97">
        <f t="shared" si="3310"/>
        <v>0</v>
      </c>
      <c r="XZ1362" s="97">
        <f t="shared" si="3311"/>
        <v>0</v>
      </c>
      <c r="YA1362" s="268">
        <f>$F1362*YA$1370</f>
        <v>39.999999998299998</v>
      </c>
      <c r="YB1362" s="268">
        <f>$G1362*YB$1370</f>
        <v>41.344880286799999</v>
      </c>
      <c r="YC1362" s="268">
        <f>$H1362*YC$1370</f>
        <v>48.273051453599997</v>
      </c>
      <c r="YD1362" s="268">
        <f>$I1362*YD$1370</f>
        <v>0</v>
      </c>
      <c r="YE1362" s="268">
        <f>$J1362*YE$1370</f>
        <v>0</v>
      </c>
      <c r="YF1362" s="268">
        <f>$K1362*YF$1370</f>
        <v>0</v>
      </c>
      <c r="YG1362" s="97">
        <f t="shared" si="3312"/>
        <v>0</v>
      </c>
      <c r="YH1362" s="97">
        <f t="shared" si="3312"/>
        <v>0</v>
      </c>
      <c r="YI1362" s="97">
        <f t="shared" si="3312"/>
        <v>0</v>
      </c>
      <c r="YJ1362" s="97">
        <f t="shared" si="3313"/>
        <v>0</v>
      </c>
      <c r="YK1362" s="97">
        <f t="shared" si="3313"/>
        <v>0</v>
      </c>
      <c r="YL1362" s="97">
        <f t="shared" si="3313"/>
        <v>0</v>
      </c>
      <c r="YM1362" s="145">
        <f t="shared" si="3314"/>
        <v>4389</v>
      </c>
      <c r="YN1362" s="145">
        <f t="shared" si="3314"/>
        <v>4389</v>
      </c>
      <c r="YO1362" s="145">
        <f t="shared" si="3314"/>
        <v>4389</v>
      </c>
      <c r="YP1362" s="97">
        <f t="shared" si="3315"/>
        <v>173936.07</v>
      </c>
      <c r="YQ1362" s="97">
        <f t="shared" si="3316"/>
        <v>183547.98</v>
      </c>
      <c r="YR1362" s="97">
        <f t="shared" si="3317"/>
        <v>190877.61</v>
      </c>
      <c r="YS1362" s="97">
        <f t="shared" si="3318"/>
        <v>0</v>
      </c>
      <c r="YT1362" s="97">
        <f t="shared" si="3319"/>
        <v>0</v>
      </c>
      <c r="YU1362" s="97">
        <f t="shared" si="3320"/>
        <v>0</v>
      </c>
      <c r="YV1362" s="268">
        <f>$F1362*YV$1370</f>
        <v>39.922438722400003</v>
      </c>
      <c r="YW1362" s="268">
        <f>$G1362*YW$1370</f>
        <v>41.938642118899999</v>
      </c>
      <c r="YX1362" s="268">
        <f>$H1362*YX$1370</f>
        <v>43.601430143199998</v>
      </c>
      <c r="YY1362" s="268">
        <f>$I1362*YY$1370</f>
        <v>0</v>
      </c>
      <c r="YZ1362" s="268">
        <f>$J1362*YZ$1370</f>
        <v>0</v>
      </c>
      <c r="ZA1362" s="268">
        <f>$K1362*ZA$1370</f>
        <v>0</v>
      </c>
      <c r="ZB1362" s="97">
        <f t="shared" si="3321"/>
        <v>175219.58</v>
      </c>
      <c r="ZC1362" s="97">
        <f t="shared" si="3321"/>
        <v>184068.7</v>
      </c>
      <c r="ZD1362" s="97">
        <f t="shared" si="3321"/>
        <v>191366.68</v>
      </c>
      <c r="ZE1362" s="97">
        <f t="shared" si="3322"/>
        <v>0</v>
      </c>
      <c r="ZF1362" s="97">
        <f t="shared" si="3322"/>
        <v>0</v>
      </c>
      <c r="ZG1362" s="97">
        <f t="shared" si="3322"/>
        <v>0</v>
      </c>
    </row>
    <row r="1363" spans="1:684" x14ac:dyDescent="0.25">
      <c r="A1363" s="12" t="s">
        <v>471</v>
      </c>
      <c r="B1363" s="174" t="s">
        <v>650</v>
      </c>
      <c r="C1363" s="5"/>
      <c r="D1363" s="340"/>
      <c r="E1363" s="163"/>
      <c r="F1363" s="110">
        <f t="shared" si="3064"/>
        <v>33.96</v>
      </c>
      <c r="G1363" s="110">
        <f t="shared" si="3064"/>
        <v>35.85</v>
      </c>
      <c r="H1363" s="110">
        <f t="shared" si="3064"/>
        <v>37.299999999999997</v>
      </c>
      <c r="I1363" s="97">
        <f t="shared" si="3065"/>
        <v>0</v>
      </c>
      <c r="J1363" s="97">
        <f t="shared" si="3065"/>
        <v>0</v>
      </c>
      <c r="K1363" s="97">
        <f t="shared" si="3065"/>
        <v>0</v>
      </c>
      <c r="L1363" s="102">
        <v>605</v>
      </c>
      <c r="M1363" s="102">
        <v>605</v>
      </c>
      <c r="N1363" s="102">
        <v>605</v>
      </c>
      <c r="O1363" s="97">
        <f t="shared" si="3066"/>
        <v>20545.8</v>
      </c>
      <c r="P1363" s="97">
        <f t="shared" si="3067"/>
        <v>21689.25</v>
      </c>
      <c r="Q1363" s="97">
        <f t="shared" si="3068"/>
        <v>22566.5</v>
      </c>
      <c r="R1363" s="97">
        <f t="shared" si="3069"/>
        <v>0</v>
      </c>
      <c r="S1363" s="97">
        <f t="shared" si="3070"/>
        <v>0</v>
      </c>
      <c r="T1363" s="97">
        <f t="shared" si="3071"/>
        <v>0</v>
      </c>
      <c r="U1363" s="268">
        <f>$F1363*U$1370</f>
        <v>34.244560487999998</v>
      </c>
      <c r="V1363" s="268">
        <f>$G1363*V$1370</f>
        <v>36.027313443899999</v>
      </c>
      <c r="W1363" s="268">
        <f>$H1363*W$1370</f>
        <v>36.917027203400004</v>
      </c>
      <c r="X1363" s="268">
        <f>$I1363*X$1370</f>
        <v>0</v>
      </c>
      <c r="Y1363" s="268">
        <f>$J1363*Y$1370</f>
        <v>0</v>
      </c>
      <c r="Z1363" s="268">
        <f>$K1363*Z$1370</f>
        <v>0</v>
      </c>
      <c r="AA1363" s="97">
        <f t="shared" si="3072"/>
        <v>20717.96</v>
      </c>
      <c r="AB1363" s="97">
        <f t="shared" si="3072"/>
        <v>21796.52</v>
      </c>
      <c r="AC1363" s="97">
        <f t="shared" si="3072"/>
        <v>22334.799999999999</v>
      </c>
      <c r="AD1363" s="97">
        <f t="shared" si="3073"/>
        <v>0</v>
      </c>
      <c r="AE1363" s="97">
        <f t="shared" si="3073"/>
        <v>0</v>
      </c>
      <c r="AF1363" s="97">
        <f t="shared" si="3073"/>
        <v>0</v>
      </c>
      <c r="AG1363" s="102">
        <v>1512</v>
      </c>
      <c r="AH1363" s="102">
        <v>1512</v>
      </c>
      <c r="AI1363" s="102">
        <v>1512</v>
      </c>
      <c r="AJ1363" s="97">
        <f t="shared" si="3074"/>
        <v>51347.519999999997</v>
      </c>
      <c r="AK1363" s="97">
        <f t="shared" si="3075"/>
        <v>54205.2</v>
      </c>
      <c r="AL1363" s="97">
        <f t="shared" si="3076"/>
        <v>56397.599999999999</v>
      </c>
      <c r="AM1363" s="97">
        <f t="shared" si="3077"/>
        <v>0</v>
      </c>
      <c r="AN1363" s="97">
        <f t="shared" si="3078"/>
        <v>0</v>
      </c>
      <c r="AO1363" s="97">
        <f t="shared" si="3079"/>
        <v>0</v>
      </c>
      <c r="AP1363" s="268">
        <f>$F1363*AP$1370</f>
        <v>34.187369148199998</v>
      </c>
      <c r="AQ1363" s="268">
        <f>$G1363*AQ$1370</f>
        <v>36.0257988424</v>
      </c>
      <c r="AR1363" s="268">
        <f>$H1363*AR$1370</f>
        <v>36.941899559600003</v>
      </c>
      <c r="AS1363" s="268">
        <f>$I1363*AS$1370</f>
        <v>0</v>
      </c>
      <c r="AT1363" s="268">
        <f>$J1363*AT$1370</f>
        <v>0</v>
      </c>
      <c r="AU1363" s="268">
        <f>$K1363*AU$1370</f>
        <v>0</v>
      </c>
      <c r="AV1363" s="97">
        <f t="shared" si="3080"/>
        <v>51691.3</v>
      </c>
      <c r="AW1363" s="97">
        <f t="shared" si="3080"/>
        <v>54471.01</v>
      </c>
      <c r="AX1363" s="97">
        <f t="shared" si="3080"/>
        <v>55856.15</v>
      </c>
      <c r="AY1363" s="97">
        <f t="shared" si="3081"/>
        <v>0</v>
      </c>
      <c r="AZ1363" s="97">
        <f t="shared" si="3081"/>
        <v>0</v>
      </c>
      <c r="BA1363" s="97">
        <f t="shared" si="3081"/>
        <v>0</v>
      </c>
      <c r="BB1363" s="102">
        <v>504</v>
      </c>
      <c r="BC1363" s="102">
        <v>504</v>
      </c>
      <c r="BD1363" s="102">
        <v>504</v>
      </c>
      <c r="BE1363" s="97">
        <f t="shared" si="3082"/>
        <v>17115.84</v>
      </c>
      <c r="BF1363" s="97">
        <f t="shared" si="3083"/>
        <v>18068.400000000001</v>
      </c>
      <c r="BG1363" s="97">
        <f t="shared" si="3084"/>
        <v>18799.2</v>
      </c>
      <c r="BH1363" s="97">
        <f t="shared" si="3085"/>
        <v>0</v>
      </c>
      <c r="BI1363" s="97">
        <f t="shared" si="3086"/>
        <v>0</v>
      </c>
      <c r="BJ1363" s="97">
        <f t="shared" si="3087"/>
        <v>0</v>
      </c>
      <c r="BK1363" s="268">
        <f>$F1363*BK$1370</f>
        <v>34.251334713399999</v>
      </c>
      <c r="BL1363" s="268">
        <f>$G1363*BL$1370</f>
        <v>36.015851507000001</v>
      </c>
      <c r="BM1363" s="268">
        <f>$H1363*BM$1370</f>
        <v>36.892416551499998</v>
      </c>
      <c r="BN1363" s="268">
        <f>$I1363*BN$1370</f>
        <v>0</v>
      </c>
      <c r="BO1363" s="268">
        <f>$J1363*BO$1370</f>
        <v>0</v>
      </c>
      <c r="BP1363" s="268">
        <f>$K1363*BP$1370</f>
        <v>0</v>
      </c>
      <c r="BQ1363" s="97">
        <f t="shared" si="3088"/>
        <v>17262.669999999998</v>
      </c>
      <c r="BR1363" s="97">
        <f t="shared" si="3088"/>
        <v>18151.990000000002</v>
      </c>
      <c r="BS1363" s="97">
        <f t="shared" si="3088"/>
        <v>18593.78</v>
      </c>
      <c r="BT1363" s="97">
        <f t="shared" si="3089"/>
        <v>0</v>
      </c>
      <c r="BU1363" s="97">
        <f t="shared" si="3089"/>
        <v>0</v>
      </c>
      <c r="BV1363" s="97">
        <f t="shared" si="3089"/>
        <v>0</v>
      </c>
      <c r="BW1363" s="102">
        <v>1613</v>
      </c>
      <c r="BX1363" s="102">
        <v>1613</v>
      </c>
      <c r="BY1363" s="102">
        <v>1613</v>
      </c>
      <c r="BZ1363" s="97">
        <f t="shared" si="3090"/>
        <v>54777.48</v>
      </c>
      <c r="CA1363" s="97">
        <f t="shared" si="3091"/>
        <v>57826.05</v>
      </c>
      <c r="CB1363" s="97">
        <f t="shared" si="3092"/>
        <v>60164.9</v>
      </c>
      <c r="CC1363" s="97">
        <f t="shared" si="3093"/>
        <v>0</v>
      </c>
      <c r="CD1363" s="97">
        <f t="shared" si="3094"/>
        <v>0</v>
      </c>
      <c r="CE1363" s="97">
        <f t="shared" si="3095"/>
        <v>0</v>
      </c>
      <c r="CF1363" s="268">
        <f>$F1363*CF$1370</f>
        <v>34.162700757000003</v>
      </c>
      <c r="CG1363" s="268">
        <f>$G1363*CG$1370</f>
        <v>36.029437140600002</v>
      </c>
      <c r="CH1363" s="268">
        <f>$H1363*CH$1370</f>
        <v>36.968745156600001</v>
      </c>
      <c r="CI1363" s="268">
        <f>$I1363*CI$1370</f>
        <v>0</v>
      </c>
      <c r="CJ1363" s="268">
        <f>$J1363*CJ$1370</f>
        <v>0</v>
      </c>
      <c r="CK1363" s="268">
        <f>$K1363*CK$1370</f>
        <v>0</v>
      </c>
      <c r="CL1363" s="97">
        <f t="shared" si="3096"/>
        <v>55104.44</v>
      </c>
      <c r="CM1363" s="97">
        <f t="shared" si="3096"/>
        <v>58115.48</v>
      </c>
      <c r="CN1363" s="97">
        <f t="shared" si="3096"/>
        <v>59630.59</v>
      </c>
      <c r="CO1363" s="97">
        <f t="shared" si="3097"/>
        <v>0</v>
      </c>
      <c r="CP1363" s="97">
        <f t="shared" si="3097"/>
        <v>0</v>
      </c>
      <c r="CQ1363" s="97">
        <f t="shared" si="3097"/>
        <v>0</v>
      </c>
      <c r="CR1363" s="102">
        <v>1129</v>
      </c>
      <c r="CS1363" s="102">
        <v>1129</v>
      </c>
      <c r="CT1363" s="102">
        <v>1129</v>
      </c>
      <c r="CU1363" s="97">
        <f t="shared" si="3098"/>
        <v>38340.839999999997</v>
      </c>
      <c r="CV1363" s="97">
        <f t="shared" si="3099"/>
        <v>40474.65</v>
      </c>
      <c r="CW1363" s="97">
        <f t="shared" si="3100"/>
        <v>42111.7</v>
      </c>
      <c r="CX1363" s="97">
        <f t="shared" si="3101"/>
        <v>0</v>
      </c>
      <c r="CY1363" s="97">
        <f t="shared" si="3102"/>
        <v>0</v>
      </c>
      <c r="CZ1363" s="97">
        <f t="shared" si="3103"/>
        <v>0</v>
      </c>
      <c r="DA1363" s="268">
        <f>$F1363*DA$1370</f>
        <v>34.228192117799999</v>
      </c>
      <c r="DB1363" s="268">
        <f>$G1363*DB$1370</f>
        <v>35.996557216299998</v>
      </c>
      <c r="DC1363" s="268">
        <f>$H1363*DC$1370</f>
        <v>36.897567080999998</v>
      </c>
      <c r="DD1363" s="268">
        <f>$I1363*DD$1370</f>
        <v>0</v>
      </c>
      <c r="DE1363" s="268">
        <f>$J1363*DE$1370</f>
        <v>0</v>
      </c>
      <c r="DF1363" s="268">
        <f>$K1363*DF$1370</f>
        <v>0</v>
      </c>
      <c r="DG1363" s="97">
        <f t="shared" si="3104"/>
        <v>38643.629999999997</v>
      </c>
      <c r="DH1363" s="97">
        <f t="shared" si="3104"/>
        <v>40640.11</v>
      </c>
      <c r="DI1363" s="97">
        <f t="shared" si="3104"/>
        <v>41657.35</v>
      </c>
      <c r="DJ1363" s="97">
        <f t="shared" si="3105"/>
        <v>0</v>
      </c>
      <c r="DK1363" s="97">
        <f t="shared" si="3105"/>
        <v>0</v>
      </c>
      <c r="DL1363" s="97">
        <f t="shared" si="3105"/>
        <v>0</v>
      </c>
      <c r="DM1363" s="102">
        <v>605</v>
      </c>
      <c r="DN1363" s="102">
        <v>605</v>
      </c>
      <c r="DO1363" s="102">
        <v>605</v>
      </c>
      <c r="DP1363" s="97">
        <f t="shared" si="3106"/>
        <v>20545.8</v>
      </c>
      <c r="DQ1363" s="97">
        <f t="shared" si="3107"/>
        <v>21689.25</v>
      </c>
      <c r="DR1363" s="97">
        <f t="shared" si="3108"/>
        <v>22566.5</v>
      </c>
      <c r="DS1363" s="97">
        <f t="shared" si="3109"/>
        <v>0</v>
      </c>
      <c r="DT1363" s="97">
        <f t="shared" si="3110"/>
        <v>0</v>
      </c>
      <c r="DU1363" s="97">
        <f t="shared" si="3111"/>
        <v>0</v>
      </c>
      <c r="DV1363" s="268">
        <f>$F1363*DV$1370</f>
        <v>34.244657685</v>
      </c>
      <c r="DW1363" s="268">
        <f>$G1363*DW$1370</f>
        <v>36.019019317000001</v>
      </c>
      <c r="DX1363" s="268">
        <f>$H1363*DX$1370</f>
        <v>36.916067384900003</v>
      </c>
      <c r="DY1363" s="268">
        <f>$I1363*DY$1370</f>
        <v>0</v>
      </c>
      <c r="DZ1363" s="268">
        <f>$J1363*DZ$1370</f>
        <v>0</v>
      </c>
      <c r="EA1363" s="268">
        <f>$K1363*EA$1370</f>
        <v>0</v>
      </c>
      <c r="EB1363" s="97">
        <f t="shared" si="3112"/>
        <v>20718.02</v>
      </c>
      <c r="EC1363" s="97">
        <f t="shared" si="3112"/>
        <v>21791.51</v>
      </c>
      <c r="ED1363" s="97">
        <f t="shared" si="3112"/>
        <v>22334.22</v>
      </c>
      <c r="EE1363" s="97">
        <f t="shared" si="3113"/>
        <v>0</v>
      </c>
      <c r="EF1363" s="97">
        <f t="shared" si="3113"/>
        <v>0</v>
      </c>
      <c r="EG1363" s="97">
        <f t="shared" si="3113"/>
        <v>0</v>
      </c>
      <c r="EH1363" s="102"/>
      <c r="EI1363" s="102"/>
      <c r="EJ1363" s="102"/>
      <c r="EK1363" s="97">
        <f t="shared" si="3114"/>
        <v>0</v>
      </c>
      <c r="EL1363" s="97">
        <f t="shared" si="3115"/>
        <v>0</v>
      </c>
      <c r="EM1363" s="97">
        <f t="shared" si="3116"/>
        <v>0</v>
      </c>
      <c r="EN1363" s="97">
        <f t="shared" si="3117"/>
        <v>0</v>
      </c>
      <c r="EO1363" s="97">
        <f t="shared" si="3118"/>
        <v>0</v>
      </c>
      <c r="EP1363" s="97">
        <f t="shared" si="3119"/>
        <v>0</v>
      </c>
      <c r="EQ1363" s="268">
        <f>$F1363*EQ$1370</f>
        <v>0</v>
      </c>
      <c r="ER1363" s="268">
        <f>$G1363*ER$1370</f>
        <v>0</v>
      </c>
      <c r="ES1363" s="268">
        <f>$H1363*ES$1370</f>
        <v>0</v>
      </c>
      <c r="ET1363" s="268">
        <f>$I1363*ET$1370</f>
        <v>0</v>
      </c>
      <c r="EU1363" s="268">
        <f>$J1363*EU$1370</f>
        <v>0</v>
      </c>
      <c r="EV1363" s="268">
        <f>$K1363*EV$1370</f>
        <v>0</v>
      </c>
      <c r="EW1363" s="97">
        <f t="shared" si="3120"/>
        <v>0</v>
      </c>
      <c r="EX1363" s="97">
        <f t="shared" si="3120"/>
        <v>0</v>
      </c>
      <c r="EY1363" s="97">
        <f t="shared" si="3120"/>
        <v>0</v>
      </c>
      <c r="EZ1363" s="97">
        <f t="shared" si="3121"/>
        <v>0</v>
      </c>
      <c r="FA1363" s="97">
        <f t="shared" si="3121"/>
        <v>0</v>
      </c>
      <c r="FB1363" s="97">
        <f t="shared" si="3121"/>
        <v>0</v>
      </c>
      <c r="FC1363" s="102">
        <v>1129</v>
      </c>
      <c r="FD1363" s="102">
        <v>1129</v>
      </c>
      <c r="FE1363" s="102">
        <v>1129</v>
      </c>
      <c r="FF1363" s="97">
        <f t="shared" si="3122"/>
        <v>38340.839999999997</v>
      </c>
      <c r="FG1363" s="97">
        <f t="shared" si="3123"/>
        <v>40474.65</v>
      </c>
      <c r="FH1363" s="97">
        <f t="shared" si="3124"/>
        <v>42111.7</v>
      </c>
      <c r="FI1363" s="97">
        <f t="shared" si="3125"/>
        <v>0</v>
      </c>
      <c r="FJ1363" s="97">
        <f t="shared" si="3126"/>
        <v>0</v>
      </c>
      <c r="FK1363" s="97">
        <f t="shared" si="3127"/>
        <v>0</v>
      </c>
      <c r="FL1363" s="268">
        <f>$F1363*FL$1370</f>
        <v>34.2125787497</v>
      </c>
      <c r="FM1363" s="268">
        <f>$G1363*FM$1370</f>
        <v>35.994314562200003</v>
      </c>
      <c r="FN1363" s="268">
        <f>$H1363*FN$1370</f>
        <v>36.887257170799998</v>
      </c>
      <c r="FO1363" s="268">
        <f>$I1363*FO$1370</f>
        <v>0</v>
      </c>
      <c r="FP1363" s="268">
        <f>$J1363*FP$1370</f>
        <v>0</v>
      </c>
      <c r="FQ1363" s="268">
        <f>$K1363*FQ$1370</f>
        <v>0</v>
      </c>
      <c r="FR1363" s="97">
        <f t="shared" si="3128"/>
        <v>38626</v>
      </c>
      <c r="FS1363" s="97">
        <f t="shared" si="3128"/>
        <v>40637.58</v>
      </c>
      <c r="FT1363" s="97">
        <f t="shared" si="3128"/>
        <v>41645.71</v>
      </c>
      <c r="FU1363" s="97">
        <f t="shared" si="3129"/>
        <v>0</v>
      </c>
      <c r="FV1363" s="97">
        <f t="shared" si="3129"/>
        <v>0</v>
      </c>
      <c r="FW1363" s="97">
        <f t="shared" si="3129"/>
        <v>0</v>
      </c>
      <c r="FX1363" s="102"/>
      <c r="FY1363" s="102"/>
      <c r="FZ1363" s="102"/>
      <c r="GA1363" s="97">
        <f t="shared" si="3130"/>
        <v>0</v>
      </c>
      <c r="GB1363" s="97">
        <f t="shared" si="3131"/>
        <v>0</v>
      </c>
      <c r="GC1363" s="97">
        <f t="shared" si="3132"/>
        <v>0</v>
      </c>
      <c r="GD1363" s="97">
        <f t="shared" si="3133"/>
        <v>0</v>
      </c>
      <c r="GE1363" s="97">
        <f t="shared" si="3134"/>
        <v>0</v>
      </c>
      <c r="GF1363" s="97">
        <f t="shared" si="3135"/>
        <v>0</v>
      </c>
      <c r="GG1363" s="268">
        <f>$F1363*GG$1370</f>
        <v>0</v>
      </c>
      <c r="GH1363" s="268">
        <f>$G1363*GH$1370</f>
        <v>0</v>
      </c>
      <c r="GI1363" s="268">
        <f>$H1363*GI$1370</f>
        <v>0</v>
      </c>
      <c r="GJ1363" s="268">
        <f>$I1363*GJ$1370</f>
        <v>0</v>
      </c>
      <c r="GK1363" s="268">
        <f>$J1363*GK$1370</f>
        <v>0</v>
      </c>
      <c r="GL1363" s="268">
        <f>$K1363*GL$1370</f>
        <v>0</v>
      </c>
      <c r="GM1363" s="97">
        <f t="shared" si="3136"/>
        <v>0</v>
      </c>
      <c r="GN1363" s="97">
        <f t="shared" si="3136"/>
        <v>0</v>
      </c>
      <c r="GO1363" s="97">
        <f t="shared" si="3136"/>
        <v>0</v>
      </c>
      <c r="GP1363" s="97">
        <f t="shared" si="3137"/>
        <v>0</v>
      </c>
      <c r="GQ1363" s="97">
        <f t="shared" si="3137"/>
        <v>0</v>
      </c>
      <c r="GR1363" s="97">
        <f t="shared" si="3137"/>
        <v>0</v>
      </c>
      <c r="GS1363" s="102">
        <v>1613</v>
      </c>
      <c r="GT1363" s="102">
        <v>1613</v>
      </c>
      <c r="GU1363" s="102">
        <v>1613</v>
      </c>
      <c r="GV1363" s="97">
        <f t="shared" si="3138"/>
        <v>54777.48</v>
      </c>
      <c r="GW1363" s="97">
        <f t="shared" si="3139"/>
        <v>57826.05</v>
      </c>
      <c r="GX1363" s="97">
        <f t="shared" si="3140"/>
        <v>60164.9</v>
      </c>
      <c r="GY1363" s="97">
        <f t="shared" si="3141"/>
        <v>0</v>
      </c>
      <c r="GZ1363" s="97">
        <f t="shared" si="3142"/>
        <v>0</v>
      </c>
      <c r="HA1363" s="97">
        <f t="shared" si="3143"/>
        <v>0</v>
      </c>
      <c r="HB1363" s="268">
        <f>$F1363*HB$1370</f>
        <v>34.131700123100003</v>
      </c>
      <c r="HC1363" s="268">
        <f>$G1363*HC$1370</f>
        <v>36.029437140600002</v>
      </c>
      <c r="HD1363" s="268">
        <f>$H1363*HD$1370</f>
        <v>36.937731109300003</v>
      </c>
      <c r="HE1363" s="268">
        <f>$I1363*HE$1370</f>
        <v>0</v>
      </c>
      <c r="HF1363" s="268">
        <f>$J1363*HF$1370</f>
        <v>0</v>
      </c>
      <c r="HG1363" s="268">
        <f>$K1363*HG$1370</f>
        <v>0</v>
      </c>
      <c r="HH1363" s="97">
        <f t="shared" si="3144"/>
        <v>55054.43</v>
      </c>
      <c r="HI1363" s="97">
        <f t="shared" si="3144"/>
        <v>58115.48</v>
      </c>
      <c r="HJ1363" s="97">
        <f t="shared" si="3144"/>
        <v>59580.56</v>
      </c>
      <c r="HK1363" s="97">
        <f t="shared" si="3145"/>
        <v>0</v>
      </c>
      <c r="HL1363" s="97">
        <f t="shared" si="3145"/>
        <v>0</v>
      </c>
      <c r="HM1363" s="97">
        <f t="shared" si="3145"/>
        <v>0</v>
      </c>
      <c r="HN1363" s="102"/>
      <c r="HO1363" s="102"/>
      <c r="HP1363" s="102"/>
      <c r="HQ1363" s="97">
        <f t="shared" si="3146"/>
        <v>0</v>
      </c>
      <c r="HR1363" s="97">
        <f t="shared" si="3147"/>
        <v>0</v>
      </c>
      <c r="HS1363" s="97">
        <f t="shared" si="3148"/>
        <v>0</v>
      </c>
      <c r="HT1363" s="97">
        <f t="shared" si="3149"/>
        <v>0</v>
      </c>
      <c r="HU1363" s="97">
        <f t="shared" si="3150"/>
        <v>0</v>
      </c>
      <c r="HV1363" s="97">
        <f t="shared" si="3151"/>
        <v>0</v>
      </c>
      <c r="HW1363" s="268">
        <f>$F1363*HW$1370</f>
        <v>0</v>
      </c>
      <c r="HX1363" s="268">
        <f>$G1363*HX$1370</f>
        <v>0</v>
      </c>
      <c r="HY1363" s="268">
        <f>$H1363*HY$1370</f>
        <v>0</v>
      </c>
      <c r="HZ1363" s="268">
        <f>$I1363*HZ$1370</f>
        <v>0</v>
      </c>
      <c r="IA1363" s="268">
        <f>$J1363*IA$1370</f>
        <v>0</v>
      </c>
      <c r="IB1363" s="268">
        <f>$K1363*IB$1370</f>
        <v>0</v>
      </c>
      <c r="IC1363" s="97">
        <f t="shared" si="3152"/>
        <v>0</v>
      </c>
      <c r="ID1363" s="97">
        <f t="shared" si="3152"/>
        <v>0</v>
      </c>
      <c r="IE1363" s="97">
        <f t="shared" si="3152"/>
        <v>0</v>
      </c>
      <c r="IF1363" s="97">
        <f t="shared" si="3153"/>
        <v>0</v>
      </c>
      <c r="IG1363" s="97">
        <f t="shared" si="3153"/>
        <v>0</v>
      </c>
      <c r="IH1363" s="97">
        <f t="shared" si="3153"/>
        <v>0</v>
      </c>
      <c r="II1363" s="102"/>
      <c r="IJ1363" s="102"/>
      <c r="IK1363" s="102"/>
      <c r="IL1363" s="97">
        <f t="shared" si="3154"/>
        <v>0</v>
      </c>
      <c r="IM1363" s="97">
        <f t="shared" si="3155"/>
        <v>0</v>
      </c>
      <c r="IN1363" s="97">
        <f t="shared" si="3156"/>
        <v>0</v>
      </c>
      <c r="IO1363" s="97">
        <f t="shared" si="3157"/>
        <v>0</v>
      </c>
      <c r="IP1363" s="97">
        <f t="shared" si="3158"/>
        <v>0</v>
      </c>
      <c r="IQ1363" s="97">
        <f t="shared" si="3159"/>
        <v>0</v>
      </c>
      <c r="IR1363" s="268">
        <f>$F1363*IR$1370</f>
        <v>34.2770628297</v>
      </c>
      <c r="IS1363" s="268">
        <f>$G1363*IS$1370</f>
        <v>36.0260065752</v>
      </c>
      <c r="IT1363" s="268">
        <f>$H1363*IT$1370</f>
        <v>36.912312155199999</v>
      </c>
      <c r="IU1363" s="268">
        <f>$I1363*IU$1370</f>
        <v>0</v>
      </c>
      <c r="IV1363" s="268">
        <f>$J1363*IV$1370</f>
        <v>0</v>
      </c>
      <c r="IW1363" s="268">
        <f>$K1363*IW$1370</f>
        <v>0</v>
      </c>
      <c r="IX1363" s="97">
        <f t="shared" si="3160"/>
        <v>0</v>
      </c>
      <c r="IY1363" s="97">
        <f t="shared" si="3160"/>
        <v>0</v>
      </c>
      <c r="IZ1363" s="97">
        <f t="shared" si="3160"/>
        <v>0</v>
      </c>
      <c r="JA1363" s="97">
        <f t="shared" si="3161"/>
        <v>0</v>
      </c>
      <c r="JB1363" s="97">
        <f t="shared" si="3161"/>
        <v>0</v>
      </c>
      <c r="JC1363" s="97">
        <f t="shared" si="3161"/>
        <v>0</v>
      </c>
      <c r="JD1363" s="102"/>
      <c r="JE1363" s="102"/>
      <c r="JF1363" s="102"/>
      <c r="JG1363" s="97">
        <f t="shared" si="3162"/>
        <v>0</v>
      </c>
      <c r="JH1363" s="97">
        <f t="shared" si="3163"/>
        <v>0</v>
      </c>
      <c r="JI1363" s="97">
        <f t="shared" si="3164"/>
        <v>0</v>
      </c>
      <c r="JJ1363" s="97">
        <f t="shared" si="3165"/>
        <v>0</v>
      </c>
      <c r="JK1363" s="97">
        <f t="shared" si="3166"/>
        <v>0</v>
      </c>
      <c r="JL1363" s="97">
        <f t="shared" si="3167"/>
        <v>0</v>
      </c>
      <c r="JM1363" s="268">
        <f>$F1363*JM$1370</f>
        <v>0</v>
      </c>
      <c r="JN1363" s="268">
        <f>$G1363*JN$1370</f>
        <v>0</v>
      </c>
      <c r="JO1363" s="268">
        <f>$H1363*JO$1370</f>
        <v>0</v>
      </c>
      <c r="JP1363" s="268">
        <f>$I1363*JP$1370</f>
        <v>0</v>
      </c>
      <c r="JQ1363" s="268">
        <f>$J1363*JQ$1370</f>
        <v>0</v>
      </c>
      <c r="JR1363" s="268">
        <f>$K1363*JR$1370</f>
        <v>0</v>
      </c>
      <c r="JS1363" s="97">
        <f t="shared" si="3168"/>
        <v>0</v>
      </c>
      <c r="JT1363" s="97">
        <f t="shared" si="3168"/>
        <v>0</v>
      </c>
      <c r="JU1363" s="97">
        <f t="shared" si="3168"/>
        <v>0</v>
      </c>
      <c r="JV1363" s="97">
        <f t="shared" si="3169"/>
        <v>0</v>
      </c>
      <c r="JW1363" s="97">
        <f t="shared" si="3169"/>
        <v>0</v>
      </c>
      <c r="JX1363" s="97">
        <f t="shared" si="3169"/>
        <v>0</v>
      </c>
      <c r="JY1363" s="102">
        <v>1613</v>
      </c>
      <c r="JZ1363" s="102">
        <v>1613</v>
      </c>
      <c r="KA1363" s="102">
        <v>1613</v>
      </c>
      <c r="KB1363" s="97">
        <f t="shared" si="3170"/>
        <v>54777.48</v>
      </c>
      <c r="KC1363" s="97">
        <f t="shared" si="3171"/>
        <v>57826.05</v>
      </c>
      <c r="KD1363" s="97">
        <f t="shared" si="3172"/>
        <v>60164.9</v>
      </c>
      <c r="KE1363" s="97">
        <f t="shared" si="3173"/>
        <v>0</v>
      </c>
      <c r="KF1363" s="97">
        <f t="shared" si="3174"/>
        <v>0</v>
      </c>
      <c r="KG1363" s="97">
        <f t="shared" si="3175"/>
        <v>0</v>
      </c>
      <c r="KH1363" s="268">
        <f>$F1363*KH$1370</f>
        <v>34.1756513351</v>
      </c>
      <c r="KI1363" s="268">
        <f>$G1363*KI$1370</f>
        <v>36.018954199100001</v>
      </c>
      <c r="KJ1363" s="268">
        <f>$H1363*KJ$1370</f>
        <v>36.947726136699998</v>
      </c>
      <c r="KK1363" s="268">
        <f>$I1363*KK$1370</f>
        <v>0</v>
      </c>
      <c r="KL1363" s="268">
        <f>$J1363*KL$1370</f>
        <v>0</v>
      </c>
      <c r="KM1363" s="268">
        <f>$K1363*KM$1370</f>
        <v>0</v>
      </c>
      <c r="KN1363" s="97">
        <f t="shared" si="3176"/>
        <v>55125.33</v>
      </c>
      <c r="KO1363" s="97">
        <f t="shared" si="3176"/>
        <v>58098.57</v>
      </c>
      <c r="KP1363" s="97">
        <f t="shared" si="3176"/>
        <v>59596.68</v>
      </c>
      <c r="KQ1363" s="97">
        <f t="shared" si="3177"/>
        <v>0</v>
      </c>
      <c r="KR1363" s="97">
        <f t="shared" si="3177"/>
        <v>0</v>
      </c>
      <c r="KS1363" s="97">
        <f t="shared" si="3177"/>
        <v>0</v>
      </c>
      <c r="KT1363" s="102"/>
      <c r="KU1363" s="102"/>
      <c r="KV1363" s="102"/>
      <c r="KW1363" s="97">
        <f t="shared" si="3178"/>
        <v>0</v>
      </c>
      <c r="KX1363" s="97">
        <f t="shared" si="3179"/>
        <v>0</v>
      </c>
      <c r="KY1363" s="97">
        <f t="shared" si="3180"/>
        <v>0</v>
      </c>
      <c r="KZ1363" s="97">
        <f t="shared" si="3181"/>
        <v>0</v>
      </c>
      <c r="LA1363" s="97">
        <f t="shared" si="3182"/>
        <v>0</v>
      </c>
      <c r="LB1363" s="97">
        <f t="shared" si="3183"/>
        <v>0</v>
      </c>
      <c r="LC1363" s="268">
        <f>$F1363*LC$1370</f>
        <v>0</v>
      </c>
      <c r="LD1363" s="268">
        <f>$G1363*LD$1370</f>
        <v>0</v>
      </c>
      <c r="LE1363" s="268">
        <f>$H1363*LE$1370</f>
        <v>0</v>
      </c>
      <c r="LF1363" s="268">
        <f>$I1363*LF$1370</f>
        <v>0</v>
      </c>
      <c r="LG1363" s="268">
        <f>$J1363*LG$1370</f>
        <v>0</v>
      </c>
      <c r="LH1363" s="268">
        <f>$K1363*LH$1370</f>
        <v>0</v>
      </c>
      <c r="LI1363" s="97">
        <f t="shared" si="3184"/>
        <v>0</v>
      </c>
      <c r="LJ1363" s="97">
        <f t="shared" si="3184"/>
        <v>0</v>
      </c>
      <c r="LK1363" s="97">
        <f t="shared" si="3184"/>
        <v>0</v>
      </c>
      <c r="LL1363" s="97">
        <f t="shared" si="3185"/>
        <v>0</v>
      </c>
      <c r="LM1363" s="97">
        <f t="shared" si="3185"/>
        <v>0</v>
      </c>
      <c r="LN1363" s="97">
        <f t="shared" si="3185"/>
        <v>0</v>
      </c>
      <c r="LO1363" s="102">
        <v>1008</v>
      </c>
      <c r="LP1363" s="102">
        <v>1008</v>
      </c>
      <c r="LQ1363" s="102">
        <v>1008</v>
      </c>
      <c r="LR1363" s="97">
        <f t="shared" si="3186"/>
        <v>34231.68</v>
      </c>
      <c r="LS1363" s="97">
        <f t="shared" si="3187"/>
        <v>36136.800000000003</v>
      </c>
      <c r="LT1363" s="97">
        <f t="shared" si="3188"/>
        <v>37598.400000000001</v>
      </c>
      <c r="LU1363" s="97">
        <f t="shared" si="3189"/>
        <v>0</v>
      </c>
      <c r="LV1363" s="97">
        <f t="shared" si="3190"/>
        <v>0</v>
      </c>
      <c r="LW1363" s="97">
        <f t="shared" si="3191"/>
        <v>0</v>
      </c>
      <c r="LX1363" s="268">
        <f>$F1363*LX$1370</f>
        <v>34.208452107100001</v>
      </c>
      <c r="LY1363" s="268">
        <f>$G1363*LY$1370</f>
        <v>36.0042295071</v>
      </c>
      <c r="LZ1363" s="268">
        <f>$H1363*LZ$1370</f>
        <v>36.922359693499999</v>
      </c>
      <c r="MA1363" s="268">
        <f>$I1363*MA$1370</f>
        <v>0</v>
      </c>
      <c r="MB1363" s="268">
        <f>$J1363*MB$1370</f>
        <v>0</v>
      </c>
      <c r="MC1363" s="268">
        <f>$K1363*MC$1370</f>
        <v>0</v>
      </c>
      <c r="MD1363" s="97">
        <f t="shared" si="3192"/>
        <v>34482.120000000003</v>
      </c>
      <c r="ME1363" s="97">
        <f t="shared" si="3192"/>
        <v>36292.26</v>
      </c>
      <c r="MF1363" s="97">
        <f t="shared" si="3192"/>
        <v>37217.74</v>
      </c>
      <c r="MG1363" s="97">
        <f t="shared" si="3193"/>
        <v>0</v>
      </c>
      <c r="MH1363" s="97">
        <f t="shared" si="3193"/>
        <v>0</v>
      </c>
      <c r="MI1363" s="97">
        <f t="shared" si="3193"/>
        <v>0</v>
      </c>
      <c r="MJ1363" s="102">
        <v>1008</v>
      </c>
      <c r="MK1363" s="102">
        <v>1008</v>
      </c>
      <c r="ML1363" s="102">
        <v>1008</v>
      </c>
      <c r="MM1363" s="97">
        <f t="shared" si="3194"/>
        <v>34231.68</v>
      </c>
      <c r="MN1363" s="97">
        <f t="shared" si="3195"/>
        <v>36136.800000000003</v>
      </c>
      <c r="MO1363" s="97">
        <f t="shared" si="3196"/>
        <v>37598.400000000001</v>
      </c>
      <c r="MP1363" s="97">
        <f t="shared" si="3197"/>
        <v>0</v>
      </c>
      <c r="MQ1363" s="97">
        <f t="shared" si="3198"/>
        <v>0</v>
      </c>
      <c r="MR1363" s="97">
        <f t="shared" si="3199"/>
        <v>0</v>
      </c>
      <c r="MS1363" s="268">
        <f>$F1363*MS$1370</f>
        <v>34.187369148199998</v>
      </c>
      <c r="MT1363" s="268">
        <f>$G1363*MT$1370</f>
        <v>36.014775035500001</v>
      </c>
      <c r="MU1363" s="268">
        <f>$H1363*MU$1370</f>
        <v>36.919844696200002</v>
      </c>
      <c r="MV1363" s="268">
        <f>$I1363*MV$1370</f>
        <v>0</v>
      </c>
      <c r="MW1363" s="268">
        <f>$J1363*MW$1370</f>
        <v>0</v>
      </c>
      <c r="MX1363" s="268">
        <f>$K1363*MX$1370</f>
        <v>0</v>
      </c>
      <c r="MY1363" s="97">
        <f t="shared" si="3200"/>
        <v>34460.870000000003</v>
      </c>
      <c r="MZ1363" s="97">
        <f t="shared" si="3200"/>
        <v>36302.89</v>
      </c>
      <c r="NA1363" s="97">
        <f t="shared" si="3200"/>
        <v>37215.199999999997</v>
      </c>
      <c r="NB1363" s="97">
        <f t="shared" si="3201"/>
        <v>0</v>
      </c>
      <c r="NC1363" s="97">
        <f t="shared" si="3201"/>
        <v>0</v>
      </c>
      <c r="ND1363" s="97">
        <f t="shared" si="3201"/>
        <v>0</v>
      </c>
      <c r="NE1363" s="102">
        <v>3226</v>
      </c>
      <c r="NF1363" s="102">
        <v>3226</v>
      </c>
      <c r="NG1363" s="102">
        <v>3226</v>
      </c>
      <c r="NH1363" s="97">
        <f t="shared" si="3202"/>
        <v>109554.96</v>
      </c>
      <c r="NI1363" s="97">
        <f t="shared" si="3203"/>
        <v>115652.1</v>
      </c>
      <c r="NJ1363" s="97">
        <f t="shared" si="3204"/>
        <v>120329.8</v>
      </c>
      <c r="NK1363" s="97">
        <f t="shared" si="3205"/>
        <v>0</v>
      </c>
      <c r="NL1363" s="97">
        <f t="shared" si="3206"/>
        <v>0</v>
      </c>
      <c r="NM1363" s="97">
        <f t="shared" si="3207"/>
        <v>0</v>
      </c>
      <c r="NN1363" s="268">
        <f>$F1363*NN$1370</f>
        <v>34.0742529049</v>
      </c>
      <c r="NO1363" s="268">
        <f>$G1363*NO$1370</f>
        <v>36.011276950199999</v>
      </c>
      <c r="NP1363" s="268">
        <f>$H1363*NP$1370</f>
        <v>36.982169135699998</v>
      </c>
      <c r="NQ1363" s="268">
        <f>$I1363*NQ$1370</f>
        <v>0</v>
      </c>
      <c r="NR1363" s="268">
        <f>$J1363*NR$1370</f>
        <v>0</v>
      </c>
      <c r="NS1363" s="268">
        <f>$K1363*NS$1370</f>
        <v>0</v>
      </c>
      <c r="NT1363" s="97">
        <f t="shared" si="3208"/>
        <v>109923.54</v>
      </c>
      <c r="NU1363" s="97">
        <f t="shared" si="3208"/>
        <v>116172.38</v>
      </c>
      <c r="NV1363" s="97">
        <f t="shared" si="3208"/>
        <v>119304.48</v>
      </c>
      <c r="NW1363" s="97">
        <f t="shared" si="3209"/>
        <v>0</v>
      </c>
      <c r="NX1363" s="97">
        <f t="shared" si="3209"/>
        <v>0</v>
      </c>
      <c r="NY1363" s="97">
        <f t="shared" si="3209"/>
        <v>0</v>
      </c>
      <c r="NZ1363" s="102"/>
      <c r="OA1363" s="102"/>
      <c r="OB1363" s="102"/>
      <c r="OC1363" s="97">
        <f t="shared" si="3210"/>
        <v>0</v>
      </c>
      <c r="OD1363" s="97">
        <f t="shared" si="3211"/>
        <v>0</v>
      </c>
      <c r="OE1363" s="97">
        <f t="shared" si="3212"/>
        <v>0</v>
      </c>
      <c r="OF1363" s="97">
        <f t="shared" si="3213"/>
        <v>0</v>
      </c>
      <c r="OG1363" s="97">
        <f t="shared" si="3214"/>
        <v>0</v>
      </c>
      <c r="OH1363" s="97">
        <f t="shared" si="3215"/>
        <v>0</v>
      </c>
      <c r="OI1363" s="268">
        <f>$F1363*OI$1370</f>
        <v>34.283674919900001</v>
      </c>
      <c r="OJ1363" s="268">
        <f>$G1363*OJ$1370</f>
        <v>35.999673975900002</v>
      </c>
      <c r="OK1363" s="268">
        <f>$H1363*OK$1370</f>
        <v>36.8943016562</v>
      </c>
      <c r="OL1363" s="268">
        <f>$I1363*OL$1370</f>
        <v>0</v>
      </c>
      <c r="OM1363" s="268">
        <f>$J1363*OM$1370</f>
        <v>0</v>
      </c>
      <c r="ON1363" s="268">
        <f>$K1363*ON$1370</f>
        <v>0</v>
      </c>
      <c r="OO1363" s="97">
        <f t="shared" si="3216"/>
        <v>0</v>
      </c>
      <c r="OP1363" s="97">
        <f t="shared" si="3216"/>
        <v>0</v>
      </c>
      <c r="OQ1363" s="97">
        <f t="shared" si="3216"/>
        <v>0</v>
      </c>
      <c r="OR1363" s="97">
        <f t="shared" si="3217"/>
        <v>0</v>
      </c>
      <c r="OS1363" s="97">
        <f t="shared" si="3217"/>
        <v>0</v>
      </c>
      <c r="OT1363" s="97">
        <f t="shared" si="3217"/>
        <v>0</v>
      </c>
      <c r="OU1363" s="102">
        <v>605</v>
      </c>
      <c r="OV1363" s="102">
        <v>605</v>
      </c>
      <c r="OW1363" s="102">
        <v>605</v>
      </c>
      <c r="OX1363" s="97">
        <f t="shared" si="3218"/>
        <v>20545.8</v>
      </c>
      <c r="OY1363" s="97">
        <f t="shared" si="3219"/>
        <v>21689.25</v>
      </c>
      <c r="OZ1363" s="97">
        <f t="shared" si="3220"/>
        <v>22566.5</v>
      </c>
      <c r="PA1363" s="97">
        <f t="shared" si="3221"/>
        <v>0</v>
      </c>
      <c r="PB1363" s="97">
        <f t="shared" si="3222"/>
        <v>0</v>
      </c>
      <c r="PC1363" s="97">
        <f t="shared" si="3223"/>
        <v>0</v>
      </c>
      <c r="PD1363" s="268">
        <f>$F1363*PD$1370</f>
        <v>34.277624358300002</v>
      </c>
      <c r="PE1363" s="268">
        <f>$G1363*PE$1370</f>
        <v>36.0372447974</v>
      </c>
      <c r="PF1363" s="268">
        <f>$H1363*PF$1370</f>
        <v>36.927203098500001</v>
      </c>
      <c r="PG1363" s="268">
        <f>$I1363*PG$1370</f>
        <v>0</v>
      </c>
      <c r="PH1363" s="268">
        <f>$J1363*PH$1370</f>
        <v>0</v>
      </c>
      <c r="PI1363" s="268">
        <f>$K1363*PI$1370</f>
        <v>0</v>
      </c>
      <c r="PJ1363" s="97">
        <f t="shared" si="3224"/>
        <v>20737.96</v>
      </c>
      <c r="PK1363" s="97">
        <f t="shared" si="3224"/>
        <v>21802.53</v>
      </c>
      <c r="PL1363" s="97">
        <f t="shared" si="3224"/>
        <v>22340.959999999999</v>
      </c>
      <c r="PM1363" s="97">
        <f t="shared" si="3225"/>
        <v>0</v>
      </c>
      <c r="PN1363" s="97">
        <f t="shared" si="3225"/>
        <v>0</v>
      </c>
      <c r="PO1363" s="97">
        <f t="shared" si="3225"/>
        <v>0</v>
      </c>
      <c r="PP1363" s="102">
        <v>1814</v>
      </c>
      <c r="PQ1363" s="102">
        <v>1814</v>
      </c>
      <c r="PR1363" s="102">
        <v>1814</v>
      </c>
      <c r="PS1363" s="97">
        <f t="shared" si="3226"/>
        <v>61603.44</v>
      </c>
      <c r="PT1363" s="97">
        <f t="shared" si="3227"/>
        <v>65031.9</v>
      </c>
      <c r="PU1363" s="97">
        <f t="shared" si="3228"/>
        <v>67662.2</v>
      </c>
      <c r="PV1363" s="97">
        <f t="shared" si="3229"/>
        <v>0</v>
      </c>
      <c r="PW1363" s="97">
        <f t="shared" si="3230"/>
        <v>0</v>
      </c>
      <c r="PX1363" s="97">
        <f t="shared" si="3231"/>
        <v>0</v>
      </c>
      <c r="PY1363" s="268">
        <f>$F1363*PY$1370</f>
        <v>34.149864746399999</v>
      </c>
      <c r="PZ1363" s="268">
        <f>$G1363*PZ$1370</f>
        <v>36.023247014299997</v>
      </c>
      <c r="QA1363" s="268">
        <f>$H1363*QA$1370</f>
        <v>36.931287291799997</v>
      </c>
      <c r="QB1363" s="268">
        <f>$I1363*QB$1370</f>
        <v>0</v>
      </c>
      <c r="QC1363" s="268">
        <f>$J1363*QC$1370</f>
        <v>0</v>
      </c>
      <c r="QD1363" s="268">
        <f>$K1363*QD$1370</f>
        <v>0</v>
      </c>
      <c r="QE1363" s="97">
        <f t="shared" si="3232"/>
        <v>61947.85</v>
      </c>
      <c r="QF1363" s="97">
        <f t="shared" si="3232"/>
        <v>65346.17</v>
      </c>
      <c r="QG1363" s="97">
        <f t="shared" si="3232"/>
        <v>66993.36</v>
      </c>
      <c r="QH1363" s="97">
        <f t="shared" si="3233"/>
        <v>0</v>
      </c>
      <c r="QI1363" s="97">
        <f t="shared" si="3233"/>
        <v>0</v>
      </c>
      <c r="QJ1363" s="97">
        <f t="shared" si="3233"/>
        <v>0</v>
      </c>
      <c r="QK1363" s="102"/>
      <c r="QL1363" s="102"/>
      <c r="QM1363" s="102"/>
      <c r="QN1363" s="97">
        <f t="shared" si="3234"/>
        <v>0</v>
      </c>
      <c r="QO1363" s="97">
        <f t="shared" si="3235"/>
        <v>0</v>
      </c>
      <c r="QP1363" s="97">
        <f t="shared" si="3236"/>
        <v>0</v>
      </c>
      <c r="QQ1363" s="97">
        <f t="shared" si="3237"/>
        <v>0</v>
      </c>
      <c r="QR1363" s="97">
        <f t="shared" si="3238"/>
        <v>0</v>
      </c>
      <c r="QS1363" s="97">
        <f t="shared" si="3239"/>
        <v>0</v>
      </c>
      <c r="QT1363" s="268">
        <f>$F1363*QT$1370</f>
        <v>0</v>
      </c>
      <c r="QU1363" s="268">
        <f>$G1363*QU$1370</f>
        <v>0</v>
      </c>
      <c r="QV1363" s="268">
        <f>$H1363*QV$1370</f>
        <v>0</v>
      </c>
      <c r="QW1363" s="268">
        <f>$I1363*QW$1370</f>
        <v>0</v>
      </c>
      <c r="QX1363" s="268">
        <f>$J1363*QX$1370</f>
        <v>0</v>
      </c>
      <c r="QY1363" s="268">
        <f>$K1363*QY$1370</f>
        <v>0</v>
      </c>
      <c r="QZ1363" s="97">
        <f t="shared" si="3240"/>
        <v>0</v>
      </c>
      <c r="RA1363" s="97">
        <f t="shared" si="3240"/>
        <v>0</v>
      </c>
      <c r="RB1363" s="97">
        <f t="shared" si="3240"/>
        <v>0</v>
      </c>
      <c r="RC1363" s="97">
        <f t="shared" si="3241"/>
        <v>0</v>
      </c>
      <c r="RD1363" s="97">
        <f t="shared" si="3241"/>
        <v>0</v>
      </c>
      <c r="RE1363" s="97">
        <f t="shared" si="3241"/>
        <v>0</v>
      </c>
      <c r="RF1363" s="102">
        <v>806</v>
      </c>
      <c r="RG1363" s="102">
        <v>806</v>
      </c>
      <c r="RH1363" s="102">
        <v>806</v>
      </c>
      <c r="RI1363" s="97">
        <f t="shared" si="3242"/>
        <v>27371.759999999998</v>
      </c>
      <c r="RJ1363" s="97">
        <f t="shared" si="3243"/>
        <v>28895.1</v>
      </c>
      <c r="RK1363" s="97">
        <f t="shared" si="3244"/>
        <v>30063.8</v>
      </c>
      <c r="RL1363" s="97">
        <f t="shared" si="3245"/>
        <v>0</v>
      </c>
      <c r="RM1363" s="97">
        <f t="shared" si="3246"/>
        <v>0</v>
      </c>
      <c r="RN1363" s="97">
        <f t="shared" si="3247"/>
        <v>0</v>
      </c>
      <c r="RO1363" s="268">
        <f>$F1363*RO$1370</f>
        <v>34.248035275200003</v>
      </c>
      <c r="RP1363" s="268">
        <f>$G1363*RP$1370</f>
        <v>35.995395353600003</v>
      </c>
      <c r="RQ1363" s="268">
        <f>$H1363*RQ$1370</f>
        <v>36.894929654000002</v>
      </c>
      <c r="RR1363" s="268">
        <f>$I1363*RR$1370</f>
        <v>0</v>
      </c>
      <c r="RS1363" s="268">
        <f>$J1363*RS$1370</f>
        <v>0</v>
      </c>
      <c r="RT1363" s="268">
        <f>$K1363*RT$1370</f>
        <v>0</v>
      </c>
      <c r="RU1363" s="97">
        <f t="shared" si="3248"/>
        <v>27603.919999999998</v>
      </c>
      <c r="RV1363" s="97">
        <f t="shared" si="3248"/>
        <v>29012.29</v>
      </c>
      <c r="RW1363" s="97">
        <f t="shared" si="3248"/>
        <v>29737.31</v>
      </c>
      <c r="RX1363" s="97">
        <f t="shared" si="3249"/>
        <v>0</v>
      </c>
      <c r="RY1363" s="97">
        <f t="shared" si="3249"/>
        <v>0</v>
      </c>
      <c r="RZ1363" s="97">
        <f t="shared" si="3249"/>
        <v>0</v>
      </c>
      <c r="SA1363" s="102">
        <v>1613</v>
      </c>
      <c r="SB1363" s="102">
        <v>1613</v>
      </c>
      <c r="SC1363" s="102">
        <v>1613</v>
      </c>
      <c r="SD1363" s="97">
        <f t="shared" si="3250"/>
        <v>54777.48</v>
      </c>
      <c r="SE1363" s="97">
        <f t="shared" si="3251"/>
        <v>57826.05</v>
      </c>
      <c r="SF1363" s="97">
        <f t="shared" si="3252"/>
        <v>60164.9</v>
      </c>
      <c r="SG1363" s="97">
        <f t="shared" si="3253"/>
        <v>0</v>
      </c>
      <c r="SH1363" s="97">
        <f t="shared" si="3254"/>
        <v>0</v>
      </c>
      <c r="SI1363" s="97">
        <f t="shared" si="3255"/>
        <v>0</v>
      </c>
      <c r="SJ1363" s="268">
        <f>$F1363*SJ$1370</f>
        <v>34.165763184900001</v>
      </c>
      <c r="SK1363" s="268">
        <f>$G1363*SK$1370</f>
        <v>36.008534267500004</v>
      </c>
      <c r="SL1363" s="268">
        <f>$H1363*SL$1370</f>
        <v>36.937039630699999</v>
      </c>
      <c r="SM1363" s="268">
        <f>$I1363*SM$1370</f>
        <v>0</v>
      </c>
      <c r="SN1363" s="268">
        <f>$J1363*SN$1370</f>
        <v>0</v>
      </c>
      <c r="SO1363" s="268">
        <f>$K1363*SO$1370</f>
        <v>0</v>
      </c>
      <c r="SP1363" s="97">
        <f t="shared" si="3256"/>
        <v>55109.38</v>
      </c>
      <c r="SQ1363" s="97">
        <f t="shared" si="3256"/>
        <v>58081.77</v>
      </c>
      <c r="SR1363" s="97">
        <f t="shared" si="3256"/>
        <v>59579.44</v>
      </c>
      <c r="SS1363" s="97">
        <f t="shared" si="3257"/>
        <v>0</v>
      </c>
      <c r="ST1363" s="97">
        <f t="shared" si="3257"/>
        <v>0</v>
      </c>
      <c r="SU1363" s="97">
        <f t="shared" si="3257"/>
        <v>0</v>
      </c>
      <c r="SV1363" s="102">
        <v>4516</v>
      </c>
      <c r="SW1363" s="102">
        <v>4516</v>
      </c>
      <c r="SX1363" s="102">
        <v>4516</v>
      </c>
      <c r="SY1363" s="97">
        <f t="shared" si="3258"/>
        <v>153363.35999999999</v>
      </c>
      <c r="SZ1363" s="97">
        <f t="shared" si="3259"/>
        <v>161898.6</v>
      </c>
      <c r="TA1363" s="97">
        <f t="shared" si="3260"/>
        <v>168446.8</v>
      </c>
      <c r="TB1363" s="97">
        <f t="shared" si="3261"/>
        <v>0</v>
      </c>
      <c r="TC1363" s="97">
        <f t="shared" si="3262"/>
        <v>0</v>
      </c>
      <c r="TD1363" s="97">
        <f t="shared" si="3263"/>
        <v>0</v>
      </c>
      <c r="TE1363" s="268">
        <f>$F1363*TE$1370</f>
        <v>34.1310571856</v>
      </c>
      <c r="TF1363" s="268">
        <f>$G1363*TF$1370</f>
        <v>35.993865501499997</v>
      </c>
      <c r="TG1363" s="268">
        <f>$H1363*TG$1370</f>
        <v>36.942810802300002</v>
      </c>
      <c r="TH1363" s="268">
        <f>$I1363*TH$1370</f>
        <v>0</v>
      </c>
      <c r="TI1363" s="268">
        <f>$J1363*TI$1370</f>
        <v>0</v>
      </c>
      <c r="TJ1363" s="268">
        <f>$K1363*TJ$1370</f>
        <v>0</v>
      </c>
      <c r="TK1363" s="97">
        <f t="shared" si="3264"/>
        <v>154135.85</v>
      </c>
      <c r="TL1363" s="97">
        <f t="shared" si="3264"/>
        <v>162548.29999999999</v>
      </c>
      <c r="TM1363" s="97">
        <f t="shared" si="3264"/>
        <v>166833.73000000001</v>
      </c>
      <c r="TN1363" s="97">
        <f t="shared" si="3265"/>
        <v>0</v>
      </c>
      <c r="TO1363" s="97">
        <f t="shared" si="3265"/>
        <v>0</v>
      </c>
      <c r="TP1363" s="97">
        <f t="shared" si="3265"/>
        <v>0</v>
      </c>
      <c r="TQ1363" s="102">
        <v>1008</v>
      </c>
      <c r="TR1363" s="102">
        <v>1008</v>
      </c>
      <c r="TS1363" s="102">
        <v>1008</v>
      </c>
      <c r="TT1363" s="97">
        <f t="shared" si="3266"/>
        <v>34231.68</v>
      </c>
      <c r="TU1363" s="97">
        <f t="shared" si="3267"/>
        <v>36136.800000000003</v>
      </c>
      <c r="TV1363" s="97">
        <f t="shared" si="3268"/>
        <v>37598.400000000001</v>
      </c>
      <c r="TW1363" s="97">
        <f t="shared" si="3269"/>
        <v>0</v>
      </c>
      <c r="TX1363" s="97">
        <f t="shared" si="3270"/>
        <v>0</v>
      </c>
      <c r="TY1363" s="97">
        <f t="shared" si="3271"/>
        <v>0</v>
      </c>
      <c r="TZ1363" s="268">
        <f>$F1363*TZ$1370</f>
        <v>34.172274797599997</v>
      </c>
      <c r="UA1363" s="268">
        <f>$G1363*UA$1370</f>
        <v>36.014057426100003</v>
      </c>
      <c r="UB1363" s="268">
        <f>$H1363*UB$1370</f>
        <v>36.965691219100002</v>
      </c>
      <c r="UC1363" s="268">
        <f>$I1363*UC$1370</f>
        <v>0</v>
      </c>
      <c r="UD1363" s="268">
        <f>$J1363*UD$1370</f>
        <v>0</v>
      </c>
      <c r="UE1363" s="268">
        <f>$K1363*UE$1370</f>
        <v>0</v>
      </c>
      <c r="UF1363" s="97">
        <f t="shared" si="3272"/>
        <v>34445.65</v>
      </c>
      <c r="UG1363" s="97">
        <f t="shared" si="3272"/>
        <v>36302.17</v>
      </c>
      <c r="UH1363" s="97">
        <f t="shared" si="3272"/>
        <v>37261.42</v>
      </c>
      <c r="UI1363" s="97">
        <f t="shared" si="3273"/>
        <v>0</v>
      </c>
      <c r="UJ1363" s="97">
        <f t="shared" si="3273"/>
        <v>0</v>
      </c>
      <c r="UK1363" s="97">
        <f t="shared" si="3273"/>
        <v>0</v>
      </c>
      <c r="UL1363" s="102"/>
      <c r="UM1363" s="102"/>
      <c r="UN1363" s="102"/>
      <c r="UO1363" s="97">
        <f t="shared" si="3274"/>
        <v>0</v>
      </c>
      <c r="UP1363" s="97">
        <f t="shared" si="3275"/>
        <v>0</v>
      </c>
      <c r="UQ1363" s="97">
        <f t="shared" si="3276"/>
        <v>0</v>
      </c>
      <c r="UR1363" s="97">
        <f t="shared" si="3277"/>
        <v>0</v>
      </c>
      <c r="US1363" s="97">
        <f t="shared" si="3278"/>
        <v>0</v>
      </c>
      <c r="UT1363" s="97">
        <f t="shared" si="3279"/>
        <v>0</v>
      </c>
      <c r="UU1363" s="268">
        <f>$F1363*UU$1370</f>
        <v>34.316735356800002</v>
      </c>
      <c r="UV1363" s="268">
        <f>$G1363*UV$1370</f>
        <v>36.016210347600001</v>
      </c>
      <c r="UW1363" s="268">
        <f>$H1363*UW$1370</f>
        <v>36.927390713800001</v>
      </c>
      <c r="UX1363" s="268">
        <f>$I1363*UX$1370</f>
        <v>0</v>
      </c>
      <c r="UY1363" s="268">
        <f>$J1363*UY$1370</f>
        <v>0</v>
      </c>
      <c r="UZ1363" s="268">
        <f>$K1363*UZ$1370</f>
        <v>0</v>
      </c>
      <c r="VA1363" s="97">
        <f t="shared" si="3280"/>
        <v>0</v>
      </c>
      <c r="VB1363" s="97">
        <f t="shared" si="3280"/>
        <v>0</v>
      </c>
      <c r="VC1363" s="97">
        <f t="shared" si="3280"/>
        <v>0</v>
      </c>
      <c r="VD1363" s="97">
        <f t="shared" si="3281"/>
        <v>0</v>
      </c>
      <c r="VE1363" s="97">
        <f t="shared" si="3281"/>
        <v>0</v>
      </c>
      <c r="VF1363" s="97">
        <f t="shared" si="3281"/>
        <v>0</v>
      </c>
      <c r="VG1363" s="102">
        <v>1613</v>
      </c>
      <c r="VH1363" s="102">
        <v>1613</v>
      </c>
      <c r="VI1363" s="102">
        <v>1613</v>
      </c>
      <c r="VJ1363" s="97">
        <f t="shared" si="3282"/>
        <v>54777.48</v>
      </c>
      <c r="VK1363" s="97">
        <f t="shared" si="3283"/>
        <v>57826.05</v>
      </c>
      <c r="VL1363" s="97">
        <f t="shared" si="3284"/>
        <v>60164.9</v>
      </c>
      <c r="VM1363" s="97">
        <f t="shared" si="3285"/>
        <v>0</v>
      </c>
      <c r="VN1363" s="97">
        <f t="shared" si="3286"/>
        <v>0</v>
      </c>
      <c r="VO1363" s="97">
        <f t="shared" si="3287"/>
        <v>0</v>
      </c>
      <c r="VP1363" s="268">
        <f>$F1363*VP$1370</f>
        <v>34.131700123100003</v>
      </c>
      <c r="VQ1363" s="268">
        <f>$G1363*VQ$1370</f>
        <v>36.029437140600002</v>
      </c>
      <c r="VR1363" s="268">
        <f>$H1363*VR$1370</f>
        <v>36.937731109300003</v>
      </c>
      <c r="VS1363" s="268">
        <f>$I1363*VS$1370</f>
        <v>0</v>
      </c>
      <c r="VT1363" s="268">
        <f>$J1363*VT$1370</f>
        <v>0</v>
      </c>
      <c r="VU1363" s="268">
        <f>$K1363*VU$1370</f>
        <v>0</v>
      </c>
      <c r="VV1363" s="97">
        <f t="shared" si="3288"/>
        <v>55054.43</v>
      </c>
      <c r="VW1363" s="97">
        <f t="shared" si="3288"/>
        <v>58115.48</v>
      </c>
      <c r="VX1363" s="97">
        <f t="shared" si="3288"/>
        <v>59580.56</v>
      </c>
      <c r="VY1363" s="97">
        <f t="shared" si="3289"/>
        <v>0</v>
      </c>
      <c r="VZ1363" s="97">
        <f t="shared" si="3289"/>
        <v>0</v>
      </c>
      <c r="WA1363" s="97">
        <f t="shared" si="3289"/>
        <v>0</v>
      </c>
      <c r="WB1363" s="102"/>
      <c r="WC1363" s="102"/>
      <c r="WD1363" s="102"/>
      <c r="WE1363" s="97">
        <f t="shared" si="3290"/>
        <v>0</v>
      </c>
      <c r="WF1363" s="97">
        <f t="shared" si="3291"/>
        <v>0</v>
      </c>
      <c r="WG1363" s="97">
        <f t="shared" si="3292"/>
        <v>0</v>
      </c>
      <c r="WH1363" s="97">
        <f t="shared" si="3293"/>
        <v>0</v>
      </c>
      <c r="WI1363" s="97">
        <f t="shared" si="3294"/>
        <v>0</v>
      </c>
      <c r="WJ1363" s="97">
        <f t="shared" si="3295"/>
        <v>0</v>
      </c>
      <c r="WK1363" s="268">
        <f>$F1363*WK$1370</f>
        <v>0</v>
      </c>
      <c r="WL1363" s="268">
        <f>$G1363*WL$1370</f>
        <v>0</v>
      </c>
      <c r="WM1363" s="268">
        <f>$H1363*WM$1370</f>
        <v>0</v>
      </c>
      <c r="WN1363" s="268">
        <f>$I1363*WN$1370</f>
        <v>0</v>
      </c>
      <c r="WO1363" s="268">
        <f>$J1363*WO$1370</f>
        <v>0</v>
      </c>
      <c r="WP1363" s="268">
        <f>$K1363*WP$1370</f>
        <v>0</v>
      </c>
      <c r="WQ1363" s="97">
        <f t="shared" si="3296"/>
        <v>0</v>
      </c>
      <c r="WR1363" s="97">
        <f t="shared" si="3296"/>
        <v>0</v>
      </c>
      <c r="WS1363" s="97">
        <f t="shared" si="3296"/>
        <v>0</v>
      </c>
      <c r="WT1363" s="97">
        <f t="shared" si="3297"/>
        <v>0</v>
      </c>
      <c r="WU1363" s="97">
        <f t="shared" si="3297"/>
        <v>0</v>
      </c>
      <c r="WV1363" s="97">
        <f t="shared" si="3297"/>
        <v>0</v>
      </c>
      <c r="WW1363" s="102"/>
      <c r="WX1363" s="102"/>
      <c r="WY1363" s="102"/>
      <c r="WZ1363" s="97">
        <f t="shared" si="3298"/>
        <v>0</v>
      </c>
      <c r="XA1363" s="97">
        <f t="shared" si="3299"/>
        <v>0</v>
      </c>
      <c r="XB1363" s="97">
        <f t="shared" si="3300"/>
        <v>0</v>
      </c>
      <c r="XC1363" s="97">
        <f t="shared" si="3301"/>
        <v>0</v>
      </c>
      <c r="XD1363" s="97">
        <f t="shared" si="3302"/>
        <v>0</v>
      </c>
      <c r="XE1363" s="97">
        <f t="shared" si="3303"/>
        <v>0</v>
      </c>
      <c r="XF1363" s="268">
        <f>$F1363*XF$1370</f>
        <v>0</v>
      </c>
      <c r="XG1363" s="268">
        <f>$G1363*XG$1370</f>
        <v>0</v>
      </c>
      <c r="XH1363" s="268">
        <f>$H1363*XH$1370</f>
        <v>0</v>
      </c>
      <c r="XI1363" s="268">
        <f>$I1363*XI$1370</f>
        <v>0</v>
      </c>
      <c r="XJ1363" s="268">
        <f>$J1363*XJ$1370</f>
        <v>0</v>
      </c>
      <c r="XK1363" s="268">
        <f>$K1363*XK$1370</f>
        <v>0</v>
      </c>
      <c r="XL1363" s="97">
        <f t="shared" si="3304"/>
        <v>0</v>
      </c>
      <c r="XM1363" s="97">
        <f t="shared" si="3304"/>
        <v>0</v>
      </c>
      <c r="XN1363" s="97">
        <f t="shared" si="3304"/>
        <v>0</v>
      </c>
      <c r="XO1363" s="97">
        <f t="shared" si="3305"/>
        <v>0</v>
      </c>
      <c r="XP1363" s="97">
        <f t="shared" si="3305"/>
        <v>0</v>
      </c>
      <c r="XQ1363" s="97">
        <f t="shared" si="3305"/>
        <v>0</v>
      </c>
      <c r="XR1363" s="102"/>
      <c r="XS1363" s="102"/>
      <c r="XT1363" s="102"/>
      <c r="XU1363" s="97">
        <f t="shared" si="3306"/>
        <v>0</v>
      </c>
      <c r="XV1363" s="97">
        <f t="shared" si="3307"/>
        <v>0</v>
      </c>
      <c r="XW1363" s="97">
        <f t="shared" si="3308"/>
        <v>0</v>
      </c>
      <c r="XX1363" s="97">
        <f t="shared" si="3309"/>
        <v>0</v>
      </c>
      <c r="XY1363" s="97">
        <f t="shared" si="3310"/>
        <v>0</v>
      </c>
      <c r="XZ1363" s="97">
        <f t="shared" si="3311"/>
        <v>0</v>
      </c>
      <c r="YA1363" s="268">
        <f>$F1363*YA$1370</f>
        <v>34.2770628297</v>
      </c>
      <c r="YB1363" s="268">
        <f>$G1363*YB$1370</f>
        <v>35.442705841299997</v>
      </c>
      <c r="YC1363" s="268">
        <f>$H1363*YC$1370</f>
        <v>41.402272228500003</v>
      </c>
      <c r="YD1363" s="268">
        <f>$I1363*YD$1370</f>
        <v>0</v>
      </c>
      <c r="YE1363" s="268">
        <f>$J1363*YE$1370</f>
        <v>0</v>
      </c>
      <c r="YF1363" s="268">
        <f>$K1363*YF$1370</f>
        <v>0</v>
      </c>
      <c r="YG1363" s="97">
        <f t="shared" si="3312"/>
        <v>0</v>
      </c>
      <c r="YH1363" s="97">
        <f t="shared" si="3312"/>
        <v>0</v>
      </c>
      <c r="YI1363" s="97">
        <f t="shared" si="3312"/>
        <v>0</v>
      </c>
      <c r="YJ1363" s="97">
        <f t="shared" si="3313"/>
        <v>0</v>
      </c>
      <c r="YK1363" s="97">
        <f t="shared" si="3313"/>
        <v>0</v>
      </c>
      <c r="YL1363" s="97">
        <f t="shared" si="3313"/>
        <v>0</v>
      </c>
      <c r="YM1363" s="145">
        <f t="shared" si="3314"/>
        <v>27540</v>
      </c>
      <c r="YN1363" s="145">
        <f t="shared" si="3314"/>
        <v>27540</v>
      </c>
      <c r="YO1363" s="145">
        <f t="shared" si="3314"/>
        <v>27540</v>
      </c>
      <c r="YP1363" s="97">
        <f t="shared" si="3315"/>
        <v>935258.4</v>
      </c>
      <c r="YQ1363" s="97">
        <f t="shared" si="3316"/>
        <v>987309</v>
      </c>
      <c r="YR1363" s="97">
        <f t="shared" si="3317"/>
        <v>1027242</v>
      </c>
      <c r="YS1363" s="97">
        <f t="shared" si="3318"/>
        <v>0</v>
      </c>
      <c r="YT1363" s="97">
        <f t="shared" si="3319"/>
        <v>0</v>
      </c>
      <c r="YU1363" s="97">
        <f t="shared" si="3320"/>
        <v>0</v>
      </c>
      <c r="YV1363" s="268">
        <f>$F1363*YV$1370</f>
        <v>34.210598511599997</v>
      </c>
      <c r="YW1363" s="268">
        <f>$G1363*YW$1370</f>
        <v>35.951705403200002</v>
      </c>
      <c r="YX1363" s="268">
        <f>$H1363*YX$1370</f>
        <v>37.395570116000002</v>
      </c>
      <c r="YY1363" s="268">
        <f>$I1363*YY$1370</f>
        <v>0</v>
      </c>
      <c r="YZ1363" s="268">
        <f>$J1363*YZ$1370</f>
        <v>0</v>
      </c>
      <c r="ZA1363" s="268">
        <f>$K1363*ZA$1370</f>
        <v>0</v>
      </c>
      <c r="ZB1363" s="97">
        <f t="shared" si="3321"/>
        <v>942159.88</v>
      </c>
      <c r="ZC1363" s="97">
        <f t="shared" si="3321"/>
        <v>990109.97</v>
      </c>
      <c r="ZD1363" s="97">
        <f t="shared" si="3321"/>
        <v>1029874</v>
      </c>
      <c r="ZE1363" s="97">
        <f t="shared" si="3322"/>
        <v>0</v>
      </c>
      <c r="ZF1363" s="97">
        <f t="shared" si="3322"/>
        <v>0</v>
      </c>
      <c r="ZG1363" s="97">
        <f t="shared" si="3322"/>
        <v>0</v>
      </c>
      <c r="ZH1363" s="271"/>
    </row>
    <row r="1364" spans="1:684" hidden="1" x14ac:dyDescent="0.25">
      <c r="A1364" s="12"/>
      <c r="B1364" s="174"/>
      <c r="C1364" s="5"/>
      <c r="D1364" s="340"/>
      <c r="E1364" s="163"/>
      <c r="F1364" s="110"/>
      <c r="G1364" s="110"/>
      <c r="H1364" s="110"/>
      <c r="I1364" s="97"/>
      <c r="J1364" s="97"/>
      <c r="K1364" s="97"/>
      <c r="L1364" s="102"/>
      <c r="M1364" s="102"/>
      <c r="N1364" s="102"/>
      <c r="O1364" s="97"/>
      <c r="P1364" s="97"/>
      <c r="Q1364" s="97"/>
      <c r="R1364" s="97"/>
      <c r="S1364" s="97"/>
      <c r="T1364" s="97"/>
      <c r="U1364" s="268"/>
      <c r="V1364" s="268"/>
      <c r="W1364" s="268"/>
      <c r="X1364" s="268"/>
      <c r="Y1364" s="268"/>
      <c r="Z1364" s="268"/>
      <c r="AA1364" s="97"/>
      <c r="AB1364" s="97"/>
      <c r="AC1364" s="97"/>
      <c r="AD1364" s="97"/>
      <c r="AE1364" s="97"/>
      <c r="AF1364" s="97"/>
      <c r="AG1364" s="102"/>
      <c r="AH1364" s="102"/>
      <c r="AI1364" s="102"/>
      <c r="AJ1364" s="97"/>
      <c r="AK1364" s="97"/>
      <c r="AL1364" s="97"/>
      <c r="AM1364" s="97"/>
      <c r="AN1364" s="97"/>
      <c r="AO1364" s="97"/>
      <c r="AP1364" s="268"/>
      <c r="AQ1364" s="268"/>
      <c r="AR1364" s="268"/>
      <c r="AS1364" s="268"/>
      <c r="AT1364" s="268"/>
      <c r="AU1364" s="268"/>
      <c r="AV1364" s="97"/>
      <c r="AW1364" s="97"/>
      <c r="AX1364" s="97"/>
      <c r="AY1364" s="97"/>
      <c r="AZ1364" s="97"/>
      <c r="BA1364" s="97"/>
      <c r="BB1364" s="102"/>
      <c r="BC1364" s="102"/>
      <c r="BD1364" s="102"/>
      <c r="BE1364" s="97"/>
      <c r="BF1364" s="97"/>
      <c r="BG1364" s="97"/>
      <c r="BH1364" s="97"/>
      <c r="BI1364" s="97"/>
      <c r="BJ1364" s="97"/>
      <c r="BK1364" s="268"/>
      <c r="BL1364" s="268"/>
      <c r="BM1364" s="268"/>
      <c r="BN1364" s="268"/>
      <c r="BO1364" s="268"/>
      <c r="BP1364" s="268"/>
      <c r="BQ1364" s="97"/>
      <c r="BR1364" s="97"/>
      <c r="BS1364" s="97"/>
      <c r="BT1364" s="97"/>
      <c r="BU1364" s="97"/>
      <c r="BV1364" s="97"/>
      <c r="BW1364" s="102"/>
      <c r="BX1364" s="102"/>
      <c r="BY1364" s="102"/>
      <c r="BZ1364" s="97"/>
      <c r="CA1364" s="97"/>
      <c r="CB1364" s="97"/>
      <c r="CC1364" s="97"/>
      <c r="CD1364" s="97"/>
      <c r="CE1364" s="97"/>
      <c r="CF1364" s="268"/>
      <c r="CG1364" s="268"/>
      <c r="CH1364" s="268"/>
      <c r="CI1364" s="268"/>
      <c r="CJ1364" s="268"/>
      <c r="CK1364" s="268"/>
      <c r="CL1364" s="97"/>
      <c r="CM1364" s="97"/>
      <c r="CN1364" s="97"/>
      <c r="CO1364" s="97"/>
      <c r="CP1364" s="97"/>
      <c r="CQ1364" s="97"/>
      <c r="CR1364" s="102"/>
      <c r="CS1364" s="102"/>
      <c r="CT1364" s="102"/>
      <c r="CU1364" s="97"/>
      <c r="CV1364" s="97"/>
      <c r="CW1364" s="97"/>
      <c r="CX1364" s="97"/>
      <c r="CY1364" s="97"/>
      <c r="CZ1364" s="97"/>
      <c r="DA1364" s="268"/>
      <c r="DB1364" s="268"/>
      <c r="DC1364" s="268"/>
      <c r="DD1364" s="268"/>
      <c r="DE1364" s="268"/>
      <c r="DF1364" s="268"/>
      <c r="DG1364" s="97"/>
      <c r="DH1364" s="97"/>
      <c r="DI1364" s="97"/>
      <c r="DJ1364" s="97"/>
      <c r="DK1364" s="97"/>
      <c r="DL1364" s="97"/>
      <c r="DM1364" s="102"/>
      <c r="DN1364" s="102"/>
      <c r="DO1364" s="102"/>
      <c r="DP1364" s="97"/>
      <c r="DQ1364" s="97"/>
      <c r="DR1364" s="97"/>
      <c r="DS1364" s="97"/>
      <c r="DT1364" s="97"/>
      <c r="DU1364" s="97"/>
      <c r="DV1364" s="268"/>
      <c r="DW1364" s="268"/>
      <c r="DX1364" s="268"/>
      <c r="DY1364" s="268"/>
      <c r="DZ1364" s="268"/>
      <c r="EA1364" s="268"/>
      <c r="EB1364" s="97"/>
      <c r="EC1364" s="97"/>
      <c r="ED1364" s="97"/>
      <c r="EE1364" s="97"/>
      <c r="EF1364" s="97"/>
      <c r="EG1364" s="97"/>
      <c r="EH1364" s="102"/>
      <c r="EI1364" s="102"/>
      <c r="EJ1364" s="102"/>
      <c r="EK1364" s="97"/>
      <c r="EL1364" s="97"/>
      <c r="EM1364" s="97"/>
      <c r="EN1364" s="97"/>
      <c r="EO1364" s="97"/>
      <c r="EP1364" s="97"/>
      <c r="EQ1364" s="268"/>
      <c r="ER1364" s="268"/>
      <c r="ES1364" s="268"/>
      <c r="ET1364" s="268"/>
      <c r="EU1364" s="268"/>
      <c r="EV1364" s="268"/>
      <c r="EW1364" s="97"/>
      <c r="EX1364" s="97"/>
      <c r="EY1364" s="97"/>
      <c r="EZ1364" s="97"/>
      <c r="FA1364" s="97"/>
      <c r="FB1364" s="97"/>
      <c r="FC1364" s="102"/>
      <c r="FD1364" s="102"/>
      <c r="FE1364" s="102"/>
      <c r="FF1364" s="97"/>
      <c r="FG1364" s="97"/>
      <c r="FH1364" s="97"/>
      <c r="FI1364" s="97"/>
      <c r="FJ1364" s="97"/>
      <c r="FK1364" s="97"/>
      <c r="FL1364" s="268"/>
      <c r="FM1364" s="268"/>
      <c r="FN1364" s="268"/>
      <c r="FO1364" s="268"/>
      <c r="FP1364" s="268"/>
      <c r="FQ1364" s="268"/>
      <c r="FR1364" s="97"/>
      <c r="FS1364" s="97"/>
      <c r="FT1364" s="97"/>
      <c r="FU1364" s="97"/>
      <c r="FV1364" s="97"/>
      <c r="FW1364" s="97"/>
      <c r="FX1364" s="102"/>
      <c r="FY1364" s="102"/>
      <c r="FZ1364" s="102"/>
      <c r="GA1364" s="97"/>
      <c r="GB1364" s="97"/>
      <c r="GC1364" s="97"/>
      <c r="GD1364" s="97"/>
      <c r="GE1364" s="97"/>
      <c r="GF1364" s="97"/>
      <c r="GG1364" s="268"/>
      <c r="GH1364" s="268"/>
      <c r="GI1364" s="268"/>
      <c r="GJ1364" s="268"/>
      <c r="GK1364" s="268"/>
      <c r="GL1364" s="268"/>
      <c r="GM1364" s="97"/>
      <c r="GN1364" s="97"/>
      <c r="GO1364" s="97"/>
      <c r="GP1364" s="97"/>
      <c r="GQ1364" s="97"/>
      <c r="GR1364" s="97"/>
      <c r="GS1364" s="102"/>
      <c r="GT1364" s="102"/>
      <c r="GU1364" s="102"/>
      <c r="GV1364" s="97"/>
      <c r="GW1364" s="97"/>
      <c r="GX1364" s="97"/>
      <c r="GY1364" s="97"/>
      <c r="GZ1364" s="97"/>
      <c r="HA1364" s="97"/>
      <c r="HB1364" s="268"/>
      <c r="HC1364" s="268"/>
      <c r="HD1364" s="268"/>
      <c r="HE1364" s="268"/>
      <c r="HF1364" s="268"/>
      <c r="HG1364" s="268"/>
      <c r="HH1364" s="97"/>
      <c r="HI1364" s="97"/>
      <c r="HJ1364" s="97"/>
      <c r="HK1364" s="97"/>
      <c r="HL1364" s="97"/>
      <c r="HM1364" s="97"/>
      <c r="HN1364" s="102"/>
      <c r="HO1364" s="102"/>
      <c r="HP1364" s="102"/>
      <c r="HQ1364" s="97"/>
      <c r="HR1364" s="97"/>
      <c r="HS1364" s="97"/>
      <c r="HT1364" s="97"/>
      <c r="HU1364" s="97"/>
      <c r="HV1364" s="97"/>
      <c r="HW1364" s="268"/>
      <c r="HX1364" s="268"/>
      <c r="HY1364" s="268"/>
      <c r="HZ1364" s="268"/>
      <c r="IA1364" s="268"/>
      <c r="IB1364" s="268"/>
      <c r="IC1364" s="97"/>
      <c r="ID1364" s="97"/>
      <c r="IE1364" s="97"/>
      <c r="IF1364" s="97"/>
      <c r="IG1364" s="97"/>
      <c r="IH1364" s="97"/>
      <c r="II1364" s="102"/>
      <c r="IJ1364" s="102"/>
      <c r="IK1364" s="102"/>
      <c r="IL1364" s="97"/>
      <c r="IM1364" s="97"/>
      <c r="IN1364" s="97"/>
      <c r="IO1364" s="97"/>
      <c r="IP1364" s="97"/>
      <c r="IQ1364" s="97"/>
      <c r="IR1364" s="268"/>
      <c r="IS1364" s="268"/>
      <c r="IT1364" s="268"/>
      <c r="IU1364" s="268"/>
      <c r="IV1364" s="268"/>
      <c r="IW1364" s="268"/>
      <c r="IX1364" s="97"/>
      <c r="IY1364" s="97"/>
      <c r="IZ1364" s="97"/>
      <c r="JA1364" s="97"/>
      <c r="JB1364" s="97"/>
      <c r="JC1364" s="97"/>
      <c r="JD1364" s="102"/>
      <c r="JE1364" s="102"/>
      <c r="JF1364" s="102"/>
      <c r="JG1364" s="97"/>
      <c r="JH1364" s="97"/>
      <c r="JI1364" s="97"/>
      <c r="JJ1364" s="97"/>
      <c r="JK1364" s="97"/>
      <c r="JL1364" s="97"/>
      <c r="JM1364" s="268"/>
      <c r="JN1364" s="268"/>
      <c r="JO1364" s="268"/>
      <c r="JP1364" s="268"/>
      <c r="JQ1364" s="268"/>
      <c r="JR1364" s="268"/>
      <c r="JS1364" s="97"/>
      <c r="JT1364" s="97"/>
      <c r="JU1364" s="97"/>
      <c r="JV1364" s="97"/>
      <c r="JW1364" s="97"/>
      <c r="JX1364" s="97"/>
      <c r="JY1364" s="102"/>
      <c r="JZ1364" s="102"/>
      <c r="KA1364" s="102"/>
      <c r="KB1364" s="97"/>
      <c r="KC1364" s="97"/>
      <c r="KD1364" s="97"/>
      <c r="KE1364" s="97"/>
      <c r="KF1364" s="97"/>
      <c r="KG1364" s="97"/>
      <c r="KH1364" s="268"/>
      <c r="KI1364" s="268"/>
      <c r="KJ1364" s="268"/>
      <c r="KK1364" s="268"/>
      <c r="KL1364" s="268"/>
      <c r="KM1364" s="268"/>
      <c r="KN1364" s="97"/>
      <c r="KO1364" s="97"/>
      <c r="KP1364" s="97"/>
      <c r="KQ1364" s="97"/>
      <c r="KR1364" s="97"/>
      <c r="KS1364" s="97"/>
      <c r="KT1364" s="102"/>
      <c r="KU1364" s="102"/>
      <c r="KV1364" s="102"/>
      <c r="KW1364" s="97"/>
      <c r="KX1364" s="97"/>
      <c r="KY1364" s="97"/>
      <c r="KZ1364" s="97"/>
      <c r="LA1364" s="97"/>
      <c r="LB1364" s="97"/>
      <c r="LC1364" s="268"/>
      <c r="LD1364" s="268"/>
      <c r="LE1364" s="268"/>
      <c r="LF1364" s="268"/>
      <c r="LG1364" s="268"/>
      <c r="LH1364" s="268"/>
      <c r="LI1364" s="97"/>
      <c r="LJ1364" s="97"/>
      <c r="LK1364" s="97"/>
      <c r="LL1364" s="97"/>
      <c r="LM1364" s="97"/>
      <c r="LN1364" s="97"/>
      <c r="LO1364" s="102"/>
      <c r="LP1364" s="102"/>
      <c r="LQ1364" s="102"/>
      <c r="LR1364" s="97"/>
      <c r="LS1364" s="97"/>
      <c r="LT1364" s="97"/>
      <c r="LU1364" s="97"/>
      <c r="LV1364" s="97"/>
      <c r="LW1364" s="97"/>
      <c r="LX1364" s="268"/>
      <c r="LY1364" s="268"/>
      <c r="LZ1364" s="268"/>
      <c r="MA1364" s="268"/>
      <c r="MB1364" s="268"/>
      <c r="MC1364" s="268"/>
      <c r="MD1364" s="97"/>
      <c r="ME1364" s="97"/>
      <c r="MF1364" s="97"/>
      <c r="MG1364" s="97"/>
      <c r="MH1364" s="97"/>
      <c r="MI1364" s="97"/>
      <c r="MJ1364" s="102"/>
      <c r="MK1364" s="102"/>
      <c r="ML1364" s="102"/>
      <c r="MM1364" s="97"/>
      <c r="MN1364" s="97"/>
      <c r="MO1364" s="97"/>
      <c r="MP1364" s="97"/>
      <c r="MQ1364" s="97"/>
      <c r="MR1364" s="97"/>
      <c r="MS1364" s="268"/>
      <c r="MT1364" s="268"/>
      <c r="MU1364" s="268"/>
      <c r="MV1364" s="268"/>
      <c r="MW1364" s="268"/>
      <c r="MX1364" s="268"/>
      <c r="MY1364" s="97"/>
      <c r="MZ1364" s="97"/>
      <c r="NA1364" s="97"/>
      <c r="NB1364" s="97"/>
      <c r="NC1364" s="97"/>
      <c r="ND1364" s="97"/>
      <c r="NE1364" s="102"/>
      <c r="NF1364" s="102"/>
      <c r="NG1364" s="102"/>
      <c r="NH1364" s="97"/>
      <c r="NI1364" s="97"/>
      <c r="NJ1364" s="97"/>
      <c r="NK1364" s="97"/>
      <c r="NL1364" s="97"/>
      <c r="NM1364" s="97"/>
      <c r="NN1364" s="268"/>
      <c r="NO1364" s="268"/>
      <c r="NP1364" s="268"/>
      <c r="NQ1364" s="268"/>
      <c r="NR1364" s="268"/>
      <c r="NS1364" s="268"/>
      <c r="NT1364" s="97"/>
      <c r="NU1364" s="97"/>
      <c r="NV1364" s="97"/>
      <c r="NW1364" s="97"/>
      <c r="NX1364" s="97"/>
      <c r="NY1364" s="97"/>
      <c r="NZ1364" s="102"/>
      <c r="OA1364" s="102"/>
      <c r="OB1364" s="102"/>
      <c r="OC1364" s="97"/>
      <c r="OD1364" s="97"/>
      <c r="OE1364" s="97"/>
      <c r="OF1364" s="97"/>
      <c r="OG1364" s="97"/>
      <c r="OH1364" s="97"/>
      <c r="OI1364" s="268"/>
      <c r="OJ1364" s="268"/>
      <c r="OK1364" s="268"/>
      <c r="OL1364" s="268"/>
      <c r="OM1364" s="268"/>
      <c r="ON1364" s="268"/>
      <c r="OO1364" s="97"/>
      <c r="OP1364" s="97"/>
      <c r="OQ1364" s="97"/>
      <c r="OR1364" s="97"/>
      <c r="OS1364" s="97"/>
      <c r="OT1364" s="97"/>
      <c r="OU1364" s="102"/>
      <c r="OV1364" s="102"/>
      <c r="OW1364" s="102"/>
      <c r="OX1364" s="97"/>
      <c r="OY1364" s="97"/>
      <c r="OZ1364" s="97"/>
      <c r="PA1364" s="97"/>
      <c r="PB1364" s="97"/>
      <c r="PC1364" s="97"/>
      <c r="PD1364" s="268"/>
      <c r="PE1364" s="268"/>
      <c r="PF1364" s="268"/>
      <c r="PG1364" s="268"/>
      <c r="PH1364" s="268"/>
      <c r="PI1364" s="268"/>
      <c r="PJ1364" s="97"/>
      <c r="PK1364" s="97"/>
      <c r="PL1364" s="97"/>
      <c r="PM1364" s="97"/>
      <c r="PN1364" s="97"/>
      <c r="PO1364" s="97"/>
      <c r="PP1364" s="102"/>
      <c r="PQ1364" s="102"/>
      <c r="PR1364" s="102"/>
      <c r="PS1364" s="97"/>
      <c r="PT1364" s="97"/>
      <c r="PU1364" s="97"/>
      <c r="PV1364" s="97"/>
      <c r="PW1364" s="97"/>
      <c r="PX1364" s="97"/>
      <c r="PY1364" s="268"/>
      <c r="PZ1364" s="268"/>
      <c r="QA1364" s="268"/>
      <c r="QB1364" s="268"/>
      <c r="QC1364" s="268"/>
      <c r="QD1364" s="268"/>
      <c r="QE1364" s="97"/>
      <c r="QF1364" s="97"/>
      <c r="QG1364" s="97"/>
      <c r="QH1364" s="97"/>
      <c r="QI1364" s="97"/>
      <c r="QJ1364" s="97"/>
      <c r="QK1364" s="102"/>
      <c r="QL1364" s="102"/>
      <c r="QM1364" s="102"/>
      <c r="QN1364" s="97"/>
      <c r="QO1364" s="97"/>
      <c r="QP1364" s="97"/>
      <c r="QQ1364" s="97"/>
      <c r="QR1364" s="97"/>
      <c r="QS1364" s="97"/>
      <c r="QT1364" s="268"/>
      <c r="QU1364" s="268"/>
      <c r="QV1364" s="268"/>
      <c r="QW1364" s="268"/>
      <c r="QX1364" s="268"/>
      <c r="QY1364" s="268"/>
      <c r="QZ1364" s="97"/>
      <c r="RA1364" s="97"/>
      <c r="RB1364" s="97"/>
      <c r="RC1364" s="97"/>
      <c r="RD1364" s="97"/>
      <c r="RE1364" s="97"/>
      <c r="RF1364" s="102"/>
      <c r="RG1364" s="102"/>
      <c r="RH1364" s="102"/>
      <c r="RI1364" s="97"/>
      <c r="RJ1364" s="97"/>
      <c r="RK1364" s="97"/>
      <c r="RL1364" s="97"/>
      <c r="RM1364" s="97"/>
      <c r="RN1364" s="97"/>
      <c r="RO1364" s="268"/>
      <c r="RP1364" s="268"/>
      <c r="RQ1364" s="268"/>
      <c r="RR1364" s="268"/>
      <c r="RS1364" s="268"/>
      <c r="RT1364" s="268"/>
      <c r="RU1364" s="97"/>
      <c r="RV1364" s="97"/>
      <c r="RW1364" s="97"/>
      <c r="RX1364" s="97"/>
      <c r="RY1364" s="97"/>
      <c r="RZ1364" s="97"/>
      <c r="SA1364" s="102"/>
      <c r="SB1364" s="102"/>
      <c r="SC1364" s="102"/>
      <c r="SD1364" s="97"/>
      <c r="SE1364" s="97"/>
      <c r="SF1364" s="97"/>
      <c r="SG1364" s="97"/>
      <c r="SH1364" s="97"/>
      <c r="SI1364" s="97"/>
      <c r="SJ1364" s="268"/>
      <c r="SK1364" s="268"/>
      <c r="SL1364" s="268"/>
      <c r="SM1364" s="268"/>
      <c r="SN1364" s="268"/>
      <c r="SO1364" s="268"/>
      <c r="SP1364" s="97"/>
      <c r="SQ1364" s="97"/>
      <c r="SR1364" s="97"/>
      <c r="SS1364" s="97"/>
      <c r="ST1364" s="97"/>
      <c r="SU1364" s="97"/>
      <c r="SV1364" s="102"/>
      <c r="SW1364" s="102"/>
      <c r="SX1364" s="102"/>
      <c r="SY1364" s="97"/>
      <c r="SZ1364" s="97"/>
      <c r="TA1364" s="97"/>
      <c r="TB1364" s="97"/>
      <c r="TC1364" s="97"/>
      <c r="TD1364" s="97"/>
      <c r="TE1364" s="268"/>
      <c r="TF1364" s="268"/>
      <c r="TG1364" s="268"/>
      <c r="TH1364" s="268"/>
      <c r="TI1364" s="268"/>
      <c r="TJ1364" s="268"/>
      <c r="TK1364" s="97"/>
      <c r="TL1364" s="97"/>
      <c r="TM1364" s="97"/>
      <c r="TN1364" s="97"/>
      <c r="TO1364" s="97"/>
      <c r="TP1364" s="97"/>
      <c r="TQ1364" s="102"/>
      <c r="TR1364" s="102"/>
      <c r="TS1364" s="102"/>
      <c r="TT1364" s="97"/>
      <c r="TU1364" s="97"/>
      <c r="TV1364" s="97"/>
      <c r="TW1364" s="97"/>
      <c r="TX1364" s="97"/>
      <c r="TY1364" s="97"/>
      <c r="TZ1364" s="268"/>
      <c r="UA1364" s="268"/>
      <c r="UB1364" s="268"/>
      <c r="UC1364" s="268"/>
      <c r="UD1364" s="268"/>
      <c r="UE1364" s="268"/>
      <c r="UF1364" s="97"/>
      <c r="UG1364" s="97"/>
      <c r="UH1364" s="97"/>
      <c r="UI1364" s="97"/>
      <c r="UJ1364" s="97"/>
      <c r="UK1364" s="97"/>
      <c r="UL1364" s="102"/>
      <c r="UM1364" s="102"/>
      <c r="UN1364" s="102"/>
      <c r="UO1364" s="97"/>
      <c r="UP1364" s="97"/>
      <c r="UQ1364" s="97"/>
      <c r="UR1364" s="97"/>
      <c r="US1364" s="97"/>
      <c r="UT1364" s="97"/>
      <c r="UU1364" s="268"/>
      <c r="UV1364" s="268"/>
      <c r="UW1364" s="268"/>
      <c r="UX1364" s="268"/>
      <c r="UY1364" s="268"/>
      <c r="UZ1364" s="268"/>
      <c r="VA1364" s="97"/>
      <c r="VB1364" s="97"/>
      <c r="VC1364" s="97"/>
      <c r="VD1364" s="97"/>
      <c r="VE1364" s="97"/>
      <c r="VF1364" s="97"/>
      <c r="VG1364" s="102"/>
      <c r="VH1364" s="102"/>
      <c r="VI1364" s="102"/>
      <c r="VJ1364" s="97"/>
      <c r="VK1364" s="97"/>
      <c r="VL1364" s="97"/>
      <c r="VM1364" s="97"/>
      <c r="VN1364" s="97"/>
      <c r="VO1364" s="97"/>
      <c r="VP1364" s="268"/>
      <c r="VQ1364" s="268"/>
      <c r="VR1364" s="268"/>
      <c r="VS1364" s="268"/>
      <c r="VT1364" s="268"/>
      <c r="VU1364" s="268"/>
      <c r="VV1364" s="97"/>
      <c r="VW1364" s="97"/>
      <c r="VX1364" s="97"/>
      <c r="VY1364" s="97"/>
      <c r="VZ1364" s="97"/>
      <c r="WA1364" s="97"/>
      <c r="WB1364" s="102"/>
      <c r="WC1364" s="102"/>
      <c r="WD1364" s="102"/>
      <c r="WE1364" s="97"/>
      <c r="WF1364" s="97"/>
      <c r="WG1364" s="97"/>
      <c r="WH1364" s="97"/>
      <c r="WI1364" s="97"/>
      <c r="WJ1364" s="97"/>
      <c r="WK1364" s="268"/>
      <c r="WL1364" s="268"/>
      <c r="WM1364" s="268"/>
      <c r="WN1364" s="268"/>
      <c r="WO1364" s="268"/>
      <c r="WP1364" s="268"/>
      <c r="WQ1364" s="97"/>
      <c r="WR1364" s="97"/>
      <c r="WS1364" s="97"/>
      <c r="WT1364" s="97"/>
      <c r="WU1364" s="97"/>
      <c r="WV1364" s="97"/>
      <c r="WW1364" s="102"/>
      <c r="WX1364" s="102"/>
      <c r="WY1364" s="102"/>
      <c r="WZ1364" s="97"/>
      <c r="XA1364" s="97"/>
      <c r="XB1364" s="97"/>
      <c r="XC1364" s="97"/>
      <c r="XD1364" s="97"/>
      <c r="XE1364" s="97"/>
      <c r="XF1364" s="268"/>
      <c r="XG1364" s="268"/>
      <c r="XH1364" s="268"/>
      <c r="XI1364" s="268"/>
      <c r="XJ1364" s="268"/>
      <c r="XK1364" s="268"/>
      <c r="XL1364" s="97"/>
      <c r="XM1364" s="97"/>
      <c r="XN1364" s="97"/>
      <c r="XO1364" s="97"/>
      <c r="XP1364" s="97"/>
      <c r="XQ1364" s="97"/>
      <c r="XR1364" s="102"/>
      <c r="XS1364" s="102"/>
      <c r="XT1364" s="102"/>
      <c r="XU1364" s="97"/>
      <c r="XV1364" s="97"/>
      <c r="XW1364" s="97"/>
      <c r="XX1364" s="97"/>
      <c r="XY1364" s="97"/>
      <c r="XZ1364" s="97"/>
      <c r="YA1364" s="268"/>
      <c r="YB1364" s="268"/>
      <c r="YC1364" s="268"/>
      <c r="YD1364" s="268"/>
      <c r="YE1364" s="268"/>
      <c r="YF1364" s="268"/>
      <c r="YG1364" s="97"/>
      <c r="YH1364" s="97"/>
      <c r="YI1364" s="97"/>
      <c r="YJ1364" s="97"/>
      <c r="YK1364" s="97"/>
      <c r="YL1364" s="97"/>
      <c r="YM1364" s="145"/>
      <c r="YN1364" s="145"/>
      <c r="YO1364" s="145"/>
      <c r="YP1364" s="97"/>
      <c r="YQ1364" s="97"/>
      <c r="YR1364" s="97"/>
      <c r="YS1364" s="97"/>
      <c r="YT1364" s="97"/>
      <c r="YU1364" s="97"/>
      <c r="YV1364" s="268"/>
      <c r="YW1364" s="268"/>
      <c r="YX1364" s="268"/>
      <c r="YY1364" s="268"/>
      <c r="YZ1364" s="268"/>
      <c r="ZA1364" s="268"/>
      <c r="ZB1364" s="97"/>
      <c r="ZC1364" s="97"/>
      <c r="ZD1364" s="97"/>
      <c r="ZE1364" s="97"/>
      <c r="ZF1364" s="97"/>
      <c r="ZG1364" s="97"/>
      <c r="ZH1364" s="271"/>
    </row>
    <row r="1365" spans="1:684" x14ac:dyDescent="0.25">
      <c r="A1365" s="12" t="s">
        <v>458</v>
      </c>
      <c r="B1365" s="174" t="s">
        <v>651</v>
      </c>
      <c r="C1365" s="5"/>
      <c r="D1365" s="340"/>
      <c r="E1365" s="163"/>
      <c r="F1365" s="110">
        <f t="shared" ref="F1365:H1367" si="3323">F74</f>
        <v>39.630000000000003</v>
      </c>
      <c r="G1365" s="110">
        <f t="shared" si="3323"/>
        <v>41.82</v>
      </c>
      <c r="H1365" s="110">
        <f t="shared" si="3323"/>
        <v>43.49</v>
      </c>
      <c r="I1365" s="97">
        <f t="shared" ref="I1365:K1367" si="3324">F389</f>
        <v>0</v>
      </c>
      <c r="J1365" s="97">
        <f t="shared" si="3324"/>
        <v>0</v>
      </c>
      <c r="K1365" s="97">
        <f t="shared" si="3324"/>
        <v>0</v>
      </c>
      <c r="L1365" s="102">
        <v>1555</v>
      </c>
      <c r="M1365" s="102">
        <v>1555</v>
      </c>
      <c r="N1365" s="102">
        <v>1555</v>
      </c>
      <c r="O1365" s="97">
        <f t="shared" si="3066"/>
        <v>61624.65</v>
      </c>
      <c r="P1365" s="97">
        <f t="shared" si="3067"/>
        <v>65030.1</v>
      </c>
      <c r="Q1365" s="97">
        <f t="shared" si="3068"/>
        <v>67626.95</v>
      </c>
      <c r="R1365" s="97">
        <f t="shared" si="3069"/>
        <v>0</v>
      </c>
      <c r="S1365" s="97">
        <f t="shared" si="3070"/>
        <v>0</v>
      </c>
      <c r="T1365" s="97">
        <f t="shared" si="3071"/>
        <v>0</v>
      </c>
      <c r="U1365" s="268">
        <f>$F1365*U$1370</f>
        <v>39.962071028899999</v>
      </c>
      <c r="V1365" s="268">
        <f>$G1365*V$1370</f>
        <v>42.026840954699999</v>
      </c>
      <c r="W1365" s="268">
        <f>$H1365*W$1370</f>
        <v>43.043472200499998</v>
      </c>
      <c r="X1365" s="268">
        <f>$I1365*X$1370</f>
        <v>0</v>
      </c>
      <c r="Y1365" s="268">
        <f>$J1365*Y$1370</f>
        <v>0</v>
      </c>
      <c r="Z1365" s="268">
        <f>$K1365*Z$1370</f>
        <v>0</v>
      </c>
      <c r="AA1365" s="97">
        <f t="shared" si="3072"/>
        <v>62141.02</v>
      </c>
      <c r="AB1365" s="97">
        <f t="shared" si="3072"/>
        <v>65351.74</v>
      </c>
      <c r="AC1365" s="97">
        <f t="shared" si="3072"/>
        <v>66932.600000000006</v>
      </c>
      <c r="AD1365" s="97">
        <f t="shared" si="3073"/>
        <v>0</v>
      </c>
      <c r="AE1365" s="97">
        <f t="shared" si="3073"/>
        <v>0</v>
      </c>
      <c r="AF1365" s="97">
        <f t="shared" si="3073"/>
        <v>0</v>
      </c>
      <c r="AG1365" s="102"/>
      <c r="AH1365" s="102"/>
      <c r="AI1365" s="102"/>
      <c r="AJ1365" s="97">
        <f t="shared" si="3074"/>
        <v>0</v>
      </c>
      <c r="AK1365" s="97">
        <f t="shared" si="3075"/>
        <v>0</v>
      </c>
      <c r="AL1365" s="97">
        <f t="shared" si="3076"/>
        <v>0</v>
      </c>
      <c r="AM1365" s="97">
        <f t="shared" si="3077"/>
        <v>0</v>
      </c>
      <c r="AN1365" s="97">
        <f t="shared" si="3078"/>
        <v>0</v>
      </c>
      <c r="AO1365" s="97">
        <f t="shared" si="3079"/>
        <v>0</v>
      </c>
      <c r="AP1365" s="268">
        <f>$F1365*AP$1370</f>
        <v>39.895330958300001</v>
      </c>
      <c r="AQ1365" s="268">
        <f>$G1365*AQ$1370</f>
        <v>42.0250741308</v>
      </c>
      <c r="AR1365" s="268">
        <f>$H1365*AR$1370</f>
        <v>43.072472167500003</v>
      </c>
      <c r="AS1365" s="268">
        <f>$I1365*AS$1370</f>
        <v>0</v>
      </c>
      <c r="AT1365" s="268">
        <f>$J1365*AT$1370</f>
        <v>0</v>
      </c>
      <c r="AU1365" s="268">
        <f>$K1365*AU$1370</f>
        <v>0</v>
      </c>
      <c r="AV1365" s="97">
        <f t="shared" si="3080"/>
        <v>0</v>
      </c>
      <c r="AW1365" s="97">
        <f t="shared" si="3080"/>
        <v>0</v>
      </c>
      <c r="AX1365" s="97">
        <f t="shared" si="3080"/>
        <v>0</v>
      </c>
      <c r="AY1365" s="97">
        <f t="shared" si="3081"/>
        <v>0</v>
      </c>
      <c r="AZ1365" s="97">
        <f t="shared" si="3081"/>
        <v>0</v>
      </c>
      <c r="BA1365" s="97">
        <f t="shared" si="3081"/>
        <v>0</v>
      </c>
      <c r="BB1365" s="102">
        <v>1728</v>
      </c>
      <c r="BC1365" s="102">
        <v>1728</v>
      </c>
      <c r="BD1365" s="102">
        <v>1728</v>
      </c>
      <c r="BE1365" s="97">
        <f t="shared" si="3082"/>
        <v>68480.639999999999</v>
      </c>
      <c r="BF1365" s="97">
        <f t="shared" si="3083"/>
        <v>72264.960000000006</v>
      </c>
      <c r="BG1365" s="97">
        <f t="shared" si="3084"/>
        <v>75150.720000000001</v>
      </c>
      <c r="BH1365" s="97">
        <f t="shared" si="3085"/>
        <v>0</v>
      </c>
      <c r="BI1365" s="97">
        <f t="shared" si="3086"/>
        <v>0</v>
      </c>
      <c r="BJ1365" s="97">
        <f t="shared" si="3087"/>
        <v>0</v>
      </c>
      <c r="BK1365" s="268">
        <f>$F1365*BK$1370</f>
        <v>39.9699762865</v>
      </c>
      <c r="BL1365" s="268">
        <f>$G1365*BL$1370</f>
        <v>42.013470293600001</v>
      </c>
      <c r="BM1365" s="268">
        <f>$H1365*BM$1370</f>
        <v>43.014777367999997</v>
      </c>
      <c r="BN1365" s="268">
        <f>$I1365*BN$1370</f>
        <v>0</v>
      </c>
      <c r="BO1365" s="268">
        <f>$J1365*BO$1370</f>
        <v>0</v>
      </c>
      <c r="BP1365" s="268">
        <f>$K1365*BP$1370</f>
        <v>0</v>
      </c>
      <c r="BQ1365" s="97">
        <f t="shared" si="3088"/>
        <v>69068.12</v>
      </c>
      <c r="BR1365" s="97">
        <f t="shared" si="3088"/>
        <v>72599.28</v>
      </c>
      <c r="BS1365" s="97">
        <f t="shared" si="3088"/>
        <v>74329.539999999994</v>
      </c>
      <c r="BT1365" s="97">
        <f t="shared" si="3089"/>
        <v>0</v>
      </c>
      <c r="BU1365" s="97">
        <f t="shared" si="3089"/>
        <v>0</v>
      </c>
      <c r="BV1365" s="97">
        <f t="shared" si="3089"/>
        <v>0</v>
      </c>
      <c r="BW1365" s="102">
        <v>691</v>
      </c>
      <c r="BX1365" s="102">
        <v>691</v>
      </c>
      <c r="BY1365" s="102">
        <v>691</v>
      </c>
      <c r="BZ1365" s="97">
        <f t="shared" si="3090"/>
        <v>27384.33</v>
      </c>
      <c r="CA1365" s="97">
        <f t="shared" si="3091"/>
        <v>28897.62</v>
      </c>
      <c r="CB1365" s="97">
        <f t="shared" si="3092"/>
        <v>30051.59</v>
      </c>
      <c r="CC1365" s="97">
        <f t="shared" si="3093"/>
        <v>0</v>
      </c>
      <c r="CD1365" s="97">
        <f t="shared" si="3094"/>
        <v>0</v>
      </c>
      <c r="CE1365" s="97">
        <f t="shared" si="3095"/>
        <v>0</v>
      </c>
      <c r="CF1365" s="268">
        <f>$F1365*CF$1370</f>
        <v>39.8665439046</v>
      </c>
      <c r="CG1365" s="268">
        <f>$G1365*CG$1370</f>
        <v>42.029318304599997</v>
      </c>
      <c r="CH1365" s="268">
        <f>$H1365*CH$1370</f>
        <v>43.103772838099999</v>
      </c>
      <c r="CI1365" s="268">
        <f>$I1365*CI$1370</f>
        <v>0</v>
      </c>
      <c r="CJ1365" s="268">
        <f>$J1365*CJ$1370</f>
        <v>0</v>
      </c>
      <c r="CK1365" s="268">
        <f>$K1365*CK$1370</f>
        <v>0</v>
      </c>
      <c r="CL1365" s="97">
        <f t="shared" si="3096"/>
        <v>27547.78</v>
      </c>
      <c r="CM1365" s="97">
        <f t="shared" si="3096"/>
        <v>29042.26</v>
      </c>
      <c r="CN1365" s="97">
        <f t="shared" si="3096"/>
        <v>29784.71</v>
      </c>
      <c r="CO1365" s="97">
        <f t="shared" si="3097"/>
        <v>0</v>
      </c>
      <c r="CP1365" s="97">
        <f t="shared" si="3097"/>
        <v>0</v>
      </c>
      <c r="CQ1365" s="97">
        <f t="shared" si="3097"/>
        <v>0</v>
      </c>
      <c r="CR1365" s="102">
        <v>1210</v>
      </c>
      <c r="CS1365" s="102">
        <v>1210</v>
      </c>
      <c r="CT1365" s="102">
        <v>1210</v>
      </c>
      <c r="CU1365" s="97">
        <f t="shared" si="3098"/>
        <v>47952.3</v>
      </c>
      <c r="CV1365" s="97">
        <f t="shared" si="3099"/>
        <v>50602.2</v>
      </c>
      <c r="CW1365" s="97">
        <f t="shared" si="3100"/>
        <v>52622.9</v>
      </c>
      <c r="CX1365" s="97">
        <f t="shared" si="3101"/>
        <v>0</v>
      </c>
      <c r="CY1365" s="97">
        <f t="shared" si="3102"/>
        <v>0</v>
      </c>
      <c r="CZ1365" s="97">
        <f t="shared" si="3103"/>
        <v>0</v>
      </c>
      <c r="DA1365" s="268">
        <f>$F1365*DA$1370</f>
        <v>39.942969777099997</v>
      </c>
      <c r="DB1365" s="268">
        <f>$G1365*DB$1370</f>
        <v>41.990962978699997</v>
      </c>
      <c r="DC1365" s="268">
        <f>$H1365*DC$1370</f>
        <v>43.0207826368</v>
      </c>
      <c r="DD1365" s="268">
        <f>$I1365*DD$1370</f>
        <v>0</v>
      </c>
      <c r="DE1365" s="268">
        <f>$J1365*DE$1370</f>
        <v>0</v>
      </c>
      <c r="DF1365" s="268">
        <f>$K1365*DF$1370</f>
        <v>0</v>
      </c>
      <c r="DG1365" s="97">
        <f t="shared" si="3104"/>
        <v>48330.99</v>
      </c>
      <c r="DH1365" s="97">
        <f t="shared" si="3104"/>
        <v>50809.07</v>
      </c>
      <c r="DI1365" s="97">
        <f t="shared" si="3104"/>
        <v>52055.15</v>
      </c>
      <c r="DJ1365" s="97">
        <f t="shared" si="3105"/>
        <v>0</v>
      </c>
      <c r="DK1365" s="97">
        <f t="shared" si="3105"/>
        <v>0</v>
      </c>
      <c r="DL1365" s="97">
        <f t="shared" si="3105"/>
        <v>0</v>
      </c>
      <c r="DM1365" s="102">
        <v>1037</v>
      </c>
      <c r="DN1365" s="102">
        <v>1037</v>
      </c>
      <c r="DO1365" s="102">
        <v>1037</v>
      </c>
      <c r="DP1365" s="97">
        <f t="shared" si="3106"/>
        <v>41096.31</v>
      </c>
      <c r="DQ1365" s="97">
        <f t="shared" si="3107"/>
        <v>43367.34</v>
      </c>
      <c r="DR1365" s="97">
        <f t="shared" si="3108"/>
        <v>45099.13</v>
      </c>
      <c r="DS1365" s="97">
        <f t="shared" si="3109"/>
        <v>0</v>
      </c>
      <c r="DT1365" s="97">
        <f t="shared" si="3110"/>
        <v>0</v>
      </c>
      <c r="DU1365" s="97">
        <f t="shared" si="3111"/>
        <v>0</v>
      </c>
      <c r="DV1365" s="268">
        <f>$F1365*DV$1370</f>
        <v>39.962184453900001</v>
      </c>
      <c r="DW1365" s="268">
        <f>$G1365*DW$1370</f>
        <v>42.017165630000001</v>
      </c>
      <c r="DX1365" s="268">
        <f>$H1365*DX$1370</f>
        <v>43.0423530984</v>
      </c>
      <c r="DY1365" s="268">
        <f>$I1365*DY$1370</f>
        <v>0</v>
      </c>
      <c r="DZ1365" s="268">
        <f>$J1365*DZ$1370</f>
        <v>0</v>
      </c>
      <c r="EA1365" s="268">
        <f>$K1365*EA$1370</f>
        <v>0</v>
      </c>
      <c r="EB1365" s="97">
        <f t="shared" si="3112"/>
        <v>41440.79</v>
      </c>
      <c r="EC1365" s="97">
        <f t="shared" si="3112"/>
        <v>43571.8</v>
      </c>
      <c r="ED1365" s="97">
        <f t="shared" si="3112"/>
        <v>44634.92</v>
      </c>
      <c r="EE1365" s="97">
        <f t="shared" si="3113"/>
        <v>0</v>
      </c>
      <c r="EF1365" s="97">
        <f t="shared" si="3113"/>
        <v>0</v>
      </c>
      <c r="EG1365" s="97">
        <f t="shared" si="3113"/>
        <v>0</v>
      </c>
      <c r="EH1365" s="102"/>
      <c r="EI1365" s="102"/>
      <c r="EJ1365" s="102"/>
      <c r="EK1365" s="97">
        <f t="shared" si="3114"/>
        <v>0</v>
      </c>
      <c r="EL1365" s="97">
        <f t="shared" si="3115"/>
        <v>0</v>
      </c>
      <c r="EM1365" s="97">
        <f t="shared" si="3116"/>
        <v>0</v>
      </c>
      <c r="EN1365" s="97">
        <f t="shared" si="3117"/>
        <v>0</v>
      </c>
      <c r="EO1365" s="97">
        <f t="shared" si="3118"/>
        <v>0</v>
      </c>
      <c r="EP1365" s="97">
        <f t="shared" si="3119"/>
        <v>0</v>
      </c>
      <c r="EQ1365" s="268">
        <f>$F1365*EQ$1370</f>
        <v>0</v>
      </c>
      <c r="ER1365" s="268">
        <f>$G1365*ER$1370</f>
        <v>0</v>
      </c>
      <c r="ES1365" s="268">
        <f>$H1365*ES$1370</f>
        <v>0</v>
      </c>
      <c r="ET1365" s="268">
        <f>$I1365*ET$1370</f>
        <v>0</v>
      </c>
      <c r="EU1365" s="268">
        <f>$J1365*EU$1370</f>
        <v>0</v>
      </c>
      <c r="EV1365" s="268">
        <f>$K1365*EV$1370</f>
        <v>0</v>
      </c>
      <c r="EW1365" s="97">
        <f t="shared" si="3120"/>
        <v>0</v>
      </c>
      <c r="EX1365" s="97">
        <f t="shared" si="3120"/>
        <v>0</v>
      </c>
      <c r="EY1365" s="97">
        <f t="shared" si="3120"/>
        <v>0</v>
      </c>
      <c r="EZ1365" s="97">
        <f t="shared" si="3121"/>
        <v>0</v>
      </c>
      <c r="FA1365" s="97">
        <f t="shared" si="3121"/>
        <v>0</v>
      </c>
      <c r="FB1365" s="97">
        <f t="shared" si="3121"/>
        <v>0</v>
      </c>
      <c r="FC1365" s="102">
        <v>1452</v>
      </c>
      <c r="FD1365" s="102">
        <v>1452</v>
      </c>
      <c r="FE1365" s="102">
        <v>1452</v>
      </c>
      <c r="FF1365" s="97">
        <f t="shared" si="3122"/>
        <v>57542.76</v>
      </c>
      <c r="FG1365" s="97">
        <f t="shared" si="3123"/>
        <v>60722.64</v>
      </c>
      <c r="FH1365" s="97">
        <f t="shared" si="3124"/>
        <v>63147.48</v>
      </c>
      <c r="FI1365" s="97">
        <f t="shared" si="3125"/>
        <v>0</v>
      </c>
      <c r="FJ1365" s="97">
        <f t="shared" si="3126"/>
        <v>0</v>
      </c>
      <c r="FK1365" s="97">
        <f t="shared" si="3127"/>
        <v>0</v>
      </c>
      <c r="FL1365" s="268">
        <f>$F1365*FL$1370</f>
        <v>39.924749583400001</v>
      </c>
      <c r="FM1365" s="268">
        <f>$G1365*FM$1370</f>
        <v>41.988346861700002</v>
      </c>
      <c r="FN1365" s="268">
        <f>$H1365*FN$1370</f>
        <v>43.008761778999997</v>
      </c>
      <c r="FO1365" s="268">
        <f>$I1365*FO$1370</f>
        <v>0</v>
      </c>
      <c r="FP1365" s="268">
        <f>$J1365*FP$1370</f>
        <v>0</v>
      </c>
      <c r="FQ1365" s="268">
        <f>$K1365*FQ$1370</f>
        <v>0</v>
      </c>
      <c r="FR1365" s="97">
        <f t="shared" si="3128"/>
        <v>57970.74</v>
      </c>
      <c r="FS1365" s="97">
        <f t="shared" si="3128"/>
        <v>60967.08</v>
      </c>
      <c r="FT1365" s="97">
        <f t="shared" si="3128"/>
        <v>62448.72</v>
      </c>
      <c r="FU1365" s="97">
        <f t="shared" si="3129"/>
        <v>0</v>
      </c>
      <c r="FV1365" s="97">
        <f t="shared" si="3129"/>
        <v>0</v>
      </c>
      <c r="FW1365" s="97">
        <f t="shared" si="3129"/>
        <v>0</v>
      </c>
      <c r="FX1365" s="102"/>
      <c r="FY1365" s="102"/>
      <c r="FZ1365" s="102"/>
      <c r="GA1365" s="97">
        <f t="shared" si="3130"/>
        <v>0</v>
      </c>
      <c r="GB1365" s="97">
        <f t="shared" si="3131"/>
        <v>0</v>
      </c>
      <c r="GC1365" s="97">
        <f t="shared" si="3132"/>
        <v>0</v>
      </c>
      <c r="GD1365" s="97">
        <f t="shared" si="3133"/>
        <v>0</v>
      </c>
      <c r="GE1365" s="97">
        <f t="shared" si="3134"/>
        <v>0</v>
      </c>
      <c r="GF1365" s="97">
        <f t="shared" si="3135"/>
        <v>0</v>
      </c>
      <c r="GG1365" s="268">
        <f>$F1365*GG$1370</f>
        <v>0</v>
      </c>
      <c r="GH1365" s="268">
        <f>$G1365*GH$1370</f>
        <v>0</v>
      </c>
      <c r="GI1365" s="268">
        <f>$H1365*GI$1370</f>
        <v>0</v>
      </c>
      <c r="GJ1365" s="268">
        <f>$I1365*GJ$1370</f>
        <v>0</v>
      </c>
      <c r="GK1365" s="268">
        <f>$J1365*GK$1370</f>
        <v>0</v>
      </c>
      <c r="GL1365" s="268">
        <f>$K1365*GL$1370</f>
        <v>0</v>
      </c>
      <c r="GM1365" s="97">
        <f t="shared" si="3136"/>
        <v>0</v>
      </c>
      <c r="GN1365" s="97">
        <f t="shared" si="3136"/>
        <v>0</v>
      </c>
      <c r="GO1365" s="97">
        <f t="shared" si="3136"/>
        <v>0</v>
      </c>
      <c r="GP1365" s="97">
        <f t="shared" si="3137"/>
        <v>0</v>
      </c>
      <c r="GQ1365" s="97">
        <f t="shared" si="3137"/>
        <v>0</v>
      </c>
      <c r="GR1365" s="97">
        <f t="shared" si="3137"/>
        <v>0</v>
      </c>
      <c r="GS1365" s="102">
        <v>1382</v>
      </c>
      <c r="GT1365" s="102">
        <v>1382</v>
      </c>
      <c r="GU1365" s="102">
        <v>1382</v>
      </c>
      <c r="GV1365" s="97">
        <f t="shared" si="3138"/>
        <v>54768.66</v>
      </c>
      <c r="GW1365" s="97">
        <f t="shared" si="3139"/>
        <v>57795.24</v>
      </c>
      <c r="GX1365" s="97">
        <f t="shared" si="3140"/>
        <v>60103.18</v>
      </c>
      <c r="GY1365" s="97">
        <f t="shared" si="3141"/>
        <v>0</v>
      </c>
      <c r="GZ1365" s="97">
        <f t="shared" si="3142"/>
        <v>0</v>
      </c>
      <c r="HA1365" s="97">
        <f t="shared" si="3143"/>
        <v>0</v>
      </c>
      <c r="HB1365" s="268">
        <f>$F1365*HB$1370</f>
        <v>39.830367369800001</v>
      </c>
      <c r="HC1365" s="268">
        <f>$G1365*HC$1370</f>
        <v>42.029318304599997</v>
      </c>
      <c r="HD1365" s="268">
        <f>$H1365*HD$1370</f>
        <v>43.0676119556</v>
      </c>
      <c r="HE1365" s="268">
        <f>$I1365*HE$1370</f>
        <v>0</v>
      </c>
      <c r="HF1365" s="268">
        <f>$J1365*HF$1370</f>
        <v>0</v>
      </c>
      <c r="HG1365" s="268">
        <f>$K1365*HG$1370</f>
        <v>0</v>
      </c>
      <c r="HH1365" s="97">
        <f t="shared" si="3144"/>
        <v>55045.57</v>
      </c>
      <c r="HI1365" s="97">
        <f t="shared" si="3144"/>
        <v>58084.52</v>
      </c>
      <c r="HJ1365" s="97">
        <f t="shared" si="3144"/>
        <v>59519.44</v>
      </c>
      <c r="HK1365" s="97">
        <f t="shared" si="3145"/>
        <v>0</v>
      </c>
      <c r="HL1365" s="97">
        <f t="shared" si="3145"/>
        <v>0</v>
      </c>
      <c r="HM1365" s="97">
        <f t="shared" si="3145"/>
        <v>0</v>
      </c>
      <c r="HN1365" s="102"/>
      <c r="HO1365" s="102"/>
      <c r="HP1365" s="102"/>
      <c r="HQ1365" s="97">
        <f t="shared" si="3146"/>
        <v>0</v>
      </c>
      <c r="HR1365" s="97">
        <f t="shared" si="3147"/>
        <v>0</v>
      </c>
      <c r="HS1365" s="97">
        <f t="shared" si="3148"/>
        <v>0</v>
      </c>
      <c r="HT1365" s="97">
        <f t="shared" si="3149"/>
        <v>0</v>
      </c>
      <c r="HU1365" s="97">
        <f t="shared" si="3150"/>
        <v>0</v>
      </c>
      <c r="HV1365" s="97">
        <f t="shared" si="3151"/>
        <v>0</v>
      </c>
      <c r="HW1365" s="268">
        <f>$F1365*HW$1370</f>
        <v>0</v>
      </c>
      <c r="HX1365" s="268">
        <f>$G1365*HX$1370</f>
        <v>0</v>
      </c>
      <c r="HY1365" s="268">
        <f>$H1365*HY$1370</f>
        <v>0</v>
      </c>
      <c r="HZ1365" s="268">
        <f>$I1365*HZ$1370</f>
        <v>0</v>
      </c>
      <c r="IA1365" s="268">
        <f>$J1365*IA$1370</f>
        <v>0</v>
      </c>
      <c r="IB1365" s="268">
        <f>$K1365*IB$1370</f>
        <v>0</v>
      </c>
      <c r="IC1365" s="97">
        <f t="shared" si="3152"/>
        <v>0</v>
      </c>
      <c r="ID1365" s="97">
        <f t="shared" si="3152"/>
        <v>0</v>
      </c>
      <c r="IE1365" s="97">
        <f t="shared" si="3152"/>
        <v>0</v>
      </c>
      <c r="IF1365" s="97">
        <f t="shared" si="3153"/>
        <v>0</v>
      </c>
      <c r="IG1365" s="97">
        <f t="shared" si="3153"/>
        <v>0</v>
      </c>
      <c r="IH1365" s="97">
        <f t="shared" si="3153"/>
        <v>0</v>
      </c>
      <c r="II1365" s="102">
        <v>2074</v>
      </c>
      <c r="IJ1365" s="102">
        <v>2074</v>
      </c>
      <c r="IK1365" s="102">
        <v>2074</v>
      </c>
      <c r="IL1365" s="97">
        <f t="shared" si="3154"/>
        <v>82192.62</v>
      </c>
      <c r="IM1365" s="97">
        <f t="shared" si="3155"/>
        <v>86734.68</v>
      </c>
      <c r="IN1365" s="97">
        <f t="shared" si="3156"/>
        <v>90198.26</v>
      </c>
      <c r="IO1365" s="97">
        <f t="shared" si="3157"/>
        <v>0</v>
      </c>
      <c r="IP1365" s="97">
        <f t="shared" si="3158"/>
        <v>0</v>
      </c>
      <c r="IQ1365" s="97">
        <f t="shared" si="3159"/>
        <v>0</v>
      </c>
      <c r="IR1365" s="268">
        <f>$F1365*IR$1370</f>
        <v>39.999999998299998</v>
      </c>
      <c r="IS1365" s="268">
        <f>$G1365*IS$1370</f>
        <v>42.025316456799999</v>
      </c>
      <c r="IT1365" s="268">
        <f>$H1365*IT$1370</f>
        <v>43.037974681800002</v>
      </c>
      <c r="IU1365" s="268">
        <f>$I1365*IU$1370</f>
        <v>0</v>
      </c>
      <c r="IV1365" s="268">
        <f>$J1365*IV$1370</f>
        <v>0</v>
      </c>
      <c r="IW1365" s="268">
        <f>$K1365*IW$1370</f>
        <v>0</v>
      </c>
      <c r="IX1365" s="97">
        <f t="shared" si="3160"/>
        <v>82960</v>
      </c>
      <c r="IY1365" s="97">
        <f t="shared" si="3160"/>
        <v>87160.51</v>
      </c>
      <c r="IZ1365" s="97">
        <f t="shared" si="3160"/>
        <v>89260.76</v>
      </c>
      <c r="JA1365" s="97">
        <f t="shared" si="3161"/>
        <v>0</v>
      </c>
      <c r="JB1365" s="97">
        <f t="shared" si="3161"/>
        <v>0</v>
      </c>
      <c r="JC1365" s="97">
        <f t="shared" si="3161"/>
        <v>0</v>
      </c>
      <c r="JD1365" s="102"/>
      <c r="JE1365" s="102"/>
      <c r="JF1365" s="102"/>
      <c r="JG1365" s="97">
        <f t="shared" si="3162"/>
        <v>0</v>
      </c>
      <c r="JH1365" s="97">
        <f t="shared" si="3163"/>
        <v>0</v>
      </c>
      <c r="JI1365" s="97">
        <f t="shared" si="3164"/>
        <v>0</v>
      </c>
      <c r="JJ1365" s="97">
        <f t="shared" si="3165"/>
        <v>0</v>
      </c>
      <c r="JK1365" s="97">
        <f t="shared" si="3166"/>
        <v>0</v>
      </c>
      <c r="JL1365" s="97">
        <f t="shared" si="3167"/>
        <v>0</v>
      </c>
      <c r="JM1365" s="268">
        <f>$F1365*JM$1370</f>
        <v>0</v>
      </c>
      <c r="JN1365" s="268">
        <f>$G1365*JN$1370</f>
        <v>0</v>
      </c>
      <c r="JO1365" s="268">
        <f>$H1365*JO$1370</f>
        <v>0</v>
      </c>
      <c r="JP1365" s="268">
        <f>$I1365*JP$1370</f>
        <v>0</v>
      </c>
      <c r="JQ1365" s="268">
        <f>$J1365*JQ$1370</f>
        <v>0</v>
      </c>
      <c r="JR1365" s="268">
        <f>$K1365*JR$1370</f>
        <v>0</v>
      </c>
      <c r="JS1365" s="97">
        <f t="shared" si="3168"/>
        <v>0</v>
      </c>
      <c r="JT1365" s="97">
        <f t="shared" si="3168"/>
        <v>0</v>
      </c>
      <c r="JU1365" s="97">
        <f t="shared" si="3168"/>
        <v>0</v>
      </c>
      <c r="JV1365" s="97">
        <f t="shared" si="3169"/>
        <v>0</v>
      </c>
      <c r="JW1365" s="97">
        <f t="shared" si="3169"/>
        <v>0</v>
      </c>
      <c r="JX1365" s="97">
        <f t="shared" si="3169"/>
        <v>0</v>
      </c>
      <c r="JY1365" s="102">
        <v>1382</v>
      </c>
      <c r="JZ1365" s="102">
        <v>1382</v>
      </c>
      <c r="KA1365" s="102">
        <v>1382</v>
      </c>
      <c r="KB1365" s="97">
        <f t="shared" si="3170"/>
        <v>54768.66</v>
      </c>
      <c r="KC1365" s="97">
        <f t="shared" si="3171"/>
        <v>57795.24</v>
      </c>
      <c r="KD1365" s="97">
        <f t="shared" si="3172"/>
        <v>60103.18</v>
      </c>
      <c r="KE1365" s="97">
        <f t="shared" si="3173"/>
        <v>0</v>
      </c>
      <c r="KF1365" s="97">
        <f t="shared" si="3174"/>
        <v>0</v>
      </c>
      <c r="KG1365" s="97">
        <f t="shared" si="3175"/>
        <v>0</v>
      </c>
      <c r="KH1365" s="268">
        <f>$F1365*KH$1370</f>
        <v>39.881656725900001</v>
      </c>
      <c r="KI1365" s="268">
        <f>$G1365*KI$1370</f>
        <v>42.017089668200001</v>
      </c>
      <c r="KJ1365" s="268">
        <f>$H1365*KJ$1370</f>
        <v>43.079265675099997</v>
      </c>
      <c r="KK1365" s="268">
        <f>$I1365*KK$1370</f>
        <v>0</v>
      </c>
      <c r="KL1365" s="268">
        <f>$J1365*KL$1370</f>
        <v>0</v>
      </c>
      <c r="KM1365" s="268">
        <f>$K1365*KM$1370</f>
        <v>0</v>
      </c>
      <c r="KN1365" s="97">
        <f t="shared" si="3176"/>
        <v>55116.45</v>
      </c>
      <c r="KO1365" s="97">
        <f t="shared" si="3176"/>
        <v>58067.62</v>
      </c>
      <c r="KP1365" s="97">
        <f t="shared" si="3176"/>
        <v>59535.55</v>
      </c>
      <c r="KQ1365" s="97">
        <f t="shared" si="3177"/>
        <v>0</v>
      </c>
      <c r="KR1365" s="97">
        <f t="shared" si="3177"/>
        <v>0</v>
      </c>
      <c r="KS1365" s="97">
        <f t="shared" si="3177"/>
        <v>0</v>
      </c>
      <c r="KT1365" s="102"/>
      <c r="KU1365" s="102"/>
      <c r="KV1365" s="102"/>
      <c r="KW1365" s="97">
        <f t="shared" si="3178"/>
        <v>0</v>
      </c>
      <c r="KX1365" s="97">
        <f t="shared" si="3179"/>
        <v>0</v>
      </c>
      <c r="KY1365" s="97">
        <f t="shared" si="3180"/>
        <v>0</v>
      </c>
      <c r="KZ1365" s="97">
        <f t="shared" si="3181"/>
        <v>0</v>
      </c>
      <c r="LA1365" s="97">
        <f t="shared" si="3182"/>
        <v>0</v>
      </c>
      <c r="LB1365" s="97">
        <f t="shared" si="3183"/>
        <v>0</v>
      </c>
      <c r="LC1365" s="268">
        <f>$F1365*LC$1370</f>
        <v>0</v>
      </c>
      <c r="LD1365" s="268">
        <f>$G1365*LD$1370</f>
        <v>0</v>
      </c>
      <c r="LE1365" s="268">
        <f>$H1365*LE$1370</f>
        <v>0</v>
      </c>
      <c r="LF1365" s="268">
        <f>$I1365*LF$1370</f>
        <v>0</v>
      </c>
      <c r="LG1365" s="268">
        <f>$J1365*LG$1370</f>
        <v>0</v>
      </c>
      <c r="LH1365" s="268">
        <f>$K1365*LH$1370</f>
        <v>0</v>
      </c>
      <c r="LI1365" s="97">
        <f t="shared" si="3184"/>
        <v>0</v>
      </c>
      <c r="LJ1365" s="97">
        <f t="shared" si="3184"/>
        <v>0</v>
      </c>
      <c r="LK1365" s="97">
        <f t="shared" si="3184"/>
        <v>0</v>
      </c>
      <c r="LL1365" s="97">
        <f t="shared" si="3185"/>
        <v>0</v>
      </c>
      <c r="LM1365" s="97">
        <f t="shared" si="3185"/>
        <v>0</v>
      </c>
      <c r="LN1365" s="97">
        <f t="shared" si="3185"/>
        <v>0</v>
      </c>
      <c r="LO1365" s="102">
        <v>3024</v>
      </c>
      <c r="LP1365" s="102">
        <v>3024</v>
      </c>
      <c r="LQ1365" s="102">
        <v>3024</v>
      </c>
      <c r="LR1365" s="97">
        <f t="shared" si="3186"/>
        <v>119841.12</v>
      </c>
      <c r="LS1365" s="97">
        <f t="shared" si="3187"/>
        <v>126463.67999999999</v>
      </c>
      <c r="LT1365" s="97">
        <f t="shared" si="3188"/>
        <v>131513.76</v>
      </c>
      <c r="LU1365" s="97">
        <f t="shared" si="3189"/>
        <v>0</v>
      </c>
      <c r="LV1365" s="97">
        <f t="shared" si="3190"/>
        <v>0</v>
      </c>
      <c r="LW1365" s="97">
        <f t="shared" si="3191"/>
        <v>0</v>
      </c>
      <c r="LX1365" s="268">
        <f>$F1365*LX$1370</f>
        <v>39.919933951899999</v>
      </c>
      <c r="LY1365" s="268">
        <f>$G1365*LY$1370</f>
        <v>41.999912914500001</v>
      </c>
      <c r="LZ1365" s="268">
        <f>$H1365*LZ$1370</f>
        <v>43.049689626599999</v>
      </c>
      <c r="MA1365" s="268">
        <f>$I1365*MA$1370</f>
        <v>0</v>
      </c>
      <c r="MB1365" s="268">
        <f>$J1365*MB$1370</f>
        <v>0</v>
      </c>
      <c r="MC1365" s="268">
        <f>$K1365*MC$1370</f>
        <v>0</v>
      </c>
      <c r="MD1365" s="97">
        <f t="shared" si="3192"/>
        <v>120717.88</v>
      </c>
      <c r="ME1365" s="97">
        <f t="shared" si="3192"/>
        <v>127007.74</v>
      </c>
      <c r="MF1365" s="97">
        <f t="shared" si="3192"/>
        <v>130182.26</v>
      </c>
      <c r="MG1365" s="97">
        <f t="shared" si="3193"/>
        <v>0</v>
      </c>
      <c r="MH1365" s="97">
        <f t="shared" si="3193"/>
        <v>0</v>
      </c>
      <c r="MI1365" s="97">
        <f t="shared" si="3193"/>
        <v>0</v>
      </c>
      <c r="MJ1365" s="102">
        <v>1728</v>
      </c>
      <c r="MK1365" s="102">
        <v>1728</v>
      </c>
      <c r="ML1365" s="102">
        <v>1728</v>
      </c>
      <c r="MM1365" s="97">
        <f t="shared" si="3194"/>
        <v>68480.639999999999</v>
      </c>
      <c r="MN1365" s="97">
        <f t="shared" si="3195"/>
        <v>72264.960000000006</v>
      </c>
      <c r="MO1365" s="97">
        <f t="shared" si="3196"/>
        <v>75150.720000000001</v>
      </c>
      <c r="MP1365" s="97">
        <f t="shared" si="3197"/>
        <v>0</v>
      </c>
      <c r="MQ1365" s="97">
        <f t="shared" si="3198"/>
        <v>0</v>
      </c>
      <c r="MR1365" s="97">
        <f t="shared" si="3199"/>
        <v>0</v>
      </c>
      <c r="MS1365" s="268">
        <f>$F1365*MS$1370</f>
        <v>39.895330958300001</v>
      </c>
      <c r="MT1365" s="268">
        <f>$G1365*MT$1370</f>
        <v>42.0122145602</v>
      </c>
      <c r="MU1365" s="268">
        <f>$H1365*MU$1370</f>
        <v>43.046757261099998</v>
      </c>
      <c r="MV1365" s="268">
        <f>$I1365*MV$1370</f>
        <v>0</v>
      </c>
      <c r="MW1365" s="268">
        <f>$J1365*MW$1370</f>
        <v>0</v>
      </c>
      <c r="MX1365" s="268">
        <f>$K1365*MX$1370</f>
        <v>0</v>
      </c>
      <c r="MY1365" s="97">
        <f t="shared" si="3200"/>
        <v>68939.13</v>
      </c>
      <c r="MZ1365" s="97">
        <f t="shared" si="3200"/>
        <v>72597.11</v>
      </c>
      <c r="NA1365" s="97">
        <f t="shared" si="3200"/>
        <v>74384.800000000003</v>
      </c>
      <c r="NB1365" s="97">
        <f t="shared" si="3201"/>
        <v>0</v>
      </c>
      <c r="NC1365" s="97">
        <f t="shared" si="3201"/>
        <v>0</v>
      </c>
      <c r="ND1365" s="97">
        <f t="shared" si="3201"/>
        <v>0</v>
      </c>
      <c r="NE1365" s="102">
        <v>691</v>
      </c>
      <c r="NF1365" s="102">
        <v>691</v>
      </c>
      <c r="NG1365" s="102">
        <v>691</v>
      </c>
      <c r="NH1365" s="97">
        <f t="shared" si="3202"/>
        <v>27384.33</v>
      </c>
      <c r="NI1365" s="97">
        <f t="shared" si="3203"/>
        <v>28897.62</v>
      </c>
      <c r="NJ1365" s="97">
        <f t="shared" si="3204"/>
        <v>30051.59</v>
      </c>
      <c r="NK1365" s="97">
        <f t="shared" si="3205"/>
        <v>0</v>
      </c>
      <c r="NL1365" s="97">
        <f t="shared" si="3206"/>
        <v>0</v>
      </c>
      <c r="NM1365" s="97">
        <f t="shared" si="3207"/>
        <v>0</v>
      </c>
      <c r="NN1365" s="268">
        <f>$F1365*NN$1370</f>
        <v>39.763328699100001</v>
      </c>
      <c r="NO1365" s="268">
        <f>$G1365*NO$1370</f>
        <v>42.008133948699999</v>
      </c>
      <c r="NP1365" s="268">
        <f>$H1365*NP$1370</f>
        <v>43.119424549900003</v>
      </c>
      <c r="NQ1365" s="268">
        <f>$I1365*NQ$1370</f>
        <v>0</v>
      </c>
      <c r="NR1365" s="268">
        <f>$J1365*NR$1370</f>
        <v>0</v>
      </c>
      <c r="NS1365" s="268">
        <f>$K1365*NS$1370</f>
        <v>0</v>
      </c>
      <c r="NT1365" s="97">
        <f t="shared" si="3208"/>
        <v>27476.46</v>
      </c>
      <c r="NU1365" s="97">
        <f t="shared" si="3208"/>
        <v>29027.62</v>
      </c>
      <c r="NV1365" s="97">
        <f t="shared" si="3208"/>
        <v>29795.52</v>
      </c>
      <c r="NW1365" s="97">
        <f t="shared" si="3209"/>
        <v>0</v>
      </c>
      <c r="NX1365" s="97">
        <f t="shared" si="3209"/>
        <v>0</v>
      </c>
      <c r="NY1365" s="97">
        <f t="shared" si="3209"/>
        <v>0</v>
      </c>
      <c r="NZ1365" s="102">
        <v>2160</v>
      </c>
      <c r="OA1365" s="102">
        <v>2160</v>
      </c>
      <c r="OB1365" s="102">
        <v>2160</v>
      </c>
      <c r="OC1365" s="97">
        <f t="shared" si="3210"/>
        <v>85600.8</v>
      </c>
      <c r="OD1365" s="97">
        <f t="shared" si="3211"/>
        <v>90331.199999999997</v>
      </c>
      <c r="OE1365" s="97">
        <f t="shared" si="3212"/>
        <v>93938.4</v>
      </c>
      <c r="OF1365" s="97">
        <f t="shared" si="3213"/>
        <v>0</v>
      </c>
      <c r="OG1365" s="97">
        <f t="shared" si="3214"/>
        <v>0</v>
      </c>
      <c r="OH1365" s="97">
        <f t="shared" si="3215"/>
        <v>0</v>
      </c>
      <c r="OI1365" s="268">
        <f>$F1365*OI$1370</f>
        <v>40.007716050500001</v>
      </c>
      <c r="OJ1365" s="268">
        <f>$G1365*OJ$1370</f>
        <v>41.994598763500001</v>
      </c>
      <c r="OK1365" s="268">
        <f>$H1365*OK$1370</f>
        <v>43.016975309099998</v>
      </c>
      <c r="OL1365" s="268">
        <f>$I1365*OL$1370</f>
        <v>0</v>
      </c>
      <c r="OM1365" s="268">
        <f>$J1365*OM$1370</f>
        <v>0</v>
      </c>
      <c r="ON1365" s="268">
        <f>$K1365*ON$1370</f>
        <v>0</v>
      </c>
      <c r="OO1365" s="97">
        <f t="shared" si="3216"/>
        <v>86416.67</v>
      </c>
      <c r="OP1365" s="97">
        <f t="shared" si="3216"/>
        <v>90708.33</v>
      </c>
      <c r="OQ1365" s="97">
        <f t="shared" si="3216"/>
        <v>92916.67</v>
      </c>
      <c r="OR1365" s="97">
        <f t="shared" si="3217"/>
        <v>0</v>
      </c>
      <c r="OS1365" s="97">
        <f t="shared" si="3217"/>
        <v>0</v>
      </c>
      <c r="OT1365" s="97">
        <f t="shared" si="3217"/>
        <v>0</v>
      </c>
      <c r="OU1365" s="102">
        <v>1037</v>
      </c>
      <c r="OV1365" s="102">
        <v>1037</v>
      </c>
      <c r="OW1365" s="102">
        <v>1037</v>
      </c>
      <c r="OX1365" s="97">
        <f t="shared" si="3218"/>
        <v>41096.31</v>
      </c>
      <c r="OY1365" s="97">
        <f t="shared" si="3219"/>
        <v>43367.34</v>
      </c>
      <c r="OZ1365" s="97">
        <f t="shared" si="3220"/>
        <v>45099.13</v>
      </c>
      <c r="PA1365" s="97">
        <f t="shared" si="3221"/>
        <v>0</v>
      </c>
      <c r="PB1365" s="97">
        <f t="shared" si="3222"/>
        <v>0</v>
      </c>
      <c r="PC1365" s="97">
        <f t="shared" si="3223"/>
        <v>0</v>
      </c>
      <c r="PD1365" s="268">
        <f>$F1365*PD$1370</f>
        <v>40.000655280399997</v>
      </c>
      <c r="PE1365" s="268">
        <f>$G1365*PE$1370</f>
        <v>42.038426148600003</v>
      </c>
      <c r="PF1365" s="268">
        <f>$H1365*PF$1370</f>
        <v>43.055336803099998</v>
      </c>
      <c r="PG1365" s="268">
        <f>$I1365*PG$1370</f>
        <v>0</v>
      </c>
      <c r="PH1365" s="268">
        <f>$J1365*PH$1370</f>
        <v>0</v>
      </c>
      <c r="PI1365" s="268">
        <f>$K1365*PI$1370</f>
        <v>0</v>
      </c>
      <c r="PJ1365" s="97">
        <f t="shared" si="3224"/>
        <v>41480.68</v>
      </c>
      <c r="PK1365" s="97">
        <f t="shared" si="3224"/>
        <v>43593.85</v>
      </c>
      <c r="PL1365" s="97">
        <f t="shared" si="3224"/>
        <v>44648.38</v>
      </c>
      <c r="PM1365" s="97">
        <f t="shared" si="3225"/>
        <v>0</v>
      </c>
      <c r="PN1365" s="97">
        <f t="shared" si="3225"/>
        <v>0</v>
      </c>
      <c r="PO1365" s="97">
        <f t="shared" si="3225"/>
        <v>0</v>
      </c>
      <c r="PP1365" s="102">
        <v>2074</v>
      </c>
      <c r="PQ1365" s="102">
        <v>2074</v>
      </c>
      <c r="PR1365" s="102">
        <v>2074</v>
      </c>
      <c r="PS1365" s="97">
        <f t="shared" si="3226"/>
        <v>82192.62</v>
      </c>
      <c r="PT1365" s="97">
        <f t="shared" si="3227"/>
        <v>86734.68</v>
      </c>
      <c r="PU1365" s="97">
        <f t="shared" si="3228"/>
        <v>90198.26</v>
      </c>
      <c r="PV1365" s="97">
        <f t="shared" si="3229"/>
        <v>0</v>
      </c>
      <c r="PW1365" s="97">
        <f t="shared" si="3230"/>
        <v>0</v>
      </c>
      <c r="PX1365" s="97">
        <f t="shared" si="3231"/>
        <v>0</v>
      </c>
      <c r="PY1365" s="268">
        <f>$F1365*PY$1370</f>
        <v>39.851564779199997</v>
      </c>
      <c r="PZ1365" s="268">
        <f>$G1365*PZ$1370</f>
        <v>42.022097353900001</v>
      </c>
      <c r="QA1365" s="268">
        <f>$H1365*QA$1370</f>
        <v>43.0600987754</v>
      </c>
      <c r="QB1365" s="268">
        <f>$I1365*QB$1370</f>
        <v>0</v>
      </c>
      <c r="QC1365" s="268">
        <f>$J1365*QC$1370</f>
        <v>0</v>
      </c>
      <c r="QD1365" s="268">
        <f>$K1365*QD$1370</f>
        <v>0</v>
      </c>
      <c r="QE1365" s="97">
        <f t="shared" si="3232"/>
        <v>82652.149999999994</v>
      </c>
      <c r="QF1365" s="97">
        <f t="shared" si="3232"/>
        <v>87153.83</v>
      </c>
      <c r="QG1365" s="97">
        <f t="shared" si="3232"/>
        <v>89306.64</v>
      </c>
      <c r="QH1365" s="97">
        <f t="shared" si="3233"/>
        <v>0</v>
      </c>
      <c r="QI1365" s="97">
        <f t="shared" si="3233"/>
        <v>0</v>
      </c>
      <c r="QJ1365" s="97">
        <f t="shared" si="3233"/>
        <v>0</v>
      </c>
      <c r="QK1365" s="102"/>
      <c r="QL1365" s="102"/>
      <c r="QM1365" s="102"/>
      <c r="QN1365" s="97">
        <f t="shared" si="3234"/>
        <v>0</v>
      </c>
      <c r="QO1365" s="97">
        <f t="shared" si="3235"/>
        <v>0</v>
      </c>
      <c r="QP1365" s="97">
        <f t="shared" si="3236"/>
        <v>0</v>
      </c>
      <c r="QQ1365" s="97">
        <f t="shared" si="3237"/>
        <v>0</v>
      </c>
      <c r="QR1365" s="97">
        <f t="shared" si="3238"/>
        <v>0</v>
      </c>
      <c r="QS1365" s="97">
        <f t="shared" si="3239"/>
        <v>0</v>
      </c>
      <c r="QT1365" s="268">
        <f>$F1365*QT$1370</f>
        <v>0</v>
      </c>
      <c r="QU1365" s="268">
        <f>$G1365*QU$1370</f>
        <v>0</v>
      </c>
      <c r="QV1365" s="268">
        <f>$H1365*QV$1370</f>
        <v>0</v>
      </c>
      <c r="QW1365" s="268">
        <f>$I1365*QW$1370</f>
        <v>0</v>
      </c>
      <c r="QX1365" s="268">
        <f>$J1365*QX$1370</f>
        <v>0</v>
      </c>
      <c r="QY1365" s="268">
        <f>$K1365*QY$1370</f>
        <v>0</v>
      </c>
      <c r="QZ1365" s="97">
        <f t="shared" si="3240"/>
        <v>0</v>
      </c>
      <c r="RA1365" s="97">
        <f t="shared" si="3240"/>
        <v>0</v>
      </c>
      <c r="RB1365" s="97">
        <f t="shared" si="3240"/>
        <v>0</v>
      </c>
      <c r="RC1365" s="97">
        <f t="shared" si="3241"/>
        <v>0</v>
      </c>
      <c r="RD1365" s="97">
        <f t="shared" si="3241"/>
        <v>0</v>
      </c>
      <c r="RE1365" s="97">
        <f t="shared" si="3241"/>
        <v>0</v>
      </c>
      <c r="RF1365" s="102">
        <v>2765</v>
      </c>
      <c r="RG1365" s="102">
        <v>2765</v>
      </c>
      <c r="RH1365" s="102">
        <v>2765</v>
      </c>
      <c r="RI1365" s="97">
        <f t="shared" si="3242"/>
        <v>109576.95</v>
      </c>
      <c r="RJ1365" s="97">
        <f t="shared" si="3243"/>
        <v>115632.3</v>
      </c>
      <c r="RK1365" s="97">
        <f t="shared" si="3244"/>
        <v>120249.85</v>
      </c>
      <c r="RL1365" s="97">
        <f t="shared" si="3245"/>
        <v>0</v>
      </c>
      <c r="RM1365" s="97">
        <f t="shared" si="3246"/>
        <v>0</v>
      </c>
      <c r="RN1365" s="97">
        <f t="shared" si="3247"/>
        <v>0</v>
      </c>
      <c r="RO1365" s="268">
        <f>$F1365*RO$1370</f>
        <v>39.966125970500002</v>
      </c>
      <c r="RP1365" s="268">
        <f>$G1365*RP$1370</f>
        <v>41.9896076343</v>
      </c>
      <c r="RQ1365" s="268">
        <f>$H1365*RQ$1370</f>
        <v>43.017707524099997</v>
      </c>
      <c r="RR1365" s="268">
        <f>$I1365*RR$1370</f>
        <v>0</v>
      </c>
      <c r="RS1365" s="268">
        <f>$J1365*RS$1370</f>
        <v>0</v>
      </c>
      <c r="RT1365" s="268">
        <f>$K1365*RT$1370</f>
        <v>0</v>
      </c>
      <c r="RU1365" s="97">
        <f t="shared" si="3248"/>
        <v>110506.34</v>
      </c>
      <c r="RV1365" s="97">
        <f t="shared" si="3248"/>
        <v>116101.27</v>
      </c>
      <c r="RW1365" s="97">
        <f t="shared" si="3248"/>
        <v>118943.96</v>
      </c>
      <c r="RX1365" s="97">
        <f t="shared" si="3249"/>
        <v>0</v>
      </c>
      <c r="RY1365" s="97">
        <f t="shared" si="3249"/>
        <v>0</v>
      </c>
      <c r="RZ1365" s="97">
        <f t="shared" si="3249"/>
        <v>0</v>
      </c>
      <c r="SA1365" s="102">
        <v>2074</v>
      </c>
      <c r="SB1365" s="102">
        <v>2074</v>
      </c>
      <c r="SC1365" s="102">
        <v>2074</v>
      </c>
      <c r="SD1365" s="97">
        <f t="shared" si="3250"/>
        <v>82192.62</v>
      </c>
      <c r="SE1365" s="97">
        <f t="shared" si="3251"/>
        <v>86734.68</v>
      </c>
      <c r="SF1365" s="97">
        <f t="shared" si="3252"/>
        <v>90198.26</v>
      </c>
      <c r="SG1365" s="97">
        <f t="shared" si="3253"/>
        <v>0</v>
      </c>
      <c r="SH1365" s="97">
        <f t="shared" si="3254"/>
        <v>0</v>
      </c>
      <c r="SI1365" s="97">
        <f t="shared" si="3255"/>
        <v>0</v>
      </c>
      <c r="SJ1365" s="268">
        <f>$F1365*SJ$1370</f>
        <v>39.870117639</v>
      </c>
      <c r="SK1365" s="268">
        <f>$G1365*SK$1370</f>
        <v>42.004934534599997</v>
      </c>
      <c r="SL1365" s="268">
        <f>$H1365*SL$1370</f>
        <v>43.0668057249</v>
      </c>
      <c r="SM1365" s="268">
        <f>$I1365*SM$1370</f>
        <v>0</v>
      </c>
      <c r="SN1365" s="268">
        <f>$J1365*SN$1370</f>
        <v>0</v>
      </c>
      <c r="SO1365" s="268">
        <f>$K1365*SO$1370</f>
        <v>0</v>
      </c>
      <c r="SP1365" s="97">
        <f t="shared" si="3256"/>
        <v>82690.62</v>
      </c>
      <c r="SQ1365" s="97">
        <f t="shared" si="3256"/>
        <v>87118.23</v>
      </c>
      <c r="SR1365" s="97">
        <f t="shared" si="3256"/>
        <v>89320.56</v>
      </c>
      <c r="SS1365" s="97">
        <f t="shared" si="3257"/>
        <v>0</v>
      </c>
      <c r="ST1365" s="97">
        <f t="shared" si="3257"/>
        <v>0</v>
      </c>
      <c r="SU1365" s="97">
        <f t="shared" si="3257"/>
        <v>0</v>
      </c>
      <c r="SV1365" s="102">
        <v>3145</v>
      </c>
      <c r="SW1365" s="102">
        <v>3145</v>
      </c>
      <c r="SX1365" s="102">
        <v>3145</v>
      </c>
      <c r="SY1365" s="97">
        <f t="shared" si="3258"/>
        <v>124636.35</v>
      </c>
      <c r="SZ1365" s="97">
        <f t="shared" si="3259"/>
        <v>131523.9</v>
      </c>
      <c r="TA1365" s="97">
        <f t="shared" si="3260"/>
        <v>136776.04999999999</v>
      </c>
      <c r="TB1365" s="97">
        <f t="shared" si="3261"/>
        <v>0</v>
      </c>
      <c r="TC1365" s="97">
        <f t="shared" si="3262"/>
        <v>0</v>
      </c>
      <c r="TD1365" s="97">
        <f t="shared" si="3263"/>
        <v>0</v>
      </c>
      <c r="TE1365" s="268">
        <f>$F1365*TE$1370</f>
        <v>39.829617086699997</v>
      </c>
      <c r="TF1365" s="268">
        <f>$G1365*TF$1370</f>
        <v>41.987823020199997</v>
      </c>
      <c r="TG1365" s="268">
        <f>$H1365*TG$1370</f>
        <v>43.073534632499999</v>
      </c>
      <c r="TH1365" s="268">
        <f>$I1365*TH$1370</f>
        <v>0</v>
      </c>
      <c r="TI1365" s="268">
        <f>$J1365*TI$1370</f>
        <v>0</v>
      </c>
      <c r="TJ1365" s="268">
        <f>$K1365*TJ$1370</f>
        <v>0</v>
      </c>
      <c r="TK1365" s="97">
        <f t="shared" si="3264"/>
        <v>125264.15</v>
      </c>
      <c r="TL1365" s="97">
        <f t="shared" si="3264"/>
        <v>132051.70000000001</v>
      </c>
      <c r="TM1365" s="97">
        <f t="shared" si="3264"/>
        <v>135466.26999999999</v>
      </c>
      <c r="TN1365" s="97">
        <f t="shared" si="3265"/>
        <v>0</v>
      </c>
      <c r="TO1365" s="97">
        <f t="shared" si="3265"/>
        <v>0</v>
      </c>
      <c r="TP1365" s="97">
        <f t="shared" si="3265"/>
        <v>0</v>
      </c>
      <c r="TQ1365" s="102">
        <v>864</v>
      </c>
      <c r="TR1365" s="102">
        <v>864</v>
      </c>
      <c r="TS1365" s="102">
        <v>864</v>
      </c>
      <c r="TT1365" s="97">
        <f t="shared" si="3266"/>
        <v>34240.32</v>
      </c>
      <c r="TU1365" s="97">
        <f t="shared" si="3267"/>
        <v>36132.480000000003</v>
      </c>
      <c r="TV1365" s="97">
        <f t="shared" si="3268"/>
        <v>37575.360000000001</v>
      </c>
      <c r="TW1365" s="97">
        <f t="shared" si="3269"/>
        <v>0</v>
      </c>
      <c r="TX1365" s="97">
        <f t="shared" si="3270"/>
        <v>0</v>
      </c>
      <c r="TY1365" s="97">
        <f t="shared" si="3271"/>
        <v>0</v>
      </c>
      <c r="TZ1365" s="268">
        <f>$F1365*TZ$1370</f>
        <v>39.877716437799997</v>
      </c>
      <c r="UA1365" s="268">
        <f>$G1365*UA$1370</f>
        <v>42.011377449299999</v>
      </c>
      <c r="UB1365" s="268">
        <f>$H1365*UB$1370</f>
        <v>43.1002120944</v>
      </c>
      <c r="UC1365" s="268">
        <f>$I1365*UC$1370</f>
        <v>0</v>
      </c>
      <c r="UD1365" s="268">
        <f>$J1365*UD$1370</f>
        <v>0</v>
      </c>
      <c r="UE1365" s="268">
        <f>$K1365*UE$1370</f>
        <v>0</v>
      </c>
      <c r="UF1365" s="97">
        <f t="shared" si="3272"/>
        <v>34454.35</v>
      </c>
      <c r="UG1365" s="97">
        <f t="shared" si="3272"/>
        <v>36297.83</v>
      </c>
      <c r="UH1365" s="97">
        <f t="shared" si="3272"/>
        <v>37238.58</v>
      </c>
      <c r="UI1365" s="97">
        <f t="shared" si="3273"/>
        <v>0</v>
      </c>
      <c r="UJ1365" s="97">
        <f t="shared" si="3273"/>
        <v>0</v>
      </c>
      <c r="UK1365" s="97">
        <f t="shared" si="3273"/>
        <v>0</v>
      </c>
      <c r="UL1365" s="102"/>
      <c r="UM1365" s="102"/>
      <c r="UN1365" s="102"/>
      <c r="UO1365" s="97">
        <f t="shared" si="3274"/>
        <v>0</v>
      </c>
      <c r="UP1365" s="97">
        <f t="shared" si="3275"/>
        <v>0</v>
      </c>
      <c r="UQ1365" s="97">
        <f t="shared" si="3276"/>
        <v>0</v>
      </c>
      <c r="UR1365" s="97">
        <f t="shared" si="3277"/>
        <v>0</v>
      </c>
      <c r="US1365" s="97">
        <f t="shared" si="3278"/>
        <v>0</v>
      </c>
      <c r="UT1365" s="97">
        <f t="shared" si="3279"/>
        <v>0</v>
      </c>
      <c r="UU1365" s="268">
        <f>$F1365*UU$1370</f>
        <v>40.046296295399998</v>
      </c>
      <c r="UV1365" s="268">
        <f>$G1365*UV$1370</f>
        <v>42.013888890899999</v>
      </c>
      <c r="UW1365" s="268">
        <f>$H1365*UW$1370</f>
        <v>43.055555553399998</v>
      </c>
      <c r="UX1365" s="268">
        <f>$I1365*UX$1370</f>
        <v>0</v>
      </c>
      <c r="UY1365" s="268">
        <f>$J1365*UY$1370</f>
        <v>0</v>
      </c>
      <c r="UZ1365" s="268">
        <f>$K1365*UZ$1370</f>
        <v>0</v>
      </c>
      <c r="VA1365" s="97">
        <f t="shared" si="3280"/>
        <v>0</v>
      </c>
      <c r="VB1365" s="97">
        <f t="shared" si="3280"/>
        <v>0</v>
      </c>
      <c r="VC1365" s="97">
        <f t="shared" si="3280"/>
        <v>0</v>
      </c>
      <c r="VD1365" s="97">
        <f t="shared" si="3281"/>
        <v>0</v>
      </c>
      <c r="VE1365" s="97">
        <f t="shared" si="3281"/>
        <v>0</v>
      </c>
      <c r="VF1365" s="97">
        <f t="shared" si="3281"/>
        <v>0</v>
      </c>
      <c r="VG1365" s="102">
        <v>1382</v>
      </c>
      <c r="VH1365" s="102">
        <v>1382</v>
      </c>
      <c r="VI1365" s="102">
        <v>1382</v>
      </c>
      <c r="VJ1365" s="97">
        <f t="shared" si="3282"/>
        <v>54768.66</v>
      </c>
      <c r="VK1365" s="97">
        <f t="shared" si="3283"/>
        <v>57795.24</v>
      </c>
      <c r="VL1365" s="97">
        <f t="shared" si="3284"/>
        <v>60103.18</v>
      </c>
      <c r="VM1365" s="97">
        <f t="shared" si="3285"/>
        <v>0</v>
      </c>
      <c r="VN1365" s="97">
        <f t="shared" si="3286"/>
        <v>0</v>
      </c>
      <c r="VO1365" s="97">
        <f t="shared" si="3287"/>
        <v>0</v>
      </c>
      <c r="VP1365" s="268">
        <f>$F1365*VP$1370</f>
        <v>39.830367369800001</v>
      </c>
      <c r="VQ1365" s="268">
        <f>$G1365*VQ$1370</f>
        <v>42.029318304599997</v>
      </c>
      <c r="VR1365" s="268">
        <f>$H1365*VR$1370</f>
        <v>43.0676119556</v>
      </c>
      <c r="VS1365" s="268">
        <f>$I1365*VS$1370</f>
        <v>0</v>
      </c>
      <c r="VT1365" s="268">
        <f>$J1365*VT$1370</f>
        <v>0</v>
      </c>
      <c r="VU1365" s="268">
        <f>$K1365*VU$1370</f>
        <v>0</v>
      </c>
      <c r="VV1365" s="97">
        <f t="shared" si="3288"/>
        <v>55045.57</v>
      </c>
      <c r="VW1365" s="97">
        <f t="shared" si="3288"/>
        <v>58084.52</v>
      </c>
      <c r="VX1365" s="97">
        <f t="shared" si="3288"/>
        <v>59519.44</v>
      </c>
      <c r="VY1365" s="97">
        <f t="shared" si="3289"/>
        <v>0</v>
      </c>
      <c r="VZ1365" s="97">
        <f t="shared" si="3289"/>
        <v>0</v>
      </c>
      <c r="WA1365" s="97">
        <f t="shared" si="3289"/>
        <v>0</v>
      </c>
      <c r="WB1365" s="102"/>
      <c r="WC1365" s="102"/>
      <c r="WD1365" s="102"/>
      <c r="WE1365" s="97">
        <f t="shared" si="3290"/>
        <v>0</v>
      </c>
      <c r="WF1365" s="97">
        <f t="shared" si="3291"/>
        <v>0</v>
      </c>
      <c r="WG1365" s="97">
        <f t="shared" si="3292"/>
        <v>0</v>
      </c>
      <c r="WH1365" s="97">
        <f t="shared" si="3293"/>
        <v>0</v>
      </c>
      <c r="WI1365" s="97">
        <f t="shared" si="3294"/>
        <v>0</v>
      </c>
      <c r="WJ1365" s="97">
        <f t="shared" si="3295"/>
        <v>0</v>
      </c>
      <c r="WK1365" s="268">
        <f>$F1365*WK$1370</f>
        <v>0</v>
      </c>
      <c r="WL1365" s="268">
        <f>$G1365*WL$1370</f>
        <v>0</v>
      </c>
      <c r="WM1365" s="268">
        <f>$H1365*WM$1370</f>
        <v>0</v>
      </c>
      <c r="WN1365" s="268">
        <f>$I1365*WN$1370</f>
        <v>0</v>
      </c>
      <c r="WO1365" s="268">
        <f>$J1365*WO$1370</f>
        <v>0</v>
      </c>
      <c r="WP1365" s="268">
        <f>$K1365*WP$1370</f>
        <v>0</v>
      </c>
      <c r="WQ1365" s="97">
        <f t="shared" si="3296"/>
        <v>0</v>
      </c>
      <c r="WR1365" s="97">
        <f t="shared" si="3296"/>
        <v>0</v>
      </c>
      <c r="WS1365" s="97">
        <f t="shared" si="3296"/>
        <v>0</v>
      </c>
      <c r="WT1365" s="97">
        <f t="shared" si="3297"/>
        <v>0</v>
      </c>
      <c r="WU1365" s="97">
        <f t="shared" si="3297"/>
        <v>0</v>
      </c>
      <c r="WV1365" s="97">
        <f t="shared" si="3297"/>
        <v>0</v>
      </c>
      <c r="WW1365" s="102"/>
      <c r="WX1365" s="102"/>
      <c r="WY1365" s="102"/>
      <c r="WZ1365" s="97">
        <f t="shared" si="3298"/>
        <v>0</v>
      </c>
      <c r="XA1365" s="97">
        <f t="shared" si="3299"/>
        <v>0</v>
      </c>
      <c r="XB1365" s="97">
        <f t="shared" si="3300"/>
        <v>0</v>
      </c>
      <c r="XC1365" s="97">
        <f t="shared" si="3301"/>
        <v>0</v>
      </c>
      <c r="XD1365" s="97">
        <f t="shared" si="3302"/>
        <v>0</v>
      </c>
      <c r="XE1365" s="97">
        <f t="shared" si="3303"/>
        <v>0</v>
      </c>
      <c r="XF1365" s="268">
        <f>$F1365*XF$1370</f>
        <v>0</v>
      </c>
      <c r="XG1365" s="268">
        <f>$G1365*XG$1370</f>
        <v>0</v>
      </c>
      <c r="XH1365" s="268">
        <f>$H1365*XH$1370</f>
        <v>0</v>
      </c>
      <c r="XI1365" s="268">
        <f>$I1365*XI$1370</f>
        <v>0</v>
      </c>
      <c r="XJ1365" s="268">
        <f>$J1365*XJ$1370</f>
        <v>0</v>
      </c>
      <c r="XK1365" s="268">
        <f>$K1365*XK$1370</f>
        <v>0</v>
      </c>
      <c r="XL1365" s="97">
        <f t="shared" si="3304"/>
        <v>0</v>
      </c>
      <c r="XM1365" s="97">
        <f t="shared" si="3304"/>
        <v>0</v>
      </c>
      <c r="XN1365" s="97">
        <f t="shared" si="3304"/>
        <v>0</v>
      </c>
      <c r="XO1365" s="97">
        <f t="shared" si="3305"/>
        <v>0</v>
      </c>
      <c r="XP1365" s="97">
        <f t="shared" si="3305"/>
        <v>0</v>
      </c>
      <c r="XQ1365" s="97">
        <f t="shared" si="3305"/>
        <v>0</v>
      </c>
      <c r="XR1365" s="102"/>
      <c r="XS1365" s="102"/>
      <c r="XT1365" s="102"/>
      <c r="XU1365" s="97">
        <f t="shared" si="3306"/>
        <v>0</v>
      </c>
      <c r="XV1365" s="97">
        <f t="shared" si="3307"/>
        <v>0</v>
      </c>
      <c r="XW1365" s="97">
        <f t="shared" si="3308"/>
        <v>0</v>
      </c>
      <c r="XX1365" s="97">
        <f t="shared" si="3309"/>
        <v>0</v>
      </c>
      <c r="XY1365" s="97">
        <f t="shared" si="3310"/>
        <v>0</v>
      </c>
      <c r="XZ1365" s="97">
        <f t="shared" si="3311"/>
        <v>0</v>
      </c>
      <c r="YA1365" s="268">
        <f>$F1365*YA$1370</f>
        <v>39.999999998299998</v>
      </c>
      <c r="YB1365" s="268">
        <f>$G1365*YB$1370</f>
        <v>41.344880286799999</v>
      </c>
      <c r="YC1365" s="268">
        <f>$H1365*YC$1370</f>
        <v>48.273051453599997</v>
      </c>
      <c r="YD1365" s="268">
        <f>$I1365*YD$1370</f>
        <v>0</v>
      </c>
      <c r="YE1365" s="268">
        <f>$J1365*YE$1370</f>
        <v>0</v>
      </c>
      <c r="YF1365" s="268">
        <f>$K1365*YF$1370</f>
        <v>0</v>
      </c>
      <c r="YG1365" s="97">
        <f t="shared" si="3312"/>
        <v>0</v>
      </c>
      <c r="YH1365" s="97">
        <f t="shared" si="3312"/>
        <v>0</v>
      </c>
      <c r="YI1365" s="97">
        <f t="shared" si="3312"/>
        <v>0</v>
      </c>
      <c r="YJ1365" s="97">
        <f t="shared" si="3313"/>
        <v>0</v>
      </c>
      <c r="YK1365" s="97">
        <f t="shared" si="3313"/>
        <v>0</v>
      </c>
      <c r="YL1365" s="97">
        <f t="shared" si="3313"/>
        <v>0</v>
      </c>
      <c r="YM1365" s="145">
        <f t="shared" si="3314"/>
        <v>33455</v>
      </c>
      <c r="YN1365" s="145">
        <f t="shared" si="3314"/>
        <v>33455</v>
      </c>
      <c r="YO1365" s="145">
        <f t="shared" si="3314"/>
        <v>33455</v>
      </c>
      <c r="YP1365" s="97">
        <f t="shared" si="3315"/>
        <v>1325821.6499999999</v>
      </c>
      <c r="YQ1365" s="97">
        <f t="shared" si="3316"/>
        <v>1399088.1</v>
      </c>
      <c r="YR1365" s="97">
        <f t="shared" si="3317"/>
        <v>1454957.95</v>
      </c>
      <c r="YS1365" s="97">
        <f t="shared" si="3318"/>
        <v>0</v>
      </c>
      <c r="YT1365" s="97">
        <f t="shared" si="3319"/>
        <v>0</v>
      </c>
      <c r="YU1365" s="97">
        <f t="shared" si="3320"/>
        <v>0</v>
      </c>
      <c r="YV1365" s="268">
        <f>$F1365*YV$1370</f>
        <v>39.922438722400003</v>
      </c>
      <c r="YW1365" s="268">
        <f>$G1365*YW$1370</f>
        <v>41.938642118899999</v>
      </c>
      <c r="YX1365" s="268">
        <f>$H1365*YX$1370</f>
        <v>43.601430143199998</v>
      </c>
      <c r="YY1365" s="268">
        <f>$I1365*YY$1370</f>
        <v>0</v>
      </c>
      <c r="YZ1365" s="268">
        <f>$J1365*YZ$1370</f>
        <v>0</v>
      </c>
      <c r="ZA1365" s="268">
        <f>$K1365*ZA$1370</f>
        <v>0</v>
      </c>
      <c r="ZB1365" s="97">
        <f t="shared" si="3321"/>
        <v>1335605.19</v>
      </c>
      <c r="ZC1365" s="97">
        <f t="shared" si="3321"/>
        <v>1403057.27</v>
      </c>
      <c r="ZD1365" s="97">
        <f t="shared" si="3321"/>
        <v>1458685.85</v>
      </c>
      <c r="ZE1365" s="97">
        <f t="shared" si="3322"/>
        <v>0</v>
      </c>
      <c r="ZF1365" s="97">
        <f t="shared" si="3322"/>
        <v>0</v>
      </c>
      <c r="ZG1365" s="97">
        <f t="shared" si="3322"/>
        <v>0</v>
      </c>
      <c r="ZH1365" s="271"/>
    </row>
    <row r="1366" spans="1:684" x14ac:dyDescent="0.25">
      <c r="A1366" s="12" t="s">
        <v>459</v>
      </c>
      <c r="B1366" s="174" t="s">
        <v>652</v>
      </c>
      <c r="C1366" s="5"/>
      <c r="D1366" s="340"/>
      <c r="E1366" s="163"/>
      <c r="F1366" s="110">
        <f t="shared" si="3323"/>
        <v>39.630000000000003</v>
      </c>
      <c r="G1366" s="110">
        <f t="shared" si="3323"/>
        <v>41.82</v>
      </c>
      <c r="H1366" s="110">
        <f t="shared" si="3323"/>
        <v>43.49</v>
      </c>
      <c r="I1366" s="97">
        <f t="shared" si="3324"/>
        <v>0</v>
      </c>
      <c r="J1366" s="97">
        <f t="shared" si="3324"/>
        <v>0</v>
      </c>
      <c r="K1366" s="97">
        <f t="shared" si="3324"/>
        <v>0</v>
      </c>
      <c r="L1366" s="102"/>
      <c r="M1366" s="102"/>
      <c r="N1366" s="102"/>
      <c r="O1366" s="97">
        <f t="shared" si="3066"/>
        <v>0</v>
      </c>
      <c r="P1366" s="97">
        <f t="shared" si="3067"/>
        <v>0</v>
      </c>
      <c r="Q1366" s="97">
        <f t="shared" si="3068"/>
        <v>0</v>
      </c>
      <c r="R1366" s="97">
        <f t="shared" si="3069"/>
        <v>0</v>
      </c>
      <c r="S1366" s="97">
        <f t="shared" si="3070"/>
        <v>0</v>
      </c>
      <c r="T1366" s="97">
        <f t="shared" si="3071"/>
        <v>0</v>
      </c>
      <c r="U1366" s="268">
        <f>$F1366*U$1370</f>
        <v>39.962071028899999</v>
      </c>
      <c r="V1366" s="268">
        <f>$G1366*V$1370</f>
        <v>42.026840954699999</v>
      </c>
      <c r="W1366" s="268">
        <f>$H1366*W$1370</f>
        <v>43.043472200499998</v>
      </c>
      <c r="X1366" s="268">
        <f>$I1366*X$1370</f>
        <v>0</v>
      </c>
      <c r="Y1366" s="268">
        <f>$J1366*Y$1370</f>
        <v>0</v>
      </c>
      <c r="Z1366" s="268">
        <f>$K1366*Z$1370</f>
        <v>0</v>
      </c>
      <c r="AA1366" s="97">
        <f t="shared" si="3072"/>
        <v>0</v>
      </c>
      <c r="AB1366" s="97">
        <f t="shared" si="3072"/>
        <v>0</v>
      </c>
      <c r="AC1366" s="97">
        <f t="shared" si="3072"/>
        <v>0</v>
      </c>
      <c r="AD1366" s="97">
        <f t="shared" si="3073"/>
        <v>0</v>
      </c>
      <c r="AE1366" s="97">
        <f t="shared" si="3073"/>
        <v>0</v>
      </c>
      <c r="AF1366" s="97">
        <f t="shared" si="3073"/>
        <v>0</v>
      </c>
      <c r="AG1366" s="102">
        <v>1296</v>
      </c>
      <c r="AH1366" s="102">
        <v>1296</v>
      </c>
      <c r="AI1366" s="102">
        <v>1296</v>
      </c>
      <c r="AJ1366" s="97">
        <f t="shared" si="3074"/>
        <v>51360.480000000003</v>
      </c>
      <c r="AK1366" s="97">
        <f t="shared" si="3075"/>
        <v>54198.720000000001</v>
      </c>
      <c r="AL1366" s="97">
        <f t="shared" si="3076"/>
        <v>56363.040000000001</v>
      </c>
      <c r="AM1366" s="97">
        <f t="shared" si="3077"/>
        <v>0</v>
      </c>
      <c r="AN1366" s="97">
        <f t="shared" si="3078"/>
        <v>0</v>
      </c>
      <c r="AO1366" s="97">
        <f t="shared" si="3079"/>
        <v>0</v>
      </c>
      <c r="AP1366" s="268">
        <f>$F1366*AP$1370</f>
        <v>39.895330958300001</v>
      </c>
      <c r="AQ1366" s="268">
        <f>$G1366*AQ$1370</f>
        <v>42.0250741308</v>
      </c>
      <c r="AR1366" s="268">
        <f>$H1366*AR$1370</f>
        <v>43.072472167500003</v>
      </c>
      <c r="AS1366" s="268">
        <f>$I1366*AS$1370</f>
        <v>0</v>
      </c>
      <c r="AT1366" s="268">
        <f>$J1366*AT$1370</f>
        <v>0</v>
      </c>
      <c r="AU1366" s="268">
        <f>$K1366*AU$1370</f>
        <v>0</v>
      </c>
      <c r="AV1366" s="97">
        <f t="shared" si="3080"/>
        <v>51704.35</v>
      </c>
      <c r="AW1366" s="97">
        <f t="shared" si="3080"/>
        <v>54464.5</v>
      </c>
      <c r="AX1366" s="97">
        <f t="shared" si="3080"/>
        <v>55821.919999999998</v>
      </c>
      <c r="AY1366" s="97">
        <f t="shared" si="3081"/>
        <v>0</v>
      </c>
      <c r="AZ1366" s="97">
        <f t="shared" si="3081"/>
        <v>0</v>
      </c>
      <c r="BA1366" s="97">
        <f t="shared" si="3081"/>
        <v>0</v>
      </c>
      <c r="BB1366" s="102"/>
      <c r="BC1366" s="102"/>
      <c r="BD1366" s="102"/>
      <c r="BE1366" s="97">
        <f t="shared" si="3082"/>
        <v>0</v>
      </c>
      <c r="BF1366" s="97">
        <f t="shared" si="3083"/>
        <v>0</v>
      </c>
      <c r="BG1366" s="97">
        <f t="shared" si="3084"/>
        <v>0</v>
      </c>
      <c r="BH1366" s="97">
        <f t="shared" si="3085"/>
        <v>0</v>
      </c>
      <c r="BI1366" s="97">
        <f t="shared" si="3086"/>
        <v>0</v>
      </c>
      <c r="BJ1366" s="97">
        <f t="shared" si="3087"/>
        <v>0</v>
      </c>
      <c r="BK1366" s="268">
        <f>$F1366*BK$1370</f>
        <v>39.9699762865</v>
      </c>
      <c r="BL1366" s="268">
        <f>$G1366*BL$1370</f>
        <v>42.013470293600001</v>
      </c>
      <c r="BM1366" s="268">
        <f>$H1366*BM$1370</f>
        <v>43.014777367999997</v>
      </c>
      <c r="BN1366" s="268">
        <f>$I1366*BN$1370</f>
        <v>0</v>
      </c>
      <c r="BO1366" s="268">
        <f>$J1366*BO$1370</f>
        <v>0</v>
      </c>
      <c r="BP1366" s="268">
        <f>$K1366*BP$1370</f>
        <v>0</v>
      </c>
      <c r="BQ1366" s="97">
        <f t="shared" si="3088"/>
        <v>0</v>
      </c>
      <c r="BR1366" s="97">
        <f t="shared" si="3088"/>
        <v>0</v>
      </c>
      <c r="BS1366" s="97">
        <f t="shared" si="3088"/>
        <v>0</v>
      </c>
      <c r="BT1366" s="97">
        <f t="shared" si="3089"/>
        <v>0</v>
      </c>
      <c r="BU1366" s="97">
        <f t="shared" si="3089"/>
        <v>0</v>
      </c>
      <c r="BV1366" s="97">
        <f t="shared" si="3089"/>
        <v>0</v>
      </c>
      <c r="BW1366" s="102"/>
      <c r="BX1366" s="102"/>
      <c r="BY1366" s="102"/>
      <c r="BZ1366" s="97">
        <f t="shared" si="3090"/>
        <v>0</v>
      </c>
      <c r="CA1366" s="97">
        <f t="shared" si="3091"/>
        <v>0</v>
      </c>
      <c r="CB1366" s="97">
        <f t="shared" si="3092"/>
        <v>0</v>
      </c>
      <c r="CC1366" s="97">
        <f t="shared" si="3093"/>
        <v>0</v>
      </c>
      <c r="CD1366" s="97">
        <f t="shared" si="3094"/>
        <v>0</v>
      </c>
      <c r="CE1366" s="97">
        <f t="shared" si="3095"/>
        <v>0</v>
      </c>
      <c r="CF1366" s="268">
        <f>$F1366*CF$1370</f>
        <v>39.8665439046</v>
      </c>
      <c r="CG1366" s="268">
        <f>$G1366*CG$1370</f>
        <v>42.029318304599997</v>
      </c>
      <c r="CH1366" s="268">
        <f>$H1366*CH$1370</f>
        <v>43.103772838099999</v>
      </c>
      <c r="CI1366" s="268">
        <f>$I1366*CI$1370</f>
        <v>0</v>
      </c>
      <c r="CJ1366" s="268">
        <f>$J1366*CJ$1370</f>
        <v>0</v>
      </c>
      <c r="CK1366" s="268">
        <f>$K1366*CK$1370</f>
        <v>0</v>
      </c>
      <c r="CL1366" s="97">
        <f t="shared" si="3096"/>
        <v>0</v>
      </c>
      <c r="CM1366" s="97">
        <f t="shared" si="3096"/>
        <v>0</v>
      </c>
      <c r="CN1366" s="97">
        <f t="shared" si="3096"/>
        <v>0</v>
      </c>
      <c r="CO1366" s="97">
        <f t="shared" si="3097"/>
        <v>0</v>
      </c>
      <c r="CP1366" s="97">
        <f t="shared" si="3097"/>
        <v>0</v>
      </c>
      <c r="CQ1366" s="97">
        <f t="shared" si="3097"/>
        <v>0</v>
      </c>
      <c r="CR1366" s="102">
        <v>1210</v>
      </c>
      <c r="CS1366" s="102">
        <v>1210</v>
      </c>
      <c r="CT1366" s="102">
        <v>1210</v>
      </c>
      <c r="CU1366" s="97">
        <f t="shared" si="3098"/>
        <v>47952.3</v>
      </c>
      <c r="CV1366" s="97">
        <f t="shared" si="3099"/>
        <v>50602.2</v>
      </c>
      <c r="CW1366" s="97">
        <f t="shared" si="3100"/>
        <v>52622.9</v>
      </c>
      <c r="CX1366" s="97">
        <f t="shared" si="3101"/>
        <v>0</v>
      </c>
      <c r="CY1366" s="97">
        <f t="shared" si="3102"/>
        <v>0</v>
      </c>
      <c r="CZ1366" s="97">
        <f t="shared" si="3103"/>
        <v>0</v>
      </c>
      <c r="DA1366" s="268">
        <f>$F1366*DA$1370</f>
        <v>39.942969777099997</v>
      </c>
      <c r="DB1366" s="268">
        <f>$G1366*DB$1370</f>
        <v>41.990962978699997</v>
      </c>
      <c r="DC1366" s="268">
        <f>$H1366*DC$1370</f>
        <v>43.0207826368</v>
      </c>
      <c r="DD1366" s="268">
        <f>$I1366*DD$1370</f>
        <v>0</v>
      </c>
      <c r="DE1366" s="268">
        <f>$J1366*DE$1370</f>
        <v>0</v>
      </c>
      <c r="DF1366" s="268">
        <f>$K1366*DF$1370</f>
        <v>0</v>
      </c>
      <c r="DG1366" s="97">
        <f t="shared" si="3104"/>
        <v>48330.99</v>
      </c>
      <c r="DH1366" s="97">
        <f t="shared" si="3104"/>
        <v>50809.07</v>
      </c>
      <c r="DI1366" s="97">
        <f t="shared" si="3104"/>
        <v>52055.15</v>
      </c>
      <c r="DJ1366" s="97">
        <f t="shared" si="3105"/>
        <v>0</v>
      </c>
      <c r="DK1366" s="97">
        <f t="shared" si="3105"/>
        <v>0</v>
      </c>
      <c r="DL1366" s="97">
        <f t="shared" si="3105"/>
        <v>0</v>
      </c>
      <c r="DM1366" s="102"/>
      <c r="DN1366" s="102"/>
      <c r="DO1366" s="102"/>
      <c r="DP1366" s="97">
        <f t="shared" si="3106"/>
        <v>0</v>
      </c>
      <c r="DQ1366" s="97">
        <f t="shared" si="3107"/>
        <v>0</v>
      </c>
      <c r="DR1366" s="97">
        <f t="shared" si="3108"/>
        <v>0</v>
      </c>
      <c r="DS1366" s="97">
        <f t="shared" si="3109"/>
        <v>0</v>
      </c>
      <c r="DT1366" s="97">
        <f t="shared" si="3110"/>
        <v>0</v>
      </c>
      <c r="DU1366" s="97">
        <f t="shared" si="3111"/>
        <v>0</v>
      </c>
      <c r="DV1366" s="268">
        <f>$F1366*DV$1370</f>
        <v>39.962184453900001</v>
      </c>
      <c r="DW1366" s="268">
        <f>$G1366*DW$1370</f>
        <v>42.017165630000001</v>
      </c>
      <c r="DX1366" s="268">
        <f>$H1366*DX$1370</f>
        <v>43.0423530984</v>
      </c>
      <c r="DY1366" s="268">
        <f>$I1366*DY$1370</f>
        <v>0</v>
      </c>
      <c r="DZ1366" s="268">
        <f>$J1366*DZ$1370</f>
        <v>0</v>
      </c>
      <c r="EA1366" s="268">
        <f>$K1366*EA$1370</f>
        <v>0</v>
      </c>
      <c r="EB1366" s="97">
        <f t="shared" si="3112"/>
        <v>0</v>
      </c>
      <c r="EC1366" s="97">
        <f t="shared" si="3112"/>
        <v>0</v>
      </c>
      <c r="ED1366" s="97">
        <f t="shared" si="3112"/>
        <v>0</v>
      </c>
      <c r="EE1366" s="97">
        <f t="shared" si="3113"/>
        <v>0</v>
      </c>
      <c r="EF1366" s="97">
        <f t="shared" si="3113"/>
        <v>0</v>
      </c>
      <c r="EG1366" s="97">
        <f t="shared" si="3113"/>
        <v>0</v>
      </c>
      <c r="EH1366" s="102"/>
      <c r="EI1366" s="102"/>
      <c r="EJ1366" s="102"/>
      <c r="EK1366" s="97">
        <f t="shared" si="3114"/>
        <v>0</v>
      </c>
      <c r="EL1366" s="97">
        <f t="shared" si="3115"/>
        <v>0</v>
      </c>
      <c r="EM1366" s="97">
        <f t="shared" si="3116"/>
        <v>0</v>
      </c>
      <c r="EN1366" s="97">
        <f t="shared" si="3117"/>
        <v>0</v>
      </c>
      <c r="EO1366" s="97">
        <f t="shared" si="3118"/>
        <v>0</v>
      </c>
      <c r="EP1366" s="97">
        <f t="shared" si="3119"/>
        <v>0</v>
      </c>
      <c r="EQ1366" s="268">
        <f>$F1366*EQ$1370</f>
        <v>0</v>
      </c>
      <c r="ER1366" s="268">
        <f>$G1366*ER$1370</f>
        <v>0</v>
      </c>
      <c r="ES1366" s="268">
        <f>$H1366*ES$1370</f>
        <v>0</v>
      </c>
      <c r="ET1366" s="268">
        <f>$I1366*ET$1370</f>
        <v>0</v>
      </c>
      <c r="EU1366" s="268">
        <f>$J1366*EU$1370</f>
        <v>0</v>
      </c>
      <c r="EV1366" s="268">
        <f>$K1366*EV$1370</f>
        <v>0</v>
      </c>
      <c r="EW1366" s="97">
        <f t="shared" si="3120"/>
        <v>0</v>
      </c>
      <c r="EX1366" s="97">
        <f t="shared" si="3120"/>
        <v>0</v>
      </c>
      <c r="EY1366" s="97">
        <f t="shared" si="3120"/>
        <v>0</v>
      </c>
      <c r="EZ1366" s="97">
        <f t="shared" si="3121"/>
        <v>0</v>
      </c>
      <c r="FA1366" s="97">
        <f t="shared" si="3121"/>
        <v>0</v>
      </c>
      <c r="FB1366" s="97">
        <f t="shared" si="3121"/>
        <v>0</v>
      </c>
      <c r="FC1366" s="102">
        <v>484</v>
      </c>
      <c r="FD1366" s="102">
        <v>484</v>
      </c>
      <c r="FE1366" s="102">
        <v>484</v>
      </c>
      <c r="FF1366" s="97">
        <f t="shared" si="3122"/>
        <v>19180.919999999998</v>
      </c>
      <c r="FG1366" s="97">
        <f t="shared" si="3123"/>
        <v>20240.88</v>
      </c>
      <c r="FH1366" s="97">
        <f t="shared" si="3124"/>
        <v>21049.16</v>
      </c>
      <c r="FI1366" s="97">
        <f t="shared" si="3125"/>
        <v>0</v>
      </c>
      <c r="FJ1366" s="97">
        <f t="shared" si="3126"/>
        <v>0</v>
      </c>
      <c r="FK1366" s="97">
        <f t="shared" si="3127"/>
        <v>0</v>
      </c>
      <c r="FL1366" s="268">
        <f>$F1366*FL$1370</f>
        <v>39.924749583400001</v>
      </c>
      <c r="FM1366" s="268">
        <f>$G1366*FM$1370</f>
        <v>41.988346861700002</v>
      </c>
      <c r="FN1366" s="268">
        <f>$H1366*FN$1370</f>
        <v>43.008761778999997</v>
      </c>
      <c r="FO1366" s="268">
        <f>$I1366*FO$1370</f>
        <v>0</v>
      </c>
      <c r="FP1366" s="268">
        <f>$J1366*FP$1370</f>
        <v>0</v>
      </c>
      <c r="FQ1366" s="268">
        <f>$K1366*FQ$1370</f>
        <v>0</v>
      </c>
      <c r="FR1366" s="97">
        <f t="shared" si="3128"/>
        <v>19323.580000000002</v>
      </c>
      <c r="FS1366" s="97">
        <f t="shared" si="3128"/>
        <v>20322.36</v>
      </c>
      <c r="FT1366" s="97">
        <f t="shared" si="3128"/>
        <v>20816.240000000002</v>
      </c>
      <c r="FU1366" s="97">
        <f t="shared" si="3129"/>
        <v>0</v>
      </c>
      <c r="FV1366" s="97">
        <f t="shared" si="3129"/>
        <v>0</v>
      </c>
      <c r="FW1366" s="97">
        <f t="shared" si="3129"/>
        <v>0</v>
      </c>
      <c r="FX1366" s="102"/>
      <c r="FY1366" s="102"/>
      <c r="FZ1366" s="102"/>
      <c r="GA1366" s="97">
        <f t="shared" si="3130"/>
        <v>0</v>
      </c>
      <c r="GB1366" s="97">
        <f t="shared" si="3131"/>
        <v>0</v>
      </c>
      <c r="GC1366" s="97">
        <f t="shared" si="3132"/>
        <v>0</v>
      </c>
      <c r="GD1366" s="97">
        <f t="shared" si="3133"/>
        <v>0</v>
      </c>
      <c r="GE1366" s="97">
        <f t="shared" si="3134"/>
        <v>0</v>
      </c>
      <c r="GF1366" s="97">
        <f t="shared" si="3135"/>
        <v>0</v>
      </c>
      <c r="GG1366" s="268">
        <f>$F1366*GG$1370</f>
        <v>0</v>
      </c>
      <c r="GH1366" s="268">
        <f>$G1366*GH$1370</f>
        <v>0</v>
      </c>
      <c r="GI1366" s="268">
        <f>$H1366*GI$1370</f>
        <v>0</v>
      </c>
      <c r="GJ1366" s="268">
        <f>$I1366*GJ$1370</f>
        <v>0</v>
      </c>
      <c r="GK1366" s="268">
        <f>$J1366*GK$1370</f>
        <v>0</v>
      </c>
      <c r="GL1366" s="268">
        <f>$K1366*GL$1370</f>
        <v>0</v>
      </c>
      <c r="GM1366" s="97">
        <f t="shared" si="3136"/>
        <v>0</v>
      </c>
      <c r="GN1366" s="97">
        <f t="shared" si="3136"/>
        <v>0</v>
      </c>
      <c r="GO1366" s="97">
        <f t="shared" si="3136"/>
        <v>0</v>
      </c>
      <c r="GP1366" s="97">
        <f t="shared" si="3137"/>
        <v>0</v>
      </c>
      <c r="GQ1366" s="97">
        <f t="shared" si="3137"/>
        <v>0</v>
      </c>
      <c r="GR1366" s="97">
        <f t="shared" si="3137"/>
        <v>0</v>
      </c>
      <c r="GS1366" s="102"/>
      <c r="GT1366" s="102"/>
      <c r="GU1366" s="102"/>
      <c r="GV1366" s="97">
        <f t="shared" si="3138"/>
        <v>0</v>
      </c>
      <c r="GW1366" s="97">
        <f t="shared" si="3139"/>
        <v>0</v>
      </c>
      <c r="GX1366" s="97">
        <f t="shared" si="3140"/>
        <v>0</v>
      </c>
      <c r="GY1366" s="97">
        <f t="shared" si="3141"/>
        <v>0</v>
      </c>
      <c r="GZ1366" s="97">
        <f t="shared" si="3142"/>
        <v>0</v>
      </c>
      <c r="HA1366" s="97">
        <f t="shared" si="3143"/>
        <v>0</v>
      </c>
      <c r="HB1366" s="268">
        <f>$F1366*HB$1370</f>
        <v>39.830367369800001</v>
      </c>
      <c r="HC1366" s="268">
        <f>$G1366*HC$1370</f>
        <v>42.029318304599997</v>
      </c>
      <c r="HD1366" s="268">
        <f>$H1366*HD$1370</f>
        <v>43.0676119556</v>
      </c>
      <c r="HE1366" s="268">
        <f>$I1366*HE$1370</f>
        <v>0</v>
      </c>
      <c r="HF1366" s="268">
        <f>$J1366*HF$1370</f>
        <v>0</v>
      </c>
      <c r="HG1366" s="268">
        <f>$K1366*HG$1370</f>
        <v>0</v>
      </c>
      <c r="HH1366" s="97">
        <f t="shared" si="3144"/>
        <v>0</v>
      </c>
      <c r="HI1366" s="97">
        <f t="shared" si="3144"/>
        <v>0</v>
      </c>
      <c r="HJ1366" s="97">
        <f t="shared" si="3144"/>
        <v>0</v>
      </c>
      <c r="HK1366" s="97">
        <f t="shared" si="3145"/>
        <v>0</v>
      </c>
      <c r="HL1366" s="97">
        <f t="shared" si="3145"/>
        <v>0</v>
      </c>
      <c r="HM1366" s="97">
        <f t="shared" si="3145"/>
        <v>0</v>
      </c>
      <c r="HN1366" s="102"/>
      <c r="HO1366" s="102"/>
      <c r="HP1366" s="102"/>
      <c r="HQ1366" s="97">
        <f t="shared" si="3146"/>
        <v>0</v>
      </c>
      <c r="HR1366" s="97">
        <f t="shared" si="3147"/>
        <v>0</v>
      </c>
      <c r="HS1366" s="97">
        <f t="shared" si="3148"/>
        <v>0</v>
      </c>
      <c r="HT1366" s="97">
        <f t="shared" si="3149"/>
        <v>0</v>
      </c>
      <c r="HU1366" s="97">
        <f t="shared" si="3150"/>
        <v>0</v>
      </c>
      <c r="HV1366" s="97">
        <f t="shared" si="3151"/>
        <v>0</v>
      </c>
      <c r="HW1366" s="268">
        <f>$F1366*HW$1370</f>
        <v>0</v>
      </c>
      <c r="HX1366" s="268">
        <f>$G1366*HX$1370</f>
        <v>0</v>
      </c>
      <c r="HY1366" s="268">
        <f>$H1366*HY$1370</f>
        <v>0</v>
      </c>
      <c r="HZ1366" s="268">
        <f>$I1366*HZ$1370</f>
        <v>0</v>
      </c>
      <c r="IA1366" s="268">
        <f>$J1366*IA$1370</f>
        <v>0</v>
      </c>
      <c r="IB1366" s="268">
        <f>$K1366*IB$1370</f>
        <v>0</v>
      </c>
      <c r="IC1366" s="97">
        <f t="shared" si="3152"/>
        <v>0</v>
      </c>
      <c r="ID1366" s="97">
        <f t="shared" si="3152"/>
        <v>0</v>
      </c>
      <c r="IE1366" s="97">
        <f t="shared" si="3152"/>
        <v>0</v>
      </c>
      <c r="IF1366" s="97">
        <f t="shared" si="3153"/>
        <v>0</v>
      </c>
      <c r="IG1366" s="97">
        <f t="shared" si="3153"/>
        <v>0</v>
      </c>
      <c r="IH1366" s="97">
        <f t="shared" si="3153"/>
        <v>0</v>
      </c>
      <c r="II1366" s="102"/>
      <c r="IJ1366" s="102"/>
      <c r="IK1366" s="102"/>
      <c r="IL1366" s="97">
        <f t="shared" si="3154"/>
        <v>0</v>
      </c>
      <c r="IM1366" s="97">
        <f t="shared" si="3155"/>
        <v>0</v>
      </c>
      <c r="IN1366" s="97">
        <f t="shared" si="3156"/>
        <v>0</v>
      </c>
      <c r="IO1366" s="97">
        <f t="shared" si="3157"/>
        <v>0</v>
      </c>
      <c r="IP1366" s="97">
        <f t="shared" si="3158"/>
        <v>0</v>
      </c>
      <c r="IQ1366" s="97">
        <f t="shared" si="3159"/>
        <v>0</v>
      </c>
      <c r="IR1366" s="268">
        <f>$F1366*IR$1370</f>
        <v>39.999999998299998</v>
      </c>
      <c r="IS1366" s="268">
        <f>$G1366*IS$1370</f>
        <v>42.025316456799999</v>
      </c>
      <c r="IT1366" s="268">
        <f>$H1366*IT$1370</f>
        <v>43.037974681800002</v>
      </c>
      <c r="IU1366" s="268">
        <f>$I1366*IU$1370</f>
        <v>0</v>
      </c>
      <c r="IV1366" s="268">
        <f>$J1366*IV$1370</f>
        <v>0</v>
      </c>
      <c r="IW1366" s="268">
        <f>$K1366*IW$1370</f>
        <v>0</v>
      </c>
      <c r="IX1366" s="97">
        <f t="shared" si="3160"/>
        <v>0</v>
      </c>
      <c r="IY1366" s="97">
        <f t="shared" si="3160"/>
        <v>0</v>
      </c>
      <c r="IZ1366" s="97">
        <f t="shared" si="3160"/>
        <v>0</v>
      </c>
      <c r="JA1366" s="97">
        <f t="shared" si="3161"/>
        <v>0</v>
      </c>
      <c r="JB1366" s="97">
        <f t="shared" si="3161"/>
        <v>0</v>
      </c>
      <c r="JC1366" s="97">
        <f t="shared" si="3161"/>
        <v>0</v>
      </c>
      <c r="JD1366" s="102"/>
      <c r="JE1366" s="102"/>
      <c r="JF1366" s="102"/>
      <c r="JG1366" s="97">
        <f t="shared" si="3162"/>
        <v>0</v>
      </c>
      <c r="JH1366" s="97">
        <f t="shared" si="3163"/>
        <v>0</v>
      </c>
      <c r="JI1366" s="97">
        <f t="shared" si="3164"/>
        <v>0</v>
      </c>
      <c r="JJ1366" s="97">
        <f t="shared" si="3165"/>
        <v>0</v>
      </c>
      <c r="JK1366" s="97">
        <f t="shared" si="3166"/>
        <v>0</v>
      </c>
      <c r="JL1366" s="97">
        <f t="shared" si="3167"/>
        <v>0</v>
      </c>
      <c r="JM1366" s="268">
        <f>$F1366*JM$1370</f>
        <v>0</v>
      </c>
      <c r="JN1366" s="268">
        <f>$G1366*JN$1370</f>
        <v>0</v>
      </c>
      <c r="JO1366" s="268">
        <f>$H1366*JO$1370</f>
        <v>0</v>
      </c>
      <c r="JP1366" s="268">
        <f>$I1366*JP$1370</f>
        <v>0</v>
      </c>
      <c r="JQ1366" s="268">
        <f>$J1366*JQ$1370</f>
        <v>0</v>
      </c>
      <c r="JR1366" s="268">
        <f>$K1366*JR$1370</f>
        <v>0</v>
      </c>
      <c r="JS1366" s="97">
        <f t="shared" si="3168"/>
        <v>0</v>
      </c>
      <c r="JT1366" s="97">
        <f t="shared" si="3168"/>
        <v>0</v>
      </c>
      <c r="JU1366" s="97">
        <f t="shared" si="3168"/>
        <v>0</v>
      </c>
      <c r="JV1366" s="97">
        <f t="shared" si="3169"/>
        <v>0</v>
      </c>
      <c r="JW1366" s="97">
        <f t="shared" si="3169"/>
        <v>0</v>
      </c>
      <c r="JX1366" s="97">
        <f t="shared" si="3169"/>
        <v>0</v>
      </c>
      <c r="JY1366" s="102"/>
      <c r="JZ1366" s="102"/>
      <c r="KA1366" s="102"/>
      <c r="KB1366" s="97">
        <f t="shared" si="3170"/>
        <v>0</v>
      </c>
      <c r="KC1366" s="97">
        <f t="shared" si="3171"/>
        <v>0</v>
      </c>
      <c r="KD1366" s="97">
        <f t="shared" si="3172"/>
        <v>0</v>
      </c>
      <c r="KE1366" s="97">
        <f t="shared" si="3173"/>
        <v>0</v>
      </c>
      <c r="KF1366" s="97">
        <f t="shared" si="3174"/>
        <v>0</v>
      </c>
      <c r="KG1366" s="97">
        <f t="shared" si="3175"/>
        <v>0</v>
      </c>
      <c r="KH1366" s="268">
        <f>$F1366*KH$1370</f>
        <v>39.881656725900001</v>
      </c>
      <c r="KI1366" s="268">
        <f>$G1366*KI$1370</f>
        <v>42.017089668200001</v>
      </c>
      <c r="KJ1366" s="268">
        <f>$H1366*KJ$1370</f>
        <v>43.079265675099997</v>
      </c>
      <c r="KK1366" s="268">
        <f>$I1366*KK$1370</f>
        <v>0</v>
      </c>
      <c r="KL1366" s="268">
        <f>$J1366*KL$1370</f>
        <v>0</v>
      </c>
      <c r="KM1366" s="268">
        <f>$K1366*KM$1370</f>
        <v>0</v>
      </c>
      <c r="KN1366" s="97">
        <f t="shared" si="3176"/>
        <v>0</v>
      </c>
      <c r="KO1366" s="97">
        <f t="shared" si="3176"/>
        <v>0</v>
      </c>
      <c r="KP1366" s="97">
        <f t="shared" si="3176"/>
        <v>0</v>
      </c>
      <c r="KQ1366" s="97">
        <f t="shared" si="3177"/>
        <v>0</v>
      </c>
      <c r="KR1366" s="97">
        <f t="shared" si="3177"/>
        <v>0</v>
      </c>
      <c r="KS1366" s="97">
        <f t="shared" si="3177"/>
        <v>0</v>
      </c>
      <c r="KT1366" s="102"/>
      <c r="KU1366" s="102"/>
      <c r="KV1366" s="102"/>
      <c r="KW1366" s="97">
        <f t="shared" si="3178"/>
        <v>0</v>
      </c>
      <c r="KX1366" s="97">
        <f t="shared" si="3179"/>
        <v>0</v>
      </c>
      <c r="KY1366" s="97">
        <f t="shared" si="3180"/>
        <v>0</v>
      </c>
      <c r="KZ1366" s="97">
        <f t="shared" si="3181"/>
        <v>0</v>
      </c>
      <c r="LA1366" s="97">
        <f t="shared" si="3182"/>
        <v>0</v>
      </c>
      <c r="LB1366" s="97">
        <f t="shared" si="3183"/>
        <v>0</v>
      </c>
      <c r="LC1366" s="268">
        <f>$F1366*LC$1370</f>
        <v>0</v>
      </c>
      <c r="LD1366" s="268">
        <f>$G1366*LD$1370</f>
        <v>0</v>
      </c>
      <c r="LE1366" s="268">
        <f>$H1366*LE$1370</f>
        <v>0</v>
      </c>
      <c r="LF1366" s="268">
        <f>$I1366*LF$1370</f>
        <v>0</v>
      </c>
      <c r="LG1366" s="268">
        <f>$J1366*LG$1370</f>
        <v>0</v>
      </c>
      <c r="LH1366" s="268">
        <f>$K1366*LH$1370</f>
        <v>0</v>
      </c>
      <c r="LI1366" s="97">
        <f t="shared" si="3184"/>
        <v>0</v>
      </c>
      <c r="LJ1366" s="97">
        <f t="shared" si="3184"/>
        <v>0</v>
      </c>
      <c r="LK1366" s="97">
        <f t="shared" si="3184"/>
        <v>0</v>
      </c>
      <c r="LL1366" s="97">
        <f t="shared" si="3185"/>
        <v>0</v>
      </c>
      <c r="LM1366" s="97">
        <f t="shared" si="3185"/>
        <v>0</v>
      </c>
      <c r="LN1366" s="97">
        <f t="shared" si="3185"/>
        <v>0</v>
      </c>
      <c r="LO1366" s="102"/>
      <c r="LP1366" s="102"/>
      <c r="LQ1366" s="102"/>
      <c r="LR1366" s="97">
        <f t="shared" si="3186"/>
        <v>0</v>
      </c>
      <c r="LS1366" s="97">
        <f t="shared" si="3187"/>
        <v>0</v>
      </c>
      <c r="LT1366" s="97">
        <f t="shared" si="3188"/>
        <v>0</v>
      </c>
      <c r="LU1366" s="97">
        <f t="shared" si="3189"/>
        <v>0</v>
      </c>
      <c r="LV1366" s="97">
        <f t="shared" si="3190"/>
        <v>0</v>
      </c>
      <c r="LW1366" s="97">
        <f t="shared" si="3191"/>
        <v>0</v>
      </c>
      <c r="LX1366" s="268">
        <f>$F1366*LX$1370</f>
        <v>39.919933951899999</v>
      </c>
      <c r="LY1366" s="268">
        <f>$G1366*LY$1370</f>
        <v>41.999912914500001</v>
      </c>
      <c r="LZ1366" s="268">
        <f>$H1366*LZ$1370</f>
        <v>43.049689626599999</v>
      </c>
      <c r="MA1366" s="268">
        <f>$I1366*MA$1370</f>
        <v>0</v>
      </c>
      <c r="MB1366" s="268">
        <f>$J1366*MB$1370</f>
        <v>0</v>
      </c>
      <c r="MC1366" s="268">
        <f>$K1366*MC$1370</f>
        <v>0</v>
      </c>
      <c r="MD1366" s="97">
        <f t="shared" si="3192"/>
        <v>0</v>
      </c>
      <c r="ME1366" s="97">
        <f t="shared" si="3192"/>
        <v>0</v>
      </c>
      <c r="MF1366" s="97">
        <f t="shared" si="3192"/>
        <v>0</v>
      </c>
      <c r="MG1366" s="97">
        <f t="shared" si="3193"/>
        <v>0</v>
      </c>
      <c r="MH1366" s="97">
        <f t="shared" si="3193"/>
        <v>0</v>
      </c>
      <c r="MI1366" s="97">
        <f t="shared" si="3193"/>
        <v>0</v>
      </c>
      <c r="MJ1366" s="102"/>
      <c r="MK1366" s="102"/>
      <c r="ML1366" s="102"/>
      <c r="MM1366" s="97">
        <f t="shared" si="3194"/>
        <v>0</v>
      </c>
      <c r="MN1366" s="97">
        <f t="shared" si="3195"/>
        <v>0</v>
      </c>
      <c r="MO1366" s="97">
        <f t="shared" si="3196"/>
        <v>0</v>
      </c>
      <c r="MP1366" s="97">
        <f t="shared" si="3197"/>
        <v>0</v>
      </c>
      <c r="MQ1366" s="97">
        <f t="shared" si="3198"/>
        <v>0</v>
      </c>
      <c r="MR1366" s="97">
        <f t="shared" si="3199"/>
        <v>0</v>
      </c>
      <c r="MS1366" s="268">
        <f>$F1366*MS$1370</f>
        <v>39.895330958300001</v>
      </c>
      <c r="MT1366" s="268">
        <f>$G1366*MT$1370</f>
        <v>42.0122145602</v>
      </c>
      <c r="MU1366" s="268">
        <f>$H1366*MU$1370</f>
        <v>43.046757261099998</v>
      </c>
      <c r="MV1366" s="268">
        <f>$I1366*MV$1370</f>
        <v>0</v>
      </c>
      <c r="MW1366" s="268">
        <f>$J1366*MW$1370</f>
        <v>0</v>
      </c>
      <c r="MX1366" s="268">
        <f>$K1366*MX$1370</f>
        <v>0</v>
      </c>
      <c r="MY1366" s="97">
        <f t="shared" si="3200"/>
        <v>0</v>
      </c>
      <c r="MZ1366" s="97">
        <f t="shared" si="3200"/>
        <v>0</v>
      </c>
      <c r="NA1366" s="97">
        <f t="shared" si="3200"/>
        <v>0</v>
      </c>
      <c r="NB1366" s="97">
        <f t="shared" si="3201"/>
        <v>0</v>
      </c>
      <c r="NC1366" s="97">
        <f t="shared" si="3201"/>
        <v>0</v>
      </c>
      <c r="ND1366" s="97">
        <f t="shared" si="3201"/>
        <v>0</v>
      </c>
      <c r="NE1366" s="102"/>
      <c r="NF1366" s="102"/>
      <c r="NG1366" s="102"/>
      <c r="NH1366" s="97">
        <f t="shared" si="3202"/>
        <v>0</v>
      </c>
      <c r="NI1366" s="97">
        <f t="shared" si="3203"/>
        <v>0</v>
      </c>
      <c r="NJ1366" s="97">
        <f t="shared" si="3204"/>
        <v>0</v>
      </c>
      <c r="NK1366" s="97">
        <f t="shared" si="3205"/>
        <v>0</v>
      </c>
      <c r="NL1366" s="97">
        <f t="shared" si="3206"/>
        <v>0</v>
      </c>
      <c r="NM1366" s="97">
        <f t="shared" si="3207"/>
        <v>0</v>
      </c>
      <c r="NN1366" s="268">
        <f>$F1366*NN$1370</f>
        <v>39.763328699100001</v>
      </c>
      <c r="NO1366" s="268">
        <f>$G1366*NO$1370</f>
        <v>42.008133948699999</v>
      </c>
      <c r="NP1366" s="268">
        <f>$H1366*NP$1370</f>
        <v>43.119424549900003</v>
      </c>
      <c r="NQ1366" s="268">
        <f>$I1366*NQ$1370</f>
        <v>0</v>
      </c>
      <c r="NR1366" s="268">
        <f>$J1366*NR$1370</f>
        <v>0</v>
      </c>
      <c r="NS1366" s="268">
        <f>$K1366*NS$1370</f>
        <v>0</v>
      </c>
      <c r="NT1366" s="97">
        <f t="shared" si="3208"/>
        <v>0</v>
      </c>
      <c r="NU1366" s="97">
        <f t="shared" si="3208"/>
        <v>0</v>
      </c>
      <c r="NV1366" s="97">
        <f t="shared" si="3208"/>
        <v>0</v>
      </c>
      <c r="NW1366" s="97">
        <f t="shared" si="3209"/>
        <v>0</v>
      </c>
      <c r="NX1366" s="97">
        <f t="shared" si="3209"/>
        <v>0</v>
      </c>
      <c r="NY1366" s="97">
        <f t="shared" si="3209"/>
        <v>0</v>
      </c>
      <c r="NZ1366" s="102">
        <v>3024</v>
      </c>
      <c r="OA1366" s="102">
        <v>3024</v>
      </c>
      <c r="OB1366" s="102">
        <v>3024</v>
      </c>
      <c r="OC1366" s="97">
        <f t="shared" si="3210"/>
        <v>119841.12</v>
      </c>
      <c r="OD1366" s="97">
        <f t="shared" si="3211"/>
        <v>126463.67999999999</v>
      </c>
      <c r="OE1366" s="97">
        <f t="shared" si="3212"/>
        <v>131513.76</v>
      </c>
      <c r="OF1366" s="97">
        <f t="shared" si="3213"/>
        <v>0</v>
      </c>
      <c r="OG1366" s="97">
        <f t="shared" si="3214"/>
        <v>0</v>
      </c>
      <c r="OH1366" s="97">
        <f t="shared" si="3215"/>
        <v>0</v>
      </c>
      <c r="OI1366" s="268">
        <f>$F1366*OI$1370</f>
        <v>40.007716050500001</v>
      </c>
      <c r="OJ1366" s="268">
        <f>$G1366*OJ$1370</f>
        <v>41.994598763500001</v>
      </c>
      <c r="OK1366" s="268">
        <f>$H1366*OK$1370</f>
        <v>43.016975309099998</v>
      </c>
      <c r="OL1366" s="268">
        <f>$I1366*OL$1370</f>
        <v>0</v>
      </c>
      <c r="OM1366" s="268">
        <f>$J1366*OM$1370</f>
        <v>0</v>
      </c>
      <c r="ON1366" s="268">
        <f>$K1366*ON$1370</f>
        <v>0</v>
      </c>
      <c r="OO1366" s="97">
        <f t="shared" si="3216"/>
        <v>120983.33</v>
      </c>
      <c r="OP1366" s="97">
        <f t="shared" si="3216"/>
        <v>126991.67</v>
      </c>
      <c r="OQ1366" s="97">
        <f t="shared" si="3216"/>
        <v>130083.33</v>
      </c>
      <c r="OR1366" s="97">
        <f t="shared" si="3217"/>
        <v>0</v>
      </c>
      <c r="OS1366" s="97">
        <f t="shared" si="3217"/>
        <v>0</v>
      </c>
      <c r="OT1366" s="97">
        <f t="shared" si="3217"/>
        <v>0</v>
      </c>
      <c r="OU1366" s="102">
        <v>518</v>
      </c>
      <c r="OV1366" s="102">
        <v>518</v>
      </c>
      <c r="OW1366" s="102">
        <v>518</v>
      </c>
      <c r="OX1366" s="97">
        <f t="shared" si="3218"/>
        <v>20528.34</v>
      </c>
      <c r="OY1366" s="97">
        <f t="shared" si="3219"/>
        <v>21662.76</v>
      </c>
      <c r="OZ1366" s="97">
        <f t="shared" si="3220"/>
        <v>22527.82</v>
      </c>
      <c r="PA1366" s="97">
        <f t="shared" si="3221"/>
        <v>0</v>
      </c>
      <c r="PB1366" s="97">
        <f t="shared" si="3222"/>
        <v>0</v>
      </c>
      <c r="PC1366" s="97">
        <f t="shared" si="3223"/>
        <v>0</v>
      </c>
      <c r="PD1366" s="268">
        <f>$F1366*PD$1370</f>
        <v>40.000655280399997</v>
      </c>
      <c r="PE1366" s="268">
        <f>$G1366*PE$1370</f>
        <v>42.038426148600003</v>
      </c>
      <c r="PF1366" s="268">
        <f>$H1366*PF$1370</f>
        <v>43.055336803099998</v>
      </c>
      <c r="PG1366" s="268">
        <f>$I1366*PG$1370</f>
        <v>0</v>
      </c>
      <c r="PH1366" s="268">
        <f>$J1366*PH$1370</f>
        <v>0</v>
      </c>
      <c r="PI1366" s="268">
        <f>$K1366*PI$1370</f>
        <v>0</v>
      </c>
      <c r="PJ1366" s="97">
        <f t="shared" si="3224"/>
        <v>20720.34</v>
      </c>
      <c r="PK1366" s="97">
        <f t="shared" si="3224"/>
        <v>21775.9</v>
      </c>
      <c r="PL1366" s="97">
        <f t="shared" si="3224"/>
        <v>22302.66</v>
      </c>
      <c r="PM1366" s="97">
        <f t="shared" si="3225"/>
        <v>0</v>
      </c>
      <c r="PN1366" s="97">
        <f t="shared" si="3225"/>
        <v>0</v>
      </c>
      <c r="PO1366" s="97">
        <f t="shared" si="3225"/>
        <v>0</v>
      </c>
      <c r="PP1366" s="102"/>
      <c r="PQ1366" s="102"/>
      <c r="PR1366" s="102"/>
      <c r="PS1366" s="97">
        <f t="shared" si="3226"/>
        <v>0</v>
      </c>
      <c r="PT1366" s="97">
        <f t="shared" si="3227"/>
        <v>0</v>
      </c>
      <c r="PU1366" s="97">
        <f t="shared" si="3228"/>
        <v>0</v>
      </c>
      <c r="PV1366" s="97">
        <f t="shared" si="3229"/>
        <v>0</v>
      </c>
      <c r="PW1366" s="97">
        <f t="shared" si="3230"/>
        <v>0</v>
      </c>
      <c r="PX1366" s="97">
        <f t="shared" si="3231"/>
        <v>0</v>
      </c>
      <c r="PY1366" s="268">
        <f>$F1366*PY$1370</f>
        <v>39.851564779199997</v>
      </c>
      <c r="PZ1366" s="268">
        <f>$G1366*PZ$1370</f>
        <v>42.022097353900001</v>
      </c>
      <c r="QA1366" s="268">
        <f>$H1366*QA$1370</f>
        <v>43.0600987754</v>
      </c>
      <c r="QB1366" s="268">
        <f>$I1366*QB$1370</f>
        <v>0</v>
      </c>
      <c r="QC1366" s="268">
        <f>$J1366*QC$1370</f>
        <v>0</v>
      </c>
      <c r="QD1366" s="268">
        <f>$K1366*QD$1370</f>
        <v>0</v>
      </c>
      <c r="QE1366" s="97">
        <f t="shared" si="3232"/>
        <v>0</v>
      </c>
      <c r="QF1366" s="97">
        <f t="shared" si="3232"/>
        <v>0</v>
      </c>
      <c r="QG1366" s="97">
        <f t="shared" si="3232"/>
        <v>0</v>
      </c>
      <c r="QH1366" s="97">
        <f t="shared" si="3233"/>
        <v>0</v>
      </c>
      <c r="QI1366" s="97">
        <f t="shared" si="3233"/>
        <v>0</v>
      </c>
      <c r="QJ1366" s="97">
        <f t="shared" si="3233"/>
        <v>0</v>
      </c>
      <c r="QK1366" s="102"/>
      <c r="QL1366" s="102"/>
      <c r="QM1366" s="102"/>
      <c r="QN1366" s="97">
        <f t="shared" si="3234"/>
        <v>0</v>
      </c>
      <c r="QO1366" s="97">
        <f t="shared" si="3235"/>
        <v>0</v>
      </c>
      <c r="QP1366" s="97">
        <f t="shared" si="3236"/>
        <v>0</v>
      </c>
      <c r="QQ1366" s="97">
        <f t="shared" si="3237"/>
        <v>0</v>
      </c>
      <c r="QR1366" s="97">
        <f t="shared" si="3238"/>
        <v>0</v>
      </c>
      <c r="QS1366" s="97">
        <f t="shared" si="3239"/>
        <v>0</v>
      </c>
      <c r="QT1366" s="268">
        <f>$F1366*QT$1370</f>
        <v>0</v>
      </c>
      <c r="QU1366" s="268">
        <f>$G1366*QU$1370</f>
        <v>0</v>
      </c>
      <c r="QV1366" s="268">
        <f>$H1366*QV$1370</f>
        <v>0</v>
      </c>
      <c r="QW1366" s="268">
        <f>$I1366*QW$1370</f>
        <v>0</v>
      </c>
      <c r="QX1366" s="268">
        <f>$J1366*QX$1370</f>
        <v>0</v>
      </c>
      <c r="QY1366" s="268">
        <f>$K1366*QY$1370</f>
        <v>0</v>
      </c>
      <c r="QZ1366" s="97">
        <f t="shared" si="3240"/>
        <v>0</v>
      </c>
      <c r="RA1366" s="97">
        <f t="shared" si="3240"/>
        <v>0</v>
      </c>
      <c r="RB1366" s="97">
        <f t="shared" si="3240"/>
        <v>0</v>
      </c>
      <c r="RC1366" s="97">
        <f t="shared" si="3241"/>
        <v>0</v>
      </c>
      <c r="RD1366" s="97">
        <f t="shared" si="3241"/>
        <v>0</v>
      </c>
      <c r="RE1366" s="97">
        <f t="shared" si="3241"/>
        <v>0</v>
      </c>
      <c r="RF1366" s="102"/>
      <c r="RG1366" s="102"/>
      <c r="RH1366" s="102"/>
      <c r="RI1366" s="97">
        <f t="shared" si="3242"/>
        <v>0</v>
      </c>
      <c r="RJ1366" s="97">
        <f t="shared" si="3243"/>
        <v>0</v>
      </c>
      <c r="RK1366" s="97">
        <f t="shared" si="3244"/>
        <v>0</v>
      </c>
      <c r="RL1366" s="97">
        <f t="shared" si="3245"/>
        <v>0</v>
      </c>
      <c r="RM1366" s="97">
        <f t="shared" si="3246"/>
        <v>0</v>
      </c>
      <c r="RN1366" s="97">
        <f t="shared" si="3247"/>
        <v>0</v>
      </c>
      <c r="RO1366" s="268">
        <f>$F1366*RO$1370</f>
        <v>39.966125970500002</v>
      </c>
      <c r="RP1366" s="268">
        <f>$G1366*RP$1370</f>
        <v>41.9896076343</v>
      </c>
      <c r="RQ1366" s="268">
        <f>$H1366*RQ$1370</f>
        <v>43.017707524099997</v>
      </c>
      <c r="RR1366" s="268">
        <f>$I1366*RR$1370</f>
        <v>0</v>
      </c>
      <c r="RS1366" s="268">
        <f>$J1366*RS$1370</f>
        <v>0</v>
      </c>
      <c r="RT1366" s="268">
        <f>$K1366*RT$1370</f>
        <v>0</v>
      </c>
      <c r="RU1366" s="97">
        <f t="shared" si="3248"/>
        <v>0</v>
      </c>
      <c r="RV1366" s="97">
        <f t="shared" si="3248"/>
        <v>0</v>
      </c>
      <c r="RW1366" s="97">
        <f t="shared" si="3248"/>
        <v>0</v>
      </c>
      <c r="RX1366" s="97">
        <f t="shared" si="3249"/>
        <v>0</v>
      </c>
      <c r="RY1366" s="97">
        <f t="shared" si="3249"/>
        <v>0</v>
      </c>
      <c r="RZ1366" s="97">
        <f t="shared" si="3249"/>
        <v>0</v>
      </c>
      <c r="SA1366" s="102"/>
      <c r="SB1366" s="102"/>
      <c r="SC1366" s="102"/>
      <c r="SD1366" s="97">
        <f t="shared" si="3250"/>
        <v>0</v>
      </c>
      <c r="SE1366" s="97">
        <f t="shared" si="3251"/>
        <v>0</v>
      </c>
      <c r="SF1366" s="97">
        <f t="shared" si="3252"/>
        <v>0</v>
      </c>
      <c r="SG1366" s="97">
        <f t="shared" si="3253"/>
        <v>0</v>
      </c>
      <c r="SH1366" s="97">
        <f t="shared" si="3254"/>
        <v>0</v>
      </c>
      <c r="SI1366" s="97">
        <f t="shared" si="3255"/>
        <v>0</v>
      </c>
      <c r="SJ1366" s="268">
        <f>$F1366*SJ$1370</f>
        <v>39.870117639</v>
      </c>
      <c r="SK1366" s="268">
        <f>$G1366*SK$1370</f>
        <v>42.004934534599997</v>
      </c>
      <c r="SL1366" s="268">
        <f>$H1366*SL$1370</f>
        <v>43.0668057249</v>
      </c>
      <c r="SM1366" s="268">
        <f>$I1366*SM$1370</f>
        <v>0</v>
      </c>
      <c r="SN1366" s="268">
        <f>$J1366*SN$1370</f>
        <v>0</v>
      </c>
      <c r="SO1366" s="268">
        <f>$K1366*SO$1370</f>
        <v>0</v>
      </c>
      <c r="SP1366" s="97">
        <f t="shared" si="3256"/>
        <v>0</v>
      </c>
      <c r="SQ1366" s="97">
        <f t="shared" si="3256"/>
        <v>0</v>
      </c>
      <c r="SR1366" s="97">
        <f t="shared" si="3256"/>
        <v>0</v>
      </c>
      <c r="SS1366" s="97">
        <f t="shared" si="3257"/>
        <v>0</v>
      </c>
      <c r="ST1366" s="97">
        <f t="shared" si="3257"/>
        <v>0</v>
      </c>
      <c r="SU1366" s="97">
        <f t="shared" si="3257"/>
        <v>0</v>
      </c>
      <c r="SV1366" s="102"/>
      <c r="SW1366" s="102"/>
      <c r="SX1366" s="102"/>
      <c r="SY1366" s="97">
        <f t="shared" si="3258"/>
        <v>0</v>
      </c>
      <c r="SZ1366" s="97">
        <f t="shared" si="3259"/>
        <v>0</v>
      </c>
      <c r="TA1366" s="97">
        <f t="shared" si="3260"/>
        <v>0</v>
      </c>
      <c r="TB1366" s="97">
        <f t="shared" si="3261"/>
        <v>0</v>
      </c>
      <c r="TC1366" s="97">
        <f t="shared" si="3262"/>
        <v>0</v>
      </c>
      <c r="TD1366" s="97">
        <f t="shared" si="3263"/>
        <v>0</v>
      </c>
      <c r="TE1366" s="268">
        <f>$F1366*TE$1370</f>
        <v>39.829617086699997</v>
      </c>
      <c r="TF1366" s="268">
        <f>$G1366*TF$1370</f>
        <v>41.987823020199997</v>
      </c>
      <c r="TG1366" s="268">
        <f>$H1366*TG$1370</f>
        <v>43.073534632499999</v>
      </c>
      <c r="TH1366" s="268">
        <f>$I1366*TH$1370</f>
        <v>0</v>
      </c>
      <c r="TI1366" s="268">
        <f>$J1366*TI$1370</f>
        <v>0</v>
      </c>
      <c r="TJ1366" s="268">
        <f>$K1366*TJ$1370</f>
        <v>0</v>
      </c>
      <c r="TK1366" s="97">
        <f t="shared" si="3264"/>
        <v>0</v>
      </c>
      <c r="TL1366" s="97">
        <f t="shared" si="3264"/>
        <v>0</v>
      </c>
      <c r="TM1366" s="97">
        <f t="shared" si="3264"/>
        <v>0</v>
      </c>
      <c r="TN1366" s="97">
        <f t="shared" si="3265"/>
        <v>0</v>
      </c>
      <c r="TO1366" s="97">
        <f t="shared" si="3265"/>
        <v>0</v>
      </c>
      <c r="TP1366" s="97">
        <f t="shared" si="3265"/>
        <v>0</v>
      </c>
      <c r="TQ1366" s="102"/>
      <c r="TR1366" s="102"/>
      <c r="TS1366" s="102"/>
      <c r="TT1366" s="97">
        <f t="shared" si="3266"/>
        <v>0</v>
      </c>
      <c r="TU1366" s="97">
        <f t="shared" si="3267"/>
        <v>0</v>
      </c>
      <c r="TV1366" s="97">
        <f t="shared" si="3268"/>
        <v>0</v>
      </c>
      <c r="TW1366" s="97">
        <f t="shared" si="3269"/>
        <v>0</v>
      </c>
      <c r="TX1366" s="97">
        <f t="shared" si="3270"/>
        <v>0</v>
      </c>
      <c r="TY1366" s="97">
        <f t="shared" si="3271"/>
        <v>0</v>
      </c>
      <c r="TZ1366" s="268">
        <f>$F1366*TZ$1370</f>
        <v>39.877716437799997</v>
      </c>
      <c r="UA1366" s="268">
        <f>$G1366*UA$1370</f>
        <v>42.011377449299999</v>
      </c>
      <c r="UB1366" s="268">
        <f>$H1366*UB$1370</f>
        <v>43.1002120944</v>
      </c>
      <c r="UC1366" s="268">
        <f>$I1366*UC$1370</f>
        <v>0</v>
      </c>
      <c r="UD1366" s="268">
        <f>$J1366*UD$1370</f>
        <v>0</v>
      </c>
      <c r="UE1366" s="268">
        <f>$K1366*UE$1370</f>
        <v>0</v>
      </c>
      <c r="UF1366" s="97">
        <f t="shared" si="3272"/>
        <v>0</v>
      </c>
      <c r="UG1366" s="97">
        <f t="shared" si="3272"/>
        <v>0</v>
      </c>
      <c r="UH1366" s="97">
        <f t="shared" si="3272"/>
        <v>0</v>
      </c>
      <c r="UI1366" s="97">
        <f t="shared" si="3273"/>
        <v>0</v>
      </c>
      <c r="UJ1366" s="97">
        <f t="shared" si="3273"/>
        <v>0</v>
      </c>
      <c r="UK1366" s="97">
        <f t="shared" si="3273"/>
        <v>0</v>
      </c>
      <c r="UL1366" s="102"/>
      <c r="UM1366" s="102"/>
      <c r="UN1366" s="102"/>
      <c r="UO1366" s="97">
        <f t="shared" si="3274"/>
        <v>0</v>
      </c>
      <c r="UP1366" s="97">
        <f t="shared" si="3275"/>
        <v>0</v>
      </c>
      <c r="UQ1366" s="97">
        <f t="shared" si="3276"/>
        <v>0</v>
      </c>
      <c r="UR1366" s="97">
        <f t="shared" si="3277"/>
        <v>0</v>
      </c>
      <c r="US1366" s="97">
        <f t="shared" si="3278"/>
        <v>0</v>
      </c>
      <c r="UT1366" s="97">
        <f t="shared" si="3279"/>
        <v>0</v>
      </c>
      <c r="UU1366" s="268">
        <f>$F1366*UU$1370</f>
        <v>40.046296295399998</v>
      </c>
      <c r="UV1366" s="268">
        <f>$G1366*UV$1370</f>
        <v>42.013888890899999</v>
      </c>
      <c r="UW1366" s="268">
        <f>$H1366*UW$1370</f>
        <v>43.055555553399998</v>
      </c>
      <c r="UX1366" s="268">
        <f>$I1366*UX$1370</f>
        <v>0</v>
      </c>
      <c r="UY1366" s="268">
        <f>$J1366*UY$1370</f>
        <v>0</v>
      </c>
      <c r="UZ1366" s="268">
        <f>$K1366*UZ$1370</f>
        <v>0</v>
      </c>
      <c r="VA1366" s="97">
        <f t="shared" si="3280"/>
        <v>0</v>
      </c>
      <c r="VB1366" s="97">
        <f t="shared" si="3280"/>
        <v>0</v>
      </c>
      <c r="VC1366" s="97">
        <f t="shared" si="3280"/>
        <v>0</v>
      </c>
      <c r="VD1366" s="97">
        <f t="shared" si="3281"/>
        <v>0</v>
      </c>
      <c r="VE1366" s="97">
        <f t="shared" si="3281"/>
        <v>0</v>
      </c>
      <c r="VF1366" s="97">
        <f t="shared" si="3281"/>
        <v>0</v>
      </c>
      <c r="VG1366" s="102"/>
      <c r="VH1366" s="102"/>
      <c r="VI1366" s="102"/>
      <c r="VJ1366" s="97">
        <f t="shared" si="3282"/>
        <v>0</v>
      </c>
      <c r="VK1366" s="97">
        <f t="shared" si="3283"/>
        <v>0</v>
      </c>
      <c r="VL1366" s="97">
        <f t="shared" si="3284"/>
        <v>0</v>
      </c>
      <c r="VM1366" s="97">
        <f t="shared" si="3285"/>
        <v>0</v>
      </c>
      <c r="VN1366" s="97">
        <f t="shared" si="3286"/>
        <v>0</v>
      </c>
      <c r="VO1366" s="97">
        <f t="shared" si="3287"/>
        <v>0</v>
      </c>
      <c r="VP1366" s="268">
        <f>$F1366*VP$1370</f>
        <v>39.830367369800001</v>
      </c>
      <c r="VQ1366" s="268">
        <f>$G1366*VQ$1370</f>
        <v>42.029318304599997</v>
      </c>
      <c r="VR1366" s="268">
        <f>$H1366*VR$1370</f>
        <v>43.0676119556</v>
      </c>
      <c r="VS1366" s="268">
        <f>$I1366*VS$1370</f>
        <v>0</v>
      </c>
      <c r="VT1366" s="268">
        <f>$J1366*VT$1370</f>
        <v>0</v>
      </c>
      <c r="VU1366" s="268">
        <f>$K1366*VU$1370</f>
        <v>0</v>
      </c>
      <c r="VV1366" s="97">
        <f t="shared" si="3288"/>
        <v>0</v>
      </c>
      <c r="VW1366" s="97">
        <f t="shared" si="3288"/>
        <v>0</v>
      </c>
      <c r="VX1366" s="97">
        <f t="shared" si="3288"/>
        <v>0</v>
      </c>
      <c r="VY1366" s="97">
        <f t="shared" si="3289"/>
        <v>0</v>
      </c>
      <c r="VZ1366" s="97">
        <f t="shared" si="3289"/>
        <v>0</v>
      </c>
      <c r="WA1366" s="97">
        <f t="shared" si="3289"/>
        <v>0</v>
      </c>
      <c r="WB1366" s="102"/>
      <c r="WC1366" s="102"/>
      <c r="WD1366" s="102"/>
      <c r="WE1366" s="97">
        <f t="shared" si="3290"/>
        <v>0</v>
      </c>
      <c r="WF1366" s="97">
        <f t="shared" si="3291"/>
        <v>0</v>
      </c>
      <c r="WG1366" s="97">
        <f t="shared" si="3292"/>
        <v>0</v>
      </c>
      <c r="WH1366" s="97">
        <f t="shared" si="3293"/>
        <v>0</v>
      </c>
      <c r="WI1366" s="97">
        <f t="shared" si="3294"/>
        <v>0</v>
      </c>
      <c r="WJ1366" s="97">
        <f t="shared" si="3295"/>
        <v>0</v>
      </c>
      <c r="WK1366" s="268">
        <f>$F1366*WK$1370</f>
        <v>0</v>
      </c>
      <c r="WL1366" s="268">
        <f>$G1366*WL$1370</f>
        <v>0</v>
      </c>
      <c r="WM1366" s="268">
        <f>$H1366*WM$1370</f>
        <v>0</v>
      </c>
      <c r="WN1366" s="268">
        <f>$I1366*WN$1370</f>
        <v>0</v>
      </c>
      <c r="WO1366" s="268">
        <f>$J1366*WO$1370</f>
        <v>0</v>
      </c>
      <c r="WP1366" s="268">
        <f>$K1366*WP$1370</f>
        <v>0</v>
      </c>
      <c r="WQ1366" s="97">
        <f t="shared" si="3296"/>
        <v>0</v>
      </c>
      <c r="WR1366" s="97">
        <f t="shared" si="3296"/>
        <v>0</v>
      </c>
      <c r="WS1366" s="97">
        <f t="shared" si="3296"/>
        <v>0</v>
      </c>
      <c r="WT1366" s="97">
        <f t="shared" si="3297"/>
        <v>0</v>
      </c>
      <c r="WU1366" s="97">
        <f t="shared" si="3297"/>
        <v>0</v>
      </c>
      <c r="WV1366" s="97">
        <f t="shared" si="3297"/>
        <v>0</v>
      </c>
      <c r="WW1366" s="102"/>
      <c r="WX1366" s="102"/>
      <c r="WY1366" s="102"/>
      <c r="WZ1366" s="97">
        <f t="shared" si="3298"/>
        <v>0</v>
      </c>
      <c r="XA1366" s="97">
        <f t="shared" si="3299"/>
        <v>0</v>
      </c>
      <c r="XB1366" s="97">
        <f t="shared" si="3300"/>
        <v>0</v>
      </c>
      <c r="XC1366" s="97">
        <f t="shared" si="3301"/>
        <v>0</v>
      </c>
      <c r="XD1366" s="97">
        <f t="shared" si="3302"/>
        <v>0</v>
      </c>
      <c r="XE1366" s="97">
        <f t="shared" si="3303"/>
        <v>0</v>
      </c>
      <c r="XF1366" s="268">
        <f>$F1366*XF$1370</f>
        <v>0</v>
      </c>
      <c r="XG1366" s="268">
        <f>$G1366*XG$1370</f>
        <v>0</v>
      </c>
      <c r="XH1366" s="268">
        <f>$H1366*XH$1370</f>
        <v>0</v>
      </c>
      <c r="XI1366" s="268">
        <f>$I1366*XI$1370</f>
        <v>0</v>
      </c>
      <c r="XJ1366" s="268">
        <f>$J1366*XJ$1370</f>
        <v>0</v>
      </c>
      <c r="XK1366" s="268">
        <f>$K1366*XK$1370</f>
        <v>0</v>
      </c>
      <c r="XL1366" s="97">
        <f t="shared" si="3304"/>
        <v>0</v>
      </c>
      <c r="XM1366" s="97">
        <f t="shared" si="3304"/>
        <v>0</v>
      </c>
      <c r="XN1366" s="97">
        <f t="shared" si="3304"/>
        <v>0</v>
      </c>
      <c r="XO1366" s="97">
        <f t="shared" si="3305"/>
        <v>0</v>
      </c>
      <c r="XP1366" s="97">
        <f t="shared" si="3305"/>
        <v>0</v>
      </c>
      <c r="XQ1366" s="97">
        <f t="shared" si="3305"/>
        <v>0</v>
      </c>
      <c r="XR1366" s="102"/>
      <c r="XS1366" s="102"/>
      <c r="XT1366" s="102"/>
      <c r="XU1366" s="97">
        <f t="shared" si="3306"/>
        <v>0</v>
      </c>
      <c r="XV1366" s="97">
        <f t="shared" si="3307"/>
        <v>0</v>
      </c>
      <c r="XW1366" s="97">
        <f t="shared" si="3308"/>
        <v>0</v>
      </c>
      <c r="XX1366" s="97">
        <f t="shared" si="3309"/>
        <v>0</v>
      </c>
      <c r="XY1366" s="97">
        <f t="shared" si="3310"/>
        <v>0</v>
      </c>
      <c r="XZ1366" s="97">
        <f t="shared" si="3311"/>
        <v>0</v>
      </c>
      <c r="YA1366" s="268">
        <f>$F1366*YA$1370</f>
        <v>39.999999998299998</v>
      </c>
      <c r="YB1366" s="268">
        <f>$G1366*YB$1370</f>
        <v>41.344880286799999</v>
      </c>
      <c r="YC1366" s="268">
        <f>$H1366*YC$1370</f>
        <v>48.273051453599997</v>
      </c>
      <c r="YD1366" s="268">
        <f>$I1366*YD$1370</f>
        <v>0</v>
      </c>
      <c r="YE1366" s="268">
        <f>$J1366*YE$1370</f>
        <v>0</v>
      </c>
      <c r="YF1366" s="268">
        <f>$K1366*YF$1370</f>
        <v>0</v>
      </c>
      <c r="YG1366" s="97">
        <f t="shared" si="3312"/>
        <v>0</v>
      </c>
      <c r="YH1366" s="97">
        <f t="shared" si="3312"/>
        <v>0</v>
      </c>
      <c r="YI1366" s="97">
        <f t="shared" si="3312"/>
        <v>0</v>
      </c>
      <c r="YJ1366" s="97">
        <f t="shared" si="3313"/>
        <v>0</v>
      </c>
      <c r="YK1366" s="97">
        <f t="shared" si="3313"/>
        <v>0</v>
      </c>
      <c r="YL1366" s="97">
        <f t="shared" si="3313"/>
        <v>0</v>
      </c>
      <c r="YM1366" s="145">
        <f t="shared" si="3314"/>
        <v>6532</v>
      </c>
      <c r="YN1366" s="145">
        <f t="shared" si="3314"/>
        <v>6532</v>
      </c>
      <c r="YO1366" s="145">
        <f t="shared" si="3314"/>
        <v>6532</v>
      </c>
      <c r="YP1366" s="97">
        <f t="shared" si="3315"/>
        <v>258863.16</v>
      </c>
      <c r="YQ1366" s="97">
        <f t="shared" si="3316"/>
        <v>273168.24</v>
      </c>
      <c r="YR1366" s="97">
        <f t="shared" si="3317"/>
        <v>284076.68</v>
      </c>
      <c r="YS1366" s="97">
        <f t="shared" si="3318"/>
        <v>0</v>
      </c>
      <c r="YT1366" s="97">
        <f t="shared" si="3319"/>
        <v>0</v>
      </c>
      <c r="YU1366" s="97">
        <f t="shared" si="3320"/>
        <v>0</v>
      </c>
      <c r="YV1366" s="268">
        <f>$F1366*YV$1370</f>
        <v>39.922438722400003</v>
      </c>
      <c r="YW1366" s="268">
        <f>$G1366*YW$1370</f>
        <v>41.938642118899999</v>
      </c>
      <c r="YX1366" s="268">
        <f>$H1366*YX$1370</f>
        <v>43.601430143199998</v>
      </c>
      <c r="YY1366" s="268">
        <f>$I1366*YY$1370</f>
        <v>0</v>
      </c>
      <c r="YZ1366" s="268">
        <f>$J1366*YZ$1370</f>
        <v>0</v>
      </c>
      <c r="ZA1366" s="268">
        <f>$K1366*ZA$1370</f>
        <v>0</v>
      </c>
      <c r="ZB1366" s="97">
        <f t="shared" si="3321"/>
        <v>260773.37</v>
      </c>
      <c r="ZC1366" s="97">
        <f t="shared" si="3321"/>
        <v>273943.21000000002</v>
      </c>
      <c r="ZD1366" s="97">
        <f t="shared" si="3321"/>
        <v>284804.53999999998</v>
      </c>
      <c r="ZE1366" s="97">
        <f t="shared" si="3322"/>
        <v>0</v>
      </c>
      <c r="ZF1366" s="97">
        <f t="shared" si="3322"/>
        <v>0</v>
      </c>
      <c r="ZG1366" s="97">
        <f t="shared" si="3322"/>
        <v>0</v>
      </c>
    </row>
    <row r="1367" spans="1:684" ht="24" x14ac:dyDescent="0.25">
      <c r="A1367" s="12" t="s">
        <v>460</v>
      </c>
      <c r="B1367" s="174" t="s">
        <v>653</v>
      </c>
      <c r="C1367" s="5"/>
      <c r="D1367" s="340"/>
      <c r="E1367" s="163"/>
      <c r="F1367" s="110">
        <f t="shared" si="3323"/>
        <v>39.630000000000003</v>
      </c>
      <c r="G1367" s="110">
        <f t="shared" si="3323"/>
        <v>41.82</v>
      </c>
      <c r="H1367" s="110">
        <f t="shared" si="3323"/>
        <v>43.49</v>
      </c>
      <c r="I1367" s="97">
        <f t="shared" si="3324"/>
        <v>0</v>
      </c>
      <c r="J1367" s="97">
        <f t="shared" si="3324"/>
        <v>0</v>
      </c>
      <c r="K1367" s="97">
        <f t="shared" si="3324"/>
        <v>0</v>
      </c>
      <c r="L1367" s="102"/>
      <c r="M1367" s="102"/>
      <c r="N1367" s="102"/>
      <c r="O1367" s="97">
        <f t="shared" si="3066"/>
        <v>0</v>
      </c>
      <c r="P1367" s="97">
        <f t="shared" si="3067"/>
        <v>0</v>
      </c>
      <c r="Q1367" s="97">
        <f t="shared" si="3068"/>
        <v>0</v>
      </c>
      <c r="R1367" s="97">
        <f t="shared" si="3069"/>
        <v>0</v>
      </c>
      <c r="S1367" s="97">
        <f t="shared" si="3070"/>
        <v>0</v>
      </c>
      <c r="T1367" s="97">
        <f t="shared" si="3071"/>
        <v>0</v>
      </c>
      <c r="U1367" s="268">
        <f>$F1367*U$1370</f>
        <v>39.962071028899999</v>
      </c>
      <c r="V1367" s="268">
        <f>$G1367*V$1370</f>
        <v>42.026840954699999</v>
      </c>
      <c r="W1367" s="268">
        <f>$H1367*W$1370</f>
        <v>43.043472200499998</v>
      </c>
      <c r="X1367" s="268">
        <f>$I1367*X$1370</f>
        <v>0</v>
      </c>
      <c r="Y1367" s="268">
        <f>$J1367*Y$1370</f>
        <v>0</v>
      </c>
      <c r="Z1367" s="268">
        <f>$K1367*Z$1370</f>
        <v>0</v>
      </c>
      <c r="AA1367" s="97">
        <f t="shared" si="3072"/>
        <v>0</v>
      </c>
      <c r="AB1367" s="97">
        <f t="shared" si="3072"/>
        <v>0</v>
      </c>
      <c r="AC1367" s="97">
        <f t="shared" si="3072"/>
        <v>0</v>
      </c>
      <c r="AD1367" s="97">
        <f t="shared" si="3073"/>
        <v>0</v>
      </c>
      <c r="AE1367" s="97">
        <f t="shared" si="3073"/>
        <v>0</v>
      </c>
      <c r="AF1367" s="97">
        <f t="shared" si="3073"/>
        <v>0</v>
      </c>
      <c r="AG1367" s="102">
        <v>432</v>
      </c>
      <c r="AH1367" s="102">
        <v>432</v>
      </c>
      <c r="AI1367" s="102">
        <v>432</v>
      </c>
      <c r="AJ1367" s="97">
        <f t="shared" si="3074"/>
        <v>17120.16</v>
      </c>
      <c r="AK1367" s="97">
        <f t="shared" si="3075"/>
        <v>18066.240000000002</v>
      </c>
      <c r="AL1367" s="97">
        <f t="shared" si="3076"/>
        <v>18787.68</v>
      </c>
      <c r="AM1367" s="97">
        <f t="shared" si="3077"/>
        <v>0</v>
      </c>
      <c r="AN1367" s="97">
        <f t="shared" si="3078"/>
        <v>0</v>
      </c>
      <c r="AO1367" s="97">
        <f t="shared" si="3079"/>
        <v>0</v>
      </c>
      <c r="AP1367" s="268">
        <f>$F1367*AP$1370</f>
        <v>39.895330958300001</v>
      </c>
      <c r="AQ1367" s="268">
        <f>$G1367*AQ$1370</f>
        <v>42.0250741308</v>
      </c>
      <c r="AR1367" s="268">
        <f>$H1367*AR$1370</f>
        <v>43.072472167500003</v>
      </c>
      <c r="AS1367" s="268">
        <f>$I1367*AS$1370</f>
        <v>0</v>
      </c>
      <c r="AT1367" s="268">
        <f>$J1367*AT$1370</f>
        <v>0</v>
      </c>
      <c r="AU1367" s="268">
        <f>$K1367*AU$1370</f>
        <v>0</v>
      </c>
      <c r="AV1367" s="97">
        <f t="shared" si="3080"/>
        <v>17234.78</v>
      </c>
      <c r="AW1367" s="97">
        <f t="shared" si="3080"/>
        <v>18154.830000000002</v>
      </c>
      <c r="AX1367" s="97">
        <f t="shared" si="3080"/>
        <v>18607.310000000001</v>
      </c>
      <c r="AY1367" s="97">
        <f t="shared" si="3081"/>
        <v>0</v>
      </c>
      <c r="AZ1367" s="97">
        <f t="shared" si="3081"/>
        <v>0</v>
      </c>
      <c r="BA1367" s="97">
        <f t="shared" si="3081"/>
        <v>0</v>
      </c>
      <c r="BB1367" s="102">
        <v>1296</v>
      </c>
      <c r="BC1367" s="102">
        <v>1296</v>
      </c>
      <c r="BD1367" s="102">
        <v>1296</v>
      </c>
      <c r="BE1367" s="97">
        <f t="shared" si="3082"/>
        <v>51360.480000000003</v>
      </c>
      <c r="BF1367" s="97">
        <f t="shared" si="3083"/>
        <v>54198.720000000001</v>
      </c>
      <c r="BG1367" s="97">
        <f t="shared" si="3084"/>
        <v>56363.040000000001</v>
      </c>
      <c r="BH1367" s="97">
        <f t="shared" si="3085"/>
        <v>0</v>
      </c>
      <c r="BI1367" s="97">
        <f t="shared" si="3086"/>
        <v>0</v>
      </c>
      <c r="BJ1367" s="97">
        <f t="shared" si="3087"/>
        <v>0</v>
      </c>
      <c r="BK1367" s="268">
        <f>$F1367*BK$1370</f>
        <v>39.9699762865</v>
      </c>
      <c r="BL1367" s="268">
        <f>$G1367*BL$1370</f>
        <v>42.013470293600001</v>
      </c>
      <c r="BM1367" s="268">
        <f>$H1367*BM$1370</f>
        <v>43.014777367999997</v>
      </c>
      <c r="BN1367" s="268">
        <f>$I1367*BN$1370</f>
        <v>0</v>
      </c>
      <c r="BO1367" s="268">
        <f>$J1367*BO$1370</f>
        <v>0</v>
      </c>
      <c r="BP1367" s="268">
        <f>$K1367*BP$1370</f>
        <v>0</v>
      </c>
      <c r="BQ1367" s="97">
        <f t="shared" si="3088"/>
        <v>51801.09</v>
      </c>
      <c r="BR1367" s="97">
        <f t="shared" si="3088"/>
        <v>54449.46</v>
      </c>
      <c r="BS1367" s="97">
        <f t="shared" si="3088"/>
        <v>55747.15</v>
      </c>
      <c r="BT1367" s="97">
        <f t="shared" si="3089"/>
        <v>0</v>
      </c>
      <c r="BU1367" s="97">
        <f t="shared" si="3089"/>
        <v>0</v>
      </c>
      <c r="BV1367" s="97">
        <f t="shared" si="3089"/>
        <v>0</v>
      </c>
      <c r="BW1367" s="102">
        <v>691</v>
      </c>
      <c r="BX1367" s="102">
        <v>691</v>
      </c>
      <c r="BY1367" s="102">
        <v>691</v>
      </c>
      <c r="BZ1367" s="97">
        <f t="shared" si="3090"/>
        <v>27384.33</v>
      </c>
      <c r="CA1367" s="97">
        <f t="shared" si="3091"/>
        <v>28897.62</v>
      </c>
      <c r="CB1367" s="97">
        <f t="shared" si="3092"/>
        <v>30051.59</v>
      </c>
      <c r="CC1367" s="97">
        <f t="shared" si="3093"/>
        <v>0</v>
      </c>
      <c r="CD1367" s="97">
        <f t="shared" si="3094"/>
        <v>0</v>
      </c>
      <c r="CE1367" s="97">
        <f t="shared" si="3095"/>
        <v>0</v>
      </c>
      <c r="CF1367" s="268">
        <f>$F1367*CF$1370</f>
        <v>39.8665439046</v>
      </c>
      <c r="CG1367" s="268">
        <f>$G1367*CG$1370</f>
        <v>42.029318304599997</v>
      </c>
      <c r="CH1367" s="268">
        <f>$H1367*CH$1370</f>
        <v>43.103772838099999</v>
      </c>
      <c r="CI1367" s="268">
        <f>$I1367*CI$1370</f>
        <v>0</v>
      </c>
      <c r="CJ1367" s="268">
        <f>$J1367*CJ$1370</f>
        <v>0</v>
      </c>
      <c r="CK1367" s="268">
        <f>$K1367*CK$1370</f>
        <v>0</v>
      </c>
      <c r="CL1367" s="97">
        <f t="shared" si="3096"/>
        <v>27547.78</v>
      </c>
      <c r="CM1367" s="97">
        <f t="shared" si="3096"/>
        <v>29042.26</v>
      </c>
      <c r="CN1367" s="97">
        <f t="shared" si="3096"/>
        <v>29784.71</v>
      </c>
      <c r="CO1367" s="97">
        <f t="shared" si="3097"/>
        <v>0</v>
      </c>
      <c r="CP1367" s="97">
        <f t="shared" si="3097"/>
        <v>0</v>
      </c>
      <c r="CQ1367" s="97">
        <f t="shared" si="3097"/>
        <v>0</v>
      </c>
      <c r="CR1367" s="102">
        <v>1210</v>
      </c>
      <c r="CS1367" s="102">
        <v>1210</v>
      </c>
      <c r="CT1367" s="102">
        <v>1210</v>
      </c>
      <c r="CU1367" s="97">
        <f t="shared" si="3098"/>
        <v>47952.3</v>
      </c>
      <c r="CV1367" s="97">
        <f t="shared" si="3099"/>
        <v>50602.2</v>
      </c>
      <c r="CW1367" s="97">
        <f t="shared" si="3100"/>
        <v>52622.9</v>
      </c>
      <c r="CX1367" s="97">
        <f t="shared" si="3101"/>
        <v>0</v>
      </c>
      <c r="CY1367" s="97">
        <f t="shared" si="3102"/>
        <v>0</v>
      </c>
      <c r="CZ1367" s="97">
        <f t="shared" si="3103"/>
        <v>0</v>
      </c>
      <c r="DA1367" s="268">
        <f>$F1367*DA$1370</f>
        <v>39.942969777099997</v>
      </c>
      <c r="DB1367" s="268">
        <f>$G1367*DB$1370</f>
        <v>41.990962978699997</v>
      </c>
      <c r="DC1367" s="268">
        <f>$H1367*DC$1370</f>
        <v>43.0207826368</v>
      </c>
      <c r="DD1367" s="268">
        <f>$I1367*DD$1370</f>
        <v>0</v>
      </c>
      <c r="DE1367" s="268">
        <f>$J1367*DE$1370</f>
        <v>0</v>
      </c>
      <c r="DF1367" s="268">
        <f>$K1367*DF$1370</f>
        <v>0</v>
      </c>
      <c r="DG1367" s="97">
        <f t="shared" si="3104"/>
        <v>48330.99</v>
      </c>
      <c r="DH1367" s="97">
        <f t="shared" si="3104"/>
        <v>50809.07</v>
      </c>
      <c r="DI1367" s="97">
        <f t="shared" si="3104"/>
        <v>52055.15</v>
      </c>
      <c r="DJ1367" s="97">
        <f t="shared" si="3105"/>
        <v>0</v>
      </c>
      <c r="DK1367" s="97">
        <f t="shared" si="3105"/>
        <v>0</v>
      </c>
      <c r="DL1367" s="97">
        <f t="shared" si="3105"/>
        <v>0</v>
      </c>
      <c r="DM1367" s="102">
        <v>1037</v>
      </c>
      <c r="DN1367" s="102">
        <v>1037</v>
      </c>
      <c r="DO1367" s="102">
        <v>1037</v>
      </c>
      <c r="DP1367" s="97">
        <f t="shared" si="3106"/>
        <v>41096.31</v>
      </c>
      <c r="DQ1367" s="97">
        <f t="shared" si="3107"/>
        <v>43367.34</v>
      </c>
      <c r="DR1367" s="97">
        <f t="shared" si="3108"/>
        <v>45099.13</v>
      </c>
      <c r="DS1367" s="97">
        <f t="shared" si="3109"/>
        <v>0</v>
      </c>
      <c r="DT1367" s="97">
        <f t="shared" si="3110"/>
        <v>0</v>
      </c>
      <c r="DU1367" s="97">
        <f t="shared" si="3111"/>
        <v>0</v>
      </c>
      <c r="DV1367" s="268">
        <f>$F1367*DV$1370</f>
        <v>39.962184453900001</v>
      </c>
      <c r="DW1367" s="268">
        <f>$G1367*DW$1370</f>
        <v>42.017165630000001</v>
      </c>
      <c r="DX1367" s="268">
        <f>$H1367*DX$1370</f>
        <v>43.0423530984</v>
      </c>
      <c r="DY1367" s="268">
        <f>$I1367*DY$1370</f>
        <v>0</v>
      </c>
      <c r="DZ1367" s="268">
        <f>$J1367*DZ$1370</f>
        <v>0</v>
      </c>
      <c r="EA1367" s="268">
        <f>$K1367*EA$1370</f>
        <v>0</v>
      </c>
      <c r="EB1367" s="97">
        <f t="shared" si="3112"/>
        <v>41440.79</v>
      </c>
      <c r="EC1367" s="97">
        <f t="shared" si="3112"/>
        <v>43571.8</v>
      </c>
      <c r="ED1367" s="97">
        <f t="shared" si="3112"/>
        <v>44634.92</v>
      </c>
      <c r="EE1367" s="97">
        <f t="shared" si="3113"/>
        <v>0</v>
      </c>
      <c r="EF1367" s="97">
        <f t="shared" si="3113"/>
        <v>0</v>
      </c>
      <c r="EG1367" s="97">
        <f t="shared" si="3113"/>
        <v>0</v>
      </c>
      <c r="EH1367" s="102"/>
      <c r="EI1367" s="102"/>
      <c r="EJ1367" s="102"/>
      <c r="EK1367" s="97">
        <f t="shared" si="3114"/>
        <v>0</v>
      </c>
      <c r="EL1367" s="97">
        <f t="shared" si="3115"/>
        <v>0</v>
      </c>
      <c r="EM1367" s="97">
        <f t="shared" si="3116"/>
        <v>0</v>
      </c>
      <c r="EN1367" s="97">
        <f t="shared" si="3117"/>
        <v>0</v>
      </c>
      <c r="EO1367" s="97">
        <f t="shared" si="3118"/>
        <v>0</v>
      </c>
      <c r="EP1367" s="97">
        <f t="shared" si="3119"/>
        <v>0</v>
      </c>
      <c r="EQ1367" s="268">
        <f>$F1367*EQ$1370</f>
        <v>0</v>
      </c>
      <c r="ER1367" s="268">
        <f>$G1367*ER$1370</f>
        <v>0</v>
      </c>
      <c r="ES1367" s="268">
        <f>$H1367*ES$1370</f>
        <v>0</v>
      </c>
      <c r="ET1367" s="268">
        <f>$I1367*ET$1370</f>
        <v>0</v>
      </c>
      <c r="EU1367" s="268">
        <f>$J1367*EU$1370</f>
        <v>0</v>
      </c>
      <c r="EV1367" s="268">
        <f>$K1367*EV$1370</f>
        <v>0</v>
      </c>
      <c r="EW1367" s="97">
        <f t="shared" si="3120"/>
        <v>0</v>
      </c>
      <c r="EX1367" s="97">
        <f t="shared" si="3120"/>
        <v>0</v>
      </c>
      <c r="EY1367" s="97">
        <f t="shared" si="3120"/>
        <v>0</v>
      </c>
      <c r="EZ1367" s="97">
        <f t="shared" si="3121"/>
        <v>0</v>
      </c>
      <c r="FA1367" s="97">
        <f t="shared" si="3121"/>
        <v>0</v>
      </c>
      <c r="FB1367" s="97">
        <f t="shared" si="3121"/>
        <v>0</v>
      </c>
      <c r="FC1367" s="102">
        <v>1210</v>
      </c>
      <c r="FD1367" s="102">
        <v>1210</v>
      </c>
      <c r="FE1367" s="102">
        <v>1210</v>
      </c>
      <c r="FF1367" s="97">
        <f t="shared" si="3122"/>
        <v>47952.3</v>
      </c>
      <c r="FG1367" s="97">
        <f t="shared" si="3123"/>
        <v>50602.2</v>
      </c>
      <c r="FH1367" s="97">
        <f t="shared" si="3124"/>
        <v>52622.9</v>
      </c>
      <c r="FI1367" s="97">
        <f t="shared" si="3125"/>
        <v>0</v>
      </c>
      <c r="FJ1367" s="97">
        <f t="shared" si="3126"/>
        <v>0</v>
      </c>
      <c r="FK1367" s="97">
        <f t="shared" si="3127"/>
        <v>0</v>
      </c>
      <c r="FL1367" s="268">
        <f>$F1367*FL$1370</f>
        <v>39.924749583400001</v>
      </c>
      <c r="FM1367" s="268">
        <f>$G1367*FM$1370</f>
        <v>41.988346861700002</v>
      </c>
      <c r="FN1367" s="268">
        <f>$H1367*FN$1370</f>
        <v>43.008761778999997</v>
      </c>
      <c r="FO1367" s="268">
        <f>$I1367*FO$1370</f>
        <v>0</v>
      </c>
      <c r="FP1367" s="268">
        <f>$J1367*FP$1370</f>
        <v>0</v>
      </c>
      <c r="FQ1367" s="268">
        <f>$K1367*FQ$1370</f>
        <v>0</v>
      </c>
      <c r="FR1367" s="97">
        <f t="shared" si="3128"/>
        <v>48308.95</v>
      </c>
      <c r="FS1367" s="97">
        <f t="shared" si="3128"/>
        <v>50805.9</v>
      </c>
      <c r="FT1367" s="97">
        <f t="shared" si="3128"/>
        <v>52040.6</v>
      </c>
      <c r="FU1367" s="97">
        <f t="shared" si="3129"/>
        <v>0</v>
      </c>
      <c r="FV1367" s="97">
        <f t="shared" si="3129"/>
        <v>0</v>
      </c>
      <c r="FW1367" s="97">
        <f t="shared" si="3129"/>
        <v>0</v>
      </c>
      <c r="FX1367" s="102"/>
      <c r="FY1367" s="102"/>
      <c r="FZ1367" s="102"/>
      <c r="GA1367" s="97">
        <f t="shared" si="3130"/>
        <v>0</v>
      </c>
      <c r="GB1367" s="97">
        <f t="shared" si="3131"/>
        <v>0</v>
      </c>
      <c r="GC1367" s="97">
        <f t="shared" si="3132"/>
        <v>0</v>
      </c>
      <c r="GD1367" s="97">
        <f t="shared" si="3133"/>
        <v>0</v>
      </c>
      <c r="GE1367" s="97">
        <f t="shared" si="3134"/>
        <v>0</v>
      </c>
      <c r="GF1367" s="97">
        <f t="shared" si="3135"/>
        <v>0</v>
      </c>
      <c r="GG1367" s="268">
        <f>$F1367*GG$1370</f>
        <v>0</v>
      </c>
      <c r="GH1367" s="268">
        <f>$G1367*GH$1370</f>
        <v>0</v>
      </c>
      <c r="GI1367" s="268">
        <f>$H1367*GI$1370</f>
        <v>0</v>
      </c>
      <c r="GJ1367" s="268">
        <f>$I1367*GJ$1370</f>
        <v>0</v>
      </c>
      <c r="GK1367" s="268">
        <f>$J1367*GK$1370</f>
        <v>0</v>
      </c>
      <c r="GL1367" s="268">
        <f>$K1367*GL$1370</f>
        <v>0</v>
      </c>
      <c r="GM1367" s="97">
        <f t="shared" si="3136"/>
        <v>0</v>
      </c>
      <c r="GN1367" s="97">
        <f t="shared" si="3136"/>
        <v>0</v>
      </c>
      <c r="GO1367" s="97">
        <f t="shared" si="3136"/>
        <v>0</v>
      </c>
      <c r="GP1367" s="97">
        <f t="shared" si="3137"/>
        <v>0</v>
      </c>
      <c r="GQ1367" s="97">
        <f t="shared" si="3137"/>
        <v>0</v>
      </c>
      <c r="GR1367" s="97">
        <f t="shared" si="3137"/>
        <v>0</v>
      </c>
      <c r="GS1367" s="102"/>
      <c r="GT1367" s="102"/>
      <c r="GU1367" s="102"/>
      <c r="GV1367" s="97">
        <f t="shared" si="3138"/>
        <v>0</v>
      </c>
      <c r="GW1367" s="97">
        <f t="shared" si="3139"/>
        <v>0</v>
      </c>
      <c r="GX1367" s="97">
        <f t="shared" si="3140"/>
        <v>0</v>
      </c>
      <c r="GY1367" s="97">
        <f t="shared" si="3141"/>
        <v>0</v>
      </c>
      <c r="GZ1367" s="97">
        <f t="shared" si="3142"/>
        <v>0</v>
      </c>
      <c r="HA1367" s="97">
        <f t="shared" si="3143"/>
        <v>0</v>
      </c>
      <c r="HB1367" s="268">
        <f>$F1367*HB$1370</f>
        <v>39.830367369800001</v>
      </c>
      <c r="HC1367" s="268">
        <f>$G1367*HC$1370</f>
        <v>42.029318304599997</v>
      </c>
      <c r="HD1367" s="268">
        <f>$H1367*HD$1370</f>
        <v>43.0676119556</v>
      </c>
      <c r="HE1367" s="268">
        <f>$I1367*HE$1370</f>
        <v>0</v>
      </c>
      <c r="HF1367" s="268">
        <f>$J1367*HF$1370</f>
        <v>0</v>
      </c>
      <c r="HG1367" s="268">
        <f>$K1367*HG$1370</f>
        <v>0</v>
      </c>
      <c r="HH1367" s="97">
        <f t="shared" si="3144"/>
        <v>0</v>
      </c>
      <c r="HI1367" s="97">
        <f t="shared" si="3144"/>
        <v>0</v>
      </c>
      <c r="HJ1367" s="97">
        <f t="shared" si="3144"/>
        <v>0</v>
      </c>
      <c r="HK1367" s="97">
        <f t="shared" si="3145"/>
        <v>0</v>
      </c>
      <c r="HL1367" s="97">
        <f t="shared" si="3145"/>
        <v>0</v>
      </c>
      <c r="HM1367" s="97">
        <f t="shared" si="3145"/>
        <v>0</v>
      </c>
      <c r="HN1367" s="102"/>
      <c r="HO1367" s="102"/>
      <c r="HP1367" s="102"/>
      <c r="HQ1367" s="97">
        <f t="shared" si="3146"/>
        <v>0</v>
      </c>
      <c r="HR1367" s="97">
        <f t="shared" si="3147"/>
        <v>0</v>
      </c>
      <c r="HS1367" s="97">
        <f t="shared" si="3148"/>
        <v>0</v>
      </c>
      <c r="HT1367" s="97">
        <f t="shared" si="3149"/>
        <v>0</v>
      </c>
      <c r="HU1367" s="97">
        <f t="shared" si="3150"/>
        <v>0</v>
      </c>
      <c r="HV1367" s="97">
        <f t="shared" si="3151"/>
        <v>0</v>
      </c>
      <c r="HW1367" s="268">
        <f>$F1367*HW$1370</f>
        <v>0</v>
      </c>
      <c r="HX1367" s="268">
        <f>$G1367*HX$1370</f>
        <v>0</v>
      </c>
      <c r="HY1367" s="268">
        <f>$H1367*HY$1370</f>
        <v>0</v>
      </c>
      <c r="HZ1367" s="268">
        <f>$I1367*HZ$1370</f>
        <v>0</v>
      </c>
      <c r="IA1367" s="268">
        <f>$J1367*IA$1370</f>
        <v>0</v>
      </c>
      <c r="IB1367" s="268">
        <f>$K1367*IB$1370</f>
        <v>0</v>
      </c>
      <c r="IC1367" s="97">
        <f t="shared" si="3152"/>
        <v>0</v>
      </c>
      <c r="ID1367" s="97">
        <f t="shared" si="3152"/>
        <v>0</v>
      </c>
      <c r="IE1367" s="97">
        <f t="shared" si="3152"/>
        <v>0</v>
      </c>
      <c r="IF1367" s="97">
        <f t="shared" si="3153"/>
        <v>0</v>
      </c>
      <c r="IG1367" s="97">
        <f t="shared" si="3153"/>
        <v>0</v>
      </c>
      <c r="IH1367" s="97">
        <f t="shared" si="3153"/>
        <v>0</v>
      </c>
      <c r="II1367" s="102"/>
      <c r="IJ1367" s="102"/>
      <c r="IK1367" s="102"/>
      <c r="IL1367" s="97">
        <f t="shared" si="3154"/>
        <v>0</v>
      </c>
      <c r="IM1367" s="97">
        <f t="shared" si="3155"/>
        <v>0</v>
      </c>
      <c r="IN1367" s="97">
        <f t="shared" si="3156"/>
        <v>0</v>
      </c>
      <c r="IO1367" s="97">
        <f t="shared" si="3157"/>
        <v>0</v>
      </c>
      <c r="IP1367" s="97">
        <f t="shared" si="3158"/>
        <v>0</v>
      </c>
      <c r="IQ1367" s="97">
        <f t="shared" si="3159"/>
        <v>0</v>
      </c>
      <c r="IR1367" s="268">
        <f>$F1367*IR$1370</f>
        <v>39.999999998299998</v>
      </c>
      <c r="IS1367" s="268">
        <f>$G1367*IS$1370</f>
        <v>42.025316456799999</v>
      </c>
      <c r="IT1367" s="268">
        <f>$H1367*IT$1370</f>
        <v>43.037974681800002</v>
      </c>
      <c r="IU1367" s="268">
        <f>$I1367*IU$1370</f>
        <v>0</v>
      </c>
      <c r="IV1367" s="268">
        <f>$J1367*IV$1370</f>
        <v>0</v>
      </c>
      <c r="IW1367" s="268">
        <f>$K1367*IW$1370</f>
        <v>0</v>
      </c>
      <c r="IX1367" s="97">
        <f t="shared" si="3160"/>
        <v>0</v>
      </c>
      <c r="IY1367" s="97">
        <f t="shared" si="3160"/>
        <v>0</v>
      </c>
      <c r="IZ1367" s="97">
        <f t="shared" si="3160"/>
        <v>0</v>
      </c>
      <c r="JA1367" s="97">
        <f t="shared" si="3161"/>
        <v>0</v>
      </c>
      <c r="JB1367" s="97">
        <f t="shared" si="3161"/>
        <v>0</v>
      </c>
      <c r="JC1367" s="97">
        <f t="shared" si="3161"/>
        <v>0</v>
      </c>
      <c r="JD1367" s="102"/>
      <c r="JE1367" s="102"/>
      <c r="JF1367" s="102"/>
      <c r="JG1367" s="97">
        <f t="shared" si="3162"/>
        <v>0</v>
      </c>
      <c r="JH1367" s="97">
        <f t="shared" si="3163"/>
        <v>0</v>
      </c>
      <c r="JI1367" s="97">
        <f t="shared" si="3164"/>
        <v>0</v>
      </c>
      <c r="JJ1367" s="97">
        <f t="shared" si="3165"/>
        <v>0</v>
      </c>
      <c r="JK1367" s="97">
        <f t="shared" si="3166"/>
        <v>0</v>
      </c>
      <c r="JL1367" s="97">
        <f t="shared" si="3167"/>
        <v>0</v>
      </c>
      <c r="JM1367" s="268">
        <f>$F1367*JM$1370</f>
        <v>0</v>
      </c>
      <c r="JN1367" s="268">
        <f>$G1367*JN$1370</f>
        <v>0</v>
      </c>
      <c r="JO1367" s="268">
        <f>$H1367*JO$1370</f>
        <v>0</v>
      </c>
      <c r="JP1367" s="268">
        <f>$I1367*JP$1370</f>
        <v>0</v>
      </c>
      <c r="JQ1367" s="268">
        <f>$J1367*JQ$1370</f>
        <v>0</v>
      </c>
      <c r="JR1367" s="268">
        <f>$K1367*JR$1370</f>
        <v>0</v>
      </c>
      <c r="JS1367" s="97">
        <f t="shared" si="3168"/>
        <v>0</v>
      </c>
      <c r="JT1367" s="97">
        <f t="shared" si="3168"/>
        <v>0</v>
      </c>
      <c r="JU1367" s="97">
        <f t="shared" si="3168"/>
        <v>0</v>
      </c>
      <c r="JV1367" s="97">
        <f t="shared" si="3169"/>
        <v>0</v>
      </c>
      <c r="JW1367" s="97">
        <f t="shared" si="3169"/>
        <v>0</v>
      </c>
      <c r="JX1367" s="97">
        <f t="shared" si="3169"/>
        <v>0</v>
      </c>
      <c r="JY1367" s="102">
        <v>691</v>
      </c>
      <c r="JZ1367" s="102">
        <v>691</v>
      </c>
      <c r="KA1367" s="102">
        <v>691</v>
      </c>
      <c r="KB1367" s="97">
        <f t="shared" si="3170"/>
        <v>27384.33</v>
      </c>
      <c r="KC1367" s="97">
        <f t="shared" si="3171"/>
        <v>28897.62</v>
      </c>
      <c r="KD1367" s="97">
        <f t="shared" si="3172"/>
        <v>30051.59</v>
      </c>
      <c r="KE1367" s="97">
        <f t="shared" si="3173"/>
        <v>0</v>
      </c>
      <c r="KF1367" s="97">
        <f t="shared" si="3174"/>
        <v>0</v>
      </c>
      <c r="KG1367" s="97">
        <f t="shared" si="3175"/>
        <v>0</v>
      </c>
      <c r="KH1367" s="268">
        <f>$F1367*KH$1370</f>
        <v>39.881656725900001</v>
      </c>
      <c r="KI1367" s="268">
        <f>$G1367*KI$1370</f>
        <v>42.017089668200001</v>
      </c>
      <c r="KJ1367" s="268">
        <f>$H1367*KJ$1370</f>
        <v>43.079265675099997</v>
      </c>
      <c r="KK1367" s="268">
        <f>$I1367*KK$1370</f>
        <v>0</v>
      </c>
      <c r="KL1367" s="268">
        <f>$J1367*KL$1370</f>
        <v>0</v>
      </c>
      <c r="KM1367" s="268">
        <f>$K1367*KM$1370</f>
        <v>0</v>
      </c>
      <c r="KN1367" s="97">
        <f t="shared" si="3176"/>
        <v>27558.22</v>
      </c>
      <c r="KO1367" s="97">
        <f t="shared" si="3176"/>
        <v>29033.81</v>
      </c>
      <c r="KP1367" s="97">
        <f t="shared" si="3176"/>
        <v>29767.77</v>
      </c>
      <c r="KQ1367" s="97">
        <f t="shared" si="3177"/>
        <v>0</v>
      </c>
      <c r="KR1367" s="97">
        <f t="shared" si="3177"/>
        <v>0</v>
      </c>
      <c r="KS1367" s="97">
        <f t="shared" si="3177"/>
        <v>0</v>
      </c>
      <c r="KT1367" s="102"/>
      <c r="KU1367" s="102"/>
      <c r="KV1367" s="102"/>
      <c r="KW1367" s="97">
        <f t="shared" si="3178"/>
        <v>0</v>
      </c>
      <c r="KX1367" s="97">
        <f t="shared" si="3179"/>
        <v>0</v>
      </c>
      <c r="KY1367" s="97">
        <f t="shared" si="3180"/>
        <v>0</v>
      </c>
      <c r="KZ1367" s="97">
        <f t="shared" si="3181"/>
        <v>0</v>
      </c>
      <c r="LA1367" s="97">
        <f t="shared" si="3182"/>
        <v>0</v>
      </c>
      <c r="LB1367" s="97">
        <f t="shared" si="3183"/>
        <v>0</v>
      </c>
      <c r="LC1367" s="268">
        <f>$F1367*LC$1370</f>
        <v>0</v>
      </c>
      <c r="LD1367" s="268">
        <f>$G1367*LD$1370</f>
        <v>0</v>
      </c>
      <c r="LE1367" s="268">
        <f>$H1367*LE$1370</f>
        <v>0</v>
      </c>
      <c r="LF1367" s="268">
        <f>$I1367*LF$1370</f>
        <v>0</v>
      </c>
      <c r="LG1367" s="268">
        <f>$J1367*LG$1370</f>
        <v>0</v>
      </c>
      <c r="LH1367" s="268">
        <f>$K1367*LH$1370</f>
        <v>0</v>
      </c>
      <c r="LI1367" s="97">
        <f t="shared" si="3184"/>
        <v>0</v>
      </c>
      <c r="LJ1367" s="97">
        <f t="shared" si="3184"/>
        <v>0</v>
      </c>
      <c r="LK1367" s="97">
        <f t="shared" si="3184"/>
        <v>0</v>
      </c>
      <c r="LL1367" s="97">
        <f t="shared" si="3185"/>
        <v>0</v>
      </c>
      <c r="LM1367" s="97">
        <f t="shared" si="3185"/>
        <v>0</v>
      </c>
      <c r="LN1367" s="97">
        <f t="shared" si="3185"/>
        <v>0</v>
      </c>
      <c r="LO1367" s="102"/>
      <c r="LP1367" s="102"/>
      <c r="LQ1367" s="102"/>
      <c r="LR1367" s="97">
        <f t="shared" si="3186"/>
        <v>0</v>
      </c>
      <c r="LS1367" s="97">
        <f t="shared" si="3187"/>
        <v>0</v>
      </c>
      <c r="LT1367" s="97">
        <f t="shared" si="3188"/>
        <v>0</v>
      </c>
      <c r="LU1367" s="97">
        <f t="shared" si="3189"/>
        <v>0</v>
      </c>
      <c r="LV1367" s="97">
        <f t="shared" si="3190"/>
        <v>0</v>
      </c>
      <c r="LW1367" s="97">
        <f t="shared" si="3191"/>
        <v>0</v>
      </c>
      <c r="LX1367" s="268">
        <f>$F1367*LX$1370</f>
        <v>39.919933951899999</v>
      </c>
      <c r="LY1367" s="268">
        <f>$G1367*LY$1370</f>
        <v>41.999912914500001</v>
      </c>
      <c r="LZ1367" s="268">
        <f>$H1367*LZ$1370</f>
        <v>43.049689626599999</v>
      </c>
      <c r="MA1367" s="268">
        <f>$I1367*MA$1370</f>
        <v>0</v>
      </c>
      <c r="MB1367" s="268">
        <f>$J1367*MB$1370</f>
        <v>0</v>
      </c>
      <c r="MC1367" s="268">
        <f>$K1367*MC$1370</f>
        <v>0</v>
      </c>
      <c r="MD1367" s="97">
        <f t="shared" si="3192"/>
        <v>0</v>
      </c>
      <c r="ME1367" s="97">
        <f t="shared" si="3192"/>
        <v>0</v>
      </c>
      <c r="MF1367" s="97">
        <f t="shared" si="3192"/>
        <v>0</v>
      </c>
      <c r="MG1367" s="97">
        <f t="shared" si="3193"/>
        <v>0</v>
      </c>
      <c r="MH1367" s="97">
        <f t="shared" si="3193"/>
        <v>0</v>
      </c>
      <c r="MI1367" s="97">
        <f t="shared" si="3193"/>
        <v>0</v>
      </c>
      <c r="MJ1367" s="102"/>
      <c r="MK1367" s="102"/>
      <c r="ML1367" s="102"/>
      <c r="MM1367" s="97">
        <f t="shared" si="3194"/>
        <v>0</v>
      </c>
      <c r="MN1367" s="97">
        <f t="shared" si="3195"/>
        <v>0</v>
      </c>
      <c r="MO1367" s="97">
        <f t="shared" si="3196"/>
        <v>0</v>
      </c>
      <c r="MP1367" s="97">
        <f t="shared" si="3197"/>
        <v>0</v>
      </c>
      <c r="MQ1367" s="97">
        <f t="shared" si="3198"/>
        <v>0</v>
      </c>
      <c r="MR1367" s="97">
        <f t="shared" si="3199"/>
        <v>0</v>
      </c>
      <c r="MS1367" s="268">
        <f>$F1367*MS$1370</f>
        <v>39.895330958300001</v>
      </c>
      <c r="MT1367" s="268">
        <f>$G1367*MT$1370</f>
        <v>42.0122145602</v>
      </c>
      <c r="MU1367" s="268">
        <f>$H1367*MU$1370</f>
        <v>43.046757261099998</v>
      </c>
      <c r="MV1367" s="268">
        <f>$I1367*MV$1370</f>
        <v>0</v>
      </c>
      <c r="MW1367" s="268">
        <f>$J1367*MW$1370</f>
        <v>0</v>
      </c>
      <c r="MX1367" s="268">
        <f>$K1367*MX$1370</f>
        <v>0</v>
      </c>
      <c r="MY1367" s="97">
        <f t="shared" si="3200"/>
        <v>0</v>
      </c>
      <c r="MZ1367" s="97">
        <f t="shared" si="3200"/>
        <v>0</v>
      </c>
      <c r="NA1367" s="97">
        <f t="shared" si="3200"/>
        <v>0</v>
      </c>
      <c r="NB1367" s="97">
        <f t="shared" si="3201"/>
        <v>0</v>
      </c>
      <c r="NC1367" s="97">
        <f t="shared" si="3201"/>
        <v>0</v>
      </c>
      <c r="ND1367" s="97">
        <f t="shared" si="3201"/>
        <v>0</v>
      </c>
      <c r="NE1367" s="102"/>
      <c r="NF1367" s="102"/>
      <c r="NG1367" s="102"/>
      <c r="NH1367" s="97">
        <f t="shared" si="3202"/>
        <v>0</v>
      </c>
      <c r="NI1367" s="97">
        <f t="shared" si="3203"/>
        <v>0</v>
      </c>
      <c r="NJ1367" s="97">
        <f t="shared" si="3204"/>
        <v>0</v>
      </c>
      <c r="NK1367" s="97">
        <f t="shared" si="3205"/>
        <v>0</v>
      </c>
      <c r="NL1367" s="97">
        <f t="shared" si="3206"/>
        <v>0</v>
      </c>
      <c r="NM1367" s="97">
        <f t="shared" si="3207"/>
        <v>0</v>
      </c>
      <c r="NN1367" s="268">
        <f>$F1367*NN$1370</f>
        <v>39.763328699100001</v>
      </c>
      <c r="NO1367" s="268">
        <f>$G1367*NO$1370</f>
        <v>42.008133948699999</v>
      </c>
      <c r="NP1367" s="268">
        <f>$H1367*NP$1370</f>
        <v>43.119424549900003</v>
      </c>
      <c r="NQ1367" s="268">
        <f>$I1367*NQ$1370</f>
        <v>0</v>
      </c>
      <c r="NR1367" s="268">
        <f>$J1367*NR$1370</f>
        <v>0</v>
      </c>
      <c r="NS1367" s="268">
        <f>$K1367*NS$1370</f>
        <v>0</v>
      </c>
      <c r="NT1367" s="97">
        <f t="shared" si="3208"/>
        <v>0</v>
      </c>
      <c r="NU1367" s="97">
        <f t="shared" si="3208"/>
        <v>0</v>
      </c>
      <c r="NV1367" s="97">
        <f t="shared" si="3208"/>
        <v>0</v>
      </c>
      <c r="NW1367" s="97">
        <f t="shared" si="3209"/>
        <v>0</v>
      </c>
      <c r="NX1367" s="97">
        <f t="shared" si="3209"/>
        <v>0</v>
      </c>
      <c r="NY1367" s="97">
        <f t="shared" si="3209"/>
        <v>0</v>
      </c>
      <c r="NZ1367" s="102"/>
      <c r="OA1367" s="102"/>
      <c r="OB1367" s="102"/>
      <c r="OC1367" s="97">
        <f t="shared" si="3210"/>
        <v>0</v>
      </c>
      <c r="OD1367" s="97">
        <f t="shared" si="3211"/>
        <v>0</v>
      </c>
      <c r="OE1367" s="97">
        <f t="shared" si="3212"/>
        <v>0</v>
      </c>
      <c r="OF1367" s="97">
        <f t="shared" si="3213"/>
        <v>0</v>
      </c>
      <c r="OG1367" s="97">
        <f t="shared" si="3214"/>
        <v>0</v>
      </c>
      <c r="OH1367" s="97">
        <f t="shared" si="3215"/>
        <v>0</v>
      </c>
      <c r="OI1367" s="268">
        <f>$F1367*OI$1370</f>
        <v>40.007716050500001</v>
      </c>
      <c r="OJ1367" s="268">
        <f>$G1367*OJ$1370</f>
        <v>41.994598763500001</v>
      </c>
      <c r="OK1367" s="268">
        <f>$H1367*OK$1370</f>
        <v>43.016975309099998</v>
      </c>
      <c r="OL1367" s="268">
        <f>$I1367*OL$1370</f>
        <v>0</v>
      </c>
      <c r="OM1367" s="268">
        <f>$J1367*OM$1370</f>
        <v>0</v>
      </c>
      <c r="ON1367" s="268">
        <f>$K1367*ON$1370</f>
        <v>0</v>
      </c>
      <c r="OO1367" s="97">
        <f t="shared" si="3216"/>
        <v>0</v>
      </c>
      <c r="OP1367" s="97">
        <f t="shared" si="3216"/>
        <v>0</v>
      </c>
      <c r="OQ1367" s="97">
        <f t="shared" si="3216"/>
        <v>0</v>
      </c>
      <c r="OR1367" s="97">
        <f t="shared" si="3217"/>
        <v>0</v>
      </c>
      <c r="OS1367" s="97">
        <f t="shared" si="3217"/>
        <v>0</v>
      </c>
      <c r="OT1367" s="97">
        <f t="shared" si="3217"/>
        <v>0</v>
      </c>
      <c r="OU1367" s="102">
        <v>518</v>
      </c>
      <c r="OV1367" s="102">
        <v>518</v>
      </c>
      <c r="OW1367" s="102">
        <v>518</v>
      </c>
      <c r="OX1367" s="97">
        <f t="shared" si="3218"/>
        <v>20528.34</v>
      </c>
      <c r="OY1367" s="97">
        <f t="shared" si="3219"/>
        <v>21662.76</v>
      </c>
      <c r="OZ1367" s="97">
        <f t="shared" si="3220"/>
        <v>22527.82</v>
      </c>
      <c r="PA1367" s="97">
        <f t="shared" si="3221"/>
        <v>0</v>
      </c>
      <c r="PB1367" s="97">
        <f t="shared" si="3222"/>
        <v>0</v>
      </c>
      <c r="PC1367" s="97">
        <f t="shared" si="3223"/>
        <v>0</v>
      </c>
      <c r="PD1367" s="268">
        <f>$F1367*PD$1370</f>
        <v>40.000655280399997</v>
      </c>
      <c r="PE1367" s="268">
        <f>$G1367*PE$1370</f>
        <v>42.038426148600003</v>
      </c>
      <c r="PF1367" s="268">
        <f>$H1367*PF$1370</f>
        <v>43.055336803099998</v>
      </c>
      <c r="PG1367" s="268">
        <f>$I1367*PG$1370</f>
        <v>0</v>
      </c>
      <c r="PH1367" s="268">
        <f>$J1367*PH$1370</f>
        <v>0</v>
      </c>
      <c r="PI1367" s="268">
        <f>$K1367*PI$1370</f>
        <v>0</v>
      </c>
      <c r="PJ1367" s="97">
        <f t="shared" si="3224"/>
        <v>20720.34</v>
      </c>
      <c r="PK1367" s="97">
        <f t="shared" si="3224"/>
        <v>21775.9</v>
      </c>
      <c r="PL1367" s="97">
        <f t="shared" si="3224"/>
        <v>22302.66</v>
      </c>
      <c r="PM1367" s="97">
        <f t="shared" si="3225"/>
        <v>0</v>
      </c>
      <c r="PN1367" s="97">
        <f t="shared" si="3225"/>
        <v>0</v>
      </c>
      <c r="PO1367" s="97">
        <f t="shared" si="3225"/>
        <v>0</v>
      </c>
      <c r="PP1367" s="102"/>
      <c r="PQ1367" s="102"/>
      <c r="PR1367" s="102"/>
      <c r="PS1367" s="97">
        <f t="shared" si="3226"/>
        <v>0</v>
      </c>
      <c r="PT1367" s="97">
        <f t="shared" si="3227"/>
        <v>0</v>
      </c>
      <c r="PU1367" s="97">
        <f t="shared" si="3228"/>
        <v>0</v>
      </c>
      <c r="PV1367" s="97">
        <f t="shared" si="3229"/>
        <v>0</v>
      </c>
      <c r="PW1367" s="97">
        <f t="shared" si="3230"/>
        <v>0</v>
      </c>
      <c r="PX1367" s="97">
        <f t="shared" si="3231"/>
        <v>0</v>
      </c>
      <c r="PY1367" s="268">
        <f>$F1367*PY$1370</f>
        <v>39.851564779199997</v>
      </c>
      <c r="PZ1367" s="268">
        <f>$G1367*PZ$1370</f>
        <v>42.022097353900001</v>
      </c>
      <c r="QA1367" s="268">
        <f>$H1367*QA$1370</f>
        <v>43.0600987754</v>
      </c>
      <c r="QB1367" s="268">
        <f>$I1367*QB$1370</f>
        <v>0</v>
      </c>
      <c r="QC1367" s="268">
        <f>$J1367*QC$1370</f>
        <v>0</v>
      </c>
      <c r="QD1367" s="268">
        <f>$K1367*QD$1370</f>
        <v>0</v>
      </c>
      <c r="QE1367" s="97">
        <f t="shared" si="3232"/>
        <v>0</v>
      </c>
      <c r="QF1367" s="97">
        <f t="shared" si="3232"/>
        <v>0</v>
      </c>
      <c r="QG1367" s="97">
        <f t="shared" si="3232"/>
        <v>0</v>
      </c>
      <c r="QH1367" s="97">
        <f t="shared" si="3233"/>
        <v>0</v>
      </c>
      <c r="QI1367" s="97">
        <f t="shared" si="3233"/>
        <v>0</v>
      </c>
      <c r="QJ1367" s="97">
        <f t="shared" si="3233"/>
        <v>0</v>
      </c>
      <c r="QK1367" s="102"/>
      <c r="QL1367" s="102"/>
      <c r="QM1367" s="102"/>
      <c r="QN1367" s="97">
        <f t="shared" si="3234"/>
        <v>0</v>
      </c>
      <c r="QO1367" s="97">
        <f t="shared" si="3235"/>
        <v>0</v>
      </c>
      <c r="QP1367" s="97">
        <f t="shared" si="3236"/>
        <v>0</v>
      </c>
      <c r="QQ1367" s="97">
        <f t="shared" si="3237"/>
        <v>0</v>
      </c>
      <c r="QR1367" s="97">
        <f t="shared" si="3238"/>
        <v>0</v>
      </c>
      <c r="QS1367" s="97">
        <f t="shared" si="3239"/>
        <v>0</v>
      </c>
      <c r="QT1367" s="268">
        <f>$F1367*QT$1370</f>
        <v>0</v>
      </c>
      <c r="QU1367" s="268">
        <f>$G1367*QU$1370</f>
        <v>0</v>
      </c>
      <c r="QV1367" s="268">
        <f>$H1367*QV$1370</f>
        <v>0</v>
      </c>
      <c r="QW1367" s="268">
        <f>$I1367*QW$1370</f>
        <v>0</v>
      </c>
      <c r="QX1367" s="268">
        <f>$J1367*QX$1370</f>
        <v>0</v>
      </c>
      <c r="QY1367" s="268">
        <f>$K1367*QY$1370</f>
        <v>0</v>
      </c>
      <c r="QZ1367" s="97">
        <f t="shared" si="3240"/>
        <v>0</v>
      </c>
      <c r="RA1367" s="97">
        <f t="shared" si="3240"/>
        <v>0</v>
      </c>
      <c r="RB1367" s="97">
        <f t="shared" si="3240"/>
        <v>0</v>
      </c>
      <c r="RC1367" s="97">
        <f t="shared" si="3241"/>
        <v>0</v>
      </c>
      <c r="RD1367" s="97">
        <f t="shared" si="3241"/>
        <v>0</v>
      </c>
      <c r="RE1367" s="97">
        <f t="shared" si="3241"/>
        <v>0</v>
      </c>
      <c r="RF1367" s="102">
        <v>2074</v>
      </c>
      <c r="RG1367" s="102">
        <v>2074</v>
      </c>
      <c r="RH1367" s="102">
        <v>2074</v>
      </c>
      <c r="RI1367" s="97">
        <f t="shared" si="3242"/>
        <v>82192.62</v>
      </c>
      <c r="RJ1367" s="97">
        <f t="shared" si="3243"/>
        <v>86734.68</v>
      </c>
      <c r="RK1367" s="97">
        <f t="shared" si="3244"/>
        <v>90198.26</v>
      </c>
      <c r="RL1367" s="97">
        <f t="shared" si="3245"/>
        <v>0</v>
      </c>
      <c r="RM1367" s="97">
        <f t="shared" si="3246"/>
        <v>0</v>
      </c>
      <c r="RN1367" s="97">
        <f t="shared" si="3247"/>
        <v>0</v>
      </c>
      <c r="RO1367" s="268">
        <f>$F1367*RO$1370</f>
        <v>39.966125970500002</v>
      </c>
      <c r="RP1367" s="268">
        <f>$G1367*RP$1370</f>
        <v>41.9896076343</v>
      </c>
      <c r="RQ1367" s="268">
        <f>$H1367*RQ$1370</f>
        <v>43.017707524099997</v>
      </c>
      <c r="RR1367" s="268">
        <f>$I1367*RR$1370</f>
        <v>0</v>
      </c>
      <c r="RS1367" s="268">
        <f>$J1367*RS$1370</f>
        <v>0</v>
      </c>
      <c r="RT1367" s="268">
        <f>$K1367*RT$1370</f>
        <v>0</v>
      </c>
      <c r="RU1367" s="97">
        <f t="shared" si="3248"/>
        <v>82889.75</v>
      </c>
      <c r="RV1367" s="97">
        <f t="shared" si="3248"/>
        <v>87086.45</v>
      </c>
      <c r="RW1367" s="97">
        <f t="shared" si="3248"/>
        <v>89218.73</v>
      </c>
      <c r="RX1367" s="97">
        <f t="shared" si="3249"/>
        <v>0</v>
      </c>
      <c r="RY1367" s="97">
        <f t="shared" si="3249"/>
        <v>0</v>
      </c>
      <c r="RZ1367" s="97">
        <f t="shared" si="3249"/>
        <v>0</v>
      </c>
      <c r="SA1367" s="102"/>
      <c r="SB1367" s="102"/>
      <c r="SC1367" s="102"/>
      <c r="SD1367" s="97">
        <f t="shared" si="3250"/>
        <v>0</v>
      </c>
      <c r="SE1367" s="97">
        <f t="shared" si="3251"/>
        <v>0</v>
      </c>
      <c r="SF1367" s="97">
        <f t="shared" si="3252"/>
        <v>0</v>
      </c>
      <c r="SG1367" s="97">
        <f t="shared" si="3253"/>
        <v>0</v>
      </c>
      <c r="SH1367" s="97">
        <f t="shared" si="3254"/>
        <v>0</v>
      </c>
      <c r="SI1367" s="97">
        <f t="shared" si="3255"/>
        <v>0</v>
      </c>
      <c r="SJ1367" s="268">
        <f>$F1367*SJ$1370</f>
        <v>39.870117639</v>
      </c>
      <c r="SK1367" s="268">
        <f>$G1367*SK$1370</f>
        <v>42.004934534599997</v>
      </c>
      <c r="SL1367" s="268">
        <f>$H1367*SL$1370</f>
        <v>43.0668057249</v>
      </c>
      <c r="SM1367" s="268">
        <f>$I1367*SM$1370</f>
        <v>0</v>
      </c>
      <c r="SN1367" s="268">
        <f>$J1367*SN$1370</f>
        <v>0</v>
      </c>
      <c r="SO1367" s="268">
        <f>$K1367*SO$1370</f>
        <v>0</v>
      </c>
      <c r="SP1367" s="97">
        <f t="shared" si="3256"/>
        <v>0</v>
      </c>
      <c r="SQ1367" s="97">
        <f t="shared" si="3256"/>
        <v>0</v>
      </c>
      <c r="SR1367" s="97">
        <f t="shared" si="3256"/>
        <v>0</v>
      </c>
      <c r="SS1367" s="97">
        <f t="shared" si="3257"/>
        <v>0</v>
      </c>
      <c r="ST1367" s="97">
        <f t="shared" si="3257"/>
        <v>0</v>
      </c>
      <c r="SU1367" s="97">
        <f t="shared" si="3257"/>
        <v>0</v>
      </c>
      <c r="SV1367" s="102"/>
      <c r="SW1367" s="102"/>
      <c r="SX1367" s="102"/>
      <c r="SY1367" s="97">
        <f t="shared" si="3258"/>
        <v>0</v>
      </c>
      <c r="SZ1367" s="97">
        <f t="shared" si="3259"/>
        <v>0</v>
      </c>
      <c r="TA1367" s="97">
        <f t="shared" si="3260"/>
        <v>0</v>
      </c>
      <c r="TB1367" s="97">
        <f t="shared" si="3261"/>
        <v>0</v>
      </c>
      <c r="TC1367" s="97">
        <f t="shared" si="3262"/>
        <v>0</v>
      </c>
      <c r="TD1367" s="97">
        <f t="shared" si="3263"/>
        <v>0</v>
      </c>
      <c r="TE1367" s="268">
        <f>$F1367*TE$1370</f>
        <v>39.829617086699997</v>
      </c>
      <c r="TF1367" s="268">
        <f>$G1367*TF$1370</f>
        <v>41.987823020199997</v>
      </c>
      <c r="TG1367" s="268">
        <f>$H1367*TG$1370</f>
        <v>43.073534632499999</v>
      </c>
      <c r="TH1367" s="268">
        <f>$I1367*TH$1370</f>
        <v>0</v>
      </c>
      <c r="TI1367" s="268">
        <f>$J1367*TI$1370</f>
        <v>0</v>
      </c>
      <c r="TJ1367" s="268">
        <f>$K1367*TJ$1370</f>
        <v>0</v>
      </c>
      <c r="TK1367" s="97">
        <f t="shared" si="3264"/>
        <v>0</v>
      </c>
      <c r="TL1367" s="97">
        <f t="shared" si="3264"/>
        <v>0</v>
      </c>
      <c r="TM1367" s="97">
        <f t="shared" si="3264"/>
        <v>0</v>
      </c>
      <c r="TN1367" s="97">
        <f t="shared" si="3265"/>
        <v>0</v>
      </c>
      <c r="TO1367" s="97">
        <f t="shared" si="3265"/>
        <v>0</v>
      </c>
      <c r="TP1367" s="97">
        <f t="shared" si="3265"/>
        <v>0</v>
      </c>
      <c r="TQ1367" s="102"/>
      <c r="TR1367" s="102"/>
      <c r="TS1367" s="102"/>
      <c r="TT1367" s="97">
        <f t="shared" si="3266"/>
        <v>0</v>
      </c>
      <c r="TU1367" s="97">
        <f t="shared" si="3267"/>
        <v>0</v>
      </c>
      <c r="TV1367" s="97">
        <f t="shared" si="3268"/>
        <v>0</v>
      </c>
      <c r="TW1367" s="97">
        <f t="shared" si="3269"/>
        <v>0</v>
      </c>
      <c r="TX1367" s="97">
        <f t="shared" si="3270"/>
        <v>0</v>
      </c>
      <c r="TY1367" s="97">
        <f t="shared" si="3271"/>
        <v>0</v>
      </c>
      <c r="TZ1367" s="268">
        <f>$F1367*TZ$1370</f>
        <v>39.877716437799997</v>
      </c>
      <c r="UA1367" s="268">
        <f>$G1367*UA$1370</f>
        <v>42.011377449299999</v>
      </c>
      <c r="UB1367" s="268">
        <f>$H1367*UB$1370</f>
        <v>43.1002120944</v>
      </c>
      <c r="UC1367" s="268">
        <f>$I1367*UC$1370</f>
        <v>0</v>
      </c>
      <c r="UD1367" s="268">
        <f>$J1367*UD$1370</f>
        <v>0</v>
      </c>
      <c r="UE1367" s="268">
        <f>$K1367*UE$1370</f>
        <v>0</v>
      </c>
      <c r="UF1367" s="97">
        <f t="shared" si="3272"/>
        <v>0</v>
      </c>
      <c r="UG1367" s="97">
        <f t="shared" si="3272"/>
        <v>0</v>
      </c>
      <c r="UH1367" s="97">
        <f t="shared" si="3272"/>
        <v>0</v>
      </c>
      <c r="UI1367" s="97">
        <f t="shared" si="3273"/>
        <v>0</v>
      </c>
      <c r="UJ1367" s="97">
        <f t="shared" si="3273"/>
        <v>0</v>
      </c>
      <c r="UK1367" s="97">
        <f t="shared" si="3273"/>
        <v>0</v>
      </c>
      <c r="UL1367" s="102">
        <v>864</v>
      </c>
      <c r="UM1367" s="102">
        <v>864</v>
      </c>
      <c r="UN1367" s="102">
        <v>864</v>
      </c>
      <c r="UO1367" s="97">
        <f t="shared" si="3274"/>
        <v>34240.32</v>
      </c>
      <c r="UP1367" s="97">
        <f t="shared" si="3275"/>
        <v>36132.480000000003</v>
      </c>
      <c r="UQ1367" s="97">
        <f t="shared" si="3276"/>
        <v>37575.360000000001</v>
      </c>
      <c r="UR1367" s="97">
        <f t="shared" si="3277"/>
        <v>0</v>
      </c>
      <c r="US1367" s="97">
        <f t="shared" si="3278"/>
        <v>0</v>
      </c>
      <c r="UT1367" s="97">
        <f t="shared" si="3279"/>
        <v>0</v>
      </c>
      <c r="UU1367" s="268">
        <f>$F1367*UU$1370</f>
        <v>40.046296295399998</v>
      </c>
      <c r="UV1367" s="268">
        <f>$G1367*UV$1370</f>
        <v>42.013888890899999</v>
      </c>
      <c r="UW1367" s="268">
        <f>$H1367*UW$1370</f>
        <v>43.055555553399998</v>
      </c>
      <c r="UX1367" s="268">
        <f>$I1367*UX$1370</f>
        <v>0</v>
      </c>
      <c r="UY1367" s="268">
        <f>$J1367*UY$1370</f>
        <v>0</v>
      </c>
      <c r="UZ1367" s="268">
        <f>$K1367*UZ$1370</f>
        <v>0</v>
      </c>
      <c r="VA1367" s="97">
        <f t="shared" si="3280"/>
        <v>34600</v>
      </c>
      <c r="VB1367" s="97">
        <f t="shared" si="3280"/>
        <v>36300</v>
      </c>
      <c r="VC1367" s="97">
        <f t="shared" si="3280"/>
        <v>37200</v>
      </c>
      <c r="VD1367" s="97">
        <f t="shared" si="3281"/>
        <v>0</v>
      </c>
      <c r="VE1367" s="97">
        <f t="shared" si="3281"/>
        <v>0</v>
      </c>
      <c r="VF1367" s="97">
        <f t="shared" si="3281"/>
        <v>0</v>
      </c>
      <c r="VG1367" s="102"/>
      <c r="VH1367" s="102"/>
      <c r="VI1367" s="102"/>
      <c r="VJ1367" s="97">
        <f t="shared" si="3282"/>
        <v>0</v>
      </c>
      <c r="VK1367" s="97">
        <f t="shared" si="3283"/>
        <v>0</v>
      </c>
      <c r="VL1367" s="97">
        <f t="shared" si="3284"/>
        <v>0</v>
      </c>
      <c r="VM1367" s="97">
        <f t="shared" si="3285"/>
        <v>0</v>
      </c>
      <c r="VN1367" s="97">
        <f t="shared" si="3286"/>
        <v>0</v>
      </c>
      <c r="VO1367" s="97">
        <f t="shared" si="3287"/>
        <v>0</v>
      </c>
      <c r="VP1367" s="268">
        <f>$F1367*VP$1370</f>
        <v>39.830367369800001</v>
      </c>
      <c r="VQ1367" s="268">
        <f>$G1367*VQ$1370</f>
        <v>42.029318304599997</v>
      </c>
      <c r="VR1367" s="268">
        <f>$H1367*VR$1370</f>
        <v>43.0676119556</v>
      </c>
      <c r="VS1367" s="268">
        <f>$I1367*VS$1370</f>
        <v>0</v>
      </c>
      <c r="VT1367" s="268">
        <f>$J1367*VT$1370</f>
        <v>0</v>
      </c>
      <c r="VU1367" s="268">
        <f>$K1367*VU$1370</f>
        <v>0</v>
      </c>
      <c r="VV1367" s="97">
        <f t="shared" si="3288"/>
        <v>0</v>
      </c>
      <c r="VW1367" s="97">
        <f t="shared" si="3288"/>
        <v>0</v>
      </c>
      <c r="VX1367" s="97">
        <f t="shared" si="3288"/>
        <v>0</v>
      </c>
      <c r="VY1367" s="97">
        <f t="shared" si="3289"/>
        <v>0</v>
      </c>
      <c r="VZ1367" s="97">
        <f t="shared" si="3289"/>
        <v>0</v>
      </c>
      <c r="WA1367" s="97">
        <f t="shared" si="3289"/>
        <v>0</v>
      </c>
      <c r="WB1367" s="102"/>
      <c r="WC1367" s="102"/>
      <c r="WD1367" s="102"/>
      <c r="WE1367" s="97">
        <f t="shared" si="3290"/>
        <v>0</v>
      </c>
      <c r="WF1367" s="97">
        <f t="shared" si="3291"/>
        <v>0</v>
      </c>
      <c r="WG1367" s="97">
        <f t="shared" si="3292"/>
        <v>0</v>
      </c>
      <c r="WH1367" s="97">
        <f t="shared" si="3293"/>
        <v>0</v>
      </c>
      <c r="WI1367" s="97">
        <f t="shared" si="3294"/>
        <v>0</v>
      </c>
      <c r="WJ1367" s="97">
        <f t="shared" si="3295"/>
        <v>0</v>
      </c>
      <c r="WK1367" s="268">
        <f>$F1367*WK$1370</f>
        <v>0</v>
      </c>
      <c r="WL1367" s="268">
        <f>$G1367*WL$1370</f>
        <v>0</v>
      </c>
      <c r="WM1367" s="268">
        <f>$H1367*WM$1370</f>
        <v>0</v>
      </c>
      <c r="WN1367" s="268">
        <f>$I1367*WN$1370</f>
        <v>0</v>
      </c>
      <c r="WO1367" s="268">
        <f>$J1367*WO$1370</f>
        <v>0</v>
      </c>
      <c r="WP1367" s="268">
        <f>$K1367*WP$1370</f>
        <v>0</v>
      </c>
      <c r="WQ1367" s="97">
        <f t="shared" si="3296"/>
        <v>0</v>
      </c>
      <c r="WR1367" s="97">
        <f t="shared" si="3296"/>
        <v>0</v>
      </c>
      <c r="WS1367" s="97">
        <f t="shared" si="3296"/>
        <v>0</v>
      </c>
      <c r="WT1367" s="97">
        <f t="shared" si="3297"/>
        <v>0</v>
      </c>
      <c r="WU1367" s="97">
        <f t="shared" si="3297"/>
        <v>0</v>
      </c>
      <c r="WV1367" s="97">
        <f t="shared" si="3297"/>
        <v>0</v>
      </c>
      <c r="WW1367" s="102"/>
      <c r="WX1367" s="102"/>
      <c r="WY1367" s="102"/>
      <c r="WZ1367" s="97">
        <f t="shared" si="3298"/>
        <v>0</v>
      </c>
      <c r="XA1367" s="97">
        <f t="shared" si="3299"/>
        <v>0</v>
      </c>
      <c r="XB1367" s="97">
        <f t="shared" si="3300"/>
        <v>0</v>
      </c>
      <c r="XC1367" s="97">
        <f t="shared" si="3301"/>
        <v>0</v>
      </c>
      <c r="XD1367" s="97">
        <f t="shared" si="3302"/>
        <v>0</v>
      </c>
      <c r="XE1367" s="97">
        <f t="shared" si="3303"/>
        <v>0</v>
      </c>
      <c r="XF1367" s="268">
        <f>$F1367*XF$1370</f>
        <v>0</v>
      </c>
      <c r="XG1367" s="268">
        <f>$G1367*XG$1370</f>
        <v>0</v>
      </c>
      <c r="XH1367" s="268">
        <f>$H1367*XH$1370</f>
        <v>0</v>
      </c>
      <c r="XI1367" s="268">
        <f>$I1367*XI$1370</f>
        <v>0</v>
      </c>
      <c r="XJ1367" s="268">
        <f>$J1367*XJ$1370</f>
        <v>0</v>
      </c>
      <c r="XK1367" s="268">
        <f>$K1367*XK$1370</f>
        <v>0</v>
      </c>
      <c r="XL1367" s="97">
        <f t="shared" si="3304"/>
        <v>0</v>
      </c>
      <c r="XM1367" s="97">
        <f t="shared" si="3304"/>
        <v>0</v>
      </c>
      <c r="XN1367" s="97">
        <f t="shared" si="3304"/>
        <v>0</v>
      </c>
      <c r="XO1367" s="97">
        <f t="shared" si="3305"/>
        <v>0</v>
      </c>
      <c r="XP1367" s="97">
        <f t="shared" si="3305"/>
        <v>0</v>
      </c>
      <c r="XQ1367" s="97">
        <f t="shared" si="3305"/>
        <v>0</v>
      </c>
      <c r="XR1367" s="102"/>
      <c r="XS1367" s="102"/>
      <c r="XT1367" s="102"/>
      <c r="XU1367" s="97">
        <f t="shared" si="3306"/>
        <v>0</v>
      </c>
      <c r="XV1367" s="97">
        <f t="shared" si="3307"/>
        <v>0</v>
      </c>
      <c r="XW1367" s="97">
        <f t="shared" si="3308"/>
        <v>0</v>
      </c>
      <c r="XX1367" s="97">
        <f t="shared" si="3309"/>
        <v>0</v>
      </c>
      <c r="XY1367" s="97">
        <f t="shared" si="3310"/>
        <v>0</v>
      </c>
      <c r="XZ1367" s="97">
        <f t="shared" si="3311"/>
        <v>0</v>
      </c>
      <c r="YA1367" s="268">
        <f>$F1367*YA$1370</f>
        <v>39.999999998299998</v>
      </c>
      <c r="YB1367" s="268">
        <f>$G1367*YB$1370</f>
        <v>41.344880286799999</v>
      </c>
      <c r="YC1367" s="268">
        <f>$H1367*YC$1370</f>
        <v>48.273051453599997</v>
      </c>
      <c r="YD1367" s="268">
        <f>$I1367*YD$1370</f>
        <v>0</v>
      </c>
      <c r="YE1367" s="268">
        <f>$J1367*YE$1370</f>
        <v>0</v>
      </c>
      <c r="YF1367" s="268">
        <f>$K1367*YF$1370</f>
        <v>0</v>
      </c>
      <c r="YG1367" s="97">
        <f t="shared" si="3312"/>
        <v>0</v>
      </c>
      <c r="YH1367" s="97">
        <f t="shared" si="3312"/>
        <v>0</v>
      </c>
      <c r="YI1367" s="97">
        <f t="shared" si="3312"/>
        <v>0</v>
      </c>
      <c r="YJ1367" s="97">
        <f t="shared" si="3313"/>
        <v>0</v>
      </c>
      <c r="YK1367" s="97">
        <f t="shared" si="3313"/>
        <v>0</v>
      </c>
      <c r="YL1367" s="97">
        <f t="shared" si="3313"/>
        <v>0</v>
      </c>
      <c r="YM1367" s="145">
        <f t="shared" si="3314"/>
        <v>10023</v>
      </c>
      <c r="YN1367" s="145">
        <f t="shared" si="3314"/>
        <v>10023</v>
      </c>
      <c r="YO1367" s="145">
        <f t="shared" si="3314"/>
        <v>10023</v>
      </c>
      <c r="YP1367" s="97">
        <f t="shared" si="3315"/>
        <v>397211.49</v>
      </c>
      <c r="YQ1367" s="97">
        <f t="shared" si="3316"/>
        <v>419161.86</v>
      </c>
      <c r="YR1367" s="97">
        <f t="shared" si="3317"/>
        <v>435900.27</v>
      </c>
      <c r="YS1367" s="97">
        <f t="shared" si="3318"/>
        <v>0</v>
      </c>
      <c r="YT1367" s="97">
        <f t="shared" si="3319"/>
        <v>0</v>
      </c>
      <c r="YU1367" s="97">
        <f t="shared" si="3320"/>
        <v>0</v>
      </c>
      <c r="YV1367" s="268">
        <f>$F1367*YV$1370</f>
        <v>39.922438722400003</v>
      </c>
      <c r="YW1367" s="268">
        <f>$G1367*YW$1370</f>
        <v>41.938642118899999</v>
      </c>
      <c r="YX1367" s="268">
        <f>$H1367*YX$1370</f>
        <v>43.601430143199998</v>
      </c>
      <c r="YY1367" s="268">
        <f>$I1367*YY$1370</f>
        <v>0</v>
      </c>
      <c r="YZ1367" s="268">
        <f>$J1367*YZ$1370</f>
        <v>0</v>
      </c>
      <c r="ZA1367" s="268">
        <f>$K1367*ZA$1370</f>
        <v>0</v>
      </c>
      <c r="ZB1367" s="97">
        <f t="shared" si="3321"/>
        <v>400142.6</v>
      </c>
      <c r="ZC1367" s="97">
        <f t="shared" si="3321"/>
        <v>420351.01</v>
      </c>
      <c r="ZD1367" s="97">
        <f t="shared" si="3321"/>
        <v>437017.13</v>
      </c>
      <c r="ZE1367" s="97">
        <f t="shared" si="3322"/>
        <v>0</v>
      </c>
      <c r="ZF1367" s="97">
        <f t="shared" si="3322"/>
        <v>0</v>
      </c>
      <c r="ZG1367" s="97">
        <f t="shared" si="3322"/>
        <v>0</v>
      </c>
    </row>
    <row r="1368" spans="1:684" s="68" customFormat="1" ht="36" customHeight="1" x14ac:dyDescent="0.25">
      <c r="A1368" s="184" t="s">
        <v>716</v>
      </c>
      <c r="B1368" s="332"/>
      <c r="C1368" s="186"/>
      <c r="D1368" s="351"/>
      <c r="E1368" s="187"/>
      <c r="F1368" s="187"/>
      <c r="G1368" s="187"/>
      <c r="H1368" s="187"/>
      <c r="I1368" s="188"/>
      <c r="J1368" s="188"/>
      <c r="K1368" s="188"/>
      <c r="L1368" s="188"/>
      <c r="M1368" s="188"/>
      <c r="N1368" s="188"/>
      <c r="O1368" s="188"/>
      <c r="P1368" s="188"/>
      <c r="Q1368" s="188"/>
      <c r="R1368" s="188"/>
      <c r="S1368" s="188"/>
      <c r="T1368" s="188"/>
      <c r="U1368" s="188"/>
      <c r="V1368" s="188"/>
      <c r="W1368" s="188"/>
      <c r="X1368" s="188"/>
      <c r="Y1368" s="188"/>
      <c r="Z1368" s="188"/>
      <c r="AA1368" s="188"/>
      <c r="AB1368" s="188"/>
      <c r="AC1368" s="188"/>
      <c r="AD1368" s="188"/>
      <c r="AE1368" s="188"/>
      <c r="AF1368" s="188"/>
      <c r="AG1368" s="188"/>
      <c r="AH1368" s="188"/>
      <c r="AI1368" s="188"/>
      <c r="AJ1368" s="188"/>
      <c r="AK1368" s="188"/>
      <c r="AL1368" s="188"/>
      <c r="AM1368" s="188"/>
      <c r="AN1368" s="188"/>
      <c r="AO1368" s="188"/>
      <c r="AP1368" s="188"/>
      <c r="AQ1368" s="188"/>
      <c r="AR1368" s="188"/>
      <c r="AS1368" s="188"/>
      <c r="AT1368" s="188"/>
      <c r="AU1368" s="188"/>
      <c r="AV1368" s="188"/>
      <c r="AW1368" s="188"/>
      <c r="AX1368" s="188"/>
      <c r="AY1368" s="188"/>
      <c r="AZ1368" s="188"/>
      <c r="BA1368" s="188"/>
      <c r="BB1368" s="188"/>
      <c r="BC1368" s="188"/>
      <c r="BD1368" s="188"/>
      <c r="BE1368" s="188"/>
      <c r="BF1368" s="188"/>
      <c r="BG1368" s="188"/>
      <c r="BH1368" s="188"/>
      <c r="BI1368" s="188"/>
      <c r="BJ1368" s="188"/>
      <c r="BK1368" s="188"/>
      <c r="BL1368" s="188"/>
      <c r="BM1368" s="188"/>
      <c r="BN1368" s="188"/>
      <c r="BO1368" s="188"/>
      <c r="BP1368" s="188"/>
      <c r="BQ1368" s="188"/>
      <c r="BR1368" s="188"/>
      <c r="BS1368" s="188"/>
      <c r="BT1368" s="188"/>
      <c r="BU1368" s="188"/>
      <c r="BV1368" s="188"/>
      <c r="BW1368" s="188"/>
      <c r="BX1368" s="188"/>
      <c r="BY1368" s="188"/>
      <c r="BZ1368" s="188"/>
      <c r="CA1368" s="188"/>
      <c r="CB1368" s="188"/>
      <c r="CC1368" s="188"/>
      <c r="CD1368" s="188"/>
      <c r="CE1368" s="188"/>
      <c r="CF1368" s="188"/>
      <c r="CG1368" s="188"/>
      <c r="CH1368" s="188"/>
      <c r="CI1368" s="188"/>
      <c r="CJ1368" s="188"/>
      <c r="CK1368" s="188"/>
      <c r="CL1368" s="188"/>
      <c r="CM1368" s="188"/>
      <c r="CN1368" s="188"/>
      <c r="CO1368" s="188"/>
      <c r="CP1368" s="188"/>
      <c r="CQ1368" s="188"/>
      <c r="CR1368" s="188"/>
      <c r="CS1368" s="188"/>
      <c r="CT1368" s="188"/>
      <c r="CU1368" s="188"/>
      <c r="CV1368" s="188"/>
      <c r="CW1368" s="188"/>
      <c r="CX1368" s="188"/>
      <c r="CY1368" s="188"/>
      <c r="CZ1368" s="188"/>
      <c r="DA1368" s="188"/>
      <c r="DB1368" s="188"/>
      <c r="DC1368" s="188"/>
      <c r="DD1368" s="188"/>
      <c r="DE1368" s="188"/>
      <c r="DF1368" s="188"/>
      <c r="DG1368" s="188"/>
      <c r="DH1368" s="188"/>
      <c r="DI1368" s="188"/>
      <c r="DJ1368" s="188"/>
      <c r="DK1368" s="188"/>
      <c r="DL1368" s="188"/>
      <c r="DM1368" s="188"/>
      <c r="DN1368" s="188"/>
      <c r="DO1368" s="188"/>
      <c r="DP1368" s="188"/>
      <c r="DQ1368" s="188"/>
      <c r="DR1368" s="188"/>
      <c r="DS1368" s="188"/>
      <c r="DT1368" s="188"/>
      <c r="DU1368" s="188"/>
      <c r="DV1368" s="188"/>
      <c r="DW1368" s="188"/>
      <c r="DX1368" s="188"/>
      <c r="DY1368" s="188"/>
      <c r="DZ1368" s="188"/>
      <c r="EA1368" s="188"/>
      <c r="EB1368" s="188"/>
      <c r="EC1368" s="188"/>
      <c r="ED1368" s="188"/>
      <c r="EE1368" s="188"/>
      <c r="EF1368" s="188"/>
      <c r="EG1368" s="188"/>
      <c r="EH1368" s="188"/>
      <c r="EI1368" s="188"/>
      <c r="EJ1368" s="188"/>
      <c r="EK1368" s="188"/>
      <c r="EL1368" s="188"/>
      <c r="EM1368" s="188"/>
      <c r="EN1368" s="188"/>
      <c r="EO1368" s="188"/>
      <c r="EP1368" s="188"/>
      <c r="EQ1368" s="188"/>
      <c r="ER1368" s="188"/>
      <c r="ES1368" s="188"/>
      <c r="ET1368" s="188"/>
      <c r="EU1368" s="188"/>
      <c r="EV1368" s="188"/>
      <c r="EW1368" s="188"/>
      <c r="EX1368" s="188"/>
      <c r="EY1368" s="188"/>
      <c r="EZ1368" s="188"/>
      <c r="FA1368" s="188"/>
      <c r="FB1368" s="188"/>
      <c r="FC1368" s="188"/>
      <c r="FD1368" s="188"/>
      <c r="FE1368" s="188"/>
      <c r="FF1368" s="188"/>
      <c r="FG1368" s="188"/>
      <c r="FH1368" s="188"/>
      <c r="FI1368" s="188"/>
      <c r="FJ1368" s="188"/>
      <c r="FK1368" s="188"/>
      <c r="FL1368" s="188"/>
      <c r="FM1368" s="188"/>
      <c r="FN1368" s="188"/>
      <c r="FO1368" s="188"/>
      <c r="FP1368" s="188"/>
      <c r="FQ1368" s="188"/>
      <c r="FR1368" s="188"/>
      <c r="FS1368" s="188"/>
      <c r="FT1368" s="188"/>
      <c r="FU1368" s="188"/>
      <c r="FV1368" s="188"/>
      <c r="FW1368" s="188"/>
      <c r="FX1368" s="188"/>
      <c r="FY1368" s="188"/>
      <c r="FZ1368" s="188"/>
      <c r="GA1368" s="188"/>
      <c r="GB1368" s="188"/>
      <c r="GC1368" s="188"/>
      <c r="GD1368" s="188"/>
      <c r="GE1368" s="188"/>
      <c r="GF1368" s="188"/>
      <c r="GG1368" s="188"/>
      <c r="GH1368" s="188"/>
      <c r="GI1368" s="188"/>
      <c r="GJ1368" s="188"/>
      <c r="GK1368" s="188"/>
      <c r="GL1368" s="188"/>
      <c r="GM1368" s="188"/>
      <c r="GN1368" s="188"/>
      <c r="GO1368" s="188"/>
      <c r="GP1368" s="188"/>
      <c r="GQ1368" s="188"/>
      <c r="GR1368" s="188"/>
      <c r="GS1368" s="188"/>
      <c r="GT1368" s="188"/>
      <c r="GU1368" s="188"/>
      <c r="GV1368" s="188"/>
      <c r="GW1368" s="188"/>
      <c r="GX1368" s="188"/>
      <c r="GY1368" s="188"/>
      <c r="GZ1368" s="188"/>
      <c r="HA1368" s="188"/>
      <c r="HB1368" s="188"/>
      <c r="HC1368" s="188"/>
      <c r="HD1368" s="188"/>
      <c r="HE1368" s="188"/>
      <c r="HF1368" s="188"/>
      <c r="HG1368" s="188"/>
      <c r="HH1368" s="188"/>
      <c r="HI1368" s="188"/>
      <c r="HJ1368" s="188"/>
      <c r="HK1368" s="188"/>
      <c r="HL1368" s="188"/>
      <c r="HM1368" s="188"/>
      <c r="HN1368" s="188"/>
      <c r="HO1368" s="188"/>
      <c r="HP1368" s="188"/>
      <c r="HQ1368" s="188"/>
      <c r="HR1368" s="188"/>
      <c r="HS1368" s="188"/>
      <c r="HT1368" s="188"/>
      <c r="HU1368" s="188"/>
      <c r="HV1368" s="188"/>
      <c r="HW1368" s="188"/>
      <c r="HX1368" s="188"/>
      <c r="HY1368" s="188"/>
      <c r="HZ1368" s="188"/>
      <c r="IA1368" s="188"/>
      <c r="IB1368" s="188"/>
      <c r="IC1368" s="188"/>
      <c r="ID1368" s="188"/>
      <c r="IE1368" s="188"/>
      <c r="IF1368" s="188"/>
      <c r="IG1368" s="188"/>
      <c r="IH1368" s="188"/>
      <c r="II1368" s="188"/>
      <c r="IJ1368" s="188"/>
      <c r="IK1368" s="188"/>
      <c r="IL1368" s="188"/>
      <c r="IM1368" s="188"/>
      <c r="IN1368" s="188"/>
      <c r="IO1368" s="188"/>
      <c r="IP1368" s="188"/>
      <c r="IQ1368" s="188"/>
      <c r="IR1368" s="188"/>
      <c r="IS1368" s="188"/>
      <c r="IT1368" s="188"/>
      <c r="IU1368" s="188"/>
      <c r="IV1368" s="188"/>
      <c r="IW1368" s="188"/>
      <c r="IX1368" s="188"/>
      <c r="IY1368" s="188"/>
      <c r="IZ1368" s="188"/>
      <c r="JA1368" s="188"/>
      <c r="JB1368" s="188"/>
      <c r="JC1368" s="188"/>
      <c r="JD1368" s="188"/>
      <c r="JE1368" s="188"/>
      <c r="JF1368" s="188"/>
      <c r="JG1368" s="188"/>
      <c r="JH1368" s="188"/>
      <c r="JI1368" s="188"/>
      <c r="JJ1368" s="188"/>
      <c r="JK1368" s="188"/>
      <c r="JL1368" s="188"/>
      <c r="JM1368" s="188"/>
      <c r="JN1368" s="188"/>
      <c r="JO1368" s="188"/>
      <c r="JP1368" s="188"/>
      <c r="JQ1368" s="188"/>
      <c r="JR1368" s="188"/>
      <c r="JS1368" s="188"/>
      <c r="JT1368" s="188"/>
      <c r="JU1368" s="188"/>
      <c r="JV1368" s="188"/>
      <c r="JW1368" s="188"/>
      <c r="JX1368" s="188"/>
      <c r="JY1368" s="188"/>
      <c r="JZ1368" s="188"/>
      <c r="KA1368" s="188"/>
      <c r="KB1368" s="188"/>
      <c r="KC1368" s="188"/>
      <c r="KD1368" s="188"/>
      <c r="KE1368" s="188"/>
      <c r="KF1368" s="188"/>
      <c r="KG1368" s="188"/>
      <c r="KH1368" s="188"/>
      <c r="KI1368" s="188"/>
      <c r="KJ1368" s="188"/>
      <c r="KK1368" s="188"/>
      <c r="KL1368" s="188"/>
      <c r="KM1368" s="188"/>
      <c r="KN1368" s="188"/>
      <c r="KO1368" s="188"/>
      <c r="KP1368" s="188"/>
      <c r="KQ1368" s="188"/>
      <c r="KR1368" s="188"/>
      <c r="KS1368" s="188"/>
      <c r="KT1368" s="188"/>
      <c r="KU1368" s="188"/>
      <c r="KV1368" s="188"/>
      <c r="KW1368" s="188"/>
      <c r="KX1368" s="188"/>
      <c r="KY1368" s="188"/>
      <c r="KZ1368" s="188"/>
      <c r="LA1368" s="188"/>
      <c r="LB1368" s="188"/>
      <c r="LC1368" s="188"/>
      <c r="LD1368" s="188"/>
      <c r="LE1368" s="188"/>
      <c r="LF1368" s="188"/>
      <c r="LG1368" s="188"/>
      <c r="LH1368" s="188"/>
      <c r="LI1368" s="188"/>
      <c r="LJ1368" s="188"/>
      <c r="LK1368" s="188"/>
      <c r="LL1368" s="188"/>
      <c r="LM1368" s="188"/>
      <c r="LN1368" s="188"/>
      <c r="LO1368" s="188"/>
      <c r="LP1368" s="188"/>
      <c r="LQ1368" s="188"/>
      <c r="LR1368" s="188"/>
      <c r="LS1368" s="188"/>
      <c r="LT1368" s="188"/>
      <c r="LU1368" s="188"/>
      <c r="LV1368" s="188"/>
      <c r="LW1368" s="188"/>
      <c r="LX1368" s="188"/>
      <c r="LY1368" s="188"/>
      <c r="LZ1368" s="188"/>
      <c r="MA1368" s="188"/>
      <c r="MB1368" s="188"/>
      <c r="MC1368" s="188"/>
      <c r="MD1368" s="188"/>
      <c r="ME1368" s="188"/>
      <c r="MF1368" s="188"/>
      <c r="MG1368" s="188"/>
      <c r="MH1368" s="188"/>
      <c r="MI1368" s="188"/>
      <c r="MJ1368" s="188"/>
      <c r="MK1368" s="188"/>
      <c r="ML1368" s="188"/>
      <c r="MM1368" s="188"/>
      <c r="MN1368" s="188"/>
      <c r="MO1368" s="188"/>
      <c r="MP1368" s="188"/>
      <c r="MQ1368" s="188"/>
      <c r="MR1368" s="188"/>
      <c r="MS1368" s="188"/>
      <c r="MT1368" s="188"/>
      <c r="MU1368" s="188"/>
      <c r="MV1368" s="188"/>
      <c r="MW1368" s="188"/>
      <c r="MX1368" s="188"/>
      <c r="MY1368" s="188"/>
      <c r="MZ1368" s="188"/>
      <c r="NA1368" s="188"/>
      <c r="NB1368" s="188"/>
      <c r="NC1368" s="188"/>
      <c r="ND1368" s="188"/>
      <c r="NE1368" s="188"/>
      <c r="NF1368" s="188"/>
      <c r="NG1368" s="188"/>
      <c r="NH1368" s="188"/>
      <c r="NI1368" s="188"/>
      <c r="NJ1368" s="188"/>
      <c r="NK1368" s="188"/>
      <c r="NL1368" s="188"/>
      <c r="NM1368" s="188"/>
      <c r="NN1368" s="188"/>
      <c r="NO1368" s="188"/>
      <c r="NP1368" s="188"/>
      <c r="NQ1368" s="188"/>
      <c r="NR1368" s="188"/>
      <c r="NS1368" s="188"/>
      <c r="NT1368" s="188"/>
      <c r="NU1368" s="188"/>
      <c r="NV1368" s="188"/>
      <c r="NW1368" s="188"/>
      <c r="NX1368" s="188"/>
      <c r="NY1368" s="188"/>
      <c r="NZ1368" s="188"/>
      <c r="OA1368" s="188"/>
      <c r="OB1368" s="188"/>
      <c r="OC1368" s="188"/>
      <c r="OD1368" s="188"/>
      <c r="OE1368" s="188"/>
      <c r="OF1368" s="188"/>
      <c r="OG1368" s="188"/>
      <c r="OH1368" s="188"/>
      <c r="OI1368" s="188"/>
      <c r="OJ1368" s="188"/>
      <c r="OK1368" s="188"/>
      <c r="OL1368" s="188"/>
      <c r="OM1368" s="188"/>
      <c r="ON1368" s="188"/>
      <c r="OO1368" s="188"/>
      <c r="OP1368" s="188"/>
      <c r="OQ1368" s="188"/>
      <c r="OR1368" s="188"/>
      <c r="OS1368" s="188"/>
      <c r="OT1368" s="188"/>
      <c r="OU1368" s="188"/>
      <c r="OV1368" s="188"/>
      <c r="OW1368" s="188"/>
      <c r="OX1368" s="188"/>
      <c r="OY1368" s="188"/>
      <c r="OZ1368" s="188"/>
      <c r="PA1368" s="188"/>
      <c r="PB1368" s="188"/>
      <c r="PC1368" s="188"/>
      <c r="PD1368" s="188"/>
      <c r="PE1368" s="188"/>
      <c r="PF1368" s="188"/>
      <c r="PG1368" s="188"/>
      <c r="PH1368" s="188"/>
      <c r="PI1368" s="188"/>
      <c r="PJ1368" s="188"/>
      <c r="PK1368" s="188"/>
      <c r="PL1368" s="188"/>
      <c r="PM1368" s="188"/>
      <c r="PN1368" s="188"/>
      <c r="PO1368" s="188"/>
      <c r="PP1368" s="188"/>
      <c r="PQ1368" s="188"/>
      <c r="PR1368" s="188"/>
      <c r="PS1368" s="188"/>
      <c r="PT1368" s="188"/>
      <c r="PU1368" s="188"/>
      <c r="PV1368" s="188"/>
      <c r="PW1368" s="188"/>
      <c r="PX1368" s="188"/>
      <c r="PY1368" s="188"/>
      <c r="PZ1368" s="188"/>
      <c r="QA1368" s="188"/>
      <c r="QB1368" s="188"/>
      <c r="QC1368" s="188"/>
      <c r="QD1368" s="188"/>
      <c r="QE1368" s="188"/>
      <c r="QF1368" s="188"/>
      <c r="QG1368" s="188"/>
      <c r="QH1368" s="188"/>
      <c r="QI1368" s="188"/>
      <c r="QJ1368" s="188"/>
      <c r="QK1368" s="188"/>
      <c r="QL1368" s="188"/>
      <c r="QM1368" s="188"/>
      <c r="QN1368" s="188"/>
      <c r="QO1368" s="188"/>
      <c r="QP1368" s="188"/>
      <c r="QQ1368" s="188"/>
      <c r="QR1368" s="188"/>
      <c r="QS1368" s="188"/>
      <c r="QT1368" s="188"/>
      <c r="QU1368" s="188"/>
      <c r="QV1368" s="188"/>
      <c r="QW1368" s="188"/>
      <c r="QX1368" s="188"/>
      <c r="QY1368" s="188"/>
      <c r="QZ1368" s="188"/>
      <c r="RA1368" s="188"/>
      <c r="RB1368" s="188"/>
      <c r="RC1368" s="188"/>
      <c r="RD1368" s="188"/>
      <c r="RE1368" s="188"/>
      <c r="RF1368" s="188"/>
      <c r="RG1368" s="188"/>
      <c r="RH1368" s="188"/>
      <c r="RI1368" s="188"/>
      <c r="RJ1368" s="188"/>
      <c r="RK1368" s="188"/>
      <c r="RL1368" s="188"/>
      <c r="RM1368" s="188"/>
      <c r="RN1368" s="188"/>
      <c r="RO1368" s="188"/>
      <c r="RP1368" s="188"/>
      <c r="RQ1368" s="188"/>
      <c r="RR1368" s="188"/>
      <c r="RS1368" s="188"/>
      <c r="RT1368" s="188"/>
      <c r="RU1368" s="188"/>
      <c r="RV1368" s="188"/>
      <c r="RW1368" s="188"/>
      <c r="RX1368" s="188"/>
      <c r="RY1368" s="188"/>
      <c r="RZ1368" s="188"/>
      <c r="SA1368" s="188"/>
      <c r="SB1368" s="188"/>
      <c r="SC1368" s="188"/>
      <c r="SD1368" s="188"/>
      <c r="SE1368" s="188"/>
      <c r="SF1368" s="188"/>
      <c r="SG1368" s="188"/>
      <c r="SH1368" s="188"/>
      <c r="SI1368" s="188"/>
      <c r="SJ1368" s="188"/>
      <c r="SK1368" s="188"/>
      <c r="SL1368" s="188"/>
      <c r="SM1368" s="188"/>
      <c r="SN1368" s="188"/>
      <c r="SO1368" s="188"/>
      <c r="SP1368" s="188"/>
      <c r="SQ1368" s="188"/>
      <c r="SR1368" s="188"/>
      <c r="SS1368" s="188"/>
      <c r="ST1368" s="188"/>
      <c r="SU1368" s="188"/>
      <c r="SV1368" s="188"/>
      <c r="SW1368" s="188"/>
      <c r="SX1368" s="188"/>
      <c r="SY1368" s="188"/>
      <c r="SZ1368" s="188"/>
      <c r="TA1368" s="188"/>
      <c r="TB1368" s="188"/>
      <c r="TC1368" s="188"/>
      <c r="TD1368" s="188"/>
      <c r="TE1368" s="188"/>
      <c r="TF1368" s="188"/>
      <c r="TG1368" s="188"/>
      <c r="TH1368" s="188"/>
      <c r="TI1368" s="188"/>
      <c r="TJ1368" s="188"/>
      <c r="TK1368" s="188"/>
      <c r="TL1368" s="188"/>
      <c r="TM1368" s="188"/>
      <c r="TN1368" s="188"/>
      <c r="TO1368" s="188"/>
      <c r="TP1368" s="188"/>
      <c r="TQ1368" s="188"/>
      <c r="TR1368" s="188"/>
      <c r="TS1368" s="188"/>
      <c r="TT1368" s="188"/>
      <c r="TU1368" s="188"/>
      <c r="TV1368" s="188"/>
      <c r="TW1368" s="188"/>
      <c r="TX1368" s="188"/>
      <c r="TY1368" s="188"/>
      <c r="TZ1368" s="188"/>
      <c r="UA1368" s="188"/>
      <c r="UB1368" s="188"/>
      <c r="UC1368" s="188"/>
      <c r="UD1368" s="188"/>
      <c r="UE1368" s="188"/>
      <c r="UF1368" s="188"/>
      <c r="UG1368" s="188"/>
      <c r="UH1368" s="188"/>
      <c r="UI1368" s="188"/>
      <c r="UJ1368" s="188"/>
      <c r="UK1368" s="188"/>
      <c r="UL1368" s="188"/>
      <c r="UM1368" s="188"/>
      <c r="UN1368" s="188"/>
      <c r="UO1368" s="188"/>
      <c r="UP1368" s="188"/>
      <c r="UQ1368" s="188"/>
      <c r="UR1368" s="188"/>
      <c r="US1368" s="188"/>
      <c r="UT1368" s="188"/>
      <c r="UU1368" s="188"/>
      <c r="UV1368" s="188"/>
      <c r="UW1368" s="188"/>
      <c r="UX1368" s="188"/>
      <c r="UY1368" s="188"/>
      <c r="UZ1368" s="188"/>
      <c r="VA1368" s="188"/>
      <c r="VB1368" s="188"/>
      <c r="VC1368" s="188"/>
      <c r="VD1368" s="188"/>
      <c r="VE1368" s="188"/>
      <c r="VF1368" s="188"/>
      <c r="VG1368" s="188"/>
      <c r="VH1368" s="188"/>
      <c r="VI1368" s="188"/>
      <c r="VJ1368" s="188"/>
      <c r="VK1368" s="188"/>
      <c r="VL1368" s="188"/>
      <c r="VM1368" s="188"/>
      <c r="VN1368" s="188"/>
      <c r="VO1368" s="188"/>
      <c r="VP1368" s="188"/>
      <c r="VQ1368" s="188"/>
      <c r="VR1368" s="188"/>
      <c r="VS1368" s="188"/>
      <c r="VT1368" s="188"/>
      <c r="VU1368" s="188"/>
      <c r="VV1368" s="188"/>
      <c r="VW1368" s="188"/>
      <c r="VX1368" s="188"/>
      <c r="VY1368" s="188"/>
      <c r="VZ1368" s="188"/>
      <c r="WA1368" s="188"/>
      <c r="WB1368" s="188"/>
      <c r="WC1368" s="188"/>
      <c r="WD1368" s="188"/>
      <c r="WE1368" s="188"/>
      <c r="WF1368" s="188"/>
      <c r="WG1368" s="188"/>
      <c r="WH1368" s="188"/>
      <c r="WI1368" s="188"/>
      <c r="WJ1368" s="188"/>
      <c r="WK1368" s="188"/>
      <c r="WL1368" s="188"/>
      <c r="WM1368" s="188"/>
      <c r="WN1368" s="188"/>
      <c r="WO1368" s="188"/>
      <c r="WP1368" s="188"/>
      <c r="WQ1368" s="188"/>
      <c r="WR1368" s="188"/>
      <c r="WS1368" s="188"/>
      <c r="WT1368" s="188"/>
      <c r="WU1368" s="188"/>
      <c r="WV1368" s="188"/>
      <c r="WW1368" s="188"/>
      <c r="WX1368" s="188"/>
      <c r="WY1368" s="188"/>
      <c r="WZ1368" s="188"/>
      <c r="XA1368" s="188"/>
      <c r="XB1368" s="188"/>
      <c r="XC1368" s="188"/>
      <c r="XD1368" s="188"/>
      <c r="XE1368" s="188"/>
      <c r="XF1368" s="188"/>
      <c r="XG1368" s="188"/>
      <c r="XH1368" s="188"/>
      <c r="XI1368" s="188"/>
      <c r="XJ1368" s="188"/>
      <c r="XK1368" s="188"/>
      <c r="XL1368" s="188"/>
      <c r="XM1368" s="188"/>
      <c r="XN1368" s="188"/>
      <c r="XO1368" s="188"/>
      <c r="XP1368" s="188"/>
      <c r="XQ1368" s="188"/>
      <c r="XR1368" s="188"/>
      <c r="XS1368" s="188"/>
      <c r="XT1368" s="188"/>
      <c r="XU1368" s="188"/>
      <c r="XV1368" s="188"/>
      <c r="XW1368" s="188"/>
      <c r="XX1368" s="188"/>
      <c r="XY1368" s="188"/>
      <c r="XZ1368" s="188"/>
      <c r="YA1368" s="188"/>
      <c r="YB1368" s="188"/>
      <c r="YC1368" s="188"/>
      <c r="YD1368" s="188"/>
      <c r="YE1368" s="188"/>
      <c r="YF1368" s="188"/>
      <c r="YG1368" s="188"/>
      <c r="YH1368" s="188"/>
      <c r="YI1368" s="188"/>
      <c r="YJ1368" s="188"/>
      <c r="YK1368" s="188"/>
      <c r="YL1368" s="188"/>
      <c r="YM1368" s="188"/>
      <c r="YN1368" s="188"/>
      <c r="YO1368" s="188"/>
      <c r="YP1368" s="188"/>
      <c r="YQ1368" s="188"/>
      <c r="YR1368" s="188"/>
      <c r="YS1368" s="188"/>
      <c r="YT1368" s="188"/>
      <c r="YU1368" s="188"/>
      <c r="YV1368" s="188"/>
      <c r="YW1368" s="188"/>
      <c r="YX1368" s="188"/>
      <c r="YY1368" s="188"/>
      <c r="YZ1368" s="188"/>
      <c r="ZA1368" s="188"/>
      <c r="ZB1368" s="188"/>
      <c r="ZC1368" s="188"/>
      <c r="ZD1368" s="188"/>
      <c r="ZE1368" s="188"/>
      <c r="ZF1368" s="188"/>
      <c r="ZG1368" s="188"/>
    </row>
    <row r="1369" spans="1:684" s="156" customFormat="1" ht="24" x14ac:dyDescent="0.25">
      <c r="A1369" s="114" t="s">
        <v>711</v>
      </c>
      <c r="B1369" s="333"/>
      <c r="C1369" s="150" t="s">
        <v>600</v>
      </c>
      <c r="D1369" s="1279"/>
      <c r="E1369" s="1280"/>
      <c r="F1369" s="151"/>
      <c r="G1369" s="151"/>
      <c r="H1369" s="151"/>
      <c r="I1369" s="189"/>
      <c r="J1369" s="189"/>
      <c r="K1369" s="189"/>
      <c r="L1369" s="185" t="s">
        <v>699</v>
      </c>
      <c r="M1369" s="185" t="s">
        <v>699</v>
      </c>
      <c r="N1369" s="185" t="s">
        <v>699</v>
      </c>
      <c r="O1369" s="151">
        <f>O1360</f>
        <v>143795.1</v>
      </c>
      <c r="P1369" s="151">
        <f t="shared" ref="P1369:T1369" si="3325">P1360</f>
        <v>151749.45000000001</v>
      </c>
      <c r="Q1369" s="151">
        <f t="shared" si="3325"/>
        <v>157820.4</v>
      </c>
      <c r="R1369" s="151">
        <f t="shared" si="3325"/>
        <v>0</v>
      </c>
      <c r="S1369" s="151">
        <f t="shared" si="3325"/>
        <v>0</v>
      </c>
      <c r="T1369" s="151">
        <f t="shared" si="3325"/>
        <v>0</v>
      </c>
      <c r="U1369" s="185" t="s">
        <v>699</v>
      </c>
      <c r="V1369" s="185" t="s">
        <v>699</v>
      </c>
      <c r="W1369" s="185" t="s">
        <v>699</v>
      </c>
      <c r="X1369" s="185" t="s">
        <v>699</v>
      </c>
      <c r="Y1369" s="185" t="s">
        <v>699</v>
      </c>
      <c r="Z1369" s="185" t="s">
        <v>699</v>
      </c>
      <c r="AA1369" s="185" t="s">
        <v>699</v>
      </c>
      <c r="AB1369" s="185" t="s">
        <v>699</v>
      </c>
      <c r="AC1369" s="185" t="s">
        <v>699</v>
      </c>
      <c r="AD1369" s="185" t="s">
        <v>699</v>
      </c>
      <c r="AE1369" s="185" t="s">
        <v>699</v>
      </c>
      <c r="AF1369" s="185" t="s">
        <v>699</v>
      </c>
      <c r="AG1369" s="185" t="s">
        <v>699</v>
      </c>
      <c r="AH1369" s="185" t="s">
        <v>699</v>
      </c>
      <c r="AI1369" s="185" t="s">
        <v>699</v>
      </c>
      <c r="AJ1369" s="151">
        <f t="shared" ref="AJ1369:AO1369" si="3326">AJ1360</f>
        <v>154068.48000000001</v>
      </c>
      <c r="AK1369" s="151">
        <f t="shared" si="3326"/>
        <v>162602.64000000001</v>
      </c>
      <c r="AL1369" s="151">
        <f t="shared" si="3326"/>
        <v>169123.68</v>
      </c>
      <c r="AM1369" s="151">
        <f t="shared" si="3326"/>
        <v>0</v>
      </c>
      <c r="AN1369" s="151">
        <f t="shared" si="3326"/>
        <v>0</v>
      </c>
      <c r="AO1369" s="151">
        <f t="shared" si="3326"/>
        <v>0</v>
      </c>
      <c r="AP1369" s="185" t="s">
        <v>699</v>
      </c>
      <c r="AQ1369" s="185" t="s">
        <v>699</v>
      </c>
      <c r="AR1369" s="185" t="s">
        <v>699</v>
      </c>
      <c r="AS1369" s="185" t="s">
        <v>699</v>
      </c>
      <c r="AT1369" s="185" t="s">
        <v>699</v>
      </c>
      <c r="AU1369" s="185" t="s">
        <v>699</v>
      </c>
      <c r="AV1369" s="185" t="s">
        <v>699</v>
      </c>
      <c r="AW1369" s="185" t="s">
        <v>699</v>
      </c>
      <c r="AX1369" s="185" t="s">
        <v>699</v>
      </c>
      <c r="AY1369" s="185" t="s">
        <v>699</v>
      </c>
      <c r="AZ1369" s="185" t="s">
        <v>699</v>
      </c>
      <c r="BA1369" s="185" t="s">
        <v>699</v>
      </c>
      <c r="BB1369" s="185" t="s">
        <v>699</v>
      </c>
      <c r="BC1369" s="185" t="s">
        <v>699</v>
      </c>
      <c r="BD1369" s="185" t="s">
        <v>699</v>
      </c>
      <c r="BE1369" s="151">
        <f t="shared" ref="BE1369:BJ1369" si="3327">BE1360</f>
        <v>205437.6</v>
      </c>
      <c r="BF1369" s="151">
        <f t="shared" si="3327"/>
        <v>216797.04</v>
      </c>
      <c r="BG1369" s="151">
        <f t="shared" si="3327"/>
        <v>225463.67999999999</v>
      </c>
      <c r="BH1369" s="151">
        <f t="shared" si="3327"/>
        <v>0</v>
      </c>
      <c r="BI1369" s="151">
        <f t="shared" si="3327"/>
        <v>0</v>
      </c>
      <c r="BJ1369" s="151">
        <f t="shared" si="3327"/>
        <v>0</v>
      </c>
      <c r="BK1369" s="185" t="s">
        <v>699</v>
      </c>
      <c r="BL1369" s="185" t="s">
        <v>699</v>
      </c>
      <c r="BM1369" s="185" t="s">
        <v>699</v>
      </c>
      <c r="BN1369" s="185" t="s">
        <v>699</v>
      </c>
      <c r="BO1369" s="185" t="s">
        <v>699</v>
      </c>
      <c r="BP1369" s="185" t="s">
        <v>699</v>
      </c>
      <c r="BQ1369" s="185" t="s">
        <v>699</v>
      </c>
      <c r="BR1369" s="185" t="s">
        <v>699</v>
      </c>
      <c r="BS1369" s="185" t="s">
        <v>699</v>
      </c>
      <c r="BT1369" s="185" t="s">
        <v>699</v>
      </c>
      <c r="BU1369" s="185" t="s">
        <v>699</v>
      </c>
      <c r="BV1369" s="185" t="s">
        <v>699</v>
      </c>
      <c r="BW1369" s="185" t="s">
        <v>699</v>
      </c>
      <c r="BX1369" s="185" t="s">
        <v>699</v>
      </c>
      <c r="BY1369" s="185" t="s">
        <v>699</v>
      </c>
      <c r="BZ1369" s="151">
        <f t="shared" ref="BZ1369:CE1369" si="3328">BZ1360</f>
        <v>109546.14</v>
      </c>
      <c r="CA1369" s="151">
        <f t="shared" si="3328"/>
        <v>115621.29</v>
      </c>
      <c r="CB1369" s="151">
        <f t="shared" si="3328"/>
        <v>120268.08</v>
      </c>
      <c r="CC1369" s="151">
        <f t="shared" si="3328"/>
        <v>0</v>
      </c>
      <c r="CD1369" s="151">
        <f t="shared" si="3328"/>
        <v>0</v>
      </c>
      <c r="CE1369" s="151">
        <f t="shared" si="3328"/>
        <v>0</v>
      </c>
      <c r="CF1369" s="185" t="s">
        <v>699</v>
      </c>
      <c r="CG1369" s="185" t="s">
        <v>699</v>
      </c>
      <c r="CH1369" s="185" t="s">
        <v>699</v>
      </c>
      <c r="CI1369" s="185" t="s">
        <v>699</v>
      </c>
      <c r="CJ1369" s="185" t="s">
        <v>699</v>
      </c>
      <c r="CK1369" s="185" t="s">
        <v>699</v>
      </c>
      <c r="CL1369" s="185" t="s">
        <v>699</v>
      </c>
      <c r="CM1369" s="185" t="s">
        <v>699</v>
      </c>
      <c r="CN1369" s="185" t="s">
        <v>699</v>
      </c>
      <c r="CO1369" s="185" t="s">
        <v>699</v>
      </c>
      <c r="CP1369" s="185" t="s">
        <v>699</v>
      </c>
      <c r="CQ1369" s="185" t="s">
        <v>699</v>
      </c>
      <c r="CR1369" s="185" t="s">
        <v>699</v>
      </c>
      <c r="CS1369" s="185" t="s">
        <v>699</v>
      </c>
      <c r="CT1369" s="185" t="s">
        <v>699</v>
      </c>
      <c r="CU1369" s="151">
        <f t="shared" ref="CU1369:CZ1369" si="3329">CU1360</f>
        <v>249330.96</v>
      </c>
      <c r="CV1369" s="151">
        <f t="shared" si="3329"/>
        <v>263124.33</v>
      </c>
      <c r="CW1369" s="151">
        <f t="shared" si="3329"/>
        <v>273652.46000000002</v>
      </c>
      <c r="CX1369" s="151">
        <f t="shared" si="3329"/>
        <v>0</v>
      </c>
      <c r="CY1369" s="151">
        <f t="shared" si="3329"/>
        <v>0</v>
      </c>
      <c r="CZ1369" s="151">
        <f t="shared" si="3329"/>
        <v>0</v>
      </c>
      <c r="DA1369" s="185" t="s">
        <v>699</v>
      </c>
      <c r="DB1369" s="185" t="s">
        <v>699</v>
      </c>
      <c r="DC1369" s="185" t="s">
        <v>699</v>
      </c>
      <c r="DD1369" s="185" t="s">
        <v>699</v>
      </c>
      <c r="DE1369" s="185" t="s">
        <v>699</v>
      </c>
      <c r="DF1369" s="185" t="s">
        <v>699</v>
      </c>
      <c r="DG1369" s="185" t="s">
        <v>699</v>
      </c>
      <c r="DH1369" s="185" t="s">
        <v>699</v>
      </c>
      <c r="DI1369" s="185" t="s">
        <v>699</v>
      </c>
      <c r="DJ1369" s="185" t="s">
        <v>699</v>
      </c>
      <c r="DK1369" s="185" t="s">
        <v>699</v>
      </c>
      <c r="DL1369" s="185" t="s">
        <v>699</v>
      </c>
      <c r="DM1369" s="185" t="s">
        <v>699</v>
      </c>
      <c r="DN1369" s="185" t="s">
        <v>699</v>
      </c>
      <c r="DO1369" s="185" t="s">
        <v>699</v>
      </c>
      <c r="DP1369" s="151">
        <f t="shared" ref="DP1369:DU1369" si="3330">DP1360</f>
        <v>123266.76</v>
      </c>
      <c r="DQ1369" s="151">
        <f t="shared" si="3330"/>
        <v>130086.69</v>
      </c>
      <c r="DR1369" s="151">
        <f t="shared" si="3330"/>
        <v>135292.57999999999</v>
      </c>
      <c r="DS1369" s="151">
        <f t="shared" si="3330"/>
        <v>0</v>
      </c>
      <c r="DT1369" s="151">
        <f t="shared" si="3330"/>
        <v>0</v>
      </c>
      <c r="DU1369" s="151">
        <f t="shared" si="3330"/>
        <v>0</v>
      </c>
      <c r="DV1369" s="185" t="s">
        <v>699</v>
      </c>
      <c r="DW1369" s="185" t="s">
        <v>699</v>
      </c>
      <c r="DX1369" s="185" t="s">
        <v>699</v>
      </c>
      <c r="DY1369" s="185" t="s">
        <v>699</v>
      </c>
      <c r="DZ1369" s="185" t="s">
        <v>699</v>
      </c>
      <c r="EA1369" s="185" t="s">
        <v>699</v>
      </c>
      <c r="EB1369" s="185" t="s">
        <v>699</v>
      </c>
      <c r="EC1369" s="185" t="s">
        <v>699</v>
      </c>
      <c r="ED1369" s="185" t="s">
        <v>699</v>
      </c>
      <c r="EE1369" s="185" t="s">
        <v>699</v>
      </c>
      <c r="EF1369" s="185" t="s">
        <v>699</v>
      </c>
      <c r="EG1369" s="185" t="s">
        <v>699</v>
      </c>
      <c r="EH1369" s="185" t="s">
        <v>699</v>
      </c>
      <c r="EI1369" s="185" t="s">
        <v>699</v>
      </c>
      <c r="EJ1369" s="185" t="s">
        <v>699</v>
      </c>
      <c r="EK1369" s="151">
        <f t="shared" ref="EK1369:EP1369" si="3331">EK1360</f>
        <v>0</v>
      </c>
      <c r="EL1369" s="151">
        <f t="shared" si="3331"/>
        <v>0</v>
      </c>
      <c r="EM1369" s="151">
        <f t="shared" si="3331"/>
        <v>0</v>
      </c>
      <c r="EN1369" s="151">
        <f t="shared" si="3331"/>
        <v>0</v>
      </c>
      <c r="EO1369" s="151">
        <f t="shared" si="3331"/>
        <v>0</v>
      </c>
      <c r="EP1369" s="151">
        <f t="shared" si="3331"/>
        <v>0</v>
      </c>
      <c r="EQ1369" s="185" t="s">
        <v>699</v>
      </c>
      <c r="ER1369" s="185" t="s">
        <v>699</v>
      </c>
      <c r="ES1369" s="185" t="s">
        <v>699</v>
      </c>
      <c r="ET1369" s="185" t="s">
        <v>699</v>
      </c>
      <c r="EU1369" s="185" t="s">
        <v>699</v>
      </c>
      <c r="EV1369" s="185" t="s">
        <v>699</v>
      </c>
      <c r="EW1369" s="185" t="s">
        <v>699</v>
      </c>
      <c r="EX1369" s="185" t="s">
        <v>699</v>
      </c>
      <c r="EY1369" s="185" t="s">
        <v>699</v>
      </c>
      <c r="EZ1369" s="185" t="s">
        <v>699</v>
      </c>
      <c r="FA1369" s="185" t="s">
        <v>699</v>
      </c>
      <c r="FB1369" s="185" t="s">
        <v>699</v>
      </c>
      <c r="FC1369" s="185" t="s">
        <v>699</v>
      </c>
      <c r="FD1369" s="185" t="s">
        <v>699</v>
      </c>
      <c r="FE1369" s="185" t="s">
        <v>699</v>
      </c>
      <c r="FF1369" s="151">
        <f t="shared" ref="FF1369:FK1369" si="3332">FF1360</f>
        <v>220559.58</v>
      </c>
      <c r="FG1369" s="151">
        <f t="shared" si="3332"/>
        <v>232763.01</v>
      </c>
      <c r="FH1369" s="151">
        <f t="shared" si="3332"/>
        <v>242078.72</v>
      </c>
      <c r="FI1369" s="151">
        <f t="shared" si="3332"/>
        <v>0</v>
      </c>
      <c r="FJ1369" s="151">
        <f t="shared" si="3332"/>
        <v>0</v>
      </c>
      <c r="FK1369" s="151">
        <f t="shared" si="3332"/>
        <v>0</v>
      </c>
      <c r="FL1369" s="185" t="s">
        <v>699</v>
      </c>
      <c r="FM1369" s="185" t="s">
        <v>699</v>
      </c>
      <c r="FN1369" s="185" t="s">
        <v>699</v>
      </c>
      <c r="FO1369" s="185" t="s">
        <v>699</v>
      </c>
      <c r="FP1369" s="185" t="s">
        <v>699</v>
      </c>
      <c r="FQ1369" s="185" t="s">
        <v>699</v>
      </c>
      <c r="FR1369" s="185" t="s">
        <v>699</v>
      </c>
      <c r="FS1369" s="185" t="s">
        <v>699</v>
      </c>
      <c r="FT1369" s="185" t="s">
        <v>699</v>
      </c>
      <c r="FU1369" s="185" t="s">
        <v>699</v>
      </c>
      <c r="FV1369" s="185" t="s">
        <v>699</v>
      </c>
      <c r="FW1369" s="185" t="s">
        <v>699</v>
      </c>
      <c r="FX1369" s="185" t="s">
        <v>699</v>
      </c>
      <c r="FY1369" s="185" t="s">
        <v>699</v>
      </c>
      <c r="FZ1369" s="185" t="s">
        <v>699</v>
      </c>
      <c r="GA1369" s="151">
        <f t="shared" ref="GA1369:GF1369" si="3333">GA1360</f>
        <v>0</v>
      </c>
      <c r="GB1369" s="151">
        <f t="shared" si="3333"/>
        <v>0</v>
      </c>
      <c r="GC1369" s="151">
        <f t="shared" si="3333"/>
        <v>0</v>
      </c>
      <c r="GD1369" s="151">
        <f t="shared" si="3333"/>
        <v>0</v>
      </c>
      <c r="GE1369" s="151">
        <f t="shared" si="3333"/>
        <v>0</v>
      </c>
      <c r="GF1369" s="151">
        <f t="shared" si="3333"/>
        <v>0</v>
      </c>
      <c r="GG1369" s="185" t="s">
        <v>699</v>
      </c>
      <c r="GH1369" s="185" t="s">
        <v>699</v>
      </c>
      <c r="GI1369" s="185" t="s">
        <v>699</v>
      </c>
      <c r="GJ1369" s="185" t="s">
        <v>699</v>
      </c>
      <c r="GK1369" s="185" t="s">
        <v>699</v>
      </c>
      <c r="GL1369" s="185" t="s">
        <v>699</v>
      </c>
      <c r="GM1369" s="185" t="s">
        <v>699</v>
      </c>
      <c r="GN1369" s="185" t="s">
        <v>699</v>
      </c>
      <c r="GO1369" s="185" t="s">
        <v>699</v>
      </c>
      <c r="GP1369" s="185" t="s">
        <v>699</v>
      </c>
      <c r="GQ1369" s="185" t="s">
        <v>699</v>
      </c>
      <c r="GR1369" s="185" t="s">
        <v>699</v>
      </c>
      <c r="GS1369" s="185" t="s">
        <v>699</v>
      </c>
      <c r="GT1369" s="185" t="s">
        <v>699</v>
      </c>
      <c r="GU1369" s="185" t="s">
        <v>699</v>
      </c>
      <c r="GV1369" s="151">
        <f t="shared" ref="GV1369:HA1369" si="3334">GV1360</f>
        <v>109546.14</v>
      </c>
      <c r="GW1369" s="151">
        <f t="shared" si="3334"/>
        <v>115621.29</v>
      </c>
      <c r="GX1369" s="151">
        <f t="shared" si="3334"/>
        <v>120268.08</v>
      </c>
      <c r="GY1369" s="151">
        <f t="shared" si="3334"/>
        <v>0</v>
      </c>
      <c r="GZ1369" s="151">
        <f t="shared" si="3334"/>
        <v>0</v>
      </c>
      <c r="HA1369" s="151">
        <f t="shared" si="3334"/>
        <v>0</v>
      </c>
      <c r="HB1369" s="185" t="s">
        <v>699</v>
      </c>
      <c r="HC1369" s="185" t="s">
        <v>699</v>
      </c>
      <c r="HD1369" s="185" t="s">
        <v>699</v>
      </c>
      <c r="HE1369" s="185" t="s">
        <v>699</v>
      </c>
      <c r="HF1369" s="185" t="s">
        <v>699</v>
      </c>
      <c r="HG1369" s="185" t="s">
        <v>699</v>
      </c>
      <c r="HH1369" s="185" t="s">
        <v>699</v>
      </c>
      <c r="HI1369" s="185" t="s">
        <v>699</v>
      </c>
      <c r="HJ1369" s="185" t="s">
        <v>699</v>
      </c>
      <c r="HK1369" s="185" t="s">
        <v>699</v>
      </c>
      <c r="HL1369" s="185" t="s">
        <v>699</v>
      </c>
      <c r="HM1369" s="185" t="s">
        <v>699</v>
      </c>
      <c r="HN1369" s="185" t="s">
        <v>699</v>
      </c>
      <c r="HO1369" s="185" t="s">
        <v>699</v>
      </c>
      <c r="HP1369" s="185" t="s">
        <v>699</v>
      </c>
      <c r="HQ1369" s="151">
        <f t="shared" ref="HQ1369:HV1369" si="3335">HQ1360</f>
        <v>0</v>
      </c>
      <c r="HR1369" s="151">
        <f t="shared" si="3335"/>
        <v>0</v>
      </c>
      <c r="HS1369" s="151">
        <f t="shared" si="3335"/>
        <v>0</v>
      </c>
      <c r="HT1369" s="151">
        <f t="shared" si="3335"/>
        <v>0</v>
      </c>
      <c r="HU1369" s="151">
        <f t="shared" si="3335"/>
        <v>0</v>
      </c>
      <c r="HV1369" s="151">
        <f t="shared" si="3335"/>
        <v>0</v>
      </c>
      <c r="HW1369" s="185" t="s">
        <v>699</v>
      </c>
      <c r="HX1369" s="185" t="s">
        <v>699</v>
      </c>
      <c r="HY1369" s="185" t="s">
        <v>699</v>
      </c>
      <c r="HZ1369" s="185" t="s">
        <v>699</v>
      </c>
      <c r="IA1369" s="185" t="s">
        <v>699</v>
      </c>
      <c r="IB1369" s="185" t="s">
        <v>699</v>
      </c>
      <c r="IC1369" s="185" t="s">
        <v>699</v>
      </c>
      <c r="ID1369" s="185" t="s">
        <v>699</v>
      </c>
      <c r="IE1369" s="185" t="s">
        <v>699</v>
      </c>
      <c r="IF1369" s="185" t="s">
        <v>699</v>
      </c>
      <c r="IG1369" s="185" t="s">
        <v>699</v>
      </c>
      <c r="IH1369" s="185" t="s">
        <v>699</v>
      </c>
      <c r="II1369" s="185" t="s">
        <v>699</v>
      </c>
      <c r="IJ1369" s="185" t="s">
        <v>699</v>
      </c>
      <c r="IK1369" s="185" t="s">
        <v>699</v>
      </c>
      <c r="IL1369" s="151">
        <f t="shared" ref="IL1369:IQ1369" si="3336">IL1360</f>
        <v>109576.95</v>
      </c>
      <c r="IM1369" s="151">
        <f t="shared" si="3336"/>
        <v>115632.3</v>
      </c>
      <c r="IN1369" s="151">
        <f t="shared" si="3336"/>
        <v>120249.85</v>
      </c>
      <c r="IO1369" s="151">
        <f t="shared" si="3336"/>
        <v>0</v>
      </c>
      <c r="IP1369" s="151">
        <f t="shared" si="3336"/>
        <v>0</v>
      </c>
      <c r="IQ1369" s="151">
        <f t="shared" si="3336"/>
        <v>0</v>
      </c>
      <c r="IR1369" s="185" t="s">
        <v>699</v>
      </c>
      <c r="IS1369" s="185" t="s">
        <v>699</v>
      </c>
      <c r="IT1369" s="185" t="s">
        <v>699</v>
      </c>
      <c r="IU1369" s="185" t="s">
        <v>699</v>
      </c>
      <c r="IV1369" s="185" t="s">
        <v>699</v>
      </c>
      <c r="IW1369" s="185" t="s">
        <v>699</v>
      </c>
      <c r="IX1369" s="185" t="s">
        <v>699</v>
      </c>
      <c r="IY1369" s="185" t="s">
        <v>699</v>
      </c>
      <c r="IZ1369" s="185" t="s">
        <v>699</v>
      </c>
      <c r="JA1369" s="185" t="s">
        <v>699</v>
      </c>
      <c r="JB1369" s="185" t="s">
        <v>699</v>
      </c>
      <c r="JC1369" s="185" t="s">
        <v>699</v>
      </c>
      <c r="JD1369" s="185" t="s">
        <v>699</v>
      </c>
      <c r="JE1369" s="185" t="s">
        <v>699</v>
      </c>
      <c r="JF1369" s="185" t="s">
        <v>699</v>
      </c>
      <c r="JG1369" s="151">
        <f t="shared" ref="JG1369:JL1369" si="3337">JG1360</f>
        <v>0</v>
      </c>
      <c r="JH1369" s="151">
        <f t="shared" si="3337"/>
        <v>0</v>
      </c>
      <c r="JI1369" s="151">
        <f t="shared" si="3337"/>
        <v>0</v>
      </c>
      <c r="JJ1369" s="151">
        <f t="shared" si="3337"/>
        <v>0</v>
      </c>
      <c r="JK1369" s="151">
        <f t="shared" si="3337"/>
        <v>0</v>
      </c>
      <c r="JL1369" s="151">
        <f t="shared" si="3337"/>
        <v>0</v>
      </c>
      <c r="JM1369" s="185" t="s">
        <v>699</v>
      </c>
      <c r="JN1369" s="185" t="s">
        <v>699</v>
      </c>
      <c r="JO1369" s="185" t="s">
        <v>699</v>
      </c>
      <c r="JP1369" s="185" t="s">
        <v>699</v>
      </c>
      <c r="JQ1369" s="185" t="s">
        <v>699</v>
      </c>
      <c r="JR1369" s="185" t="s">
        <v>699</v>
      </c>
      <c r="JS1369" s="185" t="s">
        <v>699</v>
      </c>
      <c r="JT1369" s="185" t="s">
        <v>699</v>
      </c>
      <c r="JU1369" s="185" t="s">
        <v>699</v>
      </c>
      <c r="JV1369" s="185" t="s">
        <v>699</v>
      </c>
      <c r="JW1369" s="185" t="s">
        <v>699</v>
      </c>
      <c r="JX1369" s="185" t="s">
        <v>699</v>
      </c>
      <c r="JY1369" s="185" t="s">
        <v>699</v>
      </c>
      <c r="JZ1369" s="185" t="s">
        <v>699</v>
      </c>
      <c r="KA1369" s="185" t="s">
        <v>699</v>
      </c>
      <c r="KB1369" s="151">
        <f t="shared" ref="KB1369:KG1369" si="3338">KB1360</f>
        <v>136930.47</v>
      </c>
      <c r="KC1369" s="151">
        <f t="shared" si="3338"/>
        <v>144518.91</v>
      </c>
      <c r="KD1369" s="151">
        <f t="shared" si="3338"/>
        <v>150319.67000000001</v>
      </c>
      <c r="KE1369" s="151">
        <f t="shared" si="3338"/>
        <v>0</v>
      </c>
      <c r="KF1369" s="151">
        <f t="shared" si="3338"/>
        <v>0</v>
      </c>
      <c r="KG1369" s="151">
        <f t="shared" si="3338"/>
        <v>0</v>
      </c>
      <c r="KH1369" s="185" t="s">
        <v>699</v>
      </c>
      <c r="KI1369" s="185" t="s">
        <v>699</v>
      </c>
      <c r="KJ1369" s="185" t="s">
        <v>699</v>
      </c>
      <c r="KK1369" s="185" t="s">
        <v>699</v>
      </c>
      <c r="KL1369" s="185" t="s">
        <v>699</v>
      </c>
      <c r="KM1369" s="185" t="s">
        <v>699</v>
      </c>
      <c r="KN1369" s="185" t="s">
        <v>699</v>
      </c>
      <c r="KO1369" s="185" t="s">
        <v>699</v>
      </c>
      <c r="KP1369" s="185" t="s">
        <v>699</v>
      </c>
      <c r="KQ1369" s="185" t="s">
        <v>699</v>
      </c>
      <c r="KR1369" s="185" t="s">
        <v>699</v>
      </c>
      <c r="KS1369" s="185" t="s">
        <v>699</v>
      </c>
      <c r="KT1369" s="185" t="s">
        <v>699</v>
      </c>
      <c r="KU1369" s="185" t="s">
        <v>699</v>
      </c>
      <c r="KV1369" s="185" t="s">
        <v>699</v>
      </c>
      <c r="KW1369" s="151">
        <f t="shared" ref="KW1369:LB1369" si="3339">KW1360</f>
        <v>0</v>
      </c>
      <c r="KX1369" s="151">
        <f t="shared" si="3339"/>
        <v>0</v>
      </c>
      <c r="KY1369" s="151">
        <f t="shared" si="3339"/>
        <v>0</v>
      </c>
      <c r="KZ1369" s="151">
        <f t="shared" si="3339"/>
        <v>0</v>
      </c>
      <c r="LA1369" s="151">
        <f t="shared" si="3339"/>
        <v>0</v>
      </c>
      <c r="LB1369" s="151">
        <f t="shared" si="3339"/>
        <v>0</v>
      </c>
      <c r="LC1369" s="185" t="s">
        <v>699</v>
      </c>
      <c r="LD1369" s="185" t="s">
        <v>699</v>
      </c>
      <c r="LE1369" s="185" t="s">
        <v>699</v>
      </c>
      <c r="LF1369" s="185" t="s">
        <v>699</v>
      </c>
      <c r="LG1369" s="185" t="s">
        <v>699</v>
      </c>
      <c r="LH1369" s="185" t="s">
        <v>699</v>
      </c>
      <c r="LI1369" s="185" t="s">
        <v>699</v>
      </c>
      <c r="LJ1369" s="185" t="s">
        <v>699</v>
      </c>
      <c r="LK1369" s="185" t="s">
        <v>699</v>
      </c>
      <c r="LL1369" s="185" t="s">
        <v>699</v>
      </c>
      <c r="LM1369" s="185" t="s">
        <v>699</v>
      </c>
      <c r="LN1369" s="185" t="s">
        <v>699</v>
      </c>
      <c r="LO1369" s="185" t="s">
        <v>699</v>
      </c>
      <c r="LP1369" s="185" t="s">
        <v>699</v>
      </c>
      <c r="LQ1369" s="185" t="s">
        <v>699</v>
      </c>
      <c r="LR1369" s="151">
        <f t="shared" ref="LR1369:LW1369" si="3340">LR1360</f>
        <v>154072.79999999999</v>
      </c>
      <c r="LS1369" s="151">
        <f t="shared" si="3340"/>
        <v>162600.48000000001</v>
      </c>
      <c r="LT1369" s="151">
        <f t="shared" si="3340"/>
        <v>169112.16</v>
      </c>
      <c r="LU1369" s="151">
        <f t="shared" si="3340"/>
        <v>0</v>
      </c>
      <c r="LV1369" s="151">
        <f t="shared" si="3340"/>
        <v>0</v>
      </c>
      <c r="LW1369" s="151">
        <f t="shared" si="3340"/>
        <v>0</v>
      </c>
      <c r="LX1369" s="185" t="s">
        <v>699</v>
      </c>
      <c r="LY1369" s="185" t="s">
        <v>699</v>
      </c>
      <c r="LZ1369" s="185" t="s">
        <v>699</v>
      </c>
      <c r="MA1369" s="185" t="s">
        <v>699</v>
      </c>
      <c r="MB1369" s="185" t="s">
        <v>699</v>
      </c>
      <c r="MC1369" s="185" t="s">
        <v>699</v>
      </c>
      <c r="MD1369" s="185" t="s">
        <v>699</v>
      </c>
      <c r="ME1369" s="185" t="s">
        <v>699</v>
      </c>
      <c r="MF1369" s="185" t="s">
        <v>699</v>
      </c>
      <c r="MG1369" s="185" t="s">
        <v>699</v>
      </c>
      <c r="MH1369" s="185" t="s">
        <v>699</v>
      </c>
      <c r="MI1369" s="185" t="s">
        <v>699</v>
      </c>
      <c r="MJ1369" s="185" t="s">
        <v>699</v>
      </c>
      <c r="MK1369" s="185" t="s">
        <v>699</v>
      </c>
      <c r="ML1369" s="185" t="s">
        <v>699</v>
      </c>
      <c r="MM1369" s="151">
        <f t="shared" ref="MM1369:MR1369" si="3341">MM1360</f>
        <v>102712.32000000001</v>
      </c>
      <c r="MN1369" s="151">
        <f t="shared" si="3341"/>
        <v>108401.76</v>
      </c>
      <c r="MO1369" s="151">
        <f t="shared" si="3341"/>
        <v>112749.12</v>
      </c>
      <c r="MP1369" s="151">
        <f t="shared" si="3341"/>
        <v>0</v>
      </c>
      <c r="MQ1369" s="151">
        <f t="shared" si="3341"/>
        <v>0</v>
      </c>
      <c r="MR1369" s="151">
        <f t="shared" si="3341"/>
        <v>0</v>
      </c>
      <c r="MS1369" s="185" t="s">
        <v>699</v>
      </c>
      <c r="MT1369" s="185" t="s">
        <v>699</v>
      </c>
      <c r="MU1369" s="185" t="s">
        <v>699</v>
      </c>
      <c r="MV1369" s="185" t="s">
        <v>699</v>
      </c>
      <c r="MW1369" s="185" t="s">
        <v>699</v>
      </c>
      <c r="MX1369" s="185" t="s">
        <v>699</v>
      </c>
      <c r="MY1369" s="185" t="s">
        <v>699</v>
      </c>
      <c r="MZ1369" s="185" t="s">
        <v>699</v>
      </c>
      <c r="NA1369" s="185" t="s">
        <v>699</v>
      </c>
      <c r="NB1369" s="185" t="s">
        <v>699</v>
      </c>
      <c r="NC1369" s="185" t="s">
        <v>699</v>
      </c>
      <c r="ND1369" s="185" t="s">
        <v>699</v>
      </c>
      <c r="NE1369" s="185" t="s">
        <v>699</v>
      </c>
      <c r="NF1369" s="185" t="s">
        <v>699</v>
      </c>
      <c r="NG1369" s="185" t="s">
        <v>699</v>
      </c>
      <c r="NH1369" s="151">
        <f t="shared" ref="NH1369:NM1369" si="3342">NH1360</f>
        <v>136939.29</v>
      </c>
      <c r="NI1369" s="151">
        <f t="shared" si="3342"/>
        <v>144549.72</v>
      </c>
      <c r="NJ1369" s="151">
        <f t="shared" si="3342"/>
        <v>150381.39000000001</v>
      </c>
      <c r="NK1369" s="151">
        <f t="shared" si="3342"/>
        <v>0</v>
      </c>
      <c r="NL1369" s="151">
        <f t="shared" si="3342"/>
        <v>0</v>
      </c>
      <c r="NM1369" s="151">
        <f t="shared" si="3342"/>
        <v>0</v>
      </c>
      <c r="NN1369" s="185" t="s">
        <v>699</v>
      </c>
      <c r="NO1369" s="185" t="s">
        <v>699</v>
      </c>
      <c r="NP1369" s="185" t="s">
        <v>699</v>
      </c>
      <c r="NQ1369" s="185" t="s">
        <v>699</v>
      </c>
      <c r="NR1369" s="185" t="s">
        <v>699</v>
      </c>
      <c r="NS1369" s="185" t="s">
        <v>699</v>
      </c>
      <c r="NT1369" s="185" t="s">
        <v>699</v>
      </c>
      <c r="NU1369" s="185" t="s">
        <v>699</v>
      </c>
      <c r="NV1369" s="185" t="s">
        <v>699</v>
      </c>
      <c r="NW1369" s="185" t="s">
        <v>699</v>
      </c>
      <c r="NX1369" s="185" t="s">
        <v>699</v>
      </c>
      <c r="NY1369" s="185" t="s">
        <v>699</v>
      </c>
      <c r="NZ1369" s="185" t="s">
        <v>699</v>
      </c>
      <c r="OA1369" s="185" t="s">
        <v>699</v>
      </c>
      <c r="OB1369" s="185" t="s">
        <v>699</v>
      </c>
      <c r="OC1369" s="151">
        <f t="shared" ref="OC1369:OH1369" si="3343">OC1360</f>
        <v>205441.92000000001</v>
      </c>
      <c r="OD1369" s="151">
        <f t="shared" si="3343"/>
        <v>216794.88</v>
      </c>
      <c r="OE1369" s="151">
        <f t="shared" si="3343"/>
        <v>225452.16</v>
      </c>
      <c r="OF1369" s="151">
        <f t="shared" si="3343"/>
        <v>0</v>
      </c>
      <c r="OG1369" s="151">
        <f t="shared" si="3343"/>
        <v>0</v>
      </c>
      <c r="OH1369" s="151">
        <f t="shared" si="3343"/>
        <v>0</v>
      </c>
      <c r="OI1369" s="185" t="s">
        <v>699</v>
      </c>
      <c r="OJ1369" s="185" t="s">
        <v>699</v>
      </c>
      <c r="OK1369" s="185" t="s">
        <v>699</v>
      </c>
      <c r="OL1369" s="185" t="s">
        <v>699</v>
      </c>
      <c r="OM1369" s="185" t="s">
        <v>699</v>
      </c>
      <c r="ON1369" s="185" t="s">
        <v>699</v>
      </c>
      <c r="OO1369" s="185" t="s">
        <v>699</v>
      </c>
      <c r="OP1369" s="185" t="s">
        <v>699</v>
      </c>
      <c r="OQ1369" s="185" t="s">
        <v>699</v>
      </c>
      <c r="OR1369" s="185" t="s">
        <v>699</v>
      </c>
      <c r="OS1369" s="185" t="s">
        <v>699</v>
      </c>
      <c r="OT1369" s="185" t="s">
        <v>699</v>
      </c>
      <c r="OU1369" s="185" t="s">
        <v>699</v>
      </c>
      <c r="OV1369" s="185" t="s">
        <v>699</v>
      </c>
      <c r="OW1369" s="185" t="s">
        <v>699</v>
      </c>
      <c r="OX1369" s="151">
        <f t="shared" ref="OX1369:PC1369" si="3344">OX1360</f>
        <v>143755.47</v>
      </c>
      <c r="OY1369" s="151">
        <f t="shared" si="3344"/>
        <v>151707.63</v>
      </c>
      <c r="OZ1369" s="151">
        <f t="shared" si="3344"/>
        <v>157776.91</v>
      </c>
      <c r="PA1369" s="151">
        <f t="shared" si="3344"/>
        <v>0</v>
      </c>
      <c r="PB1369" s="151">
        <f t="shared" si="3344"/>
        <v>0</v>
      </c>
      <c r="PC1369" s="151">
        <f t="shared" si="3344"/>
        <v>0</v>
      </c>
      <c r="PD1369" s="185" t="s">
        <v>699</v>
      </c>
      <c r="PE1369" s="185" t="s">
        <v>699</v>
      </c>
      <c r="PF1369" s="185" t="s">
        <v>699</v>
      </c>
      <c r="PG1369" s="185" t="s">
        <v>699</v>
      </c>
      <c r="PH1369" s="185" t="s">
        <v>699</v>
      </c>
      <c r="PI1369" s="185" t="s">
        <v>699</v>
      </c>
      <c r="PJ1369" s="185" t="s">
        <v>699</v>
      </c>
      <c r="PK1369" s="185" t="s">
        <v>699</v>
      </c>
      <c r="PL1369" s="185" t="s">
        <v>699</v>
      </c>
      <c r="PM1369" s="185" t="s">
        <v>699</v>
      </c>
      <c r="PN1369" s="185" t="s">
        <v>699</v>
      </c>
      <c r="PO1369" s="185" t="s">
        <v>699</v>
      </c>
      <c r="PP1369" s="185" t="s">
        <v>699</v>
      </c>
      <c r="PQ1369" s="185" t="s">
        <v>699</v>
      </c>
      <c r="PR1369" s="185" t="s">
        <v>699</v>
      </c>
      <c r="PS1369" s="151">
        <f t="shared" ref="PS1369:PX1369" si="3345">PS1360</f>
        <v>143796.06</v>
      </c>
      <c r="PT1369" s="151">
        <f t="shared" si="3345"/>
        <v>151766.57999999999</v>
      </c>
      <c r="PU1369" s="151">
        <f t="shared" si="3345"/>
        <v>157860.46</v>
      </c>
      <c r="PV1369" s="151">
        <f t="shared" si="3345"/>
        <v>0</v>
      </c>
      <c r="PW1369" s="151">
        <f t="shared" si="3345"/>
        <v>0</v>
      </c>
      <c r="PX1369" s="151">
        <f t="shared" si="3345"/>
        <v>0</v>
      </c>
      <c r="PY1369" s="185" t="s">
        <v>699</v>
      </c>
      <c r="PZ1369" s="185" t="s">
        <v>699</v>
      </c>
      <c r="QA1369" s="185" t="s">
        <v>699</v>
      </c>
      <c r="QB1369" s="185" t="s">
        <v>699</v>
      </c>
      <c r="QC1369" s="185" t="s">
        <v>699</v>
      </c>
      <c r="QD1369" s="185" t="s">
        <v>699</v>
      </c>
      <c r="QE1369" s="185" t="s">
        <v>699</v>
      </c>
      <c r="QF1369" s="185" t="s">
        <v>699</v>
      </c>
      <c r="QG1369" s="185" t="s">
        <v>699</v>
      </c>
      <c r="QH1369" s="185" t="s">
        <v>699</v>
      </c>
      <c r="QI1369" s="185" t="s">
        <v>699</v>
      </c>
      <c r="QJ1369" s="185" t="s">
        <v>699</v>
      </c>
      <c r="QK1369" s="185" t="s">
        <v>699</v>
      </c>
      <c r="QL1369" s="185" t="s">
        <v>699</v>
      </c>
      <c r="QM1369" s="185" t="s">
        <v>699</v>
      </c>
      <c r="QN1369" s="151">
        <f t="shared" ref="QN1369:QS1369" si="3346">QN1360</f>
        <v>0</v>
      </c>
      <c r="QO1369" s="151">
        <f t="shared" si="3346"/>
        <v>0</v>
      </c>
      <c r="QP1369" s="151">
        <f t="shared" si="3346"/>
        <v>0</v>
      </c>
      <c r="QQ1369" s="151">
        <f t="shared" si="3346"/>
        <v>0</v>
      </c>
      <c r="QR1369" s="151">
        <f t="shared" si="3346"/>
        <v>0</v>
      </c>
      <c r="QS1369" s="151">
        <f t="shared" si="3346"/>
        <v>0</v>
      </c>
      <c r="QT1369" s="185" t="s">
        <v>699</v>
      </c>
      <c r="QU1369" s="185" t="s">
        <v>699</v>
      </c>
      <c r="QV1369" s="185" t="s">
        <v>699</v>
      </c>
      <c r="QW1369" s="185" t="s">
        <v>699</v>
      </c>
      <c r="QX1369" s="185" t="s">
        <v>699</v>
      </c>
      <c r="QY1369" s="185" t="s">
        <v>699</v>
      </c>
      <c r="QZ1369" s="185" t="s">
        <v>699</v>
      </c>
      <c r="RA1369" s="185" t="s">
        <v>699</v>
      </c>
      <c r="RB1369" s="185" t="s">
        <v>699</v>
      </c>
      <c r="RC1369" s="185" t="s">
        <v>699</v>
      </c>
      <c r="RD1369" s="185" t="s">
        <v>699</v>
      </c>
      <c r="RE1369" s="185" t="s">
        <v>699</v>
      </c>
      <c r="RF1369" s="185" t="s">
        <v>699</v>
      </c>
      <c r="RG1369" s="185" t="s">
        <v>699</v>
      </c>
      <c r="RH1369" s="185" t="s">
        <v>699</v>
      </c>
      <c r="RI1369" s="151">
        <f t="shared" ref="RI1369:RN1369" si="3347">RI1360</f>
        <v>219141.33</v>
      </c>
      <c r="RJ1369" s="151">
        <f t="shared" si="3347"/>
        <v>231262.07999999999</v>
      </c>
      <c r="RK1369" s="151">
        <f t="shared" si="3347"/>
        <v>240511.91</v>
      </c>
      <c r="RL1369" s="151">
        <f t="shared" si="3347"/>
        <v>0</v>
      </c>
      <c r="RM1369" s="151">
        <f t="shared" si="3347"/>
        <v>0</v>
      </c>
      <c r="RN1369" s="151">
        <f t="shared" si="3347"/>
        <v>0</v>
      </c>
      <c r="RO1369" s="185" t="s">
        <v>699</v>
      </c>
      <c r="RP1369" s="185" t="s">
        <v>699</v>
      </c>
      <c r="RQ1369" s="185" t="s">
        <v>699</v>
      </c>
      <c r="RR1369" s="185" t="s">
        <v>699</v>
      </c>
      <c r="RS1369" s="185" t="s">
        <v>699</v>
      </c>
      <c r="RT1369" s="185" t="s">
        <v>699</v>
      </c>
      <c r="RU1369" s="185" t="s">
        <v>699</v>
      </c>
      <c r="RV1369" s="185" t="s">
        <v>699</v>
      </c>
      <c r="RW1369" s="185" t="s">
        <v>699</v>
      </c>
      <c r="RX1369" s="185" t="s">
        <v>699</v>
      </c>
      <c r="RY1369" s="185" t="s">
        <v>699</v>
      </c>
      <c r="RZ1369" s="185" t="s">
        <v>699</v>
      </c>
      <c r="SA1369" s="185" t="s">
        <v>699</v>
      </c>
      <c r="SB1369" s="185" t="s">
        <v>699</v>
      </c>
      <c r="SC1369" s="185" t="s">
        <v>699</v>
      </c>
      <c r="SD1369" s="151">
        <f t="shared" ref="SD1369:SI1369" si="3348">SD1360</f>
        <v>136970.1</v>
      </c>
      <c r="SE1369" s="151">
        <f t="shared" si="3348"/>
        <v>144560.73000000001</v>
      </c>
      <c r="SF1369" s="151">
        <f t="shared" si="3348"/>
        <v>150363.16</v>
      </c>
      <c r="SG1369" s="151">
        <f t="shared" si="3348"/>
        <v>0</v>
      </c>
      <c r="SH1369" s="151">
        <f t="shared" si="3348"/>
        <v>0</v>
      </c>
      <c r="SI1369" s="151">
        <f t="shared" si="3348"/>
        <v>0</v>
      </c>
      <c r="SJ1369" s="185" t="s">
        <v>699</v>
      </c>
      <c r="SK1369" s="185" t="s">
        <v>699</v>
      </c>
      <c r="SL1369" s="185" t="s">
        <v>699</v>
      </c>
      <c r="SM1369" s="185" t="s">
        <v>699</v>
      </c>
      <c r="SN1369" s="185" t="s">
        <v>699</v>
      </c>
      <c r="SO1369" s="185" t="s">
        <v>699</v>
      </c>
      <c r="SP1369" s="185" t="s">
        <v>699</v>
      </c>
      <c r="SQ1369" s="185" t="s">
        <v>699</v>
      </c>
      <c r="SR1369" s="185" t="s">
        <v>699</v>
      </c>
      <c r="SS1369" s="185" t="s">
        <v>699</v>
      </c>
      <c r="ST1369" s="185" t="s">
        <v>699</v>
      </c>
      <c r="SU1369" s="185" t="s">
        <v>699</v>
      </c>
      <c r="SV1369" s="185" t="s">
        <v>699</v>
      </c>
      <c r="SW1369" s="185" t="s">
        <v>699</v>
      </c>
      <c r="SX1369" s="185" t="s">
        <v>699</v>
      </c>
      <c r="SY1369" s="151">
        <f t="shared" ref="SY1369:TD1369" si="3349">SY1360</f>
        <v>277999.71000000002</v>
      </c>
      <c r="SZ1369" s="151">
        <f t="shared" si="3349"/>
        <v>293422.5</v>
      </c>
      <c r="TA1369" s="151">
        <f t="shared" si="3349"/>
        <v>305222.84999999998</v>
      </c>
      <c r="TB1369" s="151">
        <f t="shared" si="3349"/>
        <v>0</v>
      </c>
      <c r="TC1369" s="151">
        <f t="shared" si="3349"/>
        <v>0</v>
      </c>
      <c r="TD1369" s="151">
        <f t="shared" si="3349"/>
        <v>0</v>
      </c>
      <c r="TE1369" s="185" t="s">
        <v>699</v>
      </c>
      <c r="TF1369" s="185" t="s">
        <v>699</v>
      </c>
      <c r="TG1369" s="185" t="s">
        <v>699</v>
      </c>
      <c r="TH1369" s="185" t="s">
        <v>699</v>
      </c>
      <c r="TI1369" s="185" t="s">
        <v>699</v>
      </c>
      <c r="TJ1369" s="185" t="s">
        <v>699</v>
      </c>
      <c r="TK1369" s="185" t="s">
        <v>699</v>
      </c>
      <c r="TL1369" s="185" t="s">
        <v>699</v>
      </c>
      <c r="TM1369" s="185" t="s">
        <v>699</v>
      </c>
      <c r="TN1369" s="185" t="s">
        <v>699</v>
      </c>
      <c r="TO1369" s="185" t="s">
        <v>699</v>
      </c>
      <c r="TP1369" s="185" t="s">
        <v>699</v>
      </c>
      <c r="TQ1369" s="185" t="s">
        <v>699</v>
      </c>
      <c r="TR1369" s="185" t="s">
        <v>699</v>
      </c>
      <c r="TS1369" s="185" t="s">
        <v>699</v>
      </c>
      <c r="TT1369" s="151">
        <f t="shared" ref="TT1369:TY1369" si="3350">TT1360</f>
        <v>68472</v>
      </c>
      <c r="TU1369" s="151">
        <f t="shared" si="3350"/>
        <v>72269.279999999999</v>
      </c>
      <c r="TV1369" s="151">
        <f t="shared" si="3350"/>
        <v>75173.759999999995</v>
      </c>
      <c r="TW1369" s="151">
        <f t="shared" si="3350"/>
        <v>0</v>
      </c>
      <c r="TX1369" s="151">
        <f t="shared" si="3350"/>
        <v>0</v>
      </c>
      <c r="TY1369" s="151">
        <f t="shared" si="3350"/>
        <v>0</v>
      </c>
      <c r="TZ1369" s="185" t="s">
        <v>699</v>
      </c>
      <c r="UA1369" s="185" t="s">
        <v>699</v>
      </c>
      <c r="UB1369" s="185" t="s">
        <v>699</v>
      </c>
      <c r="UC1369" s="185" t="s">
        <v>699</v>
      </c>
      <c r="UD1369" s="185" t="s">
        <v>699</v>
      </c>
      <c r="UE1369" s="185" t="s">
        <v>699</v>
      </c>
      <c r="UF1369" s="185" t="s">
        <v>699</v>
      </c>
      <c r="UG1369" s="185" t="s">
        <v>699</v>
      </c>
      <c r="UH1369" s="185" t="s">
        <v>699</v>
      </c>
      <c r="UI1369" s="185" t="s">
        <v>699</v>
      </c>
      <c r="UJ1369" s="185" t="s">
        <v>699</v>
      </c>
      <c r="UK1369" s="185" t="s">
        <v>699</v>
      </c>
      <c r="UL1369" s="185" t="s">
        <v>699</v>
      </c>
      <c r="UM1369" s="185" t="s">
        <v>699</v>
      </c>
      <c r="UN1369" s="185" t="s">
        <v>699</v>
      </c>
      <c r="UO1369" s="151">
        <f t="shared" ref="UO1369:UT1369" si="3351">UO1360</f>
        <v>34240.32</v>
      </c>
      <c r="UP1369" s="151">
        <f t="shared" si="3351"/>
        <v>36132.480000000003</v>
      </c>
      <c r="UQ1369" s="151">
        <f t="shared" si="3351"/>
        <v>37575.360000000001</v>
      </c>
      <c r="UR1369" s="151">
        <f t="shared" si="3351"/>
        <v>0</v>
      </c>
      <c r="US1369" s="151">
        <f t="shared" si="3351"/>
        <v>0</v>
      </c>
      <c r="UT1369" s="151">
        <f t="shared" si="3351"/>
        <v>0</v>
      </c>
      <c r="UU1369" s="185" t="s">
        <v>699</v>
      </c>
      <c r="UV1369" s="185" t="s">
        <v>699</v>
      </c>
      <c r="UW1369" s="185" t="s">
        <v>699</v>
      </c>
      <c r="UX1369" s="185" t="s">
        <v>699</v>
      </c>
      <c r="UY1369" s="185" t="s">
        <v>699</v>
      </c>
      <c r="UZ1369" s="185" t="s">
        <v>699</v>
      </c>
      <c r="VA1369" s="185" t="s">
        <v>699</v>
      </c>
      <c r="VB1369" s="185" t="s">
        <v>699</v>
      </c>
      <c r="VC1369" s="185" t="s">
        <v>699</v>
      </c>
      <c r="VD1369" s="185" t="s">
        <v>699</v>
      </c>
      <c r="VE1369" s="185" t="s">
        <v>699</v>
      </c>
      <c r="VF1369" s="185" t="s">
        <v>699</v>
      </c>
      <c r="VG1369" s="185" t="s">
        <v>699</v>
      </c>
      <c r="VH1369" s="185" t="s">
        <v>699</v>
      </c>
      <c r="VI1369" s="185" t="s">
        <v>699</v>
      </c>
      <c r="VJ1369" s="151">
        <f t="shared" ref="VJ1369:VO1369" si="3352">VJ1360</f>
        <v>109546.14</v>
      </c>
      <c r="VK1369" s="151">
        <f t="shared" si="3352"/>
        <v>115621.29</v>
      </c>
      <c r="VL1369" s="151">
        <f t="shared" si="3352"/>
        <v>120268.08</v>
      </c>
      <c r="VM1369" s="151">
        <f t="shared" si="3352"/>
        <v>0</v>
      </c>
      <c r="VN1369" s="151">
        <f t="shared" si="3352"/>
        <v>0</v>
      </c>
      <c r="VO1369" s="151">
        <f t="shared" si="3352"/>
        <v>0</v>
      </c>
      <c r="VP1369" s="185" t="s">
        <v>699</v>
      </c>
      <c r="VQ1369" s="185" t="s">
        <v>699</v>
      </c>
      <c r="VR1369" s="185" t="s">
        <v>699</v>
      </c>
      <c r="VS1369" s="185" t="s">
        <v>699</v>
      </c>
      <c r="VT1369" s="185" t="s">
        <v>699</v>
      </c>
      <c r="VU1369" s="185" t="s">
        <v>699</v>
      </c>
      <c r="VV1369" s="185" t="s">
        <v>699</v>
      </c>
      <c r="VW1369" s="185" t="s">
        <v>699</v>
      </c>
      <c r="VX1369" s="185" t="s">
        <v>699</v>
      </c>
      <c r="VY1369" s="185" t="s">
        <v>699</v>
      </c>
      <c r="VZ1369" s="185" t="s">
        <v>699</v>
      </c>
      <c r="WA1369" s="185" t="s">
        <v>699</v>
      </c>
      <c r="WB1369" s="185" t="s">
        <v>699</v>
      </c>
      <c r="WC1369" s="185" t="s">
        <v>699</v>
      </c>
      <c r="WD1369" s="185" t="s">
        <v>699</v>
      </c>
      <c r="WE1369" s="151">
        <f t="shared" ref="WE1369:WJ1369" si="3353">WE1360</f>
        <v>0</v>
      </c>
      <c r="WF1369" s="151">
        <f t="shared" si="3353"/>
        <v>0</v>
      </c>
      <c r="WG1369" s="151">
        <f t="shared" si="3353"/>
        <v>0</v>
      </c>
      <c r="WH1369" s="151">
        <f t="shared" si="3353"/>
        <v>0</v>
      </c>
      <c r="WI1369" s="151">
        <f t="shared" si="3353"/>
        <v>0</v>
      </c>
      <c r="WJ1369" s="151">
        <f t="shared" si="3353"/>
        <v>0</v>
      </c>
      <c r="WK1369" s="185" t="s">
        <v>699</v>
      </c>
      <c r="WL1369" s="185" t="s">
        <v>699</v>
      </c>
      <c r="WM1369" s="185" t="s">
        <v>699</v>
      </c>
      <c r="WN1369" s="185" t="s">
        <v>699</v>
      </c>
      <c r="WO1369" s="185" t="s">
        <v>699</v>
      </c>
      <c r="WP1369" s="185" t="s">
        <v>699</v>
      </c>
      <c r="WQ1369" s="185" t="s">
        <v>699</v>
      </c>
      <c r="WR1369" s="185" t="s">
        <v>699</v>
      </c>
      <c r="WS1369" s="185" t="s">
        <v>699</v>
      </c>
      <c r="WT1369" s="185" t="s">
        <v>699</v>
      </c>
      <c r="WU1369" s="185" t="s">
        <v>699</v>
      </c>
      <c r="WV1369" s="185" t="s">
        <v>699</v>
      </c>
      <c r="WW1369" s="185" t="s">
        <v>699</v>
      </c>
      <c r="WX1369" s="185" t="s">
        <v>699</v>
      </c>
      <c r="WY1369" s="185" t="s">
        <v>699</v>
      </c>
      <c r="WZ1369" s="151">
        <f t="shared" ref="WZ1369:XE1369" si="3354">WZ1360</f>
        <v>0</v>
      </c>
      <c r="XA1369" s="151">
        <f t="shared" si="3354"/>
        <v>0</v>
      </c>
      <c r="XB1369" s="151">
        <f t="shared" si="3354"/>
        <v>0</v>
      </c>
      <c r="XC1369" s="151">
        <f t="shared" si="3354"/>
        <v>0</v>
      </c>
      <c r="XD1369" s="151">
        <f t="shared" si="3354"/>
        <v>0</v>
      </c>
      <c r="XE1369" s="151">
        <f t="shared" si="3354"/>
        <v>0</v>
      </c>
      <c r="XF1369" s="185" t="s">
        <v>699</v>
      </c>
      <c r="XG1369" s="185" t="s">
        <v>699</v>
      </c>
      <c r="XH1369" s="185" t="s">
        <v>699</v>
      </c>
      <c r="XI1369" s="185" t="s">
        <v>699</v>
      </c>
      <c r="XJ1369" s="185" t="s">
        <v>699</v>
      </c>
      <c r="XK1369" s="185" t="s">
        <v>699</v>
      </c>
      <c r="XL1369" s="185" t="s">
        <v>699</v>
      </c>
      <c r="XM1369" s="185" t="s">
        <v>699</v>
      </c>
      <c r="XN1369" s="185" t="s">
        <v>699</v>
      </c>
      <c r="XO1369" s="185" t="s">
        <v>699</v>
      </c>
      <c r="XP1369" s="185" t="s">
        <v>699</v>
      </c>
      <c r="XQ1369" s="185" t="s">
        <v>699</v>
      </c>
      <c r="XR1369" s="185" t="s">
        <v>699</v>
      </c>
      <c r="XS1369" s="185" t="s">
        <v>699</v>
      </c>
      <c r="XT1369" s="185" t="s">
        <v>699</v>
      </c>
      <c r="XU1369" s="151">
        <f t="shared" ref="XU1369:XZ1369" si="3355">XU1360</f>
        <v>388968.45</v>
      </c>
      <c r="XV1369" s="151">
        <f t="shared" si="3355"/>
        <v>410463.3</v>
      </c>
      <c r="XW1369" s="151">
        <f t="shared" si="3355"/>
        <v>426854.35</v>
      </c>
      <c r="XX1369" s="151">
        <f t="shared" si="3355"/>
        <v>0</v>
      </c>
      <c r="XY1369" s="151">
        <f t="shared" si="3355"/>
        <v>0</v>
      </c>
      <c r="XZ1369" s="151">
        <f t="shared" si="3355"/>
        <v>0</v>
      </c>
      <c r="YA1369" s="185" t="s">
        <v>699</v>
      </c>
      <c r="YB1369" s="185" t="s">
        <v>699</v>
      </c>
      <c r="YC1369" s="185" t="s">
        <v>699</v>
      </c>
      <c r="YD1369" s="185" t="s">
        <v>699</v>
      </c>
      <c r="YE1369" s="185" t="s">
        <v>699</v>
      </c>
      <c r="YF1369" s="185" t="s">
        <v>699</v>
      </c>
      <c r="YG1369" s="185" t="s">
        <v>699</v>
      </c>
      <c r="YH1369" s="185" t="s">
        <v>699</v>
      </c>
      <c r="YI1369" s="185" t="s">
        <v>699</v>
      </c>
      <c r="YJ1369" s="185" t="s">
        <v>699</v>
      </c>
      <c r="YK1369" s="185" t="s">
        <v>699</v>
      </c>
      <c r="YL1369" s="185" t="s">
        <v>699</v>
      </c>
      <c r="YM1369" s="185" t="s">
        <v>699</v>
      </c>
      <c r="YN1369" s="185" t="s">
        <v>699</v>
      </c>
      <c r="YO1369" s="185" t="s">
        <v>699</v>
      </c>
      <c r="YP1369" s="151">
        <f t="shared" ref="YP1369:YU1369" si="3356">YP1360</f>
        <v>3684114.09</v>
      </c>
      <c r="YQ1369" s="151">
        <f t="shared" si="3356"/>
        <v>3888069.66</v>
      </c>
      <c r="YR1369" s="151">
        <f t="shared" si="3356"/>
        <v>4043838.87</v>
      </c>
      <c r="YS1369" s="151">
        <f t="shared" si="3356"/>
        <v>0</v>
      </c>
      <c r="YT1369" s="151">
        <f t="shared" si="3356"/>
        <v>0</v>
      </c>
      <c r="YU1369" s="151">
        <f t="shared" si="3356"/>
        <v>0</v>
      </c>
      <c r="YV1369" s="185" t="s">
        <v>699</v>
      </c>
      <c r="YW1369" s="185" t="s">
        <v>699</v>
      </c>
      <c r="YX1369" s="185" t="s">
        <v>699</v>
      </c>
      <c r="YY1369" s="185" t="s">
        <v>699</v>
      </c>
      <c r="YZ1369" s="185" t="s">
        <v>699</v>
      </c>
      <c r="ZA1369" s="185" t="s">
        <v>699</v>
      </c>
      <c r="ZB1369" s="185" t="s">
        <v>699</v>
      </c>
      <c r="ZC1369" s="185" t="s">
        <v>699</v>
      </c>
      <c r="ZD1369" s="185" t="s">
        <v>699</v>
      </c>
      <c r="ZE1369" s="185" t="s">
        <v>699</v>
      </c>
      <c r="ZF1369" s="185" t="s">
        <v>699</v>
      </c>
      <c r="ZG1369" s="185" t="s">
        <v>699</v>
      </c>
    </row>
    <row r="1370" spans="1:684" s="149" customFormat="1" x14ac:dyDescent="0.25">
      <c r="A1370" s="324" t="s">
        <v>981</v>
      </c>
      <c r="B1370" s="334"/>
      <c r="C1370" s="147" t="s">
        <v>717</v>
      </c>
      <c r="D1370" s="1281"/>
      <c r="E1370" s="1282"/>
      <c r="F1370" s="148"/>
      <c r="G1370" s="148"/>
      <c r="H1370" s="148"/>
      <c r="I1370" s="148"/>
      <c r="J1370" s="148"/>
      <c r="K1370" s="148"/>
      <c r="L1370" s="185" t="s">
        <v>699</v>
      </c>
      <c r="M1370" s="185" t="s">
        <v>699</v>
      </c>
      <c r="N1370" s="185" t="s">
        <v>699</v>
      </c>
      <c r="O1370" s="185" t="s">
        <v>699</v>
      </c>
      <c r="P1370" s="185" t="s">
        <v>699</v>
      </c>
      <c r="Q1370" s="185" t="s">
        <v>699</v>
      </c>
      <c r="R1370" s="185" t="s">
        <v>699</v>
      </c>
      <c r="S1370" s="185" t="s">
        <v>699</v>
      </c>
      <c r="T1370" s="185" t="s">
        <v>699</v>
      </c>
      <c r="U1370" s="148">
        <f>IF(O1369=0,0,(AA1374-AA1373)/O1369)</f>
        <v>1.0083792841000001</v>
      </c>
      <c r="V1370" s="148">
        <f t="shared" ref="V1370:Z1370" si="3357">IF(P1369=0,0,(AB1374-AB1373)/P1369)</f>
        <v>1.0049459816999999</v>
      </c>
      <c r="W1370" s="148">
        <f t="shared" si="3357"/>
        <v>0.98973263280000001</v>
      </c>
      <c r="X1370" s="148">
        <f t="shared" si="3357"/>
        <v>0</v>
      </c>
      <c r="Y1370" s="148">
        <f t="shared" si="3357"/>
        <v>0</v>
      </c>
      <c r="Z1370" s="148">
        <f t="shared" si="3357"/>
        <v>0</v>
      </c>
      <c r="AA1370" s="185" t="s">
        <v>699</v>
      </c>
      <c r="AB1370" s="185" t="s">
        <v>699</v>
      </c>
      <c r="AC1370" s="185" t="s">
        <v>699</v>
      </c>
      <c r="AD1370" s="185" t="s">
        <v>699</v>
      </c>
      <c r="AE1370" s="185" t="s">
        <v>699</v>
      </c>
      <c r="AF1370" s="185" t="s">
        <v>699</v>
      </c>
      <c r="AG1370" s="185" t="s">
        <v>699</v>
      </c>
      <c r="AH1370" s="185" t="s">
        <v>699</v>
      </c>
      <c r="AI1370" s="185" t="s">
        <v>699</v>
      </c>
      <c r="AJ1370" s="185" t="s">
        <v>699</v>
      </c>
      <c r="AK1370" s="185" t="s">
        <v>699</v>
      </c>
      <c r="AL1370" s="185" t="s">
        <v>699</v>
      </c>
      <c r="AM1370" s="185" t="s">
        <v>699</v>
      </c>
      <c r="AN1370" s="185" t="s">
        <v>699</v>
      </c>
      <c r="AO1370" s="185" t="s">
        <v>699</v>
      </c>
      <c r="AP1370" s="148">
        <f>IF(AJ1369=0,0,(AV1374-AV1373)/AJ1369)</f>
        <v>1.0066952045999999</v>
      </c>
      <c r="AQ1370" s="148">
        <f t="shared" ref="AQ1370:AU1370" si="3358">IF(AK1369=0,0,(AW1374-AW1373)/AK1369)</f>
        <v>1.0049037333999999</v>
      </c>
      <c r="AR1370" s="148">
        <f t="shared" si="3358"/>
        <v>0.99039945200000001</v>
      </c>
      <c r="AS1370" s="148">
        <f t="shared" si="3358"/>
        <v>0</v>
      </c>
      <c r="AT1370" s="148">
        <f t="shared" si="3358"/>
        <v>0</v>
      </c>
      <c r="AU1370" s="148">
        <f t="shared" si="3358"/>
        <v>0</v>
      </c>
      <c r="AV1370" s="185" t="s">
        <v>699</v>
      </c>
      <c r="AW1370" s="185" t="s">
        <v>699</v>
      </c>
      <c r="AX1370" s="185" t="s">
        <v>699</v>
      </c>
      <c r="AY1370" s="185" t="s">
        <v>699</v>
      </c>
      <c r="AZ1370" s="185" t="s">
        <v>699</v>
      </c>
      <c r="BA1370" s="185" t="s">
        <v>699</v>
      </c>
      <c r="BB1370" s="185" t="s">
        <v>699</v>
      </c>
      <c r="BC1370" s="185" t="s">
        <v>699</v>
      </c>
      <c r="BD1370" s="185" t="s">
        <v>699</v>
      </c>
      <c r="BE1370" s="185" t="s">
        <v>699</v>
      </c>
      <c r="BF1370" s="185" t="s">
        <v>699</v>
      </c>
      <c r="BG1370" s="185" t="s">
        <v>699</v>
      </c>
      <c r="BH1370" s="185" t="s">
        <v>699</v>
      </c>
      <c r="BI1370" s="185" t="s">
        <v>699</v>
      </c>
      <c r="BJ1370" s="185" t="s">
        <v>699</v>
      </c>
      <c r="BK1370" s="148">
        <f>IF(BE1369=0,0,(BQ1374-BQ1373)/BE1369)</f>
        <v>1.0085787607000001</v>
      </c>
      <c r="BL1370" s="148">
        <f t="shared" ref="BL1370:BP1370" si="3359">IF(BF1369=0,0,(BR1374-BR1373)/BF1369)</f>
        <v>1.0046262624</v>
      </c>
      <c r="BM1370" s="148">
        <f t="shared" si="3359"/>
        <v>0.9890728298</v>
      </c>
      <c r="BN1370" s="148">
        <f t="shared" si="3359"/>
        <v>0</v>
      </c>
      <c r="BO1370" s="148">
        <f t="shared" si="3359"/>
        <v>0</v>
      </c>
      <c r="BP1370" s="148">
        <f t="shared" si="3359"/>
        <v>0</v>
      </c>
      <c r="BQ1370" s="185" t="s">
        <v>699</v>
      </c>
      <c r="BR1370" s="185" t="s">
        <v>699</v>
      </c>
      <c r="BS1370" s="185" t="s">
        <v>699</v>
      </c>
      <c r="BT1370" s="185" t="s">
        <v>699</v>
      </c>
      <c r="BU1370" s="185" t="s">
        <v>699</v>
      </c>
      <c r="BV1370" s="185" t="s">
        <v>699</v>
      </c>
      <c r="BW1370" s="185" t="s">
        <v>699</v>
      </c>
      <c r="BX1370" s="185" t="s">
        <v>699</v>
      </c>
      <c r="BY1370" s="185" t="s">
        <v>699</v>
      </c>
      <c r="BZ1370" s="185" t="s">
        <v>699</v>
      </c>
      <c r="CA1370" s="185" t="s">
        <v>699</v>
      </c>
      <c r="CB1370" s="185" t="s">
        <v>699</v>
      </c>
      <c r="CC1370" s="185" t="s">
        <v>699</v>
      </c>
      <c r="CD1370" s="185" t="s">
        <v>699</v>
      </c>
      <c r="CE1370" s="185" t="s">
        <v>699</v>
      </c>
      <c r="CF1370" s="148">
        <f>IF(BZ1369=0,0,(CL1374-CL1373)/BZ1369)</f>
        <v>1.0059688091000001</v>
      </c>
      <c r="CG1370" s="148">
        <f t="shared" ref="CG1370:CK1370" si="3360">IF(CA1369=0,0,(CM1374-CM1373)/CA1369)</f>
        <v>1.0050052200999999</v>
      </c>
      <c r="CH1370" s="148">
        <f t="shared" si="3360"/>
        <v>0.99111917309999997</v>
      </c>
      <c r="CI1370" s="148">
        <f t="shared" si="3360"/>
        <v>0</v>
      </c>
      <c r="CJ1370" s="148">
        <f t="shared" si="3360"/>
        <v>0</v>
      </c>
      <c r="CK1370" s="148">
        <f t="shared" si="3360"/>
        <v>0</v>
      </c>
      <c r="CL1370" s="185" t="s">
        <v>699</v>
      </c>
      <c r="CM1370" s="185" t="s">
        <v>699</v>
      </c>
      <c r="CN1370" s="185" t="s">
        <v>699</v>
      </c>
      <c r="CO1370" s="185" t="s">
        <v>699</v>
      </c>
      <c r="CP1370" s="185" t="s">
        <v>699</v>
      </c>
      <c r="CQ1370" s="185" t="s">
        <v>699</v>
      </c>
      <c r="CR1370" s="185" t="s">
        <v>699</v>
      </c>
      <c r="CS1370" s="185" t="s">
        <v>699</v>
      </c>
      <c r="CT1370" s="185" t="s">
        <v>699</v>
      </c>
      <c r="CU1370" s="185" t="s">
        <v>699</v>
      </c>
      <c r="CV1370" s="185" t="s">
        <v>699</v>
      </c>
      <c r="CW1370" s="185" t="s">
        <v>699</v>
      </c>
      <c r="CX1370" s="185" t="s">
        <v>699</v>
      </c>
      <c r="CY1370" s="185" t="s">
        <v>699</v>
      </c>
      <c r="CZ1370" s="185" t="s">
        <v>699</v>
      </c>
      <c r="DA1370" s="148">
        <f>IF(CU1369=0,0,(DG1374-DG1373)/CU1369)</f>
        <v>1.0078972944</v>
      </c>
      <c r="DB1370" s="148">
        <f t="shared" ref="DB1370:DF1370" si="3361">IF(CV1369=0,0,(DH1374-DH1373)/CV1369)</f>
        <v>1.0040880673999999</v>
      </c>
      <c r="DC1370" s="148">
        <f t="shared" si="3361"/>
        <v>0.98921091370000003</v>
      </c>
      <c r="DD1370" s="148">
        <f t="shared" si="3361"/>
        <v>0</v>
      </c>
      <c r="DE1370" s="148">
        <f t="shared" si="3361"/>
        <v>0</v>
      </c>
      <c r="DF1370" s="148">
        <f t="shared" si="3361"/>
        <v>0</v>
      </c>
      <c r="DG1370" s="185" t="s">
        <v>699</v>
      </c>
      <c r="DH1370" s="185" t="s">
        <v>699</v>
      </c>
      <c r="DI1370" s="185" t="s">
        <v>699</v>
      </c>
      <c r="DJ1370" s="185" t="s">
        <v>699</v>
      </c>
      <c r="DK1370" s="185" t="s">
        <v>699</v>
      </c>
      <c r="DL1370" s="185" t="s">
        <v>699</v>
      </c>
      <c r="DM1370" s="185" t="s">
        <v>699</v>
      </c>
      <c r="DN1370" s="185" t="s">
        <v>699</v>
      </c>
      <c r="DO1370" s="185" t="s">
        <v>699</v>
      </c>
      <c r="DP1370" s="185" t="s">
        <v>699</v>
      </c>
      <c r="DQ1370" s="185" t="s">
        <v>699</v>
      </c>
      <c r="DR1370" s="185" t="s">
        <v>699</v>
      </c>
      <c r="DS1370" s="185" t="s">
        <v>699</v>
      </c>
      <c r="DT1370" s="185" t="s">
        <v>699</v>
      </c>
      <c r="DU1370" s="185" t="s">
        <v>699</v>
      </c>
      <c r="DV1370" s="148">
        <f>IF(DP1369=0,0,(EB1374-EB1373)/DP1369)</f>
        <v>1.0083821462</v>
      </c>
      <c r="DW1370" s="148">
        <f t="shared" ref="DW1370:EA1370" si="3362">IF(DQ1369=0,0,(EC1374-EC1373)/DQ1369)</f>
        <v>1.0047146253000001</v>
      </c>
      <c r="DX1370" s="148">
        <f t="shared" si="3362"/>
        <v>0.98970690039999998</v>
      </c>
      <c r="DY1370" s="148">
        <f t="shared" si="3362"/>
        <v>0</v>
      </c>
      <c r="DZ1370" s="148">
        <f t="shared" si="3362"/>
        <v>0</v>
      </c>
      <c r="EA1370" s="148">
        <f t="shared" si="3362"/>
        <v>0</v>
      </c>
      <c r="EB1370" s="185" t="s">
        <v>699</v>
      </c>
      <c r="EC1370" s="185" t="s">
        <v>699</v>
      </c>
      <c r="ED1370" s="185" t="s">
        <v>699</v>
      </c>
      <c r="EE1370" s="185" t="s">
        <v>699</v>
      </c>
      <c r="EF1370" s="185" t="s">
        <v>699</v>
      </c>
      <c r="EG1370" s="185" t="s">
        <v>699</v>
      </c>
      <c r="EH1370" s="185" t="s">
        <v>699</v>
      </c>
      <c r="EI1370" s="185" t="s">
        <v>699</v>
      </c>
      <c r="EJ1370" s="185" t="s">
        <v>699</v>
      </c>
      <c r="EK1370" s="185" t="s">
        <v>699</v>
      </c>
      <c r="EL1370" s="185" t="s">
        <v>699</v>
      </c>
      <c r="EM1370" s="185" t="s">
        <v>699</v>
      </c>
      <c r="EN1370" s="185" t="s">
        <v>699</v>
      </c>
      <c r="EO1370" s="185" t="s">
        <v>699</v>
      </c>
      <c r="EP1370" s="185" t="s">
        <v>699</v>
      </c>
      <c r="EQ1370" s="148">
        <f>IF(EK1369=0,0,(EW1374-EW1373)/EK1369)</f>
        <v>0</v>
      </c>
      <c r="ER1370" s="148">
        <f t="shared" ref="ER1370:EV1370" si="3363">IF(EL1369=0,0,(EX1374-EX1373)/EL1369)</f>
        <v>0</v>
      </c>
      <c r="ES1370" s="148">
        <f t="shared" si="3363"/>
        <v>0</v>
      </c>
      <c r="ET1370" s="148">
        <f t="shared" si="3363"/>
        <v>0</v>
      </c>
      <c r="EU1370" s="148">
        <f t="shared" si="3363"/>
        <v>0</v>
      </c>
      <c r="EV1370" s="148">
        <f t="shared" si="3363"/>
        <v>0</v>
      </c>
      <c r="EW1370" s="185" t="s">
        <v>699</v>
      </c>
      <c r="EX1370" s="185" t="s">
        <v>699</v>
      </c>
      <c r="EY1370" s="185" t="s">
        <v>699</v>
      </c>
      <c r="EZ1370" s="185" t="s">
        <v>699</v>
      </c>
      <c r="FA1370" s="185" t="s">
        <v>699</v>
      </c>
      <c r="FB1370" s="185" t="s">
        <v>699</v>
      </c>
      <c r="FC1370" s="185" t="s">
        <v>699</v>
      </c>
      <c r="FD1370" s="185" t="s">
        <v>699</v>
      </c>
      <c r="FE1370" s="185" t="s">
        <v>699</v>
      </c>
      <c r="FF1370" s="185" t="s">
        <v>699</v>
      </c>
      <c r="FG1370" s="185" t="s">
        <v>699</v>
      </c>
      <c r="FH1370" s="185" t="s">
        <v>699</v>
      </c>
      <c r="FI1370" s="185" t="s">
        <v>699</v>
      </c>
      <c r="FJ1370" s="185" t="s">
        <v>699</v>
      </c>
      <c r="FK1370" s="185" t="s">
        <v>699</v>
      </c>
      <c r="FL1370" s="148">
        <f>IF(FF1369=0,0,(FR1374-FR1373)/FF1369)</f>
        <v>1.0074375367999999</v>
      </c>
      <c r="FM1370" s="148">
        <f t="shared" ref="FM1370:FQ1370" si="3364">IF(FG1369=0,0,(FS1374-FS1373)/FG1369)</f>
        <v>1.0040255108</v>
      </c>
      <c r="FN1370" s="148">
        <f t="shared" si="3364"/>
        <v>0.98893450859999998</v>
      </c>
      <c r="FO1370" s="148">
        <f t="shared" si="3364"/>
        <v>0</v>
      </c>
      <c r="FP1370" s="148">
        <f t="shared" si="3364"/>
        <v>0</v>
      </c>
      <c r="FQ1370" s="148">
        <f t="shared" si="3364"/>
        <v>0</v>
      </c>
      <c r="FR1370" s="185" t="s">
        <v>699</v>
      </c>
      <c r="FS1370" s="185" t="s">
        <v>699</v>
      </c>
      <c r="FT1370" s="185" t="s">
        <v>699</v>
      </c>
      <c r="FU1370" s="185" t="s">
        <v>699</v>
      </c>
      <c r="FV1370" s="185" t="s">
        <v>699</v>
      </c>
      <c r="FW1370" s="185" t="s">
        <v>699</v>
      </c>
      <c r="FX1370" s="185" t="s">
        <v>699</v>
      </c>
      <c r="FY1370" s="185" t="s">
        <v>699</v>
      </c>
      <c r="FZ1370" s="185" t="s">
        <v>699</v>
      </c>
      <c r="GA1370" s="185" t="s">
        <v>699</v>
      </c>
      <c r="GB1370" s="185" t="s">
        <v>699</v>
      </c>
      <c r="GC1370" s="185" t="s">
        <v>699</v>
      </c>
      <c r="GD1370" s="185" t="s">
        <v>699</v>
      </c>
      <c r="GE1370" s="185" t="s">
        <v>699</v>
      </c>
      <c r="GF1370" s="185" t="s">
        <v>699</v>
      </c>
      <c r="GG1370" s="148">
        <f>IF(GA1369=0,0,(GM1374-GM1373)/GA1369)</f>
        <v>0</v>
      </c>
      <c r="GH1370" s="148">
        <f t="shared" ref="GH1370:GL1370" si="3365">IF(GB1369=0,0,(GN1374-GN1373)/GB1369)</f>
        <v>0</v>
      </c>
      <c r="GI1370" s="148">
        <f t="shared" si="3365"/>
        <v>0</v>
      </c>
      <c r="GJ1370" s="148">
        <f t="shared" si="3365"/>
        <v>0</v>
      </c>
      <c r="GK1370" s="148">
        <f t="shared" si="3365"/>
        <v>0</v>
      </c>
      <c r="GL1370" s="148">
        <f t="shared" si="3365"/>
        <v>0</v>
      </c>
      <c r="GM1370" s="185" t="s">
        <v>699</v>
      </c>
      <c r="GN1370" s="185" t="s">
        <v>699</v>
      </c>
      <c r="GO1370" s="185" t="s">
        <v>699</v>
      </c>
      <c r="GP1370" s="185" t="s">
        <v>699</v>
      </c>
      <c r="GQ1370" s="185" t="s">
        <v>699</v>
      </c>
      <c r="GR1370" s="185" t="s">
        <v>699</v>
      </c>
      <c r="GS1370" s="185" t="s">
        <v>699</v>
      </c>
      <c r="GT1370" s="185" t="s">
        <v>699</v>
      </c>
      <c r="GU1370" s="185" t="s">
        <v>699</v>
      </c>
      <c r="GV1370" s="185" t="s">
        <v>699</v>
      </c>
      <c r="GW1370" s="185" t="s">
        <v>699</v>
      </c>
      <c r="GX1370" s="185" t="s">
        <v>699</v>
      </c>
      <c r="GY1370" s="185" t="s">
        <v>699</v>
      </c>
      <c r="GZ1370" s="185" t="s">
        <v>699</v>
      </c>
      <c r="HA1370" s="185" t="s">
        <v>699</v>
      </c>
      <c r="HB1370" s="148">
        <f>IF(GV1369=0,0,(HH1374-HH1373)/GV1369)</f>
        <v>1.0050559518</v>
      </c>
      <c r="HC1370" s="148">
        <f t="shared" ref="HC1370:HG1370" si="3366">IF(GW1369=0,0,(HI1374-HI1373)/GW1369)</f>
        <v>1.0050052200999999</v>
      </c>
      <c r="HD1370" s="148">
        <f t="shared" si="3366"/>
        <v>0.99028769729999999</v>
      </c>
      <c r="HE1370" s="148">
        <f t="shared" si="3366"/>
        <v>0</v>
      </c>
      <c r="HF1370" s="148">
        <f t="shared" si="3366"/>
        <v>0</v>
      </c>
      <c r="HG1370" s="148">
        <f t="shared" si="3366"/>
        <v>0</v>
      </c>
      <c r="HH1370" s="185" t="s">
        <v>699</v>
      </c>
      <c r="HI1370" s="185" t="s">
        <v>699</v>
      </c>
      <c r="HJ1370" s="185" t="s">
        <v>699</v>
      </c>
      <c r="HK1370" s="185" t="s">
        <v>699</v>
      </c>
      <c r="HL1370" s="185" t="s">
        <v>699</v>
      </c>
      <c r="HM1370" s="185" t="s">
        <v>699</v>
      </c>
      <c r="HN1370" s="185" t="s">
        <v>699</v>
      </c>
      <c r="HO1370" s="185" t="s">
        <v>699</v>
      </c>
      <c r="HP1370" s="185" t="s">
        <v>699</v>
      </c>
      <c r="HQ1370" s="185" t="s">
        <v>699</v>
      </c>
      <c r="HR1370" s="185" t="s">
        <v>699</v>
      </c>
      <c r="HS1370" s="185" t="s">
        <v>699</v>
      </c>
      <c r="HT1370" s="185" t="s">
        <v>699</v>
      </c>
      <c r="HU1370" s="185" t="s">
        <v>699</v>
      </c>
      <c r="HV1370" s="185" t="s">
        <v>699</v>
      </c>
      <c r="HW1370" s="148">
        <f>IF(HQ1369=0,0,(IC1374-IC1373)/HQ1369)</f>
        <v>0</v>
      </c>
      <c r="HX1370" s="148">
        <f t="shared" ref="HX1370:IB1370" si="3367">IF(HR1369=0,0,(ID1374-ID1373)/HR1369)</f>
        <v>0</v>
      </c>
      <c r="HY1370" s="148">
        <f t="shared" si="3367"/>
        <v>0</v>
      </c>
      <c r="HZ1370" s="148">
        <f t="shared" si="3367"/>
        <v>0</v>
      </c>
      <c r="IA1370" s="148">
        <f t="shared" si="3367"/>
        <v>0</v>
      </c>
      <c r="IB1370" s="148">
        <f t="shared" si="3367"/>
        <v>0</v>
      </c>
      <c r="IC1370" s="185" t="s">
        <v>699</v>
      </c>
      <c r="ID1370" s="185" t="s">
        <v>699</v>
      </c>
      <c r="IE1370" s="185" t="s">
        <v>699</v>
      </c>
      <c r="IF1370" s="185" t="s">
        <v>699</v>
      </c>
      <c r="IG1370" s="185" t="s">
        <v>699</v>
      </c>
      <c r="IH1370" s="185" t="s">
        <v>699</v>
      </c>
      <c r="II1370" s="185" t="s">
        <v>699</v>
      </c>
      <c r="IJ1370" s="185" t="s">
        <v>699</v>
      </c>
      <c r="IK1370" s="185" t="s">
        <v>699</v>
      </c>
      <c r="IL1370" s="185" t="s">
        <v>699</v>
      </c>
      <c r="IM1370" s="185" t="s">
        <v>699</v>
      </c>
      <c r="IN1370" s="185" t="s">
        <v>699</v>
      </c>
      <c r="IO1370" s="185" t="s">
        <v>699</v>
      </c>
      <c r="IP1370" s="185" t="s">
        <v>699</v>
      </c>
      <c r="IQ1370" s="185" t="s">
        <v>699</v>
      </c>
      <c r="IR1370" s="148">
        <f>IF(IL1369=0,0,(IX1374-IX1373)/IL1369)</f>
        <v>1.0093363612999999</v>
      </c>
      <c r="IS1370" s="148">
        <f t="shared" ref="IS1370:IW1370" si="3368">IF(IM1369=0,0,(IY1374-IY1373)/IM1369)</f>
        <v>1.0049095279</v>
      </c>
      <c r="IT1370" s="148">
        <f t="shared" si="3368"/>
        <v>0.98960622399999998</v>
      </c>
      <c r="IU1370" s="148">
        <f t="shared" si="3368"/>
        <v>0</v>
      </c>
      <c r="IV1370" s="148">
        <f t="shared" si="3368"/>
        <v>0</v>
      </c>
      <c r="IW1370" s="148">
        <f t="shared" si="3368"/>
        <v>0</v>
      </c>
      <c r="IX1370" s="185" t="s">
        <v>699</v>
      </c>
      <c r="IY1370" s="185" t="s">
        <v>699</v>
      </c>
      <c r="IZ1370" s="185" t="s">
        <v>699</v>
      </c>
      <c r="JA1370" s="185" t="s">
        <v>699</v>
      </c>
      <c r="JB1370" s="185" t="s">
        <v>699</v>
      </c>
      <c r="JC1370" s="185" t="s">
        <v>699</v>
      </c>
      <c r="JD1370" s="185" t="s">
        <v>699</v>
      </c>
      <c r="JE1370" s="185" t="s">
        <v>699</v>
      </c>
      <c r="JF1370" s="185" t="s">
        <v>699</v>
      </c>
      <c r="JG1370" s="185" t="s">
        <v>699</v>
      </c>
      <c r="JH1370" s="185" t="s">
        <v>699</v>
      </c>
      <c r="JI1370" s="185" t="s">
        <v>699</v>
      </c>
      <c r="JJ1370" s="185" t="s">
        <v>699</v>
      </c>
      <c r="JK1370" s="185" t="s">
        <v>699</v>
      </c>
      <c r="JL1370" s="185" t="s">
        <v>699</v>
      </c>
      <c r="JM1370" s="148">
        <f>IF(JG1369=0,0,(JS1374-JS1373)/JG1369)</f>
        <v>0</v>
      </c>
      <c r="JN1370" s="148">
        <f t="shared" ref="JN1370:JR1370" si="3369">IF(JH1369=0,0,(JT1374-JT1373)/JH1369)</f>
        <v>0</v>
      </c>
      <c r="JO1370" s="148">
        <f t="shared" si="3369"/>
        <v>0</v>
      </c>
      <c r="JP1370" s="148">
        <f t="shared" si="3369"/>
        <v>0</v>
      </c>
      <c r="JQ1370" s="148">
        <f t="shared" si="3369"/>
        <v>0</v>
      </c>
      <c r="JR1370" s="148">
        <f t="shared" si="3369"/>
        <v>0</v>
      </c>
      <c r="JS1370" s="185" t="s">
        <v>699</v>
      </c>
      <c r="JT1370" s="185" t="s">
        <v>699</v>
      </c>
      <c r="JU1370" s="185" t="s">
        <v>699</v>
      </c>
      <c r="JV1370" s="185" t="s">
        <v>699</v>
      </c>
      <c r="JW1370" s="185" t="s">
        <v>699</v>
      </c>
      <c r="JX1370" s="185" t="s">
        <v>699</v>
      </c>
      <c r="JY1370" s="185" t="s">
        <v>699</v>
      </c>
      <c r="JZ1370" s="185" t="s">
        <v>699</v>
      </c>
      <c r="KA1370" s="185" t="s">
        <v>699</v>
      </c>
      <c r="KB1370" s="185" t="s">
        <v>699</v>
      </c>
      <c r="KC1370" s="185" t="s">
        <v>699</v>
      </c>
      <c r="KD1370" s="185" t="s">
        <v>699</v>
      </c>
      <c r="KE1370" s="185" t="s">
        <v>699</v>
      </c>
      <c r="KF1370" s="185" t="s">
        <v>699</v>
      </c>
      <c r="KG1370" s="185" t="s">
        <v>699</v>
      </c>
      <c r="KH1370" s="148">
        <f>IF(KB1369=0,0,(KN1374-KN1373)/KB1369)</f>
        <v>1.0063501571</v>
      </c>
      <c r="KI1370" s="148">
        <f t="shared" ref="KI1370:KM1370" si="3370">IF(KC1369=0,0,(KO1374-KO1373)/KC1369)</f>
        <v>1.0047128088999999</v>
      </c>
      <c r="KJ1370" s="148">
        <f t="shared" si="3370"/>
        <v>0.99055566049999999</v>
      </c>
      <c r="KK1370" s="148">
        <f t="shared" si="3370"/>
        <v>0</v>
      </c>
      <c r="KL1370" s="148">
        <f t="shared" si="3370"/>
        <v>0</v>
      </c>
      <c r="KM1370" s="148">
        <f t="shared" si="3370"/>
        <v>0</v>
      </c>
      <c r="KN1370" s="185" t="s">
        <v>699</v>
      </c>
      <c r="KO1370" s="185" t="s">
        <v>699</v>
      </c>
      <c r="KP1370" s="185" t="s">
        <v>699</v>
      </c>
      <c r="KQ1370" s="185" t="s">
        <v>699</v>
      </c>
      <c r="KR1370" s="185" t="s">
        <v>699</v>
      </c>
      <c r="KS1370" s="185" t="s">
        <v>699</v>
      </c>
      <c r="KT1370" s="185" t="s">
        <v>699</v>
      </c>
      <c r="KU1370" s="185" t="s">
        <v>699</v>
      </c>
      <c r="KV1370" s="185" t="s">
        <v>699</v>
      </c>
      <c r="KW1370" s="185" t="s">
        <v>699</v>
      </c>
      <c r="KX1370" s="185" t="s">
        <v>699</v>
      </c>
      <c r="KY1370" s="185" t="s">
        <v>699</v>
      </c>
      <c r="KZ1370" s="185" t="s">
        <v>699</v>
      </c>
      <c r="LA1370" s="185" t="s">
        <v>699</v>
      </c>
      <c r="LB1370" s="185" t="s">
        <v>699</v>
      </c>
      <c r="LC1370" s="148">
        <f>IF(KW1369=0,0,(LI1374-LI1373)/KW1369)</f>
        <v>0</v>
      </c>
      <c r="LD1370" s="148">
        <f t="shared" ref="LD1370:LH1370" si="3371">IF(KX1369=0,0,(LJ1374-LJ1373)/KX1369)</f>
        <v>0</v>
      </c>
      <c r="LE1370" s="148">
        <f t="shared" si="3371"/>
        <v>0</v>
      </c>
      <c r="LF1370" s="148">
        <f t="shared" si="3371"/>
        <v>0</v>
      </c>
      <c r="LG1370" s="148">
        <f t="shared" si="3371"/>
        <v>0</v>
      </c>
      <c r="LH1370" s="148">
        <f t="shared" si="3371"/>
        <v>0</v>
      </c>
      <c r="LI1370" s="185" t="s">
        <v>699</v>
      </c>
      <c r="LJ1370" s="185" t="s">
        <v>699</v>
      </c>
      <c r="LK1370" s="185" t="s">
        <v>699</v>
      </c>
      <c r="LL1370" s="185" t="s">
        <v>699</v>
      </c>
      <c r="LM1370" s="185" t="s">
        <v>699</v>
      </c>
      <c r="LN1370" s="185" t="s">
        <v>699</v>
      </c>
      <c r="LO1370" s="185" t="s">
        <v>699</v>
      </c>
      <c r="LP1370" s="185" t="s">
        <v>699</v>
      </c>
      <c r="LQ1370" s="185" t="s">
        <v>699</v>
      </c>
      <c r="LR1370" s="185" t="s">
        <v>699</v>
      </c>
      <c r="LS1370" s="185" t="s">
        <v>699</v>
      </c>
      <c r="LT1370" s="185" t="s">
        <v>699</v>
      </c>
      <c r="LU1370" s="185" t="s">
        <v>699</v>
      </c>
      <c r="LV1370" s="185" t="s">
        <v>699</v>
      </c>
      <c r="LW1370" s="185" t="s">
        <v>699</v>
      </c>
      <c r="LX1370" s="148">
        <f>IF(LR1369=0,0,(MD1374-MD1373)/LR1369)</f>
        <v>1.0073160219999999</v>
      </c>
      <c r="LY1370" s="148">
        <f t="shared" ref="LY1370:MC1370" si="3372">IF(LS1369=0,0,(ME1374-ME1373)/LS1369)</f>
        <v>1.0043020783000001</v>
      </c>
      <c r="LZ1370" s="148">
        <f t="shared" si="3372"/>
        <v>0.989875595</v>
      </c>
      <c r="MA1370" s="148">
        <f t="shared" si="3372"/>
        <v>0</v>
      </c>
      <c r="MB1370" s="148">
        <f t="shared" si="3372"/>
        <v>0</v>
      </c>
      <c r="MC1370" s="148">
        <f t="shared" si="3372"/>
        <v>0</v>
      </c>
      <c r="MD1370" s="185" t="s">
        <v>699</v>
      </c>
      <c r="ME1370" s="185" t="s">
        <v>699</v>
      </c>
      <c r="MF1370" s="185" t="s">
        <v>699</v>
      </c>
      <c r="MG1370" s="185" t="s">
        <v>699</v>
      </c>
      <c r="MH1370" s="185" t="s">
        <v>699</v>
      </c>
      <c r="MI1370" s="185" t="s">
        <v>699</v>
      </c>
      <c r="MJ1370" s="185" t="s">
        <v>699</v>
      </c>
      <c r="MK1370" s="185" t="s">
        <v>699</v>
      </c>
      <c r="ML1370" s="185" t="s">
        <v>699</v>
      </c>
      <c r="MM1370" s="185" t="s">
        <v>699</v>
      </c>
      <c r="MN1370" s="185" t="s">
        <v>699</v>
      </c>
      <c r="MO1370" s="185" t="s">
        <v>699</v>
      </c>
      <c r="MP1370" s="185" t="s">
        <v>699</v>
      </c>
      <c r="MQ1370" s="185" t="s">
        <v>699</v>
      </c>
      <c r="MR1370" s="185" t="s">
        <v>699</v>
      </c>
      <c r="MS1370" s="148">
        <f>IF(MM1369=0,0,(MY1374-MY1373)/MM1369)</f>
        <v>1.0066952045999999</v>
      </c>
      <c r="MT1370" s="148">
        <f t="shared" ref="MT1370:MX1370" si="3373">IF(MN1369=0,0,(MZ1374-MZ1373)/MN1369)</f>
        <v>1.0045962353</v>
      </c>
      <c r="MU1370" s="148">
        <f t="shared" si="3373"/>
        <v>0.9898081688</v>
      </c>
      <c r="MV1370" s="148">
        <f t="shared" si="3373"/>
        <v>0</v>
      </c>
      <c r="MW1370" s="148">
        <f t="shared" si="3373"/>
        <v>0</v>
      </c>
      <c r="MX1370" s="148">
        <f t="shared" si="3373"/>
        <v>0</v>
      </c>
      <c r="MY1370" s="185" t="s">
        <v>699</v>
      </c>
      <c r="MZ1370" s="185" t="s">
        <v>699</v>
      </c>
      <c r="NA1370" s="185" t="s">
        <v>699</v>
      </c>
      <c r="NB1370" s="185" t="s">
        <v>699</v>
      </c>
      <c r="NC1370" s="185" t="s">
        <v>699</v>
      </c>
      <c r="ND1370" s="185" t="s">
        <v>699</v>
      </c>
      <c r="NE1370" s="185" t="s">
        <v>699</v>
      </c>
      <c r="NF1370" s="185" t="s">
        <v>699</v>
      </c>
      <c r="NG1370" s="185" t="s">
        <v>699</v>
      </c>
      <c r="NH1370" s="185" t="s">
        <v>699</v>
      </c>
      <c r="NI1370" s="185" t="s">
        <v>699</v>
      </c>
      <c r="NJ1370" s="185" t="s">
        <v>699</v>
      </c>
      <c r="NK1370" s="185" t="s">
        <v>699</v>
      </c>
      <c r="NL1370" s="185" t="s">
        <v>699</v>
      </c>
      <c r="NM1370" s="185" t="s">
        <v>699</v>
      </c>
      <c r="NN1370" s="148">
        <f>IF(NH1369=0,0,(NT1374-NT1373)/NH1369)</f>
        <v>1.0033643376000001</v>
      </c>
      <c r="NO1370" s="148">
        <f t="shared" ref="NO1370:NS1370" si="3374">IF(NI1369=0,0,(NU1374-NU1373)/NI1369)</f>
        <v>1.0044986597000001</v>
      </c>
      <c r="NP1370" s="148">
        <f t="shared" si="3374"/>
        <v>0.99147906529999996</v>
      </c>
      <c r="NQ1370" s="148">
        <f t="shared" si="3374"/>
        <v>0</v>
      </c>
      <c r="NR1370" s="148">
        <f t="shared" si="3374"/>
        <v>0</v>
      </c>
      <c r="NS1370" s="148">
        <f t="shared" si="3374"/>
        <v>0</v>
      </c>
      <c r="NT1370" s="185" t="s">
        <v>699</v>
      </c>
      <c r="NU1370" s="185" t="s">
        <v>699</v>
      </c>
      <c r="NV1370" s="185" t="s">
        <v>699</v>
      </c>
      <c r="NW1370" s="185" t="s">
        <v>699</v>
      </c>
      <c r="NX1370" s="185" t="s">
        <v>699</v>
      </c>
      <c r="NY1370" s="185" t="s">
        <v>699</v>
      </c>
      <c r="NZ1370" s="185" t="s">
        <v>699</v>
      </c>
      <c r="OA1370" s="185" t="s">
        <v>699</v>
      </c>
      <c r="OB1370" s="185" t="s">
        <v>699</v>
      </c>
      <c r="OC1370" s="185" t="s">
        <v>699</v>
      </c>
      <c r="OD1370" s="185" t="s">
        <v>699</v>
      </c>
      <c r="OE1370" s="185" t="s">
        <v>699</v>
      </c>
      <c r="OF1370" s="185" t="s">
        <v>699</v>
      </c>
      <c r="OG1370" s="185" t="s">
        <v>699</v>
      </c>
      <c r="OH1370" s="185" t="s">
        <v>699</v>
      </c>
      <c r="OI1370" s="148">
        <f>IF(OC1369=0,0,(OO1374-OO1373)/OC1369)</f>
        <v>1.0095310635999999</v>
      </c>
      <c r="OJ1370" s="148">
        <f t="shared" ref="OJ1370:ON1370" si="3375">IF(OD1369=0,0,(OP1374-OP1373)/OD1369)</f>
        <v>1.0041750062999999</v>
      </c>
      <c r="OK1370" s="148">
        <f t="shared" si="3375"/>
        <v>0.98912336879999996</v>
      </c>
      <c r="OL1370" s="148">
        <f t="shared" si="3375"/>
        <v>0</v>
      </c>
      <c r="OM1370" s="148">
        <f t="shared" si="3375"/>
        <v>0</v>
      </c>
      <c r="ON1370" s="148">
        <f t="shared" si="3375"/>
        <v>0</v>
      </c>
      <c r="OO1370" s="185" t="s">
        <v>699</v>
      </c>
      <c r="OP1370" s="185" t="s">
        <v>699</v>
      </c>
      <c r="OQ1370" s="185" t="s">
        <v>699</v>
      </c>
      <c r="OR1370" s="185" t="s">
        <v>699</v>
      </c>
      <c r="OS1370" s="185" t="s">
        <v>699</v>
      </c>
      <c r="OT1370" s="185" t="s">
        <v>699</v>
      </c>
      <c r="OU1370" s="185" t="s">
        <v>699</v>
      </c>
      <c r="OV1370" s="185" t="s">
        <v>699</v>
      </c>
      <c r="OW1370" s="185" t="s">
        <v>699</v>
      </c>
      <c r="OX1370" s="185" t="s">
        <v>699</v>
      </c>
      <c r="OY1370" s="185" t="s">
        <v>699</v>
      </c>
      <c r="OZ1370" s="185" t="s">
        <v>699</v>
      </c>
      <c r="PA1370" s="185" t="s">
        <v>699</v>
      </c>
      <c r="PB1370" s="185" t="s">
        <v>699</v>
      </c>
      <c r="PC1370" s="185" t="s">
        <v>699</v>
      </c>
      <c r="PD1370" s="148">
        <f>IF(OX1369=0,0,(PJ1374-PJ1373)/OX1369)</f>
        <v>1.0093528963</v>
      </c>
      <c r="PE1370" s="148">
        <f t="shared" ref="PE1370:PI1370" si="3376">IF(OY1369=0,0,(PK1374-PK1373)/OY1369)</f>
        <v>1.0052230069000001</v>
      </c>
      <c r="PF1370" s="148">
        <f t="shared" si="3376"/>
        <v>0.99000544499999998</v>
      </c>
      <c r="PG1370" s="148">
        <f t="shared" si="3376"/>
        <v>0</v>
      </c>
      <c r="PH1370" s="148">
        <f t="shared" si="3376"/>
        <v>0</v>
      </c>
      <c r="PI1370" s="148">
        <f t="shared" si="3376"/>
        <v>0</v>
      </c>
      <c r="PJ1370" s="185" t="s">
        <v>699</v>
      </c>
      <c r="PK1370" s="185" t="s">
        <v>699</v>
      </c>
      <c r="PL1370" s="185" t="s">
        <v>699</v>
      </c>
      <c r="PM1370" s="185" t="s">
        <v>699</v>
      </c>
      <c r="PN1370" s="185" t="s">
        <v>699</v>
      </c>
      <c r="PO1370" s="185" t="s">
        <v>699</v>
      </c>
      <c r="PP1370" s="185" t="s">
        <v>699</v>
      </c>
      <c r="PQ1370" s="185" t="s">
        <v>699</v>
      </c>
      <c r="PR1370" s="185" t="s">
        <v>699</v>
      </c>
      <c r="PS1370" s="185" t="s">
        <v>699</v>
      </c>
      <c r="PT1370" s="185" t="s">
        <v>699</v>
      </c>
      <c r="PU1370" s="185" t="s">
        <v>699</v>
      </c>
      <c r="PV1370" s="185" t="s">
        <v>699</v>
      </c>
      <c r="PW1370" s="185" t="s">
        <v>699</v>
      </c>
      <c r="PX1370" s="185" t="s">
        <v>699</v>
      </c>
      <c r="PY1370" s="148">
        <f>IF(PS1369=0,0,(QE1374-QE1373)/PS1369)</f>
        <v>1.0055908347</v>
      </c>
      <c r="PZ1370" s="148">
        <f t="shared" ref="PZ1370:QD1370" si="3377">IF(PT1369=0,0,(QF1374-QF1373)/PT1369)</f>
        <v>1.0048325526999999</v>
      </c>
      <c r="QA1370" s="148">
        <f t="shared" si="3377"/>
        <v>0.99011494079999995</v>
      </c>
      <c r="QB1370" s="148">
        <f t="shared" si="3377"/>
        <v>0</v>
      </c>
      <c r="QC1370" s="148">
        <f t="shared" si="3377"/>
        <v>0</v>
      </c>
      <c r="QD1370" s="148">
        <f t="shared" si="3377"/>
        <v>0</v>
      </c>
      <c r="QE1370" s="185" t="s">
        <v>699</v>
      </c>
      <c r="QF1370" s="185" t="s">
        <v>699</v>
      </c>
      <c r="QG1370" s="185" t="s">
        <v>699</v>
      </c>
      <c r="QH1370" s="185" t="s">
        <v>699</v>
      </c>
      <c r="QI1370" s="185" t="s">
        <v>699</v>
      </c>
      <c r="QJ1370" s="185" t="s">
        <v>699</v>
      </c>
      <c r="QK1370" s="185" t="s">
        <v>699</v>
      </c>
      <c r="QL1370" s="185" t="s">
        <v>699</v>
      </c>
      <c r="QM1370" s="185" t="s">
        <v>699</v>
      </c>
      <c r="QN1370" s="185" t="s">
        <v>699</v>
      </c>
      <c r="QO1370" s="185" t="s">
        <v>699</v>
      </c>
      <c r="QP1370" s="185" t="s">
        <v>699</v>
      </c>
      <c r="QQ1370" s="185" t="s">
        <v>699</v>
      </c>
      <c r="QR1370" s="185" t="s">
        <v>699</v>
      </c>
      <c r="QS1370" s="185" t="s">
        <v>699</v>
      </c>
      <c r="QT1370" s="148">
        <f>IF(QN1369=0,0,(QZ1374-QZ1373)/QN1369)</f>
        <v>0</v>
      </c>
      <c r="QU1370" s="148">
        <f t="shared" ref="QU1370:QY1370" si="3378">IF(QO1369=0,0,(RA1374-RA1373)/QO1369)</f>
        <v>0</v>
      </c>
      <c r="QV1370" s="148">
        <f t="shared" si="3378"/>
        <v>0</v>
      </c>
      <c r="QW1370" s="148">
        <f t="shared" si="3378"/>
        <v>0</v>
      </c>
      <c r="QX1370" s="148">
        <f t="shared" si="3378"/>
        <v>0</v>
      </c>
      <c r="QY1370" s="148">
        <f t="shared" si="3378"/>
        <v>0</v>
      </c>
      <c r="QZ1370" s="185" t="s">
        <v>699</v>
      </c>
      <c r="RA1370" s="185" t="s">
        <v>699</v>
      </c>
      <c r="RB1370" s="185" t="s">
        <v>699</v>
      </c>
      <c r="RC1370" s="185" t="s">
        <v>699</v>
      </c>
      <c r="RD1370" s="185" t="s">
        <v>699</v>
      </c>
      <c r="RE1370" s="185" t="s">
        <v>699</v>
      </c>
      <c r="RF1370" s="185" t="s">
        <v>699</v>
      </c>
      <c r="RG1370" s="185" t="s">
        <v>699</v>
      </c>
      <c r="RH1370" s="185" t="s">
        <v>699</v>
      </c>
      <c r="RI1370" s="185" t="s">
        <v>699</v>
      </c>
      <c r="RJ1370" s="185" t="s">
        <v>699</v>
      </c>
      <c r="RK1370" s="185" t="s">
        <v>699</v>
      </c>
      <c r="RL1370" s="185" t="s">
        <v>699</v>
      </c>
      <c r="RM1370" s="185" t="s">
        <v>699</v>
      </c>
      <c r="RN1370" s="185" t="s">
        <v>699</v>
      </c>
      <c r="RO1370" s="148">
        <f>IF(RI1369=0,0,(RU1374-RU1373)/RI1369)</f>
        <v>1.0084816041</v>
      </c>
      <c r="RP1370" s="148">
        <f t="shared" ref="RP1370:RT1370" si="3379">IF(RJ1369=0,0,(RV1374-RV1373)/RJ1369)</f>
        <v>1.0040556584</v>
      </c>
      <c r="RQ1370" s="148">
        <f t="shared" si="3379"/>
        <v>0.98914020520000001</v>
      </c>
      <c r="RR1370" s="148">
        <f t="shared" si="3379"/>
        <v>0</v>
      </c>
      <c r="RS1370" s="148">
        <f t="shared" si="3379"/>
        <v>0</v>
      </c>
      <c r="RT1370" s="148">
        <f t="shared" si="3379"/>
        <v>0</v>
      </c>
      <c r="RU1370" s="185" t="s">
        <v>699</v>
      </c>
      <c r="RV1370" s="185" t="s">
        <v>699</v>
      </c>
      <c r="RW1370" s="185" t="s">
        <v>699</v>
      </c>
      <c r="RX1370" s="185" t="s">
        <v>699</v>
      </c>
      <c r="RY1370" s="185" t="s">
        <v>699</v>
      </c>
      <c r="RZ1370" s="185" t="s">
        <v>699</v>
      </c>
      <c r="SA1370" s="185" t="s">
        <v>699</v>
      </c>
      <c r="SB1370" s="185" t="s">
        <v>699</v>
      </c>
      <c r="SC1370" s="185" t="s">
        <v>699</v>
      </c>
      <c r="SD1370" s="185" t="s">
        <v>699</v>
      </c>
      <c r="SE1370" s="185" t="s">
        <v>699</v>
      </c>
      <c r="SF1370" s="185" t="s">
        <v>699</v>
      </c>
      <c r="SG1370" s="185" t="s">
        <v>699</v>
      </c>
      <c r="SH1370" s="185" t="s">
        <v>699</v>
      </c>
      <c r="SI1370" s="185" t="s">
        <v>699</v>
      </c>
      <c r="SJ1370" s="148">
        <f>IF(SD1369=0,0,(SP1374-SP1373)/SD1369)</f>
        <v>1.0060589866</v>
      </c>
      <c r="SK1370" s="148">
        <f t="shared" ref="SK1370:SO1370" si="3380">IF(SE1369=0,0,(SQ1374-SQ1373)/SE1369)</f>
        <v>1.0044221552999999</v>
      </c>
      <c r="SL1370" s="148">
        <f t="shared" si="3380"/>
        <v>0.99026915900000001</v>
      </c>
      <c r="SM1370" s="148">
        <f t="shared" si="3380"/>
        <v>0</v>
      </c>
      <c r="SN1370" s="148">
        <f t="shared" si="3380"/>
        <v>0</v>
      </c>
      <c r="SO1370" s="148">
        <f t="shared" si="3380"/>
        <v>0</v>
      </c>
      <c r="SP1370" s="185" t="s">
        <v>699</v>
      </c>
      <c r="SQ1370" s="185" t="s">
        <v>699</v>
      </c>
      <c r="SR1370" s="185" t="s">
        <v>699</v>
      </c>
      <c r="SS1370" s="185" t="s">
        <v>699</v>
      </c>
      <c r="ST1370" s="185" t="s">
        <v>699</v>
      </c>
      <c r="SU1370" s="185" t="s">
        <v>699</v>
      </c>
      <c r="SV1370" s="185" t="s">
        <v>699</v>
      </c>
      <c r="SW1370" s="185" t="s">
        <v>699</v>
      </c>
      <c r="SX1370" s="185" t="s">
        <v>699</v>
      </c>
      <c r="SY1370" s="185" t="s">
        <v>699</v>
      </c>
      <c r="SZ1370" s="185" t="s">
        <v>699</v>
      </c>
      <c r="TA1370" s="185" t="s">
        <v>699</v>
      </c>
      <c r="TB1370" s="185" t="s">
        <v>699</v>
      </c>
      <c r="TC1370" s="185" t="s">
        <v>699</v>
      </c>
      <c r="TD1370" s="185" t="s">
        <v>699</v>
      </c>
      <c r="TE1370" s="148">
        <f>IF(SY1369=0,0,(TK1374-TK1373)/SY1369)</f>
        <v>1.0050370196</v>
      </c>
      <c r="TF1370" s="148">
        <f t="shared" ref="TF1370:TJ1370" si="3381">IF(SZ1369=0,0,(TL1374-TL1373)/SZ1369)</f>
        <v>1.0040129847000001</v>
      </c>
      <c r="TG1370" s="148">
        <f t="shared" si="3381"/>
        <v>0.99042388209999999</v>
      </c>
      <c r="TH1370" s="148">
        <f t="shared" si="3381"/>
        <v>0</v>
      </c>
      <c r="TI1370" s="148">
        <f t="shared" si="3381"/>
        <v>0</v>
      </c>
      <c r="TJ1370" s="148">
        <f t="shared" si="3381"/>
        <v>0</v>
      </c>
      <c r="TK1370" s="185" t="s">
        <v>699</v>
      </c>
      <c r="TL1370" s="185" t="s">
        <v>699</v>
      </c>
      <c r="TM1370" s="185" t="s">
        <v>699</v>
      </c>
      <c r="TN1370" s="185" t="s">
        <v>699</v>
      </c>
      <c r="TO1370" s="185" t="s">
        <v>699</v>
      </c>
      <c r="TP1370" s="185" t="s">
        <v>699</v>
      </c>
      <c r="TQ1370" s="185" t="s">
        <v>699</v>
      </c>
      <c r="TR1370" s="185" t="s">
        <v>699</v>
      </c>
      <c r="TS1370" s="185" t="s">
        <v>699</v>
      </c>
      <c r="TT1370" s="185" t="s">
        <v>699</v>
      </c>
      <c r="TU1370" s="185" t="s">
        <v>699</v>
      </c>
      <c r="TV1370" s="185" t="s">
        <v>699</v>
      </c>
      <c r="TW1370" s="185" t="s">
        <v>699</v>
      </c>
      <c r="TX1370" s="185" t="s">
        <v>699</v>
      </c>
      <c r="TY1370" s="185" t="s">
        <v>699</v>
      </c>
      <c r="TZ1370" s="148">
        <f>IF(TT1369=0,0,(UF1374-UF1373)/TT1369)</f>
        <v>1.0062507302000001</v>
      </c>
      <c r="UA1370" s="148">
        <f t="shared" ref="UA1370:UE1370" si="3382">IF(TU1369=0,0,(UG1374-UG1373)/TU1369)</f>
        <v>1.0045762183</v>
      </c>
      <c r="UB1370" s="148">
        <f t="shared" si="3382"/>
        <v>0.99103729809999996</v>
      </c>
      <c r="UC1370" s="148">
        <f t="shared" si="3382"/>
        <v>0</v>
      </c>
      <c r="UD1370" s="148">
        <f t="shared" si="3382"/>
        <v>0</v>
      </c>
      <c r="UE1370" s="148">
        <f t="shared" si="3382"/>
        <v>0</v>
      </c>
      <c r="UF1370" s="185" t="s">
        <v>699</v>
      </c>
      <c r="UG1370" s="185" t="s">
        <v>699</v>
      </c>
      <c r="UH1370" s="185" t="s">
        <v>699</v>
      </c>
      <c r="UI1370" s="185" t="s">
        <v>699</v>
      </c>
      <c r="UJ1370" s="185" t="s">
        <v>699</v>
      </c>
      <c r="UK1370" s="185" t="s">
        <v>699</v>
      </c>
      <c r="UL1370" s="185" t="s">
        <v>699</v>
      </c>
      <c r="UM1370" s="185" t="s">
        <v>699</v>
      </c>
      <c r="UN1370" s="185" t="s">
        <v>699</v>
      </c>
      <c r="UO1370" s="185" t="s">
        <v>699</v>
      </c>
      <c r="UP1370" s="185" t="s">
        <v>699</v>
      </c>
      <c r="UQ1370" s="185" t="s">
        <v>699</v>
      </c>
      <c r="UR1370" s="185" t="s">
        <v>699</v>
      </c>
      <c r="US1370" s="185" t="s">
        <v>699</v>
      </c>
      <c r="UT1370" s="185" t="s">
        <v>699</v>
      </c>
      <c r="UU1370" s="148">
        <f>IF(UO1369=0,0,(VA1374-VA1373)/UO1369)</f>
        <v>1.0105045747000001</v>
      </c>
      <c r="UV1370" s="148">
        <f t="shared" ref="UV1370:UZ1370" si="3383">IF(UP1369=0,0,(VB1374-VB1373)/UP1369)</f>
        <v>1.0046362718999999</v>
      </c>
      <c r="UW1370" s="148">
        <f t="shared" si="3383"/>
        <v>0.99001047490000005</v>
      </c>
      <c r="UX1370" s="148">
        <f t="shared" si="3383"/>
        <v>0</v>
      </c>
      <c r="UY1370" s="148">
        <f t="shared" si="3383"/>
        <v>0</v>
      </c>
      <c r="UZ1370" s="148">
        <f t="shared" si="3383"/>
        <v>0</v>
      </c>
      <c r="VA1370" s="185" t="s">
        <v>699</v>
      </c>
      <c r="VB1370" s="185" t="s">
        <v>699</v>
      </c>
      <c r="VC1370" s="185" t="s">
        <v>699</v>
      </c>
      <c r="VD1370" s="185" t="s">
        <v>699</v>
      </c>
      <c r="VE1370" s="185" t="s">
        <v>699</v>
      </c>
      <c r="VF1370" s="185" t="s">
        <v>699</v>
      </c>
      <c r="VG1370" s="185" t="s">
        <v>699</v>
      </c>
      <c r="VH1370" s="185" t="s">
        <v>699</v>
      </c>
      <c r="VI1370" s="185" t="s">
        <v>699</v>
      </c>
      <c r="VJ1370" s="185" t="s">
        <v>699</v>
      </c>
      <c r="VK1370" s="185" t="s">
        <v>699</v>
      </c>
      <c r="VL1370" s="185" t="s">
        <v>699</v>
      </c>
      <c r="VM1370" s="185" t="s">
        <v>699</v>
      </c>
      <c r="VN1370" s="185" t="s">
        <v>699</v>
      </c>
      <c r="VO1370" s="185" t="s">
        <v>699</v>
      </c>
      <c r="VP1370" s="148">
        <f>IF(VJ1369=0,0,(VV1374-VV1373)/VJ1369)</f>
        <v>1.0050559518</v>
      </c>
      <c r="VQ1370" s="148">
        <f t="shared" ref="VQ1370:VU1370" si="3384">IF(VK1369=0,0,(VW1374-VW1373)/VK1369)</f>
        <v>1.0050052200999999</v>
      </c>
      <c r="VR1370" s="148">
        <f t="shared" si="3384"/>
        <v>0.99028769729999999</v>
      </c>
      <c r="VS1370" s="148">
        <f t="shared" si="3384"/>
        <v>0</v>
      </c>
      <c r="VT1370" s="148">
        <f t="shared" si="3384"/>
        <v>0</v>
      </c>
      <c r="VU1370" s="148">
        <f t="shared" si="3384"/>
        <v>0</v>
      </c>
      <c r="VV1370" s="185" t="s">
        <v>699</v>
      </c>
      <c r="VW1370" s="185" t="s">
        <v>699</v>
      </c>
      <c r="VX1370" s="185" t="s">
        <v>699</v>
      </c>
      <c r="VY1370" s="185" t="s">
        <v>699</v>
      </c>
      <c r="VZ1370" s="185" t="s">
        <v>699</v>
      </c>
      <c r="WA1370" s="185" t="s">
        <v>699</v>
      </c>
      <c r="WB1370" s="185" t="s">
        <v>699</v>
      </c>
      <c r="WC1370" s="185" t="s">
        <v>699</v>
      </c>
      <c r="WD1370" s="185" t="s">
        <v>699</v>
      </c>
      <c r="WE1370" s="185" t="s">
        <v>699</v>
      </c>
      <c r="WF1370" s="185" t="s">
        <v>699</v>
      </c>
      <c r="WG1370" s="185" t="s">
        <v>699</v>
      </c>
      <c r="WH1370" s="185" t="s">
        <v>699</v>
      </c>
      <c r="WI1370" s="185" t="s">
        <v>699</v>
      </c>
      <c r="WJ1370" s="185" t="s">
        <v>699</v>
      </c>
      <c r="WK1370" s="148">
        <f>IF(WE1369=0,0,(WQ1374-WQ1373)/WE1369)</f>
        <v>0</v>
      </c>
      <c r="WL1370" s="148">
        <f t="shared" ref="WL1370:WP1370" si="3385">IF(WF1369=0,0,(WR1374-WR1373)/WF1369)</f>
        <v>0</v>
      </c>
      <c r="WM1370" s="148">
        <f t="shared" si="3385"/>
        <v>0</v>
      </c>
      <c r="WN1370" s="148">
        <f t="shared" si="3385"/>
        <v>0</v>
      </c>
      <c r="WO1370" s="148">
        <f t="shared" si="3385"/>
        <v>0</v>
      </c>
      <c r="WP1370" s="148">
        <f t="shared" si="3385"/>
        <v>0</v>
      </c>
      <c r="WQ1370" s="185" t="s">
        <v>699</v>
      </c>
      <c r="WR1370" s="185" t="s">
        <v>699</v>
      </c>
      <c r="WS1370" s="185" t="s">
        <v>699</v>
      </c>
      <c r="WT1370" s="185" t="s">
        <v>699</v>
      </c>
      <c r="WU1370" s="185" t="s">
        <v>699</v>
      </c>
      <c r="WV1370" s="185" t="s">
        <v>699</v>
      </c>
      <c r="WW1370" s="185" t="s">
        <v>699</v>
      </c>
      <c r="WX1370" s="185" t="s">
        <v>699</v>
      </c>
      <c r="WY1370" s="185" t="s">
        <v>699</v>
      </c>
      <c r="WZ1370" s="185" t="s">
        <v>699</v>
      </c>
      <c r="XA1370" s="185" t="s">
        <v>699</v>
      </c>
      <c r="XB1370" s="185" t="s">
        <v>699</v>
      </c>
      <c r="XC1370" s="185" t="s">
        <v>699</v>
      </c>
      <c r="XD1370" s="185" t="s">
        <v>699</v>
      </c>
      <c r="XE1370" s="185" t="s">
        <v>699</v>
      </c>
      <c r="XF1370" s="148">
        <f>IF(WZ1369=0,0,(XL1374-XL1373)/WZ1369)</f>
        <v>0</v>
      </c>
      <c r="XG1370" s="148">
        <f t="shared" ref="XG1370:XK1370" si="3386">IF(XA1369=0,0,(XM1374-XM1373)/XA1369)</f>
        <v>0</v>
      </c>
      <c r="XH1370" s="148">
        <f t="shared" si="3386"/>
        <v>0</v>
      </c>
      <c r="XI1370" s="148">
        <f t="shared" si="3386"/>
        <v>0</v>
      </c>
      <c r="XJ1370" s="148">
        <f t="shared" si="3386"/>
        <v>0</v>
      </c>
      <c r="XK1370" s="148">
        <f t="shared" si="3386"/>
        <v>0</v>
      </c>
      <c r="XL1370" s="185" t="s">
        <v>699</v>
      </c>
      <c r="XM1370" s="185" t="s">
        <v>699</v>
      </c>
      <c r="XN1370" s="185" t="s">
        <v>699</v>
      </c>
      <c r="XO1370" s="185" t="s">
        <v>699</v>
      </c>
      <c r="XP1370" s="185" t="s">
        <v>699</v>
      </c>
      <c r="XQ1370" s="185" t="s">
        <v>699</v>
      </c>
      <c r="XR1370" s="185" t="s">
        <v>699</v>
      </c>
      <c r="XS1370" s="185" t="s">
        <v>699</v>
      </c>
      <c r="XT1370" s="185" t="s">
        <v>699</v>
      </c>
      <c r="XU1370" s="185" t="s">
        <v>699</v>
      </c>
      <c r="XV1370" s="185" t="s">
        <v>699</v>
      </c>
      <c r="XW1370" s="185" t="s">
        <v>699</v>
      </c>
      <c r="XX1370" s="185" t="s">
        <v>699</v>
      </c>
      <c r="XY1370" s="185" t="s">
        <v>699</v>
      </c>
      <c r="XZ1370" s="185" t="s">
        <v>699</v>
      </c>
      <c r="YA1370" s="148">
        <f>IF(XU1369=0,0,(YG1374-YG1373)/XU1369)</f>
        <v>1.0093363612999999</v>
      </c>
      <c r="YB1370" s="148">
        <f t="shared" ref="YB1370:YF1370" si="3387">IF(XV1369=0,0,(YH1374-YH1373)/XV1369)</f>
        <v>0.98863893560000005</v>
      </c>
      <c r="YC1370" s="148">
        <f t="shared" si="3387"/>
        <v>1.1099804887</v>
      </c>
      <c r="YD1370" s="148">
        <f t="shared" si="3387"/>
        <v>0</v>
      </c>
      <c r="YE1370" s="148">
        <f t="shared" si="3387"/>
        <v>0</v>
      </c>
      <c r="YF1370" s="148">
        <f t="shared" si="3387"/>
        <v>0</v>
      </c>
      <c r="YG1370" s="185" t="s">
        <v>699</v>
      </c>
      <c r="YH1370" s="185" t="s">
        <v>699</v>
      </c>
      <c r="YI1370" s="185" t="s">
        <v>699</v>
      </c>
      <c r="YJ1370" s="185" t="s">
        <v>699</v>
      </c>
      <c r="YK1370" s="185" t="s">
        <v>699</v>
      </c>
      <c r="YL1370" s="185" t="s">
        <v>699</v>
      </c>
      <c r="YM1370" s="185" t="s">
        <v>699</v>
      </c>
      <c r="YN1370" s="185" t="s">
        <v>699</v>
      </c>
      <c r="YO1370" s="185" t="s">
        <v>699</v>
      </c>
      <c r="YP1370" s="185" t="s">
        <v>699</v>
      </c>
      <c r="YQ1370" s="185" t="s">
        <v>699</v>
      </c>
      <c r="YR1370" s="185" t="s">
        <v>699</v>
      </c>
      <c r="YS1370" s="185" t="s">
        <v>699</v>
      </c>
      <c r="YT1370" s="185" t="s">
        <v>699</v>
      </c>
      <c r="YU1370" s="185" t="s">
        <v>699</v>
      </c>
      <c r="YV1370" s="148">
        <f>IF(YP1369=0,0,(ZB1374-ZB1373)/YP1369)</f>
        <v>1.0073792259000001</v>
      </c>
      <c r="YW1370" s="148">
        <f t="shared" ref="YW1370:ZA1370" si="3388">IF(YQ1369=0,0,(ZC1374-ZC1373)/YQ1369)</f>
        <v>1.0028369708</v>
      </c>
      <c r="YX1370" s="148">
        <f t="shared" si="3388"/>
        <v>1.0025622015</v>
      </c>
      <c r="YY1370" s="148">
        <f t="shared" si="3388"/>
        <v>0</v>
      </c>
      <c r="YZ1370" s="148">
        <f t="shared" si="3388"/>
        <v>0</v>
      </c>
      <c r="ZA1370" s="148">
        <f t="shared" si="3388"/>
        <v>0</v>
      </c>
      <c r="ZB1370" s="185" t="s">
        <v>699</v>
      </c>
      <c r="ZC1370" s="185" t="s">
        <v>699</v>
      </c>
      <c r="ZD1370" s="185" t="s">
        <v>699</v>
      </c>
      <c r="ZE1370" s="185" t="s">
        <v>699</v>
      </c>
      <c r="ZF1370" s="185" t="s">
        <v>699</v>
      </c>
      <c r="ZG1370" s="185" t="s">
        <v>699</v>
      </c>
    </row>
    <row r="1371" spans="1:684" s="156" customFormat="1" ht="24" x14ac:dyDescent="0.25">
      <c r="A1371" s="114" t="s">
        <v>982</v>
      </c>
      <c r="B1371" s="333"/>
      <c r="C1371" s="150" t="s">
        <v>718</v>
      </c>
      <c r="D1371" s="1279"/>
      <c r="E1371" s="1280"/>
      <c r="F1371" s="151"/>
      <c r="G1371" s="151"/>
      <c r="H1371" s="151"/>
      <c r="I1371" s="189"/>
      <c r="J1371" s="189"/>
      <c r="K1371" s="189"/>
      <c r="L1371" s="185" t="s">
        <v>699</v>
      </c>
      <c r="M1371" s="185" t="s">
        <v>699</v>
      </c>
      <c r="N1371" s="185" t="s">
        <v>699</v>
      </c>
      <c r="O1371" s="185" t="s">
        <v>699</v>
      </c>
      <c r="P1371" s="185" t="s">
        <v>699</v>
      </c>
      <c r="Q1371" s="185" t="s">
        <v>699</v>
      </c>
      <c r="R1371" s="185" t="s">
        <v>699</v>
      </c>
      <c r="S1371" s="185" t="s">
        <v>699</v>
      </c>
      <c r="T1371" s="185" t="s">
        <v>699</v>
      </c>
      <c r="U1371" s="185" t="s">
        <v>699</v>
      </c>
      <c r="V1371" s="185" t="s">
        <v>699</v>
      </c>
      <c r="W1371" s="185" t="s">
        <v>699</v>
      </c>
      <c r="X1371" s="185" t="s">
        <v>699</v>
      </c>
      <c r="Y1371" s="185" t="s">
        <v>699</v>
      </c>
      <c r="Z1371" s="185" t="s">
        <v>699</v>
      </c>
      <c r="AA1371" s="151">
        <f>AA1360</f>
        <v>145000</v>
      </c>
      <c r="AB1371" s="151">
        <f t="shared" ref="AB1371:AF1371" si="3389">AB1360</f>
        <v>152500</v>
      </c>
      <c r="AC1371" s="151">
        <f t="shared" si="3389"/>
        <v>156200</v>
      </c>
      <c r="AD1371" s="151">
        <f t="shared" si="3389"/>
        <v>0</v>
      </c>
      <c r="AE1371" s="151">
        <f t="shared" si="3389"/>
        <v>0</v>
      </c>
      <c r="AF1371" s="151">
        <f t="shared" si="3389"/>
        <v>0</v>
      </c>
      <c r="AG1371" s="185" t="s">
        <v>699</v>
      </c>
      <c r="AH1371" s="185" t="s">
        <v>699</v>
      </c>
      <c r="AI1371" s="185" t="s">
        <v>699</v>
      </c>
      <c r="AJ1371" s="185" t="s">
        <v>699</v>
      </c>
      <c r="AK1371" s="185" t="s">
        <v>699</v>
      </c>
      <c r="AL1371" s="185" t="s">
        <v>699</v>
      </c>
      <c r="AM1371" s="185" t="s">
        <v>699</v>
      </c>
      <c r="AN1371" s="185" t="s">
        <v>699</v>
      </c>
      <c r="AO1371" s="185" t="s">
        <v>699</v>
      </c>
      <c r="AP1371" s="185" t="s">
        <v>699</v>
      </c>
      <c r="AQ1371" s="185" t="s">
        <v>699</v>
      </c>
      <c r="AR1371" s="185" t="s">
        <v>699</v>
      </c>
      <c r="AS1371" s="185" t="s">
        <v>699</v>
      </c>
      <c r="AT1371" s="185" t="s">
        <v>699</v>
      </c>
      <c r="AU1371" s="185" t="s">
        <v>699</v>
      </c>
      <c r="AV1371" s="151">
        <f t="shared" ref="AV1371:BA1371" si="3390">AV1360</f>
        <v>155100</v>
      </c>
      <c r="AW1371" s="151">
        <f t="shared" si="3390"/>
        <v>163400</v>
      </c>
      <c r="AX1371" s="151">
        <f t="shared" si="3390"/>
        <v>167500</v>
      </c>
      <c r="AY1371" s="151">
        <f t="shared" si="3390"/>
        <v>0</v>
      </c>
      <c r="AZ1371" s="151">
        <f t="shared" si="3390"/>
        <v>0</v>
      </c>
      <c r="BA1371" s="151">
        <f t="shared" si="3390"/>
        <v>0</v>
      </c>
      <c r="BB1371" s="185" t="s">
        <v>699</v>
      </c>
      <c r="BC1371" s="185" t="s">
        <v>699</v>
      </c>
      <c r="BD1371" s="185" t="s">
        <v>699</v>
      </c>
      <c r="BE1371" s="185" t="s">
        <v>699</v>
      </c>
      <c r="BF1371" s="185" t="s">
        <v>699</v>
      </c>
      <c r="BG1371" s="185" t="s">
        <v>699</v>
      </c>
      <c r="BH1371" s="185" t="s">
        <v>699</v>
      </c>
      <c r="BI1371" s="185" t="s">
        <v>699</v>
      </c>
      <c r="BJ1371" s="185" t="s">
        <v>699</v>
      </c>
      <c r="BK1371" s="185" t="s">
        <v>699</v>
      </c>
      <c r="BL1371" s="185" t="s">
        <v>699</v>
      </c>
      <c r="BM1371" s="185" t="s">
        <v>699</v>
      </c>
      <c r="BN1371" s="185" t="s">
        <v>699</v>
      </c>
      <c r="BO1371" s="185" t="s">
        <v>699</v>
      </c>
      <c r="BP1371" s="185" t="s">
        <v>699</v>
      </c>
      <c r="BQ1371" s="151">
        <f t="shared" ref="BQ1371:BV1371" si="3391">BQ1360</f>
        <v>207200</v>
      </c>
      <c r="BR1371" s="151">
        <f t="shared" si="3391"/>
        <v>217800.01</v>
      </c>
      <c r="BS1371" s="151">
        <f t="shared" si="3391"/>
        <v>223000.01</v>
      </c>
      <c r="BT1371" s="151">
        <f t="shared" si="3391"/>
        <v>0</v>
      </c>
      <c r="BU1371" s="151">
        <f t="shared" si="3391"/>
        <v>0</v>
      </c>
      <c r="BV1371" s="151">
        <f t="shared" si="3391"/>
        <v>0</v>
      </c>
      <c r="BW1371" s="185" t="s">
        <v>699</v>
      </c>
      <c r="BX1371" s="185" t="s">
        <v>699</v>
      </c>
      <c r="BY1371" s="185" t="s">
        <v>699</v>
      </c>
      <c r="BZ1371" s="185" t="s">
        <v>699</v>
      </c>
      <c r="CA1371" s="185" t="s">
        <v>699</v>
      </c>
      <c r="CB1371" s="185" t="s">
        <v>699</v>
      </c>
      <c r="CC1371" s="185" t="s">
        <v>699</v>
      </c>
      <c r="CD1371" s="185" t="s">
        <v>699</v>
      </c>
      <c r="CE1371" s="185" t="s">
        <v>699</v>
      </c>
      <c r="CF1371" s="185" t="s">
        <v>699</v>
      </c>
      <c r="CG1371" s="185" t="s">
        <v>699</v>
      </c>
      <c r="CH1371" s="185" t="s">
        <v>699</v>
      </c>
      <c r="CI1371" s="185" t="s">
        <v>699</v>
      </c>
      <c r="CJ1371" s="185" t="s">
        <v>699</v>
      </c>
      <c r="CK1371" s="185" t="s">
        <v>699</v>
      </c>
      <c r="CL1371" s="151">
        <f t="shared" ref="CL1371:CQ1371" si="3392">CL1360</f>
        <v>110200</v>
      </c>
      <c r="CM1371" s="151">
        <f t="shared" si="3392"/>
        <v>116200</v>
      </c>
      <c r="CN1371" s="151">
        <f t="shared" si="3392"/>
        <v>119200.01</v>
      </c>
      <c r="CO1371" s="151">
        <f t="shared" si="3392"/>
        <v>0</v>
      </c>
      <c r="CP1371" s="151">
        <f t="shared" si="3392"/>
        <v>0</v>
      </c>
      <c r="CQ1371" s="151">
        <f t="shared" si="3392"/>
        <v>0</v>
      </c>
      <c r="CR1371" s="185" t="s">
        <v>699</v>
      </c>
      <c r="CS1371" s="185" t="s">
        <v>699</v>
      </c>
      <c r="CT1371" s="185" t="s">
        <v>699</v>
      </c>
      <c r="CU1371" s="185" t="s">
        <v>699</v>
      </c>
      <c r="CV1371" s="185" t="s">
        <v>699</v>
      </c>
      <c r="CW1371" s="185" t="s">
        <v>699</v>
      </c>
      <c r="CX1371" s="185" t="s">
        <v>699</v>
      </c>
      <c r="CY1371" s="185" t="s">
        <v>699</v>
      </c>
      <c r="CZ1371" s="185" t="s">
        <v>699</v>
      </c>
      <c r="DA1371" s="185" t="s">
        <v>699</v>
      </c>
      <c r="DB1371" s="185" t="s">
        <v>699</v>
      </c>
      <c r="DC1371" s="185" t="s">
        <v>699</v>
      </c>
      <c r="DD1371" s="185" t="s">
        <v>699</v>
      </c>
      <c r="DE1371" s="185" t="s">
        <v>699</v>
      </c>
      <c r="DF1371" s="185" t="s">
        <v>699</v>
      </c>
      <c r="DG1371" s="151">
        <f t="shared" ref="DG1371:DL1371" si="3393">DG1360</f>
        <v>251299.99</v>
      </c>
      <c r="DH1371" s="151">
        <f t="shared" si="3393"/>
        <v>264200.02</v>
      </c>
      <c r="DI1371" s="151">
        <f t="shared" si="3393"/>
        <v>270700.01</v>
      </c>
      <c r="DJ1371" s="151">
        <f t="shared" si="3393"/>
        <v>0</v>
      </c>
      <c r="DK1371" s="151">
        <f t="shared" si="3393"/>
        <v>0</v>
      </c>
      <c r="DL1371" s="151">
        <f t="shared" si="3393"/>
        <v>0</v>
      </c>
      <c r="DM1371" s="185" t="s">
        <v>699</v>
      </c>
      <c r="DN1371" s="185" t="s">
        <v>699</v>
      </c>
      <c r="DO1371" s="185" t="s">
        <v>699</v>
      </c>
      <c r="DP1371" s="185" t="s">
        <v>699</v>
      </c>
      <c r="DQ1371" s="185" t="s">
        <v>699</v>
      </c>
      <c r="DR1371" s="185" t="s">
        <v>699</v>
      </c>
      <c r="DS1371" s="185" t="s">
        <v>699</v>
      </c>
      <c r="DT1371" s="185" t="s">
        <v>699</v>
      </c>
      <c r="DU1371" s="185" t="s">
        <v>699</v>
      </c>
      <c r="DV1371" s="185" t="s">
        <v>699</v>
      </c>
      <c r="DW1371" s="185" t="s">
        <v>699</v>
      </c>
      <c r="DX1371" s="185" t="s">
        <v>699</v>
      </c>
      <c r="DY1371" s="185" t="s">
        <v>699</v>
      </c>
      <c r="DZ1371" s="185" t="s">
        <v>699</v>
      </c>
      <c r="EA1371" s="185" t="s">
        <v>699</v>
      </c>
      <c r="EB1371" s="151">
        <f t="shared" ref="EB1371:EG1371" si="3394">EB1360</f>
        <v>124300.01</v>
      </c>
      <c r="EC1371" s="151">
        <f t="shared" si="3394"/>
        <v>130700</v>
      </c>
      <c r="ED1371" s="151">
        <f t="shared" si="3394"/>
        <v>133900</v>
      </c>
      <c r="EE1371" s="151">
        <f t="shared" si="3394"/>
        <v>0</v>
      </c>
      <c r="EF1371" s="151">
        <f t="shared" si="3394"/>
        <v>0</v>
      </c>
      <c r="EG1371" s="151">
        <f t="shared" si="3394"/>
        <v>0</v>
      </c>
      <c r="EH1371" s="185" t="s">
        <v>699</v>
      </c>
      <c r="EI1371" s="185" t="s">
        <v>699</v>
      </c>
      <c r="EJ1371" s="185" t="s">
        <v>699</v>
      </c>
      <c r="EK1371" s="185" t="s">
        <v>699</v>
      </c>
      <c r="EL1371" s="185" t="s">
        <v>699</v>
      </c>
      <c r="EM1371" s="185" t="s">
        <v>699</v>
      </c>
      <c r="EN1371" s="185" t="s">
        <v>699</v>
      </c>
      <c r="EO1371" s="185" t="s">
        <v>699</v>
      </c>
      <c r="EP1371" s="185" t="s">
        <v>699</v>
      </c>
      <c r="EQ1371" s="185" t="s">
        <v>699</v>
      </c>
      <c r="ER1371" s="185" t="s">
        <v>699</v>
      </c>
      <c r="ES1371" s="185" t="s">
        <v>699</v>
      </c>
      <c r="ET1371" s="185" t="s">
        <v>699</v>
      </c>
      <c r="EU1371" s="185" t="s">
        <v>699</v>
      </c>
      <c r="EV1371" s="185" t="s">
        <v>699</v>
      </c>
      <c r="EW1371" s="151">
        <f t="shared" ref="EW1371:FB1371" si="3395">EW1360</f>
        <v>0</v>
      </c>
      <c r="EX1371" s="151">
        <f t="shared" si="3395"/>
        <v>0</v>
      </c>
      <c r="EY1371" s="151">
        <f t="shared" si="3395"/>
        <v>0</v>
      </c>
      <c r="EZ1371" s="151">
        <f t="shared" si="3395"/>
        <v>0</v>
      </c>
      <c r="FA1371" s="151">
        <f t="shared" si="3395"/>
        <v>0</v>
      </c>
      <c r="FB1371" s="151">
        <f t="shared" si="3395"/>
        <v>0</v>
      </c>
      <c r="FC1371" s="185" t="s">
        <v>699</v>
      </c>
      <c r="FD1371" s="185" t="s">
        <v>699</v>
      </c>
      <c r="FE1371" s="185" t="s">
        <v>699</v>
      </c>
      <c r="FF1371" s="185" t="s">
        <v>699</v>
      </c>
      <c r="FG1371" s="185" t="s">
        <v>699</v>
      </c>
      <c r="FH1371" s="185" t="s">
        <v>699</v>
      </c>
      <c r="FI1371" s="185" t="s">
        <v>699</v>
      </c>
      <c r="FJ1371" s="185" t="s">
        <v>699</v>
      </c>
      <c r="FK1371" s="185" t="s">
        <v>699</v>
      </c>
      <c r="FL1371" s="185" t="s">
        <v>699</v>
      </c>
      <c r="FM1371" s="185" t="s">
        <v>699</v>
      </c>
      <c r="FN1371" s="185" t="s">
        <v>699</v>
      </c>
      <c r="FO1371" s="185" t="s">
        <v>699</v>
      </c>
      <c r="FP1371" s="185" t="s">
        <v>699</v>
      </c>
      <c r="FQ1371" s="185" t="s">
        <v>699</v>
      </c>
      <c r="FR1371" s="151">
        <f t="shared" ref="FR1371:FW1371" si="3396">FR1360</f>
        <v>222200.01</v>
      </c>
      <c r="FS1371" s="151">
        <f t="shared" si="3396"/>
        <v>233700</v>
      </c>
      <c r="FT1371" s="151">
        <f t="shared" si="3396"/>
        <v>239399.99</v>
      </c>
      <c r="FU1371" s="151">
        <f t="shared" si="3396"/>
        <v>0</v>
      </c>
      <c r="FV1371" s="151">
        <f t="shared" si="3396"/>
        <v>0</v>
      </c>
      <c r="FW1371" s="151">
        <f t="shared" si="3396"/>
        <v>0</v>
      </c>
      <c r="FX1371" s="185" t="s">
        <v>699</v>
      </c>
      <c r="FY1371" s="185" t="s">
        <v>699</v>
      </c>
      <c r="FZ1371" s="185" t="s">
        <v>699</v>
      </c>
      <c r="GA1371" s="185" t="s">
        <v>699</v>
      </c>
      <c r="GB1371" s="185" t="s">
        <v>699</v>
      </c>
      <c r="GC1371" s="185" t="s">
        <v>699</v>
      </c>
      <c r="GD1371" s="185" t="s">
        <v>699</v>
      </c>
      <c r="GE1371" s="185" t="s">
        <v>699</v>
      </c>
      <c r="GF1371" s="185" t="s">
        <v>699</v>
      </c>
      <c r="GG1371" s="185" t="s">
        <v>699</v>
      </c>
      <c r="GH1371" s="185" t="s">
        <v>699</v>
      </c>
      <c r="GI1371" s="185" t="s">
        <v>699</v>
      </c>
      <c r="GJ1371" s="185" t="s">
        <v>699</v>
      </c>
      <c r="GK1371" s="185" t="s">
        <v>699</v>
      </c>
      <c r="GL1371" s="185" t="s">
        <v>699</v>
      </c>
      <c r="GM1371" s="151">
        <f t="shared" ref="GM1371:GR1371" si="3397">GM1360</f>
        <v>0</v>
      </c>
      <c r="GN1371" s="151">
        <f t="shared" si="3397"/>
        <v>0</v>
      </c>
      <c r="GO1371" s="151">
        <f t="shared" si="3397"/>
        <v>0</v>
      </c>
      <c r="GP1371" s="151">
        <f t="shared" si="3397"/>
        <v>0</v>
      </c>
      <c r="GQ1371" s="151">
        <f t="shared" si="3397"/>
        <v>0</v>
      </c>
      <c r="GR1371" s="151">
        <f t="shared" si="3397"/>
        <v>0</v>
      </c>
      <c r="GS1371" s="185" t="s">
        <v>699</v>
      </c>
      <c r="GT1371" s="185" t="s">
        <v>699</v>
      </c>
      <c r="GU1371" s="185" t="s">
        <v>699</v>
      </c>
      <c r="GV1371" s="185" t="s">
        <v>699</v>
      </c>
      <c r="GW1371" s="185" t="s">
        <v>699</v>
      </c>
      <c r="GX1371" s="185" t="s">
        <v>699</v>
      </c>
      <c r="GY1371" s="185" t="s">
        <v>699</v>
      </c>
      <c r="GZ1371" s="185" t="s">
        <v>699</v>
      </c>
      <c r="HA1371" s="185" t="s">
        <v>699</v>
      </c>
      <c r="HB1371" s="185" t="s">
        <v>699</v>
      </c>
      <c r="HC1371" s="185" t="s">
        <v>699</v>
      </c>
      <c r="HD1371" s="185" t="s">
        <v>699</v>
      </c>
      <c r="HE1371" s="185" t="s">
        <v>699</v>
      </c>
      <c r="HF1371" s="185" t="s">
        <v>699</v>
      </c>
      <c r="HG1371" s="185" t="s">
        <v>699</v>
      </c>
      <c r="HH1371" s="151">
        <f t="shared" ref="HH1371:HM1371" si="3398">HH1360</f>
        <v>110100</v>
      </c>
      <c r="HI1371" s="151">
        <f t="shared" si="3398"/>
        <v>116200</v>
      </c>
      <c r="HJ1371" s="151">
        <f t="shared" si="3398"/>
        <v>119100</v>
      </c>
      <c r="HK1371" s="151">
        <f t="shared" si="3398"/>
        <v>0</v>
      </c>
      <c r="HL1371" s="151">
        <f t="shared" si="3398"/>
        <v>0</v>
      </c>
      <c r="HM1371" s="151">
        <f t="shared" si="3398"/>
        <v>0</v>
      </c>
      <c r="HN1371" s="185" t="s">
        <v>699</v>
      </c>
      <c r="HO1371" s="185" t="s">
        <v>699</v>
      </c>
      <c r="HP1371" s="185" t="s">
        <v>699</v>
      </c>
      <c r="HQ1371" s="185" t="s">
        <v>699</v>
      </c>
      <c r="HR1371" s="185" t="s">
        <v>699</v>
      </c>
      <c r="HS1371" s="185" t="s">
        <v>699</v>
      </c>
      <c r="HT1371" s="185" t="s">
        <v>699</v>
      </c>
      <c r="HU1371" s="185" t="s">
        <v>699</v>
      </c>
      <c r="HV1371" s="185" t="s">
        <v>699</v>
      </c>
      <c r="HW1371" s="185" t="s">
        <v>699</v>
      </c>
      <c r="HX1371" s="185" t="s">
        <v>699</v>
      </c>
      <c r="HY1371" s="185" t="s">
        <v>699</v>
      </c>
      <c r="HZ1371" s="185" t="s">
        <v>699</v>
      </c>
      <c r="IA1371" s="185" t="s">
        <v>699</v>
      </c>
      <c r="IB1371" s="185" t="s">
        <v>699</v>
      </c>
      <c r="IC1371" s="151">
        <f t="shared" ref="IC1371:IH1371" si="3399">IC1360</f>
        <v>0</v>
      </c>
      <c r="ID1371" s="151">
        <f t="shared" si="3399"/>
        <v>0</v>
      </c>
      <c r="IE1371" s="151">
        <f t="shared" si="3399"/>
        <v>0</v>
      </c>
      <c r="IF1371" s="151">
        <f t="shared" si="3399"/>
        <v>0</v>
      </c>
      <c r="IG1371" s="151">
        <f t="shared" si="3399"/>
        <v>0</v>
      </c>
      <c r="IH1371" s="151">
        <f t="shared" si="3399"/>
        <v>0</v>
      </c>
      <c r="II1371" s="185" t="s">
        <v>699</v>
      </c>
      <c r="IJ1371" s="185" t="s">
        <v>699</v>
      </c>
      <c r="IK1371" s="185" t="s">
        <v>699</v>
      </c>
      <c r="IL1371" s="185" t="s">
        <v>699</v>
      </c>
      <c r="IM1371" s="185" t="s">
        <v>699</v>
      </c>
      <c r="IN1371" s="185" t="s">
        <v>699</v>
      </c>
      <c r="IO1371" s="185" t="s">
        <v>699</v>
      </c>
      <c r="IP1371" s="185" t="s">
        <v>699</v>
      </c>
      <c r="IQ1371" s="185" t="s">
        <v>699</v>
      </c>
      <c r="IR1371" s="185" t="s">
        <v>699</v>
      </c>
      <c r="IS1371" s="185" t="s">
        <v>699</v>
      </c>
      <c r="IT1371" s="185" t="s">
        <v>699</v>
      </c>
      <c r="IU1371" s="185" t="s">
        <v>699</v>
      </c>
      <c r="IV1371" s="185" t="s">
        <v>699</v>
      </c>
      <c r="IW1371" s="185" t="s">
        <v>699</v>
      </c>
      <c r="IX1371" s="151">
        <f t="shared" ref="IX1371:JC1371" si="3400">IX1360</f>
        <v>110600</v>
      </c>
      <c r="IY1371" s="151">
        <f t="shared" si="3400"/>
        <v>116200</v>
      </c>
      <c r="IZ1371" s="151">
        <f t="shared" si="3400"/>
        <v>119000</v>
      </c>
      <c r="JA1371" s="151">
        <f t="shared" si="3400"/>
        <v>0</v>
      </c>
      <c r="JB1371" s="151">
        <f t="shared" si="3400"/>
        <v>0</v>
      </c>
      <c r="JC1371" s="151">
        <f t="shared" si="3400"/>
        <v>0</v>
      </c>
      <c r="JD1371" s="185" t="s">
        <v>699</v>
      </c>
      <c r="JE1371" s="185" t="s">
        <v>699</v>
      </c>
      <c r="JF1371" s="185" t="s">
        <v>699</v>
      </c>
      <c r="JG1371" s="185" t="s">
        <v>699</v>
      </c>
      <c r="JH1371" s="185" t="s">
        <v>699</v>
      </c>
      <c r="JI1371" s="185" t="s">
        <v>699</v>
      </c>
      <c r="JJ1371" s="185" t="s">
        <v>699</v>
      </c>
      <c r="JK1371" s="185" t="s">
        <v>699</v>
      </c>
      <c r="JL1371" s="185" t="s">
        <v>699</v>
      </c>
      <c r="JM1371" s="185" t="s">
        <v>699</v>
      </c>
      <c r="JN1371" s="185" t="s">
        <v>699</v>
      </c>
      <c r="JO1371" s="185" t="s">
        <v>699</v>
      </c>
      <c r="JP1371" s="185" t="s">
        <v>699</v>
      </c>
      <c r="JQ1371" s="185" t="s">
        <v>699</v>
      </c>
      <c r="JR1371" s="185" t="s">
        <v>699</v>
      </c>
      <c r="JS1371" s="151">
        <f t="shared" ref="JS1371:JX1371" si="3401">JS1360</f>
        <v>0</v>
      </c>
      <c r="JT1371" s="151">
        <f t="shared" si="3401"/>
        <v>0</v>
      </c>
      <c r="JU1371" s="151">
        <f t="shared" si="3401"/>
        <v>0</v>
      </c>
      <c r="JV1371" s="151">
        <f t="shared" si="3401"/>
        <v>0</v>
      </c>
      <c r="JW1371" s="151">
        <f t="shared" si="3401"/>
        <v>0</v>
      </c>
      <c r="JX1371" s="151">
        <f t="shared" si="3401"/>
        <v>0</v>
      </c>
      <c r="JY1371" s="185" t="s">
        <v>699</v>
      </c>
      <c r="JZ1371" s="185" t="s">
        <v>699</v>
      </c>
      <c r="KA1371" s="185" t="s">
        <v>699</v>
      </c>
      <c r="KB1371" s="185" t="s">
        <v>699</v>
      </c>
      <c r="KC1371" s="185" t="s">
        <v>699</v>
      </c>
      <c r="KD1371" s="185" t="s">
        <v>699</v>
      </c>
      <c r="KE1371" s="185" t="s">
        <v>699</v>
      </c>
      <c r="KF1371" s="185" t="s">
        <v>699</v>
      </c>
      <c r="KG1371" s="185" t="s">
        <v>699</v>
      </c>
      <c r="KH1371" s="185" t="s">
        <v>699</v>
      </c>
      <c r="KI1371" s="185" t="s">
        <v>699</v>
      </c>
      <c r="KJ1371" s="185" t="s">
        <v>699</v>
      </c>
      <c r="KK1371" s="185" t="s">
        <v>699</v>
      </c>
      <c r="KL1371" s="185" t="s">
        <v>699</v>
      </c>
      <c r="KM1371" s="185" t="s">
        <v>699</v>
      </c>
      <c r="KN1371" s="151">
        <f t="shared" ref="KN1371:KS1371" si="3402">KN1360</f>
        <v>137800</v>
      </c>
      <c r="KO1371" s="151">
        <f t="shared" si="3402"/>
        <v>145200</v>
      </c>
      <c r="KP1371" s="151">
        <f t="shared" si="3402"/>
        <v>148900</v>
      </c>
      <c r="KQ1371" s="151">
        <f t="shared" si="3402"/>
        <v>0</v>
      </c>
      <c r="KR1371" s="151">
        <f t="shared" si="3402"/>
        <v>0</v>
      </c>
      <c r="KS1371" s="151">
        <f t="shared" si="3402"/>
        <v>0</v>
      </c>
      <c r="KT1371" s="185" t="s">
        <v>699</v>
      </c>
      <c r="KU1371" s="185" t="s">
        <v>699</v>
      </c>
      <c r="KV1371" s="185" t="s">
        <v>699</v>
      </c>
      <c r="KW1371" s="185" t="s">
        <v>699</v>
      </c>
      <c r="KX1371" s="185" t="s">
        <v>699</v>
      </c>
      <c r="KY1371" s="185" t="s">
        <v>699</v>
      </c>
      <c r="KZ1371" s="185" t="s">
        <v>699</v>
      </c>
      <c r="LA1371" s="185" t="s">
        <v>699</v>
      </c>
      <c r="LB1371" s="185" t="s">
        <v>699</v>
      </c>
      <c r="LC1371" s="185" t="s">
        <v>699</v>
      </c>
      <c r="LD1371" s="185" t="s">
        <v>699</v>
      </c>
      <c r="LE1371" s="185" t="s">
        <v>699</v>
      </c>
      <c r="LF1371" s="185" t="s">
        <v>699</v>
      </c>
      <c r="LG1371" s="185" t="s">
        <v>699</v>
      </c>
      <c r="LH1371" s="185" t="s">
        <v>699</v>
      </c>
      <c r="LI1371" s="151">
        <f t="shared" ref="LI1371:LN1371" si="3403">LI1360</f>
        <v>0</v>
      </c>
      <c r="LJ1371" s="151">
        <f t="shared" si="3403"/>
        <v>0</v>
      </c>
      <c r="LK1371" s="151">
        <f t="shared" si="3403"/>
        <v>0</v>
      </c>
      <c r="LL1371" s="151">
        <f t="shared" si="3403"/>
        <v>0</v>
      </c>
      <c r="LM1371" s="151">
        <f t="shared" si="3403"/>
        <v>0</v>
      </c>
      <c r="LN1371" s="151">
        <f t="shared" si="3403"/>
        <v>0</v>
      </c>
      <c r="LO1371" s="185" t="s">
        <v>699</v>
      </c>
      <c r="LP1371" s="185" t="s">
        <v>699</v>
      </c>
      <c r="LQ1371" s="185" t="s">
        <v>699</v>
      </c>
      <c r="LR1371" s="185" t="s">
        <v>699</v>
      </c>
      <c r="LS1371" s="185" t="s">
        <v>699</v>
      </c>
      <c r="LT1371" s="185" t="s">
        <v>699</v>
      </c>
      <c r="LU1371" s="185" t="s">
        <v>699</v>
      </c>
      <c r="LV1371" s="185" t="s">
        <v>699</v>
      </c>
      <c r="LW1371" s="185" t="s">
        <v>699</v>
      </c>
      <c r="LX1371" s="185" t="s">
        <v>699</v>
      </c>
      <c r="LY1371" s="185" t="s">
        <v>699</v>
      </c>
      <c r="LZ1371" s="185" t="s">
        <v>699</v>
      </c>
      <c r="MA1371" s="185" t="s">
        <v>699</v>
      </c>
      <c r="MB1371" s="185" t="s">
        <v>699</v>
      </c>
      <c r="MC1371" s="185" t="s">
        <v>699</v>
      </c>
      <c r="MD1371" s="151">
        <f t="shared" ref="MD1371:MI1371" si="3404">MD1360</f>
        <v>155200</v>
      </c>
      <c r="ME1371" s="151">
        <f t="shared" si="3404"/>
        <v>163300</v>
      </c>
      <c r="MF1371" s="151">
        <f t="shared" si="3404"/>
        <v>167400</v>
      </c>
      <c r="MG1371" s="151">
        <f t="shared" si="3404"/>
        <v>0</v>
      </c>
      <c r="MH1371" s="151">
        <f t="shared" si="3404"/>
        <v>0</v>
      </c>
      <c r="MI1371" s="151">
        <f t="shared" si="3404"/>
        <v>0</v>
      </c>
      <c r="MJ1371" s="185" t="s">
        <v>699</v>
      </c>
      <c r="MK1371" s="185" t="s">
        <v>699</v>
      </c>
      <c r="ML1371" s="185" t="s">
        <v>699</v>
      </c>
      <c r="MM1371" s="185" t="s">
        <v>699</v>
      </c>
      <c r="MN1371" s="185" t="s">
        <v>699</v>
      </c>
      <c r="MO1371" s="185" t="s">
        <v>699</v>
      </c>
      <c r="MP1371" s="185" t="s">
        <v>699</v>
      </c>
      <c r="MQ1371" s="185" t="s">
        <v>699</v>
      </c>
      <c r="MR1371" s="185" t="s">
        <v>699</v>
      </c>
      <c r="MS1371" s="185" t="s">
        <v>699</v>
      </c>
      <c r="MT1371" s="185" t="s">
        <v>699</v>
      </c>
      <c r="MU1371" s="185" t="s">
        <v>699</v>
      </c>
      <c r="MV1371" s="185" t="s">
        <v>699</v>
      </c>
      <c r="MW1371" s="185" t="s">
        <v>699</v>
      </c>
      <c r="MX1371" s="185" t="s">
        <v>699</v>
      </c>
      <c r="MY1371" s="151">
        <f t="shared" ref="MY1371:ND1371" si="3405">MY1360</f>
        <v>103400</v>
      </c>
      <c r="MZ1371" s="151">
        <f t="shared" si="3405"/>
        <v>108900</v>
      </c>
      <c r="NA1371" s="151">
        <f t="shared" si="3405"/>
        <v>111600</v>
      </c>
      <c r="NB1371" s="151">
        <f t="shared" si="3405"/>
        <v>0</v>
      </c>
      <c r="NC1371" s="151">
        <f t="shared" si="3405"/>
        <v>0</v>
      </c>
      <c r="ND1371" s="151">
        <f t="shared" si="3405"/>
        <v>0</v>
      </c>
      <c r="NE1371" s="185" t="s">
        <v>699</v>
      </c>
      <c r="NF1371" s="185" t="s">
        <v>699</v>
      </c>
      <c r="NG1371" s="185" t="s">
        <v>699</v>
      </c>
      <c r="NH1371" s="185" t="s">
        <v>699</v>
      </c>
      <c r="NI1371" s="185" t="s">
        <v>699</v>
      </c>
      <c r="NJ1371" s="185" t="s">
        <v>699</v>
      </c>
      <c r="NK1371" s="185" t="s">
        <v>699</v>
      </c>
      <c r="NL1371" s="185" t="s">
        <v>699</v>
      </c>
      <c r="NM1371" s="185" t="s">
        <v>699</v>
      </c>
      <c r="NN1371" s="185" t="s">
        <v>699</v>
      </c>
      <c r="NO1371" s="185" t="s">
        <v>699</v>
      </c>
      <c r="NP1371" s="185" t="s">
        <v>699</v>
      </c>
      <c r="NQ1371" s="185" t="s">
        <v>699</v>
      </c>
      <c r="NR1371" s="185" t="s">
        <v>699</v>
      </c>
      <c r="NS1371" s="185" t="s">
        <v>699</v>
      </c>
      <c r="NT1371" s="151">
        <f t="shared" ref="NT1371:NY1371" si="3406">NT1360</f>
        <v>137400</v>
      </c>
      <c r="NU1371" s="151">
        <f t="shared" si="3406"/>
        <v>145200</v>
      </c>
      <c r="NV1371" s="151">
        <f t="shared" si="3406"/>
        <v>149100</v>
      </c>
      <c r="NW1371" s="151">
        <f t="shared" si="3406"/>
        <v>0</v>
      </c>
      <c r="NX1371" s="151">
        <f t="shared" si="3406"/>
        <v>0</v>
      </c>
      <c r="NY1371" s="151">
        <f t="shared" si="3406"/>
        <v>0</v>
      </c>
      <c r="NZ1371" s="185" t="s">
        <v>699</v>
      </c>
      <c r="OA1371" s="185" t="s">
        <v>699</v>
      </c>
      <c r="OB1371" s="185" t="s">
        <v>699</v>
      </c>
      <c r="OC1371" s="185" t="s">
        <v>699</v>
      </c>
      <c r="OD1371" s="185" t="s">
        <v>699</v>
      </c>
      <c r="OE1371" s="185" t="s">
        <v>699</v>
      </c>
      <c r="OF1371" s="185" t="s">
        <v>699</v>
      </c>
      <c r="OG1371" s="185" t="s">
        <v>699</v>
      </c>
      <c r="OH1371" s="185" t="s">
        <v>699</v>
      </c>
      <c r="OI1371" s="185" t="s">
        <v>699</v>
      </c>
      <c r="OJ1371" s="185" t="s">
        <v>699</v>
      </c>
      <c r="OK1371" s="185" t="s">
        <v>699</v>
      </c>
      <c r="OL1371" s="185" t="s">
        <v>699</v>
      </c>
      <c r="OM1371" s="185" t="s">
        <v>699</v>
      </c>
      <c r="ON1371" s="185" t="s">
        <v>699</v>
      </c>
      <c r="OO1371" s="151">
        <f t="shared" ref="OO1371:OT1371" si="3407">OO1360</f>
        <v>207400</v>
      </c>
      <c r="OP1371" s="151">
        <f t="shared" si="3407"/>
        <v>217700</v>
      </c>
      <c r="OQ1371" s="151">
        <f t="shared" si="3407"/>
        <v>223000</v>
      </c>
      <c r="OR1371" s="151">
        <f t="shared" si="3407"/>
        <v>0</v>
      </c>
      <c r="OS1371" s="151">
        <f t="shared" si="3407"/>
        <v>0</v>
      </c>
      <c r="OT1371" s="151">
        <f t="shared" si="3407"/>
        <v>0</v>
      </c>
      <c r="OU1371" s="185" t="s">
        <v>699</v>
      </c>
      <c r="OV1371" s="185" t="s">
        <v>699</v>
      </c>
      <c r="OW1371" s="185" t="s">
        <v>699</v>
      </c>
      <c r="OX1371" s="185" t="s">
        <v>699</v>
      </c>
      <c r="OY1371" s="185" t="s">
        <v>699</v>
      </c>
      <c r="OZ1371" s="185" t="s">
        <v>699</v>
      </c>
      <c r="PA1371" s="185" t="s">
        <v>699</v>
      </c>
      <c r="PB1371" s="185" t="s">
        <v>699</v>
      </c>
      <c r="PC1371" s="185" t="s">
        <v>699</v>
      </c>
      <c r="PD1371" s="185" t="s">
        <v>699</v>
      </c>
      <c r="PE1371" s="185" t="s">
        <v>699</v>
      </c>
      <c r="PF1371" s="185" t="s">
        <v>699</v>
      </c>
      <c r="PG1371" s="185" t="s">
        <v>699</v>
      </c>
      <c r="PH1371" s="185" t="s">
        <v>699</v>
      </c>
      <c r="PI1371" s="185" t="s">
        <v>699</v>
      </c>
      <c r="PJ1371" s="151">
        <f t="shared" ref="PJ1371:PO1371" si="3408">PJ1360</f>
        <v>145100</v>
      </c>
      <c r="PK1371" s="151">
        <f t="shared" si="3408"/>
        <v>152499.98000000001</v>
      </c>
      <c r="PL1371" s="151">
        <f t="shared" si="3408"/>
        <v>156199.98000000001</v>
      </c>
      <c r="PM1371" s="151">
        <f t="shared" si="3408"/>
        <v>0</v>
      </c>
      <c r="PN1371" s="151">
        <f t="shared" si="3408"/>
        <v>0</v>
      </c>
      <c r="PO1371" s="151">
        <f t="shared" si="3408"/>
        <v>0</v>
      </c>
      <c r="PP1371" s="185" t="s">
        <v>699</v>
      </c>
      <c r="PQ1371" s="185" t="s">
        <v>699</v>
      </c>
      <c r="PR1371" s="185" t="s">
        <v>699</v>
      </c>
      <c r="PS1371" s="185" t="s">
        <v>699</v>
      </c>
      <c r="PT1371" s="185" t="s">
        <v>699</v>
      </c>
      <c r="PU1371" s="185" t="s">
        <v>699</v>
      </c>
      <c r="PV1371" s="185" t="s">
        <v>699</v>
      </c>
      <c r="PW1371" s="185" t="s">
        <v>699</v>
      </c>
      <c r="PX1371" s="185" t="s">
        <v>699</v>
      </c>
      <c r="PY1371" s="185" t="s">
        <v>699</v>
      </c>
      <c r="PZ1371" s="185" t="s">
        <v>699</v>
      </c>
      <c r="QA1371" s="185" t="s">
        <v>699</v>
      </c>
      <c r="QB1371" s="185" t="s">
        <v>699</v>
      </c>
      <c r="QC1371" s="185" t="s">
        <v>699</v>
      </c>
      <c r="QD1371" s="185" t="s">
        <v>699</v>
      </c>
      <c r="QE1371" s="151">
        <f t="shared" ref="QE1371:QJ1371" si="3409">QE1360</f>
        <v>144600</v>
      </c>
      <c r="QF1371" s="151">
        <f t="shared" si="3409"/>
        <v>152500</v>
      </c>
      <c r="QG1371" s="151">
        <f t="shared" si="3409"/>
        <v>156300</v>
      </c>
      <c r="QH1371" s="151">
        <f t="shared" si="3409"/>
        <v>0</v>
      </c>
      <c r="QI1371" s="151">
        <f t="shared" si="3409"/>
        <v>0</v>
      </c>
      <c r="QJ1371" s="151">
        <f t="shared" si="3409"/>
        <v>0</v>
      </c>
      <c r="QK1371" s="185" t="s">
        <v>699</v>
      </c>
      <c r="QL1371" s="185" t="s">
        <v>699</v>
      </c>
      <c r="QM1371" s="185" t="s">
        <v>699</v>
      </c>
      <c r="QN1371" s="185" t="s">
        <v>699</v>
      </c>
      <c r="QO1371" s="185" t="s">
        <v>699</v>
      </c>
      <c r="QP1371" s="185" t="s">
        <v>699</v>
      </c>
      <c r="QQ1371" s="185" t="s">
        <v>699</v>
      </c>
      <c r="QR1371" s="185" t="s">
        <v>699</v>
      </c>
      <c r="QS1371" s="185" t="s">
        <v>699</v>
      </c>
      <c r="QT1371" s="185" t="s">
        <v>699</v>
      </c>
      <c r="QU1371" s="185" t="s">
        <v>699</v>
      </c>
      <c r="QV1371" s="185" t="s">
        <v>699</v>
      </c>
      <c r="QW1371" s="185" t="s">
        <v>699</v>
      </c>
      <c r="QX1371" s="185" t="s">
        <v>699</v>
      </c>
      <c r="QY1371" s="185" t="s">
        <v>699</v>
      </c>
      <c r="QZ1371" s="151">
        <f t="shared" ref="QZ1371:RE1371" si="3410">QZ1360</f>
        <v>0</v>
      </c>
      <c r="RA1371" s="151">
        <f t="shared" si="3410"/>
        <v>0</v>
      </c>
      <c r="RB1371" s="151">
        <f t="shared" si="3410"/>
        <v>0</v>
      </c>
      <c r="RC1371" s="151">
        <f t="shared" si="3410"/>
        <v>0</v>
      </c>
      <c r="RD1371" s="151">
        <f t="shared" si="3410"/>
        <v>0</v>
      </c>
      <c r="RE1371" s="151">
        <f t="shared" si="3410"/>
        <v>0</v>
      </c>
      <c r="RF1371" s="185" t="s">
        <v>699</v>
      </c>
      <c r="RG1371" s="185" t="s">
        <v>699</v>
      </c>
      <c r="RH1371" s="185" t="s">
        <v>699</v>
      </c>
      <c r="RI1371" s="185" t="s">
        <v>699</v>
      </c>
      <c r="RJ1371" s="185" t="s">
        <v>699</v>
      </c>
      <c r="RK1371" s="185" t="s">
        <v>699</v>
      </c>
      <c r="RL1371" s="185" t="s">
        <v>699</v>
      </c>
      <c r="RM1371" s="185" t="s">
        <v>699</v>
      </c>
      <c r="RN1371" s="185" t="s">
        <v>699</v>
      </c>
      <c r="RO1371" s="185" t="s">
        <v>699</v>
      </c>
      <c r="RP1371" s="185" t="s">
        <v>699</v>
      </c>
      <c r="RQ1371" s="185" t="s">
        <v>699</v>
      </c>
      <c r="RR1371" s="185" t="s">
        <v>699</v>
      </c>
      <c r="RS1371" s="185" t="s">
        <v>699</v>
      </c>
      <c r="RT1371" s="185" t="s">
        <v>699</v>
      </c>
      <c r="RU1371" s="151">
        <f t="shared" ref="RU1371:RZ1371" si="3411">RU1360</f>
        <v>221000.01</v>
      </c>
      <c r="RV1371" s="151">
        <f t="shared" si="3411"/>
        <v>232200.01</v>
      </c>
      <c r="RW1371" s="151">
        <f t="shared" si="3411"/>
        <v>237900</v>
      </c>
      <c r="RX1371" s="151">
        <f t="shared" si="3411"/>
        <v>0</v>
      </c>
      <c r="RY1371" s="151">
        <f t="shared" si="3411"/>
        <v>0</v>
      </c>
      <c r="RZ1371" s="151">
        <f t="shared" si="3411"/>
        <v>0</v>
      </c>
      <c r="SA1371" s="185" t="s">
        <v>699</v>
      </c>
      <c r="SB1371" s="185" t="s">
        <v>699</v>
      </c>
      <c r="SC1371" s="185" t="s">
        <v>699</v>
      </c>
      <c r="SD1371" s="185" t="s">
        <v>699</v>
      </c>
      <c r="SE1371" s="185" t="s">
        <v>699</v>
      </c>
      <c r="SF1371" s="185" t="s">
        <v>699</v>
      </c>
      <c r="SG1371" s="185" t="s">
        <v>699</v>
      </c>
      <c r="SH1371" s="185" t="s">
        <v>699</v>
      </c>
      <c r="SI1371" s="185" t="s">
        <v>699</v>
      </c>
      <c r="SJ1371" s="185" t="s">
        <v>699</v>
      </c>
      <c r="SK1371" s="185" t="s">
        <v>699</v>
      </c>
      <c r="SL1371" s="185" t="s">
        <v>699</v>
      </c>
      <c r="SM1371" s="185" t="s">
        <v>699</v>
      </c>
      <c r="SN1371" s="185" t="s">
        <v>699</v>
      </c>
      <c r="SO1371" s="185" t="s">
        <v>699</v>
      </c>
      <c r="SP1371" s="151">
        <f t="shared" ref="SP1371:SU1371" si="3412">SP1360</f>
        <v>137800</v>
      </c>
      <c r="SQ1371" s="151">
        <f t="shared" si="3412"/>
        <v>145200</v>
      </c>
      <c r="SR1371" s="151">
        <f t="shared" si="3412"/>
        <v>148900</v>
      </c>
      <c r="SS1371" s="151">
        <f t="shared" si="3412"/>
        <v>0</v>
      </c>
      <c r="ST1371" s="151">
        <f t="shared" si="3412"/>
        <v>0</v>
      </c>
      <c r="SU1371" s="151">
        <f t="shared" si="3412"/>
        <v>0</v>
      </c>
      <c r="SV1371" s="185" t="s">
        <v>699</v>
      </c>
      <c r="SW1371" s="185" t="s">
        <v>699</v>
      </c>
      <c r="SX1371" s="185" t="s">
        <v>699</v>
      </c>
      <c r="SY1371" s="185" t="s">
        <v>699</v>
      </c>
      <c r="SZ1371" s="185" t="s">
        <v>699</v>
      </c>
      <c r="TA1371" s="185" t="s">
        <v>699</v>
      </c>
      <c r="TB1371" s="185" t="s">
        <v>699</v>
      </c>
      <c r="TC1371" s="185" t="s">
        <v>699</v>
      </c>
      <c r="TD1371" s="185" t="s">
        <v>699</v>
      </c>
      <c r="TE1371" s="185" t="s">
        <v>699</v>
      </c>
      <c r="TF1371" s="185" t="s">
        <v>699</v>
      </c>
      <c r="TG1371" s="185" t="s">
        <v>699</v>
      </c>
      <c r="TH1371" s="185" t="s">
        <v>699</v>
      </c>
      <c r="TI1371" s="185" t="s">
        <v>699</v>
      </c>
      <c r="TJ1371" s="185" t="s">
        <v>699</v>
      </c>
      <c r="TK1371" s="151">
        <f t="shared" ref="TK1371:TP1371" si="3413">TK1360</f>
        <v>279400</v>
      </c>
      <c r="TL1371" s="151">
        <f t="shared" si="3413"/>
        <v>294600</v>
      </c>
      <c r="TM1371" s="151">
        <f t="shared" si="3413"/>
        <v>302300</v>
      </c>
      <c r="TN1371" s="151">
        <f t="shared" si="3413"/>
        <v>0</v>
      </c>
      <c r="TO1371" s="151">
        <f t="shared" si="3413"/>
        <v>0</v>
      </c>
      <c r="TP1371" s="151">
        <f t="shared" si="3413"/>
        <v>0</v>
      </c>
      <c r="TQ1371" s="185" t="s">
        <v>699</v>
      </c>
      <c r="TR1371" s="185" t="s">
        <v>699</v>
      </c>
      <c r="TS1371" s="185" t="s">
        <v>699</v>
      </c>
      <c r="TT1371" s="185" t="s">
        <v>699</v>
      </c>
      <c r="TU1371" s="185" t="s">
        <v>699</v>
      </c>
      <c r="TV1371" s="185" t="s">
        <v>699</v>
      </c>
      <c r="TW1371" s="185" t="s">
        <v>699</v>
      </c>
      <c r="TX1371" s="185" t="s">
        <v>699</v>
      </c>
      <c r="TY1371" s="185" t="s">
        <v>699</v>
      </c>
      <c r="TZ1371" s="185" t="s">
        <v>699</v>
      </c>
      <c r="UA1371" s="185" t="s">
        <v>699</v>
      </c>
      <c r="UB1371" s="185" t="s">
        <v>699</v>
      </c>
      <c r="UC1371" s="185" t="s">
        <v>699</v>
      </c>
      <c r="UD1371" s="185" t="s">
        <v>699</v>
      </c>
      <c r="UE1371" s="185" t="s">
        <v>699</v>
      </c>
      <c r="UF1371" s="151">
        <f t="shared" ref="UF1371:UK1371" si="3414">UF1360</f>
        <v>68900</v>
      </c>
      <c r="UG1371" s="151">
        <f t="shared" si="3414"/>
        <v>72600</v>
      </c>
      <c r="UH1371" s="151">
        <f t="shared" si="3414"/>
        <v>74500</v>
      </c>
      <c r="UI1371" s="151">
        <f t="shared" si="3414"/>
        <v>0</v>
      </c>
      <c r="UJ1371" s="151">
        <f t="shared" si="3414"/>
        <v>0</v>
      </c>
      <c r="UK1371" s="151">
        <f t="shared" si="3414"/>
        <v>0</v>
      </c>
      <c r="UL1371" s="185" t="s">
        <v>699</v>
      </c>
      <c r="UM1371" s="185" t="s">
        <v>699</v>
      </c>
      <c r="UN1371" s="185" t="s">
        <v>699</v>
      </c>
      <c r="UO1371" s="185" t="s">
        <v>699</v>
      </c>
      <c r="UP1371" s="185" t="s">
        <v>699</v>
      </c>
      <c r="UQ1371" s="185" t="s">
        <v>699</v>
      </c>
      <c r="UR1371" s="185" t="s">
        <v>699</v>
      </c>
      <c r="US1371" s="185" t="s">
        <v>699</v>
      </c>
      <c r="UT1371" s="185" t="s">
        <v>699</v>
      </c>
      <c r="UU1371" s="185" t="s">
        <v>699</v>
      </c>
      <c r="UV1371" s="185" t="s">
        <v>699</v>
      </c>
      <c r="UW1371" s="185" t="s">
        <v>699</v>
      </c>
      <c r="UX1371" s="185" t="s">
        <v>699</v>
      </c>
      <c r="UY1371" s="185" t="s">
        <v>699</v>
      </c>
      <c r="UZ1371" s="185" t="s">
        <v>699</v>
      </c>
      <c r="VA1371" s="151">
        <f t="shared" ref="VA1371:VF1371" si="3415">VA1360</f>
        <v>34600</v>
      </c>
      <c r="VB1371" s="151">
        <f t="shared" si="3415"/>
        <v>36300</v>
      </c>
      <c r="VC1371" s="151">
        <f t="shared" si="3415"/>
        <v>37200</v>
      </c>
      <c r="VD1371" s="151">
        <f t="shared" si="3415"/>
        <v>0</v>
      </c>
      <c r="VE1371" s="151">
        <f t="shared" si="3415"/>
        <v>0</v>
      </c>
      <c r="VF1371" s="151">
        <f t="shared" si="3415"/>
        <v>0</v>
      </c>
      <c r="VG1371" s="185" t="s">
        <v>699</v>
      </c>
      <c r="VH1371" s="185" t="s">
        <v>699</v>
      </c>
      <c r="VI1371" s="185" t="s">
        <v>699</v>
      </c>
      <c r="VJ1371" s="185" t="s">
        <v>699</v>
      </c>
      <c r="VK1371" s="185" t="s">
        <v>699</v>
      </c>
      <c r="VL1371" s="185" t="s">
        <v>699</v>
      </c>
      <c r="VM1371" s="185" t="s">
        <v>699</v>
      </c>
      <c r="VN1371" s="185" t="s">
        <v>699</v>
      </c>
      <c r="VO1371" s="185" t="s">
        <v>699</v>
      </c>
      <c r="VP1371" s="185" t="s">
        <v>699</v>
      </c>
      <c r="VQ1371" s="185" t="s">
        <v>699</v>
      </c>
      <c r="VR1371" s="185" t="s">
        <v>699</v>
      </c>
      <c r="VS1371" s="185" t="s">
        <v>699</v>
      </c>
      <c r="VT1371" s="185" t="s">
        <v>699</v>
      </c>
      <c r="VU1371" s="185" t="s">
        <v>699</v>
      </c>
      <c r="VV1371" s="151">
        <f t="shared" ref="VV1371:WA1371" si="3416">VV1360</f>
        <v>110100</v>
      </c>
      <c r="VW1371" s="151">
        <f t="shared" si="3416"/>
        <v>116200</v>
      </c>
      <c r="VX1371" s="151">
        <f t="shared" si="3416"/>
        <v>119100</v>
      </c>
      <c r="VY1371" s="151">
        <f t="shared" si="3416"/>
        <v>0</v>
      </c>
      <c r="VZ1371" s="151">
        <f t="shared" si="3416"/>
        <v>0</v>
      </c>
      <c r="WA1371" s="151">
        <f t="shared" si="3416"/>
        <v>0</v>
      </c>
      <c r="WB1371" s="185" t="s">
        <v>699</v>
      </c>
      <c r="WC1371" s="185" t="s">
        <v>699</v>
      </c>
      <c r="WD1371" s="185" t="s">
        <v>699</v>
      </c>
      <c r="WE1371" s="185" t="s">
        <v>699</v>
      </c>
      <c r="WF1371" s="185" t="s">
        <v>699</v>
      </c>
      <c r="WG1371" s="185" t="s">
        <v>699</v>
      </c>
      <c r="WH1371" s="185" t="s">
        <v>699</v>
      </c>
      <c r="WI1371" s="185" t="s">
        <v>699</v>
      </c>
      <c r="WJ1371" s="185" t="s">
        <v>699</v>
      </c>
      <c r="WK1371" s="185" t="s">
        <v>699</v>
      </c>
      <c r="WL1371" s="185" t="s">
        <v>699</v>
      </c>
      <c r="WM1371" s="185" t="s">
        <v>699</v>
      </c>
      <c r="WN1371" s="185" t="s">
        <v>699</v>
      </c>
      <c r="WO1371" s="185" t="s">
        <v>699</v>
      </c>
      <c r="WP1371" s="185" t="s">
        <v>699</v>
      </c>
      <c r="WQ1371" s="151">
        <f t="shared" ref="WQ1371:WV1371" si="3417">WQ1360</f>
        <v>0</v>
      </c>
      <c r="WR1371" s="151">
        <f t="shared" si="3417"/>
        <v>0</v>
      </c>
      <c r="WS1371" s="151">
        <f t="shared" si="3417"/>
        <v>0</v>
      </c>
      <c r="WT1371" s="151">
        <f t="shared" si="3417"/>
        <v>0</v>
      </c>
      <c r="WU1371" s="151">
        <f t="shared" si="3417"/>
        <v>0</v>
      </c>
      <c r="WV1371" s="151">
        <f t="shared" si="3417"/>
        <v>0</v>
      </c>
      <c r="WW1371" s="185" t="s">
        <v>699</v>
      </c>
      <c r="WX1371" s="185" t="s">
        <v>699</v>
      </c>
      <c r="WY1371" s="185" t="s">
        <v>699</v>
      </c>
      <c r="WZ1371" s="185" t="s">
        <v>699</v>
      </c>
      <c r="XA1371" s="185" t="s">
        <v>699</v>
      </c>
      <c r="XB1371" s="185" t="s">
        <v>699</v>
      </c>
      <c r="XC1371" s="185" t="s">
        <v>699</v>
      </c>
      <c r="XD1371" s="185" t="s">
        <v>699</v>
      </c>
      <c r="XE1371" s="185" t="s">
        <v>699</v>
      </c>
      <c r="XF1371" s="185" t="s">
        <v>699</v>
      </c>
      <c r="XG1371" s="185" t="s">
        <v>699</v>
      </c>
      <c r="XH1371" s="185" t="s">
        <v>699</v>
      </c>
      <c r="XI1371" s="185" t="s">
        <v>699</v>
      </c>
      <c r="XJ1371" s="185" t="s">
        <v>699</v>
      </c>
      <c r="XK1371" s="185" t="s">
        <v>699</v>
      </c>
      <c r="XL1371" s="151">
        <f t="shared" ref="XL1371:XQ1371" si="3418">XL1360</f>
        <v>0</v>
      </c>
      <c r="XM1371" s="151">
        <f t="shared" si="3418"/>
        <v>0</v>
      </c>
      <c r="XN1371" s="151">
        <f t="shared" si="3418"/>
        <v>0</v>
      </c>
      <c r="XO1371" s="151">
        <f t="shared" si="3418"/>
        <v>0</v>
      </c>
      <c r="XP1371" s="151">
        <f t="shared" si="3418"/>
        <v>0</v>
      </c>
      <c r="XQ1371" s="151">
        <f t="shared" si="3418"/>
        <v>0</v>
      </c>
      <c r="XR1371" s="185" t="s">
        <v>699</v>
      </c>
      <c r="XS1371" s="185" t="s">
        <v>699</v>
      </c>
      <c r="XT1371" s="185" t="s">
        <v>699</v>
      </c>
      <c r="XU1371" s="185" t="s">
        <v>699</v>
      </c>
      <c r="XV1371" s="185" t="s">
        <v>699</v>
      </c>
      <c r="XW1371" s="185" t="s">
        <v>699</v>
      </c>
      <c r="XX1371" s="185" t="s">
        <v>699</v>
      </c>
      <c r="XY1371" s="185" t="s">
        <v>699</v>
      </c>
      <c r="XZ1371" s="185" t="s">
        <v>699</v>
      </c>
      <c r="YA1371" s="185" t="s">
        <v>699</v>
      </c>
      <c r="YB1371" s="185" t="s">
        <v>699</v>
      </c>
      <c r="YC1371" s="185" t="s">
        <v>699</v>
      </c>
      <c r="YD1371" s="185" t="s">
        <v>699</v>
      </c>
      <c r="YE1371" s="185" t="s">
        <v>699</v>
      </c>
      <c r="YF1371" s="185" t="s">
        <v>699</v>
      </c>
      <c r="YG1371" s="151">
        <f t="shared" ref="YG1371:YL1371" si="3419">YG1360</f>
        <v>392600</v>
      </c>
      <c r="YH1371" s="151">
        <f t="shared" si="3419"/>
        <v>405800</v>
      </c>
      <c r="YI1371" s="151">
        <f t="shared" si="3419"/>
        <v>473800</v>
      </c>
      <c r="YJ1371" s="151">
        <f t="shared" si="3419"/>
        <v>0</v>
      </c>
      <c r="YK1371" s="151">
        <f t="shared" si="3419"/>
        <v>0</v>
      </c>
      <c r="YL1371" s="151">
        <f t="shared" si="3419"/>
        <v>0</v>
      </c>
      <c r="YM1371" s="185" t="s">
        <v>699</v>
      </c>
      <c r="YN1371" s="185" t="s">
        <v>699</v>
      </c>
      <c r="YO1371" s="185" t="s">
        <v>699</v>
      </c>
      <c r="YP1371" s="185" t="s">
        <v>699</v>
      </c>
      <c r="YQ1371" s="185" t="s">
        <v>699</v>
      </c>
      <c r="YR1371" s="185" t="s">
        <v>699</v>
      </c>
      <c r="YS1371" s="185" t="s">
        <v>699</v>
      </c>
      <c r="YT1371" s="185" t="s">
        <v>699</v>
      </c>
      <c r="YU1371" s="185" t="s">
        <v>699</v>
      </c>
      <c r="YV1371" s="185" t="s">
        <v>699</v>
      </c>
      <c r="YW1371" s="185" t="s">
        <v>699</v>
      </c>
      <c r="YX1371" s="185" t="s">
        <v>699</v>
      </c>
      <c r="YY1371" s="185" t="s">
        <v>699</v>
      </c>
      <c r="YZ1371" s="185" t="s">
        <v>699</v>
      </c>
      <c r="ZA1371" s="185" t="s">
        <v>699</v>
      </c>
      <c r="ZB1371" s="151">
        <f t="shared" ref="ZB1371:ZG1371" si="3420">ZB1360</f>
        <v>3711299.99</v>
      </c>
      <c r="ZC1371" s="151">
        <f t="shared" si="3420"/>
        <v>3899100</v>
      </c>
      <c r="ZD1371" s="151">
        <f t="shared" si="3420"/>
        <v>4054200</v>
      </c>
      <c r="ZE1371" s="151">
        <f t="shared" si="3420"/>
        <v>0</v>
      </c>
      <c r="ZF1371" s="151">
        <f t="shared" si="3420"/>
        <v>0</v>
      </c>
      <c r="ZG1371" s="151">
        <f t="shared" si="3420"/>
        <v>0</v>
      </c>
    </row>
    <row r="1372" spans="1:684" s="168" customFormat="1" x14ac:dyDescent="0.25">
      <c r="A1372" s="165" t="s">
        <v>712</v>
      </c>
      <c r="B1372" s="335"/>
      <c r="C1372" s="164"/>
      <c r="D1372" s="165"/>
      <c r="E1372" s="166"/>
      <c r="F1372" s="167"/>
      <c r="G1372" s="167"/>
      <c r="H1372" s="167"/>
      <c r="I1372" s="167"/>
      <c r="J1372" s="167"/>
      <c r="K1372" s="167"/>
      <c r="L1372" s="167"/>
      <c r="M1372" s="167"/>
      <c r="N1372" s="167"/>
      <c r="O1372" s="167"/>
      <c r="P1372" s="167"/>
      <c r="Q1372" s="167"/>
      <c r="R1372" s="167"/>
      <c r="S1372" s="167"/>
      <c r="T1372" s="167"/>
      <c r="U1372" s="167"/>
      <c r="V1372" s="167"/>
      <c r="W1372" s="167"/>
      <c r="X1372" s="167"/>
      <c r="Y1372" s="167"/>
      <c r="Z1372" s="167"/>
      <c r="AA1372" s="167">
        <f>AA1374-AA1373-AA1371</f>
        <v>0</v>
      </c>
      <c r="AB1372" s="167">
        <f t="shared" ref="AB1372:AF1372" si="3421">AB1374-AB1373-AB1371</f>
        <v>0</v>
      </c>
      <c r="AC1372" s="167">
        <f t="shared" si="3421"/>
        <v>0</v>
      </c>
      <c r="AD1372" s="167">
        <f t="shared" si="3421"/>
        <v>0</v>
      </c>
      <c r="AE1372" s="167">
        <f t="shared" si="3421"/>
        <v>0</v>
      </c>
      <c r="AF1372" s="167">
        <f t="shared" si="3421"/>
        <v>0</v>
      </c>
      <c r="AG1372" s="167"/>
      <c r="AH1372" s="167"/>
      <c r="AI1372" s="167"/>
      <c r="AJ1372" s="167"/>
      <c r="AK1372" s="167"/>
      <c r="AL1372" s="167"/>
      <c r="AM1372" s="167"/>
      <c r="AN1372" s="167"/>
      <c r="AO1372" s="167"/>
      <c r="AP1372" s="167"/>
      <c r="AQ1372" s="167"/>
      <c r="AR1372" s="167"/>
      <c r="AS1372" s="167"/>
      <c r="AT1372" s="167"/>
      <c r="AU1372" s="167"/>
      <c r="AV1372" s="167">
        <f t="shared" ref="AV1372:BA1372" si="3422">AV1374-AV1373-AV1371</f>
        <v>0</v>
      </c>
      <c r="AW1372" s="167">
        <f t="shared" si="3422"/>
        <v>0</v>
      </c>
      <c r="AX1372" s="167">
        <f t="shared" si="3422"/>
        <v>0</v>
      </c>
      <c r="AY1372" s="167">
        <f t="shared" si="3422"/>
        <v>0</v>
      </c>
      <c r="AZ1372" s="167">
        <f t="shared" si="3422"/>
        <v>0</v>
      </c>
      <c r="BA1372" s="167">
        <f t="shared" si="3422"/>
        <v>0</v>
      </c>
      <c r="BB1372" s="167"/>
      <c r="BC1372" s="167"/>
      <c r="BD1372" s="167"/>
      <c r="BE1372" s="167"/>
      <c r="BF1372" s="167"/>
      <c r="BG1372" s="167"/>
      <c r="BH1372" s="167"/>
      <c r="BI1372" s="167"/>
      <c r="BJ1372" s="167"/>
      <c r="BK1372" s="167"/>
      <c r="BL1372" s="167"/>
      <c r="BM1372" s="167"/>
      <c r="BN1372" s="167"/>
      <c r="BO1372" s="167"/>
      <c r="BP1372" s="167"/>
      <c r="BQ1372" s="167">
        <f t="shared" ref="BQ1372:BV1372" si="3423">BQ1374-BQ1373-BQ1371</f>
        <v>0</v>
      </c>
      <c r="BR1372" s="167">
        <f t="shared" si="3423"/>
        <v>-0.01</v>
      </c>
      <c r="BS1372" s="167">
        <f t="shared" si="3423"/>
        <v>-0.01</v>
      </c>
      <c r="BT1372" s="167">
        <f t="shared" si="3423"/>
        <v>0</v>
      </c>
      <c r="BU1372" s="167">
        <f t="shared" si="3423"/>
        <v>0</v>
      </c>
      <c r="BV1372" s="167">
        <f t="shared" si="3423"/>
        <v>0</v>
      </c>
      <c r="BW1372" s="167"/>
      <c r="BX1372" s="167"/>
      <c r="BY1372" s="167"/>
      <c r="BZ1372" s="167"/>
      <c r="CA1372" s="167"/>
      <c r="CB1372" s="167"/>
      <c r="CC1372" s="167"/>
      <c r="CD1372" s="167"/>
      <c r="CE1372" s="167"/>
      <c r="CF1372" s="167"/>
      <c r="CG1372" s="167"/>
      <c r="CH1372" s="167"/>
      <c r="CI1372" s="167"/>
      <c r="CJ1372" s="167"/>
      <c r="CK1372" s="167"/>
      <c r="CL1372" s="167">
        <f t="shared" ref="CL1372:CQ1372" si="3424">CL1374-CL1373-CL1371</f>
        <v>0</v>
      </c>
      <c r="CM1372" s="167">
        <f t="shared" si="3424"/>
        <v>0</v>
      </c>
      <c r="CN1372" s="167">
        <f t="shared" si="3424"/>
        <v>-0.01</v>
      </c>
      <c r="CO1372" s="167">
        <f t="shared" si="3424"/>
        <v>0</v>
      </c>
      <c r="CP1372" s="167">
        <f t="shared" si="3424"/>
        <v>0</v>
      </c>
      <c r="CQ1372" s="167">
        <f t="shared" si="3424"/>
        <v>0</v>
      </c>
      <c r="CR1372" s="167"/>
      <c r="CS1372" s="167"/>
      <c r="CT1372" s="167"/>
      <c r="CU1372" s="167"/>
      <c r="CV1372" s="167"/>
      <c r="CW1372" s="167"/>
      <c r="CX1372" s="167"/>
      <c r="CY1372" s="167"/>
      <c r="CZ1372" s="167"/>
      <c r="DA1372" s="167"/>
      <c r="DB1372" s="167"/>
      <c r="DC1372" s="167"/>
      <c r="DD1372" s="167"/>
      <c r="DE1372" s="167"/>
      <c r="DF1372" s="167"/>
      <c r="DG1372" s="167">
        <f t="shared" ref="DG1372:DL1372" si="3425">DG1374-DG1373-DG1371</f>
        <v>0.01</v>
      </c>
      <c r="DH1372" s="167">
        <f t="shared" si="3425"/>
        <v>-0.02</v>
      </c>
      <c r="DI1372" s="167">
        <f t="shared" si="3425"/>
        <v>-0.01</v>
      </c>
      <c r="DJ1372" s="167">
        <f t="shared" si="3425"/>
        <v>0</v>
      </c>
      <c r="DK1372" s="167">
        <f t="shared" si="3425"/>
        <v>0</v>
      </c>
      <c r="DL1372" s="167">
        <f t="shared" si="3425"/>
        <v>0</v>
      </c>
      <c r="DM1372" s="167"/>
      <c r="DN1372" s="167"/>
      <c r="DO1372" s="167"/>
      <c r="DP1372" s="167"/>
      <c r="DQ1372" s="167"/>
      <c r="DR1372" s="167"/>
      <c r="DS1372" s="167"/>
      <c r="DT1372" s="167"/>
      <c r="DU1372" s="167"/>
      <c r="DV1372" s="167"/>
      <c r="DW1372" s="167"/>
      <c r="DX1372" s="167"/>
      <c r="DY1372" s="167"/>
      <c r="DZ1372" s="167"/>
      <c r="EA1372" s="167"/>
      <c r="EB1372" s="167">
        <f t="shared" ref="EB1372:EG1372" si="3426">EB1374-EB1373-EB1371</f>
        <v>-0.01</v>
      </c>
      <c r="EC1372" s="167">
        <f t="shared" si="3426"/>
        <v>0</v>
      </c>
      <c r="ED1372" s="167">
        <f t="shared" si="3426"/>
        <v>0</v>
      </c>
      <c r="EE1372" s="167">
        <f t="shared" si="3426"/>
        <v>0</v>
      </c>
      <c r="EF1372" s="167">
        <f t="shared" si="3426"/>
        <v>0</v>
      </c>
      <c r="EG1372" s="167">
        <f t="shared" si="3426"/>
        <v>0</v>
      </c>
      <c r="EH1372" s="167"/>
      <c r="EI1372" s="167"/>
      <c r="EJ1372" s="167"/>
      <c r="EK1372" s="167"/>
      <c r="EL1372" s="167"/>
      <c r="EM1372" s="167"/>
      <c r="EN1372" s="167"/>
      <c r="EO1372" s="167"/>
      <c r="EP1372" s="167"/>
      <c r="EQ1372" s="167"/>
      <c r="ER1372" s="167"/>
      <c r="ES1372" s="167"/>
      <c r="ET1372" s="167"/>
      <c r="EU1372" s="167"/>
      <c r="EV1372" s="167"/>
      <c r="EW1372" s="167">
        <f t="shared" ref="EW1372:FB1372" si="3427">EW1374-EW1373-EW1371</f>
        <v>0</v>
      </c>
      <c r="EX1372" s="167">
        <f t="shared" si="3427"/>
        <v>0</v>
      </c>
      <c r="EY1372" s="167">
        <f t="shared" si="3427"/>
        <v>0</v>
      </c>
      <c r="EZ1372" s="167">
        <f t="shared" si="3427"/>
        <v>0</v>
      </c>
      <c r="FA1372" s="167">
        <f t="shared" si="3427"/>
        <v>0</v>
      </c>
      <c r="FB1372" s="167">
        <f t="shared" si="3427"/>
        <v>0</v>
      </c>
      <c r="FC1372" s="167"/>
      <c r="FD1372" s="167"/>
      <c r="FE1372" s="167"/>
      <c r="FF1372" s="167"/>
      <c r="FG1372" s="167"/>
      <c r="FH1372" s="167"/>
      <c r="FI1372" s="167"/>
      <c r="FJ1372" s="167"/>
      <c r="FK1372" s="167"/>
      <c r="FL1372" s="167"/>
      <c r="FM1372" s="167"/>
      <c r="FN1372" s="167"/>
      <c r="FO1372" s="167"/>
      <c r="FP1372" s="167"/>
      <c r="FQ1372" s="167"/>
      <c r="FR1372" s="167">
        <f t="shared" ref="FR1372:FW1372" si="3428">FR1374-FR1373-FR1371</f>
        <v>-0.01</v>
      </c>
      <c r="FS1372" s="167">
        <f t="shared" si="3428"/>
        <v>0</v>
      </c>
      <c r="FT1372" s="167">
        <f t="shared" si="3428"/>
        <v>0.01</v>
      </c>
      <c r="FU1372" s="167">
        <f t="shared" si="3428"/>
        <v>0</v>
      </c>
      <c r="FV1372" s="167">
        <f t="shared" si="3428"/>
        <v>0</v>
      </c>
      <c r="FW1372" s="167">
        <f t="shared" si="3428"/>
        <v>0</v>
      </c>
      <c r="FX1372" s="167"/>
      <c r="FY1372" s="167"/>
      <c r="FZ1372" s="167"/>
      <c r="GA1372" s="167"/>
      <c r="GB1372" s="167"/>
      <c r="GC1372" s="167"/>
      <c r="GD1372" s="167"/>
      <c r="GE1372" s="167"/>
      <c r="GF1372" s="167"/>
      <c r="GG1372" s="167"/>
      <c r="GH1372" s="167"/>
      <c r="GI1372" s="167"/>
      <c r="GJ1372" s="167"/>
      <c r="GK1372" s="167"/>
      <c r="GL1372" s="167"/>
      <c r="GM1372" s="167">
        <f t="shared" ref="GM1372:GR1372" si="3429">GM1374-GM1373-GM1371</f>
        <v>0</v>
      </c>
      <c r="GN1372" s="167">
        <f t="shared" si="3429"/>
        <v>0</v>
      </c>
      <c r="GO1372" s="167">
        <f t="shared" si="3429"/>
        <v>0</v>
      </c>
      <c r="GP1372" s="167">
        <f t="shared" si="3429"/>
        <v>0</v>
      </c>
      <c r="GQ1372" s="167">
        <f t="shared" si="3429"/>
        <v>0</v>
      </c>
      <c r="GR1372" s="167">
        <f t="shared" si="3429"/>
        <v>0</v>
      </c>
      <c r="GS1372" s="167"/>
      <c r="GT1372" s="167"/>
      <c r="GU1372" s="167"/>
      <c r="GV1372" s="167"/>
      <c r="GW1372" s="167"/>
      <c r="GX1372" s="167"/>
      <c r="GY1372" s="167"/>
      <c r="GZ1372" s="167"/>
      <c r="HA1372" s="167"/>
      <c r="HB1372" s="167"/>
      <c r="HC1372" s="167"/>
      <c r="HD1372" s="167"/>
      <c r="HE1372" s="167"/>
      <c r="HF1372" s="167"/>
      <c r="HG1372" s="167"/>
      <c r="HH1372" s="167">
        <f t="shared" ref="HH1372:HM1372" si="3430">HH1374-HH1373-HH1371</f>
        <v>0</v>
      </c>
      <c r="HI1372" s="167">
        <f t="shared" si="3430"/>
        <v>0</v>
      </c>
      <c r="HJ1372" s="167">
        <f t="shared" si="3430"/>
        <v>0</v>
      </c>
      <c r="HK1372" s="167">
        <f t="shared" si="3430"/>
        <v>0</v>
      </c>
      <c r="HL1372" s="167">
        <f t="shared" si="3430"/>
        <v>0</v>
      </c>
      <c r="HM1372" s="167">
        <f t="shared" si="3430"/>
        <v>0</v>
      </c>
      <c r="HN1372" s="167"/>
      <c r="HO1372" s="167"/>
      <c r="HP1372" s="167"/>
      <c r="HQ1372" s="167"/>
      <c r="HR1372" s="167"/>
      <c r="HS1372" s="167"/>
      <c r="HT1372" s="167"/>
      <c r="HU1372" s="167"/>
      <c r="HV1372" s="167"/>
      <c r="HW1372" s="167"/>
      <c r="HX1372" s="167"/>
      <c r="HY1372" s="167"/>
      <c r="HZ1372" s="167"/>
      <c r="IA1372" s="167"/>
      <c r="IB1372" s="167"/>
      <c r="IC1372" s="167">
        <f t="shared" ref="IC1372:IH1372" si="3431">IC1374-IC1373-IC1371</f>
        <v>0</v>
      </c>
      <c r="ID1372" s="167">
        <f t="shared" si="3431"/>
        <v>0</v>
      </c>
      <c r="IE1372" s="167">
        <f t="shared" si="3431"/>
        <v>0</v>
      </c>
      <c r="IF1372" s="167">
        <f t="shared" si="3431"/>
        <v>0</v>
      </c>
      <c r="IG1372" s="167">
        <f t="shared" si="3431"/>
        <v>0</v>
      </c>
      <c r="IH1372" s="167">
        <f t="shared" si="3431"/>
        <v>0</v>
      </c>
      <c r="II1372" s="167"/>
      <c r="IJ1372" s="167"/>
      <c r="IK1372" s="167"/>
      <c r="IL1372" s="167"/>
      <c r="IM1372" s="167"/>
      <c r="IN1372" s="167"/>
      <c r="IO1372" s="167"/>
      <c r="IP1372" s="167"/>
      <c r="IQ1372" s="167"/>
      <c r="IR1372" s="167"/>
      <c r="IS1372" s="167"/>
      <c r="IT1372" s="167"/>
      <c r="IU1372" s="167"/>
      <c r="IV1372" s="167"/>
      <c r="IW1372" s="167"/>
      <c r="IX1372" s="167">
        <f t="shared" ref="IX1372:JC1372" si="3432">IX1374-IX1373-IX1371</f>
        <v>0</v>
      </c>
      <c r="IY1372" s="167">
        <f t="shared" si="3432"/>
        <v>0</v>
      </c>
      <c r="IZ1372" s="167">
        <f t="shared" si="3432"/>
        <v>0</v>
      </c>
      <c r="JA1372" s="167">
        <f t="shared" si="3432"/>
        <v>0</v>
      </c>
      <c r="JB1372" s="167">
        <f t="shared" si="3432"/>
        <v>0</v>
      </c>
      <c r="JC1372" s="167">
        <f t="shared" si="3432"/>
        <v>0</v>
      </c>
      <c r="JD1372" s="167"/>
      <c r="JE1372" s="167"/>
      <c r="JF1372" s="167"/>
      <c r="JG1372" s="167"/>
      <c r="JH1372" s="167"/>
      <c r="JI1372" s="167"/>
      <c r="JJ1372" s="167"/>
      <c r="JK1372" s="167"/>
      <c r="JL1372" s="167"/>
      <c r="JM1372" s="167"/>
      <c r="JN1372" s="167"/>
      <c r="JO1372" s="167"/>
      <c r="JP1372" s="167"/>
      <c r="JQ1372" s="167"/>
      <c r="JR1372" s="167"/>
      <c r="JS1372" s="167">
        <f t="shared" ref="JS1372:JX1372" si="3433">JS1374-JS1373-JS1371</f>
        <v>0</v>
      </c>
      <c r="JT1372" s="167">
        <f t="shared" si="3433"/>
        <v>0</v>
      </c>
      <c r="JU1372" s="167">
        <f t="shared" si="3433"/>
        <v>0</v>
      </c>
      <c r="JV1372" s="167">
        <f t="shared" si="3433"/>
        <v>0</v>
      </c>
      <c r="JW1372" s="167">
        <f t="shared" si="3433"/>
        <v>0</v>
      </c>
      <c r="JX1372" s="167">
        <f t="shared" si="3433"/>
        <v>0</v>
      </c>
      <c r="JY1372" s="167"/>
      <c r="JZ1372" s="167"/>
      <c r="KA1372" s="167"/>
      <c r="KB1372" s="167"/>
      <c r="KC1372" s="167"/>
      <c r="KD1372" s="167"/>
      <c r="KE1372" s="167"/>
      <c r="KF1372" s="167"/>
      <c r="KG1372" s="167"/>
      <c r="KH1372" s="167"/>
      <c r="KI1372" s="167"/>
      <c r="KJ1372" s="167"/>
      <c r="KK1372" s="167"/>
      <c r="KL1372" s="167"/>
      <c r="KM1372" s="167"/>
      <c r="KN1372" s="167">
        <f t="shared" ref="KN1372:KS1372" si="3434">KN1374-KN1373-KN1371</f>
        <v>0</v>
      </c>
      <c r="KO1372" s="167">
        <f t="shared" si="3434"/>
        <v>0</v>
      </c>
      <c r="KP1372" s="167">
        <f t="shared" si="3434"/>
        <v>0</v>
      </c>
      <c r="KQ1372" s="167">
        <f t="shared" si="3434"/>
        <v>0</v>
      </c>
      <c r="KR1372" s="167">
        <f t="shared" si="3434"/>
        <v>0</v>
      </c>
      <c r="KS1372" s="167">
        <f t="shared" si="3434"/>
        <v>0</v>
      </c>
      <c r="KT1372" s="167"/>
      <c r="KU1372" s="167"/>
      <c r="KV1372" s="167"/>
      <c r="KW1372" s="167"/>
      <c r="KX1372" s="167"/>
      <c r="KY1372" s="167"/>
      <c r="KZ1372" s="167"/>
      <c r="LA1372" s="167"/>
      <c r="LB1372" s="167"/>
      <c r="LC1372" s="167"/>
      <c r="LD1372" s="167"/>
      <c r="LE1372" s="167"/>
      <c r="LF1372" s="167"/>
      <c r="LG1372" s="167"/>
      <c r="LH1372" s="167"/>
      <c r="LI1372" s="167">
        <f t="shared" ref="LI1372:LN1372" si="3435">LI1374-LI1373-LI1371</f>
        <v>0</v>
      </c>
      <c r="LJ1372" s="167">
        <f t="shared" si="3435"/>
        <v>0</v>
      </c>
      <c r="LK1372" s="167">
        <f t="shared" si="3435"/>
        <v>0</v>
      </c>
      <c r="LL1372" s="167">
        <f t="shared" si="3435"/>
        <v>0</v>
      </c>
      <c r="LM1372" s="167">
        <f t="shared" si="3435"/>
        <v>0</v>
      </c>
      <c r="LN1372" s="167">
        <f t="shared" si="3435"/>
        <v>0</v>
      </c>
      <c r="LO1372" s="167"/>
      <c r="LP1372" s="167"/>
      <c r="LQ1372" s="167"/>
      <c r="LR1372" s="167"/>
      <c r="LS1372" s="167"/>
      <c r="LT1372" s="167"/>
      <c r="LU1372" s="167"/>
      <c r="LV1372" s="167"/>
      <c r="LW1372" s="167"/>
      <c r="LX1372" s="167"/>
      <c r="LY1372" s="167"/>
      <c r="LZ1372" s="167"/>
      <c r="MA1372" s="167"/>
      <c r="MB1372" s="167"/>
      <c r="MC1372" s="167"/>
      <c r="MD1372" s="167">
        <f t="shared" ref="MD1372:MI1372" si="3436">MD1374-MD1373-MD1371</f>
        <v>0</v>
      </c>
      <c r="ME1372" s="167">
        <f t="shared" si="3436"/>
        <v>0</v>
      </c>
      <c r="MF1372" s="167">
        <f t="shared" si="3436"/>
        <v>0</v>
      </c>
      <c r="MG1372" s="167">
        <f t="shared" si="3436"/>
        <v>0</v>
      </c>
      <c r="MH1372" s="167">
        <f t="shared" si="3436"/>
        <v>0</v>
      </c>
      <c r="MI1372" s="167">
        <f t="shared" si="3436"/>
        <v>0</v>
      </c>
      <c r="MJ1372" s="167"/>
      <c r="MK1372" s="167"/>
      <c r="ML1372" s="167"/>
      <c r="MM1372" s="167"/>
      <c r="MN1372" s="167"/>
      <c r="MO1372" s="167"/>
      <c r="MP1372" s="167"/>
      <c r="MQ1372" s="167"/>
      <c r="MR1372" s="167"/>
      <c r="MS1372" s="167"/>
      <c r="MT1372" s="167"/>
      <c r="MU1372" s="167"/>
      <c r="MV1372" s="167"/>
      <c r="MW1372" s="167"/>
      <c r="MX1372" s="167"/>
      <c r="MY1372" s="167">
        <f t="shared" ref="MY1372:ND1372" si="3437">MY1374-MY1373-MY1371</f>
        <v>0</v>
      </c>
      <c r="MZ1372" s="167">
        <f t="shared" si="3437"/>
        <v>0</v>
      </c>
      <c r="NA1372" s="167">
        <f t="shared" si="3437"/>
        <v>0</v>
      </c>
      <c r="NB1372" s="167">
        <f t="shared" si="3437"/>
        <v>0</v>
      </c>
      <c r="NC1372" s="167">
        <f t="shared" si="3437"/>
        <v>0</v>
      </c>
      <c r="ND1372" s="167">
        <f t="shared" si="3437"/>
        <v>0</v>
      </c>
      <c r="NE1372" s="167"/>
      <c r="NF1372" s="167"/>
      <c r="NG1372" s="167"/>
      <c r="NH1372" s="167"/>
      <c r="NI1372" s="167"/>
      <c r="NJ1372" s="167"/>
      <c r="NK1372" s="167"/>
      <c r="NL1372" s="167"/>
      <c r="NM1372" s="167"/>
      <c r="NN1372" s="167"/>
      <c r="NO1372" s="167"/>
      <c r="NP1372" s="167"/>
      <c r="NQ1372" s="167"/>
      <c r="NR1372" s="167"/>
      <c r="NS1372" s="167"/>
      <c r="NT1372" s="167">
        <f t="shared" ref="NT1372:NY1372" si="3438">NT1374-NT1373-NT1371</f>
        <v>0</v>
      </c>
      <c r="NU1372" s="167">
        <f t="shared" si="3438"/>
        <v>0</v>
      </c>
      <c r="NV1372" s="167">
        <f t="shared" si="3438"/>
        <v>0</v>
      </c>
      <c r="NW1372" s="167">
        <f t="shared" si="3438"/>
        <v>0</v>
      </c>
      <c r="NX1372" s="167">
        <f t="shared" si="3438"/>
        <v>0</v>
      </c>
      <c r="NY1372" s="167">
        <f t="shared" si="3438"/>
        <v>0</v>
      </c>
      <c r="NZ1372" s="167"/>
      <c r="OA1372" s="167"/>
      <c r="OB1372" s="167"/>
      <c r="OC1372" s="167"/>
      <c r="OD1372" s="167"/>
      <c r="OE1372" s="167"/>
      <c r="OF1372" s="167"/>
      <c r="OG1372" s="167"/>
      <c r="OH1372" s="167"/>
      <c r="OI1372" s="167"/>
      <c r="OJ1372" s="167"/>
      <c r="OK1372" s="167"/>
      <c r="OL1372" s="167"/>
      <c r="OM1372" s="167"/>
      <c r="ON1372" s="167"/>
      <c r="OO1372" s="167">
        <f t="shared" ref="OO1372:OT1372" si="3439">OO1374-OO1373-OO1371</f>
        <v>0</v>
      </c>
      <c r="OP1372" s="167">
        <f t="shared" si="3439"/>
        <v>0</v>
      </c>
      <c r="OQ1372" s="167">
        <f t="shared" si="3439"/>
        <v>0</v>
      </c>
      <c r="OR1372" s="167">
        <f t="shared" si="3439"/>
        <v>0</v>
      </c>
      <c r="OS1372" s="167">
        <f t="shared" si="3439"/>
        <v>0</v>
      </c>
      <c r="OT1372" s="167">
        <f t="shared" si="3439"/>
        <v>0</v>
      </c>
      <c r="OU1372" s="167"/>
      <c r="OV1372" s="167"/>
      <c r="OW1372" s="167"/>
      <c r="OX1372" s="167"/>
      <c r="OY1372" s="167"/>
      <c r="OZ1372" s="167"/>
      <c r="PA1372" s="167"/>
      <c r="PB1372" s="167"/>
      <c r="PC1372" s="167"/>
      <c r="PD1372" s="167"/>
      <c r="PE1372" s="167"/>
      <c r="PF1372" s="167"/>
      <c r="PG1372" s="167"/>
      <c r="PH1372" s="167"/>
      <c r="PI1372" s="167"/>
      <c r="PJ1372" s="167">
        <f t="shared" ref="PJ1372:PO1372" si="3440">PJ1374-PJ1373-PJ1371</f>
        <v>0</v>
      </c>
      <c r="PK1372" s="167">
        <f t="shared" si="3440"/>
        <v>0.02</v>
      </c>
      <c r="PL1372" s="167">
        <f t="shared" si="3440"/>
        <v>0.02</v>
      </c>
      <c r="PM1372" s="167">
        <f t="shared" si="3440"/>
        <v>0</v>
      </c>
      <c r="PN1372" s="167">
        <f t="shared" si="3440"/>
        <v>0</v>
      </c>
      <c r="PO1372" s="167">
        <f t="shared" si="3440"/>
        <v>0</v>
      </c>
      <c r="PP1372" s="167"/>
      <c r="PQ1372" s="167"/>
      <c r="PR1372" s="167"/>
      <c r="PS1372" s="167"/>
      <c r="PT1372" s="167"/>
      <c r="PU1372" s="167"/>
      <c r="PV1372" s="167"/>
      <c r="PW1372" s="167"/>
      <c r="PX1372" s="167"/>
      <c r="PY1372" s="167"/>
      <c r="PZ1372" s="167"/>
      <c r="QA1372" s="167"/>
      <c r="QB1372" s="167"/>
      <c r="QC1372" s="167"/>
      <c r="QD1372" s="167"/>
      <c r="QE1372" s="167">
        <f t="shared" ref="QE1372:QJ1372" si="3441">QE1374-QE1373-QE1371</f>
        <v>0</v>
      </c>
      <c r="QF1372" s="167">
        <f t="shared" si="3441"/>
        <v>0</v>
      </c>
      <c r="QG1372" s="167">
        <f t="shared" si="3441"/>
        <v>0</v>
      </c>
      <c r="QH1372" s="167">
        <f t="shared" si="3441"/>
        <v>0</v>
      </c>
      <c r="QI1372" s="167">
        <f t="shared" si="3441"/>
        <v>0</v>
      </c>
      <c r="QJ1372" s="167">
        <f t="shared" si="3441"/>
        <v>0</v>
      </c>
      <c r="QK1372" s="167"/>
      <c r="QL1372" s="167"/>
      <c r="QM1372" s="167"/>
      <c r="QN1372" s="167"/>
      <c r="QO1372" s="167"/>
      <c r="QP1372" s="167"/>
      <c r="QQ1372" s="167"/>
      <c r="QR1372" s="167"/>
      <c r="QS1372" s="167"/>
      <c r="QT1372" s="167"/>
      <c r="QU1372" s="167"/>
      <c r="QV1372" s="167"/>
      <c r="QW1372" s="167"/>
      <c r="QX1372" s="167"/>
      <c r="QY1372" s="167"/>
      <c r="QZ1372" s="167">
        <f t="shared" ref="QZ1372:RE1372" si="3442">QZ1374-QZ1373-QZ1371</f>
        <v>0</v>
      </c>
      <c r="RA1372" s="167">
        <f t="shared" si="3442"/>
        <v>0</v>
      </c>
      <c r="RB1372" s="167">
        <f t="shared" si="3442"/>
        <v>0</v>
      </c>
      <c r="RC1372" s="167">
        <f t="shared" si="3442"/>
        <v>0</v>
      </c>
      <c r="RD1372" s="167">
        <f t="shared" si="3442"/>
        <v>0</v>
      </c>
      <c r="RE1372" s="167">
        <f t="shared" si="3442"/>
        <v>0</v>
      </c>
      <c r="RF1372" s="167"/>
      <c r="RG1372" s="167"/>
      <c r="RH1372" s="167"/>
      <c r="RI1372" s="167"/>
      <c r="RJ1372" s="167"/>
      <c r="RK1372" s="167"/>
      <c r="RL1372" s="167"/>
      <c r="RM1372" s="167"/>
      <c r="RN1372" s="167"/>
      <c r="RO1372" s="167"/>
      <c r="RP1372" s="167"/>
      <c r="RQ1372" s="167"/>
      <c r="RR1372" s="167"/>
      <c r="RS1372" s="167"/>
      <c r="RT1372" s="167"/>
      <c r="RU1372" s="167">
        <f t="shared" ref="RU1372:RZ1372" si="3443">RU1374-RU1373-RU1371</f>
        <v>-0.01</v>
      </c>
      <c r="RV1372" s="167">
        <f t="shared" si="3443"/>
        <v>-0.01</v>
      </c>
      <c r="RW1372" s="167">
        <f t="shared" si="3443"/>
        <v>0</v>
      </c>
      <c r="RX1372" s="167">
        <f t="shared" si="3443"/>
        <v>0</v>
      </c>
      <c r="RY1372" s="167">
        <f t="shared" si="3443"/>
        <v>0</v>
      </c>
      <c r="RZ1372" s="167">
        <f t="shared" si="3443"/>
        <v>0</v>
      </c>
      <c r="SA1372" s="167"/>
      <c r="SB1372" s="167"/>
      <c r="SC1372" s="167"/>
      <c r="SD1372" s="167"/>
      <c r="SE1372" s="167"/>
      <c r="SF1372" s="167"/>
      <c r="SG1372" s="167"/>
      <c r="SH1372" s="167"/>
      <c r="SI1372" s="167"/>
      <c r="SJ1372" s="167"/>
      <c r="SK1372" s="167"/>
      <c r="SL1372" s="167"/>
      <c r="SM1372" s="167"/>
      <c r="SN1372" s="167"/>
      <c r="SO1372" s="167"/>
      <c r="SP1372" s="167">
        <f t="shared" ref="SP1372:SU1372" si="3444">SP1374-SP1373-SP1371</f>
        <v>0</v>
      </c>
      <c r="SQ1372" s="167">
        <f t="shared" si="3444"/>
        <v>0</v>
      </c>
      <c r="SR1372" s="167">
        <f t="shared" si="3444"/>
        <v>0</v>
      </c>
      <c r="SS1372" s="167">
        <f t="shared" si="3444"/>
        <v>0</v>
      </c>
      <c r="ST1372" s="167">
        <f t="shared" si="3444"/>
        <v>0</v>
      </c>
      <c r="SU1372" s="167">
        <f t="shared" si="3444"/>
        <v>0</v>
      </c>
      <c r="SV1372" s="167"/>
      <c r="SW1372" s="167"/>
      <c r="SX1372" s="167"/>
      <c r="SY1372" s="167"/>
      <c r="SZ1372" s="167"/>
      <c r="TA1372" s="167"/>
      <c r="TB1372" s="167"/>
      <c r="TC1372" s="167"/>
      <c r="TD1372" s="167"/>
      <c r="TE1372" s="167"/>
      <c r="TF1372" s="167"/>
      <c r="TG1372" s="167"/>
      <c r="TH1372" s="167"/>
      <c r="TI1372" s="167"/>
      <c r="TJ1372" s="167"/>
      <c r="TK1372" s="167">
        <f t="shared" ref="TK1372:TP1372" si="3445">TK1374-TK1373-TK1371</f>
        <v>0</v>
      </c>
      <c r="TL1372" s="167">
        <f t="shared" si="3445"/>
        <v>0</v>
      </c>
      <c r="TM1372" s="167">
        <f t="shared" si="3445"/>
        <v>0</v>
      </c>
      <c r="TN1372" s="167">
        <f t="shared" si="3445"/>
        <v>0</v>
      </c>
      <c r="TO1372" s="167">
        <f t="shared" si="3445"/>
        <v>0</v>
      </c>
      <c r="TP1372" s="167">
        <f t="shared" si="3445"/>
        <v>0</v>
      </c>
      <c r="TQ1372" s="167"/>
      <c r="TR1372" s="167"/>
      <c r="TS1372" s="167"/>
      <c r="TT1372" s="167"/>
      <c r="TU1372" s="167"/>
      <c r="TV1372" s="167"/>
      <c r="TW1372" s="167"/>
      <c r="TX1372" s="167"/>
      <c r="TY1372" s="167"/>
      <c r="TZ1372" s="167"/>
      <c r="UA1372" s="167"/>
      <c r="UB1372" s="167"/>
      <c r="UC1372" s="167"/>
      <c r="UD1372" s="167"/>
      <c r="UE1372" s="167"/>
      <c r="UF1372" s="167">
        <f t="shared" ref="UF1372:UK1372" si="3446">UF1374-UF1373-UF1371</f>
        <v>0</v>
      </c>
      <c r="UG1372" s="167">
        <f t="shared" si="3446"/>
        <v>0</v>
      </c>
      <c r="UH1372" s="167">
        <f t="shared" si="3446"/>
        <v>0</v>
      </c>
      <c r="UI1372" s="167">
        <f t="shared" si="3446"/>
        <v>0</v>
      </c>
      <c r="UJ1372" s="167">
        <f t="shared" si="3446"/>
        <v>0</v>
      </c>
      <c r="UK1372" s="167">
        <f t="shared" si="3446"/>
        <v>0</v>
      </c>
      <c r="UL1372" s="167"/>
      <c r="UM1372" s="167"/>
      <c r="UN1372" s="167"/>
      <c r="UO1372" s="167"/>
      <c r="UP1372" s="167"/>
      <c r="UQ1372" s="167"/>
      <c r="UR1372" s="167"/>
      <c r="US1372" s="167"/>
      <c r="UT1372" s="167"/>
      <c r="UU1372" s="167"/>
      <c r="UV1372" s="167"/>
      <c r="UW1372" s="167"/>
      <c r="UX1372" s="167"/>
      <c r="UY1372" s="167"/>
      <c r="UZ1372" s="167"/>
      <c r="VA1372" s="167">
        <f t="shared" ref="VA1372:VF1372" si="3447">VA1374-VA1373-VA1371</f>
        <v>0</v>
      </c>
      <c r="VB1372" s="167">
        <f t="shared" si="3447"/>
        <v>0</v>
      </c>
      <c r="VC1372" s="167">
        <f t="shared" si="3447"/>
        <v>0</v>
      </c>
      <c r="VD1372" s="167">
        <f t="shared" si="3447"/>
        <v>0</v>
      </c>
      <c r="VE1372" s="167">
        <f t="shared" si="3447"/>
        <v>0</v>
      </c>
      <c r="VF1372" s="167">
        <f t="shared" si="3447"/>
        <v>0</v>
      </c>
      <c r="VG1372" s="167"/>
      <c r="VH1372" s="167"/>
      <c r="VI1372" s="167"/>
      <c r="VJ1372" s="167"/>
      <c r="VK1372" s="167"/>
      <c r="VL1372" s="167"/>
      <c r="VM1372" s="167"/>
      <c r="VN1372" s="167"/>
      <c r="VO1372" s="167"/>
      <c r="VP1372" s="167"/>
      <c r="VQ1372" s="167"/>
      <c r="VR1372" s="167"/>
      <c r="VS1372" s="167"/>
      <c r="VT1372" s="167"/>
      <c r="VU1372" s="167"/>
      <c r="VV1372" s="167">
        <f t="shared" ref="VV1372:WA1372" si="3448">VV1374-VV1373-VV1371</f>
        <v>0</v>
      </c>
      <c r="VW1372" s="167">
        <f t="shared" si="3448"/>
        <v>0</v>
      </c>
      <c r="VX1372" s="167">
        <f t="shared" si="3448"/>
        <v>0</v>
      </c>
      <c r="VY1372" s="167">
        <f t="shared" si="3448"/>
        <v>0</v>
      </c>
      <c r="VZ1372" s="167">
        <f t="shared" si="3448"/>
        <v>0</v>
      </c>
      <c r="WA1372" s="167">
        <f t="shared" si="3448"/>
        <v>0</v>
      </c>
      <c r="WB1372" s="167"/>
      <c r="WC1372" s="167"/>
      <c r="WD1372" s="167"/>
      <c r="WE1372" s="167"/>
      <c r="WF1372" s="167"/>
      <c r="WG1372" s="167"/>
      <c r="WH1372" s="167"/>
      <c r="WI1372" s="167"/>
      <c r="WJ1372" s="167"/>
      <c r="WK1372" s="167"/>
      <c r="WL1372" s="167"/>
      <c r="WM1372" s="167"/>
      <c r="WN1372" s="167"/>
      <c r="WO1372" s="167"/>
      <c r="WP1372" s="167"/>
      <c r="WQ1372" s="167">
        <f t="shared" ref="WQ1372:WV1372" si="3449">WQ1374-WQ1373-WQ1371</f>
        <v>0</v>
      </c>
      <c r="WR1372" s="167">
        <f t="shared" si="3449"/>
        <v>0</v>
      </c>
      <c r="WS1372" s="167">
        <f t="shared" si="3449"/>
        <v>0</v>
      </c>
      <c r="WT1372" s="167">
        <f t="shared" si="3449"/>
        <v>0</v>
      </c>
      <c r="WU1372" s="167">
        <f t="shared" si="3449"/>
        <v>0</v>
      </c>
      <c r="WV1372" s="167">
        <f t="shared" si="3449"/>
        <v>0</v>
      </c>
      <c r="WW1372" s="167"/>
      <c r="WX1372" s="167"/>
      <c r="WY1372" s="167"/>
      <c r="WZ1372" s="167"/>
      <c r="XA1372" s="167"/>
      <c r="XB1372" s="167"/>
      <c r="XC1372" s="167"/>
      <c r="XD1372" s="167"/>
      <c r="XE1372" s="167"/>
      <c r="XF1372" s="167"/>
      <c r="XG1372" s="167"/>
      <c r="XH1372" s="167"/>
      <c r="XI1372" s="167"/>
      <c r="XJ1372" s="167"/>
      <c r="XK1372" s="167"/>
      <c r="XL1372" s="167">
        <f t="shared" ref="XL1372:XQ1372" si="3450">XL1374-XL1373-XL1371</f>
        <v>0</v>
      </c>
      <c r="XM1372" s="167">
        <f t="shared" si="3450"/>
        <v>0</v>
      </c>
      <c r="XN1372" s="167">
        <f t="shared" si="3450"/>
        <v>0</v>
      </c>
      <c r="XO1372" s="167">
        <f t="shared" si="3450"/>
        <v>0</v>
      </c>
      <c r="XP1372" s="167">
        <f t="shared" si="3450"/>
        <v>0</v>
      </c>
      <c r="XQ1372" s="167">
        <f t="shared" si="3450"/>
        <v>0</v>
      </c>
      <c r="XR1372" s="167"/>
      <c r="XS1372" s="167"/>
      <c r="XT1372" s="167"/>
      <c r="XU1372" s="167"/>
      <c r="XV1372" s="167"/>
      <c r="XW1372" s="167"/>
      <c r="XX1372" s="167"/>
      <c r="XY1372" s="167"/>
      <c r="XZ1372" s="167"/>
      <c r="YA1372" s="167"/>
      <c r="YB1372" s="167"/>
      <c r="YC1372" s="167"/>
      <c r="YD1372" s="167"/>
      <c r="YE1372" s="167"/>
      <c r="YF1372" s="167"/>
      <c r="YG1372" s="167">
        <f t="shared" ref="YG1372:YL1372" si="3451">YG1374-YG1373-YG1371</f>
        <v>0</v>
      </c>
      <c r="YH1372" s="167">
        <f t="shared" si="3451"/>
        <v>0</v>
      </c>
      <c r="YI1372" s="167">
        <f t="shared" si="3451"/>
        <v>0</v>
      </c>
      <c r="YJ1372" s="167">
        <f t="shared" si="3451"/>
        <v>0</v>
      </c>
      <c r="YK1372" s="167">
        <f t="shared" si="3451"/>
        <v>0</v>
      </c>
      <c r="YL1372" s="167">
        <f t="shared" si="3451"/>
        <v>0</v>
      </c>
      <c r="YM1372" s="167"/>
      <c r="YN1372" s="167"/>
      <c r="YO1372" s="167"/>
      <c r="YP1372" s="167"/>
      <c r="YQ1372" s="167"/>
      <c r="YR1372" s="167"/>
      <c r="YS1372" s="167"/>
      <c r="YT1372" s="167"/>
      <c r="YU1372" s="167"/>
      <c r="YV1372" s="167"/>
      <c r="YW1372" s="167"/>
      <c r="YX1372" s="167"/>
      <c r="YY1372" s="167"/>
      <c r="YZ1372" s="167"/>
      <c r="ZA1372" s="167"/>
      <c r="ZB1372" s="167">
        <f t="shared" ref="ZB1372:ZG1374" si="3452">AA1372+AV1372+BQ1372+CL1372+DG1372+EB1372+EW1372+FR1372+GM1372+HH1372+IC1372+IX1372+JS1372+KN1372+LI1372+MD1372+MY1372+NT1372+OO1372+PJ1372+QE1372+QZ1372+RU1372+SP1372+TK1372+UF1372+VA1372+VV1372+WQ1372+XL1372+YG1372</f>
        <v>-0.02</v>
      </c>
      <c r="ZC1372" s="167">
        <f t="shared" si="3452"/>
        <v>-0.02</v>
      </c>
      <c r="ZD1372" s="167">
        <f t="shared" si="3452"/>
        <v>0</v>
      </c>
      <c r="ZE1372" s="167">
        <f t="shared" si="3452"/>
        <v>0</v>
      </c>
      <c r="ZF1372" s="167">
        <f t="shared" si="3452"/>
        <v>0</v>
      </c>
      <c r="ZG1372" s="167">
        <f t="shared" si="3452"/>
        <v>0</v>
      </c>
    </row>
    <row r="1373" spans="1:684" ht="51.75" hidden="1" customHeight="1" x14ac:dyDescent="0.25">
      <c r="A1373" s="114" t="s">
        <v>713</v>
      </c>
      <c r="B1373" s="333"/>
      <c r="C1373" s="152" t="s">
        <v>719</v>
      </c>
      <c r="D1373" s="1279"/>
      <c r="E1373" s="1280"/>
      <c r="F1373" s="153"/>
      <c r="G1373" s="153"/>
      <c r="H1373" s="153"/>
      <c r="I1373" s="190"/>
      <c r="J1373" s="190"/>
      <c r="K1373" s="190"/>
      <c r="L1373" s="185" t="s">
        <v>699</v>
      </c>
      <c r="M1373" s="185" t="s">
        <v>699</v>
      </c>
      <c r="N1373" s="185" t="s">
        <v>699</v>
      </c>
      <c r="O1373" s="185" t="s">
        <v>699</v>
      </c>
      <c r="P1373" s="185" t="s">
        <v>699</v>
      </c>
      <c r="Q1373" s="185" t="s">
        <v>699</v>
      </c>
      <c r="R1373" s="185" t="s">
        <v>699</v>
      </c>
      <c r="S1373" s="185" t="s">
        <v>699</v>
      </c>
      <c r="T1373" s="185" t="s">
        <v>699</v>
      </c>
      <c r="U1373" s="185" t="s">
        <v>699</v>
      </c>
      <c r="V1373" s="185" t="s">
        <v>699</v>
      </c>
      <c r="W1373" s="185" t="s">
        <v>699</v>
      </c>
      <c r="X1373" s="185" t="s">
        <v>699</v>
      </c>
      <c r="Y1373" s="185" t="s">
        <v>699</v>
      </c>
      <c r="Z1373" s="185" t="s">
        <v>699</v>
      </c>
      <c r="AA1373" s="154"/>
      <c r="AB1373" s="154"/>
      <c r="AC1373" s="154"/>
      <c r="AD1373" s="154"/>
      <c r="AE1373" s="154"/>
      <c r="AF1373" s="154"/>
      <c r="AG1373" s="185" t="s">
        <v>699</v>
      </c>
      <c r="AH1373" s="185" t="s">
        <v>699</v>
      </c>
      <c r="AI1373" s="185" t="s">
        <v>699</v>
      </c>
      <c r="AJ1373" s="185" t="s">
        <v>699</v>
      </c>
      <c r="AK1373" s="185" t="s">
        <v>699</v>
      </c>
      <c r="AL1373" s="185" t="s">
        <v>699</v>
      </c>
      <c r="AM1373" s="185" t="s">
        <v>699</v>
      </c>
      <c r="AN1373" s="185" t="s">
        <v>699</v>
      </c>
      <c r="AO1373" s="185" t="s">
        <v>699</v>
      </c>
      <c r="AP1373" s="185" t="s">
        <v>699</v>
      </c>
      <c r="AQ1373" s="185" t="s">
        <v>699</v>
      </c>
      <c r="AR1373" s="185" t="s">
        <v>699</v>
      </c>
      <c r="AS1373" s="185" t="s">
        <v>699</v>
      </c>
      <c r="AT1373" s="185" t="s">
        <v>699</v>
      </c>
      <c r="AU1373" s="185" t="s">
        <v>699</v>
      </c>
      <c r="AV1373" s="154"/>
      <c r="AW1373" s="154"/>
      <c r="AX1373" s="154"/>
      <c r="AY1373" s="154"/>
      <c r="AZ1373" s="154"/>
      <c r="BA1373" s="154"/>
      <c r="BB1373" s="185" t="s">
        <v>699</v>
      </c>
      <c r="BC1373" s="185" t="s">
        <v>699</v>
      </c>
      <c r="BD1373" s="185" t="s">
        <v>699</v>
      </c>
      <c r="BE1373" s="185" t="s">
        <v>699</v>
      </c>
      <c r="BF1373" s="185" t="s">
        <v>699</v>
      </c>
      <c r="BG1373" s="185" t="s">
        <v>699</v>
      </c>
      <c r="BH1373" s="185" t="s">
        <v>699</v>
      </c>
      <c r="BI1373" s="185" t="s">
        <v>699</v>
      </c>
      <c r="BJ1373" s="185" t="s">
        <v>699</v>
      </c>
      <c r="BK1373" s="185" t="s">
        <v>699</v>
      </c>
      <c r="BL1373" s="185" t="s">
        <v>699</v>
      </c>
      <c r="BM1373" s="185" t="s">
        <v>699</v>
      </c>
      <c r="BN1373" s="185" t="s">
        <v>699</v>
      </c>
      <c r="BO1373" s="185" t="s">
        <v>699</v>
      </c>
      <c r="BP1373" s="185" t="s">
        <v>699</v>
      </c>
      <c r="BQ1373" s="154"/>
      <c r="BR1373" s="154"/>
      <c r="BS1373" s="154"/>
      <c r="BT1373" s="154"/>
      <c r="BU1373" s="154"/>
      <c r="BV1373" s="154"/>
      <c r="BW1373" s="185" t="s">
        <v>699</v>
      </c>
      <c r="BX1373" s="185" t="s">
        <v>699</v>
      </c>
      <c r="BY1373" s="185" t="s">
        <v>699</v>
      </c>
      <c r="BZ1373" s="185" t="s">
        <v>699</v>
      </c>
      <c r="CA1373" s="185" t="s">
        <v>699</v>
      </c>
      <c r="CB1373" s="185" t="s">
        <v>699</v>
      </c>
      <c r="CC1373" s="185" t="s">
        <v>699</v>
      </c>
      <c r="CD1373" s="185" t="s">
        <v>699</v>
      </c>
      <c r="CE1373" s="185" t="s">
        <v>699</v>
      </c>
      <c r="CF1373" s="185" t="s">
        <v>699</v>
      </c>
      <c r="CG1373" s="185" t="s">
        <v>699</v>
      </c>
      <c r="CH1373" s="185" t="s">
        <v>699</v>
      </c>
      <c r="CI1373" s="185" t="s">
        <v>699</v>
      </c>
      <c r="CJ1373" s="185" t="s">
        <v>699</v>
      </c>
      <c r="CK1373" s="185" t="s">
        <v>699</v>
      </c>
      <c r="CL1373" s="154"/>
      <c r="CM1373" s="154"/>
      <c r="CN1373" s="154"/>
      <c r="CO1373" s="154"/>
      <c r="CP1373" s="154"/>
      <c r="CQ1373" s="154"/>
      <c r="CR1373" s="185" t="s">
        <v>699</v>
      </c>
      <c r="CS1373" s="185" t="s">
        <v>699</v>
      </c>
      <c r="CT1373" s="185" t="s">
        <v>699</v>
      </c>
      <c r="CU1373" s="185" t="s">
        <v>699</v>
      </c>
      <c r="CV1373" s="185" t="s">
        <v>699</v>
      </c>
      <c r="CW1373" s="185" t="s">
        <v>699</v>
      </c>
      <c r="CX1373" s="185" t="s">
        <v>699</v>
      </c>
      <c r="CY1373" s="185" t="s">
        <v>699</v>
      </c>
      <c r="CZ1373" s="185" t="s">
        <v>699</v>
      </c>
      <c r="DA1373" s="185" t="s">
        <v>699</v>
      </c>
      <c r="DB1373" s="185" t="s">
        <v>699</v>
      </c>
      <c r="DC1373" s="185" t="s">
        <v>699</v>
      </c>
      <c r="DD1373" s="185" t="s">
        <v>699</v>
      </c>
      <c r="DE1373" s="185" t="s">
        <v>699</v>
      </c>
      <c r="DF1373" s="185" t="s">
        <v>699</v>
      </c>
      <c r="DG1373" s="154"/>
      <c r="DH1373" s="154"/>
      <c r="DI1373" s="154"/>
      <c r="DJ1373" s="154"/>
      <c r="DK1373" s="154"/>
      <c r="DL1373" s="154"/>
      <c r="DM1373" s="185" t="s">
        <v>699</v>
      </c>
      <c r="DN1373" s="185" t="s">
        <v>699</v>
      </c>
      <c r="DO1373" s="185" t="s">
        <v>699</v>
      </c>
      <c r="DP1373" s="185" t="s">
        <v>699</v>
      </c>
      <c r="DQ1373" s="185" t="s">
        <v>699</v>
      </c>
      <c r="DR1373" s="185" t="s">
        <v>699</v>
      </c>
      <c r="DS1373" s="185" t="s">
        <v>699</v>
      </c>
      <c r="DT1373" s="185" t="s">
        <v>699</v>
      </c>
      <c r="DU1373" s="185" t="s">
        <v>699</v>
      </c>
      <c r="DV1373" s="185" t="s">
        <v>699</v>
      </c>
      <c r="DW1373" s="185" t="s">
        <v>699</v>
      </c>
      <c r="DX1373" s="185" t="s">
        <v>699</v>
      </c>
      <c r="DY1373" s="185" t="s">
        <v>699</v>
      </c>
      <c r="DZ1373" s="185" t="s">
        <v>699</v>
      </c>
      <c r="EA1373" s="185" t="s">
        <v>699</v>
      </c>
      <c r="EB1373" s="154"/>
      <c r="EC1373" s="154"/>
      <c r="ED1373" s="154"/>
      <c r="EE1373" s="154"/>
      <c r="EF1373" s="154"/>
      <c r="EG1373" s="154"/>
      <c r="EH1373" s="185" t="s">
        <v>699</v>
      </c>
      <c r="EI1373" s="185" t="s">
        <v>699</v>
      </c>
      <c r="EJ1373" s="185" t="s">
        <v>699</v>
      </c>
      <c r="EK1373" s="185" t="s">
        <v>699</v>
      </c>
      <c r="EL1373" s="185" t="s">
        <v>699</v>
      </c>
      <c r="EM1373" s="185" t="s">
        <v>699</v>
      </c>
      <c r="EN1373" s="185" t="s">
        <v>699</v>
      </c>
      <c r="EO1373" s="185" t="s">
        <v>699</v>
      </c>
      <c r="EP1373" s="185" t="s">
        <v>699</v>
      </c>
      <c r="EQ1373" s="185" t="s">
        <v>699</v>
      </c>
      <c r="ER1373" s="185" t="s">
        <v>699</v>
      </c>
      <c r="ES1373" s="185" t="s">
        <v>699</v>
      </c>
      <c r="ET1373" s="185" t="s">
        <v>699</v>
      </c>
      <c r="EU1373" s="185" t="s">
        <v>699</v>
      </c>
      <c r="EV1373" s="185" t="s">
        <v>699</v>
      </c>
      <c r="EW1373" s="154"/>
      <c r="EX1373" s="154"/>
      <c r="EY1373" s="154"/>
      <c r="EZ1373" s="154"/>
      <c r="FA1373" s="154"/>
      <c r="FB1373" s="154"/>
      <c r="FC1373" s="185" t="s">
        <v>699</v>
      </c>
      <c r="FD1373" s="185" t="s">
        <v>699</v>
      </c>
      <c r="FE1373" s="185" t="s">
        <v>699</v>
      </c>
      <c r="FF1373" s="185" t="s">
        <v>699</v>
      </c>
      <c r="FG1373" s="185" t="s">
        <v>699</v>
      </c>
      <c r="FH1373" s="185" t="s">
        <v>699</v>
      </c>
      <c r="FI1373" s="185" t="s">
        <v>699</v>
      </c>
      <c r="FJ1373" s="185" t="s">
        <v>699</v>
      </c>
      <c r="FK1373" s="185" t="s">
        <v>699</v>
      </c>
      <c r="FL1373" s="185" t="s">
        <v>699</v>
      </c>
      <c r="FM1373" s="185" t="s">
        <v>699</v>
      </c>
      <c r="FN1373" s="185" t="s">
        <v>699</v>
      </c>
      <c r="FO1373" s="185" t="s">
        <v>699</v>
      </c>
      <c r="FP1373" s="185" t="s">
        <v>699</v>
      </c>
      <c r="FQ1373" s="185" t="s">
        <v>699</v>
      </c>
      <c r="FR1373" s="154"/>
      <c r="FS1373" s="154"/>
      <c r="FT1373" s="154"/>
      <c r="FU1373" s="154"/>
      <c r="FV1373" s="154"/>
      <c r="FW1373" s="154"/>
      <c r="FX1373" s="185" t="s">
        <v>699</v>
      </c>
      <c r="FY1373" s="185" t="s">
        <v>699</v>
      </c>
      <c r="FZ1373" s="185" t="s">
        <v>699</v>
      </c>
      <c r="GA1373" s="185" t="s">
        <v>699</v>
      </c>
      <c r="GB1373" s="185" t="s">
        <v>699</v>
      </c>
      <c r="GC1373" s="185" t="s">
        <v>699</v>
      </c>
      <c r="GD1373" s="185" t="s">
        <v>699</v>
      </c>
      <c r="GE1373" s="185" t="s">
        <v>699</v>
      </c>
      <c r="GF1373" s="185" t="s">
        <v>699</v>
      </c>
      <c r="GG1373" s="185" t="s">
        <v>699</v>
      </c>
      <c r="GH1373" s="185" t="s">
        <v>699</v>
      </c>
      <c r="GI1373" s="185" t="s">
        <v>699</v>
      </c>
      <c r="GJ1373" s="185" t="s">
        <v>699</v>
      </c>
      <c r="GK1373" s="185" t="s">
        <v>699</v>
      </c>
      <c r="GL1373" s="185" t="s">
        <v>699</v>
      </c>
      <c r="GM1373" s="154"/>
      <c r="GN1373" s="154"/>
      <c r="GO1373" s="154"/>
      <c r="GP1373" s="154"/>
      <c r="GQ1373" s="154"/>
      <c r="GR1373" s="154"/>
      <c r="GS1373" s="185" t="s">
        <v>699</v>
      </c>
      <c r="GT1373" s="185" t="s">
        <v>699</v>
      </c>
      <c r="GU1373" s="185" t="s">
        <v>699</v>
      </c>
      <c r="GV1373" s="185" t="s">
        <v>699</v>
      </c>
      <c r="GW1373" s="185" t="s">
        <v>699</v>
      </c>
      <c r="GX1373" s="185" t="s">
        <v>699</v>
      </c>
      <c r="GY1373" s="185" t="s">
        <v>699</v>
      </c>
      <c r="GZ1373" s="185" t="s">
        <v>699</v>
      </c>
      <c r="HA1373" s="185" t="s">
        <v>699</v>
      </c>
      <c r="HB1373" s="185" t="s">
        <v>699</v>
      </c>
      <c r="HC1373" s="185" t="s">
        <v>699</v>
      </c>
      <c r="HD1373" s="185" t="s">
        <v>699</v>
      </c>
      <c r="HE1373" s="185" t="s">
        <v>699</v>
      </c>
      <c r="HF1373" s="185" t="s">
        <v>699</v>
      </c>
      <c r="HG1373" s="185" t="s">
        <v>699</v>
      </c>
      <c r="HH1373" s="154"/>
      <c r="HI1373" s="154"/>
      <c r="HJ1373" s="154"/>
      <c r="HK1373" s="154"/>
      <c r="HL1373" s="154"/>
      <c r="HM1373" s="154"/>
      <c r="HN1373" s="185" t="s">
        <v>699</v>
      </c>
      <c r="HO1373" s="185" t="s">
        <v>699</v>
      </c>
      <c r="HP1373" s="185" t="s">
        <v>699</v>
      </c>
      <c r="HQ1373" s="185" t="s">
        <v>699</v>
      </c>
      <c r="HR1373" s="185" t="s">
        <v>699</v>
      </c>
      <c r="HS1373" s="185" t="s">
        <v>699</v>
      </c>
      <c r="HT1373" s="185" t="s">
        <v>699</v>
      </c>
      <c r="HU1373" s="185" t="s">
        <v>699</v>
      </c>
      <c r="HV1373" s="185" t="s">
        <v>699</v>
      </c>
      <c r="HW1373" s="185" t="s">
        <v>699</v>
      </c>
      <c r="HX1373" s="185" t="s">
        <v>699</v>
      </c>
      <c r="HY1373" s="185" t="s">
        <v>699</v>
      </c>
      <c r="HZ1373" s="185" t="s">
        <v>699</v>
      </c>
      <c r="IA1373" s="185" t="s">
        <v>699</v>
      </c>
      <c r="IB1373" s="185" t="s">
        <v>699</v>
      </c>
      <c r="IC1373" s="154"/>
      <c r="ID1373" s="154"/>
      <c r="IE1373" s="154"/>
      <c r="IF1373" s="154"/>
      <c r="IG1373" s="154"/>
      <c r="IH1373" s="154"/>
      <c r="II1373" s="185" t="s">
        <v>699</v>
      </c>
      <c r="IJ1373" s="185" t="s">
        <v>699</v>
      </c>
      <c r="IK1373" s="185" t="s">
        <v>699</v>
      </c>
      <c r="IL1373" s="185" t="s">
        <v>699</v>
      </c>
      <c r="IM1373" s="185" t="s">
        <v>699</v>
      </c>
      <c r="IN1373" s="185" t="s">
        <v>699</v>
      </c>
      <c r="IO1373" s="185" t="s">
        <v>699</v>
      </c>
      <c r="IP1373" s="185" t="s">
        <v>699</v>
      </c>
      <c r="IQ1373" s="185" t="s">
        <v>699</v>
      </c>
      <c r="IR1373" s="185" t="s">
        <v>699</v>
      </c>
      <c r="IS1373" s="185" t="s">
        <v>699</v>
      </c>
      <c r="IT1373" s="185" t="s">
        <v>699</v>
      </c>
      <c r="IU1373" s="185" t="s">
        <v>699</v>
      </c>
      <c r="IV1373" s="185" t="s">
        <v>699</v>
      </c>
      <c r="IW1373" s="185" t="s">
        <v>699</v>
      </c>
      <c r="IX1373" s="154"/>
      <c r="IY1373" s="154"/>
      <c r="IZ1373" s="154"/>
      <c r="JA1373" s="154"/>
      <c r="JB1373" s="154"/>
      <c r="JC1373" s="154"/>
      <c r="JD1373" s="185" t="s">
        <v>699</v>
      </c>
      <c r="JE1373" s="185" t="s">
        <v>699</v>
      </c>
      <c r="JF1373" s="185" t="s">
        <v>699</v>
      </c>
      <c r="JG1373" s="185" t="s">
        <v>699</v>
      </c>
      <c r="JH1373" s="185" t="s">
        <v>699</v>
      </c>
      <c r="JI1373" s="185" t="s">
        <v>699</v>
      </c>
      <c r="JJ1373" s="185" t="s">
        <v>699</v>
      </c>
      <c r="JK1373" s="185" t="s">
        <v>699</v>
      </c>
      <c r="JL1373" s="185" t="s">
        <v>699</v>
      </c>
      <c r="JM1373" s="185" t="s">
        <v>699</v>
      </c>
      <c r="JN1373" s="185" t="s">
        <v>699</v>
      </c>
      <c r="JO1373" s="185" t="s">
        <v>699</v>
      </c>
      <c r="JP1373" s="185" t="s">
        <v>699</v>
      </c>
      <c r="JQ1373" s="185" t="s">
        <v>699</v>
      </c>
      <c r="JR1373" s="185" t="s">
        <v>699</v>
      </c>
      <c r="JS1373" s="154"/>
      <c r="JT1373" s="154"/>
      <c r="JU1373" s="154"/>
      <c r="JV1373" s="154"/>
      <c r="JW1373" s="154"/>
      <c r="JX1373" s="154"/>
      <c r="JY1373" s="185" t="s">
        <v>699</v>
      </c>
      <c r="JZ1373" s="185" t="s">
        <v>699</v>
      </c>
      <c r="KA1373" s="185" t="s">
        <v>699</v>
      </c>
      <c r="KB1373" s="185" t="s">
        <v>699</v>
      </c>
      <c r="KC1373" s="185" t="s">
        <v>699</v>
      </c>
      <c r="KD1373" s="185" t="s">
        <v>699</v>
      </c>
      <c r="KE1373" s="185" t="s">
        <v>699</v>
      </c>
      <c r="KF1373" s="185" t="s">
        <v>699</v>
      </c>
      <c r="KG1373" s="185" t="s">
        <v>699</v>
      </c>
      <c r="KH1373" s="185" t="s">
        <v>699</v>
      </c>
      <c r="KI1373" s="185" t="s">
        <v>699</v>
      </c>
      <c r="KJ1373" s="185" t="s">
        <v>699</v>
      </c>
      <c r="KK1373" s="185" t="s">
        <v>699</v>
      </c>
      <c r="KL1373" s="185" t="s">
        <v>699</v>
      </c>
      <c r="KM1373" s="185" t="s">
        <v>699</v>
      </c>
      <c r="KN1373" s="154"/>
      <c r="KO1373" s="154"/>
      <c r="KP1373" s="154"/>
      <c r="KQ1373" s="154"/>
      <c r="KR1373" s="154"/>
      <c r="KS1373" s="154"/>
      <c r="KT1373" s="185" t="s">
        <v>699</v>
      </c>
      <c r="KU1373" s="185" t="s">
        <v>699</v>
      </c>
      <c r="KV1373" s="185" t="s">
        <v>699</v>
      </c>
      <c r="KW1373" s="185" t="s">
        <v>699</v>
      </c>
      <c r="KX1373" s="185" t="s">
        <v>699</v>
      </c>
      <c r="KY1373" s="185" t="s">
        <v>699</v>
      </c>
      <c r="KZ1373" s="185" t="s">
        <v>699</v>
      </c>
      <c r="LA1373" s="185" t="s">
        <v>699</v>
      </c>
      <c r="LB1373" s="185" t="s">
        <v>699</v>
      </c>
      <c r="LC1373" s="185" t="s">
        <v>699</v>
      </c>
      <c r="LD1373" s="185" t="s">
        <v>699</v>
      </c>
      <c r="LE1373" s="185" t="s">
        <v>699</v>
      </c>
      <c r="LF1373" s="185" t="s">
        <v>699</v>
      </c>
      <c r="LG1373" s="185" t="s">
        <v>699</v>
      </c>
      <c r="LH1373" s="185" t="s">
        <v>699</v>
      </c>
      <c r="LI1373" s="154"/>
      <c r="LJ1373" s="154"/>
      <c r="LK1373" s="154"/>
      <c r="LL1373" s="154"/>
      <c r="LM1373" s="154"/>
      <c r="LN1373" s="154"/>
      <c r="LO1373" s="185" t="s">
        <v>699</v>
      </c>
      <c r="LP1373" s="185" t="s">
        <v>699</v>
      </c>
      <c r="LQ1373" s="185" t="s">
        <v>699</v>
      </c>
      <c r="LR1373" s="185" t="s">
        <v>699</v>
      </c>
      <c r="LS1373" s="185" t="s">
        <v>699</v>
      </c>
      <c r="LT1373" s="185" t="s">
        <v>699</v>
      </c>
      <c r="LU1373" s="185" t="s">
        <v>699</v>
      </c>
      <c r="LV1373" s="185" t="s">
        <v>699</v>
      </c>
      <c r="LW1373" s="185" t="s">
        <v>699</v>
      </c>
      <c r="LX1373" s="185" t="s">
        <v>699</v>
      </c>
      <c r="LY1373" s="185" t="s">
        <v>699</v>
      </c>
      <c r="LZ1373" s="185" t="s">
        <v>699</v>
      </c>
      <c r="MA1373" s="185" t="s">
        <v>699</v>
      </c>
      <c r="MB1373" s="185" t="s">
        <v>699</v>
      </c>
      <c r="MC1373" s="185" t="s">
        <v>699</v>
      </c>
      <c r="MD1373" s="154"/>
      <c r="ME1373" s="154"/>
      <c r="MF1373" s="154"/>
      <c r="MG1373" s="154"/>
      <c r="MH1373" s="154"/>
      <c r="MI1373" s="154"/>
      <c r="MJ1373" s="185" t="s">
        <v>699</v>
      </c>
      <c r="MK1373" s="185" t="s">
        <v>699</v>
      </c>
      <c r="ML1373" s="185" t="s">
        <v>699</v>
      </c>
      <c r="MM1373" s="185" t="s">
        <v>699</v>
      </c>
      <c r="MN1373" s="185" t="s">
        <v>699</v>
      </c>
      <c r="MO1373" s="185" t="s">
        <v>699</v>
      </c>
      <c r="MP1373" s="185" t="s">
        <v>699</v>
      </c>
      <c r="MQ1373" s="185" t="s">
        <v>699</v>
      </c>
      <c r="MR1373" s="185" t="s">
        <v>699</v>
      </c>
      <c r="MS1373" s="185" t="s">
        <v>699</v>
      </c>
      <c r="MT1373" s="185" t="s">
        <v>699</v>
      </c>
      <c r="MU1373" s="185" t="s">
        <v>699</v>
      </c>
      <c r="MV1373" s="185" t="s">
        <v>699</v>
      </c>
      <c r="MW1373" s="185" t="s">
        <v>699</v>
      </c>
      <c r="MX1373" s="185" t="s">
        <v>699</v>
      </c>
      <c r="MY1373" s="154"/>
      <c r="MZ1373" s="154"/>
      <c r="NA1373" s="154"/>
      <c r="NB1373" s="154"/>
      <c r="NC1373" s="154"/>
      <c r="ND1373" s="154"/>
      <c r="NE1373" s="185" t="s">
        <v>699</v>
      </c>
      <c r="NF1373" s="185" t="s">
        <v>699</v>
      </c>
      <c r="NG1373" s="185" t="s">
        <v>699</v>
      </c>
      <c r="NH1373" s="185" t="s">
        <v>699</v>
      </c>
      <c r="NI1373" s="185" t="s">
        <v>699</v>
      </c>
      <c r="NJ1373" s="185" t="s">
        <v>699</v>
      </c>
      <c r="NK1373" s="185" t="s">
        <v>699</v>
      </c>
      <c r="NL1373" s="185" t="s">
        <v>699</v>
      </c>
      <c r="NM1373" s="185" t="s">
        <v>699</v>
      </c>
      <c r="NN1373" s="185" t="s">
        <v>699</v>
      </c>
      <c r="NO1373" s="185" t="s">
        <v>699</v>
      </c>
      <c r="NP1373" s="185" t="s">
        <v>699</v>
      </c>
      <c r="NQ1373" s="185" t="s">
        <v>699</v>
      </c>
      <c r="NR1373" s="185" t="s">
        <v>699</v>
      </c>
      <c r="NS1373" s="185" t="s">
        <v>699</v>
      </c>
      <c r="NT1373" s="154"/>
      <c r="NU1373" s="154"/>
      <c r="NV1373" s="154"/>
      <c r="NW1373" s="154"/>
      <c r="NX1373" s="154"/>
      <c r="NY1373" s="154"/>
      <c r="NZ1373" s="185" t="s">
        <v>699</v>
      </c>
      <c r="OA1373" s="185" t="s">
        <v>699</v>
      </c>
      <c r="OB1373" s="185" t="s">
        <v>699</v>
      </c>
      <c r="OC1373" s="185" t="s">
        <v>699</v>
      </c>
      <c r="OD1373" s="185" t="s">
        <v>699</v>
      </c>
      <c r="OE1373" s="185" t="s">
        <v>699</v>
      </c>
      <c r="OF1373" s="185" t="s">
        <v>699</v>
      </c>
      <c r="OG1373" s="185" t="s">
        <v>699</v>
      </c>
      <c r="OH1373" s="185" t="s">
        <v>699</v>
      </c>
      <c r="OI1373" s="185" t="s">
        <v>699</v>
      </c>
      <c r="OJ1373" s="185" t="s">
        <v>699</v>
      </c>
      <c r="OK1373" s="185" t="s">
        <v>699</v>
      </c>
      <c r="OL1373" s="185" t="s">
        <v>699</v>
      </c>
      <c r="OM1373" s="185" t="s">
        <v>699</v>
      </c>
      <c r="ON1373" s="185" t="s">
        <v>699</v>
      </c>
      <c r="OO1373" s="154"/>
      <c r="OP1373" s="154"/>
      <c r="OQ1373" s="154"/>
      <c r="OR1373" s="154"/>
      <c r="OS1373" s="154"/>
      <c r="OT1373" s="154"/>
      <c r="OU1373" s="185" t="s">
        <v>699</v>
      </c>
      <c r="OV1373" s="185" t="s">
        <v>699</v>
      </c>
      <c r="OW1373" s="185" t="s">
        <v>699</v>
      </c>
      <c r="OX1373" s="185" t="s">
        <v>699</v>
      </c>
      <c r="OY1373" s="185" t="s">
        <v>699</v>
      </c>
      <c r="OZ1373" s="185" t="s">
        <v>699</v>
      </c>
      <c r="PA1373" s="185" t="s">
        <v>699</v>
      </c>
      <c r="PB1373" s="185" t="s">
        <v>699</v>
      </c>
      <c r="PC1373" s="185" t="s">
        <v>699</v>
      </c>
      <c r="PD1373" s="185" t="s">
        <v>699</v>
      </c>
      <c r="PE1373" s="185" t="s">
        <v>699</v>
      </c>
      <c r="PF1373" s="185" t="s">
        <v>699</v>
      </c>
      <c r="PG1373" s="185" t="s">
        <v>699</v>
      </c>
      <c r="PH1373" s="185" t="s">
        <v>699</v>
      </c>
      <c r="PI1373" s="185" t="s">
        <v>699</v>
      </c>
      <c r="PJ1373" s="154"/>
      <c r="PK1373" s="154"/>
      <c r="PL1373" s="154"/>
      <c r="PM1373" s="154"/>
      <c r="PN1373" s="154"/>
      <c r="PO1373" s="154"/>
      <c r="PP1373" s="185" t="s">
        <v>699</v>
      </c>
      <c r="PQ1373" s="185" t="s">
        <v>699</v>
      </c>
      <c r="PR1373" s="185" t="s">
        <v>699</v>
      </c>
      <c r="PS1373" s="185" t="s">
        <v>699</v>
      </c>
      <c r="PT1373" s="185" t="s">
        <v>699</v>
      </c>
      <c r="PU1373" s="185" t="s">
        <v>699</v>
      </c>
      <c r="PV1373" s="185" t="s">
        <v>699</v>
      </c>
      <c r="PW1373" s="185" t="s">
        <v>699</v>
      </c>
      <c r="PX1373" s="185" t="s">
        <v>699</v>
      </c>
      <c r="PY1373" s="185" t="s">
        <v>699</v>
      </c>
      <c r="PZ1373" s="185" t="s">
        <v>699</v>
      </c>
      <c r="QA1373" s="185" t="s">
        <v>699</v>
      </c>
      <c r="QB1373" s="185" t="s">
        <v>699</v>
      </c>
      <c r="QC1373" s="185" t="s">
        <v>699</v>
      </c>
      <c r="QD1373" s="185" t="s">
        <v>699</v>
      </c>
      <c r="QE1373" s="154"/>
      <c r="QF1373" s="154"/>
      <c r="QG1373" s="154"/>
      <c r="QH1373" s="154"/>
      <c r="QI1373" s="154"/>
      <c r="QJ1373" s="154"/>
      <c r="QK1373" s="185" t="s">
        <v>699</v>
      </c>
      <c r="QL1373" s="185" t="s">
        <v>699</v>
      </c>
      <c r="QM1373" s="185" t="s">
        <v>699</v>
      </c>
      <c r="QN1373" s="185" t="s">
        <v>699</v>
      </c>
      <c r="QO1373" s="185" t="s">
        <v>699</v>
      </c>
      <c r="QP1373" s="185" t="s">
        <v>699</v>
      </c>
      <c r="QQ1373" s="185" t="s">
        <v>699</v>
      </c>
      <c r="QR1373" s="185" t="s">
        <v>699</v>
      </c>
      <c r="QS1373" s="185" t="s">
        <v>699</v>
      </c>
      <c r="QT1373" s="185" t="s">
        <v>699</v>
      </c>
      <c r="QU1373" s="185" t="s">
        <v>699</v>
      </c>
      <c r="QV1373" s="185" t="s">
        <v>699</v>
      </c>
      <c r="QW1373" s="185" t="s">
        <v>699</v>
      </c>
      <c r="QX1373" s="185" t="s">
        <v>699</v>
      </c>
      <c r="QY1373" s="185" t="s">
        <v>699</v>
      </c>
      <c r="QZ1373" s="154"/>
      <c r="RA1373" s="154"/>
      <c r="RB1373" s="154"/>
      <c r="RC1373" s="154"/>
      <c r="RD1373" s="154"/>
      <c r="RE1373" s="154"/>
      <c r="RF1373" s="185" t="s">
        <v>699</v>
      </c>
      <c r="RG1373" s="185" t="s">
        <v>699</v>
      </c>
      <c r="RH1373" s="185" t="s">
        <v>699</v>
      </c>
      <c r="RI1373" s="185" t="s">
        <v>699</v>
      </c>
      <c r="RJ1373" s="185" t="s">
        <v>699</v>
      </c>
      <c r="RK1373" s="185" t="s">
        <v>699</v>
      </c>
      <c r="RL1373" s="185" t="s">
        <v>699</v>
      </c>
      <c r="RM1373" s="185" t="s">
        <v>699</v>
      </c>
      <c r="RN1373" s="185" t="s">
        <v>699</v>
      </c>
      <c r="RO1373" s="185" t="s">
        <v>699</v>
      </c>
      <c r="RP1373" s="185" t="s">
        <v>699</v>
      </c>
      <c r="RQ1373" s="185" t="s">
        <v>699</v>
      </c>
      <c r="RR1373" s="185" t="s">
        <v>699</v>
      </c>
      <c r="RS1373" s="185" t="s">
        <v>699</v>
      </c>
      <c r="RT1373" s="185" t="s">
        <v>699</v>
      </c>
      <c r="RU1373" s="154"/>
      <c r="RV1373" s="154"/>
      <c r="RW1373" s="154"/>
      <c r="RX1373" s="154"/>
      <c r="RY1373" s="154"/>
      <c r="RZ1373" s="154"/>
      <c r="SA1373" s="185" t="s">
        <v>699</v>
      </c>
      <c r="SB1373" s="185" t="s">
        <v>699</v>
      </c>
      <c r="SC1373" s="185" t="s">
        <v>699</v>
      </c>
      <c r="SD1373" s="185" t="s">
        <v>699</v>
      </c>
      <c r="SE1373" s="185" t="s">
        <v>699</v>
      </c>
      <c r="SF1373" s="185" t="s">
        <v>699</v>
      </c>
      <c r="SG1373" s="185" t="s">
        <v>699</v>
      </c>
      <c r="SH1373" s="185" t="s">
        <v>699</v>
      </c>
      <c r="SI1373" s="185" t="s">
        <v>699</v>
      </c>
      <c r="SJ1373" s="185" t="s">
        <v>699</v>
      </c>
      <c r="SK1373" s="185" t="s">
        <v>699</v>
      </c>
      <c r="SL1373" s="185" t="s">
        <v>699</v>
      </c>
      <c r="SM1373" s="185" t="s">
        <v>699</v>
      </c>
      <c r="SN1373" s="185" t="s">
        <v>699</v>
      </c>
      <c r="SO1373" s="185" t="s">
        <v>699</v>
      </c>
      <c r="SP1373" s="154"/>
      <c r="SQ1373" s="154"/>
      <c r="SR1373" s="154"/>
      <c r="SS1373" s="154"/>
      <c r="ST1373" s="154"/>
      <c r="SU1373" s="154"/>
      <c r="SV1373" s="185" t="s">
        <v>699</v>
      </c>
      <c r="SW1373" s="185" t="s">
        <v>699</v>
      </c>
      <c r="SX1373" s="185" t="s">
        <v>699</v>
      </c>
      <c r="SY1373" s="185" t="s">
        <v>699</v>
      </c>
      <c r="SZ1373" s="185" t="s">
        <v>699</v>
      </c>
      <c r="TA1373" s="185" t="s">
        <v>699</v>
      </c>
      <c r="TB1373" s="185" t="s">
        <v>699</v>
      </c>
      <c r="TC1373" s="185" t="s">
        <v>699</v>
      </c>
      <c r="TD1373" s="185" t="s">
        <v>699</v>
      </c>
      <c r="TE1373" s="185" t="s">
        <v>699</v>
      </c>
      <c r="TF1373" s="185" t="s">
        <v>699</v>
      </c>
      <c r="TG1373" s="185" t="s">
        <v>699</v>
      </c>
      <c r="TH1373" s="185" t="s">
        <v>699</v>
      </c>
      <c r="TI1373" s="185" t="s">
        <v>699</v>
      </c>
      <c r="TJ1373" s="185" t="s">
        <v>699</v>
      </c>
      <c r="TK1373" s="154"/>
      <c r="TL1373" s="154"/>
      <c r="TM1373" s="154"/>
      <c r="TN1373" s="154"/>
      <c r="TO1373" s="154"/>
      <c r="TP1373" s="154"/>
      <c r="TQ1373" s="185" t="s">
        <v>699</v>
      </c>
      <c r="TR1373" s="185" t="s">
        <v>699</v>
      </c>
      <c r="TS1373" s="185" t="s">
        <v>699</v>
      </c>
      <c r="TT1373" s="185" t="s">
        <v>699</v>
      </c>
      <c r="TU1373" s="185" t="s">
        <v>699</v>
      </c>
      <c r="TV1373" s="185" t="s">
        <v>699</v>
      </c>
      <c r="TW1373" s="185" t="s">
        <v>699</v>
      </c>
      <c r="TX1373" s="185" t="s">
        <v>699</v>
      </c>
      <c r="TY1373" s="185" t="s">
        <v>699</v>
      </c>
      <c r="TZ1373" s="185" t="s">
        <v>699</v>
      </c>
      <c r="UA1373" s="185" t="s">
        <v>699</v>
      </c>
      <c r="UB1373" s="185" t="s">
        <v>699</v>
      </c>
      <c r="UC1373" s="185" t="s">
        <v>699</v>
      </c>
      <c r="UD1373" s="185" t="s">
        <v>699</v>
      </c>
      <c r="UE1373" s="185" t="s">
        <v>699</v>
      </c>
      <c r="UF1373" s="154"/>
      <c r="UG1373" s="154"/>
      <c r="UH1373" s="154"/>
      <c r="UI1373" s="154"/>
      <c r="UJ1373" s="154"/>
      <c r="UK1373" s="154"/>
      <c r="UL1373" s="185" t="s">
        <v>699</v>
      </c>
      <c r="UM1373" s="185" t="s">
        <v>699</v>
      </c>
      <c r="UN1373" s="185" t="s">
        <v>699</v>
      </c>
      <c r="UO1373" s="185" t="s">
        <v>699</v>
      </c>
      <c r="UP1373" s="185" t="s">
        <v>699</v>
      </c>
      <c r="UQ1373" s="185" t="s">
        <v>699</v>
      </c>
      <c r="UR1373" s="185" t="s">
        <v>699</v>
      </c>
      <c r="US1373" s="185" t="s">
        <v>699</v>
      </c>
      <c r="UT1373" s="185" t="s">
        <v>699</v>
      </c>
      <c r="UU1373" s="185" t="s">
        <v>699</v>
      </c>
      <c r="UV1373" s="185" t="s">
        <v>699</v>
      </c>
      <c r="UW1373" s="185" t="s">
        <v>699</v>
      </c>
      <c r="UX1373" s="185" t="s">
        <v>699</v>
      </c>
      <c r="UY1373" s="185" t="s">
        <v>699</v>
      </c>
      <c r="UZ1373" s="185" t="s">
        <v>699</v>
      </c>
      <c r="VA1373" s="154"/>
      <c r="VB1373" s="154"/>
      <c r="VC1373" s="154"/>
      <c r="VD1373" s="154"/>
      <c r="VE1373" s="154"/>
      <c r="VF1373" s="154"/>
      <c r="VG1373" s="185" t="s">
        <v>699</v>
      </c>
      <c r="VH1373" s="185" t="s">
        <v>699</v>
      </c>
      <c r="VI1373" s="185" t="s">
        <v>699</v>
      </c>
      <c r="VJ1373" s="185" t="s">
        <v>699</v>
      </c>
      <c r="VK1373" s="185" t="s">
        <v>699</v>
      </c>
      <c r="VL1373" s="185" t="s">
        <v>699</v>
      </c>
      <c r="VM1373" s="185" t="s">
        <v>699</v>
      </c>
      <c r="VN1373" s="185" t="s">
        <v>699</v>
      </c>
      <c r="VO1373" s="185" t="s">
        <v>699</v>
      </c>
      <c r="VP1373" s="185" t="s">
        <v>699</v>
      </c>
      <c r="VQ1373" s="185" t="s">
        <v>699</v>
      </c>
      <c r="VR1373" s="185" t="s">
        <v>699</v>
      </c>
      <c r="VS1373" s="185" t="s">
        <v>699</v>
      </c>
      <c r="VT1373" s="185" t="s">
        <v>699</v>
      </c>
      <c r="VU1373" s="185" t="s">
        <v>699</v>
      </c>
      <c r="VV1373" s="154"/>
      <c r="VW1373" s="154"/>
      <c r="VX1373" s="154"/>
      <c r="VY1373" s="154"/>
      <c r="VZ1373" s="154"/>
      <c r="WA1373" s="154"/>
      <c r="WB1373" s="185" t="s">
        <v>699</v>
      </c>
      <c r="WC1373" s="185" t="s">
        <v>699</v>
      </c>
      <c r="WD1373" s="185" t="s">
        <v>699</v>
      </c>
      <c r="WE1373" s="185" t="s">
        <v>699</v>
      </c>
      <c r="WF1373" s="185" t="s">
        <v>699</v>
      </c>
      <c r="WG1373" s="185" t="s">
        <v>699</v>
      </c>
      <c r="WH1373" s="185" t="s">
        <v>699</v>
      </c>
      <c r="WI1373" s="185" t="s">
        <v>699</v>
      </c>
      <c r="WJ1373" s="185" t="s">
        <v>699</v>
      </c>
      <c r="WK1373" s="185" t="s">
        <v>699</v>
      </c>
      <c r="WL1373" s="185" t="s">
        <v>699</v>
      </c>
      <c r="WM1373" s="185" t="s">
        <v>699</v>
      </c>
      <c r="WN1373" s="185" t="s">
        <v>699</v>
      </c>
      <c r="WO1373" s="185" t="s">
        <v>699</v>
      </c>
      <c r="WP1373" s="185" t="s">
        <v>699</v>
      </c>
      <c r="WQ1373" s="154"/>
      <c r="WR1373" s="154"/>
      <c r="WS1373" s="154"/>
      <c r="WT1373" s="154"/>
      <c r="WU1373" s="154"/>
      <c r="WV1373" s="154"/>
      <c r="WW1373" s="185" t="s">
        <v>699</v>
      </c>
      <c r="WX1373" s="185" t="s">
        <v>699</v>
      </c>
      <c r="WY1373" s="185" t="s">
        <v>699</v>
      </c>
      <c r="WZ1373" s="185" t="s">
        <v>699</v>
      </c>
      <c r="XA1373" s="185" t="s">
        <v>699</v>
      </c>
      <c r="XB1373" s="185" t="s">
        <v>699</v>
      </c>
      <c r="XC1373" s="185" t="s">
        <v>699</v>
      </c>
      <c r="XD1373" s="185" t="s">
        <v>699</v>
      </c>
      <c r="XE1373" s="185" t="s">
        <v>699</v>
      </c>
      <c r="XF1373" s="185" t="s">
        <v>699</v>
      </c>
      <c r="XG1373" s="185" t="s">
        <v>699</v>
      </c>
      <c r="XH1373" s="185" t="s">
        <v>699</v>
      </c>
      <c r="XI1373" s="185" t="s">
        <v>699</v>
      </c>
      <c r="XJ1373" s="185" t="s">
        <v>699</v>
      </c>
      <c r="XK1373" s="185" t="s">
        <v>699</v>
      </c>
      <c r="XL1373" s="154"/>
      <c r="XM1373" s="154"/>
      <c r="XN1373" s="154"/>
      <c r="XO1373" s="154"/>
      <c r="XP1373" s="154"/>
      <c r="XQ1373" s="154"/>
      <c r="XR1373" s="185" t="s">
        <v>699</v>
      </c>
      <c r="XS1373" s="185" t="s">
        <v>699</v>
      </c>
      <c r="XT1373" s="185" t="s">
        <v>699</v>
      </c>
      <c r="XU1373" s="185" t="s">
        <v>699</v>
      </c>
      <c r="XV1373" s="185" t="s">
        <v>699</v>
      </c>
      <c r="XW1373" s="185" t="s">
        <v>699</v>
      </c>
      <c r="XX1373" s="185" t="s">
        <v>699</v>
      </c>
      <c r="XY1373" s="185" t="s">
        <v>699</v>
      </c>
      <c r="XZ1373" s="185" t="s">
        <v>699</v>
      </c>
      <c r="YA1373" s="185" t="s">
        <v>699</v>
      </c>
      <c r="YB1373" s="185" t="s">
        <v>699</v>
      </c>
      <c r="YC1373" s="185" t="s">
        <v>699</v>
      </c>
      <c r="YD1373" s="185" t="s">
        <v>699</v>
      </c>
      <c r="YE1373" s="185" t="s">
        <v>699</v>
      </c>
      <c r="YF1373" s="185" t="s">
        <v>699</v>
      </c>
      <c r="YG1373" s="154"/>
      <c r="YH1373" s="154"/>
      <c r="YI1373" s="154"/>
      <c r="YJ1373" s="154"/>
      <c r="YK1373" s="154"/>
      <c r="YL1373" s="154"/>
      <c r="YM1373" s="185" t="s">
        <v>699</v>
      </c>
      <c r="YN1373" s="185" t="s">
        <v>699</v>
      </c>
      <c r="YO1373" s="185" t="s">
        <v>699</v>
      </c>
      <c r="YP1373" s="185" t="s">
        <v>699</v>
      </c>
      <c r="YQ1373" s="185" t="s">
        <v>699</v>
      </c>
      <c r="YR1373" s="185" t="s">
        <v>699</v>
      </c>
      <c r="YS1373" s="185" t="s">
        <v>699</v>
      </c>
      <c r="YT1373" s="185" t="s">
        <v>699</v>
      </c>
      <c r="YU1373" s="185" t="s">
        <v>699</v>
      </c>
      <c r="YV1373" s="185" t="s">
        <v>699</v>
      </c>
      <c r="YW1373" s="185" t="s">
        <v>699</v>
      </c>
      <c r="YX1373" s="185" t="s">
        <v>699</v>
      </c>
      <c r="YY1373" s="185" t="s">
        <v>699</v>
      </c>
      <c r="YZ1373" s="185" t="s">
        <v>699</v>
      </c>
      <c r="ZA1373" s="185" t="s">
        <v>699</v>
      </c>
      <c r="ZB1373" s="191">
        <f t="shared" si="3452"/>
        <v>0</v>
      </c>
      <c r="ZC1373" s="191">
        <f t="shared" si="3452"/>
        <v>0</v>
      </c>
      <c r="ZD1373" s="191">
        <f t="shared" si="3452"/>
        <v>0</v>
      </c>
      <c r="ZE1373" s="191">
        <f t="shared" si="3452"/>
        <v>0</v>
      </c>
      <c r="ZF1373" s="191">
        <f t="shared" si="3452"/>
        <v>0</v>
      </c>
      <c r="ZG1373" s="191">
        <f t="shared" si="3452"/>
        <v>0</v>
      </c>
    </row>
    <row r="1374" spans="1:684" s="428" customFormat="1" ht="36.75" customHeight="1" x14ac:dyDescent="0.25">
      <c r="A1374" s="434" t="s">
        <v>983</v>
      </c>
      <c r="B1374" s="429"/>
      <c r="C1374" s="430" t="s">
        <v>720</v>
      </c>
      <c r="D1374" s="1283"/>
      <c r="E1374" s="1284"/>
      <c r="F1374" s="431"/>
      <c r="G1374" s="431"/>
      <c r="H1374" s="431"/>
      <c r="I1374" s="432"/>
      <c r="J1374" s="432"/>
      <c r="K1374" s="432"/>
      <c r="L1374" s="433" t="s">
        <v>699</v>
      </c>
      <c r="M1374" s="433" t="s">
        <v>699</v>
      </c>
      <c r="N1374" s="433" t="s">
        <v>699</v>
      </c>
      <c r="O1374" s="433" t="s">
        <v>699</v>
      </c>
      <c r="P1374" s="433" t="s">
        <v>699</v>
      </c>
      <c r="Q1374" s="433" t="s">
        <v>699</v>
      </c>
      <c r="R1374" s="433" t="s">
        <v>699</v>
      </c>
      <c r="S1374" s="433" t="s">
        <v>699</v>
      </c>
      <c r="T1374" s="433" t="s">
        <v>699</v>
      </c>
      <c r="U1374" s="433" t="s">
        <v>699</v>
      </c>
      <c r="V1374" s="433" t="s">
        <v>699</v>
      </c>
      <c r="W1374" s="433" t="s">
        <v>699</v>
      </c>
      <c r="X1374" s="433" t="s">
        <v>699</v>
      </c>
      <c r="Y1374" s="433" t="s">
        <v>699</v>
      </c>
      <c r="Z1374" s="433" t="s">
        <v>699</v>
      </c>
      <c r="AA1374" s="154">
        <v>145000</v>
      </c>
      <c r="AB1374" s="154">
        <v>152500</v>
      </c>
      <c r="AC1374" s="154">
        <v>156200</v>
      </c>
      <c r="AD1374" s="154"/>
      <c r="AE1374" s="154"/>
      <c r="AF1374" s="154"/>
      <c r="AG1374" s="433" t="s">
        <v>699</v>
      </c>
      <c r="AH1374" s="433" t="s">
        <v>699</v>
      </c>
      <c r="AI1374" s="433" t="s">
        <v>699</v>
      </c>
      <c r="AJ1374" s="433" t="s">
        <v>699</v>
      </c>
      <c r="AK1374" s="433" t="s">
        <v>699</v>
      </c>
      <c r="AL1374" s="433" t="s">
        <v>699</v>
      </c>
      <c r="AM1374" s="433" t="s">
        <v>699</v>
      </c>
      <c r="AN1374" s="433" t="s">
        <v>699</v>
      </c>
      <c r="AO1374" s="433" t="s">
        <v>699</v>
      </c>
      <c r="AP1374" s="433" t="s">
        <v>699</v>
      </c>
      <c r="AQ1374" s="433" t="s">
        <v>699</v>
      </c>
      <c r="AR1374" s="433" t="s">
        <v>699</v>
      </c>
      <c r="AS1374" s="433" t="s">
        <v>699</v>
      </c>
      <c r="AT1374" s="433" t="s">
        <v>699</v>
      </c>
      <c r="AU1374" s="433" t="s">
        <v>699</v>
      </c>
      <c r="AV1374" s="154">
        <v>155100</v>
      </c>
      <c r="AW1374" s="154">
        <v>163400</v>
      </c>
      <c r="AX1374" s="154">
        <v>167500</v>
      </c>
      <c r="AY1374" s="154"/>
      <c r="AZ1374" s="154"/>
      <c r="BA1374" s="154"/>
      <c r="BB1374" s="433" t="s">
        <v>699</v>
      </c>
      <c r="BC1374" s="433" t="s">
        <v>699</v>
      </c>
      <c r="BD1374" s="433" t="s">
        <v>699</v>
      </c>
      <c r="BE1374" s="433" t="s">
        <v>699</v>
      </c>
      <c r="BF1374" s="433" t="s">
        <v>699</v>
      </c>
      <c r="BG1374" s="433" t="s">
        <v>699</v>
      </c>
      <c r="BH1374" s="433" t="s">
        <v>699</v>
      </c>
      <c r="BI1374" s="433" t="s">
        <v>699</v>
      </c>
      <c r="BJ1374" s="433" t="s">
        <v>699</v>
      </c>
      <c r="BK1374" s="433" t="s">
        <v>699</v>
      </c>
      <c r="BL1374" s="433" t="s">
        <v>699</v>
      </c>
      <c r="BM1374" s="433" t="s">
        <v>699</v>
      </c>
      <c r="BN1374" s="433" t="s">
        <v>699</v>
      </c>
      <c r="BO1374" s="433" t="s">
        <v>699</v>
      </c>
      <c r="BP1374" s="433" t="s">
        <v>699</v>
      </c>
      <c r="BQ1374" s="154">
        <v>207200</v>
      </c>
      <c r="BR1374" s="154">
        <v>217800</v>
      </c>
      <c r="BS1374" s="154">
        <v>223000</v>
      </c>
      <c r="BT1374" s="154"/>
      <c r="BU1374" s="154"/>
      <c r="BV1374" s="154"/>
      <c r="BW1374" s="433" t="s">
        <v>699</v>
      </c>
      <c r="BX1374" s="433" t="s">
        <v>699</v>
      </c>
      <c r="BY1374" s="433" t="s">
        <v>699</v>
      </c>
      <c r="BZ1374" s="433" t="s">
        <v>699</v>
      </c>
      <c r="CA1374" s="433" t="s">
        <v>699</v>
      </c>
      <c r="CB1374" s="433" t="s">
        <v>699</v>
      </c>
      <c r="CC1374" s="433" t="s">
        <v>699</v>
      </c>
      <c r="CD1374" s="433" t="s">
        <v>699</v>
      </c>
      <c r="CE1374" s="433" t="s">
        <v>699</v>
      </c>
      <c r="CF1374" s="433" t="s">
        <v>699</v>
      </c>
      <c r="CG1374" s="433" t="s">
        <v>699</v>
      </c>
      <c r="CH1374" s="433" t="s">
        <v>699</v>
      </c>
      <c r="CI1374" s="433" t="s">
        <v>699</v>
      </c>
      <c r="CJ1374" s="433" t="s">
        <v>699</v>
      </c>
      <c r="CK1374" s="433" t="s">
        <v>699</v>
      </c>
      <c r="CL1374" s="154">
        <v>110200</v>
      </c>
      <c r="CM1374" s="154">
        <v>116200</v>
      </c>
      <c r="CN1374" s="154">
        <v>119200</v>
      </c>
      <c r="CO1374" s="154"/>
      <c r="CP1374" s="154"/>
      <c r="CQ1374" s="154"/>
      <c r="CR1374" s="433" t="s">
        <v>699</v>
      </c>
      <c r="CS1374" s="433" t="s">
        <v>699</v>
      </c>
      <c r="CT1374" s="433" t="s">
        <v>699</v>
      </c>
      <c r="CU1374" s="433" t="s">
        <v>699</v>
      </c>
      <c r="CV1374" s="433" t="s">
        <v>699</v>
      </c>
      <c r="CW1374" s="433" t="s">
        <v>699</v>
      </c>
      <c r="CX1374" s="433" t="s">
        <v>699</v>
      </c>
      <c r="CY1374" s="433" t="s">
        <v>699</v>
      </c>
      <c r="CZ1374" s="433" t="s">
        <v>699</v>
      </c>
      <c r="DA1374" s="433" t="s">
        <v>699</v>
      </c>
      <c r="DB1374" s="433" t="s">
        <v>699</v>
      </c>
      <c r="DC1374" s="433" t="s">
        <v>699</v>
      </c>
      <c r="DD1374" s="433" t="s">
        <v>699</v>
      </c>
      <c r="DE1374" s="433" t="s">
        <v>699</v>
      </c>
      <c r="DF1374" s="433" t="s">
        <v>699</v>
      </c>
      <c r="DG1374" s="154">
        <v>251300</v>
      </c>
      <c r="DH1374" s="154">
        <v>264200</v>
      </c>
      <c r="DI1374" s="154">
        <v>270700</v>
      </c>
      <c r="DJ1374" s="154"/>
      <c r="DK1374" s="154"/>
      <c r="DL1374" s="154"/>
      <c r="DM1374" s="433" t="s">
        <v>699</v>
      </c>
      <c r="DN1374" s="433" t="s">
        <v>699</v>
      </c>
      <c r="DO1374" s="433" t="s">
        <v>699</v>
      </c>
      <c r="DP1374" s="433" t="s">
        <v>699</v>
      </c>
      <c r="DQ1374" s="433" t="s">
        <v>699</v>
      </c>
      <c r="DR1374" s="433" t="s">
        <v>699</v>
      </c>
      <c r="DS1374" s="433" t="s">
        <v>699</v>
      </c>
      <c r="DT1374" s="433" t="s">
        <v>699</v>
      </c>
      <c r="DU1374" s="433" t="s">
        <v>699</v>
      </c>
      <c r="DV1374" s="433" t="s">
        <v>699</v>
      </c>
      <c r="DW1374" s="433" t="s">
        <v>699</v>
      </c>
      <c r="DX1374" s="433" t="s">
        <v>699</v>
      </c>
      <c r="DY1374" s="433" t="s">
        <v>699</v>
      </c>
      <c r="DZ1374" s="433" t="s">
        <v>699</v>
      </c>
      <c r="EA1374" s="433" t="s">
        <v>699</v>
      </c>
      <c r="EB1374" s="154">
        <v>124300</v>
      </c>
      <c r="EC1374" s="154">
        <v>130700</v>
      </c>
      <c r="ED1374" s="154">
        <v>133900</v>
      </c>
      <c r="EE1374" s="154"/>
      <c r="EF1374" s="154"/>
      <c r="EG1374" s="154"/>
      <c r="EH1374" s="433" t="s">
        <v>699</v>
      </c>
      <c r="EI1374" s="433" t="s">
        <v>699</v>
      </c>
      <c r="EJ1374" s="433" t="s">
        <v>699</v>
      </c>
      <c r="EK1374" s="433" t="s">
        <v>699</v>
      </c>
      <c r="EL1374" s="433" t="s">
        <v>699</v>
      </c>
      <c r="EM1374" s="433" t="s">
        <v>699</v>
      </c>
      <c r="EN1374" s="433" t="s">
        <v>699</v>
      </c>
      <c r="EO1374" s="433" t="s">
        <v>699</v>
      </c>
      <c r="EP1374" s="433" t="s">
        <v>699</v>
      </c>
      <c r="EQ1374" s="433" t="s">
        <v>699</v>
      </c>
      <c r="ER1374" s="433" t="s">
        <v>699</v>
      </c>
      <c r="ES1374" s="433" t="s">
        <v>699</v>
      </c>
      <c r="ET1374" s="433" t="s">
        <v>699</v>
      </c>
      <c r="EU1374" s="433" t="s">
        <v>699</v>
      </c>
      <c r="EV1374" s="433" t="s">
        <v>699</v>
      </c>
      <c r="EW1374" s="154">
        <v>0</v>
      </c>
      <c r="EX1374" s="154">
        <v>0</v>
      </c>
      <c r="EY1374" s="154">
        <v>0</v>
      </c>
      <c r="EZ1374" s="154"/>
      <c r="FA1374" s="154"/>
      <c r="FB1374" s="154"/>
      <c r="FC1374" s="433" t="s">
        <v>699</v>
      </c>
      <c r="FD1374" s="433" t="s">
        <v>699</v>
      </c>
      <c r="FE1374" s="433" t="s">
        <v>699</v>
      </c>
      <c r="FF1374" s="433" t="s">
        <v>699</v>
      </c>
      <c r="FG1374" s="433" t="s">
        <v>699</v>
      </c>
      <c r="FH1374" s="433" t="s">
        <v>699</v>
      </c>
      <c r="FI1374" s="433" t="s">
        <v>699</v>
      </c>
      <c r="FJ1374" s="433" t="s">
        <v>699</v>
      </c>
      <c r="FK1374" s="433" t="s">
        <v>699</v>
      </c>
      <c r="FL1374" s="433" t="s">
        <v>699</v>
      </c>
      <c r="FM1374" s="433" t="s">
        <v>699</v>
      </c>
      <c r="FN1374" s="433" t="s">
        <v>699</v>
      </c>
      <c r="FO1374" s="433" t="s">
        <v>699</v>
      </c>
      <c r="FP1374" s="433" t="s">
        <v>699</v>
      </c>
      <c r="FQ1374" s="433" t="s">
        <v>699</v>
      </c>
      <c r="FR1374" s="154">
        <v>222200</v>
      </c>
      <c r="FS1374" s="154">
        <v>233700</v>
      </c>
      <c r="FT1374" s="154">
        <v>239400</v>
      </c>
      <c r="FU1374" s="154"/>
      <c r="FV1374" s="154"/>
      <c r="FW1374" s="154"/>
      <c r="FX1374" s="433" t="s">
        <v>699</v>
      </c>
      <c r="FY1374" s="433" t="s">
        <v>699</v>
      </c>
      <c r="FZ1374" s="433" t="s">
        <v>699</v>
      </c>
      <c r="GA1374" s="433" t="s">
        <v>699</v>
      </c>
      <c r="GB1374" s="433" t="s">
        <v>699</v>
      </c>
      <c r="GC1374" s="433" t="s">
        <v>699</v>
      </c>
      <c r="GD1374" s="433" t="s">
        <v>699</v>
      </c>
      <c r="GE1374" s="433" t="s">
        <v>699</v>
      </c>
      <c r="GF1374" s="433" t="s">
        <v>699</v>
      </c>
      <c r="GG1374" s="433" t="s">
        <v>699</v>
      </c>
      <c r="GH1374" s="433" t="s">
        <v>699</v>
      </c>
      <c r="GI1374" s="433" t="s">
        <v>699</v>
      </c>
      <c r="GJ1374" s="433" t="s">
        <v>699</v>
      </c>
      <c r="GK1374" s="433" t="s">
        <v>699</v>
      </c>
      <c r="GL1374" s="433" t="s">
        <v>699</v>
      </c>
      <c r="GM1374" s="154">
        <f>273400-273400</f>
        <v>0</v>
      </c>
      <c r="GN1374" s="154">
        <v>0</v>
      </c>
      <c r="GO1374" s="154">
        <v>0</v>
      </c>
      <c r="GP1374" s="154"/>
      <c r="GQ1374" s="154"/>
      <c r="GR1374" s="154"/>
      <c r="GS1374" s="433" t="s">
        <v>699</v>
      </c>
      <c r="GT1374" s="433" t="s">
        <v>699</v>
      </c>
      <c r="GU1374" s="433" t="s">
        <v>699</v>
      </c>
      <c r="GV1374" s="433" t="s">
        <v>699</v>
      </c>
      <c r="GW1374" s="433" t="s">
        <v>699</v>
      </c>
      <c r="GX1374" s="433" t="s">
        <v>699</v>
      </c>
      <c r="GY1374" s="433" t="s">
        <v>699</v>
      </c>
      <c r="GZ1374" s="433" t="s">
        <v>699</v>
      </c>
      <c r="HA1374" s="433" t="s">
        <v>699</v>
      </c>
      <c r="HB1374" s="433" t="s">
        <v>699</v>
      </c>
      <c r="HC1374" s="433" t="s">
        <v>699</v>
      </c>
      <c r="HD1374" s="433" t="s">
        <v>699</v>
      </c>
      <c r="HE1374" s="433" t="s">
        <v>699</v>
      </c>
      <c r="HF1374" s="433" t="s">
        <v>699</v>
      </c>
      <c r="HG1374" s="433" t="s">
        <v>699</v>
      </c>
      <c r="HH1374" s="154">
        <v>110100</v>
      </c>
      <c r="HI1374" s="154">
        <v>116200</v>
      </c>
      <c r="HJ1374" s="154">
        <v>119100</v>
      </c>
      <c r="HK1374" s="154"/>
      <c r="HL1374" s="154"/>
      <c r="HM1374" s="154"/>
      <c r="HN1374" s="433" t="s">
        <v>699</v>
      </c>
      <c r="HO1374" s="433" t="s">
        <v>699</v>
      </c>
      <c r="HP1374" s="433" t="s">
        <v>699</v>
      </c>
      <c r="HQ1374" s="433" t="s">
        <v>699</v>
      </c>
      <c r="HR1374" s="433" t="s">
        <v>699</v>
      </c>
      <c r="HS1374" s="433" t="s">
        <v>699</v>
      </c>
      <c r="HT1374" s="433" t="s">
        <v>699</v>
      </c>
      <c r="HU1374" s="433" t="s">
        <v>699</v>
      </c>
      <c r="HV1374" s="433" t="s">
        <v>699</v>
      </c>
      <c r="HW1374" s="433" t="s">
        <v>699</v>
      </c>
      <c r="HX1374" s="433" t="s">
        <v>699</v>
      </c>
      <c r="HY1374" s="433" t="s">
        <v>699</v>
      </c>
      <c r="HZ1374" s="433" t="s">
        <v>699</v>
      </c>
      <c r="IA1374" s="433" t="s">
        <v>699</v>
      </c>
      <c r="IB1374" s="433" t="s">
        <v>699</v>
      </c>
      <c r="IC1374" s="154">
        <v>0</v>
      </c>
      <c r="ID1374" s="154">
        <v>0</v>
      </c>
      <c r="IE1374" s="154">
        <v>0</v>
      </c>
      <c r="IF1374" s="154"/>
      <c r="IG1374" s="154"/>
      <c r="IH1374" s="154"/>
      <c r="II1374" s="433" t="s">
        <v>699</v>
      </c>
      <c r="IJ1374" s="433" t="s">
        <v>699</v>
      </c>
      <c r="IK1374" s="433" t="s">
        <v>699</v>
      </c>
      <c r="IL1374" s="433" t="s">
        <v>699</v>
      </c>
      <c r="IM1374" s="433" t="s">
        <v>699</v>
      </c>
      <c r="IN1374" s="433" t="s">
        <v>699</v>
      </c>
      <c r="IO1374" s="433" t="s">
        <v>699</v>
      </c>
      <c r="IP1374" s="433" t="s">
        <v>699</v>
      </c>
      <c r="IQ1374" s="433" t="s">
        <v>699</v>
      </c>
      <c r="IR1374" s="433" t="s">
        <v>699</v>
      </c>
      <c r="IS1374" s="433" t="s">
        <v>699</v>
      </c>
      <c r="IT1374" s="433" t="s">
        <v>699</v>
      </c>
      <c r="IU1374" s="433" t="s">
        <v>699</v>
      </c>
      <c r="IV1374" s="433" t="s">
        <v>699</v>
      </c>
      <c r="IW1374" s="433" t="s">
        <v>699</v>
      </c>
      <c r="IX1374" s="154">
        <v>110600</v>
      </c>
      <c r="IY1374" s="154">
        <v>116200</v>
      </c>
      <c r="IZ1374" s="154">
        <v>119000</v>
      </c>
      <c r="JA1374" s="154"/>
      <c r="JB1374" s="154"/>
      <c r="JC1374" s="154"/>
      <c r="JD1374" s="433" t="s">
        <v>699</v>
      </c>
      <c r="JE1374" s="433" t="s">
        <v>699</v>
      </c>
      <c r="JF1374" s="433" t="s">
        <v>699</v>
      </c>
      <c r="JG1374" s="433" t="s">
        <v>699</v>
      </c>
      <c r="JH1374" s="433" t="s">
        <v>699</v>
      </c>
      <c r="JI1374" s="433" t="s">
        <v>699</v>
      </c>
      <c r="JJ1374" s="433" t="s">
        <v>699</v>
      </c>
      <c r="JK1374" s="433" t="s">
        <v>699</v>
      </c>
      <c r="JL1374" s="433" t="s">
        <v>699</v>
      </c>
      <c r="JM1374" s="433" t="s">
        <v>699</v>
      </c>
      <c r="JN1374" s="433" t="s">
        <v>699</v>
      </c>
      <c r="JO1374" s="433" t="s">
        <v>699</v>
      </c>
      <c r="JP1374" s="433" t="s">
        <v>699</v>
      </c>
      <c r="JQ1374" s="433" t="s">
        <v>699</v>
      </c>
      <c r="JR1374" s="433" t="s">
        <v>699</v>
      </c>
      <c r="JS1374" s="154">
        <f>68400-68400</f>
        <v>0</v>
      </c>
      <c r="JT1374" s="154">
        <f t="shared" ref="JT1374:JU1374" si="3453">68400-68400</f>
        <v>0</v>
      </c>
      <c r="JU1374" s="154">
        <f t="shared" si="3453"/>
        <v>0</v>
      </c>
      <c r="JV1374" s="154"/>
      <c r="JW1374" s="154"/>
      <c r="JX1374" s="154"/>
      <c r="JY1374" s="433" t="s">
        <v>699</v>
      </c>
      <c r="JZ1374" s="433" t="s">
        <v>699</v>
      </c>
      <c r="KA1374" s="433" t="s">
        <v>699</v>
      </c>
      <c r="KB1374" s="433" t="s">
        <v>699</v>
      </c>
      <c r="KC1374" s="433" t="s">
        <v>699</v>
      </c>
      <c r="KD1374" s="433" t="s">
        <v>699</v>
      </c>
      <c r="KE1374" s="433" t="s">
        <v>699</v>
      </c>
      <c r="KF1374" s="433" t="s">
        <v>699</v>
      </c>
      <c r="KG1374" s="433" t="s">
        <v>699</v>
      </c>
      <c r="KH1374" s="433" t="s">
        <v>699</v>
      </c>
      <c r="KI1374" s="433" t="s">
        <v>699</v>
      </c>
      <c r="KJ1374" s="433" t="s">
        <v>699</v>
      </c>
      <c r="KK1374" s="433" t="s">
        <v>699</v>
      </c>
      <c r="KL1374" s="433" t="s">
        <v>699</v>
      </c>
      <c r="KM1374" s="433" t="s">
        <v>699</v>
      </c>
      <c r="KN1374" s="154">
        <v>137800</v>
      </c>
      <c r="KO1374" s="154">
        <v>145200</v>
      </c>
      <c r="KP1374" s="154">
        <v>148900</v>
      </c>
      <c r="KQ1374" s="154"/>
      <c r="KR1374" s="154"/>
      <c r="KS1374" s="154"/>
      <c r="KT1374" s="433" t="s">
        <v>699</v>
      </c>
      <c r="KU1374" s="433" t="s">
        <v>699</v>
      </c>
      <c r="KV1374" s="433" t="s">
        <v>699</v>
      </c>
      <c r="KW1374" s="433" t="s">
        <v>699</v>
      </c>
      <c r="KX1374" s="433" t="s">
        <v>699</v>
      </c>
      <c r="KY1374" s="433" t="s">
        <v>699</v>
      </c>
      <c r="KZ1374" s="433" t="s">
        <v>699</v>
      </c>
      <c r="LA1374" s="433" t="s">
        <v>699</v>
      </c>
      <c r="LB1374" s="433" t="s">
        <v>699</v>
      </c>
      <c r="LC1374" s="433" t="s">
        <v>699</v>
      </c>
      <c r="LD1374" s="433" t="s">
        <v>699</v>
      </c>
      <c r="LE1374" s="433" t="s">
        <v>699</v>
      </c>
      <c r="LF1374" s="433" t="s">
        <v>699</v>
      </c>
      <c r="LG1374" s="433" t="s">
        <v>699</v>
      </c>
      <c r="LH1374" s="433" t="s">
        <v>699</v>
      </c>
      <c r="LI1374" s="154">
        <v>0</v>
      </c>
      <c r="LJ1374" s="154">
        <v>0</v>
      </c>
      <c r="LK1374" s="154">
        <v>0</v>
      </c>
      <c r="LL1374" s="154"/>
      <c r="LM1374" s="154"/>
      <c r="LN1374" s="154"/>
      <c r="LO1374" s="433" t="s">
        <v>699</v>
      </c>
      <c r="LP1374" s="433" t="s">
        <v>699</v>
      </c>
      <c r="LQ1374" s="433" t="s">
        <v>699</v>
      </c>
      <c r="LR1374" s="433" t="s">
        <v>699</v>
      </c>
      <c r="LS1374" s="433" t="s">
        <v>699</v>
      </c>
      <c r="LT1374" s="433" t="s">
        <v>699</v>
      </c>
      <c r="LU1374" s="433" t="s">
        <v>699</v>
      </c>
      <c r="LV1374" s="433" t="s">
        <v>699</v>
      </c>
      <c r="LW1374" s="433" t="s">
        <v>699</v>
      </c>
      <c r="LX1374" s="433" t="s">
        <v>699</v>
      </c>
      <c r="LY1374" s="433" t="s">
        <v>699</v>
      </c>
      <c r="LZ1374" s="433" t="s">
        <v>699</v>
      </c>
      <c r="MA1374" s="433" t="s">
        <v>699</v>
      </c>
      <c r="MB1374" s="433" t="s">
        <v>699</v>
      </c>
      <c r="MC1374" s="433" t="s">
        <v>699</v>
      </c>
      <c r="MD1374" s="154">
        <v>155200</v>
      </c>
      <c r="ME1374" s="154">
        <v>163300</v>
      </c>
      <c r="MF1374" s="154">
        <v>167400</v>
      </c>
      <c r="MG1374" s="154"/>
      <c r="MH1374" s="154"/>
      <c r="MI1374" s="154"/>
      <c r="MJ1374" s="433" t="s">
        <v>699</v>
      </c>
      <c r="MK1374" s="433" t="s">
        <v>699</v>
      </c>
      <c r="ML1374" s="433" t="s">
        <v>699</v>
      </c>
      <c r="MM1374" s="433" t="s">
        <v>699</v>
      </c>
      <c r="MN1374" s="433" t="s">
        <v>699</v>
      </c>
      <c r="MO1374" s="433" t="s">
        <v>699</v>
      </c>
      <c r="MP1374" s="433" t="s">
        <v>699</v>
      </c>
      <c r="MQ1374" s="433" t="s">
        <v>699</v>
      </c>
      <c r="MR1374" s="433" t="s">
        <v>699</v>
      </c>
      <c r="MS1374" s="433" t="s">
        <v>699</v>
      </c>
      <c r="MT1374" s="433" t="s">
        <v>699</v>
      </c>
      <c r="MU1374" s="433" t="s">
        <v>699</v>
      </c>
      <c r="MV1374" s="433" t="s">
        <v>699</v>
      </c>
      <c r="MW1374" s="433" t="s">
        <v>699</v>
      </c>
      <c r="MX1374" s="433" t="s">
        <v>699</v>
      </c>
      <c r="MY1374" s="154">
        <v>103400</v>
      </c>
      <c r="MZ1374" s="154">
        <v>108900</v>
      </c>
      <c r="NA1374" s="154">
        <v>111600</v>
      </c>
      <c r="NB1374" s="154"/>
      <c r="NC1374" s="154"/>
      <c r="ND1374" s="154"/>
      <c r="NE1374" s="433" t="s">
        <v>699</v>
      </c>
      <c r="NF1374" s="433" t="s">
        <v>699</v>
      </c>
      <c r="NG1374" s="433" t="s">
        <v>699</v>
      </c>
      <c r="NH1374" s="433" t="s">
        <v>699</v>
      </c>
      <c r="NI1374" s="433" t="s">
        <v>699</v>
      </c>
      <c r="NJ1374" s="433" t="s">
        <v>699</v>
      </c>
      <c r="NK1374" s="433" t="s">
        <v>699</v>
      </c>
      <c r="NL1374" s="433" t="s">
        <v>699</v>
      </c>
      <c r="NM1374" s="433" t="s">
        <v>699</v>
      </c>
      <c r="NN1374" s="433" t="s">
        <v>699</v>
      </c>
      <c r="NO1374" s="433" t="s">
        <v>699</v>
      </c>
      <c r="NP1374" s="433" t="s">
        <v>699</v>
      </c>
      <c r="NQ1374" s="433" t="s">
        <v>699</v>
      </c>
      <c r="NR1374" s="433" t="s">
        <v>699</v>
      </c>
      <c r="NS1374" s="433" t="s">
        <v>699</v>
      </c>
      <c r="NT1374" s="154">
        <v>137400</v>
      </c>
      <c r="NU1374" s="154">
        <v>145200</v>
      </c>
      <c r="NV1374" s="154">
        <v>149100</v>
      </c>
      <c r="NW1374" s="154"/>
      <c r="NX1374" s="154"/>
      <c r="NY1374" s="154"/>
      <c r="NZ1374" s="433" t="s">
        <v>699</v>
      </c>
      <c r="OA1374" s="433" t="s">
        <v>699</v>
      </c>
      <c r="OB1374" s="433" t="s">
        <v>699</v>
      </c>
      <c r="OC1374" s="433" t="s">
        <v>699</v>
      </c>
      <c r="OD1374" s="433" t="s">
        <v>699</v>
      </c>
      <c r="OE1374" s="433" t="s">
        <v>699</v>
      </c>
      <c r="OF1374" s="433" t="s">
        <v>699</v>
      </c>
      <c r="OG1374" s="433" t="s">
        <v>699</v>
      </c>
      <c r="OH1374" s="433" t="s">
        <v>699</v>
      </c>
      <c r="OI1374" s="433" t="s">
        <v>699</v>
      </c>
      <c r="OJ1374" s="433" t="s">
        <v>699</v>
      </c>
      <c r="OK1374" s="433" t="s">
        <v>699</v>
      </c>
      <c r="OL1374" s="433" t="s">
        <v>699</v>
      </c>
      <c r="OM1374" s="433" t="s">
        <v>699</v>
      </c>
      <c r="ON1374" s="433" t="s">
        <v>699</v>
      </c>
      <c r="OO1374" s="154">
        <v>207400</v>
      </c>
      <c r="OP1374" s="154">
        <v>217700</v>
      </c>
      <c r="OQ1374" s="154">
        <v>223000</v>
      </c>
      <c r="OR1374" s="154"/>
      <c r="OS1374" s="154"/>
      <c r="OT1374" s="154"/>
      <c r="OU1374" s="433" t="s">
        <v>699</v>
      </c>
      <c r="OV1374" s="433" t="s">
        <v>699</v>
      </c>
      <c r="OW1374" s="433" t="s">
        <v>699</v>
      </c>
      <c r="OX1374" s="433" t="s">
        <v>699</v>
      </c>
      <c r="OY1374" s="433" t="s">
        <v>699</v>
      </c>
      <c r="OZ1374" s="433" t="s">
        <v>699</v>
      </c>
      <c r="PA1374" s="433" t="s">
        <v>699</v>
      </c>
      <c r="PB1374" s="433" t="s">
        <v>699</v>
      </c>
      <c r="PC1374" s="433" t="s">
        <v>699</v>
      </c>
      <c r="PD1374" s="433" t="s">
        <v>699</v>
      </c>
      <c r="PE1374" s="433" t="s">
        <v>699</v>
      </c>
      <c r="PF1374" s="433" t="s">
        <v>699</v>
      </c>
      <c r="PG1374" s="433" t="s">
        <v>699</v>
      </c>
      <c r="PH1374" s="433" t="s">
        <v>699</v>
      </c>
      <c r="PI1374" s="433" t="s">
        <v>699</v>
      </c>
      <c r="PJ1374" s="154">
        <v>145100</v>
      </c>
      <c r="PK1374" s="154">
        <v>152500</v>
      </c>
      <c r="PL1374" s="154">
        <v>156200</v>
      </c>
      <c r="PM1374" s="154"/>
      <c r="PN1374" s="154"/>
      <c r="PO1374" s="154"/>
      <c r="PP1374" s="433" t="s">
        <v>699</v>
      </c>
      <c r="PQ1374" s="433" t="s">
        <v>699</v>
      </c>
      <c r="PR1374" s="433" t="s">
        <v>699</v>
      </c>
      <c r="PS1374" s="433" t="s">
        <v>699</v>
      </c>
      <c r="PT1374" s="433" t="s">
        <v>699</v>
      </c>
      <c r="PU1374" s="433" t="s">
        <v>699</v>
      </c>
      <c r="PV1374" s="433" t="s">
        <v>699</v>
      </c>
      <c r="PW1374" s="433" t="s">
        <v>699</v>
      </c>
      <c r="PX1374" s="433" t="s">
        <v>699</v>
      </c>
      <c r="PY1374" s="433" t="s">
        <v>699</v>
      </c>
      <c r="PZ1374" s="433" t="s">
        <v>699</v>
      </c>
      <c r="QA1374" s="433" t="s">
        <v>699</v>
      </c>
      <c r="QB1374" s="433" t="s">
        <v>699</v>
      </c>
      <c r="QC1374" s="433" t="s">
        <v>699</v>
      </c>
      <c r="QD1374" s="433" t="s">
        <v>699</v>
      </c>
      <c r="QE1374" s="154">
        <v>144600</v>
      </c>
      <c r="QF1374" s="154">
        <v>152500</v>
      </c>
      <c r="QG1374" s="154">
        <v>156300</v>
      </c>
      <c r="QH1374" s="154"/>
      <c r="QI1374" s="154"/>
      <c r="QJ1374" s="154"/>
      <c r="QK1374" s="433" t="s">
        <v>699</v>
      </c>
      <c r="QL1374" s="433" t="s">
        <v>699</v>
      </c>
      <c r="QM1374" s="433" t="s">
        <v>699</v>
      </c>
      <c r="QN1374" s="433" t="s">
        <v>699</v>
      </c>
      <c r="QO1374" s="433" t="s">
        <v>699</v>
      </c>
      <c r="QP1374" s="433" t="s">
        <v>699</v>
      </c>
      <c r="QQ1374" s="433" t="s">
        <v>699</v>
      </c>
      <c r="QR1374" s="433" t="s">
        <v>699</v>
      </c>
      <c r="QS1374" s="433" t="s">
        <v>699</v>
      </c>
      <c r="QT1374" s="433" t="s">
        <v>699</v>
      </c>
      <c r="QU1374" s="433" t="s">
        <v>699</v>
      </c>
      <c r="QV1374" s="433" t="s">
        <v>699</v>
      </c>
      <c r="QW1374" s="433" t="s">
        <v>699</v>
      </c>
      <c r="QX1374" s="433" t="s">
        <v>699</v>
      </c>
      <c r="QY1374" s="433" t="s">
        <v>699</v>
      </c>
      <c r="QZ1374" s="154">
        <f>113900-113900</f>
        <v>0</v>
      </c>
      <c r="RA1374" s="154">
        <f t="shared" ref="RA1374:RB1374" si="3454">113900-113900</f>
        <v>0</v>
      </c>
      <c r="RB1374" s="154">
        <f t="shared" si="3454"/>
        <v>0</v>
      </c>
      <c r="RC1374" s="154"/>
      <c r="RD1374" s="154"/>
      <c r="RE1374" s="154"/>
      <c r="RF1374" s="433" t="s">
        <v>699</v>
      </c>
      <c r="RG1374" s="433" t="s">
        <v>699</v>
      </c>
      <c r="RH1374" s="433" t="s">
        <v>699</v>
      </c>
      <c r="RI1374" s="433" t="s">
        <v>699</v>
      </c>
      <c r="RJ1374" s="433" t="s">
        <v>699</v>
      </c>
      <c r="RK1374" s="433" t="s">
        <v>699</v>
      </c>
      <c r="RL1374" s="433" t="s">
        <v>699</v>
      </c>
      <c r="RM1374" s="433" t="s">
        <v>699</v>
      </c>
      <c r="RN1374" s="433" t="s">
        <v>699</v>
      </c>
      <c r="RO1374" s="433" t="s">
        <v>699</v>
      </c>
      <c r="RP1374" s="433" t="s">
        <v>699</v>
      </c>
      <c r="RQ1374" s="433" t="s">
        <v>699</v>
      </c>
      <c r="RR1374" s="433" t="s">
        <v>699</v>
      </c>
      <c r="RS1374" s="433" t="s">
        <v>699</v>
      </c>
      <c r="RT1374" s="433" t="s">
        <v>699</v>
      </c>
      <c r="RU1374" s="154">
        <v>221000</v>
      </c>
      <c r="RV1374" s="154">
        <v>232200</v>
      </c>
      <c r="RW1374" s="154">
        <v>237900</v>
      </c>
      <c r="RX1374" s="154"/>
      <c r="RY1374" s="154"/>
      <c r="RZ1374" s="154"/>
      <c r="SA1374" s="433" t="s">
        <v>699</v>
      </c>
      <c r="SB1374" s="433" t="s">
        <v>699</v>
      </c>
      <c r="SC1374" s="433" t="s">
        <v>699</v>
      </c>
      <c r="SD1374" s="433" t="s">
        <v>699</v>
      </c>
      <c r="SE1374" s="433" t="s">
        <v>699</v>
      </c>
      <c r="SF1374" s="433" t="s">
        <v>699</v>
      </c>
      <c r="SG1374" s="433" t="s">
        <v>699</v>
      </c>
      <c r="SH1374" s="433" t="s">
        <v>699</v>
      </c>
      <c r="SI1374" s="433" t="s">
        <v>699</v>
      </c>
      <c r="SJ1374" s="433" t="s">
        <v>699</v>
      </c>
      <c r="SK1374" s="433" t="s">
        <v>699</v>
      </c>
      <c r="SL1374" s="433" t="s">
        <v>699</v>
      </c>
      <c r="SM1374" s="433" t="s">
        <v>699</v>
      </c>
      <c r="SN1374" s="433" t="s">
        <v>699</v>
      </c>
      <c r="SO1374" s="433" t="s">
        <v>699</v>
      </c>
      <c r="SP1374" s="154">
        <v>137800</v>
      </c>
      <c r="SQ1374" s="154">
        <v>145200</v>
      </c>
      <c r="SR1374" s="154">
        <v>148900</v>
      </c>
      <c r="SS1374" s="154"/>
      <c r="ST1374" s="154"/>
      <c r="SU1374" s="154"/>
      <c r="SV1374" s="433" t="s">
        <v>699</v>
      </c>
      <c r="SW1374" s="433" t="s">
        <v>699</v>
      </c>
      <c r="SX1374" s="433" t="s">
        <v>699</v>
      </c>
      <c r="SY1374" s="433" t="s">
        <v>699</v>
      </c>
      <c r="SZ1374" s="433" t="s">
        <v>699</v>
      </c>
      <c r="TA1374" s="433" t="s">
        <v>699</v>
      </c>
      <c r="TB1374" s="433" t="s">
        <v>699</v>
      </c>
      <c r="TC1374" s="433" t="s">
        <v>699</v>
      </c>
      <c r="TD1374" s="433" t="s">
        <v>699</v>
      </c>
      <c r="TE1374" s="433" t="s">
        <v>699</v>
      </c>
      <c r="TF1374" s="433" t="s">
        <v>699</v>
      </c>
      <c r="TG1374" s="433" t="s">
        <v>699</v>
      </c>
      <c r="TH1374" s="433" t="s">
        <v>699</v>
      </c>
      <c r="TI1374" s="433" t="s">
        <v>699</v>
      </c>
      <c r="TJ1374" s="433" t="s">
        <v>699</v>
      </c>
      <c r="TK1374" s="154">
        <v>279400</v>
      </c>
      <c r="TL1374" s="154">
        <v>294600</v>
      </c>
      <c r="TM1374" s="154">
        <v>302300</v>
      </c>
      <c r="TN1374" s="154"/>
      <c r="TO1374" s="154"/>
      <c r="TP1374" s="154"/>
      <c r="TQ1374" s="433" t="s">
        <v>699</v>
      </c>
      <c r="TR1374" s="433" t="s">
        <v>699</v>
      </c>
      <c r="TS1374" s="433" t="s">
        <v>699</v>
      </c>
      <c r="TT1374" s="433" t="s">
        <v>699</v>
      </c>
      <c r="TU1374" s="433" t="s">
        <v>699</v>
      </c>
      <c r="TV1374" s="433" t="s">
        <v>699</v>
      </c>
      <c r="TW1374" s="433" t="s">
        <v>699</v>
      </c>
      <c r="TX1374" s="433" t="s">
        <v>699</v>
      </c>
      <c r="TY1374" s="433" t="s">
        <v>699</v>
      </c>
      <c r="TZ1374" s="433" t="s">
        <v>699</v>
      </c>
      <c r="UA1374" s="433" t="s">
        <v>699</v>
      </c>
      <c r="UB1374" s="433" t="s">
        <v>699</v>
      </c>
      <c r="UC1374" s="433" t="s">
        <v>699</v>
      </c>
      <c r="UD1374" s="433" t="s">
        <v>699</v>
      </c>
      <c r="UE1374" s="433" t="s">
        <v>699</v>
      </c>
      <c r="UF1374" s="154">
        <v>68900</v>
      </c>
      <c r="UG1374" s="154">
        <v>72600</v>
      </c>
      <c r="UH1374" s="154">
        <v>74500</v>
      </c>
      <c r="UI1374" s="154"/>
      <c r="UJ1374" s="154"/>
      <c r="UK1374" s="154"/>
      <c r="UL1374" s="433" t="s">
        <v>699</v>
      </c>
      <c r="UM1374" s="433" t="s">
        <v>699</v>
      </c>
      <c r="UN1374" s="433" t="s">
        <v>699</v>
      </c>
      <c r="UO1374" s="433" t="s">
        <v>699</v>
      </c>
      <c r="UP1374" s="433" t="s">
        <v>699</v>
      </c>
      <c r="UQ1374" s="433" t="s">
        <v>699</v>
      </c>
      <c r="UR1374" s="433" t="s">
        <v>699</v>
      </c>
      <c r="US1374" s="433" t="s">
        <v>699</v>
      </c>
      <c r="UT1374" s="433" t="s">
        <v>699</v>
      </c>
      <c r="UU1374" s="433" t="s">
        <v>699</v>
      </c>
      <c r="UV1374" s="433" t="s">
        <v>699</v>
      </c>
      <c r="UW1374" s="433" t="s">
        <v>699</v>
      </c>
      <c r="UX1374" s="433" t="s">
        <v>699</v>
      </c>
      <c r="UY1374" s="433" t="s">
        <v>699</v>
      </c>
      <c r="UZ1374" s="433" t="s">
        <v>699</v>
      </c>
      <c r="VA1374" s="154">
        <v>34600</v>
      </c>
      <c r="VB1374" s="154">
        <v>36300</v>
      </c>
      <c r="VC1374" s="154">
        <v>37200</v>
      </c>
      <c r="VD1374" s="154"/>
      <c r="VE1374" s="154"/>
      <c r="VF1374" s="154"/>
      <c r="VG1374" s="433" t="s">
        <v>699</v>
      </c>
      <c r="VH1374" s="433" t="s">
        <v>699</v>
      </c>
      <c r="VI1374" s="433" t="s">
        <v>699</v>
      </c>
      <c r="VJ1374" s="433" t="s">
        <v>699</v>
      </c>
      <c r="VK1374" s="433" t="s">
        <v>699</v>
      </c>
      <c r="VL1374" s="433" t="s">
        <v>699</v>
      </c>
      <c r="VM1374" s="433" t="s">
        <v>699</v>
      </c>
      <c r="VN1374" s="433" t="s">
        <v>699</v>
      </c>
      <c r="VO1374" s="433" t="s">
        <v>699</v>
      </c>
      <c r="VP1374" s="433" t="s">
        <v>699</v>
      </c>
      <c r="VQ1374" s="433" t="s">
        <v>699</v>
      </c>
      <c r="VR1374" s="433" t="s">
        <v>699</v>
      </c>
      <c r="VS1374" s="433" t="s">
        <v>699</v>
      </c>
      <c r="VT1374" s="433" t="s">
        <v>699</v>
      </c>
      <c r="VU1374" s="433" t="s">
        <v>699</v>
      </c>
      <c r="VV1374" s="154">
        <v>110100</v>
      </c>
      <c r="VW1374" s="154">
        <v>116200</v>
      </c>
      <c r="VX1374" s="154">
        <v>119100</v>
      </c>
      <c r="VY1374" s="154"/>
      <c r="VZ1374" s="154"/>
      <c r="WA1374" s="154"/>
      <c r="WB1374" s="433" t="s">
        <v>699</v>
      </c>
      <c r="WC1374" s="433" t="s">
        <v>699</v>
      </c>
      <c r="WD1374" s="433" t="s">
        <v>699</v>
      </c>
      <c r="WE1374" s="433" t="s">
        <v>699</v>
      </c>
      <c r="WF1374" s="433" t="s">
        <v>699</v>
      </c>
      <c r="WG1374" s="433" t="s">
        <v>699</v>
      </c>
      <c r="WH1374" s="433" t="s">
        <v>699</v>
      </c>
      <c r="WI1374" s="433" t="s">
        <v>699</v>
      </c>
      <c r="WJ1374" s="433" t="s">
        <v>699</v>
      </c>
      <c r="WK1374" s="433" t="s">
        <v>699</v>
      </c>
      <c r="WL1374" s="433" t="s">
        <v>699</v>
      </c>
      <c r="WM1374" s="433" t="s">
        <v>699</v>
      </c>
      <c r="WN1374" s="433" t="s">
        <v>699</v>
      </c>
      <c r="WO1374" s="433" t="s">
        <v>699</v>
      </c>
      <c r="WP1374" s="433" t="s">
        <v>699</v>
      </c>
      <c r="WQ1374" s="154">
        <v>0</v>
      </c>
      <c r="WR1374" s="154">
        <v>0</v>
      </c>
      <c r="WS1374" s="154">
        <v>0</v>
      </c>
      <c r="WT1374" s="154"/>
      <c r="WU1374" s="154"/>
      <c r="WV1374" s="154"/>
      <c r="WW1374" s="433" t="s">
        <v>699</v>
      </c>
      <c r="WX1374" s="433" t="s">
        <v>699</v>
      </c>
      <c r="WY1374" s="433" t="s">
        <v>699</v>
      </c>
      <c r="WZ1374" s="433" t="s">
        <v>699</v>
      </c>
      <c r="XA1374" s="433" t="s">
        <v>699</v>
      </c>
      <c r="XB1374" s="433" t="s">
        <v>699</v>
      </c>
      <c r="XC1374" s="433" t="s">
        <v>699</v>
      </c>
      <c r="XD1374" s="433" t="s">
        <v>699</v>
      </c>
      <c r="XE1374" s="433" t="s">
        <v>699</v>
      </c>
      <c r="XF1374" s="433" t="s">
        <v>699</v>
      </c>
      <c r="XG1374" s="433" t="s">
        <v>699</v>
      </c>
      <c r="XH1374" s="433" t="s">
        <v>699</v>
      </c>
      <c r="XI1374" s="433" t="s">
        <v>699</v>
      </c>
      <c r="XJ1374" s="433" t="s">
        <v>699</v>
      </c>
      <c r="XK1374" s="433" t="s">
        <v>699</v>
      </c>
      <c r="XL1374" s="154">
        <v>0</v>
      </c>
      <c r="XM1374" s="154">
        <v>0</v>
      </c>
      <c r="XN1374" s="154">
        <v>0</v>
      </c>
      <c r="XO1374" s="154"/>
      <c r="XP1374" s="154"/>
      <c r="XQ1374" s="154"/>
      <c r="XR1374" s="433" t="s">
        <v>699</v>
      </c>
      <c r="XS1374" s="433" t="s">
        <v>699</v>
      </c>
      <c r="XT1374" s="433" t="s">
        <v>699</v>
      </c>
      <c r="XU1374" s="433" t="s">
        <v>699</v>
      </c>
      <c r="XV1374" s="433" t="s">
        <v>699</v>
      </c>
      <c r="XW1374" s="433" t="s">
        <v>699</v>
      </c>
      <c r="XX1374" s="433" t="s">
        <v>699</v>
      </c>
      <c r="XY1374" s="433" t="s">
        <v>699</v>
      </c>
      <c r="XZ1374" s="433" t="s">
        <v>699</v>
      </c>
      <c r="YA1374" s="433" t="s">
        <v>699</v>
      </c>
      <c r="YB1374" s="433" t="s">
        <v>699</v>
      </c>
      <c r="YC1374" s="433" t="s">
        <v>699</v>
      </c>
      <c r="YD1374" s="433" t="s">
        <v>699</v>
      </c>
      <c r="YE1374" s="433" t="s">
        <v>699</v>
      </c>
      <c r="YF1374" s="433" t="s">
        <v>699</v>
      </c>
      <c r="YG1374" s="154">
        <v>392600</v>
      </c>
      <c r="YH1374" s="154">
        <v>405800</v>
      </c>
      <c r="YI1374" s="154">
        <v>473800</v>
      </c>
      <c r="YJ1374" s="154"/>
      <c r="YK1374" s="154"/>
      <c r="YL1374" s="154"/>
      <c r="YM1374" s="433" t="s">
        <v>699</v>
      </c>
      <c r="YN1374" s="433" t="s">
        <v>699</v>
      </c>
      <c r="YO1374" s="433" t="s">
        <v>699</v>
      </c>
      <c r="YP1374" s="433" t="s">
        <v>699</v>
      </c>
      <c r="YQ1374" s="433" t="s">
        <v>699</v>
      </c>
      <c r="YR1374" s="433" t="s">
        <v>699</v>
      </c>
      <c r="YS1374" s="433" t="s">
        <v>699</v>
      </c>
      <c r="YT1374" s="433" t="s">
        <v>699</v>
      </c>
      <c r="YU1374" s="433" t="s">
        <v>699</v>
      </c>
      <c r="YV1374" s="433" t="s">
        <v>699</v>
      </c>
      <c r="YW1374" s="433" t="s">
        <v>699</v>
      </c>
      <c r="YX1374" s="433" t="s">
        <v>699</v>
      </c>
      <c r="YY1374" s="433" t="s">
        <v>699</v>
      </c>
      <c r="YZ1374" s="433" t="s">
        <v>699</v>
      </c>
      <c r="ZA1374" s="433" t="s">
        <v>699</v>
      </c>
      <c r="ZB1374" s="191">
        <f t="shared" si="3452"/>
        <v>3711300</v>
      </c>
      <c r="ZC1374" s="191">
        <f t="shared" si="3452"/>
        <v>3899100</v>
      </c>
      <c r="ZD1374" s="191">
        <f t="shared" si="3452"/>
        <v>4054200</v>
      </c>
      <c r="ZE1374" s="191">
        <f t="shared" si="3452"/>
        <v>0</v>
      </c>
      <c r="ZF1374" s="191">
        <f t="shared" si="3452"/>
        <v>0</v>
      </c>
      <c r="ZG1374" s="191">
        <f t="shared" si="3452"/>
        <v>0</v>
      </c>
    </row>
    <row r="1375" spans="1:684" s="1270" customFormat="1" ht="36.75" customHeight="1" x14ac:dyDescent="0.25">
      <c r="A1375" s="1271" t="s">
        <v>2234</v>
      </c>
      <c r="B1375" s="1272"/>
      <c r="C1375" s="1273" t="s">
        <v>720</v>
      </c>
      <c r="D1375" s="1341"/>
      <c r="E1375" s="1342"/>
      <c r="F1375" s="1274"/>
      <c r="G1375" s="1274"/>
      <c r="H1375" s="1274"/>
      <c r="I1375" s="1275"/>
      <c r="J1375" s="1275"/>
      <c r="K1375" s="1275"/>
      <c r="L1375" s="1276" t="s">
        <v>699</v>
      </c>
      <c r="M1375" s="1276" t="s">
        <v>699</v>
      </c>
      <c r="N1375" s="1276" t="s">
        <v>699</v>
      </c>
      <c r="O1375" s="1276" t="s">
        <v>699</v>
      </c>
      <c r="P1375" s="1276" t="s">
        <v>699</v>
      </c>
      <c r="Q1375" s="1276" t="s">
        <v>699</v>
      </c>
      <c r="R1375" s="1276" t="s">
        <v>699</v>
      </c>
      <c r="S1375" s="1276" t="s">
        <v>699</v>
      </c>
      <c r="T1375" s="1276" t="s">
        <v>699</v>
      </c>
      <c r="U1375" s="1276" t="s">
        <v>699</v>
      </c>
      <c r="V1375" s="1276" t="s">
        <v>699</v>
      </c>
      <c r="W1375" s="1276" t="s">
        <v>699</v>
      </c>
      <c r="X1375" s="1276" t="s">
        <v>699</v>
      </c>
      <c r="Y1375" s="1276" t="s">
        <v>699</v>
      </c>
      <c r="Z1375" s="1276" t="s">
        <v>699</v>
      </c>
      <c r="AA1375" s="1277">
        <f>AA1315+AA1357+AA1374</f>
        <v>30372500</v>
      </c>
      <c r="AB1375" s="1277">
        <f t="shared" ref="AB1375:AF1375" si="3455">AB1315+AB1357+AB1374</f>
        <v>32084000</v>
      </c>
      <c r="AC1375" s="1277">
        <f t="shared" si="3455"/>
        <v>33829900</v>
      </c>
      <c r="AD1375" s="1277">
        <f t="shared" si="3455"/>
        <v>4268000</v>
      </c>
      <c r="AE1375" s="1277">
        <f t="shared" si="3455"/>
        <v>4365000</v>
      </c>
      <c r="AF1375" s="1277">
        <f t="shared" si="3455"/>
        <v>4402200</v>
      </c>
      <c r="AG1375" s="1276" t="s">
        <v>699</v>
      </c>
      <c r="AH1375" s="1276" t="s">
        <v>699</v>
      </c>
      <c r="AI1375" s="1276" t="s">
        <v>699</v>
      </c>
      <c r="AJ1375" s="1276" t="s">
        <v>699</v>
      </c>
      <c r="AK1375" s="1276" t="s">
        <v>699</v>
      </c>
      <c r="AL1375" s="1276" t="s">
        <v>699</v>
      </c>
      <c r="AM1375" s="1276" t="s">
        <v>699</v>
      </c>
      <c r="AN1375" s="1276" t="s">
        <v>699</v>
      </c>
      <c r="AO1375" s="1276" t="s">
        <v>699</v>
      </c>
      <c r="AP1375" s="1276" t="s">
        <v>699</v>
      </c>
      <c r="AQ1375" s="1276" t="s">
        <v>699</v>
      </c>
      <c r="AR1375" s="1276" t="s">
        <v>699</v>
      </c>
      <c r="AS1375" s="1276" t="s">
        <v>699</v>
      </c>
      <c r="AT1375" s="1276" t="s">
        <v>699</v>
      </c>
      <c r="AU1375" s="1276" t="s">
        <v>699</v>
      </c>
      <c r="AV1375" s="1277">
        <f t="shared" ref="AV1375:BA1375" si="3456">AV1315+AV1357+AV1374</f>
        <v>49720600</v>
      </c>
      <c r="AW1375" s="1277">
        <f t="shared" si="3456"/>
        <v>52523300</v>
      </c>
      <c r="AX1375" s="1277">
        <f t="shared" si="3456"/>
        <v>55384000</v>
      </c>
      <c r="AY1375" s="1277">
        <f t="shared" si="3456"/>
        <v>6522700</v>
      </c>
      <c r="AZ1375" s="1277">
        <f t="shared" si="3456"/>
        <v>6730300</v>
      </c>
      <c r="BA1375" s="1277">
        <f t="shared" si="3456"/>
        <v>6820600</v>
      </c>
      <c r="BB1375" s="1276" t="s">
        <v>699</v>
      </c>
      <c r="BC1375" s="1276" t="s">
        <v>699</v>
      </c>
      <c r="BD1375" s="1276" t="s">
        <v>699</v>
      </c>
      <c r="BE1375" s="1276" t="s">
        <v>699</v>
      </c>
      <c r="BF1375" s="1276" t="s">
        <v>699</v>
      </c>
      <c r="BG1375" s="1276" t="s">
        <v>699</v>
      </c>
      <c r="BH1375" s="1276" t="s">
        <v>699</v>
      </c>
      <c r="BI1375" s="1276" t="s">
        <v>699</v>
      </c>
      <c r="BJ1375" s="1276" t="s">
        <v>699</v>
      </c>
      <c r="BK1375" s="1276" t="s">
        <v>699</v>
      </c>
      <c r="BL1375" s="1276" t="s">
        <v>699</v>
      </c>
      <c r="BM1375" s="1276" t="s">
        <v>699</v>
      </c>
      <c r="BN1375" s="1276" t="s">
        <v>699</v>
      </c>
      <c r="BO1375" s="1276" t="s">
        <v>699</v>
      </c>
      <c r="BP1375" s="1276" t="s">
        <v>699</v>
      </c>
      <c r="BQ1375" s="1277">
        <f t="shared" ref="BQ1375:BV1375" si="3457">BQ1315+BQ1357+BQ1374</f>
        <v>40180500</v>
      </c>
      <c r="BR1375" s="1277">
        <f t="shared" si="3457"/>
        <v>42444400</v>
      </c>
      <c r="BS1375" s="1277">
        <f t="shared" si="3457"/>
        <v>44753400</v>
      </c>
      <c r="BT1375" s="1277">
        <f t="shared" si="3457"/>
        <v>4359400</v>
      </c>
      <c r="BU1375" s="1277">
        <f t="shared" si="3457"/>
        <v>4534500</v>
      </c>
      <c r="BV1375" s="1277">
        <f t="shared" si="3457"/>
        <v>4603100</v>
      </c>
      <c r="BW1375" s="1276" t="s">
        <v>699</v>
      </c>
      <c r="BX1375" s="1276" t="s">
        <v>699</v>
      </c>
      <c r="BY1375" s="1276" t="s">
        <v>699</v>
      </c>
      <c r="BZ1375" s="1276" t="s">
        <v>699</v>
      </c>
      <c r="CA1375" s="1276" t="s">
        <v>699</v>
      </c>
      <c r="CB1375" s="1276" t="s">
        <v>699</v>
      </c>
      <c r="CC1375" s="1276" t="s">
        <v>699</v>
      </c>
      <c r="CD1375" s="1276" t="s">
        <v>699</v>
      </c>
      <c r="CE1375" s="1276" t="s">
        <v>699</v>
      </c>
      <c r="CF1375" s="1276" t="s">
        <v>699</v>
      </c>
      <c r="CG1375" s="1276" t="s">
        <v>699</v>
      </c>
      <c r="CH1375" s="1276" t="s">
        <v>699</v>
      </c>
      <c r="CI1375" s="1276" t="s">
        <v>699</v>
      </c>
      <c r="CJ1375" s="1276" t="s">
        <v>699</v>
      </c>
      <c r="CK1375" s="1276" t="s">
        <v>699</v>
      </c>
      <c r="CL1375" s="1277">
        <f t="shared" ref="CL1375:CQ1375" si="3458">CL1315+CL1357+CL1374</f>
        <v>30244200</v>
      </c>
      <c r="CM1375" s="1277">
        <f t="shared" si="3458"/>
        <v>31949300</v>
      </c>
      <c r="CN1375" s="1277">
        <f t="shared" si="3458"/>
        <v>33688900</v>
      </c>
      <c r="CO1375" s="1277">
        <f t="shared" si="3458"/>
        <v>5774000</v>
      </c>
      <c r="CP1375" s="1277">
        <f t="shared" si="3458"/>
        <v>5893800</v>
      </c>
      <c r="CQ1375" s="1277">
        <f t="shared" si="3458"/>
        <v>5939500</v>
      </c>
      <c r="CR1375" s="1276" t="s">
        <v>699</v>
      </c>
      <c r="CS1375" s="1276" t="s">
        <v>699</v>
      </c>
      <c r="CT1375" s="1276" t="s">
        <v>699</v>
      </c>
      <c r="CU1375" s="1276" t="s">
        <v>699</v>
      </c>
      <c r="CV1375" s="1276" t="s">
        <v>699</v>
      </c>
      <c r="CW1375" s="1276" t="s">
        <v>699</v>
      </c>
      <c r="CX1375" s="1276" t="s">
        <v>699</v>
      </c>
      <c r="CY1375" s="1276" t="s">
        <v>699</v>
      </c>
      <c r="CZ1375" s="1276" t="s">
        <v>699</v>
      </c>
      <c r="DA1375" s="1276" t="s">
        <v>699</v>
      </c>
      <c r="DB1375" s="1276" t="s">
        <v>699</v>
      </c>
      <c r="DC1375" s="1276" t="s">
        <v>699</v>
      </c>
      <c r="DD1375" s="1276" t="s">
        <v>699</v>
      </c>
      <c r="DE1375" s="1276" t="s">
        <v>699</v>
      </c>
      <c r="DF1375" s="1276" t="s">
        <v>699</v>
      </c>
      <c r="DG1375" s="1277">
        <f t="shared" ref="DG1375:DL1375" si="3459">DG1315+DG1357+DG1374</f>
        <v>43633000</v>
      </c>
      <c r="DH1375" s="1277">
        <f t="shared" si="3459"/>
        <v>46091800</v>
      </c>
      <c r="DI1375" s="1277">
        <f t="shared" si="3459"/>
        <v>48598300</v>
      </c>
      <c r="DJ1375" s="1277">
        <f t="shared" si="3459"/>
        <v>4343800</v>
      </c>
      <c r="DK1375" s="1277">
        <f t="shared" si="3459"/>
        <v>4440400</v>
      </c>
      <c r="DL1375" s="1277">
        <f t="shared" si="3459"/>
        <v>4481200</v>
      </c>
      <c r="DM1375" s="1276" t="s">
        <v>699</v>
      </c>
      <c r="DN1375" s="1276" t="s">
        <v>699</v>
      </c>
      <c r="DO1375" s="1276" t="s">
        <v>699</v>
      </c>
      <c r="DP1375" s="1276" t="s">
        <v>699</v>
      </c>
      <c r="DQ1375" s="1276" t="s">
        <v>699</v>
      </c>
      <c r="DR1375" s="1276" t="s">
        <v>699</v>
      </c>
      <c r="DS1375" s="1276" t="s">
        <v>699</v>
      </c>
      <c r="DT1375" s="1276" t="s">
        <v>699</v>
      </c>
      <c r="DU1375" s="1276" t="s">
        <v>699</v>
      </c>
      <c r="DV1375" s="1276" t="s">
        <v>699</v>
      </c>
      <c r="DW1375" s="1276" t="s">
        <v>699</v>
      </c>
      <c r="DX1375" s="1276" t="s">
        <v>699</v>
      </c>
      <c r="DY1375" s="1276" t="s">
        <v>699</v>
      </c>
      <c r="DZ1375" s="1276" t="s">
        <v>699</v>
      </c>
      <c r="EA1375" s="1276" t="s">
        <v>699</v>
      </c>
      <c r="EB1375" s="1277">
        <f t="shared" ref="EB1375:EG1375" si="3460">EB1315+EB1357+EB1374</f>
        <v>34485700</v>
      </c>
      <c r="EC1375" s="1277">
        <f t="shared" si="3460"/>
        <v>36429400</v>
      </c>
      <c r="ED1375" s="1277">
        <f t="shared" si="3460"/>
        <v>38412900</v>
      </c>
      <c r="EE1375" s="1277">
        <f t="shared" si="3460"/>
        <v>6573000</v>
      </c>
      <c r="EF1375" s="1277">
        <f t="shared" si="3460"/>
        <v>6523700</v>
      </c>
      <c r="EG1375" s="1277">
        <f t="shared" si="3460"/>
        <v>6580900</v>
      </c>
      <c r="EH1375" s="1276" t="s">
        <v>699</v>
      </c>
      <c r="EI1375" s="1276" t="s">
        <v>699</v>
      </c>
      <c r="EJ1375" s="1276" t="s">
        <v>699</v>
      </c>
      <c r="EK1375" s="1276" t="s">
        <v>699</v>
      </c>
      <c r="EL1375" s="1276" t="s">
        <v>699</v>
      </c>
      <c r="EM1375" s="1276" t="s">
        <v>699</v>
      </c>
      <c r="EN1375" s="1276" t="s">
        <v>699</v>
      </c>
      <c r="EO1375" s="1276" t="s">
        <v>699</v>
      </c>
      <c r="EP1375" s="1276" t="s">
        <v>699</v>
      </c>
      <c r="EQ1375" s="1276" t="s">
        <v>699</v>
      </c>
      <c r="ER1375" s="1276" t="s">
        <v>699</v>
      </c>
      <c r="ES1375" s="1276" t="s">
        <v>699</v>
      </c>
      <c r="ET1375" s="1276" t="s">
        <v>699</v>
      </c>
      <c r="EU1375" s="1276" t="s">
        <v>699</v>
      </c>
      <c r="EV1375" s="1276" t="s">
        <v>699</v>
      </c>
      <c r="EW1375" s="1277">
        <f t="shared" ref="EW1375:FB1375" si="3461">EW1315+EW1357+EW1374</f>
        <v>30879200</v>
      </c>
      <c r="EX1375" s="1277">
        <f t="shared" si="3461"/>
        <v>32620100</v>
      </c>
      <c r="EY1375" s="1277">
        <f t="shared" si="3461"/>
        <v>34399700</v>
      </c>
      <c r="EZ1375" s="1277">
        <f t="shared" si="3461"/>
        <v>4295200</v>
      </c>
      <c r="FA1375" s="1277">
        <f t="shared" si="3461"/>
        <v>4452200</v>
      </c>
      <c r="FB1375" s="1277">
        <f t="shared" si="3461"/>
        <v>4519900</v>
      </c>
      <c r="FC1375" s="1276" t="s">
        <v>699</v>
      </c>
      <c r="FD1375" s="1276" t="s">
        <v>699</v>
      </c>
      <c r="FE1375" s="1276" t="s">
        <v>699</v>
      </c>
      <c r="FF1375" s="1276" t="s">
        <v>699</v>
      </c>
      <c r="FG1375" s="1276" t="s">
        <v>699</v>
      </c>
      <c r="FH1375" s="1276" t="s">
        <v>699</v>
      </c>
      <c r="FI1375" s="1276" t="s">
        <v>699</v>
      </c>
      <c r="FJ1375" s="1276" t="s">
        <v>699</v>
      </c>
      <c r="FK1375" s="1276" t="s">
        <v>699</v>
      </c>
      <c r="FL1375" s="1276" t="s">
        <v>699</v>
      </c>
      <c r="FM1375" s="1276" t="s">
        <v>699</v>
      </c>
      <c r="FN1375" s="1276" t="s">
        <v>699</v>
      </c>
      <c r="FO1375" s="1276" t="s">
        <v>699</v>
      </c>
      <c r="FP1375" s="1276" t="s">
        <v>699</v>
      </c>
      <c r="FQ1375" s="1276" t="s">
        <v>699</v>
      </c>
      <c r="FR1375" s="1277">
        <f t="shared" ref="FR1375:FW1375" si="3462">FR1315+FR1357+FR1374</f>
        <v>36394100</v>
      </c>
      <c r="FS1375" s="1277">
        <f t="shared" si="3462"/>
        <v>38444700</v>
      </c>
      <c r="FT1375" s="1277">
        <f t="shared" si="3462"/>
        <v>40535400</v>
      </c>
      <c r="FU1375" s="1277">
        <f t="shared" si="3462"/>
        <v>5659500</v>
      </c>
      <c r="FV1375" s="1277">
        <f t="shared" si="3462"/>
        <v>5908700</v>
      </c>
      <c r="FW1375" s="1277">
        <f t="shared" si="3462"/>
        <v>5882500</v>
      </c>
      <c r="FX1375" s="1276" t="s">
        <v>699</v>
      </c>
      <c r="FY1375" s="1276" t="s">
        <v>699</v>
      </c>
      <c r="FZ1375" s="1276" t="s">
        <v>699</v>
      </c>
      <c r="GA1375" s="1276" t="s">
        <v>699</v>
      </c>
      <c r="GB1375" s="1276" t="s">
        <v>699</v>
      </c>
      <c r="GC1375" s="1276" t="s">
        <v>699</v>
      </c>
      <c r="GD1375" s="1276" t="s">
        <v>699</v>
      </c>
      <c r="GE1375" s="1276" t="s">
        <v>699</v>
      </c>
      <c r="GF1375" s="1276" t="s">
        <v>699</v>
      </c>
      <c r="GG1375" s="1276" t="s">
        <v>699</v>
      </c>
      <c r="GH1375" s="1276" t="s">
        <v>699</v>
      </c>
      <c r="GI1375" s="1276" t="s">
        <v>699</v>
      </c>
      <c r="GJ1375" s="1276" t="s">
        <v>699</v>
      </c>
      <c r="GK1375" s="1276" t="s">
        <v>699</v>
      </c>
      <c r="GL1375" s="1276" t="s">
        <v>699</v>
      </c>
      <c r="GM1375" s="1277">
        <f t="shared" ref="GM1375:GR1375" si="3463">GM1315+GM1357+GM1374</f>
        <v>43884200</v>
      </c>
      <c r="GN1375" s="1277">
        <f t="shared" si="3463"/>
        <v>46358200</v>
      </c>
      <c r="GO1375" s="1277">
        <f t="shared" si="3463"/>
        <v>48887300</v>
      </c>
      <c r="GP1375" s="1277">
        <f t="shared" si="3463"/>
        <v>6374700</v>
      </c>
      <c r="GQ1375" s="1277">
        <f t="shared" si="3463"/>
        <v>6947900</v>
      </c>
      <c r="GR1375" s="1277">
        <f t="shared" si="3463"/>
        <v>7329300</v>
      </c>
      <c r="GS1375" s="1276" t="s">
        <v>699</v>
      </c>
      <c r="GT1375" s="1276" t="s">
        <v>699</v>
      </c>
      <c r="GU1375" s="1276" t="s">
        <v>699</v>
      </c>
      <c r="GV1375" s="1276" t="s">
        <v>699</v>
      </c>
      <c r="GW1375" s="1276" t="s">
        <v>699</v>
      </c>
      <c r="GX1375" s="1276" t="s">
        <v>699</v>
      </c>
      <c r="GY1375" s="1276" t="s">
        <v>699</v>
      </c>
      <c r="GZ1375" s="1276" t="s">
        <v>699</v>
      </c>
      <c r="HA1375" s="1276" t="s">
        <v>699</v>
      </c>
      <c r="HB1375" s="1276" t="s">
        <v>699</v>
      </c>
      <c r="HC1375" s="1276" t="s">
        <v>699</v>
      </c>
      <c r="HD1375" s="1276" t="s">
        <v>699</v>
      </c>
      <c r="HE1375" s="1276" t="s">
        <v>699</v>
      </c>
      <c r="HF1375" s="1276" t="s">
        <v>699</v>
      </c>
      <c r="HG1375" s="1276" t="s">
        <v>699</v>
      </c>
      <c r="HH1375" s="1277">
        <f t="shared" ref="HH1375:HM1375" si="3464">HH1315+HH1357+HH1374</f>
        <v>38595900</v>
      </c>
      <c r="HI1375" s="1277">
        <f t="shared" si="3464"/>
        <v>40771500</v>
      </c>
      <c r="HJ1375" s="1277">
        <f t="shared" si="3464"/>
        <v>42992400</v>
      </c>
      <c r="HK1375" s="1277">
        <f t="shared" si="3464"/>
        <v>6242000</v>
      </c>
      <c r="HL1375" s="1277">
        <f t="shared" si="3464"/>
        <v>6414000</v>
      </c>
      <c r="HM1375" s="1277">
        <f t="shared" si="3464"/>
        <v>6483600</v>
      </c>
      <c r="HN1375" s="1276" t="s">
        <v>699</v>
      </c>
      <c r="HO1375" s="1276" t="s">
        <v>699</v>
      </c>
      <c r="HP1375" s="1276" t="s">
        <v>699</v>
      </c>
      <c r="HQ1375" s="1276" t="s">
        <v>699</v>
      </c>
      <c r="HR1375" s="1276" t="s">
        <v>699</v>
      </c>
      <c r="HS1375" s="1276" t="s">
        <v>699</v>
      </c>
      <c r="HT1375" s="1276" t="s">
        <v>699</v>
      </c>
      <c r="HU1375" s="1276" t="s">
        <v>699</v>
      </c>
      <c r="HV1375" s="1276" t="s">
        <v>699</v>
      </c>
      <c r="HW1375" s="1276" t="s">
        <v>699</v>
      </c>
      <c r="HX1375" s="1276" t="s">
        <v>699</v>
      </c>
      <c r="HY1375" s="1276" t="s">
        <v>699</v>
      </c>
      <c r="HZ1375" s="1276" t="s">
        <v>699</v>
      </c>
      <c r="IA1375" s="1276" t="s">
        <v>699</v>
      </c>
      <c r="IB1375" s="1276" t="s">
        <v>699</v>
      </c>
      <c r="IC1375" s="1277">
        <f t="shared" ref="IC1375:IH1375" si="3465">IC1315+IC1357+IC1374</f>
        <v>38990100</v>
      </c>
      <c r="ID1375" s="1277">
        <f t="shared" si="3465"/>
        <v>41188400</v>
      </c>
      <c r="IE1375" s="1277">
        <f t="shared" si="3465"/>
        <v>43435200</v>
      </c>
      <c r="IF1375" s="1277">
        <f t="shared" si="3465"/>
        <v>5519600</v>
      </c>
      <c r="IG1375" s="1277">
        <f t="shared" si="3465"/>
        <v>5692700</v>
      </c>
      <c r="IH1375" s="1277">
        <f t="shared" si="3465"/>
        <v>5685300</v>
      </c>
      <c r="II1375" s="1276" t="s">
        <v>699</v>
      </c>
      <c r="IJ1375" s="1276" t="s">
        <v>699</v>
      </c>
      <c r="IK1375" s="1276" t="s">
        <v>699</v>
      </c>
      <c r="IL1375" s="1276" t="s">
        <v>699</v>
      </c>
      <c r="IM1375" s="1276" t="s">
        <v>699</v>
      </c>
      <c r="IN1375" s="1276" t="s">
        <v>699</v>
      </c>
      <c r="IO1375" s="1276" t="s">
        <v>699</v>
      </c>
      <c r="IP1375" s="1276" t="s">
        <v>699</v>
      </c>
      <c r="IQ1375" s="1276" t="s">
        <v>699</v>
      </c>
      <c r="IR1375" s="1276" t="s">
        <v>699</v>
      </c>
      <c r="IS1375" s="1276" t="s">
        <v>699</v>
      </c>
      <c r="IT1375" s="1276" t="s">
        <v>699</v>
      </c>
      <c r="IU1375" s="1276" t="s">
        <v>699</v>
      </c>
      <c r="IV1375" s="1276" t="s">
        <v>699</v>
      </c>
      <c r="IW1375" s="1276" t="s">
        <v>699</v>
      </c>
      <c r="IX1375" s="1277">
        <f t="shared" ref="IX1375:JC1375" si="3466">IX1315+IX1357+IX1374</f>
        <v>25541800</v>
      </c>
      <c r="IY1375" s="1277">
        <f t="shared" si="3466"/>
        <v>26981000</v>
      </c>
      <c r="IZ1375" s="1277">
        <f t="shared" si="3466"/>
        <v>28449500</v>
      </c>
      <c r="JA1375" s="1277">
        <f t="shared" si="3466"/>
        <v>3652300</v>
      </c>
      <c r="JB1375" s="1277">
        <f t="shared" si="3466"/>
        <v>3791000</v>
      </c>
      <c r="JC1375" s="1277">
        <f t="shared" si="3466"/>
        <v>3774500</v>
      </c>
      <c r="JD1375" s="1276" t="s">
        <v>699</v>
      </c>
      <c r="JE1375" s="1276" t="s">
        <v>699</v>
      </c>
      <c r="JF1375" s="1276" t="s">
        <v>699</v>
      </c>
      <c r="JG1375" s="1276" t="s">
        <v>699</v>
      </c>
      <c r="JH1375" s="1276" t="s">
        <v>699</v>
      </c>
      <c r="JI1375" s="1276" t="s">
        <v>699</v>
      </c>
      <c r="JJ1375" s="1276" t="s">
        <v>699</v>
      </c>
      <c r="JK1375" s="1276" t="s">
        <v>699</v>
      </c>
      <c r="JL1375" s="1276" t="s">
        <v>699</v>
      </c>
      <c r="JM1375" s="1276" t="s">
        <v>699</v>
      </c>
      <c r="JN1375" s="1276" t="s">
        <v>699</v>
      </c>
      <c r="JO1375" s="1276" t="s">
        <v>699</v>
      </c>
      <c r="JP1375" s="1276" t="s">
        <v>699</v>
      </c>
      <c r="JQ1375" s="1276" t="s">
        <v>699</v>
      </c>
      <c r="JR1375" s="1276" t="s">
        <v>699</v>
      </c>
      <c r="JS1375" s="1277">
        <f t="shared" ref="JS1375:JX1375" si="3467">JS1315+JS1357+JS1374</f>
        <v>39852300</v>
      </c>
      <c r="JT1375" s="1277">
        <f t="shared" si="3467"/>
        <v>42098900</v>
      </c>
      <c r="JU1375" s="1277">
        <f t="shared" si="3467"/>
        <v>44395600</v>
      </c>
      <c r="JV1375" s="1277">
        <f t="shared" si="3467"/>
        <v>5169500</v>
      </c>
      <c r="JW1375" s="1277">
        <f t="shared" si="3467"/>
        <v>5401000</v>
      </c>
      <c r="JX1375" s="1277">
        <f t="shared" si="3467"/>
        <v>5469700</v>
      </c>
      <c r="JY1375" s="1276" t="s">
        <v>699</v>
      </c>
      <c r="JZ1375" s="1276" t="s">
        <v>699</v>
      </c>
      <c r="KA1375" s="1276" t="s">
        <v>699</v>
      </c>
      <c r="KB1375" s="1276" t="s">
        <v>699</v>
      </c>
      <c r="KC1375" s="1276" t="s">
        <v>699</v>
      </c>
      <c r="KD1375" s="1276" t="s">
        <v>699</v>
      </c>
      <c r="KE1375" s="1276" t="s">
        <v>699</v>
      </c>
      <c r="KF1375" s="1276" t="s">
        <v>699</v>
      </c>
      <c r="KG1375" s="1276" t="s">
        <v>699</v>
      </c>
      <c r="KH1375" s="1276" t="s">
        <v>699</v>
      </c>
      <c r="KI1375" s="1276" t="s">
        <v>699</v>
      </c>
      <c r="KJ1375" s="1276" t="s">
        <v>699</v>
      </c>
      <c r="KK1375" s="1276" t="s">
        <v>699</v>
      </c>
      <c r="KL1375" s="1276" t="s">
        <v>699</v>
      </c>
      <c r="KM1375" s="1276" t="s">
        <v>699</v>
      </c>
      <c r="KN1375" s="1277">
        <f t="shared" ref="KN1375:KS1375" si="3468">KN1315+KN1357+KN1374</f>
        <v>44669100</v>
      </c>
      <c r="KO1375" s="1277">
        <f t="shared" si="3468"/>
        <v>47187000</v>
      </c>
      <c r="KP1375" s="1277">
        <f t="shared" si="3468"/>
        <v>49757100</v>
      </c>
      <c r="KQ1375" s="1277">
        <f t="shared" si="3468"/>
        <v>5425000</v>
      </c>
      <c r="KR1375" s="1277">
        <f t="shared" si="3468"/>
        <v>5608100</v>
      </c>
      <c r="KS1375" s="1277">
        <f t="shared" si="3468"/>
        <v>5646100</v>
      </c>
      <c r="KT1375" s="1276" t="s">
        <v>699</v>
      </c>
      <c r="KU1375" s="1276" t="s">
        <v>699</v>
      </c>
      <c r="KV1375" s="1276" t="s">
        <v>699</v>
      </c>
      <c r="KW1375" s="1276" t="s">
        <v>699</v>
      </c>
      <c r="KX1375" s="1276" t="s">
        <v>699</v>
      </c>
      <c r="KY1375" s="1276" t="s">
        <v>699</v>
      </c>
      <c r="KZ1375" s="1276" t="s">
        <v>699</v>
      </c>
      <c r="LA1375" s="1276" t="s">
        <v>699</v>
      </c>
      <c r="LB1375" s="1276" t="s">
        <v>699</v>
      </c>
      <c r="LC1375" s="1276" t="s">
        <v>699</v>
      </c>
      <c r="LD1375" s="1276" t="s">
        <v>699</v>
      </c>
      <c r="LE1375" s="1276" t="s">
        <v>699</v>
      </c>
      <c r="LF1375" s="1276" t="s">
        <v>699</v>
      </c>
      <c r="LG1375" s="1276" t="s">
        <v>699</v>
      </c>
      <c r="LH1375" s="1276" t="s">
        <v>699</v>
      </c>
      <c r="LI1375" s="1277">
        <f t="shared" ref="LI1375:LN1375" si="3469">LI1315+LI1357+LI1374</f>
        <v>39972600</v>
      </c>
      <c r="LJ1375" s="1277">
        <f t="shared" si="3469"/>
        <v>42226100</v>
      </c>
      <c r="LK1375" s="1277">
        <f t="shared" si="3469"/>
        <v>44530000</v>
      </c>
      <c r="LL1375" s="1277">
        <f t="shared" si="3469"/>
        <v>7069900</v>
      </c>
      <c r="LM1375" s="1277">
        <f t="shared" si="3469"/>
        <v>7396000</v>
      </c>
      <c r="LN1375" s="1277">
        <f t="shared" si="3469"/>
        <v>7504800</v>
      </c>
      <c r="LO1375" s="1276" t="s">
        <v>699</v>
      </c>
      <c r="LP1375" s="1276" t="s">
        <v>699</v>
      </c>
      <c r="LQ1375" s="1276" t="s">
        <v>699</v>
      </c>
      <c r="LR1375" s="1276" t="s">
        <v>699</v>
      </c>
      <c r="LS1375" s="1276" t="s">
        <v>699</v>
      </c>
      <c r="LT1375" s="1276" t="s">
        <v>699</v>
      </c>
      <c r="LU1375" s="1276" t="s">
        <v>699</v>
      </c>
      <c r="LV1375" s="1276" t="s">
        <v>699</v>
      </c>
      <c r="LW1375" s="1276" t="s">
        <v>699</v>
      </c>
      <c r="LX1375" s="1276" t="s">
        <v>699</v>
      </c>
      <c r="LY1375" s="1276" t="s">
        <v>699</v>
      </c>
      <c r="LZ1375" s="1276" t="s">
        <v>699</v>
      </c>
      <c r="MA1375" s="1276" t="s">
        <v>699</v>
      </c>
      <c r="MB1375" s="1276" t="s">
        <v>699</v>
      </c>
      <c r="MC1375" s="1276" t="s">
        <v>699</v>
      </c>
      <c r="MD1375" s="1277">
        <f t="shared" ref="MD1375:MI1375" si="3470">MD1315+MD1357+MD1374</f>
        <v>42595300</v>
      </c>
      <c r="ME1375" s="1277">
        <f t="shared" si="3470"/>
        <v>44996200</v>
      </c>
      <c r="MF1375" s="1277">
        <f t="shared" si="3470"/>
        <v>47446300</v>
      </c>
      <c r="MG1375" s="1277">
        <f t="shared" si="3470"/>
        <v>6612000</v>
      </c>
      <c r="MH1375" s="1277">
        <f t="shared" si="3470"/>
        <v>6827000</v>
      </c>
      <c r="MI1375" s="1277">
        <f t="shared" si="3470"/>
        <v>6883200</v>
      </c>
      <c r="MJ1375" s="1276" t="s">
        <v>699</v>
      </c>
      <c r="MK1375" s="1276" t="s">
        <v>699</v>
      </c>
      <c r="ML1375" s="1276" t="s">
        <v>699</v>
      </c>
      <c r="MM1375" s="1276" t="s">
        <v>699</v>
      </c>
      <c r="MN1375" s="1276" t="s">
        <v>699</v>
      </c>
      <c r="MO1375" s="1276" t="s">
        <v>699</v>
      </c>
      <c r="MP1375" s="1276" t="s">
        <v>699</v>
      </c>
      <c r="MQ1375" s="1276" t="s">
        <v>699</v>
      </c>
      <c r="MR1375" s="1276" t="s">
        <v>699</v>
      </c>
      <c r="MS1375" s="1276" t="s">
        <v>699</v>
      </c>
      <c r="MT1375" s="1276" t="s">
        <v>699</v>
      </c>
      <c r="MU1375" s="1276" t="s">
        <v>699</v>
      </c>
      <c r="MV1375" s="1276" t="s">
        <v>699</v>
      </c>
      <c r="MW1375" s="1276" t="s">
        <v>699</v>
      </c>
      <c r="MX1375" s="1276" t="s">
        <v>699</v>
      </c>
      <c r="MY1375" s="1277">
        <f t="shared" ref="MY1375:ND1375" si="3471">MY1315+MY1357+MY1374</f>
        <v>43415800</v>
      </c>
      <c r="MZ1375" s="1277">
        <f t="shared" si="3471"/>
        <v>45863400</v>
      </c>
      <c r="NA1375" s="1277">
        <f t="shared" si="3471"/>
        <v>48362300</v>
      </c>
      <c r="NB1375" s="1277">
        <f t="shared" si="3471"/>
        <v>6177600</v>
      </c>
      <c r="NC1375" s="1277">
        <f t="shared" si="3471"/>
        <v>6330900</v>
      </c>
      <c r="ND1375" s="1277">
        <f t="shared" si="3471"/>
        <v>6434900</v>
      </c>
      <c r="NE1375" s="1276" t="s">
        <v>699</v>
      </c>
      <c r="NF1375" s="1276" t="s">
        <v>699</v>
      </c>
      <c r="NG1375" s="1276" t="s">
        <v>699</v>
      </c>
      <c r="NH1375" s="1276" t="s">
        <v>699</v>
      </c>
      <c r="NI1375" s="1276" t="s">
        <v>699</v>
      </c>
      <c r="NJ1375" s="1276" t="s">
        <v>699</v>
      </c>
      <c r="NK1375" s="1276" t="s">
        <v>699</v>
      </c>
      <c r="NL1375" s="1276" t="s">
        <v>699</v>
      </c>
      <c r="NM1375" s="1276" t="s">
        <v>699</v>
      </c>
      <c r="NN1375" s="1276" t="s">
        <v>699</v>
      </c>
      <c r="NO1375" s="1276" t="s">
        <v>699</v>
      </c>
      <c r="NP1375" s="1276" t="s">
        <v>699</v>
      </c>
      <c r="NQ1375" s="1276" t="s">
        <v>699</v>
      </c>
      <c r="NR1375" s="1276" t="s">
        <v>699</v>
      </c>
      <c r="NS1375" s="1276" t="s">
        <v>699</v>
      </c>
      <c r="NT1375" s="1277">
        <f t="shared" ref="NT1375:NY1375" si="3472">NT1315+NT1357+NT1374</f>
        <v>36988100</v>
      </c>
      <c r="NU1375" s="1277">
        <f t="shared" si="3472"/>
        <v>39073400</v>
      </c>
      <c r="NV1375" s="1277">
        <f t="shared" si="3472"/>
        <v>41201100</v>
      </c>
      <c r="NW1375" s="1277">
        <f t="shared" si="3472"/>
        <v>7664400</v>
      </c>
      <c r="NX1375" s="1277">
        <f t="shared" si="3472"/>
        <v>8044300</v>
      </c>
      <c r="NY1375" s="1277">
        <f t="shared" si="3472"/>
        <v>7958000</v>
      </c>
      <c r="NZ1375" s="1276" t="s">
        <v>699</v>
      </c>
      <c r="OA1375" s="1276" t="s">
        <v>699</v>
      </c>
      <c r="OB1375" s="1276" t="s">
        <v>699</v>
      </c>
      <c r="OC1375" s="1276" t="s">
        <v>699</v>
      </c>
      <c r="OD1375" s="1276" t="s">
        <v>699</v>
      </c>
      <c r="OE1375" s="1276" t="s">
        <v>699</v>
      </c>
      <c r="OF1375" s="1276" t="s">
        <v>699</v>
      </c>
      <c r="OG1375" s="1276" t="s">
        <v>699</v>
      </c>
      <c r="OH1375" s="1276" t="s">
        <v>699</v>
      </c>
      <c r="OI1375" s="1276" t="s">
        <v>699</v>
      </c>
      <c r="OJ1375" s="1276" t="s">
        <v>699</v>
      </c>
      <c r="OK1375" s="1276" t="s">
        <v>699</v>
      </c>
      <c r="OL1375" s="1276" t="s">
        <v>699</v>
      </c>
      <c r="OM1375" s="1276" t="s">
        <v>699</v>
      </c>
      <c r="ON1375" s="1276" t="s">
        <v>699</v>
      </c>
      <c r="OO1375" s="1277">
        <f t="shared" ref="OO1375:OT1375" si="3473">OO1315+OO1357+OO1374</f>
        <v>35588700</v>
      </c>
      <c r="OP1375" s="1277">
        <f t="shared" si="3473"/>
        <v>37593600</v>
      </c>
      <c r="OQ1375" s="1277">
        <f t="shared" si="3473"/>
        <v>39638300</v>
      </c>
      <c r="OR1375" s="1277">
        <f t="shared" si="3473"/>
        <v>4997400</v>
      </c>
      <c r="OS1375" s="1277">
        <f t="shared" si="3473"/>
        <v>5238200</v>
      </c>
      <c r="OT1375" s="1277">
        <f t="shared" si="3473"/>
        <v>5278500</v>
      </c>
      <c r="OU1375" s="1276" t="s">
        <v>699</v>
      </c>
      <c r="OV1375" s="1276" t="s">
        <v>699</v>
      </c>
      <c r="OW1375" s="1276" t="s">
        <v>699</v>
      </c>
      <c r="OX1375" s="1276" t="s">
        <v>699</v>
      </c>
      <c r="OY1375" s="1276" t="s">
        <v>699</v>
      </c>
      <c r="OZ1375" s="1276" t="s">
        <v>699</v>
      </c>
      <c r="PA1375" s="1276" t="s">
        <v>699</v>
      </c>
      <c r="PB1375" s="1276" t="s">
        <v>699</v>
      </c>
      <c r="PC1375" s="1276" t="s">
        <v>699</v>
      </c>
      <c r="PD1375" s="1276" t="s">
        <v>699</v>
      </c>
      <c r="PE1375" s="1276" t="s">
        <v>699</v>
      </c>
      <c r="PF1375" s="1276" t="s">
        <v>699</v>
      </c>
      <c r="PG1375" s="1276" t="s">
        <v>699</v>
      </c>
      <c r="PH1375" s="1276" t="s">
        <v>699</v>
      </c>
      <c r="PI1375" s="1276" t="s">
        <v>699</v>
      </c>
      <c r="PJ1375" s="1277">
        <f t="shared" ref="PJ1375:PO1375" si="3474">PJ1315+PJ1357+PJ1374</f>
        <v>42308600</v>
      </c>
      <c r="PK1375" s="1277">
        <f t="shared" si="3474"/>
        <v>44692700</v>
      </c>
      <c r="PL1375" s="1277">
        <f t="shared" si="3474"/>
        <v>47126700</v>
      </c>
      <c r="PM1375" s="1277">
        <f t="shared" si="3474"/>
        <v>6977200</v>
      </c>
      <c r="PN1375" s="1277">
        <f t="shared" si="3474"/>
        <v>7185400</v>
      </c>
      <c r="PO1375" s="1277">
        <f t="shared" si="3474"/>
        <v>7301200</v>
      </c>
      <c r="PP1375" s="1276" t="s">
        <v>699</v>
      </c>
      <c r="PQ1375" s="1276" t="s">
        <v>699</v>
      </c>
      <c r="PR1375" s="1276" t="s">
        <v>699</v>
      </c>
      <c r="PS1375" s="1276" t="s">
        <v>699</v>
      </c>
      <c r="PT1375" s="1276" t="s">
        <v>699</v>
      </c>
      <c r="PU1375" s="1276" t="s">
        <v>699</v>
      </c>
      <c r="PV1375" s="1276" t="s">
        <v>699</v>
      </c>
      <c r="PW1375" s="1276" t="s">
        <v>699</v>
      </c>
      <c r="PX1375" s="1276" t="s">
        <v>699</v>
      </c>
      <c r="PY1375" s="1276" t="s">
        <v>699</v>
      </c>
      <c r="PZ1375" s="1276" t="s">
        <v>699</v>
      </c>
      <c r="QA1375" s="1276" t="s">
        <v>699</v>
      </c>
      <c r="QB1375" s="1276" t="s">
        <v>699</v>
      </c>
      <c r="QC1375" s="1276" t="s">
        <v>699</v>
      </c>
      <c r="QD1375" s="1276" t="s">
        <v>699</v>
      </c>
      <c r="QE1375" s="1277">
        <f t="shared" ref="QE1375:QJ1375" si="3475">QE1315+QE1357+QE1374</f>
        <v>68643300</v>
      </c>
      <c r="QF1375" s="1277">
        <f t="shared" si="3475"/>
        <v>72512800</v>
      </c>
      <c r="QG1375" s="1277">
        <f t="shared" si="3475"/>
        <v>76464400</v>
      </c>
      <c r="QH1375" s="1277">
        <f t="shared" si="3475"/>
        <v>12124700</v>
      </c>
      <c r="QI1375" s="1277">
        <f t="shared" si="3475"/>
        <v>12803100</v>
      </c>
      <c r="QJ1375" s="1277">
        <f t="shared" si="3475"/>
        <v>12937400</v>
      </c>
      <c r="QK1375" s="1276" t="s">
        <v>699</v>
      </c>
      <c r="QL1375" s="1276" t="s">
        <v>699</v>
      </c>
      <c r="QM1375" s="1276" t="s">
        <v>699</v>
      </c>
      <c r="QN1375" s="1276" t="s">
        <v>699</v>
      </c>
      <c r="QO1375" s="1276" t="s">
        <v>699</v>
      </c>
      <c r="QP1375" s="1276" t="s">
        <v>699</v>
      </c>
      <c r="QQ1375" s="1276" t="s">
        <v>699</v>
      </c>
      <c r="QR1375" s="1276" t="s">
        <v>699</v>
      </c>
      <c r="QS1375" s="1276" t="s">
        <v>699</v>
      </c>
      <c r="QT1375" s="1276" t="s">
        <v>699</v>
      </c>
      <c r="QU1375" s="1276" t="s">
        <v>699</v>
      </c>
      <c r="QV1375" s="1276" t="s">
        <v>699</v>
      </c>
      <c r="QW1375" s="1276" t="s">
        <v>699</v>
      </c>
      <c r="QX1375" s="1276" t="s">
        <v>699</v>
      </c>
      <c r="QY1375" s="1276" t="s">
        <v>699</v>
      </c>
      <c r="QZ1375" s="1277">
        <f t="shared" ref="QZ1375:RE1375" si="3476">QZ1315+QZ1357+QZ1374</f>
        <v>52179800</v>
      </c>
      <c r="RA1375" s="1277">
        <f t="shared" si="3476"/>
        <v>55121600</v>
      </c>
      <c r="RB1375" s="1277">
        <f t="shared" si="3476"/>
        <v>58128800</v>
      </c>
      <c r="RC1375" s="1277">
        <f t="shared" si="3476"/>
        <v>8236800</v>
      </c>
      <c r="RD1375" s="1277">
        <f t="shared" si="3476"/>
        <v>8521100</v>
      </c>
      <c r="RE1375" s="1277">
        <f t="shared" si="3476"/>
        <v>8624100</v>
      </c>
      <c r="RF1375" s="1276" t="s">
        <v>699</v>
      </c>
      <c r="RG1375" s="1276" t="s">
        <v>699</v>
      </c>
      <c r="RH1375" s="1276" t="s">
        <v>699</v>
      </c>
      <c r="RI1375" s="1276" t="s">
        <v>699</v>
      </c>
      <c r="RJ1375" s="1276" t="s">
        <v>699</v>
      </c>
      <c r="RK1375" s="1276" t="s">
        <v>699</v>
      </c>
      <c r="RL1375" s="1276" t="s">
        <v>699</v>
      </c>
      <c r="RM1375" s="1276" t="s">
        <v>699</v>
      </c>
      <c r="RN1375" s="1276" t="s">
        <v>699</v>
      </c>
      <c r="RO1375" s="1276" t="s">
        <v>699</v>
      </c>
      <c r="RP1375" s="1276" t="s">
        <v>699</v>
      </c>
      <c r="RQ1375" s="1276" t="s">
        <v>699</v>
      </c>
      <c r="RR1375" s="1276" t="s">
        <v>699</v>
      </c>
      <c r="RS1375" s="1276" t="s">
        <v>699</v>
      </c>
      <c r="RT1375" s="1276" t="s">
        <v>699</v>
      </c>
      <c r="RU1375" s="1277">
        <f t="shared" ref="RU1375:RZ1375" si="3477">RU1315+RU1357+RU1374</f>
        <v>37103800</v>
      </c>
      <c r="RV1375" s="1277">
        <f t="shared" si="3477"/>
        <v>39194300</v>
      </c>
      <c r="RW1375" s="1277">
        <f t="shared" si="3477"/>
        <v>41325700</v>
      </c>
      <c r="RX1375" s="1277">
        <f t="shared" si="3477"/>
        <v>5745500</v>
      </c>
      <c r="RY1375" s="1277">
        <f t="shared" si="3477"/>
        <v>5916800</v>
      </c>
      <c r="RZ1375" s="1277">
        <f t="shared" si="3477"/>
        <v>6009700</v>
      </c>
      <c r="SA1375" s="1276" t="s">
        <v>699</v>
      </c>
      <c r="SB1375" s="1276" t="s">
        <v>699</v>
      </c>
      <c r="SC1375" s="1276" t="s">
        <v>699</v>
      </c>
      <c r="SD1375" s="1276" t="s">
        <v>699</v>
      </c>
      <c r="SE1375" s="1276" t="s">
        <v>699</v>
      </c>
      <c r="SF1375" s="1276" t="s">
        <v>699</v>
      </c>
      <c r="SG1375" s="1276" t="s">
        <v>699</v>
      </c>
      <c r="SH1375" s="1276" t="s">
        <v>699</v>
      </c>
      <c r="SI1375" s="1276" t="s">
        <v>699</v>
      </c>
      <c r="SJ1375" s="1276" t="s">
        <v>699</v>
      </c>
      <c r="SK1375" s="1276" t="s">
        <v>699</v>
      </c>
      <c r="SL1375" s="1276" t="s">
        <v>699</v>
      </c>
      <c r="SM1375" s="1276" t="s">
        <v>699</v>
      </c>
      <c r="SN1375" s="1276" t="s">
        <v>699</v>
      </c>
      <c r="SO1375" s="1276" t="s">
        <v>699</v>
      </c>
      <c r="SP1375" s="1277">
        <f t="shared" ref="SP1375:SU1375" si="3478">SP1315+SP1357+SP1374</f>
        <v>31816200</v>
      </c>
      <c r="SQ1375" s="1277">
        <f t="shared" si="3478"/>
        <v>33609500</v>
      </c>
      <c r="SR1375" s="1277">
        <f t="shared" si="3478"/>
        <v>35439000</v>
      </c>
      <c r="SS1375" s="1277">
        <f t="shared" si="3478"/>
        <v>6430200</v>
      </c>
      <c r="ST1375" s="1277">
        <f t="shared" si="3478"/>
        <v>6688500</v>
      </c>
      <c r="SU1375" s="1277">
        <f t="shared" si="3478"/>
        <v>6778800</v>
      </c>
      <c r="SV1375" s="1276" t="s">
        <v>699</v>
      </c>
      <c r="SW1375" s="1276" t="s">
        <v>699</v>
      </c>
      <c r="SX1375" s="1276" t="s">
        <v>699</v>
      </c>
      <c r="SY1375" s="1276" t="s">
        <v>699</v>
      </c>
      <c r="SZ1375" s="1276" t="s">
        <v>699</v>
      </c>
      <c r="TA1375" s="1276" t="s">
        <v>699</v>
      </c>
      <c r="TB1375" s="1276" t="s">
        <v>699</v>
      </c>
      <c r="TC1375" s="1276" t="s">
        <v>699</v>
      </c>
      <c r="TD1375" s="1276" t="s">
        <v>699</v>
      </c>
      <c r="TE1375" s="1276" t="s">
        <v>699</v>
      </c>
      <c r="TF1375" s="1276" t="s">
        <v>699</v>
      </c>
      <c r="TG1375" s="1276" t="s">
        <v>699</v>
      </c>
      <c r="TH1375" s="1276" t="s">
        <v>699</v>
      </c>
      <c r="TI1375" s="1276" t="s">
        <v>699</v>
      </c>
      <c r="TJ1375" s="1276" t="s">
        <v>699</v>
      </c>
      <c r="TK1375" s="1277">
        <f t="shared" ref="TK1375:TP1375" si="3479">TK1315+TK1357+TK1374</f>
        <v>55816100</v>
      </c>
      <c r="TL1375" s="1277">
        <f t="shared" si="3479"/>
        <v>58962200</v>
      </c>
      <c r="TM1375" s="1277">
        <f t="shared" si="3479"/>
        <v>62170700</v>
      </c>
      <c r="TN1375" s="1277">
        <f t="shared" si="3479"/>
        <v>11974100</v>
      </c>
      <c r="TO1375" s="1277">
        <f t="shared" si="3479"/>
        <v>12334300</v>
      </c>
      <c r="TP1375" s="1277">
        <f t="shared" si="3479"/>
        <v>12423100</v>
      </c>
      <c r="TQ1375" s="1276" t="s">
        <v>699</v>
      </c>
      <c r="TR1375" s="1276" t="s">
        <v>699</v>
      </c>
      <c r="TS1375" s="1276" t="s">
        <v>699</v>
      </c>
      <c r="TT1375" s="1276" t="s">
        <v>699</v>
      </c>
      <c r="TU1375" s="1276" t="s">
        <v>699</v>
      </c>
      <c r="TV1375" s="1276" t="s">
        <v>699</v>
      </c>
      <c r="TW1375" s="1276" t="s">
        <v>699</v>
      </c>
      <c r="TX1375" s="1276" t="s">
        <v>699</v>
      </c>
      <c r="TY1375" s="1276" t="s">
        <v>699</v>
      </c>
      <c r="TZ1375" s="1276" t="s">
        <v>699</v>
      </c>
      <c r="UA1375" s="1276" t="s">
        <v>699</v>
      </c>
      <c r="UB1375" s="1276" t="s">
        <v>699</v>
      </c>
      <c r="UC1375" s="1276" t="s">
        <v>699</v>
      </c>
      <c r="UD1375" s="1276" t="s">
        <v>699</v>
      </c>
      <c r="UE1375" s="1276" t="s">
        <v>699</v>
      </c>
      <c r="UF1375" s="1277">
        <f t="shared" ref="UF1375:UK1375" si="3480">UF1315+UF1357+UF1374</f>
        <v>37073800</v>
      </c>
      <c r="UG1375" s="1277">
        <f t="shared" si="3480"/>
        <v>39163500</v>
      </c>
      <c r="UH1375" s="1277">
        <f t="shared" si="3480"/>
        <v>41298200</v>
      </c>
      <c r="UI1375" s="1277">
        <f t="shared" si="3480"/>
        <v>6384200</v>
      </c>
      <c r="UJ1375" s="1277">
        <f t="shared" si="3480"/>
        <v>6716800</v>
      </c>
      <c r="UK1375" s="1277">
        <f t="shared" si="3480"/>
        <v>6795700</v>
      </c>
      <c r="UL1375" s="1276" t="s">
        <v>699</v>
      </c>
      <c r="UM1375" s="1276" t="s">
        <v>699</v>
      </c>
      <c r="UN1375" s="1276" t="s">
        <v>699</v>
      </c>
      <c r="UO1375" s="1276" t="s">
        <v>699</v>
      </c>
      <c r="UP1375" s="1276" t="s">
        <v>699</v>
      </c>
      <c r="UQ1375" s="1276" t="s">
        <v>699</v>
      </c>
      <c r="UR1375" s="1276" t="s">
        <v>699</v>
      </c>
      <c r="US1375" s="1276" t="s">
        <v>699</v>
      </c>
      <c r="UT1375" s="1276" t="s">
        <v>699</v>
      </c>
      <c r="UU1375" s="1276" t="s">
        <v>699</v>
      </c>
      <c r="UV1375" s="1276" t="s">
        <v>699</v>
      </c>
      <c r="UW1375" s="1276" t="s">
        <v>699</v>
      </c>
      <c r="UX1375" s="1276" t="s">
        <v>699</v>
      </c>
      <c r="UY1375" s="1276" t="s">
        <v>699</v>
      </c>
      <c r="UZ1375" s="1276" t="s">
        <v>699</v>
      </c>
      <c r="VA1375" s="1277">
        <f t="shared" ref="VA1375:VF1375" si="3481">VA1315+VA1357+VA1374</f>
        <v>60019000</v>
      </c>
      <c r="VB1375" s="1277">
        <f t="shared" si="3481"/>
        <v>63384500</v>
      </c>
      <c r="VC1375" s="1277">
        <f t="shared" si="3481"/>
        <v>66795200</v>
      </c>
      <c r="VD1375" s="1277">
        <f t="shared" si="3481"/>
        <v>9629000</v>
      </c>
      <c r="VE1375" s="1277">
        <f t="shared" si="3481"/>
        <v>10094300</v>
      </c>
      <c r="VF1375" s="1277">
        <f t="shared" si="3481"/>
        <v>10280900</v>
      </c>
      <c r="VG1375" s="1276" t="s">
        <v>699</v>
      </c>
      <c r="VH1375" s="1276" t="s">
        <v>699</v>
      </c>
      <c r="VI1375" s="1276" t="s">
        <v>699</v>
      </c>
      <c r="VJ1375" s="1276" t="s">
        <v>699</v>
      </c>
      <c r="VK1375" s="1276" t="s">
        <v>699</v>
      </c>
      <c r="VL1375" s="1276" t="s">
        <v>699</v>
      </c>
      <c r="VM1375" s="1276" t="s">
        <v>699</v>
      </c>
      <c r="VN1375" s="1276" t="s">
        <v>699</v>
      </c>
      <c r="VO1375" s="1276" t="s">
        <v>699</v>
      </c>
      <c r="VP1375" s="1276" t="s">
        <v>699</v>
      </c>
      <c r="VQ1375" s="1276" t="s">
        <v>699</v>
      </c>
      <c r="VR1375" s="1276" t="s">
        <v>699</v>
      </c>
      <c r="VS1375" s="1276" t="s">
        <v>699</v>
      </c>
      <c r="VT1375" s="1276" t="s">
        <v>699</v>
      </c>
      <c r="VU1375" s="1276" t="s">
        <v>699</v>
      </c>
      <c r="VV1375" s="1277">
        <f t="shared" ref="VV1375:WA1375" si="3482">VV1315+VV1357+VV1374</f>
        <v>57638600</v>
      </c>
      <c r="VW1375" s="1277">
        <f t="shared" si="3482"/>
        <v>60887700</v>
      </c>
      <c r="VX1375" s="1277">
        <f t="shared" si="3482"/>
        <v>64206300</v>
      </c>
      <c r="VY1375" s="1277">
        <f t="shared" si="3482"/>
        <v>8704000</v>
      </c>
      <c r="VZ1375" s="1277">
        <f t="shared" si="3482"/>
        <v>9012300</v>
      </c>
      <c r="WA1375" s="1277">
        <f t="shared" si="3482"/>
        <v>9147900</v>
      </c>
      <c r="WB1375" s="1276" t="s">
        <v>699</v>
      </c>
      <c r="WC1375" s="1276" t="s">
        <v>699</v>
      </c>
      <c r="WD1375" s="1276" t="s">
        <v>699</v>
      </c>
      <c r="WE1375" s="1276" t="s">
        <v>699</v>
      </c>
      <c r="WF1375" s="1276" t="s">
        <v>699</v>
      </c>
      <c r="WG1375" s="1276" t="s">
        <v>699</v>
      </c>
      <c r="WH1375" s="1276" t="s">
        <v>699</v>
      </c>
      <c r="WI1375" s="1276" t="s">
        <v>699</v>
      </c>
      <c r="WJ1375" s="1276" t="s">
        <v>699</v>
      </c>
      <c r="WK1375" s="1276" t="s">
        <v>699</v>
      </c>
      <c r="WL1375" s="1276" t="s">
        <v>699</v>
      </c>
      <c r="WM1375" s="1276" t="s">
        <v>699</v>
      </c>
      <c r="WN1375" s="1276" t="s">
        <v>699</v>
      </c>
      <c r="WO1375" s="1276" t="s">
        <v>699</v>
      </c>
      <c r="WP1375" s="1276" t="s">
        <v>699</v>
      </c>
      <c r="WQ1375" s="1277">
        <f t="shared" ref="WQ1375:WV1375" si="3483">WQ1315+WQ1357+WQ1374</f>
        <v>46334700</v>
      </c>
      <c r="WR1375" s="1277">
        <f t="shared" si="3483"/>
        <v>48947000</v>
      </c>
      <c r="WS1375" s="1277">
        <f t="shared" si="3483"/>
        <v>51617200</v>
      </c>
      <c r="WT1375" s="1277">
        <f t="shared" si="3483"/>
        <v>8128200</v>
      </c>
      <c r="WU1375" s="1277">
        <f t="shared" si="3483"/>
        <v>8576100</v>
      </c>
      <c r="WV1375" s="1277">
        <f t="shared" si="3483"/>
        <v>8714800</v>
      </c>
      <c r="WW1375" s="1276" t="s">
        <v>699</v>
      </c>
      <c r="WX1375" s="1276" t="s">
        <v>699</v>
      </c>
      <c r="WY1375" s="1276" t="s">
        <v>699</v>
      </c>
      <c r="WZ1375" s="1276" t="s">
        <v>699</v>
      </c>
      <c r="XA1375" s="1276" t="s">
        <v>699</v>
      </c>
      <c r="XB1375" s="1276" t="s">
        <v>699</v>
      </c>
      <c r="XC1375" s="1276" t="s">
        <v>699</v>
      </c>
      <c r="XD1375" s="1276" t="s">
        <v>699</v>
      </c>
      <c r="XE1375" s="1276" t="s">
        <v>699</v>
      </c>
      <c r="XF1375" s="1276" t="s">
        <v>699</v>
      </c>
      <c r="XG1375" s="1276" t="s">
        <v>699</v>
      </c>
      <c r="XH1375" s="1276" t="s">
        <v>699</v>
      </c>
      <c r="XI1375" s="1276" t="s">
        <v>699</v>
      </c>
      <c r="XJ1375" s="1276" t="s">
        <v>699</v>
      </c>
      <c r="XK1375" s="1276" t="s">
        <v>699</v>
      </c>
      <c r="XL1375" s="1277">
        <f t="shared" ref="XL1375:XQ1375" si="3484">XL1315+XL1357+XL1374</f>
        <v>53502300</v>
      </c>
      <c r="XM1375" s="1277">
        <f t="shared" si="3484"/>
        <v>56518600</v>
      </c>
      <c r="XN1375" s="1277">
        <f t="shared" si="3484"/>
        <v>59602100</v>
      </c>
      <c r="XO1375" s="1277">
        <f t="shared" si="3484"/>
        <v>10004900</v>
      </c>
      <c r="XP1375" s="1277">
        <f t="shared" si="3484"/>
        <v>10441600</v>
      </c>
      <c r="XQ1375" s="1277">
        <f t="shared" si="3484"/>
        <v>10549300</v>
      </c>
      <c r="XR1375" s="1276" t="s">
        <v>699</v>
      </c>
      <c r="XS1375" s="1276" t="s">
        <v>699</v>
      </c>
      <c r="XT1375" s="1276" t="s">
        <v>699</v>
      </c>
      <c r="XU1375" s="1276" t="s">
        <v>699</v>
      </c>
      <c r="XV1375" s="1276" t="s">
        <v>699</v>
      </c>
      <c r="XW1375" s="1276" t="s">
        <v>699</v>
      </c>
      <c r="XX1375" s="1276" t="s">
        <v>699</v>
      </c>
      <c r="XY1375" s="1276" t="s">
        <v>699</v>
      </c>
      <c r="XZ1375" s="1276" t="s">
        <v>699</v>
      </c>
      <c r="YA1375" s="1276" t="s">
        <v>699</v>
      </c>
      <c r="YB1375" s="1276" t="s">
        <v>699</v>
      </c>
      <c r="YC1375" s="1276" t="s">
        <v>699</v>
      </c>
      <c r="YD1375" s="1276" t="s">
        <v>699</v>
      </c>
      <c r="YE1375" s="1276" t="s">
        <v>699</v>
      </c>
      <c r="YF1375" s="1276" t="s">
        <v>699</v>
      </c>
      <c r="YG1375" s="1277">
        <f t="shared" ref="YG1375:YL1375" si="3485">YG1315+YG1357+YG1374</f>
        <v>46294500</v>
      </c>
      <c r="YH1375" s="1277">
        <f t="shared" si="3485"/>
        <v>48894900</v>
      </c>
      <c r="YI1375" s="1277">
        <f t="shared" si="3485"/>
        <v>51609300</v>
      </c>
      <c r="YJ1375" s="1277">
        <f t="shared" si="3485"/>
        <v>43902400</v>
      </c>
      <c r="YK1375" s="1277">
        <f t="shared" si="3485"/>
        <v>48037100</v>
      </c>
      <c r="YL1375" s="1277">
        <f t="shared" si="3485"/>
        <v>48535400</v>
      </c>
      <c r="YM1375" s="1276" t="s">
        <v>699</v>
      </c>
      <c r="YN1375" s="1276" t="s">
        <v>699</v>
      </c>
      <c r="YO1375" s="1276" t="s">
        <v>699</v>
      </c>
      <c r="YP1375" s="1276" t="s">
        <v>699</v>
      </c>
      <c r="YQ1375" s="1276" t="s">
        <v>699</v>
      </c>
      <c r="YR1375" s="1276" t="s">
        <v>699</v>
      </c>
      <c r="YS1375" s="1276" t="s">
        <v>699</v>
      </c>
      <c r="YT1375" s="1276" t="s">
        <v>699</v>
      </c>
      <c r="YU1375" s="1276" t="s">
        <v>699</v>
      </c>
      <c r="YV1375" s="1276" t="s">
        <v>699</v>
      </c>
      <c r="YW1375" s="1276" t="s">
        <v>699</v>
      </c>
      <c r="YX1375" s="1276" t="s">
        <v>699</v>
      </c>
      <c r="YY1375" s="1276" t="s">
        <v>699</v>
      </c>
      <c r="YZ1375" s="1276" t="s">
        <v>699</v>
      </c>
      <c r="ZA1375" s="1276" t="s">
        <v>699</v>
      </c>
      <c r="ZB1375" s="1277">
        <f t="shared" ref="ZB1375:ZG1375" si="3486">ZB1315+ZB1357+ZB1374</f>
        <v>1314734400</v>
      </c>
      <c r="ZC1375" s="1277">
        <f t="shared" si="3486"/>
        <v>1388814000</v>
      </c>
      <c r="ZD1375" s="1277">
        <f t="shared" si="3486"/>
        <v>1464481200</v>
      </c>
      <c r="ZE1375" s="1277">
        <f t="shared" si="3486"/>
        <v>244941200</v>
      </c>
      <c r="ZF1375" s="1277">
        <f t="shared" si="3486"/>
        <v>256867100</v>
      </c>
      <c r="ZG1375" s="1277">
        <f t="shared" si="3486"/>
        <v>259776100</v>
      </c>
    </row>
    <row r="1377" spans="1:681" x14ac:dyDescent="0.25">
      <c r="A1377" s="420"/>
      <c r="B1377" s="420" t="s">
        <v>1046</v>
      </c>
      <c r="C1377" s="327"/>
      <c r="D1377" s="420"/>
      <c r="E1377" s="420"/>
      <c r="F1377" s="420"/>
      <c r="G1377" s="420"/>
      <c r="H1377" s="420" t="s">
        <v>259</v>
      </c>
      <c r="ZE1377" s="218"/>
    </row>
    <row r="1378" spans="1:681" x14ac:dyDescent="0.25">
      <c r="ZE1378" s="218"/>
    </row>
  </sheetData>
  <mergeCells count="1050">
    <mergeCell ref="I70:J70"/>
    <mergeCell ref="I329:J329"/>
    <mergeCell ref="I1210:J1210"/>
    <mergeCell ref="I27:J27"/>
    <mergeCell ref="I34:J34"/>
    <mergeCell ref="I38:J38"/>
    <mergeCell ref="I39:J39"/>
    <mergeCell ref="I41:J41"/>
    <mergeCell ref="I42:J42"/>
    <mergeCell ref="I43:J43"/>
    <mergeCell ref="I44:J44"/>
    <mergeCell ref="I31:J31"/>
    <mergeCell ref="I32:J32"/>
    <mergeCell ref="I33:J33"/>
    <mergeCell ref="I35:J35"/>
    <mergeCell ref="I36:J36"/>
    <mergeCell ref="I37:J37"/>
    <mergeCell ref="I61:J61"/>
    <mergeCell ref="I60:J60"/>
    <mergeCell ref="D1375:E1375"/>
    <mergeCell ref="I921:J921"/>
    <mergeCell ref="I223:J223"/>
    <mergeCell ref="I475:J475"/>
    <mergeCell ref="I538:J538"/>
    <mergeCell ref="I601:J601"/>
    <mergeCell ref="I664:J664"/>
    <mergeCell ref="I726:J726"/>
    <mergeCell ref="I789:J789"/>
    <mergeCell ref="I852:J852"/>
    <mergeCell ref="I915:J915"/>
    <mergeCell ref="I40:J40"/>
    <mergeCell ref="I229:J229"/>
    <mergeCell ref="I481:J481"/>
    <mergeCell ref="I544:J544"/>
    <mergeCell ref="I607:J607"/>
    <mergeCell ref="I732:J732"/>
    <mergeCell ref="I795:J795"/>
    <mergeCell ref="I858:J858"/>
    <mergeCell ref="I46:J46"/>
    <mergeCell ref="I47:J47"/>
    <mergeCell ref="I48:J48"/>
    <mergeCell ref="I49:J49"/>
    <mergeCell ref="I50:J50"/>
    <mergeCell ref="I63:J63"/>
    <mergeCell ref="I64:J64"/>
    <mergeCell ref="I65:J65"/>
    <mergeCell ref="I66:J66"/>
    <mergeCell ref="I67:J67"/>
    <mergeCell ref="I68:J68"/>
    <mergeCell ref="I57:J57"/>
    <mergeCell ref="I58:J58"/>
    <mergeCell ref="E2:H2"/>
    <mergeCell ref="E3:H3"/>
    <mergeCell ref="E5:H5"/>
    <mergeCell ref="E6:H6"/>
    <mergeCell ref="A7:H7"/>
    <mergeCell ref="A8:H8"/>
    <mergeCell ref="A9:H9"/>
    <mergeCell ref="A10:A12"/>
    <mergeCell ref="B10:B12"/>
    <mergeCell ref="C10:D11"/>
    <mergeCell ref="E10:E12"/>
    <mergeCell ref="F10:F12"/>
    <mergeCell ref="G10:G12"/>
    <mergeCell ref="H10:H12"/>
    <mergeCell ref="I25:J25"/>
    <mergeCell ref="I26:J26"/>
    <mergeCell ref="I28:J28"/>
    <mergeCell ref="I19:J19"/>
    <mergeCell ref="I20:J20"/>
    <mergeCell ref="I21:J21"/>
    <mergeCell ref="I22:J22"/>
    <mergeCell ref="I23:J23"/>
    <mergeCell ref="I24:J24"/>
    <mergeCell ref="I10:J12"/>
    <mergeCell ref="F13:H13"/>
    <mergeCell ref="I15:J15"/>
    <mergeCell ref="I16:J16"/>
    <mergeCell ref="I17:J17"/>
    <mergeCell ref="I18:J18"/>
    <mergeCell ref="I29:J29"/>
    <mergeCell ref="I30:J30"/>
    <mergeCell ref="I62:J62"/>
    <mergeCell ref="I51:J51"/>
    <mergeCell ref="I52:J52"/>
    <mergeCell ref="I53:J53"/>
    <mergeCell ref="I54:J54"/>
    <mergeCell ref="I55:J55"/>
    <mergeCell ref="I56:J56"/>
    <mergeCell ref="I87:J87"/>
    <mergeCell ref="I88:J88"/>
    <mergeCell ref="I89:J89"/>
    <mergeCell ref="I90:J90"/>
    <mergeCell ref="I91:J91"/>
    <mergeCell ref="I92:J92"/>
    <mergeCell ref="I76:J76"/>
    <mergeCell ref="I79:J79"/>
    <mergeCell ref="I80:J80"/>
    <mergeCell ref="I81:J81"/>
    <mergeCell ref="I82:J82"/>
    <mergeCell ref="I83:J83"/>
    <mergeCell ref="I84:J84"/>
    <mergeCell ref="I85:J85"/>
    <mergeCell ref="I86:J86"/>
    <mergeCell ref="I69:J69"/>
    <mergeCell ref="I71:J71"/>
    <mergeCell ref="I72:J72"/>
    <mergeCell ref="I73:J73"/>
    <mergeCell ref="I74:J74"/>
    <mergeCell ref="I75:J75"/>
    <mergeCell ref="I45:J45"/>
    <mergeCell ref="I59:J59"/>
    <mergeCell ref="I116:J116"/>
    <mergeCell ref="I117:J117"/>
    <mergeCell ref="I118:J118"/>
    <mergeCell ref="I119:J119"/>
    <mergeCell ref="I120:J120"/>
    <mergeCell ref="I121:J121"/>
    <mergeCell ref="I122:J122"/>
    <mergeCell ref="I123:J123"/>
    <mergeCell ref="I107:J107"/>
    <mergeCell ref="I108:J108"/>
    <mergeCell ref="I109:J109"/>
    <mergeCell ref="I110:J110"/>
    <mergeCell ref="I111:J111"/>
    <mergeCell ref="I112:J112"/>
    <mergeCell ref="I113:J113"/>
    <mergeCell ref="I114:J114"/>
    <mergeCell ref="I211:J211"/>
    <mergeCell ref="I212:J212"/>
    <mergeCell ref="I213:J213"/>
    <mergeCell ref="I134:J134"/>
    <mergeCell ref="I135:J135"/>
    <mergeCell ref="I136:J136"/>
    <mergeCell ref="I137:J137"/>
    <mergeCell ref="I138:J138"/>
    <mergeCell ref="I139:J139"/>
    <mergeCell ref="I125:J125"/>
    <mergeCell ref="I126:J126"/>
    <mergeCell ref="I127:J127"/>
    <mergeCell ref="I128:J128"/>
    <mergeCell ref="I129:J129"/>
    <mergeCell ref="I130:J130"/>
    <mergeCell ref="I131:J131"/>
    <mergeCell ref="I132:J132"/>
    <mergeCell ref="E233:E240"/>
    <mergeCell ref="I233:J233"/>
    <mergeCell ref="I234:J234"/>
    <mergeCell ref="I235:J235"/>
    <mergeCell ref="I236:J236"/>
    <mergeCell ref="I237:J237"/>
    <mergeCell ref="I238:J238"/>
    <mergeCell ref="I239:J239"/>
    <mergeCell ref="I240:J240"/>
    <mergeCell ref="I225:J225"/>
    <mergeCell ref="I226:J226"/>
    <mergeCell ref="I227:J227"/>
    <mergeCell ref="I228:J228"/>
    <mergeCell ref="I230:J230"/>
    <mergeCell ref="I231:J231"/>
    <mergeCell ref="I214:J214"/>
    <mergeCell ref="I215:J215"/>
    <mergeCell ref="I216:J216"/>
    <mergeCell ref="I217:J217"/>
    <mergeCell ref="I218:J218"/>
    <mergeCell ref="E220:E231"/>
    <mergeCell ref="I220:J220"/>
    <mergeCell ref="I221:J221"/>
    <mergeCell ref="I222:J222"/>
    <mergeCell ref="I224:J224"/>
    <mergeCell ref="E205:E218"/>
    <mergeCell ref="I205:J205"/>
    <mergeCell ref="I206:J206"/>
    <mergeCell ref="I207:J207"/>
    <mergeCell ref="I208:J208"/>
    <mergeCell ref="I209:J209"/>
    <mergeCell ref="I210:J210"/>
    <mergeCell ref="E260:E265"/>
    <mergeCell ref="I260:J260"/>
    <mergeCell ref="I261:J261"/>
    <mergeCell ref="I262:J262"/>
    <mergeCell ref="I263:J263"/>
    <mergeCell ref="I264:J264"/>
    <mergeCell ref="I265:J265"/>
    <mergeCell ref="E251:E258"/>
    <mergeCell ref="I251:J251"/>
    <mergeCell ref="I252:J252"/>
    <mergeCell ref="I253:J253"/>
    <mergeCell ref="I254:J254"/>
    <mergeCell ref="I255:J255"/>
    <mergeCell ref="I256:J256"/>
    <mergeCell ref="I257:J257"/>
    <mergeCell ref="I258:J258"/>
    <mergeCell ref="E242:E249"/>
    <mergeCell ref="I242:J242"/>
    <mergeCell ref="I243:J243"/>
    <mergeCell ref="I244:J244"/>
    <mergeCell ref="I245:J245"/>
    <mergeCell ref="I246:J246"/>
    <mergeCell ref="I247:J247"/>
    <mergeCell ref="I248:J248"/>
    <mergeCell ref="I249:J249"/>
    <mergeCell ref="I300:J300"/>
    <mergeCell ref="I301:J301"/>
    <mergeCell ref="I302:J302"/>
    <mergeCell ref="I303:J303"/>
    <mergeCell ref="E305:E312"/>
    <mergeCell ref="I305:J305"/>
    <mergeCell ref="I306:J306"/>
    <mergeCell ref="I307:J307"/>
    <mergeCell ref="I308:J308"/>
    <mergeCell ref="I309:J309"/>
    <mergeCell ref="I277:J277"/>
    <mergeCell ref="I278:J278"/>
    <mergeCell ref="I279:J279"/>
    <mergeCell ref="I280:J280"/>
    <mergeCell ref="I281:J281"/>
    <mergeCell ref="E296:E303"/>
    <mergeCell ref="I296:J296"/>
    <mergeCell ref="I297:J297"/>
    <mergeCell ref="I298:J298"/>
    <mergeCell ref="I299:J299"/>
    <mergeCell ref="E268:E281"/>
    <mergeCell ref="I268:J268"/>
    <mergeCell ref="I269:J269"/>
    <mergeCell ref="I270:J270"/>
    <mergeCell ref="I271:J271"/>
    <mergeCell ref="I272:J272"/>
    <mergeCell ref="I273:J273"/>
    <mergeCell ref="I274:J274"/>
    <mergeCell ref="I275:J275"/>
    <mergeCell ref="I276:J276"/>
    <mergeCell ref="I320:J320"/>
    <mergeCell ref="I321:J321"/>
    <mergeCell ref="E323:E328"/>
    <mergeCell ref="I323:J323"/>
    <mergeCell ref="I324:J324"/>
    <mergeCell ref="I325:J325"/>
    <mergeCell ref="I326:J326"/>
    <mergeCell ref="I327:J327"/>
    <mergeCell ref="I328:J328"/>
    <mergeCell ref="I310:J310"/>
    <mergeCell ref="I311:J311"/>
    <mergeCell ref="I312:J312"/>
    <mergeCell ref="E314:E321"/>
    <mergeCell ref="I314:J314"/>
    <mergeCell ref="I315:J315"/>
    <mergeCell ref="I316:J316"/>
    <mergeCell ref="I317:J317"/>
    <mergeCell ref="I318:J318"/>
    <mergeCell ref="I319:J319"/>
    <mergeCell ref="I469:J469"/>
    <mergeCell ref="I470:J470"/>
    <mergeCell ref="I472:J472"/>
    <mergeCell ref="I473:J473"/>
    <mergeCell ref="I474:J474"/>
    <mergeCell ref="I476:J476"/>
    <mergeCell ref="I463:J463"/>
    <mergeCell ref="I464:J464"/>
    <mergeCell ref="I465:J465"/>
    <mergeCell ref="I466:J466"/>
    <mergeCell ref="I467:J467"/>
    <mergeCell ref="I468:J468"/>
    <mergeCell ref="I457:J457"/>
    <mergeCell ref="I458:J458"/>
    <mergeCell ref="I459:J459"/>
    <mergeCell ref="I460:J460"/>
    <mergeCell ref="I461:J461"/>
    <mergeCell ref="I462:J462"/>
    <mergeCell ref="I491:J491"/>
    <mergeCell ref="I492:J492"/>
    <mergeCell ref="I494:J494"/>
    <mergeCell ref="I495:J495"/>
    <mergeCell ref="I496:J496"/>
    <mergeCell ref="I497:J497"/>
    <mergeCell ref="I485:J485"/>
    <mergeCell ref="I486:J486"/>
    <mergeCell ref="I487:J487"/>
    <mergeCell ref="I488:J488"/>
    <mergeCell ref="I489:J489"/>
    <mergeCell ref="I490:J490"/>
    <mergeCell ref="I477:J477"/>
    <mergeCell ref="I478:J478"/>
    <mergeCell ref="I479:J479"/>
    <mergeCell ref="I480:J480"/>
    <mergeCell ref="I482:J482"/>
    <mergeCell ref="I483:J483"/>
    <mergeCell ref="I512:J512"/>
    <mergeCell ref="I513:J513"/>
    <mergeCell ref="I514:J514"/>
    <mergeCell ref="I515:J515"/>
    <mergeCell ref="I516:J516"/>
    <mergeCell ref="I517:J517"/>
    <mergeCell ref="I505:J505"/>
    <mergeCell ref="I506:J506"/>
    <mergeCell ref="I507:J507"/>
    <mergeCell ref="I508:J508"/>
    <mergeCell ref="I509:J509"/>
    <mergeCell ref="I510:J510"/>
    <mergeCell ref="I498:J498"/>
    <mergeCell ref="I499:J499"/>
    <mergeCell ref="I500:J500"/>
    <mergeCell ref="I501:J501"/>
    <mergeCell ref="I503:J503"/>
    <mergeCell ref="I504:J504"/>
    <mergeCell ref="I532:J532"/>
    <mergeCell ref="I533:J533"/>
    <mergeCell ref="I535:J535"/>
    <mergeCell ref="I536:J536"/>
    <mergeCell ref="I537:J537"/>
    <mergeCell ref="I539:J539"/>
    <mergeCell ref="I526:J526"/>
    <mergeCell ref="I527:J527"/>
    <mergeCell ref="I528:J528"/>
    <mergeCell ref="I529:J529"/>
    <mergeCell ref="I530:J530"/>
    <mergeCell ref="I531:J531"/>
    <mergeCell ref="I520:J520"/>
    <mergeCell ref="I521:J521"/>
    <mergeCell ref="I522:J522"/>
    <mergeCell ref="I523:J523"/>
    <mergeCell ref="I524:J524"/>
    <mergeCell ref="I525:J525"/>
    <mergeCell ref="I554:J554"/>
    <mergeCell ref="I555:J555"/>
    <mergeCell ref="I557:J557"/>
    <mergeCell ref="I558:J558"/>
    <mergeCell ref="I559:J559"/>
    <mergeCell ref="I560:J560"/>
    <mergeCell ref="I548:J548"/>
    <mergeCell ref="I549:J549"/>
    <mergeCell ref="I550:J550"/>
    <mergeCell ref="I551:J551"/>
    <mergeCell ref="I552:J552"/>
    <mergeCell ref="I553:J553"/>
    <mergeCell ref="I540:J540"/>
    <mergeCell ref="I541:J541"/>
    <mergeCell ref="I542:J542"/>
    <mergeCell ref="I543:J543"/>
    <mergeCell ref="I545:J545"/>
    <mergeCell ref="I546:J546"/>
    <mergeCell ref="I575:J575"/>
    <mergeCell ref="I576:J576"/>
    <mergeCell ref="I577:J577"/>
    <mergeCell ref="I578:J578"/>
    <mergeCell ref="I579:J579"/>
    <mergeCell ref="I580:J580"/>
    <mergeCell ref="I568:J568"/>
    <mergeCell ref="I569:J569"/>
    <mergeCell ref="I570:J570"/>
    <mergeCell ref="I571:J571"/>
    <mergeCell ref="I572:J572"/>
    <mergeCell ref="I573:J573"/>
    <mergeCell ref="I561:J561"/>
    <mergeCell ref="I562:J562"/>
    <mergeCell ref="I563:J563"/>
    <mergeCell ref="I564:J564"/>
    <mergeCell ref="I566:J566"/>
    <mergeCell ref="I567:J567"/>
    <mergeCell ref="I595:J595"/>
    <mergeCell ref="I596:J596"/>
    <mergeCell ref="I598:J598"/>
    <mergeCell ref="I599:J599"/>
    <mergeCell ref="I600:J600"/>
    <mergeCell ref="I602:J602"/>
    <mergeCell ref="I589:J589"/>
    <mergeCell ref="I590:J590"/>
    <mergeCell ref="I591:J591"/>
    <mergeCell ref="I592:J592"/>
    <mergeCell ref="I593:J593"/>
    <mergeCell ref="I594:J594"/>
    <mergeCell ref="I583:J583"/>
    <mergeCell ref="I584:J584"/>
    <mergeCell ref="I585:J585"/>
    <mergeCell ref="I586:J586"/>
    <mergeCell ref="I587:J587"/>
    <mergeCell ref="I588:J588"/>
    <mergeCell ref="I617:J617"/>
    <mergeCell ref="I618:J618"/>
    <mergeCell ref="I620:J620"/>
    <mergeCell ref="I621:J621"/>
    <mergeCell ref="I622:J622"/>
    <mergeCell ref="I623:J623"/>
    <mergeCell ref="I611:J611"/>
    <mergeCell ref="I612:J612"/>
    <mergeCell ref="I613:J613"/>
    <mergeCell ref="I614:J614"/>
    <mergeCell ref="I615:J615"/>
    <mergeCell ref="I616:J616"/>
    <mergeCell ref="I603:J603"/>
    <mergeCell ref="I604:J604"/>
    <mergeCell ref="I605:J605"/>
    <mergeCell ref="I606:J606"/>
    <mergeCell ref="I608:J608"/>
    <mergeCell ref="I609:J609"/>
    <mergeCell ref="I638:J638"/>
    <mergeCell ref="I639:J639"/>
    <mergeCell ref="I640:J640"/>
    <mergeCell ref="I641:J641"/>
    <mergeCell ref="I642:J642"/>
    <mergeCell ref="I643:J643"/>
    <mergeCell ref="I631:J631"/>
    <mergeCell ref="I632:J632"/>
    <mergeCell ref="I633:J633"/>
    <mergeCell ref="I634:J634"/>
    <mergeCell ref="I635:J635"/>
    <mergeCell ref="I636:J636"/>
    <mergeCell ref="I624:J624"/>
    <mergeCell ref="I625:J625"/>
    <mergeCell ref="I626:J626"/>
    <mergeCell ref="I627:J627"/>
    <mergeCell ref="I629:J629"/>
    <mergeCell ref="I630:J630"/>
    <mergeCell ref="I658:J658"/>
    <mergeCell ref="I659:J659"/>
    <mergeCell ref="I661:J661"/>
    <mergeCell ref="I662:J662"/>
    <mergeCell ref="I663:J663"/>
    <mergeCell ref="I665:J665"/>
    <mergeCell ref="I652:J652"/>
    <mergeCell ref="I653:J653"/>
    <mergeCell ref="I654:J654"/>
    <mergeCell ref="I655:J655"/>
    <mergeCell ref="I656:J656"/>
    <mergeCell ref="I657:J657"/>
    <mergeCell ref="I646:J646"/>
    <mergeCell ref="I647:J647"/>
    <mergeCell ref="I648:J648"/>
    <mergeCell ref="I649:J649"/>
    <mergeCell ref="I650:J650"/>
    <mergeCell ref="I651:J651"/>
    <mergeCell ref="I679:J679"/>
    <mergeCell ref="I680:J680"/>
    <mergeCell ref="I682:J682"/>
    <mergeCell ref="I683:J683"/>
    <mergeCell ref="I684:J684"/>
    <mergeCell ref="I685:J685"/>
    <mergeCell ref="I673:J673"/>
    <mergeCell ref="I674:J674"/>
    <mergeCell ref="I675:J675"/>
    <mergeCell ref="I676:J676"/>
    <mergeCell ref="I677:J677"/>
    <mergeCell ref="I678:J678"/>
    <mergeCell ref="I666:J666"/>
    <mergeCell ref="I667:J667"/>
    <mergeCell ref="I668:J668"/>
    <mergeCell ref="I669:J669"/>
    <mergeCell ref="I670:J670"/>
    <mergeCell ref="I671:J671"/>
    <mergeCell ref="I700:J700"/>
    <mergeCell ref="I701:J701"/>
    <mergeCell ref="I702:J702"/>
    <mergeCell ref="I703:J703"/>
    <mergeCell ref="I704:J704"/>
    <mergeCell ref="I705:J705"/>
    <mergeCell ref="I693:J693"/>
    <mergeCell ref="I694:J694"/>
    <mergeCell ref="I695:J695"/>
    <mergeCell ref="I696:J696"/>
    <mergeCell ref="I697:J697"/>
    <mergeCell ref="I698:J698"/>
    <mergeCell ref="I686:J686"/>
    <mergeCell ref="I687:J687"/>
    <mergeCell ref="I688:J688"/>
    <mergeCell ref="I689:J689"/>
    <mergeCell ref="I691:J691"/>
    <mergeCell ref="I692:J692"/>
    <mergeCell ref="I720:J720"/>
    <mergeCell ref="I721:J721"/>
    <mergeCell ref="I723:J723"/>
    <mergeCell ref="I724:J724"/>
    <mergeCell ref="I725:J725"/>
    <mergeCell ref="I727:J727"/>
    <mergeCell ref="I714:J714"/>
    <mergeCell ref="I715:J715"/>
    <mergeCell ref="I716:J716"/>
    <mergeCell ref="I717:J717"/>
    <mergeCell ref="I718:J718"/>
    <mergeCell ref="I719:J719"/>
    <mergeCell ref="I708:J708"/>
    <mergeCell ref="I709:J709"/>
    <mergeCell ref="I710:J710"/>
    <mergeCell ref="I711:J711"/>
    <mergeCell ref="I712:J712"/>
    <mergeCell ref="I713:J713"/>
    <mergeCell ref="I742:J742"/>
    <mergeCell ref="I743:J743"/>
    <mergeCell ref="I745:J745"/>
    <mergeCell ref="I746:J746"/>
    <mergeCell ref="I747:J747"/>
    <mergeCell ref="I748:J748"/>
    <mergeCell ref="I736:J736"/>
    <mergeCell ref="I737:J737"/>
    <mergeCell ref="I738:J738"/>
    <mergeCell ref="I739:J739"/>
    <mergeCell ref="I740:J740"/>
    <mergeCell ref="I741:J741"/>
    <mergeCell ref="I728:J728"/>
    <mergeCell ref="I729:J729"/>
    <mergeCell ref="I730:J730"/>
    <mergeCell ref="I731:J731"/>
    <mergeCell ref="I733:J733"/>
    <mergeCell ref="I734:J734"/>
    <mergeCell ref="I763:J763"/>
    <mergeCell ref="I764:J764"/>
    <mergeCell ref="I765:J765"/>
    <mergeCell ref="I766:J766"/>
    <mergeCell ref="I767:J767"/>
    <mergeCell ref="I768:J768"/>
    <mergeCell ref="I756:J756"/>
    <mergeCell ref="I757:J757"/>
    <mergeCell ref="I758:J758"/>
    <mergeCell ref="I759:J759"/>
    <mergeCell ref="I760:J760"/>
    <mergeCell ref="I761:J761"/>
    <mergeCell ref="I749:J749"/>
    <mergeCell ref="I750:J750"/>
    <mergeCell ref="I751:J751"/>
    <mergeCell ref="I752:J752"/>
    <mergeCell ref="I754:J754"/>
    <mergeCell ref="I755:J755"/>
    <mergeCell ref="I783:J783"/>
    <mergeCell ref="I784:J784"/>
    <mergeCell ref="I786:J786"/>
    <mergeCell ref="I787:J787"/>
    <mergeCell ref="I788:J788"/>
    <mergeCell ref="I790:J790"/>
    <mergeCell ref="I777:J777"/>
    <mergeCell ref="I778:J778"/>
    <mergeCell ref="I779:J779"/>
    <mergeCell ref="I780:J780"/>
    <mergeCell ref="I781:J781"/>
    <mergeCell ref="I782:J782"/>
    <mergeCell ref="I771:J771"/>
    <mergeCell ref="I772:J772"/>
    <mergeCell ref="I773:J773"/>
    <mergeCell ref="I774:J774"/>
    <mergeCell ref="I775:J775"/>
    <mergeCell ref="I776:J776"/>
    <mergeCell ref="I805:J805"/>
    <mergeCell ref="I806:J806"/>
    <mergeCell ref="I808:J808"/>
    <mergeCell ref="I809:J809"/>
    <mergeCell ref="I810:J810"/>
    <mergeCell ref="I811:J811"/>
    <mergeCell ref="I799:J799"/>
    <mergeCell ref="I800:J800"/>
    <mergeCell ref="I801:J801"/>
    <mergeCell ref="I802:J802"/>
    <mergeCell ref="I803:J803"/>
    <mergeCell ref="I804:J804"/>
    <mergeCell ref="I791:J791"/>
    <mergeCell ref="I792:J792"/>
    <mergeCell ref="I793:J793"/>
    <mergeCell ref="I794:J794"/>
    <mergeCell ref="I796:J796"/>
    <mergeCell ref="I797:J797"/>
    <mergeCell ref="I826:J826"/>
    <mergeCell ref="I827:J827"/>
    <mergeCell ref="I828:J828"/>
    <mergeCell ref="I829:J829"/>
    <mergeCell ref="I830:J830"/>
    <mergeCell ref="I831:J831"/>
    <mergeCell ref="I819:J819"/>
    <mergeCell ref="I820:J820"/>
    <mergeCell ref="I821:J821"/>
    <mergeCell ref="I822:J822"/>
    <mergeCell ref="I823:J823"/>
    <mergeCell ref="I824:J824"/>
    <mergeCell ref="I812:J812"/>
    <mergeCell ref="I813:J813"/>
    <mergeCell ref="I814:J814"/>
    <mergeCell ref="I815:J815"/>
    <mergeCell ref="I817:J817"/>
    <mergeCell ref="I818:J818"/>
    <mergeCell ref="I857:J857"/>
    <mergeCell ref="I859:J859"/>
    <mergeCell ref="I860:J860"/>
    <mergeCell ref="E862:E869"/>
    <mergeCell ref="I862:J862"/>
    <mergeCell ref="I863:J863"/>
    <mergeCell ref="I864:J864"/>
    <mergeCell ref="I865:J865"/>
    <mergeCell ref="I866:J866"/>
    <mergeCell ref="I867:J867"/>
    <mergeCell ref="I850:J850"/>
    <mergeCell ref="I851:J851"/>
    <mergeCell ref="I853:J853"/>
    <mergeCell ref="I854:J854"/>
    <mergeCell ref="I855:J855"/>
    <mergeCell ref="I856:J856"/>
    <mergeCell ref="I843:J843"/>
    <mergeCell ref="I844:J844"/>
    <mergeCell ref="I845:J845"/>
    <mergeCell ref="I846:J846"/>
    <mergeCell ref="I847:J847"/>
    <mergeCell ref="I849:J849"/>
    <mergeCell ref="E834:E847"/>
    <mergeCell ref="I834:J834"/>
    <mergeCell ref="I835:J835"/>
    <mergeCell ref="I836:J836"/>
    <mergeCell ref="I837:J837"/>
    <mergeCell ref="I838:J838"/>
    <mergeCell ref="I839:J839"/>
    <mergeCell ref="I840:J840"/>
    <mergeCell ref="I841:J841"/>
    <mergeCell ref="I842:J842"/>
    <mergeCell ref="I878:J878"/>
    <mergeCell ref="E880:E887"/>
    <mergeCell ref="I880:J880"/>
    <mergeCell ref="I881:J881"/>
    <mergeCell ref="I882:J882"/>
    <mergeCell ref="I883:J883"/>
    <mergeCell ref="I884:J884"/>
    <mergeCell ref="I885:J885"/>
    <mergeCell ref="I886:J886"/>
    <mergeCell ref="I887:J887"/>
    <mergeCell ref="I868:J868"/>
    <mergeCell ref="I869:J869"/>
    <mergeCell ref="E871:E878"/>
    <mergeCell ref="I871:J871"/>
    <mergeCell ref="I872:J872"/>
    <mergeCell ref="I873:J873"/>
    <mergeCell ref="I874:J874"/>
    <mergeCell ref="I875:J875"/>
    <mergeCell ref="I876:J876"/>
    <mergeCell ref="I877:J877"/>
    <mergeCell ref="I920:J920"/>
    <mergeCell ref="I922:J922"/>
    <mergeCell ref="I923:J923"/>
    <mergeCell ref="E925:E932"/>
    <mergeCell ref="I925:J925"/>
    <mergeCell ref="I926:J926"/>
    <mergeCell ref="I927:J927"/>
    <mergeCell ref="I928:J928"/>
    <mergeCell ref="I929:J929"/>
    <mergeCell ref="I930:J930"/>
    <mergeCell ref="I913:J913"/>
    <mergeCell ref="I914:J914"/>
    <mergeCell ref="I916:J916"/>
    <mergeCell ref="I917:J917"/>
    <mergeCell ref="I918:J918"/>
    <mergeCell ref="I919:J919"/>
    <mergeCell ref="I906:J906"/>
    <mergeCell ref="I907:J907"/>
    <mergeCell ref="I908:J908"/>
    <mergeCell ref="I909:J909"/>
    <mergeCell ref="I910:J910"/>
    <mergeCell ref="I912:J912"/>
    <mergeCell ref="E897:E910"/>
    <mergeCell ref="I897:J897"/>
    <mergeCell ref="I898:J898"/>
    <mergeCell ref="I899:J899"/>
    <mergeCell ref="I900:J900"/>
    <mergeCell ref="I901:J901"/>
    <mergeCell ref="I902:J902"/>
    <mergeCell ref="I903:J903"/>
    <mergeCell ref="I904:J904"/>
    <mergeCell ref="I905:J905"/>
    <mergeCell ref="E960:E973"/>
    <mergeCell ref="E988:E995"/>
    <mergeCell ref="E997:E1004"/>
    <mergeCell ref="E1006:E1013"/>
    <mergeCell ref="E1015:E1020"/>
    <mergeCell ref="I1086:J1086"/>
    <mergeCell ref="I941:J941"/>
    <mergeCell ref="E943:E950"/>
    <mergeCell ref="I943:J943"/>
    <mergeCell ref="I944:J944"/>
    <mergeCell ref="I945:J945"/>
    <mergeCell ref="I946:J946"/>
    <mergeCell ref="I947:J947"/>
    <mergeCell ref="I948:J948"/>
    <mergeCell ref="I949:J949"/>
    <mergeCell ref="I950:J950"/>
    <mergeCell ref="I931:J931"/>
    <mergeCell ref="I932:J932"/>
    <mergeCell ref="E934:E941"/>
    <mergeCell ref="I934:J934"/>
    <mergeCell ref="I935:J935"/>
    <mergeCell ref="I936:J936"/>
    <mergeCell ref="I937:J937"/>
    <mergeCell ref="I938:J938"/>
    <mergeCell ref="I939:J939"/>
    <mergeCell ref="I940:J940"/>
    <mergeCell ref="I1099:J1099"/>
    <mergeCell ref="I1114:J1114"/>
    <mergeCell ref="I1115:J1115"/>
    <mergeCell ref="I1116:J1116"/>
    <mergeCell ref="I1117:J1117"/>
    <mergeCell ref="I1118:J1118"/>
    <mergeCell ref="I1093:J1093"/>
    <mergeCell ref="I1094:J1094"/>
    <mergeCell ref="I1095:J1095"/>
    <mergeCell ref="I1096:J1096"/>
    <mergeCell ref="I1097:J1097"/>
    <mergeCell ref="I1098:J1098"/>
    <mergeCell ref="I1087:J1087"/>
    <mergeCell ref="I1088:J1088"/>
    <mergeCell ref="I1089:J1089"/>
    <mergeCell ref="I1090:J1090"/>
    <mergeCell ref="I1091:J1091"/>
    <mergeCell ref="I1092:J1092"/>
    <mergeCell ref="I1133:J1133"/>
    <mergeCell ref="I1134:J1134"/>
    <mergeCell ref="I1135:J1135"/>
    <mergeCell ref="I1136:J1136"/>
    <mergeCell ref="I1137:J1137"/>
    <mergeCell ref="I1138:J1138"/>
    <mergeCell ref="I1126:J1126"/>
    <mergeCell ref="I1127:J1127"/>
    <mergeCell ref="I1128:J1128"/>
    <mergeCell ref="I1129:J1129"/>
    <mergeCell ref="I1130:J1130"/>
    <mergeCell ref="I1132:J1132"/>
    <mergeCell ref="I1119:J1119"/>
    <mergeCell ref="I1120:J1120"/>
    <mergeCell ref="I1121:J1121"/>
    <mergeCell ref="I1123:J1123"/>
    <mergeCell ref="I1124:J1124"/>
    <mergeCell ref="I1125:J1125"/>
    <mergeCell ref="E1177:E1184"/>
    <mergeCell ref="I1177:J1177"/>
    <mergeCell ref="I1178:J1178"/>
    <mergeCell ref="I1179:J1179"/>
    <mergeCell ref="I1180:J1180"/>
    <mergeCell ref="I1181:J1181"/>
    <mergeCell ref="I1182:J1182"/>
    <mergeCell ref="I1183:J1183"/>
    <mergeCell ref="I1184:J1184"/>
    <mergeCell ref="I1157:J1157"/>
    <mergeCell ref="I1158:J1158"/>
    <mergeCell ref="I1159:J1159"/>
    <mergeCell ref="I1160:J1160"/>
    <mergeCell ref="I1161:J1161"/>
    <mergeCell ref="I1162:J1162"/>
    <mergeCell ref="I1139:J1139"/>
    <mergeCell ref="E1149:E1162"/>
    <mergeCell ref="I1149:J1149"/>
    <mergeCell ref="I1150:J1150"/>
    <mergeCell ref="I1151:J1151"/>
    <mergeCell ref="I1152:J1152"/>
    <mergeCell ref="I1153:J1153"/>
    <mergeCell ref="I1154:J1154"/>
    <mergeCell ref="I1155:J1155"/>
    <mergeCell ref="I1156:J1156"/>
    <mergeCell ref="E1195:E1202"/>
    <mergeCell ref="I1195:J1195"/>
    <mergeCell ref="I1196:J1196"/>
    <mergeCell ref="I1197:J1197"/>
    <mergeCell ref="I1198:J1198"/>
    <mergeCell ref="I1199:J1199"/>
    <mergeCell ref="I1200:J1200"/>
    <mergeCell ref="I1201:J1201"/>
    <mergeCell ref="I1202:J1202"/>
    <mergeCell ref="E1186:E1193"/>
    <mergeCell ref="I1186:J1186"/>
    <mergeCell ref="I1187:J1187"/>
    <mergeCell ref="I1188:J1188"/>
    <mergeCell ref="I1189:J1189"/>
    <mergeCell ref="I1190:J1190"/>
    <mergeCell ref="I1191:J1191"/>
    <mergeCell ref="I1192:J1192"/>
    <mergeCell ref="I1193:J1193"/>
    <mergeCell ref="NE1275:NY1275"/>
    <mergeCell ref="NZ1275:OT1275"/>
    <mergeCell ref="FC1275:FW1275"/>
    <mergeCell ref="FX1275:GR1275"/>
    <mergeCell ref="GS1275:HM1275"/>
    <mergeCell ref="HN1275:IH1275"/>
    <mergeCell ref="II1275:JC1275"/>
    <mergeCell ref="JD1275:JX1275"/>
    <mergeCell ref="AG1275:BA1275"/>
    <mergeCell ref="BB1275:BV1275"/>
    <mergeCell ref="BW1275:CQ1275"/>
    <mergeCell ref="CR1275:DL1275"/>
    <mergeCell ref="DM1275:EG1275"/>
    <mergeCell ref="EH1275:FB1275"/>
    <mergeCell ref="A1275:A1276"/>
    <mergeCell ref="B1275:B1276"/>
    <mergeCell ref="C1275:C1276"/>
    <mergeCell ref="D1275:E1276"/>
    <mergeCell ref="F1275:K1275"/>
    <mergeCell ref="L1275:AF1275"/>
    <mergeCell ref="AG1276:AI1276"/>
    <mergeCell ref="AJ1276:AL1276"/>
    <mergeCell ref="AM1276:AO1276"/>
    <mergeCell ref="AP1276:AR1276"/>
    <mergeCell ref="AS1276:AU1276"/>
    <mergeCell ref="AV1276:AX1276"/>
    <mergeCell ref="BQ1276:BS1276"/>
    <mergeCell ref="BT1276:BV1276"/>
    <mergeCell ref="BW1276:BY1276"/>
    <mergeCell ref="BZ1276:CB1276"/>
    <mergeCell ref="CC1276:CE1276"/>
    <mergeCell ref="CF1276:CH1276"/>
    <mergeCell ref="YM1275:ZG1275"/>
    <mergeCell ref="F1276:H1276"/>
    <mergeCell ref="I1276:K1276"/>
    <mergeCell ref="L1276:N1276"/>
    <mergeCell ref="O1276:Q1276"/>
    <mergeCell ref="R1276:T1276"/>
    <mergeCell ref="U1276:W1276"/>
    <mergeCell ref="X1276:Z1276"/>
    <mergeCell ref="AA1276:AC1276"/>
    <mergeCell ref="AD1276:AF1276"/>
    <mergeCell ref="TQ1275:UK1275"/>
    <mergeCell ref="UL1275:VF1275"/>
    <mergeCell ref="VG1275:WA1275"/>
    <mergeCell ref="WB1275:WV1275"/>
    <mergeCell ref="WW1275:XQ1275"/>
    <mergeCell ref="XR1275:YL1275"/>
    <mergeCell ref="OU1275:PO1275"/>
    <mergeCell ref="PP1275:QJ1275"/>
    <mergeCell ref="QK1275:RE1275"/>
    <mergeCell ref="RF1275:RZ1275"/>
    <mergeCell ref="SA1275:SU1275"/>
    <mergeCell ref="SV1275:TP1275"/>
    <mergeCell ref="JY1275:KS1275"/>
    <mergeCell ref="KT1275:LN1275"/>
    <mergeCell ref="LO1275:MI1275"/>
    <mergeCell ref="MJ1275:ND1275"/>
    <mergeCell ref="CI1276:CK1276"/>
    <mergeCell ref="CL1276:CN1276"/>
    <mergeCell ref="CO1276:CQ1276"/>
    <mergeCell ref="CR1276:CT1276"/>
    <mergeCell ref="CU1276:CW1276"/>
    <mergeCell ref="CX1276:CZ1276"/>
    <mergeCell ref="AY1276:BA1276"/>
    <mergeCell ref="BB1276:BD1276"/>
    <mergeCell ref="BE1276:BG1276"/>
    <mergeCell ref="BH1276:BJ1276"/>
    <mergeCell ref="BK1276:BM1276"/>
    <mergeCell ref="BN1276:BP1276"/>
    <mergeCell ref="EK1276:EM1276"/>
    <mergeCell ref="EN1276:EP1276"/>
    <mergeCell ref="EQ1276:ES1276"/>
    <mergeCell ref="ET1276:EV1276"/>
    <mergeCell ref="EW1276:EY1276"/>
    <mergeCell ref="EZ1276:FB1276"/>
    <mergeCell ref="DS1276:DU1276"/>
    <mergeCell ref="DV1276:DX1276"/>
    <mergeCell ref="DY1276:EA1276"/>
    <mergeCell ref="EB1276:ED1276"/>
    <mergeCell ref="EE1276:EG1276"/>
    <mergeCell ref="EH1276:EJ1276"/>
    <mergeCell ref="DA1276:DC1276"/>
    <mergeCell ref="DD1276:DF1276"/>
    <mergeCell ref="DG1276:DI1276"/>
    <mergeCell ref="DJ1276:DL1276"/>
    <mergeCell ref="DM1276:DO1276"/>
    <mergeCell ref="DP1276:DR1276"/>
    <mergeCell ref="GM1276:GO1276"/>
    <mergeCell ref="GP1276:GR1276"/>
    <mergeCell ref="GS1276:GU1276"/>
    <mergeCell ref="GV1276:GX1276"/>
    <mergeCell ref="GY1276:HA1276"/>
    <mergeCell ref="HB1276:HD1276"/>
    <mergeCell ref="FU1276:FW1276"/>
    <mergeCell ref="FX1276:FZ1276"/>
    <mergeCell ref="GA1276:GC1276"/>
    <mergeCell ref="GD1276:GF1276"/>
    <mergeCell ref="GG1276:GI1276"/>
    <mergeCell ref="GJ1276:GL1276"/>
    <mergeCell ref="FC1276:FE1276"/>
    <mergeCell ref="FF1276:FH1276"/>
    <mergeCell ref="FI1276:FK1276"/>
    <mergeCell ref="FL1276:FN1276"/>
    <mergeCell ref="FO1276:FQ1276"/>
    <mergeCell ref="FR1276:FT1276"/>
    <mergeCell ref="IO1276:IQ1276"/>
    <mergeCell ref="IR1276:IT1276"/>
    <mergeCell ref="IU1276:IW1276"/>
    <mergeCell ref="IX1276:IZ1276"/>
    <mergeCell ref="JA1276:JC1276"/>
    <mergeCell ref="JD1276:JF1276"/>
    <mergeCell ref="HW1276:HY1276"/>
    <mergeCell ref="HZ1276:IB1276"/>
    <mergeCell ref="IC1276:IE1276"/>
    <mergeCell ref="IF1276:IH1276"/>
    <mergeCell ref="II1276:IK1276"/>
    <mergeCell ref="IL1276:IN1276"/>
    <mergeCell ref="HE1276:HG1276"/>
    <mergeCell ref="HH1276:HJ1276"/>
    <mergeCell ref="HK1276:HM1276"/>
    <mergeCell ref="HN1276:HP1276"/>
    <mergeCell ref="HQ1276:HS1276"/>
    <mergeCell ref="HT1276:HV1276"/>
    <mergeCell ref="KQ1276:KS1276"/>
    <mergeCell ref="KT1276:KV1276"/>
    <mergeCell ref="KW1276:KY1276"/>
    <mergeCell ref="KZ1276:LB1276"/>
    <mergeCell ref="LC1276:LE1276"/>
    <mergeCell ref="LF1276:LH1276"/>
    <mergeCell ref="JY1276:KA1276"/>
    <mergeCell ref="KB1276:KD1276"/>
    <mergeCell ref="KE1276:KG1276"/>
    <mergeCell ref="KH1276:KJ1276"/>
    <mergeCell ref="KK1276:KM1276"/>
    <mergeCell ref="KN1276:KP1276"/>
    <mergeCell ref="JG1276:JI1276"/>
    <mergeCell ref="JJ1276:JL1276"/>
    <mergeCell ref="JM1276:JO1276"/>
    <mergeCell ref="JP1276:JR1276"/>
    <mergeCell ref="JS1276:JU1276"/>
    <mergeCell ref="JV1276:JX1276"/>
    <mergeCell ref="MS1276:MU1276"/>
    <mergeCell ref="MV1276:MX1276"/>
    <mergeCell ref="MY1276:NA1276"/>
    <mergeCell ref="NB1276:ND1276"/>
    <mergeCell ref="NE1276:NG1276"/>
    <mergeCell ref="NH1276:NJ1276"/>
    <mergeCell ref="MA1276:MC1276"/>
    <mergeCell ref="MD1276:MF1276"/>
    <mergeCell ref="MG1276:MI1276"/>
    <mergeCell ref="MJ1276:ML1276"/>
    <mergeCell ref="MM1276:MO1276"/>
    <mergeCell ref="MP1276:MR1276"/>
    <mergeCell ref="LI1276:LK1276"/>
    <mergeCell ref="LL1276:LN1276"/>
    <mergeCell ref="LO1276:LQ1276"/>
    <mergeCell ref="LR1276:LT1276"/>
    <mergeCell ref="LU1276:LW1276"/>
    <mergeCell ref="LX1276:LZ1276"/>
    <mergeCell ref="OU1276:OW1276"/>
    <mergeCell ref="OX1276:OZ1276"/>
    <mergeCell ref="PA1276:PC1276"/>
    <mergeCell ref="PD1276:PF1276"/>
    <mergeCell ref="PG1276:PI1276"/>
    <mergeCell ref="PJ1276:PL1276"/>
    <mergeCell ref="OC1276:OE1276"/>
    <mergeCell ref="OF1276:OH1276"/>
    <mergeCell ref="OI1276:OK1276"/>
    <mergeCell ref="OL1276:ON1276"/>
    <mergeCell ref="OO1276:OQ1276"/>
    <mergeCell ref="OR1276:OT1276"/>
    <mergeCell ref="NK1276:NM1276"/>
    <mergeCell ref="NN1276:NP1276"/>
    <mergeCell ref="NQ1276:NS1276"/>
    <mergeCell ref="NT1276:NV1276"/>
    <mergeCell ref="NW1276:NY1276"/>
    <mergeCell ref="NZ1276:OB1276"/>
    <mergeCell ref="QW1276:QY1276"/>
    <mergeCell ref="QZ1276:RB1276"/>
    <mergeCell ref="RC1276:RE1276"/>
    <mergeCell ref="RF1276:RH1276"/>
    <mergeCell ref="RI1276:RK1276"/>
    <mergeCell ref="RL1276:RN1276"/>
    <mergeCell ref="QE1276:QG1276"/>
    <mergeCell ref="QH1276:QJ1276"/>
    <mergeCell ref="QK1276:QM1276"/>
    <mergeCell ref="QN1276:QP1276"/>
    <mergeCell ref="QQ1276:QS1276"/>
    <mergeCell ref="QT1276:QV1276"/>
    <mergeCell ref="PM1276:PO1276"/>
    <mergeCell ref="PP1276:PR1276"/>
    <mergeCell ref="PS1276:PU1276"/>
    <mergeCell ref="PV1276:PX1276"/>
    <mergeCell ref="PY1276:QA1276"/>
    <mergeCell ref="QB1276:QD1276"/>
    <mergeCell ref="SY1276:TA1276"/>
    <mergeCell ref="TB1276:TD1276"/>
    <mergeCell ref="TE1276:TG1276"/>
    <mergeCell ref="TH1276:TJ1276"/>
    <mergeCell ref="TK1276:TM1276"/>
    <mergeCell ref="TN1276:TP1276"/>
    <mergeCell ref="SG1276:SI1276"/>
    <mergeCell ref="SJ1276:SL1276"/>
    <mergeCell ref="SM1276:SO1276"/>
    <mergeCell ref="SP1276:SR1276"/>
    <mergeCell ref="SS1276:SU1276"/>
    <mergeCell ref="SV1276:SX1276"/>
    <mergeCell ref="RO1276:RQ1276"/>
    <mergeCell ref="RR1276:RT1276"/>
    <mergeCell ref="RU1276:RW1276"/>
    <mergeCell ref="RX1276:RZ1276"/>
    <mergeCell ref="SA1276:SC1276"/>
    <mergeCell ref="SD1276:SF1276"/>
    <mergeCell ref="VY1276:WA1276"/>
    <mergeCell ref="WB1276:WD1276"/>
    <mergeCell ref="WE1276:WG1276"/>
    <mergeCell ref="WH1276:WJ1276"/>
    <mergeCell ref="VA1276:VC1276"/>
    <mergeCell ref="VD1276:VF1276"/>
    <mergeCell ref="VG1276:VI1276"/>
    <mergeCell ref="VJ1276:VL1276"/>
    <mergeCell ref="VM1276:VO1276"/>
    <mergeCell ref="VP1276:VR1276"/>
    <mergeCell ref="UI1276:UK1276"/>
    <mergeCell ref="UL1276:UN1276"/>
    <mergeCell ref="UO1276:UQ1276"/>
    <mergeCell ref="UR1276:UT1276"/>
    <mergeCell ref="UU1276:UW1276"/>
    <mergeCell ref="UX1276:UZ1276"/>
    <mergeCell ref="TQ1276:TS1276"/>
    <mergeCell ref="TT1276:TV1276"/>
    <mergeCell ref="TW1276:TY1276"/>
    <mergeCell ref="TZ1276:UB1276"/>
    <mergeCell ref="UC1276:UE1276"/>
    <mergeCell ref="UF1276:UH1276"/>
    <mergeCell ref="ZE1276:ZG1276"/>
    <mergeCell ref="F1278:H1278"/>
    <mergeCell ref="D1280:E1280"/>
    <mergeCell ref="D1296:E1296"/>
    <mergeCell ref="D1310:E1310"/>
    <mergeCell ref="D1311:E1311"/>
    <mergeCell ref="YM1276:YO1276"/>
    <mergeCell ref="YP1276:YR1276"/>
    <mergeCell ref="YS1276:YU1276"/>
    <mergeCell ref="YV1276:YX1276"/>
    <mergeCell ref="YY1276:ZA1276"/>
    <mergeCell ref="ZB1276:ZD1276"/>
    <mergeCell ref="XU1276:XW1276"/>
    <mergeCell ref="XX1276:XZ1276"/>
    <mergeCell ref="YA1276:YC1276"/>
    <mergeCell ref="YD1276:YF1276"/>
    <mergeCell ref="YG1276:YI1276"/>
    <mergeCell ref="YJ1276:YL1276"/>
    <mergeCell ref="XC1276:XE1276"/>
    <mergeCell ref="XF1276:XH1276"/>
    <mergeCell ref="XI1276:XK1276"/>
    <mergeCell ref="XL1276:XN1276"/>
    <mergeCell ref="XO1276:XQ1276"/>
    <mergeCell ref="XR1276:XT1276"/>
    <mergeCell ref="WK1276:WM1276"/>
    <mergeCell ref="WN1276:WP1276"/>
    <mergeCell ref="WQ1276:WS1276"/>
    <mergeCell ref="WT1276:WV1276"/>
    <mergeCell ref="WW1276:WY1276"/>
    <mergeCell ref="WZ1276:XB1276"/>
    <mergeCell ref="VS1276:VU1276"/>
    <mergeCell ref="VV1276:VX1276"/>
    <mergeCell ref="D1360:E1360"/>
    <mergeCell ref="D1369:E1369"/>
    <mergeCell ref="D1370:E1370"/>
    <mergeCell ref="D1371:E1371"/>
    <mergeCell ref="D1373:E1373"/>
    <mergeCell ref="D1374:E1374"/>
    <mergeCell ref="D1348:E1348"/>
    <mergeCell ref="D1349:E1349"/>
    <mergeCell ref="D1350:E1350"/>
    <mergeCell ref="D1352:E1352"/>
    <mergeCell ref="D1356:E1356"/>
    <mergeCell ref="D1357:E1357"/>
    <mergeCell ref="D1312:E1312"/>
    <mergeCell ref="D1314:E1314"/>
    <mergeCell ref="D1315:E1315"/>
    <mergeCell ref="D1318:E1318"/>
    <mergeCell ref="D1328:E1328"/>
    <mergeCell ref="D1338:E1338"/>
  </mergeCells>
  <pageMargins left="0.31496062992125984" right="0" top="0" bottom="0" header="0" footer="0"/>
  <pageSetup paperSize="9" scale="51" fitToWidth="63" orientation="portrait" r:id="rId1"/>
  <colBreaks count="33" manualBreakCount="33">
    <brk id="10" min="1" max="1271" man="1"/>
    <brk id="11" min="1" max="1271" man="1"/>
    <brk id="21" min="1" max="1271" man="1"/>
    <brk id="32" min="1" max="1271" man="1"/>
    <brk id="53" min="1" max="1271" man="1"/>
    <brk id="74" min="1" max="1271" man="1"/>
    <brk id="95" min="1" max="1271" man="1"/>
    <brk id="116" min="1" max="1271" man="1"/>
    <brk id="137" min="1" max="1271" man="1"/>
    <brk id="158" min="1" max="1271" man="1"/>
    <brk id="179" min="1" max="1271" man="1"/>
    <brk id="200" min="1" max="1271" man="1"/>
    <brk id="221" min="1" max="1271" man="1"/>
    <brk id="242" min="1" max="1271" man="1"/>
    <brk id="263" min="1" max="1271" man="1"/>
    <brk id="284" min="1" max="1271" man="1"/>
    <brk id="305" min="1" max="1271" man="1"/>
    <brk id="326" min="1" max="1271" man="1"/>
    <brk id="347" min="1" max="1271" man="1"/>
    <brk id="368" min="1" max="1271" man="1"/>
    <brk id="389" min="1" max="1271" man="1"/>
    <brk id="410" min="1" max="1271" man="1"/>
    <brk id="431" min="1" max="1271" man="1"/>
    <brk id="452" min="1" max="1271" man="1"/>
    <brk id="473" min="1" max="1271" man="1"/>
    <brk id="494" min="1" max="1271" man="1"/>
    <brk id="515" min="1" max="1271" man="1"/>
    <brk id="536" min="1" max="1271" man="1"/>
    <brk id="557" min="1" max="1271" man="1"/>
    <brk id="578" min="1" max="1271" man="1"/>
    <brk id="599" min="1" max="1271" man="1"/>
    <brk id="620" min="1" max="1271" man="1"/>
    <brk id="641" min="1" max="1271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C176"/>
  <sheetViews>
    <sheetView view="pageBreakPreview" zoomScale="75" zoomScaleNormal="75" zoomScaleSheetLayoutView="75" workbookViewId="0">
      <pane xSplit="3" ySplit="7" topLeftCell="D55" activePane="bottomRight" state="frozen"/>
      <selection activeCell="E64" sqref="E64:F64"/>
      <selection pane="topRight" activeCell="E64" sqref="E64:F64"/>
      <selection pane="bottomLeft" activeCell="E64" sqref="E64:F64"/>
      <selection pane="bottomRight" activeCell="F73" sqref="F73"/>
    </sheetView>
  </sheetViews>
  <sheetFormatPr defaultRowHeight="15" x14ac:dyDescent="0.25"/>
  <cols>
    <col min="1" max="1" width="6.85546875" style="445" hidden="1" customWidth="1"/>
    <col min="2" max="2" width="7.42578125" style="445" hidden="1" customWidth="1"/>
    <col min="3" max="3" width="37.85546875" style="445" customWidth="1"/>
    <col min="4" max="15" width="6.42578125" style="445" customWidth="1"/>
    <col min="16" max="23" width="7.5703125" style="445" customWidth="1"/>
    <col min="24" max="25" width="9.140625" style="445"/>
    <col min="26" max="26" width="41.140625" style="445" customWidth="1"/>
    <col min="27" max="256" width="9.140625" style="445"/>
    <col min="257" max="258" width="0" style="445" hidden="1" customWidth="1"/>
    <col min="259" max="259" width="37.85546875" style="445" customWidth="1"/>
    <col min="260" max="271" width="12" style="445" bestFit="1" customWidth="1"/>
    <col min="272" max="272" width="13.7109375" style="445" customWidth="1"/>
    <col min="273" max="279" width="13.7109375" style="445" bestFit="1" customWidth="1"/>
    <col min="280" max="512" width="9.140625" style="445"/>
    <col min="513" max="514" width="0" style="445" hidden="1" customWidth="1"/>
    <col min="515" max="515" width="37.85546875" style="445" customWidth="1"/>
    <col min="516" max="527" width="12" style="445" bestFit="1" customWidth="1"/>
    <col min="528" max="528" width="13.7109375" style="445" customWidth="1"/>
    <col min="529" max="535" width="13.7109375" style="445" bestFit="1" customWidth="1"/>
    <col min="536" max="768" width="9.140625" style="445"/>
    <col min="769" max="770" width="0" style="445" hidden="1" customWidth="1"/>
    <col min="771" max="771" width="37.85546875" style="445" customWidth="1"/>
    <col min="772" max="783" width="12" style="445" bestFit="1" customWidth="1"/>
    <col min="784" max="784" width="13.7109375" style="445" customWidth="1"/>
    <col min="785" max="791" width="13.7109375" style="445" bestFit="1" customWidth="1"/>
    <col min="792" max="1024" width="9.140625" style="445"/>
    <col min="1025" max="1026" width="0" style="445" hidden="1" customWidth="1"/>
    <col min="1027" max="1027" width="37.85546875" style="445" customWidth="1"/>
    <col min="1028" max="1039" width="12" style="445" bestFit="1" customWidth="1"/>
    <col min="1040" max="1040" width="13.7109375" style="445" customWidth="1"/>
    <col min="1041" max="1047" width="13.7109375" style="445" bestFit="1" customWidth="1"/>
    <col min="1048" max="1280" width="9.140625" style="445"/>
    <col min="1281" max="1282" width="0" style="445" hidden="1" customWidth="1"/>
    <col min="1283" max="1283" width="37.85546875" style="445" customWidth="1"/>
    <col min="1284" max="1295" width="12" style="445" bestFit="1" customWidth="1"/>
    <col min="1296" max="1296" width="13.7109375" style="445" customWidth="1"/>
    <col min="1297" max="1303" width="13.7109375" style="445" bestFit="1" customWidth="1"/>
    <col min="1304" max="1536" width="9.140625" style="445"/>
    <col min="1537" max="1538" width="0" style="445" hidden="1" customWidth="1"/>
    <col min="1539" max="1539" width="37.85546875" style="445" customWidth="1"/>
    <col min="1540" max="1551" width="12" style="445" bestFit="1" customWidth="1"/>
    <col min="1552" max="1552" width="13.7109375" style="445" customWidth="1"/>
    <col min="1553" max="1559" width="13.7109375" style="445" bestFit="1" customWidth="1"/>
    <col min="1560" max="1792" width="9.140625" style="445"/>
    <col min="1793" max="1794" width="0" style="445" hidden="1" customWidth="1"/>
    <col min="1795" max="1795" width="37.85546875" style="445" customWidth="1"/>
    <col min="1796" max="1807" width="12" style="445" bestFit="1" customWidth="1"/>
    <col min="1808" max="1808" width="13.7109375" style="445" customWidth="1"/>
    <col min="1809" max="1815" width="13.7109375" style="445" bestFit="1" customWidth="1"/>
    <col min="1816" max="2048" width="9.140625" style="445"/>
    <col min="2049" max="2050" width="0" style="445" hidden="1" customWidth="1"/>
    <col min="2051" max="2051" width="37.85546875" style="445" customWidth="1"/>
    <col min="2052" max="2063" width="12" style="445" bestFit="1" customWidth="1"/>
    <col min="2064" max="2064" width="13.7109375" style="445" customWidth="1"/>
    <col min="2065" max="2071" width="13.7109375" style="445" bestFit="1" customWidth="1"/>
    <col min="2072" max="2304" width="9.140625" style="445"/>
    <col min="2305" max="2306" width="0" style="445" hidden="1" customWidth="1"/>
    <col min="2307" max="2307" width="37.85546875" style="445" customWidth="1"/>
    <col min="2308" max="2319" width="12" style="445" bestFit="1" customWidth="1"/>
    <col min="2320" max="2320" width="13.7109375" style="445" customWidth="1"/>
    <col min="2321" max="2327" width="13.7109375" style="445" bestFit="1" customWidth="1"/>
    <col min="2328" max="2560" width="9.140625" style="445"/>
    <col min="2561" max="2562" width="0" style="445" hidden="1" customWidth="1"/>
    <col min="2563" max="2563" width="37.85546875" style="445" customWidth="1"/>
    <col min="2564" max="2575" width="12" style="445" bestFit="1" customWidth="1"/>
    <col min="2576" max="2576" width="13.7109375" style="445" customWidth="1"/>
    <col min="2577" max="2583" width="13.7109375" style="445" bestFit="1" customWidth="1"/>
    <col min="2584" max="2816" width="9.140625" style="445"/>
    <col min="2817" max="2818" width="0" style="445" hidden="1" customWidth="1"/>
    <col min="2819" max="2819" width="37.85546875" style="445" customWidth="1"/>
    <col min="2820" max="2831" width="12" style="445" bestFit="1" customWidth="1"/>
    <col min="2832" max="2832" width="13.7109375" style="445" customWidth="1"/>
    <col min="2833" max="2839" width="13.7109375" style="445" bestFit="1" customWidth="1"/>
    <col min="2840" max="3072" width="9.140625" style="445"/>
    <col min="3073" max="3074" width="0" style="445" hidden="1" customWidth="1"/>
    <col min="3075" max="3075" width="37.85546875" style="445" customWidth="1"/>
    <col min="3076" max="3087" width="12" style="445" bestFit="1" customWidth="1"/>
    <col min="3088" max="3088" width="13.7109375" style="445" customWidth="1"/>
    <col min="3089" max="3095" width="13.7109375" style="445" bestFit="1" customWidth="1"/>
    <col min="3096" max="3328" width="9.140625" style="445"/>
    <col min="3329" max="3330" width="0" style="445" hidden="1" customWidth="1"/>
    <col min="3331" max="3331" width="37.85546875" style="445" customWidth="1"/>
    <col min="3332" max="3343" width="12" style="445" bestFit="1" customWidth="1"/>
    <col min="3344" max="3344" width="13.7109375" style="445" customWidth="1"/>
    <col min="3345" max="3351" width="13.7109375" style="445" bestFit="1" customWidth="1"/>
    <col min="3352" max="3584" width="9.140625" style="445"/>
    <col min="3585" max="3586" width="0" style="445" hidden="1" customWidth="1"/>
    <col min="3587" max="3587" width="37.85546875" style="445" customWidth="1"/>
    <col min="3588" max="3599" width="12" style="445" bestFit="1" customWidth="1"/>
    <col min="3600" max="3600" width="13.7109375" style="445" customWidth="1"/>
    <col min="3601" max="3607" width="13.7109375" style="445" bestFit="1" customWidth="1"/>
    <col min="3608" max="3840" width="9.140625" style="445"/>
    <col min="3841" max="3842" width="0" style="445" hidden="1" customWidth="1"/>
    <col min="3843" max="3843" width="37.85546875" style="445" customWidth="1"/>
    <col min="3844" max="3855" width="12" style="445" bestFit="1" customWidth="1"/>
    <col min="3856" max="3856" width="13.7109375" style="445" customWidth="1"/>
    <col min="3857" max="3863" width="13.7109375" style="445" bestFit="1" customWidth="1"/>
    <col min="3864" max="4096" width="9.140625" style="445"/>
    <col min="4097" max="4098" width="0" style="445" hidden="1" customWidth="1"/>
    <col min="4099" max="4099" width="37.85546875" style="445" customWidth="1"/>
    <col min="4100" max="4111" width="12" style="445" bestFit="1" customWidth="1"/>
    <col min="4112" max="4112" width="13.7109375" style="445" customWidth="1"/>
    <col min="4113" max="4119" width="13.7109375" style="445" bestFit="1" customWidth="1"/>
    <col min="4120" max="4352" width="9.140625" style="445"/>
    <col min="4353" max="4354" width="0" style="445" hidden="1" customWidth="1"/>
    <col min="4355" max="4355" width="37.85546875" style="445" customWidth="1"/>
    <col min="4356" max="4367" width="12" style="445" bestFit="1" customWidth="1"/>
    <col min="4368" max="4368" width="13.7109375" style="445" customWidth="1"/>
    <col min="4369" max="4375" width="13.7109375" style="445" bestFit="1" customWidth="1"/>
    <col min="4376" max="4608" width="9.140625" style="445"/>
    <col min="4609" max="4610" width="0" style="445" hidden="1" customWidth="1"/>
    <col min="4611" max="4611" width="37.85546875" style="445" customWidth="1"/>
    <col min="4612" max="4623" width="12" style="445" bestFit="1" customWidth="1"/>
    <col min="4624" max="4624" width="13.7109375" style="445" customWidth="1"/>
    <col min="4625" max="4631" width="13.7109375" style="445" bestFit="1" customWidth="1"/>
    <col min="4632" max="4864" width="9.140625" style="445"/>
    <col min="4865" max="4866" width="0" style="445" hidden="1" customWidth="1"/>
    <col min="4867" max="4867" width="37.85546875" style="445" customWidth="1"/>
    <col min="4868" max="4879" width="12" style="445" bestFit="1" customWidth="1"/>
    <col min="4880" max="4880" width="13.7109375" style="445" customWidth="1"/>
    <col min="4881" max="4887" width="13.7109375" style="445" bestFit="1" customWidth="1"/>
    <col min="4888" max="5120" width="9.140625" style="445"/>
    <col min="5121" max="5122" width="0" style="445" hidden="1" customWidth="1"/>
    <col min="5123" max="5123" width="37.85546875" style="445" customWidth="1"/>
    <col min="5124" max="5135" width="12" style="445" bestFit="1" customWidth="1"/>
    <col min="5136" max="5136" width="13.7109375" style="445" customWidth="1"/>
    <col min="5137" max="5143" width="13.7109375" style="445" bestFit="1" customWidth="1"/>
    <col min="5144" max="5376" width="9.140625" style="445"/>
    <col min="5377" max="5378" width="0" style="445" hidden="1" customWidth="1"/>
    <col min="5379" max="5379" width="37.85546875" style="445" customWidth="1"/>
    <col min="5380" max="5391" width="12" style="445" bestFit="1" customWidth="1"/>
    <col min="5392" max="5392" width="13.7109375" style="445" customWidth="1"/>
    <col min="5393" max="5399" width="13.7109375" style="445" bestFit="1" customWidth="1"/>
    <col min="5400" max="5632" width="9.140625" style="445"/>
    <col min="5633" max="5634" width="0" style="445" hidden="1" customWidth="1"/>
    <col min="5635" max="5635" width="37.85546875" style="445" customWidth="1"/>
    <col min="5636" max="5647" width="12" style="445" bestFit="1" customWidth="1"/>
    <col min="5648" max="5648" width="13.7109375" style="445" customWidth="1"/>
    <col min="5649" max="5655" width="13.7109375" style="445" bestFit="1" customWidth="1"/>
    <col min="5656" max="5888" width="9.140625" style="445"/>
    <col min="5889" max="5890" width="0" style="445" hidden="1" customWidth="1"/>
    <col min="5891" max="5891" width="37.85546875" style="445" customWidth="1"/>
    <col min="5892" max="5903" width="12" style="445" bestFit="1" customWidth="1"/>
    <col min="5904" max="5904" width="13.7109375" style="445" customWidth="1"/>
    <col min="5905" max="5911" width="13.7109375" style="445" bestFit="1" customWidth="1"/>
    <col min="5912" max="6144" width="9.140625" style="445"/>
    <col min="6145" max="6146" width="0" style="445" hidden="1" customWidth="1"/>
    <col min="6147" max="6147" width="37.85546875" style="445" customWidth="1"/>
    <col min="6148" max="6159" width="12" style="445" bestFit="1" customWidth="1"/>
    <col min="6160" max="6160" width="13.7109375" style="445" customWidth="1"/>
    <col min="6161" max="6167" width="13.7109375" style="445" bestFit="1" customWidth="1"/>
    <col min="6168" max="6400" width="9.140625" style="445"/>
    <col min="6401" max="6402" width="0" style="445" hidden="1" customWidth="1"/>
    <col min="6403" max="6403" width="37.85546875" style="445" customWidth="1"/>
    <col min="6404" max="6415" width="12" style="445" bestFit="1" customWidth="1"/>
    <col min="6416" max="6416" width="13.7109375" style="445" customWidth="1"/>
    <col min="6417" max="6423" width="13.7109375" style="445" bestFit="1" customWidth="1"/>
    <col min="6424" max="6656" width="9.140625" style="445"/>
    <col min="6657" max="6658" width="0" style="445" hidden="1" customWidth="1"/>
    <col min="6659" max="6659" width="37.85546875" style="445" customWidth="1"/>
    <col min="6660" max="6671" width="12" style="445" bestFit="1" customWidth="1"/>
    <col min="6672" max="6672" width="13.7109375" style="445" customWidth="1"/>
    <col min="6673" max="6679" width="13.7109375" style="445" bestFit="1" customWidth="1"/>
    <col min="6680" max="6912" width="9.140625" style="445"/>
    <col min="6913" max="6914" width="0" style="445" hidden="1" customWidth="1"/>
    <col min="6915" max="6915" width="37.85546875" style="445" customWidth="1"/>
    <col min="6916" max="6927" width="12" style="445" bestFit="1" customWidth="1"/>
    <col min="6928" max="6928" width="13.7109375" style="445" customWidth="1"/>
    <col min="6929" max="6935" width="13.7109375" style="445" bestFit="1" customWidth="1"/>
    <col min="6936" max="7168" width="9.140625" style="445"/>
    <col min="7169" max="7170" width="0" style="445" hidden="1" customWidth="1"/>
    <col min="7171" max="7171" width="37.85546875" style="445" customWidth="1"/>
    <col min="7172" max="7183" width="12" style="445" bestFit="1" customWidth="1"/>
    <col min="7184" max="7184" width="13.7109375" style="445" customWidth="1"/>
    <col min="7185" max="7191" width="13.7109375" style="445" bestFit="1" customWidth="1"/>
    <col min="7192" max="7424" width="9.140625" style="445"/>
    <col min="7425" max="7426" width="0" style="445" hidden="1" customWidth="1"/>
    <col min="7427" max="7427" width="37.85546875" style="445" customWidth="1"/>
    <col min="7428" max="7439" width="12" style="445" bestFit="1" customWidth="1"/>
    <col min="7440" max="7440" width="13.7109375" style="445" customWidth="1"/>
    <col min="7441" max="7447" width="13.7109375" style="445" bestFit="1" customWidth="1"/>
    <col min="7448" max="7680" width="9.140625" style="445"/>
    <col min="7681" max="7682" width="0" style="445" hidden="1" customWidth="1"/>
    <col min="7683" max="7683" width="37.85546875" style="445" customWidth="1"/>
    <col min="7684" max="7695" width="12" style="445" bestFit="1" customWidth="1"/>
    <col min="7696" max="7696" width="13.7109375" style="445" customWidth="1"/>
    <col min="7697" max="7703" width="13.7109375" style="445" bestFit="1" customWidth="1"/>
    <col min="7704" max="7936" width="9.140625" style="445"/>
    <col min="7937" max="7938" width="0" style="445" hidden="1" customWidth="1"/>
    <col min="7939" max="7939" width="37.85546875" style="445" customWidth="1"/>
    <col min="7940" max="7951" width="12" style="445" bestFit="1" customWidth="1"/>
    <col min="7952" max="7952" width="13.7109375" style="445" customWidth="1"/>
    <col min="7953" max="7959" width="13.7109375" style="445" bestFit="1" customWidth="1"/>
    <col min="7960" max="8192" width="9.140625" style="445"/>
    <col min="8193" max="8194" width="0" style="445" hidden="1" customWidth="1"/>
    <col min="8195" max="8195" width="37.85546875" style="445" customWidth="1"/>
    <col min="8196" max="8207" width="12" style="445" bestFit="1" customWidth="1"/>
    <col min="8208" max="8208" width="13.7109375" style="445" customWidth="1"/>
    <col min="8209" max="8215" width="13.7109375" style="445" bestFit="1" customWidth="1"/>
    <col min="8216" max="8448" width="9.140625" style="445"/>
    <col min="8449" max="8450" width="0" style="445" hidden="1" customWidth="1"/>
    <col min="8451" max="8451" width="37.85546875" style="445" customWidth="1"/>
    <col min="8452" max="8463" width="12" style="445" bestFit="1" customWidth="1"/>
    <col min="8464" max="8464" width="13.7109375" style="445" customWidth="1"/>
    <col min="8465" max="8471" width="13.7109375" style="445" bestFit="1" customWidth="1"/>
    <col min="8472" max="8704" width="9.140625" style="445"/>
    <col min="8705" max="8706" width="0" style="445" hidden="1" customWidth="1"/>
    <col min="8707" max="8707" width="37.85546875" style="445" customWidth="1"/>
    <col min="8708" max="8719" width="12" style="445" bestFit="1" customWidth="1"/>
    <col min="8720" max="8720" width="13.7109375" style="445" customWidth="1"/>
    <col min="8721" max="8727" width="13.7109375" style="445" bestFit="1" customWidth="1"/>
    <col min="8728" max="8960" width="9.140625" style="445"/>
    <col min="8961" max="8962" width="0" style="445" hidden="1" customWidth="1"/>
    <col min="8963" max="8963" width="37.85546875" style="445" customWidth="1"/>
    <col min="8964" max="8975" width="12" style="445" bestFit="1" customWidth="1"/>
    <col min="8976" max="8976" width="13.7109375" style="445" customWidth="1"/>
    <col min="8977" max="8983" width="13.7109375" style="445" bestFit="1" customWidth="1"/>
    <col min="8984" max="9216" width="9.140625" style="445"/>
    <col min="9217" max="9218" width="0" style="445" hidden="1" customWidth="1"/>
    <col min="9219" max="9219" width="37.85546875" style="445" customWidth="1"/>
    <col min="9220" max="9231" width="12" style="445" bestFit="1" customWidth="1"/>
    <col min="9232" max="9232" width="13.7109375" style="445" customWidth="1"/>
    <col min="9233" max="9239" width="13.7109375" style="445" bestFit="1" customWidth="1"/>
    <col min="9240" max="9472" width="9.140625" style="445"/>
    <col min="9473" max="9474" width="0" style="445" hidden="1" customWidth="1"/>
    <col min="9475" max="9475" width="37.85546875" style="445" customWidth="1"/>
    <col min="9476" max="9487" width="12" style="445" bestFit="1" customWidth="1"/>
    <col min="9488" max="9488" width="13.7109375" style="445" customWidth="1"/>
    <col min="9489" max="9495" width="13.7109375" style="445" bestFit="1" customWidth="1"/>
    <col min="9496" max="9728" width="9.140625" style="445"/>
    <col min="9729" max="9730" width="0" style="445" hidden="1" customWidth="1"/>
    <col min="9731" max="9731" width="37.85546875" style="445" customWidth="1"/>
    <col min="9732" max="9743" width="12" style="445" bestFit="1" customWidth="1"/>
    <col min="9744" max="9744" width="13.7109375" style="445" customWidth="1"/>
    <col min="9745" max="9751" width="13.7109375" style="445" bestFit="1" customWidth="1"/>
    <col min="9752" max="9984" width="9.140625" style="445"/>
    <col min="9985" max="9986" width="0" style="445" hidden="1" customWidth="1"/>
    <col min="9987" max="9987" width="37.85546875" style="445" customWidth="1"/>
    <col min="9988" max="9999" width="12" style="445" bestFit="1" customWidth="1"/>
    <col min="10000" max="10000" width="13.7109375" style="445" customWidth="1"/>
    <col min="10001" max="10007" width="13.7109375" style="445" bestFit="1" customWidth="1"/>
    <col min="10008" max="10240" width="9.140625" style="445"/>
    <col min="10241" max="10242" width="0" style="445" hidden="1" customWidth="1"/>
    <col min="10243" max="10243" width="37.85546875" style="445" customWidth="1"/>
    <col min="10244" max="10255" width="12" style="445" bestFit="1" customWidth="1"/>
    <col min="10256" max="10256" width="13.7109375" style="445" customWidth="1"/>
    <col min="10257" max="10263" width="13.7109375" style="445" bestFit="1" customWidth="1"/>
    <col min="10264" max="10496" width="9.140625" style="445"/>
    <col min="10497" max="10498" width="0" style="445" hidden="1" customWidth="1"/>
    <col min="10499" max="10499" width="37.85546875" style="445" customWidth="1"/>
    <col min="10500" max="10511" width="12" style="445" bestFit="1" customWidth="1"/>
    <col min="10512" max="10512" width="13.7109375" style="445" customWidth="1"/>
    <col min="10513" max="10519" width="13.7109375" style="445" bestFit="1" customWidth="1"/>
    <col min="10520" max="10752" width="9.140625" style="445"/>
    <col min="10753" max="10754" width="0" style="445" hidden="1" customWidth="1"/>
    <col min="10755" max="10755" width="37.85546875" style="445" customWidth="1"/>
    <col min="10756" max="10767" width="12" style="445" bestFit="1" customWidth="1"/>
    <col min="10768" max="10768" width="13.7109375" style="445" customWidth="1"/>
    <col min="10769" max="10775" width="13.7109375" style="445" bestFit="1" customWidth="1"/>
    <col min="10776" max="11008" width="9.140625" style="445"/>
    <col min="11009" max="11010" width="0" style="445" hidden="1" customWidth="1"/>
    <col min="11011" max="11011" width="37.85546875" style="445" customWidth="1"/>
    <col min="11012" max="11023" width="12" style="445" bestFit="1" customWidth="1"/>
    <col min="11024" max="11024" width="13.7109375" style="445" customWidth="1"/>
    <col min="11025" max="11031" width="13.7109375" style="445" bestFit="1" customWidth="1"/>
    <col min="11032" max="11264" width="9.140625" style="445"/>
    <col min="11265" max="11266" width="0" style="445" hidden="1" customWidth="1"/>
    <col min="11267" max="11267" width="37.85546875" style="445" customWidth="1"/>
    <col min="11268" max="11279" width="12" style="445" bestFit="1" customWidth="1"/>
    <col min="11280" max="11280" width="13.7109375" style="445" customWidth="1"/>
    <col min="11281" max="11287" width="13.7109375" style="445" bestFit="1" customWidth="1"/>
    <col min="11288" max="11520" width="9.140625" style="445"/>
    <col min="11521" max="11522" width="0" style="445" hidden="1" customWidth="1"/>
    <col min="11523" max="11523" width="37.85546875" style="445" customWidth="1"/>
    <col min="11524" max="11535" width="12" style="445" bestFit="1" customWidth="1"/>
    <col min="11536" max="11536" width="13.7109375" style="445" customWidth="1"/>
    <col min="11537" max="11543" width="13.7109375" style="445" bestFit="1" customWidth="1"/>
    <col min="11544" max="11776" width="9.140625" style="445"/>
    <col min="11777" max="11778" width="0" style="445" hidden="1" customWidth="1"/>
    <col min="11779" max="11779" width="37.85546875" style="445" customWidth="1"/>
    <col min="11780" max="11791" width="12" style="445" bestFit="1" customWidth="1"/>
    <col min="11792" max="11792" width="13.7109375" style="445" customWidth="1"/>
    <col min="11793" max="11799" width="13.7109375" style="445" bestFit="1" customWidth="1"/>
    <col min="11800" max="12032" width="9.140625" style="445"/>
    <col min="12033" max="12034" width="0" style="445" hidden="1" customWidth="1"/>
    <col min="12035" max="12035" width="37.85546875" style="445" customWidth="1"/>
    <col min="12036" max="12047" width="12" style="445" bestFit="1" customWidth="1"/>
    <col min="12048" max="12048" width="13.7109375" style="445" customWidth="1"/>
    <col min="12049" max="12055" width="13.7109375" style="445" bestFit="1" customWidth="1"/>
    <col min="12056" max="12288" width="9.140625" style="445"/>
    <col min="12289" max="12290" width="0" style="445" hidden="1" customWidth="1"/>
    <col min="12291" max="12291" width="37.85546875" style="445" customWidth="1"/>
    <col min="12292" max="12303" width="12" style="445" bestFit="1" customWidth="1"/>
    <col min="12304" max="12304" width="13.7109375" style="445" customWidth="1"/>
    <col min="12305" max="12311" width="13.7109375" style="445" bestFit="1" customWidth="1"/>
    <col min="12312" max="12544" width="9.140625" style="445"/>
    <col min="12545" max="12546" width="0" style="445" hidden="1" customWidth="1"/>
    <col min="12547" max="12547" width="37.85546875" style="445" customWidth="1"/>
    <col min="12548" max="12559" width="12" style="445" bestFit="1" customWidth="1"/>
    <col min="12560" max="12560" width="13.7109375" style="445" customWidth="1"/>
    <col min="12561" max="12567" width="13.7109375" style="445" bestFit="1" customWidth="1"/>
    <col min="12568" max="12800" width="9.140625" style="445"/>
    <col min="12801" max="12802" width="0" style="445" hidden="1" customWidth="1"/>
    <col min="12803" max="12803" width="37.85546875" style="445" customWidth="1"/>
    <col min="12804" max="12815" width="12" style="445" bestFit="1" customWidth="1"/>
    <col min="12816" max="12816" width="13.7109375" style="445" customWidth="1"/>
    <col min="12817" max="12823" width="13.7109375" style="445" bestFit="1" customWidth="1"/>
    <col min="12824" max="13056" width="9.140625" style="445"/>
    <col min="13057" max="13058" width="0" style="445" hidden="1" customWidth="1"/>
    <col min="13059" max="13059" width="37.85546875" style="445" customWidth="1"/>
    <col min="13060" max="13071" width="12" style="445" bestFit="1" customWidth="1"/>
    <col min="13072" max="13072" width="13.7109375" style="445" customWidth="1"/>
    <col min="13073" max="13079" width="13.7109375" style="445" bestFit="1" customWidth="1"/>
    <col min="13080" max="13312" width="9.140625" style="445"/>
    <col min="13313" max="13314" width="0" style="445" hidden="1" customWidth="1"/>
    <col min="13315" max="13315" width="37.85546875" style="445" customWidth="1"/>
    <col min="13316" max="13327" width="12" style="445" bestFit="1" customWidth="1"/>
    <col min="13328" max="13328" width="13.7109375" style="445" customWidth="1"/>
    <col min="13329" max="13335" width="13.7109375" style="445" bestFit="1" customWidth="1"/>
    <col min="13336" max="13568" width="9.140625" style="445"/>
    <col min="13569" max="13570" width="0" style="445" hidden="1" customWidth="1"/>
    <col min="13571" max="13571" width="37.85546875" style="445" customWidth="1"/>
    <col min="13572" max="13583" width="12" style="445" bestFit="1" customWidth="1"/>
    <col min="13584" max="13584" width="13.7109375" style="445" customWidth="1"/>
    <col min="13585" max="13591" width="13.7109375" style="445" bestFit="1" customWidth="1"/>
    <col min="13592" max="13824" width="9.140625" style="445"/>
    <col min="13825" max="13826" width="0" style="445" hidden="1" customWidth="1"/>
    <col min="13827" max="13827" width="37.85546875" style="445" customWidth="1"/>
    <col min="13828" max="13839" width="12" style="445" bestFit="1" customWidth="1"/>
    <col min="13840" max="13840" width="13.7109375" style="445" customWidth="1"/>
    <col min="13841" max="13847" width="13.7109375" style="445" bestFit="1" customWidth="1"/>
    <col min="13848" max="14080" width="9.140625" style="445"/>
    <col min="14081" max="14082" width="0" style="445" hidden="1" customWidth="1"/>
    <col min="14083" max="14083" width="37.85546875" style="445" customWidth="1"/>
    <col min="14084" max="14095" width="12" style="445" bestFit="1" customWidth="1"/>
    <col min="14096" max="14096" width="13.7109375" style="445" customWidth="1"/>
    <col min="14097" max="14103" width="13.7109375" style="445" bestFit="1" customWidth="1"/>
    <col min="14104" max="14336" width="9.140625" style="445"/>
    <col min="14337" max="14338" width="0" style="445" hidden="1" customWidth="1"/>
    <col min="14339" max="14339" width="37.85546875" style="445" customWidth="1"/>
    <col min="14340" max="14351" width="12" style="445" bestFit="1" customWidth="1"/>
    <col min="14352" max="14352" width="13.7109375" style="445" customWidth="1"/>
    <col min="14353" max="14359" width="13.7109375" style="445" bestFit="1" customWidth="1"/>
    <col min="14360" max="14592" width="9.140625" style="445"/>
    <col min="14593" max="14594" width="0" style="445" hidden="1" customWidth="1"/>
    <col min="14595" max="14595" width="37.85546875" style="445" customWidth="1"/>
    <col min="14596" max="14607" width="12" style="445" bestFit="1" customWidth="1"/>
    <col min="14608" max="14608" width="13.7109375" style="445" customWidth="1"/>
    <col min="14609" max="14615" width="13.7109375" style="445" bestFit="1" customWidth="1"/>
    <col min="14616" max="14848" width="9.140625" style="445"/>
    <col min="14849" max="14850" width="0" style="445" hidden="1" customWidth="1"/>
    <col min="14851" max="14851" width="37.85546875" style="445" customWidth="1"/>
    <col min="14852" max="14863" width="12" style="445" bestFit="1" customWidth="1"/>
    <col min="14864" max="14864" width="13.7109375" style="445" customWidth="1"/>
    <col min="14865" max="14871" width="13.7109375" style="445" bestFit="1" customWidth="1"/>
    <col min="14872" max="15104" width="9.140625" style="445"/>
    <col min="15105" max="15106" width="0" style="445" hidden="1" customWidth="1"/>
    <col min="15107" max="15107" width="37.85546875" style="445" customWidth="1"/>
    <col min="15108" max="15119" width="12" style="445" bestFit="1" customWidth="1"/>
    <col min="15120" max="15120" width="13.7109375" style="445" customWidth="1"/>
    <col min="15121" max="15127" width="13.7109375" style="445" bestFit="1" customWidth="1"/>
    <col min="15128" max="15360" width="9.140625" style="445"/>
    <col min="15361" max="15362" width="0" style="445" hidden="1" customWidth="1"/>
    <col min="15363" max="15363" width="37.85546875" style="445" customWidth="1"/>
    <col min="15364" max="15375" width="12" style="445" bestFit="1" customWidth="1"/>
    <col min="15376" max="15376" width="13.7109375" style="445" customWidth="1"/>
    <col min="15377" max="15383" width="13.7109375" style="445" bestFit="1" customWidth="1"/>
    <col min="15384" max="15616" width="9.140625" style="445"/>
    <col min="15617" max="15618" width="0" style="445" hidden="1" customWidth="1"/>
    <col min="15619" max="15619" width="37.85546875" style="445" customWidth="1"/>
    <col min="15620" max="15631" width="12" style="445" bestFit="1" customWidth="1"/>
    <col min="15632" max="15632" width="13.7109375" style="445" customWidth="1"/>
    <col min="15633" max="15639" width="13.7109375" style="445" bestFit="1" customWidth="1"/>
    <col min="15640" max="15872" width="9.140625" style="445"/>
    <col min="15873" max="15874" width="0" style="445" hidden="1" customWidth="1"/>
    <col min="15875" max="15875" width="37.85546875" style="445" customWidth="1"/>
    <col min="15876" max="15887" width="12" style="445" bestFit="1" customWidth="1"/>
    <col min="15888" max="15888" width="13.7109375" style="445" customWidth="1"/>
    <col min="15889" max="15895" width="13.7109375" style="445" bestFit="1" customWidth="1"/>
    <col min="15896" max="16128" width="9.140625" style="445"/>
    <col min="16129" max="16130" width="0" style="445" hidden="1" customWidth="1"/>
    <col min="16131" max="16131" width="37.85546875" style="445" customWidth="1"/>
    <col min="16132" max="16143" width="12" style="445" bestFit="1" customWidth="1"/>
    <col min="16144" max="16144" width="13.7109375" style="445" customWidth="1"/>
    <col min="16145" max="16151" width="13.7109375" style="445" bestFit="1" customWidth="1"/>
    <col min="16152" max="16384" width="9.140625" style="445"/>
  </cols>
  <sheetData>
    <row r="1" spans="1:29" x14ac:dyDescent="0.25">
      <c r="C1" s="458" t="s">
        <v>1130</v>
      </c>
    </row>
    <row r="2" spans="1:29" hidden="1" x14ac:dyDescent="0.25"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Z2" s="498"/>
    </row>
    <row r="3" spans="1:29" x14ac:dyDescent="0.25">
      <c r="A3" s="1383" t="s">
        <v>2</v>
      </c>
      <c r="B3" s="1383" t="s">
        <v>1129</v>
      </c>
      <c r="C3" s="1383" t="s">
        <v>1128</v>
      </c>
      <c r="D3" s="1386" t="s">
        <v>1127</v>
      </c>
      <c r="E3" s="1386"/>
      <c r="F3" s="1386"/>
      <c r="G3" s="1386"/>
      <c r="H3" s="1386"/>
      <c r="I3" s="1386"/>
      <c r="J3" s="1386"/>
      <c r="K3" s="1386"/>
      <c r="L3" s="1386"/>
      <c r="M3" s="1386"/>
      <c r="N3" s="1386"/>
      <c r="O3" s="1386"/>
      <c r="P3" s="1386"/>
      <c r="Q3" s="1386"/>
      <c r="R3" s="1386"/>
      <c r="S3" s="1386"/>
      <c r="T3" s="1386"/>
      <c r="U3" s="1386"/>
      <c r="V3" s="1386"/>
      <c r="W3" s="1386"/>
      <c r="Z3" s="711" t="s">
        <v>1127</v>
      </c>
    </row>
    <row r="4" spans="1:29" x14ac:dyDescent="0.25">
      <c r="A4" s="1384"/>
      <c r="B4" s="1384"/>
      <c r="C4" s="1384"/>
      <c r="D4" s="1387" t="s">
        <v>1126</v>
      </c>
      <c r="E4" s="1387"/>
      <c r="F4" s="1387"/>
      <c r="G4" s="1387"/>
      <c r="H4" s="1387"/>
      <c r="I4" s="1387"/>
      <c r="J4" s="1387"/>
      <c r="K4" s="1387"/>
      <c r="L4" s="1387"/>
      <c r="M4" s="1387"/>
      <c r="N4" s="1387"/>
      <c r="O4" s="1387"/>
      <c r="P4" s="1387"/>
      <c r="Q4" s="1387"/>
      <c r="R4" s="1387"/>
      <c r="S4" s="1387"/>
      <c r="T4" s="1387"/>
      <c r="U4" s="1387"/>
      <c r="V4" s="1387"/>
      <c r="W4" s="1387"/>
      <c r="Z4" s="711" t="s">
        <v>1477</v>
      </c>
    </row>
    <row r="5" spans="1:29" x14ac:dyDescent="0.25">
      <c r="A5" s="1384"/>
      <c r="B5" s="1384"/>
      <c r="C5" s="1385"/>
      <c r="D5" s="1386" t="s">
        <v>1478</v>
      </c>
      <c r="E5" s="1386"/>
      <c r="F5" s="1386"/>
      <c r="G5" s="1386"/>
      <c r="H5" s="1386"/>
      <c r="I5" s="1386"/>
      <c r="J5" s="1386"/>
      <c r="K5" s="1386"/>
      <c r="L5" s="1386"/>
      <c r="M5" s="1386"/>
      <c r="N5" s="1386"/>
      <c r="O5" s="1386"/>
      <c r="P5" s="1386"/>
      <c r="Q5" s="1386"/>
      <c r="R5" s="1386"/>
      <c r="S5" s="1386"/>
      <c r="T5" s="1386"/>
      <c r="U5" s="1386"/>
      <c r="V5" s="1386"/>
      <c r="W5" s="1386"/>
      <c r="Z5" s="711" t="s">
        <v>1478</v>
      </c>
    </row>
    <row r="6" spans="1:29" x14ac:dyDescent="0.25">
      <c r="A6" s="1385"/>
      <c r="B6" s="1385"/>
      <c r="C6" s="497" t="s">
        <v>1124</v>
      </c>
      <c r="D6" s="495">
        <v>1</v>
      </c>
      <c r="E6" s="495">
        <v>2</v>
      </c>
      <c r="F6" s="713">
        <v>3</v>
      </c>
      <c r="G6" s="495">
        <v>4</v>
      </c>
      <c r="H6" s="495">
        <v>5</v>
      </c>
      <c r="I6" s="495">
        <v>6</v>
      </c>
      <c r="J6" s="495">
        <v>7</v>
      </c>
      <c r="K6" s="712">
        <v>8</v>
      </c>
      <c r="L6" s="495">
        <v>9</v>
      </c>
      <c r="M6" s="495">
        <v>10</v>
      </c>
      <c r="N6" s="495">
        <v>11</v>
      </c>
      <c r="O6" s="495">
        <v>12</v>
      </c>
      <c r="P6" s="495">
        <v>13</v>
      </c>
      <c r="Q6" s="495">
        <v>14</v>
      </c>
      <c r="R6" s="495">
        <v>15</v>
      </c>
      <c r="S6" s="495">
        <v>16</v>
      </c>
      <c r="T6" s="495">
        <v>17</v>
      </c>
      <c r="U6" s="495">
        <v>18</v>
      </c>
      <c r="V6" s="495">
        <v>19</v>
      </c>
      <c r="W6" s="495">
        <v>20</v>
      </c>
      <c r="Z6" s="712">
        <v>8</v>
      </c>
    </row>
    <row r="7" spans="1:29" s="490" customFormat="1" x14ac:dyDescent="0.25">
      <c r="A7" s="493"/>
      <c r="B7" s="493"/>
      <c r="C7" s="494" t="s">
        <v>1123</v>
      </c>
      <c r="D7" s="491">
        <f>D6*20</f>
        <v>20</v>
      </c>
      <c r="E7" s="491">
        <f>E6*20</f>
        <v>40</v>
      </c>
      <c r="F7" s="491">
        <f>F6*20</f>
        <v>60</v>
      </c>
      <c r="G7" s="491">
        <f t="shared" ref="G7:W7" si="0">G6*20</f>
        <v>80</v>
      </c>
      <c r="H7" s="491">
        <f t="shared" si="0"/>
        <v>100</v>
      </c>
      <c r="I7" s="491">
        <f t="shared" si="0"/>
        <v>120</v>
      </c>
      <c r="J7" s="491">
        <f t="shared" si="0"/>
        <v>140</v>
      </c>
      <c r="K7" s="491">
        <f t="shared" si="0"/>
        <v>160</v>
      </c>
      <c r="L7" s="491">
        <f t="shared" si="0"/>
        <v>180</v>
      </c>
      <c r="M7" s="491">
        <f t="shared" si="0"/>
        <v>200</v>
      </c>
      <c r="N7" s="491">
        <f t="shared" si="0"/>
        <v>220</v>
      </c>
      <c r="O7" s="491">
        <f t="shared" si="0"/>
        <v>240</v>
      </c>
      <c r="P7" s="491">
        <f t="shared" si="0"/>
        <v>260</v>
      </c>
      <c r="Q7" s="491">
        <f t="shared" si="0"/>
        <v>280</v>
      </c>
      <c r="R7" s="491">
        <f t="shared" si="0"/>
        <v>300</v>
      </c>
      <c r="S7" s="491">
        <f t="shared" si="0"/>
        <v>320</v>
      </c>
      <c r="T7" s="491">
        <f t="shared" si="0"/>
        <v>340</v>
      </c>
      <c r="U7" s="491">
        <f t="shared" si="0"/>
        <v>360</v>
      </c>
      <c r="V7" s="491">
        <f t="shared" si="0"/>
        <v>380</v>
      </c>
      <c r="W7" s="491">
        <f t="shared" si="0"/>
        <v>400</v>
      </c>
      <c r="X7" s="445">
        <f>K7/K6</f>
        <v>20</v>
      </c>
      <c r="Y7" s="445"/>
      <c r="Z7" s="491">
        <f>Z6*20</f>
        <v>160</v>
      </c>
      <c r="AA7" s="445"/>
      <c r="AB7" s="445"/>
      <c r="AC7" s="445"/>
    </row>
    <row r="8" spans="1:29" s="490" customFormat="1" x14ac:dyDescent="0.25">
      <c r="A8" s="493"/>
      <c r="B8" s="493"/>
      <c r="C8" s="492" t="s">
        <v>1122</v>
      </c>
      <c r="D8" s="491">
        <f>14*D6</f>
        <v>14</v>
      </c>
      <c r="E8" s="491">
        <f t="shared" ref="E8:W8" si="1">14*E6</f>
        <v>28</v>
      </c>
      <c r="F8" s="491">
        <f t="shared" si="1"/>
        <v>42</v>
      </c>
      <c r="G8" s="491">
        <f t="shared" si="1"/>
        <v>56</v>
      </c>
      <c r="H8" s="491">
        <f t="shared" si="1"/>
        <v>70</v>
      </c>
      <c r="I8" s="491">
        <f t="shared" si="1"/>
        <v>84</v>
      </c>
      <c r="J8" s="491">
        <f t="shared" si="1"/>
        <v>98</v>
      </c>
      <c r="K8" s="491">
        <f t="shared" si="1"/>
        <v>112</v>
      </c>
      <c r="L8" s="491">
        <f t="shared" si="1"/>
        <v>126</v>
      </c>
      <c r="M8" s="491">
        <f t="shared" si="1"/>
        <v>140</v>
      </c>
      <c r="N8" s="491">
        <f t="shared" si="1"/>
        <v>154</v>
      </c>
      <c r="O8" s="491">
        <f t="shared" si="1"/>
        <v>168</v>
      </c>
      <c r="P8" s="491">
        <f t="shared" si="1"/>
        <v>182</v>
      </c>
      <c r="Q8" s="491">
        <f t="shared" si="1"/>
        <v>196</v>
      </c>
      <c r="R8" s="491">
        <f t="shared" si="1"/>
        <v>210</v>
      </c>
      <c r="S8" s="491">
        <f t="shared" si="1"/>
        <v>224</v>
      </c>
      <c r="T8" s="491">
        <f t="shared" si="1"/>
        <v>238</v>
      </c>
      <c r="U8" s="491">
        <f t="shared" si="1"/>
        <v>252</v>
      </c>
      <c r="V8" s="491">
        <f t="shared" si="1"/>
        <v>266</v>
      </c>
      <c r="W8" s="491">
        <f t="shared" si="1"/>
        <v>280</v>
      </c>
      <c r="X8" s="445">
        <f>K8/K6</f>
        <v>14</v>
      </c>
      <c r="Y8" s="445"/>
      <c r="Z8" s="491">
        <f>14*Z6</f>
        <v>112</v>
      </c>
      <c r="AA8" s="445"/>
      <c r="AB8" s="445"/>
      <c r="AC8" s="445"/>
    </row>
    <row r="9" spans="1:29" s="490" customFormat="1" x14ac:dyDescent="0.25">
      <c r="A9" s="493"/>
      <c r="B9" s="493"/>
      <c r="C9" s="492" t="s">
        <v>1121</v>
      </c>
      <c r="D9" s="491">
        <f>9*D6</f>
        <v>9</v>
      </c>
      <c r="E9" s="491">
        <f t="shared" ref="E9:W9" si="2">9*E6</f>
        <v>18</v>
      </c>
      <c r="F9" s="491">
        <f t="shared" si="2"/>
        <v>27</v>
      </c>
      <c r="G9" s="491">
        <f t="shared" si="2"/>
        <v>36</v>
      </c>
      <c r="H9" s="491">
        <f t="shared" si="2"/>
        <v>45</v>
      </c>
      <c r="I9" s="491">
        <f t="shared" si="2"/>
        <v>54</v>
      </c>
      <c r="J9" s="491">
        <f t="shared" si="2"/>
        <v>63</v>
      </c>
      <c r="K9" s="491">
        <f t="shared" si="2"/>
        <v>72</v>
      </c>
      <c r="L9" s="491">
        <f t="shared" si="2"/>
        <v>81</v>
      </c>
      <c r="M9" s="491">
        <f t="shared" si="2"/>
        <v>90</v>
      </c>
      <c r="N9" s="491">
        <f t="shared" si="2"/>
        <v>99</v>
      </c>
      <c r="O9" s="491">
        <f t="shared" si="2"/>
        <v>108</v>
      </c>
      <c r="P9" s="491">
        <f t="shared" si="2"/>
        <v>117</v>
      </c>
      <c r="Q9" s="491">
        <f t="shared" si="2"/>
        <v>126</v>
      </c>
      <c r="R9" s="491">
        <f t="shared" si="2"/>
        <v>135</v>
      </c>
      <c r="S9" s="491">
        <f t="shared" si="2"/>
        <v>144</v>
      </c>
      <c r="T9" s="491">
        <f t="shared" si="2"/>
        <v>153</v>
      </c>
      <c r="U9" s="491">
        <f t="shared" si="2"/>
        <v>162</v>
      </c>
      <c r="V9" s="491">
        <f t="shared" si="2"/>
        <v>171</v>
      </c>
      <c r="W9" s="491">
        <f t="shared" si="2"/>
        <v>180</v>
      </c>
      <c r="X9" s="445">
        <f>K9/K6</f>
        <v>9</v>
      </c>
      <c r="Y9" s="445"/>
      <c r="Z9" s="491">
        <f>9*Z6</f>
        <v>72</v>
      </c>
      <c r="AA9" s="445"/>
      <c r="AB9" s="445"/>
      <c r="AC9" s="445"/>
    </row>
    <row r="10" spans="1:29" s="490" customFormat="1" x14ac:dyDescent="0.25">
      <c r="A10" s="493"/>
      <c r="B10" s="493"/>
      <c r="C10" s="492" t="s">
        <v>1120</v>
      </c>
      <c r="D10" s="491">
        <f>13*D6</f>
        <v>13</v>
      </c>
      <c r="E10" s="491">
        <f t="shared" ref="E10:W10" si="3">13*E6</f>
        <v>26</v>
      </c>
      <c r="F10" s="491">
        <f t="shared" si="3"/>
        <v>39</v>
      </c>
      <c r="G10" s="491">
        <f t="shared" si="3"/>
        <v>52</v>
      </c>
      <c r="H10" s="491">
        <f t="shared" si="3"/>
        <v>65</v>
      </c>
      <c r="I10" s="491">
        <f t="shared" si="3"/>
        <v>78</v>
      </c>
      <c r="J10" s="491">
        <f t="shared" si="3"/>
        <v>91</v>
      </c>
      <c r="K10" s="491">
        <f t="shared" si="3"/>
        <v>104</v>
      </c>
      <c r="L10" s="491">
        <f t="shared" si="3"/>
        <v>117</v>
      </c>
      <c r="M10" s="491">
        <f t="shared" si="3"/>
        <v>130</v>
      </c>
      <c r="N10" s="491">
        <f t="shared" si="3"/>
        <v>143</v>
      </c>
      <c r="O10" s="491">
        <f t="shared" si="3"/>
        <v>156</v>
      </c>
      <c r="P10" s="491">
        <f t="shared" si="3"/>
        <v>169</v>
      </c>
      <c r="Q10" s="491">
        <f t="shared" si="3"/>
        <v>182</v>
      </c>
      <c r="R10" s="491">
        <f t="shared" si="3"/>
        <v>195</v>
      </c>
      <c r="S10" s="491">
        <f t="shared" si="3"/>
        <v>208</v>
      </c>
      <c r="T10" s="491">
        <f t="shared" si="3"/>
        <v>221</v>
      </c>
      <c r="U10" s="491">
        <f t="shared" si="3"/>
        <v>234</v>
      </c>
      <c r="V10" s="491">
        <f t="shared" si="3"/>
        <v>247</v>
      </c>
      <c r="W10" s="491">
        <f t="shared" si="3"/>
        <v>260</v>
      </c>
      <c r="X10" s="445">
        <f>K10/K6</f>
        <v>13</v>
      </c>
      <c r="Y10" s="445"/>
      <c r="Z10" s="491">
        <f>13*Z6</f>
        <v>104</v>
      </c>
      <c r="AA10" s="445"/>
      <c r="AB10" s="445"/>
      <c r="AC10" s="445"/>
    </row>
    <row r="11" spans="1:29" s="490" customFormat="1" x14ac:dyDescent="0.25">
      <c r="A11" s="493"/>
      <c r="B11" s="493"/>
      <c r="C11" s="493"/>
      <c r="D11" s="491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45"/>
      <c r="Y11" s="445"/>
      <c r="Z11" s="491"/>
      <c r="AA11" s="445"/>
      <c r="AB11" s="445"/>
      <c r="AC11" s="445"/>
    </row>
    <row r="12" spans="1:29" x14ac:dyDescent="0.25">
      <c r="A12" s="451">
        <v>1</v>
      </c>
      <c r="B12" s="462" t="s">
        <v>1072</v>
      </c>
      <c r="C12" s="487" t="s">
        <v>1119</v>
      </c>
      <c r="D12" s="459">
        <v>1</v>
      </c>
      <c r="E12" s="459">
        <v>1</v>
      </c>
      <c r="F12" s="459">
        <v>1</v>
      </c>
      <c r="G12" s="459">
        <v>1</v>
      </c>
      <c r="H12" s="459">
        <v>1</v>
      </c>
      <c r="I12" s="459">
        <v>1</v>
      </c>
      <c r="J12" s="459">
        <v>1</v>
      </c>
      <c r="K12" s="460">
        <v>1</v>
      </c>
      <c r="L12" s="459">
        <v>1</v>
      </c>
      <c r="M12" s="459">
        <v>1</v>
      </c>
      <c r="N12" s="459">
        <v>1</v>
      </c>
      <c r="O12" s="459">
        <v>1</v>
      </c>
      <c r="P12" s="459">
        <v>1</v>
      </c>
      <c r="Q12" s="459">
        <v>1</v>
      </c>
      <c r="R12" s="459">
        <v>1</v>
      </c>
      <c r="S12" s="459">
        <v>1</v>
      </c>
      <c r="T12" s="459">
        <v>1</v>
      </c>
      <c r="U12" s="459">
        <v>1</v>
      </c>
      <c r="V12" s="459">
        <v>1</v>
      </c>
      <c r="W12" s="459">
        <v>1</v>
      </c>
      <c r="Z12" s="460">
        <v>1</v>
      </c>
    </row>
    <row r="13" spans="1:29" ht="45" x14ac:dyDescent="0.25">
      <c r="A13" s="451">
        <v>2</v>
      </c>
      <c r="B13" s="462" t="s">
        <v>1072</v>
      </c>
      <c r="C13" s="489" t="s">
        <v>1118</v>
      </c>
      <c r="D13" s="459"/>
      <c r="E13" s="459"/>
      <c r="F13" s="459"/>
      <c r="G13" s="459"/>
      <c r="H13" s="459"/>
      <c r="I13" s="459">
        <v>0.5</v>
      </c>
      <c r="J13" s="459">
        <v>0.5</v>
      </c>
      <c r="K13" s="460">
        <v>0.5</v>
      </c>
      <c r="L13" s="459">
        <v>0.5</v>
      </c>
      <c r="M13" s="459">
        <v>1</v>
      </c>
      <c r="N13" s="459">
        <v>1</v>
      </c>
      <c r="O13" s="459">
        <v>1</v>
      </c>
      <c r="P13" s="459">
        <v>1</v>
      </c>
      <c r="Q13" s="459">
        <v>1</v>
      </c>
      <c r="R13" s="459">
        <v>1</v>
      </c>
      <c r="S13" s="459">
        <v>1</v>
      </c>
      <c r="T13" s="459">
        <v>1</v>
      </c>
      <c r="U13" s="459">
        <v>1.5</v>
      </c>
      <c r="V13" s="459">
        <v>1.5</v>
      </c>
      <c r="W13" s="459">
        <v>1.5</v>
      </c>
      <c r="Z13" s="460">
        <v>0.5</v>
      </c>
    </row>
    <row r="14" spans="1:29" x14ac:dyDescent="0.25">
      <c r="A14" s="451">
        <v>3</v>
      </c>
      <c r="B14" s="462" t="s">
        <v>1072</v>
      </c>
      <c r="C14" s="487" t="s">
        <v>1117</v>
      </c>
      <c r="D14" s="459"/>
      <c r="E14" s="459"/>
      <c r="F14" s="460"/>
      <c r="G14" s="459"/>
      <c r="H14" s="459"/>
      <c r="I14" s="459"/>
      <c r="J14" s="459"/>
      <c r="K14" s="460"/>
      <c r="L14" s="459"/>
      <c r="M14" s="459"/>
      <c r="N14" s="459"/>
      <c r="O14" s="459">
        <v>1</v>
      </c>
      <c r="P14" s="459">
        <v>1</v>
      </c>
      <c r="Q14" s="459">
        <v>1</v>
      </c>
      <c r="R14" s="459">
        <v>1</v>
      </c>
      <c r="S14" s="459">
        <v>1</v>
      </c>
      <c r="T14" s="459">
        <v>1</v>
      </c>
      <c r="U14" s="459">
        <v>1</v>
      </c>
      <c r="V14" s="459">
        <v>1</v>
      </c>
      <c r="W14" s="459">
        <v>1</v>
      </c>
      <c r="Z14" s="460"/>
    </row>
    <row r="15" spans="1:29" ht="30" x14ac:dyDescent="0.25">
      <c r="A15" s="451">
        <v>4</v>
      </c>
      <c r="B15" s="462" t="s">
        <v>1072</v>
      </c>
      <c r="C15" s="489" t="s">
        <v>1116</v>
      </c>
      <c r="D15" s="459"/>
      <c r="E15" s="459"/>
      <c r="F15" s="460"/>
      <c r="G15" s="459">
        <v>0.5</v>
      </c>
      <c r="H15" s="459">
        <v>0.5</v>
      </c>
      <c r="I15" s="459">
        <v>1</v>
      </c>
      <c r="J15" s="459">
        <v>1</v>
      </c>
      <c r="K15" s="460">
        <v>1</v>
      </c>
      <c r="L15" s="459">
        <v>1</v>
      </c>
      <c r="M15" s="459">
        <v>1</v>
      </c>
      <c r="N15" s="459">
        <v>1</v>
      </c>
      <c r="O15" s="459"/>
      <c r="P15" s="459"/>
      <c r="Q15" s="459"/>
      <c r="R15" s="459"/>
      <c r="S15" s="459"/>
      <c r="T15" s="459"/>
      <c r="U15" s="459"/>
      <c r="V15" s="459"/>
      <c r="W15" s="459"/>
      <c r="Z15" s="460">
        <v>1</v>
      </c>
    </row>
    <row r="16" spans="1:29" x14ac:dyDescent="0.25">
      <c r="A16" s="451">
        <v>5</v>
      </c>
      <c r="B16" s="462" t="s">
        <v>1072</v>
      </c>
      <c r="C16" s="487" t="s">
        <v>314</v>
      </c>
      <c r="D16" s="459">
        <v>1</v>
      </c>
      <c r="E16" s="459">
        <v>1</v>
      </c>
      <c r="F16" s="460">
        <v>1</v>
      </c>
      <c r="G16" s="459">
        <v>1</v>
      </c>
      <c r="H16" s="459">
        <v>1</v>
      </c>
      <c r="I16" s="459">
        <v>1</v>
      </c>
      <c r="J16" s="459">
        <v>1</v>
      </c>
      <c r="K16" s="460">
        <v>1</v>
      </c>
      <c r="L16" s="459">
        <v>1</v>
      </c>
      <c r="M16" s="459">
        <v>1</v>
      </c>
      <c r="N16" s="459">
        <v>1</v>
      </c>
      <c r="O16" s="459">
        <v>1</v>
      </c>
      <c r="P16" s="459">
        <v>1</v>
      </c>
      <c r="Q16" s="459">
        <v>1</v>
      </c>
      <c r="R16" s="459">
        <v>1</v>
      </c>
      <c r="S16" s="459">
        <v>1</v>
      </c>
      <c r="T16" s="459">
        <v>1</v>
      </c>
      <c r="U16" s="459">
        <v>1</v>
      </c>
      <c r="V16" s="459">
        <v>1</v>
      </c>
      <c r="W16" s="459">
        <v>1</v>
      </c>
      <c r="Z16" s="460">
        <v>1</v>
      </c>
    </row>
    <row r="17" spans="1:26" ht="30" x14ac:dyDescent="0.25">
      <c r="A17" s="451">
        <v>6</v>
      </c>
      <c r="B17" s="462" t="s">
        <v>1072</v>
      </c>
      <c r="C17" s="489" t="s">
        <v>1115</v>
      </c>
      <c r="D17" s="459"/>
      <c r="E17" s="459">
        <v>0.5</v>
      </c>
      <c r="F17" s="460">
        <v>0.5</v>
      </c>
      <c r="G17" s="459">
        <v>0.5</v>
      </c>
      <c r="H17" s="459">
        <v>0.5</v>
      </c>
      <c r="I17" s="459">
        <v>0.5</v>
      </c>
      <c r="J17" s="459">
        <v>0.5</v>
      </c>
      <c r="K17" s="460">
        <v>1</v>
      </c>
      <c r="L17" s="459">
        <v>1</v>
      </c>
      <c r="M17" s="459">
        <v>1</v>
      </c>
      <c r="N17" s="459">
        <v>1</v>
      </c>
      <c r="O17" s="459">
        <v>1</v>
      </c>
      <c r="P17" s="459">
        <v>1</v>
      </c>
      <c r="Q17" s="459">
        <v>1.5</v>
      </c>
      <c r="R17" s="459">
        <v>1.5</v>
      </c>
      <c r="S17" s="459">
        <v>1.5</v>
      </c>
      <c r="T17" s="459">
        <v>1.5</v>
      </c>
      <c r="U17" s="459">
        <v>1.5</v>
      </c>
      <c r="V17" s="459">
        <v>1.5</v>
      </c>
      <c r="W17" s="459">
        <v>1.5</v>
      </c>
      <c r="Z17" s="460">
        <v>1</v>
      </c>
    </row>
    <row r="18" spans="1:26" x14ac:dyDescent="0.25">
      <c r="A18" s="451">
        <v>7</v>
      </c>
      <c r="B18" s="462" t="s">
        <v>1072</v>
      </c>
      <c r="C18" s="487" t="s">
        <v>1114</v>
      </c>
      <c r="D18" s="459"/>
      <c r="E18" s="459"/>
      <c r="F18" s="460"/>
      <c r="G18" s="459"/>
      <c r="H18" s="459">
        <v>0.25</v>
      </c>
      <c r="I18" s="459">
        <v>0.25</v>
      </c>
      <c r="J18" s="459">
        <v>0.25</v>
      </c>
      <c r="K18" s="460">
        <v>0.25</v>
      </c>
      <c r="L18" s="459">
        <v>0.25</v>
      </c>
      <c r="M18" s="459">
        <v>0.5</v>
      </c>
      <c r="N18" s="459">
        <v>0.5</v>
      </c>
      <c r="O18" s="459">
        <v>0.5</v>
      </c>
      <c r="P18" s="459">
        <v>0.5</v>
      </c>
      <c r="Q18" s="459">
        <v>0.5</v>
      </c>
      <c r="R18" s="459">
        <v>0.75</v>
      </c>
      <c r="S18" s="459">
        <v>0.75</v>
      </c>
      <c r="T18" s="459">
        <v>0.75</v>
      </c>
      <c r="U18" s="459">
        <v>0.75</v>
      </c>
      <c r="V18" s="459">
        <v>0.75</v>
      </c>
      <c r="W18" s="459">
        <v>1</v>
      </c>
      <c r="Z18" s="460">
        <v>0.25</v>
      </c>
    </row>
    <row r="19" spans="1:26" ht="30" x14ac:dyDescent="0.25">
      <c r="A19" s="451">
        <v>8</v>
      </c>
      <c r="B19" s="462" t="s">
        <v>1072</v>
      </c>
      <c r="C19" s="489" t="s">
        <v>1113</v>
      </c>
      <c r="D19" s="459"/>
      <c r="E19" s="459"/>
      <c r="F19" s="460"/>
      <c r="G19" s="459">
        <v>0.5</v>
      </c>
      <c r="H19" s="459">
        <v>0.5</v>
      </c>
      <c r="I19" s="459">
        <v>0.5</v>
      </c>
      <c r="J19" s="459">
        <v>0.5</v>
      </c>
      <c r="K19" s="460">
        <v>0.5</v>
      </c>
      <c r="L19" s="459">
        <v>0.5</v>
      </c>
      <c r="M19" s="459">
        <v>1</v>
      </c>
      <c r="N19" s="459">
        <v>1</v>
      </c>
      <c r="O19" s="459">
        <v>1</v>
      </c>
      <c r="P19" s="459">
        <v>1</v>
      </c>
      <c r="Q19" s="459">
        <v>1</v>
      </c>
      <c r="R19" s="459">
        <v>1</v>
      </c>
      <c r="S19" s="459">
        <v>1</v>
      </c>
      <c r="T19" s="459">
        <v>1</v>
      </c>
      <c r="U19" s="459">
        <v>1</v>
      </c>
      <c r="V19" s="459">
        <v>1</v>
      </c>
      <c r="W19" s="459">
        <v>1</v>
      </c>
      <c r="Z19" s="460">
        <v>0.5</v>
      </c>
    </row>
    <row r="20" spans="1:26" ht="120" x14ac:dyDescent="0.25">
      <c r="A20" s="451">
        <v>16</v>
      </c>
      <c r="B20" s="462" t="s">
        <v>1072</v>
      </c>
      <c r="C20" s="488" t="s">
        <v>1112</v>
      </c>
      <c r="D20" s="485">
        <v>0.25</v>
      </c>
      <c r="E20" s="485">
        <v>0.25</v>
      </c>
      <c r="F20" s="486">
        <v>0.25</v>
      </c>
      <c r="G20" s="485">
        <v>0.25</v>
      </c>
      <c r="H20" s="485">
        <v>0.25</v>
      </c>
      <c r="I20" s="485">
        <v>0.25</v>
      </c>
      <c r="J20" s="485">
        <v>0.25</v>
      </c>
      <c r="K20" s="486">
        <v>0.25</v>
      </c>
      <c r="L20" s="485">
        <v>0.25</v>
      </c>
      <c r="M20" s="485">
        <v>0.25</v>
      </c>
      <c r="N20" s="485">
        <v>0.25</v>
      </c>
      <c r="O20" s="485">
        <v>0.25</v>
      </c>
      <c r="P20" s="485">
        <v>0.25</v>
      </c>
      <c r="Q20" s="485">
        <v>0.25</v>
      </c>
      <c r="R20" s="485">
        <v>0.25</v>
      </c>
      <c r="S20" s="485">
        <v>0.25</v>
      </c>
      <c r="T20" s="485">
        <v>0.25</v>
      </c>
      <c r="U20" s="485">
        <v>0.25</v>
      </c>
      <c r="V20" s="485">
        <v>0.25</v>
      </c>
      <c r="W20" s="485">
        <v>0.25</v>
      </c>
      <c r="Z20" s="486">
        <v>0.25</v>
      </c>
    </row>
    <row r="21" spans="1:26" x14ac:dyDescent="0.25">
      <c r="A21" s="451">
        <v>17</v>
      </c>
      <c r="B21" s="462" t="s">
        <v>1072</v>
      </c>
      <c r="C21" s="487" t="s">
        <v>1111</v>
      </c>
      <c r="D21" s="485">
        <v>0.5</v>
      </c>
      <c r="E21" s="485">
        <v>0.5</v>
      </c>
      <c r="F21" s="486">
        <v>0.5</v>
      </c>
      <c r="G21" s="485">
        <v>0.5</v>
      </c>
      <c r="H21" s="485">
        <v>0.5</v>
      </c>
      <c r="I21" s="485">
        <v>1</v>
      </c>
      <c r="J21" s="485">
        <v>1</v>
      </c>
      <c r="K21" s="486">
        <v>1</v>
      </c>
      <c r="L21" s="485">
        <v>1</v>
      </c>
      <c r="M21" s="485">
        <v>1</v>
      </c>
      <c r="N21" s="485">
        <v>1</v>
      </c>
      <c r="O21" s="485">
        <v>1</v>
      </c>
      <c r="P21" s="485">
        <v>1</v>
      </c>
      <c r="Q21" s="485">
        <v>1</v>
      </c>
      <c r="R21" s="485">
        <v>1</v>
      </c>
      <c r="S21" s="485">
        <v>1.25</v>
      </c>
      <c r="T21" s="485">
        <v>1.25</v>
      </c>
      <c r="U21" s="485">
        <v>1.25</v>
      </c>
      <c r="V21" s="485">
        <v>1.25</v>
      </c>
      <c r="W21" s="485">
        <v>1.25</v>
      </c>
      <c r="Z21" s="486">
        <v>1</v>
      </c>
    </row>
    <row r="22" spans="1:26" x14ac:dyDescent="0.25">
      <c r="A22" s="451"/>
      <c r="B22" s="451"/>
      <c r="C22" s="451"/>
      <c r="D22" s="459"/>
      <c r="E22" s="459"/>
      <c r="F22" s="460"/>
      <c r="G22" s="459"/>
      <c r="H22" s="459"/>
      <c r="I22" s="459"/>
      <c r="J22" s="459"/>
      <c r="K22" s="460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Z22" s="460"/>
    </row>
    <row r="23" spans="1:26" x14ac:dyDescent="0.25">
      <c r="A23" s="451"/>
      <c r="B23" s="451"/>
      <c r="C23" s="483" t="s">
        <v>1110</v>
      </c>
      <c r="D23" s="463">
        <f>0.25/3*D6</f>
        <v>0.08</v>
      </c>
      <c r="E23" s="463">
        <f t="shared" ref="E23:W23" si="4">0.25/3*E6</f>
        <v>0.17</v>
      </c>
      <c r="F23" s="464">
        <f t="shared" si="4"/>
        <v>0.25</v>
      </c>
      <c r="G23" s="463">
        <f t="shared" si="4"/>
        <v>0.33</v>
      </c>
      <c r="H23" s="463">
        <f t="shared" si="4"/>
        <v>0.42</v>
      </c>
      <c r="I23" s="463">
        <f t="shared" si="4"/>
        <v>0.5</v>
      </c>
      <c r="J23" s="463">
        <f t="shared" si="4"/>
        <v>0.57999999999999996</v>
      </c>
      <c r="K23" s="464">
        <f t="shared" si="4"/>
        <v>0.67</v>
      </c>
      <c r="L23" s="463">
        <f t="shared" si="4"/>
        <v>0.75</v>
      </c>
      <c r="M23" s="463">
        <f t="shared" si="4"/>
        <v>0.83</v>
      </c>
      <c r="N23" s="463">
        <f t="shared" si="4"/>
        <v>0.92</v>
      </c>
      <c r="O23" s="463">
        <f t="shared" si="4"/>
        <v>1</v>
      </c>
      <c r="P23" s="463">
        <f t="shared" si="4"/>
        <v>1.08</v>
      </c>
      <c r="Q23" s="463">
        <f t="shared" si="4"/>
        <v>1.17</v>
      </c>
      <c r="R23" s="463">
        <f t="shared" si="4"/>
        <v>1.25</v>
      </c>
      <c r="S23" s="463">
        <f t="shared" si="4"/>
        <v>1.33</v>
      </c>
      <c r="T23" s="463">
        <f t="shared" si="4"/>
        <v>1.42</v>
      </c>
      <c r="U23" s="463">
        <f t="shared" si="4"/>
        <v>1.5</v>
      </c>
      <c r="V23" s="463">
        <f t="shared" si="4"/>
        <v>1.58</v>
      </c>
      <c r="W23" s="463">
        <f t="shared" si="4"/>
        <v>1.67</v>
      </c>
      <c r="Z23" s="464">
        <f>0.25/3*Z6</f>
        <v>0.67</v>
      </c>
    </row>
    <row r="24" spans="1:26" ht="30" x14ac:dyDescent="0.25">
      <c r="A24" s="451"/>
      <c r="B24" s="451"/>
      <c r="C24" s="483" t="s">
        <v>1109</v>
      </c>
      <c r="D24" s="463">
        <f>0.12*D6</f>
        <v>0.12</v>
      </c>
      <c r="E24" s="463">
        <f t="shared" ref="E24:W24" si="5">0.12*E6</f>
        <v>0.24</v>
      </c>
      <c r="F24" s="464">
        <f t="shared" si="5"/>
        <v>0.36</v>
      </c>
      <c r="G24" s="463">
        <f t="shared" si="5"/>
        <v>0.48</v>
      </c>
      <c r="H24" s="463">
        <f t="shared" si="5"/>
        <v>0.6</v>
      </c>
      <c r="I24" s="463">
        <f t="shared" si="5"/>
        <v>0.72</v>
      </c>
      <c r="J24" s="463">
        <f t="shared" si="5"/>
        <v>0.84</v>
      </c>
      <c r="K24" s="464">
        <f t="shared" si="5"/>
        <v>0.96</v>
      </c>
      <c r="L24" s="463">
        <f t="shared" si="5"/>
        <v>1.08</v>
      </c>
      <c r="M24" s="463">
        <f t="shared" si="5"/>
        <v>1.2</v>
      </c>
      <c r="N24" s="463">
        <f t="shared" si="5"/>
        <v>1.32</v>
      </c>
      <c r="O24" s="463">
        <f t="shared" si="5"/>
        <v>1.44</v>
      </c>
      <c r="P24" s="463">
        <f t="shared" si="5"/>
        <v>1.56</v>
      </c>
      <c r="Q24" s="463">
        <f t="shared" si="5"/>
        <v>1.68</v>
      </c>
      <c r="R24" s="463">
        <f t="shared" si="5"/>
        <v>1.8</v>
      </c>
      <c r="S24" s="463">
        <f t="shared" si="5"/>
        <v>1.92</v>
      </c>
      <c r="T24" s="463">
        <f t="shared" si="5"/>
        <v>2.04</v>
      </c>
      <c r="U24" s="463">
        <f t="shared" si="5"/>
        <v>2.16</v>
      </c>
      <c r="V24" s="463">
        <f t="shared" si="5"/>
        <v>2.2799999999999998</v>
      </c>
      <c r="W24" s="463">
        <f t="shared" si="5"/>
        <v>2.4</v>
      </c>
      <c r="Z24" s="464">
        <f>0.12*Z6</f>
        <v>0.96</v>
      </c>
    </row>
    <row r="25" spans="1:26" x14ac:dyDescent="0.25">
      <c r="A25" s="451"/>
      <c r="B25" s="451"/>
      <c r="C25" s="483" t="s">
        <v>1108</v>
      </c>
      <c r="D25" s="463">
        <f>0.25*D6</f>
        <v>0.25</v>
      </c>
      <c r="E25" s="463">
        <f t="shared" ref="E25:W25" si="6">0.25*E6</f>
        <v>0.5</v>
      </c>
      <c r="F25" s="464">
        <f t="shared" si="6"/>
        <v>0.75</v>
      </c>
      <c r="G25" s="463">
        <f t="shared" si="6"/>
        <v>1</v>
      </c>
      <c r="H25" s="463">
        <f t="shared" si="6"/>
        <v>1.25</v>
      </c>
      <c r="I25" s="463">
        <f t="shared" si="6"/>
        <v>1.5</v>
      </c>
      <c r="J25" s="463">
        <f t="shared" si="6"/>
        <v>1.75</v>
      </c>
      <c r="K25" s="464">
        <f t="shared" si="6"/>
        <v>2</v>
      </c>
      <c r="L25" s="463">
        <f t="shared" si="6"/>
        <v>2.25</v>
      </c>
      <c r="M25" s="463">
        <f t="shared" si="6"/>
        <v>2.5</v>
      </c>
      <c r="N25" s="463">
        <f t="shared" si="6"/>
        <v>2.75</v>
      </c>
      <c r="O25" s="463">
        <f t="shared" si="6"/>
        <v>3</v>
      </c>
      <c r="P25" s="463">
        <f t="shared" si="6"/>
        <v>3.25</v>
      </c>
      <c r="Q25" s="463">
        <f t="shared" si="6"/>
        <v>3.5</v>
      </c>
      <c r="R25" s="463">
        <f t="shared" si="6"/>
        <v>3.75</v>
      </c>
      <c r="S25" s="463">
        <f t="shared" si="6"/>
        <v>4</v>
      </c>
      <c r="T25" s="463">
        <f t="shared" si="6"/>
        <v>4.25</v>
      </c>
      <c r="U25" s="463">
        <f t="shared" si="6"/>
        <v>4.5</v>
      </c>
      <c r="V25" s="463">
        <f t="shared" si="6"/>
        <v>4.75</v>
      </c>
      <c r="W25" s="463">
        <f t="shared" si="6"/>
        <v>5</v>
      </c>
      <c r="Z25" s="464">
        <f>0.25*Z6</f>
        <v>2</v>
      </c>
    </row>
    <row r="26" spans="1:26" x14ac:dyDescent="0.25">
      <c r="A26" s="451"/>
      <c r="B26" s="451"/>
      <c r="C26" s="483" t="s">
        <v>1107</v>
      </c>
      <c r="D26" s="463">
        <f>0.12*D6</f>
        <v>0.12</v>
      </c>
      <c r="E26" s="463">
        <f t="shared" ref="E26:W26" si="7">0.12*E6</f>
        <v>0.24</v>
      </c>
      <c r="F26" s="464">
        <f t="shared" si="7"/>
        <v>0.36</v>
      </c>
      <c r="G26" s="463">
        <f t="shared" si="7"/>
        <v>0.48</v>
      </c>
      <c r="H26" s="463">
        <f t="shared" si="7"/>
        <v>0.6</v>
      </c>
      <c r="I26" s="463">
        <f t="shared" si="7"/>
        <v>0.72</v>
      </c>
      <c r="J26" s="463">
        <f t="shared" si="7"/>
        <v>0.84</v>
      </c>
      <c r="K26" s="464">
        <f t="shared" si="7"/>
        <v>0.96</v>
      </c>
      <c r="L26" s="463">
        <f t="shared" si="7"/>
        <v>1.08</v>
      </c>
      <c r="M26" s="463">
        <f t="shared" si="7"/>
        <v>1.2</v>
      </c>
      <c r="N26" s="463">
        <f t="shared" si="7"/>
        <v>1.32</v>
      </c>
      <c r="O26" s="463">
        <f t="shared" si="7"/>
        <v>1.44</v>
      </c>
      <c r="P26" s="463">
        <f t="shared" si="7"/>
        <v>1.56</v>
      </c>
      <c r="Q26" s="463">
        <f t="shared" si="7"/>
        <v>1.68</v>
      </c>
      <c r="R26" s="463">
        <f t="shared" si="7"/>
        <v>1.8</v>
      </c>
      <c r="S26" s="463">
        <f t="shared" si="7"/>
        <v>1.92</v>
      </c>
      <c r="T26" s="463">
        <f t="shared" si="7"/>
        <v>2.04</v>
      </c>
      <c r="U26" s="463">
        <f t="shared" si="7"/>
        <v>2.16</v>
      </c>
      <c r="V26" s="463">
        <f t="shared" si="7"/>
        <v>2.2799999999999998</v>
      </c>
      <c r="W26" s="463">
        <f t="shared" si="7"/>
        <v>2.4</v>
      </c>
      <c r="Z26" s="464">
        <f>0.12*Z6</f>
        <v>0.96</v>
      </c>
    </row>
    <row r="27" spans="1:26" ht="60" x14ac:dyDescent="0.25">
      <c r="A27" s="451"/>
      <c r="B27" s="451"/>
      <c r="C27" s="483" t="s">
        <v>1106</v>
      </c>
      <c r="D27" s="480">
        <f>1*D6</f>
        <v>1</v>
      </c>
      <c r="E27" s="480">
        <f t="shared" ref="E27:W27" si="8">1*E6</f>
        <v>2</v>
      </c>
      <c r="F27" s="481">
        <f t="shared" si="8"/>
        <v>3</v>
      </c>
      <c r="G27" s="480">
        <f t="shared" si="8"/>
        <v>4</v>
      </c>
      <c r="H27" s="480">
        <f t="shared" si="8"/>
        <v>5</v>
      </c>
      <c r="I27" s="480">
        <f t="shared" si="8"/>
        <v>6</v>
      </c>
      <c r="J27" s="480">
        <f t="shared" si="8"/>
        <v>7</v>
      </c>
      <c r="K27" s="481">
        <f t="shared" si="8"/>
        <v>8</v>
      </c>
      <c r="L27" s="480">
        <f t="shared" si="8"/>
        <v>9</v>
      </c>
      <c r="M27" s="480">
        <f t="shared" si="8"/>
        <v>10</v>
      </c>
      <c r="N27" s="480">
        <f t="shared" si="8"/>
        <v>11</v>
      </c>
      <c r="O27" s="480">
        <f t="shared" si="8"/>
        <v>12</v>
      </c>
      <c r="P27" s="480">
        <f t="shared" si="8"/>
        <v>13</v>
      </c>
      <c r="Q27" s="480">
        <f t="shared" si="8"/>
        <v>14</v>
      </c>
      <c r="R27" s="480">
        <f t="shared" si="8"/>
        <v>15</v>
      </c>
      <c r="S27" s="480">
        <f t="shared" si="8"/>
        <v>16</v>
      </c>
      <c r="T27" s="480">
        <f t="shared" si="8"/>
        <v>17</v>
      </c>
      <c r="U27" s="480">
        <f t="shared" si="8"/>
        <v>18</v>
      </c>
      <c r="V27" s="480">
        <f t="shared" si="8"/>
        <v>19</v>
      </c>
      <c r="W27" s="480">
        <f t="shared" si="8"/>
        <v>20</v>
      </c>
      <c r="Z27" s="481">
        <f>1*Z6</f>
        <v>8</v>
      </c>
    </row>
    <row r="28" spans="1:26" ht="60" x14ac:dyDescent="0.25">
      <c r="A28" s="451"/>
      <c r="B28" s="451"/>
      <c r="C28" s="483" t="s">
        <v>1105</v>
      </c>
      <c r="D28" s="480">
        <f t="shared" ref="D28:J28" si="9">1/8*D6</f>
        <v>0.13</v>
      </c>
      <c r="E28" s="480">
        <f t="shared" si="9"/>
        <v>0.25</v>
      </c>
      <c r="F28" s="481">
        <f t="shared" si="9"/>
        <v>0.38</v>
      </c>
      <c r="G28" s="480">
        <f t="shared" si="9"/>
        <v>0.5</v>
      </c>
      <c r="H28" s="480">
        <f t="shared" si="9"/>
        <v>0.63</v>
      </c>
      <c r="I28" s="480">
        <f t="shared" si="9"/>
        <v>0.75</v>
      </c>
      <c r="J28" s="480">
        <f t="shared" si="9"/>
        <v>0.88</v>
      </c>
      <c r="K28" s="481">
        <f>1/8*K6</f>
        <v>1</v>
      </c>
      <c r="L28" s="480">
        <f t="shared" ref="L28:W28" si="10">1/8*L6</f>
        <v>1.1299999999999999</v>
      </c>
      <c r="M28" s="480">
        <f t="shared" si="10"/>
        <v>1.25</v>
      </c>
      <c r="N28" s="480">
        <f t="shared" si="10"/>
        <v>1.38</v>
      </c>
      <c r="O28" s="480">
        <f t="shared" si="10"/>
        <v>1.5</v>
      </c>
      <c r="P28" s="480">
        <f t="shared" si="10"/>
        <v>1.63</v>
      </c>
      <c r="Q28" s="480">
        <f t="shared" si="10"/>
        <v>1.75</v>
      </c>
      <c r="R28" s="480">
        <f t="shared" si="10"/>
        <v>1.88</v>
      </c>
      <c r="S28" s="480">
        <f t="shared" si="10"/>
        <v>2</v>
      </c>
      <c r="T28" s="480">
        <f t="shared" si="10"/>
        <v>2.13</v>
      </c>
      <c r="U28" s="480">
        <f t="shared" si="10"/>
        <v>2.25</v>
      </c>
      <c r="V28" s="480">
        <f t="shared" si="10"/>
        <v>2.38</v>
      </c>
      <c r="W28" s="480">
        <f t="shared" si="10"/>
        <v>2.5</v>
      </c>
      <c r="Z28" s="481">
        <f>1/8*Z6</f>
        <v>1</v>
      </c>
    </row>
    <row r="29" spans="1:26" ht="30" x14ac:dyDescent="0.25">
      <c r="A29" s="451"/>
      <c r="B29" s="451"/>
      <c r="C29" s="483" t="s">
        <v>1104</v>
      </c>
      <c r="D29" s="463">
        <f>0.25/2*D6</f>
        <v>0.13</v>
      </c>
      <c r="E29" s="463">
        <f t="shared" ref="E29:W29" si="11">0.25/2*E6</f>
        <v>0.25</v>
      </c>
      <c r="F29" s="464">
        <f t="shared" si="11"/>
        <v>0.38</v>
      </c>
      <c r="G29" s="463">
        <f t="shared" si="11"/>
        <v>0.5</v>
      </c>
      <c r="H29" s="463">
        <f t="shared" si="11"/>
        <v>0.63</v>
      </c>
      <c r="I29" s="463">
        <f t="shared" si="11"/>
        <v>0.75</v>
      </c>
      <c r="J29" s="463">
        <f t="shared" si="11"/>
        <v>0.88</v>
      </c>
      <c r="K29" s="464">
        <f t="shared" si="11"/>
        <v>1</v>
      </c>
      <c r="L29" s="463">
        <f t="shared" si="11"/>
        <v>1.1299999999999999</v>
      </c>
      <c r="M29" s="463">
        <f t="shared" si="11"/>
        <v>1.25</v>
      </c>
      <c r="N29" s="463">
        <f t="shared" si="11"/>
        <v>1.38</v>
      </c>
      <c r="O29" s="463">
        <f t="shared" si="11"/>
        <v>1.5</v>
      </c>
      <c r="P29" s="463">
        <f t="shared" si="11"/>
        <v>1.63</v>
      </c>
      <c r="Q29" s="463">
        <f t="shared" si="11"/>
        <v>1.75</v>
      </c>
      <c r="R29" s="463">
        <f t="shared" si="11"/>
        <v>1.88</v>
      </c>
      <c r="S29" s="463">
        <f t="shared" si="11"/>
        <v>2</v>
      </c>
      <c r="T29" s="463">
        <f t="shared" si="11"/>
        <v>2.13</v>
      </c>
      <c r="U29" s="463">
        <f t="shared" si="11"/>
        <v>2.25</v>
      </c>
      <c r="V29" s="463">
        <f t="shared" si="11"/>
        <v>2.38</v>
      </c>
      <c r="W29" s="463">
        <f t="shared" si="11"/>
        <v>2.5</v>
      </c>
      <c r="Z29" s="464">
        <f>0.25/2*Z6</f>
        <v>1</v>
      </c>
    </row>
    <row r="30" spans="1:26" ht="30" x14ac:dyDescent="0.25">
      <c r="A30" s="451"/>
      <c r="B30" s="451"/>
      <c r="C30" s="483" t="s">
        <v>1103</v>
      </c>
      <c r="D30" s="463">
        <f>0.12*D6</f>
        <v>0.12</v>
      </c>
      <c r="E30" s="463">
        <f t="shared" ref="E30:W30" si="12">0.12*E6</f>
        <v>0.24</v>
      </c>
      <c r="F30" s="464">
        <f t="shared" si="12"/>
        <v>0.36</v>
      </c>
      <c r="G30" s="463">
        <f t="shared" si="12"/>
        <v>0.48</v>
      </c>
      <c r="H30" s="463">
        <f t="shared" si="12"/>
        <v>0.6</v>
      </c>
      <c r="I30" s="463">
        <f t="shared" si="12"/>
        <v>0.72</v>
      </c>
      <c r="J30" s="463">
        <f t="shared" si="12"/>
        <v>0.84</v>
      </c>
      <c r="K30" s="464">
        <f t="shared" si="12"/>
        <v>0.96</v>
      </c>
      <c r="L30" s="463">
        <f t="shared" si="12"/>
        <v>1.08</v>
      </c>
      <c r="M30" s="463">
        <f t="shared" si="12"/>
        <v>1.2</v>
      </c>
      <c r="N30" s="463">
        <f t="shared" si="12"/>
        <v>1.32</v>
      </c>
      <c r="O30" s="463">
        <f t="shared" si="12"/>
        <v>1.44</v>
      </c>
      <c r="P30" s="463">
        <f t="shared" si="12"/>
        <v>1.56</v>
      </c>
      <c r="Q30" s="463">
        <f t="shared" si="12"/>
        <v>1.68</v>
      </c>
      <c r="R30" s="463">
        <f t="shared" si="12"/>
        <v>1.8</v>
      </c>
      <c r="S30" s="463">
        <f t="shared" si="12"/>
        <v>1.92</v>
      </c>
      <c r="T30" s="463">
        <f t="shared" si="12"/>
        <v>2.04</v>
      </c>
      <c r="U30" s="463">
        <f t="shared" si="12"/>
        <v>2.16</v>
      </c>
      <c r="V30" s="463">
        <f t="shared" si="12"/>
        <v>2.2799999999999998</v>
      </c>
      <c r="W30" s="463">
        <f t="shared" si="12"/>
        <v>2.4</v>
      </c>
      <c r="Z30" s="464">
        <f>0.12*Z6</f>
        <v>0.96</v>
      </c>
    </row>
    <row r="31" spans="1:26" x14ac:dyDescent="0.25">
      <c r="A31" s="451"/>
      <c r="B31" s="451"/>
      <c r="C31" s="483" t="s">
        <v>1102</v>
      </c>
      <c r="D31" s="480">
        <f>1.67*D6</f>
        <v>1.67</v>
      </c>
      <c r="E31" s="480">
        <f t="shared" ref="E31:W31" si="13">1.67*E6</f>
        <v>3.34</v>
      </c>
      <c r="F31" s="481">
        <f t="shared" si="13"/>
        <v>5.01</v>
      </c>
      <c r="G31" s="480">
        <f t="shared" si="13"/>
        <v>6.68</v>
      </c>
      <c r="H31" s="480">
        <f t="shared" si="13"/>
        <v>8.35</v>
      </c>
      <c r="I31" s="480">
        <f t="shared" si="13"/>
        <v>10.02</v>
      </c>
      <c r="J31" s="480">
        <f t="shared" si="13"/>
        <v>11.69</v>
      </c>
      <c r="K31" s="481">
        <f t="shared" si="13"/>
        <v>13.36</v>
      </c>
      <c r="L31" s="480">
        <f t="shared" si="13"/>
        <v>15.03</v>
      </c>
      <c r="M31" s="480">
        <f t="shared" si="13"/>
        <v>16.7</v>
      </c>
      <c r="N31" s="480">
        <f t="shared" si="13"/>
        <v>18.37</v>
      </c>
      <c r="O31" s="480">
        <f t="shared" si="13"/>
        <v>20.04</v>
      </c>
      <c r="P31" s="480">
        <f t="shared" si="13"/>
        <v>21.71</v>
      </c>
      <c r="Q31" s="480">
        <f t="shared" si="13"/>
        <v>23.38</v>
      </c>
      <c r="R31" s="480">
        <f t="shared" si="13"/>
        <v>25.05</v>
      </c>
      <c r="S31" s="480">
        <f t="shared" si="13"/>
        <v>26.72</v>
      </c>
      <c r="T31" s="480">
        <f t="shared" si="13"/>
        <v>28.39</v>
      </c>
      <c r="U31" s="480">
        <f t="shared" si="13"/>
        <v>30.06</v>
      </c>
      <c r="V31" s="480">
        <f t="shared" si="13"/>
        <v>31.73</v>
      </c>
      <c r="W31" s="480">
        <f t="shared" si="13"/>
        <v>33.4</v>
      </c>
      <c r="Z31" s="482">
        <f>K31/12*24</f>
        <v>26.72</v>
      </c>
    </row>
    <row r="32" spans="1:26" ht="30" x14ac:dyDescent="0.25">
      <c r="A32" s="451"/>
      <c r="B32" s="451"/>
      <c r="C32" s="483" t="s">
        <v>1101</v>
      </c>
      <c r="D32" s="480">
        <f>2.4*D6</f>
        <v>2.4</v>
      </c>
      <c r="E32" s="480">
        <f t="shared" ref="E32:W32" si="14">2.4*E6</f>
        <v>4.8</v>
      </c>
      <c r="F32" s="481">
        <f t="shared" si="14"/>
        <v>7.2</v>
      </c>
      <c r="G32" s="480">
        <f t="shared" si="14"/>
        <v>9.6</v>
      </c>
      <c r="H32" s="480">
        <f t="shared" si="14"/>
        <v>12</v>
      </c>
      <c r="I32" s="480">
        <f t="shared" si="14"/>
        <v>14.4</v>
      </c>
      <c r="J32" s="480">
        <f t="shared" si="14"/>
        <v>16.8</v>
      </c>
      <c r="K32" s="481">
        <f t="shared" si="14"/>
        <v>19.2</v>
      </c>
      <c r="L32" s="480">
        <f t="shared" si="14"/>
        <v>21.6</v>
      </c>
      <c r="M32" s="480">
        <f t="shared" si="14"/>
        <v>24</v>
      </c>
      <c r="N32" s="480">
        <f t="shared" si="14"/>
        <v>26.4</v>
      </c>
      <c r="O32" s="480">
        <f t="shared" si="14"/>
        <v>28.8</v>
      </c>
      <c r="P32" s="480">
        <f t="shared" si="14"/>
        <v>31.2</v>
      </c>
      <c r="Q32" s="480">
        <f t="shared" si="14"/>
        <v>33.6</v>
      </c>
      <c r="R32" s="480">
        <f t="shared" si="14"/>
        <v>36</v>
      </c>
      <c r="S32" s="480">
        <f t="shared" si="14"/>
        <v>38.4</v>
      </c>
      <c r="T32" s="480">
        <f t="shared" si="14"/>
        <v>40.799999999999997</v>
      </c>
      <c r="U32" s="480">
        <f t="shared" si="14"/>
        <v>43.2</v>
      </c>
      <c r="V32" s="480">
        <f t="shared" si="14"/>
        <v>45.6</v>
      </c>
      <c r="W32" s="480">
        <f t="shared" si="14"/>
        <v>48</v>
      </c>
      <c r="Z32" s="482">
        <f>K32/12*24</f>
        <v>38.4</v>
      </c>
    </row>
    <row r="33" spans="1:26" ht="30" x14ac:dyDescent="0.25">
      <c r="A33" s="451"/>
      <c r="B33" s="451"/>
      <c r="C33" s="483" t="s">
        <v>1100</v>
      </c>
      <c r="D33" s="480">
        <f>1.4*D6</f>
        <v>1.4</v>
      </c>
      <c r="E33" s="480">
        <f t="shared" ref="E33:W33" si="15">1.4*E6</f>
        <v>2.8</v>
      </c>
      <c r="F33" s="481">
        <f t="shared" si="15"/>
        <v>4.2</v>
      </c>
      <c r="G33" s="480">
        <f t="shared" si="15"/>
        <v>5.6</v>
      </c>
      <c r="H33" s="480">
        <f t="shared" si="15"/>
        <v>7</v>
      </c>
      <c r="I33" s="480">
        <f t="shared" si="15"/>
        <v>8.4</v>
      </c>
      <c r="J33" s="480">
        <f t="shared" si="15"/>
        <v>9.8000000000000007</v>
      </c>
      <c r="K33" s="481">
        <f t="shared" si="15"/>
        <v>11.2</v>
      </c>
      <c r="L33" s="480">
        <f t="shared" si="15"/>
        <v>12.6</v>
      </c>
      <c r="M33" s="480">
        <f t="shared" si="15"/>
        <v>14</v>
      </c>
      <c r="N33" s="480">
        <f t="shared" si="15"/>
        <v>15.4</v>
      </c>
      <c r="O33" s="480">
        <f t="shared" si="15"/>
        <v>16.8</v>
      </c>
      <c r="P33" s="480">
        <f t="shared" si="15"/>
        <v>18.2</v>
      </c>
      <c r="Q33" s="480">
        <f t="shared" si="15"/>
        <v>19.600000000000001</v>
      </c>
      <c r="R33" s="480">
        <f t="shared" si="15"/>
        <v>21</v>
      </c>
      <c r="S33" s="480">
        <f t="shared" si="15"/>
        <v>22.4</v>
      </c>
      <c r="T33" s="480">
        <f t="shared" si="15"/>
        <v>23.8</v>
      </c>
      <c r="U33" s="480">
        <f t="shared" si="15"/>
        <v>25.2</v>
      </c>
      <c r="V33" s="480">
        <f t="shared" si="15"/>
        <v>26.6</v>
      </c>
      <c r="W33" s="480">
        <f t="shared" si="15"/>
        <v>28</v>
      </c>
      <c r="Z33" s="482">
        <f>K33/12*24</f>
        <v>22.4</v>
      </c>
    </row>
    <row r="34" spans="1:26" x14ac:dyDescent="0.25">
      <c r="A34" s="451"/>
      <c r="B34" s="451"/>
      <c r="C34" s="484"/>
      <c r="D34" s="463"/>
      <c r="E34" s="463"/>
      <c r="F34" s="464"/>
      <c r="G34" s="463"/>
      <c r="H34" s="463"/>
      <c r="I34" s="463"/>
      <c r="J34" s="463"/>
      <c r="K34" s="464"/>
      <c r="L34" s="463"/>
      <c r="M34" s="463"/>
      <c r="N34" s="463"/>
      <c r="O34" s="463"/>
      <c r="P34" s="463"/>
      <c r="Q34" s="463"/>
      <c r="R34" s="463"/>
      <c r="S34" s="463"/>
      <c r="T34" s="463"/>
      <c r="U34" s="463"/>
      <c r="V34" s="463"/>
      <c r="W34" s="463"/>
      <c r="Z34" s="464"/>
    </row>
    <row r="35" spans="1:26" ht="75" x14ac:dyDescent="0.25">
      <c r="A35" s="451"/>
      <c r="B35" s="451"/>
      <c r="C35" s="483" t="s">
        <v>1099</v>
      </c>
      <c r="D35" s="480">
        <f>1.25*D6</f>
        <v>1.25</v>
      </c>
      <c r="E35" s="480">
        <f t="shared" ref="E35:W35" si="16">1.25*E6</f>
        <v>2.5</v>
      </c>
      <c r="F35" s="481">
        <f t="shared" si="16"/>
        <v>3.75</v>
      </c>
      <c r="G35" s="480">
        <f t="shared" si="16"/>
        <v>5</v>
      </c>
      <c r="H35" s="480">
        <f t="shared" si="16"/>
        <v>6.25</v>
      </c>
      <c r="I35" s="480">
        <f t="shared" si="16"/>
        <v>7.5</v>
      </c>
      <c r="J35" s="480">
        <f t="shared" si="16"/>
        <v>8.75</v>
      </c>
      <c r="K35" s="481">
        <f t="shared" si="16"/>
        <v>10</v>
      </c>
      <c r="L35" s="480">
        <f t="shared" si="16"/>
        <v>11.25</v>
      </c>
      <c r="M35" s="480">
        <f t="shared" si="16"/>
        <v>12.5</v>
      </c>
      <c r="N35" s="480">
        <f t="shared" si="16"/>
        <v>13.75</v>
      </c>
      <c r="O35" s="480">
        <f t="shared" si="16"/>
        <v>15</v>
      </c>
      <c r="P35" s="480">
        <f t="shared" si="16"/>
        <v>16.25</v>
      </c>
      <c r="Q35" s="480">
        <f t="shared" si="16"/>
        <v>17.5</v>
      </c>
      <c r="R35" s="480">
        <f t="shared" si="16"/>
        <v>18.75</v>
      </c>
      <c r="S35" s="480">
        <f t="shared" si="16"/>
        <v>20</v>
      </c>
      <c r="T35" s="480">
        <f t="shared" si="16"/>
        <v>21.25</v>
      </c>
      <c r="U35" s="480">
        <f t="shared" si="16"/>
        <v>22.5</v>
      </c>
      <c r="V35" s="480">
        <f t="shared" si="16"/>
        <v>23.75</v>
      </c>
      <c r="W35" s="480">
        <f t="shared" si="16"/>
        <v>25</v>
      </c>
      <c r="Z35" s="482">
        <f>24*5/40*Z6</f>
        <v>24</v>
      </c>
    </row>
    <row r="36" spans="1:26" ht="30" x14ac:dyDescent="0.25">
      <c r="A36" s="451"/>
      <c r="B36" s="451"/>
      <c r="C36" s="483" t="s">
        <v>1098</v>
      </c>
      <c r="D36" s="480">
        <f>1.5*D6</f>
        <v>1.5</v>
      </c>
      <c r="E36" s="480">
        <f t="shared" ref="E36:W36" si="17">1.5*E6</f>
        <v>3</v>
      </c>
      <c r="F36" s="481">
        <f t="shared" si="17"/>
        <v>4.5</v>
      </c>
      <c r="G36" s="480">
        <f t="shared" si="17"/>
        <v>6</v>
      </c>
      <c r="H36" s="480">
        <f t="shared" si="17"/>
        <v>7.5</v>
      </c>
      <c r="I36" s="480">
        <f t="shared" si="17"/>
        <v>9</v>
      </c>
      <c r="J36" s="480">
        <f t="shared" si="17"/>
        <v>10.5</v>
      </c>
      <c r="K36" s="481">
        <f t="shared" si="17"/>
        <v>12</v>
      </c>
      <c r="L36" s="480">
        <f t="shared" si="17"/>
        <v>13.5</v>
      </c>
      <c r="M36" s="480">
        <f t="shared" si="17"/>
        <v>15</v>
      </c>
      <c r="N36" s="480">
        <f t="shared" si="17"/>
        <v>16.5</v>
      </c>
      <c r="O36" s="480">
        <f t="shared" si="17"/>
        <v>18</v>
      </c>
      <c r="P36" s="480">
        <f t="shared" si="17"/>
        <v>19.5</v>
      </c>
      <c r="Q36" s="480">
        <f t="shared" si="17"/>
        <v>21</v>
      </c>
      <c r="R36" s="480">
        <f t="shared" si="17"/>
        <v>22.5</v>
      </c>
      <c r="S36" s="480">
        <f t="shared" si="17"/>
        <v>24</v>
      </c>
      <c r="T36" s="480">
        <f t="shared" si="17"/>
        <v>25.5</v>
      </c>
      <c r="U36" s="480">
        <f t="shared" si="17"/>
        <v>27</v>
      </c>
      <c r="V36" s="480">
        <f t="shared" si="17"/>
        <v>28.5</v>
      </c>
      <c r="W36" s="480">
        <f t="shared" si="17"/>
        <v>30</v>
      </c>
      <c r="Z36" s="482">
        <f>K36/12*24</f>
        <v>24</v>
      </c>
    </row>
    <row r="37" spans="1:26" x14ac:dyDescent="0.25">
      <c r="A37" s="451"/>
      <c r="B37" s="451"/>
      <c r="C37" s="451"/>
      <c r="D37" s="459"/>
      <c r="E37" s="459"/>
      <c r="F37" s="460"/>
      <c r="G37" s="459"/>
      <c r="H37" s="459"/>
      <c r="I37" s="459"/>
      <c r="J37" s="459"/>
      <c r="K37" s="460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Z37" s="460"/>
    </row>
    <row r="38" spans="1:26" x14ac:dyDescent="0.25">
      <c r="A38" s="451">
        <v>15</v>
      </c>
      <c r="B38" s="462" t="s">
        <v>1079</v>
      </c>
      <c r="C38" s="479" t="s">
        <v>1097</v>
      </c>
      <c r="D38" s="459">
        <v>0.5</v>
      </c>
      <c r="E38" s="459">
        <v>0.75</v>
      </c>
      <c r="F38" s="460">
        <v>1</v>
      </c>
      <c r="G38" s="459">
        <v>1</v>
      </c>
      <c r="H38" s="459">
        <v>1</v>
      </c>
      <c r="I38" s="459">
        <v>1</v>
      </c>
      <c r="J38" s="459">
        <v>1</v>
      </c>
      <c r="K38" s="460">
        <v>1.5</v>
      </c>
      <c r="L38" s="459">
        <v>1.5</v>
      </c>
      <c r="M38" s="459">
        <v>1.5</v>
      </c>
      <c r="N38" s="459">
        <v>1.5</v>
      </c>
      <c r="O38" s="459">
        <v>1.5</v>
      </c>
      <c r="P38" s="459">
        <v>2</v>
      </c>
      <c r="Q38" s="459">
        <v>2</v>
      </c>
      <c r="R38" s="459">
        <v>2</v>
      </c>
      <c r="S38" s="459">
        <v>2</v>
      </c>
      <c r="T38" s="459">
        <v>2.5</v>
      </c>
      <c r="U38" s="459">
        <v>2.5</v>
      </c>
      <c r="V38" s="459">
        <v>2.5</v>
      </c>
      <c r="W38" s="459">
        <v>2.5</v>
      </c>
      <c r="Z38" s="460">
        <v>1.5</v>
      </c>
    </row>
    <row r="39" spans="1:26" x14ac:dyDescent="0.25">
      <c r="A39" s="451">
        <v>15</v>
      </c>
      <c r="B39" s="462" t="s">
        <v>1079</v>
      </c>
      <c r="C39" s="479" t="s">
        <v>1096</v>
      </c>
      <c r="D39" s="459">
        <f>0.25*D6</f>
        <v>0.25</v>
      </c>
      <c r="E39" s="459">
        <f t="shared" ref="E39:W39" si="18">0.25*E6</f>
        <v>0.5</v>
      </c>
      <c r="F39" s="460">
        <f t="shared" si="18"/>
        <v>0.75</v>
      </c>
      <c r="G39" s="459">
        <f t="shared" si="18"/>
        <v>1</v>
      </c>
      <c r="H39" s="459">
        <f t="shared" si="18"/>
        <v>1.25</v>
      </c>
      <c r="I39" s="459">
        <f t="shared" si="18"/>
        <v>1.5</v>
      </c>
      <c r="J39" s="459">
        <f t="shared" si="18"/>
        <v>1.75</v>
      </c>
      <c r="K39" s="460">
        <f t="shared" si="18"/>
        <v>2</v>
      </c>
      <c r="L39" s="459">
        <f t="shared" si="18"/>
        <v>2.25</v>
      </c>
      <c r="M39" s="459">
        <f t="shared" si="18"/>
        <v>2.5</v>
      </c>
      <c r="N39" s="459">
        <f t="shared" si="18"/>
        <v>2.75</v>
      </c>
      <c r="O39" s="459">
        <f t="shared" si="18"/>
        <v>3</v>
      </c>
      <c r="P39" s="459">
        <f t="shared" si="18"/>
        <v>3.25</v>
      </c>
      <c r="Q39" s="459">
        <f t="shared" si="18"/>
        <v>3.5</v>
      </c>
      <c r="R39" s="459">
        <f t="shared" si="18"/>
        <v>3.75</v>
      </c>
      <c r="S39" s="459">
        <f t="shared" si="18"/>
        <v>4</v>
      </c>
      <c r="T39" s="459">
        <f t="shared" si="18"/>
        <v>4.25</v>
      </c>
      <c r="U39" s="459">
        <f t="shared" si="18"/>
        <v>4.5</v>
      </c>
      <c r="V39" s="459">
        <f t="shared" si="18"/>
        <v>4.75</v>
      </c>
      <c r="W39" s="459">
        <f t="shared" si="18"/>
        <v>5</v>
      </c>
      <c r="Z39" s="460">
        <f>0.25*Z6</f>
        <v>2</v>
      </c>
    </row>
    <row r="40" spans="1:26" x14ac:dyDescent="0.25">
      <c r="A40" s="451">
        <v>18</v>
      </c>
      <c r="B40" s="462" t="s">
        <v>1079</v>
      </c>
      <c r="C40" s="477" t="s">
        <v>1095</v>
      </c>
      <c r="D40" s="459">
        <f>0.25*D6</f>
        <v>0.25</v>
      </c>
      <c r="E40" s="459">
        <f>0.25*E6</f>
        <v>0.5</v>
      </c>
      <c r="F40" s="460">
        <f>0.25*F6</f>
        <v>0.75</v>
      </c>
      <c r="G40" s="459">
        <f>0.25*G6</f>
        <v>1</v>
      </c>
      <c r="H40" s="459">
        <f>0.25*H6</f>
        <v>1.25</v>
      </c>
      <c r="I40" s="459">
        <f t="shared" ref="I40:W40" si="19">0.25*I6</f>
        <v>1.5</v>
      </c>
      <c r="J40" s="459">
        <f t="shared" si="19"/>
        <v>1.75</v>
      </c>
      <c r="K40" s="460">
        <f t="shared" si="19"/>
        <v>2</v>
      </c>
      <c r="L40" s="459">
        <f t="shared" si="19"/>
        <v>2.25</v>
      </c>
      <c r="M40" s="459">
        <f t="shared" si="19"/>
        <v>2.5</v>
      </c>
      <c r="N40" s="459">
        <f t="shared" si="19"/>
        <v>2.75</v>
      </c>
      <c r="O40" s="459">
        <f t="shared" si="19"/>
        <v>3</v>
      </c>
      <c r="P40" s="459">
        <f t="shared" si="19"/>
        <v>3.25</v>
      </c>
      <c r="Q40" s="459">
        <f t="shared" si="19"/>
        <v>3.5</v>
      </c>
      <c r="R40" s="459">
        <f t="shared" si="19"/>
        <v>3.75</v>
      </c>
      <c r="S40" s="459">
        <f t="shared" si="19"/>
        <v>4</v>
      </c>
      <c r="T40" s="459">
        <f t="shared" si="19"/>
        <v>4.25</v>
      </c>
      <c r="U40" s="459">
        <f t="shared" si="19"/>
        <v>4.5</v>
      </c>
      <c r="V40" s="459">
        <f t="shared" si="19"/>
        <v>4.75</v>
      </c>
      <c r="W40" s="459">
        <f t="shared" si="19"/>
        <v>5</v>
      </c>
      <c r="Z40" s="460">
        <f>0.25*Z6</f>
        <v>2</v>
      </c>
    </row>
    <row r="41" spans="1:26" ht="106.5" customHeight="1" x14ac:dyDescent="0.25">
      <c r="A41" s="451">
        <v>19</v>
      </c>
      <c r="B41" s="462" t="s">
        <v>1079</v>
      </c>
      <c r="C41" s="479" t="s">
        <v>1094</v>
      </c>
      <c r="D41" s="459">
        <v>1.5</v>
      </c>
      <c r="E41" s="459">
        <v>2</v>
      </c>
      <c r="F41" s="460">
        <v>3</v>
      </c>
      <c r="G41" s="459">
        <v>3.5</v>
      </c>
      <c r="H41" s="459">
        <v>4</v>
      </c>
      <c r="I41" s="459">
        <v>4.5</v>
      </c>
      <c r="J41" s="459">
        <v>5.5</v>
      </c>
      <c r="K41" s="460">
        <v>6</v>
      </c>
      <c r="L41" s="459">
        <v>6.5</v>
      </c>
      <c r="M41" s="459">
        <v>7</v>
      </c>
      <c r="N41" s="459">
        <v>7.5</v>
      </c>
      <c r="O41" s="459">
        <v>8</v>
      </c>
      <c r="P41" s="459">
        <v>8.5</v>
      </c>
      <c r="Q41" s="459">
        <v>8.5</v>
      </c>
      <c r="R41" s="459">
        <v>9.5</v>
      </c>
      <c r="S41" s="459">
        <v>9.5</v>
      </c>
      <c r="T41" s="459">
        <v>9.5</v>
      </c>
      <c r="U41" s="459">
        <v>9.5</v>
      </c>
      <c r="V41" s="459">
        <v>9.5</v>
      </c>
      <c r="W41" s="459">
        <v>9.5</v>
      </c>
      <c r="Z41" s="460">
        <v>6</v>
      </c>
    </row>
    <row r="42" spans="1:26" x14ac:dyDescent="0.25">
      <c r="A42" s="451"/>
      <c r="B42" s="451"/>
      <c r="C42" s="478" t="s">
        <v>1093</v>
      </c>
      <c r="D42" s="469">
        <v>1</v>
      </c>
      <c r="E42" s="469">
        <v>1.5</v>
      </c>
      <c r="F42" s="470">
        <v>1.5</v>
      </c>
      <c r="G42" s="469">
        <v>2</v>
      </c>
      <c r="H42" s="469">
        <v>2</v>
      </c>
      <c r="I42" s="469">
        <v>2.5</v>
      </c>
      <c r="J42" s="469">
        <v>2.5</v>
      </c>
      <c r="K42" s="470">
        <v>3.5</v>
      </c>
      <c r="L42" s="469">
        <v>3.5</v>
      </c>
      <c r="M42" s="469">
        <v>3.5</v>
      </c>
      <c r="N42" s="469">
        <v>4</v>
      </c>
      <c r="O42" s="469">
        <v>4</v>
      </c>
      <c r="P42" s="469">
        <v>4.5</v>
      </c>
      <c r="Q42" s="469">
        <v>4.5</v>
      </c>
      <c r="R42" s="469">
        <v>5</v>
      </c>
      <c r="S42" s="469">
        <v>5</v>
      </c>
      <c r="T42" s="469">
        <v>5</v>
      </c>
      <c r="U42" s="469">
        <v>5</v>
      </c>
      <c r="V42" s="469">
        <v>5</v>
      </c>
      <c r="W42" s="469">
        <v>6</v>
      </c>
      <c r="Z42" s="470">
        <v>3.5</v>
      </c>
    </row>
    <row r="43" spans="1:26" x14ac:dyDescent="0.25">
      <c r="A43" s="451"/>
      <c r="B43" s="451"/>
      <c r="C43" s="478" t="s">
        <v>1092</v>
      </c>
      <c r="D43" s="472">
        <f>D41-D42</f>
        <v>0.5</v>
      </c>
      <c r="E43" s="472">
        <f t="shared" ref="E43:W43" si="20">E41-E42</f>
        <v>0.5</v>
      </c>
      <c r="F43" s="473">
        <f t="shared" si="20"/>
        <v>1.5</v>
      </c>
      <c r="G43" s="472">
        <f t="shared" si="20"/>
        <v>1.5</v>
      </c>
      <c r="H43" s="472">
        <f t="shared" si="20"/>
        <v>2</v>
      </c>
      <c r="I43" s="472">
        <f t="shared" si="20"/>
        <v>2</v>
      </c>
      <c r="J43" s="472">
        <f t="shared" si="20"/>
        <v>3</v>
      </c>
      <c r="K43" s="473">
        <f t="shared" si="20"/>
        <v>2.5</v>
      </c>
      <c r="L43" s="472">
        <f t="shared" si="20"/>
        <v>3</v>
      </c>
      <c r="M43" s="472">
        <f t="shared" si="20"/>
        <v>3.5</v>
      </c>
      <c r="N43" s="472">
        <f t="shared" si="20"/>
        <v>3.5</v>
      </c>
      <c r="O43" s="472">
        <f t="shared" si="20"/>
        <v>4</v>
      </c>
      <c r="P43" s="472">
        <f t="shared" si="20"/>
        <v>4</v>
      </c>
      <c r="Q43" s="472">
        <f t="shared" si="20"/>
        <v>4</v>
      </c>
      <c r="R43" s="472">
        <f t="shared" si="20"/>
        <v>4.5</v>
      </c>
      <c r="S43" s="472">
        <f t="shared" si="20"/>
        <v>4.5</v>
      </c>
      <c r="T43" s="472">
        <f t="shared" si="20"/>
        <v>4.5</v>
      </c>
      <c r="U43" s="472">
        <f t="shared" si="20"/>
        <v>4.5</v>
      </c>
      <c r="V43" s="472">
        <f t="shared" si="20"/>
        <v>4.5</v>
      </c>
      <c r="W43" s="472">
        <f t="shared" si="20"/>
        <v>3.5</v>
      </c>
      <c r="Z43" s="473">
        <f>Z41-Z42</f>
        <v>2.5</v>
      </c>
    </row>
    <row r="44" spans="1:26" x14ac:dyDescent="0.25">
      <c r="A44" s="451">
        <v>20</v>
      </c>
      <c r="B44" s="462" t="s">
        <v>1079</v>
      </c>
      <c r="C44" s="477" t="s">
        <v>1091</v>
      </c>
      <c r="D44" s="459"/>
      <c r="E44" s="459">
        <v>0.25</v>
      </c>
      <c r="F44" s="460">
        <v>0.25</v>
      </c>
      <c r="G44" s="459">
        <v>0.5</v>
      </c>
      <c r="H44" s="459">
        <v>0.5</v>
      </c>
      <c r="I44" s="459">
        <v>1</v>
      </c>
      <c r="J44" s="459">
        <v>1</v>
      </c>
      <c r="K44" s="460">
        <v>1</v>
      </c>
      <c r="L44" s="459">
        <v>1</v>
      </c>
      <c r="M44" s="459">
        <v>1</v>
      </c>
      <c r="N44" s="459">
        <v>1</v>
      </c>
      <c r="O44" s="459">
        <v>1</v>
      </c>
      <c r="P44" s="459">
        <v>1</v>
      </c>
      <c r="Q44" s="459">
        <v>1</v>
      </c>
      <c r="R44" s="459">
        <v>1</v>
      </c>
      <c r="S44" s="459">
        <v>1</v>
      </c>
      <c r="T44" s="459">
        <v>1</v>
      </c>
      <c r="U44" s="459">
        <v>1</v>
      </c>
      <c r="V44" s="459">
        <v>1</v>
      </c>
      <c r="W44" s="459">
        <v>1</v>
      </c>
      <c r="Z44" s="460">
        <v>1</v>
      </c>
    </row>
    <row r="45" spans="1:26" ht="60" x14ac:dyDescent="0.25">
      <c r="A45" s="451">
        <v>21</v>
      </c>
      <c r="B45" s="462" t="s">
        <v>1079</v>
      </c>
      <c r="C45" s="476" t="s">
        <v>1090</v>
      </c>
      <c r="D45" s="459">
        <v>0.25</v>
      </c>
      <c r="E45" s="459">
        <v>0.5</v>
      </c>
      <c r="F45" s="460">
        <v>0.5</v>
      </c>
      <c r="G45" s="459">
        <v>0.5</v>
      </c>
      <c r="H45" s="459">
        <v>0.5</v>
      </c>
      <c r="I45" s="459">
        <v>0.5</v>
      </c>
      <c r="J45" s="459">
        <v>0.5</v>
      </c>
      <c r="K45" s="460">
        <v>1</v>
      </c>
      <c r="L45" s="459">
        <v>1</v>
      </c>
      <c r="M45" s="459">
        <v>1</v>
      </c>
      <c r="N45" s="459">
        <v>1</v>
      </c>
      <c r="O45" s="459">
        <v>1</v>
      </c>
      <c r="P45" s="459">
        <v>1</v>
      </c>
      <c r="Q45" s="459">
        <v>1.5</v>
      </c>
      <c r="R45" s="459">
        <v>1.5</v>
      </c>
      <c r="S45" s="459">
        <v>1.5</v>
      </c>
      <c r="T45" s="459">
        <v>1.5</v>
      </c>
      <c r="U45" s="459">
        <v>1.5</v>
      </c>
      <c r="V45" s="459">
        <v>1.5</v>
      </c>
      <c r="W45" s="459">
        <v>1.5</v>
      </c>
      <c r="Z45" s="460">
        <v>1</v>
      </c>
    </row>
    <row r="46" spans="1:26" x14ac:dyDescent="0.25">
      <c r="A46" s="451">
        <v>22</v>
      </c>
      <c r="B46" s="462" t="s">
        <v>1079</v>
      </c>
      <c r="C46" s="477" t="s">
        <v>1089</v>
      </c>
      <c r="D46" s="459"/>
      <c r="E46" s="459"/>
      <c r="F46" s="460"/>
      <c r="G46" s="459"/>
      <c r="H46" s="459"/>
      <c r="I46" s="459"/>
      <c r="J46" s="459"/>
      <c r="K46" s="460">
        <v>0.5</v>
      </c>
      <c r="L46" s="459">
        <v>0.5</v>
      </c>
      <c r="M46" s="459">
        <v>0.5</v>
      </c>
      <c r="N46" s="459">
        <v>0.5</v>
      </c>
      <c r="O46" s="459">
        <v>0.5</v>
      </c>
      <c r="P46" s="459">
        <v>0.5</v>
      </c>
      <c r="Q46" s="459">
        <v>0.5</v>
      </c>
      <c r="R46" s="459">
        <v>0.5</v>
      </c>
      <c r="S46" s="459">
        <v>0.5</v>
      </c>
      <c r="T46" s="459">
        <v>0.5</v>
      </c>
      <c r="U46" s="459">
        <v>0.5</v>
      </c>
      <c r="V46" s="459">
        <v>0.5</v>
      </c>
      <c r="W46" s="459">
        <v>0.5</v>
      </c>
      <c r="Z46" s="460">
        <v>0.5</v>
      </c>
    </row>
    <row r="47" spans="1:26" ht="45" x14ac:dyDescent="0.25">
      <c r="A47" s="451">
        <v>23</v>
      </c>
      <c r="B47" s="462" t="s">
        <v>1079</v>
      </c>
      <c r="C47" s="476" t="s">
        <v>1088</v>
      </c>
      <c r="D47" s="459">
        <v>0.5</v>
      </c>
      <c r="E47" s="459">
        <v>0.75</v>
      </c>
      <c r="F47" s="460">
        <v>1</v>
      </c>
      <c r="G47" s="459">
        <v>1.25</v>
      </c>
      <c r="H47" s="459">
        <v>1.25</v>
      </c>
      <c r="I47" s="459">
        <v>1.75</v>
      </c>
      <c r="J47" s="459">
        <v>1.75</v>
      </c>
      <c r="K47" s="460">
        <v>2</v>
      </c>
      <c r="L47" s="459">
        <v>2</v>
      </c>
      <c r="M47" s="459">
        <v>2.5</v>
      </c>
      <c r="N47" s="459">
        <v>2.5</v>
      </c>
      <c r="O47" s="459">
        <v>3</v>
      </c>
      <c r="P47" s="459">
        <v>3</v>
      </c>
      <c r="Q47" s="459">
        <v>3</v>
      </c>
      <c r="R47" s="459">
        <v>3</v>
      </c>
      <c r="S47" s="459">
        <v>3</v>
      </c>
      <c r="T47" s="459">
        <v>3</v>
      </c>
      <c r="U47" s="459">
        <v>3</v>
      </c>
      <c r="V47" s="459">
        <v>3</v>
      </c>
      <c r="W47" s="459">
        <v>3</v>
      </c>
      <c r="Z47" s="460">
        <v>2</v>
      </c>
    </row>
    <row r="48" spans="1:26" ht="30" x14ac:dyDescent="0.25">
      <c r="A48" s="451">
        <v>24</v>
      </c>
      <c r="B48" s="462" t="s">
        <v>1079</v>
      </c>
      <c r="C48" s="476" t="s">
        <v>1087</v>
      </c>
      <c r="D48" s="459"/>
      <c r="E48" s="459"/>
      <c r="F48" s="460">
        <v>0.5</v>
      </c>
      <c r="G48" s="459">
        <v>0.5</v>
      </c>
      <c r="H48" s="459">
        <v>0.5</v>
      </c>
      <c r="I48" s="459">
        <v>0.5</v>
      </c>
      <c r="J48" s="459">
        <v>0.5</v>
      </c>
      <c r="K48" s="460">
        <f>0.5+0.5</f>
        <v>1</v>
      </c>
      <c r="L48" s="459">
        <v>1</v>
      </c>
      <c r="M48" s="459">
        <v>1</v>
      </c>
      <c r="N48" s="459">
        <v>1</v>
      </c>
      <c r="O48" s="459">
        <v>1</v>
      </c>
      <c r="P48" s="459">
        <f>1+0.5</f>
        <v>1.5</v>
      </c>
      <c r="Q48" s="459">
        <v>1.5</v>
      </c>
      <c r="R48" s="459">
        <v>1.5</v>
      </c>
      <c r="S48" s="459">
        <v>1.5</v>
      </c>
      <c r="T48" s="459">
        <v>1.5</v>
      </c>
      <c r="U48" s="459">
        <v>2</v>
      </c>
      <c r="V48" s="459">
        <v>2</v>
      </c>
      <c r="W48" s="459">
        <v>2</v>
      </c>
      <c r="Z48" s="460">
        <f>0.5+0.5</f>
        <v>1</v>
      </c>
    </row>
    <row r="49" spans="1:26" ht="30" x14ac:dyDescent="0.25">
      <c r="A49" s="451">
        <v>25</v>
      </c>
      <c r="B49" s="462" t="s">
        <v>1079</v>
      </c>
      <c r="C49" s="476" t="s">
        <v>1086</v>
      </c>
      <c r="D49" s="469">
        <f>0.25/2*D6</f>
        <v>0.13</v>
      </c>
      <c r="E49" s="469">
        <f t="shared" ref="E49:W49" si="21">0.25/2*E6</f>
        <v>0.25</v>
      </c>
      <c r="F49" s="470">
        <f t="shared" si="21"/>
        <v>0.38</v>
      </c>
      <c r="G49" s="469">
        <f t="shared" si="21"/>
        <v>0.5</v>
      </c>
      <c r="H49" s="469">
        <f t="shared" si="21"/>
        <v>0.63</v>
      </c>
      <c r="I49" s="469">
        <f t="shared" si="21"/>
        <v>0.75</v>
      </c>
      <c r="J49" s="469">
        <f t="shared" si="21"/>
        <v>0.88</v>
      </c>
      <c r="K49" s="470">
        <f t="shared" si="21"/>
        <v>1</v>
      </c>
      <c r="L49" s="469">
        <f t="shared" si="21"/>
        <v>1.1299999999999999</v>
      </c>
      <c r="M49" s="469">
        <f t="shared" si="21"/>
        <v>1.25</v>
      </c>
      <c r="N49" s="469">
        <f t="shared" si="21"/>
        <v>1.38</v>
      </c>
      <c r="O49" s="469">
        <f t="shared" si="21"/>
        <v>1.5</v>
      </c>
      <c r="P49" s="469">
        <f t="shared" si="21"/>
        <v>1.63</v>
      </c>
      <c r="Q49" s="469">
        <f t="shared" si="21"/>
        <v>1.75</v>
      </c>
      <c r="R49" s="469">
        <f t="shared" si="21"/>
        <v>1.88</v>
      </c>
      <c r="S49" s="469">
        <f t="shared" si="21"/>
        <v>2</v>
      </c>
      <c r="T49" s="469">
        <f t="shared" si="21"/>
        <v>2.13</v>
      </c>
      <c r="U49" s="469">
        <f t="shared" si="21"/>
        <v>2.25</v>
      </c>
      <c r="V49" s="469">
        <f t="shared" si="21"/>
        <v>2.38</v>
      </c>
      <c r="W49" s="469">
        <f t="shared" si="21"/>
        <v>2.5</v>
      </c>
      <c r="Z49" s="470">
        <f>0.25/2*Z6</f>
        <v>1</v>
      </c>
    </row>
    <row r="50" spans="1:26" ht="30" x14ac:dyDescent="0.25">
      <c r="A50" s="451"/>
      <c r="B50" s="451"/>
      <c r="C50" s="475" t="s">
        <v>1085</v>
      </c>
      <c r="D50" s="469">
        <v>0.13</v>
      </c>
      <c r="E50" s="469">
        <v>0.25</v>
      </c>
      <c r="F50" s="470">
        <v>0.38</v>
      </c>
      <c r="G50" s="469">
        <v>0.5</v>
      </c>
      <c r="H50" s="469">
        <v>0.63</v>
      </c>
      <c r="I50" s="469">
        <v>0.75</v>
      </c>
      <c r="J50" s="469">
        <v>0.88</v>
      </c>
      <c r="K50" s="470">
        <v>1</v>
      </c>
      <c r="L50" s="469">
        <v>1.1299999999999999</v>
      </c>
      <c r="M50" s="469">
        <v>1.25</v>
      </c>
      <c r="N50" s="469">
        <v>1.38</v>
      </c>
      <c r="O50" s="469">
        <v>1.5</v>
      </c>
      <c r="P50" s="469">
        <v>1.63</v>
      </c>
      <c r="Q50" s="469">
        <v>1.75</v>
      </c>
      <c r="R50" s="469">
        <v>1.88</v>
      </c>
      <c r="S50" s="469">
        <v>2</v>
      </c>
      <c r="T50" s="469">
        <v>2.13</v>
      </c>
      <c r="U50" s="469">
        <v>2.25</v>
      </c>
      <c r="V50" s="469">
        <v>2.38</v>
      </c>
      <c r="W50" s="469">
        <v>2.5</v>
      </c>
      <c r="Z50" s="470">
        <v>1</v>
      </c>
    </row>
    <row r="51" spans="1:26" x14ac:dyDescent="0.25">
      <c r="A51" s="451"/>
      <c r="B51" s="451"/>
      <c r="C51" s="471" t="s">
        <v>1084</v>
      </c>
      <c r="D51" s="469"/>
      <c r="E51" s="469"/>
      <c r="F51" s="470"/>
      <c r="G51" s="469"/>
      <c r="H51" s="469"/>
      <c r="I51" s="469"/>
      <c r="J51" s="469"/>
      <c r="K51" s="470"/>
      <c r="L51" s="469"/>
      <c r="M51" s="469"/>
      <c r="N51" s="469"/>
      <c r="O51" s="469"/>
      <c r="P51" s="469"/>
      <c r="Q51" s="469"/>
      <c r="R51" s="469"/>
      <c r="S51" s="469"/>
      <c r="T51" s="469"/>
      <c r="U51" s="469"/>
      <c r="V51" s="469"/>
      <c r="W51" s="469"/>
      <c r="Z51" s="470"/>
    </row>
    <row r="52" spans="1:26" ht="30" x14ac:dyDescent="0.25">
      <c r="A52" s="451"/>
      <c r="B52" s="451"/>
      <c r="C52" s="474" t="s">
        <v>1083</v>
      </c>
      <c r="D52" s="472">
        <f>D49-D50</f>
        <v>0</v>
      </c>
      <c r="E52" s="472">
        <f t="shared" ref="E52:W52" si="22">E49-E50</f>
        <v>0</v>
      </c>
      <c r="F52" s="473">
        <f t="shared" si="22"/>
        <v>0</v>
      </c>
      <c r="G52" s="472">
        <f t="shared" si="22"/>
        <v>0</v>
      </c>
      <c r="H52" s="472">
        <f t="shared" si="22"/>
        <v>0</v>
      </c>
      <c r="I52" s="472">
        <f t="shared" si="22"/>
        <v>0</v>
      </c>
      <c r="J52" s="472">
        <f t="shared" si="22"/>
        <v>0</v>
      </c>
      <c r="K52" s="473">
        <f t="shared" si="22"/>
        <v>0</v>
      </c>
      <c r="L52" s="472">
        <f t="shared" si="22"/>
        <v>0</v>
      </c>
      <c r="M52" s="472">
        <f t="shared" si="22"/>
        <v>0</v>
      </c>
      <c r="N52" s="472">
        <f t="shared" si="22"/>
        <v>0</v>
      </c>
      <c r="O52" s="472">
        <f t="shared" si="22"/>
        <v>0</v>
      </c>
      <c r="P52" s="472">
        <f t="shared" si="22"/>
        <v>0</v>
      </c>
      <c r="Q52" s="472">
        <f t="shared" si="22"/>
        <v>0</v>
      </c>
      <c r="R52" s="472">
        <f t="shared" si="22"/>
        <v>0</v>
      </c>
      <c r="S52" s="472">
        <f t="shared" si="22"/>
        <v>0</v>
      </c>
      <c r="T52" s="472">
        <f t="shared" si="22"/>
        <v>0</v>
      </c>
      <c r="U52" s="472">
        <f t="shared" si="22"/>
        <v>0</v>
      </c>
      <c r="V52" s="472">
        <f t="shared" si="22"/>
        <v>0</v>
      </c>
      <c r="W52" s="472">
        <f t="shared" si="22"/>
        <v>0</v>
      </c>
      <c r="Z52" s="473">
        <f>Z49-Z50</f>
        <v>0</v>
      </c>
    </row>
    <row r="53" spans="1:26" x14ac:dyDescent="0.25">
      <c r="A53" s="451"/>
      <c r="B53" s="451"/>
      <c r="C53" s="471" t="s">
        <v>1082</v>
      </c>
      <c r="D53" s="469"/>
      <c r="E53" s="469"/>
      <c r="F53" s="470"/>
      <c r="G53" s="469"/>
      <c r="H53" s="469"/>
      <c r="I53" s="469"/>
      <c r="J53" s="469"/>
      <c r="K53" s="470"/>
      <c r="L53" s="469"/>
      <c r="M53" s="469"/>
      <c r="N53" s="469"/>
      <c r="O53" s="469"/>
      <c r="P53" s="469"/>
      <c r="Q53" s="469"/>
      <c r="R53" s="469"/>
      <c r="S53" s="469"/>
      <c r="T53" s="469"/>
      <c r="U53" s="469"/>
      <c r="V53" s="469"/>
      <c r="W53" s="469"/>
      <c r="Z53" s="470"/>
    </row>
    <row r="54" spans="1:26" x14ac:dyDescent="0.25">
      <c r="A54" s="451"/>
      <c r="B54" s="451"/>
      <c r="C54" s="471" t="s">
        <v>1081</v>
      </c>
      <c r="D54" s="469"/>
      <c r="E54" s="469"/>
      <c r="F54" s="470"/>
      <c r="G54" s="469"/>
      <c r="H54" s="469"/>
      <c r="I54" s="469"/>
      <c r="J54" s="469"/>
      <c r="K54" s="470"/>
      <c r="L54" s="469"/>
      <c r="M54" s="469"/>
      <c r="N54" s="469"/>
      <c r="O54" s="469"/>
      <c r="P54" s="469"/>
      <c r="Q54" s="469"/>
      <c r="R54" s="469"/>
      <c r="S54" s="469"/>
      <c r="T54" s="469"/>
      <c r="U54" s="469"/>
      <c r="V54" s="469"/>
      <c r="W54" s="469"/>
      <c r="Z54" s="470"/>
    </row>
    <row r="55" spans="1:26" ht="38.25" x14ac:dyDescent="0.25">
      <c r="A55" s="451">
        <v>26</v>
      </c>
      <c r="B55" s="462" t="s">
        <v>1079</v>
      </c>
      <c r="C55" s="468" t="s">
        <v>1080</v>
      </c>
      <c r="D55" s="459">
        <f>0.25/2*D6</f>
        <v>0.13</v>
      </c>
      <c r="E55" s="459">
        <f t="shared" ref="E55:W55" si="23">0.25/2*E6</f>
        <v>0.25</v>
      </c>
      <c r="F55" s="460">
        <f t="shared" si="23"/>
        <v>0.38</v>
      </c>
      <c r="G55" s="459">
        <f t="shared" si="23"/>
        <v>0.5</v>
      </c>
      <c r="H55" s="459">
        <f t="shared" si="23"/>
        <v>0.63</v>
      </c>
      <c r="I55" s="459">
        <f t="shared" si="23"/>
        <v>0.75</v>
      </c>
      <c r="J55" s="459">
        <f t="shared" si="23"/>
        <v>0.88</v>
      </c>
      <c r="K55" s="460">
        <f t="shared" si="23"/>
        <v>1</v>
      </c>
      <c r="L55" s="459">
        <f t="shared" si="23"/>
        <v>1.1299999999999999</v>
      </c>
      <c r="M55" s="459">
        <f t="shared" si="23"/>
        <v>1.25</v>
      </c>
      <c r="N55" s="459">
        <f t="shared" si="23"/>
        <v>1.38</v>
      </c>
      <c r="O55" s="459">
        <f t="shared" si="23"/>
        <v>1.5</v>
      </c>
      <c r="P55" s="459">
        <f t="shared" si="23"/>
        <v>1.63</v>
      </c>
      <c r="Q55" s="459">
        <f t="shared" si="23"/>
        <v>1.75</v>
      </c>
      <c r="R55" s="459">
        <f t="shared" si="23"/>
        <v>1.88</v>
      </c>
      <c r="S55" s="459">
        <f t="shared" si="23"/>
        <v>2</v>
      </c>
      <c r="T55" s="459">
        <f t="shared" si="23"/>
        <v>2.13</v>
      </c>
      <c r="U55" s="459">
        <f t="shared" si="23"/>
        <v>2.25</v>
      </c>
      <c r="V55" s="459">
        <f t="shared" si="23"/>
        <v>2.38</v>
      </c>
      <c r="W55" s="459">
        <f t="shared" si="23"/>
        <v>2.5</v>
      </c>
      <c r="Z55" s="460">
        <f>0.25/2*Z6</f>
        <v>1</v>
      </c>
    </row>
    <row r="56" spans="1:26" x14ac:dyDescent="0.25">
      <c r="A56" s="451">
        <v>26</v>
      </c>
      <c r="B56" s="462" t="s">
        <v>1079</v>
      </c>
      <c r="C56" s="467" t="s">
        <v>1078</v>
      </c>
      <c r="D56" s="459">
        <v>4.5</v>
      </c>
      <c r="E56" s="459">
        <v>4.5</v>
      </c>
      <c r="F56" s="460">
        <v>4.5</v>
      </c>
      <c r="G56" s="459">
        <v>4.5</v>
      </c>
      <c r="H56" s="459">
        <v>4.5</v>
      </c>
      <c r="I56" s="459">
        <v>4.5</v>
      </c>
      <c r="J56" s="459">
        <v>4.5</v>
      </c>
      <c r="K56" s="460">
        <v>4.5</v>
      </c>
      <c r="L56" s="459">
        <v>4.5</v>
      </c>
      <c r="M56" s="459">
        <v>4.5</v>
      </c>
      <c r="N56" s="459">
        <v>4.5</v>
      </c>
      <c r="O56" s="459">
        <v>4.5</v>
      </c>
      <c r="P56" s="459">
        <v>4.5</v>
      </c>
      <c r="Q56" s="459">
        <v>4.5</v>
      </c>
      <c r="R56" s="459">
        <v>4.5</v>
      </c>
      <c r="S56" s="459">
        <v>4.5</v>
      </c>
      <c r="T56" s="459">
        <v>4.5</v>
      </c>
      <c r="U56" s="459">
        <v>4.5</v>
      </c>
      <c r="V56" s="459">
        <v>4.5</v>
      </c>
      <c r="W56" s="459">
        <v>4.5</v>
      </c>
      <c r="Z56" s="460">
        <v>4.5</v>
      </c>
    </row>
    <row r="57" spans="1:26" x14ac:dyDescent="0.25">
      <c r="D57" s="457"/>
      <c r="E57" s="457"/>
      <c r="F57" s="457"/>
      <c r="G57" s="457"/>
      <c r="H57" s="457"/>
      <c r="I57" s="457"/>
      <c r="J57" s="457"/>
      <c r="K57" s="457"/>
      <c r="L57" s="457"/>
      <c r="M57" s="457"/>
      <c r="N57" s="457"/>
      <c r="O57" s="457"/>
      <c r="P57" s="457"/>
      <c r="Q57" s="457"/>
      <c r="R57" s="457"/>
      <c r="S57" s="457"/>
      <c r="T57" s="457"/>
      <c r="U57" s="457"/>
      <c r="V57" s="457"/>
      <c r="W57" s="457"/>
      <c r="Z57" s="457"/>
    </row>
    <row r="58" spans="1:26" x14ac:dyDescent="0.25">
      <c r="C58" s="458" t="s">
        <v>1077</v>
      </c>
      <c r="D58" s="457"/>
      <c r="E58" s="457"/>
      <c r="F58" s="457"/>
      <c r="G58" s="457"/>
      <c r="H58" s="457"/>
      <c r="I58" s="457"/>
      <c r="J58" s="457"/>
      <c r="K58" s="457"/>
      <c r="L58" s="457"/>
      <c r="M58" s="457"/>
      <c r="N58" s="457"/>
      <c r="O58" s="457"/>
      <c r="P58" s="457"/>
      <c r="Q58" s="457"/>
      <c r="R58" s="457"/>
      <c r="S58" s="457"/>
      <c r="T58" s="457"/>
      <c r="U58" s="457"/>
      <c r="V58" s="457"/>
      <c r="W58" s="457"/>
      <c r="Z58" s="457"/>
    </row>
    <row r="59" spans="1:26" x14ac:dyDescent="0.25">
      <c r="A59" s="451"/>
      <c r="B59" s="451"/>
      <c r="C59" s="456" t="s">
        <v>1068</v>
      </c>
      <c r="D59" s="448">
        <f t="shared" ref="D59:W59" si="24">D63+D71</f>
        <v>13.76</v>
      </c>
      <c r="E59" s="448">
        <f t="shared" si="24"/>
        <v>19.510000000000002</v>
      </c>
      <c r="F59" s="448">
        <f t="shared" si="24"/>
        <v>25.27</v>
      </c>
      <c r="G59" s="448">
        <f t="shared" si="24"/>
        <v>31.01</v>
      </c>
      <c r="H59" s="448">
        <f t="shared" si="24"/>
        <v>35.53</v>
      </c>
      <c r="I59" s="448">
        <f t="shared" si="24"/>
        <v>42.27</v>
      </c>
      <c r="J59" s="448">
        <f t="shared" si="24"/>
        <v>47.03</v>
      </c>
      <c r="K59" s="448">
        <f t="shared" si="24"/>
        <v>54.03</v>
      </c>
      <c r="L59" s="448">
        <f t="shared" si="24"/>
        <v>58.29</v>
      </c>
      <c r="M59" s="448">
        <f t="shared" si="24"/>
        <v>64.28</v>
      </c>
      <c r="N59" s="448">
        <f t="shared" si="24"/>
        <v>68.55</v>
      </c>
      <c r="O59" s="448">
        <f t="shared" si="24"/>
        <v>73.290000000000006</v>
      </c>
      <c r="P59" s="448">
        <f t="shared" si="24"/>
        <v>78.55</v>
      </c>
      <c r="Q59" s="448">
        <f t="shared" si="24"/>
        <v>83.3</v>
      </c>
      <c r="R59" s="448">
        <f t="shared" si="24"/>
        <v>88.31</v>
      </c>
      <c r="S59" s="448">
        <f t="shared" si="24"/>
        <v>92.3</v>
      </c>
      <c r="T59" s="448">
        <f t="shared" si="24"/>
        <v>96.57</v>
      </c>
      <c r="U59" s="448">
        <f t="shared" si="24"/>
        <v>101.31</v>
      </c>
      <c r="V59" s="448">
        <f t="shared" si="24"/>
        <v>105.07</v>
      </c>
      <c r="W59" s="448">
        <f t="shared" si="24"/>
        <v>109.07</v>
      </c>
      <c r="Z59" s="448">
        <f>Z63+Z71</f>
        <v>81.39</v>
      </c>
    </row>
    <row r="60" spans="1:26" x14ac:dyDescent="0.25">
      <c r="A60" s="451"/>
      <c r="B60" s="451"/>
      <c r="C60" s="456" t="s">
        <v>1067</v>
      </c>
      <c r="D60" s="448">
        <f t="shared" ref="D60:W60" si="25">D65+D72</f>
        <v>14.02</v>
      </c>
      <c r="E60" s="448">
        <f t="shared" si="25"/>
        <v>20.010000000000002</v>
      </c>
      <c r="F60" s="448">
        <f t="shared" si="25"/>
        <v>26.03</v>
      </c>
      <c r="G60" s="448">
        <f t="shared" si="25"/>
        <v>32.01</v>
      </c>
      <c r="H60" s="448">
        <f t="shared" si="25"/>
        <v>36.79</v>
      </c>
      <c r="I60" s="448">
        <f t="shared" si="25"/>
        <v>43.77</v>
      </c>
      <c r="J60" s="448">
        <f t="shared" si="25"/>
        <v>48.79</v>
      </c>
      <c r="K60" s="448">
        <f t="shared" si="25"/>
        <v>56.03</v>
      </c>
      <c r="L60" s="448">
        <f t="shared" si="25"/>
        <v>60.55</v>
      </c>
      <c r="M60" s="448">
        <f t="shared" si="25"/>
        <v>66.78</v>
      </c>
      <c r="N60" s="448">
        <f t="shared" si="25"/>
        <v>71.31</v>
      </c>
      <c r="O60" s="448">
        <f t="shared" si="25"/>
        <v>76.290000000000006</v>
      </c>
      <c r="P60" s="448">
        <f t="shared" si="25"/>
        <v>81.81</v>
      </c>
      <c r="Q60" s="448">
        <f t="shared" si="25"/>
        <v>86.8</v>
      </c>
      <c r="R60" s="448">
        <f t="shared" si="25"/>
        <v>92.07</v>
      </c>
      <c r="S60" s="448">
        <f t="shared" si="25"/>
        <v>96.3</v>
      </c>
      <c r="T60" s="448">
        <f t="shared" si="25"/>
        <v>100.83</v>
      </c>
      <c r="U60" s="448">
        <f t="shared" si="25"/>
        <v>105.81</v>
      </c>
      <c r="V60" s="448">
        <f t="shared" si="25"/>
        <v>109.83</v>
      </c>
      <c r="W60" s="448">
        <f t="shared" si="25"/>
        <v>114.07</v>
      </c>
      <c r="Z60" s="448">
        <f>Z65+Z72</f>
        <v>83.39</v>
      </c>
    </row>
    <row r="61" spans="1:26" x14ac:dyDescent="0.25">
      <c r="A61" s="451"/>
      <c r="B61" s="451"/>
      <c r="C61" s="456" t="s">
        <v>1066</v>
      </c>
      <c r="D61" s="448">
        <f t="shared" ref="D61:W61" si="26">D67+D73</f>
        <v>15.62</v>
      </c>
      <c r="E61" s="448">
        <f t="shared" si="26"/>
        <v>23.22</v>
      </c>
      <c r="F61" s="448">
        <f t="shared" si="26"/>
        <v>30.84</v>
      </c>
      <c r="G61" s="448">
        <f t="shared" si="26"/>
        <v>38.43</v>
      </c>
      <c r="H61" s="448">
        <f t="shared" si="26"/>
        <v>44.81</v>
      </c>
      <c r="I61" s="448">
        <f t="shared" si="26"/>
        <v>53.4</v>
      </c>
      <c r="J61" s="448">
        <f t="shared" si="26"/>
        <v>60.02</v>
      </c>
      <c r="K61" s="448">
        <f t="shared" si="26"/>
        <v>68.87</v>
      </c>
      <c r="L61" s="448">
        <f t="shared" si="26"/>
        <v>74.989999999999995</v>
      </c>
      <c r="M61" s="448">
        <f t="shared" si="26"/>
        <v>82.83</v>
      </c>
      <c r="N61" s="448">
        <f t="shared" si="26"/>
        <v>88.96</v>
      </c>
      <c r="O61" s="448">
        <f t="shared" si="26"/>
        <v>95.55</v>
      </c>
      <c r="P61" s="448">
        <f t="shared" si="26"/>
        <v>102.67</v>
      </c>
      <c r="Q61" s="448">
        <f t="shared" si="26"/>
        <v>109.27</v>
      </c>
      <c r="R61" s="448">
        <f t="shared" si="26"/>
        <v>116.14</v>
      </c>
      <c r="S61" s="448">
        <f t="shared" si="26"/>
        <v>121.98</v>
      </c>
      <c r="T61" s="448">
        <f t="shared" si="26"/>
        <v>128.11000000000001</v>
      </c>
      <c r="U61" s="448">
        <f t="shared" si="26"/>
        <v>134.69999999999999</v>
      </c>
      <c r="V61" s="448">
        <f t="shared" si="26"/>
        <v>140.32</v>
      </c>
      <c r="W61" s="448">
        <f t="shared" si="26"/>
        <v>146.16999999999999</v>
      </c>
      <c r="Z61" s="448">
        <f>Z67+Z73</f>
        <v>102.07</v>
      </c>
    </row>
    <row r="62" spans="1:26" x14ac:dyDescent="0.25">
      <c r="A62" s="451"/>
      <c r="B62" s="451"/>
      <c r="C62" s="456" t="s">
        <v>1065</v>
      </c>
      <c r="D62" s="448">
        <f t="shared" ref="D62:W62" si="27">D69+D74</f>
        <v>8.14</v>
      </c>
      <c r="E62" s="448">
        <f t="shared" si="27"/>
        <v>13.77</v>
      </c>
      <c r="F62" s="448">
        <f t="shared" si="27"/>
        <v>19.41</v>
      </c>
      <c r="G62" s="448">
        <f t="shared" si="27"/>
        <v>25.29</v>
      </c>
      <c r="H62" s="448">
        <f t="shared" si="27"/>
        <v>29.93</v>
      </c>
      <c r="I62" s="448">
        <f t="shared" si="27"/>
        <v>36.31</v>
      </c>
      <c r="J62" s="448">
        <f t="shared" si="27"/>
        <v>41.2</v>
      </c>
      <c r="K62" s="448">
        <f t="shared" si="27"/>
        <v>47.83</v>
      </c>
      <c r="L62" s="448">
        <f t="shared" si="27"/>
        <v>52.22</v>
      </c>
      <c r="M62" s="448">
        <f t="shared" si="27"/>
        <v>58.35</v>
      </c>
      <c r="N62" s="448">
        <f t="shared" si="27"/>
        <v>62.74</v>
      </c>
      <c r="O62" s="448">
        <f t="shared" si="27"/>
        <v>67.62</v>
      </c>
      <c r="P62" s="448">
        <f t="shared" si="27"/>
        <v>72.510000000000005</v>
      </c>
      <c r="Q62" s="448">
        <f t="shared" si="27"/>
        <v>77.39</v>
      </c>
      <c r="R62" s="448">
        <f t="shared" si="27"/>
        <v>82.53</v>
      </c>
      <c r="S62" s="448">
        <f t="shared" si="27"/>
        <v>86.41</v>
      </c>
      <c r="T62" s="448">
        <f t="shared" si="27"/>
        <v>90.3</v>
      </c>
      <c r="U62" s="448">
        <f t="shared" si="27"/>
        <v>95.18</v>
      </c>
      <c r="V62" s="448">
        <f t="shared" si="27"/>
        <v>99.07</v>
      </c>
      <c r="W62" s="448">
        <f t="shared" si="27"/>
        <v>103.2</v>
      </c>
      <c r="Z62" s="448">
        <f>Z69+Z74</f>
        <v>71.03</v>
      </c>
    </row>
    <row r="63" spans="1:26" x14ac:dyDescent="0.25">
      <c r="A63" s="451"/>
      <c r="B63" s="451"/>
      <c r="C63" s="455" t="s">
        <v>1064</v>
      </c>
      <c r="D63" s="454">
        <f>D12+D13+D14+D15+D16+D17+D18+D19+D20+D21+D23+D25+D29+D31+D35</f>
        <v>6.13</v>
      </c>
      <c r="E63" s="454">
        <f t="shared" ref="E63:W63" si="28">E12+E13+E14+E15+E16+E17+E18+E19+E20+E21+E23+E25+E29+E31+E35</f>
        <v>10.01</v>
      </c>
      <c r="F63" s="454">
        <f t="shared" si="28"/>
        <v>13.39</v>
      </c>
      <c r="G63" s="454">
        <f t="shared" si="28"/>
        <v>17.760000000000002</v>
      </c>
      <c r="H63" s="454">
        <f t="shared" si="28"/>
        <v>21.4</v>
      </c>
      <c r="I63" s="454">
        <f t="shared" si="28"/>
        <v>26.27</v>
      </c>
      <c r="J63" s="454">
        <f t="shared" si="28"/>
        <v>29.65</v>
      </c>
      <c r="K63" s="454">
        <f t="shared" si="28"/>
        <v>33.53</v>
      </c>
      <c r="L63" s="454">
        <f t="shared" si="28"/>
        <v>36.909999999999997</v>
      </c>
      <c r="M63" s="454">
        <f t="shared" si="28"/>
        <v>41.53</v>
      </c>
      <c r="N63" s="454">
        <f t="shared" si="28"/>
        <v>44.92</v>
      </c>
      <c r="O63" s="454">
        <f t="shared" si="28"/>
        <v>48.29</v>
      </c>
      <c r="P63" s="454">
        <f t="shared" si="28"/>
        <v>51.67</v>
      </c>
      <c r="Q63" s="454">
        <f t="shared" si="28"/>
        <v>55.55</v>
      </c>
      <c r="R63" s="454">
        <f t="shared" si="28"/>
        <v>59.18</v>
      </c>
      <c r="S63" s="454">
        <f t="shared" si="28"/>
        <v>62.8</v>
      </c>
      <c r="T63" s="454">
        <f t="shared" si="28"/>
        <v>66.19</v>
      </c>
      <c r="U63" s="454">
        <f t="shared" si="28"/>
        <v>70.06</v>
      </c>
      <c r="V63" s="454">
        <f t="shared" si="28"/>
        <v>73.44</v>
      </c>
      <c r="W63" s="454">
        <f t="shared" si="28"/>
        <v>77.069999999999993</v>
      </c>
      <c r="Z63" s="454">
        <f>Z12+Z13+Z14+Z15+Z16+Z17+Z18+Z19+Z20+Z21+Z23+Z25+Z29+Z31+Z35</f>
        <v>60.89</v>
      </c>
    </row>
    <row r="64" spans="1:26" x14ac:dyDescent="0.25">
      <c r="A64" s="451"/>
      <c r="B64" s="451"/>
      <c r="C64" s="455" t="s">
        <v>1060</v>
      </c>
      <c r="D64" s="454">
        <f>D23+D25+D29+D31</f>
        <v>2.13</v>
      </c>
      <c r="E64" s="454">
        <f t="shared" ref="E64:W64" si="29">E23+E25+E29+E31</f>
        <v>4.26</v>
      </c>
      <c r="F64" s="454">
        <f t="shared" si="29"/>
        <v>6.39</v>
      </c>
      <c r="G64" s="454">
        <f t="shared" si="29"/>
        <v>8.51</v>
      </c>
      <c r="H64" s="454">
        <f t="shared" si="29"/>
        <v>10.65</v>
      </c>
      <c r="I64" s="454">
        <f t="shared" si="29"/>
        <v>12.77</v>
      </c>
      <c r="J64" s="454">
        <f t="shared" si="29"/>
        <v>14.9</v>
      </c>
      <c r="K64" s="454">
        <f t="shared" si="29"/>
        <v>17.03</v>
      </c>
      <c r="L64" s="454">
        <f t="shared" si="29"/>
        <v>19.16</v>
      </c>
      <c r="M64" s="454">
        <f t="shared" si="29"/>
        <v>21.28</v>
      </c>
      <c r="N64" s="454">
        <f t="shared" si="29"/>
        <v>23.42</v>
      </c>
      <c r="O64" s="454">
        <f t="shared" si="29"/>
        <v>25.54</v>
      </c>
      <c r="P64" s="454">
        <f t="shared" si="29"/>
        <v>27.67</v>
      </c>
      <c r="Q64" s="454">
        <f t="shared" si="29"/>
        <v>29.8</v>
      </c>
      <c r="R64" s="454">
        <f t="shared" si="29"/>
        <v>31.93</v>
      </c>
      <c r="S64" s="454">
        <f t="shared" si="29"/>
        <v>34.049999999999997</v>
      </c>
      <c r="T64" s="454">
        <f t="shared" si="29"/>
        <v>36.19</v>
      </c>
      <c r="U64" s="454">
        <f t="shared" si="29"/>
        <v>38.31</v>
      </c>
      <c r="V64" s="454">
        <f t="shared" si="29"/>
        <v>40.44</v>
      </c>
      <c r="W64" s="454">
        <f t="shared" si="29"/>
        <v>42.57</v>
      </c>
      <c r="Z64" s="454">
        <f>Z23+Z25+Z29+Z31</f>
        <v>30.39</v>
      </c>
    </row>
    <row r="65" spans="1:26" x14ac:dyDescent="0.25">
      <c r="A65" s="451"/>
      <c r="B65" s="451"/>
      <c r="C65" s="455" t="s">
        <v>1063</v>
      </c>
      <c r="D65" s="454">
        <f>D12+D13+D14+D15+D16+D17+D18+D19+D20+D21+D23+D25+D28+D29+D31+D35</f>
        <v>6.26</v>
      </c>
      <c r="E65" s="454">
        <f t="shared" ref="E65:W65" si="30">E12+E13+E14+E15+E16+E17+E18+E19+E20+E21+E23+E25+E28+E29+E31+E35</f>
        <v>10.26</v>
      </c>
      <c r="F65" s="454">
        <f t="shared" si="30"/>
        <v>13.77</v>
      </c>
      <c r="G65" s="454">
        <f t="shared" si="30"/>
        <v>18.260000000000002</v>
      </c>
      <c r="H65" s="454">
        <f t="shared" si="30"/>
        <v>22.03</v>
      </c>
      <c r="I65" s="454">
        <f t="shared" si="30"/>
        <v>27.02</v>
      </c>
      <c r="J65" s="454">
        <f t="shared" si="30"/>
        <v>30.53</v>
      </c>
      <c r="K65" s="454">
        <f t="shared" si="30"/>
        <v>34.53</v>
      </c>
      <c r="L65" s="454">
        <f t="shared" si="30"/>
        <v>38.04</v>
      </c>
      <c r="M65" s="454">
        <f t="shared" si="30"/>
        <v>42.78</v>
      </c>
      <c r="N65" s="454">
        <f t="shared" si="30"/>
        <v>46.3</v>
      </c>
      <c r="O65" s="454">
        <f t="shared" si="30"/>
        <v>49.79</v>
      </c>
      <c r="P65" s="454">
        <f t="shared" si="30"/>
        <v>53.3</v>
      </c>
      <c r="Q65" s="454">
        <f t="shared" si="30"/>
        <v>57.3</v>
      </c>
      <c r="R65" s="454">
        <f t="shared" si="30"/>
        <v>61.06</v>
      </c>
      <c r="S65" s="454">
        <f t="shared" si="30"/>
        <v>64.8</v>
      </c>
      <c r="T65" s="454">
        <f t="shared" si="30"/>
        <v>68.319999999999993</v>
      </c>
      <c r="U65" s="454">
        <f t="shared" si="30"/>
        <v>72.31</v>
      </c>
      <c r="V65" s="454">
        <f t="shared" si="30"/>
        <v>75.819999999999993</v>
      </c>
      <c r="W65" s="454">
        <f t="shared" si="30"/>
        <v>79.569999999999993</v>
      </c>
      <c r="Z65" s="454">
        <f>Z12+Z13+Z14+Z15+Z16+Z17+Z18+Z19+Z20+Z21+Z23+Z25+Z28+Z29+Z31+Z35</f>
        <v>61.89</v>
      </c>
    </row>
    <row r="66" spans="1:26" x14ac:dyDescent="0.25">
      <c r="A66" s="451"/>
      <c r="B66" s="451"/>
      <c r="C66" s="455" t="s">
        <v>1060</v>
      </c>
      <c r="D66" s="454">
        <f>D23+D25+D28+D29+D31</f>
        <v>2.2599999999999998</v>
      </c>
      <c r="E66" s="454">
        <f t="shared" ref="E66:W66" si="31">E23+E25+E28+E29+E31</f>
        <v>4.51</v>
      </c>
      <c r="F66" s="454">
        <f t="shared" si="31"/>
        <v>6.77</v>
      </c>
      <c r="G66" s="454">
        <f t="shared" si="31"/>
        <v>9.01</v>
      </c>
      <c r="H66" s="454">
        <f t="shared" si="31"/>
        <v>11.28</v>
      </c>
      <c r="I66" s="454">
        <f t="shared" si="31"/>
        <v>13.52</v>
      </c>
      <c r="J66" s="454">
        <f t="shared" si="31"/>
        <v>15.78</v>
      </c>
      <c r="K66" s="454">
        <f t="shared" si="31"/>
        <v>18.03</v>
      </c>
      <c r="L66" s="454">
        <f t="shared" si="31"/>
        <v>20.29</v>
      </c>
      <c r="M66" s="454">
        <f t="shared" si="31"/>
        <v>22.53</v>
      </c>
      <c r="N66" s="454">
        <f t="shared" si="31"/>
        <v>24.8</v>
      </c>
      <c r="O66" s="454">
        <f t="shared" si="31"/>
        <v>27.04</v>
      </c>
      <c r="P66" s="454">
        <f t="shared" si="31"/>
        <v>29.3</v>
      </c>
      <c r="Q66" s="454">
        <f t="shared" si="31"/>
        <v>31.55</v>
      </c>
      <c r="R66" s="454">
        <f t="shared" si="31"/>
        <v>33.81</v>
      </c>
      <c r="S66" s="454">
        <f t="shared" si="31"/>
        <v>36.049999999999997</v>
      </c>
      <c r="T66" s="454">
        <f t="shared" si="31"/>
        <v>38.32</v>
      </c>
      <c r="U66" s="454">
        <f t="shared" si="31"/>
        <v>40.56</v>
      </c>
      <c r="V66" s="454">
        <f t="shared" si="31"/>
        <v>42.82</v>
      </c>
      <c r="W66" s="454">
        <f t="shared" si="31"/>
        <v>45.07</v>
      </c>
      <c r="Z66" s="454">
        <f>Z23+Z25+Z28+Z29+Z31</f>
        <v>31.39</v>
      </c>
    </row>
    <row r="67" spans="1:26" x14ac:dyDescent="0.25">
      <c r="A67" s="451"/>
      <c r="B67" s="451"/>
      <c r="C67" s="455" t="s">
        <v>1062</v>
      </c>
      <c r="D67" s="454">
        <f>D12+D13+D14+D15+D16+D17+D18+D19+D20+D21+D23+D25+D27+D29+D32+D35</f>
        <v>7.86</v>
      </c>
      <c r="E67" s="454">
        <f t="shared" ref="E67:W67" si="32">E12+E13+E14+E15+E16+E17+E18+E19+E20+E21+E23+E25+E27+E29+E32+E35</f>
        <v>13.47</v>
      </c>
      <c r="F67" s="454">
        <f t="shared" si="32"/>
        <v>18.579999999999998</v>
      </c>
      <c r="G67" s="454">
        <f t="shared" si="32"/>
        <v>24.68</v>
      </c>
      <c r="H67" s="454">
        <f t="shared" si="32"/>
        <v>30.05</v>
      </c>
      <c r="I67" s="454">
        <f t="shared" si="32"/>
        <v>36.65</v>
      </c>
      <c r="J67" s="454">
        <f t="shared" si="32"/>
        <v>41.76</v>
      </c>
      <c r="K67" s="454">
        <f t="shared" si="32"/>
        <v>47.37</v>
      </c>
      <c r="L67" s="454">
        <f t="shared" si="32"/>
        <v>52.48</v>
      </c>
      <c r="M67" s="454">
        <f t="shared" si="32"/>
        <v>58.83</v>
      </c>
      <c r="N67" s="454">
        <f t="shared" si="32"/>
        <v>63.95</v>
      </c>
      <c r="O67" s="454">
        <f t="shared" si="32"/>
        <v>69.05</v>
      </c>
      <c r="P67" s="454">
        <f t="shared" si="32"/>
        <v>74.16</v>
      </c>
      <c r="Q67" s="454">
        <f t="shared" si="32"/>
        <v>79.77</v>
      </c>
      <c r="R67" s="454">
        <f t="shared" si="32"/>
        <v>85.13</v>
      </c>
      <c r="S67" s="454">
        <f t="shared" si="32"/>
        <v>90.48</v>
      </c>
      <c r="T67" s="454">
        <f t="shared" si="32"/>
        <v>95.6</v>
      </c>
      <c r="U67" s="454">
        <f t="shared" si="32"/>
        <v>101.2</v>
      </c>
      <c r="V67" s="454">
        <f t="shared" si="32"/>
        <v>106.31</v>
      </c>
      <c r="W67" s="454">
        <f t="shared" si="32"/>
        <v>111.67</v>
      </c>
      <c r="Z67" s="454">
        <f>Z12+Z13+Z14+Z15+Z16+Z17+Z18+Z19+Z20+Z21+Z23+Z25+Z27+Z29+Z32+Z35</f>
        <v>80.569999999999993</v>
      </c>
    </row>
    <row r="68" spans="1:26" x14ac:dyDescent="0.25">
      <c r="A68" s="451"/>
      <c r="B68" s="451"/>
      <c r="C68" s="455" t="s">
        <v>1060</v>
      </c>
      <c r="D68" s="454">
        <f>D23+D25+D27+D29+D32</f>
        <v>3.86</v>
      </c>
      <c r="E68" s="454">
        <f t="shared" ref="E68:W68" si="33">E23+E25+E27+E29+E32</f>
        <v>7.72</v>
      </c>
      <c r="F68" s="454">
        <f t="shared" si="33"/>
        <v>11.58</v>
      </c>
      <c r="G68" s="454">
        <f t="shared" si="33"/>
        <v>15.43</v>
      </c>
      <c r="H68" s="454">
        <f t="shared" si="33"/>
        <v>19.3</v>
      </c>
      <c r="I68" s="454">
        <f t="shared" si="33"/>
        <v>23.15</v>
      </c>
      <c r="J68" s="454">
        <f t="shared" si="33"/>
        <v>27.01</v>
      </c>
      <c r="K68" s="454">
        <f t="shared" si="33"/>
        <v>30.87</v>
      </c>
      <c r="L68" s="454">
        <f t="shared" si="33"/>
        <v>34.729999999999997</v>
      </c>
      <c r="M68" s="454">
        <f t="shared" si="33"/>
        <v>38.58</v>
      </c>
      <c r="N68" s="454">
        <f t="shared" si="33"/>
        <v>42.45</v>
      </c>
      <c r="O68" s="454">
        <f t="shared" si="33"/>
        <v>46.3</v>
      </c>
      <c r="P68" s="454">
        <f t="shared" si="33"/>
        <v>50.16</v>
      </c>
      <c r="Q68" s="454">
        <f t="shared" si="33"/>
        <v>54.02</v>
      </c>
      <c r="R68" s="454">
        <f t="shared" si="33"/>
        <v>57.88</v>
      </c>
      <c r="S68" s="454">
        <f t="shared" si="33"/>
        <v>61.73</v>
      </c>
      <c r="T68" s="454">
        <f t="shared" si="33"/>
        <v>65.599999999999994</v>
      </c>
      <c r="U68" s="454">
        <f t="shared" si="33"/>
        <v>69.45</v>
      </c>
      <c r="V68" s="454">
        <f t="shared" si="33"/>
        <v>73.31</v>
      </c>
      <c r="W68" s="454">
        <f t="shared" si="33"/>
        <v>77.17</v>
      </c>
      <c r="Z68" s="454">
        <f>Z23+Z25+Z27+Z29+Z32</f>
        <v>50.07</v>
      </c>
    </row>
    <row r="69" spans="1:26" x14ac:dyDescent="0.25">
      <c r="A69" s="451"/>
      <c r="B69" s="451"/>
      <c r="C69" s="455" t="s">
        <v>1061</v>
      </c>
      <c r="D69" s="454">
        <f>D12+D13+D14+D15+D16+D17+D18+D19+D24+D26+D30+D33+D36</f>
        <v>5.26</v>
      </c>
      <c r="E69" s="454">
        <f t="shared" ref="E69:W69" si="34">E12+E13+E14+E15+E16+E17+E18+E19+E24+E26+E30+E33+E36</f>
        <v>9.02</v>
      </c>
      <c r="F69" s="454">
        <f t="shared" si="34"/>
        <v>12.28</v>
      </c>
      <c r="G69" s="454">
        <f t="shared" si="34"/>
        <v>16.54</v>
      </c>
      <c r="H69" s="454">
        <f t="shared" si="34"/>
        <v>20.05</v>
      </c>
      <c r="I69" s="454">
        <f t="shared" si="34"/>
        <v>24.31</v>
      </c>
      <c r="J69" s="454">
        <f t="shared" si="34"/>
        <v>27.57</v>
      </c>
      <c r="K69" s="454">
        <f t="shared" si="34"/>
        <v>31.33</v>
      </c>
      <c r="L69" s="454">
        <f t="shared" si="34"/>
        <v>34.590000000000003</v>
      </c>
      <c r="M69" s="454">
        <f t="shared" si="34"/>
        <v>39.1</v>
      </c>
      <c r="N69" s="454">
        <f t="shared" si="34"/>
        <v>42.36</v>
      </c>
      <c r="O69" s="454">
        <f t="shared" si="34"/>
        <v>45.62</v>
      </c>
      <c r="P69" s="454">
        <f t="shared" si="34"/>
        <v>48.88</v>
      </c>
      <c r="Q69" s="454">
        <f t="shared" si="34"/>
        <v>52.64</v>
      </c>
      <c r="R69" s="454">
        <f t="shared" si="34"/>
        <v>56.15</v>
      </c>
      <c r="S69" s="454">
        <f t="shared" si="34"/>
        <v>59.41</v>
      </c>
      <c r="T69" s="454">
        <f t="shared" si="34"/>
        <v>62.67</v>
      </c>
      <c r="U69" s="454">
        <f t="shared" si="34"/>
        <v>66.430000000000007</v>
      </c>
      <c r="V69" s="454">
        <f t="shared" si="34"/>
        <v>69.69</v>
      </c>
      <c r="W69" s="454">
        <f t="shared" si="34"/>
        <v>73.2</v>
      </c>
      <c r="Z69" s="454">
        <f>Z12+Z13+Z14+Z15+Z16+Z17+Z18+Z19+Z24+Z26+Z30+Z33+Z36</f>
        <v>54.53</v>
      </c>
    </row>
    <row r="70" spans="1:26" x14ac:dyDescent="0.25">
      <c r="A70" s="451"/>
      <c r="B70" s="451"/>
      <c r="C70" s="455" t="s">
        <v>1060</v>
      </c>
      <c r="D70" s="454">
        <f>D24+D26+D30+D33</f>
        <v>1.76</v>
      </c>
      <c r="E70" s="454">
        <f t="shared" ref="E70:W70" si="35">E24+E26+E30+E33</f>
        <v>3.52</v>
      </c>
      <c r="F70" s="454">
        <f t="shared" si="35"/>
        <v>5.28</v>
      </c>
      <c r="G70" s="454">
        <f t="shared" si="35"/>
        <v>7.04</v>
      </c>
      <c r="H70" s="454">
        <f t="shared" si="35"/>
        <v>8.8000000000000007</v>
      </c>
      <c r="I70" s="454">
        <f t="shared" si="35"/>
        <v>10.56</v>
      </c>
      <c r="J70" s="454">
        <f t="shared" si="35"/>
        <v>12.32</v>
      </c>
      <c r="K70" s="454">
        <f t="shared" si="35"/>
        <v>14.08</v>
      </c>
      <c r="L70" s="454">
        <f t="shared" si="35"/>
        <v>15.84</v>
      </c>
      <c r="M70" s="454">
        <f t="shared" si="35"/>
        <v>17.600000000000001</v>
      </c>
      <c r="N70" s="454">
        <f t="shared" si="35"/>
        <v>19.36</v>
      </c>
      <c r="O70" s="454">
        <f t="shared" si="35"/>
        <v>21.12</v>
      </c>
      <c r="P70" s="454">
        <f t="shared" si="35"/>
        <v>22.88</v>
      </c>
      <c r="Q70" s="454">
        <f t="shared" si="35"/>
        <v>24.64</v>
      </c>
      <c r="R70" s="454">
        <f t="shared" si="35"/>
        <v>26.4</v>
      </c>
      <c r="S70" s="454">
        <f t="shared" si="35"/>
        <v>28.16</v>
      </c>
      <c r="T70" s="454">
        <f t="shared" si="35"/>
        <v>29.92</v>
      </c>
      <c r="U70" s="454">
        <f t="shared" si="35"/>
        <v>31.68</v>
      </c>
      <c r="V70" s="454">
        <f t="shared" si="35"/>
        <v>33.44</v>
      </c>
      <c r="W70" s="454">
        <f t="shared" si="35"/>
        <v>35.200000000000003</v>
      </c>
      <c r="Z70" s="454">
        <f>Z24+Z26+Z30+Z33</f>
        <v>25.28</v>
      </c>
    </row>
    <row r="71" spans="1:26" x14ac:dyDescent="0.25">
      <c r="A71" s="451"/>
      <c r="B71" s="451"/>
      <c r="C71" s="453" t="s">
        <v>1059</v>
      </c>
      <c r="D71" s="452">
        <f>D38+D40+D41+D44+D45+D46+D47+D48+D49+D56</f>
        <v>7.63</v>
      </c>
      <c r="E71" s="452">
        <f t="shared" ref="E71:W71" si="36">E38+E40+E41+E44+E45+E46+E47+E48+E49+E56</f>
        <v>9.5</v>
      </c>
      <c r="F71" s="452">
        <f t="shared" si="36"/>
        <v>11.88</v>
      </c>
      <c r="G71" s="452">
        <f t="shared" si="36"/>
        <v>13.25</v>
      </c>
      <c r="H71" s="452">
        <f t="shared" si="36"/>
        <v>14.13</v>
      </c>
      <c r="I71" s="452">
        <f t="shared" si="36"/>
        <v>16</v>
      </c>
      <c r="J71" s="452">
        <f t="shared" si="36"/>
        <v>17.38</v>
      </c>
      <c r="K71" s="452">
        <f t="shared" si="36"/>
        <v>20.5</v>
      </c>
      <c r="L71" s="452">
        <f t="shared" si="36"/>
        <v>21.38</v>
      </c>
      <c r="M71" s="452">
        <f t="shared" si="36"/>
        <v>22.75</v>
      </c>
      <c r="N71" s="452">
        <f t="shared" si="36"/>
        <v>23.63</v>
      </c>
      <c r="O71" s="452">
        <f t="shared" si="36"/>
        <v>25</v>
      </c>
      <c r="P71" s="452">
        <f t="shared" si="36"/>
        <v>26.88</v>
      </c>
      <c r="Q71" s="452">
        <f t="shared" si="36"/>
        <v>27.75</v>
      </c>
      <c r="R71" s="452">
        <f t="shared" si="36"/>
        <v>29.13</v>
      </c>
      <c r="S71" s="452">
        <f t="shared" si="36"/>
        <v>29.5</v>
      </c>
      <c r="T71" s="452">
        <f t="shared" si="36"/>
        <v>30.38</v>
      </c>
      <c r="U71" s="452">
        <f t="shared" si="36"/>
        <v>31.25</v>
      </c>
      <c r="V71" s="452">
        <f t="shared" si="36"/>
        <v>31.63</v>
      </c>
      <c r="W71" s="452">
        <f t="shared" si="36"/>
        <v>32</v>
      </c>
      <c r="Z71" s="452">
        <f>Z38+Z40+Z41+Z44+Z45+Z46+Z47+Z48+Z49+Z56</f>
        <v>20.5</v>
      </c>
    </row>
    <row r="72" spans="1:26" x14ac:dyDescent="0.25">
      <c r="A72" s="451"/>
      <c r="B72" s="451"/>
      <c r="C72" s="453" t="s">
        <v>1058</v>
      </c>
      <c r="D72" s="452">
        <f>D38+D40+D41+D44+D45+D46+D47+D48+D49+D55+D56</f>
        <v>7.76</v>
      </c>
      <c r="E72" s="452">
        <f t="shared" ref="E72:W72" si="37">E38+E40+E41+E44+E45+E46+E47+E48+E49+E55+E56</f>
        <v>9.75</v>
      </c>
      <c r="F72" s="452">
        <f t="shared" si="37"/>
        <v>12.26</v>
      </c>
      <c r="G72" s="452">
        <f t="shared" si="37"/>
        <v>13.75</v>
      </c>
      <c r="H72" s="452">
        <f t="shared" si="37"/>
        <v>14.76</v>
      </c>
      <c r="I72" s="452">
        <f t="shared" si="37"/>
        <v>16.75</v>
      </c>
      <c r="J72" s="452">
        <f t="shared" si="37"/>
        <v>18.260000000000002</v>
      </c>
      <c r="K72" s="452">
        <f t="shared" si="37"/>
        <v>21.5</v>
      </c>
      <c r="L72" s="452">
        <f t="shared" si="37"/>
        <v>22.51</v>
      </c>
      <c r="M72" s="452">
        <f t="shared" si="37"/>
        <v>24</v>
      </c>
      <c r="N72" s="452">
        <f t="shared" si="37"/>
        <v>25.01</v>
      </c>
      <c r="O72" s="452">
        <f t="shared" si="37"/>
        <v>26.5</v>
      </c>
      <c r="P72" s="452">
        <f t="shared" si="37"/>
        <v>28.51</v>
      </c>
      <c r="Q72" s="452">
        <f t="shared" si="37"/>
        <v>29.5</v>
      </c>
      <c r="R72" s="452">
        <f t="shared" si="37"/>
        <v>31.01</v>
      </c>
      <c r="S72" s="452">
        <f t="shared" si="37"/>
        <v>31.5</v>
      </c>
      <c r="T72" s="452">
        <f t="shared" si="37"/>
        <v>32.51</v>
      </c>
      <c r="U72" s="452">
        <f t="shared" si="37"/>
        <v>33.5</v>
      </c>
      <c r="V72" s="452">
        <f t="shared" si="37"/>
        <v>34.01</v>
      </c>
      <c r="W72" s="452">
        <f t="shared" si="37"/>
        <v>34.5</v>
      </c>
      <c r="Z72" s="452">
        <f>Z38+Z40+Z41+Z44+Z45+Z46+Z47+Z48+Z49+Z55+Z56</f>
        <v>21.5</v>
      </c>
    </row>
    <row r="73" spans="1:26" x14ac:dyDescent="0.25">
      <c r="A73" s="451"/>
      <c r="B73" s="451"/>
      <c r="C73" s="453" t="s">
        <v>1057</v>
      </c>
      <c r="D73" s="452">
        <f>D38+D40+D41+D44+D45+D46+D47+D48+D49+D55+D56</f>
        <v>7.76</v>
      </c>
      <c r="E73" s="452">
        <f t="shared" ref="E73:W73" si="38">E38+E40+E41+E44+E45+E46+E47+E48+E49+E55+E56</f>
        <v>9.75</v>
      </c>
      <c r="F73" s="452">
        <f t="shared" si="38"/>
        <v>12.26</v>
      </c>
      <c r="G73" s="452">
        <f t="shared" si="38"/>
        <v>13.75</v>
      </c>
      <c r="H73" s="452">
        <f t="shared" si="38"/>
        <v>14.76</v>
      </c>
      <c r="I73" s="452">
        <f t="shared" si="38"/>
        <v>16.75</v>
      </c>
      <c r="J73" s="452">
        <f t="shared" si="38"/>
        <v>18.260000000000002</v>
      </c>
      <c r="K73" s="452">
        <f t="shared" si="38"/>
        <v>21.5</v>
      </c>
      <c r="L73" s="452">
        <f t="shared" si="38"/>
        <v>22.51</v>
      </c>
      <c r="M73" s="452">
        <f t="shared" si="38"/>
        <v>24</v>
      </c>
      <c r="N73" s="452">
        <f t="shared" si="38"/>
        <v>25.01</v>
      </c>
      <c r="O73" s="452">
        <f t="shared" si="38"/>
        <v>26.5</v>
      </c>
      <c r="P73" s="452">
        <f t="shared" si="38"/>
        <v>28.51</v>
      </c>
      <c r="Q73" s="452">
        <f t="shared" si="38"/>
        <v>29.5</v>
      </c>
      <c r="R73" s="452">
        <f t="shared" si="38"/>
        <v>31.01</v>
      </c>
      <c r="S73" s="452">
        <f t="shared" si="38"/>
        <v>31.5</v>
      </c>
      <c r="T73" s="452">
        <f t="shared" si="38"/>
        <v>32.51</v>
      </c>
      <c r="U73" s="452">
        <f t="shared" si="38"/>
        <v>33.5</v>
      </c>
      <c r="V73" s="452">
        <f t="shared" si="38"/>
        <v>34.01</v>
      </c>
      <c r="W73" s="452">
        <f t="shared" si="38"/>
        <v>34.5</v>
      </c>
      <c r="Z73" s="452">
        <f>Z38+Z40+Z41+Z44+Z45+Z46+Z47+Z48+Z49+Z55+Z56</f>
        <v>21.5</v>
      </c>
    </row>
    <row r="74" spans="1:26" x14ac:dyDescent="0.25">
      <c r="A74" s="451"/>
      <c r="B74" s="451"/>
      <c r="C74" s="453" t="s">
        <v>1056</v>
      </c>
      <c r="D74" s="452">
        <f>D39+D40+D41+D44+D45+D46+D47+D48+D49</f>
        <v>2.88</v>
      </c>
      <c r="E74" s="452">
        <f t="shared" ref="E74:W74" si="39">E39+E40+E41+E44+E45+E46+E47+E48+E49</f>
        <v>4.75</v>
      </c>
      <c r="F74" s="452">
        <f t="shared" si="39"/>
        <v>7.13</v>
      </c>
      <c r="G74" s="452">
        <f t="shared" si="39"/>
        <v>8.75</v>
      </c>
      <c r="H74" s="452">
        <f t="shared" si="39"/>
        <v>9.8800000000000008</v>
      </c>
      <c r="I74" s="452">
        <f t="shared" si="39"/>
        <v>12</v>
      </c>
      <c r="J74" s="452">
        <f t="shared" si="39"/>
        <v>13.63</v>
      </c>
      <c r="K74" s="452">
        <f t="shared" si="39"/>
        <v>16.5</v>
      </c>
      <c r="L74" s="452">
        <f t="shared" si="39"/>
        <v>17.63</v>
      </c>
      <c r="M74" s="452">
        <f t="shared" si="39"/>
        <v>19.25</v>
      </c>
      <c r="N74" s="452">
        <f t="shared" si="39"/>
        <v>20.38</v>
      </c>
      <c r="O74" s="452">
        <f t="shared" si="39"/>
        <v>22</v>
      </c>
      <c r="P74" s="452">
        <f t="shared" si="39"/>
        <v>23.63</v>
      </c>
      <c r="Q74" s="452">
        <f t="shared" si="39"/>
        <v>24.75</v>
      </c>
      <c r="R74" s="452">
        <f t="shared" si="39"/>
        <v>26.38</v>
      </c>
      <c r="S74" s="452">
        <f t="shared" si="39"/>
        <v>27</v>
      </c>
      <c r="T74" s="452">
        <f t="shared" si="39"/>
        <v>27.63</v>
      </c>
      <c r="U74" s="452">
        <f t="shared" si="39"/>
        <v>28.75</v>
      </c>
      <c r="V74" s="452">
        <f t="shared" si="39"/>
        <v>29.38</v>
      </c>
      <c r="W74" s="452">
        <f t="shared" si="39"/>
        <v>30</v>
      </c>
      <c r="Z74" s="452">
        <f>Z39+Z40+Z41+Z44+Z45+Z46+Z47+Z48+Z49</f>
        <v>16.5</v>
      </c>
    </row>
    <row r="75" spans="1:26" x14ac:dyDescent="0.25">
      <c r="D75" s="457"/>
      <c r="E75" s="457"/>
      <c r="F75" s="457"/>
      <c r="G75" s="457"/>
      <c r="H75" s="457"/>
      <c r="I75" s="457"/>
      <c r="J75" s="457"/>
      <c r="K75" s="457"/>
      <c r="L75" s="457"/>
      <c r="M75" s="457"/>
      <c r="N75" s="457"/>
      <c r="O75" s="457"/>
      <c r="P75" s="457"/>
      <c r="Q75" s="457"/>
      <c r="R75" s="457"/>
      <c r="S75" s="457"/>
      <c r="T75" s="457"/>
      <c r="U75" s="457"/>
      <c r="V75" s="457"/>
      <c r="W75" s="457"/>
      <c r="Z75" s="457"/>
    </row>
    <row r="76" spans="1:26" x14ac:dyDescent="0.25">
      <c r="C76" s="458" t="s">
        <v>1070</v>
      </c>
      <c r="D76" s="457"/>
      <c r="E76" s="457"/>
      <c r="F76" s="457"/>
      <c r="G76" s="457"/>
      <c r="H76" s="457"/>
      <c r="I76" s="457"/>
      <c r="J76" s="457"/>
      <c r="K76" s="457"/>
      <c r="L76" s="457"/>
      <c r="M76" s="457"/>
      <c r="N76" s="457"/>
      <c r="O76" s="457"/>
      <c r="P76" s="457"/>
      <c r="Q76" s="457"/>
      <c r="R76" s="457"/>
      <c r="S76" s="457"/>
      <c r="T76" s="457"/>
      <c r="U76" s="457"/>
      <c r="V76" s="457"/>
      <c r="W76" s="457"/>
      <c r="Z76" s="457"/>
    </row>
    <row r="77" spans="1:26" x14ac:dyDescent="0.25">
      <c r="A77" s="451"/>
      <c r="B77" s="451"/>
      <c r="C77" s="456" t="s">
        <v>1068</v>
      </c>
      <c r="D77" s="448">
        <f t="shared" ref="D77:W77" si="40">D81+D89</f>
        <v>8.6300000000000008</v>
      </c>
      <c r="E77" s="448">
        <f t="shared" si="40"/>
        <v>10.49</v>
      </c>
      <c r="F77" s="448">
        <f t="shared" si="40"/>
        <v>12.33</v>
      </c>
      <c r="G77" s="448">
        <f t="shared" si="40"/>
        <v>14.19</v>
      </c>
      <c r="H77" s="448">
        <f t="shared" si="40"/>
        <v>15.64</v>
      </c>
      <c r="I77" s="448">
        <f t="shared" si="40"/>
        <v>18.170000000000002</v>
      </c>
      <c r="J77" s="448">
        <f t="shared" si="40"/>
        <v>19.66</v>
      </c>
      <c r="K77" s="448">
        <f t="shared" si="40"/>
        <v>21.95</v>
      </c>
      <c r="L77" s="448">
        <f t="shared" si="40"/>
        <v>23.31</v>
      </c>
      <c r="M77" s="448">
        <f t="shared" si="40"/>
        <v>25.26</v>
      </c>
      <c r="N77" s="448">
        <f t="shared" si="40"/>
        <v>26.63</v>
      </c>
      <c r="O77" s="448">
        <f t="shared" si="40"/>
        <v>28.82</v>
      </c>
      <c r="P77" s="448">
        <f t="shared" si="40"/>
        <v>30.53</v>
      </c>
      <c r="Q77" s="448">
        <f t="shared" si="40"/>
        <v>32.090000000000003</v>
      </c>
      <c r="R77" s="448">
        <f t="shared" si="40"/>
        <v>33.67</v>
      </c>
      <c r="S77" s="448">
        <f t="shared" si="40"/>
        <v>35.159999999999997</v>
      </c>
      <c r="T77" s="448">
        <f t="shared" si="40"/>
        <v>36.56</v>
      </c>
      <c r="U77" s="448">
        <f t="shared" si="40"/>
        <v>38.119999999999997</v>
      </c>
      <c r="V77" s="448">
        <f t="shared" si="40"/>
        <v>39.35</v>
      </c>
      <c r="W77" s="448">
        <f t="shared" si="40"/>
        <v>40.67</v>
      </c>
    </row>
    <row r="78" spans="1:26" x14ac:dyDescent="0.25">
      <c r="A78" s="451"/>
      <c r="B78" s="451"/>
      <c r="C78" s="456" t="s">
        <v>1067</v>
      </c>
      <c r="D78" s="448">
        <f t="shared" ref="D78:W78" si="41">D83+D90</f>
        <v>9.3800000000000008</v>
      </c>
      <c r="E78" s="448">
        <f t="shared" si="41"/>
        <v>11.32</v>
      </c>
      <c r="F78" s="448">
        <f t="shared" si="41"/>
        <v>13.24</v>
      </c>
      <c r="G78" s="448">
        <f t="shared" si="41"/>
        <v>15.19</v>
      </c>
      <c r="H78" s="448">
        <f t="shared" si="41"/>
        <v>16.73</v>
      </c>
      <c r="I78" s="448">
        <f t="shared" si="41"/>
        <v>19.329999999999998</v>
      </c>
      <c r="J78" s="448">
        <f t="shared" si="41"/>
        <v>20.92</v>
      </c>
      <c r="K78" s="448">
        <f t="shared" si="41"/>
        <v>23.29</v>
      </c>
      <c r="L78" s="448">
        <f t="shared" si="41"/>
        <v>24.74</v>
      </c>
      <c r="M78" s="448">
        <f t="shared" si="41"/>
        <v>26.76</v>
      </c>
      <c r="N78" s="448">
        <f t="shared" si="41"/>
        <v>28.22</v>
      </c>
      <c r="O78" s="448">
        <f t="shared" si="41"/>
        <v>29.82</v>
      </c>
      <c r="P78" s="448">
        <f t="shared" si="41"/>
        <v>31.61</v>
      </c>
      <c r="Q78" s="448">
        <f t="shared" si="41"/>
        <v>33.26</v>
      </c>
      <c r="R78" s="448">
        <f t="shared" si="41"/>
        <v>34.93</v>
      </c>
      <c r="S78" s="448">
        <f t="shared" si="41"/>
        <v>36.479999999999997</v>
      </c>
      <c r="T78" s="448">
        <f t="shared" si="41"/>
        <v>37.979999999999997</v>
      </c>
      <c r="U78" s="448">
        <f t="shared" si="41"/>
        <v>39.619999999999997</v>
      </c>
      <c r="V78" s="448">
        <f t="shared" si="41"/>
        <v>40.950000000000003</v>
      </c>
      <c r="W78" s="448">
        <f t="shared" si="41"/>
        <v>42.34</v>
      </c>
    </row>
    <row r="79" spans="1:26" x14ac:dyDescent="0.25">
      <c r="A79" s="451"/>
      <c r="B79" s="451"/>
      <c r="C79" s="456" t="s">
        <v>1066</v>
      </c>
      <c r="D79" s="448">
        <f t="shared" ref="D79:W79" si="42">D85+D91</f>
        <v>9.91</v>
      </c>
      <c r="E79" s="448">
        <f t="shared" si="42"/>
        <v>12.39</v>
      </c>
      <c r="F79" s="448">
        <f t="shared" si="42"/>
        <v>14.85</v>
      </c>
      <c r="G79" s="448">
        <f t="shared" si="42"/>
        <v>17.329999999999998</v>
      </c>
      <c r="H79" s="448">
        <f t="shared" si="42"/>
        <v>19.399999999999999</v>
      </c>
      <c r="I79" s="448">
        <f t="shared" si="42"/>
        <v>22.54</v>
      </c>
      <c r="J79" s="448">
        <f t="shared" si="42"/>
        <v>24.67</v>
      </c>
      <c r="K79" s="448">
        <f t="shared" si="42"/>
        <v>27.57</v>
      </c>
      <c r="L79" s="448">
        <f t="shared" si="42"/>
        <v>29.55</v>
      </c>
      <c r="M79" s="448">
        <f t="shared" si="42"/>
        <v>32.11</v>
      </c>
      <c r="N79" s="448">
        <f t="shared" si="42"/>
        <v>34.1</v>
      </c>
      <c r="O79" s="448">
        <f t="shared" si="42"/>
        <v>36.24</v>
      </c>
      <c r="P79" s="448">
        <f t="shared" si="42"/>
        <v>38.57</v>
      </c>
      <c r="Q79" s="448">
        <f t="shared" si="42"/>
        <v>40.75</v>
      </c>
      <c r="R79" s="448">
        <f t="shared" si="42"/>
        <v>42.95</v>
      </c>
      <c r="S79" s="448">
        <f t="shared" si="42"/>
        <v>45.04</v>
      </c>
      <c r="T79" s="448">
        <f t="shared" si="42"/>
        <v>47.07</v>
      </c>
      <c r="U79" s="448">
        <f t="shared" si="42"/>
        <v>49.25</v>
      </c>
      <c r="V79" s="448">
        <f t="shared" si="42"/>
        <v>51.11</v>
      </c>
      <c r="W79" s="448">
        <f t="shared" si="42"/>
        <v>53.04</v>
      </c>
    </row>
    <row r="80" spans="1:26" x14ac:dyDescent="0.25">
      <c r="A80" s="451"/>
      <c r="B80" s="451"/>
      <c r="C80" s="456" t="s">
        <v>1065</v>
      </c>
      <c r="D80" s="448">
        <f t="shared" ref="D80:W80" si="43">D87+D92</f>
        <v>4.17</v>
      </c>
      <c r="E80" s="448">
        <f t="shared" si="43"/>
        <v>6.23</v>
      </c>
      <c r="F80" s="448">
        <f t="shared" si="43"/>
        <v>8.26</v>
      </c>
      <c r="G80" s="448">
        <f t="shared" si="43"/>
        <v>10.41</v>
      </c>
      <c r="H80" s="448">
        <f t="shared" si="43"/>
        <v>12.14</v>
      </c>
      <c r="I80" s="448">
        <f t="shared" si="43"/>
        <v>14.46</v>
      </c>
      <c r="J80" s="448">
        <f t="shared" si="43"/>
        <v>16.23</v>
      </c>
      <c r="K80" s="448">
        <f t="shared" si="43"/>
        <v>18.64</v>
      </c>
      <c r="L80" s="448">
        <f t="shared" si="43"/>
        <v>20.28</v>
      </c>
      <c r="M80" s="448">
        <f t="shared" si="43"/>
        <v>22.52</v>
      </c>
      <c r="N80" s="448">
        <f t="shared" si="43"/>
        <v>24.16</v>
      </c>
      <c r="O80" s="448">
        <f t="shared" si="43"/>
        <v>25.98</v>
      </c>
      <c r="P80" s="448">
        <f t="shared" si="43"/>
        <v>27.8</v>
      </c>
      <c r="Q80" s="448">
        <f t="shared" si="43"/>
        <v>29.65</v>
      </c>
      <c r="R80" s="448">
        <f t="shared" si="43"/>
        <v>31.51</v>
      </c>
      <c r="S80" s="448">
        <f t="shared" si="43"/>
        <v>33.03</v>
      </c>
      <c r="T80" s="448">
        <f t="shared" si="43"/>
        <v>34.549999999999997</v>
      </c>
      <c r="U80" s="448">
        <f t="shared" si="43"/>
        <v>36.4</v>
      </c>
      <c r="V80" s="448">
        <f t="shared" si="43"/>
        <v>37.909999999999997</v>
      </c>
      <c r="W80" s="448">
        <f t="shared" si="43"/>
        <v>39.51</v>
      </c>
    </row>
    <row r="81" spans="1:23" x14ac:dyDescent="0.25">
      <c r="A81" s="451"/>
      <c r="B81" s="451"/>
      <c r="C81" s="455" t="s">
        <v>1064</v>
      </c>
      <c r="D81" s="454">
        <f>D12+D13/12*4+D14+D15/12*4+D16/12*4+D17/12*4+D18/12*4+D19/12*4+D20+D21+D23/12*4+D25/12*4+D29/12*4+D31/12*4+D35/12*4</f>
        <v>3.21</v>
      </c>
      <c r="E81" s="454">
        <f t="shared" ref="E81:W81" si="44">E12+E13/12*4+E14+E15/12*4+E16/12*4+E17/12*4+E18/12*4+E19/12*4+E20+E21+E23/12*4+E25/12*4+E29/12*4+E31/12*4+E35/12*4</f>
        <v>4.5</v>
      </c>
      <c r="F81" s="454">
        <f t="shared" si="44"/>
        <v>5.63</v>
      </c>
      <c r="G81" s="454">
        <f t="shared" si="44"/>
        <v>7.09</v>
      </c>
      <c r="H81" s="454">
        <f t="shared" si="44"/>
        <v>8.3000000000000007</v>
      </c>
      <c r="I81" s="454">
        <f t="shared" si="44"/>
        <v>10.26</v>
      </c>
      <c r="J81" s="454">
        <f t="shared" si="44"/>
        <v>11.38</v>
      </c>
      <c r="K81" s="454">
        <f t="shared" si="44"/>
        <v>12.68</v>
      </c>
      <c r="L81" s="454">
        <f t="shared" si="44"/>
        <v>13.8</v>
      </c>
      <c r="M81" s="454">
        <f t="shared" si="44"/>
        <v>15.34</v>
      </c>
      <c r="N81" s="454">
        <f t="shared" si="44"/>
        <v>16.47</v>
      </c>
      <c r="O81" s="454">
        <f t="shared" si="44"/>
        <v>18.260000000000002</v>
      </c>
      <c r="P81" s="454">
        <f t="shared" si="44"/>
        <v>19.39</v>
      </c>
      <c r="Q81" s="454">
        <f t="shared" si="44"/>
        <v>20.68</v>
      </c>
      <c r="R81" s="454">
        <f t="shared" si="44"/>
        <v>21.89</v>
      </c>
      <c r="S81" s="454">
        <f t="shared" si="44"/>
        <v>23.27</v>
      </c>
      <c r="T81" s="454">
        <f t="shared" si="44"/>
        <v>24.4</v>
      </c>
      <c r="U81" s="454">
        <f t="shared" si="44"/>
        <v>25.69</v>
      </c>
      <c r="V81" s="454">
        <f t="shared" si="44"/>
        <v>26.81</v>
      </c>
      <c r="W81" s="454">
        <f t="shared" si="44"/>
        <v>28.02</v>
      </c>
    </row>
    <row r="82" spans="1:23" x14ac:dyDescent="0.25">
      <c r="A82" s="451"/>
      <c r="B82" s="451"/>
      <c r="C82" s="455" t="s">
        <v>1060</v>
      </c>
      <c r="D82" s="454">
        <f>D23/12*4+D25/12*4+D29/12*4+D31/12*4</f>
        <v>0.71</v>
      </c>
      <c r="E82" s="454">
        <f t="shared" ref="E82:W82" si="45">E23/12*4+E25/12*4+E29/12*4+E31/12*4</f>
        <v>1.42</v>
      </c>
      <c r="F82" s="454">
        <f t="shared" si="45"/>
        <v>2.13</v>
      </c>
      <c r="G82" s="454">
        <f t="shared" si="45"/>
        <v>2.84</v>
      </c>
      <c r="H82" s="454">
        <f t="shared" si="45"/>
        <v>3.55</v>
      </c>
      <c r="I82" s="454">
        <f t="shared" si="45"/>
        <v>4.26</v>
      </c>
      <c r="J82" s="454">
        <f t="shared" si="45"/>
        <v>4.97</v>
      </c>
      <c r="K82" s="454">
        <f t="shared" si="45"/>
        <v>5.68</v>
      </c>
      <c r="L82" s="454">
        <f t="shared" si="45"/>
        <v>6.39</v>
      </c>
      <c r="M82" s="454">
        <f t="shared" si="45"/>
        <v>7.09</v>
      </c>
      <c r="N82" s="454">
        <f t="shared" si="45"/>
        <v>7.81</v>
      </c>
      <c r="O82" s="454">
        <f t="shared" si="45"/>
        <v>8.51</v>
      </c>
      <c r="P82" s="454">
        <f t="shared" si="45"/>
        <v>9.2200000000000006</v>
      </c>
      <c r="Q82" s="454">
        <f t="shared" si="45"/>
        <v>9.93</v>
      </c>
      <c r="R82" s="454">
        <f t="shared" si="45"/>
        <v>10.64</v>
      </c>
      <c r="S82" s="454">
        <f t="shared" si="45"/>
        <v>11.35</v>
      </c>
      <c r="T82" s="454">
        <f t="shared" si="45"/>
        <v>12.06</v>
      </c>
      <c r="U82" s="454">
        <f t="shared" si="45"/>
        <v>12.77</v>
      </c>
      <c r="V82" s="454">
        <f t="shared" si="45"/>
        <v>13.48</v>
      </c>
      <c r="W82" s="454">
        <f t="shared" si="45"/>
        <v>14.19</v>
      </c>
    </row>
    <row r="83" spans="1:23" x14ac:dyDescent="0.25">
      <c r="A83" s="451"/>
      <c r="B83" s="451"/>
      <c r="C83" s="455" t="s">
        <v>1063</v>
      </c>
      <c r="D83" s="454">
        <f>D12+D13/12*4+D14/12*4+D15/12*4+D16+D17/12*4+D18/12*4+D19/12*4+D20+D21+D23/12*4+D25/12*4+D28/12*4+D29/12*4+D31/12*4+D35/12*4</f>
        <v>3.92</v>
      </c>
      <c r="E83" s="454">
        <f t="shared" ref="E83:W83" si="46">E12+E13/12*4+E14/12*4+E15/12*4+E16+E17/12*4+E18/12*4+E19/12*4+E20+E21+E23/12*4+E25/12*4+E28/12*4+E29/12*4+E31/12*4+E35/12*4</f>
        <v>5.25</v>
      </c>
      <c r="F83" s="454">
        <f t="shared" si="46"/>
        <v>6.42</v>
      </c>
      <c r="G83" s="454">
        <f t="shared" si="46"/>
        <v>7.92</v>
      </c>
      <c r="H83" s="454">
        <f t="shared" si="46"/>
        <v>9.18</v>
      </c>
      <c r="I83" s="454">
        <f t="shared" si="46"/>
        <v>11.17</v>
      </c>
      <c r="J83" s="454">
        <f t="shared" si="46"/>
        <v>12.34</v>
      </c>
      <c r="K83" s="454">
        <f t="shared" si="46"/>
        <v>13.68</v>
      </c>
      <c r="L83" s="454">
        <f t="shared" si="46"/>
        <v>14.85</v>
      </c>
      <c r="M83" s="454">
        <f t="shared" si="46"/>
        <v>16.43</v>
      </c>
      <c r="N83" s="454">
        <f t="shared" si="46"/>
        <v>17.600000000000001</v>
      </c>
      <c r="O83" s="454">
        <f t="shared" si="46"/>
        <v>18.760000000000002</v>
      </c>
      <c r="P83" s="454">
        <f t="shared" si="46"/>
        <v>19.93</v>
      </c>
      <c r="Q83" s="454">
        <f t="shared" si="46"/>
        <v>21.27</v>
      </c>
      <c r="R83" s="454">
        <f t="shared" si="46"/>
        <v>22.52</v>
      </c>
      <c r="S83" s="454">
        <f t="shared" si="46"/>
        <v>23.93</v>
      </c>
      <c r="T83" s="454">
        <f t="shared" si="46"/>
        <v>25.11</v>
      </c>
      <c r="U83" s="454">
        <f t="shared" si="46"/>
        <v>26.44</v>
      </c>
      <c r="V83" s="454">
        <f t="shared" si="46"/>
        <v>27.61</v>
      </c>
      <c r="W83" s="454">
        <f t="shared" si="46"/>
        <v>28.86</v>
      </c>
    </row>
    <row r="84" spans="1:23" x14ac:dyDescent="0.25">
      <c r="A84" s="451"/>
      <c r="B84" s="451"/>
      <c r="C84" s="455" t="s">
        <v>1060</v>
      </c>
      <c r="D84" s="454">
        <f>D23/12*4+D25/12*4+D28/12*4+D29/12*4+D31/12*4</f>
        <v>0.75</v>
      </c>
      <c r="E84" s="454">
        <f t="shared" ref="E84:W84" si="47">E23/12*4+E25/12*4+E28/12*4+E29/12*4+E31/12*4</f>
        <v>1.5</v>
      </c>
      <c r="F84" s="454">
        <f t="shared" si="47"/>
        <v>2.2599999999999998</v>
      </c>
      <c r="G84" s="454">
        <f t="shared" si="47"/>
        <v>3</v>
      </c>
      <c r="H84" s="454">
        <f t="shared" si="47"/>
        <v>3.76</v>
      </c>
      <c r="I84" s="454">
        <f t="shared" si="47"/>
        <v>4.51</v>
      </c>
      <c r="J84" s="454">
        <f t="shared" si="47"/>
        <v>5.26</v>
      </c>
      <c r="K84" s="454">
        <f t="shared" si="47"/>
        <v>6.01</v>
      </c>
      <c r="L84" s="454">
        <f t="shared" si="47"/>
        <v>6.76</v>
      </c>
      <c r="M84" s="454">
        <f t="shared" si="47"/>
        <v>7.51</v>
      </c>
      <c r="N84" s="454">
        <f t="shared" si="47"/>
        <v>8.27</v>
      </c>
      <c r="O84" s="454">
        <f t="shared" si="47"/>
        <v>9.01</v>
      </c>
      <c r="P84" s="454">
        <f t="shared" si="47"/>
        <v>9.77</v>
      </c>
      <c r="Q84" s="454">
        <f t="shared" si="47"/>
        <v>10.52</v>
      </c>
      <c r="R84" s="454">
        <f t="shared" si="47"/>
        <v>11.27</v>
      </c>
      <c r="S84" s="454">
        <f t="shared" si="47"/>
        <v>12.02</v>
      </c>
      <c r="T84" s="454">
        <f t="shared" si="47"/>
        <v>12.77</v>
      </c>
      <c r="U84" s="454">
        <f t="shared" si="47"/>
        <v>13.52</v>
      </c>
      <c r="V84" s="454">
        <f t="shared" si="47"/>
        <v>14.27</v>
      </c>
      <c r="W84" s="454">
        <f t="shared" si="47"/>
        <v>15.02</v>
      </c>
    </row>
    <row r="85" spans="1:23" x14ac:dyDescent="0.25">
      <c r="A85" s="451"/>
      <c r="B85" s="451"/>
      <c r="C85" s="455" t="s">
        <v>1062</v>
      </c>
      <c r="D85" s="454">
        <f>D12+D13/12*4+D14/12*4+D15/12*4+D16+D17/12*4+D18/12*4+D19/12*4+D20+D21+D23/12*4+D25/12*4+D27/12*4+D29/12*4+D32/12*4+D35/12*4</f>
        <v>4.45</v>
      </c>
      <c r="E85" s="454">
        <f t="shared" ref="E85:W85" si="48">E12+E13/12*4+E14/12*4+E15/12*4+E16+E17/12*4+E18/12*4+E19/12*4+E20+E21+E23/12*4+E25/12*4+E27/12*4+E29/12*4+E32/12*4+E35/12*4</f>
        <v>6.32</v>
      </c>
      <c r="F85" s="454">
        <f t="shared" si="48"/>
        <v>8.0299999999999994</v>
      </c>
      <c r="G85" s="454">
        <f t="shared" si="48"/>
        <v>10.06</v>
      </c>
      <c r="H85" s="454">
        <f t="shared" si="48"/>
        <v>11.85</v>
      </c>
      <c r="I85" s="454">
        <f t="shared" si="48"/>
        <v>14.38</v>
      </c>
      <c r="J85" s="454">
        <f t="shared" si="48"/>
        <v>16.09</v>
      </c>
      <c r="K85" s="454">
        <f t="shared" si="48"/>
        <v>17.96</v>
      </c>
      <c r="L85" s="454">
        <f t="shared" si="48"/>
        <v>19.66</v>
      </c>
      <c r="M85" s="454">
        <f t="shared" si="48"/>
        <v>21.78</v>
      </c>
      <c r="N85" s="454">
        <f t="shared" si="48"/>
        <v>23.48</v>
      </c>
      <c r="O85" s="454">
        <f t="shared" si="48"/>
        <v>25.18</v>
      </c>
      <c r="P85" s="454">
        <f t="shared" si="48"/>
        <v>26.89</v>
      </c>
      <c r="Q85" s="454">
        <f t="shared" si="48"/>
        <v>28.76</v>
      </c>
      <c r="R85" s="454">
        <f t="shared" si="48"/>
        <v>30.54</v>
      </c>
      <c r="S85" s="454">
        <f t="shared" si="48"/>
        <v>32.49</v>
      </c>
      <c r="T85" s="454">
        <f t="shared" si="48"/>
        <v>34.200000000000003</v>
      </c>
      <c r="U85" s="454">
        <f t="shared" si="48"/>
        <v>36.07</v>
      </c>
      <c r="V85" s="454">
        <f t="shared" si="48"/>
        <v>37.770000000000003</v>
      </c>
      <c r="W85" s="454">
        <f t="shared" si="48"/>
        <v>39.56</v>
      </c>
    </row>
    <row r="86" spans="1:23" x14ac:dyDescent="0.25">
      <c r="A86" s="451"/>
      <c r="B86" s="451"/>
      <c r="C86" s="455" t="s">
        <v>1060</v>
      </c>
      <c r="D86" s="454">
        <f>D23/12*4+D25/12*4+D27/12*4+D29/12*4+D32/12*4</f>
        <v>1.29</v>
      </c>
      <c r="E86" s="454">
        <f t="shared" ref="E86:W86" si="49">E23/12*4+E25/12*4+E27/12*4+E29/12*4+E32/12*4</f>
        <v>2.57</v>
      </c>
      <c r="F86" s="454">
        <f t="shared" si="49"/>
        <v>3.86</v>
      </c>
      <c r="G86" s="454">
        <f t="shared" si="49"/>
        <v>5.14</v>
      </c>
      <c r="H86" s="454">
        <f t="shared" si="49"/>
        <v>6.43</v>
      </c>
      <c r="I86" s="454">
        <f t="shared" si="49"/>
        <v>7.72</v>
      </c>
      <c r="J86" s="454">
        <f t="shared" si="49"/>
        <v>9</v>
      </c>
      <c r="K86" s="454">
        <f t="shared" si="49"/>
        <v>10.29</v>
      </c>
      <c r="L86" s="454">
        <f t="shared" si="49"/>
        <v>11.58</v>
      </c>
      <c r="M86" s="454">
        <f t="shared" si="49"/>
        <v>12.86</v>
      </c>
      <c r="N86" s="454">
        <f t="shared" si="49"/>
        <v>14.15</v>
      </c>
      <c r="O86" s="454">
        <f t="shared" si="49"/>
        <v>15.43</v>
      </c>
      <c r="P86" s="454">
        <f t="shared" si="49"/>
        <v>16.72</v>
      </c>
      <c r="Q86" s="454">
        <f t="shared" si="49"/>
        <v>18.010000000000002</v>
      </c>
      <c r="R86" s="454">
        <f t="shared" si="49"/>
        <v>19.29</v>
      </c>
      <c r="S86" s="454">
        <f t="shared" si="49"/>
        <v>20.58</v>
      </c>
      <c r="T86" s="454">
        <f t="shared" si="49"/>
        <v>21.87</v>
      </c>
      <c r="U86" s="454">
        <f t="shared" si="49"/>
        <v>23.15</v>
      </c>
      <c r="V86" s="454">
        <f t="shared" si="49"/>
        <v>24.44</v>
      </c>
      <c r="W86" s="454">
        <f t="shared" si="49"/>
        <v>25.72</v>
      </c>
    </row>
    <row r="87" spans="1:23" x14ac:dyDescent="0.25">
      <c r="A87" s="451"/>
      <c r="B87" s="451"/>
      <c r="C87" s="455" t="s">
        <v>1061</v>
      </c>
      <c r="D87" s="454">
        <f>D12+D13/12*4+D14/12*4+D15/12*4+D16+D17/12*4+D18/12*4+D19/12*4+D24+D26+D30+D33/12*4+D36/12*4</f>
        <v>3.33</v>
      </c>
      <c r="E87" s="454">
        <f t="shared" ref="E87:W87" si="50">E12+E13/12*4+E14/12*4+E15/12*4+E16+E17/12*4+E18/12*4+E19/12*4+E24+E26+E30+E33/12*4+E36/12*4</f>
        <v>4.82</v>
      </c>
      <c r="F87" s="454">
        <f t="shared" si="50"/>
        <v>6.15</v>
      </c>
      <c r="G87" s="454">
        <f t="shared" si="50"/>
        <v>7.81</v>
      </c>
      <c r="H87" s="454">
        <f t="shared" si="50"/>
        <v>9.2200000000000006</v>
      </c>
      <c r="I87" s="454">
        <f t="shared" si="50"/>
        <v>10.88</v>
      </c>
      <c r="J87" s="454">
        <f t="shared" si="50"/>
        <v>12.2</v>
      </c>
      <c r="K87" s="454">
        <f t="shared" si="50"/>
        <v>13.7</v>
      </c>
      <c r="L87" s="454">
        <f t="shared" si="50"/>
        <v>15.02</v>
      </c>
      <c r="M87" s="454">
        <f t="shared" si="50"/>
        <v>16.77</v>
      </c>
      <c r="N87" s="454">
        <f t="shared" si="50"/>
        <v>18.09</v>
      </c>
      <c r="O87" s="454">
        <f t="shared" si="50"/>
        <v>19.420000000000002</v>
      </c>
      <c r="P87" s="454">
        <f t="shared" si="50"/>
        <v>20.75</v>
      </c>
      <c r="Q87" s="454">
        <f t="shared" si="50"/>
        <v>22.24</v>
      </c>
      <c r="R87" s="454">
        <f t="shared" si="50"/>
        <v>23.65</v>
      </c>
      <c r="S87" s="454">
        <f t="shared" si="50"/>
        <v>24.98</v>
      </c>
      <c r="T87" s="454">
        <f t="shared" si="50"/>
        <v>26.3</v>
      </c>
      <c r="U87" s="454">
        <f t="shared" si="50"/>
        <v>27.8</v>
      </c>
      <c r="V87" s="454">
        <f t="shared" si="50"/>
        <v>29.12</v>
      </c>
      <c r="W87" s="454">
        <f t="shared" si="50"/>
        <v>30.53</v>
      </c>
    </row>
    <row r="88" spans="1:23" x14ac:dyDescent="0.25">
      <c r="A88" s="451"/>
      <c r="B88" s="451"/>
      <c r="C88" s="455" t="s">
        <v>1060</v>
      </c>
      <c r="D88" s="454">
        <f>D24+D26+D30+D33/12*4</f>
        <v>0.83</v>
      </c>
      <c r="E88" s="454">
        <f t="shared" ref="E88:W88" si="51">E24+E26+E30+E33/12*4</f>
        <v>1.65</v>
      </c>
      <c r="F88" s="454">
        <f t="shared" si="51"/>
        <v>2.48</v>
      </c>
      <c r="G88" s="454">
        <f t="shared" si="51"/>
        <v>3.31</v>
      </c>
      <c r="H88" s="454">
        <f t="shared" si="51"/>
        <v>4.13</v>
      </c>
      <c r="I88" s="454">
        <f t="shared" si="51"/>
        <v>4.96</v>
      </c>
      <c r="J88" s="454">
        <f t="shared" si="51"/>
        <v>5.79</v>
      </c>
      <c r="K88" s="454">
        <f t="shared" si="51"/>
        <v>6.61</v>
      </c>
      <c r="L88" s="454">
        <f t="shared" si="51"/>
        <v>7.44</v>
      </c>
      <c r="M88" s="454">
        <f t="shared" si="51"/>
        <v>8.27</v>
      </c>
      <c r="N88" s="454">
        <f t="shared" si="51"/>
        <v>9.09</v>
      </c>
      <c r="O88" s="454">
        <f t="shared" si="51"/>
        <v>9.92</v>
      </c>
      <c r="P88" s="454">
        <f t="shared" si="51"/>
        <v>10.75</v>
      </c>
      <c r="Q88" s="454">
        <f t="shared" si="51"/>
        <v>11.57</v>
      </c>
      <c r="R88" s="454">
        <f t="shared" si="51"/>
        <v>12.4</v>
      </c>
      <c r="S88" s="454">
        <f t="shared" si="51"/>
        <v>13.23</v>
      </c>
      <c r="T88" s="454">
        <f t="shared" si="51"/>
        <v>14.05</v>
      </c>
      <c r="U88" s="454">
        <f t="shared" si="51"/>
        <v>14.88</v>
      </c>
      <c r="V88" s="454">
        <f t="shared" si="51"/>
        <v>15.71</v>
      </c>
      <c r="W88" s="454">
        <f t="shared" si="51"/>
        <v>16.53</v>
      </c>
    </row>
    <row r="89" spans="1:23" x14ac:dyDescent="0.25">
      <c r="A89" s="451"/>
      <c r="B89" s="451"/>
      <c r="C89" s="453" t="s">
        <v>1059</v>
      </c>
      <c r="D89" s="452">
        <f>D38/12*4+D40/0.95*0.25+D41/0.95*0.25+D44/12*4+D45/12*4+D46/12*4+D47/12*4+D48/12*4+D49/12*4+D56</f>
        <v>5.42</v>
      </c>
      <c r="E89" s="452">
        <f t="shared" ref="E89:W89" si="52">E38/12*4+E40/0.95*0.25+E41/0.95*0.25+E44/12*4+E45/12*4+E46/12*4+E47/12*4+E48/12*4+E49/12*4+E56</f>
        <v>5.99</v>
      </c>
      <c r="F89" s="452">
        <f t="shared" si="52"/>
        <v>6.7</v>
      </c>
      <c r="G89" s="452">
        <f t="shared" si="52"/>
        <v>7.1</v>
      </c>
      <c r="H89" s="452">
        <f t="shared" si="52"/>
        <v>7.34</v>
      </c>
      <c r="I89" s="452">
        <f t="shared" si="52"/>
        <v>7.91</v>
      </c>
      <c r="J89" s="452">
        <f t="shared" si="52"/>
        <v>8.2799999999999994</v>
      </c>
      <c r="K89" s="452">
        <f t="shared" si="52"/>
        <v>9.27</v>
      </c>
      <c r="L89" s="452">
        <f t="shared" si="52"/>
        <v>9.51</v>
      </c>
      <c r="M89" s="452">
        <f t="shared" si="52"/>
        <v>9.92</v>
      </c>
      <c r="N89" s="452">
        <f t="shared" si="52"/>
        <v>10.16</v>
      </c>
      <c r="O89" s="452">
        <f t="shared" si="52"/>
        <v>10.56</v>
      </c>
      <c r="P89" s="452">
        <f t="shared" si="52"/>
        <v>11.14</v>
      </c>
      <c r="Q89" s="452">
        <f t="shared" si="52"/>
        <v>11.41</v>
      </c>
      <c r="R89" s="452">
        <f t="shared" si="52"/>
        <v>11.78</v>
      </c>
      <c r="S89" s="452">
        <f t="shared" si="52"/>
        <v>11.89</v>
      </c>
      <c r="T89" s="452">
        <f t="shared" si="52"/>
        <v>12.16</v>
      </c>
      <c r="U89" s="452">
        <f t="shared" si="52"/>
        <v>12.43</v>
      </c>
      <c r="V89" s="452">
        <f t="shared" si="52"/>
        <v>12.54</v>
      </c>
      <c r="W89" s="452">
        <f t="shared" si="52"/>
        <v>12.65</v>
      </c>
    </row>
    <row r="90" spans="1:23" x14ac:dyDescent="0.25">
      <c r="A90" s="451"/>
      <c r="B90" s="451"/>
      <c r="C90" s="453" t="s">
        <v>1058</v>
      </c>
      <c r="D90" s="452">
        <f>D38/12*4+D40/0.95*0.25+D41/0.95*0.25+D44/12*4+D45/12*4+D46/12*4+D47/12*4+D48/12*4+D49/12*4+D55/12*4+D56</f>
        <v>5.46</v>
      </c>
      <c r="E90" s="452">
        <f t="shared" ref="E90:W90" si="53">E38/12*4+E40/0.95*0.25+E41/0.95*0.25+E44/12*4+E45/12*4+E46/12*4+E47/12*4+E48/12*4+E49/12*4+E55/12*4+E56</f>
        <v>6.07</v>
      </c>
      <c r="F90" s="452">
        <f t="shared" si="53"/>
        <v>6.82</v>
      </c>
      <c r="G90" s="452">
        <f t="shared" si="53"/>
        <v>7.27</v>
      </c>
      <c r="H90" s="452">
        <f t="shared" si="53"/>
        <v>7.55</v>
      </c>
      <c r="I90" s="452">
        <f t="shared" si="53"/>
        <v>8.16</v>
      </c>
      <c r="J90" s="452">
        <f t="shared" si="53"/>
        <v>8.58</v>
      </c>
      <c r="K90" s="452">
        <f t="shared" si="53"/>
        <v>9.61</v>
      </c>
      <c r="L90" s="452">
        <f t="shared" si="53"/>
        <v>9.89</v>
      </c>
      <c r="M90" s="452">
        <f t="shared" si="53"/>
        <v>10.33</v>
      </c>
      <c r="N90" s="452">
        <f t="shared" si="53"/>
        <v>10.62</v>
      </c>
      <c r="O90" s="452">
        <f t="shared" si="53"/>
        <v>11.06</v>
      </c>
      <c r="P90" s="452">
        <f t="shared" si="53"/>
        <v>11.68</v>
      </c>
      <c r="Q90" s="452">
        <f t="shared" si="53"/>
        <v>11.99</v>
      </c>
      <c r="R90" s="452">
        <f t="shared" si="53"/>
        <v>12.41</v>
      </c>
      <c r="S90" s="452">
        <f t="shared" si="53"/>
        <v>12.55</v>
      </c>
      <c r="T90" s="452">
        <f t="shared" si="53"/>
        <v>12.87</v>
      </c>
      <c r="U90" s="452">
        <f t="shared" si="53"/>
        <v>13.18</v>
      </c>
      <c r="V90" s="452">
        <f t="shared" si="53"/>
        <v>13.34</v>
      </c>
      <c r="W90" s="452">
        <f t="shared" si="53"/>
        <v>13.48</v>
      </c>
    </row>
    <row r="91" spans="1:23" x14ac:dyDescent="0.25">
      <c r="A91" s="451"/>
      <c r="B91" s="451"/>
      <c r="C91" s="453" t="s">
        <v>1057</v>
      </c>
      <c r="D91" s="452">
        <f>D38/12*4+D40/0.95*0.25+D41/0.95*0.25+D44/12*4+D45/12*4+D46/12*4+D47/12*4+D48/12*4+D49/12*4+D55/12*4+D56</f>
        <v>5.46</v>
      </c>
      <c r="E91" s="452">
        <f t="shared" ref="E91:W91" si="54">E38/12*4+E40/0.95*0.25+E41/0.95*0.25+E44/12*4+E45/12*4+E46/12*4+E47/12*4+E48/12*4+E49/12*4+E55/12*4+E56</f>
        <v>6.07</v>
      </c>
      <c r="F91" s="452">
        <f t="shared" si="54"/>
        <v>6.82</v>
      </c>
      <c r="G91" s="452">
        <f t="shared" si="54"/>
        <v>7.27</v>
      </c>
      <c r="H91" s="452">
        <f t="shared" si="54"/>
        <v>7.55</v>
      </c>
      <c r="I91" s="452">
        <f t="shared" si="54"/>
        <v>8.16</v>
      </c>
      <c r="J91" s="452">
        <f t="shared" si="54"/>
        <v>8.58</v>
      </c>
      <c r="K91" s="452">
        <f t="shared" si="54"/>
        <v>9.61</v>
      </c>
      <c r="L91" s="452">
        <f t="shared" si="54"/>
        <v>9.89</v>
      </c>
      <c r="M91" s="452">
        <f t="shared" si="54"/>
        <v>10.33</v>
      </c>
      <c r="N91" s="452">
        <f t="shared" si="54"/>
        <v>10.62</v>
      </c>
      <c r="O91" s="452">
        <f t="shared" si="54"/>
        <v>11.06</v>
      </c>
      <c r="P91" s="452">
        <f t="shared" si="54"/>
        <v>11.68</v>
      </c>
      <c r="Q91" s="452">
        <f t="shared" si="54"/>
        <v>11.99</v>
      </c>
      <c r="R91" s="452">
        <f t="shared" si="54"/>
        <v>12.41</v>
      </c>
      <c r="S91" s="452">
        <f t="shared" si="54"/>
        <v>12.55</v>
      </c>
      <c r="T91" s="452">
        <f t="shared" si="54"/>
        <v>12.87</v>
      </c>
      <c r="U91" s="452">
        <f t="shared" si="54"/>
        <v>13.18</v>
      </c>
      <c r="V91" s="452">
        <f t="shared" si="54"/>
        <v>13.34</v>
      </c>
      <c r="W91" s="452">
        <f t="shared" si="54"/>
        <v>13.48</v>
      </c>
    </row>
    <row r="92" spans="1:23" x14ac:dyDescent="0.25">
      <c r="A92" s="451"/>
      <c r="B92" s="451"/>
      <c r="C92" s="453" t="s">
        <v>1056</v>
      </c>
      <c r="D92" s="452">
        <f>D39/12*4+D40/0.95*0.25+D41/0.95*0.25+D44/12*4+D45/12*4+D46/12*4+D47/12*4+D48/12*4+D49/12*4</f>
        <v>0.84</v>
      </c>
      <c r="E92" s="452">
        <f t="shared" ref="E92:W92" si="55">E39/12*4+E40/0.95*0.25+E41/0.95*0.25+E44/12*4+E45/12*4+E46/12*4+E47/12*4+E48/12*4+E49/12*4</f>
        <v>1.41</v>
      </c>
      <c r="F92" s="452">
        <f t="shared" si="55"/>
        <v>2.11</v>
      </c>
      <c r="G92" s="452">
        <f t="shared" si="55"/>
        <v>2.6</v>
      </c>
      <c r="H92" s="452">
        <f t="shared" si="55"/>
        <v>2.92</v>
      </c>
      <c r="I92" s="452">
        <f t="shared" si="55"/>
        <v>3.58</v>
      </c>
      <c r="J92" s="452">
        <f t="shared" si="55"/>
        <v>4.03</v>
      </c>
      <c r="K92" s="452">
        <f t="shared" si="55"/>
        <v>4.9400000000000004</v>
      </c>
      <c r="L92" s="452">
        <f t="shared" si="55"/>
        <v>5.26</v>
      </c>
      <c r="M92" s="452">
        <f t="shared" si="55"/>
        <v>5.75</v>
      </c>
      <c r="N92" s="452">
        <f t="shared" si="55"/>
        <v>6.07</v>
      </c>
      <c r="O92" s="452">
        <f t="shared" si="55"/>
        <v>6.56</v>
      </c>
      <c r="P92" s="452">
        <f t="shared" si="55"/>
        <v>7.05</v>
      </c>
      <c r="Q92" s="452">
        <f t="shared" si="55"/>
        <v>7.41</v>
      </c>
      <c r="R92" s="452">
        <f t="shared" si="55"/>
        <v>7.86</v>
      </c>
      <c r="S92" s="452">
        <f t="shared" si="55"/>
        <v>8.0500000000000007</v>
      </c>
      <c r="T92" s="452">
        <f t="shared" si="55"/>
        <v>8.25</v>
      </c>
      <c r="U92" s="452">
        <f t="shared" si="55"/>
        <v>8.6</v>
      </c>
      <c r="V92" s="452">
        <f t="shared" si="55"/>
        <v>8.7899999999999991</v>
      </c>
      <c r="W92" s="452">
        <f t="shared" si="55"/>
        <v>8.98</v>
      </c>
    </row>
    <row r="93" spans="1:23" x14ac:dyDescent="0.25">
      <c r="D93" s="457"/>
      <c r="E93" s="457"/>
      <c r="F93" s="457"/>
      <c r="G93" s="457"/>
      <c r="H93" s="457"/>
      <c r="I93" s="457"/>
      <c r="J93" s="457"/>
      <c r="K93" s="457"/>
      <c r="L93" s="457"/>
      <c r="M93" s="457"/>
      <c r="N93" s="457"/>
      <c r="O93" s="457"/>
      <c r="P93" s="457"/>
      <c r="Q93" s="457"/>
      <c r="R93" s="457"/>
      <c r="S93" s="457"/>
      <c r="T93" s="457"/>
      <c r="U93" s="457"/>
      <c r="V93" s="457"/>
      <c r="W93" s="457"/>
    </row>
    <row r="94" spans="1:23" x14ac:dyDescent="0.25">
      <c r="C94" s="458" t="s">
        <v>1069</v>
      </c>
      <c r="D94" s="457"/>
      <c r="E94" s="457"/>
      <c r="F94" s="457"/>
      <c r="G94" s="457"/>
      <c r="H94" s="457"/>
      <c r="I94" s="457"/>
      <c r="J94" s="457"/>
      <c r="K94" s="457"/>
      <c r="L94" s="457"/>
      <c r="M94" s="457"/>
      <c r="N94" s="457"/>
      <c r="O94" s="457"/>
      <c r="P94" s="457"/>
      <c r="Q94" s="457"/>
      <c r="R94" s="457"/>
      <c r="S94" s="457"/>
      <c r="T94" s="457"/>
      <c r="U94" s="457"/>
      <c r="V94" s="457"/>
      <c r="W94" s="457"/>
    </row>
    <row r="95" spans="1:23" x14ac:dyDescent="0.25">
      <c r="A95" s="451"/>
      <c r="B95" s="451"/>
      <c r="C95" s="456" t="s">
        <v>1068</v>
      </c>
      <c r="D95" s="448">
        <f t="shared" ref="D95:W95" si="56">D99+D107</f>
        <v>11.96</v>
      </c>
      <c r="E95" s="448">
        <f t="shared" si="56"/>
        <v>16.3</v>
      </c>
      <c r="F95" s="448">
        <f t="shared" si="56"/>
        <v>20.66</v>
      </c>
      <c r="G95" s="448">
        <f t="shared" si="56"/>
        <v>25</v>
      </c>
      <c r="H95" s="448">
        <f t="shared" si="56"/>
        <v>28.42</v>
      </c>
      <c r="I95" s="448">
        <f t="shared" si="56"/>
        <v>33.630000000000003</v>
      </c>
      <c r="J95" s="448">
        <f t="shared" si="56"/>
        <v>37.25</v>
      </c>
      <c r="K95" s="448">
        <f t="shared" si="56"/>
        <v>42.53</v>
      </c>
      <c r="L95" s="448">
        <f t="shared" si="56"/>
        <v>45.76</v>
      </c>
      <c r="M95" s="448">
        <f t="shared" si="56"/>
        <v>50.27</v>
      </c>
      <c r="N95" s="448">
        <f t="shared" si="56"/>
        <v>53.5</v>
      </c>
      <c r="O95" s="448">
        <f t="shared" si="56"/>
        <v>57.34</v>
      </c>
      <c r="P95" s="448">
        <f t="shared" si="56"/>
        <v>61.32</v>
      </c>
      <c r="Q95" s="448">
        <f t="shared" si="56"/>
        <v>64.89</v>
      </c>
      <c r="R95" s="448">
        <f t="shared" si="56"/>
        <v>68.7</v>
      </c>
      <c r="S95" s="448">
        <f t="shared" si="56"/>
        <v>71.760000000000005</v>
      </c>
      <c r="T95" s="448">
        <f t="shared" si="56"/>
        <v>74.97</v>
      </c>
      <c r="U95" s="448">
        <f t="shared" si="56"/>
        <v>78.540000000000006</v>
      </c>
      <c r="V95" s="448">
        <f t="shared" si="56"/>
        <v>81.37</v>
      </c>
      <c r="W95" s="448">
        <f t="shared" si="56"/>
        <v>84.38</v>
      </c>
    </row>
    <row r="96" spans="1:23" x14ac:dyDescent="0.25">
      <c r="A96" s="451"/>
      <c r="B96" s="451"/>
      <c r="C96" s="456" t="s">
        <v>1067</v>
      </c>
      <c r="D96" s="448">
        <f t="shared" ref="D96:W96" si="57">D101+D108</f>
        <v>12.39</v>
      </c>
      <c r="E96" s="448">
        <f t="shared" si="57"/>
        <v>16.920000000000002</v>
      </c>
      <c r="F96" s="448">
        <f t="shared" si="57"/>
        <v>21.49</v>
      </c>
      <c r="G96" s="448">
        <f t="shared" si="57"/>
        <v>26</v>
      </c>
      <c r="H96" s="448">
        <f t="shared" si="57"/>
        <v>29.61</v>
      </c>
      <c r="I96" s="448">
        <f t="shared" si="57"/>
        <v>35</v>
      </c>
      <c r="J96" s="448">
        <f t="shared" si="57"/>
        <v>38.82</v>
      </c>
      <c r="K96" s="448">
        <f t="shared" si="57"/>
        <v>44.28</v>
      </c>
      <c r="L96" s="448">
        <f t="shared" si="57"/>
        <v>47.69</v>
      </c>
      <c r="M96" s="448">
        <f t="shared" si="57"/>
        <v>52.4</v>
      </c>
      <c r="N96" s="448">
        <f t="shared" si="57"/>
        <v>55.83</v>
      </c>
      <c r="O96" s="448">
        <f t="shared" si="57"/>
        <v>59.59</v>
      </c>
      <c r="P96" s="448">
        <f t="shared" si="57"/>
        <v>63.76</v>
      </c>
      <c r="Q96" s="448">
        <f t="shared" si="57"/>
        <v>67.510000000000005</v>
      </c>
      <c r="R96" s="448">
        <f t="shared" si="57"/>
        <v>71.52</v>
      </c>
      <c r="S96" s="448">
        <f t="shared" si="57"/>
        <v>74.760000000000005</v>
      </c>
      <c r="T96" s="448">
        <f t="shared" si="57"/>
        <v>78.17</v>
      </c>
      <c r="U96" s="448">
        <f t="shared" si="57"/>
        <v>81.91</v>
      </c>
      <c r="V96" s="448">
        <f t="shared" si="57"/>
        <v>84.94</v>
      </c>
      <c r="W96" s="448">
        <f t="shared" si="57"/>
        <v>88.12</v>
      </c>
    </row>
    <row r="97" spans="1:23" x14ac:dyDescent="0.25">
      <c r="A97" s="451"/>
      <c r="B97" s="451"/>
      <c r="C97" s="456" t="s">
        <v>1066</v>
      </c>
      <c r="D97" s="448">
        <f t="shared" ref="D97:W97" si="58">D103+D109</f>
        <v>13.59</v>
      </c>
      <c r="E97" s="448">
        <f t="shared" si="58"/>
        <v>19.329999999999998</v>
      </c>
      <c r="F97" s="448">
        <f t="shared" si="58"/>
        <v>25.09</v>
      </c>
      <c r="G97" s="448">
        <f t="shared" si="58"/>
        <v>30.82</v>
      </c>
      <c r="H97" s="448">
        <f t="shared" si="58"/>
        <v>35.630000000000003</v>
      </c>
      <c r="I97" s="448">
        <f t="shared" si="58"/>
        <v>42.22</v>
      </c>
      <c r="J97" s="448">
        <f t="shared" si="58"/>
        <v>47.24</v>
      </c>
      <c r="K97" s="448">
        <f t="shared" si="58"/>
        <v>53.91</v>
      </c>
      <c r="L97" s="448">
        <f t="shared" si="58"/>
        <v>58.52</v>
      </c>
      <c r="M97" s="448">
        <f t="shared" si="58"/>
        <v>64.44</v>
      </c>
      <c r="N97" s="448">
        <f t="shared" si="58"/>
        <v>69.069999999999993</v>
      </c>
      <c r="O97" s="448">
        <f t="shared" si="58"/>
        <v>74.03</v>
      </c>
      <c r="P97" s="448">
        <f t="shared" si="58"/>
        <v>79.400000000000006</v>
      </c>
      <c r="Q97" s="448">
        <f t="shared" si="58"/>
        <v>84.36</v>
      </c>
      <c r="R97" s="448">
        <f t="shared" si="58"/>
        <v>89.57</v>
      </c>
      <c r="S97" s="448">
        <f t="shared" si="58"/>
        <v>94.02</v>
      </c>
      <c r="T97" s="448">
        <f t="shared" si="58"/>
        <v>98.63</v>
      </c>
      <c r="U97" s="448">
        <f t="shared" si="58"/>
        <v>103.58</v>
      </c>
      <c r="V97" s="448">
        <f t="shared" si="58"/>
        <v>107.81</v>
      </c>
      <c r="W97" s="448">
        <f t="shared" si="58"/>
        <v>112.2</v>
      </c>
    </row>
    <row r="98" spans="1:23" x14ac:dyDescent="0.25">
      <c r="A98" s="451"/>
      <c r="B98" s="451"/>
      <c r="C98" s="456" t="s">
        <v>1065</v>
      </c>
      <c r="D98" s="448">
        <f t="shared" ref="D98:W98" si="59">D105+D110</f>
        <v>6.08</v>
      </c>
      <c r="E98" s="448">
        <f t="shared" si="59"/>
        <v>10.199999999999999</v>
      </c>
      <c r="F98" s="448">
        <f t="shared" si="59"/>
        <v>14.11</v>
      </c>
      <c r="G98" s="448">
        <f t="shared" si="59"/>
        <v>18.41</v>
      </c>
      <c r="H98" s="448">
        <f t="shared" si="59"/>
        <v>21.78</v>
      </c>
      <c r="I98" s="448">
        <f t="shared" si="59"/>
        <v>26.45</v>
      </c>
      <c r="J98" s="448">
        <f t="shared" si="59"/>
        <v>29.81</v>
      </c>
      <c r="K98" s="448">
        <f t="shared" si="59"/>
        <v>34.67</v>
      </c>
      <c r="L98" s="448">
        <f t="shared" si="59"/>
        <v>37.85</v>
      </c>
      <c r="M98" s="448">
        <f t="shared" si="59"/>
        <v>42.35</v>
      </c>
      <c r="N98" s="448">
        <f t="shared" si="59"/>
        <v>45.53</v>
      </c>
      <c r="O98" s="448">
        <f t="shared" si="59"/>
        <v>49.09</v>
      </c>
      <c r="P98" s="448">
        <f t="shared" si="59"/>
        <v>52.64</v>
      </c>
      <c r="Q98" s="448">
        <f t="shared" si="59"/>
        <v>56.4</v>
      </c>
      <c r="R98" s="448">
        <f t="shared" si="59"/>
        <v>59.93</v>
      </c>
      <c r="S98" s="448">
        <f t="shared" si="59"/>
        <v>62.95</v>
      </c>
      <c r="T98" s="448">
        <f t="shared" si="59"/>
        <v>65.959999999999994</v>
      </c>
      <c r="U98" s="448">
        <f t="shared" si="59"/>
        <v>69.72</v>
      </c>
      <c r="V98" s="448">
        <f t="shared" si="59"/>
        <v>72.739999999999995</v>
      </c>
      <c r="W98" s="448">
        <f t="shared" si="59"/>
        <v>75.94</v>
      </c>
    </row>
    <row r="99" spans="1:23" x14ac:dyDescent="0.25">
      <c r="A99" s="451"/>
      <c r="B99" s="451"/>
      <c r="C99" s="455" t="s">
        <v>1064</v>
      </c>
      <c r="D99" s="454">
        <f>D12+D13/12*9+D14+D15/12*9+D16/12*9+D17/12*9+D18/12*9+D19/12*9+D20+D21+D23/12*9+D25/12*9+D29/12*9+D31/12*9+D35/12*9</f>
        <v>5.04</v>
      </c>
      <c r="E99" s="454">
        <f t="shared" ref="E99:W99" si="60">E12+E13/12*9+E14+E15/12*9+E16/12*9+E17/12*9+E18/12*9+E19/12*9+E20+E21+E23/12*9+E25/12*9+E29/12*9+E31/12*9+E35/12*9</f>
        <v>7.95</v>
      </c>
      <c r="F99" s="454">
        <f t="shared" si="60"/>
        <v>10.48</v>
      </c>
      <c r="G99" s="454">
        <f t="shared" si="60"/>
        <v>13.76</v>
      </c>
      <c r="H99" s="454">
        <f t="shared" si="60"/>
        <v>16.489999999999998</v>
      </c>
      <c r="I99" s="454">
        <f t="shared" si="60"/>
        <v>20.27</v>
      </c>
      <c r="J99" s="454">
        <f t="shared" si="60"/>
        <v>22.8</v>
      </c>
      <c r="K99" s="454">
        <f t="shared" si="60"/>
        <v>25.71</v>
      </c>
      <c r="L99" s="454">
        <f t="shared" si="60"/>
        <v>28.25</v>
      </c>
      <c r="M99" s="454">
        <f t="shared" si="60"/>
        <v>31.71</v>
      </c>
      <c r="N99" s="454">
        <f t="shared" si="60"/>
        <v>34.25</v>
      </c>
      <c r="O99" s="454">
        <f t="shared" si="60"/>
        <v>37.03</v>
      </c>
      <c r="P99" s="454">
        <f t="shared" si="60"/>
        <v>39.57</v>
      </c>
      <c r="Q99" s="454">
        <f t="shared" si="60"/>
        <v>42.48</v>
      </c>
      <c r="R99" s="454">
        <f t="shared" si="60"/>
        <v>45.2</v>
      </c>
      <c r="S99" s="454">
        <f t="shared" si="60"/>
        <v>47.98</v>
      </c>
      <c r="T99" s="454">
        <f t="shared" si="60"/>
        <v>50.52</v>
      </c>
      <c r="U99" s="454">
        <f t="shared" si="60"/>
        <v>53.42</v>
      </c>
      <c r="V99" s="454">
        <f t="shared" si="60"/>
        <v>55.96</v>
      </c>
      <c r="W99" s="454">
        <f t="shared" si="60"/>
        <v>58.68</v>
      </c>
    </row>
    <row r="100" spans="1:23" x14ac:dyDescent="0.25">
      <c r="A100" s="451"/>
      <c r="B100" s="451"/>
      <c r="C100" s="455" t="s">
        <v>1060</v>
      </c>
      <c r="D100" s="454">
        <f>D23/12*9+D25/12*9+D29/12*9+D31/12*9</f>
        <v>1.6</v>
      </c>
      <c r="E100" s="454">
        <f t="shared" ref="E100:W100" si="61">E23/12*9+E25/12*9+E29/12*9+E31/12*9</f>
        <v>3.2</v>
      </c>
      <c r="F100" s="454">
        <f t="shared" si="61"/>
        <v>4.79</v>
      </c>
      <c r="G100" s="454">
        <f t="shared" si="61"/>
        <v>6.38</v>
      </c>
      <c r="H100" s="454">
        <f t="shared" si="61"/>
        <v>7.99</v>
      </c>
      <c r="I100" s="454">
        <f t="shared" si="61"/>
        <v>9.58</v>
      </c>
      <c r="J100" s="454">
        <f t="shared" si="61"/>
        <v>11.18</v>
      </c>
      <c r="K100" s="454">
        <f t="shared" si="61"/>
        <v>12.77</v>
      </c>
      <c r="L100" s="454">
        <f t="shared" si="61"/>
        <v>14.37</v>
      </c>
      <c r="M100" s="454">
        <f t="shared" si="61"/>
        <v>15.96</v>
      </c>
      <c r="N100" s="454">
        <f t="shared" si="61"/>
        <v>17.57</v>
      </c>
      <c r="O100" s="454">
        <f t="shared" si="61"/>
        <v>19.16</v>
      </c>
      <c r="P100" s="454">
        <f t="shared" si="61"/>
        <v>20.75</v>
      </c>
      <c r="Q100" s="454">
        <f t="shared" si="61"/>
        <v>22.35</v>
      </c>
      <c r="R100" s="454">
        <f t="shared" si="61"/>
        <v>23.95</v>
      </c>
      <c r="S100" s="454">
        <f t="shared" si="61"/>
        <v>25.54</v>
      </c>
      <c r="T100" s="454">
        <f t="shared" si="61"/>
        <v>27.14</v>
      </c>
      <c r="U100" s="454">
        <f t="shared" si="61"/>
        <v>28.73</v>
      </c>
      <c r="V100" s="454">
        <f t="shared" si="61"/>
        <v>30.33</v>
      </c>
      <c r="W100" s="454">
        <f t="shared" si="61"/>
        <v>31.93</v>
      </c>
    </row>
    <row r="101" spans="1:23" x14ac:dyDescent="0.25">
      <c r="A101" s="451"/>
      <c r="B101" s="451"/>
      <c r="C101" s="455" t="s">
        <v>1063</v>
      </c>
      <c r="D101" s="454">
        <f>D12+D13/12*9+D14/12*9+D15/12*9+D16+D17/12*9+D18/12*9+D19/12*9+D20+D21+D23/12*9+D25/12*9+D28/12*9+D29/12*9+D31/12*9+D35/12*9</f>
        <v>5.38</v>
      </c>
      <c r="E101" s="454">
        <f t="shared" ref="E101:W101" si="62">E12+E13/12*9+E14/12*9+E15/12*9+E16+E17/12*9+E18/12*9+E19/12*9+E20+E21+E23/12*9+E25/12*9+E28/12*9+E29/12*9+E31/12*9+E35/12*9</f>
        <v>8.3800000000000008</v>
      </c>
      <c r="F101" s="454">
        <f t="shared" si="62"/>
        <v>11.02</v>
      </c>
      <c r="G101" s="454">
        <f t="shared" si="62"/>
        <v>14.38</v>
      </c>
      <c r="H101" s="454">
        <f t="shared" si="62"/>
        <v>17.21</v>
      </c>
      <c r="I101" s="454">
        <f t="shared" si="62"/>
        <v>21.08</v>
      </c>
      <c r="J101" s="454">
        <f t="shared" si="62"/>
        <v>23.71</v>
      </c>
      <c r="K101" s="454">
        <f t="shared" si="62"/>
        <v>26.71</v>
      </c>
      <c r="L101" s="454">
        <f t="shared" si="62"/>
        <v>29.34</v>
      </c>
      <c r="M101" s="454">
        <f t="shared" si="62"/>
        <v>32.9</v>
      </c>
      <c r="N101" s="454">
        <f t="shared" si="62"/>
        <v>35.54</v>
      </c>
      <c r="O101" s="454">
        <f t="shared" si="62"/>
        <v>38.159999999999997</v>
      </c>
      <c r="P101" s="454">
        <f t="shared" si="62"/>
        <v>40.79</v>
      </c>
      <c r="Q101" s="454">
        <f t="shared" si="62"/>
        <v>43.79</v>
      </c>
      <c r="R101" s="454">
        <f t="shared" si="62"/>
        <v>46.61</v>
      </c>
      <c r="S101" s="454">
        <f t="shared" si="62"/>
        <v>49.48</v>
      </c>
      <c r="T101" s="454">
        <f t="shared" si="62"/>
        <v>52.12</v>
      </c>
      <c r="U101" s="454">
        <f t="shared" si="62"/>
        <v>55.11</v>
      </c>
      <c r="V101" s="454">
        <f t="shared" si="62"/>
        <v>57.74</v>
      </c>
      <c r="W101" s="454">
        <f t="shared" si="62"/>
        <v>60.55</v>
      </c>
    </row>
    <row r="102" spans="1:23" x14ac:dyDescent="0.25">
      <c r="A102" s="451"/>
      <c r="B102" s="451"/>
      <c r="C102" s="455" t="s">
        <v>1060</v>
      </c>
      <c r="D102" s="454">
        <f>D23/12*9+D25/12*9+D28/12*9+D29/12*9+D31/12*9</f>
        <v>1.7</v>
      </c>
      <c r="E102" s="454">
        <f t="shared" ref="E102:W102" si="63">E23/12*9+E25/12*9+E28/12*9+E29/12*9+E31/12*9</f>
        <v>3.38</v>
      </c>
      <c r="F102" s="454">
        <f t="shared" si="63"/>
        <v>5.08</v>
      </c>
      <c r="G102" s="454">
        <f t="shared" si="63"/>
        <v>6.76</v>
      </c>
      <c r="H102" s="454">
        <f t="shared" si="63"/>
        <v>8.4600000000000009</v>
      </c>
      <c r="I102" s="454">
        <f t="shared" si="63"/>
        <v>10.14</v>
      </c>
      <c r="J102" s="454">
        <f t="shared" si="63"/>
        <v>11.84</v>
      </c>
      <c r="K102" s="454">
        <f t="shared" si="63"/>
        <v>13.52</v>
      </c>
      <c r="L102" s="454">
        <f t="shared" si="63"/>
        <v>15.22</v>
      </c>
      <c r="M102" s="454">
        <f t="shared" si="63"/>
        <v>16.899999999999999</v>
      </c>
      <c r="N102" s="454">
        <f t="shared" si="63"/>
        <v>18.600000000000001</v>
      </c>
      <c r="O102" s="454">
        <f t="shared" si="63"/>
        <v>20.28</v>
      </c>
      <c r="P102" s="454">
        <f t="shared" si="63"/>
        <v>21.98</v>
      </c>
      <c r="Q102" s="454">
        <f t="shared" si="63"/>
        <v>23.66</v>
      </c>
      <c r="R102" s="454">
        <f t="shared" si="63"/>
        <v>25.36</v>
      </c>
      <c r="S102" s="454">
        <f t="shared" si="63"/>
        <v>27.04</v>
      </c>
      <c r="T102" s="454">
        <f t="shared" si="63"/>
        <v>28.74</v>
      </c>
      <c r="U102" s="454">
        <f t="shared" si="63"/>
        <v>30.42</v>
      </c>
      <c r="V102" s="454">
        <f t="shared" si="63"/>
        <v>32.119999999999997</v>
      </c>
      <c r="W102" s="454">
        <f t="shared" si="63"/>
        <v>33.799999999999997</v>
      </c>
    </row>
    <row r="103" spans="1:23" x14ac:dyDescent="0.25">
      <c r="A103" s="451"/>
      <c r="B103" s="451"/>
      <c r="C103" s="455" t="s">
        <v>1062</v>
      </c>
      <c r="D103" s="454">
        <f>D12+D13/12*9+D14/12*9+D15/12*9+D16+D17/12*9+D18/12*9+D19/12*9+D20+D21+D23/12*9+D25/12*9+D27/12*9+D29/12*9+D32/12*9+D35/12*9</f>
        <v>6.58</v>
      </c>
      <c r="E103" s="454">
        <f t="shared" ref="E103:W103" si="64">E12+E13/12*9+E14/12*9+E15/12*9+E16+E17/12*9+E18/12*9+E19/12*9+E20+E21+E23/12*9+E25/12*9+E27/12*9+E29/12*9+E32/12*9+E35/12*9</f>
        <v>10.79</v>
      </c>
      <c r="F103" s="454">
        <f t="shared" si="64"/>
        <v>14.62</v>
      </c>
      <c r="G103" s="454">
        <f t="shared" si="64"/>
        <v>19.2</v>
      </c>
      <c r="H103" s="454">
        <f t="shared" si="64"/>
        <v>23.23</v>
      </c>
      <c r="I103" s="454">
        <f t="shared" si="64"/>
        <v>28.3</v>
      </c>
      <c r="J103" s="454">
        <f t="shared" si="64"/>
        <v>32.130000000000003</v>
      </c>
      <c r="K103" s="454">
        <f t="shared" si="64"/>
        <v>36.340000000000003</v>
      </c>
      <c r="L103" s="454">
        <f t="shared" si="64"/>
        <v>40.17</v>
      </c>
      <c r="M103" s="454">
        <f t="shared" si="64"/>
        <v>44.94</v>
      </c>
      <c r="N103" s="454">
        <f t="shared" si="64"/>
        <v>48.78</v>
      </c>
      <c r="O103" s="454">
        <f t="shared" si="64"/>
        <v>52.6</v>
      </c>
      <c r="P103" s="454">
        <f t="shared" si="64"/>
        <v>56.43</v>
      </c>
      <c r="Q103" s="454">
        <f t="shared" si="64"/>
        <v>60.64</v>
      </c>
      <c r="R103" s="454">
        <f t="shared" si="64"/>
        <v>64.66</v>
      </c>
      <c r="S103" s="454">
        <f t="shared" si="64"/>
        <v>68.739999999999995</v>
      </c>
      <c r="T103" s="454">
        <f t="shared" si="64"/>
        <v>72.58</v>
      </c>
      <c r="U103" s="454">
        <f t="shared" si="64"/>
        <v>76.78</v>
      </c>
      <c r="V103" s="454">
        <f t="shared" si="64"/>
        <v>80.61</v>
      </c>
      <c r="W103" s="454">
        <f t="shared" si="64"/>
        <v>84.63</v>
      </c>
    </row>
    <row r="104" spans="1:23" x14ac:dyDescent="0.25">
      <c r="A104" s="451"/>
      <c r="B104" s="451"/>
      <c r="C104" s="455" t="s">
        <v>1060</v>
      </c>
      <c r="D104" s="454">
        <f>D23/12*9+D25/12*9+D27/12*9+D29/12*9+D32/12*9</f>
        <v>2.9</v>
      </c>
      <c r="E104" s="454">
        <f t="shared" ref="E104:W104" si="65">E23/12*9+E25/12*9+E27/12*9+E29/12*9+E32/12*9</f>
        <v>5.79</v>
      </c>
      <c r="F104" s="454">
        <f t="shared" si="65"/>
        <v>8.69</v>
      </c>
      <c r="G104" s="454">
        <f t="shared" si="65"/>
        <v>11.57</v>
      </c>
      <c r="H104" s="454">
        <f t="shared" si="65"/>
        <v>14.48</v>
      </c>
      <c r="I104" s="454">
        <f t="shared" si="65"/>
        <v>17.36</v>
      </c>
      <c r="J104" s="454">
        <f t="shared" si="65"/>
        <v>20.260000000000002</v>
      </c>
      <c r="K104" s="454">
        <f t="shared" si="65"/>
        <v>23.15</v>
      </c>
      <c r="L104" s="454">
        <f t="shared" si="65"/>
        <v>26.05</v>
      </c>
      <c r="M104" s="454">
        <f t="shared" si="65"/>
        <v>28.94</v>
      </c>
      <c r="N104" s="454">
        <f t="shared" si="65"/>
        <v>31.84</v>
      </c>
      <c r="O104" s="454">
        <f t="shared" si="65"/>
        <v>34.729999999999997</v>
      </c>
      <c r="P104" s="454">
        <f t="shared" si="65"/>
        <v>37.619999999999997</v>
      </c>
      <c r="Q104" s="454">
        <f t="shared" si="65"/>
        <v>40.520000000000003</v>
      </c>
      <c r="R104" s="454">
        <f t="shared" si="65"/>
        <v>43.41</v>
      </c>
      <c r="S104" s="454">
        <f t="shared" si="65"/>
        <v>46.3</v>
      </c>
      <c r="T104" s="454">
        <f t="shared" si="65"/>
        <v>49.2</v>
      </c>
      <c r="U104" s="454">
        <f t="shared" si="65"/>
        <v>52.09</v>
      </c>
      <c r="V104" s="454">
        <f t="shared" si="65"/>
        <v>54.98</v>
      </c>
      <c r="W104" s="454">
        <f t="shared" si="65"/>
        <v>57.88</v>
      </c>
    </row>
    <row r="105" spans="1:23" x14ac:dyDescent="0.25">
      <c r="A105" s="451"/>
      <c r="B105" s="451"/>
      <c r="C105" s="455" t="s">
        <v>1061</v>
      </c>
      <c r="D105" s="454">
        <f>D12+D13/12*9+D14/12*9+D15/12*9+D16+D17/12*9+D18/12*9+D19/12*9+D24+D26+D30+D33/12*9+D36/12*9</f>
        <v>4.54</v>
      </c>
      <c r="E105" s="454">
        <f t="shared" ref="E105:W105" si="66">E12+E13/12*9+E14/12*9+E15/12*9+E16+E17/12*9+E18/12*9+E19/12*9+E24+E26+E30+E33/12*9+E36/12*9</f>
        <v>7.45</v>
      </c>
      <c r="F105" s="454">
        <f t="shared" si="66"/>
        <v>9.98</v>
      </c>
      <c r="G105" s="454">
        <f t="shared" si="66"/>
        <v>13.27</v>
      </c>
      <c r="H105" s="454">
        <f t="shared" si="66"/>
        <v>15.99</v>
      </c>
      <c r="I105" s="454">
        <f t="shared" si="66"/>
        <v>19.27</v>
      </c>
      <c r="J105" s="454">
        <f t="shared" si="66"/>
        <v>21.81</v>
      </c>
      <c r="K105" s="454">
        <f t="shared" si="66"/>
        <v>24.72</v>
      </c>
      <c r="L105" s="454">
        <f t="shared" si="66"/>
        <v>27.25</v>
      </c>
      <c r="M105" s="454">
        <f t="shared" si="66"/>
        <v>30.73</v>
      </c>
      <c r="N105" s="454">
        <f t="shared" si="66"/>
        <v>33.26</v>
      </c>
      <c r="O105" s="454">
        <f t="shared" si="66"/>
        <v>35.799999999999997</v>
      </c>
      <c r="P105" s="454">
        <f t="shared" si="66"/>
        <v>38.33</v>
      </c>
      <c r="Q105" s="454">
        <f t="shared" si="66"/>
        <v>41.24</v>
      </c>
      <c r="R105" s="454">
        <f t="shared" si="66"/>
        <v>43.96</v>
      </c>
      <c r="S105" s="454">
        <f t="shared" si="66"/>
        <v>46.5</v>
      </c>
      <c r="T105" s="454">
        <f t="shared" si="66"/>
        <v>49.03</v>
      </c>
      <c r="U105" s="454">
        <f t="shared" si="66"/>
        <v>51.94</v>
      </c>
      <c r="V105" s="454">
        <f t="shared" si="66"/>
        <v>54.48</v>
      </c>
      <c r="W105" s="454">
        <f t="shared" si="66"/>
        <v>57.2</v>
      </c>
    </row>
    <row r="106" spans="1:23" x14ac:dyDescent="0.25">
      <c r="A106" s="451"/>
      <c r="B106" s="451"/>
      <c r="C106" s="455" t="s">
        <v>1060</v>
      </c>
      <c r="D106" s="454">
        <f>D24+D26+D30+D33/12*9</f>
        <v>1.41</v>
      </c>
      <c r="E106" s="454">
        <f t="shared" ref="E106:W106" si="67">E24+E26+E30+E33/12*9</f>
        <v>2.82</v>
      </c>
      <c r="F106" s="454">
        <f t="shared" si="67"/>
        <v>4.2300000000000004</v>
      </c>
      <c r="G106" s="454">
        <f t="shared" si="67"/>
        <v>5.64</v>
      </c>
      <c r="H106" s="454">
        <f t="shared" si="67"/>
        <v>7.05</v>
      </c>
      <c r="I106" s="454">
        <f t="shared" si="67"/>
        <v>8.4600000000000009</v>
      </c>
      <c r="J106" s="454">
        <f t="shared" si="67"/>
        <v>9.8699999999999992</v>
      </c>
      <c r="K106" s="454">
        <f t="shared" si="67"/>
        <v>11.28</v>
      </c>
      <c r="L106" s="454">
        <f t="shared" si="67"/>
        <v>12.69</v>
      </c>
      <c r="M106" s="454">
        <f t="shared" si="67"/>
        <v>14.1</v>
      </c>
      <c r="N106" s="454">
        <f t="shared" si="67"/>
        <v>15.51</v>
      </c>
      <c r="O106" s="454">
        <f t="shared" si="67"/>
        <v>16.920000000000002</v>
      </c>
      <c r="P106" s="454">
        <f t="shared" si="67"/>
        <v>18.329999999999998</v>
      </c>
      <c r="Q106" s="454">
        <f t="shared" si="67"/>
        <v>19.739999999999998</v>
      </c>
      <c r="R106" s="454">
        <f t="shared" si="67"/>
        <v>21.15</v>
      </c>
      <c r="S106" s="454">
        <f t="shared" si="67"/>
        <v>22.56</v>
      </c>
      <c r="T106" s="454">
        <f t="shared" si="67"/>
        <v>23.97</v>
      </c>
      <c r="U106" s="454">
        <f t="shared" si="67"/>
        <v>25.38</v>
      </c>
      <c r="V106" s="454">
        <f t="shared" si="67"/>
        <v>26.79</v>
      </c>
      <c r="W106" s="454">
        <f t="shared" si="67"/>
        <v>28.2</v>
      </c>
    </row>
    <row r="107" spans="1:23" x14ac:dyDescent="0.25">
      <c r="A107" s="451"/>
      <c r="B107" s="451"/>
      <c r="C107" s="453" t="s">
        <v>1059</v>
      </c>
      <c r="D107" s="452">
        <f>D38/12*9+D40/0.95*0.75+D41/0.95*0.75+D44/12*9+D45/12*9+D46/12*9+D47/12*9+D48/12*9+D49/12*9+D56</f>
        <v>6.92</v>
      </c>
      <c r="E107" s="452">
        <f t="shared" ref="E107:W107" si="68">E38/12*9+E40/0.95*0.75+E41/0.95*0.75+E44/12*9+E45/12*9+E46/12*9+E47/12*9+E48/12*9+E49/12*9+E56</f>
        <v>8.35</v>
      </c>
      <c r="F107" s="452">
        <f t="shared" si="68"/>
        <v>10.18</v>
      </c>
      <c r="G107" s="452">
        <f t="shared" si="68"/>
        <v>11.24</v>
      </c>
      <c r="H107" s="452">
        <f t="shared" si="68"/>
        <v>11.93</v>
      </c>
      <c r="I107" s="452">
        <f t="shared" si="68"/>
        <v>13.36</v>
      </c>
      <c r="J107" s="452">
        <f t="shared" si="68"/>
        <v>14.45</v>
      </c>
      <c r="K107" s="452">
        <f t="shared" si="68"/>
        <v>16.82</v>
      </c>
      <c r="L107" s="452">
        <f t="shared" si="68"/>
        <v>17.510000000000002</v>
      </c>
      <c r="M107" s="452">
        <f t="shared" si="68"/>
        <v>18.559999999999999</v>
      </c>
      <c r="N107" s="452">
        <f t="shared" si="68"/>
        <v>19.25</v>
      </c>
      <c r="O107" s="452">
        <f t="shared" si="68"/>
        <v>20.309999999999999</v>
      </c>
      <c r="P107" s="452">
        <f t="shared" si="68"/>
        <v>21.75</v>
      </c>
      <c r="Q107" s="452">
        <f t="shared" si="68"/>
        <v>22.41</v>
      </c>
      <c r="R107" s="452">
        <f t="shared" si="68"/>
        <v>23.5</v>
      </c>
      <c r="S107" s="452">
        <f t="shared" si="68"/>
        <v>23.78</v>
      </c>
      <c r="T107" s="452">
        <f t="shared" si="68"/>
        <v>24.45</v>
      </c>
      <c r="U107" s="452">
        <f t="shared" si="68"/>
        <v>25.12</v>
      </c>
      <c r="V107" s="452">
        <f t="shared" si="68"/>
        <v>25.41</v>
      </c>
      <c r="W107" s="452">
        <f t="shared" si="68"/>
        <v>25.7</v>
      </c>
    </row>
    <row r="108" spans="1:23" x14ac:dyDescent="0.25">
      <c r="A108" s="451"/>
      <c r="B108" s="451"/>
      <c r="C108" s="453" t="s">
        <v>1058</v>
      </c>
      <c r="D108" s="452">
        <f>D38/12*9+D40/0.95*0.75+D41/0.95*0.75+D44/12*9+D45/12*9+D46/12*9+D47/12*9+D48/12*9+D49/12*9+D55/12*9+D56</f>
        <v>7.01</v>
      </c>
      <c r="E108" s="452">
        <f t="shared" ref="E108:W108" si="69">E38/12*9+E40/0.95*0.75+E41/0.95*0.75+E44/12*9+E45/12*9+E46/12*9+E47/12*9+E48/12*9+E49/12*9+E55/12*9+E56</f>
        <v>8.5399999999999991</v>
      </c>
      <c r="F108" s="452">
        <f t="shared" si="69"/>
        <v>10.47</v>
      </c>
      <c r="G108" s="452">
        <f t="shared" si="69"/>
        <v>11.62</v>
      </c>
      <c r="H108" s="452">
        <f t="shared" si="69"/>
        <v>12.4</v>
      </c>
      <c r="I108" s="452">
        <f t="shared" si="69"/>
        <v>13.92</v>
      </c>
      <c r="J108" s="452">
        <f t="shared" si="69"/>
        <v>15.11</v>
      </c>
      <c r="K108" s="452">
        <f t="shared" si="69"/>
        <v>17.57</v>
      </c>
      <c r="L108" s="452">
        <f t="shared" si="69"/>
        <v>18.350000000000001</v>
      </c>
      <c r="M108" s="452">
        <f t="shared" si="69"/>
        <v>19.5</v>
      </c>
      <c r="N108" s="452">
        <f t="shared" si="69"/>
        <v>20.29</v>
      </c>
      <c r="O108" s="452">
        <f t="shared" si="69"/>
        <v>21.43</v>
      </c>
      <c r="P108" s="452">
        <f t="shared" si="69"/>
        <v>22.97</v>
      </c>
      <c r="Q108" s="452">
        <f t="shared" si="69"/>
        <v>23.72</v>
      </c>
      <c r="R108" s="452">
        <f t="shared" si="69"/>
        <v>24.91</v>
      </c>
      <c r="S108" s="452">
        <f t="shared" si="69"/>
        <v>25.28</v>
      </c>
      <c r="T108" s="452">
        <f t="shared" si="69"/>
        <v>26.05</v>
      </c>
      <c r="U108" s="452">
        <f t="shared" si="69"/>
        <v>26.8</v>
      </c>
      <c r="V108" s="452">
        <f t="shared" si="69"/>
        <v>27.2</v>
      </c>
      <c r="W108" s="452">
        <f t="shared" si="69"/>
        <v>27.57</v>
      </c>
    </row>
    <row r="109" spans="1:23" x14ac:dyDescent="0.25">
      <c r="A109" s="451"/>
      <c r="B109" s="451"/>
      <c r="C109" s="453" t="s">
        <v>1057</v>
      </c>
      <c r="D109" s="452">
        <f>D38/12*9+D40/0.95*0.75+D41/0.95*0.75+D44/12*9+D45/12*9+D46/12*9+D47/12*9+D48/12*9+D49/12*9+D55/12*9+D56</f>
        <v>7.01</v>
      </c>
      <c r="E109" s="452">
        <f t="shared" ref="E109:W109" si="70">E38/12*9+E40/0.95*0.75+E41/0.95*0.75+E44/12*9+E45/12*9+E46/12*9+E47/12*9+E48/12*9+E49/12*9+E55/12*9+E56</f>
        <v>8.5399999999999991</v>
      </c>
      <c r="F109" s="452">
        <f t="shared" si="70"/>
        <v>10.47</v>
      </c>
      <c r="G109" s="452">
        <f t="shared" si="70"/>
        <v>11.62</v>
      </c>
      <c r="H109" s="452">
        <f t="shared" si="70"/>
        <v>12.4</v>
      </c>
      <c r="I109" s="452">
        <f t="shared" si="70"/>
        <v>13.92</v>
      </c>
      <c r="J109" s="452">
        <f t="shared" si="70"/>
        <v>15.11</v>
      </c>
      <c r="K109" s="452">
        <f t="shared" si="70"/>
        <v>17.57</v>
      </c>
      <c r="L109" s="452">
        <f t="shared" si="70"/>
        <v>18.350000000000001</v>
      </c>
      <c r="M109" s="452">
        <f t="shared" si="70"/>
        <v>19.5</v>
      </c>
      <c r="N109" s="452">
        <f t="shared" si="70"/>
        <v>20.29</v>
      </c>
      <c r="O109" s="452">
        <f t="shared" si="70"/>
        <v>21.43</v>
      </c>
      <c r="P109" s="452">
        <f t="shared" si="70"/>
        <v>22.97</v>
      </c>
      <c r="Q109" s="452">
        <f t="shared" si="70"/>
        <v>23.72</v>
      </c>
      <c r="R109" s="452">
        <f t="shared" si="70"/>
        <v>24.91</v>
      </c>
      <c r="S109" s="452">
        <f t="shared" si="70"/>
        <v>25.28</v>
      </c>
      <c r="T109" s="452">
        <f t="shared" si="70"/>
        <v>26.05</v>
      </c>
      <c r="U109" s="452">
        <f t="shared" si="70"/>
        <v>26.8</v>
      </c>
      <c r="V109" s="452">
        <f t="shared" si="70"/>
        <v>27.2</v>
      </c>
      <c r="W109" s="452">
        <f t="shared" si="70"/>
        <v>27.57</v>
      </c>
    </row>
    <row r="110" spans="1:23" x14ac:dyDescent="0.25">
      <c r="A110" s="451"/>
      <c r="B110" s="451"/>
      <c r="C110" s="453" t="s">
        <v>1056</v>
      </c>
      <c r="D110" s="452">
        <f>D39/12*9+D40/0.95*0.75+D41/0.75*0.25+D44/12*9+D45/12*9+D46/12*9+D47/12*9+D48/12*9+D49/12*9</f>
        <v>1.54</v>
      </c>
      <c r="E110" s="452">
        <f t="shared" ref="E110:W110" si="71">E39/12*9+E40/0.95*0.75+E41/0.75*0.25+E44/12*9+E45/12*9+E46/12*9+E47/12*9+E48/12*9+E49/12*9</f>
        <v>2.75</v>
      </c>
      <c r="F110" s="452">
        <f t="shared" si="71"/>
        <v>4.13</v>
      </c>
      <c r="G110" s="452">
        <f t="shared" si="71"/>
        <v>5.14</v>
      </c>
      <c r="H110" s="452">
        <f t="shared" si="71"/>
        <v>5.79</v>
      </c>
      <c r="I110" s="452">
        <f t="shared" si="71"/>
        <v>7.18</v>
      </c>
      <c r="J110" s="452">
        <f t="shared" si="71"/>
        <v>8</v>
      </c>
      <c r="K110" s="452">
        <f t="shared" si="71"/>
        <v>9.9499999999999993</v>
      </c>
      <c r="L110" s="452">
        <f t="shared" si="71"/>
        <v>10.6</v>
      </c>
      <c r="M110" s="452">
        <f t="shared" si="71"/>
        <v>11.62</v>
      </c>
      <c r="N110" s="452">
        <f t="shared" si="71"/>
        <v>12.27</v>
      </c>
      <c r="O110" s="452">
        <f t="shared" si="71"/>
        <v>13.29</v>
      </c>
      <c r="P110" s="452">
        <f t="shared" si="71"/>
        <v>14.31</v>
      </c>
      <c r="Q110" s="452">
        <f t="shared" si="71"/>
        <v>15.16</v>
      </c>
      <c r="R110" s="452">
        <f t="shared" si="71"/>
        <v>15.97</v>
      </c>
      <c r="S110" s="452">
        <f t="shared" si="71"/>
        <v>16.45</v>
      </c>
      <c r="T110" s="452">
        <f t="shared" si="71"/>
        <v>16.93</v>
      </c>
      <c r="U110" s="452">
        <f t="shared" si="71"/>
        <v>17.78</v>
      </c>
      <c r="V110" s="452">
        <f t="shared" si="71"/>
        <v>18.260000000000002</v>
      </c>
      <c r="W110" s="452">
        <f t="shared" si="71"/>
        <v>18.739999999999998</v>
      </c>
    </row>
    <row r="111" spans="1:23" x14ac:dyDescent="0.25">
      <c r="D111" s="457"/>
      <c r="E111" s="457"/>
      <c r="F111" s="457"/>
      <c r="G111" s="457"/>
      <c r="H111" s="457"/>
      <c r="I111" s="457"/>
      <c r="J111" s="457"/>
      <c r="K111" s="457"/>
      <c r="L111" s="457"/>
      <c r="M111" s="457"/>
      <c r="N111" s="457"/>
      <c r="O111" s="457"/>
      <c r="P111" s="457"/>
      <c r="Q111" s="457"/>
      <c r="R111" s="457"/>
      <c r="S111" s="457"/>
      <c r="T111" s="457"/>
      <c r="U111" s="457"/>
      <c r="V111" s="457"/>
      <c r="W111" s="457"/>
    </row>
    <row r="112" spans="1:23" x14ac:dyDescent="0.25">
      <c r="A112" s="466" t="s">
        <v>1076</v>
      </c>
      <c r="C112" s="458" t="s">
        <v>1075</v>
      </c>
    </row>
    <row r="113" spans="1:23" ht="30" x14ac:dyDescent="0.25">
      <c r="A113" s="451"/>
      <c r="B113" s="451"/>
      <c r="C113" s="465" t="s">
        <v>1074</v>
      </c>
      <c r="D113" s="463">
        <f>0.25/2*D6</f>
        <v>0.13</v>
      </c>
      <c r="E113" s="463">
        <f t="shared" ref="E113:W113" si="72">0.25/2*E6</f>
        <v>0.25</v>
      </c>
      <c r="F113" s="463">
        <f t="shared" si="72"/>
        <v>0.38</v>
      </c>
      <c r="G113" s="463">
        <f t="shared" si="72"/>
        <v>0.5</v>
      </c>
      <c r="H113" s="463">
        <f t="shared" si="72"/>
        <v>0.63</v>
      </c>
      <c r="I113" s="463">
        <f t="shared" si="72"/>
        <v>0.75</v>
      </c>
      <c r="J113" s="463">
        <f t="shared" si="72"/>
        <v>0.88</v>
      </c>
      <c r="K113" s="464">
        <f t="shared" si="72"/>
        <v>1</v>
      </c>
      <c r="L113" s="463">
        <f t="shared" si="72"/>
        <v>1.1299999999999999</v>
      </c>
      <c r="M113" s="463">
        <f t="shared" si="72"/>
        <v>1.25</v>
      </c>
      <c r="N113" s="463">
        <f t="shared" si="72"/>
        <v>1.38</v>
      </c>
      <c r="O113" s="463">
        <f t="shared" si="72"/>
        <v>1.5</v>
      </c>
      <c r="P113" s="463">
        <f t="shared" si="72"/>
        <v>1.63</v>
      </c>
      <c r="Q113" s="463">
        <f t="shared" si="72"/>
        <v>1.75</v>
      </c>
      <c r="R113" s="463">
        <f t="shared" si="72"/>
        <v>1.88</v>
      </c>
      <c r="S113" s="463">
        <f t="shared" si="72"/>
        <v>2</v>
      </c>
      <c r="T113" s="463">
        <f t="shared" si="72"/>
        <v>2.13</v>
      </c>
      <c r="U113" s="463">
        <f t="shared" si="72"/>
        <v>2.25</v>
      </c>
      <c r="V113" s="463">
        <f t="shared" si="72"/>
        <v>2.38</v>
      </c>
      <c r="W113" s="463">
        <f t="shared" si="72"/>
        <v>2.5</v>
      </c>
    </row>
    <row r="114" spans="1:23" ht="45" x14ac:dyDescent="0.25">
      <c r="A114" s="451">
        <v>20</v>
      </c>
      <c r="B114" s="462" t="s">
        <v>1072</v>
      </c>
      <c r="C114" s="461" t="s">
        <v>1073</v>
      </c>
      <c r="D114" s="459">
        <v>0.5</v>
      </c>
      <c r="E114" s="459">
        <v>0.5</v>
      </c>
      <c r="F114" s="459">
        <v>0.5</v>
      </c>
      <c r="G114" s="459">
        <v>0.5</v>
      </c>
      <c r="H114" s="459">
        <v>0.5</v>
      </c>
      <c r="I114" s="459">
        <v>0.5</v>
      </c>
      <c r="J114" s="459">
        <v>0.5</v>
      </c>
      <c r="K114" s="460">
        <v>0.5</v>
      </c>
      <c r="L114" s="459">
        <v>1</v>
      </c>
      <c r="M114" s="459">
        <v>1</v>
      </c>
      <c r="N114" s="459">
        <v>1</v>
      </c>
      <c r="O114" s="459">
        <v>1</v>
      </c>
      <c r="P114" s="459">
        <v>1</v>
      </c>
      <c r="Q114" s="459">
        <v>1</v>
      </c>
      <c r="R114" s="459">
        <v>1</v>
      </c>
      <c r="S114" s="459">
        <v>1</v>
      </c>
      <c r="T114" s="459">
        <v>1</v>
      </c>
      <c r="U114" s="459">
        <v>1</v>
      </c>
      <c r="V114" s="459">
        <v>1</v>
      </c>
      <c r="W114" s="459">
        <v>1</v>
      </c>
    </row>
    <row r="115" spans="1:23" ht="45" x14ac:dyDescent="0.25">
      <c r="A115" s="451">
        <v>22</v>
      </c>
      <c r="B115" s="462" t="s">
        <v>1072</v>
      </c>
      <c r="C115" s="461" t="s">
        <v>1071</v>
      </c>
      <c r="D115" s="459">
        <v>0.5</v>
      </c>
      <c r="E115" s="459">
        <v>0.5</v>
      </c>
      <c r="F115" s="459">
        <v>0.5</v>
      </c>
      <c r="G115" s="459">
        <v>0.5</v>
      </c>
      <c r="H115" s="459">
        <v>0.5</v>
      </c>
      <c r="I115" s="459">
        <v>0.5</v>
      </c>
      <c r="J115" s="459">
        <v>0.5</v>
      </c>
      <c r="K115" s="460">
        <v>0.5</v>
      </c>
      <c r="L115" s="459">
        <v>1</v>
      </c>
      <c r="M115" s="459">
        <v>1</v>
      </c>
      <c r="N115" s="459">
        <v>1</v>
      </c>
      <c r="O115" s="459">
        <v>1</v>
      </c>
      <c r="P115" s="459">
        <v>1</v>
      </c>
      <c r="Q115" s="459">
        <v>1</v>
      </c>
      <c r="R115" s="459">
        <v>1</v>
      </c>
      <c r="S115" s="459">
        <v>1</v>
      </c>
      <c r="T115" s="459">
        <v>1</v>
      </c>
      <c r="U115" s="459">
        <v>1</v>
      </c>
      <c r="V115" s="459">
        <v>1</v>
      </c>
      <c r="W115" s="459">
        <v>1</v>
      </c>
    </row>
    <row r="116" spans="1:23" x14ac:dyDescent="0.25">
      <c r="A116" s="451"/>
      <c r="B116" s="451"/>
      <c r="C116" s="456" t="s">
        <v>1068</v>
      </c>
      <c r="D116" s="448">
        <f>D120+D128</f>
        <v>14.89</v>
      </c>
      <c r="E116" s="448">
        <f t="shared" ref="E116:W116" si="73">E120+E128</f>
        <v>20.76</v>
      </c>
      <c r="F116" s="448">
        <f t="shared" si="73"/>
        <v>26.65</v>
      </c>
      <c r="G116" s="448">
        <f t="shared" si="73"/>
        <v>32.51</v>
      </c>
      <c r="H116" s="448">
        <f t="shared" si="73"/>
        <v>37.159999999999997</v>
      </c>
      <c r="I116" s="448">
        <f t="shared" si="73"/>
        <v>44.02</v>
      </c>
      <c r="J116" s="448">
        <f t="shared" si="73"/>
        <v>48.91</v>
      </c>
      <c r="K116" s="448">
        <f t="shared" si="73"/>
        <v>56.03</v>
      </c>
      <c r="L116" s="448">
        <f t="shared" si="73"/>
        <v>61.42</v>
      </c>
      <c r="M116" s="448">
        <f t="shared" si="73"/>
        <v>67.53</v>
      </c>
      <c r="N116" s="448">
        <f t="shared" si="73"/>
        <v>71.930000000000007</v>
      </c>
      <c r="O116" s="448">
        <f t="shared" si="73"/>
        <v>76.790000000000006</v>
      </c>
      <c r="P116" s="448">
        <f t="shared" si="73"/>
        <v>82.18</v>
      </c>
      <c r="Q116" s="448">
        <f t="shared" si="73"/>
        <v>87.05</v>
      </c>
      <c r="R116" s="448">
        <f t="shared" si="73"/>
        <v>92.19</v>
      </c>
      <c r="S116" s="448">
        <f t="shared" si="73"/>
        <v>96.3</v>
      </c>
      <c r="T116" s="448">
        <f t="shared" si="73"/>
        <v>100.7</v>
      </c>
      <c r="U116" s="448">
        <f t="shared" si="73"/>
        <v>105.56</v>
      </c>
      <c r="V116" s="448">
        <f t="shared" si="73"/>
        <v>109.45</v>
      </c>
      <c r="W116" s="448">
        <f t="shared" si="73"/>
        <v>113.57</v>
      </c>
    </row>
    <row r="117" spans="1:23" x14ac:dyDescent="0.25">
      <c r="A117" s="451"/>
      <c r="B117" s="451"/>
      <c r="C117" s="456" t="s">
        <v>1067</v>
      </c>
      <c r="D117" s="448">
        <f>D122+D129</f>
        <v>15.15</v>
      </c>
      <c r="E117" s="448">
        <f t="shared" ref="E117:W117" si="74">E122+E129</f>
        <v>21.26</v>
      </c>
      <c r="F117" s="448">
        <f t="shared" si="74"/>
        <v>27.41</v>
      </c>
      <c r="G117" s="448">
        <f t="shared" si="74"/>
        <v>33.51</v>
      </c>
      <c r="H117" s="448">
        <f t="shared" si="74"/>
        <v>38.42</v>
      </c>
      <c r="I117" s="448">
        <f t="shared" si="74"/>
        <v>45.52</v>
      </c>
      <c r="J117" s="448">
        <f t="shared" si="74"/>
        <v>50.67</v>
      </c>
      <c r="K117" s="448">
        <f t="shared" si="74"/>
        <v>58.03</v>
      </c>
      <c r="L117" s="448">
        <f t="shared" si="74"/>
        <v>63.68</v>
      </c>
      <c r="M117" s="448">
        <f t="shared" si="74"/>
        <v>70.03</v>
      </c>
      <c r="N117" s="448">
        <f t="shared" si="74"/>
        <v>74.69</v>
      </c>
      <c r="O117" s="448">
        <f t="shared" si="74"/>
        <v>79.790000000000006</v>
      </c>
      <c r="P117" s="448">
        <f t="shared" si="74"/>
        <v>85.44</v>
      </c>
      <c r="Q117" s="448">
        <f t="shared" si="74"/>
        <v>90.55</v>
      </c>
      <c r="R117" s="448">
        <f t="shared" si="74"/>
        <v>95.95</v>
      </c>
      <c r="S117" s="448">
        <f t="shared" si="74"/>
        <v>100.3</v>
      </c>
      <c r="T117" s="448">
        <f t="shared" si="74"/>
        <v>104.96</v>
      </c>
      <c r="U117" s="448">
        <f t="shared" si="74"/>
        <v>110.06</v>
      </c>
      <c r="V117" s="448">
        <f t="shared" si="74"/>
        <v>114.21</v>
      </c>
      <c r="W117" s="448">
        <f t="shared" si="74"/>
        <v>118.57</v>
      </c>
    </row>
    <row r="118" spans="1:23" x14ac:dyDescent="0.25">
      <c r="A118" s="451"/>
      <c r="B118" s="451"/>
      <c r="C118" s="456" t="s">
        <v>1066</v>
      </c>
      <c r="D118" s="448">
        <f>D124+D130</f>
        <v>16.75</v>
      </c>
      <c r="E118" s="448">
        <f t="shared" ref="E118:W118" si="75">E124+E130</f>
        <v>24.47</v>
      </c>
      <c r="F118" s="448">
        <f t="shared" si="75"/>
        <v>32.22</v>
      </c>
      <c r="G118" s="448">
        <f t="shared" si="75"/>
        <v>39.93</v>
      </c>
      <c r="H118" s="448">
        <f t="shared" si="75"/>
        <v>46.44</v>
      </c>
      <c r="I118" s="448">
        <f t="shared" si="75"/>
        <v>55.15</v>
      </c>
      <c r="J118" s="448">
        <f t="shared" si="75"/>
        <v>61.9</v>
      </c>
      <c r="K118" s="448">
        <f t="shared" si="75"/>
        <v>70.87</v>
      </c>
      <c r="L118" s="448">
        <f t="shared" si="75"/>
        <v>78.12</v>
      </c>
      <c r="M118" s="448">
        <f t="shared" si="75"/>
        <v>86.08</v>
      </c>
      <c r="N118" s="448">
        <f t="shared" si="75"/>
        <v>92.34</v>
      </c>
      <c r="O118" s="448">
        <f t="shared" si="75"/>
        <v>99.05</v>
      </c>
      <c r="P118" s="448">
        <f t="shared" si="75"/>
        <v>106.3</v>
      </c>
      <c r="Q118" s="448">
        <f t="shared" si="75"/>
        <v>113.02</v>
      </c>
      <c r="R118" s="448">
        <f t="shared" si="75"/>
        <v>120.02</v>
      </c>
      <c r="S118" s="448">
        <f t="shared" si="75"/>
        <v>125.98</v>
      </c>
      <c r="T118" s="448">
        <f t="shared" si="75"/>
        <v>132.24</v>
      </c>
      <c r="U118" s="448">
        <f t="shared" si="75"/>
        <v>138.94999999999999</v>
      </c>
      <c r="V118" s="448">
        <f t="shared" si="75"/>
        <v>144.69999999999999</v>
      </c>
      <c r="W118" s="448">
        <f t="shared" si="75"/>
        <v>150.66999999999999</v>
      </c>
    </row>
    <row r="119" spans="1:23" x14ac:dyDescent="0.25">
      <c r="A119" s="451"/>
      <c r="B119" s="451"/>
      <c r="C119" s="456" t="s">
        <v>1065</v>
      </c>
      <c r="D119" s="448">
        <f>D126+D131</f>
        <v>9.27</v>
      </c>
      <c r="E119" s="448">
        <f t="shared" ref="E119:W119" si="76">E126+E131</f>
        <v>15.02</v>
      </c>
      <c r="F119" s="448">
        <f t="shared" si="76"/>
        <v>20.79</v>
      </c>
      <c r="G119" s="448">
        <f t="shared" si="76"/>
        <v>26.79</v>
      </c>
      <c r="H119" s="448">
        <f t="shared" si="76"/>
        <v>31.56</v>
      </c>
      <c r="I119" s="448">
        <f t="shared" si="76"/>
        <v>38.06</v>
      </c>
      <c r="J119" s="448">
        <f t="shared" si="76"/>
        <v>43.08</v>
      </c>
      <c r="K119" s="448">
        <f t="shared" si="76"/>
        <v>49.83</v>
      </c>
      <c r="L119" s="448">
        <f t="shared" si="76"/>
        <v>55.35</v>
      </c>
      <c r="M119" s="448">
        <f t="shared" si="76"/>
        <v>61.6</v>
      </c>
      <c r="N119" s="448">
        <f t="shared" si="76"/>
        <v>66.12</v>
      </c>
      <c r="O119" s="448">
        <f t="shared" si="76"/>
        <v>71.12</v>
      </c>
      <c r="P119" s="448">
        <f t="shared" si="76"/>
        <v>76.14</v>
      </c>
      <c r="Q119" s="448">
        <f t="shared" si="76"/>
        <v>81.14</v>
      </c>
      <c r="R119" s="448">
        <f t="shared" si="76"/>
        <v>86.41</v>
      </c>
      <c r="S119" s="448">
        <f t="shared" si="76"/>
        <v>90.41</v>
      </c>
      <c r="T119" s="448">
        <f t="shared" si="76"/>
        <v>94.43</v>
      </c>
      <c r="U119" s="448">
        <f t="shared" si="76"/>
        <v>99.43</v>
      </c>
      <c r="V119" s="448">
        <f t="shared" si="76"/>
        <v>103.45</v>
      </c>
      <c r="W119" s="448">
        <f t="shared" si="76"/>
        <v>107.7</v>
      </c>
    </row>
    <row r="120" spans="1:23" x14ac:dyDescent="0.25">
      <c r="A120" s="451"/>
      <c r="B120" s="451"/>
      <c r="C120" s="455" t="s">
        <v>1064</v>
      </c>
      <c r="D120" s="454">
        <f>D63+D113+D114+D115</f>
        <v>7.26</v>
      </c>
      <c r="E120" s="454">
        <f t="shared" ref="E120:W120" si="77">E63+E113+E114+E115</f>
        <v>11.26</v>
      </c>
      <c r="F120" s="454">
        <f t="shared" si="77"/>
        <v>14.77</v>
      </c>
      <c r="G120" s="454">
        <f t="shared" si="77"/>
        <v>19.260000000000002</v>
      </c>
      <c r="H120" s="454">
        <f t="shared" si="77"/>
        <v>23.03</v>
      </c>
      <c r="I120" s="454">
        <f t="shared" si="77"/>
        <v>28.02</v>
      </c>
      <c r="J120" s="454">
        <f t="shared" si="77"/>
        <v>31.53</v>
      </c>
      <c r="K120" s="454">
        <f t="shared" si="77"/>
        <v>35.53</v>
      </c>
      <c r="L120" s="454">
        <f t="shared" si="77"/>
        <v>40.04</v>
      </c>
      <c r="M120" s="454">
        <f t="shared" si="77"/>
        <v>44.78</v>
      </c>
      <c r="N120" s="454">
        <f t="shared" si="77"/>
        <v>48.3</v>
      </c>
      <c r="O120" s="454">
        <f t="shared" si="77"/>
        <v>51.79</v>
      </c>
      <c r="P120" s="454">
        <f t="shared" si="77"/>
        <v>55.3</v>
      </c>
      <c r="Q120" s="454">
        <f t="shared" si="77"/>
        <v>59.3</v>
      </c>
      <c r="R120" s="454">
        <f t="shared" si="77"/>
        <v>63.06</v>
      </c>
      <c r="S120" s="454">
        <f t="shared" si="77"/>
        <v>66.8</v>
      </c>
      <c r="T120" s="454">
        <f t="shared" si="77"/>
        <v>70.319999999999993</v>
      </c>
      <c r="U120" s="454">
        <f t="shared" si="77"/>
        <v>74.31</v>
      </c>
      <c r="V120" s="454">
        <f t="shared" si="77"/>
        <v>77.819999999999993</v>
      </c>
      <c r="W120" s="454">
        <f t="shared" si="77"/>
        <v>81.569999999999993</v>
      </c>
    </row>
    <row r="121" spans="1:23" x14ac:dyDescent="0.25">
      <c r="A121" s="451"/>
      <c r="B121" s="451"/>
      <c r="C121" s="455" t="s">
        <v>1060</v>
      </c>
      <c r="D121" s="454">
        <f>D64+D113</f>
        <v>2.2599999999999998</v>
      </c>
      <c r="E121" s="454">
        <f t="shared" ref="E121:W121" si="78">E64+E113</f>
        <v>4.51</v>
      </c>
      <c r="F121" s="454">
        <f t="shared" si="78"/>
        <v>6.77</v>
      </c>
      <c r="G121" s="454">
        <f t="shared" si="78"/>
        <v>9.01</v>
      </c>
      <c r="H121" s="454">
        <f t="shared" si="78"/>
        <v>11.28</v>
      </c>
      <c r="I121" s="454">
        <f t="shared" si="78"/>
        <v>13.52</v>
      </c>
      <c r="J121" s="454">
        <f t="shared" si="78"/>
        <v>15.78</v>
      </c>
      <c r="K121" s="454">
        <f t="shared" si="78"/>
        <v>18.03</v>
      </c>
      <c r="L121" s="454">
        <f t="shared" si="78"/>
        <v>20.29</v>
      </c>
      <c r="M121" s="454">
        <f t="shared" si="78"/>
        <v>22.53</v>
      </c>
      <c r="N121" s="454">
        <f t="shared" si="78"/>
        <v>24.8</v>
      </c>
      <c r="O121" s="454">
        <f t="shared" si="78"/>
        <v>27.04</v>
      </c>
      <c r="P121" s="454">
        <f t="shared" si="78"/>
        <v>29.3</v>
      </c>
      <c r="Q121" s="454">
        <f t="shared" si="78"/>
        <v>31.55</v>
      </c>
      <c r="R121" s="454">
        <f t="shared" si="78"/>
        <v>33.81</v>
      </c>
      <c r="S121" s="454">
        <f t="shared" si="78"/>
        <v>36.049999999999997</v>
      </c>
      <c r="T121" s="454">
        <f t="shared" si="78"/>
        <v>38.32</v>
      </c>
      <c r="U121" s="454">
        <f t="shared" si="78"/>
        <v>40.56</v>
      </c>
      <c r="V121" s="454">
        <f t="shared" si="78"/>
        <v>42.82</v>
      </c>
      <c r="W121" s="454">
        <f t="shared" si="78"/>
        <v>45.07</v>
      </c>
    </row>
    <row r="122" spans="1:23" x14ac:dyDescent="0.25">
      <c r="A122" s="451"/>
      <c r="B122" s="451"/>
      <c r="C122" s="455" t="s">
        <v>1063</v>
      </c>
      <c r="D122" s="454">
        <f>D65+D113+D114+D115</f>
        <v>7.39</v>
      </c>
      <c r="E122" s="454">
        <f t="shared" ref="E122:W122" si="79">E65+E113+E114+E115</f>
        <v>11.51</v>
      </c>
      <c r="F122" s="454">
        <f t="shared" si="79"/>
        <v>15.15</v>
      </c>
      <c r="G122" s="454">
        <f t="shared" si="79"/>
        <v>19.760000000000002</v>
      </c>
      <c r="H122" s="454">
        <f t="shared" si="79"/>
        <v>23.66</v>
      </c>
      <c r="I122" s="454">
        <f t="shared" si="79"/>
        <v>28.77</v>
      </c>
      <c r="J122" s="454">
        <f t="shared" si="79"/>
        <v>32.409999999999997</v>
      </c>
      <c r="K122" s="454">
        <f t="shared" si="79"/>
        <v>36.53</v>
      </c>
      <c r="L122" s="454">
        <f t="shared" si="79"/>
        <v>41.17</v>
      </c>
      <c r="M122" s="454">
        <f t="shared" si="79"/>
        <v>46.03</v>
      </c>
      <c r="N122" s="454">
        <f t="shared" si="79"/>
        <v>49.68</v>
      </c>
      <c r="O122" s="454">
        <f t="shared" si="79"/>
        <v>53.29</v>
      </c>
      <c r="P122" s="454">
        <f t="shared" si="79"/>
        <v>56.93</v>
      </c>
      <c r="Q122" s="454">
        <f t="shared" si="79"/>
        <v>61.05</v>
      </c>
      <c r="R122" s="454">
        <f t="shared" si="79"/>
        <v>64.94</v>
      </c>
      <c r="S122" s="454">
        <f t="shared" si="79"/>
        <v>68.8</v>
      </c>
      <c r="T122" s="454">
        <f t="shared" si="79"/>
        <v>72.45</v>
      </c>
      <c r="U122" s="454">
        <f t="shared" si="79"/>
        <v>76.56</v>
      </c>
      <c r="V122" s="454">
        <f t="shared" si="79"/>
        <v>80.2</v>
      </c>
      <c r="W122" s="454">
        <f t="shared" si="79"/>
        <v>84.07</v>
      </c>
    </row>
    <row r="123" spans="1:23" x14ac:dyDescent="0.25">
      <c r="A123" s="451"/>
      <c r="B123" s="451"/>
      <c r="C123" s="455" t="s">
        <v>1060</v>
      </c>
      <c r="D123" s="454">
        <f>D66+D113</f>
        <v>2.39</v>
      </c>
      <c r="E123" s="454">
        <f t="shared" ref="E123:W123" si="80">E66+E113</f>
        <v>4.76</v>
      </c>
      <c r="F123" s="454">
        <f t="shared" si="80"/>
        <v>7.15</v>
      </c>
      <c r="G123" s="454">
        <f t="shared" si="80"/>
        <v>9.51</v>
      </c>
      <c r="H123" s="454">
        <f t="shared" si="80"/>
        <v>11.91</v>
      </c>
      <c r="I123" s="454">
        <f t="shared" si="80"/>
        <v>14.27</v>
      </c>
      <c r="J123" s="454">
        <f t="shared" si="80"/>
        <v>16.66</v>
      </c>
      <c r="K123" s="454">
        <f t="shared" si="80"/>
        <v>19.03</v>
      </c>
      <c r="L123" s="454">
        <f t="shared" si="80"/>
        <v>21.42</v>
      </c>
      <c r="M123" s="454">
        <f t="shared" si="80"/>
        <v>23.78</v>
      </c>
      <c r="N123" s="454">
        <f t="shared" si="80"/>
        <v>26.18</v>
      </c>
      <c r="O123" s="454">
        <f t="shared" si="80"/>
        <v>28.54</v>
      </c>
      <c r="P123" s="454">
        <f t="shared" si="80"/>
        <v>30.93</v>
      </c>
      <c r="Q123" s="454">
        <f t="shared" si="80"/>
        <v>33.299999999999997</v>
      </c>
      <c r="R123" s="454">
        <f t="shared" si="80"/>
        <v>35.69</v>
      </c>
      <c r="S123" s="454">
        <f t="shared" si="80"/>
        <v>38.049999999999997</v>
      </c>
      <c r="T123" s="454">
        <f t="shared" si="80"/>
        <v>40.450000000000003</v>
      </c>
      <c r="U123" s="454">
        <f t="shared" si="80"/>
        <v>42.81</v>
      </c>
      <c r="V123" s="454">
        <f t="shared" si="80"/>
        <v>45.2</v>
      </c>
      <c r="W123" s="454">
        <f t="shared" si="80"/>
        <v>47.57</v>
      </c>
    </row>
    <row r="124" spans="1:23" x14ac:dyDescent="0.25">
      <c r="A124" s="451"/>
      <c r="B124" s="451"/>
      <c r="C124" s="455" t="s">
        <v>1062</v>
      </c>
      <c r="D124" s="454">
        <f>D67+D113+D114+D115</f>
        <v>8.99</v>
      </c>
      <c r="E124" s="454">
        <f t="shared" ref="E124:W124" si="81">E67+E113+E114+E115</f>
        <v>14.72</v>
      </c>
      <c r="F124" s="454">
        <f t="shared" si="81"/>
        <v>19.96</v>
      </c>
      <c r="G124" s="454">
        <f t="shared" si="81"/>
        <v>26.18</v>
      </c>
      <c r="H124" s="454">
        <f t="shared" si="81"/>
        <v>31.68</v>
      </c>
      <c r="I124" s="454">
        <f t="shared" si="81"/>
        <v>38.4</v>
      </c>
      <c r="J124" s="454">
        <f t="shared" si="81"/>
        <v>43.64</v>
      </c>
      <c r="K124" s="454">
        <f t="shared" si="81"/>
        <v>49.37</v>
      </c>
      <c r="L124" s="454">
        <f t="shared" si="81"/>
        <v>55.61</v>
      </c>
      <c r="M124" s="454">
        <f t="shared" si="81"/>
        <v>62.08</v>
      </c>
      <c r="N124" s="454">
        <f t="shared" si="81"/>
        <v>67.33</v>
      </c>
      <c r="O124" s="454">
        <f t="shared" si="81"/>
        <v>72.55</v>
      </c>
      <c r="P124" s="454">
        <f t="shared" si="81"/>
        <v>77.790000000000006</v>
      </c>
      <c r="Q124" s="454">
        <f t="shared" si="81"/>
        <v>83.52</v>
      </c>
      <c r="R124" s="454">
        <f t="shared" si="81"/>
        <v>89.01</v>
      </c>
      <c r="S124" s="454">
        <f t="shared" si="81"/>
        <v>94.48</v>
      </c>
      <c r="T124" s="454">
        <f t="shared" si="81"/>
        <v>99.73</v>
      </c>
      <c r="U124" s="454">
        <f t="shared" si="81"/>
        <v>105.45</v>
      </c>
      <c r="V124" s="454">
        <f t="shared" si="81"/>
        <v>110.69</v>
      </c>
      <c r="W124" s="454">
        <f t="shared" si="81"/>
        <v>116.17</v>
      </c>
    </row>
    <row r="125" spans="1:23" x14ac:dyDescent="0.25">
      <c r="A125" s="451"/>
      <c r="B125" s="451"/>
      <c r="C125" s="455" t="s">
        <v>1060</v>
      </c>
      <c r="D125" s="454">
        <f>D68+D113</f>
        <v>3.99</v>
      </c>
      <c r="E125" s="454">
        <f t="shared" ref="E125:W125" si="82">E68+E113</f>
        <v>7.97</v>
      </c>
      <c r="F125" s="454">
        <f t="shared" si="82"/>
        <v>11.96</v>
      </c>
      <c r="G125" s="454">
        <f t="shared" si="82"/>
        <v>15.93</v>
      </c>
      <c r="H125" s="454">
        <f t="shared" si="82"/>
        <v>19.93</v>
      </c>
      <c r="I125" s="454">
        <f t="shared" si="82"/>
        <v>23.9</v>
      </c>
      <c r="J125" s="454">
        <f t="shared" si="82"/>
        <v>27.89</v>
      </c>
      <c r="K125" s="454">
        <f t="shared" si="82"/>
        <v>31.87</v>
      </c>
      <c r="L125" s="454">
        <f t="shared" si="82"/>
        <v>35.86</v>
      </c>
      <c r="M125" s="454">
        <f t="shared" si="82"/>
        <v>39.83</v>
      </c>
      <c r="N125" s="454">
        <f t="shared" si="82"/>
        <v>43.83</v>
      </c>
      <c r="O125" s="454">
        <f t="shared" si="82"/>
        <v>47.8</v>
      </c>
      <c r="P125" s="454">
        <f t="shared" si="82"/>
        <v>51.79</v>
      </c>
      <c r="Q125" s="454">
        <f t="shared" si="82"/>
        <v>55.77</v>
      </c>
      <c r="R125" s="454">
        <f t="shared" si="82"/>
        <v>59.76</v>
      </c>
      <c r="S125" s="454">
        <f t="shared" si="82"/>
        <v>63.73</v>
      </c>
      <c r="T125" s="454">
        <f t="shared" si="82"/>
        <v>67.73</v>
      </c>
      <c r="U125" s="454">
        <f t="shared" si="82"/>
        <v>71.7</v>
      </c>
      <c r="V125" s="454">
        <f t="shared" si="82"/>
        <v>75.69</v>
      </c>
      <c r="W125" s="454">
        <f t="shared" si="82"/>
        <v>79.67</v>
      </c>
    </row>
    <row r="126" spans="1:23" x14ac:dyDescent="0.25">
      <c r="A126" s="451"/>
      <c r="B126" s="451"/>
      <c r="C126" s="455" t="s">
        <v>1061</v>
      </c>
      <c r="D126" s="454">
        <f>D69+D113+D114+D115</f>
        <v>6.39</v>
      </c>
      <c r="E126" s="454">
        <f t="shared" ref="E126:W126" si="83">E69+E113+E114+E115</f>
        <v>10.27</v>
      </c>
      <c r="F126" s="454">
        <f t="shared" si="83"/>
        <v>13.66</v>
      </c>
      <c r="G126" s="454">
        <f t="shared" si="83"/>
        <v>18.04</v>
      </c>
      <c r="H126" s="454">
        <f t="shared" si="83"/>
        <v>21.68</v>
      </c>
      <c r="I126" s="454">
        <f t="shared" si="83"/>
        <v>26.06</v>
      </c>
      <c r="J126" s="454">
        <f t="shared" si="83"/>
        <v>29.45</v>
      </c>
      <c r="K126" s="454">
        <f t="shared" si="83"/>
        <v>33.33</v>
      </c>
      <c r="L126" s="454">
        <f t="shared" si="83"/>
        <v>37.72</v>
      </c>
      <c r="M126" s="454">
        <f t="shared" si="83"/>
        <v>42.35</v>
      </c>
      <c r="N126" s="454">
        <f t="shared" si="83"/>
        <v>45.74</v>
      </c>
      <c r="O126" s="454">
        <f t="shared" si="83"/>
        <v>49.12</v>
      </c>
      <c r="P126" s="454">
        <f t="shared" si="83"/>
        <v>52.51</v>
      </c>
      <c r="Q126" s="454">
        <f t="shared" si="83"/>
        <v>56.39</v>
      </c>
      <c r="R126" s="454">
        <f t="shared" si="83"/>
        <v>60.03</v>
      </c>
      <c r="S126" s="454">
        <f t="shared" si="83"/>
        <v>63.41</v>
      </c>
      <c r="T126" s="454">
        <f t="shared" si="83"/>
        <v>66.8</v>
      </c>
      <c r="U126" s="454">
        <f t="shared" si="83"/>
        <v>70.680000000000007</v>
      </c>
      <c r="V126" s="454">
        <f t="shared" si="83"/>
        <v>74.069999999999993</v>
      </c>
      <c r="W126" s="454">
        <f t="shared" si="83"/>
        <v>77.7</v>
      </c>
    </row>
    <row r="127" spans="1:23" x14ac:dyDescent="0.25">
      <c r="A127" s="451"/>
      <c r="B127" s="451"/>
      <c r="C127" s="455" t="s">
        <v>1060</v>
      </c>
      <c r="D127" s="454">
        <f>D70+D113</f>
        <v>1.89</v>
      </c>
      <c r="E127" s="454">
        <f t="shared" ref="E127:W127" si="84">E70+E113</f>
        <v>3.77</v>
      </c>
      <c r="F127" s="454">
        <f t="shared" si="84"/>
        <v>5.66</v>
      </c>
      <c r="G127" s="454">
        <f t="shared" si="84"/>
        <v>7.54</v>
      </c>
      <c r="H127" s="454">
        <f t="shared" si="84"/>
        <v>9.43</v>
      </c>
      <c r="I127" s="454">
        <f t="shared" si="84"/>
        <v>11.31</v>
      </c>
      <c r="J127" s="454">
        <f t="shared" si="84"/>
        <v>13.2</v>
      </c>
      <c r="K127" s="454">
        <f t="shared" si="84"/>
        <v>15.08</v>
      </c>
      <c r="L127" s="454">
        <f t="shared" si="84"/>
        <v>16.97</v>
      </c>
      <c r="M127" s="454">
        <f t="shared" si="84"/>
        <v>18.850000000000001</v>
      </c>
      <c r="N127" s="454">
        <f t="shared" si="84"/>
        <v>20.74</v>
      </c>
      <c r="O127" s="454">
        <f t="shared" si="84"/>
        <v>22.62</v>
      </c>
      <c r="P127" s="454">
        <f t="shared" si="84"/>
        <v>24.51</v>
      </c>
      <c r="Q127" s="454">
        <f t="shared" si="84"/>
        <v>26.39</v>
      </c>
      <c r="R127" s="454">
        <f t="shared" si="84"/>
        <v>28.28</v>
      </c>
      <c r="S127" s="454">
        <f t="shared" si="84"/>
        <v>30.16</v>
      </c>
      <c r="T127" s="454">
        <f t="shared" si="84"/>
        <v>32.049999999999997</v>
      </c>
      <c r="U127" s="454">
        <f t="shared" si="84"/>
        <v>33.93</v>
      </c>
      <c r="V127" s="454">
        <f t="shared" si="84"/>
        <v>35.82</v>
      </c>
      <c r="W127" s="454">
        <f t="shared" si="84"/>
        <v>37.700000000000003</v>
      </c>
    </row>
    <row r="128" spans="1:23" x14ac:dyDescent="0.25">
      <c r="A128" s="451"/>
      <c r="B128" s="451"/>
      <c r="C128" s="453" t="s">
        <v>1059</v>
      </c>
      <c r="D128" s="452">
        <f>D71</f>
        <v>7.63</v>
      </c>
      <c r="E128" s="452">
        <f t="shared" ref="E128:W131" si="85">E71</f>
        <v>9.5</v>
      </c>
      <c r="F128" s="452">
        <f t="shared" si="85"/>
        <v>11.88</v>
      </c>
      <c r="G128" s="452">
        <f t="shared" si="85"/>
        <v>13.25</v>
      </c>
      <c r="H128" s="452">
        <f t="shared" si="85"/>
        <v>14.13</v>
      </c>
      <c r="I128" s="452">
        <f t="shared" si="85"/>
        <v>16</v>
      </c>
      <c r="J128" s="452">
        <f t="shared" si="85"/>
        <v>17.38</v>
      </c>
      <c r="K128" s="452">
        <f t="shared" si="85"/>
        <v>20.5</v>
      </c>
      <c r="L128" s="452">
        <f t="shared" si="85"/>
        <v>21.38</v>
      </c>
      <c r="M128" s="452">
        <f t="shared" si="85"/>
        <v>22.75</v>
      </c>
      <c r="N128" s="452">
        <f t="shared" si="85"/>
        <v>23.63</v>
      </c>
      <c r="O128" s="452">
        <f t="shared" si="85"/>
        <v>25</v>
      </c>
      <c r="P128" s="452">
        <f t="shared" si="85"/>
        <v>26.88</v>
      </c>
      <c r="Q128" s="452">
        <f t="shared" si="85"/>
        <v>27.75</v>
      </c>
      <c r="R128" s="452">
        <f t="shared" si="85"/>
        <v>29.13</v>
      </c>
      <c r="S128" s="452">
        <f t="shared" si="85"/>
        <v>29.5</v>
      </c>
      <c r="T128" s="452">
        <f t="shared" si="85"/>
        <v>30.38</v>
      </c>
      <c r="U128" s="452">
        <f t="shared" si="85"/>
        <v>31.25</v>
      </c>
      <c r="V128" s="452">
        <f t="shared" si="85"/>
        <v>31.63</v>
      </c>
      <c r="W128" s="452">
        <f t="shared" si="85"/>
        <v>32</v>
      </c>
    </row>
    <row r="129" spans="1:23" x14ac:dyDescent="0.25">
      <c r="A129" s="451"/>
      <c r="B129" s="451"/>
      <c r="C129" s="453" t="s">
        <v>1058</v>
      </c>
      <c r="D129" s="452">
        <f>D72</f>
        <v>7.76</v>
      </c>
      <c r="E129" s="452">
        <f t="shared" si="85"/>
        <v>9.75</v>
      </c>
      <c r="F129" s="452">
        <f t="shared" si="85"/>
        <v>12.26</v>
      </c>
      <c r="G129" s="452">
        <f t="shared" si="85"/>
        <v>13.75</v>
      </c>
      <c r="H129" s="452">
        <f t="shared" si="85"/>
        <v>14.76</v>
      </c>
      <c r="I129" s="452">
        <f t="shared" si="85"/>
        <v>16.75</v>
      </c>
      <c r="J129" s="452">
        <f t="shared" si="85"/>
        <v>18.260000000000002</v>
      </c>
      <c r="K129" s="452">
        <f t="shared" si="85"/>
        <v>21.5</v>
      </c>
      <c r="L129" s="452">
        <f t="shared" si="85"/>
        <v>22.51</v>
      </c>
      <c r="M129" s="452">
        <f t="shared" si="85"/>
        <v>24</v>
      </c>
      <c r="N129" s="452">
        <f t="shared" si="85"/>
        <v>25.01</v>
      </c>
      <c r="O129" s="452">
        <f t="shared" si="85"/>
        <v>26.5</v>
      </c>
      <c r="P129" s="452">
        <f t="shared" si="85"/>
        <v>28.51</v>
      </c>
      <c r="Q129" s="452">
        <f t="shared" si="85"/>
        <v>29.5</v>
      </c>
      <c r="R129" s="452">
        <f t="shared" si="85"/>
        <v>31.01</v>
      </c>
      <c r="S129" s="452">
        <f t="shared" si="85"/>
        <v>31.5</v>
      </c>
      <c r="T129" s="452">
        <f t="shared" si="85"/>
        <v>32.51</v>
      </c>
      <c r="U129" s="452">
        <f t="shared" si="85"/>
        <v>33.5</v>
      </c>
      <c r="V129" s="452">
        <f t="shared" si="85"/>
        <v>34.01</v>
      </c>
      <c r="W129" s="452">
        <f t="shared" si="85"/>
        <v>34.5</v>
      </c>
    </row>
    <row r="130" spans="1:23" x14ac:dyDescent="0.25">
      <c r="A130" s="451"/>
      <c r="B130" s="451"/>
      <c r="C130" s="453" t="s">
        <v>1057</v>
      </c>
      <c r="D130" s="452">
        <f>D73</f>
        <v>7.76</v>
      </c>
      <c r="E130" s="452">
        <f t="shared" si="85"/>
        <v>9.75</v>
      </c>
      <c r="F130" s="452">
        <f t="shared" si="85"/>
        <v>12.26</v>
      </c>
      <c r="G130" s="452">
        <f t="shared" si="85"/>
        <v>13.75</v>
      </c>
      <c r="H130" s="452">
        <f t="shared" si="85"/>
        <v>14.76</v>
      </c>
      <c r="I130" s="452">
        <f t="shared" si="85"/>
        <v>16.75</v>
      </c>
      <c r="J130" s="452">
        <f t="shared" si="85"/>
        <v>18.260000000000002</v>
      </c>
      <c r="K130" s="452">
        <f t="shared" si="85"/>
        <v>21.5</v>
      </c>
      <c r="L130" s="452">
        <f t="shared" si="85"/>
        <v>22.51</v>
      </c>
      <c r="M130" s="452">
        <f t="shared" si="85"/>
        <v>24</v>
      </c>
      <c r="N130" s="452">
        <f t="shared" si="85"/>
        <v>25.01</v>
      </c>
      <c r="O130" s="452">
        <f t="shared" si="85"/>
        <v>26.5</v>
      </c>
      <c r="P130" s="452">
        <f t="shared" si="85"/>
        <v>28.51</v>
      </c>
      <c r="Q130" s="452">
        <f t="shared" si="85"/>
        <v>29.5</v>
      </c>
      <c r="R130" s="452">
        <f t="shared" si="85"/>
        <v>31.01</v>
      </c>
      <c r="S130" s="452">
        <f t="shared" si="85"/>
        <v>31.5</v>
      </c>
      <c r="T130" s="452">
        <f t="shared" si="85"/>
        <v>32.51</v>
      </c>
      <c r="U130" s="452">
        <f t="shared" si="85"/>
        <v>33.5</v>
      </c>
      <c r="V130" s="452">
        <f t="shared" si="85"/>
        <v>34.01</v>
      </c>
      <c r="W130" s="452">
        <f t="shared" si="85"/>
        <v>34.5</v>
      </c>
    </row>
    <row r="131" spans="1:23" x14ac:dyDescent="0.25">
      <c r="A131" s="451"/>
      <c r="B131" s="451"/>
      <c r="C131" s="453" t="s">
        <v>1056</v>
      </c>
      <c r="D131" s="452">
        <f>D74</f>
        <v>2.88</v>
      </c>
      <c r="E131" s="452">
        <f t="shared" si="85"/>
        <v>4.75</v>
      </c>
      <c r="F131" s="452">
        <f t="shared" si="85"/>
        <v>7.13</v>
      </c>
      <c r="G131" s="452">
        <f t="shared" si="85"/>
        <v>8.75</v>
      </c>
      <c r="H131" s="452">
        <f t="shared" si="85"/>
        <v>9.8800000000000008</v>
      </c>
      <c r="I131" s="452">
        <f t="shared" si="85"/>
        <v>12</v>
      </c>
      <c r="J131" s="452">
        <f t="shared" si="85"/>
        <v>13.63</v>
      </c>
      <c r="K131" s="452">
        <f t="shared" si="85"/>
        <v>16.5</v>
      </c>
      <c r="L131" s="452">
        <f t="shared" si="85"/>
        <v>17.63</v>
      </c>
      <c r="M131" s="452">
        <f t="shared" si="85"/>
        <v>19.25</v>
      </c>
      <c r="N131" s="452">
        <f t="shared" si="85"/>
        <v>20.38</v>
      </c>
      <c r="O131" s="452">
        <f t="shared" si="85"/>
        <v>22</v>
      </c>
      <c r="P131" s="452">
        <f t="shared" si="85"/>
        <v>23.63</v>
      </c>
      <c r="Q131" s="452">
        <f t="shared" si="85"/>
        <v>24.75</v>
      </c>
      <c r="R131" s="452">
        <f t="shared" si="85"/>
        <v>26.38</v>
      </c>
      <c r="S131" s="452">
        <f t="shared" si="85"/>
        <v>27</v>
      </c>
      <c r="T131" s="452">
        <f t="shared" si="85"/>
        <v>27.63</v>
      </c>
      <c r="U131" s="452">
        <f t="shared" si="85"/>
        <v>28.75</v>
      </c>
      <c r="V131" s="452">
        <f t="shared" si="85"/>
        <v>29.38</v>
      </c>
      <c r="W131" s="452">
        <f t="shared" si="85"/>
        <v>30</v>
      </c>
    </row>
    <row r="133" spans="1:23" x14ac:dyDescent="0.25">
      <c r="C133" s="458" t="s">
        <v>1070</v>
      </c>
      <c r="D133" s="457"/>
      <c r="E133" s="457"/>
      <c r="F133" s="457"/>
      <c r="G133" s="457"/>
      <c r="H133" s="457"/>
      <c r="I133" s="457"/>
      <c r="J133" s="457"/>
      <c r="K133" s="457"/>
      <c r="L133" s="457"/>
      <c r="M133" s="457"/>
      <c r="N133" s="457"/>
      <c r="O133" s="457"/>
      <c r="P133" s="457"/>
      <c r="Q133" s="457"/>
      <c r="R133" s="457"/>
      <c r="S133" s="457"/>
      <c r="T133" s="457"/>
      <c r="U133" s="457"/>
      <c r="V133" s="457"/>
      <c r="W133" s="457"/>
    </row>
    <row r="134" spans="1:23" x14ac:dyDescent="0.25">
      <c r="A134" s="451"/>
      <c r="B134" s="451"/>
      <c r="C134" s="456" t="s">
        <v>1068</v>
      </c>
      <c r="D134" s="448">
        <f t="shared" ref="D134:W134" si="86">D138+D146</f>
        <v>9.01</v>
      </c>
      <c r="E134" s="448">
        <f t="shared" si="86"/>
        <v>10.91</v>
      </c>
      <c r="F134" s="448">
        <f t="shared" si="86"/>
        <v>12.79</v>
      </c>
      <c r="G134" s="448">
        <f t="shared" si="86"/>
        <v>14.69</v>
      </c>
      <c r="H134" s="448">
        <f t="shared" si="86"/>
        <v>16.18</v>
      </c>
      <c r="I134" s="448">
        <f t="shared" si="86"/>
        <v>18.75</v>
      </c>
      <c r="J134" s="448">
        <f t="shared" si="86"/>
        <v>20.29</v>
      </c>
      <c r="K134" s="448">
        <f t="shared" si="86"/>
        <v>22.62</v>
      </c>
      <c r="L134" s="448">
        <f t="shared" si="86"/>
        <v>24.35</v>
      </c>
      <c r="M134" s="448">
        <f t="shared" si="86"/>
        <v>26.34</v>
      </c>
      <c r="N134" s="448">
        <f t="shared" si="86"/>
        <v>27.76</v>
      </c>
      <c r="O134" s="448">
        <f t="shared" si="86"/>
        <v>29.99</v>
      </c>
      <c r="P134" s="448">
        <f t="shared" si="86"/>
        <v>31.74</v>
      </c>
      <c r="Q134" s="448">
        <f t="shared" si="86"/>
        <v>33.340000000000003</v>
      </c>
      <c r="R134" s="448">
        <f t="shared" si="86"/>
        <v>34.96</v>
      </c>
      <c r="S134" s="448">
        <f t="shared" si="86"/>
        <v>36.49</v>
      </c>
      <c r="T134" s="448">
        <f t="shared" si="86"/>
        <v>37.94</v>
      </c>
      <c r="U134" s="448">
        <f t="shared" si="86"/>
        <v>39.54</v>
      </c>
      <c r="V134" s="448">
        <f t="shared" si="86"/>
        <v>40.81</v>
      </c>
      <c r="W134" s="448">
        <f t="shared" si="86"/>
        <v>42.17</v>
      </c>
    </row>
    <row r="135" spans="1:23" x14ac:dyDescent="0.25">
      <c r="A135" s="451"/>
      <c r="B135" s="451"/>
      <c r="C135" s="456" t="s">
        <v>1067</v>
      </c>
      <c r="D135" s="448">
        <f t="shared" ref="D135:W135" si="87">D140+D147</f>
        <v>9.76</v>
      </c>
      <c r="E135" s="448">
        <f t="shared" si="87"/>
        <v>11.74</v>
      </c>
      <c r="F135" s="448">
        <f t="shared" si="87"/>
        <v>13.7</v>
      </c>
      <c r="G135" s="448">
        <f t="shared" si="87"/>
        <v>15.69</v>
      </c>
      <c r="H135" s="448">
        <f t="shared" si="87"/>
        <v>17.27</v>
      </c>
      <c r="I135" s="448">
        <f t="shared" si="87"/>
        <v>19.91</v>
      </c>
      <c r="J135" s="448">
        <f t="shared" si="87"/>
        <v>21.55</v>
      </c>
      <c r="K135" s="448">
        <f t="shared" si="87"/>
        <v>23.96</v>
      </c>
      <c r="L135" s="448">
        <f t="shared" si="87"/>
        <v>25.78</v>
      </c>
      <c r="M135" s="448">
        <f t="shared" si="87"/>
        <v>27.84</v>
      </c>
      <c r="N135" s="448">
        <f t="shared" si="87"/>
        <v>29.35</v>
      </c>
      <c r="O135" s="448">
        <f t="shared" si="87"/>
        <v>30.99</v>
      </c>
      <c r="P135" s="448">
        <f t="shared" si="87"/>
        <v>32.82</v>
      </c>
      <c r="Q135" s="448">
        <f t="shared" si="87"/>
        <v>34.51</v>
      </c>
      <c r="R135" s="448">
        <f t="shared" si="87"/>
        <v>36.22</v>
      </c>
      <c r="S135" s="448">
        <f t="shared" si="87"/>
        <v>37.81</v>
      </c>
      <c r="T135" s="448">
        <f t="shared" si="87"/>
        <v>39.36</v>
      </c>
      <c r="U135" s="448">
        <f t="shared" si="87"/>
        <v>41.04</v>
      </c>
      <c r="V135" s="448">
        <f t="shared" si="87"/>
        <v>42.41</v>
      </c>
      <c r="W135" s="448">
        <f t="shared" si="87"/>
        <v>43.84</v>
      </c>
    </row>
    <row r="136" spans="1:23" x14ac:dyDescent="0.25">
      <c r="A136" s="451"/>
      <c r="B136" s="451"/>
      <c r="C136" s="456" t="s">
        <v>1066</v>
      </c>
      <c r="D136" s="448">
        <f t="shared" ref="D136:W136" si="88">D142+D148</f>
        <v>10.29</v>
      </c>
      <c r="E136" s="448">
        <f t="shared" si="88"/>
        <v>12.81</v>
      </c>
      <c r="F136" s="448">
        <f t="shared" si="88"/>
        <v>15.31</v>
      </c>
      <c r="G136" s="448">
        <f t="shared" si="88"/>
        <v>17.829999999999998</v>
      </c>
      <c r="H136" s="448">
        <f t="shared" si="88"/>
        <v>19.940000000000001</v>
      </c>
      <c r="I136" s="448">
        <f t="shared" si="88"/>
        <v>23.12</v>
      </c>
      <c r="J136" s="448">
        <f t="shared" si="88"/>
        <v>25.3</v>
      </c>
      <c r="K136" s="448">
        <f t="shared" si="88"/>
        <v>28.24</v>
      </c>
      <c r="L136" s="448">
        <f t="shared" si="88"/>
        <v>30.59</v>
      </c>
      <c r="M136" s="448">
        <f t="shared" si="88"/>
        <v>33.19</v>
      </c>
      <c r="N136" s="448">
        <f t="shared" si="88"/>
        <v>35.229999999999997</v>
      </c>
      <c r="O136" s="448">
        <f t="shared" si="88"/>
        <v>37.409999999999997</v>
      </c>
      <c r="P136" s="448">
        <f t="shared" si="88"/>
        <v>39.78</v>
      </c>
      <c r="Q136" s="448">
        <f t="shared" si="88"/>
        <v>42</v>
      </c>
      <c r="R136" s="448">
        <f t="shared" si="88"/>
        <v>44.24</v>
      </c>
      <c r="S136" s="448">
        <f t="shared" si="88"/>
        <v>46.37</v>
      </c>
      <c r="T136" s="448">
        <f t="shared" si="88"/>
        <v>48.45</v>
      </c>
      <c r="U136" s="448">
        <f t="shared" si="88"/>
        <v>50.67</v>
      </c>
      <c r="V136" s="448">
        <f t="shared" si="88"/>
        <v>52.57</v>
      </c>
      <c r="W136" s="448">
        <f t="shared" si="88"/>
        <v>54.54</v>
      </c>
    </row>
    <row r="137" spans="1:23" x14ac:dyDescent="0.25">
      <c r="A137" s="451"/>
      <c r="B137" s="451"/>
      <c r="C137" s="456" t="s">
        <v>1065</v>
      </c>
      <c r="D137" s="448">
        <f t="shared" ref="D137:W137" si="89">D144+D149</f>
        <v>4.55</v>
      </c>
      <c r="E137" s="448">
        <f t="shared" si="89"/>
        <v>6.65</v>
      </c>
      <c r="F137" s="448">
        <f t="shared" si="89"/>
        <v>8.7200000000000006</v>
      </c>
      <c r="G137" s="448">
        <f t="shared" si="89"/>
        <v>10.91</v>
      </c>
      <c r="H137" s="448">
        <f t="shared" si="89"/>
        <v>12.68</v>
      </c>
      <c r="I137" s="448">
        <f t="shared" si="89"/>
        <v>15.04</v>
      </c>
      <c r="J137" s="448">
        <f t="shared" si="89"/>
        <v>16.86</v>
      </c>
      <c r="K137" s="448">
        <f t="shared" si="89"/>
        <v>19.309999999999999</v>
      </c>
      <c r="L137" s="448">
        <f t="shared" si="89"/>
        <v>21.32</v>
      </c>
      <c r="M137" s="448">
        <f t="shared" si="89"/>
        <v>23.6</v>
      </c>
      <c r="N137" s="448">
        <f t="shared" si="89"/>
        <v>25.29</v>
      </c>
      <c r="O137" s="448">
        <f t="shared" si="89"/>
        <v>27.15</v>
      </c>
      <c r="P137" s="448">
        <f t="shared" si="89"/>
        <v>29.01</v>
      </c>
      <c r="Q137" s="448">
        <f t="shared" si="89"/>
        <v>30.9</v>
      </c>
      <c r="R137" s="448">
        <f t="shared" si="89"/>
        <v>32.799999999999997</v>
      </c>
      <c r="S137" s="448">
        <f t="shared" si="89"/>
        <v>34.36</v>
      </c>
      <c r="T137" s="448">
        <f t="shared" si="89"/>
        <v>35.93</v>
      </c>
      <c r="U137" s="448">
        <f t="shared" si="89"/>
        <v>37.82</v>
      </c>
      <c r="V137" s="448">
        <f t="shared" si="89"/>
        <v>39.369999999999997</v>
      </c>
      <c r="W137" s="448">
        <f t="shared" si="89"/>
        <v>41.01</v>
      </c>
    </row>
    <row r="138" spans="1:23" x14ac:dyDescent="0.25">
      <c r="A138" s="451"/>
      <c r="B138" s="451"/>
      <c r="C138" s="455" t="s">
        <v>1064</v>
      </c>
      <c r="D138" s="454">
        <f>D81+D113/12*4+D114/12*4+D115/12*4</f>
        <v>3.59</v>
      </c>
      <c r="E138" s="454">
        <f t="shared" ref="E138:W138" si="90">E81+E113/12*4+E114/12*4+E115/12*4</f>
        <v>4.92</v>
      </c>
      <c r="F138" s="454">
        <f t="shared" si="90"/>
        <v>6.09</v>
      </c>
      <c r="G138" s="454">
        <f t="shared" si="90"/>
        <v>7.59</v>
      </c>
      <c r="H138" s="454">
        <f t="shared" si="90"/>
        <v>8.84</v>
      </c>
      <c r="I138" s="454">
        <f t="shared" si="90"/>
        <v>10.84</v>
      </c>
      <c r="J138" s="454">
        <f t="shared" si="90"/>
        <v>12.01</v>
      </c>
      <c r="K138" s="454">
        <f t="shared" si="90"/>
        <v>13.35</v>
      </c>
      <c r="L138" s="454">
        <f t="shared" si="90"/>
        <v>14.84</v>
      </c>
      <c r="M138" s="454">
        <f t="shared" si="90"/>
        <v>16.420000000000002</v>
      </c>
      <c r="N138" s="454">
        <f t="shared" si="90"/>
        <v>17.600000000000001</v>
      </c>
      <c r="O138" s="454">
        <f t="shared" si="90"/>
        <v>19.43</v>
      </c>
      <c r="P138" s="454">
        <f t="shared" si="90"/>
        <v>20.6</v>
      </c>
      <c r="Q138" s="454">
        <f t="shared" si="90"/>
        <v>21.93</v>
      </c>
      <c r="R138" s="454">
        <f t="shared" si="90"/>
        <v>23.18</v>
      </c>
      <c r="S138" s="454">
        <f t="shared" si="90"/>
        <v>24.6</v>
      </c>
      <c r="T138" s="454">
        <f t="shared" si="90"/>
        <v>25.78</v>
      </c>
      <c r="U138" s="454">
        <f t="shared" si="90"/>
        <v>27.11</v>
      </c>
      <c r="V138" s="454">
        <f t="shared" si="90"/>
        <v>28.27</v>
      </c>
      <c r="W138" s="454">
        <f t="shared" si="90"/>
        <v>29.52</v>
      </c>
    </row>
    <row r="139" spans="1:23" x14ac:dyDescent="0.25">
      <c r="A139" s="451"/>
      <c r="B139" s="451"/>
      <c r="C139" s="455" t="s">
        <v>1060</v>
      </c>
      <c r="D139" s="454">
        <f>D82+D113/12*4</f>
        <v>0.75</v>
      </c>
      <c r="E139" s="454">
        <f t="shared" ref="E139:W139" si="91">E82+E113/12*4</f>
        <v>1.5</v>
      </c>
      <c r="F139" s="454">
        <f t="shared" si="91"/>
        <v>2.2599999999999998</v>
      </c>
      <c r="G139" s="454">
        <f t="shared" si="91"/>
        <v>3.01</v>
      </c>
      <c r="H139" s="454">
        <f t="shared" si="91"/>
        <v>3.76</v>
      </c>
      <c r="I139" s="454">
        <f t="shared" si="91"/>
        <v>4.51</v>
      </c>
      <c r="J139" s="454">
        <f t="shared" si="91"/>
        <v>5.26</v>
      </c>
      <c r="K139" s="454">
        <f t="shared" si="91"/>
        <v>6.01</v>
      </c>
      <c r="L139" s="454">
        <f t="shared" si="91"/>
        <v>6.77</v>
      </c>
      <c r="M139" s="454">
        <f t="shared" si="91"/>
        <v>7.51</v>
      </c>
      <c r="N139" s="454">
        <f t="shared" si="91"/>
        <v>8.27</v>
      </c>
      <c r="O139" s="454">
        <f t="shared" si="91"/>
        <v>9.01</v>
      </c>
      <c r="P139" s="454">
        <f t="shared" si="91"/>
        <v>9.76</v>
      </c>
      <c r="Q139" s="454">
        <f t="shared" si="91"/>
        <v>10.51</v>
      </c>
      <c r="R139" s="454">
        <f t="shared" si="91"/>
        <v>11.27</v>
      </c>
      <c r="S139" s="454">
        <f t="shared" si="91"/>
        <v>12.02</v>
      </c>
      <c r="T139" s="454">
        <f t="shared" si="91"/>
        <v>12.77</v>
      </c>
      <c r="U139" s="454">
        <f t="shared" si="91"/>
        <v>13.52</v>
      </c>
      <c r="V139" s="454">
        <f t="shared" si="91"/>
        <v>14.27</v>
      </c>
      <c r="W139" s="454">
        <f t="shared" si="91"/>
        <v>15.02</v>
      </c>
    </row>
    <row r="140" spans="1:23" x14ac:dyDescent="0.25">
      <c r="A140" s="451"/>
      <c r="B140" s="451"/>
      <c r="C140" s="455" t="s">
        <v>1063</v>
      </c>
      <c r="D140" s="454">
        <f>D83+D113/12*4+D114/12*4+D115/12*4</f>
        <v>4.3</v>
      </c>
      <c r="E140" s="454">
        <f t="shared" ref="E140:W140" si="92">E83+E113/12*4+E114/12*4+E115/12*4</f>
        <v>5.67</v>
      </c>
      <c r="F140" s="454">
        <f t="shared" si="92"/>
        <v>6.88</v>
      </c>
      <c r="G140" s="454">
        <f t="shared" si="92"/>
        <v>8.42</v>
      </c>
      <c r="H140" s="454">
        <f t="shared" si="92"/>
        <v>9.7200000000000006</v>
      </c>
      <c r="I140" s="454">
        <f t="shared" si="92"/>
        <v>11.75</v>
      </c>
      <c r="J140" s="454">
        <f t="shared" si="92"/>
        <v>12.97</v>
      </c>
      <c r="K140" s="454">
        <f t="shared" si="92"/>
        <v>14.35</v>
      </c>
      <c r="L140" s="454">
        <f t="shared" si="92"/>
        <v>15.89</v>
      </c>
      <c r="M140" s="454">
        <f t="shared" si="92"/>
        <v>17.510000000000002</v>
      </c>
      <c r="N140" s="454">
        <f t="shared" si="92"/>
        <v>18.73</v>
      </c>
      <c r="O140" s="454">
        <f t="shared" si="92"/>
        <v>19.93</v>
      </c>
      <c r="P140" s="454">
        <f t="shared" si="92"/>
        <v>21.14</v>
      </c>
      <c r="Q140" s="454">
        <f t="shared" si="92"/>
        <v>22.52</v>
      </c>
      <c r="R140" s="454">
        <f t="shared" si="92"/>
        <v>23.81</v>
      </c>
      <c r="S140" s="454">
        <f t="shared" si="92"/>
        <v>25.26</v>
      </c>
      <c r="T140" s="454">
        <f t="shared" si="92"/>
        <v>26.49</v>
      </c>
      <c r="U140" s="454">
        <f t="shared" si="92"/>
        <v>27.86</v>
      </c>
      <c r="V140" s="454">
        <f t="shared" si="92"/>
        <v>29.07</v>
      </c>
      <c r="W140" s="454">
        <f t="shared" si="92"/>
        <v>30.36</v>
      </c>
    </row>
    <row r="141" spans="1:23" x14ac:dyDescent="0.25">
      <c r="A141" s="451"/>
      <c r="B141" s="451"/>
      <c r="C141" s="455" t="s">
        <v>1060</v>
      </c>
      <c r="D141" s="454">
        <f>D84+D113/12*4</f>
        <v>0.79</v>
      </c>
      <c r="E141" s="454">
        <f t="shared" ref="E141:W141" si="93">E84+E113/12*4</f>
        <v>1.58</v>
      </c>
      <c r="F141" s="454">
        <f t="shared" si="93"/>
        <v>2.39</v>
      </c>
      <c r="G141" s="454">
        <f t="shared" si="93"/>
        <v>3.17</v>
      </c>
      <c r="H141" s="454">
        <f t="shared" si="93"/>
        <v>3.97</v>
      </c>
      <c r="I141" s="454">
        <f t="shared" si="93"/>
        <v>4.76</v>
      </c>
      <c r="J141" s="454">
        <f t="shared" si="93"/>
        <v>5.55</v>
      </c>
      <c r="K141" s="454">
        <f t="shared" si="93"/>
        <v>6.34</v>
      </c>
      <c r="L141" s="454">
        <f t="shared" si="93"/>
        <v>7.14</v>
      </c>
      <c r="M141" s="454">
        <f t="shared" si="93"/>
        <v>7.93</v>
      </c>
      <c r="N141" s="454">
        <f t="shared" si="93"/>
        <v>8.73</v>
      </c>
      <c r="O141" s="454">
        <f t="shared" si="93"/>
        <v>9.51</v>
      </c>
      <c r="P141" s="454">
        <f t="shared" si="93"/>
        <v>10.31</v>
      </c>
      <c r="Q141" s="454">
        <f t="shared" si="93"/>
        <v>11.1</v>
      </c>
      <c r="R141" s="454">
        <f t="shared" si="93"/>
        <v>11.9</v>
      </c>
      <c r="S141" s="454">
        <f t="shared" si="93"/>
        <v>12.69</v>
      </c>
      <c r="T141" s="454">
        <f t="shared" si="93"/>
        <v>13.48</v>
      </c>
      <c r="U141" s="454">
        <f t="shared" si="93"/>
        <v>14.27</v>
      </c>
      <c r="V141" s="454">
        <f t="shared" si="93"/>
        <v>15.06</v>
      </c>
      <c r="W141" s="454">
        <f t="shared" si="93"/>
        <v>15.85</v>
      </c>
    </row>
    <row r="142" spans="1:23" x14ac:dyDescent="0.25">
      <c r="A142" s="451"/>
      <c r="B142" s="451"/>
      <c r="C142" s="455" t="s">
        <v>1062</v>
      </c>
      <c r="D142" s="454">
        <f>D85+D113/12*4+D114/12*4+D115/12*4</f>
        <v>4.83</v>
      </c>
      <c r="E142" s="454">
        <f t="shared" ref="E142:W142" si="94">E85+E113/12*4+E114/12*4+E115/12*4</f>
        <v>6.74</v>
      </c>
      <c r="F142" s="454">
        <f t="shared" si="94"/>
        <v>8.49</v>
      </c>
      <c r="G142" s="454">
        <f t="shared" si="94"/>
        <v>10.56</v>
      </c>
      <c r="H142" s="454">
        <f t="shared" si="94"/>
        <v>12.39</v>
      </c>
      <c r="I142" s="454">
        <f t="shared" si="94"/>
        <v>14.96</v>
      </c>
      <c r="J142" s="454">
        <f t="shared" si="94"/>
        <v>16.72</v>
      </c>
      <c r="K142" s="454">
        <f t="shared" si="94"/>
        <v>18.63</v>
      </c>
      <c r="L142" s="454">
        <f t="shared" si="94"/>
        <v>20.7</v>
      </c>
      <c r="M142" s="454">
        <f t="shared" si="94"/>
        <v>22.86</v>
      </c>
      <c r="N142" s="454">
        <f t="shared" si="94"/>
        <v>24.61</v>
      </c>
      <c r="O142" s="454">
        <f t="shared" si="94"/>
        <v>26.35</v>
      </c>
      <c r="P142" s="454">
        <f t="shared" si="94"/>
        <v>28.1</v>
      </c>
      <c r="Q142" s="454">
        <f t="shared" si="94"/>
        <v>30.01</v>
      </c>
      <c r="R142" s="454">
        <f t="shared" si="94"/>
        <v>31.83</v>
      </c>
      <c r="S142" s="454">
        <f t="shared" si="94"/>
        <v>33.82</v>
      </c>
      <c r="T142" s="454">
        <f t="shared" si="94"/>
        <v>35.58</v>
      </c>
      <c r="U142" s="454">
        <f t="shared" si="94"/>
        <v>37.49</v>
      </c>
      <c r="V142" s="454">
        <f t="shared" si="94"/>
        <v>39.229999999999997</v>
      </c>
      <c r="W142" s="454">
        <f t="shared" si="94"/>
        <v>41.06</v>
      </c>
    </row>
    <row r="143" spans="1:23" x14ac:dyDescent="0.25">
      <c r="A143" s="451"/>
      <c r="B143" s="451"/>
      <c r="C143" s="455" t="s">
        <v>1060</v>
      </c>
      <c r="D143" s="454">
        <f>D86+D113/12*4</f>
        <v>1.33</v>
      </c>
      <c r="E143" s="454">
        <f t="shared" ref="E143:W143" si="95">E86+E113/12*4</f>
        <v>2.65</v>
      </c>
      <c r="F143" s="454">
        <f t="shared" si="95"/>
        <v>3.99</v>
      </c>
      <c r="G143" s="454">
        <f t="shared" si="95"/>
        <v>5.31</v>
      </c>
      <c r="H143" s="454">
        <f t="shared" si="95"/>
        <v>6.64</v>
      </c>
      <c r="I143" s="454">
        <f t="shared" si="95"/>
        <v>7.97</v>
      </c>
      <c r="J143" s="454">
        <f t="shared" si="95"/>
        <v>9.2899999999999991</v>
      </c>
      <c r="K143" s="454">
        <f t="shared" si="95"/>
        <v>10.62</v>
      </c>
      <c r="L143" s="454">
        <f t="shared" si="95"/>
        <v>11.96</v>
      </c>
      <c r="M143" s="454">
        <f t="shared" si="95"/>
        <v>13.28</v>
      </c>
      <c r="N143" s="454">
        <f t="shared" si="95"/>
        <v>14.61</v>
      </c>
      <c r="O143" s="454">
        <f t="shared" si="95"/>
        <v>15.93</v>
      </c>
      <c r="P143" s="454">
        <f t="shared" si="95"/>
        <v>17.260000000000002</v>
      </c>
      <c r="Q143" s="454">
        <f t="shared" si="95"/>
        <v>18.59</v>
      </c>
      <c r="R143" s="454">
        <f t="shared" si="95"/>
        <v>19.920000000000002</v>
      </c>
      <c r="S143" s="454">
        <f t="shared" si="95"/>
        <v>21.25</v>
      </c>
      <c r="T143" s="454">
        <f t="shared" si="95"/>
        <v>22.58</v>
      </c>
      <c r="U143" s="454">
        <f t="shared" si="95"/>
        <v>23.9</v>
      </c>
      <c r="V143" s="454">
        <f t="shared" si="95"/>
        <v>25.23</v>
      </c>
      <c r="W143" s="454">
        <f t="shared" si="95"/>
        <v>26.55</v>
      </c>
    </row>
    <row r="144" spans="1:23" x14ac:dyDescent="0.25">
      <c r="A144" s="451"/>
      <c r="B144" s="451"/>
      <c r="C144" s="455" t="s">
        <v>1061</v>
      </c>
      <c r="D144" s="454">
        <f>D87+D113/12*4+D114/12*4+D115/12*4</f>
        <v>3.71</v>
      </c>
      <c r="E144" s="454">
        <f t="shared" ref="E144:W144" si="96">E87+E113/12*4+E114/12*4+E115/12*4</f>
        <v>5.24</v>
      </c>
      <c r="F144" s="454">
        <f t="shared" si="96"/>
        <v>6.61</v>
      </c>
      <c r="G144" s="454">
        <f t="shared" si="96"/>
        <v>8.31</v>
      </c>
      <c r="H144" s="454">
        <f t="shared" si="96"/>
        <v>9.76</v>
      </c>
      <c r="I144" s="454">
        <f t="shared" si="96"/>
        <v>11.46</v>
      </c>
      <c r="J144" s="454">
        <f t="shared" si="96"/>
        <v>12.83</v>
      </c>
      <c r="K144" s="454">
        <f t="shared" si="96"/>
        <v>14.37</v>
      </c>
      <c r="L144" s="454">
        <f t="shared" si="96"/>
        <v>16.059999999999999</v>
      </c>
      <c r="M144" s="454">
        <f t="shared" si="96"/>
        <v>17.850000000000001</v>
      </c>
      <c r="N144" s="454">
        <f t="shared" si="96"/>
        <v>19.22</v>
      </c>
      <c r="O144" s="454">
        <f t="shared" si="96"/>
        <v>20.59</v>
      </c>
      <c r="P144" s="454">
        <f t="shared" si="96"/>
        <v>21.96</v>
      </c>
      <c r="Q144" s="454">
        <f t="shared" si="96"/>
        <v>23.49</v>
      </c>
      <c r="R144" s="454">
        <f t="shared" si="96"/>
        <v>24.94</v>
      </c>
      <c r="S144" s="454">
        <f t="shared" si="96"/>
        <v>26.31</v>
      </c>
      <c r="T144" s="454">
        <f t="shared" si="96"/>
        <v>27.68</v>
      </c>
      <c r="U144" s="454">
        <f t="shared" si="96"/>
        <v>29.22</v>
      </c>
      <c r="V144" s="454">
        <f t="shared" si="96"/>
        <v>30.58</v>
      </c>
      <c r="W144" s="454">
        <f t="shared" si="96"/>
        <v>32.03</v>
      </c>
    </row>
    <row r="145" spans="1:23" x14ac:dyDescent="0.25">
      <c r="A145" s="451"/>
      <c r="B145" s="451"/>
      <c r="C145" s="455" t="s">
        <v>1060</v>
      </c>
      <c r="D145" s="454">
        <f>D88+D113/12*4</f>
        <v>0.87</v>
      </c>
      <c r="E145" s="454">
        <f t="shared" ref="E145:W145" si="97">E88+E113/12*4</f>
        <v>1.73</v>
      </c>
      <c r="F145" s="454">
        <f t="shared" si="97"/>
        <v>2.61</v>
      </c>
      <c r="G145" s="454">
        <f t="shared" si="97"/>
        <v>3.48</v>
      </c>
      <c r="H145" s="454">
        <f t="shared" si="97"/>
        <v>4.34</v>
      </c>
      <c r="I145" s="454">
        <f t="shared" si="97"/>
        <v>5.21</v>
      </c>
      <c r="J145" s="454">
        <f t="shared" si="97"/>
        <v>6.08</v>
      </c>
      <c r="K145" s="454">
        <f t="shared" si="97"/>
        <v>6.94</v>
      </c>
      <c r="L145" s="454">
        <f t="shared" si="97"/>
        <v>7.82</v>
      </c>
      <c r="M145" s="454">
        <f t="shared" si="97"/>
        <v>8.69</v>
      </c>
      <c r="N145" s="454">
        <f t="shared" si="97"/>
        <v>9.5500000000000007</v>
      </c>
      <c r="O145" s="454">
        <f t="shared" si="97"/>
        <v>10.42</v>
      </c>
      <c r="P145" s="454">
        <f t="shared" si="97"/>
        <v>11.29</v>
      </c>
      <c r="Q145" s="454">
        <f t="shared" si="97"/>
        <v>12.15</v>
      </c>
      <c r="R145" s="454">
        <f t="shared" si="97"/>
        <v>13.03</v>
      </c>
      <c r="S145" s="454">
        <f t="shared" si="97"/>
        <v>13.9</v>
      </c>
      <c r="T145" s="454">
        <f t="shared" si="97"/>
        <v>14.76</v>
      </c>
      <c r="U145" s="454">
        <f t="shared" si="97"/>
        <v>15.63</v>
      </c>
      <c r="V145" s="454">
        <f t="shared" si="97"/>
        <v>16.5</v>
      </c>
      <c r="W145" s="454">
        <f t="shared" si="97"/>
        <v>17.36</v>
      </c>
    </row>
    <row r="146" spans="1:23" x14ac:dyDescent="0.25">
      <c r="A146" s="451"/>
      <c r="B146" s="451"/>
      <c r="C146" s="453" t="s">
        <v>1059</v>
      </c>
      <c r="D146" s="452">
        <f>D89</f>
        <v>5.42</v>
      </c>
      <c r="E146" s="452">
        <f t="shared" ref="E146:W149" si="98">E89</f>
        <v>5.99</v>
      </c>
      <c r="F146" s="452">
        <f t="shared" si="98"/>
        <v>6.7</v>
      </c>
      <c r="G146" s="452">
        <f t="shared" si="98"/>
        <v>7.1</v>
      </c>
      <c r="H146" s="452">
        <f t="shared" si="98"/>
        <v>7.34</v>
      </c>
      <c r="I146" s="452">
        <f t="shared" si="98"/>
        <v>7.91</v>
      </c>
      <c r="J146" s="452">
        <f t="shared" si="98"/>
        <v>8.2799999999999994</v>
      </c>
      <c r="K146" s="452">
        <f t="shared" si="98"/>
        <v>9.27</v>
      </c>
      <c r="L146" s="452">
        <f t="shared" si="98"/>
        <v>9.51</v>
      </c>
      <c r="M146" s="452">
        <f t="shared" si="98"/>
        <v>9.92</v>
      </c>
      <c r="N146" s="452">
        <f t="shared" si="98"/>
        <v>10.16</v>
      </c>
      <c r="O146" s="452">
        <f t="shared" si="98"/>
        <v>10.56</v>
      </c>
      <c r="P146" s="452">
        <f t="shared" si="98"/>
        <v>11.14</v>
      </c>
      <c r="Q146" s="452">
        <f t="shared" si="98"/>
        <v>11.41</v>
      </c>
      <c r="R146" s="452">
        <f t="shared" si="98"/>
        <v>11.78</v>
      </c>
      <c r="S146" s="452">
        <f t="shared" si="98"/>
        <v>11.89</v>
      </c>
      <c r="T146" s="452">
        <f t="shared" si="98"/>
        <v>12.16</v>
      </c>
      <c r="U146" s="452">
        <f t="shared" si="98"/>
        <v>12.43</v>
      </c>
      <c r="V146" s="452">
        <f t="shared" si="98"/>
        <v>12.54</v>
      </c>
      <c r="W146" s="452">
        <f t="shared" si="98"/>
        <v>12.65</v>
      </c>
    </row>
    <row r="147" spans="1:23" x14ac:dyDescent="0.25">
      <c r="A147" s="451"/>
      <c r="B147" s="451"/>
      <c r="C147" s="453" t="s">
        <v>1058</v>
      </c>
      <c r="D147" s="452">
        <f>D90</f>
        <v>5.46</v>
      </c>
      <c r="E147" s="452">
        <f t="shared" si="98"/>
        <v>6.07</v>
      </c>
      <c r="F147" s="452">
        <f t="shared" si="98"/>
        <v>6.82</v>
      </c>
      <c r="G147" s="452">
        <f t="shared" si="98"/>
        <v>7.27</v>
      </c>
      <c r="H147" s="452">
        <f t="shared" si="98"/>
        <v>7.55</v>
      </c>
      <c r="I147" s="452">
        <f t="shared" si="98"/>
        <v>8.16</v>
      </c>
      <c r="J147" s="452">
        <f t="shared" si="98"/>
        <v>8.58</v>
      </c>
      <c r="K147" s="452">
        <f t="shared" si="98"/>
        <v>9.61</v>
      </c>
      <c r="L147" s="452">
        <f t="shared" si="98"/>
        <v>9.89</v>
      </c>
      <c r="M147" s="452">
        <f t="shared" si="98"/>
        <v>10.33</v>
      </c>
      <c r="N147" s="452">
        <f t="shared" si="98"/>
        <v>10.62</v>
      </c>
      <c r="O147" s="452">
        <f t="shared" si="98"/>
        <v>11.06</v>
      </c>
      <c r="P147" s="452">
        <f t="shared" si="98"/>
        <v>11.68</v>
      </c>
      <c r="Q147" s="452">
        <f t="shared" si="98"/>
        <v>11.99</v>
      </c>
      <c r="R147" s="452">
        <f t="shared" si="98"/>
        <v>12.41</v>
      </c>
      <c r="S147" s="452">
        <f t="shared" si="98"/>
        <v>12.55</v>
      </c>
      <c r="T147" s="452">
        <f t="shared" si="98"/>
        <v>12.87</v>
      </c>
      <c r="U147" s="452">
        <f t="shared" si="98"/>
        <v>13.18</v>
      </c>
      <c r="V147" s="452">
        <f t="shared" si="98"/>
        <v>13.34</v>
      </c>
      <c r="W147" s="452">
        <f t="shared" si="98"/>
        <v>13.48</v>
      </c>
    </row>
    <row r="148" spans="1:23" x14ac:dyDescent="0.25">
      <c r="A148" s="451"/>
      <c r="B148" s="451"/>
      <c r="C148" s="453" t="s">
        <v>1057</v>
      </c>
      <c r="D148" s="452">
        <f>D91</f>
        <v>5.46</v>
      </c>
      <c r="E148" s="452">
        <f t="shared" si="98"/>
        <v>6.07</v>
      </c>
      <c r="F148" s="452">
        <f t="shared" si="98"/>
        <v>6.82</v>
      </c>
      <c r="G148" s="452">
        <f t="shared" si="98"/>
        <v>7.27</v>
      </c>
      <c r="H148" s="452">
        <f t="shared" si="98"/>
        <v>7.55</v>
      </c>
      <c r="I148" s="452">
        <f t="shared" si="98"/>
        <v>8.16</v>
      </c>
      <c r="J148" s="452">
        <f t="shared" si="98"/>
        <v>8.58</v>
      </c>
      <c r="K148" s="452">
        <f t="shared" si="98"/>
        <v>9.61</v>
      </c>
      <c r="L148" s="452">
        <f t="shared" si="98"/>
        <v>9.89</v>
      </c>
      <c r="M148" s="452">
        <f t="shared" si="98"/>
        <v>10.33</v>
      </c>
      <c r="N148" s="452">
        <f t="shared" si="98"/>
        <v>10.62</v>
      </c>
      <c r="O148" s="452">
        <f t="shared" si="98"/>
        <v>11.06</v>
      </c>
      <c r="P148" s="452">
        <f t="shared" si="98"/>
        <v>11.68</v>
      </c>
      <c r="Q148" s="452">
        <f t="shared" si="98"/>
        <v>11.99</v>
      </c>
      <c r="R148" s="452">
        <f t="shared" si="98"/>
        <v>12.41</v>
      </c>
      <c r="S148" s="452">
        <f t="shared" si="98"/>
        <v>12.55</v>
      </c>
      <c r="T148" s="452">
        <f t="shared" si="98"/>
        <v>12.87</v>
      </c>
      <c r="U148" s="452">
        <f t="shared" si="98"/>
        <v>13.18</v>
      </c>
      <c r="V148" s="452">
        <f t="shared" si="98"/>
        <v>13.34</v>
      </c>
      <c r="W148" s="452">
        <f t="shared" si="98"/>
        <v>13.48</v>
      </c>
    </row>
    <row r="149" spans="1:23" x14ac:dyDescent="0.25">
      <c r="A149" s="451"/>
      <c r="B149" s="451"/>
      <c r="C149" s="453" t="s">
        <v>1056</v>
      </c>
      <c r="D149" s="452">
        <f>D92</f>
        <v>0.84</v>
      </c>
      <c r="E149" s="452">
        <f t="shared" si="98"/>
        <v>1.41</v>
      </c>
      <c r="F149" s="452">
        <f t="shared" si="98"/>
        <v>2.11</v>
      </c>
      <c r="G149" s="452">
        <f t="shared" si="98"/>
        <v>2.6</v>
      </c>
      <c r="H149" s="452">
        <f t="shared" si="98"/>
        <v>2.92</v>
      </c>
      <c r="I149" s="452">
        <f t="shared" si="98"/>
        <v>3.58</v>
      </c>
      <c r="J149" s="452">
        <f t="shared" si="98"/>
        <v>4.03</v>
      </c>
      <c r="K149" s="452">
        <f t="shared" si="98"/>
        <v>4.9400000000000004</v>
      </c>
      <c r="L149" s="452">
        <f t="shared" si="98"/>
        <v>5.26</v>
      </c>
      <c r="M149" s="452">
        <f t="shared" si="98"/>
        <v>5.75</v>
      </c>
      <c r="N149" s="452">
        <f t="shared" si="98"/>
        <v>6.07</v>
      </c>
      <c r="O149" s="452">
        <f t="shared" si="98"/>
        <v>6.56</v>
      </c>
      <c r="P149" s="452">
        <f t="shared" si="98"/>
        <v>7.05</v>
      </c>
      <c r="Q149" s="452">
        <f t="shared" si="98"/>
        <v>7.41</v>
      </c>
      <c r="R149" s="452">
        <f t="shared" si="98"/>
        <v>7.86</v>
      </c>
      <c r="S149" s="452">
        <f t="shared" si="98"/>
        <v>8.0500000000000007</v>
      </c>
      <c r="T149" s="452">
        <f t="shared" si="98"/>
        <v>8.25</v>
      </c>
      <c r="U149" s="452">
        <f t="shared" si="98"/>
        <v>8.6</v>
      </c>
      <c r="V149" s="452">
        <f t="shared" si="98"/>
        <v>8.7899999999999991</v>
      </c>
      <c r="W149" s="452">
        <f t="shared" si="98"/>
        <v>8.98</v>
      </c>
    </row>
    <row r="150" spans="1:23" x14ac:dyDescent="0.25">
      <c r="D150" s="457"/>
      <c r="E150" s="457"/>
      <c r="F150" s="457"/>
      <c r="G150" s="457"/>
      <c r="H150" s="457"/>
      <c r="I150" s="457"/>
      <c r="J150" s="457"/>
      <c r="K150" s="457"/>
      <c r="L150" s="457"/>
      <c r="M150" s="457"/>
      <c r="N150" s="457"/>
      <c r="O150" s="457"/>
      <c r="P150" s="457"/>
      <c r="Q150" s="457"/>
      <c r="R150" s="457"/>
      <c r="S150" s="457"/>
      <c r="T150" s="457"/>
      <c r="U150" s="457"/>
      <c r="V150" s="457"/>
      <c r="W150" s="457"/>
    </row>
    <row r="151" spans="1:23" x14ac:dyDescent="0.25">
      <c r="C151" s="458" t="s">
        <v>1069</v>
      </c>
      <c r="D151" s="457"/>
      <c r="E151" s="457"/>
      <c r="F151" s="457"/>
      <c r="G151" s="457"/>
      <c r="H151" s="457"/>
      <c r="I151" s="457"/>
      <c r="J151" s="457"/>
      <c r="K151" s="457"/>
      <c r="L151" s="457"/>
      <c r="M151" s="457"/>
      <c r="N151" s="457"/>
      <c r="O151" s="457"/>
      <c r="P151" s="457"/>
      <c r="Q151" s="457"/>
      <c r="R151" s="457"/>
      <c r="S151" s="457"/>
      <c r="T151" s="457"/>
      <c r="U151" s="457"/>
      <c r="V151" s="457"/>
      <c r="W151" s="457"/>
    </row>
    <row r="152" spans="1:23" x14ac:dyDescent="0.25">
      <c r="A152" s="451"/>
      <c r="B152" s="451"/>
      <c r="C152" s="456" t="s">
        <v>1068</v>
      </c>
      <c r="D152" s="448">
        <f t="shared" ref="D152:W152" si="99">D156+D164</f>
        <v>12.81</v>
      </c>
      <c r="E152" s="448">
        <f t="shared" si="99"/>
        <v>17.239999999999998</v>
      </c>
      <c r="F152" s="448">
        <f t="shared" si="99"/>
        <v>21.7</v>
      </c>
      <c r="G152" s="448">
        <f t="shared" si="99"/>
        <v>26.13</v>
      </c>
      <c r="H152" s="448">
        <f t="shared" si="99"/>
        <v>29.64</v>
      </c>
      <c r="I152" s="448">
        <f t="shared" si="99"/>
        <v>34.94</v>
      </c>
      <c r="J152" s="448">
        <f t="shared" si="99"/>
        <v>38.659999999999997</v>
      </c>
      <c r="K152" s="448">
        <f t="shared" si="99"/>
        <v>44.03</v>
      </c>
      <c r="L152" s="448">
        <f t="shared" si="99"/>
        <v>48.11</v>
      </c>
      <c r="M152" s="448">
        <f t="shared" si="99"/>
        <v>52.71</v>
      </c>
      <c r="N152" s="448">
        <f t="shared" si="99"/>
        <v>56.04</v>
      </c>
      <c r="O152" s="448">
        <f t="shared" si="99"/>
        <v>59.97</v>
      </c>
      <c r="P152" s="448">
        <f t="shared" si="99"/>
        <v>64.040000000000006</v>
      </c>
      <c r="Q152" s="448">
        <f t="shared" si="99"/>
        <v>67.7</v>
      </c>
      <c r="R152" s="448">
        <f t="shared" si="99"/>
        <v>71.61</v>
      </c>
      <c r="S152" s="448">
        <f t="shared" si="99"/>
        <v>74.760000000000005</v>
      </c>
      <c r="T152" s="448">
        <f t="shared" si="99"/>
        <v>78.069999999999993</v>
      </c>
      <c r="U152" s="448">
        <f t="shared" si="99"/>
        <v>81.73</v>
      </c>
      <c r="V152" s="448">
        <f t="shared" si="99"/>
        <v>84.66</v>
      </c>
      <c r="W152" s="448">
        <f t="shared" si="99"/>
        <v>87.76</v>
      </c>
    </row>
    <row r="153" spans="1:23" x14ac:dyDescent="0.25">
      <c r="A153" s="451"/>
      <c r="B153" s="451"/>
      <c r="C153" s="456" t="s">
        <v>1067</v>
      </c>
      <c r="D153" s="448">
        <f t="shared" ref="D153:W153" si="100">D158+D165</f>
        <v>13.24</v>
      </c>
      <c r="E153" s="448">
        <f t="shared" si="100"/>
        <v>17.86</v>
      </c>
      <c r="F153" s="448">
        <f t="shared" si="100"/>
        <v>22.53</v>
      </c>
      <c r="G153" s="448">
        <f t="shared" si="100"/>
        <v>27.13</v>
      </c>
      <c r="H153" s="448">
        <f t="shared" si="100"/>
        <v>30.83</v>
      </c>
      <c r="I153" s="448">
        <f t="shared" si="100"/>
        <v>36.31</v>
      </c>
      <c r="J153" s="448">
        <f t="shared" si="100"/>
        <v>40.229999999999997</v>
      </c>
      <c r="K153" s="448">
        <f t="shared" si="100"/>
        <v>45.78</v>
      </c>
      <c r="L153" s="448">
        <f t="shared" si="100"/>
        <v>50.04</v>
      </c>
      <c r="M153" s="448">
        <f t="shared" si="100"/>
        <v>54.84</v>
      </c>
      <c r="N153" s="448">
        <f t="shared" si="100"/>
        <v>58.37</v>
      </c>
      <c r="O153" s="448">
        <f t="shared" si="100"/>
        <v>62.22</v>
      </c>
      <c r="P153" s="448">
        <f t="shared" si="100"/>
        <v>66.48</v>
      </c>
      <c r="Q153" s="448">
        <f t="shared" si="100"/>
        <v>70.319999999999993</v>
      </c>
      <c r="R153" s="448">
        <f t="shared" si="100"/>
        <v>74.430000000000007</v>
      </c>
      <c r="S153" s="448">
        <f t="shared" si="100"/>
        <v>77.760000000000005</v>
      </c>
      <c r="T153" s="448">
        <f t="shared" si="100"/>
        <v>81.27</v>
      </c>
      <c r="U153" s="448">
        <f t="shared" si="100"/>
        <v>85.1</v>
      </c>
      <c r="V153" s="448">
        <f t="shared" si="100"/>
        <v>88.23</v>
      </c>
      <c r="W153" s="448">
        <f t="shared" si="100"/>
        <v>91.5</v>
      </c>
    </row>
    <row r="154" spans="1:23" x14ac:dyDescent="0.25">
      <c r="A154" s="451"/>
      <c r="B154" s="451"/>
      <c r="C154" s="456" t="s">
        <v>1066</v>
      </c>
      <c r="D154" s="448">
        <f t="shared" ref="D154:W154" si="101">D160+D166</f>
        <v>14.44</v>
      </c>
      <c r="E154" s="448">
        <f t="shared" si="101"/>
        <v>20.27</v>
      </c>
      <c r="F154" s="448">
        <f t="shared" si="101"/>
        <v>26.13</v>
      </c>
      <c r="G154" s="448">
        <f t="shared" si="101"/>
        <v>31.95</v>
      </c>
      <c r="H154" s="448">
        <f t="shared" si="101"/>
        <v>36.85</v>
      </c>
      <c r="I154" s="448">
        <f t="shared" si="101"/>
        <v>43.53</v>
      </c>
      <c r="J154" s="448">
        <f t="shared" si="101"/>
        <v>48.65</v>
      </c>
      <c r="K154" s="448">
        <f t="shared" si="101"/>
        <v>55.41</v>
      </c>
      <c r="L154" s="448">
        <f t="shared" si="101"/>
        <v>60.87</v>
      </c>
      <c r="M154" s="448">
        <f t="shared" si="101"/>
        <v>66.88</v>
      </c>
      <c r="N154" s="448">
        <f t="shared" si="101"/>
        <v>71.61</v>
      </c>
      <c r="O154" s="448">
        <f t="shared" si="101"/>
        <v>76.66</v>
      </c>
      <c r="P154" s="448">
        <f t="shared" si="101"/>
        <v>82.12</v>
      </c>
      <c r="Q154" s="448">
        <f t="shared" si="101"/>
        <v>87.17</v>
      </c>
      <c r="R154" s="448">
        <f t="shared" si="101"/>
        <v>92.48</v>
      </c>
      <c r="S154" s="448">
        <f t="shared" si="101"/>
        <v>97.02</v>
      </c>
      <c r="T154" s="448">
        <f t="shared" si="101"/>
        <v>101.73</v>
      </c>
      <c r="U154" s="448">
        <f t="shared" si="101"/>
        <v>106.77</v>
      </c>
      <c r="V154" s="448">
        <f t="shared" si="101"/>
        <v>111.1</v>
      </c>
      <c r="W154" s="448">
        <f t="shared" si="101"/>
        <v>115.58</v>
      </c>
    </row>
    <row r="155" spans="1:23" x14ac:dyDescent="0.25">
      <c r="A155" s="451"/>
      <c r="B155" s="451"/>
      <c r="C155" s="456" t="s">
        <v>1065</v>
      </c>
      <c r="D155" s="448">
        <f t="shared" ref="D155:W155" si="102">D162+D167</f>
        <v>6.93</v>
      </c>
      <c r="E155" s="448">
        <f t="shared" si="102"/>
        <v>11.14</v>
      </c>
      <c r="F155" s="448">
        <f t="shared" si="102"/>
        <v>15.15</v>
      </c>
      <c r="G155" s="448">
        <f t="shared" si="102"/>
        <v>19.54</v>
      </c>
      <c r="H155" s="448">
        <f t="shared" si="102"/>
        <v>23</v>
      </c>
      <c r="I155" s="448">
        <f t="shared" si="102"/>
        <v>27.76</v>
      </c>
      <c r="J155" s="448">
        <f t="shared" si="102"/>
        <v>31.22</v>
      </c>
      <c r="K155" s="448">
        <f t="shared" si="102"/>
        <v>36.17</v>
      </c>
      <c r="L155" s="448">
        <f t="shared" si="102"/>
        <v>40.200000000000003</v>
      </c>
      <c r="M155" s="448">
        <f t="shared" si="102"/>
        <v>44.79</v>
      </c>
      <c r="N155" s="448">
        <f t="shared" si="102"/>
        <v>48.07</v>
      </c>
      <c r="O155" s="448">
        <f t="shared" si="102"/>
        <v>51.72</v>
      </c>
      <c r="P155" s="448">
        <f t="shared" si="102"/>
        <v>55.36</v>
      </c>
      <c r="Q155" s="448">
        <f t="shared" si="102"/>
        <v>59.21</v>
      </c>
      <c r="R155" s="448">
        <f t="shared" si="102"/>
        <v>62.84</v>
      </c>
      <c r="S155" s="448">
        <f t="shared" si="102"/>
        <v>65.95</v>
      </c>
      <c r="T155" s="448">
        <f t="shared" si="102"/>
        <v>69.06</v>
      </c>
      <c r="U155" s="448">
        <f t="shared" si="102"/>
        <v>72.91</v>
      </c>
      <c r="V155" s="448">
        <f t="shared" si="102"/>
        <v>76.03</v>
      </c>
      <c r="W155" s="448">
        <f t="shared" si="102"/>
        <v>79.319999999999993</v>
      </c>
    </row>
    <row r="156" spans="1:23" x14ac:dyDescent="0.25">
      <c r="A156" s="451"/>
      <c r="B156" s="451"/>
      <c r="C156" s="455" t="s">
        <v>1064</v>
      </c>
      <c r="D156" s="454">
        <f>D99+D113/12*9+D114/12*9+D115/12*9</f>
        <v>5.89</v>
      </c>
      <c r="E156" s="454">
        <f t="shared" ref="E156:W156" si="103">E99+E113/12*9+E114/12*9+E115/12*9</f>
        <v>8.89</v>
      </c>
      <c r="F156" s="454">
        <f t="shared" si="103"/>
        <v>11.52</v>
      </c>
      <c r="G156" s="454">
        <f t="shared" si="103"/>
        <v>14.89</v>
      </c>
      <c r="H156" s="454">
        <f t="shared" si="103"/>
        <v>17.71</v>
      </c>
      <c r="I156" s="454">
        <f t="shared" si="103"/>
        <v>21.58</v>
      </c>
      <c r="J156" s="454">
        <f t="shared" si="103"/>
        <v>24.21</v>
      </c>
      <c r="K156" s="454">
        <f t="shared" si="103"/>
        <v>27.21</v>
      </c>
      <c r="L156" s="454">
        <f t="shared" si="103"/>
        <v>30.6</v>
      </c>
      <c r="M156" s="454">
        <f t="shared" si="103"/>
        <v>34.15</v>
      </c>
      <c r="N156" s="454">
        <f t="shared" si="103"/>
        <v>36.79</v>
      </c>
      <c r="O156" s="454">
        <f t="shared" si="103"/>
        <v>39.659999999999997</v>
      </c>
      <c r="P156" s="454">
        <f t="shared" si="103"/>
        <v>42.29</v>
      </c>
      <c r="Q156" s="454">
        <f t="shared" si="103"/>
        <v>45.29</v>
      </c>
      <c r="R156" s="454">
        <f t="shared" si="103"/>
        <v>48.11</v>
      </c>
      <c r="S156" s="454">
        <f t="shared" si="103"/>
        <v>50.98</v>
      </c>
      <c r="T156" s="454">
        <f t="shared" si="103"/>
        <v>53.62</v>
      </c>
      <c r="U156" s="454">
        <f t="shared" si="103"/>
        <v>56.61</v>
      </c>
      <c r="V156" s="454">
        <f t="shared" si="103"/>
        <v>59.25</v>
      </c>
      <c r="W156" s="454">
        <f t="shared" si="103"/>
        <v>62.06</v>
      </c>
    </row>
    <row r="157" spans="1:23" x14ac:dyDescent="0.25">
      <c r="A157" s="451"/>
      <c r="B157" s="451"/>
      <c r="C157" s="455" t="s">
        <v>1060</v>
      </c>
      <c r="D157" s="454">
        <f>D100+D113/12*9</f>
        <v>1.7</v>
      </c>
      <c r="E157" s="454">
        <f t="shared" ref="E157:W157" si="104">E100+E113/12*9</f>
        <v>3.39</v>
      </c>
      <c r="F157" s="454">
        <f t="shared" si="104"/>
        <v>5.08</v>
      </c>
      <c r="G157" s="454">
        <f t="shared" si="104"/>
        <v>6.76</v>
      </c>
      <c r="H157" s="454">
        <f t="shared" si="104"/>
        <v>8.4600000000000009</v>
      </c>
      <c r="I157" s="454">
        <f t="shared" si="104"/>
        <v>10.14</v>
      </c>
      <c r="J157" s="454">
        <f t="shared" si="104"/>
        <v>11.84</v>
      </c>
      <c r="K157" s="454">
        <f t="shared" si="104"/>
        <v>13.52</v>
      </c>
      <c r="L157" s="454">
        <f t="shared" si="104"/>
        <v>15.22</v>
      </c>
      <c r="M157" s="454">
        <f t="shared" si="104"/>
        <v>16.899999999999999</v>
      </c>
      <c r="N157" s="454">
        <f t="shared" si="104"/>
        <v>18.61</v>
      </c>
      <c r="O157" s="454">
        <f t="shared" si="104"/>
        <v>20.29</v>
      </c>
      <c r="P157" s="454">
        <f t="shared" si="104"/>
        <v>21.97</v>
      </c>
      <c r="Q157" s="454">
        <f t="shared" si="104"/>
        <v>23.66</v>
      </c>
      <c r="R157" s="454">
        <f t="shared" si="104"/>
        <v>25.36</v>
      </c>
      <c r="S157" s="454">
        <f t="shared" si="104"/>
        <v>27.04</v>
      </c>
      <c r="T157" s="454">
        <f t="shared" si="104"/>
        <v>28.74</v>
      </c>
      <c r="U157" s="454">
        <f t="shared" si="104"/>
        <v>30.42</v>
      </c>
      <c r="V157" s="454">
        <f t="shared" si="104"/>
        <v>32.119999999999997</v>
      </c>
      <c r="W157" s="454">
        <f t="shared" si="104"/>
        <v>33.81</v>
      </c>
    </row>
    <row r="158" spans="1:23" x14ac:dyDescent="0.25">
      <c r="A158" s="451"/>
      <c r="B158" s="451"/>
      <c r="C158" s="455" t="s">
        <v>1063</v>
      </c>
      <c r="D158" s="454">
        <f>D101+D113/12*9+D114/12*9+D115/12*9</f>
        <v>6.23</v>
      </c>
      <c r="E158" s="454">
        <f t="shared" ref="E158:W158" si="105">E101+E113/12*9+E114/12*9+E115/12*9</f>
        <v>9.32</v>
      </c>
      <c r="F158" s="454">
        <f t="shared" si="105"/>
        <v>12.06</v>
      </c>
      <c r="G158" s="454">
        <f t="shared" si="105"/>
        <v>15.51</v>
      </c>
      <c r="H158" s="454">
        <f t="shared" si="105"/>
        <v>18.43</v>
      </c>
      <c r="I158" s="454">
        <f t="shared" si="105"/>
        <v>22.39</v>
      </c>
      <c r="J158" s="454">
        <f t="shared" si="105"/>
        <v>25.12</v>
      </c>
      <c r="K158" s="454">
        <f t="shared" si="105"/>
        <v>28.21</v>
      </c>
      <c r="L158" s="454">
        <f t="shared" si="105"/>
        <v>31.69</v>
      </c>
      <c r="M158" s="454">
        <f t="shared" si="105"/>
        <v>35.340000000000003</v>
      </c>
      <c r="N158" s="454">
        <f t="shared" si="105"/>
        <v>38.08</v>
      </c>
      <c r="O158" s="454">
        <f t="shared" si="105"/>
        <v>40.79</v>
      </c>
      <c r="P158" s="454">
        <f t="shared" si="105"/>
        <v>43.51</v>
      </c>
      <c r="Q158" s="454">
        <f t="shared" si="105"/>
        <v>46.6</v>
      </c>
      <c r="R158" s="454">
        <f t="shared" si="105"/>
        <v>49.52</v>
      </c>
      <c r="S158" s="454">
        <f t="shared" si="105"/>
        <v>52.48</v>
      </c>
      <c r="T158" s="454">
        <f t="shared" si="105"/>
        <v>55.22</v>
      </c>
      <c r="U158" s="454">
        <f t="shared" si="105"/>
        <v>58.3</v>
      </c>
      <c r="V158" s="454">
        <f t="shared" si="105"/>
        <v>61.03</v>
      </c>
      <c r="W158" s="454">
        <f t="shared" si="105"/>
        <v>63.93</v>
      </c>
    </row>
    <row r="159" spans="1:23" x14ac:dyDescent="0.25">
      <c r="A159" s="451"/>
      <c r="B159" s="451"/>
      <c r="C159" s="455" t="s">
        <v>1060</v>
      </c>
      <c r="D159" s="454">
        <f>D102+D113/12*9</f>
        <v>1.8</v>
      </c>
      <c r="E159" s="454">
        <f t="shared" ref="E159:W159" si="106">E102+E113/12*9</f>
        <v>3.57</v>
      </c>
      <c r="F159" s="454">
        <f t="shared" si="106"/>
        <v>5.37</v>
      </c>
      <c r="G159" s="454">
        <f t="shared" si="106"/>
        <v>7.14</v>
      </c>
      <c r="H159" s="454">
        <f t="shared" si="106"/>
        <v>8.93</v>
      </c>
      <c r="I159" s="454">
        <f t="shared" si="106"/>
        <v>10.7</v>
      </c>
      <c r="J159" s="454">
        <f t="shared" si="106"/>
        <v>12.5</v>
      </c>
      <c r="K159" s="454">
        <f t="shared" si="106"/>
        <v>14.27</v>
      </c>
      <c r="L159" s="454">
        <f t="shared" si="106"/>
        <v>16.07</v>
      </c>
      <c r="M159" s="454">
        <f t="shared" si="106"/>
        <v>17.84</v>
      </c>
      <c r="N159" s="454">
        <f t="shared" si="106"/>
        <v>19.64</v>
      </c>
      <c r="O159" s="454">
        <f t="shared" si="106"/>
        <v>21.41</v>
      </c>
      <c r="P159" s="454">
        <f t="shared" si="106"/>
        <v>23.2</v>
      </c>
      <c r="Q159" s="454">
        <f t="shared" si="106"/>
        <v>24.97</v>
      </c>
      <c r="R159" s="454">
        <f t="shared" si="106"/>
        <v>26.77</v>
      </c>
      <c r="S159" s="454">
        <f t="shared" si="106"/>
        <v>28.54</v>
      </c>
      <c r="T159" s="454">
        <f t="shared" si="106"/>
        <v>30.34</v>
      </c>
      <c r="U159" s="454">
        <f t="shared" si="106"/>
        <v>32.11</v>
      </c>
      <c r="V159" s="454">
        <f t="shared" si="106"/>
        <v>33.909999999999997</v>
      </c>
      <c r="W159" s="454">
        <f t="shared" si="106"/>
        <v>35.68</v>
      </c>
    </row>
    <row r="160" spans="1:23" x14ac:dyDescent="0.25">
      <c r="A160" s="451"/>
      <c r="B160" s="451"/>
      <c r="C160" s="455" t="s">
        <v>1062</v>
      </c>
      <c r="D160" s="454">
        <f>D103+D113/12*9+D114/12*9+D115/12*9</f>
        <v>7.43</v>
      </c>
      <c r="E160" s="454">
        <f t="shared" ref="E160:W160" si="107">E103+E113/12*9+E114/12*9+E115/12*9</f>
        <v>11.73</v>
      </c>
      <c r="F160" s="454">
        <f t="shared" si="107"/>
        <v>15.66</v>
      </c>
      <c r="G160" s="454">
        <f t="shared" si="107"/>
        <v>20.329999999999998</v>
      </c>
      <c r="H160" s="454">
        <f t="shared" si="107"/>
        <v>24.45</v>
      </c>
      <c r="I160" s="454">
        <f t="shared" si="107"/>
        <v>29.61</v>
      </c>
      <c r="J160" s="454">
        <f t="shared" si="107"/>
        <v>33.54</v>
      </c>
      <c r="K160" s="454">
        <f t="shared" si="107"/>
        <v>37.840000000000003</v>
      </c>
      <c r="L160" s="454">
        <f t="shared" si="107"/>
        <v>42.52</v>
      </c>
      <c r="M160" s="454">
        <f t="shared" si="107"/>
        <v>47.38</v>
      </c>
      <c r="N160" s="454">
        <f t="shared" si="107"/>
        <v>51.32</v>
      </c>
      <c r="O160" s="454">
        <f t="shared" si="107"/>
        <v>55.23</v>
      </c>
      <c r="P160" s="454">
        <f t="shared" si="107"/>
        <v>59.15</v>
      </c>
      <c r="Q160" s="454">
        <f t="shared" si="107"/>
        <v>63.45</v>
      </c>
      <c r="R160" s="454">
        <f t="shared" si="107"/>
        <v>67.569999999999993</v>
      </c>
      <c r="S160" s="454">
        <f t="shared" si="107"/>
        <v>71.739999999999995</v>
      </c>
      <c r="T160" s="454">
        <f t="shared" si="107"/>
        <v>75.680000000000007</v>
      </c>
      <c r="U160" s="454">
        <f t="shared" si="107"/>
        <v>79.97</v>
      </c>
      <c r="V160" s="454">
        <f t="shared" si="107"/>
        <v>83.9</v>
      </c>
      <c r="W160" s="454">
        <f t="shared" si="107"/>
        <v>88.01</v>
      </c>
    </row>
    <row r="161" spans="1:26" x14ac:dyDescent="0.25">
      <c r="A161" s="451"/>
      <c r="B161" s="451"/>
      <c r="C161" s="455" t="s">
        <v>1060</v>
      </c>
      <c r="D161" s="454">
        <f>D104+D113/12*9</f>
        <v>3</v>
      </c>
      <c r="E161" s="454">
        <f t="shared" ref="E161:W161" si="108">E104+E113/12*9</f>
        <v>5.98</v>
      </c>
      <c r="F161" s="454">
        <f t="shared" si="108"/>
        <v>8.98</v>
      </c>
      <c r="G161" s="454">
        <f t="shared" si="108"/>
        <v>11.95</v>
      </c>
      <c r="H161" s="454">
        <f t="shared" si="108"/>
        <v>14.95</v>
      </c>
      <c r="I161" s="454">
        <f t="shared" si="108"/>
        <v>17.920000000000002</v>
      </c>
      <c r="J161" s="454">
        <f t="shared" si="108"/>
        <v>20.92</v>
      </c>
      <c r="K161" s="454">
        <f t="shared" si="108"/>
        <v>23.9</v>
      </c>
      <c r="L161" s="454">
        <f t="shared" si="108"/>
        <v>26.9</v>
      </c>
      <c r="M161" s="454">
        <f t="shared" si="108"/>
        <v>29.88</v>
      </c>
      <c r="N161" s="454">
        <f t="shared" si="108"/>
        <v>32.880000000000003</v>
      </c>
      <c r="O161" s="454">
        <f t="shared" si="108"/>
        <v>35.86</v>
      </c>
      <c r="P161" s="454">
        <f t="shared" si="108"/>
        <v>38.840000000000003</v>
      </c>
      <c r="Q161" s="454">
        <f t="shared" si="108"/>
        <v>41.83</v>
      </c>
      <c r="R161" s="454">
        <f t="shared" si="108"/>
        <v>44.82</v>
      </c>
      <c r="S161" s="454">
        <f t="shared" si="108"/>
        <v>47.8</v>
      </c>
      <c r="T161" s="454">
        <f t="shared" si="108"/>
        <v>50.8</v>
      </c>
      <c r="U161" s="454">
        <f t="shared" si="108"/>
        <v>53.78</v>
      </c>
      <c r="V161" s="454">
        <f t="shared" si="108"/>
        <v>56.77</v>
      </c>
      <c r="W161" s="454">
        <f t="shared" si="108"/>
        <v>59.76</v>
      </c>
    </row>
    <row r="162" spans="1:26" x14ac:dyDescent="0.25">
      <c r="A162" s="451"/>
      <c r="B162" s="451"/>
      <c r="C162" s="455" t="s">
        <v>1061</v>
      </c>
      <c r="D162" s="454">
        <f>D105+D113/12*9+D114/12*9+D115/12*9</f>
        <v>5.39</v>
      </c>
      <c r="E162" s="454">
        <f t="shared" ref="E162:W162" si="109">E105+E113/12*9+E114/12*9+E115/12*9</f>
        <v>8.39</v>
      </c>
      <c r="F162" s="454">
        <f t="shared" si="109"/>
        <v>11.02</v>
      </c>
      <c r="G162" s="454">
        <f t="shared" si="109"/>
        <v>14.4</v>
      </c>
      <c r="H162" s="454">
        <f t="shared" si="109"/>
        <v>17.21</v>
      </c>
      <c r="I162" s="454">
        <f t="shared" si="109"/>
        <v>20.58</v>
      </c>
      <c r="J162" s="454">
        <f t="shared" si="109"/>
        <v>23.22</v>
      </c>
      <c r="K162" s="454">
        <f t="shared" si="109"/>
        <v>26.22</v>
      </c>
      <c r="L162" s="454">
        <f t="shared" si="109"/>
        <v>29.6</v>
      </c>
      <c r="M162" s="454">
        <f t="shared" si="109"/>
        <v>33.17</v>
      </c>
      <c r="N162" s="454">
        <f t="shared" si="109"/>
        <v>35.799999999999997</v>
      </c>
      <c r="O162" s="454">
        <f t="shared" si="109"/>
        <v>38.43</v>
      </c>
      <c r="P162" s="454">
        <f t="shared" si="109"/>
        <v>41.05</v>
      </c>
      <c r="Q162" s="454">
        <f t="shared" si="109"/>
        <v>44.05</v>
      </c>
      <c r="R162" s="454">
        <f t="shared" si="109"/>
        <v>46.87</v>
      </c>
      <c r="S162" s="454">
        <f t="shared" si="109"/>
        <v>49.5</v>
      </c>
      <c r="T162" s="454">
        <f t="shared" si="109"/>
        <v>52.13</v>
      </c>
      <c r="U162" s="454">
        <f t="shared" si="109"/>
        <v>55.13</v>
      </c>
      <c r="V162" s="454">
        <f t="shared" si="109"/>
        <v>57.77</v>
      </c>
      <c r="W162" s="454">
        <f t="shared" si="109"/>
        <v>60.58</v>
      </c>
    </row>
    <row r="163" spans="1:26" x14ac:dyDescent="0.25">
      <c r="A163" s="451"/>
      <c r="B163" s="451"/>
      <c r="C163" s="455" t="s">
        <v>1060</v>
      </c>
      <c r="D163" s="454">
        <f>D106+D113/12*9</f>
        <v>1.51</v>
      </c>
      <c r="E163" s="454">
        <f t="shared" ref="E163:W163" si="110">E106+E113/12*9</f>
        <v>3.01</v>
      </c>
      <c r="F163" s="454">
        <f t="shared" si="110"/>
        <v>4.5199999999999996</v>
      </c>
      <c r="G163" s="454">
        <f t="shared" si="110"/>
        <v>6.02</v>
      </c>
      <c r="H163" s="454">
        <f t="shared" si="110"/>
        <v>7.52</v>
      </c>
      <c r="I163" s="454">
        <f t="shared" si="110"/>
        <v>9.02</v>
      </c>
      <c r="J163" s="454">
        <f t="shared" si="110"/>
        <v>10.53</v>
      </c>
      <c r="K163" s="454">
        <f t="shared" si="110"/>
        <v>12.03</v>
      </c>
      <c r="L163" s="454">
        <f t="shared" si="110"/>
        <v>13.54</v>
      </c>
      <c r="M163" s="454">
        <f t="shared" si="110"/>
        <v>15.04</v>
      </c>
      <c r="N163" s="454">
        <f t="shared" si="110"/>
        <v>16.55</v>
      </c>
      <c r="O163" s="454">
        <f t="shared" si="110"/>
        <v>18.05</v>
      </c>
      <c r="P163" s="454">
        <f t="shared" si="110"/>
        <v>19.55</v>
      </c>
      <c r="Q163" s="454">
        <f t="shared" si="110"/>
        <v>21.05</v>
      </c>
      <c r="R163" s="454">
        <f t="shared" si="110"/>
        <v>22.56</v>
      </c>
      <c r="S163" s="454">
        <f t="shared" si="110"/>
        <v>24.06</v>
      </c>
      <c r="T163" s="454">
        <f t="shared" si="110"/>
        <v>25.57</v>
      </c>
      <c r="U163" s="454">
        <f t="shared" si="110"/>
        <v>27.07</v>
      </c>
      <c r="V163" s="454">
        <f t="shared" si="110"/>
        <v>28.58</v>
      </c>
      <c r="W163" s="454">
        <f t="shared" si="110"/>
        <v>30.08</v>
      </c>
    </row>
    <row r="164" spans="1:26" x14ac:dyDescent="0.25">
      <c r="A164" s="451"/>
      <c r="B164" s="451"/>
      <c r="C164" s="453" t="s">
        <v>1059</v>
      </c>
      <c r="D164" s="452">
        <f t="shared" ref="D164:W167" si="111">D107</f>
        <v>6.92</v>
      </c>
      <c r="E164" s="452">
        <f t="shared" si="111"/>
        <v>8.35</v>
      </c>
      <c r="F164" s="452">
        <f t="shared" si="111"/>
        <v>10.18</v>
      </c>
      <c r="G164" s="452">
        <f t="shared" si="111"/>
        <v>11.24</v>
      </c>
      <c r="H164" s="452">
        <f t="shared" si="111"/>
        <v>11.93</v>
      </c>
      <c r="I164" s="452">
        <f t="shared" si="111"/>
        <v>13.36</v>
      </c>
      <c r="J164" s="452">
        <f t="shared" si="111"/>
        <v>14.45</v>
      </c>
      <c r="K164" s="452">
        <f t="shared" si="111"/>
        <v>16.82</v>
      </c>
      <c r="L164" s="452">
        <f t="shared" si="111"/>
        <v>17.510000000000002</v>
      </c>
      <c r="M164" s="452">
        <f t="shared" si="111"/>
        <v>18.559999999999999</v>
      </c>
      <c r="N164" s="452">
        <f t="shared" si="111"/>
        <v>19.25</v>
      </c>
      <c r="O164" s="452">
        <f t="shared" si="111"/>
        <v>20.309999999999999</v>
      </c>
      <c r="P164" s="452">
        <f t="shared" si="111"/>
        <v>21.75</v>
      </c>
      <c r="Q164" s="452">
        <f t="shared" si="111"/>
        <v>22.41</v>
      </c>
      <c r="R164" s="452">
        <f t="shared" si="111"/>
        <v>23.5</v>
      </c>
      <c r="S164" s="452">
        <f t="shared" si="111"/>
        <v>23.78</v>
      </c>
      <c r="T164" s="452">
        <f t="shared" si="111"/>
        <v>24.45</v>
      </c>
      <c r="U164" s="452">
        <f t="shared" si="111"/>
        <v>25.12</v>
      </c>
      <c r="V164" s="452">
        <f t="shared" si="111"/>
        <v>25.41</v>
      </c>
      <c r="W164" s="452">
        <f t="shared" si="111"/>
        <v>25.7</v>
      </c>
    </row>
    <row r="165" spans="1:26" x14ac:dyDescent="0.25">
      <c r="A165" s="451"/>
      <c r="B165" s="451"/>
      <c r="C165" s="453" t="s">
        <v>1058</v>
      </c>
      <c r="D165" s="452">
        <f t="shared" si="111"/>
        <v>7.01</v>
      </c>
      <c r="E165" s="452">
        <f t="shared" si="111"/>
        <v>8.5399999999999991</v>
      </c>
      <c r="F165" s="452">
        <f t="shared" si="111"/>
        <v>10.47</v>
      </c>
      <c r="G165" s="452">
        <f t="shared" si="111"/>
        <v>11.62</v>
      </c>
      <c r="H165" s="452">
        <f t="shared" si="111"/>
        <v>12.4</v>
      </c>
      <c r="I165" s="452">
        <f t="shared" si="111"/>
        <v>13.92</v>
      </c>
      <c r="J165" s="452">
        <f t="shared" si="111"/>
        <v>15.11</v>
      </c>
      <c r="K165" s="452">
        <f t="shared" si="111"/>
        <v>17.57</v>
      </c>
      <c r="L165" s="452">
        <f t="shared" si="111"/>
        <v>18.350000000000001</v>
      </c>
      <c r="M165" s="452">
        <f t="shared" si="111"/>
        <v>19.5</v>
      </c>
      <c r="N165" s="452">
        <f t="shared" si="111"/>
        <v>20.29</v>
      </c>
      <c r="O165" s="452">
        <f t="shared" si="111"/>
        <v>21.43</v>
      </c>
      <c r="P165" s="452">
        <f t="shared" si="111"/>
        <v>22.97</v>
      </c>
      <c r="Q165" s="452">
        <f t="shared" si="111"/>
        <v>23.72</v>
      </c>
      <c r="R165" s="452">
        <f t="shared" si="111"/>
        <v>24.91</v>
      </c>
      <c r="S165" s="452">
        <f t="shared" si="111"/>
        <v>25.28</v>
      </c>
      <c r="T165" s="452">
        <f t="shared" si="111"/>
        <v>26.05</v>
      </c>
      <c r="U165" s="452">
        <f t="shared" si="111"/>
        <v>26.8</v>
      </c>
      <c r="V165" s="452">
        <f t="shared" si="111"/>
        <v>27.2</v>
      </c>
      <c r="W165" s="452">
        <f t="shared" si="111"/>
        <v>27.57</v>
      </c>
    </row>
    <row r="166" spans="1:26" x14ac:dyDescent="0.25">
      <c r="A166" s="451"/>
      <c r="B166" s="451"/>
      <c r="C166" s="453" t="s">
        <v>1057</v>
      </c>
      <c r="D166" s="452">
        <f>D109</f>
        <v>7.01</v>
      </c>
      <c r="E166" s="452">
        <f t="shared" si="111"/>
        <v>8.5399999999999991</v>
      </c>
      <c r="F166" s="452">
        <f t="shared" si="111"/>
        <v>10.47</v>
      </c>
      <c r="G166" s="452">
        <f t="shared" si="111"/>
        <v>11.62</v>
      </c>
      <c r="H166" s="452">
        <f t="shared" si="111"/>
        <v>12.4</v>
      </c>
      <c r="I166" s="452">
        <f t="shared" si="111"/>
        <v>13.92</v>
      </c>
      <c r="J166" s="452">
        <f t="shared" si="111"/>
        <v>15.11</v>
      </c>
      <c r="K166" s="452">
        <f t="shared" si="111"/>
        <v>17.57</v>
      </c>
      <c r="L166" s="452">
        <f t="shared" si="111"/>
        <v>18.350000000000001</v>
      </c>
      <c r="M166" s="452">
        <f t="shared" si="111"/>
        <v>19.5</v>
      </c>
      <c r="N166" s="452">
        <f t="shared" si="111"/>
        <v>20.29</v>
      </c>
      <c r="O166" s="452">
        <f t="shared" si="111"/>
        <v>21.43</v>
      </c>
      <c r="P166" s="452">
        <f t="shared" si="111"/>
        <v>22.97</v>
      </c>
      <c r="Q166" s="452">
        <f t="shared" si="111"/>
        <v>23.72</v>
      </c>
      <c r="R166" s="452">
        <f t="shared" si="111"/>
        <v>24.91</v>
      </c>
      <c r="S166" s="452">
        <f t="shared" si="111"/>
        <v>25.28</v>
      </c>
      <c r="T166" s="452">
        <f t="shared" si="111"/>
        <v>26.05</v>
      </c>
      <c r="U166" s="452">
        <f t="shared" si="111"/>
        <v>26.8</v>
      </c>
      <c r="V166" s="452">
        <f t="shared" si="111"/>
        <v>27.2</v>
      </c>
      <c r="W166" s="452">
        <f t="shared" si="111"/>
        <v>27.57</v>
      </c>
    </row>
    <row r="167" spans="1:26" x14ac:dyDescent="0.25">
      <c r="A167" s="451"/>
      <c r="B167" s="451"/>
      <c r="C167" s="453" t="s">
        <v>1056</v>
      </c>
      <c r="D167" s="452">
        <f t="shared" si="111"/>
        <v>1.54</v>
      </c>
      <c r="E167" s="452">
        <f t="shared" si="111"/>
        <v>2.75</v>
      </c>
      <c r="F167" s="452">
        <f t="shared" si="111"/>
        <v>4.13</v>
      </c>
      <c r="G167" s="452">
        <f t="shared" si="111"/>
        <v>5.14</v>
      </c>
      <c r="H167" s="452">
        <f t="shared" si="111"/>
        <v>5.79</v>
      </c>
      <c r="I167" s="452">
        <f t="shared" si="111"/>
        <v>7.18</v>
      </c>
      <c r="J167" s="452">
        <f t="shared" si="111"/>
        <v>8</v>
      </c>
      <c r="K167" s="452">
        <f t="shared" si="111"/>
        <v>9.9499999999999993</v>
      </c>
      <c r="L167" s="452">
        <f t="shared" si="111"/>
        <v>10.6</v>
      </c>
      <c r="M167" s="452">
        <f t="shared" si="111"/>
        <v>11.62</v>
      </c>
      <c r="N167" s="452">
        <f t="shared" si="111"/>
        <v>12.27</v>
      </c>
      <c r="O167" s="452">
        <f t="shared" si="111"/>
        <v>13.29</v>
      </c>
      <c r="P167" s="452">
        <f t="shared" si="111"/>
        <v>14.31</v>
      </c>
      <c r="Q167" s="452">
        <f t="shared" si="111"/>
        <v>15.16</v>
      </c>
      <c r="R167" s="452">
        <f t="shared" si="111"/>
        <v>15.97</v>
      </c>
      <c r="S167" s="452">
        <f t="shared" si="111"/>
        <v>16.45</v>
      </c>
      <c r="T167" s="452">
        <f t="shared" si="111"/>
        <v>16.93</v>
      </c>
      <c r="U167" s="452">
        <f t="shared" si="111"/>
        <v>17.78</v>
      </c>
      <c r="V167" s="452">
        <f t="shared" si="111"/>
        <v>18.260000000000002</v>
      </c>
      <c r="W167" s="452">
        <f t="shared" si="111"/>
        <v>18.739999999999998</v>
      </c>
    </row>
    <row r="172" spans="1:26" hidden="1" x14ac:dyDescent="0.25">
      <c r="A172" s="451"/>
      <c r="B172" s="451"/>
      <c r="C172" s="450" t="s">
        <v>1055</v>
      </c>
      <c r="D172" s="448">
        <f>D38+D40+D41+D44+D45+D46+D47+D48+D49+D56</f>
        <v>7.63</v>
      </c>
      <c r="E172" s="448">
        <f t="shared" ref="E172:W172" si="112">E38+E40+E41+E44+E45+E46+E47+E48+E49+E56</f>
        <v>9.5</v>
      </c>
      <c r="F172" s="448">
        <f t="shared" si="112"/>
        <v>11.88</v>
      </c>
      <c r="G172" s="448">
        <f t="shared" si="112"/>
        <v>13.25</v>
      </c>
      <c r="H172" s="448">
        <f t="shared" si="112"/>
        <v>14.13</v>
      </c>
      <c r="I172" s="448">
        <f t="shared" si="112"/>
        <v>16</v>
      </c>
      <c r="J172" s="448">
        <f t="shared" si="112"/>
        <v>17.38</v>
      </c>
      <c r="K172" s="449">
        <f t="shared" si="112"/>
        <v>20.5</v>
      </c>
      <c r="L172" s="448">
        <f t="shared" si="112"/>
        <v>21.38</v>
      </c>
      <c r="M172" s="448">
        <f t="shared" si="112"/>
        <v>22.75</v>
      </c>
      <c r="N172" s="448">
        <f t="shared" si="112"/>
        <v>23.63</v>
      </c>
      <c r="O172" s="448">
        <f t="shared" si="112"/>
        <v>25</v>
      </c>
      <c r="P172" s="448">
        <f t="shared" si="112"/>
        <v>26.88</v>
      </c>
      <c r="Q172" s="448">
        <f t="shared" si="112"/>
        <v>27.75</v>
      </c>
      <c r="R172" s="448">
        <f t="shared" si="112"/>
        <v>29.13</v>
      </c>
      <c r="S172" s="448">
        <f t="shared" si="112"/>
        <v>29.5</v>
      </c>
      <c r="T172" s="448">
        <f t="shared" si="112"/>
        <v>30.38</v>
      </c>
      <c r="U172" s="448">
        <f t="shared" si="112"/>
        <v>31.25</v>
      </c>
      <c r="V172" s="448">
        <f t="shared" si="112"/>
        <v>31.63</v>
      </c>
      <c r="W172" s="448">
        <f t="shared" si="112"/>
        <v>32</v>
      </c>
      <c r="Z172" s="449">
        <f>Z38+Z40+Z41+Z44+Z45+Z46+Z47+Z48+Z49+Z56</f>
        <v>20.5</v>
      </c>
    </row>
    <row r="173" spans="1:26" hidden="1" x14ac:dyDescent="0.25">
      <c r="A173" s="451"/>
      <c r="B173" s="451"/>
      <c r="C173" s="450" t="s">
        <v>1054</v>
      </c>
      <c r="D173" s="448">
        <f>D40+D41+D44+D45+D47</f>
        <v>2.5</v>
      </c>
      <c r="E173" s="448">
        <f t="shared" ref="E173:W173" si="113">E40+E41+E44+E45+E47</f>
        <v>4</v>
      </c>
      <c r="F173" s="448">
        <f t="shared" si="113"/>
        <v>5.5</v>
      </c>
      <c r="G173" s="448">
        <f t="shared" si="113"/>
        <v>6.75</v>
      </c>
      <c r="H173" s="448">
        <f t="shared" si="113"/>
        <v>7.5</v>
      </c>
      <c r="I173" s="448">
        <f t="shared" si="113"/>
        <v>9.25</v>
      </c>
      <c r="J173" s="448">
        <f t="shared" si="113"/>
        <v>10.5</v>
      </c>
      <c r="K173" s="449">
        <f t="shared" si="113"/>
        <v>12</v>
      </c>
      <c r="L173" s="448">
        <f t="shared" si="113"/>
        <v>12.75</v>
      </c>
      <c r="M173" s="448">
        <f t="shared" si="113"/>
        <v>14</v>
      </c>
      <c r="N173" s="448">
        <f t="shared" si="113"/>
        <v>14.75</v>
      </c>
      <c r="O173" s="448">
        <f t="shared" si="113"/>
        <v>16</v>
      </c>
      <c r="P173" s="448">
        <f t="shared" si="113"/>
        <v>16.75</v>
      </c>
      <c r="Q173" s="448">
        <f t="shared" si="113"/>
        <v>17.5</v>
      </c>
      <c r="R173" s="448">
        <f t="shared" si="113"/>
        <v>18.75</v>
      </c>
      <c r="S173" s="448">
        <f t="shared" si="113"/>
        <v>19</v>
      </c>
      <c r="T173" s="448">
        <f t="shared" si="113"/>
        <v>19.25</v>
      </c>
      <c r="U173" s="448">
        <f t="shared" si="113"/>
        <v>19.5</v>
      </c>
      <c r="V173" s="448">
        <f t="shared" si="113"/>
        <v>19.75</v>
      </c>
      <c r="W173" s="448">
        <f t="shared" si="113"/>
        <v>20</v>
      </c>
      <c r="Z173" s="449">
        <f>Z40+Z41+Z44+Z45+Z47</f>
        <v>12</v>
      </c>
    </row>
    <row r="174" spans="1:26" ht="45" hidden="1" x14ac:dyDescent="0.25">
      <c r="A174" s="451"/>
      <c r="B174" s="451"/>
      <c r="C174" s="450" t="s">
        <v>1053</v>
      </c>
      <c r="D174" s="448">
        <f>D172*6204*1.302*12</f>
        <v>739585.79</v>
      </c>
      <c r="E174" s="448">
        <f t="shared" ref="E174:W174" si="114">E172*6204*1.302*12</f>
        <v>920847.31</v>
      </c>
      <c r="F174" s="448">
        <f t="shared" si="114"/>
        <v>1151543.8</v>
      </c>
      <c r="G174" s="448">
        <f t="shared" si="114"/>
        <v>1284339.67</v>
      </c>
      <c r="H174" s="448">
        <f t="shared" si="114"/>
        <v>1369639.21</v>
      </c>
      <c r="I174" s="448">
        <f t="shared" si="114"/>
        <v>1550900.74</v>
      </c>
      <c r="J174" s="448">
        <f t="shared" si="114"/>
        <v>1684665.92</v>
      </c>
      <c r="K174" s="448">
        <f t="shared" si="114"/>
        <v>1987091.57</v>
      </c>
      <c r="L174" s="448">
        <f t="shared" si="114"/>
        <v>2072391.11</v>
      </c>
      <c r="M174" s="448">
        <f t="shared" si="114"/>
        <v>2205186.98</v>
      </c>
      <c r="N174" s="448">
        <f t="shared" si="114"/>
        <v>2290486.52</v>
      </c>
      <c r="O174" s="448">
        <f t="shared" si="114"/>
        <v>2423282.4</v>
      </c>
      <c r="P174" s="448">
        <f t="shared" si="114"/>
        <v>2605513.2400000002</v>
      </c>
      <c r="Q174" s="448">
        <f t="shared" si="114"/>
        <v>2689843.46</v>
      </c>
      <c r="R174" s="448">
        <f t="shared" si="114"/>
        <v>2823608.65</v>
      </c>
      <c r="S174" s="448">
        <f t="shared" si="114"/>
        <v>2859473.23</v>
      </c>
      <c r="T174" s="448">
        <f t="shared" si="114"/>
        <v>2944772.77</v>
      </c>
      <c r="U174" s="448">
        <f t="shared" si="114"/>
        <v>3029103</v>
      </c>
      <c r="V174" s="448">
        <f t="shared" si="114"/>
        <v>3065936.89</v>
      </c>
      <c r="W174" s="448">
        <f t="shared" si="114"/>
        <v>3101801.47</v>
      </c>
      <c r="Z174" s="448">
        <f>Z172*6204*1.302*12</f>
        <v>1987091.57</v>
      </c>
    </row>
    <row r="175" spans="1:26" ht="30" hidden="1" x14ac:dyDescent="0.25">
      <c r="A175" s="451"/>
      <c r="B175" s="451"/>
      <c r="C175" s="450" t="s">
        <v>1052</v>
      </c>
      <c r="D175" s="448">
        <f t="shared" ref="D175:W175" si="115">D174/D7</f>
        <v>36979.29</v>
      </c>
      <c r="E175" s="448">
        <f t="shared" si="115"/>
        <v>23021.18</v>
      </c>
      <c r="F175" s="448">
        <f t="shared" si="115"/>
        <v>19192.400000000001</v>
      </c>
      <c r="G175" s="448">
        <f t="shared" si="115"/>
        <v>16054.25</v>
      </c>
      <c r="H175" s="448">
        <f t="shared" si="115"/>
        <v>13696.39</v>
      </c>
      <c r="I175" s="448">
        <f t="shared" si="115"/>
        <v>12924.17</v>
      </c>
      <c r="J175" s="448">
        <f t="shared" si="115"/>
        <v>12033.33</v>
      </c>
      <c r="K175" s="449">
        <f t="shared" si="115"/>
        <v>12419.32</v>
      </c>
      <c r="L175" s="448">
        <f t="shared" si="115"/>
        <v>11513.28</v>
      </c>
      <c r="M175" s="448">
        <f t="shared" si="115"/>
        <v>11025.93</v>
      </c>
      <c r="N175" s="448">
        <f t="shared" si="115"/>
        <v>10411.299999999999</v>
      </c>
      <c r="O175" s="448">
        <f t="shared" si="115"/>
        <v>10097.01</v>
      </c>
      <c r="P175" s="448">
        <f t="shared" si="115"/>
        <v>10021.200000000001</v>
      </c>
      <c r="Q175" s="448">
        <f t="shared" si="115"/>
        <v>9606.58</v>
      </c>
      <c r="R175" s="448">
        <f t="shared" si="115"/>
        <v>9412.0300000000007</v>
      </c>
      <c r="S175" s="448">
        <f t="shared" si="115"/>
        <v>8935.85</v>
      </c>
      <c r="T175" s="448">
        <f t="shared" si="115"/>
        <v>8661.1</v>
      </c>
      <c r="U175" s="448">
        <f t="shared" si="115"/>
        <v>8414.18</v>
      </c>
      <c r="V175" s="448">
        <f t="shared" si="115"/>
        <v>8068.25</v>
      </c>
      <c r="W175" s="448">
        <f t="shared" si="115"/>
        <v>7754.5</v>
      </c>
      <c r="Z175" s="449">
        <f>Z174/Z7</f>
        <v>12419.32</v>
      </c>
    </row>
    <row r="176" spans="1:26" ht="45" hidden="1" customHeight="1" x14ac:dyDescent="0.25">
      <c r="C176" s="447" t="s">
        <v>1051</v>
      </c>
      <c r="D176" s="446">
        <f>D175/$K175</f>
        <v>2.98</v>
      </c>
      <c r="E176" s="446">
        <f t="shared" ref="E176:W176" si="116">E175/$K175</f>
        <v>1.85</v>
      </c>
      <c r="F176" s="446">
        <f t="shared" si="116"/>
        <v>1.55</v>
      </c>
      <c r="G176" s="446">
        <f t="shared" si="116"/>
        <v>1.29</v>
      </c>
      <c r="H176" s="446">
        <f t="shared" si="116"/>
        <v>1.1000000000000001</v>
      </c>
      <c r="I176" s="446">
        <f t="shared" si="116"/>
        <v>1.04</v>
      </c>
      <c r="J176" s="446">
        <f t="shared" si="116"/>
        <v>0.97</v>
      </c>
      <c r="K176" s="446">
        <f t="shared" si="116"/>
        <v>1</v>
      </c>
      <c r="L176" s="446">
        <f t="shared" si="116"/>
        <v>0.93</v>
      </c>
      <c r="M176" s="446">
        <f t="shared" si="116"/>
        <v>0.89</v>
      </c>
      <c r="N176" s="446">
        <f t="shared" si="116"/>
        <v>0.84</v>
      </c>
      <c r="O176" s="446">
        <f t="shared" si="116"/>
        <v>0.81</v>
      </c>
      <c r="P176" s="446">
        <f t="shared" si="116"/>
        <v>0.81</v>
      </c>
      <c r="Q176" s="446">
        <f t="shared" si="116"/>
        <v>0.77</v>
      </c>
      <c r="R176" s="446">
        <f t="shared" si="116"/>
        <v>0.76</v>
      </c>
      <c r="S176" s="446">
        <f t="shared" si="116"/>
        <v>0.72</v>
      </c>
      <c r="T176" s="446">
        <f t="shared" si="116"/>
        <v>0.7</v>
      </c>
      <c r="U176" s="446">
        <f t="shared" si="116"/>
        <v>0.68</v>
      </c>
      <c r="V176" s="446">
        <f t="shared" si="116"/>
        <v>0.65</v>
      </c>
      <c r="W176" s="446">
        <f t="shared" si="116"/>
        <v>0.62</v>
      </c>
      <c r="Z176" s="446">
        <f>Z175/$K175</f>
        <v>1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V70"/>
  <sheetViews>
    <sheetView view="pageBreakPreview" zoomScale="6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T117" sqref="AT117"/>
    </sheetView>
  </sheetViews>
  <sheetFormatPr defaultRowHeight="15" x14ac:dyDescent="0.25"/>
  <cols>
    <col min="1" max="1" width="21.7109375" style="435" customWidth="1"/>
    <col min="2" max="2" width="9.5703125" style="435" customWidth="1"/>
    <col min="3" max="3" width="8.140625" style="435" customWidth="1"/>
    <col min="4" max="4" width="6.140625" style="435" hidden="1" customWidth="1"/>
    <col min="5" max="5" width="11.28515625" style="435" hidden="1" customWidth="1"/>
    <col min="6" max="6" width="6.140625" style="435" hidden="1" customWidth="1"/>
    <col min="7" max="7" width="11.28515625" style="435" hidden="1" customWidth="1"/>
    <col min="8" max="8" width="5" style="435" hidden="1" customWidth="1"/>
    <col min="9" max="9" width="10.140625" style="435" hidden="1" customWidth="1"/>
    <col min="10" max="10" width="5" style="435" hidden="1" customWidth="1"/>
    <col min="11" max="11" width="10.140625" style="435" hidden="1" customWidth="1"/>
    <col min="12" max="12" width="5" style="435" hidden="1" customWidth="1"/>
    <col min="13" max="13" width="10.140625" style="435" hidden="1" customWidth="1"/>
    <col min="14" max="14" width="5" style="435" hidden="1" customWidth="1"/>
    <col min="15" max="15" width="10.140625" style="435" hidden="1" customWidth="1"/>
    <col min="16" max="16" width="5" style="435" hidden="1" customWidth="1"/>
    <col min="17" max="17" width="10.140625" style="435" hidden="1" customWidth="1"/>
    <col min="18" max="18" width="5" style="435" hidden="1" customWidth="1"/>
    <col min="19" max="19" width="10.140625" style="435" hidden="1" customWidth="1"/>
    <col min="20" max="20" width="5" style="435" hidden="1" customWidth="1"/>
    <col min="21" max="21" width="10.140625" style="435" hidden="1" customWidth="1"/>
    <col min="22" max="22" width="5" style="435" hidden="1" customWidth="1"/>
    <col min="23" max="23" width="9" style="435" hidden="1" customWidth="1"/>
    <col min="24" max="26" width="5" style="435" hidden="1" customWidth="1"/>
    <col min="27" max="27" width="9" style="435" hidden="1" customWidth="1"/>
    <col min="28" max="28" width="5" style="435" hidden="1" customWidth="1"/>
    <col min="29" max="29" width="9" style="435" hidden="1" customWidth="1"/>
    <col min="30" max="31" width="5" style="435" hidden="1" customWidth="1"/>
    <col min="32" max="32" width="8.28515625" style="435" hidden="1" customWidth="1"/>
    <col min="33" max="33" width="12.5703125" style="435" hidden="1" customWidth="1"/>
    <col min="34" max="34" width="8.28515625" style="435" hidden="1" customWidth="1"/>
    <col min="35" max="35" width="12.5703125" style="435" hidden="1" customWidth="1"/>
    <col min="36" max="46" width="9" style="435" customWidth="1"/>
    <col min="47" max="47" width="7.28515625" style="435" hidden="1" customWidth="1"/>
    <col min="48" max="48" width="13.42578125" style="435" hidden="1" customWidth="1"/>
    <col min="49" max="16384" width="9.140625" style="435"/>
  </cols>
  <sheetData>
    <row r="1" spans="1:48" ht="12.75" customHeight="1" x14ac:dyDescent="0.25"/>
    <row r="2" spans="1:48" ht="44.25" customHeight="1" x14ac:dyDescent="0.25">
      <c r="B2" s="1390" t="s">
        <v>1131</v>
      </c>
      <c r="C2" s="1390"/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  <c r="Q2" s="1390"/>
      <c r="R2" s="1390"/>
      <c r="S2" s="1390"/>
      <c r="T2" s="1390"/>
      <c r="U2" s="1390"/>
      <c r="V2" s="1390"/>
      <c r="W2" s="1390"/>
      <c r="X2" s="1390"/>
      <c r="Y2" s="1390"/>
      <c r="Z2" s="1390"/>
      <c r="AA2" s="1390"/>
      <c r="AB2" s="1390"/>
      <c r="AC2" s="1390"/>
      <c r="AD2" s="1390"/>
      <c r="AE2" s="1390"/>
      <c r="AF2" s="1390"/>
      <c r="AG2" s="1390"/>
      <c r="AH2" s="1390"/>
      <c r="AI2" s="1390"/>
      <c r="AJ2" s="1390"/>
      <c r="AK2" s="1390"/>
      <c r="AL2" s="1390"/>
      <c r="AM2" s="1390"/>
      <c r="AN2" s="1390"/>
      <c r="AO2" s="1390"/>
      <c r="AP2" s="1390"/>
      <c r="AQ2" s="1390"/>
      <c r="AR2" s="1390"/>
      <c r="AS2" s="1390"/>
      <c r="AT2" s="1390"/>
    </row>
    <row r="3" spans="1:48" ht="8.25" customHeight="1" x14ac:dyDescent="0.25">
      <c r="A3" s="1391"/>
      <c r="B3" s="1391"/>
      <c r="C3" s="1391"/>
      <c r="D3" s="1391"/>
      <c r="E3" s="1391"/>
      <c r="F3" s="1391"/>
      <c r="G3" s="1391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499"/>
    </row>
    <row r="4" spans="1:48" ht="67.5" customHeight="1" x14ac:dyDescent="0.25">
      <c r="A4" s="1392" t="s">
        <v>1132</v>
      </c>
      <c r="B4" s="1392" t="s">
        <v>1133</v>
      </c>
      <c r="C4" s="1392" t="s">
        <v>1134</v>
      </c>
      <c r="D4" s="1388" t="s">
        <v>1135</v>
      </c>
      <c r="E4" s="1389"/>
      <c r="F4" s="1388" t="s">
        <v>1136</v>
      </c>
      <c r="G4" s="1389"/>
      <c r="H4" s="1388" t="s">
        <v>1137</v>
      </c>
      <c r="I4" s="1389"/>
      <c r="J4" s="1388" t="s">
        <v>1138</v>
      </c>
      <c r="K4" s="1389"/>
      <c r="L4" s="1388" t="s">
        <v>1139</v>
      </c>
      <c r="M4" s="1389"/>
      <c r="N4" s="1388" t="s">
        <v>1140</v>
      </c>
      <c r="O4" s="1389"/>
      <c r="P4" s="1388" t="s">
        <v>1141</v>
      </c>
      <c r="Q4" s="1389"/>
      <c r="R4" s="1388" t="s">
        <v>1142</v>
      </c>
      <c r="S4" s="1389"/>
      <c r="T4" s="1388" t="s">
        <v>1143</v>
      </c>
      <c r="U4" s="1389"/>
      <c r="V4" s="1388" t="s">
        <v>1144</v>
      </c>
      <c r="W4" s="1389"/>
      <c r="X4" s="1388" t="s">
        <v>1145</v>
      </c>
      <c r="Y4" s="1389"/>
      <c r="Z4" s="1388" t="s">
        <v>1146</v>
      </c>
      <c r="AA4" s="1389"/>
      <c r="AB4" s="1388" t="s">
        <v>1145</v>
      </c>
      <c r="AC4" s="1389"/>
      <c r="AD4" s="1388" t="s">
        <v>1147</v>
      </c>
      <c r="AE4" s="1389"/>
      <c r="AF4" s="1394" t="s">
        <v>1148</v>
      </c>
      <c r="AG4" s="1395"/>
      <c r="AH4" s="1394" t="s">
        <v>1149</v>
      </c>
      <c r="AI4" s="1395"/>
      <c r="AJ4" s="1396" t="s">
        <v>1150</v>
      </c>
      <c r="AK4" s="1399"/>
      <c r="AL4" s="1399"/>
      <c r="AM4" s="1399"/>
      <c r="AN4" s="1399"/>
      <c r="AO4" s="1399"/>
      <c r="AP4" s="1399"/>
      <c r="AQ4" s="1397"/>
      <c r="AR4" s="1396" t="s">
        <v>1151</v>
      </c>
      <c r="AS4" s="1397"/>
      <c r="AT4" s="1398" t="s">
        <v>1152</v>
      </c>
      <c r="AU4" s="1394" t="s">
        <v>1153</v>
      </c>
      <c r="AV4" s="1395"/>
    </row>
    <row r="5" spans="1:48" ht="50.25" customHeight="1" x14ac:dyDescent="0.25">
      <c r="A5" s="1393"/>
      <c r="B5" s="1393"/>
      <c r="C5" s="1393"/>
      <c r="D5" s="500" t="s">
        <v>1154</v>
      </c>
      <c r="E5" s="500" t="s">
        <v>1155</v>
      </c>
      <c r="F5" s="500" t="s">
        <v>1154</v>
      </c>
      <c r="G5" s="500" t="s">
        <v>1155</v>
      </c>
      <c r="H5" s="500" t="s">
        <v>1154</v>
      </c>
      <c r="I5" s="500" t="s">
        <v>1155</v>
      </c>
      <c r="J5" s="500" t="s">
        <v>1154</v>
      </c>
      <c r="K5" s="500" t="s">
        <v>1155</v>
      </c>
      <c r="L5" s="500" t="s">
        <v>1154</v>
      </c>
      <c r="M5" s="500" t="s">
        <v>1155</v>
      </c>
      <c r="N5" s="500" t="s">
        <v>1154</v>
      </c>
      <c r="O5" s="500" t="s">
        <v>1155</v>
      </c>
      <c r="P5" s="500" t="s">
        <v>1154</v>
      </c>
      <c r="Q5" s="500" t="s">
        <v>1155</v>
      </c>
      <c r="R5" s="500" t="s">
        <v>1154</v>
      </c>
      <c r="S5" s="500" t="s">
        <v>1155</v>
      </c>
      <c r="T5" s="500" t="s">
        <v>1154</v>
      </c>
      <c r="U5" s="500" t="s">
        <v>1155</v>
      </c>
      <c r="V5" s="500" t="s">
        <v>1154</v>
      </c>
      <c r="W5" s="500" t="s">
        <v>1155</v>
      </c>
      <c r="X5" s="500" t="s">
        <v>1154</v>
      </c>
      <c r="Y5" s="500" t="s">
        <v>1155</v>
      </c>
      <c r="Z5" s="500" t="s">
        <v>1154</v>
      </c>
      <c r="AA5" s="500" t="s">
        <v>1155</v>
      </c>
      <c r="AB5" s="500" t="s">
        <v>1154</v>
      </c>
      <c r="AC5" s="500" t="s">
        <v>1155</v>
      </c>
      <c r="AD5" s="500" t="s">
        <v>1154</v>
      </c>
      <c r="AE5" s="500" t="s">
        <v>1155</v>
      </c>
      <c r="AF5" s="501" t="s">
        <v>1154</v>
      </c>
      <c r="AG5" s="501" t="s">
        <v>1155</v>
      </c>
      <c r="AH5" s="501" t="s">
        <v>1154</v>
      </c>
      <c r="AI5" s="501" t="s">
        <v>1155</v>
      </c>
      <c r="AJ5" s="1388" t="s">
        <v>1156</v>
      </c>
      <c r="AK5" s="1389"/>
      <c r="AL5" s="1388" t="s">
        <v>1157</v>
      </c>
      <c r="AM5" s="1389"/>
      <c r="AN5" s="1388" t="s">
        <v>1158</v>
      </c>
      <c r="AO5" s="1389"/>
      <c r="AP5" s="1388" t="s">
        <v>1159</v>
      </c>
      <c r="AQ5" s="1389"/>
      <c r="AR5" s="1388" t="s">
        <v>1160</v>
      </c>
      <c r="AS5" s="1389"/>
      <c r="AT5" s="1330"/>
      <c r="AU5" s="501" t="s">
        <v>1154</v>
      </c>
      <c r="AV5" s="501" t="s">
        <v>1155</v>
      </c>
    </row>
    <row r="6" spans="1:48" ht="35.25" customHeight="1" x14ac:dyDescent="0.25">
      <c r="A6" s="502"/>
      <c r="B6" s="502"/>
      <c r="C6" s="502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  <c r="Z6" s="500"/>
      <c r="AA6" s="500"/>
      <c r="AB6" s="500"/>
      <c r="AC6" s="500"/>
      <c r="AD6" s="500"/>
      <c r="AE6" s="500"/>
      <c r="AF6" s="501"/>
      <c r="AG6" s="501"/>
      <c r="AH6" s="501"/>
      <c r="AI6" s="501"/>
      <c r="AJ6" s="500" t="s">
        <v>1161</v>
      </c>
      <c r="AK6" s="500" t="s">
        <v>1162</v>
      </c>
      <c r="AL6" s="500" t="s">
        <v>1161</v>
      </c>
      <c r="AM6" s="500" t="s">
        <v>1162</v>
      </c>
      <c r="AN6" s="500" t="s">
        <v>1161</v>
      </c>
      <c r="AO6" s="500" t="s">
        <v>1162</v>
      </c>
      <c r="AP6" s="500" t="s">
        <v>1161</v>
      </c>
      <c r="AQ6" s="500" t="s">
        <v>1162</v>
      </c>
      <c r="AR6" s="500" t="s">
        <v>1161</v>
      </c>
      <c r="AS6" s="500" t="s">
        <v>1162</v>
      </c>
      <c r="AT6" s="1331"/>
      <c r="AU6" s="501"/>
      <c r="AV6" s="501"/>
    </row>
    <row r="7" spans="1:48" ht="15.75" hidden="1" x14ac:dyDescent="0.25">
      <c r="A7" s="503" t="s">
        <v>1163</v>
      </c>
      <c r="B7" s="503">
        <v>15</v>
      </c>
      <c r="C7" s="503">
        <v>2</v>
      </c>
      <c r="D7" s="504">
        <v>1</v>
      </c>
      <c r="E7" s="505">
        <v>7871.5</v>
      </c>
      <c r="F7" s="506">
        <v>2.25</v>
      </c>
      <c r="G7" s="505">
        <v>12395.25</v>
      </c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6"/>
      <c r="U7" s="506"/>
      <c r="V7" s="506"/>
      <c r="W7" s="506"/>
      <c r="X7" s="506"/>
      <c r="Y7" s="506"/>
      <c r="Z7" s="506"/>
      <c r="AA7" s="506"/>
      <c r="AB7" s="506"/>
      <c r="AC7" s="506"/>
      <c r="AD7" s="506"/>
      <c r="AE7" s="506"/>
      <c r="AF7" s="507">
        <f>D7+F7+H7+J7+L7+N7+P7+R7+T7+V7+X7+Z7+AB7+AD7</f>
        <v>3.25</v>
      </c>
      <c r="AG7" s="507">
        <f>E7+G7+I7+K7+M7+O7+Q7+S7+U7+W7+Y7+AA7+AC7+AE7</f>
        <v>20266.75</v>
      </c>
      <c r="AH7" s="507">
        <f>D7+F7+H7+J7+L7+N7+T7+V7+Z7+AB7</f>
        <v>3.25</v>
      </c>
      <c r="AI7" s="507">
        <f>E7+G7+I7+K7+M7+O7+U7+W7+AA7+AC7</f>
        <v>20266.75</v>
      </c>
      <c r="AJ7" s="506"/>
      <c r="AK7" s="506"/>
      <c r="AL7" s="506"/>
      <c r="AM7" s="506"/>
      <c r="AN7" s="506">
        <v>1</v>
      </c>
      <c r="AO7" s="506">
        <v>1</v>
      </c>
      <c r="AP7" s="506"/>
      <c r="AQ7" s="506"/>
      <c r="AR7" s="506">
        <v>0.5</v>
      </c>
      <c r="AS7" s="506">
        <v>0.5</v>
      </c>
      <c r="AT7" s="508">
        <f>SUM(AJ7:AS7)</f>
        <v>3</v>
      </c>
      <c r="AU7" s="509">
        <f>AH7-(SUM(AJ7:AS7))</f>
        <v>0.25</v>
      </c>
      <c r="AV7" s="507">
        <f>AI7/AH7*AU7</f>
        <v>1558.98</v>
      </c>
    </row>
    <row r="8" spans="1:48" ht="15.75" hidden="1" x14ac:dyDescent="0.25">
      <c r="A8" s="503" t="s">
        <v>1164</v>
      </c>
      <c r="B8" s="503">
        <v>5</v>
      </c>
      <c r="C8" s="503"/>
      <c r="D8" s="504"/>
      <c r="E8" s="505"/>
      <c r="F8" s="504">
        <v>1</v>
      </c>
      <c r="G8" s="505">
        <v>8814.4</v>
      </c>
      <c r="H8" s="505"/>
      <c r="I8" s="505"/>
      <c r="J8" s="505"/>
      <c r="K8" s="505"/>
      <c r="L8" s="505"/>
      <c r="M8" s="505"/>
      <c r="N8" s="505"/>
      <c r="O8" s="505"/>
      <c r="P8" s="505"/>
      <c r="Q8" s="505"/>
      <c r="R8" s="505"/>
      <c r="S8" s="505"/>
      <c r="T8" s="506"/>
      <c r="U8" s="506"/>
      <c r="V8" s="506"/>
      <c r="W8" s="506"/>
      <c r="X8" s="506"/>
      <c r="Y8" s="506"/>
      <c r="Z8" s="506"/>
      <c r="AA8" s="506"/>
      <c r="AB8" s="506"/>
      <c r="AC8" s="506"/>
      <c r="AD8" s="506"/>
      <c r="AE8" s="506"/>
      <c r="AF8" s="507">
        <f t="shared" ref="AF8:AG65" si="0">D8+F8+H8+J8+L8+N8+P8+R8+T8+V8+X8+Z8+AB8+AD8</f>
        <v>1</v>
      </c>
      <c r="AG8" s="507">
        <f t="shared" si="0"/>
        <v>8814.4</v>
      </c>
      <c r="AH8" s="507">
        <f t="shared" ref="AH8:AI65" si="1">D8+F8+H8+J8+L8+N8+T8+V8+Z8+AB8</f>
        <v>1</v>
      </c>
      <c r="AI8" s="507">
        <f t="shared" si="1"/>
        <v>8814.4</v>
      </c>
      <c r="AJ8" s="506">
        <v>0.5</v>
      </c>
      <c r="AK8" s="506">
        <v>0.5</v>
      </c>
      <c r="AL8" s="506"/>
      <c r="AM8" s="506"/>
      <c r="AN8" s="506"/>
      <c r="AO8" s="506"/>
      <c r="AP8" s="506"/>
      <c r="AQ8" s="506"/>
      <c r="AR8" s="506"/>
      <c r="AS8" s="506"/>
      <c r="AT8" s="508">
        <f t="shared" ref="AT8:AT65" si="2">SUM(AJ8:AS8)</f>
        <v>1</v>
      </c>
      <c r="AU8" s="509">
        <f t="shared" ref="AU8:AU65" si="3">AH8-(SUM(AJ8:AS8))</f>
        <v>0</v>
      </c>
      <c r="AV8" s="509">
        <f t="shared" ref="AV8:AV65" si="4">AI8/AH8*AU8</f>
        <v>0</v>
      </c>
    </row>
    <row r="9" spans="1:48" ht="15.75" hidden="1" x14ac:dyDescent="0.25">
      <c r="A9" s="503" t="s">
        <v>1165</v>
      </c>
      <c r="B9" s="503">
        <v>6</v>
      </c>
      <c r="C9" s="503"/>
      <c r="D9" s="504">
        <v>1</v>
      </c>
      <c r="E9" s="505">
        <v>6963.25</v>
      </c>
      <c r="F9" s="506">
        <v>0.5</v>
      </c>
      <c r="G9" s="505">
        <v>2754.5</v>
      </c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6"/>
      <c r="U9" s="506"/>
      <c r="V9" s="506"/>
      <c r="W9" s="506"/>
      <c r="X9" s="506"/>
      <c r="Y9" s="506"/>
      <c r="Z9" s="506"/>
      <c r="AA9" s="506"/>
      <c r="AB9" s="506"/>
      <c r="AC9" s="506"/>
      <c r="AD9" s="506"/>
      <c r="AE9" s="506"/>
      <c r="AF9" s="507">
        <f t="shared" si="0"/>
        <v>1.5</v>
      </c>
      <c r="AG9" s="507">
        <f t="shared" si="0"/>
        <v>9717.75</v>
      </c>
      <c r="AH9" s="507">
        <f t="shared" si="1"/>
        <v>1.5</v>
      </c>
      <c r="AI9" s="507">
        <f t="shared" si="1"/>
        <v>9717.75</v>
      </c>
      <c r="AJ9" s="506">
        <v>0.5</v>
      </c>
      <c r="AK9" s="506">
        <v>0.5</v>
      </c>
      <c r="AL9" s="506"/>
      <c r="AM9" s="506"/>
      <c r="AN9" s="506"/>
      <c r="AO9" s="506"/>
      <c r="AP9" s="506"/>
      <c r="AQ9" s="506"/>
      <c r="AR9" s="506"/>
      <c r="AS9" s="506"/>
      <c r="AT9" s="508">
        <f t="shared" si="2"/>
        <v>1</v>
      </c>
      <c r="AU9" s="509">
        <f t="shared" si="3"/>
        <v>0.5</v>
      </c>
      <c r="AV9" s="509">
        <f t="shared" si="4"/>
        <v>3239.25</v>
      </c>
    </row>
    <row r="10" spans="1:48" ht="15.75" hidden="1" x14ac:dyDescent="0.25">
      <c r="A10" s="503" t="s">
        <v>1166</v>
      </c>
      <c r="B10" s="503">
        <v>4</v>
      </c>
      <c r="C10" s="503"/>
      <c r="D10" s="504"/>
      <c r="E10" s="505"/>
      <c r="F10" s="506">
        <v>1</v>
      </c>
      <c r="G10" s="505">
        <v>9888.66</v>
      </c>
      <c r="H10" s="505"/>
      <c r="I10" s="505"/>
      <c r="J10" s="505"/>
      <c r="K10" s="505"/>
      <c r="L10" s="505"/>
      <c r="M10" s="505"/>
      <c r="N10" s="505"/>
      <c r="O10" s="505"/>
      <c r="P10" s="505"/>
      <c r="Q10" s="505"/>
      <c r="R10" s="505"/>
      <c r="S10" s="505"/>
      <c r="T10" s="506"/>
      <c r="U10" s="506"/>
      <c r="V10" s="506"/>
      <c r="W10" s="506"/>
      <c r="X10" s="506"/>
      <c r="Y10" s="506"/>
      <c r="Z10" s="506"/>
      <c r="AA10" s="506"/>
      <c r="AB10" s="506"/>
      <c r="AC10" s="506"/>
      <c r="AD10" s="506"/>
      <c r="AE10" s="506"/>
      <c r="AF10" s="507">
        <f t="shared" si="0"/>
        <v>1</v>
      </c>
      <c r="AG10" s="507">
        <f t="shared" si="0"/>
        <v>9888.66</v>
      </c>
      <c r="AH10" s="507">
        <f t="shared" si="1"/>
        <v>1</v>
      </c>
      <c r="AI10" s="507">
        <f t="shared" si="1"/>
        <v>9888.66</v>
      </c>
      <c r="AJ10" s="506">
        <v>0.5</v>
      </c>
      <c r="AK10" s="506">
        <v>0.5</v>
      </c>
      <c r="AL10" s="506"/>
      <c r="AM10" s="506"/>
      <c r="AN10" s="506"/>
      <c r="AO10" s="506"/>
      <c r="AP10" s="506"/>
      <c r="AQ10" s="506"/>
      <c r="AR10" s="506"/>
      <c r="AS10" s="506"/>
      <c r="AT10" s="508">
        <f t="shared" si="2"/>
        <v>1</v>
      </c>
      <c r="AU10" s="509">
        <f t="shared" si="3"/>
        <v>0</v>
      </c>
      <c r="AV10" s="509">
        <f t="shared" si="4"/>
        <v>0</v>
      </c>
    </row>
    <row r="11" spans="1:48" ht="15.75" hidden="1" x14ac:dyDescent="0.25">
      <c r="A11" s="503" t="s">
        <v>1167</v>
      </c>
      <c r="B11" s="503">
        <v>7</v>
      </c>
      <c r="C11" s="503">
        <v>1</v>
      </c>
      <c r="D11" s="504"/>
      <c r="E11" s="505"/>
      <c r="F11" s="506">
        <v>1</v>
      </c>
      <c r="G11" s="505">
        <v>8814.4</v>
      </c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6"/>
      <c r="U11" s="506"/>
      <c r="V11" s="506"/>
      <c r="W11" s="506"/>
      <c r="X11" s="506"/>
      <c r="Y11" s="506"/>
      <c r="Z11" s="506"/>
      <c r="AA11" s="506"/>
      <c r="AB11" s="506"/>
      <c r="AC11" s="506"/>
      <c r="AD11" s="506"/>
      <c r="AE11" s="506"/>
      <c r="AF11" s="507">
        <f t="shared" si="0"/>
        <v>1</v>
      </c>
      <c r="AG11" s="507">
        <f t="shared" si="0"/>
        <v>8814.4</v>
      </c>
      <c r="AH11" s="507">
        <f t="shared" si="1"/>
        <v>1</v>
      </c>
      <c r="AI11" s="507">
        <f t="shared" si="1"/>
        <v>8814.4</v>
      </c>
      <c r="AJ11" s="506">
        <v>0.5</v>
      </c>
      <c r="AK11" s="506">
        <v>0.5</v>
      </c>
      <c r="AL11" s="506"/>
      <c r="AM11" s="506"/>
      <c r="AN11" s="506"/>
      <c r="AO11" s="506"/>
      <c r="AP11" s="506"/>
      <c r="AQ11" s="506"/>
      <c r="AR11" s="506"/>
      <c r="AS11" s="506"/>
      <c r="AT11" s="508">
        <f t="shared" si="2"/>
        <v>1</v>
      </c>
      <c r="AU11" s="509">
        <f t="shared" si="3"/>
        <v>0</v>
      </c>
      <c r="AV11" s="509">
        <f t="shared" si="4"/>
        <v>0</v>
      </c>
    </row>
    <row r="12" spans="1:48" ht="15.75" hidden="1" x14ac:dyDescent="0.25">
      <c r="A12" s="503" t="s">
        <v>1168</v>
      </c>
      <c r="B12" s="503">
        <v>8</v>
      </c>
      <c r="C12" s="503">
        <v>1</v>
      </c>
      <c r="D12" s="504"/>
      <c r="E12" s="505"/>
      <c r="F12" s="506">
        <v>1</v>
      </c>
      <c r="G12" s="505">
        <v>5509</v>
      </c>
      <c r="H12" s="505"/>
      <c r="I12" s="505"/>
      <c r="J12" s="505"/>
      <c r="K12" s="505"/>
      <c r="L12" s="505"/>
      <c r="M12" s="505"/>
      <c r="N12" s="505"/>
      <c r="O12" s="505"/>
      <c r="P12" s="505"/>
      <c r="Q12" s="505"/>
      <c r="R12" s="505"/>
      <c r="S12" s="505"/>
      <c r="T12" s="506"/>
      <c r="U12" s="506"/>
      <c r="V12" s="506"/>
      <c r="W12" s="506"/>
      <c r="X12" s="506"/>
      <c r="Y12" s="506"/>
      <c r="Z12" s="506"/>
      <c r="AA12" s="506"/>
      <c r="AB12" s="506"/>
      <c r="AC12" s="506"/>
      <c r="AD12" s="506"/>
      <c r="AE12" s="506"/>
      <c r="AF12" s="507">
        <f t="shared" si="0"/>
        <v>1</v>
      </c>
      <c r="AG12" s="507">
        <f t="shared" si="0"/>
        <v>5509</v>
      </c>
      <c r="AH12" s="507">
        <f t="shared" si="1"/>
        <v>1</v>
      </c>
      <c r="AI12" s="507">
        <f t="shared" si="1"/>
        <v>5509</v>
      </c>
      <c r="AJ12" s="506"/>
      <c r="AK12" s="506"/>
      <c r="AL12" s="506">
        <v>0.5</v>
      </c>
      <c r="AM12" s="506">
        <v>1</v>
      </c>
      <c r="AN12" s="506"/>
      <c r="AO12" s="506"/>
      <c r="AP12" s="506"/>
      <c r="AQ12" s="506"/>
      <c r="AR12" s="506"/>
      <c r="AS12" s="506"/>
      <c r="AT12" s="508">
        <f t="shared" si="2"/>
        <v>1.5</v>
      </c>
      <c r="AU12" s="509">
        <f t="shared" si="3"/>
        <v>-0.5</v>
      </c>
      <c r="AV12" s="509">
        <f t="shared" si="4"/>
        <v>-2754.5</v>
      </c>
    </row>
    <row r="13" spans="1:48" ht="15.75" hidden="1" x14ac:dyDescent="0.25">
      <c r="A13" s="503" t="s">
        <v>1169</v>
      </c>
      <c r="B13" s="503">
        <v>4</v>
      </c>
      <c r="C13" s="503"/>
      <c r="D13" s="504"/>
      <c r="E13" s="505"/>
      <c r="F13" s="506">
        <v>1</v>
      </c>
      <c r="G13" s="505">
        <v>6335.35</v>
      </c>
      <c r="H13" s="505"/>
      <c r="I13" s="505"/>
      <c r="J13" s="505"/>
      <c r="K13" s="505"/>
      <c r="L13" s="505"/>
      <c r="M13" s="505"/>
      <c r="N13" s="505"/>
      <c r="O13" s="505"/>
      <c r="P13" s="505"/>
      <c r="Q13" s="505"/>
      <c r="R13" s="505"/>
      <c r="S13" s="505"/>
      <c r="T13" s="506"/>
      <c r="U13" s="506"/>
      <c r="V13" s="506"/>
      <c r="W13" s="506"/>
      <c r="X13" s="506"/>
      <c r="Y13" s="506"/>
      <c r="Z13" s="506"/>
      <c r="AA13" s="506"/>
      <c r="AB13" s="506"/>
      <c r="AC13" s="506"/>
      <c r="AD13" s="506"/>
      <c r="AE13" s="506"/>
      <c r="AF13" s="507">
        <f t="shared" si="0"/>
        <v>1</v>
      </c>
      <c r="AG13" s="507">
        <f t="shared" si="0"/>
        <v>6335.35</v>
      </c>
      <c r="AH13" s="507">
        <f t="shared" si="1"/>
        <v>1</v>
      </c>
      <c r="AI13" s="507">
        <f t="shared" si="1"/>
        <v>6335.35</v>
      </c>
      <c r="AJ13" s="506">
        <v>0.5</v>
      </c>
      <c r="AK13" s="506">
        <v>0.5</v>
      </c>
      <c r="AL13" s="506"/>
      <c r="AM13" s="506"/>
      <c r="AN13" s="506"/>
      <c r="AO13" s="506"/>
      <c r="AP13" s="506"/>
      <c r="AQ13" s="506"/>
      <c r="AR13" s="506"/>
      <c r="AS13" s="506"/>
      <c r="AT13" s="508">
        <f t="shared" si="2"/>
        <v>1</v>
      </c>
      <c r="AU13" s="509">
        <f t="shared" si="3"/>
        <v>0</v>
      </c>
      <c r="AV13" s="509">
        <f t="shared" si="4"/>
        <v>0</v>
      </c>
    </row>
    <row r="14" spans="1:48" ht="15.75" hidden="1" x14ac:dyDescent="0.25">
      <c r="A14" s="503" t="s">
        <v>1170</v>
      </c>
      <c r="B14" s="503">
        <v>6</v>
      </c>
      <c r="C14" s="503">
        <v>1</v>
      </c>
      <c r="D14" s="504"/>
      <c r="E14" s="505"/>
      <c r="F14" s="506">
        <v>1</v>
      </c>
      <c r="G14" s="505">
        <v>7161.7</v>
      </c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6">
        <v>0.5</v>
      </c>
      <c r="U14" s="506">
        <v>4844</v>
      </c>
      <c r="V14" s="506"/>
      <c r="W14" s="506"/>
      <c r="X14" s="506"/>
      <c r="Y14" s="506"/>
      <c r="Z14" s="506"/>
      <c r="AA14" s="506"/>
      <c r="AB14" s="506"/>
      <c r="AC14" s="506"/>
      <c r="AD14" s="506"/>
      <c r="AE14" s="506"/>
      <c r="AF14" s="507">
        <f t="shared" si="0"/>
        <v>1.5</v>
      </c>
      <c r="AG14" s="507">
        <f t="shared" si="0"/>
        <v>12005.7</v>
      </c>
      <c r="AH14" s="507">
        <f t="shared" si="1"/>
        <v>1.5</v>
      </c>
      <c r="AI14" s="507">
        <f t="shared" si="1"/>
        <v>12005.7</v>
      </c>
      <c r="AJ14" s="506">
        <v>0.5</v>
      </c>
      <c r="AK14" s="506">
        <v>0.5</v>
      </c>
      <c r="AL14" s="506"/>
      <c r="AM14" s="506"/>
      <c r="AN14" s="506"/>
      <c r="AO14" s="506"/>
      <c r="AP14" s="506"/>
      <c r="AQ14" s="506"/>
      <c r="AR14" s="506"/>
      <c r="AS14" s="506"/>
      <c r="AT14" s="508">
        <f t="shared" si="2"/>
        <v>1</v>
      </c>
      <c r="AU14" s="509">
        <f t="shared" si="3"/>
        <v>0.5</v>
      </c>
      <c r="AV14" s="509">
        <f t="shared" si="4"/>
        <v>4001.9</v>
      </c>
    </row>
    <row r="15" spans="1:48" ht="15.75" hidden="1" x14ac:dyDescent="0.25">
      <c r="A15" s="503" t="s">
        <v>1171</v>
      </c>
      <c r="B15" s="503">
        <v>6</v>
      </c>
      <c r="C15" s="503"/>
      <c r="D15" s="504"/>
      <c r="E15" s="505"/>
      <c r="F15" s="506">
        <v>1</v>
      </c>
      <c r="G15" s="505">
        <v>8814.4</v>
      </c>
      <c r="H15" s="505"/>
      <c r="I15" s="505"/>
      <c r="J15" s="505"/>
      <c r="K15" s="505"/>
      <c r="L15" s="505"/>
      <c r="M15" s="505"/>
      <c r="N15" s="505"/>
      <c r="O15" s="505"/>
      <c r="P15" s="505"/>
      <c r="Q15" s="505"/>
      <c r="R15" s="505"/>
      <c r="S15" s="505"/>
      <c r="T15" s="506">
        <v>0.2</v>
      </c>
      <c r="U15" s="506">
        <v>1211</v>
      </c>
      <c r="V15" s="506"/>
      <c r="W15" s="506"/>
      <c r="X15" s="506"/>
      <c r="Y15" s="506"/>
      <c r="Z15" s="506"/>
      <c r="AA15" s="506"/>
      <c r="AB15" s="506"/>
      <c r="AC15" s="506"/>
      <c r="AD15" s="506"/>
      <c r="AE15" s="506"/>
      <c r="AF15" s="507">
        <f t="shared" si="0"/>
        <v>1.2</v>
      </c>
      <c r="AG15" s="507">
        <f t="shared" si="0"/>
        <v>10025.4</v>
      </c>
      <c r="AH15" s="507">
        <f t="shared" si="1"/>
        <v>1.2</v>
      </c>
      <c r="AI15" s="507">
        <f t="shared" si="1"/>
        <v>10025.4</v>
      </c>
      <c r="AJ15" s="506">
        <v>0.5</v>
      </c>
      <c r="AK15" s="506">
        <v>0.5</v>
      </c>
      <c r="AL15" s="506"/>
      <c r="AM15" s="506"/>
      <c r="AN15" s="506"/>
      <c r="AO15" s="506"/>
      <c r="AP15" s="506"/>
      <c r="AQ15" s="506"/>
      <c r="AR15" s="506"/>
      <c r="AS15" s="506"/>
      <c r="AT15" s="508">
        <f t="shared" si="2"/>
        <v>1</v>
      </c>
      <c r="AU15" s="509">
        <f t="shared" si="3"/>
        <v>0.2</v>
      </c>
      <c r="AV15" s="509">
        <f t="shared" si="4"/>
        <v>1670.9</v>
      </c>
    </row>
    <row r="16" spans="1:48" ht="15.75" hidden="1" x14ac:dyDescent="0.25">
      <c r="A16" s="503" t="s">
        <v>1172</v>
      </c>
      <c r="B16" s="510">
        <v>3</v>
      </c>
      <c r="C16" s="503"/>
      <c r="D16" s="504"/>
      <c r="E16" s="505"/>
      <c r="F16" s="506">
        <v>1</v>
      </c>
      <c r="G16" s="505">
        <v>7988.05</v>
      </c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6"/>
      <c r="U16" s="506"/>
      <c r="V16" s="506"/>
      <c r="W16" s="506"/>
      <c r="X16" s="506"/>
      <c r="Y16" s="506"/>
      <c r="Z16" s="506"/>
      <c r="AA16" s="506"/>
      <c r="AB16" s="506"/>
      <c r="AC16" s="506"/>
      <c r="AD16" s="506"/>
      <c r="AE16" s="506"/>
      <c r="AF16" s="507">
        <f t="shared" si="0"/>
        <v>1</v>
      </c>
      <c r="AG16" s="507">
        <f t="shared" si="0"/>
        <v>7988.05</v>
      </c>
      <c r="AH16" s="507">
        <f t="shared" si="1"/>
        <v>1</v>
      </c>
      <c r="AI16" s="507">
        <f t="shared" si="1"/>
        <v>7988.05</v>
      </c>
      <c r="AJ16" s="506">
        <v>0.5</v>
      </c>
      <c r="AK16" s="506">
        <v>0.5</v>
      </c>
      <c r="AL16" s="506"/>
      <c r="AM16" s="506"/>
      <c r="AN16" s="506"/>
      <c r="AO16" s="506"/>
      <c r="AP16" s="506"/>
      <c r="AQ16" s="506"/>
      <c r="AR16" s="506"/>
      <c r="AS16" s="506"/>
      <c r="AT16" s="508">
        <f t="shared" si="2"/>
        <v>1</v>
      </c>
      <c r="AU16" s="509">
        <f t="shared" si="3"/>
        <v>0</v>
      </c>
      <c r="AV16" s="509">
        <f t="shared" si="4"/>
        <v>0</v>
      </c>
    </row>
    <row r="17" spans="1:48" ht="15.75" hidden="1" x14ac:dyDescent="0.25">
      <c r="A17" s="503" t="s">
        <v>1173</v>
      </c>
      <c r="B17" s="503">
        <v>11</v>
      </c>
      <c r="C17" s="503">
        <v>2</v>
      </c>
      <c r="D17" s="504"/>
      <c r="E17" s="505"/>
      <c r="F17" s="506">
        <v>1.5</v>
      </c>
      <c r="G17" s="506">
        <v>12392.25</v>
      </c>
      <c r="H17" s="506"/>
      <c r="I17" s="506"/>
      <c r="J17" s="506"/>
      <c r="K17" s="506"/>
      <c r="L17" s="506"/>
      <c r="M17" s="506"/>
      <c r="N17" s="506"/>
      <c r="O17" s="506"/>
      <c r="P17" s="506"/>
      <c r="Q17" s="506"/>
      <c r="R17" s="506"/>
      <c r="S17" s="506"/>
      <c r="T17" s="506"/>
      <c r="U17" s="506"/>
      <c r="V17" s="506"/>
      <c r="W17" s="506"/>
      <c r="X17" s="506"/>
      <c r="Y17" s="506"/>
      <c r="Z17" s="506"/>
      <c r="AA17" s="506"/>
      <c r="AB17" s="506"/>
      <c r="AC17" s="506"/>
      <c r="AD17" s="506"/>
      <c r="AE17" s="506"/>
      <c r="AF17" s="507">
        <f t="shared" si="0"/>
        <v>1.5</v>
      </c>
      <c r="AG17" s="507">
        <f t="shared" si="0"/>
        <v>12392.25</v>
      </c>
      <c r="AH17" s="507">
        <f t="shared" si="1"/>
        <v>1.5</v>
      </c>
      <c r="AI17" s="507">
        <f t="shared" si="1"/>
        <v>12392.25</v>
      </c>
      <c r="AJ17" s="506"/>
      <c r="AK17" s="506"/>
      <c r="AL17" s="506">
        <v>0.5</v>
      </c>
      <c r="AM17" s="506">
        <v>1</v>
      </c>
      <c r="AN17" s="506"/>
      <c r="AO17" s="506"/>
      <c r="AP17" s="506"/>
      <c r="AQ17" s="506"/>
      <c r="AR17" s="506"/>
      <c r="AS17" s="506"/>
      <c r="AT17" s="508">
        <f t="shared" si="2"/>
        <v>1.5</v>
      </c>
      <c r="AU17" s="509">
        <f t="shared" si="3"/>
        <v>0</v>
      </c>
      <c r="AV17" s="509">
        <f t="shared" si="4"/>
        <v>0</v>
      </c>
    </row>
    <row r="18" spans="1:48" ht="15.75" hidden="1" x14ac:dyDescent="0.25">
      <c r="A18" s="503" t="s">
        <v>1174</v>
      </c>
      <c r="B18" s="503">
        <v>12</v>
      </c>
      <c r="C18" s="503">
        <v>2</v>
      </c>
      <c r="D18" s="504"/>
      <c r="E18" s="505"/>
      <c r="F18" s="506">
        <v>1.5</v>
      </c>
      <c r="G18" s="506">
        <v>10742.55</v>
      </c>
      <c r="H18" s="506">
        <v>0.5</v>
      </c>
      <c r="I18" s="506">
        <v>2623</v>
      </c>
      <c r="J18" s="506"/>
      <c r="K18" s="506"/>
      <c r="L18" s="506"/>
      <c r="M18" s="506"/>
      <c r="N18" s="506"/>
      <c r="O18" s="506"/>
      <c r="P18" s="506"/>
      <c r="Q18" s="506"/>
      <c r="R18" s="506"/>
      <c r="S18" s="506"/>
      <c r="T18" s="506"/>
      <c r="U18" s="506"/>
      <c r="V18" s="506"/>
      <c r="W18" s="506"/>
      <c r="X18" s="506"/>
      <c r="Y18" s="506"/>
      <c r="Z18" s="506"/>
      <c r="AA18" s="506"/>
      <c r="AB18" s="506"/>
      <c r="AC18" s="506"/>
      <c r="AD18" s="506"/>
      <c r="AE18" s="506"/>
      <c r="AF18" s="507">
        <f t="shared" si="0"/>
        <v>2</v>
      </c>
      <c r="AG18" s="507">
        <f t="shared" si="0"/>
        <v>13365.55</v>
      </c>
      <c r="AH18" s="507">
        <f t="shared" si="1"/>
        <v>2</v>
      </c>
      <c r="AI18" s="507">
        <f t="shared" si="1"/>
        <v>13365.55</v>
      </c>
      <c r="AJ18" s="506"/>
      <c r="AK18" s="506"/>
      <c r="AL18" s="506">
        <v>0.5</v>
      </c>
      <c r="AM18" s="506">
        <v>1</v>
      </c>
      <c r="AN18" s="506"/>
      <c r="AO18" s="506"/>
      <c r="AP18" s="506"/>
      <c r="AQ18" s="506"/>
      <c r="AR18" s="506"/>
      <c r="AS18" s="506"/>
      <c r="AT18" s="508">
        <f t="shared" si="2"/>
        <v>1.5</v>
      </c>
      <c r="AU18" s="509">
        <f t="shared" si="3"/>
        <v>0.5</v>
      </c>
      <c r="AV18" s="509">
        <f t="shared" si="4"/>
        <v>3341.39</v>
      </c>
    </row>
    <row r="19" spans="1:48" ht="15.75" hidden="1" x14ac:dyDescent="0.25">
      <c r="A19" s="503" t="s">
        <v>1175</v>
      </c>
      <c r="B19" s="503">
        <v>4</v>
      </c>
      <c r="C19" s="503">
        <v>1</v>
      </c>
      <c r="D19" s="504"/>
      <c r="E19" s="505"/>
      <c r="F19" s="506">
        <v>1</v>
      </c>
      <c r="G19" s="506">
        <v>7161.7</v>
      </c>
      <c r="H19" s="506"/>
      <c r="I19" s="506"/>
      <c r="J19" s="506"/>
      <c r="K19" s="506"/>
      <c r="L19" s="506"/>
      <c r="M19" s="506"/>
      <c r="N19" s="506"/>
      <c r="O19" s="506"/>
      <c r="P19" s="506"/>
      <c r="Q19" s="506"/>
      <c r="R19" s="506"/>
      <c r="S19" s="506"/>
      <c r="T19" s="506"/>
      <c r="U19" s="506"/>
      <c r="V19" s="506"/>
      <c r="W19" s="506"/>
      <c r="X19" s="506"/>
      <c r="Y19" s="506"/>
      <c r="Z19" s="506"/>
      <c r="AA19" s="506"/>
      <c r="AB19" s="506"/>
      <c r="AC19" s="506"/>
      <c r="AD19" s="506"/>
      <c r="AE19" s="506"/>
      <c r="AF19" s="507">
        <f t="shared" si="0"/>
        <v>1</v>
      </c>
      <c r="AG19" s="507">
        <f t="shared" si="0"/>
        <v>7161.7</v>
      </c>
      <c r="AH19" s="507">
        <f t="shared" si="1"/>
        <v>1</v>
      </c>
      <c r="AI19" s="507">
        <f t="shared" si="1"/>
        <v>7161.7</v>
      </c>
      <c r="AJ19" s="506">
        <v>0.5</v>
      </c>
      <c r="AK19" s="506">
        <v>0.5</v>
      </c>
      <c r="AL19" s="506"/>
      <c r="AM19" s="506"/>
      <c r="AN19" s="506"/>
      <c r="AO19" s="506"/>
      <c r="AP19" s="506"/>
      <c r="AQ19" s="506"/>
      <c r="AR19" s="506"/>
      <c r="AS19" s="506"/>
      <c r="AT19" s="508">
        <f t="shared" si="2"/>
        <v>1</v>
      </c>
      <c r="AU19" s="509">
        <f t="shared" si="3"/>
        <v>0</v>
      </c>
      <c r="AV19" s="509">
        <f t="shared" si="4"/>
        <v>0</v>
      </c>
    </row>
    <row r="20" spans="1:48" ht="15.75" hidden="1" x14ac:dyDescent="0.25">
      <c r="A20" s="503" t="s">
        <v>1176</v>
      </c>
      <c r="B20" s="503">
        <v>7</v>
      </c>
      <c r="C20" s="503">
        <v>3</v>
      </c>
      <c r="D20" s="504"/>
      <c r="E20" s="505"/>
      <c r="F20" s="506">
        <v>1</v>
      </c>
      <c r="G20" s="506">
        <v>5509</v>
      </c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  <c r="Z20" s="506"/>
      <c r="AA20" s="506"/>
      <c r="AB20" s="506"/>
      <c r="AC20" s="511"/>
      <c r="AD20" s="506"/>
      <c r="AE20" s="506"/>
      <c r="AF20" s="507">
        <f t="shared" si="0"/>
        <v>1</v>
      </c>
      <c r="AG20" s="507">
        <f t="shared" si="0"/>
        <v>5509</v>
      </c>
      <c r="AH20" s="507">
        <f t="shared" si="1"/>
        <v>1</v>
      </c>
      <c r="AI20" s="507">
        <f t="shared" si="1"/>
        <v>5509</v>
      </c>
      <c r="AJ20" s="506">
        <v>0.5</v>
      </c>
      <c r="AK20" s="506">
        <v>0.5</v>
      </c>
      <c r="AL20" s="506"/>
      <c r="AM20" s="506"/>
      <c r="AN20" s="506"/>
      <c r="AO20" s="506"/>
      <c r="AP20" s="506"/>
      <c r="AQ20" s="506"/>
      <c r="AR20" s="506"/>
      <c r="AS20" s="506"/>
      <c r="AT20" s="508">
        <f t="shared" si="2"/>
        <v>1</v>
      </c>
      <c r="AU20" s="509">
        <f t="shared" si="3"/>
        <v>0</v>
      </c>
      <c r="AV20" s="509">
        <f t="shared" si="4"/>
        <v>0</v>
      </c>
    </row>
    <row r="21" spans="1:48" ht="15.75" hidden="1" x14ac:dyDescent="0.25">
      <c r="A21" s="503" t="s">
        <v>1177</v>
      </c>
      <c r="B21" s="503">
        <v>10</v>
      </c>
      <c r="C21" s="503">
        <v>1</v>
      </c>
      <c r="D21" s="504"/>
      <c r="E21" s="505"/>
      <c r="F21" s="506">
        <v>2</v>
      </c>
      <c r="G21" s="506">
        <v>12119.8</v>
      </c>
      <c r="H21" s="506"/>
      <c r="I21" s="506"/>
      <c r="J21" s="506"/>
      <c r="K21" s="506"/>
      <c r="L21" s="506"/>
      <c r="M21" s="506"/>
      <c r="N21" s="506"/>
      <c r="O21" s="506"/>
      <c r="P21" s="506"/>
      <c r="Q21" s="506"/>
      <c r="R21" s="506"/>
      <c r="S21" s="506"/>
      <c r="T21" s="506"/>
      <c r="U21" s="506"/>
      <c r="V21" s="506"/>
      <c r="W21" s="506"/>
      <c r="X21" s="506"/>
      <c r="Y21" s="506"/>
      <c r="Z21" s="506"/>
      <c r="AA21" s="506"/>
      <c r="AB21" s="506"/>
      <c r="AC21" s="511"/>
      <c r="AD21" s="506"/>
      <c r="AE21" s="506"/>
      <c r="AF21" s="507">
        <f t="shared" si="0"/>
        <v>2</v>
      </c>
      <c r="AG21" s="507">
        <f t="shared" si="0"/>
        <v>12119.8</v>
      </c>
      <c r="AH21" s="507">
        <f t="shared" si="1"/>
        <v>2</v>
      </c>
      <c r="AI21" s="507">
        <f t="shared" si="1"/>
        <v>12119.8</v>
      </c>
      <c r="AJ21" s="506"/>
      <c r="AK21" s="506"/>
      <c r="AL21" s="506">
        <v>0.5</v>
      </c>
      <c r="AM21" s="506">
        <v>1</v>
      </c>
      <c r="AN21" s="506"/>
      <c r="AO21" s="506"/>
      <c r="AP21" s="506"/>
      <c r="AQ21" s="506"/>
      <c r="AR21" s="506"/>
      <c r="AS21" s="506"/>
      <c r="AT21" s="508">
        <f t="shared" si="2"/>
        <v>1.5</v>
      </c>
      <c r="AU21" s="509">
        <f t="shared" si="3"/>
        <v>0.5</v>
      </c>
      <c r="AV21" s="509">
        <f t="shared" si="4"/>
        <v>3029.95</v>
      </c>
    </row>
    <row r="22" spans="1:48" ht="15.75" hidden="1" x14ac:dyDescent="0.25">
      <c r="A22" s="503" t="s">
        <v>1178</v>
      </c>
      <c r="B22" s="503">
        <v>6</v>
      </c>
      <c r="C22" s="503"/>
      <c r="D22" s="504"/>
      <c r="E22" s="505"/>
      <c r="F22" s="506">
        <v>1</v>
      </c>
      <c r="G22" s="506">
        <v>8814.4</v>
      </c>
      <c r="H22" s="506"/>
      <c r="I22" s="506"/>
      <c r="J22" s="506"/>
      <c r="K22" s="506"/>
      <c r="L22" s="506"/>
      <c r="M22" s="506"/>
      <c r="N22" s="506"/>
      <c r="O22" s="506"/>
      <c r="P22" s="506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11"/>
      <c r="AD22" s="506"/>
      <c r="AE22" s="506"/>
      <c r="AF22" s="507">
        <f t="shared" si="0"/>
        <v>1</v>
      </c>
      <c r="AG22" s="507">
        <f t="shared" si="0"/>
        <v>8814.4</v>
      </c>
      <c r="AH22" s="507">
        <f t="shared" si="1"/>
        <v>1</v>
      </c>
      <c r="AI22" s="507">
        <f t="shared" si="1"/>
        <v>8814.4</v>
      </c>
      <c r="AJ22" s="506">
        <v>0.5</v>
      </c>
      <c r="AK22" s="506">
        <v>0.5</v>
      </c>
      <c r="AL22" s="506"/>
      <c r="AM22" s="506"/>
      <c r="AN22" s="506"/>
      <c r="AO22" s="506"/>
      <c r="AP22" s="506"/>
      <c r="AQ22" s="506"/>
      <c r="AR22" s="506"/>
      <c r="AS22" s="506"/>
      <c r="AT22" s="508">
        <f t="shared" si="2"/>
        <v>1</v>
      </c>
      <c r="AU22" s="509">
        <f t="shared" si="3"/>
        <v>0</v>
      </c>
      <c r="AV22" s="509">
        <f t="shared" si="4"/>
        <v>0</v>
      </c>
    </row>
    <row r="23" spans="1:48" ht="15.75" hidden="1" x14ac:dyDescent="0.25">
      <c r="A23" s="503" t="s">
        <v>1179</v>
      </c>
      <c r="B23" s="503">
        <v>5</v>
      </c>
      <c r="C23" s="503"/>
      <c r="D23" s="504">
        <v>1</v>
      </c>
      <c r="E23" s="505">
        <v>10868.73</v>
      </c>
      <c r="F23" s="506">
        <v>1</v>
      </c>
      <c r="G23" s="506">
        <v>9888.66</v>
      </c>
      <c r="H23" s="506">
        <v>0.5</v>
      </c>
      <c r="I23" s="506">
        <v>3803.35</v>
      </c>
      <c r="J23" s="506">
        <v>1.75</v>
      </c>
      <c r="K23" s="506">
        <v>14982.52</v>
      </c>
      <c r="L23" s="506"/>
      <c r="M23" s="506"/>
      <c r="N23" s="506"/>
      <c r="O23" s="506"/>
      <c r="P23" s="506"/>
      <c r="Q23" s="506"/>
      <c r="R23" s="506"/>
      <c r="S23" s="506"/>
      <c r="T23" s="506"/>
      <c r="U23" s="506"/>
      <c r="V23" s="506">
        <v>0.25</v>
      </c>
      <c r="W23" s="506">
        <v>2456.06</v>
      </c>
      <c r="X23" s="506"/>
      <c r="Y23" s="506"/>
      <c r="Z23" s="506"/>
      <c r="AA23" s="506"/>
      <c r="AB23" s="506"/>
      <c r="AC23" s="511"/>
      <c r="AD23" s="506"/>
      <c r="AE23" s="506"/>
      <c r="AF23" s="507">
        <f t="shared" si="0"/>
        <v>4.5</v>
      </c>
      <c r="AG23" s="507">
        <f t="shared" si="0"/>
        <v>41999.32</v>
      </c>
      <c r="AH23" s="507">
        <f t="shared" si="1"/>
        <v>4.5</v>
      </c>
      <c r="AI23" s="507">
        <f t="shared" si="1"/>
        <v>41999.32</v>
      </c>
      <c r="AJ23" s="506">
        <v>0.5</v>
      </c>
      <c r="AK23" s="506">
        <v>0.5</v>
      </c>
      <c r="AL23" s="506"/>
      <c r="AM23" s="506"/>
      <c r="AN23" s="506"/>
      <c r="AO23" s="506"/>
      <c r="AP23" s="506"/>
      <c r="AQ23" s="506"/>
      <c r="AR23" s="506"/>
      <c r="AS23" s="506"/>
      <c r="AT23" s="508">
        <f t="shared" si="2"/>
        <v>1</v>
      </c>
      <c r="AU23" s="509">
        <f t="shared" si="3"/>
        <v>3.5</v>
      </c>
      <c r="AV23" s="509">
        <f t="shared" si="4"/>
        <v>32666.14</v>
      </c>
    </row>
    <row r="24" spans="1:48" ht="15.75" hidden="1" x14ac:dyDescent="0.25">
      <c r="A24" s="503" t="s">
        <v>1180</v>
      </c>
      <c r="B24" s="503">
        <v>9</v>
      </c>
      <c r="C24" s="503">
        <v>2</v>
      </c>
      <c r="D24" s="504">
        <v>1.5</v>
      </c>
      <c r="E24" s="505">
        <v>14532</v>
      </c>
      <c r="F24" s="506">
        <v>1</v>
      </c>
      <c r="G24" s="506">
        <v>6610.8</v>
      </c>
      <c r="H24" s="506"/>
      <c r="I24" s="506"/>
      <c r="J24" s="506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  <c r="X24" s="506"/>
      <c r="Y24" s="506"/>
      <c r="Z24" s="506"/>
      <c r="AA24" s="506"/>
      <c r="AB24" s="506"/>
      <c r="AC24" s="511"/>
      <c r="AD24" s="506"/>
      <c r="AE24" s="506"/>
      <c r="AF24" s="507">
        <f t="shared" si="0"/>
        <v>2.5</v>
      </c>
      <c r="AG24" s="507">
        <f t="shared" si="0"/>
        <v>21142.799999999999</v>
      </c>
      <c r="AH24" s="507">
        <f t="shared" si="1"/>
        <v>2.5</v>
      </c>
      <c r="AI24" s="507">
        <f t="shared" si="1"/>
        <v>21142.799999999999</v>
      </c>
      <c r="AJ24" s="506"/>
      <c r="AK24" s="506"/>
      <c r="AL24" s="506">
        <v>0.5</v>
      </c>
      <c r="AM24" s="506">
        <v>1</v>
      </c>
      <c r="AN24" s="506"/>
      <c r="AO24" s="506"/>
      <c r="AP24" s="506"/>
      <c r="AQ24" s="506"/>
      <c r="AR24" s="506"/>
      <c r="AS24" s="506"/>
      <c r="AT24" s="508">
        <f t="shared" si="2"/>
        <v>1.5</v>
      </c>
      <c r="AU24" s="509">
        <f t="shared" si="3"/>
        <v>1</v>
      </c>
      <c r="AV24" s="509">
        <f t="shared" si="4"/>
        <v>8457.1200000000008</v>
      </c>
    </row>
    <row r="25" spans="1:48" ht="15.75" hidden="1" x14ac:dyDescent="0.25">
      <c r="A25" s="503" t="s">
        <v>1181</v>
      </c>
      <c r="B25" s="503">
        <v>11</v>
      </c>
      <c r="C25" s="503">
        <v>1</v>
      </c>
      <c r="D25" s="504"/>
      <c r="E25" s="505"/>
      <c r="F25" s="506">
        <v>2</v>
      </c>
      <c r="G25" s="506">
        <v>14764.12</v>
      </c>
      <c r="H25" s="506"/>
      <c r="I25" s="506"/>
      <c r="J25" s="506"/>
      <c r="K25" s="506"/>
      <c r="L25" s="506"/>
      <c r="M25" s="506"/>
      <c r="N25" s="506"/>
      <c r="O25" s="506"/>
      <c r="P25" s="506"/>
      <c r="Q25" s="506"/>
      <c r="R25" s="506"/>
      <c r="S25" s="506"/>
      <c r="T25" s="506"/>
      <c r="U25" s="506"/>
      <c r="V25" s="506"/>
      <c r="W25" s="506"/>
      <c r="X25" s="506"/>
      <c r="Y25" s="506"/>
      <c r="Z25" s="506"/>
      <c r="AA25" s="506"/>
      <c r="AB25" s="506"/>
      <c r="AC25" s="511"/>
      <c r="AD25" s="506"/>
      <c r="AE25" s="506"/>
      <c r="AF25" s="507">
        <f t="shared" si="0"/>
        <v>2</v>
      </c>
      <c r="AG25" s="507">
        <f t="shared" si="0"/>
        <v>14764.12</v>
      </c>
      <c r="AH25" s="507">
        <f t="shared" si="1"/>
        <v>2</v>
      </c>
      <c r="AI25" s="507">
        <f t="shared" si="1"/>
        <v>14764.12</v>
      </c>
      <c r="AJ25" s="506"/>
      <c r="AK25" s="506"/>
      <c r="AL25" s="506">
        <v>0.5</v>
      </c>
      <c r="AM25" s="506">
        <v>1</v>
      </c>
      <c r="AN25" s="506"/>
      <c r="AO25" s="506"/>
      <c r="AP25" s="506"/>
      <c r="AQ25" s="506"/>
      <c r="AR25" s="506">
        <v>0.25</v>
      </c>
      <c r="AS25" s="506">
        <v>0.25</v>
      </c>
      <c r="AT25" s="508">
        <f t="shared" si="2"/>
        <v>2</v>
      </c>
      <c r="AU25" s="509">
        <f t="shared" si="3"/>
        <v>0</v>
      </c>
      <c r="AV25" s="509">
        <f t="shared" si="4"/>
        <v>0</v>
      </c>
    </row>
    <row r="26" spans="1:48" ht="15.75" hidden="1" x14ac:dyDescent="0.25">
      <c r="A26" s="503" t="s">
        <v>1182</v>
      </c>
      <c r="B26" s="510">
        <v>18</v>
      </c>
      <c r="C26" s="503">
        <v>2</v>
      </c>
      <c r="D26" s="504"/>
      <c r="E26" s="505"/>
      <c r="F26" s="506">
        <v>1</v>
      </c>
      <c r="G26" s="506">
        <v>6886.25</v>
      </c>
      <c r="H26" s="506">
        <v>1.5</v>
      </c>
      <c r="I26" s="506">
        <v>9049.35</v>
      </c>
      <c r="J26" s="506"/>
      <c r="K26" s="506"/>
      <c r="L26" s="506"/>
      <c r="M26" s="506"/>
      <c r="N26" s="506"/>
      <c r="O26" s="506"/>
      <c r="P26" s="506"/>
      <c r="Q26" s="506"/>
      <c r="R26" s="506"/>
      <c r="S26" s="506"/>
      <c r="T26" s="506">
        <v>0.25</v>
      </c>
      <c r="U26" s="506">
        <v>1967.88</v>
      </c>
      <c r="V26" s="506"/>
      <c r="W26" s="506"/>
      <c r="X26" s="506"/>
      <c r="Y26" s="506"/>
      <c r="Z26" s="506"/>
      <c r="AA26" s="506"/>
      <c r="AB26" s="506"/>
      <c r="AC26" s="511"/>
      <c r="AD26" s="506"/>
      <c r="AE26" s="506"/>
      <c r="AF26" s="507">
        <f t="shared" si="0"/>
        <v>2.75</v>
      </c>
      <c r="AG26" s="507">
        <f t="shared" si="0"/>
        <v>17903.48</v>
      </c>
      <c r="AH26" s="507">
        <f t="shared" si="1"/>
        <v>2.75</v>
      </c>
      <c r="AI26" s="507">
        <f t="shared" si="1"/>
        <v>17903.48</v>
      </c>
      <c r="AJ26" s="506"/>
      <c r="AK26" s="506"/>
      <c r="AL26" s="506"/>
      <c r="AM26" s="506"/>
      <c r="AN26" s="506"/>
      <c r="AO26" s="506"/>
      <c r="AP26" s="506">
        <v>1</v>
      </c>
      <c r="AQ26" s="506">
        <v>1.5</v>
      </c>
      <c r="AR26" s="506">
        <v>0.25</v>
      </c>
      <c r="AS26" s="506">
        <v>0.25</v>
      </c>
      <c r="AT26" s="508">
        <f t="shared" si="2"/>
        <v>3</v>
      </c>
      <c r="AU26" s="509">
        <f t="shared" si="3"/>
        <v>-0.25</v>
      </c>
      <c r="AV26" s="509">
        <f t="shared" si="4"/>
        <v>-1627.59</v>
      </c>
    </row>
    <row r="27" spans="1:48" ht="15.75" hidden="1" x14ac:dyDescent="0.25">
      <c r="A27" s="503" t="s">
        <v>1183</v>
      </c>
      <c r="B27" s="503">
        <v>8</v>
      </c>
      <c r="C27" s="503"/>
      <c r="D27" s="504">
        <v>1</v>
      </c>
      <c r="E27" s="505">
        <v>10868.73</v>
      </c>
      <c r="F27" s="506"/>
      <c r="G27" s="506"/>
      <c r="H27" s="506"/>
      <c r="I27" s="506"/>
      <c r="J27" s="506"/>
      <c r="K27" s="506"/>
      <c r="L27" s="506">
        <v>1</v>
      </c>
      <c r="M27" s="506">
        <v>6460.7</v>
      </c>
      <c r="N27" s="506">
        <v>1.5</v>
      </c>
      <c r="O27" s="506">
        <v>13111.01</v>
      </c>
      <c r="P27" s="506">
        <v>1</v>
      </c>
      <c r="Q27" s="506">
        <v>9363.4500000000007</v>
      </c>
      <c r="R27" s="506">
        <v>1</v>
      </c>
      <c r="S27" s="506">
        <v>6635.2</v>
      </c>
      <c r="T27" s="506"/>
      <c r="U27" s="506"/>
      <c r="V27" s="506"/>
      <c r="W27" s="506"/>
      <c r="X27" s="506"/>
      <c r="Y27" s="506"/>
      <c r="Z27" s="506">
        <v>0.5</v>
      </c>
      <c r="AA27" s="506">
        <v>4389.88</v>
      </c>
      <c r="AB27" s="506">
        <v>0.25</v>
      </c>
      <c r="AC27" s="511">
        <v>2194.94</v>
      </c>
      <c r="AD27" s="506"/>
      <c r="AE27" s="506"/>
      <c r="AF27" s="507">
        <f t="shared" si="0"/>
        <v>6.25</v>
      </c>
      <c r="AG27" s="507">
        <f t="shared" si="0"/>
        <v>53023.91</v>
      </c>
      <c r="AH27" s="507">
        <f t="shared" si="1"/>
        <v>4.25</v>
      </c>
      <c r="AI27" s="507">
        <f t="shared" si="1"/>
        <v>37025.26</v>
      </c>
      <c r="AJ27" s="506"/>
      <c r="AK27" s="506"/>
      <c r="AL27" s="506">
        <v>0.5</v>
      </c>
      <c r="AM27" s="506">
        <v>1</v>
      </c>
      <c r="AN27" s="506"/>
      <c r="AO27" s="506"/>
      <c r="AP27" s="506"/>
      <c r="AQ27" s="506"/>
      <c r="AR27" s="506"/>
      <c r="AS27" s="506"/>
      <c r="AT27" s="508">
        <f t="shared" si="2"/>
        <v>1.5</v>
      </c>
      <c r="AU27" s="509">
        <f t="shared" si="3"/>
        <v>2.75</v>
      </c>
      <c r="AV27" s="509">
        <f t="shared" si="4"/>
        <v>23957.52</v>
      </c>
    </row>
    <row r="28" spans="1:48" ht="15.75" hidden="1" x14ac:dyDescent="0.25">
      <c r="A28" s="503" t="s">
        <v>1184</v>
      </c>
      <c r="B28" s="503">
        <v>5</v>
      </c>
      <c r="C28" s="503">
        <v>1</v>
      </c>
      <c r="D28" s="504">
        <v>1</v>
      </c>
      <c r="E28" s="505">
        <v>9688</v>
      </c>
      <c r="F28" s="506"/>
      <c r="G28" s="506"/>
      <c r="H28" s="506"/>
      <c r="I28" s="506"/>
      <c r="J28" s="506"/>
      <c r="K28" s="506"/>
      <c r="L28" s="506"/>
      <c r="M28" s="506"/>
      <c r="N28" s="506"/>
      <c r="O28" s="506"/>
      <c r="P28" s="506"/>
      <c r="Q28" s="506"/>
      <c r="R28" s="506"/>
      <c r="S28" s="506"/>
      <c r="T28" s="506"/>
      <c r="U28" s="506"/>
      <c r="V28" s="506"/>
      <c r="W28" s="506"/>
      <c r="X28" s="506"/>
      <c r="Y28" s="506"/>
      <c r="Z28" s="506"/>
      <c r="AA28" s="506"/>
      <c r="AB28" s="506"/>
      <c r="AC28" s="511"/>
      <c r="AD28" s="506"/>
      <c r="AE28" s="506"/>
      <c r="AF28" s="507">
        <f t="shared" si="0"/>
        <v>1</v>
      </c>
      <c r="AG28" s="507">
        <f t="shared" si="0"/>
        <v>9688</v>
      </c>
      <c r="AH28" s="507">
        <f t="shared" si="1"/>
        <v>1</v>
      </c>
      <c r="AI28" s="507">
        <f t="shared" si="1"/>
        <v>9688</v>
      </c>
      <c r="AJ28" s="506">
        <v>0.5</v>
      </c>
      <c r="AK28" s="506">
        <v>0.5</v>
      </c>
      <c r="AL28" s="506"/>
      <c r="AM28" s="506"/>
      <c r="AN28" s="506"/>
      <c r="AO28" s="506"/>
      <c r="AP28" s="506"/>
      <c r="AQ28" s="506"/>
      <c r="AR28" s="506"/>
      <c r="AS28" s="506"/>
      <c r="AT28" s="508">
        <f t="shared" si="2"/>
        <v>1</v>
      </c>
      <c r="AU28" s="509">
        <f t="shared" si="3"/>
        <v>0</v>
      </c>
      <c r="AV28" s="509">
        <f t="shared" si="4"/>
        <v>0</v>
      </c>
    </row>
    <row r="29" spans="1:48" ht="15.75" hidden="1" x14ac:dyDescent="0.25">
      <c r="A29" s="503" t="s">
        <v>1185</v>
      </c>
      <c r="B29" s="503">
        <v>6</v>
      </c>
      <c r="C29" s="503">
        <v>1</v>
      </c>
      <c r="D29" s="504"/>
      <c r="E29" s="505"/>
      <c r="F29" s="506">
        <v>1</v>
      </c>
      <c r="G29" s="506">
        <v>8814.4</v>
      </c>
      <c r="H29" s="506">
        <v>0.5</v>
      </c>
      <c r="I29" s="506">
        <v>3409.9</v>
      </c>
      <c r="J29" s="506"/>
      <c r="K29" s="506"/>
      <c r="L29" s="506"/>
      <c r="M29" s="506"/>
      <c r="N29" s="506"/>
      <c r="O29" s="506"/>
      <c r="P29" s="506"/>
      <c r="Q29" s="506"/>
      <c r="R29" s="506"/>
      <c r="S29" s="506"/>
      <c r="T29" s="506">
        <v>0.25</v>
      </c>
      <c r="U29" s="506">
        <v>1967.88</v>
      </c>
      <c r="V29" s="506"/>
      <c r="W29" s="506"/>
      <c r="X29" s="506"/>
      <c r="Y29" s="506"/>
      <c r="Z29" s="506"/>
      <c r="AA29" s="506"/>
      <c r="AB29" s="506"/>
      <c r="AC29" s="511"/>
      <c r="AD29" s="506"/>
      <c r="AE29" s="506"/>
      <c r="AF29" s="507">
        <f t="shared" si="0"/>
        <v>1.75</v>
      </c>
      <c r="AG29" s="507">
        <f t="shared" si="0"/>
        <v>14192.18</v>
      </c>
      <c r="AH29" s="507">
        <f t="shared" si="1"/>
        <v>1.75</v>
      </c>
      <c r="AI29" s="507">
        <f t="shared" si="1"/>
        <v>14192.18</v>
      </c>
      <c r="AJ29" s="506">
        <v>0.5</v>
      </c>
      <c r="AK29" s="506">
        <v>0.5</v>
      </c>
      <c r="AL29" s="506"/>
      <c r="AM29" s="506"/>
      <c r="AN29" s="506"/>
      <c r="AO29" s="506"/>
      <c r="AP29" s="506"/>
      <c r="AQ29" s="506"/>
      <c r="AR29" s="506"/>
      <c r="AS29" s="506"/>
      <c r="AT29" s="508">
        <f t="shared" si="2"/>
        <v>1</v>
      </c>
      <c r="AU29" s="509">
        <f t="shared" si="3"/>
        <v>0.75</v>
      </c>
      <c r="AV29" s="509">
        <f t="shared" si="4"/>
        <v>6082.36</v>
      </c>
    </row>
    <row r="30" spans="1:48" ht="15.75" hidden="1" x14ac:dyDescent="0.25">
      <c r="A30" s="503" t="s">
        <v>1186</v>
      </c>
      <c r="B30" s="503">
        <v>15</v>
      </c>
      <c r="C30" s="503">
        <v>4</v>
      </c>
      <c r="D30" s="504">
        <v>1.5</v>
      </c>
      <c r="E30" s="505">
        <v>13956.78</v>
      </c>
      <c r="F30" s="506"/>
      <c r="G30" s="506"/>
      <c r="H30" s="506"/>
      <c r="I30" s="506"/>
      <c r="J30" s="506"/>
      <c r="K30" s="506"/>
      <c r="L30" s="506">
        <v>0.5</v>
      </c>
      <c r="M30" s="506">
        <v>4213.5</v>
      </c>
      <c r="N30" s="506">
        <v>0.5</v>
      </c>
      <c r="O30" s="506">
        <v>2809</v>
      </c>
      <c r="P30" s="506"/>
      <c r="Q30" s="506"/>
      <c r="R30" s="506"/>
      <c r="S30" s="506"/>
      <c r="T30" s="506">
        <v>0.5</v>
      </c>
      <c r="U30" s="506">
        <v>4844</v>
      </c>
      <c r="V30" s="506"/>
      <c r="W30" s="506"/>
      <c r="X30" s="506"/>
      <c r="Y30" s="506"/>
      <c r="Z30" s="506"/>
      <c r="AA30" s="506"/>
      <c r="AB30" s="506"/>
      <c r="AC30" s="511"/>
      <c r="AD30" s="506"/>
      <c r="AE30" s="506"/>
      <c r="AF30" s="507">
        <f t="shared" si="0"/>
        <v>3</v>
      </c>
      <c r="AG30" s="507">
        <f t="shared" si="0"/>
        <v>25823.279999999999</v>
      </c>
      <c r="AH30" s="507">
        <f t="shared" si="1"/>
        <v>3</v>
      </c>
      <c r="AI30" s="507">
        <f t="shared" si="1"/>
        <v>25823.279999999999</v>
      </c>
      <c r="AJ30" s="506"/>
      <c r="AK30" s="506"/>
      <c r="AL30" s="506"/>
      <c r="AM30" s="506"/>
      <c r="AN30" s="506">
        <v>1</v>
      </c>
      <c r="AO30" s="506">
        <v>1</v>
      </c>
      <c r="AP30" s="506"/>
      <c r="AQ30" s="506"/>
      <c r="AR30" s="506"/>
      <c r="AS30" s="506"/>
      <c r="AT30" s="508">
        <f t="shared" si="2"/>
        <v>2</v>
      </c>
      <c r="AU30" s="509">
        <f t="shared" si="3"/>
        <v>1</v>
      </c>
      <c r="AV30" s="509">
        <f t="shared" si="4"/>
        <v>8607.76</v>
      </c>
    </row>
    <row r="31" spans="1:48" ht="15.75" hidden="1" x14ac:dyDescent="0.25">
      <c r="A31" s="503" t="s">
        <v>1187</v>
      </c>
      <c r="B31" s="503">
        <v>7</v>
      </c>
      <c r="C31" s="503">
        <v>1</v>
      </c>
      <c r="D31" s="504"/>
      <c r="E31" s="505"/>
      <c r="F31" s="506">
        <v>1</v>
      </c>
      <c r="G31" s="506">
        <v>10246.74</v>
      </c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506"/>
      <c r="V31" s="506"/>
      <c r="W31" s="506"/>
      <c r="X31" s="506"/>
      <c r="Y31" s="506"/>
      <c r="Z31" s="506"/>
      <c r="AA31" s="506"/>
      <c r="AB31" s="506"/>
      <c r="AC31" s="511"/>
      <c r="AD31" s="506"/>
      <c r="AE31" s="506"/>
      <c r="AF31" s="507">
        <f t="shared" si="0"/>
        <v>1</v>
      </c>
      <c r="AG31" s="507">
        <f t="shared" si="0"/>
        <v>10246.74</v>
      </c>
      <c r="AH31" s="507">
        <f t="shared" si="1"/>
        <v>1</v>
      </c>
      <c r="AI31" s="507">
        <f t="shared" si="1"/>
        <v>10246.74</v>
      </c>
      <c r="AJ31" s="506">
        <v>0.5</v>
      </c>
      <c r="AK31" s="506">
        <v>0.5</v>
      </c>
      <c r="AL31" s="506"/>
      <c r="AM31" s="506"/>
      <c r="AN31" s="506"/>
      <c r="AO31" s="506"/>
      <c r="AP31" s="506"/>
      <c r="AQ31" s="506"/>
      <c r="AR31" s="506"/>
      <c r="AS31" s="506"/>
      <c r="AT31" s="508">
        <f t="shared" si="2"/>
        <v>1</v>
      </c>
      <c r="AU31" s="509">
        <f t="shared" si="3"/>
        <v>0</v>
      </c>
      <c r="AV31" s="509">
        <f t="shared" si="4"/>
        <v>0</v>
      </c>
    </row>
    <row r="32" spans="1:48" ht="15.75" hidden="1" x14ac:dyDescent="0.25">
      <c r="A32" s="503" t="s">
        <v>1188</v>
      </c>
      <c r="B32" s="503">
        <v>6</v>
      </c>
      <c r="C32" s="503">
        <v>2</v>
      </c>
      <c r="D32" s="504"/>
      <c r="E32" s="505"/>
      <c r="F32" s="506">
        <v>1.75</v>
      </c>
      <c r="G32" s="506">
        <v>10467.1</v>
      </c>
      <c r="H32" s="506"/>
      <c r="I32" s="506"/>
      <c r="J32" s="506"/>
      <c r="K32" s="506"/>
      <c r="L32" s="506"/>
      <c r="M32" s="506"/>
      <c r="N32" s="506"/>
      <c r="O32" s="506"/>
      <c r="P32" s="506"/>
      <c r="Q32" s="506"/>
      <c r="R32" s="506"/>
      <c r="S32" s="506"/>
      <c r="T32" s="506"/>
      <c r="U32" s="506"/>
      <c r="V32" s="506"/>
      <c r="W32" s="506"/>
      <c r="X32" s="506"/>
      <c r="Y32" s="506"/>
      <c r="Z32" s="506"/>
      <c r="AA32" s="506"/>
      <c r="AB32" s="506"/>
      <c r="AC32" s="511"/>
      <c r="AD32" s="506"/>
      <c r="AE32" s="506"/>
      <c r="AF32" s="507">
        <f t="shared" si="0"/>
        <v>1.75</v>
      </c>
      <c r="AG32" s="507">
        <f t="shared" si="0"/>
        <v>10467.1</v>
      </c>
      <c r="AH32" s="507">
        <f t="shared" si="1"/>
        <v>1.75</v>
      </c>
      <c r="AI32" s="507">
        <f t="shared" si="1"/>
        <v>10467.1</v>
      </c>
      <c r="AJ32" s="506">
        <v>0.5</v>
      </c>
      <c r="AK32" s="506">
        <v>0.5</v>
      </c>
      <c r="AL32" s="506"/>
      <c r="AM32" s="506"/>
      <c r="AN32" s="506"/>
      <c r="AO32" s="506"/>
      <c r="AP32" s="506"/>
      <c r="AQ32" s="506"/>
      <c r="AR32" s="506"/>
      <c r="AS32" s="506"/>
      <c r="AT32" s="508">
        <f t="shared" si="2"/>
        <v>1</v>
      </c>
      <c r="AU32" s="509">
        <f t="shared" si="3"/>
        <v>0.75</v>
      </c>
      <c r="AV32" s="509">
        <f t="shared" si="4"/>
        <v>4485.8999999999996</v>
      </c>
    </row>
    <row r="33" spans="1:48" ht="15.75" hidden="1" x14ac:dyDescent="0.25">
      <c r="A33" s="503" t="s">
        <v>1189</v>
      </c>
      <c r="B33" s="503">
        <v>14</v>
      </c>
      <c r="C33" s="503">
        <v>2</v>
      </c>
      <c r="D33" s="504">
        <v>1.5</v>
      </c>
      <c r="E33" s="505">
        <v>16066.95</v>
      </c>
      <c r="F33" s="506">
        <v>0.5</v>
      </c>
      <c r="G33" s="506">
        <v>4944.33</v>
      </c>
      <c r="H33" s="506"/>
      <c r="I33" s="506"/>
      <c r="J33" s="506"/>
      <c r="K33" s="506"/>
      <c r="L33" s="506"/>
      <c r="M33" s="506"/>
      <c r="N33" s="506"/>
      <c r="O33" s="506"/>
      <c r="P33" s="506"/>
      <c r="Q33" s="506"/>
      <c r="R33" s="506"/>
      <c r="S33" s="506"/>
      <c r="T33" s="506">
        <v>0.25</v>
      </c>
      <c r="U33" s="506">
        <v>1513.75</v>
      </c>
      <c r="V33" s="506"/>
      <c r="W33" s="506"/>
      <c r="X33" s="506"/>
      <c r="Y33" s="506"/>
      <c r="Z33" s="506"/>
      <c r="AA33" s="506"/>
      <c r="AB33" s="506"/>
      <c r="AC33" s="511"/>
      <c r="AD33" s="506"/>
      <c r="AE33" s="506"/>
      <c r="AF33" s="507">
        <f t="shared" si="0"/>
        <v>2.25</v>
      </c>
      <c r="AG33" s="507">
        <f t="shared" si="0"/>
        <v>22525.03</v>
      </c>
      <c r="AH33" s="507">
        <f t="shared" si="1"/>
        <v>2.25</v>
      </c>
      <c r="AI33" s="507">
        <f t="shared" si="1"/>
        <v>22525.03</v>
      </c>
      <c r="AJ33" s="506"/>
      <c r="AK33" s="506"/>
      <c r="AL33" s="506"/>
      <c r="AM33" s="506"/>
      <c r="AN33" s="506">
        <v>1</v>
      </c>
      <c r="AO33" s="506">
        <v>1</v>
      </c>
      <c r="AP33" s="506"/>
      <c r="AQ33" s="506"/>
      <c r="AR33" s="506"/>
      <c r="AS33" s="506"/>
      <c r="AT33" s="508">
        <f t="shared" si="2"/>
        <v>2</v>
      </c>
      <c r="AU33" s="509">
        <f t="shared" si="3"/>
        <v>0.25</v>
      </c>
      <c r="AV33" s="509">
        <f t="shared" si="4"/>
        <v>2502.7800000000002</v>
      </c>
    </row>
    <row r="34" spans="1:48" ht="15.75" hidden="1" x14ac:dyDescent="0.25">
      <c r="A34" s="503" t="s">
        <v>1190</v>
      </c>
      <c r="B34" s="503">
        <v>12</v>
      </c>
      <c r="C34" s="503">
        <v>3</v>
      </c>
      <c r="D34" s="504"/>
      <c r="E34" s="505"/>
      <c r="F34" s="506">
        <v>1.5</v>
      </c>
      <c r="G34" s="506">
        <v>14295.86</v>
      </c>
      <c r="H34" s="506"/>
      <c r="I34" s="506"/>
      <c r="J34" s="506"/>
      <c r="K34" s="506"/>
      <c r="L34" s="506"/>
      <c r="M34" s="506"/>
      <c r="N34" s="506"/>
      <c r="O34" s="506"/>
      <c r="P34" s="506"/>
      <c r="Q34" s="506"/>
      <c r="R34" s="506"/>
      <c r="S34" s="506"/>
      <c r="T34" s="506"/>
      <c r="U34" s="506"/>
      <c r="V34" s="506"/>
      <c r="W34" s="506"/>
      <c r="X34" s="506"/>
      <c r="Y34" s="506"/>
      <c r="Z34" s="506"/>
      <c r="AA34" s="506"/>
      <c r="AB34" s="506"/>
      <c r="AC34" s="511"/>
      <c r="AD34" s="506"/>
      <c r="AE34" s="506"/>
      <c r="AF34" s="507">
        <f t="shared" si="0"/>
        <v>1.5</v>
      </c>
      <c r="AG34" s="507">
        <f t="shared" si="0"/>
        <v>14295.86</v>
      </c>
      <c r="AH34" s="507">
        <f t="shared" si="1"/>
        <v>1.5</v>
      </c>
      <c r="AI34" s="507">
        <f t="shared" si="1"/>
        <v>14295.86</v>
      </c>
      <c r="AJ34" s="506"/>
      <c r="AK34" s="506"/>
      <c r="AL34" s="506">
        <v>0.5</v>
      </c>
      <c r="AM34" s="506">
        <v>1</v>
      </c>
      <c r="AN34" s="506"/>
      <c r="AO34" s="506"/>
      <c r="AP34" s="506"/>
      <c r="AQ34" s="506"/>
      <c r="AR34" s="506"/>
      <c r="AS34" s="506"/>
      <c r="AT34" s="508">
        <f t="shared" si="2"/>
        <v>1.5</v>
      </c>
      <c r="AU34" s="509">
        <f t="shared" si="3"/>
        <v>0</v>
      </c>
      <c r="AV34" s="509">
        <f t="shared" si="4"/>
        <v>0</v>
      </c>
    </row>
    <row r="35" spans="1:48" ht="15.75" hidden="1" x14ac:dyDescent="0.25">
      <c r="A35" s="503" t="s">
        <v>1191</v>
      </c>
      <c r="B35" s="503">
        <v>9</v>
      </c>
      <c r="C35" s="503">
        <v>1</v>
      </c>
      <c r="D35" s="504"/>
      <c r="E35" s="505"/>
      <c r="F35" s="506">
        <v>1.5</v>
      </c>
      <c r="G35" s="506">
        <v>9916.2000000000007</v>
      </c>
      <c r="H35" s="506">
        <v>1</v>
      </c>
      <c r="I35" s="506">
        <v>5770.6</v>
      </c>
      <c r="J35" s="506"/>
      <c r="K35" s="506"/>
      <c r="L35" s="506"/>
      <c r="M35" s="506"/>
      <c r="N35" s="506"/>
      <c r="O35" s="506"/>
      <c r="P35" s="506"/>
      <c r="Q35" s="506"/>
      <c r="R35" s="506"/>
      <c r="S35" s="506"/>
      <c r="T35" s="506"/>
      <c r="U35" s="506"/>
      <c r="V35" s="506"/>
      <c r="W35" s="506"/>
      <c r="X35" s="506"/>
      <c r="Y35" s="506"/>
      <c r="Z35" s="506"/>
      <c r="AA35" s="506"/>
      <c r="AB35" s="506"/>
      <c r="AC35" s="511"/>
      <c r="AD35" s="506"/>
      <c r="AE35" s="506"/>
      <c r="AF35" s="507">
        <f t="shared" si="0"/>
        <v>2.5</v>
      </c>
      <c r="AG35" s="507">
        <f t="shared" si="0"/>
        <v>15686.8</v>
      </c>
      <c r="AH35" s="507">
        <f t="shared" si="1"/>
        <v>2.5</v>
      </c>
      <c r="AI35" s="507">
        <f t="shared" si="1"/>
        <v>15686.8</v>
      </c>
      <c r="AJ35" s="506"/>
      <c r="AK35" s="506"/>
      <c r="AL35" s="506">
        <v>0.5</v>
      </c>
      <c r="AM35" s="506">
        <v>1</v>
      </c>
      <c r="AN35" s="506"/>
      <c r="AO35" s="506"/>
      <c r="AP35" s="506"/>
      <c r="AQ35" s="506"/>
      <c r="AR35" s="506"/>
      <c r="AS35" s="506"/>
      <c r="AT35" s="508">
        <f t="shared" si="2"/>
        <v>1.5</v>
      </c>
      <c r="AU35" s="509">
        <f t="shared" si="3"/>
        <v>1</v>
      </c>
      <c r="AV35" s="509">
        <f t="shared" si="4"/>
        <v>6274.72</v>
      </c>
    </row>
    <row r="36" spans="1:48" ht="15.75" hidden="1" x14ac:dyDescent="0.25">
      <c r="A36" s="503" t="s">
        <v>1192</v>
      </c>
      <c r="B36" s="503">
        <v>6</v>
      </c>
      <c r="C36" s="503">
        <v>1</v>
      </c>
      <c r="D36" s="504"/>
      <c r="E36" s="505"/>
      <c r="F36" s="506">
        <v>1</v>
      </c>
      <c r="G36" s="506">
        <v>8814.4</v>
      </c>
      <c r="H36" s="506">
        <v>0.5</v>
      </c>
      <c r="I36" s="506">
        <v>3593.51</v>
      </c>
      <c r="J36" s="506"/>
      <c r="K36" s="506"/>
      <c r="L36" s="506"/>
      <c r="M36" s="506"/>
      <c r="N36" s="506"/>
      <c r="O36" s="506"/>
      <c r="P36" s="506"/>
      <c r="Q36" s="506"/>
      <c r="R36" s="506"/>
      <c r="S36" s="506"/>
      <c r="T36" s="506"/>
      <c r="U36" s="506"/>
      <c r="V36" s="506"/>
      <c r="W36" s="506"/>
      <c r="X36" s="506"/>
      <c r="Y36" s="506"/>
      <c r="Z36" s="506"/>
      <c r="AA36" s="506"/>
      <c r="AB36" s="506"/>
      <c r="AC36" s="511"/>
      <c r="AD36" s="506"/>
      <c r="AE36" s="506"/>
      <c r="AF36" s="507">
        <f t="shared" si="0"/>
        <v>1.5</v>
      </c>
      <c r="AG36" s="507">
        <f t="shared" si="0"/>
        <v>12407.91</v>
      </c>
      <c r="AH36" s="507">
        <f t="shared" si="1"/>
        <v>1.5</v>
      </c>
      <c r="AI36" s="507">
        <f t="shared" si="1"/>
        <v>12407.91</v>
      </c>
      <c r="AJ36" s="506">
        <v>0.5</v>
      </c>
      <c r="AK36" s="506">
        <v>0.5</v>
      </c>
      <c r="AL36" s="506"/>
      <c r="AM36" s="506"/>
      <c r="AN36" s="506"/>
      <c r="AO36" s="506"/>
      <c r="AP36" s="506"/>
      <c r="AQ36" s="506"/>
      <c r="AR36" s="506"/>
      <c r="AS36" s="506"/>
      <c r="AT36" s="508">
        <f t="shared" si="2"/>
        <v>1</v>
      </c>
      <c r="AU36" s="509">
        <f t="shared" si="3"/>
        <v>0.5</v>
      </c>
      <c r="AV36" s="509">
        <f t="shared" si="4"/>
        <v>4135.97</v>
      </c>
    </row>
    <row r="37" spans="1:48" ht="15.75" hidden="1" x14ac:dyDescent="0.25">
      <c r="A37" s="503" t="s">
        <v>1193</v>
      </c>
      <c r="B37" s="503">
        <v>6</v>
      </c>
      <c r="C37" s="503">
        <v>1</v>
      </c>
      <c r="D37" s="504"/>
      <c r="E37" s="505"/>
      <c r="F37" s="506">
        <v>1</v>
      </c>
      <c r="G37" s="506">
        <v>8938.35</v>
      </c>
      <c r="H37" s="506"/>
      <c r="I37" s="506"/>
      <c r="J37" s="506"/>
      <c r="K37" s="506"/>
      <c r="L37" s="506"/>
      <c r="M37" s="506"/>
      <c r="N37" s="506"/>
      <c r="O37" s="506"/>
      <c r="P37" s="506"/>
      <c r="Q37" s="506"/>
      <c r="R37" s="506"/>
      <c r="S37" s="506"/>
      <c r="T37" s="506"/>
      <c r="U37" s="506"/>
      <c r="V37" s="506"/>
      <c r="W37" s="506"/>
      <c r="X37" s="506"/>
      <c r="Y37" s="506"/>
      <c r="Z37" s="506"/>
      <c r="AA37" s="506"/>
      <c r="AB37" s="506"/>
      <c r="AC37" s="511"/>
      <c r="AD37" s="506"/>
      <c r="AE37" s="506"/>
      <c r="AF37" s="507">
        <f t="shared" si="0"/>
        <v>1</v>
      </c>
      <c r="AG37" s="507">
        <f t="shared" si="0"/>
        <v>8938.35</v>
      </c>
      <c r="AH37" s="507">
        <f t="shared" si="1"/>
        <v>1</v>
      </c>
      <c r="AI37" s="507">
        <f t="shared" si="1"/>
        <v>8938.35</v>
      </c>
      <c r="AJ37" s="506">
        <v>0.5</v>
      </c>
      <c r="AK37" s="506">
        <v>0.5</v>
      </c>
      <c r="AL37" s="506"/>
      <c r="AM37" s="506"/>
      <c r="AN37" s="506"/>
      <c r="AO37" s="506"/>
      <c r="AP37" s="506"/>
      <c r="AQ37" s="506"/>
      <c r="AR37" s="506"/>
      <c r="AS37" s="506"/>
      <c r="AT37" s="508">
        <f t="shared" si="2"/>
        <v>1</v>
      </c>
      <c r="AU37" s="509">
        <f t="shared" si="3"/>
        <v>0</v>
      </c>
      <c r="AV37" s="509">
        <f t="shared" si="4"/>
        <v>0</v>
      </c>
    </row>
    <row r="38" spans="1:48" ht="15.75" hidden="1" x14ac:dyDescent="0.25">
      <c r="A38" s="503" t="s">
        <v>1194</v>
      </c>
      <c r="B38" s="503">
        <v>14</v>
      </c>
      <c r="C38" s="503">
        <v>2</v>
      </c>
      <c r="D38" s="504">
        <v>2</v>
      </c>
      <c r="E38" s="505">
        <v>21056.27</v>
      </c>
      <c r="F38" s="506"/>
      <c r="G38" s="506"/>
      <c r="H38" s="506"/>
      <c r="I38" s="506"/>
      <c r="J38" s="506"/>
      <c r="K38" s="506"/>
      <c r="L38" s="506">
        <v>1</v>
      </c>
      <c r="M38" s="506">
        <v>9125.6</v>
      </c>
      <c r="N38" s="506">
        <v>0.5</v>
      </c>
      <c r="O38" s="506">
        <v>3514.06</v>
      </c>
      <c r="P38" s="506"/>
      <c r="Q38" s="506"/>
      <c r="R38" s="506">
        <v>0.5</v>
      </c>
      <c r="S38" s="506">
        <v>2725.54</v>
      </c>
      <c r="T38" s="506">
        <v>0.25</v>
      </c>
      <c r="U38" s="506">
        <v>2652.7</v>
      </c>
      <c r="V38" s="506"/>
      <c r="W38" s="506"/>
      <c r="X38" s="506"/>
      <c r="Y38" s="506"/>
      <c r="Z38" s="506"/>
      <c r="AA38" s="506"/>
      <c r="AB38" s="506"/>
      <c r="AC38" s="511"/>
      <c r="AD38" s="506"/>
      <c r="AE38" s="506"/>
      <c r="AF38" s="507">
        <f t="shared" si="0"/>
        <v>4.25</v>
      </c>
      <c r="AG38" s="507">
        <f t="shared" si="0"/>
        <v>39074.17</v>
      </c>
      <c r="AH38" s="507">
        <f t="shared" si="1"/>
        <v>3.75</v>
      </c>
      <c r="AI38" s="507">
        <f t="shared" si="1"/>
        <v>36348.629999999997</v>
      </c>
      <c r="AJ38" s="506"/>
      <c r="AK38" s="506"/>
      <c r="AL38" s="506"/>
      <c r="AM38" s="506"/>
      <c r="AN38" s="506">
        <v>1</v>
      </c>
      <c r="AO38" s="506">
        <v>1</v>
      </c>
      <c r="AP38" s="506"/>
      <c r="AQ38" s="506"/>
      <c r="AR38" s="506"/>
      <c r="AS38" s="506"/>
      <c r="AT38" s="508">
        <f t="shared" si="2"/>
        <v>2</v>
      </c>
      <c r="AU38" s="509">
        <f t="shared" si="3"/>
        <v>1.75</v>
      </c>
      <c r="AV38" s="509">
        <f t="shared" si="4"/>
        <v>16962.689999999999</v>
      </c>
    </row>
    <row r="39" spans="1:48" ht="15.75" hidden="1" x14ac:dyDescent="0.25">
      <c r="A39" s="503" t="s">
        <v>1195</v>
      </c>
      <c r="B39" s="503">
        <v>6</v>
      </c>
      <c r="C39" s="503">
        <v>1</v>
      </c>
      <c r="D39" s="504">
        <v>1</v>
      </c>
      <c r="E39" s="505">
        <v>10868.73</v>
      </c>
      <c r="F39" s="506"/>
      <c r="G39" s="506"/>
      <c r="H39" s="506"/>
      <c r="I39" s="506"/>
      <c r="J39" s="506"/>
      <c r="K39" s="506"/>
      <c r="L39" s="506">
        <v>1</v>
      </c>
      <c r="M39" s="506">
        <v>10084.31</v>
      </c>
      <c r="N39" s="506">
        <v>1.5</v>
      </c>
      <c r="O39" s="506">
        <v>14964.95</v>
      </c>
      <c r="P39" s="506">
        <v>1</v>
      </c>
      <c r="Q39" s="506">
        <v>10358.950000000001</v>
      </c>
      <c r="R39" s="506">
        <v>0.5</v>
      </c>
      <c r="S39" s="506">
        <v>4580.84</v>
      </c>
      <c r="T39" s="506">
        <v>0.25</v>
      </c>
      <c r="U39" s="506">
        <v>2194.94</v>
      </c>
      <c r="V39" s="506"/>
      <c r="W39" s="506"/>
      <c r="X39" s="506"/>
      <c r="Y39" s="506"/>
      <c r="Z39" s="506">
        <v>0.25</v>
      </c>
      <c r="AA39" s="506">
        <v>2717.19</v>
      </c>
      <c r="AB39" s="506">
        <v>0.25</v>
      </c>
      <c r="AC39" s="511">
        <v>2194.94</v>
      </c>
      <c r="AD39" s="506"/>
      <c r="AE39" s="506"/>
      <c r="AF39" s="507">
        <f t="shared" si="0"/>
        <v>5.75</v>
      </c>
      <c r="AG39" s="507">
        <f t="shared" si="0"/>
        <v>57964.85</v>
      </c>
      <c r="AH39" s="507">
        <f t="shared" si="1"/>
        <v>4.25</v>
      </c>
      <c r="AI39" s="507">
        <f t="shared" si="1"/>
        <v>43025.06</v>
      </c>
      <c r="AJ39" s="506">
        <v>0.5</v>
      </c>
      <c r="AK39" s="506">
        <v>0.5</v>
      </c>
      <c r="AL39" s="506"/>
      <c r="AM39" s="506"/>
      <c r="AN39" s="506"/>
      <c r="AO39" s="506"/>
      <c r="AP39" s="506"/>
      <c r="AQ39" s="506"/>
      <c r="AR39" s="506"/>
      <c r="AS39" s="506"/>
      <c r="AT39" s="508">
        <f t="shared" si="2"/>
        <v>1</v>
      </c>
      <c r="AU39" s="509">
        <f t="shared" si="3"/>
        <v>3.25</v>
      </c>
      <c r="AV39" s="509">
        <f t="shared" si="4"/>
        <v>32901.519999999997</v>
      </c>
    </row>
    <row r="40" spans="1:48" ht="15.75" hidden="1" x14ac:dyDescent="0.25">
      <c r="A40" s="503" t="s">
        <v>1196</v>
      </c>
      <c r="B40" s="503">
        <v>7</v>
      </c>
      <c r="C40" s="503">
        <v>1</v>
      </c>
      <c r="D40" s="504">
        <v>1</v>
      </c>
      <c r="E40" s="506">
        <v>7871.5</v>
      </c>
      <c r="F40" s="506">
        <v>0.5</v>
      </c>
      <c r="G40" s="506">
        <v>3580.84</v>
      </c>
      <c r="H40" s="506"/>
      <c r="I40" s="506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Z40" s="506"/>
      <c r="AA40" s="506"/>
      <c r="AB40" s="506"/>
      <c r="AC40" s="511"/>
      <c r="AD40" s="506"/>
      <c r="AE40" s="506"/>
      <c r="AF40" s="507">
        <f t="shared" si="0"/>
        <v>1.5</v>
      </c>
      <c r="AG40" s="507">
        <f t="shared" si="0"/>
        <v>11452.34</v>
      </c>
      <c r="AH40" s="507">
        <f t="shared" si="1"/>
        <v>1.5</v>
      </c>
      <c r="AI40" s="507">
        <f t="shared" si="1"/>
        <v>11452.34</v>
      </c>
      <c r="AJ40" s="506">
        <v>0.5</v>
      </c>
      <c r="AK40" s="506">
        <v>0.5</v>
      </c>
      <c r="AL40" s="506"/>
      <c r="AM40" s="506"/>
      <c r="AN40" s="506"/>
      <c r="AO40" s="506"/>
      <c r="AP40" s="506"/>
      <c r="AQ40" s="506"/>
      <c r="AR40" s="506"/>
      <c r="AS40" s="506"/>
      <c r="AT40" s="508">
        <f t="shared" si="2"/>
        <v>1</v>
      </c>
      <c r="AU40" s="509">
        <f t="shared" si="3"/>
        <v>0.5</v>
      </c>
      <c r="AV40" s="509">
        <f t="shared" si="4"/>
        <v>3817.45</v>
      </c>
    </row>
    <row r="41" spans="1:48" ht="15.75" hidden="1" x14ac:dyDescent="0.25">
      <c r="A41" s="503" t="s">
        <v>1197</v>
      </c>
      <c r="B41" s="503">
        <v>12</v>
      </c>
      <c r="C41" s="503">
        <v>2</v>
      </c>
      <c r="D41" s="504"/>
      <c r="E41" s="506"/>
      <c r="F41" s="506">
        <v>2.5</v>
      </c>
      <c r="G41" s="506">
        <v>17193.59</v>
      </c>
      <c r="H41" s="506"/>
      <c r="I41" s="506"/>
      <c r="J41" s="506"/>
      <c r="K41" s="506"/>
      <c r="L41" s="506"/>
      <c r="M41" s="506"/>
      <c r="N41" s="506">
        <v>0.5</v>
      </c>
      <c r="O41" s="506">
        <v>3651.7</v>
      </c>
      <c r="P41" s="506"/>
      <c r="Q41" s="506"/>
      <c r="R41" s="506">
        <v>0.5</v>
      </c>
      <c r="S41" s="506">
        <v>3317.6</v>
      </c>
      <c r="T41" s="506"/>
      <c r="U41" s="506"/>
      <c r="V41" s="506"/>
      <c r="W41" s="506"/>
      <c r="X41" s="506"/>
      <c r="Y41" s="506"/>
      <c r="Z41" s="506"/>
      <c r="AA41" s="506"/>
      <c r="AB41" s="506"/>
      <c r="AC41" s="511"/>
      <c r="AD41" s="506"/>
      <c r="AE41" s="506"/>
      <c r="AF41" s="507">
        <f t="shared" si="0"/>
        <v>3.5</v>
      </c>
      <c r="AG41" s="507">
        <f t="shared" si="0"/>
        <v>24162.89</v>
      </c>
      <c r="AH41" s="507">
        <f t="shared" si="1"/>
        <v>3</v>
      </c>
      <c r="AI41" s="507">
        <f t="shared" si="1"/>
        <v>20845.29</v>
      </c>
      <c r="AJ41" s="506"/>
      <c r="AK41" s="506"/>
      <c r="AL41" s="506">
        <v>0.5</v>
      </c>
      <c r="AM41" s="506">
        <v>1</v>
      </c>
      <c r="AN41" s="506"/>
      <c r="AO41" s="506"/>
      <c r="AP41" s="506"/>
      <c r="AQ41" s="506"/>
      <c r="AR41" s="506"/>
      <c r="AS41" s="506"/>
      <c r="AT41" s="508">
        <f t="shared" si="2"/>
        <v>1.5</v>
      </c>
      <c r="AU41" s="509">
        <f t="shared" si="3"/>
        <v>1.5</v>
      </c>
      <c r="AV41" s="509">
        <f t="shared" si="4"/>
        <v>10422.65</v>
      </c>
    </row>
    <row r="42" spans="1:48" ht="15.75" hidden="1" x14ac:dyDescent="0.25">
      <c r="A42" s="503" t="s">
        <v>1198</v>
      </c>
      <c r="B42" s="503">
        <v>7</v>
      </c>
      <c r="C42" s="503"/>
      <c r="D42" s="504"/>
      <c r="E42" s="506"/>
      <c r="F42" s="506">
        <v>2</v>
      </c>
      <c r="G42" s="506">
        <v>14047.95</v>
      </c>
      <c r="H42" s="506"/>
      <c r="I42" s="506"/>
      <c r="J42" s="506"/>
      <c r="K42" s="506"/>
      <c r="L42" s="506"/>
      <c r="M42" s="506"/>
      <c r="N42" s="506"/>
      <c r="O42" s="506"/>
      <c r="P42" s="506"/>
      <c r="Q42" s="506"/>
      <c r="R42" s="506">
        <v>0.5</v>
      </c>
      <c r="S42" s="506">
        <v>3700.4</v>
      </c>
      <c r="T42" s="506"/>
      <c r="U42" s="506"/>
      <c r="V42" s="506"/>
      <c r="W42" s="506"/>
      <c r="X42" s="506"/>
      <c r="Y42" s="506"/>
      <c r="Z42" s="506"/>
      <c r="AA42" s="506"/>
      <c r="AB42" s="506"/>
      <c r="AC42" s="511"/>
      <c r="AD42" s="506"/>
      <c r="AE42" s="506"/>
      <c r="AF42" s="507">
        <f t="shared" si="0"/>
        <v>2.5</v>
      </c>
      <c r="AG42" s="507">
        <f t="shared" si="0"/>
        <v>17748.349999999999</v>
      </c>
      <c r="AH42" s="507">
        <f t="shared" si="1"/>
        <v>2</v>
      </c>
      <c r="AI42" s="507">
        <f t="shared" si="1"/>
        <v>14047.95</v>
      </c>
      <c r="AJ42" s="506">
        <v>0.5</v>
      </c>
      <c r="AK42" s="506">
        <v>0.5</v>
      </c>
      <c r="AL42" s="506"/>
      <c r="AM42" s="506"/>
      <c r="AN42" s="506"/>
      <c r="AO42" s="506"/>
      <c r="AP42" s="506"/>
      <c r="AQ42" s="506"/>
      <c r="AR42" s="506"/>
      <c r="AS42" s="506"/>
      <c r="AT42" s="508">
        <f t="shared" si="2"/>
        <v>1</v>
      </c>
      <c r="AU42" s="509">
        <f t="shared" si="3"/>
        <v>1</v>
      </c>
      <c r="AV42" s="509">
        <f t="shared" si="4"/>
        <v>7023.98</v>
      </c>
    </row>
    <row r="43" spans="1:48" ht="15.75" hidden="1" x14ac:dyDescent="0.25">
      <c r="A43" s="503" t="s">
        <v>1199</v>
      </c>
      <c r="B43" s="503">
        <v>5</v>
      </c>
      <c r="C43" s="503"/>
      <c r="D43" s="504"/>
      <c r="E43" s="506"/>
      <c r="F43" s="506">
        <v>1</v>
      </c>
      <c r="G43" s="506">
        <v>7161.7</v>
      </c>
      <c r="H43" s="506"/>
      <c r="I43" s="506"/>
      <c r="J43" s="506"/>
      <c r="K43" s="506"/>
      <c r="L43" s="506"/>
      <c r="M43" s="506"/>
      <c r="N43" s="506"/>
      <c r="O43" s="506"/>
      <c r="P43" s="506"/>
      <c r="Q43" s="506"/>
      <c r="R43" s="506"/>
      <c r="S43" s="506"/>
      <c r="T43" s="506"/>
      <c r="U43" s="506"/>
      <c r="V43" s="506"/>
      <c r="W43" s="506"/>
      <c r="X43" s="506"/>
      <c r="Y43" s="506"/>
      <c r="Z43" s="506"/>
      <c r="AA43" s="506"/>
      <c r="AB43" s="506"/>
      <c r="AC43" s="511"/>
      <c r="AD43" s="506"/>
      <c r="AE43" s="506"/>
      <c r="AF43" s="507">
        <f t="shared" si="0"/>
        <v>1</v>
      </c>
      <c r="AG43" s="507">
        <f t="shared" si="0"/>
        <v>7161.7</v>
      </c>
      <c r="AH43" s="507">
        <f t="shared" si="1"/>
        <v>1</v>
      </c>
      <c r="AI43" s="507">
        <f t="shared" si="1"/>
        <v>7161.7</v>
      </c>
      <c r="AJ43" s="506">
        <v>0.5</v>
      </c>
      <c r="AK43" s="506">
        <v>0.5</v>
      </c>
      <c r="AL43" s="506"/>
      <c r="AM43" s="506"/>
      <c r="AN43" s="506"/>
      <c r="AO43" s="506"/>
      <c r="AP43" s="506"/>
      <c r="AQ43" s="506"/>
      <c r="AR43" s="506"/>
      <c r="AS43" s="506"/>
      <c r="AT43" s="508">
        <f t="shared" si="2"/>
        <v>1</v>
      </c>
      <c r="AU43" s="509">
        <f t="shared" si="3"/>
        <v>0</v>
      </c>
      <c r="AV43" s="509">
        <f t="shared" si="4"/>
        <v>0</v>
      </c>
    </row>
    <row r="44" spans="1:48" ht="15.75" hidden="1" x14ac:dyDescent="0.25">
      <c r="A44" s="503" t="s">
        <v>1200</v>
      </c>
      <c r="B44" s="503">
        <v>8</v>
      </c>
      <c r="C44" s="503">
        <v>1</v>
      </c>
      <c r="D44" s="504"/>
      <c r="E44" s="506"/>
      <c r="F44" s="506">
        <v>1.5</v>
      </c>
      <c r="G44" s="506">
        <v>10742.55</v>
      </c>
      <c r="H44" s="506"/>
      <c r="I44" s="506"/>
      <c r="J44" s="506"/>
      <c r="K44" s="506"/>
      <c r="L44" s="506"/>
      <c r="M44" s="506"/>
      <c r="N44" s="506"/>
      <c r="O44" s="506"/>
      <c r="P44" s="506"/>
      <c r="Q44" s="506"/>
      <c r="R44" s="506"/>
      <c r="S44" s="506"/>
      <c r="T44" s="506"/>
      <c r="U44" s="506"/>
      <c r="V44" s="506"/>
      <c r="W44" s="506"/>
      <c r="X44" s="506"/>
      <c r="Y44" s="506"/>
      <c r="Z44" s="506"/>
      <c r="AA44" s="506"/>
      <c r="AB44" s="506"/>
      <c r="AC44" s="511"/>
      <c r="AD44" s="506"/>
      <c r="AE44" s="506"/>
      <c r="AF44" s="507">
        <f t="shared" si="0"/>
        <v>1.5</v>
      </c>
      <c r="AG44" s="507">
        <f t="shared" si="0"/>
        <v>10742.55</v>
      </c>
      <c r="AH44" s="507">
        <f t="shared" si="1"/>
        <v>1.5</v>
      </c>
      <c r="AI44" s="507">
        <f t="shared" si="1"/>
        <v>10742.55</v>
      </c>
      <c r="AJ44" s="506"/>
      <c r="AK44" s="506"/>
      <c r="AL44" s="506">
        <v>0.5</v>
      </c>
      <c r="AM44" s="506">
        <v>1</v>
      </c>
      <c r="AN44" s="506"/>
      <c r="AO44" s="506"/>
      <c r="AP44" s="506"/>
      <c r="AQ44" s="506"/>
      <c r="AR44" s="506"/>
      <c r="AS44" s="506"/>
      <c r="AT44" s="508">
        <f t="shared" si="2"/>
        <v>1.5</v>
      </c>
      <c r="AU44" s="509">
        <f t="shared" si="3"/>
        <v>0</v>
      </c>
      <c r="AV44" s="509">
        <f t="shared" si="4"/>
        <v>0</v>
      </c>
    </row>
    <row r="45" spans="1:48" ht="15.75" hidden="1" x14ac:dyDescent="0.25">
      <c r="A45" s="503" t="s">
        <v>1201</v>
      </c>
      <c r="B45" s="503">
        <v>3</v>
      </c>
      <c r="C45" s="503"/>
      <c r="D45" s="504"/>
      <c r="E45" s="506"/>
      <c r="F45" s="506">
        <v>1</v>
      </c>
      <c r="G45" s="506">
        <v>5509</v>
      </c>
      <c r="H45" s="506"/>
      <c r="I45" s="506"/>
      <c r="J45" s="506"/>
      <c r="K45" s="506"/>
      <c r="L45" s="506"/>
      <c r="M45" s="506"/>
      <c r="N45" s="506"/>
      <c r="O45" s="506"/>
      <c r="P45" s="506"/>
      <c r="Q45" s="506"/>
      <c r="R45" s="506"/>
      <c r="S45" s="506"/>
      <c r="T45" s="506"/>
      <c r="U45" s="506"/>
      <c r="V45" s="506"/>
      <c r="W45" s="506"/>
      <c r="X45" s="506"/>
      <c r="Y45" s="506"/>
      <c r="Z45" s="506"/>
      <c r="AA45" s="506"/>
      <c r="AB45" s="506"/>
      <c r="AC45" s="511"/>
      <c r="AD45" s="506"/>
      <c r="AE45" s="506"/>
      <c r="AF45" s="507">
        <f t="shared" si="0"/>
        <v>1</v>
      </c>
      <c r="AG45" s="507">
        <f t="shared" si="0"/>
        <v>5509</v>
      </c>
      <c r="AH45" s="507">
        <f t="shared" si="1"/>
        <v>1</v>
      </c>
      <c r="AI45" s="507">
        <f t="shared" si="1"/>
        <v>5509</v>
      </c>
      <c r="AJ45" s="506">
        <v>0.5</v>
      </c>
      <c r="AK45" s="506">
        <v>0.5</v>
      </c>
      <c r="AL45" s="506"/>
      <c r="AM45" s="506"/>
      <c r="AN45" s="506"/>
      <c r="AO45" s="506"/>
      <c r="AP45" s="506"/>
      <c r="AQ45" s="506"/>
      <c r="AR45" s="506"/>
      <c r="AS45" s="506"/>
      <c r="AT45" s="508">
        <f t="shared" si="2"/>
        <v>1</v>
      </c>
      <c r="AU45" s="509">
        <f t="shared" si="3"/>
        <v>0</v>
      </c>
      <c r="AV45" s="509">
        <f t="shared" si="4"/>
        <v>0</v>
      </c>
    </row>
    <row r="46" spans="1:48" ht="15.75" hidden="1" x14ac:dyDescent="0.25">
      <c r="A46" s="503" t="s">
        <v>1202</v>
      </c>
      <c r="B46" s="503">
        <v>6</v>
      </c>
      <c r="C46" s="503">
        <v>2</v>
      </c>
      <c r="D46" s="504"/>
      <c r="E46" s="506"/>
      <c r="F46" s="506">
        <v>1</v>
      </c>
      <c r="G46" s="506">
        <v>8814.4</v>
      </c>
      <c r="H46" s="506"/>
      <c r="I46" s="506"/>
      <c r="J46" s="506"/>
      <c r="K46" s="506"/>
      <c r="L46" s="506"/>
      <c r="M46" s="506"/>
      <c r="N46" s="506"/>
      <c r="O46" s="506"/>
      <c r="P46" s="506"/>
      <c r="Q46" s="506"/>
      <c r="R46" s="506"/>
      <c r="S46" s="506"/>
      <c r="T46" s="506"/>
      <c r="U46" s="506"/>
      <c r="V46" s="506"/>
      <c r="W46" s="506"/>
      <c r="X46" s="506"/>
      <c r="Y46" s="506"/>
      <c r="Z46" s="506"/>
      <c r="AA46" s="506"/>
      <c r="AB46" s="506"/>
      <c r="AC46" s="511"/>
      <c r="AD46" s="506"/>
      <c r="AE46" s="506"/>
      <c r="AF46" s="507">
        <f t="shared" si="0"/>
        <v>1</v>
      </c>
      <c r="AG46" s="507">
        <f t="shared" si="0"/>
        <v>8814.4</v>
      </c>
      <c r="AH46" s="507">
        <f t="shared" si="1"/>
        <v>1</v>
      </c>
      <c r="AI46" s="507">
        <f t="shared" si="1"/>
        <v>8814.4</v>
      </c>
      <c r="AJ46" s="506">
        <v>0.5</v>
      </c>
      <c r="AK46" s="506">
        <v>0.5</v>
      </c>
      <c r="AL46" s="506"/>
      <c r="AM46" s="506"/>
      <c r="AN46" s="506"/>
      <c r="AO46" s="506"/>
      <c r="AP46" s="506"/>
      <c r="AQ46" s="506"/>
      <c r="AR46" s="506"/>
      <c r="AS46" s="506"/>
      <c r="AT46" s="508">
        <f t="shared" si="2"/>
        <v>1</v>
      </c>
      <c r="AU46" s="509">
        <f t="shared" si="3"/>
        <v>0</v>
      </c>
      <c r="AV46" s="509">
        <f t="shared" si="4"/>
        <v>0</v>
      </c>
    </row>
    <row r="47" spans="1:48" ht="15.75" hidden="1" x14ac:dyDescent="0.25">
      <c r="A47" s="503" t="s">
        <v>1203</v>
      </c>
      <c r="B47" s="503">
        <v>6</v>
      </c>
      <c r="C47" s="503">
        <v>1</v>
      </c>
      <c r="D47" s="504"/>
      <c r="E47" s="506"/>
      <c r="F47" s="506">
        <v>1</v>
      </c>
      <c r="G47" s="506">
        <v>8263.5</v>
      </c>
      <c r="H47" s="506"/>
      <c r="I47" s="506"/>
      <c r="J47" s="506"/>
      <c r="K47" s="506"/>
      <c r="L47" s="506"/>
      <c r="M47" s="506"/>
      <c r="N47" s="506"/>
      <c r="O47" s="506"/>
      <c r="P47" s="506"/>
      <c r="Q47" s="506"/>
      <c r="R47" s="506"/>
      <c r="S47" s="506"/>
      <c r="T47" s="506"/>
      <c r="U47" s="506"/>
      <c r="V47" s="506"/>
      <c r="W47" s="506"/>
      <c r="X47" s="506"/>
      <c r="Y47" s="506"/>
      <c r="Z47" s="506"/>
      <c r="AA47" s="506"/>
      <c r="AB47" s="506"/>
      <c r="AC47" s="511"/>
      <c r="AD47" s="506"/>
      <c r="AE47" s="506"/>
      <c r="AF47" s="507">
        <f t="shared" si="0"/>
        <v>1</v>
      </c>
      <c r="AG47" s="507">
        <f t="shared" si="0"/>
        <v>8263.5</v>
      </c>
      <c r="AH47" s="507">
        <f t="shared" si="1"/>
        <v>1</v>
      </c>
      <c r="AI47" s="507">
        <f t="shared" si="1"/>
        <v>8263.5</v>
      </c>
      <c r="AJ47" s="506">
        <v>0.5</v>
      </c>
      <c r="AK47" s="506">
        <v>0.5</v>
      </c>
      <c r="AL47" s="506"/>
      <c r="AM47" s="506"/>
      <c r="AN47" s="506"/>
      <c r="AO47" s="506"/>
      <c r="AP47" s="506"/>
      <c r="AQ47" s="506"/>
      <c r="AR47" s="506"/>
      <c r="AS47" s="506"/>
      <c r="AT47" s="508">
        <f t="shared" si="2"/>
        <v>1</v>
      </c>
      <c r="AU47" s="509">
        <f t="shared" si="3"/>
        <v>0</v>
      </c>
      <c r="AV47" s="509">
        <f t="shared" si="4"/>
        <v>0</v>
      </c>
    </row>
    <row r="48" spans="1:48" ht="15.75" hidden="1" x14ac:dyDescent="0.25">
      <c r="A48" s="503" t="s">
        <v>1204</v>
      </c>
      <c r="B48" s="503">
        <v>9</v>
      </c>
      <c r="C48" s="503">
        <v>2</v>
      </c>
      <c r="D48" s="504"/>
      <c r="E48" s="506"/>
      <c r="F48" s="506">
        <v>1</v>
      </c>
      <c r="G48" s="506">
        <v>8814.4</v>
      </c>
      <c r="H48" s="506">
        <v>0.5</v>
      </c>
      <c r="I48" s="506">
        <v>3409.9</v>
      </c>
      <c r="J48" s="506"/>
      <c r="K48" s="506"/>
      <c r="L48" s="506"/>
      <c r="M48" s="506"/>
      <c r="N48" s="506"/>
      <c r="O48" s="506"/>
      <c r="P48" s="506"/>
      <c r="Q48" s="506"/>
      <c r="R48" s="506"/>
      <c r="S48" s="506"/>
      <c r="T48" s="506"/>
      <c r="U48" s="506"/>
      <c r="V48" s="506"/>
      <c r="W48" s="506"/>
      <c r="X48" s="506"/>
      <c r="Y48" s="506"/>
      <c r="Z48" s="506"/>
      <c r="AA48" s="506"/>
      <c r="AB48" s="506"/>
      <c r="AC48" s="511"/>
      <c r="AD48" s="506"/>
      <c r="AE48" s="506"/>
      <c r="AF48" s="507">
        <f t="shared" si="0"/>
        <v>1.5</v>
      </c>
      <c r="AG48" s="507">
        <f t="shared" si="0"/>
        <v>12224.3</v>
      </c>
      <c r="AH48" s="507">
        <f t="shared" si="1"/>
        <v>1.5</v>
      </c>
      <c r="AI48" s="507">
        <f t="shared" si="1"/>
        <v>12224.3</v>
      </c>
      <c r="AJ48" s="506"/>
      <c r="AK48" s="506"/>
      <c r="AL48" s="506">
        <v>0.5</v>
      </c>
      <c r="AM48" s="506">
        <v>1</v>
      </c>
      <c r="AN48" s="506"/>
      <c r="AO48" s="506"/>
      <c r="AP48" s="506"/>
      <c r="AQ48" s="506"/>
      <c r="AR48" s="506"/>
      <c r="AS48" s="506"/>
      <c r="AT48" s="508">
        <f t="shared" si="2"/>
        <v>1.5</v>
      </c>
      <c r="AU48" s="509">
        <f t="shared" si="3"/>
        <v>0</v>
      </c>
      <c r="AV48" s="509">
        <f t="shared" si="4"/>
        <v>0</v>
      </c>
    </row>
    <row r="49" spans="1:48" ht="15.75" hidden="1" x14ac:dyDescent="0.25">
      <c r="A49" s="503" t="s">
        <v>1205</v>
      </c>
      <c r="B49" s="503">
        <v>7</v>
      </c>
      <c r="C49" s="503"/>
      <c r="D49" s="504"/>
      <c r="E49" s="506"/>
      <c r="F49" s="506">
        <v>1</v>
      </c>
      <c r="G49" s="506">
        <v>7161.7</v>
      </c>
      <c r="H49" s="506"/>
      <c r="I49" s="506"/>
      <c r="J49" s="506"/>
      <c r="K49" s="506"/>
      <c r="L49" s="506"/>
      <c r="M49" s="506"/>
      <c r="N49" s="506"/>
      <c r="O49" s="506"/>
      <c r="P49" s="506"/>
      <c r="Q49" s="506"/>
      <c r="R49" s="506"/>
      <c r="S49" s="506"/>
      <c r="T49" s="506"/>
      <c r="U49" s="506"/>
      <c r="V49" s="506"/>
      <c r="W49" s="506"/>
      <c r="X49" s="506"/>
      <c r="Y49" s="506"/>
      <c r="Z49" s="506"/>
      <c r="AA49" s="506"/>
      <c r="AB49" s="506"/>
      <c r="AC49" s="511"/>
      <c r="AD49" s="506"/>
      <c r="AE49" s="506"/>
      <c r="AF49" s="507">
        <f t="shared" si="0"/>
        <v>1</v>
      </c>
      <c r="AG49" s="507">
        <f t="shared" si="0"/>
        <v>7161.7</v>
      </c>
      <c r="AH49" s="507">
        <f t="shared" si="1"/>
        <v>1</v>
      </c>
      <c r="AI49" s="507">
        <f t="shared" si="1"/>
        <v>7161.7</v>
      </c>
      <c r="AJ49" s="506">
        <v>0.5</v>
      </c>
      <c r="AK49" s="506">
        <v>0.5</v>
      </c>
      <c r="AL49" s="506"/>
      <c r="AM49" s="506"/>
      <c r="AN49" s="506"/>
      <c r="AO49" s="506"/>
      <c r="AP49" s="506"/>
      <c r="AQ49" s="506"/>
      <c r="AR49" s="506"/>
      <c r="AS49" s="506"/>
      <c r="AT49" s="508">
        <f t="shared" si="2"/>
        <v>1</v>
      </c>
      <c r="AU49" s="509">
        <f t="shared" si="3"/>
        <v>0</v>
      </c>
      <c r="AV49" s="509">
        <f t="shared" si="4"/>
        <v>0</v>
      </c>
    </row>
    <row r="50" spans="1:48" ht="15.75" hidden="1" x14ac:dyDescent="0.25">
      <c r="A50" s="503" t="s">
        <v>1206</v>
      </c>
      <c r="B50" s="503">
        <v>6</v>
      </c>
      <c r="C50" s="503">
        <v>1</v>
      </c>
      <c r="D50" s="504"/>
      <c r="E50" s="506"/>
      <c r="F50" s="506">
        <v>1.5</v>
      </c>
      <c r="G50" s="506">
        <v>10412.01</v>
      </c>
      <c r="H50" s="506"/>
      <c r="I50" s="506"/>
      <c r="J50" s="506"/>
      <c r="K50" s="506"/>
      <c r="L50" s="506"/>
      <c r="M50" s="506"/>
      <c r="N50" s="506"/>
      <c r="O50" s="506"/>
      <c r="P50" s="506"/>
      <c r="Q50" s="506"/>
      <c r="R50" s="506"/>
      <c r="S50" s="506"/>
      <c r="T50" s="506"/>
      <c r="U50" s="506"/>
      <c r="V50" s="506"/>
      <c r="W50" s="506"/>
      <c r="X50" s="506"/>
      <c r="Y50" s="506"/>
      <c r="Z50" s="506"/>
      <c r="AA50" s="506"/>
      <c r="AB50" s="506"/>
      <c r="AC50" s="511"/>
      <c r="AD50" s="506"/>
      <c r="AE50" s="506"/>
      <c r="AF50" s="507">
        <f t="shared" si="0"/>
        <v>1.5</v>
      </c>
      <c r="AG50" s="507">
        <f t="shared" si="0"/>
        <v>10412.01</v>
      </c>
      <c r="AH50" s="507">
        <f t="shared" si="1"/>
        <v>1.5</v>
      </c>
      <c r="AI50" s="507">
        <f t="shared" si="1"/>
        <v>10412.01</v>
      </c>
      <c r="AJ50" s="506">
        <v>0.5</v>
      </c>
      <c r="AK50" s="506">
        <v>0.5</v>
      </c>
      <c r="AL50" s="506"/>
      <c r="AM50" s="506"/>
      <c r="AN50" s="506"/>
      <c r="AO50" s="506"/>
      <c r="AP50" s="506"/>
      <c r="AQ50" s="506"/>
      <c r="AR50" s="506"/>
      <c r="AS50" s="506"/>
      <c r="AT50" s="508">
        <f t="shared" si="2"/>
        <v>1</v>
      </c>
      <c r="AU50" s="509">
        <f t="shared" si="3"/>
        <v>0.5</v>
      </c>
      <c r="AV50" s="509">
        <f t="shared" si="4"/>
        <v>3470.67</v>
      </c>
    </row>
    <row r="51" spans="1:48" ht="15.75" hidden="1" x14ac:dyDescent="0.25">
      <c r="A51" s="503" t="s">
        <v>1207</v>
      </c>
      <c r="B51" s="503">
        <v>6</v>
      </c>
      <c r="C51" s="503">
        <v>1</v>
      </c>
      <c r="D51" s="504"/>
      <c r="E51" s="506"/>
      <c r="F51" s="506">
        <v>1</v>
      </c>
      <c r="G51" s="506">
        <v>8263.5</v>
      </c>
      <c r="H51" s="506">
        <v>0.5</v>
      </c>
      <c r="I51" s="506">
        <v>2623</v>
      </c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6"/>
      <c r="U51" s="506"/>
      <c r="V51" s="506"/>
      <c r="W51" s="506"/>
      <c r="X51" s="506"/>
      <c r="Y51" s="506"/>
      <c r="Z51" s="506"/>
      <c r="AA51" s="506"/>
      <c r="AB51" s="506"/>
      <c r="AC51" s="511"/>
      <c r="AD51" s="506"/>
      <c r="AE51" s="506"/>
      <c r="AF51" s="507">
        <f t="shared" si="0"/>
        <v>1.5</v>
      </c>
      <c r="AG51" s="507">
        <f t="shared" si="0"/>
        <v>10886.5</v>
      </c>
      <c r="AH51" s="507">
        <f t="shared" si="1"/>
        <v>1.5</v>
      </c>
      <c r="AI51" s="507">
        <f t="shared" si="1"/>
        <v>10886.5</v>
      </c>
      <c r="AJ51" s="506">
        <v>0.5</v>
      </c>
      <c r="AK51" s="506">
        <v>0.5</v>
      </c>
      <c r="AL51" s="506"/>
      <c r="AM51" s="506"/>
      <c r="AN51" s="506"/>
      <c r="AO51" s="506"/>
      <c r="AP51" s="506"/>
      <c r="AQ51" s="506"/>
      <c r="AR51" s="506"/>
      <c r="AS51" s="506"/>
      <c r="AT51" s="508">
        <f t="shared" si="2"/>
        <v>1</v>
      </c>
      <c r="AU51" s="509">
        <f t="shared" si="3"/>
        <v>0.5</v>
      </c>
      <c r="AV51" s="509">
        <f t="shared" si="4"/>
        <v>3628.83</v>
      </c>
    </row>
    <row r="52" spans="1:48" ht="31.5" hidden="1" x14ac:dyDescent="0.25">
      <c r="A52" s="503" t="s">
        <v>1208</v>
      </c>
      <c r="B52" s="503">
        <v>15</v>
      </c>
      <c r="C52" s="503">
        <v>1</v>
      </c>
      <c r="D52" s="504">
        <v>1</v>
      </c>
      <c r="E52" s="506">
        <v>8174.25</v>
      </c>
      <c r="F52" s="506">
        <v>1</v>
      </c>
      <c r="G52" s="506">
        <v>9888.66</v>
      </c>
      <c r="H52" s="506"/>
      <c r="I52" s="506"/>
      <c r="J52" s="506"/>
      <c r="K52" s="506"/>
      <c r="L52" s="506">
        <v>1</v>
      </c>
      <c r="M52" s="506">
        <v>8146.1</v>
      </c>
      <c r="N52" s="506">
        <v>1</v>
      </c>
      <c r="O52" s="506">
        <v>7584.3</v>
      </c>
      <c r="P52" s="506"/>
      <c r="Q52" s="506"/>
      <c r="R52" s="506"/>
      <c r="S52" s="506"/>
      <c r="T52" s="506">
        <v>0.5</v>
      </c>
      <c r="U52" s="506">
        <v>4912.12</v>
      </c>
      <c r="V52" s="506"/>
      <c r="W52" s="506"/>
      <c r="X52" s="506"/>
      <c r="Y52" s="506"/>
      <c r="Z52" s="506"/>
      <c r="AA52" s="506"/>
      <c r="AB52" s="506"/>
      <c r="AC52" s="511"/>
      <c r="AD52" s="506"/>
      <c r="AE52" s="506"/>
      <c r="AF52" s="507">
        <f t="shared" si="0"/>
        <v>4.5</v>
      </c>
      <c r="AG52" s="507">
        <f t="shared" si="0"/>
        <v>38705.43</v>
      </c>
      <c r="AH52" s="507">
        <f t="shared" si="1"/>
        <v>4.5</v>
      </c>
      <c r="AI52" s="507">
        <f t="shared" si="1"/>
        <v>38705.43</v>
      </c>
      <c r="AJ52" s="506"/>
      <c r="AK52" s="506"/>
      <c r="AL52" s="506"/>
      <c r="AM52" s="506"/>
      <c r="AN52" s="506">
        <v>1</v>
      </c>
      <c r="AO52" s="506">
        <v>1</v>
      </c>
      <c r="AP52" s="506"/>
      <c r="AQ52" s="506"/>
      <c r="AR52" s="506"/>
      <c r="AS52" s="506"/>
      <c r="AT52" s="508">
        <f t="shared" si="2"/>
        <v>2</v>
      </c>
      <c r="AU52" s="509">
        <f t="shared" si="3"/>
        <v>2.5</v>
      </c>
      <c r="AV52" s="509">
        <f t="shared" si="4"/>
        <v>21503.02</v>
      </c>
    </row>
    <row r="53" spans="1:48" ht="15.75" hidden="1" x14ac:dyDescent="0.25">
      <c r="A53" s="503" t="s">
        <v>1209</v>
      </c>
      <c r="B53" s="503">
        <v>15</v>
      </c>
      <c r="C53" s="503">
        <v>2</v>
      </c>
      <c r="D53" s="504">
        <v>1.5</v>
      </c>
      <c r="E53" s="506">
        <v>15240.46</v>
      </c>
      <c r="F53" s="506">
        <v>1</v>
      </c>
      <c r="G53" s="506">
        <v>7161.7</v>
      </c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>
        <v>0.25</v>
      </c>
      <c r="U53" s="506">
        <v>1967.88</v>
      </c>
      <c r="V53" s="506"/>
      <c r="W53" s="506"/>
      <c r="X53" s="506"/>
      <c r="Y53" s="506"/>
      <c r="Z53" s="506"/>
      <c r="AA53" s="506"/>
      <c r="AB53" s="506"/>
      <c r="AC53" s="511"/>
      <c r="AD53" s="506"/>
      <c r="AE53" s="506"/>
      <c r="AF53" s="507">
        <f t="shared" si="0"/>
        <v>2.75</v>
      </c>
      <c r="AG53" s="507">
        <f t="shared" si="0"/>
        <v>24370.04</v>
      </c>
      <c r="AH53" s="507">
        <f t="shared" si="1"/>
        <v>2.75</v>
      </c>
      <c r="AI53" s="507">
        <f t="shared" si="1"/>
        <v>24370.04</v>
      </c>
      <c r="AJ53" s="506"/>
      <c r="AK53" s="506"/>
      <c r="AL53" s="506"/>
      <c r="AM53" s="506"/>
      <c r="AN53" s="506">
        <v>1</v>
      </c>
      <c r="AO53" s="506">
        <v>1</v>
      </c>
      <c r="AP53" s="506"/>
      <c r="AQ53" s="506"/>
      <c r="AR53" s="506"/>
      <c r="AS53" s="506"/>
      <c r="AT53" s="508">
        <f t="shared" si="2"/>
        <v>2</v>
      </c>
      <c r="AU53" s="509">
        <f t="shared" si="3"/>
        <v>0.75</v>
      </c>
      <c r="AV53" s="509">
        <f t="shared" si="4"/>
        <v>6646.37</v>
      </c>
    </row>
    <row r="54" spans="1:48" ht="15.75" hidden="1" x14ac:dyDescent="0.25">
      <c r="A54" s="503" t="s">
        <v>1210</v>
      </c>
      <c r="B54" s="503">
        <v>13</v>
      </c>
      <c r="C54" s="503">
        <v>2</v>
      </c>
      <c r="D54" s="504"/>
      <c r="E54" s="506"/>
      <c r="F54" s="506">
        <v>1.5</v>
      </c>
      <c r="G54" s="506">
        <v>18730.599999999999</v>
      </c>
      <c r="H54" s="506"/>
      <c r="I54" s="506"/>
      <c r="J54" s="506"/>
      <c r="K54" s="506"/>
      <c r="L54" s="506"/>
      <c r="M54" s="506"/>
      <c r="N54" s="506"/>
      <c r="O54" s="506"/>
      <c r="P54" s="506"/>
      <c r="Q54" s="506"/>
      <c r="R54" s="506"/>
      <c r="S54" s="506"/>
      <c r="T54" s="506"/>
      <c r="U54" s="506"/>
      <c r="V54" s="506"/>
      <c r="W54" s="506"/>
      <c r="X54" s="506"/>
      <c r="Y54" s="506"/>
      <c r="Z54" s="506"/>
      <c r="AA54" s="506"/>
      <c r="AB54" s="506"/>
      <c r="AC54" s="511"/>
      <c r="AD54" s="506"/>
      <c r="AE54" s="506"/>
      <c r="AF54" s="507">
        <f t="shared" si="0"/>
        <v>1.5</v>
      </c>
      <c r="AG54" s="507">
        <f t="shared" si="0"/>
        <v>18730.599999999999</v>
      </c>
      <c r="AH54" s="507">
        <f t="shared" si="1"/>
        <v>1.5</v>
      </c>
      <c r="AI54" s="507">
        <f t="shared" si="1"/>
        <v>18730.599999999999</v>
      </c>
      <c r="AJ54" s="506"/>
      <c r="AK54" s="506"/>
      <c r="AL54" s="506"/>
      <c r="AM54" s="506"/>
      <c r="AN54" s="506">
        <v>1</v>
      </c>
      <c r="AO54" s="506">
        <v>1</v>
      </c>
      <c r="AP54" s="506"/>
      <c r="AQ54" s="506"/>
      <c r="AR54" s="506"/>
      <c r="AS54" s="506"/>
      <c r="AT54" s="508">
        <f t="shared" si="2"/>
        <v>2</v>
      </c>
      <c r="AU54" s="509">
        <f t="shared" si="3"/>
        <v>-0.5</v>
      </c>
      <c r="AV54" s="509">
        <f t="shared" si="4"/>
        <v>-6243.53</v>
      </c>
    </row>
    <row r="55" spans="1:48" ht="15.75" hidden="1" x14ac:dyDescent="0.25">
      <c r="A55" s="503" t="s">
        <v>1211</v>
      </c>
      <c r="B55" s="503">
        <v>6</v>
      </c>
      <c r="C55" s="503">
        <v>2</v>
      </c>
      <c r="D55" s="504"/>
      <c r="E55" s="506"/>
      <c r="F55" s="506">
        <v>1.5</v>
      </c>
      <c r="G55" s="506">
        <v>9365.2999999999993</v>
      </c>
      <c r="H55" s="506"/>
      <c r="I55" s="506"/>
      <c r="J55" s="506"/>
      <c r="K55" s="506"/>
      <c r="L55" s="506"/>
      <c r="M55" s="506"/>
      <c r="N55" s="506"/>
      <c r="O55" s="506"/>
      <c r="P55" s="506"/>
      <c r="Q55" s="506"/>
      <c r="R55" s="506"/>
      <c r="S55" s="506"/>
      <c r="T55" s="506"/>
      <c r="U55" s="506"/>
      <c r="V55" s="506"/>
      <c r="W55" s="506"/>
      <c r="X55" s="506"/>
      <c r="Y55" s="506"/>
      <c r="Z55" s="506"/>
      <c r="AA55" s="506"/>
      <c r="AB55" s="506"/>
      <c r="AC55" s="511"/>
      <c r="AD55" s="506"/>
      <c r="AE55" s="506"/>
      <c r="AF55" s="507">
        <f t="shared" si="0"/>
        <v>1.5</v>
      </c>
      <c r="AG55" s="507">
        <f t="shared" si="0"/>
        <v>9365.2999999999993</v>
      </c>
      <c r="AH55" s="507">
        <f t="shared" si="1"/>
        <v>1.5</v>
      </c>
      <c r="AI55" s="507">
        <f t="shared" si="1"/>
        <v>9365.2999999999993</v>
      </c>
      <c r="AJ55" s="506">
        <v>0.5</v>
      </c>
      <c r="AK55" s="506">
        <v>0.5</v>
      </c>
      <c r="AL55" s="506"/>
      <c r="AM55" s="506"/>
      <c r="AN55" s="506"/>
      <c r="AO55" s="506"/>
      <c r="AP55" s="506"/>
      <c r="AQ55" s="506"/>
      <c r="AR55" s="506"/>
      <c r="AS55" s="506"/>
      <c r="AT55" s="508">
        <f t="shared" si="2"/>
        <v>1</v>
      </c>
      <c r="AU55" s="509">
        <f t="shared" si="3"/>
        <v>0.5</v>
      </c>
      <c r="AV55" s="509">
        <f t="shared" si="4"/>
        <v>3121.77</v>
      </c>
    </row>
    <row r="56" spans="1:48" ht="15.75" hidden="1" x14ac:dyDescent="0.25">
      <c r="A56" s="503" t="s">
        <v>1212</v>
      </c>
      <c r="B56" s="503">
        <v>13</v>
      </c>
      <c r="C56" s="503">
        <v>1</v>
      </c>
      <c r="D56" s="504"/>
      <c r="E56" s="506"/>
      <c r="F56" s="506">
        <v>2.25</v>
      </c>
      <c r="G56" s="506">
        <v>18378.02</v>
      </c>
      <c r="H56" s="506"/>
      <c r="I56" s="506"/>
      <c r="J56" s="506"/>
      <c r="K56" s="506"/>
      <c r="L56" s="506"/>
      <c r="M56" s="506"/>
      <c r="N56" s="506"/>
      <c r="O56" s="506"/>
      <c r="P56" s="506"/>
      <c r="Q56" s="506"/>
      <c r="R56" s="506"/>
      <c r="S56" s="506"/>
      <c r="T56" s="506">
        <v>0.25</v>
      </c>
      <c r="U56" s="506">
        <v>2815.59</v>
      </c>
      <c r="V56" s="506"/>
      <c r="W56" s="506"/>
      <c r="X56" s="506"/>
      <c r="Y56" s="506"/>
      <c r="Z56" s="506"/>
      <c r="AA56" s="506"/>
      <c r="AB56" s="506"/>
      <c r="AC56" s="511"/>
      <c r="AD56" s="506"/>
      <c r="AE56" s="506"/>
      <c r="AF56" s="507">
        <f t="shared" si="0"/>
        <v>2.5</v>
      </c>
      <c r="AG56" s="507">
        <f t="shared" si="0"/>
        <v>21193.61</v>
      </c>
      <c r="AH56" s="507">
        <f t="shared" si="1"/>
        <v>2.5</v>
      </c>
      <c r="AI56" s="507">
        <f t="shared" si="1"/>
        <v>21193.61</v>
      </c>
      <c r="AJ56" s="506"/>
      <c r="AK56" s="506"/>
      <c r="AL56" s="506"/>
      <c r="AM56" s="506"/>
      <c r="AN56" s="506">
        <v>1</v>
      </c>
      <c r="AO56" s="506">
        <v>1</v>
      </c>
      <c r="AP56" s="506"/>
      <c r="AQ56" s="506"/>
      <c r="AR56" s="506"/>
      <c r="AS56" s="506"/>
      <c r="AT56" s="508">
        <f t="shared" si="2"/>
        <v>2</v>
      </c>
      <c r="AU56" s="509">
        <f t="shared" si="3"/>
        <v>0.5</v>
      </c>
      <c r="AV56" s="509">
        <f t="shared" si="4"/>
        <v>4238.72</v>
      </c>
    </row>
    <row r="57" spans="1:48" ht="15.75" hidden="1" x14ac:dyDescent="0.25">
      <c r="A57" s="503" t="s">
        <v>1213</v>
      </c>
      <c r="B57" s="503">
        <v>8</v>
      </c>
      <c r="C57" s="503">
        <v>1</v>
      </c>
      <c r="D57" s="504"/>
      <c r="E57" s="506"/>
      <c r="F57" s="506">
        <v>1.5</v>
      </c>
      <c r="G57" s="506">
        <v>11155.73</v>
      </c>
      <c r="H57" s="506"/>
      <c r="I57" s="506"/>
      <c r="J57" s="506"/>
      <c r="K57" s="506"/>
      <c r="L57" s="506"/>
      <c r="M57" s="506"/>
      <c r="N57" s="506"/>
      <c r="O57" s="506"/>
      <c r="P57" s="506"/>
      <c r="Q57" s="506"/>
      <c r="R57" s="506"/>
      <c r="S57" s="506"/>
      <c r="T57" s="506"/>
      <c r="U57" s="506"/>
      <c r="V57" s="506"/>
      <c r="W57" s="506"/>
      <c r="X57" s="506"/>
      <c r="Y57" s="506"/>
      <c r="Z57" s="506"/>
      <c r="AA57" s="506"/>
      <c r="AB57" s="506"/>
      <c r="AC57" s="511"/>
      <c r="AD57" s="506"/>
      <c r="AE57" s="506"/>
      <c r="AF57" s="507">
        <f t="shared" si="0"/>
        <v>1.5</v>
      </c>
      <c r="AG57" s="507">
        <f t="shared" si="0"/>
        <v>11155.73</v>
      </c>
      <c r="AH57" s="507">
        <f t="shared" si="1"/>
        <v>1.5</v>
      </c>
      <c r="AI57" s="507">
        <f t="shared" si="1"/>
        <v>11155.73</v>
      </c>
      <c r="AJ57" s="506"/>
      <c r="AK57" s="506"/>
      <c r="AL57" s="506">
        <v>0.5</v>
      </c>
      <c r="AM57" s="506">
        <v>1</v>
      </c>
      <c r="AN57" s="506"/>
      <c r="AO57" s="506"/>
      <c r="AP57" s="506"/>
      <c r="AQ57" s="506"/>
      <c r="AR57" s="506"/>
      <c r="AS57" s="506"/>
      <c r="AT57" s="508">
        <f t="shared" si="2"/>
        <v>1.5</v>
      </c>
      <c r="AU57" s="509">
        <f t="shared" si="3"/>
        <v>0</v>
      </c>
      <c r="AV57" s="509">
        <f t="shared" si="4"/>
        <v>0</v>
      </c>
    </row>
    <row r="58" spans="1:48" ht="15.75" hidden="1" x14ac:dyDescent="0.25">
      <c r="A58" s="503" t="s">
        <v>1214</v>
      </c>
      <c r="B58" s="503">
        <v>13</v>
      </c>
      <c r="C58" s="503">
        <v>1</v>
      </c>
      <c r="D58" s="504">
        <v>1</v>
      </c>
      <c r="E58" s="506">
        <v>8779.75</v>
      </c>
      <c r="F58" s="506">
        <v>1</v>
      </c>
      <c r="G58" s="506">
        <v>5509</v>
      </c>
      <c r="H58" s="506"/>
      <c r="I58" s="506"/>
      <c r="J58" s="506"/>
      <c r="K58" s="506"/>
      <c r="L58" s="506"/>
      <c r="M58" s="506"/>
      <c r="N58" s="506"/>
      <c r="O58" s="506"/>
      <c r="P58" s="506"/>
      <c r="Q58" s="506"/>
      <c r="R58" s="506"/>
      <c r="S58" s="506"/>
      <c r="T58" s="506"/>
      <c r="U58" s="506"/>
      <c r="V58" s="506"/>
      <c r="W58" s="506"/>
      <c r="X58" s="506"/>
      <c r="Y58" s="506"/>
      <c r="Z58" s="506"/>
      <c r="AA58" s="506"/>
      <c r="AB58" s="506"/>
      <c r="AC58" s="511"/>
      <c r="AD58" s="506"/>
      <c r="AE58" s="506"/>
      <c r="AF58" s="507">
        <f t="shared" si="0"/>
        <v>2</v>
      </c>
      <c r="AG58" s="507">
        <f t="shared" si="0"/>
        <v>14288.75</v>
      </c>
      <c r="AH58" s="507">
        <f t="shared" si="1"/>
        <v>2</v>
      </c>
      <c r="AI58" s="507">
        <f t="shared" si="1"/>
        <v>14288.75</v>
      </c>
      <c r="AJ58" s="506"/>
      <c r="AK58" s="506"/>
      <c r="AL58" s="506"/>
      <c r="AM58" s="506"/>
      <c r="AN58" s="506">
        <v>1</v>
      </c>
      <c r="AO58" s="506">
        <v>1</v>
      </c>
      <c r="AP58" s="506"/>
      <c r="AQ58" s="506"/>
      <c r="AR58" s="506"/>
      <c r="AS58" s="506"/>
      <c r="AT58" s="508">
        <f t="shared" si="2"/>
        <v>2</v>
      </c>
      <c r="AU58" s="509">
        <f t="shared" si="3"/>
        <v>0</v>
      </c>
      <c r="AV58" s="509">
        <f t="shared" si="4"/>
        <v>0</v>
      </c>
    </row>
    <row r="59" spans="1:48" ht="15.75" hidden="1" x14ac:dyDescent="0.25">
      <c r="A59" s="503" t="s">
        <v>1215</v>
      </c>
      <c r="B59" s="503">
        <v>12</v>
      </c>
      <c r="C59" s="503">
        <v>2</v>
      </c>
      <c r="D59" s="504"/>
      <c r="E59" s="506"/>
      <c r="F59" s="506">
        <v>3</v>
      </c>
      <c r="G59" s="506">
        <v>21292.31</v>
      </c>
      <c r="H59" s="506"/>
      <c r="I59" s="506"/>
      <c r="J59" s="506"/>
      <c r="K59" s="506"/>
      <c r="L59" s="506"/>
      <c r="M59" s="506"/>
      <c r="N59" s="506"/>
      <c r="O59" s="506"/>
      <c r="P59" s="506"/>
      <c r="Q59" s="506"/>
      <c r="R59" s="506"/>
      <c r="S59" s="506"/>
      <c r="T59" s="506"/>
      <c r="U59" s="506"/>
      <c r="V59" s="506"/>
      <c r="W59" s="506"/>
      <c r="X59" s="506"/>
      <c r="Y59" s="506"/>
      <c r="Z59" s="506"/>
      <c r="AA59" s="506"/>
      <c r="AB59" s="506"/>
      <c r="AC59" s="511"/>
      <c r="AD59" s="506"/>
      <c r="AE59" s="506"/>
      <c r="AF59" s="507">
        <f t="shared" si="0"/>
        <v>3</v>
      </c>
      <c r="AG59" s="507">
        <f t="shared" si="0"/>
        <v>21292.31</v>
      </c>
      <c r="AH59" s="507">
        <f t="shared" si="1"/>
        <v>3</v>
      </c>
      <c r="AI59" s="507">
        <f t="shared" si="1"/>
        <v>21292.31</v>
      </c>
      <c r="AJ59" s="506"/>
      <c r="AK59" s="506"/>
      <c r="AL59" s="506">
        <v>0.5</v>
      </c>
      <c r="AM59" s="506">
        <v>1</v>
      </c>
      <c r="AN59" s="506"/>
      <c r="AO59" s="506"/>
      <c r="AP59" s="506"/>
      <c r="AQ59" s="506"/>
      <c r="AR59" s="506"/>
      <c r="AS59" s="506"/>
      <c r="AT59" s="508">
        <f t="shared" si="2"/>
        <v>1.5</v>
      </c>
      <c r="AU59" s="509">
        <f t="shared" si="3"/>
        <v>1.5</v>
      </c>
      <c r="AV59" s="509">
        <f t="shared" si="4"/>
        <v>10646.16</v>
      </c>
    </row>
    <row r="60" spans="1:48" ht="15.75" hidden="1" x14ac:dyDescent="0.25">
      <c r="A60" s="503" t="s">
        <v>1216</v>
      </c>
      <c r="B60" s="503">
        <v>17</v>
      </c>
      <c r="C60" s="503">
        <v>2</v>
      </c>
      <c r="D60" s="506"/>
      <c r="E60" s="506"/>
      <c r="F60" s="506">
        <v>4</v>
      </c>
      <c r="G60" s="506">
        <v>32490.71</v>
      </c>
      <c r="H60" s="506"/>
      <c r="I60" s="506"/>
      <c r="J60" s="506"/>
      <c r="K60" s="506"/>
      <c r="L60" s="506">
        <v>0.5</v>
      </c>
      <c r="M60" s="506">
        <v>3426.98</v>
      </c>
      <c r="N60" s="506"/>
      <c r="O60" s="506"/>
      <c r="P60" s="506"/>
      <c r="Q60" s="506"/>
      <c r="R60" s="506"/>
      <c r="S60" s="506"/>
      <c r="T60" s="506">
        <v>0.25</v>
      </c>
      <c r="U60" s="506">
        <v>1967.88</v>
      </c>
      <c r="V60" s="506"/>
      <c r="W60" s="506"/>
      <c r="X60" s="506"/>
      <c r="Y60" s="506"/>
      <c r="Z60" s="506"/>
      <c r="AA60" s="506"/>
      <c r="AB60" s="506"/>
      <c r="AC60" s="511"/>
      <c r="AD60" s="506"/>
      <c r="AE60" s="506"/>
      <c r="AF60" s="507">
        <f t="shared" si="0"/>
        <v>4.75</v>
      </c>
      <c r="AG60" s="507">
        <f t="shared" si="0"/>
        <v>37885.57</v>
      </c>
      <c r="AH60" s="507">
        <f t="shared" si="1"/>
        <v>4.75</v>
      </c>
      <c r="AI60" s="507">
        <f t="shared" si="1"/>
        <v>37885.57</v>
      </c>
      <c r="AJ60" s="506"/>
      <c r="AK60" s="506"/>
      <c r="AL60" s="506"/>
      <c r="AM60" s="506"/>
      <c r="AN60" s="506"/>
      <c r="AO60" s="506"/>
      <c r="AP60" s="506">
        <v>1</v>
      </c>
      <c r="AQ60" s="506">
        <v>1.5</v>
      </c>
      <c r="AR60" s="506"/>
      <c r="AS60" s="506"/>
      <c r="AT60" s="508">
        <f t="shared" si="2"/>
        <v>2.5</v>
      </c>
      <c r="AU60" s="509">
        <f t="shared" si="3"/>
        <v>2.25</v>
      </c>
      <c r="AV60" s="509">
        <f t="shared" si="4"/>
        <v>17945.8</v>
      </c>
    </row>
    <row r="61" spans="1:48" ht="15.75" hidden="1" x14ac:dyDescent="0.25">
      <c r="A61" s="503" t="s">
        <v>1217</v>
      </c>
      <c r="B61" s="503">
        <v>14</v>
      </c>
      <c r="C61" s="503">
        <v>2</v>
      </c>
      <c r="D61" s="506">
        <v>1</v>
      </c>
      <c r="E61" s="506">
        <v>10758.52</v>
      </c>
      <c r="F61" s="506"/>
      <c r="G61" s="506"/>
      <c r="H61" s="506">
        <v>1.25</v>
      </c>
      <c r="I61" s="506">
        <v>8524.75</v>
      </c>
      <c r="J61" s="506"/>
      <c r="K61" s="506"/>
      <c r="L61" s="506">
        <v>0.5</v>
      </c>
      <c r="M61" s="506">
        <v>4213.5</v>
      </c>
      <c r="N61" s="506">
        <v>0.5</v>
      </c>
      <c r="O61" s="506">
        <v>4213.5</v>
      </c>
      <c r="P61" s="506"/>
      <c r="Q61" s="506"/>
      <c r="R61" s="506"/>
      <c r="S61" s="506"/>
      <c r="T61" s="506"/>
      <c r="U61" s="506"/>
      <c r="V61" s="506"/>
      <c r="W61" s="506"/>
      <c r="X61" s="506"/>
      <c r="Y61" s="506"/>
      <c r="Z61" s="506"/>
      <c r="AA61" s="506"/>
      <c r="AB61" s="506"/>
      <c r="AC61" s="511"/>
      <c r="AD61" s="506"/>
      <c r="AE61" s="506"/>
      <c r="AF61" s="507">
        <f t="shared" si="0"/>
        <v>3.25</v>
      </c>
      <c r="AG61" s="507">
        <f t="shared" si="0"/>
        <v>27710.27</v>
      </c>
      <c r="AH61" s="507">
        <f t="shared" si="1"/>
        <v>3.25</v>
      </c>
      <c r="AI61" s="507">
        <f t="shared" si="1"/>
        <v>27710.27</v>
      </c>
      <c r="AJ61" s="506"/>
      <c r="AK61" s="506"/>
      <c r="AL61" s="506"/>
      <c r="AM61" s="506"/>
      <c r="AN61" s="506">
        <v>1</v>
      </c>
      <c r="AO61" s="506">
        <v>1</v>
      </c>
      <c r="AP61" s="506"/>
      <c r="AQ61" s="506"/>
      <c r="AR61" s="506"/>
      <c r="AS61" s="506"/>
      <c r="AT61" s="508">
        <f t="shared" si="2"/>
        <v>2</v>
      </c>
      <c r="AU61" s="509">
        <f t="shared" si="3"/>
        <v>1.25</v>
      </c>
      <c r="AV61" s="509">
        <f t="shared" si="4"/>
        <v>10657.8</v>
      </c>
    </row>
    <row r="62" spans="1:48" ht="15.75" hidden="1" x14ac:dyDescent="0.25">
      <c r="A62" s="512" t="s">
        <v>1218</v>
      </c>
      <c r="B62" s="513">
        <f>SUM(B7:B61)</f>
        <v>479</v>
      </c>
      <c r="C62" s="513">
        <f>SUM(C7:C61)</f>
        <v>66</v>
      </c>
      <c r="D62" s="514">
        <f t="shared" ref="D62:AV62" si="5">SUM(D7:D61)</f>
        <v>18</v>
      </c>
      <c r="E62" s="514">
        <f t="shared" si="5"/>
        <v>173565.42</v>
      </c>
      <c r="F62" s="514">
        <f t="shared" si="5"/>
        <v>64.75</v>
      </c>
      <c r="G62" s="514">
        <f t="shared" si="5"/>
        <v>493739.79</v>
      </c>
      <c r="H62" s="514">
        <f t="shared" si="5"/>
        <v>6.75</v>
      </c>
      <c r="I62" s="514">
        <f t="shared" si="5"/>
        <v>42807.360000000001</v>
      </c>
      <c r="J62" s="514">
        <f t="shared" si="5"/>
        <v>1.75</v>
      </c>
      <c r="K62" s="514">
        <f t="shared" si="5"/>
        <v>14982.52</v>
      </c>
      <c r="L62" s="514">
        <f t="shared" si="5"/>
        <v>5.5</v>
      </c>
      <c r="M62" s="514">
        <f t="shared" si="5"/>
        <v>45670.69</v>
      </c>
      <c r="N62" s="514">
        <f t="shared" si="5"/>
        <v>6</v>
      </c>
      <c r="O62" s="514">
        <f t="shared" si="5"/>
        <v>49848.52</v>
      </c>
      <c r="P62" s="514">
        <f t="shared" si="5"/>
        <v>2</v>
      </c>
      <c r="Q62" s="514">
        <f t="shared" si="5"/>
        <v>19722.400000000001</v>
      </c>
      <c r="R62" s="514">
        <f t="shared" si="5"/>
        <v>3</v>
      </c>
      <c r="S62" s="514">
        <f t="shared" si="5"/>
        <v>20959.580000000002</v>
      </c>
      <c r="T62" s="514">
        <f t="shared" si="5"/>
        <v>3.7</v>
      </c>
      <c r="U62" s="514">
        <f t="shared" si="5"/>
        <v>32859.620000000003</v>
      </c>
      <c r="V62" s="514">
        <f t="shared" si="5"/>
        <v>0.25</v>
      </c>
      <c r="W62" s="514">
        <f t="shared" si="5"/>
        <v>2456.06</v>
      </c>
      <c r="X62" s="514">
        <f t="shared" si="5"/>
        <v>0</v>
      </c>
      <c r="Y62" s="514">
        <f t="shared" si="5"/>
        <v>0</v>
      </c>
      <c r="Z62" s="514">
        <f t="shared" si="5"/>
        <v>0.75</v>
      </c>
      <c r="AA62" s="514">
        <f t="shared" si="5"/>
        <v>7107.07</v>
      </c>
      <c r="AB62" s="514">
        <f t="shared" si="5"/>
        <v>0.5</v>
      </c>
      <c r="AC62" s="514">
        <f t="shared" si="5"/>
        <v>4389.88</v>
      </c>
      <c r="AD62" s="514">
        <f t="shared" si="5"/>
        <v>0</v>
      </c>
      <c r="AE62" s="514">
        <f t="shared" si="5"/>
        <v>0</v>
      </c>
      <c r="AF62" s="515">
        <f t="shared" si="5"/>
        <v>112.95</v>
      </c>
      <c r="AG62" s="515">
        <f t="shared" si="5"/>
        <v>908108.91</v>
      </c>
      <c r="AH62" s="515">
        <f t="shared" si="5"/>
        <v>107.95</v>
      </c>
      <c r="AI62" s="515">
        <f t="shared" si="5"/>
        <v>867426.93</v>
      </c>
      <c r="AJ62" s="514">
        <f t="shared" si="5"/>
        <v>14.5</v>
      </c>
      <c r="AK62" s="514">
        <f t="shared" si="5"/>
        <v>14.5</v>
      </c>
      <c r="AL62" s="514">
        <f t="shared" si="5"/>
        <v>7</v>
      </c>
      <c r="AM62" s="514">
        <f t="shared" si="5"/>
        <v>14</v>
      </c>
      <c r="AN62" s="514">
        <f t="shared" si="5"/>
        <v>10</v>
      </c>
      <c r="AO62" s="514">
        <f t="shared" si="5"/>
        <v>10</v>
      </c>
      <c r="AP62" s="514">
        <f t="shared" si="5"/>
        <v>2</v>
      </c>
      <c r="AQ62" s="514">
        <f t="shared" si="5"/>
        <v>3</v>
      </c>
      <c r="AR62" s="514">
        <f t="shared" si="5"/>
        <v>1</v>
      </c>
      <c r="AS62" s="514">
        <f t="shared" si="5"/>
        <v>1</v>
      </c>
      <c r="AT62" s="514">
        <f t="shared" si="5"/>
        <v>77</v>
      </c>
      <c r="AU62" s="516">
        <f t="shared" si="5"/>
        <v>30.95</v>
      </c>
      <c r="AV62" s="515">
        <f t="shared" si="5"/>
        <v>256374.45</v>
      </c>
    </row>
    <row r="63" spans="1:48" ht="15.75" x14ac:dyDescent="0.25">
      <c r="A63" s="503" t="s">
        <v>670</v>
      </c>
      <c r="B63" s="503">
        <v>1</v>
      </c>
      <c r="C63" s="503"/>
      <c r="D63" s="506">
        <v>0.5</v>
      </c>
      <c r="E63" s="506">
        <v>3935.75</v>
      </c>
      <c r="F63" s="506"/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  <c r="T63" s="506"/>
      <c r="U63" s="506"/>
      <c r="V63" s="506"/>
      <c r="W63" s="506"/>
      <c r="X63" s="506"/>
      <c r="Y63" s="506"/>
      <c r="Z63" s="506"/>
      <c r="AA63" s="506"/>
      <c r="AB63" s="506"/>
      <c r="AC63" s="506"/>
      <c r="AD63" s="506"/>
      <c r="AE63" s="506"/>
      <c r="AF63" s="507">
        <f t="shared" si="0"/>
        <v>0.5</v>
      </c>
      <c r="AG63" s="507">
        <f t="shared" si="0"/>
        <v>3935.75</v>
      </c>
      <c r="AH63" s="507">
        <f t="shared" si="1"/>
        <v>0.5</v>
      </c>
      <c r="AI63" s="507">
        <f t="shared" si="1"/>
        <v>3935.75</v>
      </c>
      <c r="AJ63" s="506">
        <v>0.25</v>
      </c>
      <c r="AK63" s="506">
        <v>0.25</v>
      </c>
      <c r="AL63" s="506"/>
      <c r="AM63" s="506"/>
      <c r="AN63" s="506"/>
      <c r="AO63" s="506"/>
      <c r="AP63" s="506"/>
      <c r="AQ63" s="506"/>
      <c r="AR63" s="506"/>
      <c r="AS63" s="506"/>
      <c r="AT63" s="508">
        <f t="shared" si="2"/>
        <v>0.5</v>
      </c>
      <c r="AU63" s="509">
        <f t="shared" si="3"/>
        <v>0</v>
      </c>
      <c r="AV63" s="509">
        <f t="shared" si="4"/>
        <v>0</v>
      </c>
    </row>
    <row r="64" spans="1:48" ht="15.75" hidden="1" x14ac:dyDescent="0.25">
      <c r="A64" s="503" t="s">
        <v>1219</v>
      </c>
      <c r="B64" s="503">
        <v>2</v>
      </c>
      <c r="C64" s="503"/>
      <c r="D64" s="506">
        <v>1</v>
      </c>
      <c r="E64" s="506">
        <v>7417.38</v>
      </c>
      <c r="F64" s="506"/>
      <c r="G64" s="506"/>
      <c r="H64" s="506"/>
      <c r="I64" s="506"/>
      <c r="J64" s="506"/>
      <c r="K64" s="506"/>
      <c r="L64" s="506"/>
      <c r="M64" s="506"/>
      <c r="N64" s="506"/>
      <c r="O64" s="506"/>
      <c r="P64" s="506"/>
      <c r="Q64" s="506"/>
      <c r="R64" s="506"/>
      <c r="S64" s="506"/>
      <c r="T64" s="506"/>
      <c r="U64" s="506"/>
      <c r="V64" s="506"/>
      <c r="W64" s="506"/>
      <c r="X64" s="506"/>
      <c r="Y64" s="506"/>
      <c r="Z64" s="506"/>
      <c r="AA64" s="506"/>
      <c r="AB64" s="506"/>
      <c r="AC64" s="506"/>
      <c r="AD64" s="506"/>
      <c r="AE64" s="506"/>
      <c r="AF64" s="507">
        <f t="shared" si="0"/>
        <v>1</v>
      </c>
      <c r="AG64" s="507">
        <f t="shared" si="0"/>
        <v>7417.38</v>
      </c>
      <c r="AH64" s="507">
        <f t="shared" si="1"/>
        <v>1</v>
      </c>
      <c r="AI64" s="507">
        <f t="shared" si="1"/>
        <v>7417.38</v>
      </c>
      <c r="AJ64" s="506">
        <v>0.25</v>
      </c>
      <c r="AK64" s="506">
        <v>0.5</v>
      </c>
      <c r="AL64" s="506"/>
      <c r="AM64" s="506"/>
      <c r="AN64" s="506"/>
      <c r="AO64" s="506"/>
      <c r="AP64" s="506"/>
      <c r="AQ64" s="506"/>
      <c r="AR64" s="506"/>
      <c r="AS64" s="506"/>
      <c r="AT64" s="508">
        <f t="shared" si="2"/>
        <v>0.75</v>
      </c>
      <c r="AU64" s="509">
        <f t="shared" si="3"/>
        <v>0.25</v>
      </c>
      <c r="AV64" s="509">
        <f t="shared" si="4"/>
        <v>1854.35</v>
      </c>
    </row>
    <row r="65" spans="1:48" ht="15.75" hidden="1" x14ac:dyDescent="0.25">
      <c r="A65" s="503" t="s">
        <v>686</v>
      </c>
      <c r="B65" s="503">
        <v>3</v>
      </c>
      <c r="C65" s="503"/>
      <c r="D65" s="506">
        <v>0.5</v>
      </c>
      <c r="E65" s="506">
        <v>4844</v>
      </c>
      <c r="F65" s="506"/>
      <c r="G65" s="506"/>
      <c r="H65" s="506"/>
      <c r="I65" s="506"/>
      <c r="J65" s="506"/>
      <c r="K65" s="506"/>
      <c r="L65" s="506"/>
      <c r="M65" s="506"/>
      <c r="N65" s="506"/>
      <c r="O65" s="506"/>
      <c r="P65" s="506"/>
      <c r="Q65" s="506"/>
      <c r="R65" s="506"/>
      <c r="S65" s="506"/>
      <c r="T65" s="506"/>
      <c r="U65" s="506"/>
      <c r="V65" s="506"/>
      <c r="W65" s="506"/>
      <c r="X65" s="506"/>
      <c r="Y65" s="506"/>
      <c r="Z65" s="506"/>
      <c r="AA65" s="506"/>
      <c r="AB65" s="506"/>
      <c r="AC65" s="506"/>
      <c r="AD65" s="506"/>
      <c r="AE65" s="506"/>
      <c r="AF65" s="507">
        <f t="shared" si="0"/>
        <v>0.5</v>
      </c>
      <c r="AG65" s="507">
        <f t="shared" si="0"/>
        <v>4844</v>
      </c>
      <c r="AH65" s="507">
        <f t="shared" si="1"/>
        <v>0.5</v>
      </c>
      <c r="AI65" s="507">
        <f t="shared" si="1"/>
        <v>4844</v>
      </c>
      <c r="AJ65" s="506">
        <v>0.5</v>
      </c>
      <c r="AK65" s="506">
        <v>0.5</v>
      </c>
      <c r="AL65" s="506"/>
      <c r="AM65" s="506"/>
      <c r="AN65" s="506"/>
      <c r="AO65" s="506"/>
      <c r="AP65" s="506"/>
      <c r="AQ65" s="506"/>
      <c r="AR65" s="506"/>
      <c r="AS65" s="506"/>
      <c r="AT65" s="508">
        <f t="shared" si="2"/>
        <v>1</v>
      </c>
      <c r="AU65" s="509">
        <f t="shared" si="3"/>
        <v>-0.5</v>
      </c>
      <c r="AV65" s="509">
        <f t="shared" si="4"/>
        <v>-4844</v>
      </c>
    </row>
    <row r="66" spans="1:48" ht="15.75" x14ac:dyDescent="0.25">
      <c r="A66" s="503" t="s">
        <v>687</v>
      </c>
      <c r="B66" s="503">
        <v>3</v>
      </c>
      <c r="C66" s="503"/>
      <c r="D66" s="506">
        <v>1</v>
      </c>
      <c r="E66" s="506">
        <v>7871.5</v>
      </c>
      <c r="F66" s="506"/>
      <c r="G66" s="506"/>
      <c r="H66" s="506"/>
      <c r="I66" s="506"/>
      <c r="J66" s="506"/>
      <c r="K66" s="506"/>
      <c r="L66" s="506"/>
      <c r="M66" s="506"/>
      <c r="N66" s="506"/>
      <c r="O66" s="506"/>
      <c r="P66" s="506"/>
      <c r="Q66" s="506"/>
      <c r="R66" s="506"/>
      <c r="S66" s="506"/>
      <c r="T66" s="506"/>
      <c r="U66" s="506"/>
      <c r="V66" s="506"/>
      <c r="W66" s="506"/>
      <c r="X66" s="506"/>
      <c r="Y66" s="506"/>
      <c r="Z66" s="506"/>
      <c r="AA66" s="506"/>
      <c r="AB66" s="506"/>
      <c r="AC66" s="506"/>
      <c r="AD66" s="506"/>
      <c r="AE66" s="506"/>
      <c r="AF66" s="507">
        <f>D66+F66+H66+J66+L66+N66+P66+R66+T66+V66+X66+Z66+AB66+AD66</f>
        <v>1</v>
      </c>
      <c r="AG66" s="507">
        <f>E66+G66+I66+K66+M66+O66+Q66+S66+U66+W66+Y66+AA66+AC66+AE66</f>
        <v>7871.5</v>
      </c>
      <c r="AH66" s="507">
        <f>D66+F66+H66+J66+L66+N66+T66+V66+Z66+AB66</f>
        <v>1</v>
      </c>
      <c r="AI66" s="507">
        <f>E66+G66+I66+K66+M66+O66+U66+W66+AA66+AC66</f>
        <v>7871.5</v>
      </c>
      <c r="AJ66" s="506">
        <v>0.5</v>
      </c>
      <c r="AK66" s="506">
        <v>0.5</v>
      </c>
      <c r="AL66" s="506"/>
      <c r="AM66" s="506"/>
      <c r="AN66" s="506"/>
      <c r="AO66" s="506"/>
      <c r="AP66" s="506"/>
      <c r="AQ66" s="506"/>
      <c r="AR66" s="506"/>
      <c r="AS66" s="506"/>
      <c r="AT66" s="508">
        <f>SUM(AJ66:AS66)</f>
        <v>1</v>
      </c>
      <c r="AU66" s="509">
        <f>AH66-(SUM(AJ66:AS66))</f>
        <v>0</v>
      </c>
      <c r="AV66" s="509">
        <f>AI66/AH66*AU66</f>
        <v>0</v>
      </c>
    </row>
    <row r="67" spans="1:48" ht="15.75" hidden="1" x14ac:dyDescent="0.25">
      <c r="A67" s="503" t="s">
        <v>688</v>
      </c>
      <c r="B67" s="503">
        <v>4</v>
      </c>
      <c r="C67" s="503">
        <v>2</v>
      </c>
      <c r="D67" s="506"/>
      <c r="E67" s="506"/>
      <c r="F67" s="506">
        <v>1</v>
      </c>
      <c r="G67" s="506"/>
      <c r="H67" s="506"/>
      <c r="I67" s="506"/>
      <c r="J67" s="506"/>
      <c r="K67" s="506"/>
      <c r="L67" s="506"/>
      <c r="M67" s="506"/>
      <c r="N67" s="506"/>
      <c r="O67" s="506"/>
      <c r="P67" s="506"/>
      <c r="Q67" s="506"/>
      <c r="R67" s="506"/>
      <c r="S67" s="506"/>
      <c r="T67" s="506"/>
      <c r="U67" s="506"/>
      <c r="V67" s="506"/>
      <c r="W67" s="506"/>
      <c r="X67" s="506"/>
      <c r="Y67" s="506"/>
      <c r="Z67" s="506"/>
      <c r="AA67" s="506"/>
      <c r="AB67" s="506"/>
      <c r="AC67" s="506"/>
      <c r="AD67" s="506"/>
      <c r="AE67" s="506"/>
      <c r="AF67" s="507">
        <f>D67+F67+H67+J67+L67+N67+P67+R67+T67+V67+X67+Z67+AB67+AD67</f>
        <v>1</v>
      </c>
      <c r="AG67" s="507">
        <f>E67+G67+I67+K67+M67+O67+Q67+S67+U67+W67+Y67+AA67+AC67+AE67</f>
        <v>0</v>
      </c>
      <c r="AH67" s="507">
        <f>D67+F67+H67+J67+L67+N67+T67+V67+Z67+AB67</f>
        <v>1</v>
      </c>
      <c r="AI67" s="507">
        <f>E67+G67+I67+K67+M67+O67+U67+W67+AA67+AC67</f>
        <v>0</v>
      </c>
      <c r="AJ67" s="506">
        <v>0.5</v>
      </c>
      <c r="AK67" s="506">
        <v>0.5</v>
      </c>
      <c r="AL67" s="506"/>
      <c r="AM67" s="506"/>
      <c r="AN67" s="506"/>
      <c r="AO67" s="506"/>
      <c r="AP67" s="506"/>
      <c r="AQ67" s="506"/>
      <c r="AR67" s="506"/>
      <c r="AS67" s="506"/>
      <c r="AT67" s="508">
        <f>SUM(AJ67:AS67)</f>
        <v>1</v>
      </c>
      <c r="AU67" s="509">
        <f>AH67-(SUM(AJ67:AS67))</f>
        <v>0</v>
      </c>
      <c r="AV67" s="509">
        <f>AI67/AH67*AU67</f>
        <v>0</v>
      </c>
    </row>
    <row r="68" spans="1:48" ht="15.75" hidden="1" x14ac:dyDescent="0.25">
      <c r="A68" s="512" t="s">
        <v>1218</v>
      </c>
      <c r="B68" s="513">
        <f>SUM(B63:B67)</f>
        <v>13</v>
      </c>
      <c r="C68" s="513">
        <f>SUM(C63:C67)</f>
        <v>2</v>
      </c>
      <c r="D68" s="514">
        <f t="shared" ref="D68:AV68" si="6">SUM(D63:D67)</f>
        <v>3</v>
      </c>
      <c r="E68" s="514">
        <f t="shared" si="6"/>
        <v>24068.63</v>
      </c>
      <c r="F68" s="514">
        <f t="shared" si="6"/>
        <v>1</v>
      </c>
      <c r="G68" s="514">
        <f t="shared" si="6"/>
        <v>0</v>
      </c>
      <c r="H68" s="514">
        <f t="shared" si="6"/>
        <v>0</v>
      </c>
      <c r="I68" s="514">
        <f t="shared" si="6"/>
        <v>0</v>
      </c>
      <c r="J68" s="514">
        <f t="shared" si="6"/>
        <v>0</v>
      </c>
      <c r="K68" s="514">
        <f t="shared" si="6"/>
        <v>0</v>
      </c>
      <c r="L68" s="514">
        <f t="shared" si="6"/>
        <v>0</v>
      </c>
      <c r="M68" s="514">
        <f t="shared" si="6"/>
        <v>0</v>
      </c>
      <c r="N68" s="514">
        <f t="shared" si="6"/>
        <v>0</v>
      </c>
      <c r="O68" s="514">
        <f t="shared" si="6"/>
        <v>0</v>
      </c>
      <c r="P68" s="514">
        <f t="shared" si="6"/>
        <v>0</v>
      </c>
      <c r="Q68" s="514">
        <f t="shared" si="6"/>
        <v>0</v>
      </c>
      <c r="R68" s="514">
        <f t="shared" si="6"/>
        <v>0</v>
      </c>
      <c r="S68" s="514">
        <f t="shared" si="6"/>
        <v>0</v>
      </c>
      <c r="T68" s="514">
        <f t="shared" si="6"/>
        <v>0</v>
      </c>
      <c r="U68" s="514">
        <f t="shared" si="6"/>
        <v>0</v>
      </c>
      <c r="V68" s="514">
        <f t="shared" si="6"/>
        <v>0</v>
      </c>
      <c r="W68" s="514">
        <f t="shared" si="6"/>
        <v>0</v>
      </c>
      <c r="X68" s="514">
        <f t="shared" si="6"/>
        <v>0</v>
      </c>
      <c r="Y68" s="514">
        <f t="shared" si="6"/>
        <v>0</v>
      </c>
      <c r="Z68" s="514">
        <f t="shared" si="6"/>
        <v>0</v>
      </c>
      <c r="AA68" s="514">
        <f t="shared" si="6"/>
        <v>0</v>
      </c>
      <c r="AB68" s="514">
        <f t="shared" si="6"/>
        <v>0</v>
      </c>
      <c r="AC68" s="514">
        <f t="shared" si="6"/>
        <v>0</v>
      </c>
      <c r="AD68" s="514">
        <f t="shared" si="6"/>
        <v>0</v>
      </c>
      <c r="AE68" s="514">
        <f t="shared" si="6"/>
        <v>0</v>
      </c>
      <c r="AF68" s="515">
        <f t="shared" si="6"/>
        <v>4</v>
      </c>
      <c r="AG68" s="515">
        <f t="shared" si="6"/>
        <v>24068.63</v>
      </c>
      <c r="AH68" s="515">
        <f t="shared" si="6"/>
        <v>4</v>
      </c>
      <c r="AI68" s="515">
        <f t="shared" si="6"/>
        <v>24068.63</v>
      </c>
      <c r="AJ68" s="514">
        <f t="shared" si="6"/>
        <v>2</v>
      </c>
      <c r="AK68" s="514">
        <f t="shared" si="6"/>
        <v>2.25</v>
      </c>
      <c r="AL68" s="514">
        <f t="shared" si="6"/>
        <v>0</v>
      </c>
      <c r="AM68" s="514">
        <f t="shared" si="6"/>
        <v>0</v>
      </c>
      <c r="AN68" s="514">
        <f t="shared" si="6"/>
        <v>0</v>
      </c>
      <c r="AO68" s="514">
        <f t="shared" si="6"/>
        <v>0</v>
      </c>
      <c r="AP68" s="514">
        <f t="shared" si="6"/>
        <v>0</v>
      </c>
      <c r="AQ68" s="514">
        <f t="shared" si="6"/>
        <v>0</v>
      </c>
      <c r="AR68" s="514">
        <f t="shared" si="6"/>
        <v>0</v>
      </c>
      <c r="AS68" s="514">
        <f t="shared" si="6"/>
        <v>0</v>
      </c>
      <c r="AT68" s="514">
        <f t="shared" si="6"/>
        <v>4.25</v>
      </c>
      <c r="AU68" s="516">
        <f t="shared" si="6"/>
        <v>-0.25</v>
      </c>
      <c r="AV68" s="515">
        <f t="shared" si="6"/>
        <v>-2989.65</v>
      </c>
    </row>
    <row r="69" spans="1:48" ht="15.75" hidden="1" x14ac:dyDescent="0.25">
      <c r="A69" s="512" t="s">
        <v>1218</v>
      </c>
      <c r="B69" s="513">
        <f>B62+B68</f>
        <v>492</v>
      </c>
      <c r="C69" s="513">
        <f>C62+C68</f>
        <v>68</v>
      </c>
      <c r="D69" s="514">
        <f t="shared" ref="D69:AV69" si="7">D62+D68</f>
        <v>21</v>
      </c>
      <c r="E69" s="514">
        <f t="shared" si="7"/>
        <v>197634.05</v>
      </c>
      <c r="F69" s="514">
        <f t="shared" si="7"/>
        <v>65.75</v>
      </c>
      <c r="G69" s="514">
        <f t="shared" si="7"/>
        <v>493739.79</v>
      </c>
      <c r="H69" s="514">
        <f t="shared" si="7"/>
        <v>6.75</v>
      </c>
      <c r="I69" s="514">
        <f t="shared" si="7"/>
        <v>42807.360000000001</v>
      </c>
      <c r="J69" s="514">
        <f t="shared" si="7"/>
        <v>1.75</v>
      </c>
      <c r="K69" s="514">
        <f t="shared" si="7"/>
        <v>14982.52</v>
      </c>
      <c r="L69" s="514">
        <f t="shared" si="7"/>
        <v>5.5</v>
      </c>
      <c r="M69" s="514">
        <f t="shared" si="7"/>
        <v>45670.69</v>
      </c>
      <c r="N69" s="514">
        <f t="shared" si="7"/>
        <v>6</v>
      </c>
      <c r="O69" s="514">
        <f t="shared" si="7"/>
        <v>49848.52</v>
      </c>
      <c r="P69" s="514">
        <f t="shared" si="7"/>
        <v>2</v>
      </c>
      <c r="Q69" s="514">
        <f t="shared" si="7"/>
        <v>19722.400000000001</v>
      </c>
      <c r="R69" s="514">
        <f t="shared" si="7"/>
        <v>3</v>
      </c>
      <c r="S69" s="514">
        <f t="shared" si="7"/>
        <v>20959.580000000002</v>
      </c>
      <c r="T69" s="514">
        <f t="shared" si="7"/>
        <v>3.7</v>
      </c>
      <c r="U69" s="514">
        <f t="shared" si="7"/>
        <v>32859.620000000003</v>
      </c>
      <c r="V69" s="514">
        <f t="shared" si="7"/>
        <v>0.25</v>
      </c>
      <c r="W69" s="514">
        <f t="shared" si="7"/>
        <v>2456.06</v>
      </c>
      <c r="X69" s="514">
        <f t="shared" si="7"/>
        <v>0</v>
      </c>
      <c r="Y69" s="514">
        <f t="shared" si="7"/>
        <v>0</v>
      </c>
      <c r="Z69" s="514">
        <f t="shared" si="7"/>
        <v>0.75</v>
      </c>
      <c r="AA69" s="514">
        <f t="shared" si="7"/>
        <v>7107.07</v>
      </c>
      <c r="AB69" s="514">
        <f t="shared" si="7"/>
        <v>0.5</v>
      </c>
      <c r="AC69" s="514">
        <f t="shared" si="7"/>
        <v>4389.88</v>
      </c>
      <c r="AD69" s="514">
        <f t="shared" si="7"/>
        <v>0</v>
      </c>
      <c r="AE69" s="514">
        <f t="shared" si="7"/>
        <v>0</v>
      </c>
      <c r="AF69" s="515">
        <f t="shared" si="7"/>
        <v>116.95</v>
      </c>
      <c r="AG69" s="515">
        <f t="shared" si="7"/>
        <v>932177.54</v>
      </c>
      <c r="AH69" s="515">
        <f t="shared" si="7"/>
        <v>111.95</v>
      </c>
      <c r="AI69" s="515">
        <f t="shared" si="7"/>
        <v>891495.56</v>
      </c>
      <c r="AJ69" s="514">
        <f t="shared" si="7"/>
        <v>16.5</v>
      </c>
      <c r="AK69" s="514">
        <f t="shared" si="7"/>
        <v>16.75</v>
      </c>
      <c r="AL69" s="514">
        <f t="shared" si="7"/>
        <v>7</v>
      </c>
      <c r="AM69" s="514">
        <f t="shared" si="7"/>
        <v>14</v>
      </c>
      <c r="AN69" s="514">
        <f t="shared" si="7"/>
        <v>10</v>
      </c>
      <c r="AO69" s="514">
        <f t="shared" si="7"/>
        <v>10</v>
      </c>
      <c r="AP69" s="514">
        <f t="shared" si="7"/>
        <v>2</v>
      </c>
      <c r="AQ69" s="514">
        <f t="shared" si="7"/>
        <v>3</v>
      </c>
      <c r="AR69" s="514">
        <f t="shared" si="7"/>
        <v>1</v>
      </c>
      <c r="AS69" s="514">
        <f t="shared" si="7"/>
        <v>1</v>
      </c>
      <c r="AT69" s="514">
        <f t="shared" si="7"/>
        <v>81.25</v>
      </c>
      <c r="AU69" s="516">
        <f t="shared" si="7"/>
        <v>30.7</v>
      </c>
      <c r="AV69" s="515">
        <f t="shared" si="7"/>
        <v>253384.8</v>
      </c>
    </row>
    <row r="70" spans="1:48" x14ac:dyDescent="0.25">
      <c r="AV70" s="517">
        <f>AV69*12*1.302/1000</f>
        <v>3958.9</v>
      </c>
    </row>
  </sheetData>
  <mergeCells count="30">
    <mergeCell ref="AR4:AS4"/>
    <mergeCell ref="AT4:AT6"/>
    <mergeCell ref="AU4:AV4"/>
    <mergeCell ref="AJ5:AK5"/>
    <mergeCell ref="AL5:AM5"/>
    <mergeCell ref="AN5:AO5"/>
    <mergeCell ref="AP5:AQ5"/>
    <mergeCell ref="AR5:AS5"/>
    <mergeCell ref="AJ4:AQ4"/>
    <mergeCell ref="Z4:AA4"/>
    <mergeCell ref="AB4:AC4"/>
    <mergeCell ref="AD4:AE4"/>
    <mergeCell ref="AF4:AG4"/>
    <mergeCell ref="AH4:AI4"/>
    <mergeCell ref="X4:Y4"/>
    <mergeCell ref="B2:AT2"/>
    <mergeCell ref="A3:G3"/>
    <mergeCell ref="A4:A5"/>
    <mergeCell ref="B4:B5"/>
    <mergeCell ref="C4:C5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</mergeCells>
  <pageMargins left="0.31496062992125984" right="0.11811023622047245" top="0.15748031496062992" bottom="0.15748031496062992" header="0.31496062992125984" footer="0.31496062992125984"/>
  <pageSetup paperSize="9" scale="62" fitToHeight="0" orientation="portrait" verticalDpi="0" r:id="rId1"/>
  <colBreaks count="2" manualBreakCount="2">
    <brk id="15" max="68" man="1"/>
    <brk id="35" max="6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Q298"/>
  <sheetViews>
    <sheetView view="pageBreakPreview" zoomScale="98" zoomScaleNormal="100" zoomScaleSheetLayoutView="98" workbookViewId="0">
      <pane xSplit="2" ySplit="31" topLeftCell="C232" activePane="bottomRight" state="frozen"/>
      <selection pane="topRight" activeCell="C1" sqref="C1"/>
      <selection pane="bottomLeft" activeCell="A32" sqref="A32"/>
      <selection pane="bottomRight" activeCell="A229" sqref="A229:XFD231"/>
    </sheetView>
  </sheetViews>
  <sheetFormatPr defaultColWidth="9.140625" defaultRowHeight="15" x14ac:dyDescent="0.25"/>
  <cols>
    <col min="1" max="1" width="4.85546875" style="435" customWidth="1"/>
    <col min="2" max="2" width="33.28515625" style="435" customWidth="1"/>
    <col min="3" max="3" width="8.28515625" style="435" customWidth="1"/>
    <col min="4" max="4" width="7.85546875" style="435" customWidth="1"/>
    <col min="5" max="5" width="7.42578125" style="435" customWidth="1"/>
    <col min="6" max="6" width="7.28515625" style="435" customWidth="1"/>
    <col min="7" max="7" width="8.5703125" style="435" customWidth="1"/>
    <col min="8" max="9" width="9" style="435" customWidth="1"/>
    <col min="10" max="10" width="8.140625" style="435" customWidth="1"/>
    <col min="11" max="11" width="7.85546875" style="435" customWidth="1"/>
    <col min="12" max="12" width="8.42578125" style="435" customWidth="1"/>
    <col min="13" max="13" width="7.5703125" style="435" customWidth="1"/>
    <col min="14" max="14" width="7.28515625" style="435" customWidth="1"/>
    <col min="15" max="15" width="7.7109375" style="435" customWidth="1"/>
    <col min="16" max="16" width="48.140625" style="435" customWidth="1"/>
    <col min="17" max="17" width="9.85546875" style="9" hidden="1" customWidth="1"/>
    <col min="18" max="16384" width="9.140625" style="435"/>
  </cols>
  <sheetData>
    <row r="1" spans="1:16" x14ac:dyDescent="0.25">
      <c r="P1" s="435" t="s">
        <v>869</v>
      </c>
    </row>
    <row r="2" spans="1:16" x14ac:dyDescent="0.25">
      <c r="B2" s="1410" t="s">
        <v>47</v>
      </c>
      <c r="C2" s="1410"/>
      <c r="D2" s="1410"/>
      <c r="E2" s="1410"/>
      <c r="F2" s="1410"/>
      <c r="G2" s="1410"/>
      <c r="H2" s="1410"/>
      <c r="I2" s="1410"/>
      <c r="J2" s="1410"/>
      <c r="K2" s="1410"/>
      <c r="L2" s="1410"/>
      <c r="M2" s="1410"/>
      <c r="N2" s="1410"/>
      <c r="O2" s="1410"/>
      <c r="P2" s="1410"/>
    </row>
    <row r="3" spans="1:16" x14ac:dyDescent="0.25">
      <c r="B3" s="1410" t="s">
        <v>48</v>
      </c>
      <c r="C3" s="1410"/>
      <c r="D3" s="1410"/>
      <c r="E3" s="1410"/>
      <c r="F3" s="1410"/>
      <c r="G3" s="1410"/>
      <c r="H3" s="1410"/>
      <c r="I3" s="1410"/>
      <c r="J3" s="1410"/>
      <c r="K3" s="1410"/>
      <c r="L3" s="1410"/>
      <c r="M3" s="1410"/>
      <c r="N3" s="1410"/>
      <c r="O3" s="1410"/>
      <c r="P3" s="1410"/>
    </row>
    <row r="4" spans="1:16" x14ac:dyDescent="0.25">
      <c r="B4" s="1410" t="s">
        <v>250</v>
      </c>
      <c r="C4" s="1410"/>
      <c r="D4" s="1410"/>
      <c r="E4" s="1410"/>
      <c r="F4" s="1410"/>
      <c r="G4" s="1410"/>
      <c r="H4" s="1410"/>
      <c r="I4" s="1410"/>
      <c r="J4" s="1410"/>
      <c r="K4" s="1410"/>
      <c r="L4" s="1410"/>
      <c r="M4" s="1410"/>
      <c r="N4" s="1410"/>
      <c r="O4" s="1410"/>
      <c r="P4" s="1410"/>
    </row>
    <row r="5" spans="1:16" x14ac:dyDescent="0.25">
      <c r="B5" s="1411" t="s">
        <v>361</v>
      </c>
      <c r="C5" s="1411"/>
      <c r="D5" s="1411"/>
      <c r="E5" s="1411"/>
      <c r="F5" s="1411"/>
      <c r="G5" s="1411"/>
      <c r="H5" s="1411"/>
      <c r="I5" s="1411"/>
      <c r="J5" s="1411"/>
      <c r="K5" s="1411"/>
      <c r="L5" s="1411"/>
      <c r="M5" s="1411"/>
      <c r="N5" s="1411"/>
      <c r="O5" s="1411"/>
      <c r="P5" s="1411"/>
    </row>
    <row r="6" spans="1:16" x14ac:dyDescent="0.25"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</row>
    <row r="7" spans="1:16" hidden="1" x14ac:dyDescent="0.25">
      <c r="A7" s="435" t="s">
        <v>318</v>
      </c>
      <c r="B7" s="443"/>
      <c r="C7" s="443"/>
      <c r="D7" s="443"/>
      <c r="E7" s="443"/>
      <c r="F7" s="443"/>
      <c r="G7" s="443"/>
      <c r="H7" s="443"/>
      <c r="I7" s="443"/>
      <c r="J7" s="443"/>
      <c r="K7" s="443"/>
      <c r="L7" s="443"/>
      <c r="M7" s="443"/>
      <c r="N7" s="443"/>
      <c r="O7" s="443"/>
      <c r="P7" s="443"/>
    </row>
    <row r="8" spans="1:16" hidden="1" x14ac:dyDescent="0.25">
      <c r="A8" s="31" t="s">
        <v>317</v>
      </c>
      <c r="B8" s="443"/>
      <c r="C8" s="443"/>
      <c r="D8" s="443"/>
      <c r="E8" s="443"/>
      <c r="F8" s="443"/>
      <c r="G8" s="443"/>
      <c r="H8" s="443"/>
      <c r="I8" s="443"/>
      <c r="J8" s="443"/>
      <c r="K8" s="443"/>
      <c r="L8" s="443"/>
      <c r="M8" s="443"/>
      <c r="N8" s="443"/>
      <c r="O8" s="443"/>
      <c r="P8" s="443"/>
    </row>
    <row r="9" spans="1:16" hidden="1" x14ac:dyDescent="0.25">
      <c r="A9" s="31" t="s">
        <v>319</v>
      </c>
      <c r="B9" s="443"/>
      <c r="C9" s="443"/>
      <c r="D9" s="443"/>
      <c r="E9" s="443"/>
      <c r="F9" s="443"/>
      <c r="G9" s="443"/>
      <c r="H9" s="443"/>
      <c r="I9" s="443"/>
      <c r="J9" s="443"/>
      <c r="K9" s="443"/>
      <c r="L9" s="443"/>
      <c r="M9" s="443"/>
      <c r="N9" s="443"/>
      <c r="O9" s="443"/>
      <c r="P9" s="443"/>
    </row>
    <row r="10" spans="1:16" hidden="1" x14ac:dyDescent="0.25">
      <c r="A10" s="31" t="s">
        <v>362</v>
      </c>
      <c r="B10" s="443"/>
      <c r="C10" s="443"/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443"/>
      <c r="P10" s="443"/>
    </row>
    <row r="11" spans="1:16" hidden="1" x14ac:dyDescent="0.25">
      <c r="A11" s="31" t="s">
        <v>320</v>
      </c>
      <c r="B11" s="443"/>
      <c r="C11" s="443"/>
      <c r="D11" s="443"/>
      <c r="E11" s="443"/>
      <c r="F11" s="443"/>
      <c r="G11" s="443"/>
      <c r="H11" s="443"/>
      <c r="I11" s="443"/>
      <c r="J11" s="443"/>
      <c r="K11" s="443"/>
      <c r="L11" s="443"/>
      <c r="M11" s="443"/>
      <c r="N11" s="443"/>
      <c r="O11" s="443"/>
      <c r="P11" s="443"/>
    </row>
    <row r="12" spans="1:16" hidden="1" x14ac:dyDescent="0.25">
      <c r="A12" s="31" t="s">
        <v>321</v>
      </c>
      <c r="B12" s="443"/>
      <c r="C12" s="443"/>
      <c r="D12" s="443"/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443"/>
      <c r="P12" s="443"/>
    </row>
    <row r="13" spans="1:16" hidden="1" x14ac:dyDescent="0.25">
      <c r="A13" s="31" t="s">
        <v>322</v>
      </c>
      <c r="B13" s="443"/>
      <c r="C13" s="443"/>
      <c r="D13" s="443"/>
      <c r="E13" s="443"/>
      <c r="F13" s="443"/>
      <c r="G13" s="443"/>
      <c r="H13" s="443"/>
      <c r="I13" s="443"/>
      <c r="J13" s="443"/>
      <c r="K13" s="443"/>
      <c r="L13" s="443"/>
      <c r="M13" s="443"/>
      <c r="N13" s="443"/>
      <c r="O13" s="443"/>
      <c r="P13" s="443"/>
    </row>
    <row r="14" spans="1:16" hidden="1" x14ac:dyDescent="0.25">
      <c r="A14" s="31" t="s">
        <v>323</v>
      </c>
      <c r="B14" s="443"/>
      <c r="C14" s="443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3"/>
      <c r="O14" s="443"/>
      <c r="P14" s="443"/>
    </row>
    <row r="15" spans="1:16" hidden="1" x14ac:dyDescent="0.25">
      <c r="A15" s="31" t="s">
        <v>324</v>
      </c>
      <c r="B15" s="443"/>
      <c r="C15" s="443"/>
      <c r="D15" s="443"/>
      <c r="E15" s="443"/>
      <c r="F15" s="443"/>
      <c r="G15" s="443"/>
      <c r="H15" s="443"/>
      <c r="I15" s="443"/>
      <c r="J15" s="443"/>
      <c r="K15" s="443"/>
      <c r="L15" s="443"/>
      <c r="M15" s="443"/>
      <c r="N15" s="443"/>
      <c r="O15" s="443"/>
      <c r="P15" s="443"/>
    </row>
    <row r="16" spans="1:16" hidden="1" x14ac:dyDescent="0.25">
      <c r="A16" s="31" t="s">
        <v>335</v>
      </c>
      <c r="B16" s="443"/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443"/>
    </row>
    <row r="17" spans="1:17" hidden="1" x14ac:dyDescent="0.25">
      <c r="A17" s="31" t="s">
        <v>325</v>
      </c>
      <c r="B17" s="443"/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443"/>
    </row>
    <row r="18" spans="1:17" hidden="1" x14ac:dyDescent="0.25">
      <c r="A18" s="31" t="s">
        <v>327</v>
      </c>
      <c r="B18" s="443"/>
      <c r="C18" s="443"/>
      <c r="D18" s="443"/>
      <c r="E18" s="443"/>
      <c r="F18" s="443"/>
      <c r="G18" s="443"/>
      <c r="H18" s="443"/>
      <c r="I18" s="443"/>
      <c r="J18" s="443"/>
      <c r="K18" s="443"/>
      <c r="L18" s="443"/>
      <c r="M18" s="443"/>
      <c r="N18" s="443"/>
      <c r="O18" s="443"/>
      <c r="P18" s="443"/>
    </row>
    <row r="19" spans="1:17" hidden="1" x14ac:dyDescent="0.25">
      <c r="A19" s="31" t="s">
        <v>326</v>
      </c>
      <c r="B19" s="443"/>
      <c r="C19" s="443"/>
      <c r="D19" s="443"/>
      <c r="E19" s="443"/>
      <c r="F19" s="443"/>
      <c r="G19" s="443"/>
      <c r="H19" s="443"/>
      <c r="I19" s="443"/>
      <c r="J19" s="443"/>
      <c r="K19" s="443"/>
      <c r="L19" s="443"/>
      <c r="M19" s="443"/>
      <c r="N19" s="443"/>
      <c r="O19" s="443"/>
      <c r="P19" s="443"/>
    </row>
    <row r="20" spans="1:17" hidden="1" x14ac:dyDescent="0.25">
      <c r="A20" s="34" t="s">
        <v>328</v>
      </c>
      <c r="B20" s="443"/>
      <c r="C20" s="443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3"/>
      <c r="O20" s="443"/>
      <c r="P20" s="443"/>
    </row>
    <row r="21" spans="1:17" hidden="1" x14ac:dyDescent="0.25">
      <c r="A21" s="34" t="s">
        <v>330</v>
      </c>
      <c r="B21" s="443"/>
      <c r="C21" s="443"/>
      <c r="D21" s="443"/>
      <c r="E21" s="443"/>
      <c r="F21" s="443"/>
      <c r="G21" s="443"/>
      <c r="H21" s="443"/>
      <c r="I21" s="443"/>
      <c r="J21" s="443"/>
      <c r="K21" s="443"/>
      <c r="L21" s="443"/>
      <c r="M21" s="443"/>
      <c r="N21" s="443"/>
      <c r="O21" s="443"/>
      <c r="P21" s="443"/>
    </row>
    <row r="22" spans="1:17" hidden="1" x14ac:dyDescent="0.25">
      <c r="A22" s="34" t="s">
        <v>329</v>
      </c>
      <c r="B22" s="443"/>
      <c r="C22" s="443"/>
      <c r="D22" s="443"/>
      <c r="E22" s="443"/>
      <c r="F22" s="443"/>
      <c r="G22" s="443"/>
      <c r="H22" s="443"/>
      <c r="I22" s="443"/>
      <c r="J22" s="443"/>
      <c r="K22" s="443"/>
      <c r="L22" s="443"/>
      <c r="M22" s="443"/>
      <c r="N22" s="443"/>
      <c r="O22" s="443"/>
      <c r="P22" s="443"/>
    </row>
    <row r="23" spans="1:17" hidden="1" x14ac:dyDescent="0.25">
      <c r="A23" s="34" t="s">
        <v>346</v>
      </c>
      <c r="B23" s="443"/>
      <c r="C23" s="443"/>
      <c r="D23" s="443"/>
      <c r="E23" s="443"/>
      <c r="F23" s="443"/>
      <c r="G23" s="443"/>
      <c r="H23" s="443"/>
      <c r="I23" s="443"/>
      <c r="J23" s="443"/>
      <c r="K23" s="443"/>
      <c r="L23" s="443"/>
      <c r="M23" s="443"/>
      <c r="N23" s="443"/>
      <c r="O23" s="443"/>
      <c r="P23" s="443"/>
    </row>
    <row r="24" spans="1:17" hidden="1" x14ac:dyDescent="0.25">
      <c r="A24" s="34" t="s">
        <v>333</v>
      </c>
      <c r="B24" s="443"/>
      <c r="C24" s="443"/>
      <c r="D24" s="443"/>
      <c r="E24" s="443"/>
      <c r="F24" s="443"/>
      <c r="G24" s="443"/>
      <c r="H24" s="443"/>
      <c r="I24" s="443"/>
      <c r="J24" s="443"/>
      <c r="K24" s="443"/>
      <c r="L24" s="443"/>
      <c r="M24" s="443"/>
      <c r="N24" s="443"/>
      <c r="O24" s="443"/>
      <c r="P24" s="443"/>
    </row>
    <row r="25" spans="1:17" hidden="1" x14ac:dyDescent="0.25">
      <c r="A25" s="34" t="s">
        <v>331</v>
      </c>
      <c r="B25" s="443"/>
      <c r="C25" s="443"/>
      <c r="D25" s="443"/>
      <c r="E25" s="443"/>
      <c r="F25" s="443"/>
      <c r="G25" s="443"/>
      <c r="H25" s="443"/>
      <c r="I25" s="443"/>
      <c r="J25" s="443"/>
      <c r="K25" s="443"/>
      <c r="L25" s="443"/>
      <c r="M25" s="443"/>
      <c r="N25" s="443"/>
      <c r="O25" s="443"/>
      <c r="P25" s="443"/>
    </row>
    <row r="26" spans="1:17" hidden="1" x14ac:dyDescent="0.25">
      <c r="A26" s="34" t="s">
        <v>332</v>
      </c>
      <c r="B26" s="443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3"/>
      <c r="O26" s="443"/>
      <c r="P26" s="443"/>
    </row>
    <row r="27" spans="1:17" hidden="1" x14ac:dyDescent="0.25">
      <c r="A27" s="34" t="s">
        <v>334</v>
      </c>
      <c r="B27" s="443"/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3"/>
      <c r="O27" s="443"/>
      <c r="P27" s="443"/>
    </row>
    <row r="28" spans="1:17" ht="60" customHeight="1" x14ac:dyDescent="0.25">
      <c r="A28" s="1400" t="s">
        <v>220</v>
      </c>
      <c r="B28" s="1309" t="s">
        <v>3</v>
      </c>
      <c r="C28" s="1402" t="s">
        <v>49</v>
      </c>
      <c r="D28" s="1404" t="s">
        <v>1492</v>
      </c>
      <c r="E28" s="1406" t="s">
        <v>204</v>
      </c>
      <c r="F28" s="1407"/>
      <c r="G28" s="1402" t="s">
        <v>57</v>
      </c>
      <c r="H28" s="1414" t="s">
        <v>31</v>
      </c>
      <c r="I28" s="1415"/>
      <c r="J28" s="1416"/>
      <c r="K28" s="1402" t="s">
        <v>62</v>
      </c>
      <c r="L28" s="1402" t="s">
        <v>61</v>
      </c>
      <c r="M28" s="1414" t="s">
        <v>31</v>
      </c>
      <c r="N28" s="1415"/>
      <c r="O28" s="1416"/>
      <c r="P28" s="1398" t="s">
        <v>50</v>
      </c>
      <c r="Q28" s="1408" t="s">
        <v>1493</v>
      </c>
    </row>
    <row r="29" spans="1:17" ht="65.25" customHeight="1" x14ac:dyDescent="0.25">
      <c r="A29" s="1401"/>
      <c r="B29" s="1311"/>
      <c r="C29" s="1403"/>
      <c r="D29" s="1405"/>
      <c r="E29" s="716" t="s">
        <v>191</v>
      </c>
      <c r="F29" s="716" t="s">
        <v>192</v>
      </c>
      <c r="G29" s="1403"/>
      <c r="H29" s="716" t="s">
        <v>146</v>
      </c>
      <c r="I29" s="716" t="s">
        <v>223</v>
      </c>
      <c r="J29" s="716" t="s">
        <v>147</v>
      </c>
      <c r="K29" s="1403"/>
      <c r="L29" s="1403"/>
      <c r="M29" s="716" t="s">
        <v>146</v>
      </c>
      <c r="N29" s="716" t="s">
        <v>223</v>
      </c>
      <c r="O29" s="716" t="s">
        <v>147</v>
      </c>
      <c r="P29" s="1331"/>
      <c r="Q29" s="1409"/>
    </row>
    <row r="30" spans="1:17" ht="33.75" x14ac:dyDescent="0.25">
      <c r="A30" s="717">
        <v>1</v>
      </c>
      <c r="B30" s="718">
        <v>2</v>
      </c>
      <c r="C30" s="719">
        <v>3</v>
      </c>
      <c r="D30" s="719">
        <v>4</v>
      </c>
      <c r="E30" s="719">
        <v>5</v>
      </c>
      <c r="F30" s="719">
        <v>6</v>
      </c>
      <c r="G30" s="719" t="s">
        <v>252</v>
      </c>
      <c r="H30" s="719" t="s">
        <v>253</v>
      </c>
      <c r="I30" s="719" t="s">
        <v>254</v>
      </c>
      <c r="J30" s="719">
        <v>9</v>
      </c>
      <c r="K30" s="719">
        <v>10</v>
      </c>
      <c r="L30" s="719" t="s">
        <v>255</v>
      </c>
      <c r="M30" s="719" t="s">
        <v>256</v>
      </c>
      <c r="N30" s="719" t="s">
        <v>257</v>
      </c>
      <c r="O30" s="719" t="s">
        <v>258</v>
      </c>
      <c r="P30" s="719">
        <v>14</v>
      </c>
      <c r="Q30" s="719">
        <v>15</v>
      </c>
    </row>
    <row r="31" spans="1:17" x14ac:dyDescent="0.25">
      <c r="A31" s="720"/>
      <c r="B31" s="1412" t="s">
        <v>71</v>
      </c>
      <c r="C31" s="1412"/>
      <c r="D31" s="1412"/>
      <c r="E31" s="1412"/>
      <c r="F31" s="1412"/>
      <c r="G31" s="1412"/>
      <c r="H31" s="1412"/>
      <c r="I31" s="1412"/>
      <c r="J31" s="1412"/>
      <c r="K31" s="1412"/>
      <c r="L31" s="1412"/>
      <c r="M31" s="1412"/>
      <c r="N31" s="1412"/>
      <c r="O31" s="1412"/>
      <c r="P31" s="1413"/>
      <c r="Q31" s="721"/>
    </row>
    <row r="32" spans="1:17" ht="22.5" x14ac:dyDescent="0.25">
      <c r="A32" s="618"/>
      <c r="B32" s="722" t="s">
        <v>52</v>
      </c>
      <c r="C32" s="617">
        <v>5</v>
      </c>
      <c r="D32" s="723">
        <v>136</v>
      </c>
      <c r="E32" s="724">
        <f>1+1+2+1+1</f>
        <v>6</v>
      </c>
      <c r="F32" s="724">
        <f>1*13/10</f>
        <v>1</v>
      </c>
      <c r="G32" s="725">
        <f>(E32+F32)/D32/C32</f>
        <v>1.0290000000000001E-2</v>
      </c>
      <c r="H32" s="725">
        <f>G32-J32</f>
        <v>1.0290000000000001E-2</v>
      </c>
      <c r="I32" s="725">
        <f>(F32)/D32/C32</f>
        <v>1.47E-3</v>
      </c>
      <c r="J32" s="725"/>
      <c r="K32" s="617">
        <v>40000</v>
      </c>
      <c r="L32" s="726">
        <f>G32*K32</f>
        <v>411.6</v>
      </c>
      <c r="M32" s="726">
        <f>H32*K32</f>
        <v>411.6</v>
      </c>
      <c r="N32" s="726">
        <f>I32*K32</f>
        <v>58.8</v>
      </c>
      <c r="O32" s="726">
        <f>L32-M32</f>
        <v>0</v>
      </c>
      <c r="P32" s="727" t="s">
        <v>139</v>
      </c>
      <c r="Q32" s="727"/>
    </row>
    <row r="33" spans="1:17" ht="22.5" x14ac:dyDescent="0.25">
      <c r="A33" s="618"/>
      <c r="B33" s="722" t="s">
        <v>53</v>
      </c>
      <c r="C33" s="617">
        <v>5</v>
      </c>
      <c r="D33" s="723">
        <v>136</v>
      </c>
      <c r="E33" s="724">
        <f>E32</f>
        <v>6</v>
      </c>
      <c r="F33" s="724">
        <f>F32</f>
        <v>1</v>
      </c>
      <c r="G33" s="725">
        <f>(E33+F33)/D33/C33</f>
        <v>1.0290000000000001E-2</v>
      </c>
      <c r="H33" s="725">
        <f t="shared" ref="H33:H39" si="0">G33-J33</f>
        <v>1.0290000000000001E-2</v>
      </c>
      <c r="I33" s="725">
        <f>(F33)/D33/C33</f>
        <v>1.47E-3</v>
      </c>
      <c r="J33" s="725"/>
      <c r="K33" s="617">
        <v>6700</v>
      </c>
      <c r="L33" s="726">
        <f>G33*K33</f>
        <v>68.94</v>
      </c>
      <c r="M33" s="726">
        <f t="shared" ref="M33:M39" si="1">H33*K33</f>
        <v>68.94</v>
      </c>
      <c r="N33" s="726">
        <f t="shared" ref="N33:N39" si="2">I33*K33</f>
        <v>9.85</v>
      </c>
      <c r="O33" s="726">
        <f t="shared" ref="O33:O39" si="3">L33-M33</f>
        <v>0</v>
      </c>
      <c r="P33" s="727" t="s">
        <v>139</v>
      </c>
      <c r="Q33" s="727"/>
    </row>
    <row r="34" spans="1:17" ht="33.75" x14ac:dyDescent="0.25">
      <c r="A34" s="618"/>
      <c r="B34" s="722" t="s">
        <v>54</v>
      </c>
      <c r="C34" s="617">
        <v>5</v>
      </c>
      <c r="D34" s="723">
        <v>136</v>
      </c>
      <c r="E34" s="724">
        <v>1</v>
      </c>
      <c r="F34" s="724"/>
      <c r="G34" s="725">
        <f>(E34+F34)/D34/C34</f>
        <v>1.47E-3</v>
      </c>
      <c r="H34" s="725">
        <f t="shared" si="0"/>
        <v>1.47E-3</v>
      </c>
      <c r="I34" s="725"/>
      <c r="J34" s="725"/>
      <c r="K34" s="617">
        <v>25800</v>
      </c>
      <c r="L34" s="726">
        <f>G34*K34</f>
        <v>37.93</v>
      </c>
      <c r="M34" s="726">
        <f t="shared" si="1"/>
        <v>37.93</v>
      </c>
      <c r="N34" s="726">
        <f t="shared" si="2"/>
        <v>0</v>
      </c>
      <c r="O34" s="726">
        <f t="shared" si="3"/>
        <v>0</v>
      </c>
      <c r="P34" s="617" t="s">
        <v>64</v>
      </c>
      <c r="Q34" s="727"/>
    </row>
    <row r="35" spans="1:17" x14ac:dyDescent="0.25">
      <c r="A35" s="618"/>
      <c r="B35" s="722" t="s">
        <v>55</v>
      </c>
      <c r="C35" s="617">
        <v>5</v>
      </c>
      <c r="D35" s="723">
        <v>136</v>
      </c>
      <c r="E35" s="724">
        <v>1</v>
      </c>
      <c r="F35" s="724"/>
      <c r="G35" s="725">
        <f>(E35+F35)/D35/C35</f>
        <v>1.47E-3</v>
      </c>
      <c r="H35" s="725">
        <f t="shared" si="0"/>
        <v>1.47E-3</v>
      </c>
      <c r="I35" s="725"/>
      <c r="J35" s="725"/>
      <c r="K35" s="617">
        <v>7500</v>
      </c>
      <c r="L35" s="726">
        <f>G35*K35</f>
        <v>11.03</v>
      </c>
      <c r="M35" s="726">
        <f t="shared" si="1"/>
        <v>11.03</v>
      </c>
      <c r="N35" s="726">
        <f t="shared" si="2"/>
        <v>0</v>
      </c>
      <c r="O35" s="726">
        <f t="shared" si="3"/>
        <v>0</v>
      </c>
      <c r="P35" s="617" t="s">
        <v>63</v>
      </c>
      <c r="Q35" s="727"/>
    </row>
    <row r="36" spans="1:17" ht="22.5" x14ac:dyDescent="0.25">
      <c r="A36" s="618"/>
      <c r="B36" s="722" t="s">
        <v>59</v>
      </c>
      <c r="C36" s="617">
        <v>1</v>
      </c>
      <c r="D36" s="723">
        <v>136</v>
      </c>
      <c r="E36" s="724">
        <f>1*E33/5</f>
        <v>1</v>
      </c>
      <c r="F36" s="724">
        <f>1*F33/5</f>
        <v>0</v>
      </c>
      <c r="G36" s="725">
        <f t="shared" ref="G36:G96" si="4">(E36+F36)/D36/C36</f>
        <v>7.3499999999999998E-3</v>
      </c>
      <c r="H36" s="725">
        <f t="shared" si="0"/>
        <v>7.3499999999999998E-3</v>
      </c>
      <c r="I36" s="725">
        <f>(F36)/D36/C36</f>
        <v>0</v>
      </c>
      <c r="J36" s="725"/>
      <c r="K36" s="617">
        <v>7000</v>
      </c>
      <c r="L36" s="726">
        <f t="shared" ref="L36:L96" si="5">G36*K36</f>
        <v>51.45</v>
      </c>
      <c r="M36" s="726">
        <f t="shared" si="1"/>
        <v>51.45</v>
      </c>
      <c r="N36" s="726">
        <f t="shared" si="2"/>
        <v>0</v>
      </c>
      <c r="O36" s="726">
        <f t="shared" si="3"/>
        <v>0</v>
      </c>
      <c r="P36" s="617" t="s">
        <v>193</v>
      </c>
      <c r="Q36" s="727"/>
    </row>
    <row r="37" spans="1:17" x14ac:dyDescent="0.25">
      <c r="A37" s="618"/>
      <c r="B37" s="722" t="s">
        <v>60</v>
      </c>
      <c r="C37" s="617">
        <v>1</v>
      </c>
      <c r="D37" s="723">
        <v>136</v>
      </c>
      <c r="E37" s="724">
        <f>1*E34</f>
        <v>1</v>
      </c>
      <c r="F37" s="724">
        <f>1*F34</f>
        <v>0</v>
      </c>
      <c r="G37" s="725">
        <f t="shared" si="4"/>
        <v>7.3499999999999998E-3</v>
      </c>
      <c r="H37" s="725">
        <f t="shared" si="0"/>
        <v>7.3499999999999998E-3</v>
      </c>
      <c r="I37" s="725"/>
      <c r="J37" s="725"/>
      <c r="K37" s="617">
        <v>9000</v>
      </c>
      <c r="L37" s="726">
        <f t="shared" si="5"/>
        <v>66.150000000000006</v>
      </c>
      <c r="M37" s="726">
        <f t="shared" si="1"/>
        <v>66.150000000000006</v>
      </c>
      <c r="N37" s="726">
        <f t="shared" si="2"/>
        <v>0</v>
      </c>
      <c r="O37" s="726">
        <f t="shared" si="3"/>
        <v>0</v>
      </c>
      <c r="P37" s="617" t="s">
        <v>58</v>
      </c>
      <c r="Q37" s="727"/>
    </row>
    <row r="38" spans="1:17" ht="22.5" x14ac:dyDescent="0.25">
      <c r="A38" s="618"/>
      <c r="B38" s="722" t="s">
        <v>56</v>
      </c>
      <c r="C38" s="617">
        <v>1</v>
      </c>
      <c r="D38" s="723">
        <v>136</v>
      </c>
      <c r="E38" s="724">
        <f>1*E35*12</f>
        <v>12</v>
      </c>
      <c r="F38" s="724">
        <f>1*F35*12</f>
        <v>0</v>
      </c>
      <c r="G38" s="725">
        <f t="shared" si="4"/>
        <v>8.8239999999999999E-2</v>
      </c>
      <c r="H38" s="725">
        <f t="shared" si="0"/>
        <v>8.8239999999999999E-2</v>
      </c>
      <c r="I38" s="725"/>
      <c r="J38" s="725"/>
      <c r="K38" s="617">
        <v>90</v>
      </c>
      <c r="L38" s="726">
        <f t="shared" si="5"/>
        <v>7.94</v>
      </c>
      <c r="M38" s="726">
        <f t="shared" si="1"/>
        <v>7.94</v>
      </c>
      <c r="N38" s="726">
        <f t="shared" si="2"/>
        <v>0</v>
      </c>
      <c r="O38" s="726">
        <f t="shared" si="3"/>
        <v>0</v>
      </c>
      <c r="P38" s="617" t="s">
        <v>65</v>
      </c>
      <c r="Q38" s="727"/>
    </row>
    <row r="39" spans="1:17" ht="33.75" x14ac:dyDescent="0.25">
      <c r="A39" s="618"/>
      <c r="B39" s="722" t="s">
        <v>51</v>
      </c>
      <c r="C39" s="617">
        <v>1</v>
      </c>
      <c r="D39" s="723">
        <v>136</v>
      </c>
      <c r="E39" s="723">
        <f>(1+4+1+2)*12</f>
        <v>96</v>
      </c>
      <c r="F39" s="723">
        <f>2*13*4</f>
        <v>104</v>
      </c>
      <c r="G39" s="725">
        <f t="shared" si="4"/>
        <v>1.4705900000000001</v>
      </c>
      <c r="H39" s="725">
        <f t="shared" si="0"/>
        <v>1.4705900000000001</v>
      </c>
      <c r="I39" s="725">
        <f>(F39)/D39/C39</f>
        <v>0.76471</v>
      </c>
      <c r="J39" s="725"/>
      <c r="K39" s="617">
        <v>220</v>
      </c>
      <c r="L39" s="726">
        <f t="shared" si="5"/>
        <v>323.52999999999997</v>
      </c>
      <c r="M39" s="726">
        <f t="shared" si="1"/>
        <v>323.52999999999997</v>
      </c>
      <c r="N39" s="726">
        <f t="shared" si="2"/>
        <v>168.24</v>
      </c>
      <c r="O39" s="726">
        <f t="shared" si="3"/>
        <v>0</v>
      </c>
      <c r="P39" s="727" t="s">
        <v>140</v>
      </c>
      <c r="Q39" s="727"/>
    </row>
    <row r="40" spans="1:17" x14ac:dyDescent="0.25">
      <c r="A40" s="618"/>
      <c r="B40" s="1417" t="s">
        <v>66</v>
      </c>
      <c r="C40" s="1417"/>
      <c r="D40" s="1417"/>
      <c r="E40" s="1417"/>
      <c r="F40" s="1417"/>
      <c r="G40" s="1417"/>
      <c r="H40" s="1417"/>
      <c r="I40" s="1417"/>
      <c r="J40" s="1417"/>
      <c r="K40" s="1417"/>
      <c r="L40" s="1417"/>
      <c r="M40" s="1417"/>
      <c r="N40" s="1417"/>
      <c r="O40" s="1417"/>
      <c r="P40" s="1418"/>
      <c r="Q40" s="727"/>
    </row>
    <row r="41" spans="1:17" ht="45" x14ac:dyDescent="0.25">
      <c r="A41" s="618"/>
      <c r="B41" s="722" t="s">
        <v>67</v>
      </c>
      <c r="C41" s="617">
        <v>3</v>
      </c>
      <c r="D41" s="723">
        <v>136</v>
      </c>
      <c r="E41" s="724">
        <f>1*6+1+1</f>
        <v>8</v>
      </c>
      <c r="F41" s="724">
        <f>1*13</f>
        <v>13</v>
      </c>
      <c r="G41" s="725">
        <f t="shared" si="4"/>
        <v>5.1470000000000002E-2</v>
      </c>
      <c r="H41" s="725">
        <f>G41-J41</f>
        <v>5.1470000000000002E-2</v>
      </c>
      <c r="I41" s="725"/>
      <c r="J41" s="725"/>
      <c r="K41" s="617">
        <v>500</v>
      </c>
      <c r="L41" s="726">
        <f t="shared" si="5"/>
        <v>25.74</v>
      </c>
      <c r="M41" s="726">
        <f>H41*K41</f>
        <v>25.74</v>
      </c>
      <c r="N41" s="726">
        <f>I41*K41</f>
        <v>0</v>
      </c>
      <c r="O41" s="726">
        <f>L41-M41</f>
        <v>0</v>
      </c>
      <c r="P41" s="727" t="s">
        <v>141</v>
      </c>
      <c r="Q41" s="727"/>
    </row>
    <row r="42" spans="1:17" x14ac:dyDescent="0.25">
      <c r="A42" s="618"/>
      <c r="B42" s="722" t="s">
        <v>68</v>
      </c>
      <c r="C42" s="617">
        <v>5</v>
      </c>
      <c r="D42" s="723">
        <v>136</v>
      </c>
      <c r="E42" s="723">
        <v>2</v>
      </c>
      <c r="F42" s="723"/>
      <c r="G42" s="725">
        <f t="shared" si="4"/>
        <v>2.9399999999999999E-3</v>
      </c>
      <c r="H42" s="725">
        <f>G42-J42</f>
        <v>2.9399999999999999E-3</v>
      </c>
      <c r="I42" s="725"/>
      <c r="J42" s="725"/>
      <c r="K42" s="617">
        <v>5500</v>
      </c>
      <c r="L42" s="726">
        <f t="shared" si="5"/>
        <v>16.170000000000002</v>
      </c>
      <c r="M42" s="726">
        <f>H42*K42</f>
        <v>16.170000000000002</v>
      </c>
      <c r="N42" s="726">
        <f>I42*K42</f>
        <v>0</v>
      </c>
      <c r="O42" s="726">
        <f>L42-M42</f>
        <v>0</v>
      </c>
      <c r="P42" s="617" t="s">
        <v>69</v>
      </c>
      <c r="Q42" s="727"/>
    </row>
    <row r="43" spans="1:17" x14ac:dyDescent="0.25">
      <c r="A43" s="618"/>
      <c r="B43" s="728" t="s">
        <v>212</v>
      </c>
      <c r="C43" s="729"/>
      <c r="D43" s="730"/>
      <c r="E43" s="730"/>
      <c r="F43" s="730"/>
      <c r="G43" s="731"/>
      <c r="H43" s="731"/>
      <c r="I43" s="731"/>
      <c r="J43" s="731"/>
      <c r="K43" s="729"/>
      <c r="L43" s="732">
        <f>SUM(L32:L39,L41:L42)</f>
        <v>1020.48</v>
      </c>
      <c r="M43" s="732">
        <f>SUM(M32:M39,M41:M42)</f>
        <v>1020.48</v>
      </c>
      <c r="N43" s="732">
        <f>SUM(N32:N39,N41:N42)</f>
        <v>236.89</v>
      </c>
      <c r="O43" s="732">
        <f>SUM(O32:O39,O41:O42)</f>
        <v>0</v>
      </c>
      <c r="P43" s="729"/>
      <c r="Q43" s="727"/>
    </row>
    <row r="44" spans="1:17" x14ac:dyDescent="0.25">
      <c r="A44" s="618" t="s">
        <v>221</v>
      </c>
      <c r="B44" s="728"/>
      <c r="C44" s="729"/>
      <c r="D44" s="730"/>
      <c r="E44" s="730"/>
      <c r="F44" s="730"/>
      <c r="G44" s="731"/>
      <c r="H44" s="731"/>
      <c r="I44" s="731"/>
      <c r="J44" s="731"/>
      <c r="K44" s="729"/>
      <c r="L44" s="732">
        <f>SUM(M44:O44)</f>
        <v>236.89</v>
      </c>
      <c r="M44" s="732"/>
      <c r="N44" s="732">
        <f>N43</f>
        <v>236.89</v>
      </c>
      <c r="O44" s="732"/>
      <c r="P44" s="729" t="s">
        <v>294</v>
      </c>
      <c r="Q44" s="727"/>
    </row>
    <row r="45" spans="1:17" x14ac:dyDescent="0.25">
      <c r="A45" s="618" t="s">
        <v>222</v>
      </c>
      <c r="B45" s="728"/>
      <c r="C45" s="729"/>
      <c r="D45" s="730"/>
      <c r="E45" s="730"/>
      <c r="F45" s="730"/>
      <c r="G45" s="731"/>
      <c r="H45" s="731"/>
      <c r="I45" s="731"/>
      <c r="J45" s="731"/>
      <c r="K45" s="729"/>
      <c r="L45" s="732">
        <f>SUM(M45:O45)</f>
        <v>783.59</v>
      </c>
      <c r="M45" s="732">
        <f>M43-N44</f>
        <v>783.59</v>
      </c>
      <c r="N45" s="732"/>
      <c r="O45" s="732"/>
      <c r="P45" s="729" t="s">
        <v>294</v>
      </c>
      <c r="Q45" s="727"/>
    </row>
    <row r="46" spans="1:17" x14ac:dyDescent="0.25">
      <c r="A46" s="720"/>
      <c r="B46" s="1412" t="s">
        <v>70</v>
      </c>
      <c r="C46" s="1412"/>
      <c r="D46" s="1412"/>
      <c r="E46" s="1412"/>
      <c r="F46" s="1412"/>
      <c r="G46" s="1412"/>
      <c r="H46" s="1412"/>
      <c r="I46" s="1412"/>
      <c r="J46" s="1412"/>
      <c r="K46" s="1412"/>
      <c r="L46" s="1412"/>
      <c r="M46" s="1412"/>
      <c r="N46" s="1412"/>
      <c r="O46" s="1412"/>
      <c r="P46" s="1413"/>
      <c r="Q46" s="721"/>
    </row>
    <row r="47" spans="1:17" ht="22.5" x14ac:dyDescent="0.25">
      <c r="A47" s="618"/>
      <c r="B47" s="722" t="s">
        <v>72</v>
      </c>
      <c r="C47" s="617">
        <v>1</v>
      </c>
      <c r="D47" s="723">
        <v>136</v>
      </c>
      <c r="E47" s="723">
        <f>6*1</f>
        <v>6</v>
      </c>
      <c r="F47" s="724">
        <f>13</f>
        <v>13</v>
      </c>
      <c r="G47" s="725">
        <f t="shared" si="4"/>
        <v>0.13971</v>
      </c>
      <c r="H47" s="725">
        <f t="shared" ref="H47:H87" si="6">G47-J47</f>
        <v>0.13971</v>
      </c>
      <c r="I47" s="725">
        <f t="shared" ref="I47:I87" si="7">(F47)/D47/C47</f>
        <v>9.5589999999999994E-2</v>
      </c>
      <c r="J47" s="725"/>
      <c r="K47" s="617">
        <v>170</v>
      </c>
      <c r="L47" s="726">
        <f t="shared" si="5"/>
        <v>23.75</v>
      </c>
      <c r="M47" s="726">
        <f t="shared" ref="M47:M87" si="8">H47*K47</f>
        <v>23.75</v>
      </c>
      <c r="N47" s="726">
        <f t="shared" ref="N47:N87" si="9">I47*K47</f>
        <v>16.25</v>
      </c>
      <c r="O47" s="726">
        <f t="shared" ref="O47:O87" si="10">L47-M47</f>
        <v>0</v>
      </c>
      <c r="P47" s="617" t="s">
        <v>142</v>
      </c>
      <c r="Q47" s="727"/>
    </row>
    <row r="48" spans="1:17" x14ac:dyDescent="0.25">
      <c r="A48" s="618"/>
      <c r="B48" s="722" t="s">
        <v>73</v>
      </c>
      <c r="C48" s="617">
        <v>5</v>
      </c>
      <c r="D48" s="723">
        <v>136</v>
      </c>
      <c r="E48" s="723">
        <f>6*1</f>
        <v>6</v>
      </c>
      <c r="F48" s="724">
        <f>13</f>
        <v>13</v>
      </c>
      <c r="G48" s="725">
        <f t="shared" si="4"/>
        <v>2.794E-2</v>
      </c>
      <c r="H48" s="725">
        <f t="shared" si="6"/>
        <v>2.794E-2</v>
      </c>
      <c r="I48" s="725">
        <f t="shared" si="7"/>
        <v>1.9120000000000002E-2</v>
      </c>
      <c r="J48" s="725"/>
      <c r="K48" s="617">
        <v>360</v>
      </c>
      <c r="L48" s="726">
        <f t="shared" si="5"/>
        <v>10.06</v>
      </c>
      <c r="M48" s="726">
        <f t="shared" si="8"/>
        <v>10.06</v>
      </c>
      <c r="N48" s="726">
        <f t="shared" si="9"/>
        <v>6.88</v>
      </c>
      <c r="O48" s="726">
        <f t="shared" si="10"/>
        <v>0</v>
      </c>
      <c r="P48" s="617" t="s">
        <v>142</v>
      </c>
      <c r="Q48" s="727"/>
    </row>
    <row r="49" spans="1:17" x14ac:dyDescent="0.25">
      <c r="A49" s="618"/>
      <c r="B49" s="722" t="s">
        <v>74</v>
      </c>
      <c r="C49" s="617">
        <v>3</v>
      </c>
      <c r="D49" s="723">
        <v>136</v>
      </c>
      <c r="E49" s="723">
        <f>6*1</f>
        <v>6</v>
      </c>
      <c r="F49" s="724">
        <f>13</f>
        <v>13</v>
      </c>
      <c r="G49" s="725">
        <f t="shared" si="4"/>
        <v>4.657E-2</v>
      </c>
      <c r="H49" s="725">
        <f t="shared" si="6"/>
        <v>4.657E-2</v>
      </c>
      <c r="I49" s="725">
        <f t="shared" si="7"/>
        <v>3.1859999999999999E-2</v>
      </c>
      <c r="J49" s="725"/>
      <c r="K49" s="617">
        <v>20</v>
      </c>
      <c r="L49" s="726">
        <f t="shared" si="5"/>
        <v>0.93</v>
      </c>
      <c r="M49" s="726">
        <f t="shared" si="8"/>
        <v>0.93</v>
      </c>
      <c r="N49" s="726">
        <f t="shared" si="9"/>
        <v>0.64</v>
      </c>
      <c r="O49" s="726">
        <f t="shared" si="10"/>
        <v>0</v>
      </c>
      <c r="P49" s="617" t="s">
        <v>142</v>
      </c>
      <c r="Q49" s="727"/>
    </row>
    <row r="50" spans="1:17" x14ac:dyDescent="0.25">
      <c r="A50" s="618"/>
      <c r="B50" s="722" t="s">
        <v>75</v>
      </c>
      <c r="C50" s="617">
        <v>1</v>
      </c>
      <c r="D50" s="723">
        <v>136</v>
      </c>
      <c r="E50" s="723">
        <f>6*1</f>
        <v>6</v>
      </c>
      <c r="F50" s="724">
        <f>13</f>
        <v>13</v>
      </c>
      <c r="G50" s="725">
        <f t="shared" si="4"/>
        <v>0.13971</v>
      </c>
      <c r="H50" s="725">
        <f t="shared" si="6"/>
        <v>0.13971</v>
      </c>
      <c r="I50" s="725">
        <f t="shared" si="7"/>
        <v>9.5589999999999994E-2</v>
      </c>
      <c r="J50" s="725"/>
      <c r="K50" s="617">
        <v>20</v>
      </c>
      <c r="L50" s="726">
        <f t="shared" si="5"/>
        <v>2.79</v>
      </c>
      <c r="M50" s="726">
        <f t="shared" si="8"/>
        <v>2.79</v>
      </c>
      <c r="N50" s="726">
        <f t="shared" si="9"/>
        <v>1.91</v>
      </c>
      <c r="O50" s="726">
        <f t="shared" si="10"/>
        <v>0</v>
      </c>
      <c r="P50" s="617" t="s">
        <v>142</v>
      </c>
      <c r="Q50" s="727"/>
    </row>
    <row r="51" spans="1:17" x14ac:dyDescent="0.25">
      <c r="A51" s="618"/>
      <c r="B51" s="722" t="s">
        <v>76</v>
      </c>
      <c r="C51" s="617">
        <v>1</v>
      </c>
      <c r="D51" s="723">
        <v>136</v>
      </c>
      <c r="E51" s="723">
        <v>5</v>
      </c>
      <c r="F51" s="723"/>
      <c r="G51" s="725">
        <f t="shared" si="4"/>
        <v>3.6760000000000001E-2</v>
      </c>
      <c r="H51" s="725">
        <f t="shared" si="6"/>
        <v>3.6760000000000001E-2</v>
      </c>
      <c r="I51" s="725">
        <f t="shared" si="7"/>
        <v>0</v>
      </c>
      <c r="J51" s="725"/>
      <c r="K51" s="617">
        <v>120</v>
      </c>
      <c r="L51" s="726">
        <f t="shared" si="5"/>
        <v>4.41</v>
      </c>
      <c r="M51" s="726">
        <f t="shared" si="8"/>
        <v>4.41</v>
      </c>
      <c r="N51" s="726">
        <f t="shared" si="9"/>
        <v>0</v>
      </c>
      <c r="O51" s="726">
        <f t="shared" si="10"/>
        <v>0</v>
      </c>
      <c r="P51" s="617" t="s">
        <v>77</v>
      </c>
      <c r="Q51" s="727"/>
    </row>
    <row r="52" spans="1:17" x14ac:dyDescent="0.25">
      <c r="A52" s="618"/>
      <c r="B52" s="722" t="s">
        <v>78</v>
      </c>
      <c r="C52" s="617">
        <v>1</v>
      </c>
      <c r="D52" s="723">
        <v>136</v>
      </c>
      <c r="E52" s="724">
        <f>6*4</f>
        <v>24</v>
      </c>
      <c r="F52" s="724">
        <f>4*8</f>
        <v>32</v>
      </c>
      <c r="G52" s="725">
        <f t="shared" si="4"/>
        <v>0.41176000000000001</v>
      </c>
      <c r="H52" s="725">
        <f t="shared" si="6"/>
        <v>0.41176000000000001</v>
      </c>
      <c r="I52" s="725">
        <f t="shared" si="7"/>
        <v>0.23529</v>
      </c>
      <c r="J52" s="725"/>
      <c r="K52" s="617">
        <v>15</v>
      </c>
      <c r="L52" s="726">
        <f t="shared" si="5"/>
        <v>6.18</v>
      </c>
      <c r="M52" s="726">
        <f t="shared" si="8"/>
        <v>6.18</v>
      </c>
      <c r="N52" s="726">
        <f t="shared" si="9"/>
        <v>3.53</v>
      </c>
      <c r="O52" s="726">
        <f t="shared" si="10"/>
        <v>0</v>
      </c>
      <c r="P52" s="733" t="s">
        <v>79</v>
      </c>
      <c r="Q52" s="727"/>
    </row>
    <row r="53" spans="1:17" x14ac:dyDescent="0.25">
      <c r="A53" s="618"/>
      <c r="B53" s="722" t="s">
        <v>80</v>
      </c>
      <c r="C53" s="617">
        <v>1</v>
      </c>
      <c r="D53" s="723">
        <v>136</v>
      </c>
      <c r="E53" s="724">
        <f>6*4</f>
        <v>24</v>
      </c>
      <c r="F53" s="724">
        <f>4*136</f>
        <v>544</v>
      </c>
      <c r="G53" s="725">
        <f t="shared" si="4"/>
        <v>4.1764700000000001</v>
      </c>
      <c r="H53" s="725">
        <f t="shared" si="6"/>
        <v>4.1764700000000001</v>
      </c>
      <c r="I53" s="725">
        <f t="shared" si="7"/>
        <v>4</v>
      </c>
      <c r="J53" s="725"/>
      <c r="K53" s="617">
        <v>15</v>
      </c>
      <c r="L53" s="726">
        <f t="shared" si="5"/>
        <v>62.65</v>
      </c>
      <c r="M53" s="726">
        <f t="shared" si="8"/>
        <v>62.65</v>
      </c>
      <c r="N53" s="726">
        <f t="shared" si="9"/>
        <v>60</v>
      </c>
      <c r="O53" s="726">
        <f t="shared" si="10"/>
        <v>0</v>
      </c>
      <c r="P53" s="733" t="s">
        <v>363</v>
      </c>
      <c r="Q53" s="727"/>
    </row>
    <row r="54" spans="1:17" ht="22.5" x14ac:dyDescent="0.25">
      <c r="A54" s="618"/>
      <c r="B54" s="722" t="s">
        <v>81</v>
      </c>
      <c r="C54" s="617">
        <v>1</v>
      </c>
      <c r="D54" s="723">
        <v>136</v>
      </c>
      <c r="E54" s="723">
        <f>6*1</f>
        <v>6</v>
      </c>
      <c r="F54" s="723">
        <f>13*1</f>
        <v>13</v>
      </c>
      <c r="G54" s="725">
        <f t="shared" si="4"/>
        <v>0.13971</v>
      </c>
      <c r="H54" s="725">
        <f t="shared" si="6"/>
        <v>0.13971</v>
      </c>
      <c r="I54" s="725">
        <f t="shared" si="7"/>
        <v>9.5589999999999994E-2</v>
      </c>
      <c r="J54" s="725"/>
      <c r="K54" s="617">
        <v>250</v>
      </c>
      <c r="L54" s="726">
        <f t="shared" si="5"/>
        <v>34.93</v>
      </c>
      <c r="M54" s="726">
        <f t="shared" si="8"/>
        <v>34.93</v>
      </c>
      <c r="N54" s="726">
        <f t="shared" si="9"/>
        <v>23.9</v>
      </c>
      <c r="O54" s="726">
        <f t="shared" si="10"/>
        <v>0</v>
      </c>
      <c r="P54" s="734" t="s">
        <v>83</v>
      </c>
      <c r="Q54" s="727"/>
    </row>
    <row r="55" spans="1:17" x14ac:dyDescent="0.25">
      <c r="A55" s="618"/>
      <c r="B55" s="722" t="s">
        <v>82</v>
      </c>
      <c r="C55" s="617">
        <v>1</v>
      </c>
      <c r="D55" s="723">
        <v>136</v>
      </c>
      <c r="E55" s="723">
        <f>6*1</f>
        <v>6</v>
      </c>
      <c r="F55" s="723">
        <f>13*1</f>
        <v>13</v>
      </c>
      <c r="G55" s="725">
        <f t="shared" si="4"/>
        <v>0.13971</v>
      </c>
      <c r="H55" s="725">
        <f t="shared" si="6"/>
        <v>0.13971</v>
      </c>
      <c r="I55" s="725">
        <f t="shared" si="7"/>
        <v>9.5589999999999994E-2</v>
      </c>
      <c r="J55" s="725"/>
      <c r="K55" s="617">
        <v>260</v>
      </c>
      <c r="L55" s="726">
        <f t="shared" si="5"/>
        <v>36.32</v>
      </c>
      <c r="M55" s="726">
        <f t="shared" si="8"/>
        <v>36.32</v>
      </c>
      <c r="N55" s="726">
        <f t="shared" si="9"/>
        <v>24.85</v>
      </c>
      <c r="O55" s="726">
        <f t="shared" si="10"/>
        <v>0</v>
      </c>
      <c r="P55" s="733" t="s">
        <v>142</v>
      </c>
      <c r="Q55" s="727"/>
    </row>
    <row r="56" spans="1:17" x14ac:dyDescent="0.25">
      <c r="A56" s="618"/>
      <c r="B56" s="722" t="s">
        <v>84</v>
      </c>
      <c r="C56" s="617">
        <v>1</v>
      </c>
      <c r="D56" s="723">
        <v>136</v>
      </c>
      <c r="E56" s="724">
        <f>6*4</f>
        <v>24</v>
      </c>
      <c r="F56" s="724">
        <f>4*8</f>
        <v>32</v>
      </c>
      <c r="G56" s="725">
        <f t="shared" si="4"/>
        <v>0.41176000000000001</v>
      </c>
      <c r="H56" s="725">
        <f t="shared" si="6"/>
        <v>0.41176000000000001</v>
      </c>
      <c r="I56" s="725">
        <f t="shared" si="7"/>
        <v>0.23529</v>
      </c>
      <c r="J56" s="725"/>
      <c r="K56" s="617">
        <v>10</v>
      </c>
      <c r="L56" s="726">
        <f t="shared" si="5"/>
        <v>4.12</v>
      </c>
      <c r="M56" s="726">
        <f t="shared" si="8"/>
        <v>4.12</v>
      </c>
      <c r="N56" s="726">
        <f t="shared" si="9"/>
        <v>2.35</v>
      </c>
      <c r="O56" s="726">
        <f t="shared" si="10"/>
        <v>0</v>
      </c>
      <c r="P56" s="733" t="s">
        <v>79</v>
      </c>
      <c r="Q56" s="727"/>
    </row>
    <row r="57" spans="1:17" x14ac:dyDescent="0.25">
      <c r="A57" s="618"/>
      <c r="B57" s="722" t="s">
        <v>85</v>
      </c>
      <c r="C57" s="617">
        <v>5</v>
      </c>
      <c r="D57" s="723">
        <v>136</v>
      </c>
      <c r="E57" s="723">
        <f>6*1</f>
        <v>6</v>
      </c>
      <c r="F57" s="723">
        <f>13*1</f>
        <v>13</v>
      </c>
      <c r="G57" s="725">
        <f t="shared" si="4"/>
        <v>2.794E-2</v>
      </c>
      <c r="H57" s="725">
        <f t="shared" si="6"/>
        <v>2.794E-2</v>
      </c>
      <c r="I57" s="725">
        <f t="shared" si="7"/>
        <v>1.9120000000000002E-2</v>
      </c>
      <c r="J57" s="725"/>
      <c r="K57" s="617">
        <v>27</v>
      </c>
      <c r="L57" s="726">
        <f t="shared" si="5"/>
        <v>0.75</v>
      </c>
      <c r="M57" s="726">
        <f t="shared" si="8"/>
        <v>0.75</v>
      </c>
      <c r="N57" s="726">
        <f t="shared" si="9"/>
        <v>0.52</v>
      </c>
      <c r="O57" s="726">
        <f t="shared" si="10"/>
        <v>0</v>
      </c>
      <c r="P57" s="617" t="s">
        <v>142</v>
      </c>
      <c r="Q57" s="727"/>
    </row>
    <row r="58" spans="1:17" x14ac:dyDescent="0.25">
      <c r="A58" s="618"/>
      <c r="B58" s="722" t="s">
        <v>86</v>
      </c>
      <c r="C58" s="617">
        <v>3</v>
      </c>
      <c r="D58" s="723">
        <v>136</v>
      </c>
      <c r="E58" s="723">
        <f>6*1</f>
        <v>6</v>
      </c>
      <c r="F58" s="723">
        <f>13*1</f>
        <v>13</v>
      </c>
      <c r="G58" s="725">
        <f t="shared" si="4"/>
        <v>4.657E-2</v>
      </c>
      <c r="H58" s="725">
        <f t="shared" si="6"/>
        <v>4.657E-2</v>
      </c>
      <c r="I58" s="725">
        <f t="shared" si="7"/>
        <v>3.1859999999999999E-2</v>
      </c>
      <c r="J58" s="725"/>
      <c r="K58" s="617">
        <v>250</v>
      </c>
      <c r="L58" s="726">
        <f t="shared" si="5"/>
        <v>11.64</v>
      </c>
      <c r="M58" s="726">
        <f t="shared" si="8"/>
        <v>11.64</v>
      </c>
      <c r="N58" s="726">
        <f t="shared" si="9"/>
        <v>7.97</v>
      </c>
      <c r="O58" s="726">
        <f t="shared" si="10"/>
        <v>0</v>
      </c>
      <c r="P58" s="617" t="s">
        <v>142</v>
      </c>
      <c r="Q58" s="727"/>
    </row>
    <row r="59" spans="1:17" x14ac:dyDescent="0.25">
      <c r="A59" s="618"/>
      <c r="B59" s="722" t="s">
        <v>87</v>
      </c>
      <c r="C59" s="617">
        <v>3</v>
      </c>
      <c r="D59" s="723">
        <v>136</v>
      </c>
      <c r="E59" s="723">
        <f>6*1</f>
        <v>6</v>
      </c>
      <c r="F59" s="723">
        <f>13*1</f>
        <v>13</v>
      </c>
      <c r="G59" s="725">
        <f t="shared" si="4"/>
        <v>4.657E-2</v>
      </c>
      <c r="H59" s="725">
        <f t="shared" si="6"/>
        <v>4.657E-2</v>
      </c>
      <c r="I59" s="725">
        <f t="shared" si="7"/>
        <v>3.1859999999999999E-2</v>
      </c>
      <c r="J59" s="725"/>
      <c r="K59" s="617">
        <v>316</v>
      </c>
      <c r="L59" s="726">
        <f t="shared" si="5"/>
        <v>14.72</v>
      </c>
      <c r="M59" s="726">
        <f t="shared" si="8"/>
        <v>14.72</v>
      </c>
      <c r="N59" s="726">
        <f t="shared" si="9"/>
        <v>10.07</v>
      </c>
      <c r="O59" s="726">
        <f t="shared" si="10"/>
        <v>0</v>
      </c>
      <c r="P59" s="617" t="s">
        <v>142</v>
      </c>
      <c r="Q59" s="727"/>
    </row>
    <row r="60" spans="1:17" x14ac:dyDescent="0.25">
      <c r="A60" s="618"/>
      <c r="B60" s="722" t="s">
        <v>88</v>
      </c>
      <c r="C60" s="617">
        <v>1</v>
      </c>
      <c r="D60" s="723">
        <v>136</v>
      </c>
      <c r="E60" s="723">
        <f>6*4</f>
        <v>24</v>
      </c>
      <c r="F60" s="723">
        <f>13*4</f>
        <v>52</v>
      </c>
      <c r="G60" s="725">
        <f t="shared" si="4"/>
        <v>0.55881999999999998</v>
      </c>
      <c r="H60" s="725">
        <f t="shared" si="6"/>
        <v>0.55881999999999998</v>
      </c>
      <c r="I60" s="725">
        <f t="shared" si="7"/>
        <v>0.38235000000000002</v>
      </c>
      <c r="J60" s="725"/>
      <c r="K60" s="617">
        <v>20</v>
      </c>
      <c r="L60" s="726">
        <f t="shared" si="5"/>
        <v>11.18</v>
      </c>
      <c r="M60" s="726">
        <f t="shared" si="8"/>
        <v>11.18</v>
      </c>
      <c r="N60" s="726">
        <f t="shared" si="9"/>
        <v>7.65</v>
      </c>
      <c r="O60" s="726">
        <f t="shared" si="10"/>
        <v>0</v>
      </c>
      <c r="P60" s="617" t="s">
        <v>144</v>
      </c>
      <c r="Q60" s="727"/>
    </row>
    <row r="61" spans="1:17" x14ac:dyDescent="0.25">
      <c r="A61" s="618"/>
      <c r="B61" s="722" t="s">
        <v>89</v>
      </c>
      <c r="C61" s="617">
        <v>1</v>
      </c>
      <c r="D61" s="723">
        <v>136</v>
      </c>
      <c r="E61" s="723">
        <f>6*4</f>
        <v>24</v>
      </c>
      <c r="F61" s="723">
        <f>13*4</f>
        <v>52</v>
      </c>
      <c r="G61" s="725">
        <f t="shared" si="4"/>
        <v>0.55881999999999998</v>
      </c>
      <c r="H61" s="725">
        <f t="shared" si="6"/>
        <v>0.55881999999999998</v>
      </c>
      <c r="I61" s="725">
        <f t="shared" si="7"/>
        <v>0.38235000000000002</v>
      </c>
      <c r="J61" s="725"/>
      <c r="K61" s="617">
        <v>30</v>
      </c>
      <c r="L61" s="726">
        <f t="shared" si="5"/>
        <v>16.760000000000002</v>
      </c>
      <c r="M61" s="726">
        <f t="shared" si="8"/>
        <v>16.760000000000002</v>
      </c>
      <c r="N61" s="726">
        <f t="shared" si="9"/>
        <v>11.47</v>
      </c>
      <c r="O61" s="726">
        <f t="shared" si="10"/>
        <v>0</v>
      </c>
      <c r="P61" s="617" t="s">
        <v>144</v>
      </c>
      <c r="Q61" s="727"/>
    </row>
    <row r="62" spans="1:17" x14ac:dyDescent="0.25">
      <c r="A62" s="618"/>
      <c r="B62" s="722" t="s">
        <v>336</v>
      </c>
      <c r="C62" s="617">
        <v>1</v>
      </c>
      <c r="D62" s="723">
        <v>136</v>
      </c>
      <c r="E62" s="723">
        <f>6*1</f>
        <v>6</v>
      </c>
      <c r="F62" s="723">
        <f>13*1</f>
        <v>13</v>
      </c>
      <c r="G62" s="725">
        <f t="shared" si="4"/>
        <v>0.13971</v>
      </c>
      <c r="H62" s="725">
        <f t="shared" si="6"/>
        <v>0.13971</v>
      </c>
      <c r="I62" s="725">
        <f t="shared" si="7"/>
        <v>9.5589999999999994E-2</v>
      </c>
      <c r="J62" s="725"/>
      <c r="K62" s="617">
        <v>20</v>
      </c>
      <c r="L62" s="726">
        <f t="shared" si="5"/>
        <v>2.79</v>
      </c>
      <c r="M62" s="726">
        <f t="shared" si="8"/>
        <v>2.79</v>
      </c>
      <c r="N62" s="726">
        <f t="shared" si="9"/>
        <v>1.91</v>
      </c>
      <c r="O62" s="726">
        <f t="shared" si="10"/>
        <v>0</v>
      </c>
      <c r="P62" s="617" t="s">
        <v>142</v>
      </c>
      <c r="Q62" s="727"/>
    </row>
    <row r="63" spans="1:17" x14ac:dyDescent="0.25">
      <c r="A63" s="618"/>
      <c r="B63" s="722" t="s">
        <v>90</v>
      </c>
      <c r="C63" s="617">
        <v>1</v>
      </c>
      <c r="D63" s="723">
        <v>136</v>
      </c>
      <c r="E63" s="723">
        <f>6*4</f>
        <v>24</v>
      </c>
      <c r="F63" s="723">
        <f>13*4</f>
        <v>52</v>
      </c>
      <c r="G63" s="725">
        <f t="shared" si="4"/>
        <v>0.55881999999999998</v>
      </c>
      <c r="H63" s="725">
        <f t="shared" si="6"/>
        <v>0.55881999999999998</v>
      </c>
      <c r="I63" s="725">
        <f t="shared" si="7"/>
        <v>0.38235000000000002</v>
      </c>
      <c r="J63" s="725"/>
      <c r="K63" s="617">
        <v>25</v>
      </c>
      <c r="L63" s="726">
        <f t="shared" si="5"/>
        <v>13.97</v>
      </c>
      <c r="M63" s="726">
        <f t="shared" si="8"/>
        <v>13.97</v>
      </c>
      <c r="N63" s="726">
        <f t="shared" si="9"/>
        <v>9.56</v>
      </c>
      <c r="O63" s="726">
        <f t="shared" si="10"/>
        <v>0</v>
      </c>
      <c r="P63" s="617" t="s">
        <v>144</v>
      </c>
      <c r="Q63" s="727"/>
    </row>
    <row r="64" spans="1:17" x14ac:dyDescent="0.25">
      <c r="A64" s="618"/>
      <c r="B64" s="722" t="s">
        <v>91</v>
      </c>
      <c r="C64" s="617">
        <v>1</v>
      </c>
      <c r="D64" s="723">
        <v>136</v>
      </c>
      <c r="E64" s="723">
        <f>6*1</f>
        <v>6</v>
      </c>
      <c r="F64" s="723">
        <f>13*1</f>
        <v>13</v>
      </c>
      <c r="G64" s="725">
        <f t="shared" si="4"/>
        <v>0.13971</v>
      </c>
      <c r="H64" s="725">
        <f t="shared" si="6"/>
        <v>0.13971</v>
      </c>
      <c r="I64" s="725">
        <f t="shared" si="7"/>
        <v>9.5589999999999994E-2</v>
      </c>
      <c r="J64" s="725"/>
      <c r="K64" s="617">
        <v>60</v>
      </c>
      <c r="L64" s="726">
        <f t="shared" si="5"/>
        <v>8.3800000000000008</v>
      </c>
      <c r="M64" s="726">
        <f t="shared" si="8"/>
        <v>8.3800000000000008</v>
      </c>
      <c r="N64" s="726">
        <f t="shared" si="9"/>
        <v>5.74</v>
      </c>
      <c r="O64" s="726">
        <f t="shared" si="10"/>
        <v>0</v>
      </c>
      <c r="P64" s="617" t="s">
        <v>142</v>
      </c>
      <c r="Q64" s="727"/>
    </row>
    <row r="65" spans="1:17" x14ac:dyDescent="0.25">
      <c r="A65" s="618"/>
      <c r="B65" s="722" t="s">
        <v>92</v>
      </c>
      <c r="C65" s="617">
        <v>1</v>
      </c>
      <c r="D65" s="723">
        <v>136</v>
      </c>
      <c r="E65" s="723">
        <f>6*1</f>
        <v>6</v>
      </c>
      <c r="F65" s="723">
        <f>13*1</f>
        <v>13</v>
      </c>
      <c r="G65" s="725">
        <f t="shared" si="4"/>
        <v>0.13971</v>
      </c>
      <c r="H65" s="725">
        <f t="shared" si="6"/>
        <v>0.13971</v>
      </c>
      <c r="I65" s="725">
        <f t="shared" si="7"/>
        <v>9.5589999999999994E-2</v>
      </c>
      <c r="J65" s="725"/>
      <c r="K65" s="617">
        <v>60</v>
      </c>
      <c r="L65" s="726">
        <f t="shared" si="5"/>
        <v>8.3800000000000008</v>
      </c>
      <c r="M65" s="726">
        <f t="shared" si="8"/>
        <v>8.3800000000000008</v>
      </c>
      <c r="N65" s="726">
        <f t="shared" si="9"/>
        <v>5.74</v>
      </c>
      <c r="O65" s="726">
        <f t="shared" si="10"/>
        <v>0</v>
      </c>
      <c r="P65" s="617" t="s">
        <v>142</v>
      </c>
      <c r="Q65" s="727"/>
    </row>
    <row r="66" spans="1:17" x14ac:dyDescent="0.25">
      <c r="A66" s="618"/>
      <c r="B66" s="722" t="s">
        <v>93</v>
      </c>
      <c r="C66" s="617">
        <v>5</v>
      </c>
      <c r="D66" s="723">
        <v>136</v>
      </c>
      <c r="E66" s="723">
        <f>6*1</f>
        <v>6</v>
      </c>
      <c r="F66" s="723">
        <f>13*1</f>
        <v>13</v>
      </c>
      <c r="G66" s="725">
        <f t="shared" si="4"/>
        <v>2.794E-2</v>
      </c>
      <c r="H66" s="725">
        <f t="shared" si="6"/>
        <v>2.794E-2</v>
      </c>
      <c r="I66" s="725">
        <f t="shared" si="7"/>
        <v>1.9120000000000002E-2</v>
      </c>
      <c r="J66" s="725"/>
      <c r="K66" s="617">
        <v>1000</v>
      </c>
      <c r="L66" s="726">
        <f t="shared" si="5"/>
        <v>27.94</v>
      </c>
      <c r="M66" s="726">
        <f t="shared" si="8"/>
        <v>27.94</v>
      </c>
      <c r="N66" s="726">
        <f t="shared" si="9"/>
        <v>19.12</v>
      </c>
      <c r="O66" s="726">
        <f t="shared" si="10"/>
        <v>0</v>
      </c>
      <c r="P66" s="617" t="s">
        <v>142</v>
      </c>
      <c r="Q66" s="727"/>
    </row>
    <row r="67" spans="1:17" x14ac:dyDescent="0.25">
      <c r="A67" s="618"/>
      <c r="B67" s="722" t="s">
        <v>94</v>
      </c>
      <c r="C67" s="617">
        <v>1</v>
      </c>
      <c r="D67" s="723">
        <v>136</v>
      </c>
      <c r="E67" s="723">
        <f>6*4</f>
        <v>24</v>
      </c>
      <c r="F67" s="723">
        <f>13*4</f>
        <v>52</v>
      </c>
      <c r="G67" s="725">
        <f t="shared" si="4"/>
        <v>0.55881999999999998</v>
      </c>
      <c r="H67" s="725">
        <f t="shared" si="6"/>
        <v>0.55881999999999998</v>
      </c>
      <c r="I67" s="725">
        <f t="shared" si="7"/>
        <v>0.38235000000000002</v>
      </c>
      <c r="J67" s="725"/>
      <c r="K67" s="617">
        <v>20</v>
      </c>
      <c r="L67" s="726">
        <f t="shared" si="5"/>
        <v>11.18</v>
      </c>
      <c r="M67" s="726">
        <f t="shared" si="8"/>
        <v>11.18</v>
      </c>
      <c r="N67" s="726">
        <f t="shared" si="9"/>
        <v>7.65</v>
      </c>
      <c r="O67" s="726">
        <f t="shared" si="10"/>
        <v>0</v>
      </c>
      <c r="P67" s="617" t="s">
        <v>144</v>
      </c>
      <c r="Q67" s="727"/>
    </row>
    <row r="68" spans="1:17" x14ac:dyDescent="0.25">
      <c r="A68" s="618"/>
      <c r="B68" s="722" t="s">
        <v>95</v>
      </c>
      <c r="C68" s="617">
        <v>1</v>
      </c>
      <c r="D68" s="723">
        <v>136</v>
      </c>
      <c r="E68" s="723">
        <f>6*1</f>
        <v>6</v>
      </c>
      <c r="F68" s="723">
        <f>13*1</f>
        <v>13</v>
      </c>
      <c r="G68" s="725">
        <f t="shared" si="4"/>
        <v>0.13971</v>
      </c>
      <c r="H68" s="725">
        <f t="shared" si="6"/>
        <v>0.13971</v>
      </c>
      <c r="I68" s="725">
        <f t="shared" si="7"/>
        <v>9.5589999999999994E-2</v>
      </c>
      <c r="J68" s="725"/>
      <c r="K68" s="617">
        <v>25</v>
      </c>
      <c r="L68" s="726">
        <f t="shared" si="5"/>
        <v>3.49</v>
      </c>
      <c r="M68" s="726">
        <f t="shared" si="8"/>
        <v>3.49</v>
      </c>
      <c r="N68" s="726">
        <f t="shared" si="9"/>
        <v>2.39</v>
      </c>
      <c r="O68" s="726">
        <f t="shared" si="10"/>
        <v>0</v>
      </c>
      <c r="P68" s="617" t="s">
        <v>142</v>
      </c>
      <c r="Q68" s="727"/>
    </row>
    <row r="69" spans="1:17" x14ac:dyDescent="0.25">
      <c r="A69" s="618"/>
      <c r="B69" s="722" t="s">
        <v>96</v>
      </c>
      <c r="C69" s="617">
        <v>5</v>
      </c>
      <c r="D69" s="723">
        <v>136</v>
      </c>
      <c r="E69" s="723">
        <f>6*1</f>
        <v>6</v>
      </c>
      <c r="F69" s="723">
        <f>13*1</f>
        <v>13</v>
      </c>
      <c r="G69" s="725">
        <f t="shared" si="4"/>
        <v>2.794E-2</v>
      </c>
      <c r="H69" s="725">
        <f t="shared" si="6"/>
        <v>2.794E-2</v>
      </c>
      <c r="I69" s="725">
        <f t="shared" si="7"/>
        <v>1.9120000000000002E-2</v>
      </c>
      <c r="J69" s="725"/>
      <c r="K69" s="617">
        <v>60</v>
      </c>
      <c r="L69" s="726">
        <f t="shared" si="5"/>
        <v>1.68</v>
      </c>
      <c r="M69" s="726">
        <f t="shared" si="8"/>
        <v>1.68</v>
      </c>
      <c r="N69" s="726">
        <f t="shared" si="9"/>
        <v>1.1499999999999999</v>
      </c>
      <c r="O69" s="726">
        <f t="shared" si="10"/>
        <v>0</v>
      </c>
      <c r="P69" s="617" t="s">
        <v>142</v>
      </c>
      <c r="Q69" s="727"/>
    </row>
    <row r="70" spans="1:17" x14ac:dyDescent="0.25">
      <c r="A70" s="618"/>
      <c r="B70" s="722" t="s">
        <v>97</v>
      </c>
      <c r="C70" s="617">
        <v>5</v>
      </c>
      <c r="D70" s="723">
        <v>136</v>
      </c>
      <c r="E70" s="723">
        <v>4</v>
      </c>
      <c r="F70" s="723"/>
      <c r="G70" s="725">
        <f t="shared" si="4"/>
        <v>5.8799999999999998E-3</v>
      </c>
      <c r="H70" s="725">
        <f t="shared" si="6"/>
        <v>5.8799999999999998E-3</v>
      </c>
      <c r="I70" s="725">
        <f t="shared" si="7"/>
        <v>0</v>
      </c>
      <c r="J70" s="725"/>
      <c r="K70" s="617">
        <v>250</v>
      </c>
      <c r="L70" s="726">
        <f t="shared" si="5"/>
        <v>1.47</v>
      </c>
      <c r="M70" s="726">
        <f t="shared" si="8"/>
        <v>1.47</v>
      </c>
      <c r="N70" s="726">
        <f t="shared" si="9"/>
        <v>0</v>
      </c>
      <c r="O70" s="726">
        <f t="shared" si="10"/>
        <v>0</v>
      </c>
      <c r="P70" s="727" t="s">
        <v>289</v>
      </c>
      <c r="Q70" s="727"/>
    </row>
    <row r="71" spans="1:17" x14ac:dyDescent="0.25">
      <c r="A71" s="618"/>
      <c r="B71" s="722" t="s">
        <v>98</v>
      </c>
      <c r="C71" s="617">
        <v>1</v>
      </c>
      <c r="D71" s="723">
        <v>136</v>
      </c>
      <c r="E71" s="723">
        <f t="shared" ref="E71:E77" si="11">6*1</f>
        <v>6</v>
      </c>
      <c r="F71" s="723">
        <f t="shared" ref="F71:F77" si="12">13*1</f>
        <v>13</v>
      </c>
      <c r="G71" s="725">
        <f t="shared" si="4"/>
        <v>0.13971</v>
      </c>
      <c r="H71" s="725">
        <f t="shared" si="6"/>
        <v>0.13971</v>
      </c>
      <c r="I71" s="725">
        <f t="shared" si="7"/>
        <v>9.5589999999999994E-2</v>
      </c>
      <c r="J71" s="725"/>
      <c r="K71" s="617">
        <v>3</v>
      </c>
      <c r="L71" s="726">
        <f t="shared" si="5"/>
        <v>0.42</v>
      </c>
      <c r="M71" s="726">
        <f t="shared" si="8"/>
        <v>0.42</v>
      </c>
      <c r="N71" s="726">
        <f t="shared" si="9"/>
        <v>0.28999999999999998</v>
      </c>
      <c r="O71" s="726">
        <f t="shared" si="10"/>
        <v>0</v>
      </c>
      <c r="P71" s="617" t="s">
        <v>142</v>
      </c>
      <c r="Q71" s="727"/>
    </row>
    <row r="72" spans="1:17" x14ac:dyDescent="0.25">
      <c r="A72" s="618"/>
      <c r="B72" s="722" t="s">
        <v>99</v>
      </c>
      <c r="C72" s="617">
        <v>1</v>
      </c>
      <c r="D72" s="723">
        <v>136</v>
      </c>
      <c r="E72" s="723">
        <f t="shared" si="11"/>
        <v>6</v>
      </c>
      <c r="F72" s="723">
        <f t="shared" si="12"/>
        <v>13</v>
      </c>
      <c r="G72" s="725">
        <f t="shared" si="4"/>
        <v>0.13971</v>
      </c>
      <c r="H72" s="725">
        <f t="shared" si="6"/>
        <v>0.13971</v>
      </c>
      <c r="I72" s="725">
        <f t="shared" si="7"/>
        <v>9.5589999999999994E-2</v>
      </c>
      <c r="J72" s="725"/>
      <c r="K72" s="617">
        <v>6</v>
      </c>
      <c r="L72" s="726">
        <f t="shared" si="5"/>
        <v>0.84</v>
      </c>
      <c r="M72" s="726">
        <f t="shared" si="8"/>
        <v>0.84</v>
      </c>
      <c r="N72" s="726">
        <f t="shared" si="9"/>
        <v>0.56999999999999995</v>
      </c>
      <c r="O72" s="726">
        <f t="shared" si="10"/>
        <v>0</v>
      </c>
      <c r="P72" s="617" t="s">
        <v>142</v>
      </c>
      <c r="Q72" s="727"/>
    </row>
    <row r="73" spans="1:17" x14ac:dyDescent="0.25">
      <c r="A73" s="618"/>
      <c r="B73" s="722" t="s">
        <v>100</v>
      </c>
      <c r="C73" s="617">
        <v>1</v>
      </c>
      <c r="D73" s="723">
        <v>136</v>
      </c>
      <c r="E73" s="723">
        <f t="shared" si="11"/>
        <v>6</v>
      </c>
      <c r="F73" s="723">
        <f t="shared" si="12"/>
        <v>13</v>
      </c>
      <c r="G73" s="725">
        <f t="shared" si="4"/>
        <v>0.13971</v>
      </c>
      <c r="H73" s="725">
        <f t="shared" si="6"/>
        <v>0.13971</v>
      </c>
      <c r="I73" s="725">
        <f t="shared" si="7"/>
        <v>9.5589999999999994E-2</v>
      </c>
      <c r="J73" s="725"/>
      <c r="K73" s="617">
        <v>13</v>
      </c>
      <c r="L73" s="726">
        <f t="shared" si="5"/>
        <v>1.82</v>
      </c>
      <c r="M73" s="726">
        <f t="shared" si="8"/>
        <v>1.82</v>
      </c>
      <c r="N73" s="726">
        <f t="shared" si="9"/>
        <v>1.24</v>
      </c>
      <c r="O73" s="726">
        <f t="shared" si="10"/>
        <v>0</v>
      </c>
      <c r="P73" s="617" t="s">
        <v>142</v>
      </c>
      <c r="Q73" s="727"/>
    </row>
    <row r="74" spans="1:17" ht="22.5" x14ac:dyDescent="0.25">
      <c r="A74" s="618"/>
      <c r="B74" s="722" t="s">
        <v>101</v>
      </c>
      <c r="C74" s="617">
        <v>2</v>
      </c>
      <c r="D74" s="723">
        <v>136</v>
      </c>
      <c r="E74" s="723">
        <f t="shared" si="11"/>
        <v>6</v>
      </c>
      <c r="F74" s="723">
        <f t="shared" si="12"/>
        <v>13</v>
      </c>
      <c r="G74" s="725">
        <f t="shared" si="4"/>
        <v>6.9849999999999995E-2</v>
      </c>
      <c r="H74" s="725">
        <f t="shared" si="6"/>
        <v>6.9849999999999995E-2</v>
      </c>
      <c r="I74" s="725">
        <f t="shared" si="7"/>
        <v>4.7789999999999999E-2</v>
      </c>
      <c r="J74" s="725"/>
      <c r="K74" s="617">
        <v>50</v>
      </c>
      <c r="L74" s="726">
        <f t="shared" si="5"/>
        <v>3.49</v>
      </c>
      <c r="M74" s="726">
        <f t="shared" si="8"/>
        <v>3.49</v>
      </c>
      <c r="N74" s="726">
        <f t="shared" si="9"/>
        <v>2.39</v>
      </c>
      <c r="O74" s="726">
        <f t="shared" si="10"/>
        <v>0</v>
      </c>
      <c r="P74" s="617" t="s">
        <v>142</v>
      </c>
      <c r="Q74" s="727"/>
    </row>
    <row r="75" spans="1:17" x14ac:dyDescent="0.25">
      <c r="A75" s="618"/>
      <c r="B75" s="722" t="s">
        <v>102</v>
      </c>
      <c r="C75" s="617">
        <v>1</v>
      </c>
      <c r="D75" s="723">
        <v>136</v>
      </c>
      <c r="E75" s="723">
        <f t="shared" si="11"/>
        <v>6</v>
      </c>
      <c r="F75" s="723">
        <f t="shared" si="12"/>
        <v>13</v>
      </c>
      <c r="G75" s="725">
        <f t="shared" si="4"/>
        <v>0.13971</v>
      </c>
      <c r="H75" s="725">
        <f t="shared" si="6"/>
        <v>0.13971</v>
      </c>
      <c r="I75" s="725">
        <f t="shared" si="7"/>
        <v>9.5589999999999994E-2</v>
      </c>
      <c r="J75" s="725"/>
      <c r="K75" s="617">
        <v>50</v>
      </c>
      <c r="L75" s="726">
        <f t="shared" si="5"/>
        <v>6.99</v>
      </c>
      <c r="M75" s="726">
        <f t="shared" si="8"/>
        <v>6.99</v>
      </c>
      <c r="N75" s="726">
        <f t="shared" si="9"/>
        <v>4.78</v>
      </c>
      <c r="O75" s="726">
        <f t="shared" si="10"/>
        <v>0</v>
      </c>
      <c r="P75" s="617" t="s">
        <v>142</v>
      </c>
      <c r="Q75" s="727"/>
    </row>
    <row r="76" spans="1:17" x14ac:dyDescent="0.25">
      <c r="A76" s="618"/>
      <c r="B76" s="722" t="s">
        <v>103</v>
      </c>
      <c r="C76" s="617">
        <v>1</v>
      </c>
      <c r="D76" s="723">
        <v>136</v>
      </c>
      <c r="E76" s="723">
        <f t="shared" si="11"/>
        <v>6</v>
      </c>
      <c r="F76" s="723">
        <f t="shared" si="12"/>
        <v>13</v>
      </c>
      <c r="G76" s="725">
        <f t="shared" si="4"/>
        <v>0.13971</v>
      </c>
      <c r="H76" s="725">
        <f t="shared" si="6"/>
        <v>0.13971</v>
      </c>
      <c r="I76" s="725">
        <f t="shared" si="7"/>
        <v>9.5589999999999994E-2</v>
      </c>
      <c r="J76" s="725"/>
      <c r="K76" s="617">
        <v>50</v>
      </c>
      <c r="L76" s="726">
        <f t="shared" si="5"/>
        <v>6.99</v>
      </c>
      <c r="M76" s="726">
        <f t="shared" si="8"/>
        <v>6.99</v>
      </c>
      <c r="N76" s="726">
        <f t="shared" si="9"/>
        <v>4.78</v>
      </c>
      <c r="O76" s="726">
        <f t="shared" si="10"/>
        <v>0</v>
      </c>
      <c r="P76" s="617" t="s">
        <v>142</v>
      </c>
      <c r="Q76" s="727"/>
    </row>
    <row r="77" spans="1:17" x14ac:dyDescent="0.25">
      <c r="A77" s="618"/>
      <c r="B77" s="722" t="s">
        <v>104</v>
      </c>
      <c r="C77" s="617">
        <v>5</v>
      </c>
      <c r="D77" s="723">
        <v>136</v>
      </c>
      <c r="E77" s="723">
        <f t="shared" si="11"/>
        <v>6</v>
      </c>
      <c r="F77" s="723">
        <f t="shared" si="12"/>
        <v>13</v>
      </c>
      <c r="G77" s="725">
        <f t="shared" si="4"/>
        <v>2.794E-2</v>
      </c>
      <c r="H77" s="725">
        <f t="shared" si="6"/>
        <v>2.794E-2</v>
      </c>
      <c r="I77" s="725">
        <f t="shared" si="7"/>
        <v>1.9120000000000002E-2</v>
      </c>
      <c r="J77" s="725"/>
      <c r="K77" s="617">
        <v>100</v>
      </c>
      <c r="L77" s="726">
        <f t="shared" si="5"/>
        <v>2.79</v>
      </c>
      <c r="M77" s="726">
        <f t="shared" si="8"/>
        <v>2.79</v>
      </c>
      <c r="N77" s="726">
        <f t="shared" si="9"/>
        <v>1.91</v>
      </c>
      <c r="O77" s="726">
        <f t="shared" si="10"/>
        <v>0</v>
      </c>
      <c r="P77" s="617" t="s">
        <v>142</v>
      </c>
      <c r="Q77" s="727"/>
    </row>
    <row r="78" spans="1:17" ht="33.75" x14ac:dyDescent="0.25">
      <c r="A78" s="618"/>
      <c r="B78" s="722" t="s">
        <v>105</v>
      </c>
      <c r="C78" s="617">
        <v>1</v>
      </c>
      <c r="D78" s="723">
        <v>136</v>
      </c>
      <c r="E78" s="723">
        <f>6*2</f>
        <v>12</v>
      </c>
      <c r="F78" s="723">
        <f>13*2</f>
        <v>26</v>
      </c>
      <c r="G78" s="725">
        <f t="shared" si="4"/>
        <v>0.27940999999999999</v>
      </c>
      <c r="H78" s="725">
        <f t="shared" si="6"/>
        <v>0.27940999999999999</v>
      </c>
      <c r="I78" s="725">
        <f t="shared" si="7"/>
        <v>0.19117999999999999</v>
      </c>
      <c r="J78" s="725"/>
      <c r="K78" s="617">
        <v>40</v>
      </c>
      <c r="L78" s="726">
        <f t="shared" si="5"/>
        <v>11.18</v>
      </c>
      <c r="M78" s="726">
        <f t="shared" si="8"/>
        <v>11.18</v>
      </c>
      <c r="N78" s="726">
        <f t="shared" si="9"/>
        <v>7.65</v>
      </c>
      <c r="O78" s="726">
        <f t="shared" si="10"/>
        <v>0</v>
      </c>
      <c r="P78" s="617" t="s">
        <v>143</v>
      </c>
      <c r="Q78" s="727"/>
    </row>
    <row r="79" spans="1:17" ht="22.5" x14ac:dyDescent="0.25">
      <c r="A79" s="618"/>
      <c r="B79" s="722" t="s">
        <v>106</v>
      </c>
      <c r="C79" s="617">
        <v>1</v>
      </c>
      <c r="D79" s="723">
        <v>136</v>
      </c>
      <c r="E79" s="723">
        <f>6*2</f>
        <v>12</v>
      </c>
      <c r="F79" s="723">
        <f>13*2</f>
        <v>26</v>
      </c>
      <c r="G79" s="725">
        <f t="shared" si="4"/>
        <v>0.27940999999999999</v>
      </c>
      <c r="H79" s="725">
        <f t="shared" si="6"/>
        <v>0.27940999999999999</v>
      </c>
      <c r="I79" s="725">
        <f t="shared" si="7"/>
        <v>0.19117999999999999</v>
      </c>
      <c r="J79" s="725"/>
      <c r="K79" s="617">
        <v>200</v>
      </c>
      <c r="L79" s="726">
        <f t="shared" si="5"/>
        <v>55.88</v>
      </c>
      <c r="M79" s="726">
        <f t="shared" si="8"/>
        <v>55.88</v>
      </c>
      <c r="N79" s="726">
        <f t="shared" si="9"/>
        <v>38.24</v>
      </c>
      <c r="O79" s="726">
        <f t="shared" si="10"/>
        <v>0</v>
      </c>
      <c r="P79" s="617" t="s">
        <v>143</v>
      </c>
      <c r="Q79" s="727"/>
    </row>
    <row r="80" spans="1:17" x14ac:dyDescent="0.25">
      <c r="A80" s="618"/>
      <c r="B80" s="722" t="s">
        <v>107</v>
      </c>
      <c r="C80" s="617">
        <v>1</v>
      </c>
      <c r="D80" s="723">
        <v>136</v>
      </c>
      <c r="E80" s="723">
        <f>6*1</f>
        <v>6</v>
      </c>
      <c r="F80" s="723">
        <f>13*1</f>
        <v>13</v>
      </c>
      <c r="G80" s="725">
        <f t="shared" si="4"/>
        <v>0.13971</v>
      </c>
      <c r="H80" s="725">
        <f t="shared" si="6"/>
        <v>0.13971</v>
      </c>
      <c r="I80" s="725">
        <f t="shared" si="7"/>
        <v>9.5589999999999994E-2</v>
      </c>
      <c r="J80" s="725"/>
      <c r="K80" s="617">
        <v>50</v>
      </c>
      <c r="L80" s="726">
        <f t="shared" si="5"/>
        <v>6.99</v>
      </c>
      <c r="M80" s="726">
        <f t="shared" si="8"/>
        <v>6.99</v>
      </c>
      <c r="N80" s="726">
        <f t="shared" si="9"/>
        <v>4.78</v>
      </c>
      <c r="O80" s="726">
        <f t="shared" si="10"/>
        <v>0</v>
      </c>
      <c r="P80" s="617" t="s">
        <v>142</v>
      </c>
      <c r="Q80" s="727"/>
    </row>
    <row r="81" spans="1:17" x14ac:dyDescent="0.25">
      <c r="A81" s="618"/>
      <c r="B81" s="722" t="s">
        <v>108</v>
      </c>
      <c r="C81" s="617">
        <v>1</v>
      </c>
      <c r="D81" s="723">
        <v>136</v>
      </c>
      <c r="E81" s="723">
        <f>6*2</f>
        <v>12</v>
      </c>
      <c r="F81" s="723">
        <f>13*2</f>
        <v>26</v>
      </c>
      <c r="G81" s="725">
        <f t="shared" si="4"/>
        <v>0.27940999999999999</v>
      </c>
      <c r="H81" s="725">
        <f t="shared" si="6"/>
        <v>0.27940999999999999</v>
      </c>
      <c r="I81" s="725">
        <f t="shared" si="7"/>
        <v>0.19117999999999999</v>
      </c>
      <c r="J81" s="725"/>
      <c r="K81" s="617">
        <v>45</v>
      </c>
      <c r="L81" s="726">
        <f t="shared" si="5"/>
        <v>12.57</v>
      </c>
      <c r="M81" s="726">
        <f t="shared" si="8"/>
        <v>12.57</v>
      </c>
      <c r="N81" s="726">
        <f t="shared" si="9"/>
        <v>8.6</v>
      </c>
      <c r="O81" s="726">
        <f t="shared" si="10"/>
        <v>0</v>
      </c>
      <c r="P81" s="617" t="s">
        <v>143</v>
      </c>
      <c r="Q81" s="727"/>
    </row>
    <row r="82" spans="1:17" x14ac:dyDescent="0.25">
      <c r="A82" s="618"/>
      <c r="B82" s="722" t="s">
        <v>109</v>
      </c>
      <c r="C82" s="617">
        <v>3</v>
      </c>
      <c r="D82" s="723">
        <v>136</v>
      </c>
      <c r="E82" s="723">
        <f>6*1</f>
        <v>6</v>
      </c>
      <c r="F82" s="723">
        <f>13*1</f>
        <v>13</v>
      </c>
      <c r="G82" s="725">
        <f t="shared" si="4"/>
        <v>4.657E-2</v>
      </c>
      <c r="H82" s="725">
        <f t="shared" si="6"/>
        <v>4.657E-2</v>
      </c>
      <c r="I82" s="725">
        <f t="shared" si="7"/>
        <v>3.1859999999999999E-2</v>
      </c>
      <c r="J82" s="725"/>
      <c r="K82" s="617">
        <v>60</v>
      </c>
      <c r="L82" s="726">
        <f t="shared" si="5"/>
        <v>2.79</v>
      </c>
      <c r="M82" s="726">
        <f t="shared" si="8"/>
        <v>2.79</v>
      </c>
      <c r="N82" s="726">
        <f t="shared" si="9"/>
        <v>1.91</v>
      </c>
      <c r="O82" s="726">
        <f t="shared" si="10"/>
        <v>0</v>
      </c>
      <c r="P82" s="617" t="s">
        <v>142</v>
      </c>
      <c r="Q82" s="727"/>
    </row>
    <row r="83" spans="1:17" x14ac:dyDescent="0.25">
      <c r="A83" s="618"/>
      <c r="B83" s="722" t="s">
        <v>110</v>
      </c>
      <c r="C83" s="617">
        <v>1</v>
      </c>
      <c r="D83" s="723">
        <v>136</v>
      </c>
      <c r="E83" s="723">
        <f>6*1</f>
        <v>6</v>
      </c>
      <c r="F83" s="723">
        <f>13*1</f>
        <v>13</v>
      </c>
      <c r="G83" s="725">
        <f t="shared" si="4"/>
        <v>0.13971</v>
      </c>
      <c r="H83" s="725">
        <f t="shared" si="6"/>
        <v>0.13971</v>
      </c>
      <c r="I83" s="725">
        <f t="shared" si="7"/>
        <v>9.5589999999999994E-2</v>
      </c>
      <c r="J83" s="725"/>
      <c r="K83" s="617">
        <v>60</v>
      </c>
      <c r="L83" s="726">
        <f t="shared" si="5"/>
        <v>8.3800000000000008</v>
      </c>
      <c r="M83" s="726">
        <f t="shared" si="8"/>
        <v>8.3800000000000008</v>
      </c>
      <c r="N83" s="726">
        <f t="shared" si="9"/>
        <v>5.74</v>
      </c>
      <c r="O83" s="726">
        <f t="shared" si="10"/>
        <v>0</v>
      </c>
      <c r="P83" s="617" t="s">
        <v>142</v>
      </c>
      <c r="Q83" s="727"/>
    </row>
    <row r="84" spans="1:17" x14ac:dyDescent="0.25">
      <c r="A84" s="618"/>
      <c r="B84" s="722" t="s">
        <v>111</v>
      </c>
      <c r="C84" s="617">
        <v>5</v>
      </c>
      <c r="D84" s="723">
        <v>136</v>
      </c>
      <c r="E84" s="723">
        <f>6*1</f>
        <v>6</v>
      </c>
      <c r="F84" s="723">
        <f>13*1</f>
        <v>13</v>
      </c>
      <c r="G84" s="725">
        <f t="shared" si="4"/>
        <v>2.794E-2</v>
      </c>
      <c r="H84" s="725">
        <f t="shared" si="6"/>
        <v>2.794E-2</v>
      </c>
      <c r="I84" s="725">
        <f t="shared" si="7"/>
        <v>1.9120000000000002E-2</v>
      </c>
      <c r="J84" s="725"/>
      <c r="K84" s="617">
        <v>150</v>
      </c>
      <c r="L84" s="726">
        <f t="shared" si="5"/>
        <v>4.1900000000000004</v>
      </c>
      <c r="M84" s="726">
        <f t="shared" si="8"/>
        <v>4.1900000000000004</v>
      </c>
      <c r="N84" s="726">
        <f t="shared" si="9"/>
        <v>2.87</v>
      </c>
      <c r="O84" s="726">
        <f t="shared" si="10"/>
        <v>0</v>
      </c>
      <c r="P84" s="617" t="s">
        <v>142</v>
      </c>
      <c r="Q84" s="727"/>
    </row>
    <row r="85" spans="1:17" x14ac:dyDescent="0.25">
      <c r="A85" s="618"/>
      <c r="B85" s="722" t="s">
        <v>112</v>
      </c>
      <c r="C85" s="617">
        <v>5</v>
      </c>
      <c r="D85" s="723">
        <v>136</v>
      </c>
      <c r="E85" s="723">
        <f>6*1</f>
        <v>6</v>
      </c>
      <c r="F85" s="723">
        <f>13*1</f>
        <v>13</v>
      </c>
      <c r="G85" s="725">
        <f t="shared" si="4"/>
        <v>2.794E-2</v>
      </c>
      <c r="H85" s="725">
        <f t="shared" si="6"/>
        <v>2.794E-2</v>
      </c>
      <c r="I85" s="725">
        <f t="shared" si="7"/>
        <v>1.9120000000000002E-2</v>
      </c>
      <c r="J85" s="725"/>
      <c r="K85" s="617">
        <v>300</v>
      </c>
      <c r="L85" s="726">
        <f t="shared" si="5"/>
        <v>8.3800000000000008</v>
      </c>
      <c r="M85" s="726">
        <f t="shared" si="8"/>
        <v>8.3800000000000008</v>
      </c>
      <c r="N85" s="726">
        <f t="shared" si="9"/>
        <v>5.74</v>
      </c>
      <c r="O85" s="726">
        <f t="shared" si="10"/>
        <v>0</v>
      </c>
      <c r="P85" s="617" t="s">
        <v>142</v>
      </c>
      <c r="Q85" s="727"/>
    </row>
    <row r="86" spans="1:17" x14ac:dyDescent="0.25">
      <c r="A86" s="618"/>
      <c r="B86" s="722" t="s">
        <v>113</v>
      </c>
      <c r="C86" s="617">
        <v>1</v>
      </c>
      <c r="D86" s="723">
        <v>136</v>
      </c>
      <c r="E86" s="723">
        <v>2</v>
      </c>
      <c r="F86" s="723"/>
      <c r="G86" s="725">
        <f t="shared" si="4"/>
        <v>1.4710000000000001E-2</v>
      </c>
      <c r="H86" s="725">
        <f t="shared" si="6"/>
        <v>1.4710000000000001E-2</v>
      </c>
      <c r="I86" s="725">
        <f t="shared" si="7"/>
        <v>0</v>
      </c>
      <c r="J86" s="725"/>
      <c r="K86" s="617">
        <v>60</v>
      </c>
      <c r="L86" s="726">
        <f t="shared" si="5"/>
        <v>0.88</v>
      </c>
      <c r="M86" s="726">
        <f t="shared" si="8"/>
        <v>0.88</v>
      </c>
      <c r="N86" s="726">
        <f t="shared" si="9"/>
        <v>0</v>
      </c>
      <c r="O86" s="726">
        <f t="shared" si="10"/>
        <v>0</v>
      </c>
      <c r="P86" s="617" t="s">
        <v>115</v>
      </c>
      <c r="Q86" s="727"/>
    </row>
    <row r="87" spans="1:17" x14ac:dyDescent="0.25">
      <c r="A87" s="618"/>
      <c r="B87" s="722" t="s">
        <v>114</v>
      </c>
      <c r="C87" s="617">
        <v>1</v>
      </c>
      <c r="D87" s="723">
        <v>136</v>
      </c>
      <c r="E87" s="723">
        <f>6*1</f>
        <v>6</v>
      </c>
      <c r="F87" s="723">
        <f>13*1</f>
        <v>13</v>
      </c>
      <c r="G87" s="725">
        <f t="shared" si="4"/>
        <v>0.13971</v>
      </c>
      <c r="H87" s="725">
        <f t="shared" si="6"/>
        <v>0.13971</v>
      </c>
      <c r="I87" s="725">
        <f t="shared" si="7"/>
        <v>9.5589999999999994E-2</v>
      </c>
      <c r="J87" s="725"/>
      <c r="K87" s="617">
        <v>600</v>
      </c>
      <c r="L87" s="726">
        <f t="shared" si="5"/>
        <v>83.83</v>
      </c>
      <c r="M87" s="726">
        <f t="shared" si="8"/>
        <v>83.83</v>
      </c>
      <c r="N87" s="726">
        <f t="shared" si="9"/>
        <v>57.35</v>
      </c>
      <c r="O87" s="726">
        <f t="shared" si="10"/>
        <v>0</v>
      </c>
      <c r="P87" s="617" t="s">
        <v>142</v>
      </c>
      <c r="Q87" s="727"/>
    </row>
    <row r="88" spans="1:17" x14ac:dyDescent="0.25">
      <c r="A88" s="618"/>
      <c r="B88" s="728" t="s">
        <v>212</v>
      </c>
      <c r="C88" s="729"/>
      <c r="D88" s="730"/>
      <c r="E88" s="730"/>
      <c r="F88" s="730"/>
      <c r="G88" s="731"/>
      <c r="H88" s="731"/>
      <c r="I88" s="731"/>
      <c r="J88" s="731"/>
      <c r="K88" s="729"/>
      <c r="L88" s="732">
        <f>SUM(L47:L87)</f>
        <v>538.88</v>
      </c>
      <c r="M88" s="732">
        <f>SUM(M47:M87)</f>
        <v>538.88</v>
      </c>
      <c r="N88" s="732">
        <f>SUM(N47:N87)</f>
        <v>380.09</v>
      </c>
      <c r="O88" s="732">
        <f>SUM(O47:O87)</f>
        <v>0</v>
      </c>
      <c r="P88" s="729"/>
      <c r="Q88" s="727"/>
    </row>
    <row r="89" spans="1:17" x14ac:dyDescent="0.25">
      <c r="A89" s="618" t="s">
        <v>221</v>
      </c>
      <c r="B89" s="728"/>
      <c r="C89" s="729"/>
      <c r="D89" s="730"/>
      <c r="E89" s="730"/>
      <c r="F89" s="730"/>
      <c r="G89" s="731"/>
      <c r="H89" s="731"/>
      <c r="I89" s="731"/>
      <c r="J89" s="731"/>
      <c r="K89" s="729"/>
      <c r="L89" s="732">
        <f>SUM(M89:O89)</f>
        <v>380.09</v>
      </c>
      <c r="M89" s="732"/>
      <c r="N89" s="732">
        <f>N88</f>
        <v>380.09</v>
      </c>
      <c r="O89" s="732"/>
      <c r="P89" s="729" t="s">
        <v>294</v>
      </c>
      <c r="Q89" s="727"/>
    </row>
    <row r="90" spans="1:17" x14ac:dyDescent="0.25">
      <c r="A90" s="618" t="s">
        <v>222</v>
      </c>
      <c r="B90" s="728"/>
      <c r="C90" s="729"/>
      <c r="D90" s="730"/>
      <c r="E90" s="730"/>
      <c r="F90" s="730"/>
      <c r="G90" s="731"/>
      <c r="H90" s="731"/>
      <c r="I90" s="731"/>
      <c r="J90" s="731"/>
      <c r="K90" s="729"/>
      <c r="L90" s="732">
        <f>SUM(M90:O90)</f>
        <v>158.79</v>
      </c>
      <c r="M90" s="732">
        <f>M88-N89</f>
        <v>158.79</v>
      </c>
      <c r="N90" s="732"/>
      <c r="O90" s="732"/>
      <c r="P90" s="729" t="s">
        <v>294</v>
      </c>
      <c r="Q90" s="727"/>
    </row>
    <row r="91" spans="1:17" x14ac:dyDescent="0.25">
      <c r="A91" s="720"/>
      <c r="B91" s="1412" t="s">
        <v>338</v>
      </c>
      <c r="C91" s="1412"/>
      <c r="D91" s="1412"/>
      <c r="E91" s="1412"/>
      <c r="F91" s="1412"/>
      <c r="G91" s="1412"/>
      <c r="H91" s="1412"/>
      <c r="I91" s="1412"/>
      <c r="J91" s="1412"/>
      <c r="K91" s="1412"/>
      <c r="L91" s="1412"/>
      <c r="M91" s="1412"/>
      <c r="N91" s="1412"/>
      <c r="O91" s="1412"/>
      <c r="P91" s="1413"/>
      <c r="Q91" s="721"/>
    </row>
    <row r="92" spans="1:17" x14ac:dyDescent="0.25">
      <c r="A92" s="618"/>
      <c r="B92" s="735" t="s">
        <v>116</v>
      </c>
      <c r="C92" s="736">
        <v>5</v>
      </c>
      <c r="D92" s="724">
        <v>136</v>
      </c>
      <c r="E92" s="724">
        <f>6*1</f>
        <v>6</v>
      </c>
      <c r="F92" s="724">
        <f>9*1</f>
        <v>9</v>
      </c>
      <c r="G92" s="725">
        <f t="shared" si="4"/>
        <v>2.206E-2</v>
      </c>
      <c r="H92" s="725">
        <f t="shared" ref="H92:H108" si="13">G92-J92</f>
        <v>2.206E-2</v>
      </c>
      <c r="I92" s="725"/>
      <c r="J92" s="725"/>
      <c r="K92" s="617">
        <v>80</v>
      </c>
      <c r="L92" s="726">
        <f t="shared" si="5"/>
        <v>1.76</v>
      </c>
      <c r="M92" s="726">
        <f t="shared" ref="M92:M108" si="14">H92*K92</f>
        <v>1.76</v>
      </c>
      <c r="N92" s="726">
        <f t="shared" ref="N92:N108" si="15">I92*K92</f>
        <v>0</v>
      </c>
      <c r="O92" s="726">
        <f t="shared" ref="O92:O108" si="16">L92-M92</f>
        <v>0</v>
      </c>
      <c r="P92" s="617" t="s">
        <v>337</v>
      </c>
      <c r="Q92" s="727"/>
    </row>
    <row r="93" spans="1:17" x14ac:dyDescent="0.25">
      <c r="A93" s="618"/>
      <c r="B93" s="735" t="s">
        <v>119</v>
      </c>
      <c r="C93" s="736">
        <v>5</v>
      </c>
      <c r="D93" s="724">
        <v>136</v>
      </c>
      <c r="E93" s="724">
        <v>2</v>
      </c>
      <c r="F93" s="724"/>
      <c r="G93" s="725">
        <f>(E93+F93)/D93/C93</f>
        <v>2.9399999999999999E-3</v>
      </c>
      <c r="H93" s="725">
        <f t="shared" si="13"/>
        <v>2.9399999999999999E-3</v>
      </c>
      <c r="I93" s="725"/>
      <c r="J93" s="725"/>
      <c r="K93" s="617">
        <v>80</v>
      </c>
      <c r="L93" s="726">
        <f>G93*K93</f>
        <v>0.24</v>
      </c>
      <c r="M93" s="726">
        <f t="shared" si="14"/>
        <v>0.24</v>
      </c>
      <c r="N93" s="726">
        <f t="shared" si="15"/>
        <v>0</v>
      </c>
      <c r="O93" s="726">
        <f t="shared" si="16"/>
        <v>0</v>
      </c>
      <c r="P93" s="727" t="s">
        <v>339</v>
      </c>
      <c r="Q93" s="727"/>
    </row>
    <row r="94" spans="1:17" ht="33.75" x14ac:dyDescent="0.25">
      <c r="A94" s="618"/>
      <c r="B94" s="735" t="s">
        <v>120</v>
      </c>
      <c r="C94" s="736">
        <v>1</v>
      </c>
      <c r="D94" s="724">
        <v>136</v>
      </c>
      <c r="E94" s="724">
        <f>(E92+E93)*12</f>
        <v>96</v>
      </c>
      <c r="F94" s="724">
        <f>(F92+F93)*12</f>
        <v>108</v>
      </c>
      <c r="G94" s="725">
        <f>(E94+F94)/D94/C94</f>
        <v>1.5</v>
      </c>
      <c r="H94" s="725">
        <f t="shared" si="13"/>
        <v>1.5</v>
      </c>
      <c r="I94" s="725"/>
      <c r="J94" s="725"/>
      <c r="K94" s="617">
        <v>16</v>
      </c>
      <c r="L94" s="726">
        <f>G94*K94</f>
        <v>24</v>
      </c>
      <c r="M94" s="726">
        <f t="shared" si="14"/>
        <v>24</v>
      </c>
      <c r="N94" s="726">
        <f t="shared" si="15"/>
        <v>0</v>
      </c>
      <c r="O94" s="726">
        <f t="shared" si="16"/>
        <v>0</v>
      </c>
      <c r="P94" s="727" t="s">
        <v>340</v>
      </c>
      <c r="Q94" s="727"/>
    </row>
    <row r="95" spans="1:17" x14ac:dyDescent="0.25">
      <c r="A95" s="618"/>
      <c r="B95" s="735" t="s">
        <v>117</v>
      </c>
      <c r="C95" s="736">
        <v>10</v>
      </c>
      <c r="D95" s="724">
        <v>136</v>
      </c>
      <c r="E95" s="724">
        <f>6*1</f>
        <v>6</v>
      </c>
      <c r="F95" s="724">
        <f>13*1</f>
        <v>13</v>
      </c>
      <c r="G95" s="725">
        <f t="shared" si="4"/>
        <v>1.397E-2</v>
      </c>
      <c r="H95" s="725">
        <f t="shared" si="13"/>
        <v>1.397E-2</v>
      </c>
      <c r="I95" s="725"/>
      <c r="J95" s="725"/>
      <c r="K95" s="617">
        <v>100</v>
      </c>
      <c r="L95" s="726">
        <f t="shared" si="5"/>
        <v>1.4</v>
      </c>
      <c r="M95" s="726">
        <f t="shared" si="14"/>
        <v>1.4</v>
      </c>
      <c r="N95" s="726">
        <f t="shared" si="15"/>
        <v>0</v>
      </c>
      <c r="O95" s="726">
        <f t="shared" si="16"/>
        <v>0</v>
      </c>
      <c r="P95" s="617" t="s">
        <v>142</v>
      </c>
      <c r="Q95" s="727"/>
    </row>
    <row r="96" spans="1:17" ht="22.5" x14ac:dyDescent="0.25">
      <c r="A96" s="618"/>
      <c r="B96" s="735" t="s">
        <v>118</v>
      </c>
      <c r="C96" s="736">
        <v>1</v>
      </c>
      <c r="D96" s="724">
        <v>136</v>
      </c>
      <c r="E96" s="724">
        <v>2</v>
      </c>
      <c r="F96" s="724">
        <v>1</v>
      </c>
      <c r="G96" s="725">
        <f t="shared" si="4"/>
        <v>2.206E-2</v>
      </c>
      <c r="H96" s="725">
        <f t="shared" si="13"/>
        <v>2.206E-2</v>
      </c>
      <c r="I96" s="725"/>
      <c r="J96" s="725"/>
      <c r="K96" s="617">
        <v>30</v>
      </c>
      <c r="L96" s="726">
        <f t="shared" si="5"/>
        <v>0.66</v>
      </c>
      <c r="M96" s="726">
        <f t="shared" si="14"/>
        <v>0.66</v>
      </c>
      <c r="N96" s="726">
        <f t="shared" si="15"/>
        <v>0</v>
      </c>
      <c r="O96" s="726">
        <f t="shared" si="16"/>
        <v>0</v>
      </c>
      <c r="P96" s="727" t="s">
        <v>136</v>
      </c>
      <c r="Q96" s="727"/>
    </row>
    <row r="97" spans="1:17" x14ac:dyDescent="0.25">
      <c r="A97" s="618"/>
      <c r="B97" s="735" t="s">
        <v>122</v>
      </c>
      <c r="C97" s="736">
        <v>1</v>
      </c>
      <c r="D97" s="724">
        <v>136</v>
      </c>
      <c r="E97" s="724">
        <f>1+1+2+1+1</f>
        <v>6</v>
      </c>
      <c r="F97" s="724">
        <f>1*13/10</f>
        <v>1</v>
      </c>
      <c r="G97" s="725">
        <f>(E97+F97)/D97/C97</f>
        <v>5.1470000000000002E-2</v>
      </c>
      <c r="H97" s="725">
        <f t="shared" si="13"/>
        <v>5.1470000000000002E-2</v>
      </c>
      <c r="I97" s="725"/>
      <c r="J97" s="725"/>
      <c r="K97" s="617">
        <v>200</v>
      </c>
      <c r="L97" s="726">
        <f>G97*K97</f>
        <v>10.29</v>
      </c>
      <c r="M97" s="726">
        <f t="shared" si="14"/>
        <v>10.29</v>
      </c>
      <c r="N97" s="726">
        <f t="shared" si="15"/>
        <v>0</v>
      </c>
      <c r="O97" s="726">
        <f t="shared" si="16"/>
        <v>0</v>
      </c>
      <c r="P97" s="617" t="s">
        <v>133</v>
      </c>
      <c r="Q97" s="727"/>
    </row>
    <row r="98" spans="1:17" ht="22.5" x14ac:dyDescent="0.25">
      <c r="A98" s="618"/>
      <c r="B98" s="735" t="s">
        <v>127</v>
      </c>
      <c r="C98" s="736">
        <v>1</v>
      </c>
      <c r="D98" s="724">
        <v>136</v>
      </c>
      <c r="E98" s="737">
        <f>12*1</f>
        <v>12</v>
      </c>
      <c r="F98" s="724"/>
      <c r="G98" s="725">
        <f>(E98+F98)/D98/C98</f>
        <v>8.8239999999999999E-2</v>
      </c>
      <c r="H98" s="725">
        <f t="shared" si="13"/>
        <v>8.8239999999999999E-2</v>
      </c>
      <c r="I98" s="725"/>
      <c r="J98" s="725"/>
      <c r="K98" s="617">
        <v>55</v>
      </c>
      <c r="L98" s="726">
        <f>G98*K98</f>
        <v>4.8499999999999996</v>
      </c>
      <c r="M98" s="726">
        <f t="shared" si="14"/>
        <v>4.8499999999999996</v>
      </c>
      <c r="N98" s="726">
        <f t="shared" si="15"/>
        <v>0</v>
      </c>
      <c r="O98" s="726">
        <f t="shared" si="16"/>
        <v>0</v>
      </c>
      <c r="P98" s="617" t="s">
        <v>290</v>
      </c>
      <c r="Q98" s="727"/>
    </row>
    <row r="99" spans="1:17" ht="22.5" x14ac:dyDescent="0.25">
      <c r="A99" s="618"/>
      <c r="B99" s="735" t="s">
        <v>128</v>
      </c>
      <c r="C99" s="736">
        <v>5</v>
      </c>
      <c r="D99" s="724">
        <v>136</v>
      </c>
      <c r="E99" s="724">
        <v>1</v>
      </c>
      <c r="F99" s="724"/>
      <c r="G99" s="725">
        <f t="shared" ref="G99:G108" si="17">(E99+F99)/D99/C99</f>
        <v>1.47E-3</v>
      </c>
      <c r="H99" s="725">
        <f t="shared" si="13"/>
        <v>1.47E-3</v>
      </c>
      <c r="I99" s="725"/>
      <c r="J99" s="725"/>
      <c r="K99" s="617">
        <v>250</v>
      </c>
      <c r="L99" s="726">
        <f t="shared" ref="L99:L108" si="18">G99*K99</f>
        <v>0.37</v>
      </c>
      <c r="M99" s="726">
        <f t="shared" si="14"/>
        <v>0.37</v>
      </c>
      <c r="N99" s="726">
        <f t="shared" si="15"/>
        <v>0</v>
      </c>
      <c r="O99" s="726">
        <f t="shared" si="16"/>
        <v>0</v>
      </c>
      <c r="P99" s="733" t="s">
        <v>206</v>
      </c>
      <c r="Q99" s="727"/>
    </row>
    <row r="100" spans="1:17" ht="22.5" x14ac:dyDescent="0.25">
      <c r="A100" s="618"/>
      <c r="B100" s="735" t="s">
        <v>132</v>
      </c>
      <c r="C100" s="736">
        <v>5</v>
      </c>
      <c r="D100" s="724">
        <v>136</v>
      </c>
      <c r="E100" s="724">
        <v>1</v>
      </c>
      <c r="F100" s="724"/>
      <c r="G100" s="725">
        <f t="shared" si="17"/>
        <v>1.47E-3</v>
      </c>
      <c r="H100" s="725">
        <f t="shared" si="13"/>
        <v>1.47E-3</v>
      </c>
      <c r="I100" s="725"/>
      <c r="J100" s="725"/>
      <c r="K100" s="617">
        <v>1282</v>
      </c>
      <c r="L100" s="726">
        <f t="shared" si="18"/>
        <v>1.88</v>
      </c>
      <c r="M100" s="726">
        <f t="shared" si="14"/>
        <v>1.88</v>
      </c>
      <c r="N100" s="726">
        <f t="shared" si="15"/>
        <v>0</v>
      </c>
      <c r="O100" s="726">
        <f t="shared" si="16"/>
        <v>0</v>
      </c>
      <c r="P100" s="733" t="s">
        <v>206</v>
      </c>
      <c r="Q100" s="727"/>
    </row>
    <row r="101" spans="1:17" ht="22.5" x14ac:dyDescent="0.25">
      <c r="A101" s="618"/>
      <c r="B101" s="735" t="s">
        <v>129</v>
      </c>
      <c r="C101" s="736">
        <v>1</v>
      </c>
      <c r="D101" s="724">
        <v>136</v>
      </c>
      <c r="E101" s="724">
        <f>4*1</f>
        <v>4</v>
      </c>
      <c r="F101" s="724"/>
      <c r="G101" s="725">
        <f t="shared" si="17"/>
        <v>2.9409999999999999E-2</v>
      </c>
      <c r="H101" s="725">
        <f t="shared" si="13"/>
        <v>2.9409999999999999E-2</v>
      </c>
      <c r="I101" s="725"/>
      <c r="J101" s="725"/>
      <c r="K101" s="617">
        <v>270</v>
      </c>
      <c r="L101" s="726">
        <f t="shared" si="18"/>
        <v>7.94</v>
      </c>
      <c r="M101" s="726">
        <f t="shared" si="14"/>
        <v>7.94</v>
      </c>
      <c r="N101" s="726">
        <f t="shared" si="15"/>
        <v>0</v>
      </c>
      <c r="O101" s="726">
        <f t="shared" si="16"/>
        <v>0</v>
      </c>
      <c r="P101" s="733" t="s">
        <v>364</v>
      </c>
      <c r="Q101" s="727"/>
    </row>
    <row r="102" spans="1:17" ht="22.5" x14ac:dyDescent="0.25">
      <c r="A102" s="618"/>
      <c r="B102" s="735" t="s">
        <v>123</v>
      </c>
      <c r="C102" s="736">
        <v>1</v>
      </c>
      <c r="D102" s="724">
        <v>136</v>
      </c>
      <c r="E102" s="724">
        <v>2</v>
      </c>
      <c r="F102" s="724"/>
      <c r="G102" s="725">
        <f t="shared" si="17"/>
        <v>1.4710000000000001E-2</v>
      </c>
      <c r="H102" s="725">
        <f t="shared" si="13"/>
        <v>1.4710000000000001E-2</v>
      </c>
      <c r="I102" s="725"/>
      <c r="J102" s="725"/>
      <c r="K102" s="617">
        <v>150</v>
      </c>
      <c r="L102" s="726">
        <f t="shared" si="18"/>
        <v>2.21</v>
      </c>
      <c r="M102" s="726">
        <f t="shared" si="14"/>
        <v>2.21</v>
      </c>
      <c r="N102" s="726">
        <f t="shared" si="15"/>
        <v>0</v>
      </c>
      <c r="O102" s="726">
        <f t="shared" si="16"/>
        <v>0</v>
      </c>
      <c r="P102" s="727" t="s">
        <v>342</v>
      </c>
      <c r="Q102" s="727"/>
    </row>
    <row r="103" spans="1:17" ht="22.5" x14ac:dyDescent="0.25">
      <c r="A103" s="618"/>
      <c r="B103" s="735" t="s">
        <v>134</v>
      </c>
      <c r="C103" s="736">
        <v>1</v>
      </c>
      <c r="D103" s="724">
        <v>136</v>
      </c>
      <c r="E103" s="724">
        <f>4*1</f>
        <v>4</v>
      </c>
      <c r="F103" s="724"/>
      <c r="G103" s="725">
        <f>(E103+F103)/D103/C103</f>
        <v>2.9409999999999999E-2</v>
      </c>
      <c r="H103" s="725">
        <f t="shared" si="13"/>
        <v>2.9409999999999999E-2</v>
      </c>
      <c r="I103" s="725"/>
      <c r="J103" s="725"/>
      <c r="K103" s="617">
        <v>150</v>
      </c>
      <c r="L103" s="726">
        <f>G103*K103</f>
        <v>4.41</v>
      </c>
      <c r="M103" s="726">
        <f t="shared" si="14"/>
        <v>4.41</v>
      </c>
      <c r="N103" s="726">
        <f t="shared" si="15"/>
        <v>0</v>
      </c>
      <c r="O103" s="726">
        <f t="shared" si="16"/>
        <v>0</v>
      </c>
      <c r="P103" s="727" t="s">
        <v>291</v>
      </c>
      <c r="Q103" s="727"/>
    </row>
    <row r="104" spans="1:17" ht="22.5" x14ac:dyDescent="0.25">
      <c r="A104" s="618"/>
      <c r="B104" s="735" t="s">
        <v>207</v>
      </c>
      <c r="C104" s="736">
        <v>1</v>
      </c>
      <c r="D104" s="724">
        <v>136</v>
      </c>
      <c r="E104" s="724">
        <v>2</v>
      </c>
      <c r="F104" s="724">
        <f>0.5*9</f>
        <v>5</v>
      </c>
      <c r="G104" s="725">
        <f>(E104+F104)/D104/C104</f>
        <v>5.1470000000000002E-2</v>
      </c>
      <c r="H104" s="725">
        <f t="shared" si="13"/>
        <v>5.1470000000000002E-2</v>
      </c>
      <c r="I104" s="725"/>
      <c r="J104" s="725"/>
      <c r="K104" s="617">
        <v>300</v>
      </c>
      <c r="L104" s="726">
        <f>G104*K104</f>
        <v>15.44</v>
      </c>
      <c r="M104" s="726">
        <f t="shared" si="14"/>
        <v>15.44</v>
      </c>
      <c r="N104" s="726">
        <f t="shared" si="15"/>
        <v>0</v>
      </c>
      <c r="O104" s="726">
        <f t="shared" si="16"/>
        <v>0</v>
      </c>
      <c r="P104" s="734" t="s">
        <v>343</v>
      </c>
      <c r="Q104" s="727"/>
    </row>
    <row r="105" spans="1:17" x14ac:dyDescent="0.25">
      <c r="A105" s="618"/>
      <c r="B105" s="735" t="s">
        <v>130</v>
      </c>
      <c r="C105" s="736">
        <v>1</v>
      </c>
      <c r="D105" s="724">
        <v>136</v>
      </c>
      <c r="E105" s="724">
        <f>2*12*1</f>
        <v>24</v>
      </c>
      <c r="F105" s="724"/>
      <c r="G105" s="725">
        <f t="shared" si="17"/>
        <v>0.17646999999999999</v>
      </c>
      <c r="H105" s="725">
        <f t="shared" si="13"/>
        <v>0.17646999999999999</v>
      </c>
      <c r="I105" s="725"/>
      <c r="J105" s="725"/>
      <c r="K105" s="617">
        <v>50</v>
      </c>
      <c r="L105" s="726">
        <f t="shared" si="18"/>
        <v>8.82</v>
      </c>
      <c r="M105" s="726">
        <f t="shared" si="14"/>
        <v>8.82</v>
      </c>
      <c r="N105" s="726">
        <f t="shared" si="15"/>
        <v>0</v>
      </c>
      <c r="O105" s="726">
        <f t="shared" si="16"/>
        <v>0</v>
      </c>
      <c r="P105" s="617" t="s">
        <v>137</v>
      </c>
      <c r="Q105" s="727"/>
    </row>
    <row r="106" spans="1:17" x14ac:dyDescent="0.25">
      <c r="A106" s="618"/>
      <c r="B106" s="735" t="s">
        <v>131</v>
      </c>
      <c r="C106" s="736">
        <v>1</v>
      </c>
      <c r="D106" s="724">
        <v>136</v>
      </c>
      <c r="E106" s="724">
        <f>4*12</f>
        <v>48</v>
      </c>
      <c r="F106" s="724"/>
      <c r="G106" s="725">
        <f t="shared" si="17"/>
        <v>0.35293999999999998</v>
      </c>
      <c r="H106" s="725">
        <f t="shared" si="13"/>
        <v>0.35293999999999998</v>
      </c>
      <c r="I106" s="725"/>
      <c r="J106" s="725"/>
      <c r="K106" s="617">
        <v>13</v>
      </c>
      <c r="L106" s="726">
        <f t="shared" si="18"/>
        <v>4.59</v>
      </c>
      <c r="M106" s="726">
        <f t="shared" si="14"/>
        <v>4.59</v>
      </c>
      <c r="N106" s="726">
        <f t="shared" si="15"/>
        <v>0</v>
      </c>
      <c r="O106" s="726">
        <f t="shared" si="16"/>
        <v>0</v>
      </c>
      <c r="P106" s="727" t="s">
        <v>344</v>
      </c>
      <c r="Q106" s="727"/>
    </row>
    <row r="107" spans="1:17" x14ac:dyDescent="0.25">
      <c r="A107" s="618"/>
      <c r="B107" s="735" t="s">
        <v>121</v>
      </c>
      <c r="C107" s="736">
        <v>1</v>
      </c>
      <c r="D107" s="724">
        <v>136</v>
      </c>
      <c r="E107" s="724">
        <f>2*12</f>
        <v>24</v>
      </c>
      <c r="F107" s="724"/>
      <c r="G107" s="725">
        <f t="shared" si="17"/>
        <v>0.17646999999999999</v>
      </c>
      <c r="H107" s="725">
        <f t="shared" si="13"/>
        <v>0.17646999999999999</v>
      </c>
      <c r="I107" s="725"/>
      <c r="J107" s="725"/>
      <c r="K107" s="617">
        <v>60</v>
      </c>
      <c r="L107" s="726">
        <f t="shared" si="18"/>
        <v>10.59</v>
      </c>
      <c r="M107" s="726">
        <f t="shared" si="14"/>
        <v>10.59</v>
      </c>
      <c r="N107" s="726">
        <f t="shared" si="15"/>
        <v>0</v>
      </c>
      <c r="O107" s="726">
        <f t="shared" si="16"/>
        <v>0</v>
      </c>
      <c r="P107" s="727" t="s">
        <v>345</v>
      </c>
      <c r="Q107" s="727"/>
    </row>
    <row r="108" spans="1:17" ht="22.5" x14ac:dyDescent="0.25">
      <c r="A108" s="618"/>
      <c r="B108" s="735" t="s">
        <v>205</v>
      </c>
      <c r="C108" s="738">
        <v>5</v>
      </c>
      <c r="D108" s="724">
        <v>136</v>
      </c>
      <c r="E108" s="737">
        <f>1*1</f>
        <v>1</v>
      </c>
      <c r="F108" s="737"/>
      <c r="G108" s="739">
        <f t="shared" si="17"/>
        <v>1.47E-3</v>
      </c>
      <c r="H108" s="725">
        <f t="shared" si="13"/>
        <v>1.47E-3</v>
      </c>
      <c r="I108" s="725"/>
      <c r="J108" s="739"/>
      <c r="K108" s="733">
        <v>750</v>
      </c>
      <c r="L108" s="740">
        <f t="shared" si="18"/>
        <v>1.1000000000000001</v>
      </c>
      <c r="M108" s="726">
        <f t="shared" si="14"/>
        <v>1.1000000000000001</v>
      </c>
      <c r="N108" s="726">
        <f t="shared" si="15"/>
        <v>0</v>
      </c>
      <c r="O108" s="726">
        <f t="shared" si="16"/>
        <v>0</v>
      </c>
      <c r="P108" s="617" t="s">
        <v>206</v>
      </c>
      <c r="Q108" s="727"/>
    </row>
    <row r="109" spans="1:17" x14ac:dyDescent="0.25">
      <c r="A109" s="618" t="s">
        <v>222</v>
      </c>
      <c r="B109" s="741" t="s">
        <v>212</v>
      </c>
      <c r="C109" s="742"/>
      <c r="D109" s="743"/>
      <c r="E109" s="743"/>
      <c r="F109" s="743"/>
      <c r="G109" s="731"/>
      <c r="H109" s="731"/>
      <c r="I109" s="731"/>
      <c r="J109" s="731"/>
      <c r="K109" s="729"/>
      <c r="L109" s="732">
        <f>SUM(L92:L108)</f>
        <v>100.55</v>
      </c>
      <c r="M109" s="732">
        <f>SUM(M92:M108)</f>
        <v>100.55</v>
      </c>
      <c r="N109" s="732">
        <f>SUM(N92:N108)</f>
        <v>0</v>
      </c>
      <c r="O109" s="732">
        <f>SUM(O92:O108)</f>
        <v>0</v>
      </c>
      <c r="P109" s="729" t="s">
        <v>294</v>
      </c>
      <c r="Q109" s="727"/>
    </row>
    <row r="110" spans="1:17" x14ac:dyDescent="0.25">
      <c r="A110" s="720"/>
      <c r="B110" s="1412" t="s">
        <v>341</v>
      </c>
      <c r="C110" s="1412"/>
      <c r="D110" s="1412"/>
      <c r="E110" s="1412"/>
      <c r="F110" s="1412"/>
      <c r="G110" s="1412"/>
      <c r="H110" s="1412"/>
      <c r="I110" s="1412"/>
      <c r="J110" s="1412"/>
      <c r="K110" s="1412"/>
      <c r="L110" s="1412"/>
      <c r="M110" s="1412"/>
      <c r="N110" s="1412"/>
      <c r="O110" s="1412"/>
      <c r="P110" s="1413"/>
      <c r="Q110" s="721"/>
    </row>
    <row r="111" spans="1:17" x14ac:dyDescent="0.25">
      <c r="A111" s="618"/>
      <c r="B111" s="744" t="s">
        <v>126</v>
      </c>
      <c r="C111" s="733">
        <v>10</v>
      </c>
      <c r="D111" s="723">
        <v>136</v>
      </c>
      <c r="E111" s="745">
        <f>1*1+28*1</f>
        <v>29</v>
      </c>
      <c r="F111" s="745"/>
      <c r="G111" s="739">
        <f>(E111+F111)/D111/C111</f>
        <v>2.1319999999999999E-2</v>
      </c>
      <c r="H111" s="725">
        <f>G111-J111</f>
        <v>0</v>
      </c>
      <c r="I111" s="725"/>
      <c r="J111" s="725">
        <f>E111/D111/C111</f>
        <v>2.1319999999999999E-2</v>
      </c>
      <c r="K111" s="733"/>
      <c r="L111" s="740">
        <f>G111*K111</f>
        <v>0</v>
      </c>
      <c r="M111" s="726">
        <f>H111*K111</f>
        <v>0</v>
      </c>
      <c r="N111" s="726">
        <f>I111*K111</f>
        <v>0</v>
      </c>
      <c r="O111" s="726">
        <f>L111-M111</f>
        <v>0</v>
      </c>
      <c r="P111" s="733" t="s">
        <v>135</v>
      </c>
      <c r="Q111" s="727"/>
    </row>
    <row r="112" spans="1:17" x14ac:dyDescent="0.25">
      <c r="A112" s="618"/>
      <c r="B112" s="722" t="s">
        <v>124</v>
      </c>
      <c r="C112" s="617">
        <v>1</v>
      </c>
      <c r="D112" s="723">
        <v>136</v>
      </c>
      <c r="E112" s="723">
        <f>1*1+28*1</f>
        <v>29</v>
      </c>
      <c r="F112" s="723"/>
      <c r="G112" s="725">
        <f>(E112+F112)/D112/C112</f>
        <v>0.21324000000000001</v>
      </c>
      <c r="H112" s="725">
        <f>G112-J112</f>
        <v>0</v>
      </c>
      <c r="I112" s="725"/>
      <c r="J112" s="725">
        <f>E112/D112/C112</f>
        <v>0.21324000000000001</v>
      </c>
      <c r="K112" s="617">
        <f>250-250</f>
        <v>0</v>
      </c>
      <c r="L112" s="726">
        <f>G112*K112</f>
        <v>0</v>
      </c>
      <c r="M112" s="726">
        <f>H112*K112</f>
        <v>0</v>
      </c>
      <c r="N112" s="726">
        <f>I112*K112</f>
        <v>0</v>
      </c>
      <c r="O112" s="726">
        <f>L112-M112</f>
        <v>0</v>
      </c>
      <c r="P112" s="617" t="s">
        <v>125</v>
      </c>
      <c r="Q112" s="727"/>
    </row>
    <row r="113" spans="1:17" hidden="1" x14ac:dyDescent="0.25">
      <c r="A113" s="618"/>
      <c r="B113" s="746" t="s">
        <v>307</v>
      </c>
      <c r="C113" s="617">
        <v>1</v>
      </c>
      <c r="D113" s="723">
        <v>136</v>
      </c>
      <c r="E113" s="747"/>
      <c r="F113" s="747"/>
      <c r="G113" s="725">
        <f>(E113+F113)/D113/C113</f>
        <v>0</v>
      </c>
      <c r="H113" s="725">
        <f>G113-J113</f>
        <v>0</v>
      </c>
      <c r="I113" s="725"/>
      <c r="J113" s="725">
        <f>E113/D113/C113</f>
        <v>0</v>
      </c>
      <c r="K113" s="617">
        <v>3.5</v>
      </c>
      <c r="L113" s="726">
        <f>G113*K113</f>
        <v>0</v>
      </c>
      <c r="M113" s="726">
        <f>H113*K113</f>
        <v>0</v>
      </c>
      <c r="N113" s="726">
        <f>I113*K113</f>
        <v>0</v>
      </c>
      <c r="O113" s="726">
        <f>L113-M113</f>
        <v>0</v>
      </c>
      <c r="P113" s="727"/>
      <c r="Q113" s="727"/>
    </row>
    <row r="114" spans="1:17" ht="22.5" hidden="1" x14ac:dyDescent="0.25">
      <c r="A114" s="618"/>
      <c r="B114" s="746" t="s">
        <v>308</v>
      </c>
      <c r="C114" s="617">
        <v>1</v>
      </c>
      <c r="D114" s="723">
        <v>136</v>
      </c>
      <c r="E114" s="747"/>
      <c r="F114" s="747"/>
      <c r="G114" s="725">
        <f>(E114+F114)/D114/C114</f>
        <v>0</v>
      </c>
      <c r="H114" s="725">
        <f>G114-J114</f>
        <v>0</v>
      </c>
      <c r="I114" s="725"/>
      <c r="J114" s="725">
        <f>E114/D114/C114</f>
        <v>0</v>
      </c>
      <c r="K114" s="617">
        <v>0.6</v>
      </c>
      <c r="L114" s="726">
        <f>G114*K114</f>
        <v>0</v>
      </c>
      <c r="M114" s="726">
        <f>H114*K114</f>
        <v>0</v>
      </c>
      <c r="N114" s="726">
        <f>I114*K114</f>
        <v>0</v>
      </c>
      <c r="O114" s="726">
        <f>L114-M114</f>
        <v>0</v>
      </c>
      <c r="P114" s="727"/>
      <c r="Q114" s="727"/>
    </row>
    <row r="115" spans="1:17" x14ac:dyDescent="0.25">
      <c r="A115" s="618"/>
      <c r="B115" s="744" t="s">
        <v>404</v>
      </c>
      <c r="C115" s="617">
        <v>5</v>
      </c>
      <c r="D115" s="723">
        <v>136</v>
      </c>
      <c r="E115" s="724">
        <v>1</v>
      </c>
      <c r="F115" s="747"/>
      <c r="G115" s="725">
        <f t="shared" ref="G115:G129" si="19">(E115+F115)/D115/C115</f>
        <v>1.47E-3</v>
      </c>
      <c r="H115" s="725">
        <f t="shared" ref="H115:H129" si="20">G115-J115</f>
        <v>0</v>
      </c>
      <c r="I115" s="725"/>
      <c r="J115" s="725">
        <f t="shared" ref="J115:J129" si="21">E115/D115/C115</f>
        <v>1.47E-3</v>
      </c>
      <c r="K115" s="617">
        <v>25000</v>
      </c>
      <c r="L115" s="726">
        <f t="shared" ref="L115:L129" si="22">G115*K115</f>
        <v>36.75</v>
      </c>
      <c r="M115" s="726">
        <f t="shared" ref="M115:M129" si="23">H115*K115</f>
        <v>0</v>
      </c>
      <c r="N115" s="726">
        <f t="shared" ref="N115:N129" si="24">I115*K115</f>
        <v>0</v>
      </c>
      <c r="O115" s="726">
        <f t="shared" ref="O115:O129" si="25">L115-M115</f>
        <v>36.75</v>
      </c>
      <c r="P115" s="727" t="s">
        <v>63</v>
      </c>
      <c r="Q115" s="727"/>
    </row>
    <row r="116" spans="1:17" x14ac:dyDescent="0.25">
      <c r="A116" s="618"/>
      <c r="B116" s="744" t="s">
        <v>392</v>
      </c>
      <c r="C116" s="617">
        <v>5</v>
      </c>
      <c r="D116" s="723">
        <v>136</v>
      </c>
      <c r="E116" s="724">
        <v>1</v>
      </c>
      <c r="F116" s="747"/>
      <c r="G116" s="725">
        <f t="shared" si="19"/>
        <v>1.47E-3</v>
      </c>
      <c r="H116" s="725">
        <f t="shared" si="20"/>
        <v>0</v>
      </c>
      <c r="I116" s="725"/>
      <c r="J116" s="725">
        <f t="shared" si="21"/>
        <v>1.47E-3</v>
      </c>
      <c r="K116" s="617">
        <v>35000</v>
      </c>
      <c r="L116" s="726">
        <f t="shared" si="22"/>
        <v>51.45</v>
      </c>
      <c r="M116" s="726">
        <f t="shared" si="23"/>
        <v>0</v>
      </c>
      <c r="N116" s="726">
        <f t="shared" si="24"/>
        <v>0</v>
      </c>
      <c r="O116" s="726">
        <f t="shared" si="25"/>
        <v>51.45</v>
      </c>
      <c r="P116" s="727" t="s">
        <v>63</v>
      </c>
      <c r="Q116" s="727"/>
    </row>
    <row r="117" spans="1:17" ht="22.5" x14ac:dyDescent="0.25">
      <c r="A117" s="618"/>
      <c r="B117" s="744" t="s">
        <v>402</v>
      </c>
      <c r="C117" s="617">
        <v>5</v>
      </c>
      <c r="D117" s="723">
        <v>136</v>
      </c>
      <c r="E117" s="724">
        <v>1</v>
      </c>
      <c r="F117" s="747"/>
      <c r="G117" s="725">
        <f t="shared" si="19"/>
        <v>1.47E-3</v>
      </c>
      <c r="H117" s="725">
        <f t="shared" si="20"/>
        <v>0</v>
      </c>
      <c r="I117" s="725"/>
      <c r="J117" s="725">
        <f t="shared" si="21"/>
        <v>1.47E-3</v>
      </c>
      <c r="K117" s="617">
        <v>25000</v>
      </c>
      <c r="L117" s="726">
        <f t="shared" si="22"/>
        <v>36.75</v>
      </c>
      <c r="M117" s="726">
        <f t="shared" si="23"/>
        <v>0</v>
      </c>
      <c r="N117" s="726">
        <f t="shared" si="24"/>
        <v>0</v>
      </c>
      <c r="O117" s="726">
        <f t="shared" si="25"/>
        <v>36.75</v>
      </c>
      <c r="P117" s="727" t="s">
        <v>63</v>
      </c>
      <c r="Q117" s="727"/>
    </row>
    <row r="118" spans="1:17" x14ac:dyDescent="0.25">
      <c r="A118" s="618"/>
      <c r="B118" s="744" t="s">
        <v>393</v>
      </c>
      <c r="C118" s="617">
        <v>5</v>
      </c>
      <c r="D118" s="723">
        <v>136</v>
      </c>
      <c r="E118" s="724">
        <v>1</v>
      </c>
      <c r="F118" s="747"/>
      <c r="G118" s="725">
        <f t="shared" si="19"/>
        <v>1.47E-3</v>
      </c>
      <c r="H118" s="725">
        <f t="shared" si="20"/>
        <v>0</v>
      </c>
      <c r="I118" s="725"/>
      <c r="J118" s="725">
        <f t="shared" si="21"/>
        <v>1.47E-3</v>
      </c>
      <c r="K118" s="617">
        <v>65000</v>
      </c>
      <c r="L118" s="726">
        <f t="shared" si="22"/>
        <v>95.55</v>
      </c>
      <c r="M118" s="726">
        <f t="shared" si="23"/>
        <v>0</v>
      </c>
      <c r="N118" s="726">
        <f t="shared" si="24"/>
        <v>0</v>
      </c>
      <c r="O118" s="726">
        <f t="shared" si="25"/>
        <v>95.55</v>
      </c>
      <c r="P118" s="727" t="s">
        <v>63</v>
      </c>
      <c r="Q118" s="727"/>
    </row>
    <row r="119" spans="1:17" x14ac:dyDescent="0.25">
      <c r="A119" s="618"/>
      <c r="B119" s="744" t="s">
        <v>394</v>
      </c>
      <c r="C119" s="617">
        <v>5</v>
      </c>
      <c r="D119" s="723">
        <v>136</v>
      </c>
      <c r="E119" s="724">
        <v>1</v>
      </c>
      <c r="F119" s="747"/>
      <c r="G119" s="725">
        <f t="shared" si="19"/>
        <v>1.47E-3</v>
      </c>
      <c r="H119" s="725">
        <f t="shared" si="20"/>
        <v>0</v>
      </c>
      <c r="I119" s="725"/>
      <c r="J119" s="725">
        <f t="shared" si="21"/>
        <v>1.47E-3</v>
      </c>
      <c r="K119" s="617">
        <v>50000</v>
      </c>
      <c r="L119" s="726">
        <f t="shared" si="22"/>
        <v>73.5</v>
      </c>
      <c r="M119" s="726">
        <f t="shared" si="23"/>
        <v>0</v>
      </c>
      <c r="N119" s="726">
        <f t="shared" si="24"/>
        <v>0</v>
      </c>
      <c r="O119" s="726">
        <f t="shared" si="25"/>
        <v>73.5</v>
      </c>
      <c r="P119" s="727" t="s">
        <v>63</v>
      </c>
      <c r="Q119" s="727"/>
    </row>
    <row r="120" spans="1:17" x14ac:dyDescent="0.25">
      <c r="A120" s="618"/>
      <c r="B120" s="744" t="s">
        <v>395</v>
      </c>
      <c r="C120" s="617">
        <v>5</v>
      </c>
      <c r="D120" s="723">
        <v>136</v>
      </c>
      <c r="E120" s="724">
        <v>1</v>
      </c>
      <c r="F120" s="747"/>
      <c r="G120" s="725">
        <f t="shared" si="19"/>
        <v>1.47E-3</v>
      </c>
      <c r="H120" s="725">
        <f t="shared" si="20"/>
        <v>0</v>
      </c>
      <c r="I120" s="725"/>
      <c r="J120" s="725">
        <f t="shared" si="21"/>
        <v>1.47E-3</v>
      </c>
      <c r="K120" s="617">
        <v>50000</v>
      </c>
      <c r="L120" s="726">
        <f t="shared" si="22"/>
        <v>73.5</v>
      </c>
      <c r="M120" s="726">
        <f t="shared" si="23"/>
        <v>0</v>
      </c>
      <c r="N120" s="726">
        <f t="shared" si="24"/>
        <v>0</v>
      </c>
      <c r="O120" s="726">
        <f t="shared" si="25"/>
        <v>73.5</v>
      </c>
      <c r="P120" s="727" t="s">
        <v>63</v>
      </c>
      <c r="Q120" s="727"/>
    </row>
    <row r="121" spans="1:17" x14ac:dyDescent="0.25">
      <c r="A121" s="618"/>
      <c r="B121" s="744" t="s">
        <v>396</v>
      </c>
      <c r="C121" s="617">
        <v>5</v>
      </c>
      <c r="D121" s="723">
        <v>136</v>
      </c>
      <c r="E121" s="724">
        <v>1</v>
      </c>
      <c r="F121" s="747"/>
      <c r="G121" s="725">
        <f t="shared" si="19"/>
        <v>1.47E-3</v>
      </c>
      <c r="H121" s="725">
        <f t="shared" si="20"/>
        <v>0</v>
      </c>
      <c r="I121" s="725"/>
      <c r="J121" s="725">
        <f t="shared" si="21"/>
        <v>1.47E-3</v>
      </c>
      <c r="K121" s="617">
        <v>25000</v>
      </c>
      <c r="L121" s="726">
        <f t="shared" si="22"/>
        <v>36.75</v>
      </c>
      <c r="M121" s="726">
        <f t="shared" si="23"/>
        <v>0</v>
      </c>
      <c r="N121" s="726">
        <f t="shared" si="24"/>
        <v>0</v>
      </c>
      <c r="O121" s="726">
        <f t="shared" si="25"/>
        <v>36.75</v>
      </c>
      <c r="P121" s="727" t="s">
        <v>63</v>
      </c>
      <c r="Q121" s="727"/>
    </row>
    <row r="122" spans="1:17" x14ac:dyDescent="0.25">
      <c r="A122" s="618"/>
      <c r="B122" s="744" t="s">
        <v>397</v>
      </c>
      <c r="C122" s="617">
        <v>5</v>
      </c>
      <c r="D122" s="723">
        <v>136</v>
      </c>
      <c r="E122" s="724">
        <v>1</v>
      </c>
      <c r="F122" s="747"/>
      <c r="G122" s="725">
        <f t="shared" si="19"/>
        <v>1.47E-3</v>
      </c>
      <c r="H122" s="725">
        <f t="shared" si="20"/>
        <v>0</v>
      </c>
      <c r="I122" s="725"/>
      <c r="J122" s="725">
        <f t="shared" si="21"/>
        <v>1.47E-3</v>
      </c>
      <c r="K122" s="617">
        <v>50000</v>
      </c>
      <c r="L122" s="726">
        <f t="shared" si="22"/>
        <v>73.5</v>
      </c>
      <c r="M122" s="726">
        <f t="shared" si="23"/>
        <v>0</v>
      </c>
      <c r="N122" s="726">
        <f t="shared" si="24"/>
        <v>0</v>
      </c>
      <c r="O122" s="726">
        <f t="shared" si="25"/>
        <v>73.5</v>
      </c>
      <c r="P122" s="727" t="s">
        <v>63</v>
      </c>
      <c r="Q122" s="727"/>
    </row>
    <row r="123" spans="1:17" x14ac:dyDescent="0.25">
      <c r="A123" s="618"/>
      <c r="B123" s="744" t="s">
        <v>400</v>
      </c>
      <c r="C123" s="617">
        <v>5</v>
      </c>
      <c r="D123" s="723">
        <v>136</v>
      </c>
      <c r="E123" s="724">
        <v>1</v>
      </c>
      <c r="F123" s="747"/>
      <c r="G123" s="725">
        <f>(E123+F123)/D123/C123</f>
        <v>1.47E-3</v>
      </c>
      <c r="H123" s="725">
        <f>G123-J123</f>
        <v>0</v>
      </c>
      <c r="I123" s="725"/>
      <c r="J123" s="725">
        <f>E123/D123/C123</f>
        <v>1.47E-3</v>
      </c>
      <c r="K123" s="617">
        <v>50000</v>
      </c>
      <c r="L123" s="726">
        <f>G123*K123</f>
        <v>73.5</v>
      </c>
      <c r="M123" s="726">
        <f>H123*K123</f>
        <v>0</v>
      </c>
      <c r="N123" s="726">
        <f>I123*K123</f>
        <v>0</v>
      </c>
      <c r="O123" s="726">
        <f>L123-M123</f>
        <v>73.5</v>
      </c>
      <c r="P123" s="727" t="s">
        <v>63</v>
      </c>
      <c r="Q123" s="727"/>
    </row>
    <row r="124" spans="1:17" x14ac:dyDescent="0.25">
      <c r="A124" s="618"/>
      <c r="B124" s="744" t="s">
        <v>403</v>
      </c>
      <c r="C124" s="617">
        <v>5</v>
      </c>
      <c r="D124" s="723">
        <v>136</v>
      </c>
      <c r="E124" s="724">
        <v>1</v>
      </c>
      <c r="F124" s="747"/>
      <c r="G124" s="725">
        <f>(E124+F124)/D124/C124</f>
        <v>1.47E-3</v>
      </c>
      <c r="H124" s="725">
        <f>G124-J124</f>
        <v>0</v>
      </c>
      <c r="I124" s="725"/>
      <c r="J124" s="725">
        <f>E124/D124/C124</f>
        <v>1.47E-3</v>
      </c>
      <c r="K124" s="617">
        <v>30000</v>
      </c>
      <c r="L124" s="726">
        <f>G124*K124</f>
        <v>44.1</v>
      </c>
      <c r="M124" s="726">
        <f>H124*K124</f>
        <v>0</v>
      </c>
      <c r="N124" s="726">
        <f>I124*K124</f>
        <v>0</v>
      </c>
      <c r="O124" s="726">
        <f>L124-M124</f>
        <v>44.1</v>
      </c>
      <c r="P124" s="727" t="s">
        <v>63</v>
      </c>
      <c r="Q124" s="727"/>
    </row>
    <row r="125" spans="1:17" x14ac:dyDescent="0.25">
      <c r="A125" s="618"/>
      <c r="B125" s="744" t="s">
        <v>399</v>
      </c>
      <c r="C125" s="617">
        <v>5</v>
      </c>
      <c r="D125" s="723">
        <v>136</v>
      </c>
      <c r="E125" s="724">
        <v>1</v>
      </c>
      <c r="F125" s="747"/>
      <c r="G125" s="725">
        <f>(E125+F125)/D125/C125</f>
        <v>1.47E-3</v>
      </c>
      <c r="H125" s="725">
        <f>G125-J125</f>
        <v>0</v>
      </c>
      <c r="I125" s="725"/>
      <c r="J125" s="725">
        <f>E125/D125/C125</f>
        <v>1.47E-3</v>
      </c>
      <c r="K125" s="617">
        <v>4000</v>
      </c>
      <c r="L125" s="726">
        <f>G125*K125</f>
        <v>5.88</v>
      </c>
      <c r="M125" s="726">
        <f>H125*K125</f>
        <v>0</v>
      </c>
      <c r="N125" s="726">
        <f>I125*K125</f>
        <v>0</v>
      </c>
      <c r="O125" s="726">
        <f>L125-M125</f>
        <v>5.88</v>
      </c>
      <c r="P125" s="727" t="s">
        <v>63</v>
      </c>
      <c r="Q125" s="727"/>
    </row>
    <row r="126" spans="1:17" x14ac:dyDescent="0.25">
      <c r="A126" s="618"/>
      <c r="B126" s="744" t="s">
        <v>398</v>
      </c>
      <c r="C126" s="617">
        <v>5</v>
      </c>
      <c r="D126" s="723">
        <v>136</v>
      </c>
      <c r="E126" s="724">
        <v>1</v>
      </c>
      <c r="F126" s="747"/>
      <c r="G126" s="725">
        <f t="shared" si="19"/>
        <v>1.47E-3</v>
      </c>
      <c r="H126" s="725">
        <f t="shared" si="20"/>
        <v>0</v>
      </c>
      <c r="I126" s="725"/>
      <c r="J126" s="725">
        <f t="shared" si="21"/>
        <v>1.47E-3</v>
      </c>
      <c r="K126" s="617">
        <v>1500</v>
      </c>
      <c r="L126" s="726">
        <f t="shared" si="22"/>
        <v>2.21</v>
      </c>
      <c r="M126" s="726">
        <f t="shared" si="23"/>
        <v>0</v>
      </c>
      <c r="N126" s="726">
        <f t="shared" si="24"/>
        <v>0</v>
      </c>
      <c r="O126" s="726">
        <f t="shared" si="25"/>
        <v>2.21</v>
      </c>
      <c r="P126" s="727" t="s">
        <v>63</v>
      </c>
      <c r="Q126" s="727"/>
    </row>
    <row r="127" spans="1:17" x14ac:dyDescent="0.25">
      <c r="A127" s="618"/>
      <c r="B127" s="744" t="s">
        <v>401</v>
      </c>
      <c r="C127" s="617">
        <v>5</v>
      </c>
      <c r="D127" s="723">
        <v>136</v>
      </c>
      <c r="E127" s="724">
        <v>1</v>
      </c>
      <c r="F127" s="747"/>
      <c r="G127" s="725">
        <f t="shared" si="19"/>
        <v>1.47E-3</v>
      </c>
      <c r="H127" s="725">
        <f t="shared" si="20"/>
        <v>0</v>
      </c>
      <c r="I127" s="725"/>
      <c r="J127" s="725">
        <f t="shared" si="21"/>
        <v>1.47E-3</v>
      </c>
      <c r="K127" s="617">
        <v>1500</v>
      </c>
      <c r="L127" s="726">
        <f t="shared" si="22"/>
        <v>2.21</v>
      </c>
      <c r="M127" s="726">
        <f t="shared" si="23"/>
        <v>0</v>
      </c>
      <c r="N127" s="726">
        <f t="shared" si="24"/>
        <v>0</v>
      </c>
      <c r="O127" s="726">
        <f t="shared" si="25"/>
        <v>2.21</v>
      </c>
      <c r="P127" s="727" t="s">
        <v>63</v>
      </c>
      <c r="Q127" s="727"/>
    </row>
    <row r="128" spans="1:17" x14ac:dyDescent="0.25">
      <c r="A128" s="618"/>
      <c r="B128" s="744" t="s">
        <v>405</v>
      </c>
      <c r="C128" s="617">
        <v>5</v>
      </c>
      <c r="D128" s="723">
        <v>136</v>
      </c>
      <c r="E128" s="724">
        <v>1</v>
      </c>
      <c r="F128" s="747"/>
      <c r="G128" s="725">
        <f t="shared" si="19"/>
        <v>1.47E-3</v>
      </c>
      <c r="H128" s="725">
        <f t="shared" si="20"/>
        <v>0</v>
      </c>
      <c r="I128" s="725"/>
      <c r="J128" s="725">
        <f t="shared" si="21"/>
        <v>1.47E-3</v>
      </c>
      <c r="K128" s="617">
        <v>25000</v>
      </c>
      <c r="L128" s="726">
        <f t="shared" si="22"/>
        <v>36.75</v>
      </c>
      <c r="M128" s="726">
        <f t="shared" si="23"/>
        <v>0</v>
      </c>
      <c r="N128" s="726">
        <f t="shared" si="24"/>
        <v>0</v>
      </c>
      <c r="O128" s="726">
        <f t="shared" si="25"/>
        <v>36.75</v>
      </c>
      <c r="P128" s="727" t="s">
        <v>63</v>
      </c>
      <c r="Q128" s="727"/>
    </row>
    <row r="129" spans="1:17" x14ac:dyDescent="0.25">
      <c r="A129" s="618"/>
      <c r="B129" s="744" t="s">
        <v>406</v>
      </c>
      <c r="C129" s="617">
        <v>5</v>
      </c>
      <c r="D129" s="723">
        <v>136</v>
      </c>
      <c r="E129" s="724">
        <v>1</v>
      </c>
      <c r="F129" s="747"/>
      <c r="G129" s="725">
        <f t="shared" si="19"/>
        <v>1.47E-3</v>
      </c>
      <c r="H129" s="725">
        <f t="shared" si="20"/>
        <v>0</v>
      </c>
      <c r="I129" s="725"/>
      <c r="J129" s="725">
        <f t="shared" si="21"/>
        <v>1.47E-3</v>
      </c>
      <c r="K129" s="617">
        <v>20000</v>
      </c>
      <c r="L129" s="726">
        <f t="shared" si="22"/>
        <v>29.4</v>
      </c>
      <c r="M129" s="726">
        <f t="shared" si="23"/>
        <v>0</v>
      </c>
      <c r="N129" s="726">
        <f t="shared" si="24"/>
        <v>0</v>
      </c>
      <c r="O129" s="726">
        <f t="shared" si="25"/>
        <v>29.4</v>
      </c>
      <c r="P129" s="727" t="s">
        <v>63</v>
      </c>
      <c r="Q129" s="727"/>
    </row>
    <row r="130" spans="1:17" x14ac:dyDescent="0.25">
      <c r="A130" s="618" t="s">
        <v>224</v>
      </c>
      <c r="B130" s="728" t="s">
        <v>212</v>
      </c>
      <c r="C130" s="729"/>
      <c r="D130" s="730"/>
      <c r="E130" s="730"/>
      <c r="F130" s="730"/>
      <c r="G130" s="731"/>
      <c r="H130" s="731"/>
      <c r="I130" s="731"/>
      <c r="J130" s="731"/>
      <c r="K130" s="729"/>
      <c r="L130" s="732">
        <f>SUM(L111:L129)</f>
        <v>671.8</v>
      </c>
      <c r="M130" s="732">
        <f>SUM(M111:M129)</f>
        <v>0</v>
      </c>
      <c r="N130" s="732">
        <f>SUM(N111:N129)</f>
        <v>0</v>
      </c>
      <c r="O130" s="732">
        <f>SUM(O111:O129)</f>
        <v>671.8</v>
      </c>
      <c r="P130" s="729" t="s">
        <v>295</v>
      </c>
      <c r="Q130" s="727"/>
    </row>
    <row r="131" spans="1:17" x14ac:dyDescent="0.25">
      <c r="A131" s="720"/>
      <c r="B131" s="1412" t="s">
        <v>145</v>
      </c>
      <c r="C131" s="1412"/>
      <c r="D131" s="1412"/>
      <c r="E131" s="1412"/>
      <c r="F131" s="1412"/>
      <c r="G131" s="1412"/>
      <c r="H131" s="1412"/>
      <c r="I131" s="1412"/>
      <c r="J131" s="1412"/>
      <c r="K131" s="1412"/>
      <c r="L131" s="1412"/>
      <c r="M131" s="1412"/>
      <c r="N131" s="1412"/>
      <c r="O131" s="1412"/>
      <c r="P131" s="1413"/>
      <c r="Q131" s="721"/>
    </row>
    <row r="132" spans="1:17" ht="22.5" x14ac:dyDescent="0.25">
      <c r="A132" s="618"/>
      <c r="B132" s="722" t="s">
        <v>148</v>
      </c>
      <c r="C132" s="617">
        <v>1</v>
      </c>
      <c r="D132" s="723">
        <v>136</v>
      </c>
      <c r="E132" s="723">
        <v>1</v>
      </c>
      <c r="F132" s="723"/>
      <c r="G132" s="725">
        <f t="shared" ref="G132:G195" si="26">(E132+F132)/D132/C132</f>
        <v>7.3499999999999998E-3</v>
      </c>
      <c r="H132" s="725">
        <f t="shared" ref="H132:H137" si="27">G132-J132</f>
        <v>0</v>
      </c>
      <c r="I132" s="725"/>
      <c r="J132" s="725">
        <f t="shared" ref="J132:J137" si="28">E132/D132/C132</f>
        <v>7.3499999999999998E-3</v>
      </c>
      <c r="K132" s="617">
        <v>1200</v>
      </c>
      <c r="L132" s="726">
        <f t="shared" ref="L132:L195" si="29">G132*K132</f>
        <v>8.82</v>
      </c>
      <c r="M132" s="726">
        <f t="shared" ref="M132:M137" si="30">H132*K132</f>
        <v>0</v>
      </c>
      <c r="N132" s="726">
        <f t="shared" ref="N132:N137" si="31">I132*K132</f>
        <v>0</v>
      </c>
      <c r="O132" s="726">
        <f t="shared" ref="O132:O137" si="32">L132-M132</f>
        <v>8.82</v>
      </c>
      <c r="P132" s="617" t="s">
        <v>153</v>
      </c>
      <c r="Q132" s="727"/>
    </row>
    <row r="133" spans="1:17" x14ac:dyDescent="0.25">
      <c r="A133" s="618"/>
      <c r="B133" s="722" t="s">
        <v>149</v>
      </c>
      <c r="C133" s="617">
        <v>1</v>
      </c>
      <c r="D133" s="723">
        <v>136</v>
      </c>
      <c r="E133" s="723">
        <v>1</v>
      </c>
      <c r="F133" s="723"/>
      <c r="G133" s="725">
        <f t="shared" si="26"/>
        <v>7.3499999999999998E-3</v>
      </c>
      <c r="H133" s="725">
        <f t="shared" si="27"/>
        <v>0</v>
      </c>
      <c r="I133" s="725"/>
      <c r="J133" s="725">
        <f t="shared" si="28"/>
        <v>7.3499999999999998E-3</v>
      </c>
      <c r="K133" s="617">
        <v>1200</v>
      </c>
      <c r="L133" s="726">
        <f t="shared" si="29"/>
        <v>8.82</v>
      </c>
      <c r="M133" s="726">
        <f t="shared" si="30"/>
        <v>0</v>
      </c>
      <c r="N133" s="726">
        <f t="shared" si="31"/>
        <v>0</v>
      </c>
      <c r="O133" s="726">
        <f t="shared" si="32"/>
        <v>8.82</v>
      </c>
      <c r="P133" s="617" t="s">
        <v>153</v>
      </c>
      <c r="Q133" s="727"/>
    </row>
    <row r="134" spans="1:17" ht="22.5" x14ac:dyDescent="0.25">
      <c r="A134" s="618"/>
      <c r="B134" s="722" t="s">
        <v>151</v>
      </c>
      <c r="C134" s="617">
        <v>1</v>
      </c>
      <c r="D134" s="723">
        <v>136</v>
      </c>
      <c r="E134" s="723">
        <v>2</v>
      </c>
      <c r="F134" s="723"/>
      <c r="G134" s="725">
        <f t="shared" si="26"/>
        <v>1.4710000000000001E-2</v>
      </c>
      <c r="H134" s="725">
        <f t="shared" si="27"/>
        <v>0</v>
      </c>
      <c r="I134" s="725"/>
      <c r="J134" s="725">
        <f t="shared" si="28"/>
        <v>1.4710000000000001E-2</v>
      </c>
      <c r="K134" s="617">
        <v>1200</v>
      </c>
      <c r="L134" s="726">
        <f t="shared" si="29"/>
        <v>17.649999999999999</v>
      </c>
      <c r="M134" s="726">
        <f t="shared" si="30"/>
        <v>0</v>
      </c>
      <c r="N134" s="726">
        <f t="shared" si="31"/>
        <v>0</v>
      </c>
      <c r="O134" s="726">
        <f t="shared" si="32"/>
        <v>17.649999999999999</v>
      </c>
      <c r="P134" s="617" t="s">
        <v>154</v>
      </c>
      <c r="Q134" s="727"/>
    </row>
    <row r="135" spans="1:17" x14ac:dyDescent="0.25">
      <c r="A135" s="618"/>
      <c r="B135" s="722" t="s">
        <v>150</v>
      </c>
      <c r="C135" s="617">
        <v>1</v>
      </c>
      <c r="D135" s="723">
        <v>136</v>
      </c>
      <c r="E135" s="723">
        <v>2</v>
      </c>
      <c r="F135" s="723"/>
      <c r="G135" s="725">
        <f t="shared" si="26"/>
        <v>1.4710000000000001E-2</v>
      </c>
      <c r="H135" s="725">
        <f t="shared" si="27"/>
        <v>0</v>
      </c>
      <c r="I135" s="725"/>
      <c r="J135" s="725">
        <f t="shared" si="28"/>
        <v>1.4710000000000001E-2</v>
      </c>
      <c r="K135" s="617">
        <v>1500</v>
      </c>
      <c r="L135" s="726">
        <f t="shared" si="29"/>
        <v>22.07</v>
      </c>
      <c r="M135" s="726">
        <f t="shared" si="30"/>
        <v>0</v>
      </c>
      <c r="N135" s="726">
        <f t="shared" si="31"/>
        <v>0</v>
      </c>
      <c r="O135" s="726">
        <f t="shared" si="32"/>
        <v>22.07</v>
      </c>
      <c r="P135" s="617" t="s">
        <v>154</v>
      </c>
      <c r="Q135" s="727"/>
    </row>
    <row r="136" spans="1:17" x14ac:dyDescent="0.25">
      <c r="A136" s="618"/>
      <c r="B136" s="722" t="s">
        <v>152</v>
      </c>
      <c r="C136" s="617">
        <v>1</v>
      </c>
      <c r="D136" s="723">
        <v>136</v>
      </c>
      <c r="E136" s="723">
        <v>44</v>
      </c>
      <c r="F136" s="723"/>
      <c r="G136" s="725">
        <f t="shared" si="26"/>
        <v>0.32352999999999998</v>
      </c>
      <c r="H136" s="725">
        <f t="shared" si="27"/>
        <v>0</v>
      </c>
      <c r="I136" s="725"/>
      <c r="J136" s="725">
        <f t="shared" si="28"/>
        <v>0.32352999999999998</v>
      </c>
      <c r="K136" s="617">
        <v>350</v>
      </c>
      <c r="L136" s="726">
        <f t="shared" si="29"/>
        <v>113.24</v>
      </c>
      <c r="M136" s="726">
        <f t="shared" si="30"/>
        <v>0</v>
      </c>
      <c r="N136" s="726">
        <f t="shared" si="31"/>
        <v>0</v>
      </c>
      <c r="O136" s="726">
        <f t="shared" si="32"/>
        <v>113.24</v>
      </c>
      <c r="P136" s="617" t="s">
        <v>155</v>
      </c>
      <c r="Q136" s="727"/>
    </row>
    <row r="137" spans="1:17" ht="22.5" x14ac:dyDescent="0.25">
      <c r="A137" s="618"/>
      <c r="B137" s="722" t="s">
        <v>138</v>
      </c>
      <c r="C137" s="617">
        <v>1</v>
      </c>
      <c r="D137" s="723">
        <v>136</v>
      </c>
      <c r="E137" s="723">
        <v>1</v>
      </c>
      <c r="F137" s="723"/>
      <c r="G137" s="725">
        <f t="shared" si="26"/>
        <v>7.3499999999999998E-3</v>
      </c>
      <c r="H137" s="725">
        <f t="shared" si="27"/>
        <v>0</v>
      </c>
      <c r="I137" s="725"/>
      <c r="J137" s="725">
        <f t="shared" si="28"/>
        <v>7.3499999999999998E-3</v>
      </c>
      <c r="K137" s="617">
        <v>1200</v>
      </c>
      <c r="L137" s="726">
        <f t="shared" si="29"/>
        <v>8.82</v>
      </c>
      <c r="M137" s="726">
        <f t="shared" si="30"/>
        <v>0</v>
      </c>
      <c r="N137" s="726">
        <f t="shared" si="31"/>
        <v>0</v>
      </c>
      <c r="O137" s="726">
        <f t="shared" si="32"/>
        <v>8.82</v>
      </c>
      <c r="P137" s="617" t="s">
        <v>153</v>
      </c>
      <c r="Q137" s="727"/>
    </row>
    <row r="138" spans="1:17" x14ac:dyDescent="0.25">
      <c r="A138" s="618" t="s">
        <v>224</v>
      </c>
      <c r="B138" s="728" t="s">
        <v>212</v>
      </c>
      <c r="C138" s="729"/>
      <c r="D138" s="730"/>
      <c r="E138" s="730"/>
      <c r="F138" s="730"/>
      <c r="G138" s="731"/>
      <c r="H138" s="731"/>
      <c r="I138" s="731"/>
      <c r="J138" s="731"/>
      <c r="K138" s="729"/>
      <c r="L138" s="732">
        <f>SUM(L132:L137)</f>
        <v>179.42</v>
      </c>
      <c r="M138" s="732">
        <f>SUM(M132:M137)</f>
        <v>0</v>
      </c>
      <c r="N138" s="732">
        <f>SUM(N132:N137)</f>
        <v>0</v>
      </c>
      <c r="O138" s="732">
        <f>SUM(O132:O137)</f>
        <v>179.42</v>
      </c>
      <c r="P138" s="729" t="s">
        <v>295</v>
      </c>
      <c r="Q138" s="727"/>
    </row>
    <row r="139" spans="1:17" x14ac:dyDescent="0.25">
      <c r="A139" s="720"/>
      <c r="B139" s="1412" t="s">
        <v>347</v>
      </c>
      <c r="C139" s="1412"/>
      <c r="D139" s="1412"/>
      <c r="E139" s="1412"/>
      <c r="F139" s="1412"/>
      <c r="G139" s="1412"/>
      <c r="H139" s="1412"/>
      <c r="I139" s="1412"/>
      <c r="J139" s="1412"/>
      <c r="K139" s="1412"/>
      <c r="L139" s="1412"/>
      <c r="M139" s="1412"/>
      <c r="N139" s="1412"/>
      <c r="O139" s="1412"/>
      <c r="P139" s="1413"/>
      <c r="Q139" s="721"/>
    </row>
    <row r="140" spans="1:17" x14ac:dyDescent="0.25">
      <c r="A140" s="618"/>
      <c r="B140" s="722" t="s">
        <v>156</v>
      </c>
      <c r="C140" s="617">
        <v>1</v>
      </c>
      <c r="D140" s="723">
        <v>136</v>
      </c>
      <c r="E140" s="745">
        <v>3</v>
      </c>
      <c r="F140" s="745">
        <v>1</v>
      </c>
      <c r="G140" s="725">
        <f t="shared" si="26"/>
        <v>2.9409999999999999E-2</v>
      </c>
      <c r="H140" s="725">
        <f t="shared" ref="H140:H146" si="33">G140-J140</f>
        <v>7.3499999999999998E-3</v>
      </c>
      <c r="I140" s="725">
        <f>(F140)/D140/C140</f>
        <v>7.3499999999999998E-3</v>
      </c>
      <c r="J140" s="725">
        <f t="shared" ref="J140:J146" si="34">E140/D140/C140</f>
        <v>2.206E-2</v>
      </c>
      <c r="K140" s="617">
        <v>1323</v>
      </c>
      <c r="L140" s="726">
        <f t="shared" si="29"/>
        <v>38.909999999999997</v>
      </c>
      <c r="M140" s="726">
        <f t="shared" ref="M140:M146" si="35">H140*K140</f>
        <v>9.7200000000000006</v>
      </c>
      <c r="N140" s="726">
        <f t="shared" ref="N140:N146" si="36">I140*K140</f>
        <v>9.7200000000000006</v>
      </c>
      <c r="O140" s="726">
        <f t="shared" ref="O140:O146" si="37">L140-M140</f>
        <v>29.19</v>
      </c>
      <c r="P140" s="617" t="s">
        <v>177</v>
      </c>
      <c r="Q140" s="727"/>
    </row>
    <row r="141" spans="1:17" x14ac:dyDescent="0.25">
      <c r="A141" s="618"/>
      <c r="B141" s="722" t="s">
        <v>157</v>
      </c>
      <c r="C141" s="617">
        <v>1</v>
      </c>
      <c r="D141" s="723">
        <v>136</v>
      </c>
      <c r="E141" s="745">
        <v>23</v>
      </c>
      <c r="F141" s="745">
        <v>17</v>
      </c>
      <c r="G141" s="725">
        <f t="shared" si="26"/>
        <v>0.29411999999999999</v>
      </c>
      <c r="H141" s="725">
        <f>G141-J141</f>
        <v>0.125</v>
      </c>
      <c r="I141" s="725">
        <f>(F141)/D141/C141</f>
        <v>0.125</v>
      </c>
      <c r="J141" s="725">
        <f t="shared" si="34"/>
        <v>0.16911999999999999</v>
      </c>
      <c r="K141" s="617">
        <v>1745</v>
      </c>
      <c r="L141" s="726">
        <f t="shared" si="29"/>
        <v>513.24</v>
      </c>
      <c r="M141" s="726">
        <f t="shared" si="35"/>
        <v>218.13</v>
      </c>
      <c r="N141" s="726">
        <f t="shared" si="36"/>
        <v>218.13</v>
      </c>
      <c r="O141" s="726">
        <f t="shared" si="37"/>
        <v>295.11</v>
      </c>
      <c r="P141" s="617" t="s">
        <v>177</v>
      </c>
      <c r="Q141" s="727"/>
    </row>
    <row r="142" spans="1:17" x14ac:dyDescent="0.25">
      <c r="A142" s="618"/>
      <c r="B142" s="744" t="s">
        <v>158</v>
      </c>
      <c r="C142" s="617">
        <v>1</v>
      </c>
      <c r="D142" s="745">
        <v>209</v>
      </c>
      <c r="E142" s="723">
        <v>2300</v>
      </c>
      <c r="F142" s="723"/>
      <c r="G142" s="725">
        <f t="shared" si="26"/>
        <v>11.00478</v>
      </c>
      <c r="H142" s="725">
        <f t="shared" si="33"/>
        <v>0</v>
      </c>
      <c r="I142" s="725"/>
      <c r="J142" s="725">
        <f t="shared" si="34"/>
        <v>11.00478</v>
      </c>
      <c r="K142" s="617">
        <v>0.22</v>
      </c>
      <c r="L142" s="726">
        <f t="shared" si="29"/>
        <v>2.42</v>
      </c>
      <c r="M142" s="726">
        <f t="shared" si="35"/>
        <v>0</v>
      </c>
      <c r="N142" s="726">
        <f t="shared" si="36"/>
        <v>0</v>
      </c>
      <c r="O142" s="726">
        <f t="shared" si="37"/>
        <v>2.42</v>
      </c>
      <c r="P142" s="727" t="s">
        <v>292</v>
      </c>
      <c r="Q142" s="727" t="s">
        <v>348</v>
      </c>
    </row>
    <row r="143" spans="1:17" x14ac:dyDescent="0.25">
      <c r="A143" s="618"/>
      <c r="B143" s="722" t="s">
        <v>159</v>
      </c>
      <c r="C143" s="617">
        <v>1</v>
      </c>
      <c r="D143" s="745">
        <v>209</v>
      </c>
      <c r="E143" s="723">
        <v>2300</v>
      </c>
      <c r="F143" s="723"/>
      <c r="G143" s="725">
        <f t="shared" si="26"/>
        <v>11.00478</v>
      </c>
      <c r="H143" s="725">
        <f t="shared" si="33"/>
        <v>0</v>
      </c>
      <c r="I143" s="725"/>
      <c r="J143" s="725">
        <f t="shared" si="34"/>
        <v>11.00478</v>
      </c>
      <c r="K143" s="617">
        <v>0.8</v>
      </c>
      <c r="L143" s="726">
        <f t="shared" si="29"/>
        <v>8.8000000000000007</v>
      </c>
      <c r="M143" s="726">
        <f t="shared" si="35"/>
        <v>0</v>
      </c>
      <c r="N143" s="726">
        <f t="shared" si="36"/>
        <v>0</v>
      </c>
      <c r="O143" s="726">
        <f t="shared" si="37"/>
        <v>8.8000000000000007</v>
      </c>
      <c r="P143" s="727" t="s">
        <v>292</v>
      </c>
      <c r="Q143" s="727" t="s">
        <v>348</v>
      </c>
    </row>
    <row r="144" spans="1:17" x14ac:dyDescent="0.25">
      <c r="A144" s="618"/>
      <c r="B144" s="722" t="s">
        <v>160</v>
      </c>
      <c r="C144" s="617">
        <v>1</v>
      </c>
      <c r="D144" s="745">
        <v>209</v>
      </c>
      <c r="E144" s="723">
        <f>600*2</f>
        <v>1200</v>
      </c>
      <c r="F144" s="723"/>
      <c r="G144" s="725">
        <f t="shared" si="26"/>
        <v>5.7416299999999998</v>
      </c>
      <c r="H144" s="725">
        <f t="shared" si="33"/>
        <v>0</v>
      </c>
      <c r="I144" s="725"/>
      <c r="J144" s="725">
        <f t="shared" si="34"/>
        <v>5.7416299999999998</v>
      </c>
      <c r="K144" s="617">
        <f>400/1000</f>
        <v>0.4</v>
      </c>
      <c r="L144" s="726">
        <f t="shared" si="29"/>
        <v>2.2999999999999998</v>
      </c>
      <c r="M144" s="726">
        <f t="shared" si="35"/>
        <v>0</v>
      </c>
      <c r="N144" s="726">
        <f t="shared" si="36"/>
        <v>0</v>
      </c>
      <c r="O144" s="726">
        <f t="shared" si="37"/>
        <v>2.2999999999999998</v>
      </c>
      <c r="P144" s="727" t="s">
        <v>349</v>
      </c>
      <c r="Q144" s="727" t="s">
        <v>348</v>
      </c>
    </row>
    <row r="145" spans="1:17" x14ac:dyDescent="0.25">
      <c r="A145" s="618"/>
      <c r="B145" s="722" t="s">
        <v>161</v>
      </c>
      <c r="C145" s="617">
        <v>1</v>
      </c>
      <c r="D145" s="745">
        <v>209</v>
      </c>
      <c r="E145" s="723">
        <v>6</v>
      </c>
      <c r="F145" s="723"/>
      <c r="G145" s="725">
        <f t="shared" si="26"/>
        <v>2.8709999999999999E-2</v>
      </c>
      <c r="H145" s="725">
        <f t="shared" si="33"/>
        <v>0</v>
      </c>
      <c r="I145" s="725"/>
      <c r="J145" s="725">
        <f t="shared" si="34"/>
        <v>2.8709999999999999E-2</v>
      </c>
      <c r="K145" s="617">
        <v>1220</v>
      </c>
      <c r="L145" s="726">
        <f t="shared" si="29"/>
        <v>35.03</v>
      </c>
      <c r="M145" s="726">
        <f t="shared" si="35"/>
        <v>0</v>
      </c>
      <c r="N145" s="726">
        <f t="shared" si="36"/>
        <v>0</v>
      </c>
      <c r="O145" s="726">
        <f t="shared" si="37"/>
        <v>35.03</v>
      </c>
      <c r="P145" s="617" t="s">
        <v>350</v>
      </c>
      <c r="Q145" s="727" t="s">
        <v>348</v>
      </c>
    </row>
    <row r="146" spans="1:17" ht="14.25" customHeight="1" x14ac:dyDescent="0.25">
      <c r="A146" s="618"/>
      <c r="B146" s="744" t="s">
        <v>162</v>
      </c>
      <c r="C146" s="617">
        <v>1</v>
      </c>
      <c r="D146" s="745">
        <v>209</v>
      </c>
      <c r="E146" s="723">
        <v>2</v>
      </c>
      <c r="F146" s="723"/>
      <c r="G146" s="725">
        <f t="shared" si="26"/>
        <v>9.5700000000000004E-3</v>
      </c>
      <c r="H146" s="725">
        <f t="shared" si="33"/>
        <v>0</v>
      </c>
      <c r="I146" s="725"/>
      <c r="J146" s="725">
        <f t="shared" si="34"/>
        <v>9.5700000000000004E-3</v>
      </c>
      <c r="K146" s="617">
        <v>1320</v>
      </c>
      <c r="L146" s="726">
        <f t="shared" si="29"/>
        <v>12.63</v>
      </c>
      <c r="M146" s="726">
        <f t="shared" si="35"/>
        <v>0</v>
      </c>
      <c r="N146" s="726">
        <f t="shared" si="36"/>
        <v>0</v>
      </c>
      <c r="O146" s="726">
        <f t="shared" si="37"/>
        <v>12.63</v>
      </c>
      <c r="P146" s="617" t="s">
        <v>351</v>
      </c>
      <c r="Q146" s="727" t="s">
        <v>348</v>
      </c>
    </row>
    <row r="147" spans="1:17" x14ac:dyDescent="0.25">
      <c r="A147" s="618"/>
      <c r="B147" s="728" t="s">
        <v>212</v>
      </c>
      <c r="C147" s="729"/>
      <c r="D147" s="730"/>
      <c r="E147" s="730"/>
      <c r="F147" s="730"/>
      <c r="G147" s="731"/>
      <c r="H147" s="731"/>
      <c r="I147" s="731"/>
      <c r="J147" s="731"/>
      <c r="K147" s="729"/>
      <c r="L147" s="732">
        <f>SUM(L140:L146)</f>
        <v>613.33000000000004</v>
      </c>
      <c r="M147" s="732">
        <f>SUM(M140:M146)</f>
        <v>227.85</v>
      </c>
      <c r="N147" s="732">
        <f>SUM(N140:N146)</f>
        <v>227.85</v>
      </c>
      <c r="O147" s="732">
        <f>SUM(O140:O146)</f>
        <v>385.48</v>
      </c>
      <c r="P147" s="729"/>
      <c r="Q147" s="727"/>
    </row>
    <row r="148" spans="1:17" x14ac:dyDescent="0.25">
      <c r="A148" s="618" t="s">
        <v>222</v>
      </c>
      <c r="B148" s="728"/>
      <c r="C148" s="729"/>
      <c r="D148" s="730"/>
      <c r="E148" s="730"/>
      <c r="F148" s="730"/>
      <c r="G148" s="731"/>
      <c r="H148" s="731"/>
      <c r="I148" s="731"/>
      <c r="J148" s="731"/>
      <c r="K148" s="729"/>
      <c r="L148" s="732">
        <f>SUM(M148:O148)</f>
        <v>227.85</v>
      </c>
      <c r="M148" s="732"/>
      <c r="N148" s="732">
        <f>N147</f>
        <v>227.85</v>
      </c>
      <c r="O148" s="732"/>
      <c r="P148" s="729" t="s">
        <v>294</v>
      </c>
      <c r="Q148" s="727"/>
    </row>
    <row r="149" spans="1:17" x14ac:dyDescent="0.25">
      <c r="A149" s="618" t="s">
        <v>224</v>
      </c>
      <c r="B149" s="728"/>
      <c r="C149" s="729"/>
      <c r="D149" s="730"/>
      <c r="E149" s="730"/>
      <c r="F149" s="730"/>
      <c r="G149" s="731"/>
      <c r="H149" s="731"/>
      <c r="I149" s="731"/>
      <c r="J149" s="731"/>
      <c r="K149" s="729"/>
      <c r="L149" s="732">
        <f>SUM(M149:O149)</f>
        <v>385.48</v>
      </c>
      <c r="M149" s="732">
        <f>M147-N148</f>
        <v>0</v>
      </c>
      <c r="N149" s="732"/>
      <c r="O149" s="732">
        <f>O147</f>
        <v>385.48</v>
      </c>
      <c r="P149" s="729" t="s">
        <v>295</v>
      </c>
      <c r="Q149" s="727"/>
    </row>
    <row r="150" spans="1:17" x14ac:dyDescent="0.25">
      <c r="A150" s="720"/>
      <c r="B150" s="1412" t="s">
        <v>164</v>
      </c>
      <c r="C150" s="1412"/>
      <c r="D150" s="1412"/>
      <c r="E150" s="1412"/>
      <c r="F150" s="1412"/>
      <c r="G150" s="1412"/>
      <c r="H150" s="1412"/>
      <c r="I150" s="1412"/>
      <c r="J150" s="1412"/>
      <c r="K150" s="1412"/>
      <c r="L150" s="1412"/>
      <c r="M150" s="1412"/>
      <c r="N150" s="1412"/>
      <c r="O150" s="1412"/>
      <c r="P150" s="1413"/>
      <c r="Q150" s="721"/>
    </row>
    <row r="151" spans="1:17" x14ac:dyDescent="0.25">
      <c r="A151" s="618"/>
      <c r="B151" s="722" t="s">
        <v>165</v>
      </c>
      <c r="C151" s="617">
        <v>1</v>
      </c>
      <c r="D151" s="723">
        <v>136</v>
      </c>
      <c r="E151" s="723">
        <v>12</v>
      </c>
      <c r="F151" s="723"/>
      <c r="G151" s="725">
        <f t="shared" si="26"/>
        <v>8.8239999999999999E-2</v>
      </c>
      <c r="H151" s="725">
        <f>G151-J151</f>
        <v>8.8239999999999999E-2</v>
      </c>
      <c r="I151" s="725"/>
      <c r="J151" s="725"/>
      <c r="K151" s="723">
        <v>2000</v>
      </c>
      <c r="L151" s="726">
        <f t="shared" si="29"/>
        <v>176.48</v>
      </c>
      <c r="M151" s="726">
        <f>H151*K151</f>
        <v>176.48</v>
      </c>
      <c r="N151" s="726">
        <f>I151*K151</f>
        <v>0</v>
      </c>
      <c r="O151" s="726">
        <f>L151-M151</f>
        <v>0</v>
      </c>
      <c r="P151" s="617" t="s">
        <v>169</v>
      </c>
      <c r="Q151" s="727"/>
    </row>
    <row r="152" spans="1:17" x14ac:dyDescent="0.25">
      <c r="A152" s="618"/>
      <c r="B152" s="722" t="s">
        <v>166</v>
      </c>
      <c r="C152" s="617">
        <v>1</v>
      </c>
      <c r="D152" s="723">
        <v>136</v>
      </c>
      <c r="E152" s="723">
        <v>12</v>
      </c>
      <c r="F152" s="723"/>
      <c r="G152" s="725">
        <f t="shared" si="26"/>
        <v>8.8239999999999999E-2</v>
      </c>
      <c r="H152" s="725">
        <f>G152-J152</f>
        <v>8.8239999999999999E-2</v>
      </c>
      <c r="I152" s="725"/>
      <c r="J152" s="725"/>
      <c r="K152" s="723">
        <v>6000</v>
      </c>
      <c r="L152" s="726">
        <f t="shared" si="29"/>
        <v>529.44000000000005</v>
      </c>
      <c r="M152" s="726">
        <f>H152*K152</f>
        <v>529.44000000000005</v>
      </c>
      <c r="N152" s="726">
        <f>I152*K152</f>
        <v>0</v>
      </c>
      <c r="O152" s="726">
        <f>L152-M152</f>
        <v>0</v>
      </c>
      <c r="P152" s="617" t="s">
        <v>169</v>
      </c>
      <c r="Q152" s="727"/>
    </row>
    <row r="153" spans="1:17" x14ac:dyDescent="0.25">
      <c r="A153" s="618"/>
      <c r="B153" s="722" t="s">
        <v>167</v>
      </c>
      <c r="C153" s="617">
        <v>1</v>
      </c>
      <c r="D153" s="723">
        <v>136</v>
      </c>
      <c r="E153" s="723">
        <v>12</v>
      </c>
      <c r="F153" s="723"/>
      <c r="G153" s="725">
        <f t="shared" si="26"/>
        <v>8.8239999999999999E-2</v>
      </c>
      <c r="H153" s="725">
        <f>G153-J153</f>
        <v>8.8239999999999999E-2</v>
      </c>
      <c r="I153" s="725"/>
      <c r="J153" s="725"/>
      <c r="K153" s="723">
        <v>380</v>
      </c>
      <c r="L153" s="726">
        <f t="shared" si="29"/>
        <v>33.53</v>
      </c>
      <c r="M153" s="726">
        <f>H153*K153</f>
        <v>33.53</v>
      </c>
      <c r="N153" s="726">
        <f>I153*K153</f>
        <v>0</v>
      </c>
      <c r="O153" s="726">
        <f>L153-M153</f>
        <v>0</v>
      </c>
      <c r="P153" s="617" t="s">
        <v>169</v>
      </c>
      <c r="Q153" s="727"/>
    </row>
    <row r="154" spans="1:17" x14ac:dyDescent="0.25">
      <c r="A154" s="618"/>
      <c r="B154" s="722" t="s">
        <v>168</v>
      </c>
      <c r="C154" s="617">
        <v>1</v>
      </c>
      <c r="D154" s="723">
        <v>136</v>
      </c>
      <c r="E154" s="723">
        <v>12</v>
      </c>
      <c r="F154" s="723"/>
      <c r="G154" s="725">
        <f t="shared" si="26"/>
        <v>8.8239999999999999E-2</v>
      </c>
      <c r="H154" s="725">
        <f>G154-J154</f>
        <v>8.8239999999999999E-2</v>
      </c>
      <c r="I154" s="725"/>
      <c r="J154" s="725"/>
      <c r="K154" s="723">
        <v>260</v>
      </c>
      <c r="L154" s="726">
        <f t="shared" si="29"/>
        <v>22.94</v>
      </c>
      <c r="M154" s="726">
        <f>H154*K154</f>
        <v>22.94</v>
      </c>
      <c r="N154" s="726">
        <f>I154*K154</f>
        <v>0</v>
      </c>
      <c r="O154" s="726">
        <f>L154-M154</f>
        <v>0</v>
      </c>
      <c r="P154" s="617" t="s">
        <v>169</v>
      </c>
      <c r="Q154" s="727"/>
    </row>
    <row r="155" spans="1:17" ht="22.5" x14ac:dyDescent="0.25">
      <c r="A155" s="618"/>
      <c r="B155" s="722" t="s">
        <v>195</v>
      </c>
      <c r="C155" s="617">
        <v>1</v>
      </c>
      <c r="D155" s="723">
        <v>136</v>
      </c>
      <c r="E155" s="723">
        <v>1</v>
      </c>
      <c r="F155" s="723"/>
      <c r="G155" s="725">
        <f t="shared" si="26"/>
        <v>7.3499999999999998E-3</v>
      </c>
      <c r="H155" s="725">
        <f>G155-J155</f>
        <v>7.3499999999999998E-3</v>
      </c>
      <c r="I155" s="725"/>
      <c r="J155" s="725"/>
      <c r="K155" s="723">
        <v>6320</v>
      </c>
      <c r="L155" s="726">
        <f t="shared" si="29"/>
        <v>46.45</v>
      </c>
      <c r="M155" s="726">
        <f>H155*K155</f>
        <v>46.45</v>
      </c>
      <c r="N155" s="726">
        <f>I155*K155</f>
        <v>0</v>
      </c>
      <c r="O155" s="726">
        <f>L155-M155</f>
        <v>0</v>
      </c>
      <c r="P155" s="617" t="s">
        <v>170</v>
      </c>
      <c r="Q155" s="727"/>
    </row>
    <row r="156" spans="1:17" x14ac:dyDescent="0.25">
      <c r="A156" s="618"/>
      <c r="B156" s="728" t="s">
        <v>212</v>
      </c>
      <c r="C156" s="729"/>
      <c r="D156" s="730"/>
      <c r="E156" s="730"/>
      <c r="F156" s="730"/>
      <c r="G156" s="731"/>
      <c r="H156" s="731"/>
      <c r="I156" s="731"/>
      <c r="J156" s="731"/>
      <c r="K156" s="729"/>
      <c r="L156" s="732">
        <f>SUM(L151:L155)</f>
        <v>808.84</v>
      </c>
      <c r="M156" s="732">
        <f>SUM(M151:M155)</f>
        <v>808.84</v>
      </c>
      <c r="N156" s="732">
        <f>SUM(N151:N155)</f>
        <v>0</v>
      </c>
      <c r="O156" s="732">
        <f>SUM(O151:O155)</f>
        <v>0</v>
      </c>
      <c r="P156" s="729"/>
      <c r="Q156" s="727"/>
    </row>
    <row r="157" spans="1:17" x14ac:dyDescent="0.25">
      <c r="A157" s="618" t="s">
        <v>222</v>
      </c>
      <c r="B157" s="728"/>
      <c r="C157" s="729"/>
      <c r="D157" s="730"/>
      <c r="E157" s="730"/>
      <c r="F157" s="730"/>
      <c r="G157" s="731"/>
      <c r="H157" s="731"/>
      <c r="I157" s="731"/>
      <c r="J157" s="731"/>
      <c r="K157" s="729"/>
      <c r="L157" s="732">
        <f>SUM(M157:O157)</f>
        <v>808.84</v>
      </c>
      <c r="M157" s="732">
        <f>M156</f>
        <v>808.84</v>
      </c>
      <c r="N157" s="732">
        <f>N156</f>
        <v>0</v>
      </c>
      <c r="O157" s="748"/>
      <c r="P157" s="729" t="s">
        <v>294</v>
      </c>
      <c r="Q157" s="727"/>
    </row>
    <row r="158" spans="1:17" x14ac:dyDescent="0.25">
      <c r="A158" s="618" t="s">
        <v>242</v>
      </c>
      <c r="B158" s="728"/>
      <c r="C158" s="729"/>
      <c r="D158" s="730"/>
      <c r="E158" s="730"/>
      <c r="F158" s="730"/>
      <c r="G158" s="731"/>
      <c r="H158" s="731"/>
      <c r="I158" s="731"/>
      <c r="J158" s="731"/>
      <c r="K158" s="729"/>
      <c r="L158" s="732">
        <f>SUM(M158:O158)</f>
        <v>0</v>
      </c>
      <c r="M158" s="748"/>
      <c r="N158" s="748"/>
      <c r="O158" s="732">
        <f>O156</f>
        <v>0</v>
      </c>
      <c r="P158" s="729" t="s">
        <v>295</v>
      </c>
      <c r="Q158" s="727"/>
    </row>
    <row r="159" spans="1:17" x14ac:dyDescent="0.25">
      <c r="A159" s="720"/>
      <c r="B159" s="1412" t="s">
        <v>171</v>
      </c>
      <c r="C159" s="1412"/>
      <c r="D159" s="1412"/>
      <c r="E159" s="1412"/>
      <c r="F159" s="1412"/>
      <c r="G159" s="1412"/>
      <c r="H159" s="1412"/>
      <c r="I159" s="1412"/>
      <c r="J159" s="1412"/>
      <c r="K159" s="1412"/>
      <c r="L159" s="1412"/>
      <c r="M159" s="1412"/>
      <c r="N159" s="1412"/>
      <c r="O159" s="1412"/>
      <c r="P159" s="1413"/>
      <c r="Q159" s="721"/>
    </row>
    <row r="160" spans="1:17" hidden="1" x14ac:dyDescent="0.25">
      <c r="A160" s="618"/>
      <c r="B160" s="722" t="s">
        <v>176</v>
      </c>
      <c r="C160" s="617">
        <v>1</v>
      </c>
      <c r="D160" s="749">
        <v>209</v>
      </c>
      <c r="E160" s="723">
        <v>12</v>
      </c>
      <c r="F160" s="723"/>
      <c r="G160" s="725">
        <f t="shared" si="26"/>
        <v>5.7419999999999999E-2</v>
      </c>
      <c r="H160" s="725">
        <f>G160-J160</f>
        <v>0</v>
      </c>
      <c r="I160" s="725"/>
      <c r="J160" s="725">
        <f>E160/D160/C160</f>
        <v>5.7419999999999999E-2</v>
      </c>
      <c r="K160" s="723">
        <f>2340-2340</f>
        <v>0</v>
      </c>
      <c r="L160" s="726">
        <f t="shared" si="29"/>
        <v>0</v>
      </c>
      <c r="M160" s="726">
        <f>H160*K160</f>
        <v>0</v>
      </c>
      <c r="N160" s="726">
        <f>I160*K160</f>
        <v>0</v>
      </c>
      <c r="O160" s="726">
        <f>L160-M160</f>
        <v>0</v>
      </c>
      <c r="P160" s="617" t="s">
        <v>169</v>
      </c>
      <c r="Q160" s="727" t="s">
        <v>348</v>
      </c>
    </row>
    <row r="161" spans="1:17" x14ac:dyDescent="0.25">
      <c r="A161" s="618"/>
      <c r="B161" s="722" t="s">
        <v>174</v>
      </c>
      <c r="C161" s="617">
        <v>1</v>
      </c>
      <c r="D161" s="745">
        <v>209</v>
      </c>
      <c r="E161" s="750">
        <v>2436</v>
      </c>
      <c r="F161" s="723"/>
      <c r="G161" s="725">
        <f t="shared" si="26"/>
        <v>11.6555</v>
      </c>
      <c r="H161" s="725">
        <f>G161-J161</f>
        <v>0</v>
      </c>
      <c r="I161" s="725"/>
      <c r="J161" s="725">
        <f>E161/D161/C161</f>
        <v>11.6555</v>
      </c>
      <c r="K161" s="617">
        <v>0.64</v>
      </c>
      <c r="L161" s="726">
        <f t="shared" si="29"/>
        <v>7.46</v>
      </c>
      <c r="M161" s="726">
        <f>H161*K161</f>
        <v>0</v>
      </c>
      <c r="N161" s="726">
        <f>I161*K161</f>
        <v>0</v>
      </c>
      <c r="O161" s="726">
        <f>L161-M161</f>
        <v>7.46</v>
      </c>
      <c r="P161" s="727" t="s">
        <v>172</v>
      </c>
      <c r="Q161" s="727" t="s">
        <v>348</v>
      </c>
    </row>
    <row r="162" spans="1:17" x14ac:dyDescent="0.25">
      <c r="A162" s="618"/>
      <c r="B162" s="722" t="s">
        <v>175</v>
      </c>
      <c r="C162" s="617">
        <v>1</v>
      </c>
      <c r="D162" s="745">
        <v>209</v>
      </c>
      <c r="E162" s="750">
        <v>2436</v>
      </c>
      <c r="F162" s="723"/>
      <c r="G162" s="725">
        <f t="shared" si="26"/>
        <v>11.6555</v>
      </c>
      <c r="H162" s="725">
        <f>G162-J162</f>
        <v>0</v>
      </c>
      <c r="I162" s="725"/>
      <c r="J162" s="725">
        <f>E162/D162/C162</f>
        <v>11.6555</v>
      </c>
      <c r="K162" s="751">
        <v>0.73</v>
      </c>
      <c r="L162" s="726">
        <f t="shared" si="29"/>
        <v>8.51</v>
      </c>
      <c r="M162" s="726">
        <f>H162*K162</f>
        <v>0</v>
      </c>
      <c r="N162" s="726">
        <f>I162*K162</f>
        <v>0</v>
      </c>
      <c r="O162" s="726">
        <f>L162-M162</f>
        <v>8.51</v>
      </c>
      <c r="P162" s="727" t="s">
        <v>173</v>
      </c>
      <c r="Q162" s="727" t="s">
        <v>348</v>
      </c>
    </row>
    <row r="163" spans="1:17" x14ac:dyDescent="0.25">
      <c r="A163" s="618" t="s">
        <v>243</v>
      </c>
      <c r="B163" s="728" t="s">
        <v>212</v>
      </c>
      <c r="C163" s="729"/>
      <c r="D163" s="730"/>
      <c r="E163" s="730"/>
      <c r="F163" s="730"/>
      <c r="G163" s="731"/>
      <c r="H163" s="731"/>
      <c r="I163" s="731"/>
      <c r="J163" s="731"/>
      <c r="K163" s="729"/>
      <c r="L163" s="732">
        <f>SUM(L160:L162)</f>
        <v>15.97</v>
      </c>
      <c r="M163" s="732">
        <f>SUM(M160:M162)</f>
        <v>0</v>
      </c>
      <c r="N163" s="732">
        <f>SUM(N160:N162)</f>
        <v>0</v>
      </c>
      <c r="O163" s="732">
        <f>SUM(O160:O162)</f>
        <v>15.97</v>
      </c>
      <c r="P163" s="729" t="s">
        <v>295</v>
      </c>
      <c r="Q163" s="727"/>
    </row>
    <row r="164" spans="1:17" x14ac:dyDescent="0.25">
      <c r="A164" s="720"/>
      <c r="B164" s="1412" t="s">
        <v>179</v>
      </c>
      <c r="C164" s="1412"/>
      <c r="D164" s="1412"/>
      <c r="E164" s="1412"/>
      <c r="F164" s="1412"/>
      <c r="G164" s="1412"/>
      <c r="H164" s="1412"/>
      <c r="I164" s="1412"/>
      <c r="J164" s="1412"/>
      <c r="K164" s="1412"/>
      <c r="L164" s="1412"/>
      <c r="M164" s="1412"/>
      <c r="N164" s="1412"/>
      <c r="O164" s="1412"/>
      <c r="P164" s="1413"/>
      <c r="Q164" s="721"/>
    </row>
    <row r="165" spans="1:17" x14ac:dyDescent="0.25">
      <c r="A165" s="618"/>
      <c r="B165" s="722" t="s">
        <v>178</v>
      </c>
      <c r="C165" s="617">
        <v>1</v>
      </c>
      <c r="D165" s="745">
        <v>100</v>
      </c>
      <c r="E165" s="723">
        <v>1</v>
      </c>
      <c r="F165" s="723"/>
      <c r="G165" s="725">
        <f t="shared" si="26"/>
        <v>0.01</v>
      </c>
      <c r="H165" s="725">
        <f>G165-J165</f>
        <v>0</v>
      </c>
      <c r="I165" s="725"/>
      <c r="J165" s="725">
        <f>E165/D165/C165</f>
        <v>0.01</v>
      </c>
      <c r="K165" s="733">
        <v>5000</v>
      </c>
      <c r="L165" s="726">
        <f t="shared" si="29"/>
        <v>50</v>
      </c>
      <c r="M165" s="726">
        <f t="shared" ref="M165:M178" si="38">H165*K165</f>
        <v>0</v>
      </c>
      <c r="N165" s="726">
        <f t="shared" ref="N165:N178" si="39">I165*K165</f>
        <v>0</v>
      </c>
      <c r="O165" s="726">
        <f t="shared" ref="O165:O178" si="40">L165-M165</f>
        <v>50</v>
      </c>
      <c r="P165" s="617" t="s">
        <v>170</v>
      </c>
      <c r="Q165" s="727" t="s">
        <v>1494</v>
      </c>
    </row>
    <row r="166" spans="1:17" x14ac:dyDescent="0.25">
      <c r="A166" s="618"/>
      <c r="B166" s="722" t="s">
        <v>180</v>
      </c>
      <c r="C166" s="617">
        <v>1</v>
      </c>
      <c r="D166" s="745">
        <v>100</v>
      </c>
      <c r="E166" s="723">
        <v>1</v>
      </c>
      <c r="F166" s="723"/>
      <c r="G166" s="725">
        <f t="shared" si="26"/>
        <v>0.01</v>
      </c>
      <c r="H166" s="725">
        <f>G166-J166</f>
        <v>0</v>
      </c>
      <c r="I166" s="725"/>
      <c r="J166" s="725">
        <f>E166/D166/C166</f>
        <v>0.01</v>
      </c>
      <c r="K166" s="733">
        <v>11000</v>
      </c>
      <c r="L166" s="726">
        <f t="shared" si="29"/>
        <v>110</v>
      </c>
      <c r="M166" s="726">
        <f t="shared" si="38"/>
        <v>0</v>
      </c>
      <c r="N166" s="726">
        <f t="shared" si="39"/>
        <v>0</v>
      </c>
      <c r="O166" s="726">
        <f t="shared" si="40"/>
        <v>110</v>
      </c>
      <c r="P166" s="617" t="s">
        <v>170</v>
      </c>
      <c r="Q166" s="727" t="s">
        <v>1494</v>
      </c>
    </row>
    <row r="167" spans="1:17" ht="22.5" x14ac:dyDescent="0.25">
      <c r="A167" s="618"/>
      <c r="B167" s="722" t="s">
        <v>181</v>
      </c>
      <c r="C167" s="617">
        <v>1</v>
      </c>
      <c r="D167" s="745">
        <v>100</v>
      </c>
      <c r="E167" s="723">
        <v>1</v>
      </c>
      <c r="F167" s="723"/>
      <c r="G167" s="725">
        <f t="shared" si="26"/>
        <v>0.01</v>
      </c>
      <c r="H167" s="725">
        <f>G167-J167</f>
        <v>0</v>
      </c>
      <c r="I167" s="725"/>
      <c r="J167" s="725">
        <f>E167/D167/C167</f>
        <v>0.01</v>
      </c>
      <c r="K167" s="733">
        <v>600</v>
      </c>
      <c r="L167" s="726">
        <f t="shared" si="29"/>
        <v>6</v>
      </c>
      <c r="M167" s="726">
        <f t="shared" si="38"/>
        <v>0</v>
      </c>
      <c r="N167" s="726">
        <f t="shared" si="39"/>
        <v>0</v>
      </c>
      <c r="O167" s="726">
        <f t="shared" si="40"/>
        <v>6</v>
      </c>
      <c r="P167" s="617" t="s">
        <v>170</v>
      </c>
      <c r="Q167" s="727" t="s">
        <v>1494</v>
      </c>
    </row>
    <row r="168" spans="1:17" x14ac:dyDescent="0.25">
      <c r="A168" s="618"/>
      <c r="B168" s="722" t="s">
        <v>182</v>
      </c>
      <c r="C168" s="617">
        <v>1</v>
      </c>
      <c r="D168" s="745">
        <v>100</v>
      </c>
      <c r="E168" s="723">
        <v>1</v>
      </c>
      <c r="F168" s="723"/>
      <c r="G168" s="725">
        <f t="shared" si="26"/>
        <v>0.01</v>
      </c>
      <c r="H168" s="725">
        <f>G168-J168</f>
        <v>0</v>
      </c>
      <c r="I168" s="725"/>
      <c r="J168" s="725">
        <f>E168/D168/C168</f>
        <v>0.01</v>
      </c>
      <c r="K168" s="733">
        <v>13200</v>
      </c>
      <c r="L168" s="726">
        <f t="shared" si="29"/>
        <v>132</v>
      </c>
      <c r="M168" s="726">
        <f t="shared" si="38"/>
        <v>0</v>
      </c>
      <c r="N168" s="726">
        <f t="shared" si="39"/>
        <v>0</v>
      </c>
      <c r="O168" s="726">
        <f t="shared" si="40"/>
        <v>132</v>
      </c>
      <c r="P168" s="617" t="s">
        <v>170</v>
      </c>
      <c r="Q168" s="727" t="s">
        <v>1494</v>
      </c>
    </row>
    <row r="169" spans="1:17" ht="22.5" x14ac:dyDescent="0.25">
      <c r="A169" s="618"/>
      <c r="B169" s="722" t="s">
        <v>183</v>
      </c>
      <c r="C169" s="617">
        <v>1</v>
      </c>
      <c r="D169" s="745">
        <v>100</v>
      </c>
      <c r="E169" s="723">
        <v>1</v>
      </c>
      <c r="F169" s="723"/>
      <c r="G169" s="725">
        <f t="shared" si="26"/>
        <v>0.01</v>
      </c>
      <c r="H169" s="725">
        <f>G169-J169</f>
        <v>0</v>
      </c>
      <c r="I169" s="725"/>
      <c r="J169" s="725">
        <f>E169/D169/C169</f>
        <v>0.01</v>
      </c>
      <c r="K169" s="733">
        <v>2800</v>
      </c>
      <c r="L169" s="726">
        <f t="shared" si="29"/>
        <v>28</v>
      </c>
      <c r="M169" s="726">
        <f t="shared" si="38"/>
        <v>0</v>
      </c>
      <c r="N169" s="726">
        <f t="shared" si="39"/>
        <v>0</v>
      </c>
      <c r="O169" s="726">
        <f t="shared" si="40"/>
        <v>28</v>
      </c>
      <c r="P169" s="617" t="s">
        <v>170</v>
      </c>
      <c r="Q169" s="727" t="s">
        <v>1494</v>
      </c>
    </row>
    <row r="170" spans="1:17" x14ac:dyDescent="0.25">
      <c r="A170" s="618"/>
      <c r="B170" s="722"/>
      <c r="C170" s="617"/>
      <c r="D170" s="723"/>
      <c r="E170" s="723"/>
      <c r="F170" s="723"/>
      <c r="G170" s="725"/>
      <c r="H170" s="725"/>
      <c r="I170" s="725"/>
      <c r="J170" s="725"/>
      <c r="K170" s="617"/>
      <c r="L170" s="726"/>
      <c r="M170" s="726">
        <f t="shared" si="38"/>
        <v>0</v>
      </c>
      <c r="N170" s="726">
        <f t="shared" si="39"/>
        <v>0</v>
      </c>
      <c r="O170" s="726">
        <f t="shared" si="40"/>
        <v>0</v>
      </c>
      <c r="P170" s="617"/>
      <c r="Q170" s="727"/>
    </row>
    <row r="171" spans="1:17" x14ac:dyDescent="0.25">
      <c r="A171" s="618"/>
      <c r="B171" s="722" t="s">
        <v>186</v>
      </c>
      <c r="C171" s="617">
        <v>1</v>
      </c>
      <c r="D171" s="723">
        <v>136</v>
      </c>
      <c r="E171" s="723">
        <f>12*3</f>
        <v>36</v>
      </c>
      <c r="F171" s="723"/>
      <c r="G171" s="725">
        <f t="shared" si="26"/>
        <v>0.26471</v>
      </c>
      <c r="H171" s="725">
        <f>G171-J171</f>
        <v>0.26471</v>
      </c>
      <c r="I171" s="725">
        <f>(F171)/D171/C171</f>
        <v>0</v>
      </c>
      <c r="J171" s="725"/>
      <c r="K171" s="723">
        <v>578</v>
      </c>
      <c r="L171" s="726">
        <f t="shared" si="29"/>
        <v>153</v>
      </c>
      <c r="M171" s="726">
        <f t="shared" si="38"/>
        <v>153</v>
      </c>
      <c r="N171" s="726">
        <f t="shared" si="39"/>
        <v>0</v>
      </c>
      <c r="O171" s="726">
        <f t="shared" si="40"/>
        <v>0</v>
      </c>
      <c r="P171" s="617" t="s">
        <v>296</v>
      </c>
      <c r="Q171" s="727"/>
    </row>
    <row r="172" spans="1:17" x14ac:dyDescent="0.25">
      <c r="A172" s="618"/>
      <c r="B172" s="722" t="s">
        <v>184</v>
      </c>
      <c r="C172" s="617">
        <v>1</v>
      </c>
      <c r="D172" s="723">
        <v>136</v>
      </c>
      <c r="E172" s="723">
        <f>12*1</f>
        <v>12</v>
      </c>
      <c r="F172" s="723"/>
      <c r="G172" s="725">
        <f t="shared" si="26"/>
        <v>8.8239999999999999E-2</v>
      </c>
      <c r="H172" s="725">
        <f>G172-J172</f>
        <v>8.8239999999999999E-2</v>
      </c>
      <c r="I172" s="725">
        <f>(F172)/D172/C172</f>
        <v>0</v>
      </c>
      <c r="J172" s="725"/>
      <c r="K172" s="723">
        <v>2000</v>
      </c>
      <c r="L172" s="726">
        <f t="shared" si="29"/>
        <v>176.48</v>
      </c>
      <c r="M172" s="726">
        <f t="shared" si="38"/>
        <v>176.48</v>
      </c>
      <c r="N172" s="726">
        <f t="shared" si="39"/>
        <v>0</v>
      </c>
      <c r="O172" s="726">
        <f t="shared" si="40"/>
        <v>0</v>
      </c>
      <c r="P172" s="617" t="s">
        <v>188</v>
      </c>
      <c r="Q172" s="727"/>
    </row>
    <row r="173" spans="1:17" x14ac:dyDescent="0.25">
      <c r="A173" s="618"/>
      <c r="B173" s="722" t="s">
        <v>185</v>
      </c>
      <c r="C173" s="617">
        <v>1</v>
      </c>
      <c r="D173" s="723">
        <v>136</v>
      </c>
      <c r="E173" s="723">
        <f>1*2</f>
        <v>2</v>
      </c>
      <c r="F173" s="723"/>
      <c r="G173" s="725">
        <f t="shared" si="26"/>
        <v>1.4710000000000001E-2</v>
      </c>
      <c r="H173" s="725">
        <f>G173-J173</f>
        <v>1.4710000000000001E-2</v>
      </c>
      <c r="I173" s="725">
        <f>(F173)/D173/C173</f>
        <v>0</v>
      </c>
      <c r="J173" s="725"/>
      <c r="K173" s="723">
        <v>7000</v>
      </c>
      <c r="L173" s="726">
        <f t="shared" si="29"/>
        <v>102.97</v>
      </c>
      <c r="M173" s="726">
        <f t="shared" si="38"/>
        <v>102.97</v>
      </c>
      <c r="N173" s="726">
        <f t="shared" si="39"/>
        <v>0</v>
      </c>
      <c r="O173" s="726">
        <f t="shared" si="40"/>
        <v>0</v>
      </c>
      <c r="P173" s="617" t="s">
        <v>297</v>
      </c>
      <c r="Q173" s="727"/>
    </row>
    <row r="174" spans="1:17" ht="22.5" x14ac:dyDescent="0.25">
      <c r="A174" s="618"/>
      <c r="B174" s="722" t="s">
        <v>187</v>
      </c>
      <c r="C174" s="617">
        <v>1</v>
      </c>
      <c r="D174" s="723">
        <v>136</v>
      </c>
      <c r="E174" s="723">
        <f>1*4</f>
        <v>4</v>
      </c>
      <c r="F174" s="723"/>
      <c r="G174" s="725">
        <f t="shared" si="26"/>
        <v>2.9409999999999999E-2</v>
      </c>
      <c r="H174" s="725">
        <f>G174-J174</f>
        <v>2.9409999999999999E-2</v>
      </c>
      <c r="I174" s="725">
        <f>(F174)/D174/C174</f>
        <v>0</v>
      </c>
      <c r="J174" s="725"/>
      <c r="K174" s="723">
        <v>4692</v>
      </c>
      <c r="L174" s="726">
        <f t="shared" si="29"/>
        <v>137.99</v>
      </c>
      <c r="M174" s="726">
        <f t="shared" si="38"/>
        <v>137.99</v>
      </c>
      <c r="N174" s="726">
        <f t="shared" si="39"/>
        <v>0</v>
      </c>
      <c r="O174" s="726">
        <f t="shared" si="40"/>
        <v>0</v>
      </c>
      <c r="P174" s="617" t="s">
        <v>189</v>
      </c>
      <c r="Q174" s="727"/>
    </row>
    <row r="175" spans="1:17" x14ac:dyDescent="0.25">
      <c r="A175" s="618"/>
      <c r="B175" s="722"/>
      <c r="C175" s="617"/>
      <c r="D175" s="723"/>
      <c r="E175" s="723"/>
      <c r="F175" s="723"/>
      <c r="G175" s="725"/>
      <c r="H175" s="725"/>
      <c r="I175" s="725"/>
      <c r="J175" s="725"/>
      <c r="K175" s="723"/>
      <c r="L175" s="726"/>
      <c r="M175" s="726"/>
      <c r="N175" s="726"/>
      <c r="O175" s="726"/>
      <c r="P175" s="617"/>
      <c r="Q175" s="727"/>
    </row>
    <row r="176" spans="1:17" ht="15" hidden="1" customHeight="1" x14ac:dyDescent="0.25">
      <c r="A176" s="618"/>
      <c r="B176" s="746" t="s">
        <v>299</v>
      </c>
      <c r="C176" s="617">
        <v>1</v>
      </c>
      <c r="D176" s="749">
        <v>1000</v>
      </c>
      <c r="E176" s="723">
        <v>1</v>
      </c>
      <c r="F176" s="723"/>
      <c r="G176" s="725">
        <f>(E176+F176)/D176/C176</f>
        <v>1E-3</v>
      </c>
      <c r="H176" s="725">
        <f>G176-J176</f>
        <v>0</v>
      </c>
      <c r="I176" s="725"/>
      <c r="J176" s="725">
        <f>E176/D176/C176</f>
        <v>1E-3</v>
      </c>
      <c r="K176" s="723">
        <v>0</v>
      </c>
      <c r="L176" s="726">
        <f>G176*K176</f>
        <v>0</v>
      </c>
      <c r="M176" s="726">
        <f>H176*K176</f>
        <v>0</v>
      </c>
      <c r="N176" s="726">
        <f>I176*K176</f>
        <v>0</v>
      </c>
      <c r="O176" s="726">
        <f>L176-M176</f>
        <v>0</v>
      </c>
      <c r="P176" s="617" t="s">
        <v>298</v>
      </c>
      <c r="Q176" s="727"/>
    </row>
    <row r="177" spans="1:17" ht="78.75" x14ac:dyDescent="0.25">
      <c r="A177" s="618"/>
      <c r="B177" s="722" t="s">
        <v>300</v>
      </c>
      <c r="C177" s="617">
        <v>1</v>
      </c>
      <c r="D177" s="745">
        <v>215</v>
      </c>
      <c r="E177" s="723">
        <v>1</v>
      </c>
      <c r="F177" s="723"/>
      <c r="G177" s="725">
        <f>(E177+F177)/D177/C177</f>
        <v>4.6499999999999996E-3</v>
      </c>
      <c r="H177" s="725">
        <f>G177-J177</f>
        <v>0</v>
      </c>
      <c r="I177" s="725"/>
      <c r="J177" s="725">
        <f>E177/D177/C177</f>
        <v>4.6499999999999996E-3</v>
      </c>
      <c r="K177" s="723">
        <v>9000</v>
      </c>
      <c r="L177" s="726">
        <f>G177*K177</f>
        <v>41.85</v>
      </c>
      <c r="M177" s="726">
        <f>H177*K177</f>
        <v>0</v>
      </c>
      <c r="N177" s="726">
        <f>I177*K177</f>
        <v>0</v>
      </c>
      <c r="O177" s="726">
        <f>L177-M177</f>
        <v>41.85</v>
      </c>
      <c r="P177" s="617" t="s">
        <v>298</v>
      </c>
      <c r="Q177" s="727" t="s">
        <v>1495</v>
      </c>
    </row>
    <row r="178" spans="1:17" ht="33.75" x14ac:dyDescent="0.25">
      <c r="A178" s="618"/>
      <c r="B178" s="722" t="s">
        <v>352</v>
      </c>
      <c r="C178" s="617">
        <v>1</v>
      </c>
      <c r="D178" s="745">
        <v>743</v>
      </c>
      <c r="E178" s="723">
        <v>1</v>
      </c>
      <c r="F178" s="723"/>
      <c r="G178" s="725">
        <f t="shared" si="26"/>
        <v>1.3500000000000001E-3</v>
      </c>
      <c r="H178" s="725">
        <f>G178-J178</f>
        <v>0</v>
      </c>
      <c r="I178" s="725"/>
      <c r="J178" s="725">
        <f>E178/D178/C178</f>
        <v>1.3500000000000001E-3</v>
      </c>
      <c r="K178" s="723">
        <v>55734.720000000001</v>
      </c>
      <c r="L178" s="726">
        <f t="shared" si="29"/>
        <v>75.239999999999995</v>
      </c>
      <c r="M178" s="726">
        <f t="shared" si="38"/>
        <v>0</v>
      </c>
      <c r="N178" s="726">
        <f t="shared" si="39"/>
        <v>0</v>
      </c>
      <c r="O178" s="726">
        <f t="shared" si="40"/>
        <v>75.239999999999995</v>
      </c>
      <c r="P178" s="617" t="s">
        <v>298</v>
      </c>
      <c r="Q178" s="727" t="s">
        <v>1496</v>
      </c>
    </row>
    <row r="179" spans="1:17" x14ac:dyDescent="0.25">
      <c r="A179" s="618"/>
      <c r="B179" s="728" t="s">
        <v>212</v>
      </c>
      <c r="C179" s="729"/>
      <c r="D179" s="730"/>
      <c r="E179" s="730"/>
      <c r="F179" s="730"/>
      <c r="G179" s="731"/>
      <c r="H179" s="731"/>
      <c r="I179" s="731"/>
      <c r="J179" s="731"/>
      <c r="K179" s="729"/>
      <c r="L179" s="732">
        <f>SUM(L165:L178)</f>
        <v>1013.53</v>
      </c>
      <c r="M179" s="732">
        <f>SUM(M165:M178)</f>
        <v>570.44000000000005</v>
      </c>
      <c r="N179" s="732">
        <f>SUM(N165:N178)</f>
        <v>0</v>
      </c>
      <c r="O179" s="732">
        <f>SUM(O165:O178)</f>
        <v>443.09</v>
      </c>
      <c r="P179" s="729"/>
      <c r="Q179" s="727"/>
    </row>
    <row r="180" spans="1:17" x14ac:dyDescent="0.25">
      <c r="A180" s="618" t="s">
        <v>222</v>
      </c>
      <c r="B180" s="728"/>
      <c r="C180" s="729"/>
      <c r="D180" s="730"/>
      <c r="E180" s="730"/>
      <c r="F180" s="730"/>
      <c r="G180" s="731"/>
      <c r="H180" s="731"/>
      <c r="I180" s="731"/>
      <c r="J180" s="731"/>
      <c r="K180" s="729"/>
      <c r="L180" s="732">
        <f>SUM(M180:O180)</f>
        <v>570.44000000000005</v>
      </c>
      <c r="M180" s="732">
        <f>M179</f>
        <v>570.44000000000005</v>
      </c>
      <c r="N180" s="732">
        <f>N179</f>
        <v>0</v>
      </c>
      <c r="O180" s="732"/>
      <c r="P180" s="729" t="s">
        <v>294</v>
      </c>
      <c r="Q180" s="727"/>
    </row>
    <row r="181" spans="1:17" x14ac:dyDescent="0.25">
      <c r="A181" s="618" t="s">
        <v>244</v>
      </c>
      <c r="B181" s="728"/>
      <c r="C181" s="729"/>
      <c r="D181" s="730"/>
      <c r="E181" s="730"/>
      <c r="F181" s="730"/>
      <c r="G181" s="731"/>
      <c r="H181" s="731"/>
      <c r="I181" s="731"/>
      <c r="J181" s="731"/>
      <c r="K181" s="729"/>
      <c r="L181" s="732">
        <f>SUM(M181:O181)</f>
        <v>443.09</v>
      </c>
      <c r="M181" s="732"/>
      <c r="N181" s="732"/>
      <c r="O181" s="732">
        <f>O179</f>
        <v>443.09</v>
      </c>
      <c r="P181" s="729" t="s">
        <v>295</v>
      </c>
      <c r="Q181" s="727"/>
    </row>
    <row r="182" spans="1:17" hidden="1" x14ac:dyDescent="0.25">
      <c r="A182" s="720"/>
      <c r="B182" s="1412" t="s">
        <v>305</v>
      </c>
      <c r="C182" s="1412"/>
      <c r="D182" s="1412"/>
      <c r="E182" s="1412"/>
      <c r="F182" s="1412"/>
      <c r="G182" s="1412"/>
      <c r="H182" s="1412"/>
      <c r="I182" s="1412"/>
      <c r="J182" s="1412"/>
      <c r="K182" s="1412"/>
      <c r="L182" s="1412"/>
      <c r="M182" s="1412"/>
      <c r="N182" s="1412"/>
      <c r="O182" s="1412"/>
      <c r="P182" s="1413"/>
      <c r="Q182" s="721"/>
    </row>
    <row r="183" spans="1:17" hidden="1" x14ac:dyDescent="0.25">
      <c r="A183" s="618"/>
      <c r="B183" s="722" t="s">
        <v>353</v>
      </c>
      <c r="C183" s="617">
        <v>1</v>
      </c>
      <c r="D183" s="749">
        <v>230</v>
      </c>
      <c r="E183" s="723">
        <v>12</v>
      </c>
      <c r="F183" s="723"/>
      <c r="G183" s="725">
        <f>(E183+F183)/D183/C183</f>
        <v>5.2170000000000001E-2</v>
      </c>
      <c r="H183" s="725">
        <f>G183-J183</f>
        <v>0</v>
      </c>
      <c r="I183" s="725"/>
      <c r="J183" s="725">
        <f>E183/D183/C183</f>
        <v>5.2170000000000001E-2</v>
      </c>
      <c r="K183" s="723">
        <f>3400-3400</f>
        <v>0</v>
      </c>
      <c r="L183" s="726">
        <f>G183*K183</f>
        <v>0</v>
      </c>
      <c r="M183" s="726">
        <f>H183*K183</f>
        <v>0</v>
      </c>
      <c r="N183" s="726">
        <f>I183*K183</f>
        <v>0</v>
      </c>
      <c r="O183" s="726">
        <f>L183-M183</f>
        <v>0</v>
      </c>
      <c r="P183" s="617" t="s">
        <v>298</v>
      </c>
      <c r="Q183" s="727" t="s">
        <v>1497</v>
      </c>
    </row>
    <row r="184" spans="1:17" ht="46.5" hidden="1" customHeight="1" x14ac:dyDescent="0.25">
      <c r="A184" s="618"/>
      <c r="B184" s="722" t="s">
        <v>306</v>
      </c>
      <c r="C184" s="617">
        <v>1</v>
      </c>
      <c r="D184" s="749">
        <v>230</v>
      </c>
      <c r="E184" s="723">
        <v>12</v>
      </c>
      <c r="F184" s="723"/>
      <c r="G184" s="725">
        <f>(E184+F184)/D184/C184</f>
        <v>5.2170000000000001E-2</v>
      </c>
      <c r="H184" s="725">
        <f>G184-J184</f>
        <v>0</v>
      </c>
      <c r="I184" s="725"/>
      <c r="J184" s="725">
        <f>E184/D184/C184</f>
        <v>5.2170000000000001E-2</v>
      </c>
      <c r="K184" s="617">
        <f>50000-50000</f>
        <v>0</v>
      </c>
      <c r="L184" s="726">
        <f>G184*K184</f>
        <v>0</v>
      </c>
      <c r="M184" s="726">
        <f>H184*K184</f>
        <v>0</v>
      </c>
      <c r="N184" s="726">
        <f>I184*K184</f>
        <v>0</v>
      </c>
      <c r="O184" s="726">
        <f>L184-M184</f>
        <v>0</v>
      </c>
      <c r="P184" s="617" t="s">
        <v>298</v>
      </c>
      <c r="Q184" s="727" t="s">
        <v>1497</v>
      </c>
    </row>
    <row r="185" spans="1:17" hidden="1" x14ac:dyDescent="0.25">
      <c r="A185" s="752" t="s">
        <v>224</v>
      </c>
      <c r="B185" s="728" t="s">
        <v>212</v>
      </c>
      <c r="C185" s="729"/>
      <c r="D185" s="730"/>
      <c r="E185" s="730"/>
      <c r="F185" s="730"/>
      <c r="G185" s="731"/>
      <c r="H185" s="731"/>
      <c r="I185" s="731"/>
      <c r="J185" s="731"/>
      <c r="K185" s="729"/>
      <c r="L185" s="732">
        <f>SUM(L183:L184)</f>
        <v>0</v>
      </c>
      <c r="M185" s="732">
        <f>SUM(M183:M184)</f>
        <v>0</v>
      </c>
      <c r="N185" s="732">
        <f>SUM(N183:N184)</f>
        <v>0</v>
      </c>
      <c r="O185" s="732">
        <f>SUM(O183:O184)</f>
        <v>0</v>
      </c>
      <c r="P185" s="729" t="s">
        <v>295</v>
      </c>
      <c r="Q185" s="727"/>
    </row>
    <row r="186" spans="1:17" x14ac:dyDescent="0.25">
      <c r="A186" s="720"/>
      <c r="B186" s="1412" t="s">
        <v>190</v>
      </c>
      <c r="C186" s="1412"/>
      <c r="D186" s="1412"/>
      <c r="E186" s="1412"/>
      <c r="F186" s="1412"/>
      <c r="G186" s="1412"/>
      <c r="H186" s="1412"/>
      <c r="I186" s="1412"/>
      <c r="J186" s="1412"/>
      <c r="K186" s="1412"/>
      <c r="L186" s="1412"/>
      <c r="M186" s="1412"/>
      <c r="N186" s="1412"/>
      <c r="O186" s="1412"/>
      <c r="P186" s="1413"/>
      <c r="Q186" s="721"/>
    </row>
    <row r="187" spans="1:17" x14ac:dyDescent="0.25">
      <c r="A187" s="618"/>
      <c r="B187" s="722" t="s">
        <v>196</v>
      </c>
      <c r="C187" s="617">
        <v>1</v>
      </c>
      <c r="D187" s="723">
        <v>136</v>
      </c>
      <c r="E187" s="723">
        <v>1</v>
      </c>
      <c r="F187" s="723"/>
      <c r="G187" s="725">
        <f t="shared" si="26"/>
        <v>7.3499999999999998E-3</v>
      </c>
      <c r="H187" s="725">
        <f t="shared" ref="H187:H195" si="41">G187-J187</f>
        <v>7.3499999999999998E-3</v>
      </c>
      <c r="I187" s="725"/>
      <c r="J187" s="725"/>
      <c r="K187" s="617">
        <v>6000</v>
      </c>
      <c r="L187" s="726">
        <f t="shared" si="29"/>
        <v>44.1</v>
      </c>
      <c r="M187" s="726">
        <f t="shared" ref="M187:M195" si="42">H187*K187</f>
        <v>44.1</v>
      </c>
      <c r="N187" s="726">
        <f t="shared" ref="N187:N195" si="43">I187*K187</f>
        <v>0</v>
      </c>
      <c r="O187" s="726">
        <f t="shared" ref="O187:O195" si="44">L187-M187</f>
        <v>0</v>
      </c>
      <c r="P187" s="617" t="s">
        <v>208</v>
      </c>
      <c r="Q187" s="727"/>
    </row>
    <row r="188" spans="1:17" x14ac:dyDescent="0.25">
      <c r="A188" s="618"/>
      <c r="B188" s="722" t="s">
        <v>197</v>
      </c>
      <c r="C188" s="617">
        <v>1</v>
      </c>
      <c r="D188" s="723">
        <v>136</v>
      </c>
      <c r="E188" s="723">
        <v>1</v>
      </c>
      <c r="F188" s="723"/>
      <c r="G188" s="725">
        <f t="shared" si="26"/>
        <v>7.3499999999999998E-3</v>
      </c>
      <c r="H188" s="725">
        <f t="shared" si="41"/>
        <v>7.3499999999999998E-3</v>
      </c>
      <c r="I188" s="725"/>
      <c r="J188" s="725"/>
      <c r="K188" s="617">
        <v>7500</v>
      </c>
      <c r="L188" s="726">
        <f t="shared" si="29"/>
        <v>55.13</v>
      </c>
      <c r="M188" s="726">
        <f t="shared" si="42"/>
        <v>55.13</v>
      </c>
      <c r="N188" s="726">
        <f t="shared" si="43"/>
        <v>0</v>
      </c>
      <c r="O188" s="726">
        <f t="shared" si="44"/>
        <v>0</v>
      </c>
      <c r="P188" s="617" t="s">
        <v>208</v>
      </c>
      <c r="Q188" s="727"/>
    </row>
    <row r="189" spans="1:17" ht="22.5" x14ac:dyDescent="0.25">
      <c r="A189" s="618"/>
      <c r="B189" s="722" t="s">
        <v>198</v>
      </c>
      <c r="C189" s="617">
        <v>1</v>
      </c>
      <c r="D189" s="723">
        <v>136</v>
      </c>
      <c r="E189" s="723">
        <v>1</v>
      </c>
      <c r="F189" s="723"/>
      <c r="G189" s="725">
        <f t="shared" si="26"/>
        <v>7.3499999999999998E-3</v>
      </c>
      <c r="H189" s="725">
        <f t="shared" si="41"/>
        <v>7.3499999999999998E-3</v>
      </c>
      <c r="I189" s="725"/>
      <c r="J189" s="725"/>
      <c r="K189" s="617">
        <v>10000</v>
      </c>
      <c r="L189" s="726">
        <f t="shared" si="29"/>
        <v>73.5</v>
      </c>
      <c r="M189" s="726">
        <f t="shared" si="42"/>
        <v>73.5</v>
      </c>
      <c r="N189" s="726">
        <f t="shared" si="43"/>
        <v>0</v>
      </c>
      <c r="O189" s="726">
        <f t="shared" si="44"/>
        <v>0</v>
      </c>
      <c r="P189" s="617" t="s">
        <v>208</v>
      </c>
      <c r="Q189" s="727"/>
    </row>
    <row r="190" spans="1:17" x14ac:dyDescent="0.25">
      <c r="A190" s="618"/>
      <c r="B190" s="722" t="s">
        <v>199</v>
      </c>
      <c r="C190" s="617">
        <v>1</v>
      </c>
      <c r="D190" s="723">
        <v>136</v>
      </c>
      <c r="E190" s="723">
        <v>1</v>
      </c>
      <c r="F190" s="723"/>
      <c r="G190" s="725">
        <f t="shared" si="26"/>
        <v>7.3499999999999998E-3</v>
      </c>
      <c r="H190" s="725">
        <f t="shared" si="41"/>
        <v>7.3499999999999998E-3</v>
      </c>
      <c r="I190" s="725"/>
      <c r="J190" s="725"/>
      <c r="K190" s="617">
        <v>15000</v>
      </c>
      <c r="L190" s="726">
        <f t="shared" si="29"/>
        <v>110.25</v>
      </c>
      <c r="M190" s="726">
        <f t="shared" si="42"/>
        <v>110.25</v>
      </c>
      <c r="N190" s="726">
        <f t="shared" si="43"/>
        <v>0</v>
      </c>
      <c r="O190" s="726">
        <f t="shared" si="44"/>
        <v>0</v>
      </c>
      <c r="P190" s="617" t="s">
        <v>208</v>
      </c>
      <c r="Q190" s="727"/>
    </row>
    <row r="191" spans="1:17" x14ac:dyDescent="0.25">
      <c r="A191" s="618"/>
      <c r="B191" s="722" t="s">
        <v>200</v>
      </c>
      <c r="C191" s="617">
        <v>1</v>
      </c>
      <c r="D191" s="723">
        <v>136</v>
      </c>
      <c r="E191" s="723">
        <v>1</v>
      </c>
      <c r="F191" s="723"/>
      <c r="G191" s="725">
        <f t="shared" si="26"/>
        <v>7.3499999999999998E-3</v>
      </c>
      <c r="H191" s="725">
        <f t="shared" si="41"/>
        <v>7.3499999999999998E-3</v>
      </c>
      <c r="I191" s="725"/>
      <c r="J191" s="725"/>
      <c r="K191" s="617">
        <v>3000</v>
      </c>
      <c r="L191" s="726">
        <f t="shared" si="29"/>
        <v>22.05</v>
      </c>
      <c r="M191" s="726">
        <f t="shared" si="42"/>
        <v>22.05</v>
      </c>
      <c r="N191" s="726">
        <f t="shared" si="43"/>
        <v>0</v>
      </c>
      <c r="O191" s="726">
        <f t="shared" si="44"/>
        <v>0</v>
      </c>
      <c r="P191" s="617" t="s">
        <v>208</v>
      </c>
      <c r="Q191" s="727"/>
    </row>
    <row r="192" spans="1:17" ht="22.5" x14ac:dyDescent="0.25">
      <c r="A192" s="618"/>
      <c r="B192" s="722" t="s">
        <v>201</v>
      </c>
      <c r="C192" s="617">
        <v>1</v>
      </c>
      <c r="D192" s="723">
        <v>136</v>
      </c>
      <c r="E192" s="723">
        <v>1</v>
      </c>
      <c r="F192" s="723"/>
      <c r="G192" s="725">
        <f t="shared" si="26"/>
        <v>7.3499999999999998E-3</v>
      </c>
      <c r="H192" s="725">
        <f t="shared" si="41"/>
        <v>7.3499999999999998E-3</v>
      </c>
      <c r="I192" s="725"/>
      <c r="J192" s="725"/>
      <c r="K192" s="617">
        <v>6500</v>
      </c>
      <c r="L192" s="726">
        <f t="shared" si="29"/>
        <v>47.78</v>
      </c>
      <c r="M192" s="726">
        <f t="shared" si="42"/>
        <v>47.78</v>
      </c>
      <c r="N192" s="726">
        <f t="shared" si="43"/>
        <v>0</v>
      </c>
      <c r="O192" s="726">
        <f t="shared" si="44"/>
        <v>0</v>
      </c>
      <c r="P192" s="617" t="s">
        <v>208</v>
      </c>
      <c r="Q192" s="727"/>
    </row>
    <row r="193" spans="1:17" ht="22.5" x14ac:dyDescent="0.25">
      <c r="A193" s="618"/>
      <c r="B193" s="722" t="s">
        <v>202</v>
      </c>
      <c r="C193" s="617">
        <v>1</v>
      </c>
      <c r="D193" s="723">
        <v>136</v>
      </c>
      <c r="E193" s="723">
        <v>7</v>
      </c>
      <c r="F193" s="723"/>
      <c r="G193" s="725">
        <f t="shared" si="26"/>
        <v>5.1470000000000002E-2</v>
      </c>
      <c r="H193" s="725">
        <f t="shared" si="41"/>
        <v>5.1470000000000002E-2</v>
      </c>
      <c r="I193" s="725"/>
      <c r="J193" s="725"/>
      <c r="K193" s="617">
        <v>2500</v>
      </c>
      <c r="L193" s="726">
        <f t="shared" si="29"/>
        <v>128.68</v>
      </c>
      <c r="M193" s="726">
        <f t="shared" si="42"/>
        <v>128.68</v>
      </c>
      <c r="N193" s="726">
        <f t="shared" si="43"/>
        <v>0</v>
      </c>
      <c r="O193" s="726">
        <f t="shared" si="44"/>
        <v>0</v>
      </c>
      <c r="P193" s="617" t="s">
        <v>208</v>
      </c>
      <c r="Q193" s="727"/>
    </row>
    <row r="194" spans="1:17" ht="22.5" x14ac:dyDescent="0.25">
      <c r="A194" s="618"/>
      <c r="B194" s="722" t="s">
        <v>203</v>
      </c>
      <c r="C194" s="617">
        <v>1</v>
      </c>
      <c r="D194" s="723">
        <v>136</v>
      </c>
      <c r="E194" s="723">
        <v>7</v>
      </c>
      <c r="F194" s="723"/>
      <c r="G194" s="725">
        <f t="shared" si="26"/>
        <v>5.1470000000000002E-2</v>
      </c>
      <c r="H194" s="725">
        <f t="shared" si="41"/>
        <v>5.1470000000000002E-2</v>
      </c>
      <c r="I194" s="725"/>
      <c r="J194" s="725"/>
      <c r="K194" s="617">
        <v>6200</v>
      </c>
      <c r="L194" s="726">
        <f t="shared" si="29"/>
        <v>319.11</v>
      </c>
      <c r="M194" s="726">
        <f t="shared" si="42"/>
        <v>319.11</v>
      </c>
      <c r="N194" s="726">
        <f t="shared" si="43"/>
        <v>0</v>
      </c>
      <c r="O194" s="726">
        <f t="shared" si="44"/>
        <v>0</v>
      </c>
      <c r="P194" s="617" t="s">
        <v>208</v>
      </c>
      <c r="Q194" s="727"/>
    </row>
    <row r="195" spans="1:17" ht="22.5" x14ac:dyDescent="0.25">
      <c r="A195" s="618"/>
      <c r="B195" s="722" t="s">
        <v>365</v>
      </c>
      <c r="C195" s="617">
        <v>1</v>
      </c>
      <c r="D195" s="723">
        <v>136</v>
      </c>
      <c r="E195" s="723">
        <v>1</v>
      </c>
      <c r="F195" s="723"/>
      <c r="G195" s="725">
        <f t="shared" si="26"/>
        <v>7.3499999999999998E-3</v>
      </c>
      <c r="H195" s="725">
        <f t="shared" si="41"/>
        <v>7.3499999999999998E-3</v>
      </c>
      <c r="I195" s="725"/>
      <c r="J195" s="725"/>
      <c r="K195" s="617">
        <v>4500</v>
      </c>
      <c r="L195" s="726">
        <f t="shared" si="29"/>
        <v>33.08</v>
      </c>
      <c r="M195" s="726">
        <f t="shared" si="42"/>
        <v>33.08</v>
      </c>
      <c r="N195" s="726">
        <f t="shared" si="43"/>
        <v>0</v>
      </c>
      <c r="O195" s="726">
        <f t="shared" si="44"/>
        <v>0</v>
      </c>
      <c r="P195" s="617" t="s">
        <v>208</v>
      </c>
      <c r="Q195" s="727"/>
    </row>
    <row r="196" spans="1:17" x14ac:dyDescent="0.25">
      <c r="A196" s="753" t="s">
        <v>222</v>
      </c>
      <c r="B196" s="728" t="s">
        <v>212</v>
      </c>
      <c r="C196" s="729"/>
      <c r="D196" s="730"/>
      <c r="E196" s="730"/>
      <c r="F196" s="730"/>
      <c r="G196" s="731"/>
      <c r="H196" s="731"/>
      <c r="I196" s="731"/>
      <c r="J196" s="731"/>
      <c r="K196" s="729"/>
      <c r="L196" s="732">
        <f>SUM(L187:L195)</f>
        <v>833.68</v>
      </c>
      <c r="M196" s="732">
        <f>SUM(M187:M195)</f>
        <v>833.68</v>
      </c>
      <c r="N196" s="732">
        <f>SUM(N187:N195)</f>
        <v>0</v>
      </c>
      <c r="O196" s="732">
        <f>SUM(O187:O195)</f>
        <v>0</v>
      </c>
      <c r="P196" s="729" t="s">
        <v>294</v>
      </c>
      <c r="Q196" s="727"/>
    </row>
    <row r="197" spans="1:17" x14ac:dyDescent="0.25">
      <c r="A197" s="720"/>
      <c r="B197" s="1412" t="s">
        <v>209</v>
      </c>
      <c r="C197" s="1412"/>
      <c r="D197" s="1412"/>
      <c r="E197" s="1412"/>
      <c r="F197" s="1412"/>
      <c r="G197" s="1412"/>
      <c r="H197" s="1412"/>
      <c r="I197" s="1412"/>
      <c r="J197" s="1412"/>
      <c r="K197" s="1412"/>
      <c r="L197" s="1412"/>
      <c r="M197" s="1412"/>
      <c r="N197" s="1412"/>
      <c r="O197" s="1412"/>
      <c r="P197" s="1413"/>
      <c r="Q197" s="721"/>
    </row>
    <row r="198" spans="1:17" x14ac:dyDescent="0.25">
      <c r="A198" s="618"/>
      <c r="B198" s="722" t="s">
        <v>210</v>
      </c>
      <c r="C198" s="617">
        <v>1</v>
      </c>
      <c r="D198" s="745">
        <v>970</v>
      </c>
      <c r="E198" s="723">
        <v>1</v>
      </c>
      <c r="F198" s="723"/>
      <c r="G198" s="725">
        <f>(E198+F198)/D198/C198</f>
        <v>1.0300000000000001E-3</v>
      </c>
      <c r="H198" s="725">
        <f>G198-J198</f>
        <v>0</v>
      </c>
      <c r="I198" s="725"/>
      <c r="J198" s="725">
        <f>E198/D198/C198</f>
        <v>1.0300000000000001E-3</v>
      </c>
      <c r="K198" s="617">
        <v>75400</v>
      </c>
      <c r="L198" s="726">
        <f>G198*K198</f>
        <v>77.66</v>
      </c>
      <c r="M198" s="726">
        <f>H198*K198</f>
        <v>0</v>
      </c>
      <c r="N198" s="726">
        <f>I198*K198</f>
        <v>0</v>
      </c>
      <c r="O198" s="726">
        <f>L198-M198</f>
        <v>77.66</v>
      </c>
      <c r="P198" s="617" t="s">
        <v>208</v>
      </c>
      <c r="Q198" s="727"/>
    </row>
    <row r="199" spans="1:17" x14ac:dyDescent="0.25">
      <c r="A199" s="618" t="s">
        <v>243</v>
      </c>
      <c r="B199" s="728" t="s">
        <v>212</v>
      </c>
      <c r="C199" s="729"/>
      <c r="D199" s="730"/>
      <c r="E199" s="730"/>
      <c r="F199" s="730"/>
      <c r="G199" s="731"/>
      <c r="H199" s="731"/>
      <c r="I199" s="731"/>
      <c r="J199" s="731"/>
      <c r="K199" s="729"/>
      <c r="L199" s="732">
        <f>SUM(L198:L198)</f>
        <v>77.66</v>
      </c>
      <c r="M199" s="732">
        <f>SUM(M198:M198)</f>
        <v>0</v>
      </c>
      <c r="N199" s="732">
        <f>SUM(N198:N198)</f>
        <v>0</v>
      </c>
      <c r="O199" s="732">
        <f>SUM(O198:O198)</f>
        <v>77.66</v>
      </c>
      <c r="P199" s="729" t="s">
        <v>295</v>
      </c>
      <c r="Q199" s="727"/>
    </row>
    <row r="200" spans="1:17" x14ac:dyDescent="0.25">
      <c r="A200" s="720"/>
      <c r="B200" s="1412" t="s">
        <v>225</v>
      </c>
      <c r="C200" s="1412"/>
      <c r="D200" s="1412"/>
      <c r="E200" s="1412"/>
      <c r="F200" s="1412"/>
      <c r="G200" s="1412"/>
      <c r="H200" s="1412"/>
      <c r="I200" s="1412"/>
      <c r="J200" s="1412"/>
      <c r="K200" s="1412"/>
      <c r="L200" s="1412"/>
      <c r="M200" s="1412"/>
      <c r="N200" s="1412"/>
      <c r="O200" s="1412"/>
      <c r="P200" s="1413"/>
      <c r="Q200" s="721"/>
    </row>
    <row r="201" spans="1:17" x14ac:dyDescent="0.25">
      <c r="A201" s="618"/>
      <c r="B201" s="722" t="s">
        <v>228</v>
      </c>
      <c r="C201" s="617">
        <v>1</v>
      </c>
      <c r="D201" s="745">
        <v>209</v>
      </c>
      <c r="E201" s="723">
        <f>12*1</f>
        <v>12</v>
      </c>
      <c r="F201" s="723"/>
      <c r="G201" s="725">
        <f>(E201+F201)/D201/C201</f>
        <v>5.7419999999999999E-2</v>
      </c>
      <c r="H201" s="725">
        <f>G201-J201</f>
        <v>0</v>
      </c>
      <c r="I201" s="725"/>
      <c r="J201" s="725">
        <f>E201/D201/C201</f>
        <v>5.7419999999999999E-2</v>
      </c>
      <c r="K201" s="617">
        <v>500</v>
      </c>
      <c r="L201" s="726">
        <f>G201*K201</f>
        <v>28.71</v>
      </c>
      <c r="M201" s="726">
        <f>H201*K201</f>
        <v>0</v>
      </c>
      <c r="N201" s="726">
        <f>I201*K201</f>
        <v>0</v>
      </c>
      <c r="O201" s="726">
        <f>L201-M201</f>
        <v>28.71</v>
      </c>
      <c r="P201" s="617" t="s">
        <v>301</v>
      </c>
      <c r="Q201" s="727" t="s">
        <v>348</v>
      </c>
    </row>
    <row r="202" spans="1:17" x14ac:dyDescent="0.25">
      <c r="A202" s="618" t="s">
        <v>224</v>
      </c>
      <c r="B202" s="728" t="s">
        <v>212</v>
      </c>
      <c r="C202" s="729"/>
      <c r="D202" s="730"/>
      <c r="E202" s="730"/>
      <c r="F202" s="730"/>
      <c r="G202" s="731"/>
      <c r="H202" s="731"/>
      <c r="I202" s="731"/>
      <c r="J202" s="731"/>
      <c r="K202" s="729"/>
      <c r="L202" s="732">
        <f>SUM(L201:L201)</f>
        <v>28.71</v>
      </c>
      <c r="M202" s="732">
        <f>SUM(M201:M201)</f>
        <v>0</v>
      </c>
      <c r="N202" s="732">
        <f>SUM(N201:N201)</f>
        <v>0</v>
      </c>
      <c r="O202" s="732">
        <f>SUM(O201:O201)</f>
        <v>28.71</v>
      </c>
      <c r="P202" s="729" t="s">
        <v>295</v>
      </c>
      <c r="Q202" s="727"/>
    </row>
    <row r="203" spans="1:17" x14ac:dyDescent="0.25">
      <c r="A203" s="720"/>
      <c r="B203" s="1412" t="s">
        <v>227</v>
      </c>
      <c r="C203" s="1412"/>
      <c r="D203" s="1412"/>
      <c r="E203" s="1412"/>
      <c r="F203" s="1412"/>
      <c r="G203" s="1412"/>
      <c r="H203" s="1412"/>
      <c r="I203" s="1412"/>
      <c r="J203" s="1412"/>
      <c r="K203" s="1412"/>
      <c r="L203" s="1412"/>
      <c r="M203" s="1412"/>
      <c r="N203" s="1412"/>
      <c r="O203" s="1412"/>
      <c r="P203" s="1413"/>
      <c r="Q203" s="721"/>
    </row>
    <row r="204" spans="1:17" x14ac:dyDescent="0.25">
      <c r="A204" s="618"/>
      <c r="B204" s="722" t="s">
        <v>228</v>
      </c>
      <c r="C204" s="617">
        <v>1</v>
      </c>
      <c r="D204" s="745">
        <v>209</v>
      </c>
      <c r="E204" s="723">
        <f>12*1</f>
        <v>12</v>
      </c>
      <c r="F204" s="723"/>
      <c r="G204" s="725">
        <f>(E204+F204)/D204/C204</f>
        <v>5.7419999999999999E-2</v>
      </c>
      <c r="H204" s="725">
        <f>G204-J204</f>
        <v>0</v>
      </c>
      <c r="I204" s="725"/>
      <c r="J204" s="725">
        <f>E204/D204/C204</f>
        <v>5.7419999999999999E-2</v>
      </c>
      <c r="K204" s="617">
        <v>3294</v>
      </c>
      <c r="L204" s="726">
        <f>G204*K204</f>
        <v>189.14</v>
      </c>
      <c r="M204" s="726">
        <f>H204*K204</f>
        <v>0</v>
      </c>
      <c r="N204" s="726">
        <f>I204*K204</f>
        <v>0</v>
      </c>
      <c r="O204" s="726">
        <f>L204-M204</f>
        <v>189.14</v>
      </c>
      <c r="P204" s="617" t="s">
        <v>301</v>
      </c>
      <c r="Q204" s="727" t="s">
        <v>348</v>
      </c>
    </row>
    <row r="205" spans="1:17" x14ac:dyDescent="0.25">
      <c r="A205" s="618"/>
      <c r="B205" s="722" t="s">
        <v>229</v>
      </c>
      <c r="C205" s="617">
        <v>1</v>
      </c>
      <c r="D205" s="745">
        <v>209</v>
      </c>
      <c r="E205" s="723">
        <f>12*1</f>
        <v>12</v>
      </c>
      <c r="F205" s="723"/>
      <c r="G205" s="725">
        <f>(E205+F205)/D205/C205</f>
        <v>5.7419999999999999E-2</v>
      </c>
      <c r="H205" s="725">
        <f>G205-J205</f>
        <v>0</v>
      </c>
      <c r="I205" s="725"/>
      <c r="J205" s="725">
        <f>E205/D205/C205</f>
        <v>5.7419999999999999E-2</v>
      </c>
      <c r="K205" s="617">
        <v>1495</v>
      </c>
      <c r="L205" s="726">
        <f>G205*K205</f>
        <v>85.84</v>
      </c>
      <c r="M205" s="726">
        <f>H205*K205</f>
        <v>0</v>
      </c>
      <c r="N205" s="726">
        <f>I205*K205</f>
        <v>0</v>
      </c>
      <c r="O205" s="726">
        <f>L205-M205</f>
        <v>85.84</v>
      </c>
      <c r="P205" s="617" t="s">
        <v>301</v>
      </c>
      <c r="Q205" s="727" t="s">
        <v>348</v>
      </c>
    </row>
    <row r="206" spans="1:17" x14ac:dyDescent="0.25">
      <c r="A206" s="618" t="s">
        <v>244</v>
      </c>
      <c r="B206" s="728" t="s">
        <v>212</v>
      </c>
      <c r="C206" s="729"/>
      <c r="D206" s="730"/>
      <c r="E206" s="730"/>
      <c r="F206" s="730"/>
      <c r="G206" s="731"/>
      <c r="H206" s="731"/>
      <c r="I206" s="731"/>
      <c r="J206" s="731"/>
      <c r="K206" s="729"/>
      <c r="L206" s="732">
        <f>SUM(L204:L205)</f>
        <v>274.98</v>
      </c>
      <c r="M206" s="732">
        <f>SUM(M204:M205)</f>
        <v>0</v>
      </c>
      <c r="N206" s="732">
        <f>SUM(N204:N205)</f>
        <v>0</v>
      </c>
      <c r="O206" s="732">
        <f>SUM(O204:O205)</f>
        <v>274.98</v>
      </c>
      <c r="P206" s="729" t="s">
        <v>295</v>
      </c>
      <c r="Q206" s="727"/>
    </row>
    <row r="207" spans="1:17" x14ac:dyDescent="0.25">
      <c r="A207" s="720"/>
      <c r="B207" s="1412" t="s">
        <v>226</v>
      </c>
      <c r="C207" s="1412"/>
      <c r="D207" s="1412"/>
      <c r="E207" s="1412"/>
      <c r="F207" s="1412"/>
      <c r="G207" s="1412"/>
      <c r="H207" s="1412"/>
      <c r="I207" s="1412"/>
      <c r="J207" s="1412"/>
      <c r="K207" s="1412"/>
      <c r="L207" s="1412"/>
      <c r="M207" s="1412"/>
      <c r="N207" s="1412"/>
      <c r="O207" s="1412"/>
      <c r="P207" s="1413"/>
      <c r="Q207" s="721"/>
    </row>
    <row r="208" spans="1:17" x14ac:dyDescent="0.25">
      <c r="A208" s="618"/>
      <c r="B208" s="722" t="s">
        <v>230</v>
      </c>
      <c r="C208" s="617">
        <v>1</v>
      </c>
      <c r="D208" s="745">
        <v>115</v>
      </c>
      <c r="E208" s="723">
        <v>7</v>
      </c>
      <c r="F208" s="723"/>
      <c r="G208" s="725">
        <f>(E208+F208)/D208/C208</f>
        <v>6.087E-2</v>
      </c>
      <c r="H208" s="725">
        <f>G208-J208</f>
        <v>0</v>
      </c>
      <c r="I208" s="725"/>
      <c r="J208" s="725">
        <f>E208/D208/C208</f>
        <v>6.087E-2</v>
      </c>
      <c r="K208" s="617">
        <v>600</v>
      </c>
      <c r="L208" s="726">
        <f>G208*K208</f>
        <v>36.520000000000003</v>
      </c>
      <c r="M208" s="726">
        <f>H208*K208</f>
        <v>0</v>
      </c>
      <c r="N208" s="726">
        <f>I208*K208</f>
        <v>0</v>
      </c>
      <c r="O208" s="726">
        <f>L208-M208</f>
        <v>36.520000000000003</v>
      </c>
      <c r="P208" s="617" t="s">
        <v>234</v>
      </c>
      <c r="Q208" s="727" t="s">
        <v>1498</v>
      </c>
    </row>
    <row r="209" spans="1:17" x14ac:dyDescent="0.25">
      <c r="A209" s="618"/>
      <c r="B209" s="722" t="s">
        <v>231</v>
      </c>
      <c r="C209" s="617">
        <v>1</v>
      </c>
      <c r="D209" s="745">
        <v>245</v>
      </c>
      <c r="E209" s="723">
        <v>1</v>
      </c>
      <c r="F209" s="723"/>
      <c r="G209" s="725">
        <f>(E209+F209)/D209/C209</f>
        <v>4.0800000000000003E-3</v>
      </c>
      <c r="H209" s="725">
        <f>G209-J209</f>
        <v>0</v>
      </c>
      <c r="I209" s="725"/>
      <c r="J209" s="725">
        <f>E209/D209/C209</f>
        <v>4.0800000000000003E-3</v>
      </c>
      <c r="K209" s="617">
        <v>1029</v>
      </c>
      <c r="L209" s="726">
        <f>G209*K209</f>
        <v>4.2</v>
      </c>
      <c r="M209" s="726">
        <f>H209*K209</f>
        <v>0</v>
      </c>
      <c r="N209" s="726">
        <f>I209*K209</f>
        <v>0</v>
      </c>
      <c r="O209" s="726">
        <f>L209-M209</f>
        <v>4.2</v>
      </c>
      <c r="P209" s="617" t="s">
        <v>236</v>
      </c>
      <c r="Q209" s="727" t="s">
        <v>1499</v>
      </c>
    </row>
    <row r="210" spans="1:17" ht="22.5" x14ac:dyDescent="0.25">
      <c r="A210" s="618"/>
      <c r="B210" s="722" t="s">
        <v>232</v>
      </c>
      <c r="C210" s="617">
        <v>1</v>
      </c>
      <c r="D210" s="745">
        <v>115</v>
      </c>
      <c r="E210" s="723">
        <f>2*1</f>
        <v>2</v>
      </c>
      <c r="F210" s="723"/>
      <c r="G210" s="725">
        <f>(E210+F210)/D210/C210</f>
        <v>1.7389999999999999E-2</v>
      </c>
      <c r="H210" s="725">
        <f>G210-J210</f>
        <v>0</v>
      </c>
      <c r="I210" s="725"/>
      <c r="J210" s="725">
        <f>E210/D210/C210</f>
        <v>1.7389999999999999E-2</v>
      </c>
      <c r="K210" s="617">
        <v>750</v>
      </c>
      <c r="L210" s="726">
        <f>G210*K210</f>
        <v>13.04</v>
      </c>
      <c r="M210" s="726">
        <f>H210*K210</f>
        <v>0</v>
      </c>
      <c r="N210" s="726">
        <f>I210*K210</f>
        <v>0</v>
      </c>
      <c r="O210" s="726">
        <f>L210-M210</f>
        <v>13.04</v>
      </c>
      <c r="P210" s="617" t="s">
        <v>235</v>
      </c>
      <c r="Q210" s="727" t="s">
        <v>1498</v>
      </c>
    </row>
    <row r="211" spans="1:17" x14ac:dyDescent="0.25">
      <c r="A211" s="618"/>
      <c r="B211" s="722" t="s">
        <v>233</v>
      </c>
      <c r="C211" s="617">
        <v>5</v>
      </c>
      <c r="D211" s="745">
        <v>115</v>
      </c>
      <c r="E211" s="723">
        <v>2</v>
      </c>
      <c r="F211" s="723"/>
      <c r="G211" s="725">
        <f>(E211+F211)/D211/C211</f>
        <v>3.48E-3</v>
      </c>
      <c r="H211" s="725">
        <f>G211-J211</f>
        <v>0</v>
      </c>
      <c r="I211" s="725"/>
      <c r="J211" s="725">
        <f>E211/D211/C211</f>
        <v>3.48E-3</v>
      </c>
      <c r="K211" s="617">
        <v>7250</v>
      </c>
      <c r="L211" s="726">
        <f>G211*K211</f>
        <v>25.23</v>
      </c>
      <c r="M211" s="726">
        <f>H211*K211</f>
        <v>0</v>
      </c>
      <c r="N211" s="726">
        <f>I211*K211</f>
        <v>0</v>
      </c>
      <c r="O211" s="726">
        <f>L211-M211</f>
        <v>25.23</v>
      </c>
      <c r="P211" s="617" t="s">
        <v>354</v>
      </c>
      <c r="Q211" s="727" t="s">
        <v>1498</v>
      </c>
    </row>
    <row r="212" spans="1:17" hidden="1" x14ac:dyDescent="0.25">
      <c r="A212" s="618"/>
      <c r="B212" s="746" t="s">
        <v>302</v>
      </c>
      <c r="C212" s="617">
        <v>5</v>
      </c>
      <c r="D212" s="749">
        <v>750</v>
      </c>
      <c r="E212" s="723">
        <v>1</v>
      </c>
      <c r="F212" s="723"/>
      <c r="G212" s="725">
        <f>(E212+F212)/D212/C212</f>
        <v>2.7E-4</v>
      </c>
      <c r="H212" s="725">
        <f>G212-J212</f>
        <v>0</v>
      </c>
      <c r="I212" s="725"/>
      <c r="J212" s="725">
        <f>E212/D212/C212</f>
        <v>2.7E-4</v>
      </c>
      <c r="K212" s="617">
        <v>0</v>
      </c>
      <c r="L212" s="726">
        <f>G212*K212</f>
        <v>0</v>
      </c>
      <c r="M212" s="726">
        <f>H212*K212</f>
        <v>0</v>
      </c>
      <c r="N212" s="726">
        <f>I212*K212</f>
        <v>0</v>
      </c>
      <c r="O212" s="726">
        <f>L212-M212</f>
        <v>0</v>
      </c>
      <c r="P212" s="617" t="s">
        <v>303</v>
      </c>
      <c r="Q212" s="727" t="s">
        <v>304</v>
      </c>
    </row>
    <row r="213" spans="1:17" x14ac:dyDescent="0.25">
      <c r="A213" s="618" t="s">
        <v>244</v>
      </c>
      <c r="B213" s="728" t="s">
        <v>212</v>
      </c>
      <c r="C213" s="729"/>
      <c r="D213" s="730"/>
      <c r="E213" s="730"/>
      <c r="F213" s="730"/>
      <c r="G213" s="731"/>
      <c r="H213" s="731"/>
      <c r="I213" s="731"/>
      <c r="J213" s="731"/>
      <c r="K213" s="729"/>
      <c r="L213" s="732">
        <f>SUM(L208:L212)</f>
        <v>78.989999999999995</v>
      </c>
      <c r="M213" s="732">
        <f>SUM(M208:M212)</f>
        <v>0</v>
      </c>
      <c r="N213" s="732">
        <f>SUM(N208:N212)</f>
        <v>0</v>
      </c>
      <c r="O213" s="732">
        <f>SUM(O208:O212)</f>
        <v>78.989999999999995</v>
      </c>
      <c r="P213" s="729" t="s">
        <v>295</v>
      </c>
      <c r="Q213" s="727"/>
    </row>
    <row r="214" spans="1:17" hidden="1" x14ac:dyDescent="0.25">
      <c r="A214" s="720"/>
      <c r="B214" s="1412" t="s">
        <v>239</v>
      </c>
      <c r="C214" s="1412"/>
      <c r="D214" s="1412"/>
      <c r="E214" s="1412"/>
      <c r="F214" s="1412"/>
      <c r="G214" s="1412"/>
      <c r="H214" s="1412"/>
      <c r="I214" s="1412"/>
      <c r="J214" s="1412"/>
      <c r="K214" s="1412"/>
      <c r="L214" s="1412"/>
      <c r="M214" s="1412"/>
      <c r="N214" s="1412"/>
      <c r="O214" s="1412"/>
      <c r="P214" s="1413"/>
      <c r="Q214" s="721"/>
    </row>
    <row r="215" spans="1:17" hidden="1" x14ac:dyDescent="0.25">
      <c r="A215" s="618"/>
      <c r="B215" s="722" t="s">
        <v>237</v>
      </c>
      <c r="C215" s="617">
        <v>1</v>
      </c>
      <c r="D215" s="723">
        <v>136</v>
      </c>
      <c r="E215" s="723">
        <v>4</v>
      </c>
      <c r="F215" s="723"/>
      <c r="G215" s="725">
        <f>(E215+F215)/D215/C215</f>
        <v>2.9409999999999999E-2</v>
      </c>
      <c r="H215" s="725">
        <f>G215-J215</f>
        <v>0</v>
      </c>
      <c r="I215" s="725"/>
      <c r="J215" s="725">
        <f>E215/D215/C215</f>
        <v>2.9409999999999999E-2</v>
      </c>
      <c r="K215" s="723"/>
      <c r="L215" s="726">
        <f>G215*K215</f>
        <v>0</v>
      </c>
      <c r="M215" s="726">
        <f>H215*K215</f>
        <v>0</v>
      </c>
      <c r="N215" s="726">
        <f>I215*K215</f>
        <v>0</v>
      </c>
      <c r="O215" s="726">
        <f>L215-M215</f>
        <v>0</v>
      </c>
      <c r="P215" s="617" t="s">
        <v>241</v>
      </c>
      <c r="Q215" s="727"/>
    </row>
    <row r="216" spans="1:17" hidden="1" x14ac:dyDescent="0.25">
      <c r="A216" s="618" t="s">
        <v>224</v>
      </c>
      <c r="B216" s="728" t="s">
        <v>212</v>
      </c>
      <c r="C216" s="729"/>
      <c r="D216" s="730"/>
      <c r="E216" s="730"/>
      <c r="F216" s="730"/>
      <c r="G216" s="731"/>
      <c r="H216" s="731"/>
      <c r="I216" s="731"/>
      <c r="J216" s="731"/>
      <c r="K216" s="729"/>
      <c r="L216" s="732">
        <f>SUM(L215:L215)</f>
        <v>0</v>
      </c>
      <c r="M216" s="732">
        <f>SUM(M215:M215)</f>
        <v>0</v>
      </c>
      <c r="N216" s="732">
        <f>SUM(N215:N215)</f>
        <v>0</v>
      </c>
      <c r="O216" s="732">
        <f>SUM(O215:O215)</f>
        <v>0</v>
      </c>
      <c r="P216" s="729" t="s">
        <v>295</v>
      </c>
      <c r="Q216" s="727"/>
    </row>
    <row r="217" spans="1:17" x14ac:dyDescent="0.25">
      <c r="A217" s="720"/>
      <c r="B217" s="1412" t="s">
        <v>355</v>
      </c>
      <c r="C217" s="1412"/>
      <c r="D217" s="1412"/>
      <c r="E217" s="1412"/>
      <c r="F217" s="1412"/>
      <c r="G217" s="1412"/>
      <c r="H217" s="1412"/>
      <c r="I217" s="1412"/>
      <c r="J217" s="1412"/>
      <c r="K217" s="1412"/>
      <c r="L217" s="1412"/>
      <c r="M217" s="1412"/>
      <c r="N217" s="1412"/>
      <c r="O217" s="1412"/>
      <c r="P217" s="1413"/>
      <c r="Q217" s="721"/>
    </row>
    <row r="218" spans="1:17" x14ac:dyDescent="0.25">
      <c r="A218" s="618" t="s">
        <v>244</v>
      </c>
      <c r="B218" s="744" t="s">
        <v>356</v>
      </c>
      <c r="C218" s="617">
        <v>1</v>
      </c>
      <c r="D218" s="745">
        <v>270</v>
      </c>
      <c r="E218" s="723">
        <v>12</v>
      </c>
      <c r="F218" s="723"/>
      <c r="G218" s="725">
        <f>(E218+F218)/D218/C218</f>
        <v>4.444E-2</v>
      </c>
      <c r="H218" s="725">
        <f>G218-J218</f>
        <v>0</v>
      </c>
      <c r="I218" s="725"/>
      <c r="J218" s="725">
        <f>E218/D218/C218</f>
        <v>4.444E-2</v>
      </c>
      <c r="K218" s="723">
        <v>32500</v>
      </c>
      <c r="L218" s="726">
        <f>G218*K218</f>
        <v>1444.3</v>
      </c>
      <c r="M218" s="726">
        <f>H218*K218</f>
        <v>0</v>
      </c>
      <c r="N218" s="726">
        <f>I218*K218</f>
        <v>0</v>
      </c>
      <c r="O218" s="726">
        <f>L218-M218</f>
        <v>1444.3</v>
      </c>
      <c r="P218" s="617" t="s">
        <v>357</v>
      </c>
      <c r="Q218" s="727" t="s">
        <v>1500</v>
      </c>
    </row>
    <row r="219" spans="1:17" hidden="1" x14ac:dyDescent="0.25">
      <c r="A219" s="618" t="s">
        <v>244</v>
      </c>
      <c r="B219" s="746" t="s">
        <v>309</v>
      </c>
      <c r="C219" s="617">
        <v>1</v>
      </c>
      <c r="D219" s="749">
        <v>925</v>
      </c>
      <c r="E219" s="723"/>
      <c r="F219" s="723"/>
      <c r="G219" s="725">
        <f t="shared" ref="G219:G224" si="45">(E219+F219)/D219/C219</f>
        <v>0</v>
      </c>
      <c r="H219" s="725">
        <f t="shared" ref="H219:H224" si="46">G219-J219</f>
        <v>0</v>
      </c>
      <c r="I219" s="725"/>
      <c r="J219" s="725">
        <f t="shared" ref="J219:J224" si="47">E219/D219/C219</f>
        <v>0</v>
      </c>
      <c r="K219" s="723"/>
      <c r="L219" s="726">
        <f t="shared" ref="L219:L224" si="48">G219*K219</f>
        <v>0</v>
      </c>
      <c r="M219" s="726">
        <f t="shared" ref="M219:M224" si="49">H219*K219</f>
        <v>0</v>
      </c>
      <c r="N219" s="726">
        <f t="shared" ref="N219:N224" si="50">I219*K219</f>
        <v>0</v>
      </c>
      <c r="O219" s="726">
        <f t="shared" ref="O219:O224" si="51">L219-M219</f>
        <v>0</v>
      </c>
      <c r="P219" s="617"/>
      <c r="Q219" s="727"/>
    </row>
    <row r="220" spans="1:17" hidden="1" x14ac:dyDescent="0.25">
      <c r="A220" s="618" t="s">
        <v>244</v>
      </c>
      <c r="B220" s="746" t="s">
        <v>310</v>
      </c>
      <c r="C220" s="617">
        <v>1</v>
      </c>
      <c r="D220" s="749">
        <v>925</v>
      </c>
      <c r="E220" s="723"/>
      <c r="F220" s="723"/>
      <c r="G220" s="725">
        <f t="shared" si="45"/>
        <v>0</v>
      </c>
      <c r="H220" s="725">
        <f t="shared" si="46"/>
        <v>0</v>
      </c>
      <c r="I220" s="725"/>
      <c r="J220" s="725">
        <f t="shared" si="47"/>
        <v>0</v>
      </c>
      <c r="K220" s="723"/>
      <c r="L220" s="726">
        <f t="shared" si="48"/>
        <v>0</v>
      </c>
      <c r="M220" s="726">
        <f t="shared" si="49"/>
        <v>0</v>
      </c>
      <c r="N220" s="726">
        <f t="shared" si="50"/>
        <v>0</v>
      </c>
      <c r="O220" s="726">
        <f t="shared" si="51"/>
        <v>0</v>
      </c>
      <c r="P220" s="617"/>
      <c r="Q220" s="727"/>
    </row>
    <row r="221" spans="1:17" hidden="1" x14ac:dyDescent="0.25">
      <c r="A221" s="618" t="s">
        <v>244</v>
      </c>
      <c r="B221" s="746" t="s">
        <v>311</v>
      </c>
      <c r="C221" s="617">
        <v>1</v>
      </c>
      <c r="D221" s="749">
        <v>925</v>
      </c>
      <c r="E221" s="723"/>
      <c r="F221" s="723"/>
      <c r="G221" s="725">
        <f>(E221+F221)/D221/C221</f>
        <v>0</v>
      </c>
      <c r="H221" s="725">
        <f>G221-J221</f>
        <v>0</v>
      </c>
      <c r="I221" s="725"/>
      <c r="J221" s="725">
        <f>E221/D221/C221</f>
        <v>0</v>
      </c>
      <c r="K221" s="723"/>
      <c r="L221" s="726">
        <f>G221*K221</f>
        <v>0</v>
      </c>
      <c r="M221" s="726">
        <f>H221*K221</f>
        <v>0</v>
      </c>
      <c r="N221" s="726">
        <f>I221*K221</f>
        <v>0</v>
      </c>
      <c r="O221" s="726">
        <f>L221-M221</f>
        <v>0</v>
      </c>
      <c r="P221" s="617"/>
      <c r="Q221" s="727"/>
    </row>
    <row r="222" spans="1:17" ht="39.75" hidden="1" customHeight="1" x14ac:dyDescent="0.25">
      <c r="A222" s="618" t="s">
        <v>242</v>
      </c>
      <c r="B222" s="746" t="s">
        <v>293</v>
      </c>
      <c r="C222" s="617">
        <v>1</v>
      </c>
      <c r="D222" s="749">
        <v>925</v>
      </c>
      <c r="E222" s="723"/>
      <c r="F222" s="723"/>
      <c r="G222" s="725">
        <f>(E222+F222)/D222/C222</f>
        <v>0</v>
      </c>
      <c r="H222" s="725">
        <f>G222-J222</f>
        <v>0</v>
      </c>
      <c r="I222" s="725"/>
      <c r="J222" s="725">
        <f>E222/D222/C222</f>
        <v>0</v>
      </c>
      <c r="K222" s="723"/>
      <c r="L222" s="726">
        <f>G222*K222</f>
        <v>0</v>
      </c>
      <c r="M222" s="726">
        <f>H222*K222</f>
        <v>0</v>
      </c>
      <c r="N222" s="726">
        <f>I222*K222</f>
        <v>0</v>
      </c>
      <c r="O222" s="726">
        <f>L222-M222</f>
        <v>0</v>
      </c>
      <c r="P222" s="617"/>
      <c r="Q222" s="727"/>
    </row>
    <row r="223" spans="1:17" hidden="1" x14ac:dyDescent="0.25">
      <c r="A223" s="618" t="s">
        <v>224</v>
      </c>
      <c r="B223" s="746" t="s">
        <v>287</v>
      </c>
      <c r="C223" s="617">
        <v>1</v>
      </c>
      <c r="D223" s="749">
        <v>925</v>
      </c>
      <c r="E223" s="723"/>
      <c r="F223" s="723"/>
      <c r="G223" s="725">
        <f t="shared" si="45"/>
        <v>0</v>
      </c>
      <c r="H223" s="725">
        <f t="shared" si="46"/>
        <v>0</v>
      </c>
      <c r="I223" s="725"/>
      <c r="J223" s="725">
        <f t="shared" si="47"/>
        <v>0</v>
      </c>
      <c r="K223" s="723"/>
      <c r="L223" s="726">
        <f t="shared" si="48"/>
        <v>0</v>
      </c>
      <c r="M223" s="726">
        <f t="shared" si="49"/>
        <v>0</v>
      </c>
      <c r="N223" s="726">
        <f t="shared" si="50"/>
        <v>0</v>
      </c>
      <c r="O223" s="726">
        <f t="shared" si="51"/>
        <v>0</v>
      </c>
      <c r="P223" s="617"/>
      <c r="Q223" s="727"/>
    </row>
    <row r="224" spans="1:17" hidden="1" x14ac:dyDescent="0.25">
      <c r="A224" s="618" t="s">
        <v>224</v>
      </c>
      <c r="B224" s="746" t="s">
        <v>288</v>
      </c>
      <c r="C224" s="617">
        <v>1</v>
      </c>
      <c r="D224" s="749">
        <v>925</v>
      </c>
      <c r="E224" s="723"/>
      <c r="F224" s="723"/>
      <c r="G224" s="725">
        <f t="shared" si="45"/>
        <v>0</v>
      </c>
      <c r="H224" s="725">
        <f t="shared" si="46"/>
        <v>0</v>
      </c>
      <c r="I224" s="725"/>
      <c r="J224" s="725">
        <f t="shared" si="47"/>
        <v>0</v>
      </c>
      <c r="K224" s="723"/>
      <c r="L224" s="726">
        <f t="shared" si="48"/>
        <v>0</v>
      </c>
      <c r="M224" s="726">
        <f t="shared" si="49"/>
        <v>0</v>
      </c>
      <c r="N224" s="726">
        <f t="shared" si="50"/>
        <v>0</v>
      </c>
      <c r="O224" s="726">
        <f t="shared" si="51"/>
        <v>0</v>
      </c>
      <c r="P224" s="617"/>
      <c r="Q224" s="727"/>
    </row>
    <row r="225" spans="1:17" hidden="1" x14ac:dyDescent="0.25">
      <c r="A225" s="618" t="s">
        <v>224</v>
      </c>
      <c r="B225" s="746" t="s">
        <v>238</v>
      </c>
      <c r="C225" s="617">
        <v>1</v>
      </c>
      <c r="D225" s="749">
        <v>925</v>
      </c>
      <c r="E225" s="723"/>
      <c r="F225" s="723"/>
      <c r="G225" s="725">
        <f>(E225+F225)/D225/C225</f>
        <v>0</v>
      </c>
      <c r="H225" s="725">
        <f>G225-J225</f>
        <v>0</v>
      </c>
      <c r="I225" s="725"/>
      <c r="J225" s="725">
        <f>E225/D225/C225</f>
        <v>0</v>
      </c>
      <c r="K225" s="723"/>
      <c r="L225" s="726">
        <f>G225*K225</f>
        <v>0</v>
      </c>
      <c r="M225" s="726">
        <f>H225*K225</f>
        <v>0</v>
      </c>
      <c r="N225" s="726">
        <f>I225*K225</f>
        <v>0</v>
      </c>
      <c r="O225" s="726">
        <f>L225-M225</f>
        <v>0</v>
      </c>
      <c r="P225" s="617"/>
      <c r="Q225" s="727"/>
    </row>
    <row r="226" spans="1:17" x14ac:dyDescent="0.25">
      <c r="A226" s="618" t="s">
        <v>244</v>
      </c>
      <c r="B226" s="728" t="s">
        <v>212</v>
      </c>
      <c r="C226" s="729"/>
      <c r="D226" s="730"/>
      <c r="E226" s="730"/>
      <c r="F226" s="730"/>
      <c r="G226" s="731"/>
      <c r="H226" s="731"/>
      <c r="I226" s="731"/>
      <c r="J226" s="731"/>
      <c r="K226" s="729"/>
      <c r="L226" s="732">
        <f>L218+L219+L220+L221</f>
        <v>1444.3</v>
      </c>
      <c r="M226" s="732">
        <f>M218+M219+M220+M221</f>
        <v>0</v>
      </c>
      <c r="N226" s="732">
        <f>N218+N219+N220+N221</f>
        <v>0</v>
      </c>
      <c r="O226" s="732">
        <f>O218+O219+O220+O221</f>
        <v>1444.3</v>
      </c>
      <c r="P226" s="729" t="s">
        <v>295</v>
      </c>
      <c r="Q226" s="727"/>
    </row>
    <row r="227" spans="1:17" hidden="1" x14ac:dyDescent="0.25">
      <c r="A227" s="618" t="s">
        <v>242</v>
      </c>
      <c r="B227" s="728" t="s">
        <v>212</v>
      </c>
      <c r="C227" s="729"/>
      <c r="D227" s="730"/>
      <c r="E227" s="730"/>
      <c r="F227" s="730"/>
      <c r="G227" s="731"/>
      <c r="H227" s="731"/>
      <c r="I227" s="731"/>
      <c r="J227" s="731"/>
      <c r="K227" s="729"/>
      <c r="L227" s="732">
        <f>L222</f>
        <v>0</v>
      </c>
      <c r="M227" s="732">
        <f>M222</f>
        <v>0</v>
      </c>
      <c r="N227" s="732">
        <f>N222</f>
        <v>0</v>
      </c>
      <c r="O227" s="732">
        <f>O222</f>
        <v>0</v>
      </c>
      <c r="P227" s="729" t="s">
        <v>409</v>
      </c>
      <c r="Q227" s="727"/>
    </row>
    <row r="228" spans="1:17" hidden="1" x14ac:dyDescent="0.25">
      <c r="A228" s="618" t="s">
        <v>224</v>
      </c>
      <c r="B228" s="728" t="s">
        <v>212</v>
      </c>
      <c r="C228" s="729"/>
      <c r="D228" s="730"/>
      <c r="E228" s="730"/>
      <c r="F228" s="730"/>
      <c r="G228" s="731"/>
      <c r="H228" s="731"/>
      <c r="I228" s="731"/>
      <c r="J228" s="731"/>
      <c r="K228" s="729"/>
      <c r="L228" s="732">
        <f>L223+L224+L225</f>
        <v>0</v>
      </c>
      <c r="M228" s="732">
        <f>M223+M224+M225</f>
        <v>0</v>
      </c>
      <c r="N228" s="732">
        <f>N223+N224+N225</f>
        <v>0</v>
      </c>
      <c r="O228" s="732">
        <f>O223+O224+O225</f>
        <v>0</v>
      </c>
      <c r="P228" s="729" t="s">
        <v>409</v>
      </c>
      <c r="Q228" s="727"/>
    </row>
    <row r="229" spans="1:17" x14ac:dyDescent="0.25">
      <c r="A229" s="720"/>
      <c r="B229" s="1412" t="s">
        <v>358</v>
      </c>
      <c r="C229" s="1412"/>
      <c r="D229" s="1412"/>
      <c r="E229" s="1412"/>
      <c r="F229" s="1412"/>
      <c r="G229" s="1412"/>
      <c r="H229" s="1412"/>
      <c r="I229" s="1412"/>
      <c r="J229" s="1412"/>
      <c r="K229" s="1412"/>
      <c r="L229" s="1412"/>
      <c r="M229" s="1412"/>
      <c r="N229" s="1412"/>
      <c r="O229" s="1412"/>
      <c r="P229" s="1413"/>
      <c r="Q229" s="721"/>
    </row>
    <row r="230" spans="1:17" ht="45" x14ac:dyDescent="0.25">
      <c r="A230" s="618"/>
      <c r="B230" s="722" t="s">
        <v>359</v>
      </c>
      <c r="C230" s="617">
        <v>1</v>
      </c>
      <c r="D230" s="745">
        <v>46</v>
      </c>
      <c r="E230" s="750">
        <v>12</v>
      </c>
      <c r="F230" s="723"/>
      <c r="G230" s="725">
        <f>(E230+F230)/D230/C230</f>
        <v>0.26086999999999999</v>
      </c>
      <c r="H230" s="725">
        <f>G230-J230</f>
        <v>0</v>
      </c>
      <c r="I230" s="725"/>
      <c r="J230" s="725">
        <f>E230/D230/C230</f>
        <v>0.26086999999999999</v>
      </c>
      <c r="K230" s="751">
        <v>1100</v>
      </c>
      <c r="L230" s="726">
        <f>G230*K230</f>
        <v>286.95999999999998</v>
      </c>
      <c r="M230" s="726">
        <f>H230*K230</f>
        <v>0</v>
      </c>
      <c r="N230" s="726">
        <f>I230*K230</f>
        <v>0</v>
      </c>
      <c r="O230" s="726">
        <f>L230-M230</f>
        <v>286.95999999999998</v>
      </c>
      <c r="P230" s="617" t="s">
        <v>169</v>
      </c>
      <c r="Q230" s="727" t="s">
        <v>1501</v>
      </c>
    </row>
    <row r="231" spans="1:17" x14ac:dyDescent="0.25">
      <c r="A231" s="752" t="s">
        <v>224</v>
      </c>
      <c r="B231" s="728" t="s">
        <v>212</v>
      </c>
      <c r="C231" s="729"/>
      <c r="D231" s="730"/>
      <c r="E231" s="730"/>
      <c r="F231" s="730"/>
      <c r="G231" s="731"/>
      <c r="H231" s="731"/>
      <c r="I231" s="731"/>
      <c r="J231" s="731"/>
      <c r="K231" s="729"/>
      <c r="L231" s="732">
        <f>SUM(L230:L230)</f>
        <v>286.95999999999998</v>
      </c>
      <c r="M231" s="732">
        <f>SUM(M230:M230)</f>
        <v>0</v>
      </c>
      <c r="N231" s="732">
        <f>SUM(N230:N230)</f>
        <v>0</v>
      </c>
      <c r="O231" s="732">
        <f>SUM(O230:O230)</f>
        <v>286.95999999999998</v>
      </c>
      <c r="P231" s="729" t="s">
        <v>295</v>
      </c>
      <c r="Q231" s="727"/>
    </row>
    <row r="232" spans="1:17" x14ac:dyDescent="0.25">
      <c r="A232" s="720"/>
      <c r="B232" s="1412" t="s">
        <v>366</v>
      </c>
      <c r="C232" s="1412"/>
      <c r="D232" s="1412"/>
      <c r="E232" s="1412"/>
      <c r="F232" s="1412"/>
      <c r="G232" s="1412"/>
      <c r="H232" s="1412"/>
      <c r="I232" s="1412"/>
      <c r="J232" s="1412"/>
      <c r="K232" s="1412"/>
      <c r="L232" s="1412"/>
      <c r="M232" s="1412"/>
      <c r="N232" s="1412"/>
      <c r="O232" s="1412"/>
      <c r="P232" s="1413"/>
      <c r="Q232" s="721"/>
    </row>
    <row r="233" spans="1:17" ht="22.5" x14ac:dyDescent="0.25">
      <c r="A233" s="618"/>
      <c r="B233" s="722" t="s">
        <v>367</v>
      </c>
      <c r="C233" s="617">
        <v>5</v>
      </c>
      <c r="D233" s="723">
        <v>136</v>
      </c>
      <c r="E233" s="723">
        <f>2*10</f>
        <v>20</v>
      </c>
      <c r="F233" s="723">
        <f>(18)*10</f>
        <v>180</v>
      </c>
      <c r="G233" s="725">
        <f>(E233+F233)/D233/C233</f>
        <v>0.29411999999999999</v>
      </c>
      <c r="H233" s="725">
        <f>G233-J233</f>
        <v>0.29411999999999999</v>
      </c>
      <c r="I233" s="725"/>
      <c r="J233" s="725"/>
      <c r="K233" s="723">
        <v>100</v>
      </c>
      <c r="L233" s="726">
        <f>G233*K233</f>
        <v>29.41</v>
      </c>
      <c r="M233" s="726">
        <f>H233*K233</f>
        <v>29.41</v>
      </c>
      <c r="N233" s="726">
        <f>I233*K233</f>
        <v>0</v>
      </c>
      <c r="O233" s="726">
        <f>L233-M233</f>
        <v>0</v>
      </c>
      <c r="P233" s="727" t="s">
        <v>380</v>
      </c>
      <c r="Q233" s="727"/>
    </row>
    <row r="234" spans="1:17" ht="22.5" x14ac:dyDescent="0.25">
      <c r="A234" s="618"/>
      <c r="B234" s="722" t="s">
        <v>368</v>
      </c>
      <c r="C234" s="617">
        <v>5</v>
      </c>
      <c r="D234" s="723">
        <v>136</v>
      </c>
      <c r="E234" s="723">
        <f>2*2</f>
        <v>4</v>
      </c>
      <c r="F234" s="723">
        <f>(18)*2</f>
        <v>36</v>
      </c>
      <c r="G234" s="725">
        <f>(E234+F234)/D234/C234</f>
        <v>5.8819999999999997E-2</v>
      </c>
      <c r="H234" s="725">
        <f>G234-J234</f>
        <v>5.8819999999999997E-2</v>
      </c>
      <c r="I234" s="725"/>
      <c r="J234" s="725"/>
      <c r="K234" s="723">
        <v>120</v>
      </c>
      <c r="L234" s="726">
        <f>G234*K234</f>
        <v>7.06</v>
      </c>
      <c r="M234" s="726">
        <f>H234*K234</f>
        <v>7.06</v>
      </c>
      <c r="N234" s="726">
        <f>I234*K234</f>
        <v>0</v>
      </c>
      <c r="O234" s="726">
        <f>L234-M234</f>
        <v>0</v>
      </c>
      <c r="P234" s="727" t="s">
        <v>381</v>
      </c>
      <c r="Q234" s="727"/>
    </row>
    <row r="235" spans="1:17" ht="22.5" x14ac:dyDescent="0.25">
      <c r="A235" s="618"/>
      <c r="B235" s="744" t="s">
        <v>369</v>
      </c>
      <c r="C235" s="617">
        <v>5</v>
      </c>
      <c r="D235" s="723">
        <v>136</v>
      </c>
      <c r="E235" s="723">
        <f>2*10</f>
        <v>20</v>
      </c>
      <c r="F235" s="723">
        <f>(18)*10</f>
        <v>180</v>
      </c>
      <c r="G235" s="725">
        <f>(E235+F235)/D235/C235</f>
        <v>0.29411999999999999</v>
      </c>
      <c r="H235" s="725">
        <f>G235-J235</f>
        <v>0.29411999999999999</v>
      </c>
      <c r="I235" s="725"/>
      <c r="J235" s="725"/>
      <c r="K235" s="723">
        <v>550</v>
      </c>
      <c r="L235" s="726">
        <f>G235*K235</f>
        <v>161.77000000000001</v>
      </c>
      <c r="M235" s="726">
        <f>H235*K235</f>
        <v>161.77000000000001</v>
      </c>
      <c r="N235" s="726">
        <f>I235*K235</f>
        <v>0</v>
      </c>
      <c r="O235" s="726">
        <f>L235-M235</f>
        <v>0</v>
      </c>
      <c r="P235" s="727" t="s">
        <v>380</v>
      </c>
      <c r="Q235" s="727"/>
    </row>
    <row r="236" spans="1:17" x14ac:dyDescent="0.25">
      <c r="A236" s="618"/>
      <c r="B236" s="728" t="s">
        <v>212</v>
      </c>
      <c r="C236" s="729"/>
      <c r="D236" s="730"/>
      <c r="E236" s="730"/>
      <c r="F236" s="730"/>
      <c r="G236" s="731"/>
      <c r="H236" s="731"/>
      <c r="I236" s="731"/>
      <c r="J236" s="731"/>
      <c r="K236" s="729"/>
      <c r="L236" s="732">
        <f>SUM(L233:L235)</f>
        <v>198.24</v>
      </c>
      <c r="M236" s="732">
        <f>SUM(M233:M235)</f>
        <v>198.24</v>
      </c>
      <c r="N236" s="732">
        <f>SUM(N233:N235)</f>
        <v>0</v>
      </c>
      <c r="O236" s="732">
        <f>SUM(O233:O235)</f>
        <v>0</v>
      </c>
      <c r="P236" s="729"/>
      <c r="Q236" s="727"/>
    </row>
    <row r="237" spans="1:17" x14ac:dyDescent="0.25">
      <c r="A237" s="618" t="s">
        <v>222</v>
      </c>
      <c r="B237" s="728"/>
      <c r="C237" s="729"/>
      <c r="D237" s="730"/>
      <c r="E237" s="730"/>
      <c r="F237" s="730"/>
      <c r="G237" s="731"/>
      <c r="H237" s="731"/>
      <c r="I237" s="731"/>
      <c r="J237" s="731"/>
      <c r="K237" s="729"/>
      <c r="L237" s="732">
        <f>SUM(M237:O237)</f>
        <v>191.18</v>
      </c>
      <c r="M237" s="732">
        <f>M233+M235</f>
        <v>191.18</v>
      </c>
      <c r="N237" s="732">
        <f>N236</f>
        <v>0</v>
      </c>
      <c r="O237" s="732"/>
      <c r="P237" s="729" t="s">
        <v>294</v>
      </c>
      <c r="Q237" s="727"/>
    </row>
    <row r="238" spans="1:17" x14ac:dyDescent="0.25">
      <c r="A238" s="618" t="s">
        <v>247</v>
      </c>
      <c r="B238" s="728"/>
      <c r="C238" s="729"/>
      <c r="D238" s="730"/>
      <c r="E238" s="730"/>
      <c r="F238" s="730"/>
      <c r="G238" s="731"/>
      <c r="H238" s="731"/>
      <c r="I238" s="731"/>
      <c r="J238" s="731"/>
      <c r="K238" s="729"/>
      <c r="L238" s="732">
        <f>SUM(M238:O238)</f>
        <v>0</v>
      </c>
      <c r="M238" s="732"/>
      <c r="N238" s="732"/>
      <c r="O238" s="732">
        <f>O236</f>
        <v>0</v>
      </c>
      <c r="P238" s="729" t="s">
        <v>295</v>
      </c>
      <c r="Q238" s="727"/>
    </row>
    <row r="239" spans="1:17" x14ac:dyDescent="0.25">
      <c r="A239" s="720"/>
      <c r="B239" s="1412" t="s">
        <v>370</v>
      </c>
      <c r="C239" s="1412"/>
      <c r="D239" s="1412"/>
      <c r="E239" s="1412"/>
      <c r="F239" s="1412"/>
      <c r="G239" s="1412"/>
      <c r="H239" s="1412"/>
      <c r="I239" s="1412"/>
      <c r="J239" s="1412"/>
      <c r="K239" s="1412"/>
      <c r="L239" s="1412"/>
      <c r="M239" s="1412"/>
      <c r="N239" s="1412"/>
      <c r="O239" s="1412"/>
      <c r="P239" s="1413"/>
      <c r="Q239" s="721"/>
    </row>
    <row r="240" spans="1:17" ht="33.75" x14ac:dyDescent="0.25">
      <c r="A240" s="618"/>
      <c r="B240" s="722" t="s">
        <v>371</v>
      </c>
      <c r="C240" s="617">
        <v>5</v>
      </c>
      <c r="D240" s="723">
        <v>136</v>
      </c>
      <c r="E240" s="723">
        <f>1+1</f>
        <v>2</v>
      </c>
      <c r="F240" s="723">
        <f>(18)</f>
        <v>18</v>
      </c>
      <c r="G240" s="725">
        <f>(E240+F240)/D240/C240</f>
        <v>2.9409999999999999E-2</v>
      </c>
      <c r="H240" s="725">
        <f>G240-J240</f>
        <v>2.9409999999999999E-2</v>
      </c>
      <c r="I240" s="725"/>
      <c r="J240" s="725"/>
      <c r="K240" s="723">
        <v>5300</v>
      </c>
      <c r="L240" s="726">
        <f>G240*K240</f>
        <v>155.87</v>
      </c>
      <c r="M240" s="726">
        <f>H240*K240</f>
        <v>155.87</v>
      </c>
      <c r="N240" s="726">
        <f>I240*K240</f>
        <v>0</v>
      </c>
      <c r="O240" s="726">
        <f>L240-M240</f>
        <v>0</v>
      </c>
      <c r="P240" s="727" t="s">
        <v>382</v>
      </c>
      <c r="Q240" s="727"/>
    </row>
    <row r="241" spans="1:17" x14ac:dyDescent="0.25">
      <c r="A241" s="618" t="s">
        <v>222</v>
      </c>
      <c r="B241" s="728" t="s">
        <v>212</v>
      </c>
      <c r="C241" s="729"/>
      <c r="D241" s="730"/>
      <c r="E241" s="730"/>
      <c r="F241" s="730"/>
      <c r="G241" s="731"/>
      <c r="H241" s="731"/>
      <c r="I241" s="731"/>
      <c r="J241" s="731"/>
      <c r="K241" s="729"/>
      <c r="L241" s="732">
        <f>SUM(L240:L240)</f>
        <v>155.87</v>
      </c>
      <c r="M241" s="732">
        <f>SUM(M240:M240)</f>
        <v>155.87</v>
      </c>
      <c r="N241" s="732">
        <f>SUM(N240:N240)</f>
        <v>0</v>
      </c>
      <c r="O241" s="732">
        <f>SUM(O240:O240)</f>
        <v>0</v>
      </c>
      <c r="P241" s="729" t="s">
        <v>294</v>
      </c>
      <c r="Q241" s="727"/>
    </row>
    <row r="242" spans="1:17" x14ac:dyDescent="0.25">
      <c r="A242" s="720"/>
      <c r="B242" s="1412" t="s">
        <v>372</v>
      </c>
      <c r="C242" s="1412"/>
      <c r="D242" s="1412"/>
      <c r="E242" s="1412"/>
      <c r="F242" s="1412"/>
      <c r="G242" s="1412"/>
      <c r="H242" s="1412"/>
      <c r="I242" s="1412"/>
      <c r="J242" s="1412"/>
      <c r="K242" s="1412"/>
      <c r="L242" s="1412"/>
      <c r="M242" s="1412"/>
      <c r="N242" s="1412"/>
      <c r="O242" s="1412"/>
      <c r="P242" s="1413"/>
      <c r="Q242" s="721"/>
    </row>
    <row r="243" spans="1:17" x14ac:dyDescent="0.25">
      <c r="A243" s="618"/>
      <c r="B243" s="722" t="s">
        <v>373</v>
      </c>
      <c r="C243" s="617">
        <v>1</v>
      </c>
      <c r="D243" s="723">
        <v>136</v>
      </c>
      <c r="E243" s="723">
        <v>12</v>
      </c>
      <c r="F243" s="723"/>
      <c r="G243" s="725">
        <f t="shared" ref="G243:G251" si="52">(E243+F243)/D243/C243</f>
        <v>8.8239999999999999E-2</v>
      </c>
      <c r="H243" s="725">
        <f t="shared" ref="H243:H251" si="53">G243-J243</f>
        <v>8.8239999999999999E-2</v>
      </c>
      <c r="I243" s="725"/>
      <c r="J243" s="725"/>
      <c r="K243" s="723">
        <v>400</v>
      </c>
      <c r="L243" s="726">
        <f t="shared" ref="L243:L251" si="54">G243*K243</f>
        <v>35.299999999999997</v>
      </c>
      <c r="M243" s="726">
        <f t="shared" ref="M243:M251" si="55">H243*K243</f>
        <v>35.299999999999997</v>
      </c>
      <c r="N243" s="726">
        <f t="shared" ref="N243:N251" si="56">I243*K243</f>
        <v>0</v>
      </c>
      <c r="O243" s="726">
        <f t="shared" ref="O243:O251" si="57">L243-M243</f>
        <v>0</v>
      </c>
      <c r="P243" s="727" t="s">
        <v>374</v>
      </c>
      <c r="Q243" s="727"/>
    </row>
    <row r="244" spans="1:17" x14ac:dyDescent="0.25">
      <c r="A244" s="618"/>
      <c r="B244" s="722" t="s">
        <v>314</v>
      </c>
      <c r="C244" s="617">
        <v>1</v>
      </c>
      <c r="D244" s="723">
        <v>136</v>
      </c>
      <c r="E244" s="723">
        <v>12</v>
      </c>
      <c r="F244" s="723"/>
      <c r="G244" s="725">
        <f t="shared" si="52"/>
        <v>8.8239999999999999E-2</v>
      </c>
      <c r="H244" s="725">
        <f t="shared" si="53"/>
        <v>8.8239999999999999E-2</v>
      </c>
      <c r="I244" s="725"/>
      <c r="J244" s="725"/>
      <c r="K244" s="723">
        <v>1400</v>
      </c>
      <c r="L244" s="726">
        <f t="shared" si="54"/>
        <v>123.54</v>
      </c>
      <c r="M244" s="726">
        <f t="shared" si="55"/>
        <v>123.54</v>
      </c>
      <c r="N244" s="726">
        <f t="shared" si="56"/>
        <v>0</v>
      </c>
      <c r="O244" s="726">
        <f t="shared" si="57"/>
        <v>0</v>
      </c>
      <c r="P244" s="727" t="s">
        <v>374</v>
      </c>
      <c r="Q244" s="727"/>
    </row>
    <row r="245" spans="1:17" x14ac:dyDescent="0.25">
      <c r="A245" s="618"/>
      <c r="B245" s="744" t="s">
        <v>1502</v>
      </c>
      <c r="C245" s="617">
        <v>1</v>
      </c>
      <c r="D245" s="723">
        <v>136</v>
      </c>
      <c r="E245" s="723"/>
      <c r="F245" s="723">
        <v>12</v>
      </c>
      <c r="G245" s="725">
        <f t="shared" si="52"/>
        <v>8.8239999999999999E-2</v>
      </c>
      <c r="H245" s="725">
        <f t="shared" si="53"/>
        <v>8.8239999999999999E-2</v>
      </c>
      <c r="I245" s="725"/>
      <c r="J245" s="725"/>
      <c r="K245" s="745">
        <v>300</v>
      </c>
      <c r="L245" s="726">
        <f t="shared" si="54"/>
        <v>26.47</v>
      </c>
      <c r="M245" s="726">
        <f t="shared" si="55"/>
        <v>26.47</v>
      </c>
      <c r="N245" s="726">
        <f t="shared" si="56"/>
        <v>0</v>
      </c>
      <c r="O245" s="726">
        <f t="shared" si="57"/>
        <v>0</v>
      </c>
      <c r="P245" s="727" t="s">
        <v>374</v>
      </c>
      <c r="Q245" s="727"/>
    </row>
    <row r="246" spans="1:17" x14ac:dyDescent="0.25">
      <c r="A246" s="618"/>
      <c r="B246" s="744" t="s">
        <v>383</v>
      </c>
      <c r="C246" s="617">
        <v>1</v>
      </c>
      <c r="D246" s="723">
        <v>136</v>
      </c>
      <c r="E246" s="723"/>
      <c r="F246" s="723">
        <v>12</v>
      </c>
      <c r="G246" s="725">
        <f t="shared" si="52"/>
        <v>8.8239999999999999E-2</v>
      </c>
      <c r="H246" s="725">
        <f t="shared" si="53"/>
        <v>8.8239999999999999E-2</v>
      </c>
      <c r="I246" s="725"/>
      <c r="J246" s="725"/>
      <c r="K246" s="745">
        <v>200</v>
      </c>
      <c r="L246" s="726">
        <f t="shared" si="54"/>
        <v>17.649999999999999</v>
      </c>
      <c r="M246" s="726">
        <f t="shared" si="55"/>
        <v>17.649999999999999</v>
      </c>
      <c r="N246" s="726">
        <f t="shared" si="56"/>
        <v>0</v>
      </c>
      <c r="O246" s="726">
        <f t="shared" si="57"/>
        <v>0</v>
      </c>
      <c r="P246" s="727" t="s">
        <v>374</v>
      </c>
      <c r="Q246" s="727"/>
    </row>
    <row r="247" spans="1:17" x14ac:dyDescent="0.25">
      <c r="A247" s="618"/>
      <c r="B247" s="744" t="s">
        <v>384</v>
      </c>
      <c r="C247" s="617">
        <v>1</v>
      </c>
      <c r="D247" s="723">
        <v>136</v>
      </c>
      <c r="E247" s="723"/>
      <c r="F247" s="723">
        <v>12</v>
      </c>
      <c r="G247" s="725">
        <f t="shared" si="52"/>
        <v>8.8239999999999999E-2</v>
      </c>
      <c r="H247" s="725">
        <f t="shared" si="53"/>
        <v>8.8239999999999999E-2</v>
      </c>
      <c r="I247" s="725"/>
      <c r="J247" s="725"/>
      <c r="K247" s="745">
        <v>250</v>
      </c>
      <c r="L247" s="726">
        <f t="shared" si="54"/>
        <v>22.06</v>
      </c>
      <c r="M247" s="726">
        <f t="shared" si="55"/>
        <v>22.06</v>
      </c>
      <c r="N247" s="726">
        <f t="shared" si="56"/>
        <v>0</v>
      </c>
      <c r="O247" s="726">
        <f t="shared" si="57"/>
        <v>0</v>
      </c>
      <c r="P247" s="727" t="s">
        <v>374</v>
      </c>
      <c r="Q247" s="727"/>
    </row>
    <row r="248" spans="1:17" x14ac:dyDescent="0.25">
      <c r="A248" s="618"/>
      <c r="B248" s="744" t="s">
        <v>385</v>
      </c>
      <c r="C248" s="617">
        <v>1</v>
      </c>
      <c r="D248" s="723">
        <v>136</v>
      </c>
      <c r="E248" s="723"/>
      <c r="F248" s="723">
        <v>12</v>
      </c>
      <c r="G248" s="725">
        <f t="shared" si="52"/>
        <v>8.8239999999999999E-2</v>
      </c>
      <c r="H248" s="725">
        <f t="shared" si="53"/>
        <v>8.8239999999999999E-2</v>
      </c>
      <c r="I248" s="725"/>
      <c r="J248" s="725"/>
      <c r="K248" s="745">
        <v>150</v>
      </c>
      <c r="L248" s="726">
        <f t="shared" si="54"/>
        <v>13.24</v>
      </c>
      <c r="M248" s="726">
        <f t="shared" si="55"/>
        <v>13.24</v>
      </c>
      <c r="N248" s="726">
        <f t="shared" si="56"/>
        <v>0</v>
      </c>
      <c r="O248" s="726">
        <f t="shared" si="57"/>
        <v>0</v>
      </c>
      <c r="P248" s="727" t="s">
        <v>374</v>
      </c>
      <c r="Q248" s="727"/>
    </row>
    <row r="249" spans="1:17" x14ac:dyDescent="0.25">
      <c r="A249" s="618"/>
      <c r="B249" s="744" t="s">
        <v>386</v>
      </c>
      <c r="C249" s="617">
        <v>1</v>
      </c>
      <c r="D249" s="723">
        <v>136</v>
      </c>
      <c r="E249" s="723"/>
      <c r="F249" s="723">
        <v>12</v>
      </c>
      <c r="G249" s="725">
        <f t="shared" si="52"/>
        <v>8.8239999999999999E-2</v>
      </c>
      <c r="H249" s="725">
        <f t="shared" si="53"/>
        <v>8.8239999999999999E-2</v>
      </c>
      <c r="I249" s="725"/>
      <c r="J249" s="725"/>
      <c r="K249" s="723">
        <v>150</v>
      </c>
      <c r="L249" s="726">
        <f t="shared" si="54"/>
        <v>13.24</v>
      </c>
      <c r="M249" s="726">
        <f t="shared" si="55"/>
        <v>13.24</v>
      </c>
      <c r="N249" s="726">
        <f t="shared" si="56"/>
        <v>0</v>
      </c>
      <c r="O249" s="726">
        <f t="shared" si="57"/>
        <v>0</v>
      </c>
      <c r="P249" s="727" t="s">
        <v>374</v>
      </c>
      <c r="Q249" s="727"/>
    </row>
    <row r="250" spans="1:17" x14ac:dyDescent="0.25">
      <c r="A250" s="618"/>
      <c r="B250" s="744" t="s">
        <v>375</v>
      </c>
      <c r="C250" s="617">
        <v>1</v>
      </c>
      <c r="D250" s="723">
        <v>136</v>
      </c>
      <c r="E250" s="723"/>
      <c r="F250" s="723">
        <v>12</v>
      </c>
      <c r="G250" s="725">
        <f t="shared" si="52"/>
        <v>8.8239999999999999E-2</v>
      </c>
      <c r="H250" s="725">
        <f t="shared" si="53"/>
        <v>8.8239999999999999E-2</v>
      </c>
      <c r="I250" s="725"/>
      <c r="J250" s="725"/>
      <c r="K250" s="723">
        <v>250</v>
      </c>
      <c r="L250" s="726">
        <f t="shared" si="54"/>
        <v>22.06</v>
      </c>
      <c r="M250" s="726">
        <f t="shared" si="55"/>
        <v>22.06</v>
      </c>
      <c r="N250" s="726">
        <f t="shared" si="56"/>
        <v>0</v>
      </c>
      <c r="O250" s="726">
        <f t="shared" si="57"/>
        <v>0</v>
      </c>
      <c r="P250" s="727" t="s">
        <v>374</v>
      </c>
      <c r="Q250" s="727"/>
    </row>
    <row r="251" spans="1:17" ht="22.5" x14ac:dyDescent="0.25">
      <c r="A251" s="618"/>
      <c r="B251" s="744" t="s">
        <v>387</v>
      </c>
      <c r="C251" s="617">
        <v>1</v>
      </c>
      <c r="D251" s="723">
        <v>136</v>
      </c>
      <c r="E251" s="723"/>
      <c r="F251" s="723">
        <v>12</v>
      </c>
      <c r="G251" s="725">
        <f t="shared" si="52"/>
        <v>8.8239999999999999E-2</v>
      </c>
      <c r="H251" s="725">
        <f t="shared" si="53"/>
        <v>8.8239999999999999E-2</v>
      </c>
      <c r="I251" s="725"/>
      <c r="J251" s="725"/>
      <c r="K251" s="723">
        <v>350</v>
      </c>
      <c r="L251" s="726">
        <f t="shared" si="54"/>
        <v>30.88</v>
      </c>
      <c r="M251" s="726">
        <f t="shared" si="55"/>
        <v>30.88</v>
      </c>
      <c r="N251" s="726">
        <f t="shared" si="56"/>
        <v>0</v>
      </c>
      <c r="O251" s="726">
        <f t="shared" si="57"/>
        <v>0</v>
      </c>
      <c r="P251" s="727" t="s">
        <v>374</v>
      </c>
      <c r="Q251" s="727"/>
    </row>
    <row r="252" spans="1:17" x14ac:dyDescent="0.25">
      <c r="A252" s="618" t="s">
        <v>222</v>
      </c>
      <c r="B252" s="728" t="s">
        <v>212</v>
      </c>
      <c r="C252" s="729"/>
      <c r="D252" s="730"/>
      <c r="E252" s="730"/>
      <c r="F252" s="730"/>
      <c r="G252" s="731"/>
      <c r="H252" s="731"/>
      <c r="I252" s="731"/>
      <c r="J252" s="731"/>
      <c r="K252" s="729"/>
      <c r="L252" s="732">
        <f>SUM(L243:L251)</f>
        <v>304.44</v>
      </c>
      <c r="M252" s="732">
        <f>SUM(M243:M251)</f>
        <v>304.44</v>
      </c>
      <c r="N252" s="732">
        <f>SUM(N243:N251)</f>
        <v>0</v>
      </c>
      <c r="O252" s="732">
        <f>SUM(O243:O251)</f>
        <v>0</v>
      </c>
      <c r="P252" s="729" t="s">
        <v>294</v>
      </c>
      <c r="Q252" s="727"/>
    </row>
    <row r="253" spans="1:17" x14ac:dyDescent="0.25">
      <c r="A253" s="720"/>
      <c r="B253" s="1412" t="s">
        <v>376</v>
      </c>
      <c r="C253" s="1412"/>
      <c r="D253" s="1412"/>
      <c r="E253" s="1412"/>
      <c r="F253" s="1412"/>
      <c r="G253" s="1412"/>
      <c r="H253" s="1412"/>
      <c r="I253" s="1412"/>
      <c r="J253" s="1412"/>
      <c r="K253" s="1412"/>
      <c r="L253" s="1412"/>
      <c r="M253" s="1412"/>
      <c r="N253" s="1412"/>
      <c r="O253" s="1412"/>
      <c r="P253" s="1413"/>
      <c r="Q253" s="721"/>
    </row>
    <row r="254" spans="1:17" x14ac:dyDescent="0.25">
      <c r="A254" s="618"/>
      <c r="B254" s="722" t="s">
        <v>377</v>
      </c>
      <c r="C254" s="617">
        <v>2</v>
      </c>
      <c r="D254" s="723">
        <v>136</v>
      </c>
      <c r="E254" s="723"/>
      <c r="F254" s="723">
        <f>1*8</f>
        <v>8</v>
      </c>
      <c r="G254" s="725">
        <f t="shared" ref="G254:G260" si="58">(E254+F254)/D254/C254</f>
        <v>2.9409999999999999E-2</v>
      </c>
      <c r="H254" s="725">
        <f t="shared" ref="H254:H260" si="59">G254-J254</f>
        <v>2.9409999999999999E-2</v>
      </c>
      <c r="I254" s="725"/>
      <c r="J254" s="725"/>
      <c r="K254" s="723">
        <v>5000</v>
      </c>
      <c r="L254" s="726">
        <f t="shared" ref="L254:L260" si="60">G254*K254</f>
        <v>147.05000000000001</v>
      </c>
      <c r="M254" s="726">
        <f t="shared" ref="M254:M260" si="61">H254*K254</f>
        <v>147.05000000000001</v>
      </c>
      <c r="N254" s="726">
        <f t="shared" ref="N254:N260" si="62">I254*K254</f>
        <v>0</v>
      </c>
      <c r="O254" s="726">
        <f t="shared" ref="O254:O260" si="63">L254-M254</f>
        <v>0</v>
      </c>
      <c r="P254" s="727" t="s">
        <v>390</v>
      </c>
      <c r="Q254" s="727"/>
    </row>
    <row r="255" spans="1:17" x14ac:dyDescent="0.25">
      <c r="A255" s="618"/>
      <c r="B255" s="722" t="s">
        <v>407</v>
      </c>
      <c r="C255" s="617">
        <v>2</v>
      </c>
      <c r="D255" s="723">
        <v>136</v>
      </c>
      <c r="E255" s="723"/>
      <c r="F255" s="723">
        <f>1*8</f>
        <v>8</v>
      </c>
      <c r="G255" s="725">
        <f>(E255+F255)/D255/C255</f>
        <v>2.9409999999999999E-2</v>
      </c>
      <c r="H255" s="725">
        <f>G255-J255</f>
        <v>2.9409999999999999E-2</v>
      </c>
      <c r="I255" s="725"/>
      <c r="J255" s="725"/>
      <c r="K255" s="723">
        <v>5000</v>
      </c>
      <c r="L255" s="726">
        <f>G255*K255</f>
        <v>147.05000000000001</v>
      </c>
      <c r="M255" s="726">
        <f t="shared" si="61"/>
        <v>147.05000000000001</v>
      </c>
      <c r="N255" s="726">
        <f t="shared" si="62"/>
        <v>0</v>
      </c>
      <c r="O255" s="726">
        <f t="shared" si="63"/>
        <v>0</v>
      </c>
      <c r="P255" s="727" t="s">
        <v>390</v>
      </c>
      <c r="Q255" s="727"/>
    </row>
    <row r="256" spans="1:17" x14ac:dyDescent="0.25">
      <c r="A256" s="618"/>
      <c r="B256" s="722" t="s">
        <v>388</v>
      </c>
      <c r="C256" s="617">
        <v>1</v>
      </c>
      <c r="D256" s="723">
        <v>136</v>
      </c>
      <c r="E256" s="723"/>
      <c r="F256" s="723">
        <f>1*8</f>
        <v>8</v>
      </c>
      <c r="G256" s="725">
        <f t="shared" si="58"/>
        <v>5.8819999999999997E-2</v>
      </c>
      <c r="H256" s="725">
        <f t="shared" si="59"/>
        <v>5.8819999999999997E-2</v>
      </c>
      <c r="I256" s="725"/>
      <c r="J256" s="725"/>
      <c r="K256" s="723">
        <v>5000</v>
      </c>
      <c r="L256" s="726">
        <f t="shared" si="60"/>
        <v>294.10000000000002</v>
      </c>
      <c r="M256" s="726">
        <f t="shared" si="61"/>
        <v>294.10000000000002</v>
      </c>
      <c r="N256" s="726">
        <f t="shared" si="62"/>
        <v>0</v>
      </c>
      <c r="O256" s="726">
        <f t="shared" si="63"/>
        <v>0</v>
      </c>
      <c r="P256" s="727" t="s">
        <v>390</v>
      </c>
      <c r="Q256" s="727"/>
    </row>
    <row r="257" spans="1:17" x14ac:dyDescent="0.25">
      <c r="A257" s="618"/>
      <c r="B257" s="744" t="s">
        <v>391</v>
      </c>
      <c r="C257" s="617">
        <v>2</v>
      </c>
      <c r="D257" s="723">
        <v>136</v>
      </c>
      <c r="E257" s="723"/>
      <c r="F257" s="723">
        <f>1*8</f>
        <v>8</v>
      </c>
      <c r="G257" s="725">
        <f t="shared" si="58"/>
        <v>2.9409999999999999E-2</v>
      </c>
      <c r="H257" s="725">
        <f t="shared" si="59"/>
        <v>2.9409999999999999E-2</v>
      </c>
      <c r="I257" s="725"/>
      <c r="J257" s="725"/>
      <c r="K257" s="723">
        <v>5000</v>
      </c>
      <c r="L257" s="726">
        <f t="shared" si="60"/>
        <v>147.05000000000001</v>
      </c>
      <c r="M257" s="726">
        <f t="shared" si="61"/>
        <v>147.05000000000001</v>
      </c>
      <c r="N257" s="726">
        <f t="shared" si="62"/>
        <v>0</v>
      </c>
      <c r="O257" s="726">
        <f t="shared" si="63"/>
        <v>0</v>
      </c>
      <c r="P257" s="727" t="s">
        <v>390</v>
      </c>
      <c r="Q257" s="727"/>
    </row>
    <row r="258" spans="1:17" ht="22.5" x14ac:dyDescent="0.25">
      <c r="A258" s="618"/>
      <c r="B258" s="744" t="s">
        <v>408</v>
      </c>
      <c r="C258" s="617">
        <v>5</v>
      </c>
      <c r="D258" s="723">
        <v>136</v>
      </c>
      <c r="E258" s="723"/>
      <c r="F258" s="723">
        <f>1*8</f>
        <v>8</v>
      </c>
      <c r="G258" s="725">
        <f>(E258+F258)/D258/C258</f>
        <v>1.176E-2</v>
      </c>
      <c r="H258" s="725">
        <f>G258-J258</f>
        <v>1.176E-2</v>
      </c>
      <c r="I258" s="725"/>
      <c r="J258" s="725"/>
      <c r="K258" s="723">
        <v>5000</v>
      </c>
      <c r="L258" s="726">
        <f>G258*K258</f>
        <v>58.8</v>
      </c>
      <c r="M258" s="726">
        <f t="shared" si="61"/>
        <v>58.8</v>
      </c>
      <c r="N258" s="726">
        <f t="shared" si="62"/>
        <v>0</v>
      </c>
      <c r="O258" s="726">
        <f t="shared" si="63"/>
        <v>0</v>
      </c>
      <c r="P258" s="727" t="s">
        <v>390</v>
      </c>
      <c r="Q258" s="727"/>
    </row>
    <row r="259" spans="1:17" x14ac:dyDescent="0.25">
      <c r="A259" s="618"/>
      <c r="B259" s="744" t="s">
        <v>378</v>
      </c>
      <c r="C259" s="617">
        <v>10</v>
      </c>
      <c r="D259" s="723">
        <v>136</v>
      </c>
      <c r="E259" s="723"/>
      <c r="F259" s="723">
        <v>1</v>
      </c>
      <c r="G259" s="725">
        <f t="shared" si="58"/>
        <v>7.3999999999999999E-4</v>
      </c>
      <c r="H259" s="725">
        <f t="shared" si="59"/>
        <v>7.3999999999999999E-4</v>
      </c>
      <c r="I259" s="725"/>
      <c r="J259" s="725"/>
      <c r="K259" s="723">
        <v>30000</v>
      </c>
      <c r="L259" s="726">
        <f t="shared" si="60"/>
        <v>22.2</v>
      </c>
      <c r="M259" s="726">
        <f t="shared" si="61"/>
        <v>22.2</v>
      </c>
      <c r="N259" s="726">
        <f t="shared" si="62"/>
        <v>0</v>
      </c>
      <c r="O259" s="726">
        <f t="shared" si="63"/>
        <v>0</v>
      </c>
      <c r="P259" s="727" t="s">
        <v>389</v>
      </c>
      <c r="Q259" s="727"/>
    </row>
    <row r="260" spans="1:17" x14ac:dyDescent="0.25">
      <c r="A260" s="618"/>
      <c r="B260" s="744" t="s">
        <v>379</v>
      </c>
      <c r="C260" s="617">
        <v>10</v>
      </c>
      <c r="D260" s="723">
        <v>136</v>
      </c>
      <c r="E260" s="723"/>
      <c r="F260" s="723">
        <v>1</v>
      </c>
      <c r="G260" s="725">
        <f t="shared" si="58"/>
        <v>7.3999999999999999E-4</v>
      </c>
      <c r="H260" s="725">
        <f t="shared" si="59"/>
        <v>7.3999999999999999E-4</v>
      </c>
      <c r="I260" s="725"/>
      <c r="J260" s="725"/>
      <c r="K260" s="723">
        <v>30000</v>
      </c>
      <c r="L260" s="726">
        <f t="shared" si="60"/>
        <v>22.2</v>
      </c>
      <c r="M260" s="726">
        <f t="shared" si="61"/>
        <v>22.2</v>
      </c>
      <c r="N260" s="726">
        <f t="shared" si="62"/>
        <v>0</v>
      </c>
      <c r="O260" s="726">
        <f t="shared" si="63"/>
        <v>0</v>
      </c>
      <c r="P260" s="727" t="s">
        <v>389</v>
      </c>
      <c r="Q260" s="727"/>
    </row>
    <row r="261" spans="1:17" x14ac:dyDescent="0.25">
      <c r="A261" s="618" t="s">
        <v>221</v>
      </c>
      <c r="B261" s="728" t="s">
        <v>212</v>
      </c>
      <c r="C261" s="729"/>
      <c r="D261" s="730"/>
      <c r="E261" s="730"/>
      <c r="F261" s="730"/>
      <c r="G261" s="731"/>
      <c r="H261" s="731"/>
      <c r="I261" s="731"/>
      <c r="J261" s="731"/>
      <c r="K261" s="729"/>
      <c r="L261" s="732">
        <f>SUM(L254:L260)</f>
        <v>838.45</v>
      </c>
      <c r="M261" s="732">
        <f>SUM(M254:M260)</f>
        <v>838.45</v>
      </c>
      <c r="N261" s="732">
        <f>SUM(N254:N260)</f>
        <v>0</v>
      </c>
      <c r="O261" s="732">
        <f>SUM(O254:O260)</f>
        <v>0</v>
      </c>
      <c r="P261" s="729" t="s">
        <v>294</v>
      </c>
      <c r="Q261" s="727"/>
    </row>
    <row r="262" spans="1:17" x14ac:dyDescent="0.25">
      <c r="A262" s="68"/>
      <c r="B262" s="82"/>
      <c r="C262" s="83"/>
      <c r="D262" s="84"/>
      <c r="E262" s="84"/>
      <c r="F262" s="84"/>
      <c r="G262" s="85"/>
      <c r="H262" s="85"/>
      <c r="I262" s="85"/>
      <c r="J262" s="85"/>
      <c r="K262" s="83"/>
      <c r="L262" s="86"/>
      <c r="M262" s="86"/>
      <c r="N262" s="86"/>
      <c r="O262" s="86"/>
      <c r="P262" s="83"/>
      <c r="Q262" s="87"/>
    </row>
    <row r="263" spans="1:17" x14ac:dyDescent="0.25">
      <c r="A263" s="720"/>
      <c r="B263" s="754" t="s">
        <v>211</v>
      </c>
      <c r="C263" s="755"/>
      <c r="D263" s="756"/>
      <c r="E263" s="756"/>
      <c r="F263" s="756"/>
      <c r="G263" s="757"/>
      <c r="H263" s="757"/>
      <c r="I263" s="757"/>
      <c r="J263" s="757"/>
      <c r="K263" s="756"/>
      <c r="L263" s="758">
        <f>L43+L88+L109+L130+L138+L147+L156+L163+L179+L185+L196+L199+L202+L206+L213+L216+L236+L241+L252+L261</f>
        <v>7753.82</v>
      </c>
      <c r="M263" s="758">
        <f>M43+M88+M109+M130+M138+M147+M156+M163+M179+M185+M196+M199+M202+M206+M213+M216+M236+M241+M252+M261</f>
        <v>5597.72</v>
      </c>
      <c r="N263" s="758">
        <f>N43+N88+N109+N130+N138+N147+N156+N163+N179+N185+N196+N199+N202+N206+N213+N216+N236+N241+N252+N261</f>
        <v>844.83</v>
      </c>
      <c r="O263" s="758">
        <f>O43+O88+O109+O130+O138+O147+O156+O163+O179+O185+O196+O199+O202+O206+O213+O216+O236+O241+O252+O261</f>
        <v>2156.1</v>
      </c>
      <c r="P263" s="755"/>
      <c r="Q263" s="721"/>
    </row>
    <row r="264" spans="1:17" ht="22.5" x14ac:dyDescent="0.25">
      <c r="A264" s="720"/>
      <c r="B264" s="754" t="s">
        <v>312</v>
      </c>
      <c r="C264" s="755"/>
      <c r="D264" s="756"/>
      <c r="E264" s="756"/>
      <c r="F264" s="756"/>
      <c r="G264" s="757"/>
      <c r="H264" s="757"/>
      <c r="I264" s="757"/>
      <c r="J264" s="757"/>
      <c r="K264" s="756"/>
      <c r="L264" s="758">
        <f>L130+L138+L149+L158+L163+L181+L185+L199+L202+L206+L213+L216+L238</f>
        <v>2156.1</v>
      </c>
      <c r="M264" s="758">
        <f>M130+M138+M149+M158+M163+M181+M185+M199+M202+M206+M213+M216+M238</f>
        <v>0</v>
      </c>
      <c r="N264" s="758">
        <f>N130+N138+N149+N158+N163+N181+N185+N199+N202+N206+N213+N216+N238</f>
        <v>0</v>
      </c>
      <c r="O264" s="758">
        <f>O130+O138+O149+O158+O163+O181+O185+O199+O202+O206+O213+O216+O238</f>
        <v>2156.1</v>
      </c>
      <c r="P264" s="755"/>
      <c r="Q264" s="721"/>
    </row>
    <row r="266" spans="1:17" x14ac:dyDescent="0.25">
      <c r="A266" s="1213" t="s">
        <v>2218</v>
      </c>
    </row>
    <row r="267" spans="1:17" x14ac:dyDescent="0.25">
      <c r="A267" s="618" t="s">
        <v>246</v>
      </c>
      <c r="B267" s="728" t="s">
        <v>212</v>
      </c>
      <c r="C267" s="729"/>
      <c r="D267" s="730"/>
      <c r="E267" s="730"/>
      <c r="F267" s="730"/>
      <c r="G267" s="731"/>
      <c r="H267" s="731"/>
      <c r="I267" s="731"/>
      <c r="J267" s="731"/>
      <c r="K267" s="729"/>
      <c r="L267" s="759">
        <v>0</v>
      </c>
      <c r="M267" s="759">
        <v>0</v>
      </c>
      <c r="N267" s="759">
        <v>0</v>
      </c>
      <c r="O267" s="759">
        <v>0</v>
      </c>
      <c r="P267" s="729" t="s">
        <v>313</v>
      </c>
      <c r="Q267" s="727"/>
    </row>
    <row r="268" spans="1:17" x14ac:dyDescent="0.25">
      <c r="A268" s="618" t="s">
        <v>221</v>
      </c>
      <c r="B268" s="728" t="s">
        <v>212</v>
      </c>
      <c r="C268" s="729"/>
      <c r="D268" s="730"/>
      <c r="E268" s="730"/>
      <c r="F268" s="730"/>
      <c r="G268" s="731"/>
      <c r="H268" s="731"/>
      <c r="I268" s="731"/>
      <c r="J268" s="731"/>
      <c r="K268" s="729"/>
      <c r="L268" s="760">
        <f>L44+L89+L261</f>
        <v>1455</v>
      </c>
      <c r="M268" s="759">
        <f>M44+M89+M261</f>
        <v>838</v>
      </c>
      <c r="N268" s="759">
        <f>N44+N89+N261</f>
        <v>617</v>
      </c>
      <c r="O268" s="759">
        <f>O44+O89+O261</f>
        <v>0</v>
      </c>
      <c r="P268" s="729" t="s">
        <v>313</v>
      </c>
      <c r="Q268" s="727"/>
    </row>
    <row r="269" spans="1:17" x14ac:dyDescent="0.25">
      <c r="A269" s="618" t="s">
        <v>222</v>
      </c>
      <c r="B269" s="728" t="s">
        <v>212</v>
      </c>
      <c r="C269" s="729"/>
      <c r="D269" s="730"/>
      <c r="E269" s="730"/>
      <c r="F269" s="730"/>
      <c r="G269" s="731"/>
      <c r="H269" s="731"/>
      <c r="I269" s="731"/>
      <c r="J269" s="731"/>
      <c r="K269" s="729"/>
      <c r="L269" s="760">
        <f>L45+L90+L109+L148+L157+L180+L196+L237+L241+L252</f>
        <v>4135</v>
      </c>
      <c r="M269" s="759">
        <f>M45+M90+M109+M148+M157+M180+M196+M237+M241+M252</f>
        <v>3907</v>
      </c>
      <c r="N269" s="759">
        <f>N45+N90+N109+N148+N157+N180+N196+N237+N241+N252</f>
        <v>228</v>
      </c>
      <c r="O269" s="759">
        <f>O45+O90+O109+O148+O157+O180+O196+O237+O241+O252</f>
        <v>0</v>
      </c>
      <c r="P269" s="729" t="s">
        <v>313</v>
      </c>
      <c r="Q269" s="727"/>
    </row>
    <row r="270" spans="1:17" x14ac:dyDescent="0.25">
      <c r="A270" s="618" t="s">
        <v>248</v>
      </c>
      <c r="B270" s="728" t="s">
        <v>212</v>
      </c>
      <c r="C270" s="729"/>
      <c r="D270" s="730"/>
      <c r="E270" s="730"/>
      <c r="F270" s="730"/>
      <c r="G270" s="731"/>
      <c r="H270" s="731"/>
      <c r="I270" s="731"/>
      <c r="J270" s="731"/>
      <c r="K270" s="729"/>
      <c r="L270" s="759">
        <v>0</v>
      </c>
      <c r="M270" s="759">
        <v>0</v>
      </c>
      <c r="N270" s="759">
        <v>0</v>
      </c>
      <c r="O270" s="759">
        <v>0</v>
      </c>
      <c r="P270" s="729" t="s">
        <v>765</v>
      </c>
      <c r="Q270" s="727"/>
    </row>
    <row r="271" spans="1:17" x14ac:dyDescent="0.25">
      <c r="A271" s="618" t="s">
        <v>243</v>
      </c>
      <c r="B271" s="728" t="s">
        <v>212</v>
      </c>
      <c r="C271" s="729"/>
      <c r="D271" s="730"/>
      <c r="E271" s="730"/>
      <c r="F271" s="730"/>
      <c r="G271" s="731"/>
      <c r="H271" s="731"/>
      <c r="I271" s="731"/>
      <c r="J271" s="731"/>
      <c r="K271" s="729"/>
      <c r="L271" s="761">
        <f>L163+L199</f>
        <v>94</v>
      </c>
      <c r="M271" s="761">
        <f>M163+M199</f>
        <v>0</v>
      </c>
      <c r="N271" s="761">
        <f>N163+N199</f>
        <v>0</v>
      </c>
      <c r="O271" s="761">
        <f>O163+O199</f>
        <v>94</v>
      </c>
      <c r="P271" s="729"/>
      <c r="Q271" s="727"/>
    </row>
    <row r="272" spans="1:17" x14ac:dyDescent="0.25">
      <c r="A272" s="618" t="s">
        <v>244</v>
      </c>
      <c r="B272" s="728" t="s">
        <v>212</v>
      </c>
      <c r="C272" s="729"/>
      <c r="D272" s="730"/>
      <c r="E272" s="730"/>
      <c r="F272" s="730"/>
      <c r="G272" s="731"/>
      <c r="H272" s="731"/>
      <c r="I272" s="731"/>
      <c r="J272" s="731"/>
      <c r="K272" s="729"/>
      <c r="L272" s="761">
        <f>L181+L206+L213</f>
        <v>797</v>
      </c>
      <c r="M272" s="761">
        <f>M181+M206+M213</f>
        <v>0</v>
      </c>
      <c r="N272" s="761">
        <f>N181+N206+N213</f>
        <v>0</v>
      </c>
      <c r="O272" s="761">
        <f>O181+O206+O213</f>
        <v>797</v>
      </c>
      <c r="P272" s="729"/>
      <c r="Q272" s="727"/>
    </row>
    <row r="273" spans="1:17" x14ac:dyDescent="0.25">
      <c r="A273" s="618" t="s">
        <v>242</v>
      </c>
      <c r="B273" s="728" t="s">
        <v>212</v>
      </c>
      <c r="C273" s="729"/>
      <c r="D273" s="730"/>
      <c r="E273" s="730"/>
      <c r="F273" s="730"/>
      <c r="G273" s="731"/>
      <c r="H273" s="731"/>
      <c r="I273" s="731"/>
      <c r="J273" s="731"/>
      <c r="K273" s="729"/>
      <c r="L273" s="759">
        <v>0</v>
      </c>
      <c r="M273" s="759">
        <v>0</v>
      </c>
      <c r="N273" s="759">
        <v>0</v>
      </c>
      <c r="O273" s="759">
        <v>0</v>
      </c>
      <c r="P273" s="729" t="s">
        <v>313</v>
      </c>
      <c r="Q273" s="727"/>
    </row>
    <row r="274" spans="1:17" x14ac:dyDescent="0.25">
      <c r="A274" s="618" t="s">
        <v>247</v>
      </c>
      <c r="B274" s="728" t="s">
        <v>212</v>
      </c>
      <c r="C274" s="729"/>
      <c r="D274" s="730"/>
      <c r="E274" s="730"/>
      <c r="F274" s="730"/>
      <c r="G274" s="731"/>
      <c r="H274" s="731"/>
      <c r="I274" s="731"/>
      <c r="J274" s="731"/>
      <c r="K274" s="729"/>
      <c r="L274" s="759">
        <v>0</v>
      </c>
      <c r="M274" s="759">
        <v>0</v>
      </c>
      <c r="N274" s="759">
        <v>0</v>
      </c>
      <c r="O274" s="759">
        <v>0</v>
      </c>
      <c r="P274" s="762" t="s">
        <v>251</v>
      </c>
      <c r="Q274" s="727"/>
    </row>
    <row r="275" spans="1:17" x14ac:dyDescent="0.25">
      <c r="A275" s="618" t="s">
        <v>245</v>
      </c>
      <c r="B275" s="728" t="s">
        <v>212</v>
      </c>
      <c r="C275" s="729"/>
      <c r="D275" s="730"/>
      <c r="E275" s="730"/>
      <c r="F275" s="730"/>
      <c r="G275" s="731"/>
      <c r="H275" s="731"/>
      <c r="I275" s="731"/>
      <c r="J275" s="731"/>
      <c r="K275" s="729"/>
      <c r="L275" s="759">
        <v>0</v>
      </c>
      <c r="M275" s="759">
        <v>0</v>
      </c>
      <c r="N275" s="759">
        <v>0</v>
      </c>
      <c r="O275" s="759">
        <v>0</v>
      </c>
      <c r="P275" s="729" t="s">
        <v>766</v>
      </c>
      <c r="Q275" s="727"/>
    </row>
    <row r="276" spans="1:17" x14ac:dyDescent="0.25">
      <c r="A276" s="618" t="s">
        <v>224</v>
      </c>
      <c r="B276" s="728" t="s">
        <v>212</v>
      </c>
      <c r="C276" s="729"/>
      <c r="D276" s="730"/>
      <c r="E276" s="730"/>
      <c r="F276" s="730"/>
      <c r="G276" s="731"/>
      <c r="H276" s="731"/>
      <c r="I276" s="731"/>
      <c r="J276" s="731"/>
      <c r="K276" s="729"/>
      <c r="L276" s="761">
        <f>L130+L138+L149+L185+L202+L216</f>
        <v>1265</v>
      </c>
      <c r="M276" s="761">
        <f>M130+M138+M149+M185+M202+M216</f>
        <v>0</v>
      </c>
      <c r="N276" s="761">
        <f>N130+N138+N149+N185+N202+N216</f>
        <v>0</v>
      </c>
      <c r="O276" s="761">
        <f>O130+O138+O149+O185+O202+O216</f>
        <v>1265</v>
      </c>
      <c r="P276" s="729"/>
      <c r="Q276" s="727"/>
    </row>
    <row r="277" spans="1:17" x14ac:dyDescent="0.25">
      <c r="A277" s="763"/>
      <c r="B277" s="764" t="s">
        <v>211</v>
      </c>
      <c r="C277" s="765"/>
      <c r="D277" s="766"/>
      <c r="E277" s="766"/>
      <c r="F277" s="766"/>
      <c r="G277" s="767"/>
      <c r="H277" s="767"/>
      <c r="I277" s="767"/>
      <c r="J277" s="767"/>
      <c r="K277" s="766"/>
      <c r="L277" s="768">
        <f>SUM(L267:L276)</f>
        <v>7746</v>
      </c>
      <c r="M277" s="768">
        <f>SUM(M267:M276)</f>
        <v>4745</v>
      </c>
      <c r="N277" s="768">
        <f>SUM(N267:N276)</f>
        <v>845</v>
      </c>
      <c r="O277" s="768">
        <f>SUM(O267:O276)</f>
        <v>2156</v>
      </c>
      <c r="P277" s="765"/>
      <c r="Q277" s="769"/>
    </row>
    <row r="278" spans="1:17" x14ac:dyDescent="0.25">
      <c r="L278" s="90">
        <f>M278+N278+O278</f>
        <v>5590</v>
      </c>
      <c r="M278" s="90">
        <f>M267+M268+M269+M273</f>
        <v>4745</v>
      </c>
      <c r="N278" s="90">
        <f>N267+N268+N269+N273</f>
        <v>845</v>
      </c>
      <c r="O278" s="90">
        <f>O267+O268+O269+O273</f>
        <v>0</v>
      </c>
      <c r="P278" s="91" t="s">
        <v>425</v>
      </c>
    </row>
    <row r="279" spans="1:17" x14ac:dyDescent="0.25">
      <c r="L279" s="90">
        <f>M279+N279+O279</f>
        <v>2156</v>
      </c>
      <c r="M279" s="90">
        <v>0</v>
      </c>
      <c r="N279" s="90">
        <v>0</v>
      </c>
      <c r="O279" s="90">
        <f>O270+O271+O272+O274+O275+O276</f>
        <v>2156</v>
      </c>
      <c r="P279" s="91" t="s">
        <v>767</v>
      </c>
    </row>
    <row r="280" spans="1:17" ht="24" customHeight="1" x14ac:dyDescent="0.25">
      <c r="I280" s="1422" t="s">
        <v>1503</v>
      </c>
      <c r="J280" s="1417"/>
      <c r="K280" s="1418"/>
      <c r="L280" s="1423" t="s">
        <v>1504</v>
      </c>
      <c r="M280" s="1423"/>
      <c r="N280" s="1423"/>
      <c r="O280" s="1423"/>
    </row>
    <row r="281" spans="1:17" ht="21" x14ac:dyDescent="0.25">
      <c r="B281" s="639" t="s">
        <v>768</v>
      </c>
      <c r="I281" s="770" t="s">
        <v>942</v>
      </c>
      <c r="J281" s="770" t="s">
        <v>943</v>
      </c>
      <c r="K281" s="770" t="s">
        <v>944</v>
      </c>
      <c r="L281" s="770" t="s">
        <v>769</v>
      </c>
      <c r="M281" s="770" t="s">
        <v>770</v>
      </c>
      <c r="N281" s="770" t="s">
        <v>771</v>
      </c>
      <c r="O281" s="770" t="s">
        <v>772</v>
      </c>
    </row>
    <row r="282" spans="1:17" ht="33.75" customHeight="1" x14ac:dyDescent="0.25">
      <c r="B282" s="771" t="s">
        <v>421</v>
      </c>
      <c r="C282" s="1419" t="s">
        <v>427</v>
      </c>
      <c r="D282" s="1420"/>
      <c r="E282" s="1421"/>
      <c r="F282" s="772"/>
      <c r="G282" s="772"/>
      <c r="H282" s="773"/>
      <c r="I282" s="774" t="s">
        <v>1530</v>
      </c>
      <c r="J282" s="775">
        <f t="shared" ref="J282:J295" si="64">$L$268</f>
        <v>1455</v>
      </c>
      <c r="K282" s="775">
        <f t="shared" ref="K282:K295" si="65">$L$269</f>
        <v>4135</v>
      </c>
      <c r="L282" s="775">
        <f>O$271</f>
        <v>94</v>
      </c>
      <c r="M282" s="775">
        <f>O$272</f>
        <v>797</v>
      </c>
      <c r="N282" s="775">
        <f>O$274</f>
        <v>0</v>
      </c>
      <c r="O282" s="775">
        <f>O$276</f>
        <v>1265</v>
      </c>
    </row>
    <row r="283" spans="1:17" ht="33.75" customHeight="1" x14ac:dyDescent="0.25">
      <c r="B283" s="771" t="s">
        <v>413</v>
      </c>
      <c r="C283" s="1419" t="s">
        <v>430</v>
      </c>
      <c r="D283" s="1420"/>
      <c r="E283" s="1421"/>
      <c r="F283" s="772"/>
      <c r="G283" s="772"/>
      <c r="H283" s="773"/>
      <c r="I283" s="774" t="s">
        <v>1530</v>
      </c>
      <c r="J283" s="775">
        <f t="shared" si="64"/>
        <v>1455</v>
      </c>
      <c r="K283" s="775">
        <f t="shared" si="65"/>
        <v>4135</v>
      </c>
      <c r="L283" s="775">
        <f t="shared" ref="L283:L294" si="66">O$271</f>
        <v>94</v>
      </c>
      <c r="M283" s="775">
        <f t="shared" ref="M283:M294" si="67">O$272</f>
        <v>797</v>
      </c>
      <c r="N283" s="775">
        <f t="shared" ref="N283:N294" si="68">O$274</f>
        <v>0</v>
      </c>
      <c r="O283" s="775">
        <f t="shared" ref="O283:O295" si="69">O$276</f>
        <v>1265</v>
      </c>
    </row>
    <row r="284" spans="1:17" ht="33.75" customHeight="1" x14ac:dyDescent="0.25">
      <c r="B284" s="771" t="s">
        <v>700</v>
      </c>
      <c r="C284" s="1419" t="s">
        <v>427</v>
      </c>
      <c r="D284" s="1420"/>
      <c r="E284" s="1421"/>
      <c r="F284" s="772"/>
      <c r="G284" s="772"/>
      <c r="H284" s="773"/>
      <c r="I284" s="774" t="s">
        <v>1530</v>
      </c>
      <c r="J284" s="775">
        <f t="shared" si="64"/>
        <v>1455</v>
      </c>
      <c r="K284" s="775">
        <f t="shared" si="65"/>
        <v>4135</v>
      </c>
      <c r="L284" s="775">
        <f t="shared" si="66"/>
        <v>94</v>
      </c>
      <c r="M284" s="775">
        <f t="shared" si="67"/>
        <v>797</v>
      </c>
      <c r="N284" s="775">
        <f t="shared" si="68"/>
        <v>0</v>
      </c>
      <c r="O284" s="775">
        <f t="shared" si="69"/>
        <v>1265</v>
      </c>
    </row>
    <row r="285" spans="1:17" ht="33.75" customHeight="1" x14ac:dyDescent="0.25">
      <c r="B285" s="771" t="s">
        <v>414</v>
      </c>
      <c r="C285" s="1419" t="s">
        <v>430</v>
      </c>
      <c r="D285" s="1420"/>
      <c r="E285" s="1421"/>
      <c r="F285" s="772"/>
      <c r="G285" s="772"/>
      <c r="H285" s="773"/>
      <c r="I285" s="774" t="s">
        <v>1530</v>
      </c>
      <c r="J285" s="775">
        <f t="shared" si="64"/>
        <v>1455</v>
      </c>
      <c r="K285" s="775">
        <f t="shared" si="65"/>
        <v>4135</v>
      </c>
      <c r="L285" s="775">
        <f t="shared" si="66"/>
        <v>94</v>
      </c>
      <c r="M285" s="775">
        <f t="shared" si="67"/>
        <v>797</v>
      </c>
      <c r="N285" s="775">
        <f t="shared" si="68"/>
        <v>0</v>
      </c>
      <c r="O285" s="775">
        <f t="shared" si="69"/>
        <v>1265</v>
      </c>
    </row>
    <row r="286" spans="1:17" ht="33.75" customHeight="1" x14ac:dyDescent="0.25">
      <c r="B286" s="771" t="s">
        <v>415</v>
      </c>
      <c r="C286" s="1419" t="s">
        <v>430</v>
      </c>
      <c r="D286" s="1420"/>
      <c r="E286" s="1421"/>
      <c r="F286" s="772"/>
      <c r="G286" s="772"/>
      <c r="H286" s="773"/>
      <c r="I286" s="774" t="s">
        <v>1530</v>
      </c>
      <c r="J286" s="775">
        <f t="shared" si="64"/>
        <v>1455</v>
      </c>
      <c r="K286" s="775">
        <f t="shared" si="65"/>
        <v>4135</v>
      </c>
      <c r="L286" s="775">
        <f t="shared" si="66"/>
        <v>94</v>
      </c>
      <c r="M286" s="775">
        <f t="shared" si="67"/>
        <v>797</v>
      </c>
      <c r="N286" s="775">
        <f t="shared" si="68"/>
        <v>0</v>
      </c>
      <c r="O286" s="775">
        <f t="shared" si="69"/>
        <v>1265</v>
      </c>
    </row>
    <row r="287" spans="1:17" ht="45" customHeight="1" x14ac:dyDescent="0.25">
      <c r="B287" s="776" t="s">
        <v>416</v>
      </c>
      <c r="C287" s="1419" t="s">
        <v>429</v>
      </c>
      <c r="D287" s="1420"/>
      <c r="E287" s="1421"/>
      <c r="F287" s="772"/>
      <c r="G287" s="772"/>
      <c r="H287" s="773"/>
      <c r="I287" s="774" t="s">
        <v>1530</v>
      </c>
      <c r="J287" s="775">
        <f t="shared" si="64"/>
        <v>1455</v>
      </c>
      <c r="K287" s="775">
        <f t="shared" si="65"/>
        <v>4135</v>
      </c>
      <c r="L287" s="775">
        <f t="shared" si="66"/>
        <v>94</v>
      </c>
      <c r="M287" s="775">
        <f t="shared" si="67"/>
        <v>797</v>
      </c>
      <c r="N287" s="775">
        <f t="shared" si="68"/>
        <v>0</v>
      </c>
      <c r="O287" s="775">
        <f t="shared" si="69"/>
        <v>1265</v>
      </c>
    </row>
    <row r="288" spans="1:17" ht="78.75" customHeight="1" x14ac:dyDescent="0.25">
      <c r="B288" s="777" t="s">
        <v>417</v>
      </c>
      <c r="C288" s="1419" t="s">
        <v>429</v>
      </c>
      <c r="D288" s="1420"/>
      <c r="E288" s="1421"/>
      <c r="F288" s="772"/>
      <c r="G288" s="772"/>
      <c r="H288" s="773"/>
      <c r="I288" s="774" t="s">
        <v>1530</v>
      </c>
      <c r="J288" s="775">
        <f t="shared" si="64"/>
        <v>1455</v>
      </c>
      <c r="K288" s="775">
        <f t="shared" si="65"/>
        <v>4135</v>
      </c>
      <c r="L288" s="775">
        <f t="shared" si="66"/>
        <v>94</v>
      </c>
      <c r="M288" s="775">
        <f t="shared" si="67"/>
        <v>797</v>
      </c>
      <c r="N288" s="775">
        <f t="shared" si="68"/>
        <v>0</v>
      </c>
      <c r="O288" s="775">
        <f t="shared" si="69"/>
        <v>1265</v>
      </c>
    </row>
    <row r="289" spans="2:17" ht="78.75" customHeight="1" x14ac:dyDescent="0.25">
      <c r="B289" s="777" t="s">
        <v>422</v>
      </c>
      <c r="C289" s="1419" t="s">
        <v>428</v>
      </c>
      <c r="D289" s="1420"/>
      <c r="E289" s="1421"/>
      <c r="F289" s="772"/>
      <c r="G289" s="772"/>
      <c r="H289" s="773"/>
      <c r="I289" s="774" t="s">
        <v>1530</v>
      </c>
      <c r="J289" s="775">
        <f t="shared" si="64"/>
        <v>1455</v>
      </c>
      <c r="K289" s="775">
        <f t="shared" si="65"/>
        <v>4135</v>
      </c>
      <c r="L289" s="775">
        <f t="shared" si="66"/>
        <v>94</v>
      </c>
      <c r="M289" s="775">
        <f>O$272</f>
        <v>797</v>
      </c>
      <c r="N289" s="775">
        <f t="shared" si="68"/>
        <v>0</v>
      </c>
      <c r="O289" s="775">
        <f t="shared" si="69"/>
        <v>1265</v>
      </c>
    </row>
    <row r="290" spans="2:17" ht="90" customHeight="1" x14ac:dyDescent="0.25">
      <c r="B290" s="777" t="s">
        <v>418</v>
      </c>
      <c r="C290" s="1419" t="s">
        <v>429</v>
      </c>
      <c r="D290" s="1420"/>
      <c r="E290" s="1421"/>
      <c r="F290" s="772"/>
      <c r="G290" s="772"/>
      <c r="H290" s="773"/>
      <c r="I290" s="774" t="s">
        <v>1530</v>
      </c>
      <c r="J290" s="775">
        <f t="shared" si="64"/>
        <v>1455</v>
      </c>
      <c r="K290" s="775">
        <f t="shared" si="65"/>
        <v>4135</v>
      </c>
      <c r="L290" s="775">
        <f t="shared" si="66"/>
        <v>94</v>
      </c>
      <c r="M290" s="775">
        <f t="shared" si="67"/>
        <v>797</v>
      </c>
      <c r="N290" s="775">
        <f t="shared" si="68"/>
        <v>0</v>
      </c>
      <c r="O290" s="775">
        <f t="shared" si="69"/>
        <v>1265</v>
      </c>
    </row>
    <row r="291" spans="2:17" ht="22.5" customHeight="1" x14ac:dyDescent="0.25">
      <c r="B291" s="776" t="s">
        <v>423</v>
      </c>
      <c r="C291" s="1419" t="s">
        <v>427</v>
      </c>
      <c r="D291" s="1420"/>
      <c r="E291" s="1421"/>
      <c r="F291" s="772"/>
      <c r="G291" s="772"/>
      <c r="H291" s="773"/>
      <c r="I291" s="774" t="s">
        <v>1530</v>
      </c>
      <c r="J291" s="775">
        <f t="shared" si="64"/>
        <v>1455</v>
      </c>
      <c r="K291" s="775">
        <f t="shared" si="65"/>
        <v>4135</v>
      </c>
      <c r="L291" s="775">
        <f t="shared" si="66"/>
        <v>94</v>
      </c>
      <c r="M291" s="775">
        <f t="shared" si="67"/>
        <v>797</v>
      </c>
      <c r="N291" s="775">
        <f t="shared" si="68"/>
        <v>0</v>
      </c>
      <c r="O291" s="775">
        <f t="shared" si="69"/>
        <v>1265</v>
      </c>
    </row>
    <row r="292" spans="2:17" ht="22.5" customHeight="1" x14ac:dyDescent="0.25">
      <c r="B292" s="777" t="s">
        <v>419</v>
      </c>
      <c r="C292" s="1419" t="s">
        <v>430</v>
      </c>
      <c r="D292" s="1420"/>
      <c r="E292" s="1421"/>
      <c r="F292" s="772"/>
      <c r="G292" s="772"/>
      <c r="H292" s="773"/>
      <c r="I292" s="774" t="s">
        <v>1530</v>
      </c>
      <c r="J292" s="775">
        <f t="shared" si="64"/>
        <v>1455</v>
      </c>
      <c r="K292" s="775">
        <f t="shared" si="65"/>
        <v>4135</v>
      </c>
      <c r="L292" s="775">
        <f t="shared" si="66"/>
        <v>94</v>
      </c>
      <c r="M292" s="775">
        <f t="shared" si="67"/>
        <v>797</v>
      </c>
      <c r="N292" s="775">
        <f t="shared" si="68"/>
        <v>0</v>
      </c>
      <c r="O292" s="775">
        <f t="shared" si="69"/>
        <v>1265</v>
      </c>
    </row>
    <row r="293" spans="2:17" ht="22.5" customHeight="1" x14ac:dyDescent="0.25">
      <c r="B293" s="776" t="s">
        <v>424</v>
      </c>
      <c r="C293" s="1419" t="s">
        <v>427</v>
      </c>
      <c r="D293" s="1420"/>
      <c r="E293" s="1421"/>
      <c r="F293" s="772"/>
      <c r="G293" s="772"/>
      <c r="H293" s="773"/>
      <c r="I293" s="774" t="s">
        <v>1530</v>
      </c>
      <c r="J293" s="775">
        <f t="shared" si="64"/>
        <v>1455</v>
      </c>
      <c r="K293" s="775">
        <f t="shared" si="65"/>
        <v>4135</v>
      </c>
      <c r="L293" s="775">
        <f t="shared" si="66"/>
        <v>94</v>
      </c>
      <c r="M293" s="775">
        <f t="shared" si="67"/>
        <v>797</v>
      </c>
      <c r="N293" s="775">
        <f t="shared" si="68"/>
        <v>0</v>
      </c>
      <c r="O293" s="775">
        <f t="shared" si="69"/>
        <v>1265</v>
      </c>
    </row>
    <row r="294" spans="2:17" ht="22.5" customHeight="1" x14ac:dyDescent="0.25">
      <c r="B294" s="777" t="s">
        <v>420</v>
      </c>
      <c r="C294" s="1419" t="s">
        <v>430</v>
      </c>
      <c r="D294" s="1420"/>
      <c r="E294" s="1421"/>
      <c r="F294" s="772"/>
      <c r="G294" s="772"/>
      <c r="H294" s="773"/>
      <c r="I294" s="774" t="s">
        <v>1530</v>
      </c>
      <c r="J294" s="775">
        <f t="shared" si="64"/>
        <v>1455</v>
      </c>
      <c r="K294" s="775">
        <f t="shared" si="65"/>
        <v>4135</v>
      </c>
      <c r="L294" s="775">
        <f t="shared" si="66"/>
        <v>94</v>
      </c>
      <c r="M294" s="775">
        <f t="shared" si="67"/>
        <v>797</v>
      </c>
      <c r="N294" s="775">
        <f t="shared" si="68"/>
        <v>0</v>
      </c>
      <c r="O294" s="775">
        <f t="shared" si="69"/>
        <v>1265</v>
      </c>
    </row>
    <row r="295" spans="2:17" ht="33.75" customHeight="1" x14ac:dyDescent="0.25">
      <c r="B295" s="734" t="s">
        <v>1476</v>
      </c>
      <c r="C295" s="1424" t="s">
        <v>1505</v>
      </c>
      <c r="D295" s="1420"/>
      <c r="E295" s="1421"/>
      <c r="F295" s="772"/>
      <c r="G295" s="772"/>
      <c r="H295" s="773"/>
      <c r="I295" s="774" t="s">
        <v>1530</v>
      </c>
      <c r="J295" s="775">
        <f t="shared" si="64"/>
        <v>1455</v>
      </c>
      <c r="K295" s="775">
        <f t="shared" si="65"/>
        <v>4135</v>
      </c>
      <c r="L295" s="775">
        <f>O$271</f>
        <v>94</v>
      </c>
      <c r="M295" s="775">
        <f>O$272</f>
        <v>797</v>
      </c>
      <c r="N295" s="775">
        <f>O$274</f>
        <v>0</v>
      </c>
      <c r="O295" s="775">
        <f t="shared" si="69"/>
        <v>1265</v>
      </c>
    </row>
    <row r="298" spans="2:17" x14ac:dyDescent="0.25">
      <c r="B298" s="435" t="s">
        <v>1506</v>
      </c>
      <c r="I298" s="435" t="s">
        <v>259</v>
      </c>
      <c r="Q298" s="435"/>
    </row>
  </sheetData>
  <mergeCells count="55">
    <mergeCell ref="C294:E294"/>
    <mergeCell ref="C295:E295"/>
    <mergeCell ref="C288:E288"/>
    <mergeCell ref="C289:E289"/>
    <mergeCell ref="C290:E290"/>
    <mergeCell ref="C291:E291"/>
    <mergeCell ref="C292:E292"/>
    <mergeCell ref="C293:E293"/>
    <mergeCell ref="C287:E287"/>
    <mergeCell ref="B229:P229"/>
    <mergeCell ref="B232:P232"/>
    <mergeCell ref="B239:P239"/>
    <mergeCell ref="B242:P242"/>
    <mergeCell ref="B253:P253"/>
    <mergeCell ref="I280:K280"/>
    <mergeCell ref="L280:O280"/>
    <mergeCell ref="C282:E282"/>
    <mergeCell ref="C283:E283"/>
    <mergeCell ref="C284:E284"/>
    <mergeCell ref="C285:E285"/>
    <mergeCell ref="C286:E286"/>
    <mergeCell ref="B217:P217"/>
    <mergeCell ref="B139:P139"/>
    <mergeCell ref="B150:P150"/>
    <mergeCell ref="B159:P159"/>
    <mergeCell ref="B164:P164"/>
    <mergeCell ref="B182:P182"/>
    <mergeCell ref="B186:P186"/>
    <mergeCell ref="B197:P197"/>
    <mergeCell ref="B200:P200"/>
    <mergeCell ref="B203:P203"/>
    <mergeCell ref="B207:P207"/>
    <mergeCell ref="B214:P214"/>
    <mergeCell ref="B131:P131"/>
    <mergeCell ref="H28:J28"/>
    <mergeCell ref="K28:K29"/>
    <mergeCell ref="L28:L29"/>
    <mergeCell ref="M28:O28"/>
    <mergeCell ref="P28:P29"/>
    <mergeCell ref="B31:P31"/>
    <mergeCell ref="B40:P40"/>
    <mergeCell ref="B46:P46"/>
    <mergeCell ref="B91:P91"/>
    <mergeCell ref="B110:P110"/>
    <mergeCell ref="Q28:Q29"/>
    <mergeCell ref="B2:P2"/>
    <mergeCell ref="B3:P3"/>
    <mergeCell ref="B4:P4"/>
    <mergeCell ref="B5:P5"/>
    <mergeCell ref="G28:G29"/>
    <mergeCell ref="A28:A29"/>
    <mergeCell ref="B28:B29"/>
    <mergeCell ref="C28:C29"/>
    <mergeCell ref="D28:D29"/>
    <mergeCell ref="E28:F28"/>
  </mergeCells>
  <pageMargins left="0.70866141732283472" right="0.70866141732283472" top="0.74803149606299213" bottom="0.74803149606299213" header="0.31496062992125984" footer="0.31496062992125984"/>
  <pageSetup paperSize="9" scale="50" fitToHeight="8" orientation="landscape" verticalDpi="180" r:id="rId1"/>
  <rowBreaks count="1" manualBreakCount="1">
    <brk id="279" max="16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E42"/>
  <sheetViews>
    <sheetView view="pageBreakPreview" zoomScale="75" zoomScaleSheetLayoutView="75" workbookViewId="0">
      <pane xSplit="1" ySplit="8" topLeftCell="B15" activePane="bottomRight" state="frozen"/>
      <selection pane="topRight" activeCell="B1" sqref="B1"/>
      <selection pane="bottomLeft" activeCell="A8" sqref="A8"/>
      <selection pane="bottomRight" activeCell="L31" sqref="L31"/>
    </sheetView>
  </sheetViews>
  <sheetFormatPr defaultRowHeight="15" x14ac:dyDescent="0.25"/>
  <cols>
    <col min="1" max="1" width="49.85546875" style="355" customWidth="1"/>
    <col min="2" max="2" width="10.42578125" style="355" customWidth="1"/>
    <col min="3" max="3" width="10.28515625" style="355" customWidth="1"/>
    <col min="4" max="4" width="8" style="355" customWidth="1"/>
    <col min="5" max="5" width="6.5703125" style="355" customWidth="1"/>
    <col min="6" max="6" width="9.28515625" style="355" customWidth="1"/>
    <col min="7" max="7" width="6.7109375" style="355" customWidth="1"/>
    <col min="8" max="8" width="9.28515625" style="355" customWidth="1"/>
    <col min="9" max="9" width="6.7109375" style="355" customWidth="1"/>
    <col min="10" max="10" width="9.28515625" style="355" customWidth="1"/>
    <col min="11" max="11" width="6.7109375" style="355" customWidth="1"/>
    <col min="12" max="12" width="10.42578125" style="355" customWidth="1"/>
    <col min="13" max="13" width="9.28515625" style="355" customWidth="1"/>
    <col min="14" max="14" width="8.7109375" style="355" customWidth="1"/>
    <col min="15" max="15" width="10.42578125" style="355" customWidth="1"/>
    <col min="16" max="16" width="9.28515625" style="355" customWidth="1"/>
    <col min="17" max="17" width="8" style="355" customWidth="1"/>
    <col min="18" max="18" width="9.85546875" style="355" customWidth="1"/>
    <col min="19" max="19" width="14" style="355" hidden="1" customWidth="1"/>
    <col min="20" max="20" width="12.28515625" style="355" customWidth="1"/>
    <col min="21" max="22" width="10.7109375" style="355" hidden="1" customWidth="1"/>
    <col min="23" max="23" width="2.42578125" style="355" customWidth="1"/>
    <col min="24" max="31" width="12.28515625" style="355" customWidth="1"/>
    <col min="32" max="232" width="9.140625" style="355"/>
    <col min="233" max="233" width="52.140625" style="355" customWidth="1"/>
    <col min="234" max="234" width="9" style="355" customWidth="1"/>
    <col min="235" max="236" width="8" style="355" customWidth="1"/>
    <col min="237" max="237" width="6.5703125" style="355" customWidth="1"/>
    <col min="238" max="238" width="8" style="355" customWidth="1"/>
    <col min="239" max="239" width="6.85546875" style="355" customWidth="1"/>
    <col min="240" max="240" width="8.7109375" style="355" customWidth="1"/>
    <col min="241" max="241" width="6.85546875" style="355" customWidth="1"/>
    <col min="242" max="242" width="8" style="355" customWidth="1"/>
    <col min="243" max="243" width="7" style="355" customWidth="1"/>
    <col min="244" max="248" width="0" style="355" hidden="1" customWidth="1"/>
    <col min="249" max="249" width="9" style="355" customWidth="1"/>
    <col min="250" max="250" width="8" style="355" customWidth="1"/>
    <col min="251" max="251" width="8.7109375" style="355" customWidth="1"/>
    <col min="252" max="252" width="9" style="355" customWidth="1"/>
    <col min="253" max="254" width="8" style="355" customWidth="1"/>
    <col min="255" max="255" width="13.42578125" style="355" customWidth="1"/>
    <col min="256" max="256" width="11" style="355" customWidth="1"/>
    <col min="257" max="257" width="10.7109375" style="355" customWidth="1"/>
    <col min="258" max="259" width="0" style="355" hidden="1" customWidth="1"/>
    <col min="260" max="260" width="9.7109375" style="355" bestFit="1" customWidth="1"/>
    <col min="261" max="488" width="9.140625" style="355"/>
    <col min="489" max="489" width="52.140625" style="355" customWidth="1"/>
    <col min="490" max="490" width="9" style="355" customWidth="1"/>
    <col min="491" max="492" width="8" style="355" customWidth="1"/>
    <col min="493" max="493" width="6.5703125" style="355" customWidth="1"/>
    <col min="494" max="494" width="8" style="355" customWidth="1"/>
    <col min="495" max="495" width="6.85546875" style="355" customWidth="1"/>
    <col min="496" max="496" width="8.7109375" style="355" customWidth="1"/>
    <col min="497" max="497" width="6.85546875" style="355" customWidth="1"/>
    <col min="498" max="498" width="8" style="355" customWidth="1"/>
    <col min="499" max="499" width="7" style="355" customWidth="1"/>
    <col min="500" max="504" width="0" style="355" hidden="1" customWidth="1"/>
    <col min="505" max="505" width="9" style="355" customWidth="1"/>
    <col min="506" max="506" width="8" style="355" customWidth="1"/>
    <col min="507" max="507" width="8.7109375" style="355" customWidth="1"/>
    <col min="508" max="508" width="9" style="355" customWidth="1"/>
    <col min="509" max="510" width="8" style="355" customWidth="1"/>
    <col min="511" max="511" width="13.42578125" style="355" customWidth="1"/>
    <col min="512" max="512" width="11" style="355" customWidth="1"/>
    <col min="513" max="513" width="10.7109375" style="355" customWidth="1"/>
    <col min="514" max="515" width="0" style="355" hidden="1" customWidth="1"/>
    <col min="516" max="516" width="9.7109375" style="355" bestFit="1" customWidth="1"/>
    <col min="517" max="744" width="9.140625" style="355"/>
    <col min="745" max="745" width="52.140625" style="355" customWidth="1"/>
    <col min="746" max="746" width="9" style="355" customWidth="1"/>
    <col min="747" max="748" width="8" style="355" customWidth="1"/>
    <col min="749" max="749" width="6.5703125" style="355" customWidth="1"/>
    <col min="750" max="750" width="8" style="355" customWidth="1"/>
    <col min="751" max="751" width="6.85546875" style="355" customWidth="1"/>
    <col min="752" max="752" width="8.7109375" style="355" customWidth="1"/>
    <col min="753" max="753" width="6.85546875" style="355" customWidth="1"/>
    <col min="754" max="754" width="8" style="355" customWidth="1"/>
    <col min="755" max="755" width="7" style="355" customWidth="1"/>
    <col min="756" max="760" width="0" style="355" hidden="1" customWidth="1"/>
    <col min="761" max="761" width="9" style="355" customWidth="1"/>
    <col min="762" max="762" width="8" style="355" customWidth="1"/>
    <col min="763" max="763" width="8.7109375" style="355" customWidth="1"/>
    <col min="764" max="764" width="9" style="355" customWidth="1"/>
    <col min="765" max="766" width="8" style="355" customWidth="1"/>
    <col min="767" max="767" width="13.42578125" style="355" customWidth="1"/>
    <col min="768" max="768" width="11" style="355" customWidth="1"/>
    <col min="769" max="769" width="10.7109375" style="355" customWidth="1"/>
    <col min="770" max="771" width="0" style="355" hidden="1" customWidth="1"/>
    <col min="772" max="772" width="9.7109375" style="355" bestFit="1" customWidth="1"/>
    <col min="773" max="1000" width="9.140625" style="355"/>
    <col min="1001" max="1001" width="52.140625" style="355" customWidth="1"/>
    <col min="1002" max="1002" width="9" style="355" customWidth="1"/>
    <col min="1003" max="1004" width="8" style="355" customWidth="1"/>
    <col min="1005" max="1005" width="6.5703125" style="355" customWidth="1"/>
    <col min="1006" max="1006" width="8" style="355" customWidth="1"/>
    <col min="1007" max="1007" width="6.85546875" style="355" customWidth="1"/>
    <col min="1008" max="1008" width="8.7109375" style="355" customWidth="1"/>
    <col min="1009" max="1009" width="6.85546875" style="355" customWidth="1"/>
    <col min="1010" max="1010" width="8" style="355" customWidth="1"/>
    <col min="1011" max="1011" width="7" style="355" customWidth="1"/>
    <col min="1012" max="1016" width="0" style="355" hidden="1" customWidth="1"/>
    <col min="1017" max="1017" width="9" style="355" customWidth="1"/>
    <col min="1018" max="1018" width="8" style="355" customWidth="1"/>
    <col min="1019" max="1019" width="8.7109375" style="355" customWidth="1"/>
    <col min="1020" max="1020" width="9" style="355" customWidth="1"/>
    <col min="1021" max="1022" width="8" style="355" customWidth="1"/>
    <col min="1023" max="1023" width="13.42578125" style="355" customWidth="1"/>
    <col min="1024" max="1024" width="11" style="355" customWidth="1"/>
    <col min="1025" max="1025" width="10.7109375" style="355" customWidth="1"/>
    <col min="1026" max="1027" width="0" style="355" hidden="1" customWidth="1"/>
    <col min="1028" max="1028" width="9.7109375" style="355" bestFit="1" customWidth="1"/>
    <col min="1029" max="1256" width="9.140625" style="355"/>
    <col min="1257" max="1257" width="52.140625" style="355" customWidth="1"/>
    <col min="1258" max="1258" width="9" style="355" customWidth="1"/>
    <col min="1259" max="1260" width="8" style="355" customWidth="1"/>
    <col min="1261" max="1261" width="6.5703125" style="355" customWidth="1"/>
    <col min="1262" max="1262" width="8" style="355" customWidth="1"/>
    <col min="1263" max="1263" width="6.85546875" style="355" customWidth="1"/>
    <col min="1264" max="1264" width="8.7109375" style="355" customWidth="1"/>
    <col min="1265" max="1265" width="6.85546875" style="355" customWidth="1"/>
    <col min="1266" max="1266" width="8" style="355" customWidth="1"/>
    <col min="1267" max="1267" width="7" style="355" customWidth="1"/>
    <col min="1268" max="1272" width="0" style="355" hidden="1" customWidth="1"/>
    <col min="1273" max="1273" width="9" style="355" customWidth="1"/>
    <col min="1274" max="1274" width="8" style="355" customWidth="1"/>
    <col min="1275" max="1275" width="8.7109375" style="355" customWidth="1"/>
    <col min="1276" max="1276" width="9" style="355" customWidth="1"/>
    <col min="1277" max="1278" width="8" style="355" customWidth="1"/>
    <col min="1279" max="1279" width="13.42578125" style="355" customWidth="1"/>
    <col min="1280" max="1280" width="11" style="355" customWidth="1"/>
    <col min="1281" max="1281" width="10.7109375" style="355" customWidth="1"/>
    <col min="1282" max="1283" width="0" style="355" hidden="1" customWidth="1"/>
    <col min="1284" max="1284" width="9.7109375" style="355" bestFit="1" customWidth="1"/>
    <col min="1285" max="1512" width="9.140625" style="355"/>
    <col min="1513" max="1513" width="52.140625" style="355" customWidth="1"/>
    <col min="1514" max="1514" width="9" style="355" customWidth="1"/>
    <col min="1515" max="1516" width="8" style="355" customWidth="1"/>
    <col min="1517" max="1517" width="6.5703125" style="355" customWidth="1"/>
    <col min="1518" max="1518" width="8" style="355" customWidth="1"/>
    <col min="1519" max="1519" width="6.85546875" style="355" customWidth="1"/>
    <col min="1520" max="1520" width="8.7109375" style="355" customWidth="1"/>
    <col min="1521" max="1521" width="6.85546875" style="355" customWidth="1"/>
    <col min="1522" max="1522" width="8" style="355" customWidth="1"/>
    <col min="1523" max="1523" width="7" style="355" customWidth="1"/>
    <col min="1524" max="1528" width="0" style="355" hidden="1" customWidth="1"/>
    <col min="1529" max="1529" width="9" style="355" customWidth="1"/>
    <col min="1530" max="1530" width="8" style="355" customWidth="1"/>
    <col min="1531" max="1531" width="8.7109375" style="355" customWidth="1"/>
    <col min="1532" max="1532" width="9" style="355" customWidth="1"/>
    <col min="1533" max="1534" width="8" style="355" customWidth="1"/>
    <col min="1535" max="1535" width="13.42578125" style="355" customWidth="1"/>
    <col min="1536" max="1536" width="11" style="355" customWidth="1"/>
    <col min="1537" max="1537" width="10.7109375" style="355" customWidth="1"/>
    <col min="1538" max="1539" width="0" style="355" hidden="1" customWidth="1"/>
    <col min="1540" max="1540" width="9.7109375" style="355" bestFit="1" customWidth="1"/>
    <col min="1541" max="1768" width="9.140625" style="355"/>
    <col min="1769" max="1769" width="52.140625" style="355" customWidth="1"/>
    <col min="1770" max="1770" width="9" style="355" customWidth="1"/>
    <col min="1771" max="1772" width="8" style="355" customWidth="1"/>
    <col min="1773" max="1773" width="6.5703125" style="355" customWidth="1"/>
    <col min="1774" max="1774" width="8" style="355" customWidth="1"/>
    <col min="1775" max="1775" width="6.85546875" style="355" customWidth="1"/>
    <col min="1776" max="1776" width="8.7109375" style="355" customWidth="1"/>
    <col min="1777" max="1777" width="6.85546875" style="355" customWidth="1"/>
    <col min="1778" max="1778" width="8" style="355" customWidth="1"/>
    <col min="1779" max="1779" width="7" style="355" customWidth="1"/>
    <col min="1780" max="1784" width="0" style="355" hidden="1" customWidth="1"/>
    <col min="1785" max="1785" width="9" style="355" customWidth="1"/>
    <col min="1786" max="1786" width="8" style="355" customWidth="1"/>
    <col min="1787" max="1787" width="8.7109375" style="355" customWidth="1"/>
    <col min="1788" max="1788" width="9" style="355" customWidth="1"/>
    <col min="1789" max="1790" width="8" style="355" customWidth="1"/>
    <col min="1791" max="1791" width="13.42578125" style="355" customWidth="1"/>
    <col min="1792" max="1792" width="11" style="355" customWidth="1"/>
    <col min="1793" max="1793" width="10.7109375" style="355" customWidth="1"/>
    <col min="1794" max="1795" width="0" style="355" hidden="1" customWidth="1"/>
    <col min="1796" max="1796" width="9.7109375" style="355" bestFit="1" customWidth="1"/>
    <col min="1797" max="2024" width="9.140625" style="355"/>
    <col min="2025" max="2025" width="52.140625" style="355" customWidth="1"/>
    <col min="2026" max="2026" width="9" style="355" customWidth="1"/>
    <col min="2027" max="2028" width="8" style="355" customWidth="1"/>
    <col min="2029" max="2029" width="6.5703125" style="355" customWidth="1"/>
    <col min="2030" max="2030" width="8" style="355" customWidth="1"/>
    <col min="2031" max="2031" width="6.85546875" style="355" customWidth="1"/>
    <col min="2032" max="2032" width="8.7109375" style="355" customWidth="1"/>
    <col min="2033" max="2033" width="6.85546875" style="355" customWidth="1"/>
    <col min="2034" max="2034" width="8" style="355" customWidth="1"/>
    <col min="2035" max="2035" width="7" style="355" customWidth="1"/>
    <col min="2036" max="2040" width="0" style="355" hidden="1" customWidth="1"/>
    <col min="2041" max="2041" width="9" style="355" customWidth="1"/>
    <col min="2042" max="2042" width="8" style="355" customWidth="1"/>
    <col min="2043" max="2043" width="8.7109375" style="355" customWidth="1"/>
    <col min="2044" max="2044" width="9" style="355" customWidth="1"/>
    <col min="2045" max="2046" width="8" style="355" customWidth="1"/>
    <col min="2047" max="2047" width="13.42578125" style="355" customWidth="1"/>
    <col min="2048" max="2048" width="11" style="355" customWidth="1"/>
    <col min="2049" max="2049" width="10.7109375" style="355" customWidth="1"/>
    <col min="2050" max="2051" width="0" style="355" hidden="1" customWidth="1"/>
    <col min="2052" max="2052" width="9.7109375" style="355" bestFit="1" customWidth="1"/>
    <col min="2053" max="2280" width="9.140625" style="355"/>
    <col min="2281" max="2281" width="52.140625" style="355" customWidth="1"/>
    <col min="2282" max="2282" width="9" style="355" customWidth="1"/>
    <col min="2283" max="2284" width="8" style="355" customWidth="1"/>
    <col min="2285" max="2285" width="6.5703125" style="355" customWidth="1"/>
    <col min="2286" max="2286" width="8" style="355" customWidth="1"/>
    <col min="2287" max="2287" width="6.85546875" style="355" customWidth="1"/>
    <col min="2288" max="2288" width="8.7109375" style="355" customWidth="1"/>
    <col min="2289" max="2289" width="6.85546875" style="355" customWidth="1"/>
    <col min="2290" max="2290" width="8" style="355" customWidth="1"/>
    <col min="2291" max="2291" width="7" style="355" customWidth="1"/>
    <col min="2292" max="2296" width="0" style="355" hidden="1" customWidth="1"/>
    <col min="2297" max="2297" width="9" style="355" customWidth="1"/>
    <col min="2298" max="2298" width="8" style="355" customWidth="1"/>
    <col min="2299" max="2299" width="8.7109375" style="355" customWidth="1"/>
    <col min="2300" max="2300" width="9" style="355" customWidth="1"/>
    <col min="2301" max="2302" width="8" style="355" customWidth="1"/>
    <col min="2303" max="2303" width="13.42578125" style="355" customWidth="1"/>
    <col min="2304" max="2304" width="11" style="355" customWidth="1"/>
    <col min="2305" max="2305" width="10.7109375" style="355" customWidth="1"/>
    <col min="2306" max="2307" width="0" style="355" hidden="1" customWidth="1"/>
    <col min="2308" max="2308" width="9.7109375" style="355" bestFit="1" customWidth="1"/>
    <col min="2309" max="2536" width="9.140625" style="355"/>
    <col min="2537" max="2537" width="52.140625" style="355" customWidth="1"/>
    <col min="2538" max="2538" width="9" style="355" customWidth="1"/>
    <col min="2539" max="2540" width="8" style="355" customWidth="1"/>
    <col min="2541" max="2541" width="6.5703125" style="355" customWidth="1"/>
    <col min="2542" max="2542" width="8" style="355" customWidth="1"/>
    <col min="2543" max="2543" width="6.85546875" style="355" customWidth="1"/>
    <col min="2544" max="2544" width="8.7109375" style="355" customWidth="1"/>
    <col min="2545" max="2545" width="6.85546875" style="355" customWidth="1"/>
    <col min="2546" max="2546" width="8" style="355" customWidth="1"/>
    <col min="2547" max="2547" width="7" style="355" customWidth="1"/>
    <col min="2548" max="2552" width="0" style="355" hidden="1" customWidth="1"/>
    <col min="2553" max="2553" width="9" style="355" customWidth="1"/>
    <col min="2554" max="2554" width="8" style="355" customWidth="1"/>
    <col min="2555" max="2555" width="8.7109375" style="355" customWidth="1"/>
    <col min="2556" max="2556" width="9" style="355" customWidth="1"/>
    <col min="2557" max="2558" width="8" style="355" customWidth="1"/>
    <col min="2559" max="2559" width="13.42578125" style="355" customWidth="1"/>
    <col min="2560" max="2560" width="11" style="355" customWidth="1"/>
    <col min="2561" max="2561" width="10.7109375" style="355" customWidth="1"/>
    <col min="2562" max="2563" width="0" style="355" hidden="1" customWidth="1"/>
    <col min="2564" max="2564" width="9.7109375" style="355" bestFit="1" customWidth="1"/>
    <col min="2565" max="2792" width="9.140625" style="355"/>
    <col min="2793" max="2793" width="52.140625" style="355" customWidth="1"/>
    <col min="2794" max="2794" width="9" style="355" customWidth="1"/>
    <col min="2795" max="2796" width="8" style="355" customWidth="1"/>
    <col min="2797" max="2797" width="6.5703125" style="355" customWidth="1"/>
    <col min="2798" max="2798" width="8" style="355" customWidth="1"/>
    <col min="2799" max="2799" width="6.85546875" style="355" customWidth="1"/>
    <col min="2800" max="2800" width="8.7109375" style="355" customWidth="1"/>
    <col min="2801" max="2801" width="6.85546875" style="355" customWidth="1"/>
    <col min="2802" max="2802" width="8" style="355" customWidth="1"/>
    <col min="2803" max="2803" width="7" style="355" customWidth="1"/>
    <col min="2804" max="2808" width="0" style="355" hidden="1" customWidth="1"/>
    <col min="2809" max="2809" width="9" style="355" customWidth="1"/>
    <col min="2810" max="2810" width="8" style="355" customWidth="1"/>
    <col min="2811" max="2811" width="8.7109375" style="355" customWidth="1"/>
    <col min="2812" max="2812" width="9" style="355" customWidth="1"/>
    <col min="2813" max="2814" width="8" style="355" customWidth="1"/>
    <col min="2815" max="2815" width="13.42578125" style="355" customWidth="1"/>
    <col min="2816" max="2816" width="11" style="355" customWidth="1"/>
    <col min="2817" max="2817" width="10.7109375" style="355" customWidth="1"/>
    <col min="2818" max="2819" width="0" style="355" hidden="1" customWidth="1"/>
    <col min="2820" max="2820" width="9.7109375" style="355" bestFit="1" customWidth="1"/>
    <col min="2821" max="3048" width="9.140625" style="355"/>
    <col min="3049" max="3049" width="52.140625" style="355" customWidth="1"/>
    <col min="3050" max="3050" width="9" style="355" customWidth="1"/>
    <col min="3051" max="3052" width="8" style="355" customWidth="1"/>
    <col min="3053" max="3053" width="6.5703125" style="355" customWidth="1"/>
    <col min="3054" max="3054" width="8" style="355" customWidth="1"/>
    <col min="3055" max="3055" width="6.85546875" style="355" customWidth="1"/>
    <col min="3056" max="3056" width="8.7109375" style="355" customWidth="1"/>
    <col min="3057" max="3057" width="6.85546875" style="355" customWidth="1"/>
    <col min="3058" max="3058" width="8" style="355" customWidth="1"/>
    <col min="3059" max="3059" width="7" style="355" customWidth="1"/>
    <col min="3060" max="3064" width="0" style="355" hidden="1" customWidth="1"/>
    <col min="3065" max="3065" width="9" style="355" customWidth="1"/>
    <col min="3066" max="3066" width="8" style="355" customWidth="1"/>
    <col min="3067" max="3067" width="8.7109375" style="355" customWidth="1"/>
    <col min="3068" max="3068" width="9" style="355" customWidth="1"/>
    <col min="3069" max="3070" width="8" style="355" customWidth="1"/>
    <col min="3071" max="3071" width="13.42578125" style="355" customWidth="1"/>
    <col min="3072" max="3072" width="11" style="355" customWidth="1"/>
    <col min="3073" max="3073" width="10.7109375" style="355" customWidth="1"/>
    <col min="3074" max="3075" width="0" style="355" hidden="1" customWidth="1"/>
    <col min="3076" max="3076" width="9.7109375" style="355" bestFit="1" customWidth="1"/>
    <col min="3077" max="3304" width="9.140625" style="355"/>
    <col min="3305" max="3305" width="52.140625" style="355" customWidth="1"/>
    <col min="3306" max="3306" width="9" style="355" customWidth="1"/>
    <col min="3307" max="3308" width="8" style="355" customWidth="1"/>
    <col min="3309" max="3309" width="6.5703125" style="355" customWidth="1"/>
    <col min="3310" max="3310" width="8" style="355" customWidth="1"/>
    <col min="3311" max="3311" width="6.85546875" style="355" customWidth="1"/>
    <col min="3312" max="3312" width="8.7109375" style="355" customWidth="1"/>
    <col min="3313" max="3313" width="6.85546875" style="355" customWidth="1"/>
    <col min="3314" max="3314" width="8" style="355" customWidth="1"/>
    <col min="3315" max="3315" width="7" style="355" customWidth="1"/>
    <col min="3316" max="3320" width="0" style="355" hidden="1" customWidth="1"/>
    <col min="3321" max="3321" width="9" style="355" customWidth="1"/>
    <col min="3322" max="3322" width="8" style="355" customWidth="1"/>
    <col min="3323" max="3323" width="8.7109375" style="355" customWidth="1"/>
    <col min="3324" max="3324" width="9" style="355" customWidth="1"/>
    <col min="3325" max="3326" width="8" style="355" customWidth="1"/>
    <col min="3327" max="3327" width="13.42578125" style="355" customWidth="1"/>
    <col min="3328" max="3328" width="11" style="355" customWidth="1"/>
    <col min="3329" max="3329" width="10.7109375" style="355" customWidth="1"/>
    <col min="3330" max="3331" width="0" style="355" hidden="1" customWidth="1"/>
    <col min="3332" max="3332" width="9.7109375" style="355" bestFit="1" customWidth="1"/>
    <col min="3333" max="3560" width="9.140625" style="355"/>
    <col min="3561" max="3561" width="52.140625" style="355" customWidth="1"/>
    <col min="3562" max="3562" width="9" style="355" customWidth="1"/>
    <col min="3563" max="3564" width="8" style="355" customWidth="1"/>
    <col min="3565" max="3565" width="6.5703125" style="355" customWidth="1"/>
    <col min="3566" max="3566" width="8" style="355" customWidth="1"/>
    <col min="3567" max="3567" width="6.85546875" style="355" customWidth="1"/>
    <col min="3568" max="3568" width="8.7109375" style="355" customWidth="1"/>
    <col min="3569" max="3569" width="6.85546875" style="355" customWidth="1"/>
    <col min="3570" max="3570" width="8" style="355" customWidth="1"/>
    <col min="3571" max="3571" width="7" style="355" customWidth="1"/>
    <col min="3572" max="3576" width="0" style="355" hidden="1" customWidth="1"/>
    <col min="3577" max="3577" width="9" style="355" customWidth="1"/>
    <col min="3578" max="3578" width="8" style="355" customWidth="1"/>
    <col min="3579" max="3579" width="8.7109375" style="355" customWidth="1"/>
    <col min="3580" max="3580" width="9" style="355" customWidth="1"/>
    <col min="3581" max="3582" width="8" style="355" customWidth="1"/>
    <col min="3583" max="3583" width="13.42578125" style="355" customWidth="1"/>
    <col min="3584" max="3584" width="11" style="355" customWidth="1"/>
    <col min="3585" max="3585" width="10.7109375" style="355" customWidth="1"/>
    <col min="3586" max="3587" width="0" style="355" hidden="1" customWidth="1"/>
    <col min="3588" max="3588" width="9.7109375" style="355" bestFit="1" customWidth="1"/>
    <col min="3589" max="3816" width="9.140625" style="355"/>
    <col min="3817" max="3817" width="52.140625" style="355" customWidth="1"/>
    <col min="3818" max="3818" width="9" style="355" customWidth="1"/>
    <col min="3819" max="3820" width="8" style="355" customWidth="1"/>
    <col min="3821" max="3821" width="6.5703125" style="355" customWidth="1"/>
    <col min="3822" max="3822" width="8" style="355" customWidth="1"/>
    <col min="3823" max="3823" width="6.85546875" style="355" customWidth="1"/>
    <col min="3824" max="3824" width="8.7109375" style="355" customWidth="1"/>
    <col min="3825" max="3825" width="6.85546875" style="355" customWidth="1"/>
    <col min="3826" max="3826" width="8" style="355" customWidth="1"/>
    <col min="3827" max="3827" width="7" style="355" customWidth="1"/>
    <col min="3828" max="3832" width="0" style="355" hidden="1" customWidth="1"/>
    <col min="3833" max="3833" width="9" style="355" customWidth="1"/>
    <col min="3834" max="3834" width="8" style="355" customWidth="1"/>
    <col min="3835" max="3835" width="8.7109375" style="355" customWidth="1"/>
    <col min="3836" max="3836" width="9" style="355" customWidth="1"/>
    <col min="3837" max="3838" width="8" style="355" customWidth="1"/>
    <col min="3839" max="3839" width="13.42578125" style="355" customWidth="1"/>
    <col min="3840" max="3840" width="11" style="355" customWidth="1"/>
    <col min="3841" max="3841" width="10.7109375" style="355" customWidth="1"/>
    <col min="3842" max="3843" width="0" style="355" hidden="1" customWidth="1"/>
    <col min="3844" max="3844" width="9.7109375" style="355" bestFit="1" customWidth="1"/>
    <col min="3845" max="4072" width="9.140625" style="355"/>
    <col min="4073" max="4073" width="52.140625" style="355" customWidth="1"/>
    <col min="4074" max="4074" width="9" style="355" customWidth="1"/>
    <col min="4075" max="4076" width="8" style="355" customWidth="1"/>
    <col min="4077" max="4077" width="6.5703125" style="355" customWidth="1"/>
    <col min="4078" max="4078" width="8" style="355" customWidth="1"/>
    <col min="4079" max="4079" width="6.85546875" style="355" customWidth="1"/>
    <col min="4080" max="4080" width="8.7109375" style="355" customWidth="1"/>
    <col min="4081" max="4081" width="6.85546875" style="355" customWidth="1"/>
    <col min="4082" max="4082" width="8" style="355" customWidth="1"/>
    <col min="4083" max="4083" width="7" style="355" customWidth="1"/>
    <col min="4084" max="4088" width="0" style="355" hidden="1" customWidth="1"/>
    <col min="4089" max="4089" width="9" style="355" customWidth="1"/>
    <col min="4090" max="4090" width="8" style="355" customWidth="1"/>
    <col min="4091" max="4091" width="8.7109375" style="355" customWidth="1"/>
    <col min="4092" max="4092" width="9" style="355" customWidth="1"/>
    <col min="4093" max="4094" width="8" style="355" customWidth="1"/>
    <col min="4095" max="4095" width="13.42578125" style="355" customWidth="1"/>
    <col min="4096" max="4096" width="11" style="355" customWidth="1"/>
    <col min="4097" max="4097" width="10.7109375" style="355" customWidth="1"/>
    <col min="4098" max="4099" width="0" style="355" hidden="1" customWidth="1"/>
    <col min="4100" max="4100" width="9.7109375" style="355" bestFit="1" customWidth="1"/>
    <col min="4101" max="4328" width="9.140625" style="355"/>
    <col min="4329" max="4329" width="52.140625" style="355" customWidth="1"/>
    <col min="4330" max="4330" width="9" style="355" customWidth="1"/>
    <col min="4331" max="4332" width="8" style="355" customWidth="1"/>
    <col min="4333" max="4333" width="6.5703125" style="355" customWidth="1"/>
    <col min="4334" max="4334" width="8" style="355" customWidth="1"/>
    <col min="4335" max="4335" width="6.85546875" style="355" customWidth="1"/>
    <col min="4336" max="4336" width="8.7109375" style="355" customWidth="1"/>
    <col min="4337" max="4337" width="6.85546875" style="355" customWidth="1"/>
    <col min="4338" max="4338" width="8" style="355" customWidth="1"/>
    <col min="4339" max="4339" width="7" style="355" customWidth="1"/>
    <col min="4340" max="4344" width="0" style="355" hidden="1" customWidth="1"/>
    <col min="4345" max="4345" width="9" style="355" customWidth="1"/>
    <col min="4346" max="4346" width="8" style="355" customWidth="1"/>
    <col min="4347" max="4347" width="8.7109375" style="355" customWidth="1"/>
    <col min="4348" max="4348" width="9" style="355" customWidth="1"/>
    <col min="4349" max="4350" width="8" style="355" customWidth="1"/>
    <col min="4351" max="4351" width="13.42578125" style="355" customWidth="1"/>
    <col min="4352" max="4352" width="11" style="355" customWidth="1"/>
    <col min="4353" max="4353" width="10.7109375" style="355" customWidth="1"/>
    <col min="4354" max="4355" width="0" style="355" hidden="1" customWidth="1"/>
    <col min="4356" max="4356" width="9.7109375" style="355" bestFit="1" customWidth="1"/>
    <col min="4357" max="4584" width="9.140625" style="355"/>
    <col min="4585" max="4585" width="52.140625" style="355" customWidth="1"/>
    <col min="4586" max="4586" width="9" style="355" customWidth="1"/>
    <col min="4587" max="4588" width="8" style="355" customWidth="1"/>
    <col min="4589" max="4589" width="6.5703125" style="355" customWidth="1"/>
    <col min="4590" max="4590" width="8" style="355" customWidth="1"/>
    <col min="4591" max="4591" width="6.85546875" style="355" customWidth="1"/>
    <col min="4592" max="4592" width="8.7109375" style="355" customWidth="1"/>
    <col min="4593" max="4593" width="6.85546875" style="355" customWidth="1"/>
    <col min="4594" max="4594" width="8" style="355" customWidth="1"/>
    <col min="4595" max="4595" width="7" style="355" customWidth="1"/>
    <col min="4596" max="4600" width="0" style="355" hidden="1" customWidth="1"/>
    <col min="4601" max="4601" width="9" style="355" customWidth="1"/>
    <col min="4602" max="4602" width="8" style="355" customWidth="1"/>
    <col min="4603" max="4603" width="8.7109375" style="355" customWidth="1"/>
    <col min="4604" max="4604" width="9" style="355" customWidth="1"/>
    <col min="4605" max="4606" width="8" style="355" customWidth="1"/>
    <col min="4607" max="4607" width="13.42578125" style="355" customWidth="1"/>
    <col min="4608" max="4608" width="11" style="355" customWidth="1"/>
    <col min="4609" max="4609" width="10.7109375" style="355" customWidth="1"/>
    <col min="4610" max="4611" width="0" style="355" hidden="1" customWidth="1"/>
    <col min="4612" max="4612" width="9.7109375" style="355" bestFit="1" customWidth="1"/>
    <col min="4613" max="4840" width="9.140625" style="355"/>
    <col min="4841" max="4841" width="52.140625" style="355" customWidth="1"/>
    <col min="4842" max="4842" width="9" style="355" customWidth="1"/>
    <col min="4843" max="4844" width="8" style="355" customWidth="1"/>
    <col min="4845" max="4845" width="6.5703125" style="355" customWidth="1"/>
    <col min="4846" max="4846" width="8" style="355" customWidth="1"/>
    <col min="4847" max="4847" width="6.85546875" style="355" customWidth="1"/>
    <col min="4848" max="4848" width="8.7109375" style="355" customWidth="1"/>
    <col min="4849" max="4849" width="6.85546875" style="355" customWidth="1"/>
    <col min="4850" max="4850" width="8" style="355" customWidth="1"/>
    <col min="4851" max="4851" width="7" style="355" customWidth="1"/>
    <col min="4852" max="4856" width="0" style="355" hidden="1" customWidth="1"/>
    <col min="4857" max="4857" width="9" style="355" customWidth="1"/>
    <col min="4858" max="4858" width="8" style="355" customWidth="1"/>
    <col min="4859" max="4859" width="8.7109375" style="355" customWidth="1"/>
    <col min="4860" max="4860" width="9" style="355" customWidth="1"/>
    <col min="4861" max="4862" width="8" style="355" customWidth="1"/>
    <col min="4863" max="4863" width="13.42578125" style="355" customWidth="1"/>
    <col min="4864" max="4864" width="11" style="355" customWidth="1"/>
    <col min="4865" max="4865" width="10.7109375" style="355" customWidth="1"/>
    <col min="4866" max="4867" width="0" style="355" hidden="1" customWidth="1"/>
    <col min="4868" max="4868" width="9.7109375" style="355" bestFit="1" customWidth="1"/>
    <col min="4869" max="5096" width="9.140625" style="355"/>
    <col min="5097" max="5097" width="52.140625" style="355" customWidth="1"/>
    <col min="5098" max="5098" width="9" style="355" customWidth="1"/>
    <col min="5099" max="5100" width="8" style="355" customWidth="1"/>
    <col min="5101" max="5101" width="6.5703125" style="355" customWidth="1"/>
    <col min="5102" max="5102" width="8" style="355" customWidth="1"/>
    <col min="5103" max="5103" width="6.85546875" style="355" customWidth="1"/>
    <col min="5104" max="5104" width="8.7109375" style="355" customWidth="1"/>
    <col min="5105" max="5105" width="6.85546875" style="355" customWidth="1"/>
    <col min="5106" max="5106" width="8" style="355" customWidth="1"/>
    <col min="5107" max="5107" width="7" style="355" customWidth="1"/>
    <col min="5108" max="5112" width="0" style="355" hidden="1" customWidth="1"/>
    <col min="5113" max="5113" width="9" style="355" customWidth="1"/>
    <col min="5114" max="5114" width="8" style="355" customWidth="1"/>
    <col min="5115" max="5115" width="8.7109375" style="355" customWidth="1"/>
    <col min="5116" max="5116" width="9" style="355" customWidth="1"/>
    <col min="5117" max="5118" width="8" style="355" customWidth="1"/>
    <col min="5119" max="5119" width="13.42578125" style="355" customWidth="1"/>
    <col min="5120" max="5120" width="11" style="355" customWidth="1"/>
    <col min="5121" max="5121" width="10.7109375" style="355" customWidth="1"/>
    <col min="5122" max="5123" width="0" style="355" hidden="1" customWidth="1"/>
    <col min="5124" max="5124" width="9.7109375" style="355" bestFit="1" customWidth="1"/>
    <col min="5125" max="5352" width="9.140625" style="355"/>
    <col min="5353" max="5353" width="52.140625" style="355" customWidth="1"/>
    <col min="5354" max="5354" width="9" style="355" customWidth="1"/>
    <col min="5355" max="5356" width="8" style="355" customWidth="1"/>
    <col min="5357" max="5357" width="6.5703125" style="355" customWidth="1"/>
    <col min="5358" max="5358" width="8" style="355" customWidth="1"/>
    <col min="5359" max="5359" width="6.85546875" style="355" customWidth="1"/>
    <col min="5360" max="5360" width="8.7109375" style="355" customWidth="1"/>
    <col min="5361" max="5361" width="6.85546875" style="355" customWidth="1"/>
    <col min="5362" max="5362" width="8" style="355" customWidth="1"/>
    <col min="5363" max="5363" width="7" style="355" customWidth="1"/>
    <col min="5364" max="5368" width="0" style="355" hidden="1" customWidth="1"/>
    <col min="5369" max="5369" width="9" style="355" customWidth="1"/>
    <col min="5370" max="5370" width="8" style="355" customWidth="1"/>
    <col min="5371" max="5371" width="8.7109375" style="355" customWidth="1"/>
    <col min="5372" max="5372" width="9" style="355" customWidth="1"/>
    <col min="5373" max="5374" width="8" style="355" customWidth="1"/>
    <col min="5375" max="5375" width="13.42578125" style="355" customWidth="1"/>
    <col min="5376" max="5376" width="11" style="355" customWidth="1"/>
    <col min="5377" max="5377" width="10.7109375" style="355" customWidth="1"/>
    <col min="5378" max="5379" width="0" style="355" hidden="1" customWidth="1"/>
    <col min="5380" max="5380" width="9.7109375" style="355" bestFit="1" customWidth="1"/>
    <col min="5381" max="5608" width="9.140625" style="355"/>
    <col min="5609" max="5609" width="52.140625" style="355" customWidth="1"/>
    <col min="5610" max="5610" width="9" style="355" customWidth="1"/>
    <col min="5611" max="5612" width="8" style="355" customWidth="1"/>
    <col min="5613" max="5613" width="6.5703125" style="355" customWidth="1"/>
    <col min="5614" max="5614" width="8" style="355" customWidth="1"/>
    <col min="5615" max="5615" width="6.85546875" style="355" customWidth="1"/>
    <col min="5616" max="5616" width="8.7109375" style="355" customWidth="1"/>
    <col min="5617" max="5617" width="6.85546875" style="355" customWidth="1"/>
    <col min="5618" max="5618" width="8" style="355" customWidth="1"/>
    <col min="5619" max="5619" width="7" style="355" customWidth="1"/>
    <col min="5620" max="5624" width="0" style="355" hidden="1" customWidth="1"/>
    <col min="5625" max="5625" width="9" style="355" customWidth="1"/>
    <col min="5626" max="5626" width="8" style="355" customWidth="1"/>
    <col min="5627" max="5627" width="8.7109375" style="355" customWidth="1"/>
    <col min="5628" max="5628" width="9" style="355" customWidth="1"/>
    <col min="5629" max="5630" width="8" style="355" customWidth="1"/>
    <col min="5631" max="5631" width="13.42578125" style="355" customWidth="1"/>
    <col min="5632" max="5632" width="11" style="355" customWidth="1"/>
    <col min="5633" max="5633" width="10.7109375" style="355" customWidth="1"/>
    <col min="5634" max="5635" width="0" style="355" hidden="1" customWidth="1"/>
    <col min="5636" max="5636" width="9.7109375" style="355" bestFit="1" customWidth="1"/>
    <col min="5637" max="5864" width="9.140625" style="355"/>
    <col min="5865" max="5865" width="52.140625" style="355" customWidth="1"/>
    <col min="5866" max="5866" width="9" style="355" customWidth="1"/>
    <col min="5867" max="5868" width="8" style="355" customWidth="1"/>
    <col min="5869" max="5869" width="6.5703125" style="355" customWidth="1"/>
    <col min="5870" max="5870" width="8" style="355" customWidth="1"/>
    <col min="5871" max="5871" width="6.85546875" style="355" customWidth="1"/>
    <col min="5872" max="5872" width="8.7109375" style="355" customWidth="1"/>
    <col min="5873" max="5873" width="6.85546875" style="355" customWidth="1"/>
    <col min="5874" max="5874" width="8" style="355" customWidth="1"/>
    <col min="5875" max="5875" width="7" style="355" customWidth="1"/>
    <col min="5876" max="5880" width="0" style="355" hidden="1" customWidth="1"/>
    <col min="5881" max="5881" width="9" style="355" customWidth="1"/>
    <col min="5882" max="5882" width="8" style="355" customWidth="1"/>
    <col min="5883" max="5883" width="8.7109375" style="355" customWidth="1"/>
    <col min="5884" max="5884" width="9" style="355" customWidth="1"/>
    <col min="5885" max="5886" width="8" style="355" customWidth="1"/>
    <col min="5887" max="5887" width="13.42578125" style="355" customWidth="1"/>
    <col min="5888" max="5888" width="11" style="355" customWidth="1"/>
    <col min="5889" max="5889" width="10.7109375" style="355" customWidth="1"/>
    <col min="5890" max="5891" width="0" style="355" hidden="1" customWidth="1"/>
    <col min="5892" max="5892" width="9.7109375" style="355" bestFit="1" customWidth="1"/>
    <col min="5893" max="6120" width="9.140625" style="355"/>
    <col min="6121" max="6121" width="52.140625" style="355" customWidth="1"/>
    <col min="6122" max="6122" width="9" style="355" customWidth="1"/>
    <col min="6123" max="6124" width="8" style="355" customWidth="1"/>
    <col min="6125" max="6125" width="6.5703125" style="355" customWidth="1"/>
    <col min="6126" max="6126" width="8" style="355" customWidth="1"/>
    <col min="6127" max="6127" width="6.85546875" style="355" customWidth="1"/>
    <col min="6128" max="6128" width="8.7109375" style="355" customWidth="1"/>
    <col min="6129" max="6129" width="6.85546875" style="355" customWidth="1"/>
    <col min="6130" max="6130" width="8" style="355" customWidth="1"/>
    <col min="6131" max="6131" width="7" style="355" customWidth="1"/>
    <col min="6132" max="6136" width="0" style="355" hidden="1" customWidth="1"/>
    <col min="6137" max="6137" width="9" style="355" customWidth="1"/>
    <col min="6138" max="6138" width="8" style="355" customWidth="1"/>
    <col min="6139" max="6139" width="8.7109375" style="355" customWidth="1"/>
    <col min="6140" max="6140" width="9" style="355" customWidth="1"/>
    <col min="6141" max="6142" width="8" style="355" customWidth="1"/>
    <col min="6143" max="6143" width="13.42578125" style="355" customWidth="1"/>
    <col min="6144" max="6144" width="11" style="355" customWidth="1"/>
    <col min="6145" max="6145" width="10.7109375" style="355" customWidth="1"/>
    <col min="6146" max="6147" width="0" style="355" hidden="1" customWidth="1"/>
    <col min="6148" max="6148" width="9.7109375" style="355" bestFit="1" customWidth="1"/>
    <col min="6149" max="6376" width="9.140625" style="355"/>
    <col min="6377" max="6377" width="52.140625" style="355" customWidth="1"/>
    <col min="6378" max="6378" width="9" style="355" customWidth="1"/>
    <col min="6379" max="6380" width="8" style="355" customWidth="1"/>
    <col min="6381" max="6381" width="6.5703125" style="355" customWidth="1"/>
    <col min="6382" max="6382" width="8" style="355" customWidth="1"/>
    <col min="6383" max="6383" width="6.85546875" style="355" customWidth="1"/>
    <col min="6384" max="6384" width="8.7109375" style="355" customWidth="1"/>
    <col min="6385" max="6385" width="6.85546875" style="355" customWidth="1"/>
    <col min="6386" max="6386" width="8" style="355" customWidth="1"/>
    <col min="6387" max="6387" width="7" style="355" customWidth="1"/>
    <col min="6388" max="6392" width="0" style="355" hidden="1" customWidth="1"/>
    <col min="6393" max="6393" width="9" style="355" customWidth="1"/>
    <col min="6394" max="6394" width="8" style="355" customWidth="1"/>
    <col min="6395" max="6395" width="8.7109375" style="355" customWidth="1"/>
    <col min="6396" max="6396" width="9" style="355" customWidth="1"/>
    <col min="6397" max="6398" width="8" style="355" customWidth="1"/>
    <col min="6399" max="6399" width="13.42578125" style="355" customWidth="1"/>
    <col min="6400" max="6400" width="11" style="355" customWidth="1"/>
    <col min="6401" max="6401" width="10.7109375" style="355" customWidth="1"/>
    <col min="6402" max="6403" width="0" style="355" hidden="1" customWidth="1"/>
    <col min="6404" max="6404" width="9.7109375" style="355" bestFit="1" customWidth="1"/>
    <col min="6405" max="6632" width="9.140625" style="355"/>
    <col min="6633" max="6633" width="52.140625" style="355" customWidth="1"/>
    <col min="6634" max="6634" width="9" style="355" customWidth="1"/>
    <col min="6635" max="6636" width="8" style="355" customWidth="1"/>
    <col min="6637" max="6637" width="6.5703125" style="355" customWidth="1"/>
    <col min="6638" max="6638" width="8" style="355" customWidth="1"/>
    <col min="6639" max="6639" width="6.85546875" style="355" customWidth="1"/>
    <col min="6640" max="6640" width="8.7109375" style="355" customWidth="1"/>
    <col min="6641" max="6641" width="6.85546875" style="355" customWidth="1"/>
    <col min="6642" max="6642" width="8" style="355" customWidth="1"/>
    <col min="6643" max="6643" width="7" style="355" customWidth="1"/>
    <col min="6644" max="6648" width="0" style="355" hidden="1" customWidth="1"/>
    <col min="6649" max="6649" width="9" style="355" customWidth="1"/>
    <col min="6650" max="6650" width="8" style="355" customWidth="1"/>
    <col min="6651" max="6651" width="8.7109375" style="355" customWidth="1"/>
    <col min="6652" max="6652" width="9" style="355" customWidth="1"/>
    <col min="6653" max="6654" width="8" style="355" customWidth="1"/>
    <col min="6655" max="6655" width="13.42578125" style="355" customWidth="1"/>
    <col min="6656" max="6656" width="11" style="355" customWidth="1"/>
    <col min="6657" max="6657" width="10.7109375" style="355" customWidth="1"/>
    <col min="6658" max="6659" width="0" style="355" hidden="1" customWidth="1"/>
    <col min="6660" max="6660" width="9.7109375" style="355" bestFit="1" customWidth="1"/>
    <col min="6661" max="6888" width="9.140625" style="355"/>
    <col min="6889" max="6889" width="52.140625" style="355" customWidth="1"/>
    <col min="6890" max="6890" width="9" style="355" customWidth="1"/>
    <col min="6891" max="6892" width="8" style="355" customWidth="1"/>
    <col min="6893" max="6893" width="6.5703125" style="355" customWidth="1"/>
    <col min="6894" max="6894" width="8" style="355" customWidth="1"/>
    <col min="6895" max="6895" width="6.85546875" style="355" customWidth="1"/>
    <col min="6896" max="6896" width="8.7109375" style="355" customWidth="1"/>
    <col min="6897" max="6897" width="6.85546875" style="355" customWidth="1"/>
    <col min="6898" max="6898" width="8" style="355" customWidth="1"/>
    <col min="6899" max="6899" width="7" style="355" customWidth="1"/>
    <col min="6900" max="6904" width="0" style="355" hidden="1" customWidth="1"/>
    <col min="6905" max="6905" width="9" style="355" customWidth="1"/>
    <col min="6906" max="6906" width="8" style="355" customWidth="1"/>
    <col min="6907" max="6907" width="8.7109375" style="355" customWidth="1"/>
    <col min="6908" max="6908" width="9" style="355" customWidth="1"/>
    <col min="6909" max="6910" width="8" style="355" customWidth="1"/>
    <col min="6911" max="6911" width="13.42578125" style="355" customWidth="1"/>
    <col min="6912" max="6912" width="11" style="355" customWidth="1"/>
    <col min="6913" max="6913" width="10.7109375" style="355" customWidth="1"/>
    <col min="6914" max="6915" width="0" style="355" hidden="1" customWidth="1"/>
    <col min="6916" max="6916" width="9.7109375" style="355" bestFit="1" customWidth="1"/>
    <col min="6917" max="7144" width="9.140625" style="355"/>
    <col min="7145" max="7145" width="52.140625" style="355" customWidth="1"/>
    <col min="7146" max="7146" width="9" style="355" customWidth="1"/>
    <col min="7147" max="7148" width="8" style="355" customWidth="1"/>
    <col min="7149" max="7149" width="6.5703125" style="355" customWidth="1"/>
    <col min="7150" max="7150" width="8" style="355" customWidth="1"/>
    <col min="7151" max="7151" width="6.85546875" style="355" customWidth="1"/>
    <col min="7152" max="7152" width="8.7109375" style="355" customWidth="1"/>
    <col min="7153" max="7153" width="6.85546875" style="355" customWidth="1"/>
    <col min="7154" max="7154" width="8" style="355" customWidth="1"/>
    <col min="7155" max="7155" width="7" style="355" customWidth="1"/>
    <col min="7156" max="7160" width="0" style="355" hidden="1" customWidth="1"/>
    <col min="7161" max="7161" width="9" style="355" customWidth="1"/>
    <col min="7162" max="7162" width="8" style="355" customWidth="1"/>
    <col min="7163" max="7163" width="8.7109375" style="355" customWidth="1"/>
    <col min="7164" max="7164" width="9" style="355" customWidth="1"/>
    <col min="7165" max="7166" width="8" style="355" customWidth="1"/>
    <col min="7167" max="7167" width="13.42578125" style="355" customWidth="1"/>
    <col min="7168" max="7168" width="11" style="355" customWidth="1"/>
    <col min="7169" max="7169" width="10.7109375" style="355" customWidth="1"/>
    <col min="7170" max="7171" width="0" style="355" hidden="1" customWidth="1"/>
    <col min="7172" max="7172" width="9.7109375" style="355" bestFit="1" customWidth="1"/>
    <col min="7173" max="7400" width="9.140625" style="355"/>
    <col min="7401" max="7401" width="52.140625" style="355" customWidth="1"/>
    <col min="7402" max="7402" width="9" style="355" customWidth="1"/>
    <col min="7403" max="7404" width="8" style="355" customWidth="1"/>
    <col min="7405" max="7405" width="6.5703125" style="355" customWidth="1"/>
    <col min="7406" max="7406" width="8" style="355" customWidth="1"/>
    <col min="7407" max="7407" width="6.85546875" style="355" customWidth="1"/>
    <col min="7408" max="7408" width="8.7109375" style="355" customWidth="1"/>
    <col min="7409" max="7409" width="6.85546875" style="355" customWidth="1"/>
    <col min="7410" max="7410" width="8" style="355" customWidth="1"/>
    <col min="7411" max="7411" width="7" style="355" customWidth="1"/>
    <col min="7412" max="7416" width="0" style="355" hidden="1" customWidth="1"/>
    <col min="7417" max="7417" width="9" style="355" customWidth="1"/>
    <col min="7418" max="7418" width="8" style="355" customWidth="1"/>
    <col min="7419" max="7419" width="8.7109375" style="355" customWidth="1"/>
    <col min="7420" max="7420" width="9" style="355" customWidth="1"/>
    <col min="7421" max="7422" width="8" style="355" customWidth="1"/>
    <col min="7423" max="7423" width="13.42578125" style="355" customWidth="1"/>
    <col min="7424" max="7424" width="11" style="355" customWidth="1"/>
    <col min="7425" max="7425" width="10.7109375" style="355" customWidth="1"/>
    <col min="7426" max="7427" width="0" style="355" hidden="1" customWidth="1"/>
    <col min="7428" max="7428" width="9.7109375" style="355" bestFit="1" customWidth="1"/>
    <col min="7429" max="7656" width="9.140625" style="355"/>
    <col min="7657" max="7657" width="52.140625" style="355" customWidth="1"/>
    <col min="7658" max="7658" width="9" style="355" customWidth="1"/>
    <col min="7659" max="7660" width="8" style="355" customWidth="1"/>
    <col min="7661" max="7661" width="6.5703125" style="355" customWidth="1"/>
    <col min="7662" max="7662" width="8" style="355" customWidth="1"/>
    <col min="7663" max="7663" width="6.85546875" style="355" customWidth="1"/>
    <col min="7664" max="7664" width="8.7109375" style="355" customWidth="1"/>
    <col min="7665" max="7665" width="6.85546875" style="355" customWidth="1"/>
    <col min="7666" max="7666" width="8" style="355" customWidth="1"/>
    <col min="7667" max="7667" width="7" style="355" customWidth="1"/>
    <col min="7668" max="7672" width="0" style="355" hidden="1" customWidth="1"/>
    <col min="7673" max="7673" width="9" style="355" customWidth="1"/>
    <col min="7674" max="7674" width="8" style="355" customWidth="1"/>
    <col min="7675" max="7675" width="8.7109375" style="355" customWidth="1"/>
    <col min="7676" max="7676" width="9" style="355" customWidth="1"/>
    <col min="7677" max="7678" width="8" style="355" customWidth="1"/>
    <col min="7679" max="7679" width="13.42578125" style="355" customWidth="1"/>
    <col min="7680" max="7680" width="11" style="355" customWidth="1"/>
    <col min="7681" max="7681" width="10.7109375" style="355" customWidth="1"/>
    <col min="7682" max="7683" width="0" style="355" hidden="1" customWidth="1"/>
    <col min="7684" max="7684" width="9.7109375" style="355" bestFit="1" customWidth="1"/>
    <col min="7685" max="7912" width="9.140625" style="355"/>
    <col min="7913" max="7913" width="52.140625" style="355" customWidth="1"/>
    <col min="7914" max="7914" width="9" style="355" customWidth="1"/>
    <col min="7915" max="7916" width="8" style="355" customWidth="1"/>
    <col min="7917" max="7917" width="6.5703125" style="355" customWidth="1"/>
    <col min="7918" max="7918" width="8" style="355" customWidth="1"/>
    <col min="7919" max="7919" width="6.85546875" style="355" customWidth="1"/>
    <col min="7920" max="7920" width="8.7109375" style="355" customWidth="1"/>
    <col min="7921" max="7921" width="6.85546875" style="355" customWidth="1"/>
    <col min="7922" max="7922" width="8" style="355" customWidth="1"/>
    <col min="7923" max="7923" width="7" style="355" customWidth="1"/>
    <col min="7924" max="7928" width="0" style="355" hidden="1" customWidth="1"/>
    <col min="7929" max="7929" width="9" style="355" customWidth="1"/>
    <col min="7930" max="7930" width="8" style="355" customWidth="1"/>
    <col min="7931" max="7931" width="8.7109375" style="355" customWidth="1"/>
    <col min="7932" max="7932" width="9" style="355" customWidth="1"/>
    <col min="7933" max="7934" width="8" style="355" customWidth="1"/>
    <col min="7935" max="7935" width="13.42578125" style="355" customWidth="1"/>
    <col min="7936" max="7936" width="11" style="355" customWidth="1"/>
    <col min="7937" max="7937" width="10.7109375" style="355" customWidth="1"/>
    <col min="7938" max="7939" width="0" style="355" hidden="1" customWidth="1"/>
    <col min="7940" max="7940" width="9.7109375" style="355" bestFit="1" customWidth="1"/>
    <col min="7941" max="8168" width="9.140625" style="355"/>
    <col min="8169" max="8169" width="52.140625" style="355" customWidth="1"/>
    <col min="8170" max="8170" width="9" style="355" customWidth="1"/>
    <col min="8171" max="8172" width="8" style="355" customWidth="1"/>
    <col min="8173" max="8173" width="6.5703125" style="355" customWidth="1"/>
    <col min="8174" max="8174" width="8" style="355" customWidth="1"/>
    <col min="8175" max="8175" width="6.85546875" style="355" customWidth="1"/>
    <col min="8176" max="8176" width="8.7109375" style="355" customWidth="1"/>
    <col min="8177" max="8177" width="6.85546875" style="355" customWidth="1"/>
    <col min="8178" max="8178" width="8" style="355" customWidth="1"/>
    <col min="8179" max="8179" width="7" style="355" customWidth="1"/>
    <col min="8180" max="8184" width="0" style="355" hidden="1" customWidth="1"/>
    <col min="8185" max="8185" width="9" style="355" customWidth="1"/>
    <col min="8186" max="8186" width="8" style="355" customWidth="1"/>
    <col min="8187" max="8187" width="8.7109375" style="355" customWidth="1"/>
    <col min="8188" max="8188" width="9" style="355" customWidth="1"/>
    <col min="8189" max="8190" width="8" style="355" customWidth="1"/>
    <col min="8191" max="8191" width="13.42578125" style="355" customWidth="1"/>
    <col min="8192" max="8192" width="11" style="355" customWidth="1"/>
    <col min="8193" max="8193" width="10.7109375" style="355" customWidth="1"/>
    <col min="8194" max="8195" width="0" style="355" hidden="1" customWidth="1"/>
    <col min="8196" max="8196" width="9.7109375" style="355" bestFit="1" customWidth="1"/>
    <col min="8197" max="8424" width="9.140625" style="355"/>
    <col min="8425" max="8425" width="52.140625" style="355" customWidth="1"/>
    <col min="8426" max="8426" width="9" style="355" customWidth="1"/>
    <col min="8427" max="8428" width="8" style="355" customWidth="1"/>
    <col min="8429" max="8429" width="6.5703125" style="355" customWidth="1"/>
    <col min="8430" max="8430" width="8" style="355" customWidth="1"/>
    <col min="8431" max="8431" width="6.85546875" style="355" customWidth="1"/>
    <col min="8432" max="8432" width="8.7109375" style="355" customWidth="1"/>
    <col min="8433" max="8433" width="6.85546875" style="355" customWidth="1"/>
    <col min="8434" max="8434" width="8" style="355" customWidth="1"/>
    <col min="8435" max="8435" width="7" style="355" customWidth="1"/>
    <col min="8436" max="8440" width="0" style="355" hidden="1" customWidth="1"/>
    <col min="8441" max="8441" width="9" style="355" customWidth="1"/>
    <col min="8442" max="8442" width="8" style="355" customWidth="1"/>
    <col min="8443" max="8443" width="8.7109375" style="355" customWidth="1"/>
    <col min="8444" max="8444" width="9" style="355" customWidth="1"/>
    <col min="8445" max="8446" width="8" style="355" customWidth="1"/>
    <col min="8447" max="8447" width="13.42578125" style="355" customWidth="1"/>
    <col min="8448" max="8448" width="11" style="355" customWidth="1"/>
    <col min="8449" max="8449" width="10.7109375" style="355" customWidth="1"/>
    <col min="8450" max="8451" width="0" style="355" hidden="1" customWidth="1"/>
    <col min="8452" max="8452" width="9.7109375" style="355" bestFit="1" customWidth="1"/>
    <col min="8453" max="8680" width="9.140625" style="355"/>
    <col min="8681" max="8681" width="52.140625" style="355" customWidth="1"/>
    <col min="8682" max="8682" width="9" style="355" customWidth="1"/>
    <col min="8683" max="8684" width="8" style="355" customWidth="1"/>
    <col min="8685" max="8685" width="6.5703125" style="355" customWidth="1"/>
    <col min="8686" max="8686" width="8" style="355" customWidth="1"/>
    <col min="8687" max="8687" width="6.85546875" style="355" customWidth="1"/>
    <col min="8688" max="8688" width="8.7109375" style="355" customWidth="1"/>
    <col min="8689" max="8689" width="6.85546875" style="355" customWidth="1"/>
    <col min="8690" max="8690" width="8" style="355" customWidth="1"/>
    <col min="8691" max="8691" width="7" style="355" customWidth="1"/>
    <col min="8692" max="8696" width="0" style="355" hidden="1" customWidth="1"/>
    <col min="8697" max="8697" width="9" style="355" customWidth="1"/>
    <col min="8698" max="8698" width="8" style="355" customWidth="1"/>
    <col min="8699" max="8699" width="8.7109375" style="355" customWidth="1"/>
    <col min="8700" max="8700" width="9" style="355" customWidth="1"/>
    <col min="8701" max="8702" width="8" style="355" customWidth="1"/>
    <col min="8703" max="8703" width="13.42578125" style="355" customWidth="1"/>
    <col min="8704" max="8704" width="11" style="355" customWidth="1"/>
    <col min="8705" max="8705" width="10.7109375" style="355" customWidth="1"/>
    <col min="8706" max="8707" width="0" style="355" hidden="1" customWidth="1"/>
    <col min="8708" max="8708" width="9.7109375" style="355" bestFit="1" customWidth="1"/>
    <col min="8709" max="8936" width="9.140625" style="355"/>
    <col min="8937" max="8937" width="52.140625" style="355" customWidth="1"/>
    <col min="8938" max="8938" width="9" style="355" customWidth="1"/>
    <col min="8939" max="8940" width="8" style="355" customWidth="1"/>
    <col min="8941" max="8941" width="6.5703125" style="355" customWidth="1"/>
    <col min="8942" max="8942" width="8" style="355" customWidth="1"/>
    <col min="8943" max="8943" width="6.85546875" style="355" customWidth="1"/>
    <col min="8944" max="8944" width="8.7109375" style="355" customWidth="1"/>
    <col min="8945" max="8945" width="6.85546875" style="355" customWidth="1"/>
    <col min="8946" max="8946" width="8" style="355" customWidth="1"/>
    <col min="8947" max="8947" width="7" style="355" customWidth="1"/>
    <col min="8948" max="8952" width="0" style="355" hidden="1" customWidth="1"/>
    <col min="8953" max="8953" width="9" style="355" customWidth="1"/>
    <col min="8954" max="8954" width="8" style="355" customWidth="1"/>
    <col min="8955" max="8955" width="8.7109375" style="355" customWidth="1"/>
    <col min="8956" max="8956" width="9" style="355" customWidth="1"/>
    <col min="8957" max="8958" width="8" style="355" customWidth="1"/>
    <col min="8959" max="8959" width="13.42578125" style="355" customWidth="1"/>
    <col min="8960" max="8960" width="11" style="355" customWidth="1"/>
    <col min="8961" max="8961" width="10.7109375" style="355" customWidth="1"/>
    <col min="8962" max="8963" width="0" style="355" hidden="1" customWidth="1"/>
    <col min="8964" max="8964" width="9.7109375" style="355" bestFit="1" customWidth="1"/>
    <col min="8965" max="9192" width="9.140625" style="355"/>
    <col min="9193" max="9193" width="52.140625" style="355" customWidth="1"/>
    <col min="9194" max="9194" width="9" style="355" customWidth="1"/>
    <col min="9195" max="9196" width="8" style="355" customWidth="1"/>
    <col min="9197" max="9197" width="6.5703125" style="355" customWidth="1"/>
    <col min="9198" max="9198" width="8" style="355" customWidth="1"/>
    <col min="9199" max="9199" width="6.85546875" style="355" customWidth="1"/>
    <col min="9200" max="9200" width="8.7109375" style="355" customWidth="1"/>
    <col min="9201" max="9201" width="6.85546875" style="355" customWidth="1"/>
    <col min="9202" max="9202" width="8" style="355" customWidth="1"/>
    <col min="9203" max="9203" width="7" style="355" customWidth="1"/>
    <col min="9204" max="9208" width="0" style="355" hidden="1" customWidth="1"/>
    <col min="9209" max="9209" width="9" style="355" customWidth="1"/>
    <col min="9210" max="9210" width="8" style="355" customWidth="1"/>
    <col min="9211" max="9211" width="8.7109375" style="355" customWidth="1"/>
    <col min="9212" max="9212" width="9" style="355" customWidth="1"/>
    <col min="9213" max="9214" width="8" style="355" customWidth="1"/>
    <col min="9215" max="9215" width="13.42578125" style="355" customWidth="1"/>
    <col min="9216" max="9216" width="11" style="355" customWidth="1"/>
    <col min="9217" max="9217" width="10.7109375" style="355" customWidth="1"/>
    <col min="9218" max="9219" width="0" style="355" hidden="1" customWidth="1"/>
    <col min="9220" max="9220" width="9.7109375" style="355" bestFit="1" customWidth="1"/>
    <col min="9221" max="9448" width="9.140625" style="355"/>
    <col min="9449" max="9449" width="52.140625" style="355" customWidth="1"/>
    <col min="9450" max="9450" width="9" style="355" customWidth="1"/>
    <col min="9451" max="9452" width="8" style="355" customWidth="1"/>
    <col min="9453" max="9453" width="6.5703125" style="355" customWidth="1"/>
    <col min="9454" max="9454" width="8" style="355" customWidth="1"/>
    <col min="9455" max="9455" width="6.85546875" style="355" customWidth="1"/>
    <col min="9456" max="9456" width="8.7109375" style="355" customWidth="1"/>
    <col min="9457" max="9457" width="6.85546875" style="355" customWidth="1"/>
    <col min="9458" max="9458" width="8" style="355" customWidth="1"/>
    <col min="9459" max="9459" width="7" style="355" customWidth="1"/>
    <col min="9460" max="9464" width="0" style="355" hidden="1" customWidth="1"/>
    <col min="9465" max="9465" width="9" style="355" customWidth="1"/>
    <col min="9466" max="9466" width="8" style="355" customWidth="1"/>
    <col min="9467" max="9467" width="8.7109375" style="355" customWidth="1"/>
    <col min="9468" max="9468" width="9" style="355" customWidth="1"/>
    <col min="9469" max="9470" width="8" style="355" customWidth="1"/>
    <col min="9471" max="9471" width="13.42578125" style="355" customWidth="1"/>
    <col min="9472" max="9472" width="11" style="355" customWidth="1"/>
    <col min="9473" max="9473" width="10.7109375" style="355" customWidth="1"/>
    <col min="9474" max="9475" width="0" style="355" hidden="1" customWidth="1"/>
    <col min="9476" max="9476" width="9.7109375" style="355" bestFit="1" customWidth="1"/>
    <col min="9477" max="9704" width="9.140625" style="355"/>
    <col min="9705" max="9705" width="52.140625" style="355" customWidth="1"/>
    <col min="9706" max="9706" width="9" style="355" customWidth="1"/>
    <col min="9707" max="9708" width="8" style="355" customWidth="1"/>
    <col min="9709" max="9709" width="6.5703125" style="355" customWidth="1"/>
    <col min="9710" max="9710" width="8" style="355" customWidth="1"/>
    <col min="9711" max="9711" width="6.85546875" style="355" customWidth="1"/>
    <col min="9712" max="9712" width="8.7109375" style="355" customWidth="1"/>
    <col min="9713" max="9713" width="6.85546875" style="355" customWidth="1"/>
    <col min="9714" max="9714" width="8" style="355" customWidth="1"/>
    <col min="9715" max="9715" width="7" style="355" customWidth="1"/>
    <col min="9716" max="9720" width="0" style="355" hidden="1" customWidth="1"/>
    <col min="9721" max="9721" width="9" style="355" customWidth="1"/>
    <col min="9722" max="9722" width="8" style="355" customWidth="1"/>
    <col min="9723" max="9723" width="8.7109375" style="355" customWidth="1"/>
    <col min="9724" max="9724" width="9" style="355" customWidth="1"/>
    <col min="9725" max="9726" width="8" style="355" customWidth="1"/>
    <col min="9727" max="9727" width="13.42578125" style="355" customWidth="1"/>
    <col min="9728" max="9728" width="11" style="355" customWidth="1"/>
    <col min="9729" max="9729" width="10.7109375" style="355" customWidth="1"/>
    <col min="9730" max="9731" width="0" style="355" hidden="1" customWidth="1"/>
    <col min="9732" max="9732" width="9.7109375" style="355" bestFit="1" customWidth="1"/>
    <col min="9733" max="9960" width="9.140625" style="355"/>
    <col min="9961" max="9961" width="52.140625" style="355" customWidth="1"/>
    <col min="9962" max="9962" width="9" style="355" customWidth="1"/>
    <col min="9963" max="9964" width="8" style="355" customWidth="1"/>
    <col min="9965" max="9965" width="6.5703125" style="355" customWidth="1"/>
    <col min="9966" max="9966" width="8" style="355" customWidth="1"/>
    <col min="9967" max="9967" width="6.85546875" style="355" customWidth="1"/>
    <col min="9968" max="9968" width="8.7109375" style="355" customWidth="1"/>
    <col min="9969" max="9969" width="6.85546875" style="355" customWidth="1"/>
    <col min="9970" max="9970" width="8" style="355" customWidth="1"/>
    <col min="9971" max="9971" width="7" style="355" customWidth="1"/>
    <col min="9972" max="9976" width="0" style="355" hidden="1" customWidth="1"/>
    <col min="9977" max="9977" width="9" style="355" customWidth="1"/>
    <col min="9978" max="9978" width="8" style="355" customWidth="1"/>
    <col min="9979" max="9979" width="8.7109375" style="355" customWidth="1"/>
    <col min="9980" max="9980" width="9" style="355" customWidth="1"/>
    <col min="9981" max="9982" width="8" style="355" customWidth="1"/>
    <col min="9983" max="9983" width="13.42578125" style="355" customWidth="1"/>
    <col min="9984" max="9984" width="11" style="355" customWidth="1"/>
    <col min="9985" max="9985" width="10.7109375" style="355" customWidth="1"/>
    <col min="9986" max="9987" width="0" style="355" hidden="1" customWidth="1"/>
    <col min="9988" max="9988" width="9.7109375" style="355" bestFit="1" customWidth="1"/>
    <col min="9989" max="10216" width="9.140625" style="355"/>
    <col min="10217" max="10217" width="52.140625" style="355" customWidth="1"/>
    <col min="10218" max="10218" width="9" style="355" customWidth="1"/>
    <col min="10219" max="10220" width="8" style="355" customWidth="1"/>
    <col min="10221" max="10221" width="6.5703125" style="355" customWidth="1"/>
    <col min="10222" max="10222" width="8" style="355" customWidth="1"/>
    <col min="10223" max="10223" width="6.85546875" style="355" customWidth="1"/>
    <col min="10224" max="10224" width="8.7109375" style="355" customWidth="1"/>
    <col min="10225" max="10225" width="6.85546875" style="355" customWidth="1"/>
    <col min="10226" max="10226" width="8" style="355" customWidth="1"/>
    <col min="10227" max="10227" width="7" style="355" customWidth="1"/>
    <col min="10228" max="10232" width="0" style="355" hidden="1" customWidth="1"/>
    <col min="10233" max="10233" width="9" style="355" customWidth="1"/>
    <col min="10234" max="10234" width="8" style="355" customWidth="1"/>
    <col min="10235" max="10235" width="8.7109375" style="355" customWidth="1"/>
    <col min="10236" max="10236" width="9" style="355" customWidth="1"/>
    <col min="10237" max="10238" width="8" style="355" customWidth="1"/>
    <col min="10239" max="10239" width="13.42578125" style="355" customWidth="1"/>
    <col min="10240" max="10240" width="11" style="355" customWidth="1"/>
    <col min="10241" max="10241" width="10.7109375" style="355" customWidth="1"/>
    <col min="10242" max="10243" width="0" style="355" hidden="1" customWidth="1"/>
    <col min="10244" max="10244" width="9.7109375" style="355" bestFit="1" customWidth="1"/>
    <col min="10245" max="10472" width="9.140625" style="355"/>
    <col min="10473" max="10473" width="52.140625" style="355" customWidth="1"/>
    <col min="10474" max="10474" width="9" style="355" customWidth="1"/>
    <col min="10475" max="10476" width="8" style="355" customWidth="1"/>
    <col min="10477" max="10477" width="6.5703125" style="355" customWidth="1"/>
    <col min="10478" max="10478" width="8" style="355" customWidth="1"/>
    <col min="10479" max="10479" width="6.85546875" style="355" customWidth="1"/>
    <col min="10480" max="10480" width="8.7109375" style="355" customWidth="1"/>
    <col min="10481" max="10481" width="6.85546875" style="355" customWidth="1"/>
    <col min="10482" max="10482" width="8" style="355" customWidth="1"/>
    <col min="10483" max="10483" width="7" style="355" customWidth="1"/>
    <col min="10484" max="10488" width="0" style="355" hidden="1" customWidth="1"/>
    <col min="10489" max="10489" width="9" style="355" customWidth="1"/>
    <col min="10490" max="10490" width="8" style="355" customWidth="1"/>
    <col min="10491" max="10491" width="8.7109375" style="355" customWidth="1"/>
    <col min="10492" max="10492" width="9" style="355" customWidth="1"/>
    <col min="10493" max="10494" width="8" style="355" customWidth="1"/>
    <col min="10495" max="10495" width="13.42578125" style="355" customWidth="1"/>
    <col min="10496" max="10496" width="11" style="355" customWidth="1"/>
    <col min="10497" max="10497" width="10.7109375" style="355" customWidth="1"/>
    <col min="10498" max="10499" width="0" style="355" hidden="1" customWidth="1"/>
    <col min="10500" max="10500" width="9.7109375" style="355" bestFit="1" customWidth="1"/>
    <col min="10501" max="10728" width="9.140625" style="355"/>
    <col min="10729" max="10729" width="52.140625" style="355" customWidth="1"/>
    <col min="10730" max="10730" width="9" style="355" customWidth="1"/>
    <col min="10731" max="10732" width="8" style="355" customWidth="1"/>
    <col min="10733" max="10733" width="6.5703125" style="355" customWidth="1"/>
    <col min="10734" max="10734" width="8" style="355" customWidth="1"/>
    <col min="10735" max="10735" width="6.85546875" style="355" customWidth="1"/>
    <col min="10736" max="10736" width="8.7109375" style="355" customWidth="1"/>
    <col min="10737" max="10737" width="6.85546875" style="355" customWidth="1"/>
    <col min="10738" max="10738" width="8" style="355" customWidth="1"/>
    <col min="10739" max="10739" width="7" style="355" customWidth="1"/>
    <col min="10740" max="10744" width="0" style="355" hidden="1" customWidth="1"/>
    <col min="10745" max="10745" width="9" style="355" customWidth="1"/>
    <col min="10746" max="10746" width="8" style="355" customWidth="1"/>
    <col min="10747" max="10747" width="8.7109375" style="355" customWidth="1"/>
    <col min="10748" max="10748" width="9" style="355" customWidth="1"/>
    <col min="10749" max="10750" width="8" style="355" customWidth="1"/>
    <col min="10751" max="10751" width="13.42578125" style="355" customWidth="1"/>
    <col min="10752" max="10752" width="11" style="355" customWidth="1"/>
    <col min="10753" max="10753" width="10.7109375" style="355" customWidth="1"/>
    <col min="10754" max="10755" width="0" style="355" hidden="1" customWidth="1"/>
    <col min="10756" max="10756" width="9.7109375" style="355" bestFit="1" customWidth="1"/>
    <col min="10757" max="10984" width="9.140625" style="355"/>
    <col min="10985" max="10985" width="52.140625" style="355" customWidth="1"/>
    <col min="10986" max="10986" width="9" style="355" customWidth="1"/>
    <col min="10987" max="10988" width="8" style="355" customWidth="1"/>
    <col min="10989" max="10989" width="6.5703125" style="355" customWidth="1"/>
    <col min="10990" max="10990" width="8" style="355" customWidth="1"/>
    <col min="10991" max="10991" width="6.85546875" style="355" customWidth="1"/>
    <col min="10992" max="10992" width="8.7109375" style="355" customWidth="1"/>
    <col min="10993" max="10993" width="6.85546875" style="355" customWidth="1"/>
    <col min="10994" max="10994" width="8" style="355" customWidth="1"/>
    <col min="10995" max="10995" width="7" style="355" customWidth="1"/>
    <col min="10996" max="11000" width="0" style="355" hidden="1" customWidth="1"/>
    <col min="11001" max="11001" width="9" style="355" customWidth="1"/>
    <col min="11002" max="11002" width="8" style="355" customWidth="1"/>
    <col min="11003" max="11003" width="8.7109375" style="355" customWidth="1"/>
    <col min="11004" max="11004" width="9" style="355" customWidth="1"/>
    <col min="11005" max="11006" width="8" style="355" customWidth="1"/>
    <col min="11007" max="11007" width="13.42578125" style="355" customWidth="1"/>
    <col min="11008" max="11008" width="11" style="355" customWidth="1"/>
    <col min="11009" max="11009" width="10.7109375" style="355" customWidth="1"/>
    <col min="11010" max="11011" width="0" style="355" hidden="1" customWidth="1"/>
    <col min="11012" max="11012" width="9.7109375" style="355" bestFit="1" customWidth="1"/>
    <col min="11013" max="11240" width="9.140625" style="355"/>
    <col min="11241" max="11241" width="52.140625" style="355" customWidth="1"/>
    <col min="11242" max="11242" width="9" style="355" customWidth="1"/>
    <col min="11243" max="11244" width="8" style="355" customWidth="1"/>
    <col min="11245" max="11245" width="6.5703125" style="355" customWidth="1"/>
    <col min="11246" max="11246" width="8" style="355" customWidth="1"/>
    <col min="11247" max="11247" width="6.85546875" style="355" customWidth="1"/>
    <col min="11248" max="11248" width="8.7109375" style="355" customWidth="1"/>
    <col min="11249" max="11249" width="6.85546875" style="355" customWidth="1"/>
    <col min="11250" max="11250" width="8" style="355" customWidth="1"/>
    <col min="11251" max="11251" width="7" style="355" customWidth="1"/>
    <col min="11252" max="11256" width="0" style="355" hidden="1" customWidth="1"/>
    <col min="11257" max="11257" width="9" style="355" customWidth="1"/>
    <col min="11258" max="11258" width="8" style="355" customWidth="1"/>
    <col min="11259" max="11259" width="8.7109375" style="355" customWidth="1"/>
    <col min="11260" max="11260" width="9" style="355" customWidth="1"/>
    <col min="11261" max="11262" width="8" style="355" customWidth="1"/>
    <col min="11263" max="11263" width="13.42578125" style="355" customWidth="1"/>
    <col min="11264" max="11264" width="11" style="355" customWidth="1"/>
    <col min="11265" max="11265" width="10.7109375" style="355" customWidth="1"/>
    <col min="11266" max="11267" width="0" style="355" hidden="1" customWidth="1"/>
    <col min="11268" max="11268" width="9.7109375" style="355" bestFit="1" customWidth="1"/>
    <col min="11269" max="11496" width="9.140625" style="355"/>
    <col min="11497" max="11497" width="52.140625" style="355" customWidth="1"/>
    <col min="11498" max="11498" width="9" style="355" customWidth="1"/>
    <col min="11499" max="11500" width="8" style="355" customWidth="1"/>
    <col min="11501" max="11501" width="6.5703125" style="355" customWidth="1"/>
    <col min="11502" max="11502" width="8" style="355" customWidth="1"/>
    <col min="11503" max="11503" width="6.85546875" style="355" customWidth="1"/>
    <col min="11504" max="11504" width="8.7109375" style="355" customWidth="1"/>
    <col min="11505" max="11505" width="6.85546875" style="355" customWidth="1"/>
    <col min="11506" max="11506" width="8" style="355" customWidth="1"/>
    <col min="11507" max="11507" width="7" style="355" customWidth="1"/>
    <col min="11508" max="11512" width="0" style="355" hidden="1" customWidth="1"/>
    <col min="11513" max="11513" width="9" style="355" customWidth="1"/>
    <col min="11514" max="11514" width="8" style="355" customWidth="1"/>
    <col min="11515" max="11515" width="8.7109375" style="355" customWidth="1"/>
    <col min="11516" max="11516" width="9" style="355" customWidth="1"/>
    <col min="11517" max="11518" width="8" style="355" customWidth="1"/>
    <col min="11519" max="11519" width="13.42578125" style="355" customWidth="1"/>
    <col min="11520" max="11520" width="11" style="355" customWidth="1"/>
    <col min="11521" max="11521" width="10.7109375" style="355" customWidth="1"/>
    <col min="11522" max="11523" width="0" style="355" hidden="1" customWidth="1"/>
    <col min="11524" max="11524" width="9.7109375" style="355" bestFit="1" customWidth="1"/>
    <col min="11525" max="11752" width="9.140625" style="355"/>
    <col min="11753" max="11753" width="52.140625" style="355" customWidth="1"/>
    <col min="11754" max="11754" width="9" style="355" customWidth="1"/>
    <col min="11755" max="11756" width="8" style="355" customWidth="1"/>
    <col min="11757" max="11757" width="6.5703125" style="355" customWidth="1"/>
    <col min="11758" max="11758" width="8" style="355" customWidth="1"/>
    <col min="11759" max="11759" width="6.85546875" style="355" customWidth="1"/>
    <col min="11760" max="11760" width="8.7109375" style="355" customWidth="1"/>
    <col min="11761" max="11761" width="6.85546875" style="355" customWidth="1"/>
    <col min="11762" max="11762" width="8" style="355" customWidth="1"/>
    <col min="11763" max="11763" width="7" style="355" customWidth="1"/>
    <col min="11764" max="11768" width="0" style="355" hidden="1" customWidth="1"/>
    <col min="11769" max="11769" width="9" style="355" customWidth="1"/>
    <col min="11770" max="11770" width="8" style="355" customWidth="1"/>
    <col min="11771" max="11771" width="8.7109375" style="355" customWidth="1"/>
    <col min="11772" max="11772" width="9" style="355" customWidth="1"/>
    <col min="11773" max="11774" width="8" style="355" customWidth="1"/>
    <col min="11775" max="11775" width="13.42578125" style="355" customWidth="1"/>
    <col min="11776" max="11776" width="11" style="355" customWidth="1"/>
    <col min="11777" max="11777" width="10.7109375" style="355" customWidth="1"/>
    <col min="11778" max="11779" width="0" style="355" hidden="1" customWidth="1"/>
    <col min="11780" max="11780" width="9.7109375" style="355" bestFit="1" customWidth="1"/>
    <col min="11781" max="12008" width="9.140625" style="355"/>
    <col min="12009" max="12009" width="52.140625" style="355" customWidth="1"/>
    <col min="12010" max="12010" width="9" style="355" customWidth="1"/>
    <col min="12011" max="12012" width="8" style="355" customWidth="1"/>
    <col min="12013" max="12013" width="6.5703125" style="355" customWidth="1"/>
    <col min="12014" max="12014" width="8" style="355" customWidth="1"/>
    <col min="12015" max="12015" width="6.85546875" style="355" customWidth="1"/>
    <col min="12016" max="12016" width="8.7109375" style="355" customWidth="1"/>
    <col min="12017" max="12017" width="6.85546875" style="355" customWidth="1"/>
    <col min="12018" max="12018" width="8" style="355" customWidth="1"/>
    <col min="12019" max="12019" width="7" style="355" customWidth="1"/>
    <col min="12020" max="12024" width="0" style="355" hidden="1" customWidth="1"/>
    <col min="12025" max="12025" width="9" style="355" customWidth="1"/>
    <col min="12026" max="12026" width="8" style="355" customWidth="1"/>
    <col min="12027" max="12027" width="8.7109375" style="355" customWidth="1"/>
    <col min="12028" max="12028" width="9" style="355" customWidth="1"/>
    <col min="12029" max="12030" width="8" style="355" customWidth="1"/>
    <col min="12031" max="12031" width="13.42578125" style="355" customWidth="1"/>
    <col min="12032" max="12032" width="11" style="355" customWidth="1"/>
    <col min="12033" max="12033" width="10.7109375" style="355" customWidth="1"/>
    <col min="12034" max="12035" width="0" style="355" hidden="1" customWidth="1"/>
    <col min="12036" max="12036" width="9.7109375" style="355" bestFit="1" customWidth="1"/>
    <col min="12037" max="12264" width="9.140625" style="355"/>
    <col min="12265" max="12265" width="52.140625" style="355" customWidth="1"/>
    <col min="12266" max="12266" width="9" style="355" customWidth="1"/>
    <col min="12267" max="12268" width="8" style="355" customWidth="1"/>
    <col min="12269" max="12269" width="6.5703125" style="355" customWidth="1"/>
    <col min="12270" max="12270" width="8" style="355" customWidth="1"/>
    <col min="12271" max="12271" width="6.85546875" style="355" customWidth="1"/>
    <col min="12272" max="12272" width="8.7109375" style="355" customWidth="1"/>
    <col min="12273" max="12273" width="6.85546875" style="355" customWidth="1"/>
    <col min="12274" max="12274" width="8" style="355" customWidth="1"/>
    <col min="12275" max="12275" width="7" style="355" customWidth="1"/>
    <col min="12276" max="12280" width="0" style="355" hidden="1" customWidth="1"/>
    <col min="12281" max="12281" width="9" style="355" customWidth="1"/>
    <col min="12282" max="12282" width="8" style="355" customWidth="1"/>
    <col min="12283" max="12283" width="8.7109375" style="355" customWidth="1"/>
    <col min="12284" max="12284" width="9" style="355" customWidth="1"/>
    <col min="12285" max="12286" width="8" style="355" customWidth="1"/>
    <col min="12287" max="12287" width="13.42578125" style="355" customWidth="1"/>
    <col min="12288" max="12288" width="11" style="355" customWidth="1"/>
    <col min="12289" max="12289" width="10.7109375" style="355" customWidth="1"/>
    <col min="12290" max="12291" width="0" style="355" hidden="1" customWidth="1"/>
    <col min="12292" max="12292" width="9.7109375" style="355" bestFit="1" customWidth="1"/>
    <col min="12293" max="12520" width="9.140625" style="355"/>
    <col min="12521" max="12521" width="52.140625" style="355" customWidth="1"/>
    <col min="12522" max="12522" width="9" style="355" customWidth="1"/>
    <col min="12523" max="12524" width="8" style="355" customWidth="1"/>
    <col min="12525" max="12525" width="6.5703125" style="355" customWidth="1"/>
    <col min="12526" max="12526" width="8" style="355" customWidth="1"/>
    <col min="12527" max="12527" width="6.85546875" style="355" customWidth="1"/>
    <col min="12528" max="12528" width="8.7109375" style="355" customWidth="1"/>
    <col min="12529" max="12529" width="6.85546875" style="355" customWidth="1"/>
    <col min="12530" max="12530" width="8" style="355" customWidth="1"/>
    <col min="12531" max="12531" width="7" style="355" customWidth="1"/>
    <col min="12532" max="12536" width="0" style="355" hidden="1" customWidth="1"/>
    <col min="12537" max="12537" width="9" style="355" customWidth="1"/>
    <col min="12538" max="12538" width="8" style="355" customWidth="1"/>
    <col min="12539" max="12539" width="8.7109375" style="355" customWidth="1"/>
    <col min="12540" max="12540" width="9" style="355" customWidth="1"/>
    <col min="12541" max="12542" width="8" style="355" customWidth="1"/>
    <col min="12543" max="12543" width="13.42578125" style="355" customWidth="1"/>
    <col min="12544" max="12544" width="11" style="355" customWidth="1"/>
    <col min="12545" max="12545" width="10.7109375" style="355" customWidth="1"/>
    <col min="12546" max="12547" width="0" style="355" hidden="1" customWidth="1"/>
    <col min="12548" max="12548" width="9.7109375" style="355" bestFit="1" customWidth="1"/>
    <col min="12549" max="12776" width="9.140625" style="355"/>
    <col min="12777" max="12777" width="52.140625" style="355" customWidth="1"/>
    <col min="12778" max="12778" width="9" style="355" customWidth="1"/>
    <col min="12779" max="12780" width="8" style="355" customWidth="1"/>
    <col min="12781" max="12781" width="6.5703125" style="355" customWidth="1"/>
    <col min="12782" max="12782" width="8" style="355" customWidth="1"/>
    <col min="12783" max="12783" width="6.85546875" style="355" customWidth="1"/>
    <col min="12784" max="12784" width="8.7109375" style="355" customWidth="1"/>
    <col min="12785" max="12785" width="6.85546875" style="355" customWidth="1"/>
    <col min="12786" max="12786" width="8" style="355" customWidth="1"/>
    <col min="12787" max="12787" width="7" style="355" customWidth="1"/>
    <col min="12788" max="12792" width="0" style="355" hidden="1" customWidth="1"/>
    <col min="12793" max="12793" width="9" style="355" customWidth="1"/>
    <col min="12794" max="12794" width="8" style="355" customWidth="1"/>
    <col min="12795" max="12795" width="8.7109375" style="355" customWidth="1"/>
    <col min="12796" max="12796" width="9" style="355" customWidth="1"/>
    <col min="12797" max="12798" width="8" style="355" customWidth="1"/>
    <col min="12799" max="12799" width="13.42578125" style="355" customWidth="1"/>
    <col min="12800" max="12800" width="11" style="355" customWidth="1"/>
    <col min="12801" max="12801" width="10.7109375" style="355" customWidth="1"/>
    <col min="12802" max="12803" width="0" style="355" hidden="1" customWidth="1"/>
    <col min="12804" max="12804" width="9.7109375" style="355" bestFit="1" customWidth="1"/>
    <col min="12805" max="13032" width="9.140625" style="355"/>
    <col min="13033" max="13033" width="52.140625" style="355" customWidth="1"/>
    <col min="13034" max="13034" width="9" style="355" customWidth="1"/>
    <col min="13035" max="13036" width="8" style="355" customWidth="1"/>
    <col min="13037" max="13037" width="6.5703125" style="355" customWidth="1"/>
    <col min="13038" max="13038" width="8" style="355" customWidth="1"/>
    <col min="13039" max="13039" width="6.85546875" style="355" customWidth="1"/>
    <col min="13040" max="13040" width="8.7109375" style="355" customWidth="1"/>
    <col min="13041" max="13041" width="6.85546875" style="355" customWidth="1"/>
    <col min="13042" max="13042" width="8" style="355" customWidth="1"/>
    <col min="13043" max="13043" width="7" style="355" customWidth="1"/>
    <col min="13044" max="13048" width="0" style="355" hidden="1" customWidth="1"/>
    <col min="13049" max="13049" width="9" style="355" customWidth="1"/>
    <col min="13050" max="13050" width="8" style="355" customWidth="1"/>
    <col min="13051" max="13051" width="8.7109375" style="355" customWidth="1"/>
    <col min="13052" max="13052" width="9" style="355" customWidth="1"/>
    <col min="13053" max="13054" width="8" style="355" customWidth="1"/>
    <col min="13055" max="13055" width="13.42578125" style="355" customWidth="1"/>
    <col min="13056" max="13056" width="11" style="355" customWidth="1"/>
    <col min="13057" max="13057" width="10.7109375" style="355" customWidth="1"/>
    <col min="13058" max="13059" width="0" style="355" hidden="1" customWidth="1"/>
    <col min="13060" max="13060" width="9.7109375" style="355" bestFit="1" customWidth="1"/>
    <col min="13061" max="13288" width="9.140625" style="355"/>
    <col min="13289" max="13289" width="52.140625" style="355" customWidth="1"/>
    <col min="13290" max="13290" width="9" style="355" customWidth="1"/>
    <col min="13291" max="13292" width="8" style="355" customWidth="1"/>
    <col min="13293" max="13293" width="6.5703125" style="355" customWidth="1"/>
    <col min="13294" max="13294" width="8" style="355" customWidth="1"/>
    <col min="13295" max="13295" width="6.85546875" style="355" customWidth="1"/>
    <col min="13296" max="13296" width="8.7109375" style="355" customWidth="1"/>
    <col min="13297" max="13297" width="6.85546875" style="355" customWidth="1"/>
    <col min="13298" max="13298" width="8" style="355" customWidth="1"/>
    <col min="13299" max="13299" width="7" style="355" customWidth="1"/>
    <col min="13300" max="13304" width="0" style="355" hidden="1" customWidth="1"/>
    <col min="13305" max="13305" width="9" style="355" customWidth="1"/>
    <col min="13306" max="13306" width="8" style="355" customWidth="1"/>
    <col min="13307" max="13307" width="8.7109375" style="355" customWidth="1"/>
    <col min="13308" max="13308" width="9" style="355" customWidth="1"/>
    <col min="13309" max="13310" width="8" style="355" customWidth="1"/>
    <col min="13311" max="13311" width="13.42578125" style="355" customWidth="1"/>
    <col min="13312" max="13312" width="11" style="355" customWidth="1"/>
    <col min="13313" max="13313" width="10.7109375" style="355" customWidth="1"/>
    <col min="13314" max="13315" width="0" style="355" hidden="1" customWidth="1"/>
    <col min="13316" max="13316" width="9.7109375" style="355" bestFit="1" customWidth="1"/>
    <col min="13317" max="13544" width="9.140625" style="355"/>
    <col min="13545" max="13545" width="52.140625" style="355" customWidth="1"/>
    <col min="13546" max="13546" width="9" style="355" customWidth="1"/>
    <col min="13547" max="13548" width="8" style="355" customWidth="1"/>
    <col min="13549" max="13549" width="6.5703125" style="355" customWidth="1"/>
    <col min="13550" max="13550" width="8" style="355" customWidth="1"/>
    <col min="13551" max="13551" width="6.85546875" style="355" customWidth="1"/>
    <col min="13552" max="13552" width="8.7109375" style="355" customWidth="1"/>
    <col min="13553" max="13553" width="6.85546875" style="355" customWidth="1"/>
    <col min="13554" max="13554" width="8" style="355" customWidth="1"/>
    <col min="13555" max="13555" width="7" style="355" customWidth="1"/>
    <col min="13556" max="13560" width="0" style="355" hidden="1" customWidth="1"/>
    <col min="13561" max="13561" width="9" style="355" customWidth="1"/>
    <col min="13562" max="13562" width="8" style="355" customWidth="1"/>
    <col min="13563" max="13563" width="8.7109375" style="355" customWidth="1"/>
    <col min="13564" max="13564" width="9" style="355" customWidth="1"/>
    <col min="13565" max="13566" width="8" style="355" customWidth="1"/>
    <col min="13567" max="13567" width="13.42578125" style="355" customWidth="1"/>
    <col min="13568" max="13568" width="11" style="355" customWidth="1"/>
    <col min="13569" max="13569" width="10.7109375" style="355" customWidth="1"/>
    <col min="13570" max="13571" width="0" style="355" hidden="1" customWidth="1"/>
    <col min="13572" max="13572" width="9.7109375" style="355" bestFit="1" customWidth="1"/>
    <col min="13573" max="13800" width="9.140625" style="355"/>
    <col min="13801" max="13801" width="52.140625" style="355" customWidth="1"/>
    <col min="13802" max="13802" width="9" style="355" customWidth="1"/>
    <col min="13803" max="13804" width="8" style="355" customWidth="1"/>
    <col min="13805" max="13805" width="6.5703125" style="355" customWidth="1"/>
    <col min="13806" max="13806" width="8" style="355" customWidth="1"/>
    <col min="13807" max="13807" width="6.85546875" style="355" customWidth="1"/>
    <col min="13808" max="13808" width="8.7109375" style="355" customWidth="1"/>
    <col min="13809" max="13809" width="6.85546875" style="355" customWidth="1"/>
    <col min="13810" max="13810" width="8" style="355" customWidth="1"/>
    <col min="13811" max="13811" width="7" style="355" customWidth="1"/>
    <col min="13812" max="13816" width="0" style="355" hidden="1" customWidth="1"/>
    <col min="13817" max="13817" width="9" style="355" customWidth="1"/>
    <col min="13818" max="13818" width="8" style="355" customWidth="1"/>
    <col min="13819" max="13819" width="8.7109375" style="355" customWidth="1"/>
    <col min="13820" max="13820" width="9" style="355" customWidth="1"/>
    <col min="13821" max="13822" width="8" style="355" customWidth="1"/>
    <col min="13823" max="13823" width="13.42578125" style="355" customWidth="1"/>
    <col min="13824" max="13824" width="11" style="355" customWidth="1"/>
    <col min="13825" max="13825" width="10.7109375" style="355" customWidth="1"/>
    <col min="13826" max="13827" width="0" style="355" hidden="1" customWidth="1"/>
    <col min="13828" max="13828" width="9.7109375" style="355" bestFit="1" customWidth="1"/>
    <col min="13829" max="14056" width="9.140625" style="355"/>
    <col min="14057" max="14057" width="52.140625" style="355" customWidth="1"/>
    <col min="14058" max="14058" width="9" style="355" customWidth="1"/>
    <col min="14059" max="14060" width="8" style="355" customWidth="1"/>
    <col min="14061" max="14061" width="6.5703125" style="355" customWidth="1"/>
    <col min="14062" max="14062" width="8" style="355" customWidth="1"/>
    <col min="14063" max="14063" width="6.85546875" style="355" customWidth="1"/>
    <col min="14064" max="14064" width="8.7109375" style="355" customWidth="1"/>
    <col min="14065" max="14065" width="6.85546875" style="355" customWidth="1"/>
    <col min="14066" max="14066" width="8" style="355" customWidth="1"/>
    <col min="14067" max="14067" width="7" style="355" customWidth="1"/>
    <col min="14068" max="14072" width="0" style="355" hidden="1" customWidth="1"/>
    <col min="14073" max="14073" width="9" style="355" customWidth="1"/>
    <col min="14074" max="14074" width="8" style="355" customWidth="1"/>
    <col min="14075" max="14075" width="8.7109375" style="355" customWidth="1"/>
    <col min="14076" max="14076" width="9" style="355" customWidth="1"/>
    <col min="14077" max="14078" width="8" style="355" customWidth="1"/>
    <col min="14079" max="14079" width="13.42578125" style="355" customWidth="1"/>
    <col min="14080" max="14080" width="11" style="355" customWidth="1"/>
    <col min="14081" max="14081" width="10.7109375" style="355" customWidth="1"/>
    <col min="14082" max="14083" width="0" style="355" hidden="1" customWidth="1"/>
    <col min="14084" max="14084" width="9.7109375" style="355" bestFit="1" customWidth="1"/>
    <col min="14085" max="14312" width="9.140625" style="355"/>
    <col min="14313" max="14313" width="52.140625" style="355" customWidth="1"/>
    <col min="14314" max="14314" width="9" style="355" customWidth="1"/>
    <col min="14315" max="14316" width="8" style="355" customWidth="1"/>
    <col min="14317" max="14317" width="6.5703125" style="355" customWidth="1"/>
    <col min="14318" max="14318" width="8" style="355" customWidth="1"/>
    <col min="14319" max="14319" width="6.85546875" style="355" customWidth="1"/>
    <col min="14320" max="14320" width="8.7109375" style="355" customWidth="1"/>
    <col min="14321" max="14321" width="6.85546875" style="355" customWidth="1"/>
    <col min="14322" max="14322" width="8" style="355" customWidth="1"/>
    <col min="14323" max="14323" width="7" style="355" customWidth="1"/>
    <col min="14324" max="14328" width="0" style="355" hidden="1" customWidth="1"/>
    <col min="14329" max="14329" width="9" style="355" customWidth="1"/>
    <col min="14330" max="14330" width="8" style="355" customWidth="1"/>
    <col min="14331" max="14331" width="8.7109375" style="355" customWidth="1"/>
    <col min="14332" max="14332" width="9" style="355" customWidth="1"/>
    <col min="14333" max="14334" width="8" style="355" customWidth="1"/>
    <col min="14335" max="14335" width="13.42578125" style="355" customWidth="1"/>
    <col min="14336" max="14336" width="11" style="355" customWidth="1"/>
    <col min="14337" max="14337" width="10.7109375" style="355" customWidth="1"/>
    <col min="14338" max="14339" width="0" style="355" hidden="1" customWidth="1"/>
    <col min="14340" max="14340" width="9.7109375" style="355" bestFit="1" customWidth="1"/>
    <col min="14341" max="14568" width="9.140625" style="355"/>
    <col min="14569" max="14569" width="52.140625" style="355" customWidth="1"/>
    <col min="14570" max="14570" width="9" style="355" customWidth="1"/>
    <col min="14571" max="14572" width="8" style="355" customWidth="1"/>
    <col min="14573" max="14573" width="6.5703125" style="355" customWidth="1"/>
    <col min="14574" max="14574" width="8" style="355" customWidth="1"/>
    <col min="14575" max="14575" width="6.85546875" style="355" customWidth="1"/>
    <col min="14576" max="14576" width="8.7109375" style="355" customWidth="1"/>
    <col min="14577" max="14577" width="6.85546875" style="355" customWidth="1"/>
    <col min="14578" max="14578" width="8" style="355" customWidth="1"/>
    <col min="14579" max="14579" width="7" style="355" customWidth="1"/>
    <col min="14580" max="14584" width="0" style="355" hidden="1" customWidth="1"/>
    <col min="14585" max="14585" width="9" style="355" customWidth="1"/>
    <col min="14586" max="14586" width="8" style="355" customWidth="1"/>
    <col min="14587" max="14587" width="8.7109375" style="355" customWidth="1"/>
    <col min="14588" max="14588" width="9" style="355" customWidth="1"/>
    <col min="14589" max="14590" width="8" style="355" customWidth="1"/>
    <col min="14591" max="14591" width="13.42578125" style="355" customWidth="1"/>
    <col min="14592" max="14592" width="11" style="355" customWidth="1"/>
    <col min="14593" max="14593" width="10.7109375" style="355" customWidth="1"/>
    <col min="14594" max="14595" width="0" style="355" hidden="1" customWidth="1"/>
    <col min="14596" max="14596" width="9.7109375" style="355" bestFit="1" customWidth="1"/>
    <col min="14597" max="14824" width="9.140625" style="355"/>
    <col min="14825" max="14825" width="52.140625" style="355" customWidth="1"/>
    <col min="14826" max="14826" width="9" style="355" customWidth="1"/>
    <col min="14827" max="14828" width="8" style="355" customWidth="1"/>
    <col min="14829" max="14829" width="6.5703125" style="355" customWidth="1"/>
    <col min="14830" max="14830" width="8" style="355" customWidth="1"/>
    <col min="14831" max="14831" width="6.85546875" style="355" customWidth="1"/>
    <col min="14832" max="14832" width="8.7109375" style="355" customWidth="1"/>
    <col min="14833" max="14833" width="6.85546875" style="355" customWidth="1"/>
    <col min="14834" max="14834" width="8" style="355" customWidth="1"/>
    <col min="14835" max="14835" width="7" style="355" customWidth="1"/>
    <col min="14836" max="14840" width="0" style="355" hidden="1" customWidth="1"/>
    <col min="14841" max="14841" width="9" style="355" customWidth="1"/>
    <col min="14842" max="14842" width="8" style="355" customWidth="1"/>
    <col min="14843" max="14843" width="8.7109375" style="355" customWidth="1"/>
    <col min="14844" max="14844" width="9" style="355" customWidth="1"/>
    <col min="14845" max="14846" width="8" style="355" customWidth="1"/>
    <col min="14847" max="14847" width="13.42578125" style="355" customWidth="1"/>
    <col min="14848" max="14848" width="11" style="355" customWidth="1"/>
    <col min="14849" max="14849" width="10.7109375" style="355" customWidth="1"/>
    <col min="14850" max="14851" width="0" style="355" hidden="1" customWidth="1"/>
    <col min="14852" max="14852" width="9.7109375" style="355" bestFit="1" customWidth="1"/>
    <col min="14853" max="15080" width="9.140625" style="355"/>
    <col min="15081" max="15081" width="52.140625" style="355" customWidth="1"/>
    <col min="15082" max="15082" width="9" style="355" customWidth="1"/>
    <col min="15083" max="15084" width="8" style="355" customWidth="1"/>
    <col min="15085" max="15085" width="6.5703125" style="355" customWidth="1"/>
    <col min="15086" max="15086" width="8" style="355" customWidth="1"/>
    <col min="15087" max="15087" width="6.85546875" style="355" customWidth="1"/>
    <col min="15088" max="15088" width="8.7109375" style="355" customWidth="1"/>
    <col min="15089" max="15089" width="6.85546875" style="355" customWidth="1"/>
    <col min="15090" max="15090" width="8" style="355" customWidth="1"/>
    <col min="15091" max="15091" width="7" style="355" customWidth="1"/>
    <col min="15092" max="15096" width="0" style="355" hidden="1" customWidth="1"/>
    <col min="15097" max="15097" width="9" style="355" customWidth="1"/>
    <col min="15098" max="15098" width="8" style="355" customWidth="1"/>
    <col min="15099" max="15099" width="8.7109375" style="355" customWidth="1"/>
    <col min="15100" max="15100" width="9" style="355" customWidth="1"/>
    <col min="15101" max="15102" width="8" style="355" customWidth="1"/>
    <col min="15103" max="15103" width="13.42578125" style="355" customWidth="1"/>
    <col min="15104" max="15104" width="11" style="355" customWidth="1"/>
    <col min="15105" max="15105" width="10.7109375" style="355" customWidth="1"/>
    <col min="15106" max="15107" width="0" style="355" hidden="1" customWidth="1"/>
    <col min="15108" max="15108" width="9.7109375" style="355" bestFit="1" customWidth="1"/>
    <col min="15109" max="15336" width="9.140625" style="355"/>
    <col min="15337" max="15337" width="52.140625" style="355" customWidth="1"/>
    <col min="15338" max="15338" width="9" style="355" customWidth="1"/>
    <col min="15339" max="15340" width="8" style="355" customWidth="1"/>
    <col min="15341" max="15341" width="6.5703125" style="355" customWidth="1"/>
    <col min="15342" max="15342" width="8" style="355" customWidth="1"/>
    <col min="15343" max="15343" width="6.85546875" style="355" customWidth="1"/>
    <col min="15344" max="15344" width="8.7109375" style="355" customWidth="1"/>
    <col min="15345" max="15345" width="6.85546875" style="355" customWidth="1"/>
    <col min="15346" max="15346" width="8" style="355" customWidth="1"/>
    <col min="15347" max="15347" width="7" style="355" customWidth="1"/>
    <col min="15348" max="15352" width="0" style="355" hidden="1" customWidth="1"/>
    <col min="15353" max="15353" width="9" style="355" customWidth="1"/>
    <col min="15354" max="15354" width="8" style="355" customWidth="1"/>
    <col min="15355" max="15355" width="8.7109375" style="355" customWidth="1"/>
    <col min="15356" max="15356" width="9" style="355" customWidth="1"/>
    <col min="15357" max="15358" width="8" style="355" customWidth="1"/>
    <col min="15359" max="15359" width="13.42578125" style="355" customWidth="1"/>
    <col min="15360" max="15360" width="11" style="355" customWidth="1"/>
    <col min="15361" max="15361" width="10.7109375" style="355" customWidth="1"/>
    <col min="15362" max="15363" width="0" style="355" hidden="1" customWidth="1"/>
    <col min="15364" max="15364" width="9.7109375" style="355" bestFit="1" customWidth="1"/>
    <col min="15365" max="15592" width="9.140625" style="355"/>
    <col min="15593" max="15593" width="52.140625" style="355" customWidth="1"/>
    <col min="15594" max="15594" width="9" style="355" customWidth="1"/>
    <col min="15595" max="15596" width="8" style="355" customWidth="1"/>
    <col min="15597" max="15597" width="6.5703125" style="355" customWidth="1"/>
    <col min="15598" max="15598" width="8" style="355" customWidth="1"/>
    <col min="15599" max="15599" width="6.85546875" style="355" customWidth="1"/>
    <col min="15600" max="15600" width="8.7109375" style="355" customWidth="1"/>
    <col min="15601" max="15601" width="6.85546875" style="355" customWidth="1"/>
    <col min="15602" max="15602" width="8" style="355" customWidth="1"/>
    <col min="15603" max="15603" width="7" style="355" customWidth="1"/>
    <col min="15604" max="15608" width="0" style="355" hidden="1" customWidth="1"/>
    <col min="15609" max="15609" width="9" style="355" customWidth="1"/>
    <col min="15610" max="15610" width="8" style="355" customWidth="1"/>
    <col min="15611" max="15611" width="8.7109375" style="355" customWidth="1"/>
    <col min="15612" max="15612" width="9" style="355" customWidth="1"/>
    <col min="15613" max="15614" width="8" style="355" customWidth="1"/>
    <col min="15615" max="15615" width="13.42578125" style="355" customWidth="1"/>
    <col min="15616" max="15616" width="11" style="355" customWidth="1"/>
    <col min="15617" max="15617" width="10.7109375" style="355" customWidth="1"/>
    <col min="15618" max="15619" width="0" style="355" hidden="1" customWidth="1"/>
    <col min="15620" max="15620" width="9.7109375" style="355" bestFit="1" customWidth="1"/>
    <col min="15621" max="15848" width="9.140625" style="355"/>
    <col min="15849" max="15849" width="52.140625" style="355" customWidth="1"/>
    <col min="15850" max="15850" width="9" style="355" customWidth="1"/>
    <col min="15851" max="15852" width="8" style="355" customWidth="1"/>
    <col min="15853" max="15853" width="6.5703125" style="355" customWidth="1"/>
    <col min="15854" max="15854" width="8" style="355" customWidth="1"/>
    <col min="15855" max="15855" width="6.85546875" style="355" customWidth="1"/>
    <col min="15856" max="15856" width="8.7109375" style="355" customWidth="1"/>
    <col min="15857" max="15857" width="6.85546875" style="355" customWidth="1"/>
    <col min="15858" max="15858" width="8" style="355" customWidth="1"/>
    <col min="15859" max="15859" width="7" style="355" customWidth="1"/>
    <col min="15860" max="15864" width="0" style="355" hidden="1" customWidth="1"/>
    <col min="15865" max="15865" width="9" style="355" customWidth="1"/>
    <col min="15866" max="15866" width="8" style="355" customWidth="1"/>
    <col min="15867" max="15867" width="8.7109375" style="355" customWidth="1"/>
    <col min="15868" max="15868" width="9" style="355" customWidth="1"/>
    <col min="15869" max="15870" width="8" style="355" customWidth="1"/>
    <col min="15871" max="15871" width="13.42578125" style="355" customWidth="1"/>
    <col min="15872" max="15872" width="11" style="355" customWidth="1"/>
    <col min="15873" max="15873" width="10.7109375" style="355" customWidth="1"/>
    <col min="15874" max="15875" width="0" style="355" hidden="1" customWidth="1"/>
    <col min="15876" max="15876" width="9.7109375" style="355" bestFit="1" customWidth="1"/>
    <col min="15877" max="16104" width="9.140625" style="355"/>
    <col min="16105" max="16105" width="52.140625" style="355" customWidth="1"/>
    <col min="16106" max="16106" width="9" style="355" customWidth="1"/>
    <col min="16107" max="16108" width="8" style="355" customWidth="1"/>
    <col min="16109" max="16109" width="6.5703125" style="355" customWidth="1"/>
    <col min="16110" max="16110" width="8" style="355" customWidth="1"/>
    <col min="16111" max="16111" width="6.85546875" style="355" customWidth="1"/>
    <col min="16112" max="16112" width="8.7109375" style="355" customWidth="1"/>
    <col min="16113" max="16113" width="6.85546875" style="355" customWidth="1"/>
    <col min="16114" max="16114" width="8" style="355" customWidth="1"/>
    <col min="16115" max="16115" width="7" style="355" customWidth="1"/>
    <col min="16116" max="16120" width="0" style="355" hidden="1" customWidth="1"/>
    <col min="16121" max="16121" width="9" style="355" customWidth="1"/>
    <col min="16122" max="16122" width="8" style="355" customWidth="1"/>
    <col min="16123" max="16123" width="8.7109375" style="355" customWidth="1"/>
    <col min="16124" max="16124" width="9" style="355" customWidth="1"/>
    <col min="16125" max="16126" width="8" style="355" customWidth="1"/>
    <col min="16127" max="16127" width="13.42578125" style="355" customWidth="1"/>
    <col min="16128" max="16128" width="11" style="355" customWidth="1"/>
    <col min="16129" max="16129" width="10.7109375" style="355" customWidth="1"/>
    <col min="16130" max="16131" width="0" style="355" hidden="1" customWidth="1"/>
    <col min="16132" max="16132" width="9.7109375" style="355" bestFit="1" customWidth="1"/>
    <col min="16133" max="16384" width="9.140625" style="355"/>
  </cols>
  <sheetData>
    <row r="1" spans="1:31" x14ac:dyDescent="0.25">
      <c r="A1" s="355" t="s">
        <v>1402</v>
      </c>
      <c r="O1" s="435" t="s">
        <v>1413</v>
      </c>
    </row>
    <row r="2" spans="1:31" ht="7.5" customHeight="1" thickBot="1" x14ac:dyDescent="0.3"/>
    <row r="3" spans="1:31" ht="36" customHeight="1" x14ac:dyDescent="0.25">
      <c r="A3" s="1373" t="s">
        <v>994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  <c r="L3" s="1373"/>
      <c r="M3" s="1373"/>
      <c r="N3" s="1373"/>
      <c r="O3" s="1373"/>
      <c r="P3" s="1373"/>
      <c r="Q3" s="1373"/>
      <c r="R3" s="1373"/>
      <c r="S3" s="1373"/>
      <c r="T3" s="1373"/>
      <c r="U3" s="440"/>
      <c r="V3" s="440"/>
      <c r="AC3" s="1427" t="s">
        <v>474</v>
      </c>
      <c r="AD3" s="1428"/>
      <c r="AE3" s="1429"/>
    </row>
    <row r="4" spans="1:31" ht="16.5" customHeight="1" thickBot="1" x14ac:dyDescent="0.3">
      <c r="A4" s="72" t="s">
        <v>995</v>
      </c>
      <c r="B4" s="72"/>
      <c r="C4" s="72"/>
      <c r="D4" s="72"/>
      <c r="E4" s="356"/>
      <c r="F4" s="72"/>
      <c r="G4" s="356"/>
      <c r="H4" s="72"/>
      <c r="I4" s="356"/>
      <c r="J4" s="72"/>
      <c r="K4" s="72"/>
      <c r="L4" s="72"/>
      <c r="M4" s="72"/>
      <c r="N4" s="356"/>
      <c r="O4" s="72"/>
      <c r="P4" s="72"/>
      <c r="Q4" s="356"/>
      <c r="R4" s="356"/>
      <c r="S4" s="356"/>
      <c r="T4" s="356"/>
      <c r="U4" s="356"/>
      <c r="V4" s="356"/>
      <c r="X4" s="356"/>
      <c r="Y4" s="356"/>
      <c r="Z4" s="356"/>
      <c r="AA4" s="356"/>
      <c r="AB4" s="356"/>
      <c r="AC4" s="1430">
        <v>0.62</v>
      </c>
      <c r="AD4" s="1431"/>
      <c r="AE4" s="1432"/>
    </row>
    <row r="5" spans="1:31" s="357" customFormat="1" ht="93" customHeight="1" thickBot="1" x14ac:dyDescent="0.3">
      <c r="A5" s="1433" t="s">
        <v>475</v>
      </c>
      <c r="B5" s="1436" t="s">
        <v>476</v>
      </c>
      <c r="C5" s="1437"/>
      <c r="D5" s="1440" t="s">
        <v>477</v>
      </c>
      <c r="E5" s="1437"/>
      <c r="F5" s="1440" t="s">
        <v>996</v>
      </c>
      <c r="G5" s="1437"/>
      <c r="H5" s="1440" t="s">
        <v>997</v>
      </c>
      <c r="I5" s="1437"/>
      <c r="J5" s="1440" t="s">
        <v>478</v>
      </c>
      <c r="K5" s="1437"/>
      <c r="L5" s="1442" t="s">
        <v>998</v>
      </c>
      <c r="M5" s="1443"/>
      <c r="N5" s="1444"/>
      <c r="O5" s="1449" t="s">
        <v>999</v>
      </c>
      <c r="P5" s="1450"/>
      <c r="Q5" s="1450"/>
      <c r="R5" s="1453" t="s">
        <v>1403</v>
      </c>
      <c r="S5" s="1456" t="s">
        <v>1404</v>
      </c>
      <c r="T5" s="1459" t="s">
        <v>1405</v>
      </c>
      <c r="U5" s="1461" t="s">
        <v>31</v>
      </c>
      <c r="V5" s="1462"/>
      <c r="X5" s="1425" t="s">
        <v>1000</v>
      </c>
      <c r="Y5" s="1426"/>
      <c r="Z5" s="1426" t="s">
        <v>1001</v>
      </c>
      <c r="AA5" s="1426"/>
      <c r="AB5" s="1448"/>
      <c r="AC5" s="1426" t="s">
        <v>1001</v>
      </c>
      <c r="AD5" s="1426"/>
      <c r="AE5" s="1448"/>
    </row>
    <row r="6" spans="1:31" s="357" customFormat="1" ht="36.75" customHeight="1" x14ac:dyDescent="0.25">
      <c r="A6" s="1434"/>
      <c r="B6" s="1438"/>
      <c r="C6" s="1439"/>
      <c r="D6" s="1441"/>
      <c r="E6" s="1439"/>
      <c r="F6" s="1441"/>
      <c r="G6" s="1439"/>
      <c r="H6" s="1441"/>
      <c r="I6" s="1439"/>
      <c r="J6" s="1441"/>
      <c r="K6" s="1439"/>
      <c r="L6" s="1445"/>
      <c r="M6" s="1446"/>
      <c r="N6" s="1447"/>
      <c r="O6" s="1451"/>
      <c r="P6" s="1452"/>
      <c r="Q6" s="1452"/>
      <c r="R6" s="1454"/>
      <c r="S6" s="1457"/>
      <c r="T6" s="1460"/>
      <c r="U6" s="358" t="s">
        <v>1002</v>
      </c>
      <c r="V6" s="359" t="s">
        <v>1003</v>
      </c>
      <c r="X6" s="360" t="s">
        <v>1004</v>
      </c>
      <c r="Y6" s="360" t="s">
        <v>1005</v>
      </c>
      <c r="Z6" s="360" t="s">
        <v>1004</v>
      </c>
      <c r="AA6" s="360" t="s">
        <v>1005</v>
      </c>
      <c r="AB6" s="360" t="s">
        <v>1006</v>
      </c>
      <c r="AC6" s="360" t="s">
        <v>1004</v>
      </c>
      <c r="AD6" s="360" t="s">
        <v>1005</v>
      </c>
      <c r="AE6" s="360" t="s">
        <v>1006</v>
      </c>
    </row>
    <row r="7" spans="1:31" s="357" customFormat="1" ht="55.5" customHeight="1" thickBot="1" x14ac:dyDescent="0.3">
      <c r="A7" s="1435"/>
      <c r="B7" s="361" t="s">
        <v>479</v>
      </c>
      <c r="C7" s="362" t="s">
        <v>480</v>
      </c>
      <c r="D7" s="362" t="s">
        <v>479</v>
      </c>
      <c r="E7" s="362" t="s">
        <v>480</v>
      </c>
      <c r="F7" s="362" t="s">
        <v>479</v>
      </c>
      <c r="G7" s="363" t="s">
        <v>480</v>
      </c>
      <c r="H7" s="362" t="s">
        <v>479</v>
      </c>
      <c r="I7" s="363" t="s">
        <v>480</v>
      </c>
      <c r="J7" s="362" t="s">
        <v>479</v>
      </c>
      <c r="K7" s="362" t="s">
        <v>480</v>
      </c>
      <c r="L7" s="362" t="s">
        <v>479</v>
      </c>
      <c r="M7" s="362" t="s">
        <v>481</v>
      </c>
      <c r="N7" s="626" t="s">
        <v>480</v>
      </c>
      <c r="O7" s="362" t="s">
        <v>479</v>
      </c>
      <c r="P7" s="362" t="s">
        <v>481</v>
      </c>
      <c r="Q7" s="364" t="s">
        <v>480</v>
      </c>
      <c r="R7" s="1455"/>
      <c r="S7" s="1458"/>
      <c r="T7" s="365" t="s">
        <v>1007</v>
      </c>
      <c r="U7" s="361" t="s">
        <v>1007</v>
      </c>
      <c r="V7" s="366" t="s">
        <v>1007</v>
      </c>
      <c r="X7" s="367" t="s">
        <v>1010</v>
      </c>
      <c r="Y7" s="367" t="s">
        <v>1010</v>
      </c>
      <c r="Z7" s="367" t="s">
        <v>1010</v>
      </c>
      <c r="AA7" s="367" t="s">
        <v>1010</v>
      </c>
      <c r="AB7" s="367" t="s">
        <v>1010</v>
      </c>
      <c r="AC7" s="367" t="s">
        <v>1010</v>
      </c>
      <c r="AD7" s="367" t="s">
        <v>1010</v>
      </c>
      <c r="AE7" s="367" t="s">
        <v>1010</v>
      </c>
    </row>
    <row r="8" spans="1:31" s="357" customFormat="1" ht="34.5" thickBot="1" x14ac:dyDescent="0.3">
      <c r="A8" s="368">
        <v>1</v>
      </c>
      <c r="B8" s="369" t="s">
        <v>963</v>
      </c>
      <c r="C8" s="370">
        <v>3</v>
      </c>
      <c r="D8" s="370">
        <v>4</v>
      </c>
      <c r="E8" s="370" t="s">
        <v>964</v>
      </c>
      <c r="F8" s="370">
        <v>6</v>
      </c>
      <c r="G8" s="370" t="s">
        <v>965</v>
      </c>
      <c r="H8" s="370" t="s">
        <v>482</v>
      </c>
      <c r="I8" s="370" t="s">
        <v>966</v>
      </c>
      <c r="J8" s="370">
        <v>8</v>
      </c>
      <c r="K8" s="371" t="s">
        <v>967</v>
      </c>
      <c r="L8" s="373" t="s">
        <v>483</v>
      </c>
      <c r="M8" s="373" t="s">
        <v>484</v>
      </c>
      <c r="N8" s="372" t="s">
        <v>485</v>
      </c>
      <c r="O8" s="373" t="s">
        <v>486</v>
      </c>
      <c r="P8" s="373" t="s">
        <v>487</v>
      </c>
      <c r="Q8" s="372" t="s">
        <v>488</v>
      </c>
      <c r="R8" s="374" t="s">
        <v>1011</v>
      </c>
      <c r="S8" s="374" t="s">
        <v>1012</v>
      </c>
      <c r="T8" s="374" t="s">
        <v>1013</v>
      </c>
      <c r="U8" s="375" t="s">
        <v>1014</v>
      </c>
      <c r="V8" s="376" t="s">
        <v>1015</v>
      </c>
      <c r="X8" s="374" t="s">
        <v>1016</v>
      </c>
      <c r="Y8" s="374" t="s">
        <v>1017</v>
      </c>
      <c r="Z8" s="374" t="s">
        <v>1018</v>
      </c>
      <c r="AA8" s="374" t="s">
        <v>1019</v>
      </c>
      <c r="AB8" s="374" t="s">
        <v>1020</v>
      </c>
      <c r="AC8" s="374" t="s">
        <v>1021</v>
      </c>
      <c r="AD8" s="374" t="s">
        <v>1022</v>
      </c>
      <c r="AE8" s="374" t="s">
        <v>1023</v>
      </c>
    </row>
    <row r="9" spans="1:31" s="357" customFormat="1" ht="15.75" hidden="1" thickBot="1" x14ac:dyDescent="0.3">
      <c r="A9" s="377" t="s">
        <v>1024</v>
      </c>
      <c r="B9" s="378"/>
      <c r="C9" s="379"/>
      <c r="D9" s="379"/>
      <c r="E9" s="379"/>
      <c r="F9" s="379"/>
      <c r="G9" s="380"/>
      <c r="H9" s="379"/>
      <c r="I9" s="380"/>
      <c r="J9" s="379"/>
      <c r="K9" s="379"/>
      <c r="L9" s="379"/>
      <c r="M9" s="379"/>
      <c r="N9" s="381"/>
      <c r="O9" s="379"/>
      <c r="P9" s="379"/>
      <c r="Q9" s="380"/>
      <c r="R9" s="382"/>
      <c r="S9" s="383"/>
      <c r="T9" s="382"/>
      <c r="U9" s="384"/>
      <c r="V9" s="385"/>
      <c r="X9" s="382"/>
      <c r="Y9" s="382"/>
      <c r="Z9" s="382"/>
      <c r="AA9" s="382"/>
      <c r="AB9" s="382"/>
      <c r="AC9" s="382"/>
      <c r="AD9" s="382"/>
      <c r="AE9" s="382"/>
    </row>
    <row r="10" spans="1:31" s="357" customFormat="1" ht="26.25" hidden="1" thickBot="1" x14ac:dyDescent="0.3">
      <c r="A10" s="386" t="s">
        <v>1025</v>
      </c>
      <c r="B10" s="387">
        <f>C10*247</f>
        <v>12567.36</v>
      </c>
      <c r="C10" s="627">
        <v>50.88</v>
      </c>
      <c r="D10" s="628">
        <v>137.97</v>
      </c>
      <c r="E10" s="629">
        <f>D10/247</f>
        <v>0.56000000000000005</v>
      </c>
      <c r="F10" s="628">
        <v>401.02</v>
      </c>
      <c r="G10" s="630">
        <f>F10/247</f>
        <v>1.62</v>
      </c>
      <c r="H10" s="628">
        <v>286.39999999999998</v>
      </c>
      <c r="I10" s="630">
        <f>H10/247</f>
        <v>1.1599999999999999</v>
      </c>
      <c r="J10" s="628">
        <v>478.95</v>
      </c>
      <c r="K10" s="629">
        <f>J10/247</f>
        <v>1.94</v>
      </c>
      <c r="L10" s="631">
        <f>B10+D10+F10+J10</f>
        <v>13585.3</v>
      </c>
      <c r="M10" s="630">
        <f>L10/12</f>
        <v>1132.1099999999999</v>
      </c>
      <c r="N10" s="632">
        <f>C10+E10+G10+K10</f>
        <v>55</v>
      </c>
      <c r="O10" s="629">
        <f>B10+D10+H10</f>
        <v>12991.73</v>
      </c>
      <c r="P10" s="630">
        <f>O10/12</f>
        <v>1082.6400000000001</v>
      </c>
      <c r="Q10" s="633">
        <f>C10+E10+I10</f>
        <v>52.6</v>
      </c>
      <c r="R10" s="388"/>
      <c r="S10" s="634">
        <f>S13</f>
        <v>0.8</v>
      </c>
      <c r="T10" s="389">
        <f>Q10*S10</f>
        <v>42.08</v>
      </c>
      <c r="U10" s="390">
        <f>C10*S10</f>
        <v>40.700000000000003</v>
      </c>
      <c r="V10" s="391">
        <f>T10-U10</f>
        <v>1.38</v>
      </c>
      <c r="X10" s="392">
        <f>T10*247</f>
        <v>10393.76</v>
      </c>
      <c r="Y10" s="392">
        <f>T10*247-T10*247*0.3</f>
        <v>7275.63</v>
      </c>
      <c r="Z10" s="392">
        <f>L10-X10</f>
        <v>3191.54</v>
      </c>
      <c r="AA10" s="392">
        <f>L10-Y10</f>
        <v>6309.67</v>
      </c>
      <c r="AB10" s="392">
        <f>L10</f>
        <v>13585.3</v>
      </c>
      <c r="AC10" s="393">
        <f>Z10*AC4</f>
        <v>1978.75</v>
      </c>
      <c r="AD10" s="393">
        <f>AA10*AC4</f>
        <v>3912</v>
      </c>
      <c r="AE10" s="393">
        <f>AB10*AC4</f>
        <v>8422.89</v>
      </c>
    </row>
    <row r="11" spans="1:31" s="357" customFormat="1" ht="26.25" hidden="1" thickBot="1" x14ac:dyDescent="0.3">
      <c r="A11" s="394" t="s">
        <v>1026</v>
      </c>
      <c r="B11" s="387">
        <f>C11*247</f>
        <v>15222.61</v>
      </c>
      <c r="C11" s="627">
        <v>61.63</v>
      </c>
      <c r="D11" s="628">
        <v>137.97</v>
      </c>
      <c r="E11" s="629">
        <f>D11/247</f>
        <v>0.56000000000000005</v>
      </c>
      <c r="F11" s="628">
        <v>401.02</v>
      </c>
      <c r="G11" s="630">
        <f>F11/247</f>
        <v>1.62</v>
      </c>
      <c r="H11" s="628">
        <v>286.39999999999998</v>
      </c>
      <c r="I11" s="630">
        <f>H11/247</f>
        <v>1.1599999999999999</v>
      </c>
      <c r="J11" s="628">
        <v>478.95</v>
      </c>
      <c r="K11" s="629">
        <f>J11/247</f>
        <v>1.94</v>
      </c>
      <c r="L11" s="631">
        <f>B11+D11+F11+J11</f>
        <v>16240.55</v>
      </c>
      <c r="M11" s="630">
        <f>L11/12</f>
        <v>1353.38</v>
      </c>
      <c r="N11" s="632">
        <f>C11+E11+G11+K11</f>
        <v>65.75</v>
      </c>
      <c r="O11" s="629">
        <f>B11+D11+H11</f>
        <v>15646.98</v>
      </c>
      <c r="P11" s="630">
        <f>O11/12</f>
        <v>1303.92</v>
      </c>
      <c r="Q11" s="633">
        <f>C11+E11+I11</f>
        <v>63.35</v>
      </c>
      <c r="R11" s="395"/>
      <c r="S11" s="635">
        <f>S14</f>
        <v>0.8</v>
      </c>
      <c r="T11" s="396">
        <f>Q11*S11</f>
        <v>50.68</v>
      </c>
      <c r="U11" s="397">
        <f>C11*S11</f>
        <v>49.3</v>
      </c>
      <c r="V11" s="398">
        <f>T11-U11</f>
        <v>1.38</v>
      </c>
      <c r="X11" s="399">
        <f>T11*247</f>
        <v>12517.96</v>
      </c>
      <c r="Y11" s="399">
        <f>T11*247-T11*247*0.3</f>
        <v>8762.57</v>
      </c>
      <c r="Z11" s="399">
        <f>L11-X11</f>
        <v>3722.59</v>
      </c>
      <c r="AA11" s="399">
        <f>L11-Y11</f>
        <v>7477.98</v>
      </c>
      <c r="AB11" s="399">
        <f>L11</f>
        <v>16240.55</v>
      </c>
      <c r="AC11" s="400">
        <f>Z11*AC4</f>
        <v>2308.0100000000002</v>
      </c>
      <c r="AD11" s="400">
        <f>AA11*AC4</f>
        <v>4636.3500000000004</v>
      </c>
      <c r="AE11" s="400">
        <f>AB11*AC4</f>
        <v>10069.14</v>
      </c>
    </row>
    <row r="12" spans="1:31" s="357" customFormat="1" ht="15.75" thickBot="1" x14ac:dyDescent="0.3">
      <c r="A12" s="377" t="s">
        <v>1027</v>
      </c>
      <c r="B12" s="378"/>
      <c r="C12" s="379"/>
      <c r="D12" s="379"/>
      <c r="E12" s="379"/>
      <c r="F12" s="379"/>
      <c r="G12" s="380"/>
      <c r="H12" s="379"/>
      <c r="I12" s="380"/>
      <c r="J12" s="379"/>
      <c r="K12" s="379"/>
      <c r="L12" s="379"/>
      <c r="M12" s="379"/>
      <c r="N12" s="381"/>
      <c r="O12" s="379"/>
      <c r="P12" s="379"/>
      <c r="Q12" s="381"/>
      <c r="R12" s="382"/>
      <c r="S12" s="636"/>
      <c r="T12" s="382"/>
      <c r="U12" s="384"/>
      <c r="V12" s="385"/>
      <c r="X12" s="382"/>
      <c r="Y12" s="382"/>
      <c r="Z12" s="382"/>
      <c r="AA12" s="382"/>
      <c r="AB12" s="382"/>
      <c r="AC12" s="382"/>
      <c r="AD12" s="382"/>
      <c r="AE12" s="382"/>
    </row>
    <row r="13" spans="1:31" s="357" customFormat="1" ht="25.5" x14ac:dyDescent="0.25">
      <c r="A13" s="401" t="s">
        <v>1028</v>
      </c>
      <c r="B13" s="387">
        <f>C13*247</f>
        <v>35891.57</v>
      </c>
      <c r="C13" s="627">
        <v>145.31</v>
      </c>
      <c r="D13" s="628">
        <v>394.21</v>
      </c>
      <c r="E13" s="629">
        <f>D13/247</f>
        <v>1.6</v>
      </c>
      <c r="F13" s="628">
        <v>1203.05</v>
      </c>
      <c r="G13" s="630">
        <f>F13/247</f>
        <v>4.87</v>
      </c>
      <c r="H13" s="628">
        <v>859.19</v>
      </c>
      <c r="I13" s="630">
        <f>H13/247</f>
        <v>3.48</v>
      </c>
      <c r="J13" s="628">
        <v>1436.85</v>
      </c>
      <c r="K13" s="629">
        <f>J13/247</f>
        <v>5.82</v>
      </c>
      <c r="L13" s="631">
        <f>B13+D13+F13+J13</f>
        <v>38925.68</v>
      </c>
      <c r="M13" s="630">
        <f>L13/12</f>
        <v>3243.81</v>
      </c>
      <c r="N13" s="632">
        <f>C13+E13+G13+K13</f>
        <v>157.6</v>
      </c>
      <c r="O13" s="629">
        <f>B13+D13+H13</f>
        <v>37144.97</v>
      </c>
      <c r="P13" s="630">
        <f>O13/12</f>
        <v>3095.41</v>
      </c>
      <c r="Q13" s="633">
        <f>C13+E13+I13</f>
        <v>150.38999999999999</v>
      </c>
      <c r="R13" s="402">
        <v>120.62</v>
      </c>
      <c r="S13" s="637">
        <f>T13/Q13</f>
        <v>0.8</v>
      </c>
      <c r="T13" s="403">
        <v>120.62</v>
      </c>
      <c r="U13" s="390">
        <f>C13*S13</f>
        <v>116.25</v>
      </c>
      <c r="V13" s="391">
        <f>T13-U13</f>
        <v>4.37</v>
      </c>
      <c r="X13" s="392">
        <f>T13*247</f>
        <v>29793.14</v>
      </c>
      <c r="Y13" s="392">
        <f>T13*247-T13*247*0.3</f>
        <v>20855.2</v>
      </c>
      <c r="Z13" s="392">
        <f>L13-X13</f>
        <v>9132.5400000000009</v>
      </c>
      <c r="AA13" s="392">
        <f>L13-Y13</f>
        <v>18070.48</v>
      </c>
      <c r="AB13" s="392">
        <f>L13</f>
        <v>38925.68</v>
      </c>
      <c r="AC13" s="393">
        <f>Z13*AC4</f>
        <v>5662.17</v>
      </c>
      <c r="AD13" s="393">
        <f>AA13*AC4</f>
        <v>11203.7</v>
      </c>
      <c r="AE13" s="393">
        <f>AB13*AC4</f>
        <v>24133.919999999998</v>
      </c>
    </row>
    <row r="14" spans="1:31" s="357" customFormat="1" ht="26.25" thickBot="1" x14ac:dyDescent="0.3">
      <c r="A14" s="404" t="s">
        <v>1029</v>
      </c>
      <c r="B14" s="387">
        <f>C14*247</f>
        <v>43479.41</v>
      </c>
      <c r="C14" s="627">
        <v>176.03</v>
      </c>
      <c r="D14" s="628">
        <v>394.21</v>
      </c>
      <c r="E14" s="629">
        <f>D14/247</f>
        <v>1.6</v>
      </c>
      <c r="F14" s="628">
        <v>1203.05</v>
      </c>
      <c r="G14" s="630">
        <f>F14/247</f>
        <v>4.87</v>
      </c>
      <c r="H14" s="628">
        <v>859.19</v>
      </c>
      <c r="I14" s="630">
        <f>H14/247</f>
        <v>3.48</v>
      </c>
      <c r="J14" s="628">
        <v>1436.85</v>
      </c>
      <c r="K14" s="629">
        <f>J14/247</f>
        <v>5.82</v>
      </c>
      <c r="L14" s="631">
        <f>B14+D14+F14+J14</f>
        <v>46513.52</v>
      </c>
      <c r="M14" s="630">
        <f>L14/12</f>
        <v>3876.13</v>
      </c>
      <c r="N14" s="632">
        <f>C14+E14+G14+K14</f>
        <v>188.32</v>
      </c>
      <c r="O14" s="629">
        <f>B14+D14+H14</f>
        <v>44732.81</v>
      </c>
      <c r="P14" s="630">
        <f>O14/12</f>
        <v>3727.73</v>
      </c>
      <c r="Q14" s="633">
        <f>C14+E14+I14</f>
        <v>181.11</v>
      </c>
      <c r="R14" s="405">
        <v>145.59</v>
      </c>
      <c r="S14" s="638">
        <f>T14/Q14</f>
        <v>0.8</v>
      </c>
      <c r="T14" s="406">
        <v>145.59</v>
      </c>
      <c r="U14" s="397">
        <f>C14*S14</f>
        <v>140.82</v>
      </c>
      <c r="V14" s="398">
        <f>T14-U14</f>
        <v>4.7699999999999996</v>
      </c>
      <c r="X14" s="399">
        <f>T14*247</f>
        <v>35960.730000000003</v>
      </c>
      <c r="Y14" s="399">
        <f>T14*247-T14*247*0.3</f>
        <v>25172.51</v>
      </c>
      <c r="Z14" s="399">
        <f>L14-X14</f>
        <v>10552.79</v>
      </c>
      <c r="AA14" s="399">
        <f>L14-Y14</f>
        <v>21341.01</v>
      </c>
      <c r="AB14" s="399">
        <f>L14</f>
        <v>46513.52</v>
      </c>
      <c r="AC14" s="400">
        <f>Z14*AC4</f>
        <v>6542.73</v>
      </c>
      <c r="AD14" s="400">
        <f>AA14*AC4</f>
        <v>13231.43</v>
      </c>
      <c r="AE14" s="400">
        <f>AB14*AC4</f>
        <v>28838.38</v>
      </c>
    </row>
    <row r="15" spans="1:31" s="357" customFormat="1" ht="15.75" thickBot="1" x14ac:dyDescent="0.3">
      <c r="A15" s="377" t="s">
        <v>1030</v>
      </c>
      <c r="B15" s="378"/>
      <c r="C15" s="379"/>
      <c r="D15" s="379"/>
      <c r="E15" s="379"/>
      <c r="F15" s="379"/>
      <c r="G15" s="380"/>
      <c r="H15" s="379"/>
      <c r="I15" s="380"/>
      <c r="J15" s="379"/>
      <c r="K15" s="379"/>
      <c r="L15" s="379"/>
      <c r="M15" s="379"/>
      <c r="N15" s="381"/>
      <c r="O15" s="379"/>
      <c r="P15" s="379"/>
      <c r="Q15" s="381"/>
      <c r="R15" s="382"/>
      <c r="S15" s="636"/>
      <c r="T15" s="382"/>
      <c r="U15" s="384"/>
      <c r="V15" s="385"/>
      <c r="X15" s="382"/>
      <c r="Y15" s="382"/>
      <c r="Z15" s="382"/>
      <c r="AA15" s="382"/>
      <c r="AB15" s="382"/>
      <c r="AC15" s="382"/>
      <c r="AD15" s="382"/>
      <c r="AE15" s="382"/>
    </row>
    <row r="16" spans="1:31" s="357" customFormat="1" ht="25.5" hidden="1" x14ac:dyDescent="0.25">
      <c r="A16" s="401" t="s">
        <v>1031</v>
      </c>
      <c r="B16" s="387">
        <f>C16*247</f>
        <v>35891.57</v>
      </c>
      <c r="C16" s="627">
        <f>C13</f>
        <v>145.31</v>
      </c>
      <c r="D16" s="628">
        <f>D13</f>
        <v>394.21</v>
      </c>
      <c r="E16" s="629">
        <f>D16/247</f>
        <v>1.6</v>
      </c>
      <c r="F16" s="628">
        <f>F13</f>
        <v>1203.05</v>
      </c>
      <c r="G16" s="630">
        <f>F16/247</f>
        <v>4.87</v>
      </c>
      <c r="H16" s="628">
        <f>H13</f>
        <v>859.19</v>
      </c>
      <c r="I16" s="630">
        <f>H16/247</f>
        <v>3.48</v>
      </c>
      <c r="J16" s="628">
        <f>J13</f>
        <v>1436.85</v>
      </c>
      <c r="K16" s="629">
        <f>J16/247</f>
        <v>5.82</v>
      </c>
      <c r="L16" s="631">
        <f>B16+D16+F16+J16</f>
        <v>38925.68</v>
      </c>
      <c r="M16" s="630">
        <f>L16/12</f>
        <v>3243.81</v>
      </c>
      <c r="N16" s="632">
        <f>C16+E16+G16+K16</f>
        <v>157.6</v>
      </c>
      <c r="O16" s="629">
        <f>B16+D16+H16</f>
        <v>37144.97</v>
      </c>
      <c r="P16" s="630">
        <f>O16/12</f>
        <v>3095.41</v>
      </c>
      <c r="Q16" s="633">
        <f>C16+E16+I16</f>
        <v>150.38999999999999</v>
      </c>
      <c r="R16" s="402"/>
      <c r="S16" s="634">
        <f>S13</f>
        <v>0.8</v>
      </c>
      <c r="T16" s="389">
        <f>T13</f>
        <v>120.62</v>
      </c>
      <c r="U16" s="390">
        <f>C16*S16</f>
        <v>116.25</v>
      </c>
      <c r="V16" s="391">
        <f>T16-U16</f>
        <v>4.37</v>
      </c>
      <c r="X16" s="392">
        <f>T16*247</f>
        <v>29793.14</v>
      </c>
      <c r="Y16" s="392">
        <f>T16*247-T16*247*0.3</f>
        <v>20855.2</v>
      </c>
      <c r="Z16" s="392">
        <f>L16-X16</f>
        <v>9132.5400000000009</v>
      </c>
      <c r="AA16" s="392">
        <f>L16-Y16</f>
        <v>18070.48</v>
      </c>
      <c r="AB16" s="392">
        <f>L16</f>
        <v>38925.68</v>
      </c>
      <c r="AC16" s="393">
        <f>Z16*AC4</f>
        <v>5662.17</v>
      </c>
      <c r="AD16" s="393">
        <f>AA16*AC4</f>
        <v>11203.7</v>
      </c>
      <c r="AE16" s="393">
        <f>AB16*AC4</f>
        <v>24133.919999999998</v>
      </c>
    </row>
    <row r="17" spans="1:31" s="357" customFormat="1" ht="26.25" thickBot="1" x14ac:dyDescent="0.3">
      <c r="A17" s="404" t="s">
        <v>1032</v>
      </c>
      <c r="B17" s="387">
        <f>C17*247</f>
        <v>43479.41</v>
      </c>
      <c r="C17" s="627">
        <f>C14</f>
        <v>176.03</v>
      </c>
      <c r="D17" s="628">
        <f>D14</f>
        <v>394.21</v>
      </c>
      <c r="E17" s="629">
        <f>D17/247</f>
        <v>1.6</v>
      </c>
      <c r="F17" s="628">
        <f>F14</f>
        <v>1203.05</v>
      </c>
      <c r="G17" s="630">
        <f>F17/247</f>
        <v>4.87</v>
      </c>
      <c r="H17" s="628">
        <f>H14</f>
        <v>859.19</v>
      </c>
      <c r="I17" s="630">
        <f>H17/247</f>
        <v>3.48</v>
      </c>
      <c r="J17" s="628">
        <f>J14</f>
        <v>1436.85</v>
      </c>
      <c r="K17" s="629">
        <f>J17/247</f>
        <v>5.82</v>
      </c>
      <c r="L17" s="631">
        <f>B17+D17+F17+J17</f>
        <v>46513.52</v>
      </c>
      <c r="M17" s="630">
        <f>L17/12</f>
        <v>3876.13</v>
      </c>
      <c r="N17" s="632">
        <f>C17+E17+G17+K17</f>
        <v>188.32</v>
      </c>
      <c r="O17" s="629">
        <f>B17+D17+H17</f>
        <v>44732.81</v>
      </c>
      <c r="P17" s="630">
        <f>O17/12</f>
        <v>3727.73</v>
      </c>
      <c r="Q17" s="633">
        <f>C17+E17+I17</f>
        <v>181.11</v>
      </c>
      <c r="R17" s="405"/>
      <c r="S17" s="635">
        <f>S14</f>
        <v>0.8</v>
      </c>
      <c r="T17" s="396">
        <f>T14</f>
        <v>145.59</v>
      </c>
      <c r="U17" s="397">
        <f>C17*S17</f>
        <v>140.82</v>
      </c>
      <c r="V17" s="398">
        <f>T17-U17</f>
        <v>4.7699999999999996</v>
      </c>
      <c r="X17" s="399">
        <f>T17*247</f>
        <v>35960.730000000003</v>
      </c>
      <c r="Y17" s="399">
        <f>T17*247-T17*247*0.3</f>
        <v>25172.51</v>
      </c>
      <c r="Z17" s="399">
        <f>L17-X17</f>
        <v>10552.79</v>
      </c>
      <c r="AA17" s="399">
        <f>L17-Y17</f>
        <v>21341.01</v>
      </c>
      <c r="AB17" s="399">
        <f>L17</f>
        <v>46513.52</v>
      </c>
      <c r="AC17" s="400">
        <f>Z17*AC4</f>
        <v>6542.73</v>
      </c>
      <c r="AD17" s="400">
        <f>AA17*AC4</f>
        <v>13231.43</v>
      </c>
      <c r="AE17" s="400">
        <f>AB17*AC4</f>
        <v>28838.38</v>
      </c>
    </row>
    <row r="18" spans="1:31" s="412" customFormat="1" x14ac:dyDescent="0.25">
      <c r="A18" s="407"/>
      <c r="B18" s="408"/>
      <c r="C18" s="408"/>
      <c r="D18" s="408"/>
      <c r="E18" s="408"/>
      <c r="F18" s="408"/>
      <c r="G18" s="408"/>
      <c r="H18" s="408"/>
      <c r="I18" s="408"/>
      <c r="J18" s="408"/>
      <c r="K18" s="408"/>
      <c r="L18" s="408"/>
      <c r="M18" s="408"/>
      <c r="N18" s="409"/>
      <c r="O18" s="408"/>
      <c r="P18" s="408"/>
      <c r="Q18" s="409"/>
      <c r="R18" s="409"/>
      <c r="S18" s="410"/>
      <c r="T18" s="408"/>
      <c r="U18" s="411"/>
      <c r="V18" s="411"/>
      <c r="X18" s="408"/>
      <c r="Y18" s="408"/>
      <c r="Z18" s="408"/>
      <c r="AA18" s="408"/>
      <c r="AB18" s="408"/>
      <c r="AC18" s="408"/>
      <c r="AD18" s="408"/>
      <c r="AE18" s="408"/>
    </row>
    <row r="19" spans="1:31" s="412" customFormat="1" hidden="1" x14ac:dyDescent="0.25">
      <c r="A19" s="407"/>
      <c r="B19" s="408"/>
      <c r="C19" s="408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9"/>
      <c r="O19" s="408"/>
      <c r="P19" s="408"/>
      <c r="Q19" s="409"/>
      <c r="R19" s="409"/>
      <c r="S19" s="410"/>
      <c r="T19" s="408"/>
      <c r="U19" s="411"/>
      <c r="V19" s="411"/>
      <c r="X19" s="408"/>
      <c r="Y19" s="408"/>
      <c r="Z19" s="408"/>
      <c r="AA19" s="408"/>
      <c r="AB19" s="408"/>
      <c r="AC19" s="408"/>
      <c r="AD19" s="408"/>
      <c r="AE19" s="408"/>
    </row>
    <row r="20" spans="1:31" hidden="1" x14ac:dyDescent="0.25">
      <c r="C20" s="355" t="s">
        <v>315</v>
      </c>
      <c r="O20" s="355" t="s">
        <v>1406</v>
      </c>
    </row>
    <row r="21" spans="1:31" hidden="1" x14ac:dyDescent="0.25">
      <c r="A21" s="413"/>
      <c r="C21" s="413"/>
    </row>
    <row r="22" spans="1:31" hidden="1" x14ac:dyDescent="0.25">
      <c r="C22" s="355" t="s">
        <v>411</v>
      </c>
    </row>
    <row r="23" spans="1:31" hidden="1" x14ac:dyDescent="0.25"/>
    <row r="24" spans="1:31" ht="22.5" x14ac:dyDescent="0.25">
      <c r="A24" s="639" t="s">
        <v>768</v>
      </c>
      <c r="B24" s="640" t="s">
        <v>1033</v>
      </c>
    </row>
    <row r="25" spans="1:31" ht="24" x14ac:dyDescent="0.25">
      <c r="A25" s="641" t="s">
        <v>702</v>
      </c>
      <c r="B25" s="642">
        <f>AE13</f>
        <v>24133.919999999998</v>
      </c>
    </row>
    <row r="26" spans="1:31" ht="24" x14ac:dyDescent="0.25">
      <c r="A26" s="641" t="s">
        <v>703</v>
      </c>
      <c r="B26" s="642">
        <f>AE13</f>
        <v>24133.919999999998</v>
      </c>
    </row>
    <row r="27" spans="1:31" ht="24" x14ac:dyDescent="0.25">
      <c r="A27" s="641" t="s">
        <v>704</v>
      </c>
      <c r="B27" s="642">
        <f>AE13</f>
        <v>24133.919999999998</v>
      </c>
    </row>
    <row r="28" spans="1:31" ht="36" x14ac:dyDescent="0.25">
      <c r="A28" s="641" t="s">
        <v>1407</v>
      </c>
      <c r="B28" s="642">
        <f>AE13</f>
        <v>24133.919999999998</v>
      </c>
    </row>
    <row r="29" spans="1:31" ht="36" x14ac:dyDescent="0.25">
      <c r="A29" s="641" t="s">
        <v>1408</v>
      </c>
      <c r="B29" s="642">
        <f>AD13</f>
        <v>11203.7</v>
      </c>
    </row>
    <row r="30" spans="1:31" ht="24" x14ac:dyDescent="0.25">
      <c r="A30" s="641" t="s">
        <v>1034</v>
      </c>
      <c r="B30" s="642">
        <f>AC13</f>
        <v>5662.17</v>
      </c>
    </row>
    <row r="31" spans="1:31" ht="24" x14ac:dyDescent="0.25">
      <c r="A31" s="643" t="s">
        <v>706</v>
      </c>
      <c r="B31" s="642">
        <f>AE14</f>
        <v>28838.38</v>
      </c>
    </row>
    <row r="32" spans="1:31" ht="24" x14ac:dyDescent="0.25">
      <c r="A32" s="643" t="s">
        <v>707</v>
      </c>
      <c r="B32" s="642">
        <f>AE14</f>
        <v>28838.38</v>
      </c>
    </row>
    <row r="33" spans="1:2" ht="24" x14ac:dyDescent="0.25">
      <c r="A33" s="643" t="s">
        <v>708</v>
      </c>
      <c r="B33" s="642">
        <f>AE14</f>
        <v>28838.38</v>
      </c>
    </row>
    <row r="34" spans="1:2" ht="36" x14ac:dyDescent="0.25">
      <c r="A34" s="643" t="s">
        <v>1409</v>
      </c>
      <c r="B34" s="642">
        <f>AE14</f>
        <v>28838.38</v>
      </c>
    </row>
    <row r="35" spans="1:2" ht="36" x14ac:dyDescent="0.25">
      <c r="A35" s="643" t="s">
        <v>1410</v>
      </c>
      <c r="B35" s="642">
        <f>AD14</f>
        <v>13231.43</v>
      </c>
    </row>
    <row r="36" spans="1:2" ht="36" x14ac:dyDescent="0.25">
      <c r="A36" s="643" t="s">
        <v>1035</v>
      </c>
      <c r="B36" s="642">
        <f>AC14</f>
        <v>6542.73</v>
      </c>
    </row>
    <row r="37" spans="1:2" ht="24" hidden="1" x14ac:dyDescent="0.25">
      <c r="A37" s="641" t="s">
        <v>1036</v>
      </c>
      <c r="B37" s="642">
        <f>AE17</f>
        <v>28838.38</v>
      </c>
    </row>
    <row r="38" spans="1:2" ht="36" hidden="1" x14ac:dyDescent="0.25">
      <c r="A38" s="641" t="s">
        <v>1037</v>
      </c>
      <c r="B38" s="642">
        <f>AE17</f>
        <v>28838.38</v>
      </c>
    </row>
    <row r="39" spans="1:2" ht="24" hidden="1" x14ac:dyDescent="0.25">
      <c r="A39" s="641" t="s">
        <v>1038</v>
      </c>
      <c r="B39" s="642">
        <f>AE17</f>
        <v>28838.38</v>
      </c>
    </row>
    <row r="40" spans="1:2" ht="36" hidden="1" x14ac:dyDescent="0.25">
      <c r="A40" s="641" t="s">
        <v>1411</v>
      </c>
      <c r="B40" s="642">
        <f>AE17</f>
        <v>28838.38</v>
      </c>
    </row>
    <row r="41" spans="1:2" ht="36" hidden="1" x14ac:dyDescent="0.25">
      <c r="A41" s="641" t="s">
        <v>1412</v>
      </c>
      <c r="B41" s="642">
        <f>AD17</f>
        <v>13231.43</v>
      </c>
    </row>
    <row r="42" spans="1:2" ht="36" hidden="1" x14ac:dyDescent="0.25">
      <c r="A42" s="641" t="s">
        <v>1039</v>
      </c>
      <c r="B42" s="642">
        <f>AC17</f>
        <v>6542.73</v>
      </c>
    </row>
  </sheetData>
  <mergeCells count="18">
    <mergeCell ref="T5:T6"/>
    <mergeCell ref="U5:V5"/>
    <mergeCell ref="X5:Y5"/>
    <mergeCell ref="A3:T3"/>
    <mergeCell ref="AC3:AE3"/>
    <mergeCell ref="AC4:AE4"/>
    <mergeCell ref="A5:A7"/>
    <mergeCell ref="B5:C6"/>
    <mergeCell ref="D5:E6"/>
    <mergeCell ref="F5:G6"/>
    <mergeCell ref="H5:I6"/>
    <mergeCell ref="J5:K6"/>
    <mergeCell ref="L5:N6"/>
    <mergeCell ref="Z5:AB5"/>
    <mergeCell ref="AC5:AE5"/>
    <mergeCell ref="O5:Q6"/>
    <mergeCell ref="R5:R7"/>
    <mergeCell ref="S5:S7"/>
  </mergeCells>
  <pageMargins left="0.19685039370078741" right="0" top="0" bottom="0" header="0" footer="0"/>
  <pageSetup paperSize="9" scale="46" fitToWidth="0" fitToHeight="0" orientation="landscape" r:id="rId1"/>
  <rowBreaks count="1" manualBreakCount="1">
    <brk id="36" max="30" man="1"/>
  </rowBreaks>
  <colBreaks count="1" manualBreakCount="1">
    <brk id="31" max="4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L48"/>
  <sheetViews>
    <sheetView view="pageBreakPreview" zoomScale="75" zoomScaleSheetLayoutView="75" workbookViewId="0">
      <pane xSplit="1" ySplit="8" topLeftCell="B31" activePane="bottomRight" state="frozen"/>
      <selection activeCell="H46" sqref="H46"/>
      <selection pane="topRight" activeCell="H46" sqref="H46"/>
      <selection pane="bottomLeft" activeCell="H46" sqref="H46"/>
      <selection pane="bottomRight" activeCell="U35" sqref="U35"/>
    </sheetView>
  </sheetViews>
  <sheetFormatPr defaultRowHeight="15" x14ac:dyDescent="0.25"/>
  <cols>
    <col min="1" max="1" width="41.5703125" style="414" bestFit="1" customWidth="1"/>
    <col min="2" max="3" width="9.140625" style="414"/>
    <col min="4" max="4" width="9.85546875" style="414" bestFit="1" customWidth="1"/>
    <col min="5" max="5" width="9.140625" style="414"/>
    <col min="6" max="6" width="9.140625" style="414" customWidth="1"/>
    <col min="7" max="8" width="10.42578125" style="414" customWidth="1"/>
    <col min="9" max="10" width="10.42578125" style="355" hidden="1" customWidth="1"/>
    <col min="11" max="12" width="10.42578125" style="414" customWidth="1"/>
    <col min="13" max="13" width="9.140625" style="414" customWidth="1"/>
    <col min="14" max="256" width="9.140625" style="414"/>
    <col min="257" max="257" width="41.5703125" style="414" bestFit="1" customWidth="1"/>
    <col min="258" max="261" width="9.140625" style="414"/>
    <col min="262" max="262" width="9.140625" style="414" customWidth="1"/>
    <col min="263" max="268" width="9.7109375" style="414" customWidth="1"/>
    <col min="269" max="269" width="9.140625" style="414" customWidth="1"/>
    <col min="270" max="512" width="9.140625" style="414"/>
    <col min="513" max="513" width="41.5703125" style="414" bestFit="1" customWidth="1"/>
    <col min="514" max="517" width="9.140625" style="414"/>
    <col min="518" max="518" width="9.140625" style="414" customWidth="1"/>
    <col min="519" max="524" width="9.7109375" style="414" customWidth="1"/>
    <col min="525" max="525" width="9.140625" style="414" customWidth="1"/>
    <col min="526" max="768" width="9.140625" style="414"/>
    <col min="769" max="769" width="41.5703125" style="414" bestFit="1" customWidth="1"/>
    <col min="770" max="773" width="9.140625" style="414"/>
    <col min="774" max="774" width="9.140625" style="414" customWidth="1"/>
    <col min="775" max="780" width="9.7109375" style="414" customWidth="1"/>
    <col min="781" max="781" width="9.140625" style="414" customWidth="1"/>
    <col min="782" max="1024" width="9.140625" style="414"/>
    <col min="1025" max="1025" width="41.5703125" style="414" bestFit="1" customWidth="1"/>
    <col min="1026" max="1029" width="9.140625" style="414"/>
    <col min="1030" max="1030" width="9.140625" style="414" customWidth="1"/>
    <col min="1031" max="1036" width="9.7109375" style="414" customWidth="1"/>
    <col min="1037" max="1037" width="9.140625" style="414" customWidth="1"/>
    <col min="1038" max="1280" width="9.140625" style="414"/>
    <col min="1281" max="1281" width="41.5703125" style="414" bestFit="1" customWidth="1"/>
    <col min="1282" max="1285" width="9.140625" style="414"/>
    <col min="1286" max="1286" width="9.140625" style="414" customWidth="1"/>
    <col min="1287" max="1292" width="9.7109375" style="414" customWidth="1"/>
    <col min="1293" max="1293" width="9.140625" style="414" customWidth="1"/>
    <col min="1294" max="1536" width="9.140625" style="414"/>
    <col min="1537" max="1537" width="41.5703125" style="414" bestFit="1" customWidth="1"/>
    <col min="1538" max="1541" width="9.140625" style="414"/>
    <col min="1542" max="1542" width="9.140625" style="414" customWidth="1"/>
    <col min="1543" max="1548" width="9.7109375" style="414" customWidth="1"/>
    <col min="1549" max="1549" width="9.140625" style="414" customWidth="1"/>
    <col min="1550" max="1792" width="9.140625" style="414"/>
    <col min="1793" max="1793" width="41.5703125" style="414" bestFit="1" customWidth="1"/>
    <col min="1794" max="1797" width="9.140625" style="414"/>
    <col min="1798" max="1798" width="9.140625" style="414" customWidth="1"/>
    <col min="1799" max="1804" width="9.7109375" style="414" customWidth="1"/>
    <col min="1805" max="1805" width="9.140625" style="414" customWidth="1"/>
    <col min="1806" max="2048" width="9.140625" style="414"/>
    <col min="2049" max="2049" width="41.5703125" style="414" bestFit="1" customWidth="1"/>
    <col min="2050" max="2053" width="9.140625" style="414"/>
    <col min="2054" max="2054" width="9.140625" style="414" customWidth="1"/>
    <col min="2055" max="2060" width="9.7109375" style="414" customWidth="1"/>
    <col min="2061" max="2061" width="9.140625" style="414" customWidth="1"/>
    <col min="2062" max="2304" width="9.140625" style="414"/>
    <col min="2305" max="2305" width="41.5703125" style="414" bestFit="1" customWidth="1"/>
    <col min="2306" max="2309" width="9.140625" style="414"/>
    <col min="2310" max="2310" width="9.140625" style="414" customWidth="1"/>
    <col min="2311" max="2316" width="9.7109375" style="414" customWidth="1"/>
    <col min="2317" max="2317" width="9.140625" style="414" customWidth="1"/>
    <col min="2318" max="2560" width="9.140625" style="414"/>
    <col min="2561" max="2561" width="41.5703125" style="414" bestFit="1" customWidth="1"/>
    <col min="2562" max="2565" width="9.140625" style="414"/>
    <col min="2566" max="2566" width="9.140625" style="414" customWidth="1"/>
    <col min="2567" max="2572" width="9.7109375" style="414" customWidth="1"/>
    <col min="2573" max="2573" width="9.140625" style="414" customWidth="1"/>
    <col min="2574" max="2816" width="9.140625" style="414"/>
    <col min="2817" max="2817" width="41.5703125" style="414" bestFit="1" customWidth="1"/>
    <col min="2818" max="2821" width="9.140625" style="414"/>
    <col min="2822" max="2822" width="9.140625" style="414" customWidth="1"/>
    <col min="2823" max="2828" width="9.7109375" style="414" customWidth="1"/>
    <col min="2829" max="2829" width="9.140625" style="414" customWidth="1"/>
    <col min="2830" max="3072" width="9.140625" style="414"/>
    <col min="3073" max="3073" width="41.5703125" style="414" bestFit="1" customWidth="1"/>
    <col min="3074" max="3077" width="9.140625" style="414"/>
    <col min="3078" max="3078" width="9.140625" style="414" customWidth="1"/>
    <col min="3079" max="3084" width="9.7109375" style="414" customWidth="1"/>
    <col min="3085" max="3085" width="9.140625" style="414" customWidth="1"/>
    <col min="3086" max="3328" width="9.140625" style="414"/>
    <col min="3329" max="3329" width="41.5703125" style="414" bestFit="1" customWidth="1"/>
    <col min="3330" max="3333" width="9.140625" style="414"/>
    <col min="3334" max="3334" width="9.140625" style="414" customWidth="1"/>
    <col min="3335" max="3340" width="9.7109375" style="414" customWidth="1"/>
    <col min="3341" max="3341" width="9.140625" style="414" customWidth="1"/>
    <col min="3342" max="3584" width="9.140625" style="414"/>
    <col min="3585" max="3585" width="41.5703125" style="414" bestFit="1" customWidth="1"/>
    <col min="3586" max="3589" width="9.140625" style="414"/>
    <col min="3590" max="3590" width="9.140625" style="414" customWidth="1"/>
    <col min="3591" max="3596" width="9.7109375" style="414" customWidth="1"/>
    <col min="3597" max="3597" width="9.140625" style="414" customWidth="1"/>
    <col min="3598" max="3840" width="9.140625" style="414"/>
    <col min="3841" max="3841" width="41.5703125" style="414" bestFit="1" customWidth="1"/>
    <col min="3842" max="3845" width="9.140625" style="414"/>
    <col min="3846" max="3846" width="9.140625" style="414" customWidth="1"/>
    <col min="3847" max="3852" width="9.7109375" style="414" customWidth="1"/>
    <col min="3853" max="3853" width="9.140625" style="414" customWidth="1"/>
    <col min="3854" max="4096" width="9.140625" style="414"/>
    <col min="4097" max="4097" width="41.5703125" style="414" bestFit="1" customWidth="1"/>
    <col min="4098" max="4101" width="9.140625" style="414"/>
    <col min="4102" max="4102" width="9.140625" style="414" customWidth="1"/>
    <col min="4103" max="4108" width="9.7109375" style="414" customWidth="1"/>
    <col min="4109" max="4109" width="9.140625" style="414" customWidth="1"/>
    <col min="4110" max="4352" width="9.140625" style="414"/>
    <col min="4353" max="4353" width="41.5703125" style="414" bestFit="1" customWidth="1"/>
    <col min="4354" max="4357" width="9.140625" style="414"/>
    <col min="4358" max="4358" width="9.140625" style="414" customWidth="1"/>
    <col min="4359" max="4364" width="9.7109375" style="414" customWidth="1"/>
    <col min="4365" max="4365" width="9.140625" style="414" customWidth="1"/>
    <col min="4366" max="4608" width="9.140625" style="414"/>
    <col min="4609" max="4609" width="41.5703125" style="414" bestFit="1" customWidth="1"/>
    <col min="4610" max="4613" width="9.140625" style="414"/>
    <col min="4614" max="4614" width="9.140625" style="414" customWidth="1"/>
    <col min="4615" max="4620" width="9.7109375" style="414" customWidth="1"/>
    <col min="4621" max="4621" width="9.140625" style="414" customWidth="1"/>
    <col min="4622" max="4864" width="9.140625" style="414"/>
    <col min="4865" max="4865" width="41.5703125" style="414" bestFit="1" customWidth="1"/>
    <col min="4866" max="4869" width="9.140625" style="414"/>
    <col min="4870" max="4870" width="9.140625" style="414" customWidth="1"/>
    <col min="4871" max="4876" width="9.7109375" style="414" customWidth="1"/>
    <col min="4877" max="4877" width="9.140625" style="414" customWidth="1"/>
    <col min="4878" max="5120" width="9.140625" style="414"/>
    <col min="5121" max="5121" width="41.5703125" style="414" bestFit="1" customWidth="1"/>
    <col min="5122" max="5125" width="9.140625" style="414"/>
    <col min="5126" max="5126" width="9.140625" style="414" customWidth="1"/>
    <col min="5127" max="5132" width="9.7109375" style="414" customWidth="1"/>
    <col min="5133" max="5133" width="9.140625" style="414" customWidth="1"/>
    <col min="5134" max="5376" width="9.140625" style="414"/>
    <col min="5377" max="5377" width="41.5703125" style="414" bestFit="1" customWidth="1"/>
    <col min="5378" max="5381" width="9.140625" style="414"/>
    <col min="5382" max="5382" width="9.140625" style="414" customWidth="1"/>
    <col min="5383" max="5388" width="9.7109375" style="414" customWidth="1"/>
    <col min="5389" max="5389" width="9.140625" style="414" customWidth="1"/>
    <col min="5390" max="5632" width="9.140625" style="414"/>
    <col min="5633" max="5633" width="41.5703125" style="414" bestFit="1" customWidth="1"/>
    <col min="5634" max="5637" width="9.140625" style="414"/>
    <col min="5638" max="5638" width="9.140625" style="414" customWidth="1"/>
    <col min="5639" max="5644" width="9.7109375" style="414" customWidth="1"/>
    <col min="5645" max="5645" width="9.140625" style="414" customWidth="1"/>
    <col min="5646" max="5888" width="9.140625" style="414"/>
    <col min="5889" max="5889" width="41.5703125" style="414" bestFit="1" customWidth="1"/>
    <col min="5890" max="5893" width="9.140625" style="414"/>
    <col min="5894" max="5894" width="9.140625" style="414" customWidth="1"/>
    <col min="5895" max="5900" width="9.7109375" style="414" customWidth="1"/>
    <col min="5901" max="5901" width="9.140625" style="414" customWidth="1"/>
    <col min="5902" max="6144" width="9.140625" style="414"/>
    <col min="6145" max="6145" width="41.5703125" style="414" bestFit="1" customWidth="1"/>
    <col min="6146" max="6149" width="9.140625" style="414"/>
    <col min="6150" max="6150" width="9.140625" style="414" customWidth="1"/>
    <col min="6151" max="6156" width="9.7109375" style="414" customWidth="1"/>
    <col min="6157" max="6157" width="9.140625" style="414" customWidth="1"/>
    <col min="6158" max="6400" width="9.140625" style="414"/>
    <col min="6401" max="6401" width="41.5703125" style="414" bestFit="1" customWidth="1"/>
    <col min="6402" max="6405" width="9.140625" style="414"/>
    <col min="6406" max="6406" width="9.140625" style="414" customWidth="1"/>
    <col min="6407" max="6412" width="9.7109375" style="414" customWidth="1"/>
    <col min="6413" max="6413" width="9.140625" style="414" customWidth="1"/>
    <col min="6414" max="6656" width="9.140625" style="414"/>
    <col min="6657" max="6657" width="41.5703125" style="414" bestFit="1" customWidth="1"/>
    <col min="6658" max="6661" width="9.140625" style="414"/>
    <col min="6662" max="6662" width="9.140625" style="414" customWidth="1"/>
    <col min="6663" max="6668" width="9.7109375" style="414" customWidth="1"/>
    <col min="6669" max="6669" width="9.140625" style="414" customWidth="1"/>
    <col min="6670" max="6912" width="9.140625" style="414"/>
    <col min="6913" max="6913" width="41.5703125" style="414" bestFit="1" customWidth="1"/>
    <col min="6914" max="6917" width="9.140625" style="414"/>
    <col min="6918" max="6918" width="9.140625" style="414" customWidth="1"/>
    <col min="6919" max="6924" width="9.7109375" style="414" customWidth="1"/>
    <col min="6925" max="6925" width="9.140625" style="414" customWidth="1"/>
    <col min="6926" max="7168" width="9.140625" style="414"/>
    <col min="7169" max="7169" width="41.5703125" style="414" bestFit="1" customWidth="1"/>
    <col min="7170" max="7173" width="9.140625" style="414"/>
    <col min="7174" max="7174" width="9.140625" style="414" customWidth="1"/>
    <col min="7175" max="7180" width="9.7109375" style="414" customWidth="1"/>
    <col min="7181" max="7181" width="9.140625" style="414" customWidth="1"/>
    <col min="7182" max="7424" width="9.140625" style="414"/>
    <col min="7425" max="7425" width="41.5703125" style="414" bestFit="1" customWidth="1"/>
    <col min="7426" max="7429" width="9.140625" style="414"/>
    <col min="7430" max="7430" width="9.140625" style="414" customWidth="1"/>
    <col min="7431" max="7436" width="9.7109375" style="414" customWidth="1"/>
    <col min="7437" max="7437" width="9.140625" style="414" customWidth="1"/>
    <col min="7438" max="7680" width="9.140625" style="414"/>
    <col min="7681" max="7681" width="41.5703125" style="414" bestFit="1" customWidth="1"/>
    <col min="7682" max="7685" width="9.140625" style="414"/>
    <col min="7686" max="7686" width="9.140625" style="414" customWidth="1"/>
    <col min="7687" max="7692" width="9.7109375" style="414" customWidth="1"/>
    <col min="7693" max="7693" width="9.140625" style="414" customWidth="1"/>
    <col min="7694" max="7936" width="9.140625" style="414"/>
    <col min="7937" max="7937" width="41.5703125" style="414" bestFit="1" customWidth="1"/>
    <col min="7938" max="7941" width="9.140625" style="414"/>
    <col min="7942" max="7942" width="9.140625" style="414" customWidth="1"/>
    <col min="7943" max="7948" width="9.7109375" style="414" customWidth="1"/>
    <col min="7949" max="7949" width="9.140625" style="414" customWidth="1"/>
    <col min="7950" max="8192" width="9.140625" style="414"/>
    <col min="8193" max="8193" width="41.5703125" style="414" bestFit="1" customWidth="1"/>
    <col min="8194" max="8197" width="9.140625" style="414"/>
    <col min="8198" max="8198" width="9.140625" style="414" customWidth="1"/>
    <col min="8199" max="8204" width="9.7109375" style="414" customWidth="1"/>
    <col min="8205" max="8205" width="9.140625" style="414" customWidth="1"/>
    <col min="8206" max="8448" width="9.140625" style="414"/>
    <col min="8449" max="8449" width="41.5703125" style="414" bestFit="1" customWidth="1"/>
    <col min="8450" max="8453" width="9.140625" style="414"/>
    <col min="8454" max="8454" width="9.140625" style="414" customWidth="1"/>
    <col min="8455" max="8460" width="9.7109375" style="414" customWidth="1"/>
    <col min="8461" max="8461" width="9.140625" style="414" customWidth="1"/>
    <col min="8462" max="8704" width="9.140625" style="414"/>
    <col min="8705" max="8705" width="41.5703125" style="414" bestFit="1" customWidth="1"/>
    <col min="8706" max="8709" width="9.140625" style="414"/>
    <col min="8710" max="8710" width="9.140625" style="414" customWidth="1"/>
    <col min="8711" max="8716" width="9.7109375" style="414" customWidth="1"/>
    <col min="8717" max="8717" width="9.140625" style="414" customWidth="1"/>
    <col min="8718" max="8960" width="9.140625" style="414"/>
    <col min="8961" max="8961" width="41.5703125" style="414" bestFit="1" customWidth="1"/>
    <col min="8962" max="8965" width="9.140625" style="414"/>
    <col min="8966" max="8966" width="9.140625" style="414" customWidth="1"/>
    <col min="8967" max="8972" width="9.7109375" style="414" customWidth="1"/>
    <col min="8973" max="8973" width="9.140625" style="414" customWidth="1"/>
    <col min="8974" max="9216" width="9.140625" style="414"/>
    <col min="9217" max="9217" width="41.5703125" style="414" bestFit="1" customWidth="1"/>
    <col min="9218" max="9221" width="9.140625" style="414"/>
    <col min="9222" max="9222" width="9.140625" style="414" customWidth="1"/>
    <col min="9223" max="9228" width="9.7109375" style="414" customWidth="1"/>
    <col min="9229" max="9229" width="9.140625" style="414" customWidth="1"/>
    <col min="9230" max="9472" width="9.140625" style="414"/>
    <col min="9473" max="9473" width="41.5703125" style="414" bestFit="1" customWidth="1"/>
    <col min="9474" max="9477" width="9.140625" style="414"/>
    <col min="9478" max="9478" width="9.140625" style="414" customWidth="1"/>
    <col min="9479" max="9484" width="9.7109375" style="414" customWidth="1"/>
    <col min="9485" max="9485" width="9.140625" style="414" customWidth="1"/>
    <col min="9486" max="9728" width="9.140625" style="414"/>
    <col min="9729" max="9729" width="41.5703125" style="414" bestFit="1" customWidth="1"/>
    <col min="9730" max="9733" width="9.140625" style="414"/>
    <col min="9734" max="9734" width="9.140625" style="414" customWidth="1"/>
    <col min="9735" max="9740" width="9.7109375" style="414" customWidth="1"/>
    <col min="9741" max="9741" width="9.140625" style="414" customWidth="1"/>
    <col min="9742" max="9984" width="9.140625" style="414"/>
    <col min="9985" max="9985" width="41.5703125" style="414" bestFit="1" customWidth="1"/>
    <col min="9986" max="9989" width="9.140625" style="414"/>
    <col min="9990" max="9990" width="9.140625" style="414" customWidth="1"/>
    <col min="9991" max="9996" width="9.7109375" style="414" customWidth="1"/>
    <col min="9997" max="9997" width="9.140625" style="414" customWidth="1"/>
    <col min="9998" max="10240" width="9.140625" style="414"/>
    <col min="10241" max="10241" width="41.5703125" style="414" bestFit="1" customWidth="1"/>
    <col min="10242" max="10245" width="9.140625" style="414"/>
    <col min="10246" max="10246" width="9.140625" style="414" customWidth="1"/>
    <col min="10247" max="10252" width="9.7109375" style="414" customWidth="1"/>
    <col min="10253" max="10253" width="9.140625" style="414" customWidth="1"/>
    <col min="10254" max="10496" width="9.140625" style="414"/>
    <col min="10497" max="10497" width="41.5703125" style="414" bestFit="1" customWidth="1"/>
    <col min="10498" max="10501" width="9.140625" style="414"/>
    <col min="10502" max="10502" width="9.140625" style="414" customWidth="1"/>
    <col min="10503" max="10508" width="9.7109375" style="414" customWidth="1"/>
    <col min="10509" max="10509" width="9.140625" style="414" customWidth="1"/>
    <col min="10510" max="10752" width="9.140625" style="414"/>
    <col min="10753" max="10753" width="41.5703125" style="414" bestFit="1" customWidth="1"/>
    <col min="10754" max="10757" width="9.140625" style="414"/>
    <col min="10758" max="10758" width="9.140625" style="414" customWidth="1"/>
    <col min="10759" max="10764" width="9.7109375" style="414" customWidth="1"/>
    <col min="10765" max="10765" width="9.140625" style="414" customWidth="1"/>
    <col min="10766" max="11008" width="9.140625" style="414"/>
    <col min="11009" max="11009" width="41.5703125" style="414" bestFit="1" customWidth="1"/>
    <col min="11010" max="11013" width="9.140625" style="414"/>
    <col min="11014" max="11014" width="9.140625" style="414" customWidth="1"/>
    <col min="11015" max="11020" width="9.7109375" style="414" customWidth="1"/>
    <col min="11021" max="11021" width="9.140625" style="414" customWidth="1"/>
    <col min="11022" max="11264" width="9.140625" style="414"/>
    <col min="11265" max="11265" width="41.5703125" style="414" bestFit="1" customWidth="1"/>
    <col min="11266" max="11269" width="9.140625" style="414"/>
    <col min="11270" max="11270" width="9.140625" style="414" customWidth="1"/>
    <col min="11271" max="11276" width="9.7109375" style="414" customWidth="1"/>
    <col min="11277" max="11277" width="9.140625" style="414" customWidth="1"/>
    <col min="11278" max="11520" width="9.140625" style="414"/>
    <col min="11521" max="11521" width="41.5703125" style="414" bestFit="1" customWidth="1"/>
    <col min="11522" max="11525" width="9.140625" style="414"/>
    <col min="11526" max="11526" width="9.140625" style="414" customWidth="1"/>
    <col min="11527" max="11532" width="9.7109375" style="414" customWidth="1"/>
    <col min="11533" max="11533" width="9.140625" style="414" customWidth="1"/>
    <col min="11534" max="11776" width="9.140625" style="414"/>
    <col min="11777" max="11777" width="41.5703125" style="414" bestFit="1" customWidth="1"/>
    <col min="11778" max="11781" width="9.140625" style="414"/>
    <col min="11782" max="11782" width="9.140625" style="414" customWidth="1"/>
    <col min="11783" max="11788" width="9.7109375" style="414" customWidth="1"/>
    <col min="11789" max="11789" width="9.140625" style="414" customWidth="1"/>
    <col min="11790" max="12032" width="9.140625" style="414"/>
    <col min="12033" max="12033" width="41.5703125" style="414" bestFit="1" customWidth="1"/>
    <col min="12034" max="12037" width="9.140625" style="414"/>
    <col min="12038" max="12038" width="9.140625" style="414" customWidth="1"/>
    <col min="12039" max="12044" width="9.7109375" style="414" customWidth="1"/>
    <col min="12045" max="12045" width="9.140625" style="414" customWidth="1"/>
    <col min="12046" max="12288" width="9.140625" style="414"/>
    <col min="12289" max="12289" width="41.5703125" style="414" bestFit="1" customWidth="1"/>
    <col min="12290" max="12293" width="9.140625" style="414"/>
    <col min="12294" max="12294" width="9.140625" style="414" customWidth="1"/>
    <col min="12295" max="12300" width="9.7109375" style="414" customWidth="1"/>
    <col min="12301" max="12301" width="9.140625" style="414" customWidth="1"/>
    <col min="12302" max="12544" width="9.140625" style="414"/>
    <col min="12545" max="12545" width="41.5703125" style="414" bestFit="1" customWidth="1"/>
    <col min="12546" max="12549" width="9.140625" style="414"/>
    <col min="12550" max="12550" width="9.140625" style="414" customWidth="1"/>
    <col min="12551" max="12556" width="9.7109375" style="414" customWidth="1"/>
    <col min="12557" max="12557" width="9.140625" style="414" customWidth="1"/>
    <col min="12558" max="12800" width="9.140625" style="414"/>
    <col min="12801" max="12801" width="41.5703125" style="414" bestFit="1" customWidth="1"/>
    <col min="12802" max="12805" width="9.140625" style="414"/>
    <col min="12806" max="12806" width="9.140625" style="414" customWidth="1"/>
    <col min="12807" max="12812" width="9.7109375" style="414" customWidth="1"/>
    <col min="12813" max="12813" width="9.140625" style="414" customWidth="1"/>
    <col min="12814" max="13056" width="9.140625" style="414"/>
    <col min="13057" max="13057" width="41.5703125" style="414" bestFit="1" customWidth="1"/>
    <col min="13058" max="13061" width="9.140625" style="414"/>
    <col min="13062" max="13062" width="9.140625" style="414" customWidth="1"/>
    <col min="13063" max="13068" width="9.7109375" style="414" customWidth="1"/>
    <col min="13069" max="13069" width="9.140625" style="414" customWidth="1"/>
    <col min="13070" max="13312" width="9.140625" style="414"/>
    <col min="13313" max="13313" width="41.5703125" style="414" bestFit="1" customWidth="1"/>
    <col min="13314" max="13317" width="9.140625" style="414"/>
    <col min="13318" max="13318" width="9.140625" style="414" customWidth="1"/>
    <col min="13319" max="13324" width="9.7109375" style="414" customWidth="1"/>
    <col min="13325" max="13325" width="9.140625" style="414" customWidth="1"/>
    <col min="13326" max="13568" width="9.140625" style="414"/>
    <col min="13569" max="13569" width="41.5703125" style="414" bestFit="1" customWidth="1"/>
    <col min="13570" max="13573" width="9.140625" style="414"/>
    <col min="13574" max="13574" width="9.140625" style="414" customWidth="1"/>
    <col min="13575" max="13580" width="9.7109375" style="414" customWidth="1"/>
    <col min="13581" max="13581" width="9.140625" style="414" customWidth="1"/>
    <col min="13582" max="13824" width="9.140625" style="414"/>
    <col min="13825" max="13825" width="41.5703125" style="414" bestFit="1" customWidth="1"/>
    <col min="13826" max="13829" width="9.140625" style="414"/>
    <col min="13830" max="13830" width="9.140625" style="414" customWidth="1"/>
    <col min="13831" max="13836" width="9.7109375" style="414" customWidth="1"/>
    <col min="13837" max="13837" width="9.140625" style="414" customWidth="1"/>
    <col min="13838" max="14080" width="9.140625" style="414"/>
    <col min="14081" max="14081" width="41.5703125" style="414" bestFit="1" customWidth="1"/>
    <col min="14082" max="14085" width="9.140625" style="414"/>
    <col min="14086" max="14086" width="9.140625" style="414" customWidth="1"/>
    <col min="14087" max="14092" width="9.7109375" style="414" customWidth="1"/>
    <col min="14093" max="14093" width="9.140625" style="414" customWidth="1"/>
    <col min="14094" max="14336" width="9.140625" style="414"/>
    <col min="14337" max="14337" width="41.5703125" style="414" bestFit="1" customWidth="1"/>
    <col min="14338" max="14341" width="9.140625" style="414"/>
    <col min="14342" max="14342" width="9.140625" style="414" customWidth="1"/>
    <col min="14343" max="14348" width="9.7109375" style="414" customWidth="1"/>
    <col min="14349" max="14349" width="9.140625" style="414" customWidth="1"/>
    <col min="14350" max="14592" width="9.140625" style="414"/>
    <col min="14593" max="14593" width="41.5703125" style="414" bestFit="1" customWidth="1"/>
    <col min="14594" max="14597" width="9.140625" style="414"/>
    <col min="14598" max="14598" width="9.140625" style="414" customWidth="1"/>
    <col min="14599" max="14604" width="9.7109375" style="414" customWidth="1"/>
    <col min="14605" max="14605" width="9.140625" style="414" customWidth="1"/>
    <col min="14606" max="14848" width="9.140625" style="414"/>
    <col min="14849" max="14849" width="41.5703125" style="414" bestFit="1" customWidth="1"/>
    <col min="14850" max="14853" width="9.140625" style="414"/>
    <col min="14854" max="14854" width="9.140625" style="414" customWidth="1"/>
    <col min="14855" max="14860" width="9.7109375" style="414" customWidth="1"/>
    <col min="14861" max="14861" width="9.140625" style="414" customWidth="1"/>
    <col min="14862" max="15104" width="9.140625" style="414"/>
    <col min="15105" max="15105" width="41.5703125" style="414" bestFit="1" customWidth="1"/>
    <col min="15106" max="15109" width="9.140625" style="414"/>
    <col min="15110" max="15110" width="9.140625" style="414" customWidth="1"/>
    <col min="15111" max="15116" width="9.7109375" style="414" customWidth="1"/>
    <col min="15117" max="15117" width="9.140625" style="414" customWidth="1"/>
    <col min="15118" max="15360" width="9.140625" style="414"/>
    <col min="15361" max="15361" width="41.5703125" style="414" bestFit="1" customWidth="1"/>
    <col min="15362" max="15365" width="9.140625" style="414"/>
    <col min="15366" max="15366" width="9.140625" style="414" customWidth="1"/>
    <col min="15367" max="15372" width="9.7109375" style="414" customWidth="1"/>
    <col min="15373" max="15373" width="9.140625" style="414" customWidth="1"/>
    <col min="15374" max="15616" width="9.140625" style="414"/>
    <col min="15617" max="15617" width="41.5703125" style="414" bestFit="1" customWidth="1"/>
    <col min="15618" max="15621" width="9.140625" style="414"/>
    <col min="15622" max="15622" width="9.140625" style="414" customWidth="1"/>
    <col min="15623" max="15628" width="9.7109375" style="414" customWidth="1"/>
    <col min="15629" max="15629" width="9.140625" style="414" customWidth="1"/>
    <col min="15630" max="15872" width="9.140625" style="414"/>
    <col min="15873" max="15873" width="41.5703125" style="414" bestFit="1" customWidth="1"/>
    <col min="15874" max="15877" width="9.140625" style="414"/>
    <col min="15878" max="15878" width="9.140625" style="414" customWidth="1"/>
    <col min="15879" max="15884" width="9.7109375" style="414" customWidth="1"/>
    <col min="15885" max="15885" width="9.140625" style="414" customWidth="1"/>
    <col min="15886" max="16128" width="9.140625" style="414"/>
    <col min="16129" max="16129" width="41.5703125" style="414" bestFit="1" customWidth="1"/>
    <col min="16130" max="16133" width="9.140625" style="414"/>
    <col min="16134" max="16134" width="9.140625" style="414" customWidth="1"/>
    <col min="16135" max="16140" width="9.7109375" style="414" customWidth="1"/>
    <col min="16141" max="16141" width="9.140625" style="414" customWidth="1"/>
    <col min="16142" max="16384" width="9.140625" style="414"/>
  </cols>
  <sheetData>
    <row r="2" spans="1:12" ht="30" customHeight="1" x14ac:dyDescent="0.25">
      <c r="A2" s="1465" t="s">
        <v>1336</v>
      </c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</row>
    <row r="3" spans="1:12" x14ac:dyDescent="0.25">
      <c r="A3" s="1465"/>
      <c r="B3" s="1465"/>
      <c r="C3" s="1465"/>
      <c r="D3" s="1465"/>
      <c r="E3" s="1465"/>
      <c r="F3" s="1465"/>
      <c r="G3" s="1465"/>
      <c r="H3" s="1465"/>
      <c r="I3" s="1465"/>
      <c r="J3" s="1465"/>
      <c r="K3" s="1465"/>
      <c r="L3" s="1465"/>
    </row>
    <row r="5" spans="1:12" ht="106.5" customHeight="1" x14ac:dyDescent="0.25">
      <c r="A5" s="1466" t="s">
        <v>489</v>
      </c>
      <c r="B5" s="1467" t="s">
        <v>1040</v>
      </c>
      <c r="C5" s="1467"/>
      <c r="D5" s="1467" t="s">
        <v>490</v>
      </c>
      <c r="E5" s="1468" t="s">
        <v>491</v>
      </c>
      <c r="F5" s="1469"/>
      <c r="G5" s="1470" t="s">
        <v>1041</v>
      </c>
      <c r="H5" s="1470"/>
      <c r="I5" s="1470"/>
      <c r="J5" s="1470"/>
      <c r="K5" s="1470"/>
      <c r="L5" s="1470"/>
    </row>
    <row r="6" spans="1:12" ht="87.75" customHeight="1" x14ac:dyDescent="0.25">
      <c r="A6" s="1466"/>
      <c r="B6" s="1466" t="s">
        <v>1337</v>
      </c>
      <c r="C6" s="1466"/>
      <c r="D6" s="1467"/>
      <c r="E6" s="1471" t="s">
        <v>1338</v>
      </c>
      <c r="F6" s="1471"/>
      <c r="G6" s="1463" t="s">
        <v>1339</v>
      </c>
      <c r="H6" s="1463"/>
      <c r="I6" s="1368" t="s">
        <v>1042</v>
      </c>
      <c r="J6" s="1368"/>
      <c r="K6" s="1463" t="s">
        <v>1340</v>
      </c>
      <c r="L6" s="1463"/>
    </row>
    <row r="7" spans="1:12" x14ac:dyDescent="0.25">
      <c r="A7" s="1466"/>
      <c r="B7" s="570" t="s">
        <v>492</v>
      </c>
      <c r="C7" s="570" t="s">
        <v>493</v>
      </c>
      <c r="D7" s="1467"/>
      <c r="E7" s="571" t="s">
        <v>492</v>
      </c>
      <c r="F7" s="571" t="s">
        <v>493</v>
      </c>
      <c r="G7" s="571" t="s">
        <v>492</v>
      </c>
      <c r="H7" s="571" t="s">
        <v>493</v>
      </c>
      <c r="I7" s="572" t="s">
        <v>492</v>
      </c>
      <c r="J7" s="572" t="s">
        <v>493</v>
      </c>
      <c r="K7" s="571" t="s">
        <v>492</v>
      </c>
      <c r="L7" s="571" t="s">
        <v>493</v>
      </c>
    </row>
    <row r="8" spans="1:12" s="415" customFormat="1" ht="27.75" customHeight="1" x14ac:dyDescent="0.25">
      <c r="A8" s="573">
        <v>1</v>
      </c>
      <c r="B8" s="573">
        <v>2</v>
      </c>
      <c r="C8" s="573">
        <v>3</v>
      </c>
      <c r="D8" s="573">
        <v>4</v>
      </c>
      <c r="E8" s="573" t="s">
        <v>494</v>
      </c>
      <c r="F8" s="573" t="s">
        <v>495</v>
      </c>
      <c r="G8" s="574" t="s">
        <v>496</v>
      </c>
      <c r="H8" s="574" t="s">
        <v>497</v>
      </c>
      <c r="I8" s="574" t="s">
        <v>1341</v>
      </c>
      <c r="J8" s="574" t="s">
        <v>1342</v>
      </c>
      <c r="K8" s="574" t="s">
        <v>1343</v>
      </c>
      <c r="L8" s="574" t="s">
        <v>1344</v>
      </c>
    </row>
    <row r="9" spans="1:12" x14ac:dyDescent="0.25">
      <c r="A9" s="575" t="s">
        <v>1345</v>
      </c>
      <c r="B9" s="576">
        <v>40</v>
      </c>
      <c r="C9" s="576">
        <v>50</v>
      </c>
      <c r="D9" s="577">
        <v>60.16</v>
      </c>
      <c r="E9" s="578">
        <f t="shared" ref="E9:E30" si="0">B9*D9/1000</f>
        <v>2.41</v>
      </c>
      <c r="F9" s="578">
        <f t="shared" ref="F9:F30" si="1">C9*D9/1000</f>
        <v>3.01</v>
      </c>
      <c r="G9" s="578">
        <f t="shared" ref="G9:H39" si="2">E9*1</f>
        <v>2.41</v>
      </c>
      <c r="H9" s="578">
        <f t="shared" si="2"/>
        <v>3.01</v>
      </c>
      <c r="I9" s="579">
        <f>E9*0.75</f>
        <v>1.81</v>
      </c>
      <c r="J9" s="579">
        <f>F9*0.75</f>
        <v>2.2599999999999998</v>
      </c>
      <c r="K9" s="578">
        <f>E9*0.35</f>
        <v>0.84</v>
      </c>
      <c r="L9" s="578">
        <f>F9*0.35</f>
        <v>1.05</v>
      </c>
    </row>
    <row r="10" spans="1:12" x14ac:dyDescent="0.25">
      <c r="A10" s="575" t="s">
        <v>498</v>
      </c>
      <c r="B10" s="576">
        <v>60</v>
      </c>
      <c r="C10" s="576">
        <v>80</v>
      </c>
      <c r="D10" s="577">
        <v>71.63</v>
      </c>
      <c r="E10" s="578">
        <f t="shared" si="0"/>
        <v>4.3</v>
      </c>
      <c r="F10" s="578">
        <f t="shared" si="1"/>
        <v>5.73</v>
      </c>
      <c r="G10" s="578">
        <f t="shared" si="2"/>
        <v>4.3</v>
      </c>
      <c r="H10" s="578">
        <f t="shared" si="2"/>
        <v>5.73</v>
      </c>
      <c r="I10" s="579">
        <f t="shared" ref="I10:J39" si="3">E10*0.75</f>
        <v>3.23</v>
      </c>
      <c r="J10" s="579">
        <f t="shared" si="3"/>
        <v>4.3</v>
      </c>
      <c r="K10" s="578">
        <f t="shared" ref="K10:L39" si="4">E10*0.35</f>
        <v>1.51</v>
      </c>
      <c r="L10" s="578">
        <f t="shared" si="4"/>
        <v>2.0099999999999998</v>
      </c>
    </row>
    <row r="11" spans="1:12" x14ac:dyDescent="0.25">
      <c r="A11" s="575" t="s">
        <v>499</v>
      </c>
      <c r="B11" s="576">
        <v>25</v>
      </c>
      <c r="C11" s="576">
        <v>29</v>
      </c>
      <c r="D11" s="577">
        <v>48.2</v>
      </c>
      <c r="E11" s="578">
        <f t="shared" si="0"/>
        <v>1.21</v>
      </c>
      <c r="F11" s="578">
        <f t="shared" si="1"/>
        <v>1.4</v>
      </c>
      <c r="G11" s="578">
        <f t="shared" si="2"/>
        <v>1.21</v>
      </c>
      <c r="H11" s="578">
        <f t="shared" si="2"/>
        <v>1.4</v>
      </c>
      <c r="I11" s="579">
        <f t="shared" si="3"/>
        <v>0.91</v>
      </c>
      <c r="J11" s="579">
        <f t="shared" si="3"/>
        <v>1.05</v>
      </c>
      <c r="K11" s="578">
        <f t="shared" si="4"/>
        <v>0.42</v>
      </c>
      <c r="L11" s="578">
        <f t="shared" si="4"/>
        <v>0.49</v>
      </c>
    </row>
    <row r="12" spans="1:12" x14ac:dyDescent="0.25">
      <c r="A12" s="575" t="s">
        <v>500</v>
      </c>
      <c r="B12" s="576">
        <v>30</v>
      </c>
      <c r="C12" s="576">
        <v>43</v>
      </c>
      <c r="D12" s="577">
        <f>(90.83+47.09+95.79)/3</f>
        <v>77.900000000000006</v>
      </c>
      <c r="E12" s="578">
        <f t="shared" si="0"/>
        <v>2.34</v>
      </c>
      <c r="F12" s="578">
        <f t="shared" si="1"/>
        <v>3.35</v>
      </c>
      <c r="G12" s="578">
        <f t="shared" si="2"/>
        <v>2.34</v>
      </c>
      <c r="H12" s="578">
        <f t="shared" si="2"/>
        <v>3.35</v>
      </c>
      <c r="I12" s="579">
        <f t="shared" si="3"/>
        <v>1.76</v>
      </c>
      <c r="J12" s="579">
        <f t="shared" si="3"/>
        <v>2.5099999999999998</v>
      </c>
      <c r="K12" s="578">
        <f t="shared" si="4"/>
        <v>0.82</v>
      </c>
      <c r="L12" s="578">
        <f t="shared" si="4"/>
        <v>1.17</v>
      </c>
    </row>
    <row r="13" spans="1:12" x14ac:dyDescent="0.25">
      <c r="A13" s="575" t="s">
        <v>501</v>
      </c>
      <c r="B13" s="576">
        <v>8</v>
      </c>
      <c r="C13" s="576">
        <v>12</v>
      </c>
      <c r="D13" s="577">
        <f>(108.13)</f>
        <v>108.13</v>
      </c>
      <c r="E13" s="578">
        <f t="shared" si="0"/>
        <v>0.87</v>
      </c>
      <c r="F13" s="578">
        <f t="shared" si="1"/>
        <v>1.3</v>
      </c>
      <c r="G13" s="578">
        <f t="shared" si="2"/>
        <v>0.87</v>
      </c>
      <c r="H13" s="578">
        <f t="shared" si="2"/>
        <v>1.3</v>
      </c>
      <c r="I13" s="579">
        <f t="shared" si="3"/>
        <v>0.65</v>
      </c>
      <c r="J13" s="579">
        <f t="shared" si="3"/>
        <v>0.98</v>
      </c>
      <c r="K13" s="578">
        <f t="shared" si="4"/>
        <v>0.3</v>
      </c>
      <c r="L13" s="578">
        <f t="shared" si="4"/>
        <v>0.46</v>
      </c>
    </row>
    <row r="14" spans="1:12" x14ac:dyDescent="0.25">
      <c r="A14" s="575" t="s">
        <v>1346</v>
      </c>
      <c r="B14" s="580">
        <v>120</v>
      </c>
      <c r="C14" s="580">
        <v>140</v>
      </c>
      <c r="D14" s="577">
        <f>29.95</f>
        <v>29.95</v>
      </c>
      <c r="E14" s="578">
        <f t="shared" si="0"/>
        <v>3.59</v>
      </c>
      <c r="F14" s="578">
        <f t="shared" si="1"/>
        <v>4.1900000000000004</v>
      </c>
      <c r="G14" s="578">
        <f t="shared" si="2"/>
        <v>3.59</v>
      </c>
      <c r="H14" s="578">
        <f t="shared" si="2"/>
        <v>4.1900000000000004</v>
      </c>
      <c r="I14" s="579">
        <f t="shared" si="3"/>
        <v>2.69</v>
      </c>
      <c r="J14" s="579">
        <f t="shared" si="3"/>
        <v>3.14</v>
      </c>
      <c r="K14" s="578">
        <f t="shared" si="4"/>
        <v>1.26</v>
      </c>
      <c r="L14" s="578">
        <f t="shared" si="4"/>
        <v>1.47</v>
      </c>
    </row>
    <row r="15" spans="1:12" ht="75" x14ac:dyDescent="0.25">
      <c r="A15" s="575" t="s">
        <v>1347</v>
      </c>
      <c r="B15" s="576">
        <v>180</v>
      </c>
      <c r="C15" s="576">
        <v>220</v>
      </c>
      <c r="D15" s="577">
        <f>(27.96+27.21+33.45)/3</f>
        <v>29.54</v>
      </c>
      <c r="E15" s="578">
        <f t="shared" si="0"/>
        <v>5.32</v>
      </c>
      <c r="F15" s="578">
        <f t="shared" si="1"/>
        <v>6.5</v>
      </c>
      <c r="G15" s="578">
        <f t="shared" si="2"/>
        <v>5.32</v>
      </c>
      <c r="H15" s="578">
        <f t="shared" si="2"/>
        <v>6.5</v>
      </c>
      <c r="I15" s="579">
        <f t="shared" si="3"/>
        <v>3.99</v>
      </c>
      <c r="J15" s="579">
        <f t="shared" si="3"/>
        <v>4.88</v>
      </c>
      <c r="K15" s="578">
        <f t="shared" si="4"/>
        <v>1.86</v>
      </c>
      <c r="L15" s="578">
        <f t="shared" si="4"/>
        <v>2.2799999999999998</v>
      </c>
    </row>
    <row r="16" spans="1:12" x14ac:dyDescent="0.25">
      <c r="A16" s="575" t="s">
        <v>1348</v>
      </c>
      <c r="B16" s="576">
        <v>95</v>
      </c>
      <c r="C16" s="576">
        <v>100</v>
      </c>
      <c r="D16" s="577">
        <f>75.13</f>
        <v>75.13</v>
      </c>
      <c r="E16" s="578">
        <f t="shared" si="0"/>
        <v>7.14</v>
      </c>
      <c r="F16" s="578">
        <f t="shared" si="1"/>
        <v>7.51</v>
      </c>
      <c r="G16" s="578">
        <f t="shared" si="2"/>
        <v>7.14</v>
      </c>
      <c r="H16" s="578">
        <f t="shared" si="2"/>
        <v>7.51</v>
      </c>
      <c r="I16" s="579">
        <f t="shared" si="3"/>
        <v>5.36</v>
      </c>
      <c r="J16" s="579">
        <f t="shared" si="3"/>
        <v>5.63</v>
      </c>
      <c r="K16" s="578">
        <f t="shared" si="4"/>
        <v>2.5</v>
      </c>
      <c r="L16" s="578">
        <f t="shared" si="4"/>
        <v>2.63</v>
      </c>
    </row>
    <row r="17" spans="1:12" x14ac:dyDescent="0.25">
      <c r="A17" s="575" t="s">
        <v>1349</v>
      </c>
      <c r="B17" s="576">
        <v>9</v>
      </c>
      <c r="C17" s="576">
        <v>11</v>
      </c>
      <c r="D17" s="581">
        <v>161</v>
      </c>
      <c r="E17" s="578">
        <f t="shared" si="0"/>
        <v>1.45</v>
      </c>
      <c r="F17" s="578">
        <f t="shared" si="1"/>
        <v>1.77</v>
      </c>
      <c r="G17" s="578">
        <f t="shared" si="2"/>
        <v>1.45</v>
      </c>
      <c r="H17" s="578">
        <f t="shared" si="2"/>
        <v>1.77</v>
      </c>
      <c r="I17" s="579">
        <f t="shared" si="3"/>
        <v>1.0900000000000001</v>
      </c>
      <c r="J17" s="579">
        <f t="shared" si="3"/>
        <v>1.33</v>
      </c>
      <c r="K17" s="578">
        <f t="shared" si="4"/>
        <v>0.51</v>
      </c>
      <c r="L17" s="578">
        <f t="shared" si="4"/>
        <v>0.62</v>
      </c>
    </row>
    <row r="18" spans="1:12" x14ac:dyDescent="0.25">
      <c r="A18" s="575" t="s">
        <v>1350</v>
      </c>
      <c r="B18" s="576">
        <v>100</v>
      </c>
      <c r="C18" s="576">
        <v>100</v>
      </c>
      <c r="D18" s="581">
        <v>83</v>
      </c>
      <c r="E18" s="578">
        <f t="shared" si="0"/>
        <v>8.3000000000000007</v>
      </c>
      <c r="F18" s="578">
        <f t="shared" si="1"/>
        <v>8.3000000000000007</v>
      </c>
      <c r="G18" s="578">
        <f t="shared" si="2"/>
        <v>8.3000000000000007</v>
      </c>
      <c r="H18" s="578">
        <f t="shared" si="2"/>
        <v>8.3000000000000007</v>
      </c>
      <c r="I18" s="579">
        <f t="shared" si="3"/>
        <v>6.23</v>
      </c>
      <c r="J18" s="579">
        <f t="shared" si="3"/>
        <v>6.23</v>
      </c>
      <c r="K18" s="578">
        <f t="shared" si="4"/>
        <v>2.91</v>
      </c>
      <c r="L18" s="578">
        <f t="shared" si="4"/>
        <v>2.91</v>
      </c>
    </row>
    <row r="19" spans="1:12" x14ac:dyDescent="0.25">
      <c r="A19" s="575" t="s">
        <v>1351</v>
      </c>
      <c r="B19" s="576">
        <v>50</v>
      </c>
      <c r="C19" s="576">
        <v>55</v>
      </c>
      <c r="D19" s="577">
        <f>(477.74+335.26)/2</f>
        <v>406.5</v>
      </c>
      <c r="E19" s="578">
        <f t="shared" si="0"/>
        <v>20.329999999999998</v>
      </c>
      <c r="F19" s="578">
        <f t="shared" si="1"/>
        <v>22.36</v>
      </c>
      <c r="G19" s="578">
        <f t="shared" si="2"/>
        <v>20.329999999999998</v>
      </c>
      <c r="H19" s="578">
        <f t="shared" si="2"/>
        <v>22.36</v>
      </c>
      <c r="I19" s="579">
        <f t="shared" si="3"/>
        <v>15.25</v>
      </c>
      <c r="J19" s="579">
        <f t="shared" si="3"/>
        <v>16.77</v>
      </c>
      <c r="K19" s="578">
        <f t="shared" si="4"/>
        <v>7.12</v>
      </c>
      <c r="L19" s="578">
        <f t="shared" si="4"/>
        <v>7.83</v>
      </c>
    </row>
    <row r="20" spans="1:12" ht="30" x14ac:dyDescent="0.25">
      <c r="A20" s="575" t="s">
        <v>1352</v>
      </c>
      <c r="B20" s="582">
        <v>20</v>
      </c>
      <c r="C20" s="582">
        <v>24</v>
      </c>
      <c r="D20" s="577">
        <v>176.8</v>
      </c>
      <c r="E20" s="578">
        <f t="shared" si="0"/>
        <v>3.54</v>
      </c>
      <c r="F20" s="578">
        <f t="shared" si="1"/>
        <v>4.24</v>
      </c>
      <c r="G20" s="578">
        <f t="shared" si="2"/>
        <v>3.54</v>
      </c>
      <c r="H20" s="578">
        <f t="shared" si="2"/>
        <v>4.24</v>
      </c>
      <c r="I20" s="579">
        <f t="shared" si="3"/>
        <v>2.66</v>
      </c>
      <c r="J20" s="579">
        <f t="shared" si="3"/>
        <v>3.18</v>
      </c>
      <c r="K20" s="578">
        <f t="shared" si="4"/>
        <v>1.24</v>
      </c>
      <c r="L20" s="578">
        <f t="shared" si="4"/>
        <v>1.48</v>
      </c>
    </row>
    <row r="21" spans="1:12" x14ac:dyDescent="0.25">
      <c r="A21" s="575" t="s">
        <v>1353</v>
      </c>
      <c r="B21" s="582">
        <v>20</v>
      </c>
      <c r="C21" s="582">
        <v>25</v>
      </c>
      <c r="D21" s="581">
        <v>350</v>
      </c>
      <c r="E21" s="578">
        <f t="shared" si="0"/>
        <v>7</v>
      </c>
      <c r="F21" s="578">
        <f t="shared" si="1"/>
        <v>8.75</v>
      </c>
      <c r="G21" s="578">
        <f t="shared" si="2"/>
        <v>7</v>
      </c>
      <c r="H21" s="578">
        <f t="shared" si="2"/>
        <v>8.75</v>
      </c>
      <c r="I21" s="579">
        <f t="shared" si="3"/>
        <v>5.25</v>
      </c>
      <c r="J21" s="579">
        <f t="shared" si="3"/>
        <v>6.56</v>
      </c>
      <c r="K21" s="578">
        <f t="shared" si="4"/>
        <v>2.4500000000000002</v>
      </c>
      <c r="L21" s="578">
        <f t="shared" si="4"/>
        <v>3.06</v>
      </c>
    </row>
    <row r="22" spans="1:12" ht="30" x14ac:dyDescent="0.25">
      <c r="A22" s="575" t="s">
        <v>1354</v>
      </c>
      <c r="B22" s="576">
        <v>32</v>
      </c>
      <c r="C22" s="576">
        <v>37</v>
      </c>
      <c r="D22" s="577">
        <f>200.11</f>
        <v>200.11</v>
      </c>
      <c r="E22" s="578">
        <f t="shared" si="0"/>
        <v>6.4</v>
      </c>
      <c r="F22" s="578">
        <f t="shared" si="1"/>
        <v>7.4</v>
      </c>
      <c r="G22" s="578">
        <f t="shared" si="2"/>
        <v>6.4</v>
      </c>
      <c r="H22" s="578">
        <f t="shared" si="2"/>
        <v>7.4</v>
      </c>
      <c r="I22" s="579">
        <f t="shared" si="3"/>
        <v>4.8</v>
      </c>
      <c r="J22" s="579">
        <f t="shared" si="3"/>
        <v>5.55</v>
      </c>
      <c r="K22" s="578">
        <f t="shared" si="4"/>
        <v>2.2400000000000002</v>
      </c>
      <c r="L22" s="578">
        <f t="shared" si="4"/>
        <v>2.59</v>
      </c>
    </row>
    <row r="23" spans="1:12" x14ac:dyDescent="0.25">
      <c r="A23" s="575" t="s">
        <v>1355</v>
      </c>
      <c r="B23" s="576">
        <v>2</v>
      </c>
      <c r="C23" s="576">
        <v>3</v>
      </c>
      <c r="D23" s="581">
        <v>95</v>
      </c>
      <c r="E23" s="578">
        <f t="shared" si="0"/>
        <v>0.19</v>
      </c>
      <c r="F23" s="578">
        <f t="shared" si="1"/>
        <v>0.28999999999999998</v>
      </c>
      <c r="G23" s="578">
        <f t="shared" si="2"/>
        <v>0.19</v>
      </c>
      <c r="H23" s="578">
        <f t="shared" si="2"/>
        <v>0.28999999999999998</v>
      </c>
      <c r="I23" s="579">
        <f t="shared" si="3"/>
        <v>0.14000000000000001</v>
      </c>
      <c r="J23" s="579">
        <f t="shared" si="3"/>
        <v>0.22</v>
      </c>
      <c r="K23" s="578">
        <f t="shared" si="4"/>
        <v>7.0000000000000007E-2</v>
      </c>
      <c r="L23" s="578">
        <f t="shared" si="4"/>
        <v>0.1</v>
      </c>
    </row>
    <row r="24" spans="1:12" ht="30" x14ac:dyDescent="0.25">
      <c r="A24" s="575" t="s">
        <v>1356</v>
      </c>
      <c r="B24" s="576">
        <v>390</v>
      </c>
      <c r="C24" s="576">
        <v>450</v>
      </c>
      <c r="D24" s="577">
        <v>70.23</v>
      </c>
      <c r="E24" s="578">
        <f t="shared" si="0"/>
        <v>27.39</v>
      </c>
      <c r="F24" s="578">
        <f t="shared" si="1"/>
        <v>31.6</v>
      </c>
      <c r="G24" s="578">
        <f t="shared" si="2"/>
        <v>27.39</v>
      </c>
      <c r="H24" s="578">
        <f t="shared" si="2"/>
        <v>31.6</v>
      </c>
      <c r="I24" s="579">
        <f t="shared" si="3"/>
        <v>20.54</v>
      </c>
      <c r="J24" s="579">
        <f t="shared" si="3"/>
        <v>23.7</v>
      </c>
      <c r="K24" s="578">
        <f t="shared" si="4"/>
        <v>9.59</v>
      </c>
      <c r="L24" s="578">
        <f t="shared" si="4"/>
        <v>11.06</v>
      </c>
    </row>
    <row r="25" spans="1:12" x14ac:dyDescent="0.25">
      <c r="A25" s="575" t="s">
        <v>1357</v>
      </c>
      <c r="B25" s="576">
        <v>0</v>
      </c>
      <c r="C25" s="576">
        <v>50</v>
      </c>
      <c r="D25" s="581">
        <v>83</v>
      </c>
      <c r="E25" s="578">
        <f t="shared" si="0"/>
        <v>0</v>
      </c>
      <c r="F25" s="578">
        <f t="shared" si="1"/>
        <v>4.1500000000000004</v>
      </c>
      <c r="G25" s="578">
        <f t="shared" si="2"/>
        <v>0</v>
      </c>
      <c r="H25" s="578">
        <f t="shared" si="2"/>
        <v>4.1500000000000004</v>
      </c>
      <c r="I25" s="579">
        <f t="shared" si="3"/>
        <v>0</v>
      </c>
      <c r="J25" s="579">
        <f t="shared" si="3"/>
        <v>3.11</v>
      </c>
      <c r="K25" s="578">
        <f t="shared" si="4"/>
        <v>0</v>
      </c>
      <c r="L25" s="578">
        <f t="shared" si="4"/>
        <v>1.45</v>
      </c>
    </row>
    <row r="26" spans="1:12" x14ac:dyDescent="0.25">
      <c r="A26" s="575" t="s">
        <v>1358</v>
      </c>
      <c r="B26" s="576">
        <v>30</v>
      </c>
      <c r="C26" s="576">
        <v>40</v>
      </c>
      <c r="D26" s="577">
        <v>362.78</v>
      </c>
      <c r="E26" s="578">
        <f t="shared" si="0"/>
        <v>10.88</v>
      </c>
      <c r="F26" s="578">
        <f t="shared" si="1"/>
        <v>14.51</v>
      </c>
      <c r="G26" s="578">
        <f t="shared" si="2"/>
        <v>10.88</v>
      </c>
      <c r="H26" s="578">
        <f t="shared" si="2"/>
        <v>14.51</v>
      </c>
      <c r="I26" s="579">
        <f t="shared" si="3"/>
        <v>8.16</v>
      </c>
      <c r="J26" s="579">
        <f t="shared" si="3"/>
        <v>10.88</v>
      </c>
      <c r="K26" s="578">
        <f t="shared" si="4"/>
        <v>3.81</v>
      </c>
      <c r="L26" s="578">
        <f t="shared" si="4"/>
        <v>5.08</v>
      </c>
    </row>
    <row r="27" spans="1:12" x14ac:dyDescent="0.25">
      <c r="A27" s="575" t="s">
        <v>1359</v>
      </c>
      <c r="B27" s="576">
        <v>4</v>
      </c>
      <c r="C27" s="576">
        <v>6</v>
      </c>
      <c r="D27" s="577">
        <v>711.37</v>
      </c>
      <c r="E27" s="578">
        <f t="shared" si="0"/>
        <v>2.85</v>
      </c>
      <c r="F27" s="578">
        <f t="shared" si="1"/>
        <v>4.2699999999999996</v>
      </c>
      <c r="G27" s="578">
        <f t="shared" si="2"/>
        <v>2.85</v>
      </c>
      <c r="H27" s="578">
        <f t="shared" si="2"/>
        <v>4.2699999999999996</v>
      </c>
      <c r="I27" s="579">
        <f t="shared" si="3"/>
        <v>2.14</v>
      </c>
      <c r="J27" s="579">
        <f t="shared" si="3"/>
        <v>3.2</v>
      </c>
      <c r="K27" s="578">
        <f t="shared" si="4"/>
        <v>1</v>
      </c>
      <c r="L27" s="578">
        <f t="shared" si="4"/>
        <v>1.49</v>
      </c>
    </row>
    <row r="28" spans="1:12" x14ac:dyDescent="0.25">
      <c r="A28" s="575" t="s">
        <v>1360</v>
      </c>
      <c r="B28" s="576">
        <v>9</v>
      </c>
      <c r="C28" s="576">
        <v>11</v>
      </c>
      <c r="D28" s="577">
        <v>280.91000000000003</v>
      </c>
      <c r="E28" s="578">
        <f t="shared" si="0"/>
        <v>2.5299999999999998</v>
      </c>
      <c r="F28" s="578">
        <f t="shared" si="1"/>
        <v>3.09</v>
      </c>
      <c r="G28" s="578">
        <f t="shared" si="2"/>
        <v>2.5299999999999998</v>
      </c>
      <c r="H28" s="578">
        <f t="shared" si="2"/>
        <v>3.09</v>
      </c>
      <c r="I28" s="579">
        <f t="shared" si="3"/>
        <v>1.9</v>
      </c>
      <c r="J28" s="579">
        <f t="shared" si="3"/>
        <v>2.3199999999999998</v>
      </c>
      <c r="K28" s="578">
        <f t="shared" si="4"/>
        <v>0.89</v>
      </c>
      <c r="L28" s="578">
        <f t="shared" si="4"/>
        <v>1.08</v>
      </c>
    </row>
    <row r="29" spans="1:12" x14ac:dyDescent="0.25">
      <c r="A29" s="576" t="s">
        <v>1361</v>
      </c>
      <c r="B29" s="576">
        <v>18</v>
      </c>
      <c r="C29" s="576">
        <v>21</v>
      </c>
      <c r="D29" s="577">
        <v>717.94</v>
      </c>
      <c r="E29" s="578">
        <f t="shared" si="0"/>
        <v>12.92</v>
      </c>
      <c r="F29" s="578">
        <f t="shared" si="1"/>
        <v>15.08</v>
      </c>
      <c r="G29" s="578">
        <f t="shared" si="2"/>
        <v>12.92</v>
      </c>
      <c r="H29" s="578">
        <f t="shared" si="2"/>
        <v>15.08</v>
      </c>
      <c r="I29" s="579">
        <f t="shared" si="3"/>
        <v>9.69</v>
      </c>
      <c r="J29" s="579">
        <f t="shared" si="3"/>
        <v>11.31</v>
      </c>
      <c r="K29" s="578">
        <f t="shared" si="4"/>
        <v>4.5199999999999996</v>
      </c>
      <c r="L29" s="578">
        <f t="shared" si="4"/>
        <v>5.28</v>
      </c>
    </row>
    <row r="30" spans="1:12" x14ac:dyDescent="0.25">
      <c r="A30" s="576" t="s">
        <v>502</v>
      </c>
      <c r="B30" s="576">
        <v>9</v>
      </c>
      <c r="C30" s="576">
        <v>11</v>
      </c>
      <c r="D30" s="577">
        <v>126.39</v>
      </c>
      <c r="E30" s="578">
        <f t="shared" si="0"/>
        <v>1.1399999999999999</v>
      </c>
      <c r="F30" s="578">
        <f t="shared" si="1"/>
        <v>1.39</v>
      </c>
      <c r="G30" s="578">
        <f t="shared" si="2"/>
        <v>1.1399999999999999</v>
      </c>
      <c r="H30" s="578">
        <f t="shared" si="2"/>
        <v>1.39</v>
      </c>
      <c r="I30" s="579">
        <f t="shared" si="3"/>
        <v>0.86</v>
      </c>
      <c r="J30" s="579">
        <f t="shared" si="3"/>
        <v>1.04</v>
      </c>
      <c r="K30" s="578">
        <f t="shared" si="4"/>
        <v>0.4</v>
      </c>
      <c r="L30" s="578">
        <f t="shared" si="4"/>
        <v>0.49</v>
      </c>
    </row>
    <row r="31" spans="1:12" x14ac:dyDescent="0.25">
      <c r="A31" s="576" t="s">
        <v>1362</v>
      </c>
      <c r="B31" s="576">
        <v>1</v>
      </c>
      <c r="C31" s="576">
        <v>1</v>
      </c>
      <c r="D31" s="577">
        <f>72.55/10</f>
        <v>7.26</v>
      </c>
      <c r="E31" s="578">
        <f>B31*D31</f>
        <v>7.26</v>
      </c>
      <c r="F31" s="578">
        <f>C31*D31</f>
        <v>7.26</v>
      </c>
      <c r="G31" s="578">
        <f t="shared" si="2"/>
        <v>7.26</v>
      </c>
      <c r="H31" s="578">
        <f t="shared" si="2"/>
        <v>7.26</v>
      </c>
      <c r="I31" s="579">
        <f t="shared" si="3"/>
        <v>5.45</v>
      </c>
      <c r="J31" s="579">
        <f t="shared" si="3"/>
        <v>5.45</v>
      </c>
      <c r="K31" s="578">
        <f t="shared" si="4"/>
        <v>2.54</v>
      </c>
      <c r="L31" s="578">
        <f t="shared" si="4"/>
        <v>2.54</v>
      </c>
    </row>
    <row r="32" spans="1:12" ht="150" x14ac:dyDescent="0.25">
      <c r="A32" s="575" t="s">
        <v>1363</v>
      </c>
      <c r="B32" s="576">
        <v>25</v>
      </c>
      <c r="C32" s="576">
        <v>30</v>
      </c>
      <c r="D32" s="577">
        <v>64.650000000000006</v>
      </c>
      <c r="E32" s="578">
        <f t="shared" ref="E32:E39" si="5">B32*D32/1000</f>
        <v>1.62</v>
      </c>
      <c r="F32" s="578">
        <f t="shared" ref="F32:F39" si="6">C32*D32/1000</f>
        <v>1.94</v>
      </c>
      <c r="G32" s="578">
        <f t="shared" si="2"/>
        <v>1.62</v>
      </c>
      <c r="H32" s="578">
        <f t="shared" si="2"/>
        <v>1.94</v>
      </c>
      <c r="I32" s="579">
        <f t="shared" si="3"/>
        <v>1.22</v>
      </c>
      <c r="J32" s="579">
        <f t="shared" si="3"/>
        <v>1.46</v>
      </c>
      <c r="K32" s="578">
        <f t="shared" si="4"/>
        <v>0.56999999999999995</v>
      </c>
      <c r="L32" s="578">
        <f t="shared" si="4"/>
        <v>0.68</v>
      </c>
    </row>
    <row r="33" spans="1:12" x14ac:dyDescent="0.25">
      <c r="A33" s="576" t="s">
        <v>503</v>
      </c>
      <c r="B33" s="576">
        <v>12</v>
      </c>
      <c r="C33" s="576">
        <v>20</v>
      </c>
      <c r="D33" s="581">
        <v>241.14</v>
      </c>
      <c r="E33" s="578">
        <f t="shared" si="5"/>
        <v>2.89</v>
      </c>
      <c r="F33" s="578">
        <f t="shared" si="6"/>
        <v>4.82</v>
      </c>
      <c r="G33" s="578">
        <f t="shared" si="2"/>
        <v>2.89</v>
      </c>
      <c r="H33" s="578">
        <f t="shared" si="2"/>
        <v>4.82</v>
      </c>
      <c r="I33" s="579">
        <f t="shared" si="3"/>
        <v>2.17</v>
      </c>
      <c r="J33" s="579">
        <f t="shared" si="3"/>
        <v>3.62</v>
      </c>
      <c r="K33" s="578">
        <f t="shared" si="4"/>
        <v>1.01</v>
      </c>
      <c r="L33" s="578">
        <f t="shared" si="4"/>
        <v>1.69</v>
      </c>
    </row>
    <row r="34" spans="1:12" x14ac:dyDescent="0.25">
      <c r="A34" s="576" t="s">
        <v>504</v>
      </c>
      <c r="B34" s="576">
        <v>0.5</v>
      </c>
      <c r="C34" s="576">
        <v>0.6</v>
      </c>
      <c r="D34" s="577">
        <v>1157.69</v>
      </c>
      <c r="E34" s="578">
        <f t="shared" si="5"/>
        <v>0.57999999999999996</v>
      </c>
      <c r="F34" s="578">
        <f t="shared" si="6"/>
        <v>0.69</v>
      </c>
      <c r="G34" s="578">
        <f t="shared" si="2"/>
        <v>0.57999999999999996</v>
      </c>
      <c r="H34" s="578">
        <f t="shared" si="2"/>
        <v>0.69</v>
      </c>
      <c r="I34" s="579">
        <f t="shared" si="3"/>
        <v>0.44</v>
      </c>
      <c r="J34" s="579">
        <f t="shared" si="3"/>
        <v>0.52</v>
      </c>
      <c r="K34" s="578">
        <f t="shared" si="4"/>
        <v>0.2</v>
      </c>
      <c r="L34" s="578">
        <f t="shared" si="4"/>
        <v>0.24</v>
      </c>
    </row>
    <row r="35" spans="1:12" x14ac:dyDescent="0.25">
      <c r="A35" s="576" t="s">
        <v>505</v>
      </c>
      <c r="B35" s="576">
        <v>0.5</v>
      </c>
      <c r="C35" s="576">
        <v>0.6</v>
      </c>
      <c r="D35" s="581">
        <v>180</v>
      </c>
      <c r="E35" s="578">
        <f t="shared" si="5"/>
        <v>0.09</v>
      </c>
      <c r="F35" s="578">
        <f t="shared" si="6"/>
        <v>0.11</v>
      </c>
      <c r="G35" s="578">
        <f t="shared" si="2"/>
        <v>0.09</v>
      </c>
      <c r="H35" s="578">
        <f t="shared" si="2"/>
        <v>0.11</v>
      </c>
      <c r="I35" s="579">
        <f t="shared" si="3"/>
        <v>7.0000000000000007E-2</v>
      </c>
      <c r="J35" s="579">
        <f t="shared" si="3"/>
        <v>0.08</v>
      </c>
      <c r="K35" s="578">
        <f t="shared" si="4"/>
        <v>0.03</v>
      </c>
      <c r="L35" s="578">
        <f t="shared" si="4"/>
        <v>0.04</v>
      </c>
    </row>
    <row r="36" spans="1:12" x14ac:dyDescent="0.25">
      <c r="A36" s="576" t="s">
        <v>506</v>
      </c>
      <c r="B36" s="576">
        <v>1</v>
      </c>
      <c r="C36" s="576">
        <v>1.2</v>
      </c>
      <c r="D36" s="581">
        <v>400</v>
      </c>
      <c r="E36" s="578">
        <f t="shared" si="5"/>
        <v>0.4</v>
      </c>
      <c r="F36" s="578">
        <f t="shared" si="6"/>
        <v>0.48</v>
      </c>
      <c r="G36" s="578">
        <f t="shared" si="2"/>
        <v>0.4</v>
      </c>
      <c r="H36" s="578">
        <f t="shared" si="2"/>
        <v>0.48</v>
      </c>
      <c r="I36" s="579">
        <f t="shared" si="3"/>
        <v>0.3</v>
      </c>
      <c r="J36" s="579">
        <f t="shared" si="3"/>
        <v>0.36</v>
      </c>
      <c r="K36" s="578">
        <f t="shared" si="4"/>
        <v>0.14000000000000001</v>
      </c>
      <c r="L36" s="578">
        <f t="shared" si="4"/>
        <v>0.17</v>
      </c>
    </row>
    <row r="37" spans="1:12" x14ac:dyDescent="0.25">
      <c r="A37" s="576" t="s">
        <v>507</v>
      </c>
      <c r="B37" s="576">
        <v>0.4</v>
      </c>
      <c r="C37" s="576">
        <v>0.5</v>
      </c>
      <c r="D37" s="581">
        <v>290</v>
      </c>
      <c r="E37" s="578">
        <f t="shared" si="5"/>
        <v>0.12</v>
      </c>
      <c r="F37" s="578">
        <f t="shared" si="6"/>
        <v>0.15</v>
      </c>
      <c r="G37" s="578">
        <f t="shared" si="2"/>
        <v>0.12</v>
      </c>
      <c r="H37" s="578">
        <f t="shared" si="2"/>
        <v>0.15</v>
      </c>
      <c r="I37" s="579">
        <f t="shared" si="3"/>
        <v>0.09</v>
      </c>
      <c r="J37" s="579">
        <f t="shared" si="3"/>
        <v>0.11</v>
      </c>
      <c r="K37" s="578">
        <f t="shared" si="4"/>
        <v>0.04</v>
      </c>
      <c r="L37" s="578">
        <f t="shared" si="4"/>
        <v>0.05</v>
      </c>
    </row>
    <row r="38" spans="1:12" x14ac:dyDescent="0.25">
      <c r="A38" s="583" t="s">
        <v>1355</v>
      </c>
      <c r="B38" s="576">
        <v>2</v>
      </c>
      <c r="C38" s="576">
        <v>3</v>
      </c>
      <c r="D38" s="584">
        <v>95</v>
      </c>
      <c r="E38" s="578">
        <f t="shared" si="5"/>
        <v>0.19</v>
      </c>
      <c r="F38" s="578">
        <f t="shared" si="6"/>
        <v>0.28999999999999998</v>
      </c>
      <c r="G38" s="578">
        <f t="shared" si="2"/>
        <v>0.19</v>
      </c>
      <c r="H38" s="578">
        <f t="shared" si="2"/>
        <v>0.28999999999999998</v>
      </c>
      <c r="I38" s="579">
        <f t="shared" si="3"/>
        <v>0.14000000000000001</v>
      </c>
      <c r="J38" s="579">
        <f t="shared" si="3"/>
        <v>0.22</v>
      </c>
      <c r="K38" s="578">
        <f t="shared" si="4"/>
        <v>7.0000000000000007E-2</v>
      </c>
      <c r="L38" s="578">
        <f t="shared" si="4"/>
        <v>0.1</v>
      </c>
    </row>
    <row r="39" spans="1:12" x14ac:dyDescent="0.25">
      <c r="A39" s="576" t="s">
        <v>1364</v>
      </c>
      <c r="B39" s="576">
        <v>3</v>
      </c>
      <c r="C39" s="576">
        <v>5</v>
      </c>
      <c r="D39" s="577">
        <v>19.22</v>
      </c>
      <c r="E39" s="578">
        <f t="shared" si="5"/>
        <v>0.06</v>
      </c>
      <c r="F39" s="578">
        <f t="shared" si="6"/>
        <v>0.1</v>
      </c>
      <c r="G39" s="578">
        <f t="shared" si="2"/>
        <v>0.06</v>
      </c>
      <c r="H39" s="578">
        <f t="shared" si="2"/>
        <v>0.1</v>
      </c>
      <c r="I39" s="579">
        <f t="shared" si="3"/>
        <v>0.05</v>
      </c>
      <c r="J39" s="579">
        <f t="shared" si="3"/>
        <v>0.08</v>
      </c>
      <c r="K39" s="578">
        <f t="shared" si="4"/>
        <v>0.02</v>
      </c>
      <c r="L39" s="578">
        <f t="shared" si="4"/>
        <v>0.04</v>
      </c>
    </row>
    <row r="40" spans="1:12" x14ac:dyDescent="0.25">
      <c r="A40" s="585" t="s">
        <v>508</v>
      </c>
      <c r="B40" s="585"/>
      <c r="C40" s="585"/>
      <c r="D40" s="586"/>
      <c r="E40" s="586">
        <f>SUM(E9:E39)</f>
        <v>145.31</v>
      </c>
      <c r="F40" s="586">
        <f t="shared" ref="F40:L40" si="7">SUM(F9:F39)</f>
        <v>176.03</v>
      </c>
      <c r="G40" s="586">
        <f t="shared" si="7"/>
        <v>145.31</v>
      </c>
      <c r="H40" s="586">
        <f t="shared" si="7"/>
        <v>176.03</v>
      </c>
      <c r="I40" s="586">
        <f t="shared" si="7"/>
        <v>109.04</v>
      </c>
      <c r="J40" s="586">
        <f t="shared" si="7"/>
        <v>132.05000000000001</v>
      </c>
      <c r="K40" s="586">
        <f t="shared" si="7"/>
        <v>50.88</v>
      </c>
      <c r="L40" s="586">
        <f t="shared" si="7"/>
        <v>61.63</v>
      </c>
    </row>
    <row r="41" spans="1:12" hidden="1" x14ac:dyDescent="0.25">
      <c r="A41" s="587" t="s">
        <v>509</v>
      </c>
      <c r="B41" s="587"/>
      <c r="C41" s="587"/>
      <c r="D41" s="578"/>
      <c r="E41" s="588">
        <f>E40*247</f>
        <v>35892</v>
      </c>
      <c r="F41" s="588">
        <f t="shared" ref="F41:L41" si="8">F40*247</f>
        <v>43479</v>
      </c>
      <c r="G41" s="589">
        <f t="shared" si="8"/>
        <v>35891.57</v>
      </c>
      <c r="H41" s="589">
        <f t="shared" si="8"/>
        <v>43479.41</v>
      </c>
      <c r="I41" s="590">
        <f t="shared" si="8"/>
        <v>26932.880000000001</v>
      </c>
      <c r="J41" s="590">
        <f t="shared" si="8"/>
        <v>32616.35</v>
      </c>
      <c r="K41" s="589">
        <f t="shared" si="8"/>
        <v>12567.36</v>
      </c>
      <c r="L41" s="589">
        <f t="shared" si="8"/>
        <v>15222.61</v>
      </c>
    </row>
    <row r="42" spans="1:12" ht="78" customHeight="1" x14ac:dyDescent="0.25">
      <c r="A42" s="1464" t="s">
        <v>1365</v>
      </c>
      <c r="B42" s="1464"/>
      <c r="C42" s="1464"/>
      <c r="D42" s="1464"/>
      <c r="E42" s="1464"/>
      <c r="F42" s="1464"/>
      <c r="G42" s="1464"/>
      <c r="H42" s="1464"/>
      <c r="I42" s="1464"/>
      <c r="J42" s="1464"/>
      <c r="K42" s="1464"/>
      <c r="L42" s="1464"/>
    </row>
    <row r="44" spans="1:12" x14ac:dyDescent="0.25">
      <c r="A44" s="414" t="s">
        <v>1366</v>
      </c>
      <c r="G44" s="414">
        <v>127.25</v>
      </c>
      <c r="H44" s="414">
        <v>153.6</v>
      </c>
    </row>
    <row r="45" spans="1:12" x14ac:dyDescent="0.25">
      <c r="G45" s="591">
        <f>G40-G44</f>
        <v>18.059999999999999</v>
      </c>
      <c r="H45" s="591">
        <f>H40-H44</f>
        <v>22.43</v>
      </c>
    </row>
    <row r="47" spans="1:12" x14ac:dyDescent="0.25">
      <c r="A47" s="414" t="s">
        <v>1367</v>
      </c>
      <c r="G47" s="414">
        <v>126.85</v>
      </c>
      <c r="H47" s="414">
        <v>154.97999999999999</v>
      </c>
    </row>
    <row r="48" spans="1:12" x14ac:dyDescent="0.25">
      <c r="G48" s="591">
        <f>G40-G47</f>
        <v>18.46</v>
      </c>
      <c r="H48" s="591">
        <f>H40-H47</f>
        <v>21.05</v>
      </c>
    </row>
  </sheetData>
  <mergeCells count="13">
    <mergeCell ref="I6:J6"/>
    <mergeCell ref="K6:L6"/>
    <mergeCell ref="A42:L42"/>
    <mergeCell ref="A2:L2"/>
    <mergeCell ref="A3:L3"/>
    <mergeCell ref="A5:A7"/>
    <mergeCell ref="B5:C5"/>
    <mergeCell ref="D5:D7"/>
    <mergeCell ref="E5:F5"/>
    <mergeCell ref="G5:L5"/>
    <mergeCell ref="B6:C6"/>
    <mergeCell ref="E6:F6"/>
    <mergeCell ref="G6:H6"/>
  </mergeCells>
  <pageMargins left="0.7" right="0.7" top="0.75" bottom="0.75" header="0.3" footer="0.3"/>
  <pageSetup paperSize="9" scale="45" orientation="landscape" r:id="rId1"/>
  <colBreaks count="1" manualBreakCount="1">
    <brk id="6" max="4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J5"/>
  <sheetViews>
    <sheetView workbookViewId="0">
      <selection activeCell="J6" sqref="J6"/>
    </sheetView>
  </sheetViews>
  <sheetFormatPr defaultRowHeight="15" x14ac:dyDescent="0.25"/>
  <cols>
    <col min="1" max="1" width="22.5703125" style="355" customWidth="1"/>
    <col min="2" max="2" width="10.28515625" style="355" customWidth="1"/>
    <col min="3" max="5" width="9.140625" style="355"/>
    <col min="6" max="6" width="10.5703125" style="355" customWidth="1"/>
    <col min="7" max="7" width="12.42578125" style="355" customWidth="1"/>
    <col min="8" max="8" width="17" style="355" customWidth="1"/>
    <col min="9" max="9" width="17.140625" style="355" customWidth="1"/>
    <col min="10" max="10" width="13.28515625" style="355" customWidth="1"/>
    <col min="11" max="255" width="9.140625" style="355"/>
    <col min="256" max="256" width="22.5703125" style="355" customWidth="1"/>
    <col min="257" max="257" width="10.28515625" style="355" customWidth="1"/>
    <col min="258" max="260" width="9.140625" style="355"/>
    <col min="261" max="261" width="10.5703125" style="355" customWidth="1"/>
    <col min="262" max="262" width="9.140625" style="355"/>
    <col min="263" max="263" width="19.7109375" style="355" customWidth="1"/>
    <col min="264" max="264" width="17.5703125" style="355" customWidth="1"/>
    <col min="265" max="511" width="9.140625" style="355"/>
    <col min="512" max="512" width="22.5703125" style="355" customWidth="1"/>
    <col min="513" max="513" width="10.28515625" style="355" customWidth="1"/>
    <col min="514" max="516" width="9.140625" style="355"/>
    <col min="517" max="517" width="10.5703125" style="355" customWidth="1"/>
    <col min="518" max="518" width="9.140625" style="355"/>
    <col min="519" max="519" width="19.7109375" style="355" customWidth="1"/>
    <col min="520" max="520" width="17.5703125" style="355" customWidth="1"/>
    <col min="521" max="767" width="9.140625" style="355"/>
    <col min="768" max="768" width="22.5703125" style="355" customWidth="1"/>
    <col min="769" max="769" width="10.28515625" style="355" customWidth="1"/>
    <col min="770" max="772" width="9.140625" style="355"/>
    <col min="773" max="773" width="10.5703125" style="355" customWidth="1"/>
    <col min="774" max="774" width="9.140625" style="355"/>
    <col min="775" max="775" width="19.7109375" style="355" customWidth="1"/>
    <col min="776" max="776" width="17.5703125" style="355" customWidth="1"/>
    <col min="777" max="1023" width="9.140625" style="355"/>
    <col min="1024" max="1024" width="22.5703125" style="355" customWidth="1"/>
    <col min="1025" max="1025" width="10.28515625" style="355" customWidth="1"/>
    <col min="1026" max="1028" width="9.140625" style="355"/>
    <col min="1029" max="1029" width="10.5703125" style="355" customWidth="1"/>
    <col min="1030" max="1030" width="9.140625" style="355"/>
    <col min="1031" max="1031" width="19.7109375" style="355" customWidth="1"/>
    <col min="1032" max="1032" width="17.5703125" style="355" customWidth="1"/>
    <col min="1033" max="1279" width="9.140625" style="355"/>
    <col min="1280" max="1280" width="22.5703125" style="355" customWidth="1"/>
    <col min="1281" max="1281" width="10.28515625" style="355" customWidth="1"/>
    <col min="1282" max="1284" width="9.140625" style="355"/>
    <col min="1285" max="1285" width="10.5703125" style="355" customWidth="1"/>
    <col min="1286" max="1286" width="9.140625" style="355"/>
    <col min="1287" max="1287" width="19.7109375" style="355" customWidth="1"/>
    <col min="1288" max="1288" width="17.5703125" style="355" customWidth="1"/>
    <col min="1289" max="1535" width="9.140625" style="355"/>
    <col min="1536" max="1536" width="22.5703125" style="355" customWidth="1"/>
    <col min="1537" max="1537" width="10.28515625" style="355" customWidth="1"/>
    <col min="1538" max="1540" width="9.140625" style="355"/>
    <col min="1541" max="1541" width="10.5703125" style="355" customWidth="1"/>
    <col min="1542" max="1542" width="9.140625" style="355"/>
    <col min="1543" max="1543" width="19.7109375" style="355" customWidth="1"/>
    <col min="1544" max="1544" width="17.5703125" style="355" customWidth="1"/>
    <col min="1545" max="1791" width="9.140625" style="355"/>
    <col min="1792" max="1792" width="22.5703125" style="355" customWidth="1"/>
    <col min="1793" max="1793" width="10.28515625" style="355" customWidth="1"/>
    <col min="1794" max="1796" width="9.140625" style="355"/>
    <col min="1797" max="1797" width="10.5703125" style="355" customWidth="1"/>
    <col min="1798" max="1798" width="9.140625" style="355"/>
    <col min="1799" max="1799" width="19.7109375" style="355" customWidth="1"/>
    <col min="1800" max="1800" width="17.5703125" style="355" customWidth="1"/>
    <col min="1801" max="2047" width="9.140625" style="355"/>
    <col min="2048" max="2048" width="22.5703125" style="355" customWidth="1"/>
    <col min="2049" max="2049" width="10.28515625" style="355" customWidth="1"/>
    <col min="2050" max="2052" width="9.140625" style="355"/>
    <col min="2053" max="2053" width="10.5703125" style="355" customWidth="1"/>
    <col min="2054" max="2054" width="9.140625" style="355"/>
    <col min="2055" max="2055" width="19.7109375" style="355" customWidth="1"/>
    <col min="2056" max="2056" width="17.5703125" style="355" customWidth="1"/>
    <col min="2057" max="2303" width="9.140625" style="355"/>
    <col min="2304" max="2304" width="22.5703125" style="355" customWidth="1"/>
    <col min="2305" max="2305" width="10.28515625" style="355" customWidth="1"/>
    <col min="2306" max="2308" width="9.140625" style="355"/>
    <col min="2309" max="2309" width="10.5703125" style="355" customWidth="1"/>
    <col min="2310" max="2310" width="9.140625" style="355"/>
    <col min="2311" max="2311" width="19.7109375" style="355" customWidth="1"/>
    <col min="2312" max="2312" width="17.5703125" style="355" customWidth="1"/>
    <col min="2313" max="2559" width="9.140625" style="355"/>
    <col min="2560" max="2560" width="22.5703125" style="355" customWidth="1"/>
    <col min="2561" max="2561" width="10.28515625" style="355" customWidth="1"/>
    <col min="2562" max="2564" width="9.140625" style="355"/>
    <col min="2565" max="2565" width="10.5703125" style="355" customWidth="1"/>
    <col min="2566" max="2566" width="9.140625" style="355"/>
    <col min="2567" max="2567" width="19.7109375" style="355" customWidth="1"/>
    <col min="2568" max="2568" width="17.5703125" style="355" customWidth="1"/>
    <col min="2569" max="2815" width="9.140625" style="355"/>
    <col min="2816" max="2816" width="22.5703125" style="355" customWidth="1"/>
    <col min="2817" max="2817" width="10.28515625" style="355" customWidth="1"/>
    <col min="2818" max="2820" width="9.140625" style="355"/>
    <col min="2821" max="2821" width="10.5703125" style="355" customWidth="1"/>
    <col min="2822" max="2822" width="9.140625" style="355"/>
    <col min="2823" max="2823" width="19.7109375" style="355" customWidth="1"/>
    <col min="2824" max="2824" width="17.5703125" style="355" customWidth="1"/>
    <col min="2825" max="3071" width="9.140625" style="355"/>
    <col min="3072" max="3072" width="22.5703125" style="355" customWidth="1"/>
    <col min="3073" max="3073" width="10.28515625" style="355" customWidth="1"/>
    <col min="3074" max="3076" width="9.140625" style="355"/>
    <col min="3077" max="3077" width="10.5703125" style="355" customWidth="1"/>
    <col min="3078" max="3078" width="9.140625" style="355"/>
    <col min="3079" max="3079" width="19.7109375" style="355" customWidth="1"/>
    <col min="3080" max="3080" width="17.5703125" style="355" customWidth="1"/>
    <col min="3081" max="3327" width="9.140625" style="355"/>
    <col min="3328" max="3328" width="22.5703125" style="355" customWidth="1"/>
    <col min="3329" max="3329" width="10.28515625" style="355" customWidth="1"/>
    <col min="3330" max="3332" width="9.140625" style="355"/>
    <col min="3333" max="3333" width="10.5703125" style="355" customWidth="1"/>
    <col min="3334" max="3334" width="9.140625" style="355"/>
    <col min="3335" max="3335" width="19.7109375" style="355" customWidth="1"/>
    <col min="3336" max="3336" width="17.5703125" style="355" customWidth="1"/>
    <col min="3337" max="3583" width="9.140625" style="355"/>
    <col min="3584" max="3584" width="22.5703125" style="355" customWidth="1"/>
    <col min="3585" max="3585" width="10.28515625" style="355" customWidth="1"/>
    <col min="3586" max="3588" width="9.140625" style="355"/>
    <col min="3589" max="3589" width="10.5703125" style="355" customWidth="1"/>
    <col min="3590" max="3590" width="9.140625" style="355"/>
    <col min="3591" max="3591" width="19.7109375" style="355" customWidth="1"/>
    <col min="3592" max="3592" width="17.5703125" style="355" customWidth="1"/>
    <col min="3593" max="3839" width="9.140625" style="355"/>
    <col min="3840" max="3840" width="22.5703125" style="355" customWidth="1"/>
    <col min="3841" max="3841" width="10.28515625" style="355" customWidth="1"/>
    <col min="3842" max="3844" width="9.140625" style="355"/>
    <col min="3845" max="3845" width="10.5703125" style="355" customWidth="1"/>
    <col min="3846" max="3846" width="9.140625" style="355"/>
    <col min="3847" max="3847" width="19.7109375" style="355" customWidth="1"/>
    <col min="3848" max="3848" width="17.5703125" style="355" customWidth="1"/>
    <col min="3849" max="4095" width="9.140625" style="355"/>
    <col min="4096" max="4096" width="22.5703125" style="355" customWidth="1"/>
    <col min="4097" max="4097" width="10.28515625" style="355" customWidth="1"/>
    <col min="4098" max="4100" width="9.140625" style="355"/>
    <col min="4101" max="4101" width="10.5703125" style="355" customWidth="1"/>
    <col min="4102" max="4102" width="9.140625" style="355"/>
    <col min="4103" max="4103" width="19.7109375" style="355" customWidth="1"/>
    <col min="4104" max="4104" width="17.5703125" style="355" customWidth="1"/>
    <col min="4105" max="4351" width="9.140625" style="355"/>
    <col min="4352" max="4352" width="22.5703125" style="355" customWidth="1"/>
    <col min="4353" max="4353" width="10.28515625" style="355" customWidth="1"/>
    <col min="4354" max="4356" width="9.140625" style="355"/>
    <col min="4357" max="4357" width="10.5703125" style="355" customWidth="1"/>
    <col min="4358" max="4358" width="9.140625" style="355"/>
    <col min="4359" max="4359" width="19.7109375" style="355" customWidth="1"/>
    <col min="4360" max="4360" width="17.5703125" style="355" customWidth="1"/>
    <col min="4361" max="4607" width="9.140625" style="355"/>
    <col min="4608" max="4608" width="22.5703125" style="355" customWidth="1"/>
    <col min="4609" max="4609" width="10.28515625" style="355" customWidth="1"/>
    <col min="4610" max="4612" width="9.140625" style="355"/>
    <col min="4613" max="4613" width="10.5703125" style="355" customWidth="1"/>
    <col min="4614" max="4614" width="9.140625" style="355"/>
    <col min="4615" max="4615" width="19.7109375" style="355" customWidth="1"/>
    <col min="4616" max="4616" width="17.5703125" style="355" customWidth="1"/>
    <col min="4617" max="4863" width="9.140625" style="355"/>
    <col min="4864" max="4864" width="22.5703125" style="355" customWidth="1"/>
    <col min="4865" max="4865" width="10.28515625" style="355" customWidth="1"/>
    <col min="4866" max="4868" width="9.140625" style="355"/>
    <col min="4869" max="4869" width="10.5703125" style="355" customWidth="1"/>
    <col min="4870" max="4870" width="9.140625" style="355"/>
    <col min="4871" max="4871" width="19.7109375" style="355" customWidth="1"/>
    <col min="4872" max="4872" width="17.5703125" style="355" customWidth="1"/>
    <col min="4873" max="5119" width="9.140625" style="355"/>
    <col min="5120" max="5120" width="22.5703125" style="355" customWidth="1"/>
    <col min="5121" max="5121" width="10.28515625" style="355" customWidth="1"/>
    <col min="5122" max="5124" width="9.140625" style="355"/>
    <col min="5125" max="5125" width="10.5703125" style="355" customWidth="1"/>
    <col min="5126" max="5126" width="9.140625" style="355"/>
    <col min="5127" max="5127" width="19.7109375" style="355" customWidth="1"/>
    <col min="5128" max="5128" width="17.5703125" style="355" customWidth="1"/>
    <col min="5129" max="5375" width="9.140625" style="355"/>
    <col min="5376" max="5376" width="22.5703125" style="355" customWidth="1"/>
    <col min="5377" max="5377" width="10.28515625" style="355" customWidth="1"/>
    <col min="5378" max="5380" width="9.140625" style="355"/>
    <col min="5381" max="5381" width="10.5703125" style="355" customWidth="1"/>
    <col min="5382" max="5382" width="9.140625" style="355"/>
    <col min="5383" max="5383" width="19.7109375" style="355" customWidth="1"/>
    <col min="5384" max="5384" width="17.5703125" style="355" customWidth="1"/>
    <col min="5385" max="5631" width="9.140625" style="355"/>
    <col min="5632" max="5632" width="22.5703125" style="355" customWidth="1"/>
    <col min="5633" max="5633" width="10.28515625" style="355" customWidth="1"/>
    <col min="5634" max="5636" width="9.140625" style="355"/>
    <col min="5637" max="5637" width="10.5703125" style="355" customWidth="1"/>
    <col min="5638" max="5638" width="9.140625" style="355"/>
    <col min="5639" max="5639" width="19.7109375" style="355" customWidth="1"/>
    <col min="5640" max="5640" width="17.5703125" style="355" customWidth="1"/>
    <col min="5641" max="5887" width="9.140625" style="355"/>
    <col min="5888" max="5888" width="22.5703125" style="355" customWidth="1"/>
    <col min="5889" max="5889" width="10.28515625" style="355" customWidth="1"/>
    <col min="5890" max="5892" width="9.140625" style="355"/>
    <col min="5893" max="5893" width="10.5703125" style="355" customWidth="1"/>
    <col min="5894" max="5894" width="9.140625" style="355"/>
    <col min="5895" max="5895" width="19.7109375" style="355" customWidth="1"/>
    <col min="5896" max="5896" width="17.5703125" style="355" customWidth="1"/>
    <col min="5897" max="6143" width="9.140625" style="355"/>
    <col min="6144" max="6144" width="22.5703125" style="355" customWidth="1"/>
    <col min="6145" max="6145" width="10.28515625" style="355" customWidth="1"/>
    <col min="6146" max="6148" width="9.140625" style="355"/>
    <col min="6149" max="6149" width="10.5703125" style="355" customWidth="1"/>
    <col min="6150" max="6150" width="9.140625" style="355"/>
    <col min="6151" max="6151" width="19.7109375" style="355" customWidth="1"/>
    <col min="6152" max="6152" width="17.5703125" style="355" customWidth="1"/>
    <col min="6153" max="6399" width="9.140625" style="355"/>
    <col min="6400" max="6400" width="22.5703125" style="355" customWidth="1"/>
    <col min="6401" max="6401" width="10.28515625" style="355" customWidth="1"/>
    <col min="6402" max="6404" width="9.140625" style="355"/>
    <col min="6405" max="6405" width="10.5703125" style="355" customWidth="1"/>
    <col min="6406" max="6406" width="9.140625" style="355"/>
    <col min="6407" max="6407" width="19.7109375" style="355" customWidth="1"/>
    <col min="6408" max="6408" width="17.5703125" style="355" customWidth="1"/>
    <col min="6409" max="6655" width="9.140625" style="355"/>
    <col min="6656" max="6656" width="22.5703125" style="355" customWidth="1"/>
    <col min="6657" max="6657" width="10.28515625" style="355" customWidth="1"/>
    <col min="6658" max="6660" width="9.140625" style="355"/>
    <col min="6661" max="6661" width="10.5703125" style="355" customWidth="1"/>
    <col min="6662" max="6662" width="9.140625" style="355"/>
    <col min="6663" max="6663" width="19.7109375" style="355" customWidth="1"/>
    <col min="6664" max="6664" width="17.5703125" style="355" customWidth="1"/>
    <col min="6665" max="6911" width="9.140625" style="355"/>
    <col min="6912" max="6912" width="22.5703125" style="355" customWidth="1"/>
    <col min="6913" max="6913" width="10.28515625" style="355" customWidth="1"/>
    <col min="6914" max="6916" width="9.140625" style="355"/>
    <col min="6917" max="6917" width="10.5703125" style="355" customWidth="1"/>
    <col min="6918" max="6918" width="9.140625" style="355"/>
    <col min="6919" max="6919" width="19.7109375" style="355" customWidth="1"/>
    <col min="6920" max="6920" width="17.5703125" style="355" customWidth="1"/>
    <col min="6921" max="7167" width="9.140625" style="355"/>
    <col min="7168" max="7168" width="22.5703125" style="355" customWidth="1"/>
    <col min="7169" max="7169" width="10.28515625" style="355" customWidth="1"/>
    <col min="7170" max="7172" width="9.140625" style="355"/>
    <col min="7173" max="7173" width="10.5703125" style="355" customWidth="1"/>
    <col min="7174" max="7174" width="9.140625" style="355"/>
    <col min="7175" max="7175" width="19.7109375" style="355" customWidth="1"/>
    <col min="7176" max="7176" width="17.5703125" style="355" customWidth="1"/>
    <col min="7177" max="7423" width="9.140625" style="355"/>
    <col min="7424" max="7424" width="22.5703125" style="355" customWidth="1"/>
    <col min="7425" max="7425" width="10.28515625" style="355" customWidth="1"/>
    <col min="7426" max="7428" width="9.140625" style="355"/>
    <col min="7429" max="7429" width="10.5703125" style="355" customWidth="1"/>
    <col min="7430" max="7430" width="9.140625" style="355"/>
    <col min="7431" max="7431" width="19.7109375" style="355" customWidth="1"/>
    <col min="7432" max="7432" width="17.5703125" style="355" customWidth="1"/>
    <col min="7433" max="7679" width="9.140625" style="355"/>
    <col min="7680" max="7680" width="22.5703125" style="355" customWidth="1"/>
    <col min="7681" max="7681" width="10.28515625" style="355" customWidth="1"/>
    <col min="7682" max="7684" width="9.140625" style="355"/>
    <col min="7685" max="7685" width="10.5703125" style="355" customWidth="1"/>
    <col min="7686" max="7686" width="9.140625" style="355"/>
    <col min="7687" max="7687" width="19.7109375" style="355" customWidth="1"/>
    <col min="7688" max="7688" width="17.5703125" style="355" customWidth="1"/>
    <col min="7689" max="7935" width="9.140625" style="355"/>
    <col min="7936" max="7936" width="22.5703125" style="355" customWidth="1"/>
    <col min="7937" max="7937" width="10.28515625" style="355" customWidth="1"/>
    <col min="7938" max="7940" width="9.140625" style="355"/>
    <col min="7941" max="7941" width="10.5703125" style="355" customWidth="1"/>
    <col min="7942" max="7942" width="9.140625" style="355"/>
    <col min="7943" max="7943" width="19.7109375" style="355" customWidth="1"/>
    <col min="7944" max="7944" width="17.5703125" style="355" customWidth="1"/>
    <col min="7945" max="8191" width="9.140625" style="355"/>
    <col min="8192" max="8192" width="22.5703125" style="355" customWidth="1"/>
    <col min="8193" max="8193" width="10.28515625" style="355" customWidth="1"/>
    <col min="8194" max="8196" width="9.140625" style="355"/>
    <col min="8197" max="8197" width="10.5703125" style="355" customWidth="1"/>
    <col min="8198" max="8198" width="9.140625" style="355"/>
    <col min="8199" max="8199" width="19.7109375" style="355" customWidth="1"/>
    <col min="8200" max="8200" width="17.5703125" style="355" customWidth="1"/>
    <col min="8201" max="8447" width="9.140625" style="355"/>
    <col min="8448" max="8448" width="22.5703125" style="355" customWidth="1"/>
    <col min="8449" max="8449" width="10.28515625" style="355" customWidth="1"/>
    <col min="8450" max="8452" width="9.140625" style="355"/>
    <col min="8453" max="8453" width="10.5703125" style="355" customWidth="1"/>
    <col min="8454" max="8454" width="9.140625" style="355"/>
    <col min="8455" max="8455" width="19.7109375" style="355" customWidth="1"/>
    <col min="8456" max="8456" width="17.5703125" style="355" customWidth="1"/>
    <col min="8457" max="8703" width="9.140625" style="355"/>
    <col min="8704" max="8704" width="22.5703125" style="355" customWidth="1"/>
    <col min="8705" max="8705" width="10.28515625" style="355" customWidth="1"/>
    <col min="8706" max="8708" width="9.140625" style="355"/>
    <col min="8709" max="8709" width="10.5703125" style="355" customWidth="1"/>
    <col min="8710" max="8710" width="9.140625" style="355"/>
    <col min="8711" max="8711" width="19.7109375" style="355" customWidth="1"/>
    <col min="8712" max="8712" width="17.5703125" style="355" customWidth="1"/>
    <col min="8713" max="8959" width="9.140625" style="355"/>
    <col min="8960" max="8960" width="22.5703125" style="355" customWidth="1"/>
    <col min="8961" max="8961" width="10.28515625" style="355" customWidth="1"/>
    <col min="8962" max="8964" width="9.140625" style="355"/>
    <col min="8965" max="8965" width="10.5703125" style="355" customWidth="1"/>
    <col min="8966" max="8966" width="9.140625" style="355"/>
    <col min="8967" max="8967" width="19.7109375" style="355" customWidth="1"/>
    <col min="8968" max="8968" width="17.5703125" style="355" customWidth="1"/>
    <col min="8969" max="9215" width="9.140625" style="355"/>
    <col min="9216" max="9216" width="22.5703125" style="355" customWidth="1"/>
    <col min="9217" max="9217" width="10.28515625" style="355" customWidth="1"/>
    <col min="9218" max="9220" width="9.140625" style="355"/>
    <col min="9221" max="9221" width="10.5703125" style="355" customWidth="1"/>
    <col min="9222" max="9222" width="9.140625" style="355"/>
    <col min="9223" max="9223" width="19.7109375" style="355" customWidth="1"/>
    <col min="9224" max="9224" width="17.5703125" style="355" customWidth="1"/>
    <col min="9225" max="9471" width="9.140625" style="355"/>
    <col min="9472" max="9472" width="22.5703125" style="355" customWidth="1"/>
    <col min="9473" max="9473" width="10.28515625" style="355" customWidth="1"/>
    <col min="9474" max="9476" width="9.140625" style="355"/>
    <col min="9477" max="9477" width="10.5703125" style="355" customWidth="1"/>
    <col min="9478" max="9478" width="9.140625" style="355"/>
    <col min="9479" max="9479" width="19.7109375" style="355" customWidth="1"/>
    <col min="9480" max="9480" width="17.5703125" style="355" customWidth="1"/>
    <col min="9481" max="9727" width="9.140625" style="355"/>
    <col min="9728" max="9728" width="22.5703125" style="355" customWidth="1"/>
    <col min="9729" max="9729" width="10.28515625" style="355" customWidth="1"/>
    <col min="9730" max="9732" width="9.140625" style="355"/>
    <col min="9733" max="9733" width="10.5703125" style="355" customWidth="1"/>
    <col min="9734" max="9734" width="9.140625" style="355"/>
    <col min="9735" max="9735" width="19.7109375" style="355" customWidth="1"/>
    <col min="9736" max="9736" width="17.5703125" style="355" customWidth="1"/>
    <col min="9737" max="9983" width="9.140625" style="355"/>
    <col min="9984" max="9984" width="22.5703125" style="355" customWidth="1"/>
    <col min="9985" max="9985" width="10.28515625" style="355" customWidth="1"/>
    <col min="9986" max="9988" width="9.140625" style="355"/>
    <col min="9989" max="9989" width="10.5703125" style="355" customWidth="1"/>
    <col min="9990" max="9990" width="9.140625" style="355"/>
    <col min="9991" max="9991" width="19.7109375" style="355" customWidth="1"/>
    <col min="9992" max="9992" width="17.5703125" style="355" customWidth="1"/>
    <col min="9993" max="10239" width="9.140625" style="355"/>
    <col min="10240" max="10240" width="22.5703125" style="355" customWidth="1"/>
    <col min="10241" max="10241" width="10.28515625" style="355" customWidth="1"/>
    <col min="10242" max="10244" width="9.140625" style="355"/>
    <col min="10245" max="10245" width="10.5703125" style="355" customWidth="1"/>
    <col min="10246" max="10246" width="9.140625" style="355"/>
    <col min="10247" max="10247" width="19.7109375" style="355" customWidth="1"/>
    <col min="10248" max="10248" width="17.5703125" style="355" customWidth="1"/>
    <col min="10249" max="10495" width="9.140625" style="355"/>
    <col min="10496" max="10496" width="22.5703125" style="355" customWidth="1"/>
    <col min="10497" max="10497" width="10.28515625" style="355" customWidth="1"/>
    <col min="10498" max="10500" width="9.140625" style="355"/>
    <col min="10501" max="10501" width="10.5703125" style="355" customWidth="1"/>
    <col min="10502" max="10502" width="9.140625" style="355"/>
    <col min="10503" max="10503" width="19.7109375" style="355" customWidth="1"/>
    <col min="10504" max="10504" width="17.5703125" style="355" customWidth="1"/>
    <col min="10505" max="10751" width="9.140625" style="355"/>
    <col min="10752" max="10752" width="22.5703125" style="355" customWidth="1"/>
    <col min="10753" max="10753" width="10.28515625" style="355" customWidth="1"/>
    <col min="10754" max="10756" width="9.140625" style="355"/>
    <col min="10757" max="10757" width="10.5703125" style="355" customWidth="1"/>
    <col min="10758" max="10758" width="9.140625" style="355"/>
    <col min="10759" max="10759" width="19.7109375" style="355" customWidth="1"/>
    <col min="10760" max="10760" width="17.5703125" style="355" customWidth="1"/>
    <col min="10761" max="11007" width="9.140625" style="355"/>
    <col min="11008" max="11008" width="22.5703125" style="355" customWidth="1"/>
    <col min="11009" max="11009" width="10.28515625" style="355" customWidth="1"/>
    <col min="11010" max="11012" width="9.140625" style="355"/>
    <col min="11013" max="11013" width="10.5703125" style="355" customWidth="1"/>
    <col min="11014" max="11014" width="9.140625" style="355"/>
    <col min="11015" max="11015" width="19.7109375" style="355" customWidth="1"/>
    <col min="11016" max="11016" width="17.5703125" style="355" customWidth="1"/>
    <col min="11017" max="11263" width="9.140625" style="355"/>
    <col min="11264" max="11264" width="22.5703125" style="355" customWidth="1"/>
    <col min="11265" max="11265" width="10.28515625" style="355" customWidth="1"/>
    <col min="11266" max="11268" width="9.140625" style="355"/>
    <col min="11269" max="11269" width="10.5703125" style="355" customWidth="1"/>
    <col min="11270" max="11270" width="9.140625" style="355"/>
    <col min="11271" max="11271" width="19.7109375" style="355" customWidth="1"/>
    <col min="11272" max="11272" width="17.5703125" style="355" customWidth="1"/>
    <col min="11273" max="11519" width="9.140625" style="355"/>
    <col min="11520" max="11520" width="22.5703125" style="355" customWidth="1"/>
    <col min="11521" max="11521" width="10.28515625" style="355" customWidth="1"/>
    <col min="11522" max="11524" width="9.140625" style="355"/>
    <col min="11525" max="11525" width="10.5703125" style="355" customWidth="1"/>
    <col min="11526" max="11526" width="9.140625" style="355"/>
    <col min="11527" max="11527" width="19.7109375" style="355" customWidth="1"/>
    <col min="11528" max="11528" width="17.5703125" style="355" customWidth="1"/>
    <col min="11529" max="11775" width="9.140625" style="355"/>
    <col min="11776" max="11776" width="22.5703125" style="355" customWidth="1"/>
    <col min="11777" max="11777" width="10.28515625" style="355" customWidth="1"/>
    <col min="11778" max="11780" width="9.140625" style="355"/>
    <col min="11781" max="11781" width="10.5703125" style="355" customWidth="1"/>
    <col min="11782" max="11782" width="9.140625" style="355"/>
    <col min="11783" max="11783" width="19.7109375" style="355" customWidth="1"/>
    <col min="11784" max="11784" width="17.5703125" style="355" customWidth="1"/>
    <col min="11785" max="12031" width="9.140625" style="355"/>
    <col min="12032" max="12032" width="22.5703125" style="355" customWidth="1"/>
    <col min="12033" max="12033" width="10.28515625" style="355" customWidth="1"/>
    <col min="12034" max="12036" width="9.140625" style="355"/>
    <col min="12037" max="12037" width="10.5703125" style="355" customWidth="1"/>
    <col min="12038" max="12038" width="9.140625" style="355"/>
    <col min="12039" max="12039" width="19.7109375" style="355" customWidth="1"/>
    <col min="12040" max="12040" width="17.5703125" style="355" customWidth="1"/>
    <col min="12041" max="12287" width="9.140625" style="355"/>
    <col min="12288" max="12288" width="22.5703125" style="355" customWidth="1"/>
    <col min="12289" max="12289" width="10.28515625" style="355" customWidth="1"/>
    <col min="12290" max="12292" width="9.140625" style="355"/>
    <col min="12293" max="12293" width="10.5703125" style="355" customWidth="1"/>
    <col min="12294" max="12294" width="9.140625" style="355"/>
    <col min="12295" max="12295" width="19.7109375" style="355" customWidth="1"/>
    <col min="12296" max="12296" width="17.5703125" style="355" customWidth="1"/>
    <col min="12297" max="12543" width="9.140625" style="355"/>
    <col min="12544" max="12544" width="22.5703125" style="355" customWidth="1"/>
    <col min="12545" max="12545" width="10.28515625" style="355" customWidth="1"/>
    <col min="12546" max="12548" width="9.140625" style="355"/>
    <col min="12549" max="12549" width="10.5703125" style="355" customWidth="1"/>
    <col min="12550" max="12550" width="9.140625" style="355"/>
    <col min="12551" max="12551" width="19.7109375" style="355" customWidth="1"/>
    <col min="12552" max="12552" width="17.5703125" style="355" customWidth="1"/>
    <col min="12553" max="12799" width="9.140625" style="355"/>
    <col min="12800" max="12800" width="22.5703125" style="355" customWidth="1"/>
    <col min="12801" max="12801" width="10.28515625" style="355" customWidth="1"/>
    <col min="12802" max="12804" width="9.140625" style="355"/>
    <col min="12805" max="12805" width="10.5703125" style="355" customWidth="1"/>
    <col min="12806" max="12806" width="9.140625" style="355"/>
    <col min="12807" max="12807" width="19.7109375" style="355" customWidth="1"/>
    <col min="12808" max="12808" width="17.5703125" style="355" customWidth="1"/>
    <col min="12809" max="13055" width="9.140625" style="355"/>
    <col min="13056" max="13056" width="22.5703125" style="355" customWidth="1"/>
    <col min="13057" max="13057" width="10.28515625" style="355" customWidth="1"/>
    <col min="13058" max="13060" width="9.140625" style="355"/>
    <col min="13061" max="13061" width="10.5703125" style="355" customWidth="1"/>
    <col min="13062" max="13062" width="9.140625" style="355"/>
    <col min="13063" max="13063" width="19.7109375" style="355" customWidth="1"/>
    <col min="13064" max="13064" width="17.5703125" style="355" customWidth="1"/>
    <col min="13065" max="13311" width="9.140625" style="355"/>
    <col min="13312" max="13312" width="22.5703125" style="355" customWidth="1"/>
    <col min="13313" max="13313" width="10.28515625" style="355" customWidth="1"/>
    <col min="13314" max="13316" width="9.140625" style="355"/>
    <col min="13317" max="13317" width="10.5703125" style="355" customWidth="1"/>
    <col min="13318" max="13318" width="9.140625" style="355"/>
    <col min="13319" max="13319" width="19.7109375" style="355" customWidth="1"/>
    <col min="13320" max="13320" width="17.5703125" style="355" customWidth="1"/>
    <col min="13321" max="13567" width="9.140625" style="355"/>
    <col min="13568" max="13568" width="22.5703125" style="355" customWidth="1"/>
    <col min="13569" max="13569" width="10.28515625" style="355" customWidth="1"/>
    <col min="13570" max="13572" width="9.140625" style="355"/>
    <col min="13573" max="13573" width="10.5703125" style="355" customWidth="1"/>
    <col min="13574" max="13574" width="9.140625" style="355"/>
    <col min="13575" max="13575" width="19.7109375" style="355" customWidth="1"/>
    <col min="13576" max="13576" width="17.5703125" style="355" customWidth="1"/>
    <col min="13577" max="13823" width="9.140625" style="355"/>
    <col min="13824" max="13824" width="22.5703125" style="355" customWidth="1"/>
    <col min="13825" max="13825" width="10.28515625" style="355" customWidth="1"/>
    <col min="13826" max="13828" width="9.140625" style="355"/>
    <col min="13829" max="13829" width="10.5703125" style="355" customWidth="1"/>
    <col min="13830" max="13830" width="9.140625" style="355"/>
    <col min="13831" max="13831" width="19.7109375" style="355" customWidth="1"/>
    <col min="13832" max="13832" width="17.5703125" style="355" customWidth="1"/>
    <col min="13833" max="14079" width="9.140625" style="355"/>
    <col min="14080" max="14080" width="22.5703125" style="355" customWidth="1"/>
    <col min="14081" max="14081" width="10.28515625" style="355" customWidth="1"/>
    <col min="14082" max="14084" width="9.140625" style="355"/>
    <col min="14085" max="14085" width="10.5703125" style="355" customWidth="1"/>
    <col min="14086" max="14086" width="9.140625" style="355"/>
    <col min="14087" max="14087" width="19.7109375" style="355" customWidth="1"/>
    <col min="14088" max="14088" width="17.5703125" style="355" customWidth="1"/>
    <col min="14089" max="14335" width="9.140625" style="355"/>
    <col min="14336" max="14336" width="22.5703125" style="355" customWidth="1"/>
    <col min="14337" max="14337" width="10.28515625" style="355" customWidth="1"/>
    <col min="14338" max="14340" width="9.140625" style="355"/>
    <col min="14341" max="14341" width="10.5703125" style="355" customWidth="1"/>
    <col min="14342" max="14342" width="9.140625" style="355"/>
    <col min="14343" max="14343" width="19.7109375" style="355" customWidth="1"/>
    <col min="14344" max="14344" width="17.5703125" style="355" customWidth="1"/>
    <col min="14345" max="14591" width="9.140625" style="355"/>
    <col min="14592" max="14592" width="22.5703125" style="355" customWidth="1"/>
    <col min="14593" max="14593" width="10.28515625" style="355" customWidth="1"/>
    <col min="14594" max="14596" width="9.140625" style="355"/>
    <col min="14597" max="14597" width="10.5703125" style="355" customWidth="1"/>
    <col min="14598" max="14598" width="9.140625" style="355"/>
    <col min="14599" max="14599" width="19.7109375" style="355" customWidth="1"/>
    <col min="14600" max="14600" width="17.5703125" style="355" customWidth="1"/>
    <col min="14601" max="14847" width="9.140625" style="355"/>
    <col min="14848" max="14848" width="22.5703125" style="355" customWidth="1"/>
    <col min="14849" max="14849" width="10.28515625" style="355" customWidth="1"/>
    <col min="14850" max="14852" width="9.140625" style="355"/>
    <col min="14853" max="14853" width="10.5703125" style="355" customWidth="1"/>
    <col min="14854" max="14854" width="9.140625" style="355"/>
    <col min="14855" max="14855" width="19.7109375" style="355" customWidth="1"/>
    <col min="14856" max="14856" width="17.5703125" style="355" customWidth="1"/>
    <col min="14857" max="15103" width="9.140625" style="355"/>
    <col min="15104" max="15104" width="22.5703125" style="355" customWidth="1"/>
    <col min="15105" max="15105" width="10.28515625" style="355" customWidth="1"/>
    <col min="15106" max="15108" width="9.140625" style="355"/>
    <col min="15109" max="15109" width="10.5703125" style="355" customWidth="1"/>
    <col min="15110" max="15110" width="9.140625" style="355"/>
    <col min="15111" max="15111" width="19.7109375" style="355" customWidth="1"/>
    <col min="15112" max="15112" width="17.5703125" style="355" customWidth="1"/>
    <col min="15113" max="15359" width="9.140625" style="355"/>
    <col min="15360" max="15360" width="22.5703125" style="355" customWidth="1"/>
    <col min="15361" max="15361" width="10.28515625" style="355" customWidth="1"/>
    <col min="15362" max="15364" width="9.140625" style="355"/>
    <col min="15365" max="15365" width="10.5703125" style="355" customWidth="1"/>
    <col min="15366" max="15366" width="9.140625" style="355"/>
    <col min="15367" max="15367" width="19.7109375" style="355" customWidth="1"/>
    <col min="15368" max="15368" width="17.5703125" style="355" customWidth="1"/>
    <col min="15369" max="15615" width="9.140625" style="355"/>
    <col min="15616" max="15616" width="22.5703125" style="355" customWidth="1"/>
    <col min="15617" max="15617" width="10.28515625" style="355" customWidth="1"/>
    <col min="15618" max="15620" width="9.140625" style="355"/>
    <col min="15621" max="15621" width="10.5703125" style="355" customWidth="1"/>
    <col min="15622" max="15622" width="9.140625" style="355"/>
    <col min="15623" max="15623" width="19.7109375" style="355" customWidth="1"/>
    <col min="15624" max="15624" width="17.5703125" style="355" customWidth="1"/>
    <col min="15625" max="15871" width="9.140625" style="355"/>
    <col min="15872" max="15872" width="22.5703125" style="355" customWidth="1"/>
    <col min="15873" max="15873" width="10.28515625" style="355" customWidth="1"/>
    <col min="15874" max="15876" width="9.140625" style="355"/>
    <col min="15877" max="15877" width="10.5703125" style="355" customWidth="1"/>
    <col min="15878" max="15878" width="9.140625" style="355"/>
    <col min="15879" max="15879" width="19.7109375" style="355" customWidth="1"/>
    <col min="15880" max="15880" width="17.5703125" style="355" customWidth="1"/>
    <col min="15881" max="16127" width="9.140625" style="355"/>
    <col min="16128" max="16128" width="22.5703125" style="355" customWidth="1"/>
    <col min="16129" max="16129" width="10.28515625" style="355" customWidth="1"/>
    <col min="16130" max="16132" width="9.140625" style="355"/>
    <col min="16133" max="16133" width="10.5703125" style="355" customWidth="1"/>
    <col min="16134" max="16134" width="9.140625" style="355"/>
    <col min="16135" max="16135" width="19.7109375" style="355" customWidth="1"/>
    <col min="16136" max="16136" width="17.5703125" style="355" customWidth="1"/>
    <col min="16137" max="16384" width="9.140625" style="355"/>
  </cols>
  <sheetData>
    <row r="2" spans="1:10" x14ac:dyDescent="0.25">
      <c r="A2" s="1472" t="s">
        <v>1368</v>
      </c>
      <c r="B2" s="1472"/>
      <c r="C2" s="1472"/>
      <c r="D2" s="1472"/>
      <c r="E2" s="1472"/>
      <c r="F2" s="1472"/>
      <c r="G2" s="1472"/>
      <c r="H2" s="1472"/>
      <c r="I2" s="1472"/>
      <c r="J2" s="1472"/>
    </row>
    <row r="4" spans="1:10" ht="183.75" customHeight="1" x14ac:dyDescent="0.25">
      <c r="A4" s="592" t="s">
        <v>546</v>
      </c>
      <c r="B4" s="593" t="s">
        <v>547</v>
      </c>
      <c r="C4" s="593" t="s">
        <v>548</v>
      </c>
      <c r="D4" s="593" t="s">
        <v>549</v>
      </c>
      <c r="E4" s="593" t="s">
        <v>550</v>
      </c>
      <c r="F4" s="593" t="s">
        <v>551</v>
      </c>
      <c r="G4" s="593" t="s">
        <v>1369</v>
      </c>
      <c r="H4" s="593" t="s">
        <v>1370</v>
      </c>
      <c r="I4" s="593" t="s">
        <v>1371</v>
      </c>
      <c r="J4" s="593" t="s">
        <v>1372</v>
      </c>
    </row>
    <row r="5" spans="1:10" ht="15.75" x14ac:dyDescent="0.25">
      <c r="A5" s="594" t="s">
        <v>552</v>
      </c>
      <c r="B5" s="595" t="s">
        <v>553</v>
      </c>
      <c r="C5" s="596">
        <v>0.4</v>
      </c>
      <c r="D5" s="595">
        <v>247</v>
      </c>
      <c r="E5" s="596">
        <f>C5*D5</f>
        <v>98.8</v>
      </c>
      <c r="F5" s="597">
        <v>6.56</v>
      </c>
      <c r="G5" s="598">
        <f>E5*F5</f>
        <v>648.13</v>
      </c>
      <c r="H5" s="597">
        <v>100</v>
      </c>
      <c r="I5" s="597">
        <v>35</v>
      </c>
      <c r="J5" s="598">
        <f>G5/H5*I5</f>
        <v>226.85</v>
      </c>
    </row>
  </sheetData>
  <mergeCells count="1">
    <mergeCell ref="A2:J2"/>
  </mergeCells>
  <pageMargins left="0.7" right="0.7" top="0.75" bottom="0.75" header="0.3" footer="0.3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I34"/>
  <sheetViews>
    <sheetView workbookViewId="0">
      <selection activeCell="L17" sqref="L17"/>
    </sheetView>
  </sheetViews>
  <sheetFormatPr defaultRowHeight="15" x14ac:dyDescent="0.25"/>
  <cols>
    <col min="1" max="2" width="28.7109375" style="355" customWidth="1"/>
    <col min="3" max="4" width="9.140625" style="355"/>
    <col min="5" max="6" width="0" style="355" hidden="1" customWidth="1"/>
    <col min="7" max="7" width="17.140625" style="355" customWidth="1"/>
    <col min="8" max="8" width="16.140625" style="355" customWidth="1"/>
    <col min="9" max="9" width="19.85546875" style="355" customWidth="1"/>
    <col min="10" max="255" width="9.140625" style="355"/>
    <col min="256" max="257" width="28.7109375" style="355" customWidth="1"/>
    <col min="258" max="259" width="9.140625" style="355"/>
    <col min="260" max="261" width="0" style="355" hidden="1" customWidth="1"/>
    <col min="262" max="262" width="17.140625" style="355" customWidth="1"/>
    <col min="263" max="263" width="16.140625" style="355" customWidth="1"/>
    <col min="264" max="264" width="19.85546875" style="355" customWidth="1"/>
    <col min="265" max="511" width="9.140625" style="355"/>
    <col min="512" max="513" width="28.7109375" style="355" customWidth="1"/>
    <col min="514" max="515" width="9.140625" style="355"/>
    <col min="516" max="517" width="0" style="355" hidden="1" customWidth="1"/>
    <col min="518" max="518" width="17.140625" style="355" customWidth="1"/>
    <col min="519" max="519" width="16.140625" style="355" customWidth="1"/>
    <col min="520" max="520" width="19.85546875" style="355" customWidth="1"/>
    <col min="521" max="767" width="9.140625" style="355"/>
    <col min="768" max="769" width="28.7109375" style="355" customWidth="1"/>
    <col min="770" max="771" width="9.140625" style="355"/>
    <col min="772" max="773" width="0" style="355" hidden="1" customWidth="1"/>
    <col min="774" max="774" width="17.140625" style="355" customWidth="1"/>
    <col min="775" max="775" width="16.140625" style="355" customWidth="1"/>
    <col min="776" max="776" width="19.85546875" style="355" customWidth="1"/>
    <col min="777" max="1023" width="9.140625" style="355"/>
    <col min="1024" max="1025" width="28.7109375" style="355" customWidth="1"/>
    <col min="1026" max="1027" width="9.140625" style="355"/>
    <col min="1028" max="1029" width="0" style="355" hidden="1" customWidth="1"/>
    <col min="1030" max="1030" width="17.140625" style="355" customWidth="1"/>
    <col min="1031" max="1031" width="16.140625" style="355" customWidth="1"/>
    <col min="1032" max="1032" width="19.85546875" style="355" customWidth="1"/>
    <col min="1033" max="1279" width="9.140625" style="355"/>
    <col min="1280" max="1281" width="28.7109375" style="355" customWidth="1"/>
    <col min="1282" max="1283" width="9.140625" style="355"/>
    <col min="1284" max="1285" width="0" style="355" hidden="1" customWidth="1"/>
    <col min="1286" max="1286" width="17.140625" style="355" customWidth="1"/>
    <col min="1287" max="1287" width="16.140625" style="355" customWidth="1"/>
    <col min="1288" max="1288" width="19.85546875" style="355" customWidth="1"/>
    <col min="1289" max="1535" width="9.140625" style="355"/>
    <col min="1536" max="1537" width="28.7109375" style="355" customWidth="1"/>
    <col min="1538" max="1539" width="9.140625" style="355"/>
    <col min="1540" max="1541" width="0" style="355" hidden="1" customWidth="1"/>
    <col min="1542" max="1542" width="17.140625" style="355" customWidth="1"/>
    <col min="1543" max="1543" width="16.140625" style="355" customWidth="1"/>
    <col min="1544" max="1544" width="19.85546875" style="355" customWidth="1"/>
    <col min="1545" max="1791" width="9.140625" style="355"/>
    <col min="1792" max="1793" width="28.7109375" style="355" customWidth="1"/>
    <col min="1794" max="1795" width="9.140625" style="355"/>
    <col min="1796" max="1797" width="0" style="355" hidden="1" customWidth="1"/>
    <col min="1798" max="1798" width="17.140625" style="355" customWidth="1"/>
    <col min="1799" max="1799" width="16.140625" style="355" customWidth="1"/>
    <col min="1800" max="1800" width="19.85546875" style="355" customWidth="1"/>
    <col min="1801" max="2047" width="9.140625" style="355"/>
    <col min="2048" max="2049" width="28.7109375" style="355" customWidth="1"/>
    <col min="2050" max="2051" width="9.140625" style="355"/>
    <col min="2052" max="2053" width="0" style="355" hidden="1" customWidth="1"/>
    <col min="2054" max="2054" width="17.140625" style="355" customWidth="1"/>
    <col min="2055" max="2055" width="16.140625" style="355" customWidth="1"/>
    <col min="2056" max="2056" width="19.85546875" style="355" customWidth="1"/>
    <col min="2057" max="2303" width="9.140625" style="355"/>
    <col min="2304" max="2305" width="28.7109375" style="355" customWidth="1"/>
    <col min="2306" max="2307" width="9.140625" style="355"/>
    <col min="2308" max="2309" width="0" style="355" hidden="1" customWidth="1"/>
    <col min="2310" max="2310" width="17.140625" style="355" customWidth="1"/>
    <col min="2311" max="2311" width="16.140625" style="355" customWidth="1"/>
    <col min="2312" max="2312" width="19.85546875" style="355" customWidth="1"/>
    <col min="2313" max="2559" width="9.140625" style="355"/>
    <col min="2560" max="2561" width="28.7109375" style="355" customWidth="1"/>
    <col min="2562" max="2563" width="9.140625" style="355"/>
    <col min="2564" max="2565" width="0" style="355" hidden="1" customWidth="1"/>
    <col min="2566" max="2566" width="17.140625" style="355" customWidth="1"/>
    <col min="2567" max="2567" width="16.140625" style="355" customWidth="1"/>
    <col min="2568" max="2568" width="19.85546875" style="355" customWidth="1"/>
    <col min="2569" max="2815" width="9.140625" style="355"/>
    <col min="2816" max="2817" width="28.7109375" style="355" customWidth="1"/>
    <col min="2818" max="2819" width="9.140625" style="355"/>
    <col min="2820" max="2821" width="0" style="355" hidden="1" customWidth="1"/>
    <col min="2822" max="2822" width="17.140625" style="355" customWidth="1"/>
    <col min="2823" max="2823" width="16.140625" style="355" customWidth="1"/>
    <col min="2824" max="2824" width="19.85546875" style="355" customWidth="1"/>
    <col min="2825" max="3071" width="9.140625" style="355"/>
    <col min="3072" max="3073" width="28.7109375" style="355" customWidth="1"/>
    <col min="3074" max="3075" width="9.140625" style="355"/>
    <col min="3076" max="3077" width="0" style="355" hidden="1" customWidth="1"/>
    <col min="3078" max="3078" width="17.140625" style="355" customWidth="1"/>
    <col min="3079" max="3079" width="16.140625" style="355" customWidth="1"/>
    <col min="3080" max="3080" width="19.85546875" style="355" customWidth="1"/>
    <col min="3081" max="3327" width="9.140625" style="355"/>
    <col min="3328" max="3329" width="28.7109375" style="355" customWidth="1"/>
    <col min="3330" max="3331" width="9.140625" style="355"/>
    <col min="3332" max="3333" width="0" style="355" hidden="1" customWidth="1"/>
    <col min="3334" max="3334" width="17.140625" style="355" customWidth="1"/>
    <col min="3335" max="3335" width="16.140625" style="355" customWidth="1"/>
    <col min="3336" max="3336" width="19.85546875" style="355" customWidth="1"/>
    <col min="3337" max="3583" width="9.140625" style="355"/>
    <col min="3584" max="3585" width="28.7109375" style="355" customWidth="1"/>
    <col min="3586" max="3587" width="9.140625" style="355"/>
    <col min="3588" max="3589" width="0" style="355" hidden="1" customWidth="1"/>
    <col min="3590" max="3590" width="17.140625" style="355" customWidth="1"/>
    <col min="3591" max="3591" width="16.140625" style="355" customWidth="1"/>
    <col min="3592" max="3592" width="19.85546875" style="355" customWidth="1"/>
    <col min="3593" max="3839" width="9.140625" style="355"/>
    <col min="3840" max="3841" width="28.7109375" style="355" customWidth="1"/>
    <col min="3842" max="3843" width="9.140625" style="355"/>
    <col min="3844" max="3845" width="0" style="355" hidden="1" customWidth="1"/>
    <col min="3846" max="3846" width="17.140625" style="355" customWidth="1"/>
    <col min="3847" max="3847" width="16.140625" style="355" customWidth="1"/>
    <col min="3848" max="3848" width="19.85546875" style="355" customWidth="1"/>
    <col min="3849" max="4095" width="9.140625" style="355"/>
    <col min="4096" max="4097" width="28.7109375" style="355" customWidth="1"/>
    <col min="4098" max="4099" width="9.140625" style="355"/>
    <col min="4100" max="4101" width="0" style="355" hidden="1" customWidth="1"/>
    <col min="4102" max="4102" width="17.140625" style="355" customWidth="1"/>
    <col min="4103" max="4103" width="16.140625" style="355" customWidth="1"/>
    <col min="4104" max="4104" width="19.85546875" style="355" customWidth="1"/>
    <col min="4105" max="4351" width="9.140625" style="355"/>
    <col min="4352" max="4353" width="28.7109375" style="355" customWidth="1"/>
    <col min="4354" max="4355" width="9.140625" style="355"/>
    <col min="4356" max="4357" width="0" style="355" hidden="1" customWidth="1"/>
    <col min="4358" max="4358" width="17.140625" style="355" customWidth="1"/>
    <col min="4359" max="4359" width="16.140625" style="355" customWidth="1"/>
    <col min="4360" max="4360" width="19.85546875" style="355" customWidth="1"/>
    <col min="4361" max="4607" width="9.140625" style="355"/>
    <col min="4608" max="4609" width="28.7109375" style="355" customWidth="1"/>
    <col min="4610" max="4611" width="9.140625" style="355"/>
    <col min="4612" max="4613" width="0" style="355" hidden="1" customWidth="1"/>
    <col min="4614" max="4614" width="17.140625" style="355" customWidth="1"/>
    <col min="4615" max="4615" width="16.140625" style="355" customWidth="1"/>
    <col min="4616" max="4616" width="19.85546875" style="355" customWidth="1"/>
    <col min="4617" max="4863" width="9.140625" style="355"/>
    <col min="4864" max="4865" width="28.7109375" style="355" customWidth="1"/>
    <col min="4866" max="4867" width="9.140625" style="355"/>
    <col min="4868" max="4869" width="0" style="355" hidden="1" customWidth="1"/>
    <col min="4870" max="4870" width="17.140625" style="355" customWidth="1"/>
    <col min="4871" max="4871" width="16.140625" style="355" customWidth="1"/>
    <col min="4872" max="4872" width="19.85546875" style="355" customWidth="1"/>
    <col min="4873" max="5119" width="9.140625" style="355"/>
    <col min="5120" max="5121" width="28.7109375" style="355" customWidth="1"/>
    <col min="5122" max="5123" width="9.140625" style="355"/>
    <col min="5124" max="5125" width="0" style="355" hidden="1" customWidth="1"/>
    <col min="5126" max="5126" width="17.140625" style="355" customWidth="1"/>
    <col min="5127" max="5127" width="16.140625" style="355" customWidth="1"/>
    <col min="5128" max="5128" width="19.85546875" style="355" customWidth="1"/>
    <col min="5129" max="5375" width="9.140625" style="355"/>
    <col min="5376" max="5377" width="28.7109375" style="355" customWidth="1"/>
    <col min="5378" max="5379" width="9.140625" style="355"/>
    <col min="5380" max="5381" width="0" style="355" hidden="1" customWidth="1"/>
    <col min="5382" max="5382" width="17.140625" style="355" customWidth="1"/>
    <col min="5383" max="5383" width="16.140625" style="355" customWidth="1"/>
    <col min="5384" max="5384" width="19.85546875" style="355" customWidth="1"/>
    <col min="5385" max="5631" width="9.140625" style="355"/>
    <col min="5632" max="5633" width="28.7109375" style="355" customWidth="1"/>
    <col min="5634" max="5635" width="9.140625" style="355"/>
    <col min="5636" max="5637" width="0" style="355" hidden="1" customWidth="1"/>
    <col min="5638" max="5638" width="17.140625" style="355" customWidth="1"/>
    <col min="5639" max="5639" width="16.140625" style="355" customWidth="1"/>
    <col min="5640" max="5640" width="19.85546875" style="355" customWidth="1"/>
    <col min="5641" max="5887" width="9.140625" style="355"/>
    <col min="5888" max="5889" width="28.7109375" style="355" customWidth="1"/>
    <col min="5890" max="5891" width="9.140625" style="355"/>
    <col min="5892" max="5893" width="0" style="355" hidden="1" customWidth="1"/>
    <col min="5894" max="5894" width="17.140625" style="355" customWidth="1"/>
    <col min="5895" max="5895" width="16.140625" style="355" customWidth="1"/>
    <col min="5896" max="5896" width="19.85546875" style="355" customWidth="1"/>
    <col min="5897" max="6143" width="9.140625" style="355"/>
    <col min="6144" max="6145" width="28.7109375" style="355" customWidth="1"/>
    <col min="6146" max="6147" width="9.140625" style="355"/>
    <col min="6148" max="6149" width="0" style="355" hidden="1" customWidth="1"/>
    <col min="6150" max="6150" width="17.140625" style="355" customWidth="1"/>
    <col min="6151" max="6151" width="16.140625" style="355" customWidth="1"/>
    <col min="6152" max="6152" width="19.85546875" style="355" customWidth="1"/>
    <col min="6153" max="6399" width="9.140625" style="355"/>
    <col min="6400" max="6401" width="28.7109375" style="355" customWidth="1"/>
    <col min="6402" max="6403" width="9.140625" style="355"/>
    <col min="6404" max="6405" width="0" style="355" hidden="1" customWidth="1"/>
    <col min="6406" max="6406" width="17.140625" style="355" customWidth="1"/>
    <col min="6407" max="6407" width="16.140625" style="355" customWidth="1"/>
    <col min="6408" max="6408" width="19.85546875" style="355" customWidth="1"/>
    <col min="6409" max="6655" width="9.140625" style="355"/>
    <col min="6656" max="6657" width="28.7109375" style="355" customWidth="1"/>
    <col min="6658" max="6659" width="9.140625" style="355"/>
    <col min="6660" max="6661" width="0" style="355" hidden="1" customWidth="1"/>
    <col min="6662" max="6662" width="17.140625" style="355" customWidth="1"/>
    <col min="6663" max="6663" width="16.140625" style="355" customWidth="1"/>
    <col min="6664" max="6664" width="19.85546875" style="355" customWidth="1"/>
    <col min="6665" max="6911" width="9.140625" style="355"/>
    <col min="6912" max="6913" width="28.7109375" style="355" customWidth="1"/>
    <col min="6914" max="6915" width="9.140625" style="355"/>
    <col min="6916" max="6917" width="0" style="355" hidden="1" customWidth="1"/>
    <col min="6918" max="6918" width="17.140625" style="355" customWidth="1"/>
    <col min="6919" max="6919" width="16.140625" style="355" customWidth="1"/>
    <col min="6920" max="6920" width="19.85546875" style="355" customWidth="1"/>
    <col min="6921" max="7167" width="9.140625" style="355"/>
    <col min="7168" max="7169" width="28.7109375" style="355" customWidth="1"/>
    <col min="7170" max="7171" width="9.140625" style="355"/>
    <col min="7172" max="7173" width="0" style="355" hidden="1" customWidth="1"/>
    <col min="7174" max="7174" width="17.140625" style="355" customWidth="1"/>
    <col min="7175" max="7175" width="16.140625" style="355" customWidth="1"/>
    <col min="7176" max="7176" width="19.85546875" style="355" customWidth="1"/>
    <col min="7177" max="7423" width="9.140625" style="355"/>
    <col min="7424" max="7425" width="28.7109375" style="355" customWidth="1"/>
    <col min="7426" max="7427" width="9.140625" style="355"/>
    <col min="7428" max="7429" width="0" style="355" hidden="1" customWidth="1"/>
    <col min="7430" max="7430" width="17.140625" style="355" customWidth="1"/>
    <col min="7431" max="7431" width="16.140625" style="355" customWidth="1"/>
    <col min="7432" max="7432" width="19.85546875" style="355" customWidth="1"/>
    <col min="7433" max="7679" width="9.140625" style="355"/>
    <col min="7680" max="7681" width="28.7109375" style="355" customWidth="1"/>
    <col min="7682" max="7683" width="9.140625" style="355"/>
    <col min="7684" max="7685" width="0" style="355" hidden="1" customWidth="1"/>
    <col min="7686" max="7686" width="17.140625" style="355" customWidth="1"/>
    <col min="7687" max="7687" width="16.140625" style="355" customWidth="1"/>
    <col min="7688" max="7688" width="19.85546875" style="355" customWidth="1"/>
    <col min="7689" max="7935" width="9.140625" style="355"/>
    <col min="7936" max="7937" width="28.7109375" style="355" customWidth="1"/>
    <col min="7938" max="7939" width="9.140625" style="355"/>
    <col min="7940" max="7941" width="0" style="355" hidden="1" customWidth="1"/>
    <col min="7942" max="7942" width="17.140625" style="355" customWidth="1"/>
    <col min="7943" max="7943" width="16.140625" style="355" customWidth="1"/>
    <col min="7944" max="7944" width="19.85546875" style="355" customWidth="1"/>
    <col min="7945" max="8191" width="9.140625" style="355"/>
    <col min="8192" max="8193" width="28.7109375" style="355" customWidth="1"/>
    <col min="8194" max="8195" width="9.140625" style="355"/>
    <col min="8196" max="8197" width="0" style="355" hidden="1" customWidth="1"/>
    <col min="8198" max="8198" width="17.140625" style="355" customWidth="1"/>
    <col min="8199" max="8199" width="16.140625" style="355" customWidth="1"/>
    <col min="8200" max="8200" width="19.85546875" style="355" customWidth="1"/>
    <col min="8201" max="8447" width="9.140625" style="355"/>
    <col min="8448" max="8449" width="28.7109375" style="355" customWidth="1"/>
    <col min="8450" max="8451" width="9.140625" style="355"/>
    <col min="8452" max="8453" width="0" style="355" hidden="1" customWidth="1"/>
    <col min="8454" max="8454" width="17.140625" style="355" customWidth="1"/>
    <col min="8455" max="8455" width="16.140625" style="355" customWidth="1"/>
    <col min="8456" max="8456" width="19.85546875" style="355" customWidth="1"/>
    <col min="8457" max="8703" width="9.140625" style="355"/>
    <col min="8704" max="8705" width="28.7109375" style="355" customWidth="1"/>
    <col min="8706" max="8707" width="9.140625" style="355"/>
    <col min="8708" max="8709" width="0" style="355" hidden="1" customWidth="1"/>
    <col min="8710" max="8710" width="17.140625" style="355" customWidth="1"/>
    <col min="8711" max="8711" width="16.140625" style="355" customWidth="1"/>
    <col min="8712" max="8712" width="19.85546875" style="355" customWidth="1"/>
    <col min="8713" max="8959" width="9.140625" style="355"/>
    <col min="8960" max="8961" width="28.7109375" style="355" customWidth="1"/>
    <col min="8962" max="8963" width="9.140625" style="355"/>
    <col min="8964" max="8965" width="0" style="355" hidden="1" customWidth="1"/>
    <col min="8966" max="8966" width="17.140625" style="355" customWidth="1"/>
    <col min="8967" max="8967" width="16.140625" style="355" customWidth="1"/>
    <col min="8968" max="8968" width="19.85546875" style="355" customWidth="1"/>
    <col min="8969" max="9215" width="9.140625" style="355"/>
    <col min="9216" max="9217" width="28.7109375" style="355" customWidth="1"/>
    <col min="9218" max="9219" width="9.140625" style="355"/>
    <col min="9220" max="9221" width="0" style="355" hidden="1" customWidth="1"/>
    <col min="9222" max="9222" width="17.140625" style="355" customWidth="1"/>
    <col min="9223" max="9223" width="16.140625" style="355" customWidth="1"/>
    <col min="9224" max="9224" width="19.85546875" style="355" customWidth="1"/>
    <col min="9225" max="9471" width="9.140625" style="355"/>
    <col min="9472" max="9473" width="28.7109375" style="355" customWidth="1"/>
    <col min="9474" max="9475" width="9.140625" style="355"/>
    <col min="9476" max="9477" width="0" style="355" hidden="1" customWidth="1"/>
    <col min="9478" max="9478" width="17.140625" style="355" customWidth="1"/>
    <col min="9479" max="9479" width="16.140625" style="355" customWidth="1"/>
    <col min="9480" max="9480" width="19.85546875" style="355" customWidth="1"/>
    <col min="9481" max="9727" width="9.140625" style="355"/>
    <col min="9728" max="9729" width="28.7109375" style="355" customWidth="1"/>
    <col min="9730" max="9731" width="9.140625" style="355"/>
    <col min="9732" max="9733" width="0" style="355" hidden="1" customWidth="1"/>
    <col min="9734" max="9734" width="17.140625" style="355" customWidth="1"/>
    <col min="9735" max="9735" width="16.140625" style="355" customWidth="1"/>
    <col min="9736" max="9736" width="19.85546875" style="355" customWidth="1"/>
    <col min="9737" max="9983" width="9.140625" style="355"/>
    <col min="9984" max="9985" width="28.7109375" style="355" customWidth="1"/>
    <col min="9986" max="9987" width="9.140625" style="355"/>
    <col min="9988" max="9989" width="0" style="355" hidden="1" customWidth="1"/>
    <col min="9990" max="9990" width="17.140625" style="355" customWidth="1"/>
    <col min="9991" max="9991" width="16.140625" style="355" customWidth="1"/>
    <col min="9992" max="9992" width="19.85546875" style="355" customWidth="1"/>
    <col min="9993" max="10239" width="9.140625" style="355"/>
    <col min="10240" max="10241" width="28.7109375" style="355" customWidth="1"/>
    <col min="10242" max="10243" width="9.140625" style="355"/>
    <col min="10244" max="10245" width="0" style="355" hidden="1" customWidth="1"/>
    <col min="10246" max="10246" width="17.140625" style="355" customWidth="1"/>
    <col min="10247" max="10247" width="16.140625" style="355" customWidth="1"/>
    <col min="10248" max="10248" width="19.85546875" style="355" customWidth="1"/>
    <col min="10249" max="10495" width="9.140625" style="355"/>
    <col min="10496" max="10497" width="28.7109375" style="355" customWidth="1"/>
    <col min="10498" max="10499" width="9.140625" style="355"/>
    <col min="10500" max="10501" width="0" style="355" hidden="1" customWidth="1"/>
    <col min="10502" max="10502" width="17.140625" style="355" customWidth="1"/>
    <col min="10503" max="10503" width="16.140625" style="355" customWidth="1"/>
    <col min="10504" max="10504" width="19.85546875" style="355" customWidth="1"/>
    <col min="10505" max="10751" width="9.140625" style="355"/>
    <col min="10752" max="10753" width="28.7109375" style="355" customWidth="1"/>
    <col min="10754" max="10755" width="9.140625" style="355"/>
    <col min="10756" max="10757" width="0" style="355" hidden="1" customWidth="1"/>
    <col min="10758" max="10758" width="17.140625" style="355" customWidth="1"/>
    <col min="10759" max="10759" width="16.140625" style="355" customWidth="1"/>
    <col min="10760" max="10760" width="19.85546875" style="355" customWidth="1"/>
    <col min="10761" max="11007" width="9.140625" style="355"/>
    <col min="11008" max="11009" width="28.7109375" style="355" customWidth="1"/>
    <col min="11010" max="11011" width="9.140625" style="355"/>
    <col min="11012" max="11013" width="0" style="355" hidden="1" customWidth="1"/>
    <col min="11014" max="11014" width="17.140625" style="355" customWidth="1"/>
    <col min="11015" max="11015" width="16.140625" style="355" customWidth="1"/>
    <col min="11016" max="11016" width="19.85546875" style="355" customWidth="1"/>
    <col min="11017" max="11263" width="9.140625" style="355"/>
    <col min="11264" max="11265" width="28.7109375" style="355" customWidth="1"/>
    <col min="11266" max="11267" width="9.140625" style="355"/>
    <col min="11268" max="11269" width="0" style="355" hidden="1" customWidth="1"/>
    <col min="11270" max="11270" width="17.140625" style="355" customWidth="1"/>
    <col min="11271" max="11271" width="16.140625" style="355" customWidth="1"/>
    <col min="11272" max="11272" width="19.85546875" style="355" customWidth="1"/>
    <col min="11273" max="11519" width="9.140625" style="355"/>
    <col min="11520" max="11521" width="28.7109375" style="355" customWidth="1"/>
    <col min="11522" max="11523" width="9.140625" style="355"/>
    <col min="11524" max="11525" width="0" style="355" hidden="1" customWidth="1"/>
    <col min="11526" max="11526" width="17.140625" style="355" customWidth="1"/>
    <col min="11527" max="11527" width="16.140625" style="355" customWidth="1"/>
    <col min="11528" max="11528" width="19.85546875" style="355" customWidth="1"/>
    <col min="11529" max="11775" width="9.140625" style="355"/>
    <col min="11776" max="11777" width="28.7109375" style="355" customWidth="1"/>
    <col min="11778" max="11779" width="9.140625" style="355"/>
    <col min="11780" max="11781" width="0" style="355" hidden="1" customWidth="1"/>
    <col min="11782" max="11782" width="17.140625" style="355" customWidth="1"/>
    <col min="11783" max="11783" width="16.140625" style="355" customWidth="1"/>
    <col min="11784" max="11784" width="19.85546875" style="355" customWidth="1"/>
    <col min="11785" max="12031" width="9.140625" style="355"/>
    <col min="12032" max="12033" width="28.7109375" style="355" customWidth="1"/>
    <col min="12034" max="12035" width="9.140625" style="355"/>
    <col min="12036" max="12037" width="0" style="355" hidden="1" customWidth="1"/>
    <col min="12038" max="12038" width="17.140625" style="355" customWidth="1"/>
    <col min="12039" max="12039" width="16.140625" style="355" customWidth="1"/>
    <col min="12040" max="12040" width="19.85546875" style="355" customWidth="1"/>
    <col min="12041" max="12287" width="9.140625" style="355"/>
    <col min="12288" max="12289" width="28.7109375" style="355" customWidth="1"/>
    <col min="12290" max="12291" width="9.140625" style="355"/>
    <col min="12292" max="12293" width="0" style="355" hidden="1" customWidth="1"/>
    <col min="12294" max="12294" width="17.140625" style="355" customWidth="1"/>
    <col min="12295" max="12295" width="16.140625" style="355" customWidth="1"/>
    <col min="12296" max="12296" width="19.85546875" style="355" customWidth="1"/>
    <col min="12297" max="12543" width="9.140625" style="355"/>
    <col min="12544" max="12545" width="28.7109375" style="355" customWidth="1"/>
    <col min="12546" max="12547" width="9.140625" style="355"/>
    <col min="12548" max="12549" width="0" style="355" hidden="1" customWidth="1"/>
    <col min="12550" max="12550" width="17.140625" style="355" customWidth="1"/>
    <col min="12551" max="12551" width="16.140625" style="355" customWidth="1"/>
    <col min="12552" max="12552" width="19.85546875" style="355" customWidth="1"/>
    <col min="12553" max="12799" width="9.140625" style="355"/>
    <col min="12800" max="12801" width="28.7109375" style="355" customWidth="1"/>
    <col min="12802" max="12803" width="9.140625" style="355"/>
    <col min="12804" max="12805" width="0" style="355" hidden="1" customWidth="1"/>
    <col min="12806" max="12806" width="17.140625" style="355" customWidth="1"/>
    <col min="12807" max="12807" width="16.140625" style="355" customWidth="1"/>
    <col min="12808" max="12808" width="19.85546875" style="355" customWidth="1"/>
    <col min="12809" max="13055" width="9.140625" style="355"/>
    <col min="13056" max="13057" width="28.7109375" style="355" customWidth="1"/>
    <col min="13058" max="13059" width="9.140625" style="355"/>
    <col min="13060" max="13061" width="0" style="355" hidden="1" customWidth="1"/>
    <col min="13062" max="13062" width="17.140625" style="355" customWidth="1"/>
    <col min="13063" max="13063" width="16.140625" style="355" customWidth="1"/>
    <col min="13064" max="13064" width="19.85546875" style="355" customWidth="1"/>
    <col min="13065" max="13311" width="9.140625" style="355"/>
    <col min="13312" max="13313" width="28.7109375" style="355" customWidth="1"/>
    <col min="13314" max="13315" width="9.140625" style="355"/>
    <col min="13316" max="13317" width="0" style="355" hidden="1" customWidth="1"/>
    <col min="13318" max="13318" width="17.140625" style="355" customWidth="1"/>
    <col min="13319" max="13319" width="16.140625" style="355" customWidth="1"/>
    <col min="13320" max="13320" width="19.85546875" style="355" customWidth="1"/>
    <col min="13321" max="13567" width="9.140625" style="355"/>
    <col min="13568" max="13569" width="28.7109375" style="355" customWidth="1"/>
    <col min="13570" max="13571" width="9.140625" style="355"/>
    <col min="13572" max="13573" width="0" style="355" hidden="1" customWidth="1"/>
    <col min="13574" max="13574" width="17.140625" style="355" customWidth="1"/>
    <col min="13575" max="13575" width="16.140625" style="355" customWidth="1"/>
    <col min="13576" max="13576" width="19.85546875" style="355" customWidth="1"/>
    <col min="13577" max="13823" width="9.140625" style="355"/>
    <col min="13824" max="13825" width="28.7109375" style="355" customWidth="1"/>
    <col min="13826" max="13827" width="9.140625" style="355"/>
    <col min="13828" max="13829" width="0" style="355" hidden="1" customWidth="1"/>
    <col min="13830" max="13830" width="17.140625" style="355" customWidth="1"/>
    <col min="13831" max="13831" width="16.140625" style="355" customWidth="1"/>
    <col min="13832" max="13832" width="19.85546875" style="355" customWidth="1"/>
    <col min="13833" max="14079" width="9.140625" style="355"/>
    <col min="14080" max="14081" width="28.7109375" style="355" customWidth="1"/>
    <col min="14082" max="14083" width="9.140625" style="355"/>
    <col min="14084" max="14085" width="0" style="355" hidden="1" customWidth="1"/>
    <col min="14086" max="14086" width="17.140625" style="355" customWidth="1"/>
    <col min="14087" max="14087" width="16.140625" style="355" customWidth="1"/>
    <col min="14088" max="14088" width="19.85546875" style="355" customWidth="1"/>
    <col min="14089" max="14335" width="9.140625" style="355"/>
    <col min="14336" max="14337" width="28.7109375" style="355" customWidth="1"/>
    <col min="14338" max="14339" width="9.140625" style="355"/>
    <col min="14340" max="14341" width="0" style="355" hidden="1" customWidth="1"/>
    <col min="14342" max="14342" width="17.140625" style="355" customWidth="1"/>
    <col min="14343" max="14343" width="16.140625" style="355" customWidth="1"/>
    <col min="14344" max="14344" width="19.85546875" style="355" customWidth="1"/>
    <col min="14345" max="14591" width="9.140625" style="355"/>
    <col min="14592" max="14593" width="28.7109375" style="355" customWidth="1"/>
    <col min="14594" max="14595" width="9.140625" style="355"/>
    <col min="14596" max="14597" width="0" style="355" hidden="1" customWidth="1"/>
    <col min="14598" max="14598" width="17.140625" style="355" customWidth="1"/>
    <col min="14599" max="14599" width="16.140625" style="355" customWidth="1"/>
    <col min="14600" max="14600" width="19.85546875" style="355" customWidth="1"/>
    <col min="14601" max="14847" width="9.140625" style="355"/>
    <col min="14848" max="14849" width="28.7109375" style="355" customWidth="1"/>
    <col min="14850" max="14851" width="9.140625" style="355"/>
    <col min="14852" max="14853" width="0" style="355" hidden="1" customWidth="1"/>
    <col min="14854" max="14854" width="17.140625" style="355" customWidth="1"/>
    <col min="14855" max="14855" width="16.140625" style="355" customWidth="1"/>
    <col min="14856" max="14856" width="19.85546875" style="355" customWidth="1"/>
    <col min="14857" max="15103" width="9.140625" style="355"/>
    <col min="15104" max="15105" width="28.7109375" style="355" customWidth="1"/>
    <col min="15106" max="15107" width="9.140625" style="355"/>
    <col min="15108" max="15109" width="0" style="355" hidden="1" customWidth="1"/>
    <col min="15110" max="15110" width="17.140625" style="355" customWidth="1"/>
    <col min="15111" max="15111" width="16.140625" style="355" customWidth="1"/>
    <col min="15112" max="15112" width="19.85546875" style="355" customWidth="1"/>
    <col min="15113" max="15359" width="9.140625" style="355"/>
    <col min="15360" max="15361" width="28.7109375" style="355" customWidth="1"/>
    <col min="15362" max="15363" width="9.140625" style="355"/>
    <col min="15364" max="15365" width="0" style="355" hidden="1" customWidth="1"/>
    <col min="15366" max="15366" width="17.140625" style="355" customWidth="1"/>
    <col min="15367" max="15367" width="16.140625" style="355" customWidth="1"/>
    <col min="15368" max="15368" width="19.85546875" style="355" customWidth="1"/>
    <col min="15369" max="15615" width="9.140625" style="355"/>
    <col min="15616" max="15617" width="28.7109375" style="355" customWidth="1"/>
    <col min="15618" max="15619" width="9.140625" style="355"/>
    <col min="15620" max="15621" width="0" style="355" hidden="1" customWidth="1"/>
    <col min="15622" max="15622" width="17.140625" style="355" customWidth="1"/>
    <col min="15623" max="15623" width="16.140625" style="355" customWidth="1"/>
    <col min="15624" max="15624" width="19.85546875" style="355" customWidth="1"/>
    <col min="15625" max="15871" width="9.140625" style="355"/>
    <col min="15872" max="15873" width="28.7109375" style="355" customWidth="1"/>
    <col min="15874" max="15875" width="9.140625" style="355"/>
    <col min="15876" max="15877" width="0" style="355" hidden="1" customWidth="1"/>
    <col min="15878" max="15878" width="17.140625" style="355" customWidth="1"/>
    <col min="15879" max="15879" width="16.140625" style="355" customWidth="1"/>
    <col min="15880" max="15880" width="19.85546875" style="355" customWidth="1"/>
    <col min="15881" max="16127" width="9.140625" style="355"/>
    <col min="16128" max="16129" width="28.7109375" style="355" customWidth="1"/>
    <col min="16130" max="16131" width="9.140625" style="355"/>
    <col min="16132" max="16133" width="0" style="355" hidden="1" customWidth="1"/>
    <col min="16134" max="16134" width="17.140625" style="355" customWidth="1"/>
    <col min="16135" max="16135" width="16.140625" style="355" customWidth="1"/>
    <col min="16136" max="16136" width="19.85546875" style="355" customWidth="1"/>
    <col min="16137" max="16384" width="9.140625" style="355"/>
  </cols>
  <sheetData>
    <row r="2" spans="1:9" ht="29.25" customHeight="1" x14ac:dyDescent="0.25">
      <c r="A2" s="1472" t="s">
        <v>554</v>
      </c>
      <c r="B2" s="1472"/>
      <c r="C2" s="1472"/>
      <c r="D2" s="1472"/>
      <c r="E2" s="1472"/>
      <c r="F2" s="1472"/>
      <c r="G2" s="1472"/>
      <c r="H2" s="1472"/>
      <c r="I2" s="1472"/>
    </row>
    <row r="4" spans="1:9" ht="100.5" customHeight="1" x14ac:dyDescent="0.25">
      <c r="A4" s="592" t="s">
        <v>511</v>
      </c>
      <c r="B4" s="593" t="s">
        <v>555</v>
      </c>
      <c r="C4" s="593" t="s">
        <v>556</v>
      </c>
      <c r="D4" s="593" t="s">
        <v>513</v>
      </c>
      <c r="E4" s="416" t="s">
        <v>514</v>
      </c>
      <c r="F4" s="416" t="s">
        <v>515</v>
      </c>
      <c r="G4" s="593" t="s">
        <v>516</v>
      </c>
      <c r="H4" s="417" t="s">
        <v>1373</v>
      </c>
      <c r="I4" s="417" t="s">
        <v>1374</v>
      </c>
    </row>
    <row r="5" spans="1:9" x14ac:dyDescent="0.25">
      <c r="A5" s="592" t="s">
        <v>557</v>
      </c>
      <c r="B5" s="599" t="s">
        <v>558</v>
      </c>
      <c r="C5" s="600">
        <v>0.45</v>
      </c>
      <c r="D5" s="579">
        <f>C5*12</f>
        <v>5.4</v>
      </c>
      <c r="E5" s="596">
        <v>18</v>
      </c>
      <c r="F5" s="596">
        <f>1.0658*1.0645*1.1136</f>
        <v>1.26</v>
      </c>
      <c r="G5" s="579">
        <f>E5*F5</f>
        <v>22.68</v>
      </c>
      <c r="H5" s="579">
        <f>D5*G5</f>
        <v>122.47</v>
      </c>
      <c r="I5" s="579"/>
    </row>
    <row r="6" spans="1:9" x14ac:dyDescent="0.25">
      <c r="A6" s="592" t="s">
        <v>559</v>
      </c>
      <c r="B6" s="601" t="s">
        <v>560</v>
      </c>
      <c r="C6" s="600">
        <v>0.25</v>
      </c>
      <c r="D6" s="579">
        <f t="shared" ref="D6:D17" si="0">C6*12</f>
        <v>3</v>
      </c>
      <c r="E6" s="596">
        <v>13</v>
      </c>
      <c r="F6" s="596">
        <f t="shared" ref="F6:F17" si="1">1.0658*1.0645*1.1136</f>
        <v>1.26</v>
      </c>
      <c r="G6" s="579">
        <f>E6*F6</f>
        <v>16.38</v>
      </c>
      <c r="H6" s="579">
        <f>D6*G6</f>
        <v>49.14</v>
      </c>
      <c r="I6" s="579"/>
    </row>
    <row r="7" spans="1:9" x14ac:dyDescent="0.25">
      <c r="A7" s="592" t="s">
        <v>561</v>
      </c>
      <c r="B7" s="599" t="s">
        <v>562</v>
      </c>
      <c r="C7" s="600">
        <v>0.5</v>
      </c>
      <c r="D7" s="579">
        <f t="shared" si="0"/>
        <v>6</v>
      </c>
      <c r="E7" s="596">
        <v>64</v>
      </c>
      <c r="F7" s="596">
        <f t="shared" si="1"/>
        <v>1.26</v>
      </c>
      <c r="G7" s="579">
        <f>E7*F7</f>
        <v>80.64</v>
      </c>
      <c r="H7" s="579">
        <f>D7*G7</f>
        <v>483.84</v>
      </c>
      <c r="I7" s="579"/>
    </row>
    <row r="8" spans="1:9" x14ac:dyDescent="0.25">
      <c r="A8" s="592" t="s">
        <v>563</v>
      </c>
      <c r="B8" s="599" t="s">
        <v>564</v>
      </c>
      <c r="C8" s="600">
        <v>0.45</v>
      </c>
      <c r="D8" s="579">
        <f>C8*12</f>
        <v>5.4</v>
      </c>
      <c r="E8" s="596">
        <v>16</v>
      </c>
      <c r="F8" s="596">
        <f t="shared" si="1"/>
        <v>1.26</v>
      </c>
      <c r="G8" s="579">
        <f>E8*F8</f>
        <v>20.16</v>
      </c>
      <c r="H8" s="579">
        <f>D8*G8</f>
        <v>108.86</v>
      </c>
      <c r="I8" s="579"/>
    </row>
    <row r="9" spans="1:9" x14ac:dyDescent="0.25">
      <c r="A9" s="592" t="s">
        <v>565</v>
      </c>
      <c r="B9" s="599" t="s">
        <v>566</v>
      </c>
      <c r="C9" s="600">
        <v>0.1</v>
      </c>
      <c r="D9" s="579">
        <f t="shared" si="0"/>
        <v>1.2</v>
      </c>
      <c r="E9" s="596">
        <v>15</v>
      </c>
      <c r="F9" s="596">
        <f t="shared" si="1"/>
        <v>1.26</v>
      </c>
      <c r="G9" s="579">
        <f t="shared" ref="G9:G17" si="2">E9*F9</f>
        <v>18.899999999999999</v>
      </c>
      <c r="H9" s="579">
        <f t="shared" ref="H9:H17" si="3">D9*G9</f>
        <v>22.68</v>
      </c>
      <c r="I9" s="579"/>
    </row>
    <row r="10" spans="1:9" x14ac:dyDescent="0.25">
      <c r="A10" s="602" t="s">
        <v>567</v>
      </c>
      <c r="B10" s="599" t="s">
        <v>568</v>
      </c>
      <c r="C10" s="600">
        <v>0.05</v>
      </c>
      <c r="D10" s="579">
        <f t="shared" si="0"/>
        <v>0.6</v>
      </c>
      <c r="E10" s="596">
        <v>16</v>
      </c>
      <c r="F10" s="596">
        <f t="shared" si="1"/>
        <v>1.26</v>
      </c>
      <c r="G10" s="579">
        <f t="shared" si="2"/>
        <v>20.16</v>
      </c>
      <c r="H10" s="579">
        <f t="shared" si="3"/>
        <v>12.1</v>
      </c>
      <c r="I10" s="579"/>
    </row>
    <row r="11" spans="1:9" x14ac:dyDescent="0.25">
      <c r="A11" s="592" t="s">
        <v>569</v>
      </c>
      <c r="B11" s="599" t="s">
        <v>570</v>
      </c>
      <c r="C11" s="600">
        <v>2.5000000000000001E-2</v>
      </c>
      <c r="D11" s="579">
        <f t="shared" si="0"/>
        <v>0.3</v>
      </c>
      <c r="E11" s="596">
        <v>15</v>
      </c>
      <c r="F11" s="596">
        <f t="shared" si="1"/>
        <v>1.26</v>
      </c>
      <c r="G11" s="579">
        <f t="shared" si="2"/>
        <v>18.899999999999999</v>
      </c>
      <c r="H11" s="579">
        <f t="shared" si="3"/>
        <v>5.67</v>
      </c>
      <c r="I11" s="579"/>
    </row>
    <row r="12" spans="1:9" x14ac:dyDescent="0.25">
      <c r="A12" s="602" t="s">
        <v>571</v>
      </c>
      <c r="B12" s="599" t="s">
        <v>568</v>
      </c>
      <c r="C12" s="600">
        <v>0.05</v>
      </c>
      <c r="D12" s="579">
        <f t="shared" si="0"/>
        <v>0.6</v>
      </c>
      <c r="E12" s="596">
        <v>72</v>
      </c>
      <c r="F12" s="596">
        <f t="shared" si="1"/>
        <v>1.26</v>
      </c>
      <c r="G12" s="579">
        <f t="shared" si="2"/>
        <v>90.72</v>
      </c>
      <c r="H12" s="579">
        <f t="shared" si="3"/>
        <v>54.43</v>
      </c>
      <c r="I12" s="579"/>
    </row>
    <row r="13" spans="1:9" x14ac:dyDescent="0.25">
      <c r="A13" s="602" t="s">
        <v>572</v>
      </c>
      <c r="B13" s="599" t="s">
        <v>573</v>
      </c>
      <c r="C13" s="600">
        <v>2.5000000000000001E-2</v>
      </c>
      <c r="D13" s="579">
        <f t="shared" si="0"/>
        <v>0.3</v>
      </c>
      <c r="E13" s="596">
        <v>51</v>
      </c>
      <c r="F13" s="596">
        <f t="shared" si="1"/>
        <v>1.26</v>
      </c>
      <c r="G13" s="579">
        <f t="shared" si="2"/>
        <v>64.260000000000005</v>
      </c>
      <c r="H13" s="579">
        <f t="shared" si="3"/>
        <v>19.28</v>
      </c>
      <c r="I13" s="579"/>
    </row>
    <row r="14" spans="1:9" x14ac:dyDescent="0.25">
      <c r="A14" s="602" t="s">
        <v>574</v>
      </c>
      <c r="B14" s="599" t="s">
        <v>575</v>
      </c>
      <c r="C14" s="600">
        <v>1.7000000000000001E-2</v>
      </c>
      <c r="D14" s="579">
        <f t="shared" si="0"/>
        <v>0.2</v>
      </c>
      <c r="E14" s="596">
        <f>61+87</f>
        <v>148</v>
      </c>
      <c r="F14" s="596">
        <f t="shared" si="1"/>
        <v>1.26</v>
      </c>
      <c r="G14" s="579">
        <f t="shared" si="2"/>
        <v>186.48</v>
      </c>
      <c r="H14" s="579">
        <f t="shared" si="3"/>
        <v>37.299999999999997</v>
      </c>
      <c r="I14" s="579"/>
    </row>
    <row r="15" spans="1:9" x14ac:dyDescent="0.25">
      <c r="A15" s="602" t="s">
        <v>576</v>
      </c>
      <c r="B15" s="599" t="s">
        <v>577</v>
      </c>
      <c r="C15" s="600">
        <v>0.05</v>
      </c>
      <c r="D15" s="579">
        <f t="shared" si="0"/>
        <v>0.6</v>
      </c>
      <c r="E15" s="596">
        <v>85</v>
      </c>
      <c r="F15" s="596">
        <f t="shared" si="1"/>
        <v>1.26</v>
      </c>
      <c r="G15" s="579">
        <f t="shared" si="2"/>
        <v>107.1</v>
      </c>
      <c r="H15" s="579">
        <f t="shared" si="3"/>
        <v>64.260000000000005</v>
      </c>
      <c r="I15" s="579"/>
    </row>
    <row r="16" spans="1:9" x14ac:dyDescent="0.25">
      <c r="A16" s="602" t="s">
        <v>578</v>
      </c>
      <c r="B16" s="599" t="s">
        <v>577</v>
      </c>
      <c r="C16" s="600">
        <v>0.05</v>
      </c>
      <c r="D16" s="579">
        <f t="shared" si="0"/>
        <v>0.6</v>
      </c>
      <c r="E16" s="596">
        <v>95</v>
      </c>
      <c r="F16" s="596">
        <f t="shared" si="1"/>
        <v>1.26</v>
      </c>
      <c r="G16" s="579">
        <f t="shared" si="2"/>
        <v>119.7</v>
      </c>
      <c r="H16" s="579">
        <f t="shared" si="3"/>
        <v>71.819999999999993</v>
      </c>
      <c r="I16" s="579"/>
    </row>
    <row r="17" spans="1:9" ht="30" x14ac:dyDescent="0.25">
      <c r="A17" s="602" t="s">
        <v>579</v>
      </c>
      <c r="B17" s="599" t="s">
        <v>580</v>
      </c>
      <c r="C17" s="600">
        <v>0.1</v>
      </c>
      <c r="D17" s="579">
        <f t="shared" si="0"/>
        <v>1.2</v>
      </c>
      <c r="E17" s="596">
        <v>100</v>
      </c>
      <c r="F17" s="596">
        <f t="shared" si="1"/>
        <v>1.26</v>
      </c>
      <c r="G17" s="579">
        <f t="shared" si="2"/>
        <v>126</v>
      </c>
      <c r="H17" s="579">
        <f t="shared" si="3"/>
        <v>151.19999999999999</v>
      </c>
      <c r="I17" s="579"/>
    </row>
    <row r="18" spans="1:9" x14ac:dyDescent="0.25">
      <c r="A18" s="603" t="s">
        <v>35</v>
      </c>
      <c r="B18" s="603"/>
      <c r="C18" s="600"/>
      <c r="D18" s="579"/>
      <c r="E18" s="596"/>
      <c r="F18" s="596"/>
      <c r="G18" s="579"/>
      <c r="H18" s="598">
        <f>SUM(H5:H17)</f>
        <v>1203.05</v>
      </c>
      <c r="I18" s="598">
        <f>H18/12*4</f>
        <v>401.02</v>
      </c>
    </row>
    <row r="19" spans="1:9" hidden="1" x14ac:dyDescent="0.25">
      <c r="A19" s="1473" t="s">
        <v>1375</v>
      </c>
      <c r="B19" s="1473"/>
      <c r="C19" s="1473"/>
      <c r="D19" s="1473"/>
      <c r="E19" s="1473"/>
      <c r="H19" s="604">
        <v>247</v>
      </c>
    </row>
    <row r="20" spans="1:9" hidden="1" x14ac:dyDescent="0.25">
      <c r="A20" s="1474" t="s">
        <v>480</v>
      </c>
      <c r="B20" s="1474"/>
      <c r="C20" s="1474"/>
      <c r="D20" s="1474"/>
      <c r="E20" s="1474"/>
      <c r="H20" s="605">
        <f>H18/H19</f>
        <v>4.87</v>
      </c>
    </row>
    <row r="23" spans="1:9" x14ac:dyDescent="0.25">
      <c r="A23" s="355" t="s">
        <v>581</v>
      </c>
    </row>
    <row r="24" spans="1:9" x14ac:dyDescent="0.25">
      <c r="A24" s="592" t="s">
        <v>557</v>
      </c>
      <c r="B24" s="599" t="s">
        <v>558</v>
      </c>
      <c r="C24" s="600">
        <v>0.45</v>
      </c>
      <c r="D24" s="579">
        <f t="shared" ref="D24:D31" si="4">C24*12</f>
        <v>5.4</v>
      </c>
      <c r="E24" s="596">
        <v>18</v>
      </c>
      <c r="F24" s="596">
        <f>1.0658*1.0645*1.1136</f>
        <v>1.26</v>
      </c>
      <c r="G24" s="579">
        <f t="shared" ref="G24:G31" si="5">E24*F24</f>
        <v>22.68</v>
      </c>
      <c r="H24" s="579">
        <f t="shared" ref="H24:H31" si="6">D24*G24</f>
        <v>122.47</v>
      </c>
      <c r="I24" s="579"/>
    </row>
    <row r="25" spans="1:9" x14ac:dyDescent="0.25">
      <c r="A25" s="592" t="s">
        <v>559</v>
      </c>
      <c r="B25" s="601" t="s">
        <v>560</v>
      </c>
      <c r="C25" s="600">
        <v>0.25</v>
      </c>
      <c r="D25" s="579">
        <f t="shared" si="4"/>
        <v>3</v>
      </c>
      <c r="E25" s="596">
        <v>13</v>
      </c>
      <c r="F25" s="596">
        <f t="shared" ref="F25:F31" si="7">1.0658*1.0645*1.1136</f>
        <v>1.26</v>
      </c>
      <c r="G25" s="579">
        <f t="shared" si="5"/>
        <v>16.38</v>
      </c>
      <c r="H25" s="579">
        <f t="shared" si="6"/>
        <v>49.14</v>
      </c>
      <c r="I25" s="579"/>
    </row>
    <row r="26" spans="1:9" x14ac:dyDescent="0.25">
      <c r="A26" s="592" t="s">
        <v>561</v>
      </c>
      <c r="B26" s="599" t="s">
        <v>562</v>
      </c>
      <c r="C26" s="600">
        <v>0.5</v>
      </c>
      <c r="D26" s="579">
        <f t="shared" si="4"/>
        <v>6</v>
      </c>
      <c r="E26" s="596">
        <v>64</v>
      </c>
      <c r="F26" s="596">
        <f t="shared" si="7"/>
        <v>1.26</v>
      </c>
      <c r="G26" s="579">
        <f t="shared" si="5"/>
        <v>80.64</v>
      </c>
      <c r="H26" s="579">
        <f t="shared" si="6"/>
        <v>483.84</v>
      </c>
      <c r="I26" s="579"/>
    </row>
    <row r="27" spans="1:9" x14ac:dyDescent="0.25">
      <c r="A27" s="592" t="s">
        <v>563</v>
      </c>
      <c r="B27" s="599" t="s">
        <v>564</v>
      </c>
      <c r="C27" s="600">
        <v>0.45</v>
      </c>
      <c r="D27" s="579">
        <f t="shared" si="4"/>
        <v>5.4</v>
      </c>
      <c r="E27" s="596">
        <v>16</v>
      </c>
      <c r="F27" s="596">
        <f t="shared" si="7"/>
        <v>1.26</v>
      </c>
      <c r="G27" s="579">
        <f t="shared" si="5"/>
        <v>20.16</v>
      </c>
      <c r="H27" s="579">
        <f t="shared" si="6"/>
        <v>108.86</v>
      </c>
      <c r="I27" s="579"/>
    </row>
    <row r="28" spans="1:9" x14ac:dyDescent="0.25">
      <c r="A28" s="592" t="s">
        <v>565</v>
      </c>
      <c r="B28" s="599" t="s">
        <v>566</v>
      </c>
      <c r="C28" s="600">
        <v>0.1</v>
      </c>
      <c r="D28" s="579">
        <f t="shared" si="4"/>
        <v>1.2</v>
      </c>
      <c r="E28" s="596">
        <v>15</v>
      </c>
      <c r="F28" s="596">
        <f t="shared" si="7"/>
        <v>1.26</v>
      </c>
      <c r="G28" s="579">
        <f t="shared" si="5"/>
        <v>18.899999999999999</v>
      </c>
      <c r="H28" s="579">
        <f t="shared" si="6"/>
        <v>22.68</v>
      </c>
      <c r="I28" s="579"/>
    </row>
    <row r="29" spans="1:9" x14ac:dyDescent="0.25">
      <c r="A29" s="602" t="s">
        <v>567</v>
      </c>
      <c r="B29" s="599" t="s">
        <v>568</v>
      </c>
      <c r="C29" s="600">
        <v>0.05</v>
      </c>
      <c r="D29" s="579">
        <f t="shared" si="4"/>
        <v>0.6</v>
      </c>
      <c r="E29" s="596">
        <v>16</v>
      </c>
      <c r="F29" s="596">
        <f t="shared" si="7"/>
        <v>1.26</v>
      </c>
      <c r="G29" s="579">
        <f t="shared" si="5"/>
        <v>20.16</v>
      </c>
      <c r="H29" s="579">
        <f t="shared" si="6"/>
        <v>12.1</v>
      </c>
      <c r="I29" s="579"/>
    </row>
    <row r="30" spans="1:9" x14ac:dyDescent="0.25">
      <c r="A30" s="592" t="s">
        <v>569</v>
      </c>
      <c r="B30" s="599" t="s">
        <v>570</v>
      </c>
      <c r="C30" s="600">
        <v>2.5000000000000001E-2</v>
      </c>
      <c r="D30" s="579">
        <f t="shared" si="4"/>
        <v>0.3</v>
      </c>
      <c r="E30" s="596">
        <v>15</v>
      </c>
      <c r="F30" s="596">
        <f t="shared" si="7"/>
        <v>1.26</v>
      </c>
      <c r="G30" s="579">
        <f t="shared" si="5"/>
        <v>18.899999999999999</v>
      </c>
      <c r="H30" s="579">
        <f t="shared" si="6"/>
        <v>5.67</v>
      </c>
      <c r="I30" s="579"/>
    </row>
    <row r="31" spans="1:9" x14ac:dyDescent="0.25">
      <c r="A31" s="602" t="s">
        <v>571</v>
      </c>
      <c r="B31" s="599" t="s">
        <v>568</v>
      </c>
      <c r="C31" s="600">
        <v>0.05</v>
      </c>
      <c r="D31" s="579">
        <f t="shared" si="4"/>
        <v>0.6</v>
      </c>
      <c r="E31" s="596">
        <v>72</v>
      </c>
      <c r="F31" s="596">
        <f t="shared" si="7"/>
        <v>1.26</v>
      </c>
      <c r="G31" s="579">
        <f t="shared" si="5"/>
        <v>90.72</v>
      </c>
      <c r="H31" s="579">
        <f t="shared" si="6"/>
        <v>54.43</v>
      </c>
      <c r="I31" s="579"/>
    </row>
    <row r="32" spans="1:9" x14ac:dyDescent="0.25">
      <c r="A32" s="603" t="s">
        <v>35</v>
      </c>
      <c r="B32" s="603"/>
      <c r="C32" s="600"/>
      <c r="D32" s="579"/>
      <c r="E32" s="596"/>
      <c r="F32" s="596"/>
      <c r="G32" s="579"/>
      <c r="H32" s="598">
        <f>SUM(H24:H31)</f>
        <v>859.19</v>
      </c>
      <c r="I32" s="598">
        <f>H32/12*4</f>
        <v>286.39999999999998</v>
      </c>
    </row>
    <row r="33" spans="1:8" ht="15" hidden="1" customHeight="1" x14ac:dyDescent="0.25">
      <c r="A33" s="1473" t="s">
        <v>1375</v>
      </c>
      <c r="B33" s="1473"/>
      <c r="C33" s="1473"/>
      <c r="D33" s="1473"/>
      <c r="E33" s="1473"/>
      <c r="H33" s="604">
        <v>247</v>
      </c>
    </row>
    <row r="34" spans="1:8" hidden="1" x14ac:dyDescent="0.25">
      <c r="A34" s="1474" t="s">
        <v>480</v>
      </c>
      <c r="B34" s="1474"/>
      <c r="C34" s="1474"/>
      <c r="D34" s="1474"/>
      <c r="E34" s="1474"/>
      <c r="H34" s="605">
        <f>H32/H33</f>
        <v>3.48</v>
      </c>
    </row>
  </sheetData>
  <mergeCells count="5">
    <mergeCell ref="A2:I2"/>
    <mergeCell ref="A19:E19"/>
    <mergeCell ref="A20:E20"/>
    <mergeCell ref="A33:E33"/>
    <mergeCell ref="A34:E34"/>
  </mergeCells>
  <pageMargins left="0.7" right="0.7" top="0.75" bottom="0.75" header="0.3" footer="0.3"/>
  <pageSetup paperSize="9" scale="92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H23"/>
  <sheetViews>
    <sheetView workbookViewId="0">
      <selection activeCell="G30" sqref="G30"/>
    </sheetView>
  </sheetViews>
  <sheetFormatPr defaultRowHeight="15" x14ac:dyDescent="0.25"/>
  <cols>
    <col min="1" max="2" width="28.7109375" style="355" customWidth="1"/>
    <col min="3" max="3" width="9.140625" style="355"/>
    <col min="4" max="5" width="0" style="355" hidden="1" customWidth="1"/>
    <col min="6" max="6" width="15.5703125" style="355" customWidth="1"/>
    <col min="7" max="7" width="12.85546875" style="355" customWidth="1"/>
    <col min="8" max="8" width="17.5703125" style="355" customWidth="1"/>
    <col min="9" max="255" width="9.140625" style="355"/>
    <col min="256" max="257" width="28.7109375" style="355" customWidth="1"/>
    <col min="258" max="258" width="9.140625" style="355"/>
    <col min="259" max="260" width="0" style="355" hidden="1" customWidth="1"/>
    <col min="261" max="261" width="15.5703125" style="355" customWidth="1"/>
    <col min="262" max="262" width="12.85546875" style="355" customWidth="1"/>
    <col min="263" max="263" width="17.5703125" style="355" customWidth="1"/>
    <col min="264" max="511" width="9.140625" style="355"/>
    <col min="512" max="513" width="28.7109375" style="355" customWidth="1"/>
    <col min="514" max="514" width="9.140625" style="355"/>
    <col min="515" max="516" width="0" style="355" hidden="1" customWidth="1"/>
    <col min="517" max="517" width="15.5703125" style="355" customWidth="1"/>
    <col min="518" max="518" width="12.85546875" style="355" customWidth="1"/>
    <col min="519" max="519" width="17.5703125" style="355" customWidth="1"/>
    <col min="520" max="767" width="9.140625" style="355"/>
    <col min="768" max="769" width="28.7109375" style="355" customWidth="1"/>
    <col min="770" max="770" width="9.140625" style="355"/>
    <col min="771" max="772" width="0" style="355" hidden="1" customWidth="1"/>
    <col min="773" max="773" width="15.5703125" style="355" customWidth="1"/>
    <col min="774" max="774" width="12.85546875" style="355" customWidth="1"/>
    <col min="775" max="775" width="17.5703125" style="355" customWidth="1"/>
    <col min="776" max="1023" width="9.140625" style="355"/>
    <col min="1024" max="1025" width="28.7109375" style="355" customWidth="1"/>
    <col min="1026" max="1026" width="9.140625" style="355"/>
    <col min="1027" max="1028" width="0" style="355" hidden="1" customWidth="1"/>
    <col min="1029" max="1029" width="15.5703125" style="355" customWidth="1"/>
    <col min="1030" max="1030" width="12.85546875" style="355" customWidth="1"/>
    <col min="1031" max="1031" width="17.5703125" style="355" customWidth="1"/>
    <col min="1032" max="1279" width="9.140625" style="355"/>
    <col min="1280" max="1281" width="28.7109375" style="355" customWidth="1"/>
    <col min="1282" max="1282" width="9.140625" style="355"/>
    <col min="1283" max="1284" width="0" style="355" hidden="1" customWidth="1"/>
    <col min="1285" max="1285" width="15.5703125" style="355" customWidth="1"/>
    <col min="1286" max="1286" width="12.85546875" style="355" customWidth="1"/>
    <col min="1287" max="1287" width="17.5703125" style="355" customWidth="1"/>
    <col min="1288" max="1535" width="9.140625" style="355"/>
    <col min="1536" max="1537" width="28.7109375" style="355" customWidth="1"/>
    <col min="1538" max="1538" width="9.140625" style="355"/>
    <col min="1539" max="1540" width="0" style="355" hidden="1" customWidth="1"/>
    <col min="1541" max="1541" width="15.5703125" style="355" customWidth="1"/>
    <col min="1542" max="1542" width="12.85546875" style="355" customWidth="1"/>
    <col min="1543" max="1543" width="17.5703125" style="355" customWidth="1"/>
    <col min="1544" max="1791" width="9.140625" style="355"/>
    <col min="1792" max="1793" width="28.7109375" style="355" customWidth="1"/>
    <col min="1794" max="1794" width="9.140625" style="355"/>
    <col min="1795" max="1796" width="0" style="355" hidden="1" customWidth="1"/>
    <col min="1797" max="1797" width="15.5703125" style="355" customWidth="1"/>
    <col min="1798" max="1798" width="12.85546875" style="355" customWidth="1"/>
    <col min="1799" max="1799" width="17.5703125" style="355" customWidth="1"/>
    <col min="1800" max="2047" width="9.140625" style="355"/>
    <col min="2048" max="2049" width="28.7109375" style="355" customWidth="1"/>
    <col min="2050" max="2050" width="9.140625" style="355"/>
    <col min="2051" max="2052" width="0" style="355" hidden="1" customWidth="1"/>
    <col min="2053" max="2053" width="15.5703125" style="355" customWidth="1"/>
    <col min="2054" max="2054" width="12.85546875" style="355" customWidth="1"/>
    <col min="2055" max="2055" width="17.5703125" style="355" customWidth="1"/>
    <col min="2056" max="2303" width="9.140625" style="355"/>
    <col min="2304" max="2305" width="28.7109375" style="355" customWidth="1"/>
    <col min="2306" max="2306" width="9.140625" style="355"/>
    <col min="2307" max="2308" width="0" style="355" hidden="1" customWidth="1"/>
    <col min="2309" max="2309" width="15.5703125" style="355" customWidth="1"/>
    <col min="2310" max="2310" width="12.85546875" style="355" customWidth="1"/>
    <col min="2311" max="2311" width="17.5703125" style="355" customWidth="1"/>
    <col min="2312" max="2559" width="9.140625" style="355"/>
    <col min="2560" max="2561" width="28.7109375" style="355" customWidth="1"/>
    <col min="2562" max="2562" width="9.140625" style="355"/>
    <col min="2563" max="2564" width="0" style="355" hidden="1" customWidth="1"/>
    <col min="2565" max="2565" width="15.5703125" style="355" customWidth="1"/>
    <col min="2566" max="2566" width="12.85546875" style="355" customWidth="1"/>
    <col min="2567" max="2567" width="17.5703125" style="355" customWidth="1"/>
    <col min="2568" max="2815" width="9.140625" style="355"/>
    <col min="2816" max="2817" width="28.7109375" style="355" customWidth="1"/>
    <col min="2818" max="2818" width="9.140625" style="355"/>
    <col min="2819" max="2820" width="0" style="355" hidden="1" customWidth="1"/>
    <col min="2821" max="2821" width="15.5703125" style="355" customWidth="1"/>
    <col min="2822" max="2822" width="12.85546875" style="355" customWidth="1"/>
    <col min="2823" max="2823" width="17.5703125" style="355" customWidth="1"/>
    <col min="2824" max="3071" width="9.140625" style="355"/>
    <col min="3072" max="3073" width="28.7109375" style="355" customWidth="1"/>
    <col min="3074" max="3074" width="9.140625" style="355"/>
    <col min="3075" max="3076" width="0" style="355" hidden="1" customWidth="1"/>
    <col min="3077" max="3077" width="15.5703125" style="355" customWidth="1"/>
    <col min="3078" max="3078" width="12.85546875" style="355" customWidth="1"/>
    <col min="3079" max="3079" width="17.5703125" style="355" customWidth="1"/>
    <col min="3080" max="3327" width="9.140625" style="355"/>
    <col min="3328" max="3329" width="28.7109375" style="355" customWidth="1"/>
    <col min="3330" max="3330" width="9.140625" style="355"/>
    <col min="3331" max="3332" width="0" style="355" hidden="1" customWidth="1"/>
    <col min="3333" max="3333" width="15.5703125" style="355" customWidth="1"/>
    <col min="3334" max="3334" width="12.85546875" style="355" customWidth="1"/>
    <col min="3335" max="3335" width="17.5703125" style="355" customWidth="1"/>
    <col min="3336" max="3583" width="9.140625" style="355"/>
    <col min="3584" max="3585" width="28.7109375" style="355" customWidth="1"/>
    <col min="3586" max="3586" width="9.140625" style="355"/>
    <col min="3587" max="3588" width="0" style="355" hidden="1" customWidth="1"/>
    <col min="3589" max="3589" width="15.5703125" style="355" customWidth="1"/>
    <col min="3590" max="3590" width="12.85546875" style="355" customWidth="1"/>
    <col min="3591" max="3591" width="17.5703125" style="355" customWidth="1"/>
    <col min="3592" max="3839" width="9.140625" style="355"/>
    <col min="3840" max="3841" width="28.7109375" style="355" customWidth="1"/>
    <col min="3842" max="3842" width="9.140625" style="355"/>
    <col min="3843" max="3844" width="0" style="355" hidden="1" customWidth="1"/>
    <col min="3845" max="3845" width="15.5703125" style="355" customWidth="1"/>
    <col min="3846" max="3846" width="12.85546875" style="355" customWidth="1"/>
    <col min="3847" max="3847" width="17.5703125" style="355" customWidth="1"/>
    <col min="3848" max="4095" width="9.140625" style="355"/>
    <col min="4096" max="4097" width="28.7109375" style="355" customWidth="1"/>
    <col min="4098" max="4098" width="9.140625" style="355"/>
    <col min="4099" max="4100" width="0" style="355" hidden="1" customWidth="1"/>
    <col min="4101" max="4101" width="15.5703125" style="355" customWidth="1"/>
    <col min="4102" max="4102" width="12.85546875" style="355" customWidth="1"/>
    <col min="4103" max="4103" width="17.5703125" style="355" customWidth="1"/>
    <col min="4104" max="4351" width="9.140625" style="355"/>
    <col min="4352" max="4353" width="28.7109375" style="355" customWidth="1"/>
    <col min="4354" max="4354" width="9.140625" style="355"/>
    <col min="4355" max="4356" width="0" style="355" hidden="1" customWidth="1"/>
    <col min="4357" max="4357" width="15.5703125" style="355" customWidth="1"/>
    <col min="4358" max="4358" width="12.85546875" style="355" customWidth="1"/>
    <col min="4359" max="4359" width="17.5703125" style="355" customWidth="1"/>
    <col min="4360" max="4607" width="9.140625" style="355"/>
    <col min="4608" max="4609" width="28.7109375" style="355" customWidth="1"/>
    <col min="4610" max="4610" width="9.140625" style="355"/>
    <col min="4611" max="4612" width="0" style="355" hidden="1" customWidth="1"/>
    <col min="4613" max="4613" width="15.5703125" style="355" customWidth="1"/>
    <col min="4614" max="4614" width="12.85546875" style="355" customWidth="1"/>
    <col min="4615" max="4615" width="17.5703125" style="355" customWidth="1"/>
    <col min="4616" max="4863" width="9.140625" style="355"/>
    <col min="4864" max="4865" width="28.7109375" style="355" customWidth="1"/>
    <col min="4866" max="4866" width="9.140625" style="355"/>
    <col min="4867" max="4868" width="0" style="355" hidden="1" customWidth="1"/>
    <col min="4869" max="4869" width="15.5703125" style="355" customWidth="1"/>
    <col min="4870" max="4870" width="12.85546875" style="355" customWidth="1"/>
    <col min="4871" max="4871" width="17.5703125" style="355" customWidth="1"/>
    <col min="4872" max="5119" width="9.140625" style="355"/>
    <col min="5120" max="5121" width="28.7109375" style="355" customWidth="1"/>
    <col min="5122" max="5122" width="9.140625" style="355"/>
    <col min="5123" max="5124" width="0" style="355" hidden="1" customWidth="1"/>
    <col min="5125" max="5125" width="15.5703125" style="355" customWidth="1"/>
    <col min="5126" max="5126" width="12.85546875" style="355" customWidth="1"/>
    <col min="5127" max="5127" width="17.5703125" style="355" customWidth="1"/>
    <col min="5128" max="5375" width="9.140625" style="355"/>
    <col min="5376" max="5377" width="28.7109375" style="355" customWidth="1"/>
    <col min="5378" max="5378" width="9.140625" style="355"/>
    <col min="5379" max="5380" width="0" style="355" hidden="1" customWidth="1"/>
    <col min="5381" max="5381" width="15.5703125" style="355" customWidth="1"/>
    <col min="5382" max="5382" width="12.85546875" style="355" customWidth="1"/>
    <col min="5383" max="5383" width="17.5703125" style="355" customWidth="1"/>
    <col min="5384" max="5631" width="9.140625" style="355"/>
    <col min="5632" max="5633" width="28.7109375" style="355" customWidth="1"/>
    <col min="5634" max="5634" width="9.140625" style="355"/>
    <col min="5635" max="5636" width="0" style="355" hidden="1" customWidth="1"/>
    <col min="5637" max="5637" width="15.5703125" style="355" customWidth="1"/>
    <col min="5638" max="5638" width="12.85546875" style="355" customWidth="1"/>
    <col min="5639" max="5639" width="17.5703125" style="355" customWidth="1"/>
    <col min="5640" max="5887" width="9.140625" style="355"/>
    <col min="5888" max="5889" width="28.7109375" style="355" customWidth="1"/>
    <col min="5890" max="5890" width="9.140625" style="355"/>
    <col min="5891" max="5892" width="0" style="355" hidden="1" customWidth="1"/>
    <col min="5893" max="5893" width="15.5703125" style="355" customWidth="1"/>
    <col min="5894" max="5894" width="12.85546875" style="355" customWidth="1"/>
    <col min="5895" max="5895" width="17.5703125" style="355" customWidth="1"/>
    <col min="5896" max="6143" width="9.140625" style="355"/>
    <col min="6144" max="6145" width="28.7109375" style="355" customWidth="1"/>
    <col min="6146" max="6146" width="9.140625" style="355"/>
    <col min="6147" max="6148" width="0" style="355" hidden="1" customWidth="1"/>
    <col min="6149" max="6149" width="15.5703125" style="355" customWidth="1"/>
    <col min="6150" max="6150" width="12.85546875" style="355" customWidth="1"/>
    <col min="6151" max="6151" width="17.5703125" style="355" customWidth="1"/>
    <col min="6152" max="6399" width="9.140625" style="355"/>
    <col min="6400" max="6401" width="28.7109375" style="355" customWidth="1"/>
    <col min="6402" max="6402" width="9.140625" style="355"/>
    <col min="6403" max="6404" width="0" style="355" hidden="1" customWidth="1"/>
    <col min="6405" max="6405" width="15.5703125" style="355" customWidth="1"/>
    <col min="6406" max="6406" width="12.85546875" style="355" customWidth="1"/>
    <col min="6407" max="6407" width="17.5703125" style="355" customWidth="1"/>
    <col min="6408" max="6655" width="9.140625" style="355"/>
    <col min="6656" max="6657" width="28.7109375" style="355" customWidth="1"/>
    <col min="6658" max="6658" width="9.140625" style="355"/>
    <col min="6659" max="6660" width="0" style="355" hidden="1" customWidth="1"/>
    <col min="6661" max="6661" width="15.5703125" style="355" customWidth="1"/>
    <col min="6662" max="6662" width="12.85546875" style="355" customWidth="1"/>
    <col min="6663" max="6663" width="17.5703125" style="355" customWidth="1"/>
    <col min="6664" max="6911" width="9.140625" style="355"/>
    <col min="6912" max="6913" width="28.7109375" style="355" customWidth="1"/>
    <col min="6914" max="6914" width="9.140625" style="355"/>
    <col min="6915" max="6916" width="0" style="355" hidden="1" customWidth="1"/>
    <col min="6917" max="6917" width="15.5703125" style="355" customWidth="1"/>
    <col min="6918" max="6918" width="12.85546875" style="355" customWidth="1"/>
    <col min="6919" max="6919" width="17.5703125" style="355" customWidth="1"/>
    <col min="6920" max="7167" width="9.140625" style="355"/>
    <col min="7168" max="7169" width="28.7109375" style="355" customWidth="1"/>
    <col min="7170" max="7170" width="9.140625" style="355"/>
    <col min="7171" max="7172" width="0" style="355" hidden="1" customWidth="1"/>
    <col min="7173" max="7173" width="15.5703125" style="355" customWidth="1"/>
    <col min="7174" max="7174" width="12.85546875" style="355" customWidth="1"/>
    <col min="7175" max="7175" width="17.5703125" style="355" customWidth="1"/>
    <col min="7176" max="7423" width="9.140625" style="355"/>
    <col min="7424" max="7425" width="28.7109375" style="355" customWidth="1"/>
    <col min="7426" max="7426" width="9.140625" style="355"/>
    <col min="7427" max="7428" width="0" style="355" hidden="1" customWidth="1"/>
    <col min="7429" max="7429" width="15.5703125" style="355" customWidth="1"/>
    <col min="7430" max="7430" width="12.85546875" style="355" customWidth="1"/>
    <col min="7431" max="7431" width="17.5703125" style="355" customWidth="1"/>
    <col min="7432" max="7679" width="9.140625" style="355"/>
    <col min="7680" max="7681" width="28.7109375" style="355" customWidth="1"/>
    <col min="7682" max="7682" width="9.140625" style="355"/>
    <col min="7683" max="7684" width="0" style="355" hidden="1" customWidth="1"/>
    <col min="7685" max="7685" width="15.5703125" style="355" customWidth="1"/>
    <col min="7686" max="7686" width="12.85546875" style="355" customWidth="1"/>
    <col min="7687" max="7687" width="17.5703125" style="355" customWidth="1"/>
    <col min="7688" max="7935" width="9.140625" style="355"/>
    <col min="7936" max="7937" width="28.7109375" style="355" customWidth="1"/>
    <col min="7938" max="7938" width="9.140625" style="355"/>
    <col min="7939" max="7940" width="0" style="355" hidden="1" customWidth="1"/>
    <col min="7941" max="7941" width="15.5703125" style="355" customWidth="1"/>
    <col min="7942" max="7942" width="12.85546875" style="355" customWidth="1"/>
    <col min="7943" max="7943" width="17.5703125" style="355" customWidth="1"/>
    <col min="7944" max="8191" width="9.140625" style="355"/>
    <col min="8192" max="8193" width="28.7109375" style="355" customWidth="1"/>
    <col min="8194" max="8194" width="9.140625" style="355"/>
    <col min="8195" max="8196" width="0" style="355" hidden="1" customWidth="1"/>
    <col min="8197" max="8197" width="15.5703125" style="355" customWidth="1"/>
    <col min="8198" max="8198" width="12.85546875" style="355" customWidth="1"/>
    <col min="8199" max="8199" width="17.5703125" style="355" customWidth="1"/>
    <col min="8200" max="8447" width="9.140625" style="355"/>
    <col min="8448" max="8449" width="28.7109375" style="355" customWidth="1"/>
    <col min="8450" max="8450" width="9.140625" style="355"/>
    <col min="8451" max="8452" width="0" style="355" hidden="1" customWidth="1"/>
    <col min="8453" max="8453" width="15.5703125" style="355" customWidth="1"/>
    <col min="8454" max="8454" width="12.85546875" style="355" customWidth="1"/>
    <col min="8455" max="8455" width="17.5703125" style="355" customWidth="1"/>
    <col min="8456" max="8703" width="9.140625" style="355"/>
    <col min="8704" max="8705" width="28.7109375" style="355" customWidth="1"/>
    <col min="8706" max="8706" width="9.140625" style="355"/>
    <col min="8707" max="8708" width="0" style="355" hidden="1" customWidth="1"/>
    <col min="8709" max="8709" width="15.5703125" style="355" customWidth="1"/>
    <col min="8710" max="8710" width="12.85546875" style="355" customWidth="1"/>
    <col min="8711" max="8711" width="17.5703125" style="355" customWidth="1"/>
    <col min="8712" max="8959" width="9.140625" style="355"/>
    <col min="8960" max="8961" width="28.7109375" style="355" customWidth="1"/>
    <col min="8962" max="8962" width="9.140625" style="355"/>
    <col min="8963" max="8964" width="0" style="355" hidden="1" customWidth="1"/>
    <col min="8965" max="8965" width="15.5703125" style="355" customWidth="1"/>
    <col min="8966" max="8966" width="12.85546875" style="355" customWidth="1"/>
    <col min="8967" max="8967" width="17.5703125" style="355" customWidth="1"/>
    <col min="8968" max="9215" width="9.140625" style="355"/>
    <col min="9216" max="9217" width="28.7109375" style="355" customWidth="1"/>
    <col min="9218" max="9218" width="9.140625" style="355"/>
    <col min="9219" max="9220" width="0" style="355" hidden="1" customWidth="1"/>
    <col min="9221" max="9221" width="15.5703125" style="355" customWidth="1"/>
    <col min="9222" max="9222" width="12.85546875" style="355" customWidth="1"/>
    <col min="9223" max="9223" width="17.5703125" style="355" customWidth="1"/>
    <col min="9224" max="9471" width="9.140625" style="355"/>
    <col min="9472" max="9473" width="28.7109375" style="355" customWidth="1"/>
    <col min="9474" max="9474" width="9.140625" style="355"/>
    <col min="9475" max="9476" width="0" style="355" hidden="1" customWidth="1"/>
    <col min="9477" max="9477" width="15.5703125" style="355" customWidth="1"/>
    <col min="9478" max="9478" width="12.85546875" style="355" customWidth="1"/>
    <col min="9479" max="9479" width="17.5703125" style="355" customWidth="1"/>
    <col min="9480" max="9727" width="9.140625" style="355"/>
    <col min="9728" max="9729" width="28.7109375" style="355" customWidth="1"/>
    <col min="9730" max="9730" width="9.140625" style="355"/>
    <col min="9731" max="9732" width="0" style="355" hidden="1" customWidth="1"/>
    <col min="9733" max="9733" width="15.5703125" style="355" customWidth="1"/>
    <col min="9734" max="9734" width="12.85546875" style="355" customWidth="1"/>
    <col min="9735" max="9735" width="17.5703125" style="355" customWidth="1"/>
    <col min="9736" max="9983" width="9.140625" style="355"/>
    <col min="9984" max="9985" width="28.7109375" style="355" customWidth="1"/>
    <col min="9986" max="9986" width="9.140625" style="355"/>
    <col min="9987" max="9988" width="0" style="355" hidden="1" customWidth="1"/>
    <col min="9989" max="9989" width="15.5703125" style="355" customWidth="1"/>
    <col min="9990" max="9990" width="12.85546875" style="355" customWidth="1"/>
    <col min="9991" max="9991" width="17.5703125" style="355" customWidth="1"/>
    <col min="9992" max="10239" width="9.140625" style="355"/>
    <col min="10240" max="10241" width="28.7109375" style="355" customWidth="1"/>
    <col min="10242" max="10242" width="9.140625" style="355"/>
    <col min="10243" max="10244" width="0" style="355" hidden="1" customWidth="1"/>
    <col min="10245" max="10245" width="15.5703125" style="355" customWidth="1"/>
    <col min="10246" max="10246" width="12.85546875" style="355" customWidth="1"/>
    <col min="10247" max="10247" width="17.5703125" style="355" customWidth="1"/>
    <col min="10248" max="10495" width="9.140625" style="355"/>
    <col min="10496" max="10497" width="28.7109375" style="355" customWidth="1"/>
    <col min="10498" max="10498" width="9.140625" style="355"/>
    <col min="10499" max="10500" width="0" style="355" hidden="1" customWidth="1"/>
    <col min="10501" max="10501" width="15.5703125" style="355" customWidth="1"/>
    <col min="10502" max="10502" width="12.85546875" style="355" customWidth="1"/>
    <col min="10503" max="10503" width="17.5703125" style="355" customWidth="1"/>
    <col min="10504" max="10751" width="9.140625" style="355"/>
    <col min="10752" max="10753" width="28.7109375" style="355" customWidth="1"/>
    <col min="10754" max="10754" width="9.140625" style="355"/>
    <col min="10755" max="10756" width="0" style="355" hidden="1" customWidth="1"/>
    <col min="10757" max="10757" width="15.5703125" style="355" customWidth="1"/>
    <col min="10758" max="10758" width="12.85546875" style="355" customWidth="1"/>
    <col min="10759" max="10759" width="17.5703125" style="355" customWidth="1"/>
    <col min="10760" max="11007" width="9.140625" style="355"/>
    <col min="11008" max="11009" width="28.7109375" style="355" customWidth="1"/>
    <col min="11010" max="11010" width="9.140625" style="355"/>
    <col min="11011" max="11012" width="0" style="355" hidden="1" customWidth="1"/>
    <col min="11013" max="11013" width="15.5703125" style="355" customWidth="1"/>
    <col min="11014" max="11014" width="12.85546875" style="355" customWidth="1"/>
    <col min="11015" max="11015" width="17.5703125" style="355" customWidth="1"/>
    <col min="11016" max="11263" width="9.140625" style="355"/>
    <col min="11264" max="11265" width="28.7109375" style="355" customWidth="1"/>
    <col min="11266" max="11266" width="9.140625" style="355"/>
    <col min="11267" max="11268" width="0" style="355" hidden="1" customWidth="1"/>
    <col min="11269" max="11269" width="15.5703125" style="355" customWidth="1"/>
    <col min="11270" max="11270" width="12.85546875" style="355" customWidth="1"/>
    <col min="11271" max="11271" width="17.5703125" style="355" customWidth="1"/>
    <col min="11272" max="11519" width="9.140625" style="355"/>
    <col min="11520" max="11521" width="28.7109375" style="355" customWidth="1"/>
    <col min="11522" max="11522" width="9.140625" style="355"/>
    <col min="11523" max="11524" width="0" style="355" hidden="1" customWidth="1"/>
    <col min="11525" max="11525" width="15.5703125" style="355" customWidth="1"/>
    <col min="11526" max="11526" width="12.85546875" style="355" customWidth="1"/>
    <col min="11527" max="11527" width="17.5703125" style="355" customWidth="1"/>
    <col min="11528" max="11775" width="9.140625" style="355"/>
    <col min="11776" max="11777" width="28.7109375" style="355" customWidth="1"/>
    <col min="11778" max="11778" width="9.140625" style="355"/>
    <col min="11779" max="11780" width="0" style="355" hidden="1" customWidth="1"/>
    <col min="11781" max="11781" width="15.5703125" style="355" customWidth="1"/>
    <col min="11782" max="11782" width="12.85546875" style="355" customWidth="1"/>
    <col min="11783" max="11783" width="17.5703125" style="355" customWidth="1"/>
    <col min="11784" max="12031" width="9.140625" style="355"/>
    <col min="12032" max="12033" width="28.7109375" style="355" customWidth="1"/>
    <col min="12034" max="12034" width="9.140625" style="355"/>
    <col min="12035" max="12036" width="0" style="355" hidden="1" customWidth="1"/>
    <col min="12037" max="12037" width="15.5703125" style="355" customWidth="1"/>
    <col min="12038" max="12038" width="12.85546875" style="355" customWidth="1"/>
    <col min="12039" max="12039" width="17.5703125" style="355" customWidth="1"/>
    <col min="12040" max="12287" width="9.140625" style="355"/>
    <col min="12288" max="12289" width="28.7109375" style="355" customWidth="1"/>
    <col min="12290" max="12290" width="9.140625" style="355"/>
    <col min="12291" max="12292" width="0" style="355" hidden="1" customWidth="1"/>
    <col min="12293" max="12293" width="15.5703125" style="355" customWidth="1"/>
    <col min="12294" max="12294" width="12.85546875" style="355" customWidth="1"/>
    <col min="12295" max="12295" width="17.5703125" style="355" customWidth="1"/>
    <col min="12296" max="12543" width="9.140625" style="355"/>
    <col min="12544" max="12545" width="28.7109375" style="355" customWidth="1"/>
    <col min="12546" max="12546" width="9.140625" style="355"/>
    <col min="12547" max="12548" width="0" style="355" hidden="1" customWidth="1"/>
    <col min="12549" max="12549" width="15.5703125" style="355" customWidth="1"/>
    <col min="12550" max="12550" width="12.85546875" style="355" customWidth="1"/>
    <col min="12551" max="12551" width="17.5703125" style="355" customWidth="1"/>
    <col min="12552" max="12799" width="9.140625" style="355"/>
    <col min="12800" max="12801" width="28.7109375" style="355" customWidth="1"/>
    <col min="12802" max="12802" width="9.140625" style="355"/>
    <col min="12803" max="12804" width="0" style="355" hidden="1" customWidth="1"/>
    <col min="12805" max="12805" width="15.5703125" style="355" customWidth="1"/>
    <col min="12806" max="12806" width="12.85546875" style="355" customWidth="1"/>
    <col min="12807" max="12807" width="17.5703125" style="355" customWidth="1"/>
    <col min="12808" max="13055" width="9.140625" style="355"/>
    <col min="13056" max="13057" width="28.7109375" style="355" customWidth="1"/>
    <col min="13058" max="13058" width="9.140625" style="355"/>
    <col min="13059" max="13060" width="0" style="355" hidden="1" customWidth="1"/>
    <col min="13061" max="13061" width="15.5703125" style="355" customWidth="1"/>
    <col min="13062" max="13062" width="12.85546875" style="355" customWidth="1"/>
    <col min="13063" max="13063" width="17.5703125" style="355" customWidth="1"/>
    <col min="13064" max="13311" width="9.140625" style="355"/>
    <col min="13312" max="13313" width="28.7109375" style="355" customWidth="1"/>
    <col min="13314" max="13314" width="9.140625" style="355"/>
    <col min="13315" max="13316" width="0" style="355" hidden="1" customWidth="1"/>
    <col min="13317" max="13317" width="15.5703125" style="355" customWidth="1"/>
    <col min="13318" max="13318" width="12.85546875" style="355" customWidth="1"/>
    <col min="13319" max="13319" width="17.5703125" style="355" customWidth="1"/>
    <col min="13320" max="13567" width="9.140625" style="355"/>
    <col min="13568" max="13569" width="28.7109375" style="355" customWidth="1"/>
    <col min="13570" max="13570" width="9.140625" style="355"/>
    <col min="13571" max="13572" width="0" style="355" hidden="1" customWidth="1"/>
    <col min="13573" max="13573" width="15.5703125" style="355" customWidth="1"/>
    <col min="13574" max="13574" width="12.85546875" style="355" customWidth="1"/>
    <col min="13575" max="13575" width="17.5703125" style="355" customWidth="1"/>
    <col min="13576" max="13823" width="9.140625" style="355"/>
    <col min="13824" max="13825" width="28.7109375" style="355" customWidth="1"/>
    <col min="13826" max="13826" width="9.140625" style="355"/>
    <col min="13827" max="13828" width="0" style="355" hidden="1" customWidth="1"/>
    <col min="13829" max="13829" width="15.5703125" style="355" customWidth="1"/>
    <col min="13830" max="13830" width="12.85546875" style="355" customWidth="1"/>
    <col min="13831" max="13831" width="17.5703125" style="355" customWidth="1"/>
    <col min="13832" max="14079" width="9.140625" style="355"/>
    <col min="14080" max="14081" width="28.7109375" style="355" customWidth="1"/>
    <col min="14082" max="14082" width="9.140625" style="355"/>
    <col min="14083" max="14084" width="0" style="355" hidden="1" customWidth="1"/>
    <col min="14085" max="14085" width="15.5703125" style="355" customWidth="1"/>
    <col min="14086" max="14086" width="12.85546875" style="355" customWidth="1"/>
    <col min="14087" max="14087" width="17.5703125" style="355" customWidth="1"/>
    <col min="14088" max="14335" width="9.140625" style="355"/>
    <col min="14336" max="14337" width="28.7109375" style="355" customWidth="1"/>
    <col min="14338" max="14338" width="9.140625" style="355"/>
    <col min="14339" max="14340" width="0" style="355" hidden="1" customWidth="1"/>
    <col min="14341" max="14341" width="15.5703125" style="355" customWidth="1"/>
    <col min="14342" max="14342" width="12.85546875" style="355" customWidth="1"/>
    <col min="14343" max="14343" width="17.5703125" style="355" customWidth="1"/>
    <col min="14344" max="14591" width="9.140625" style="355"/>
    <col min="14592" max="14593" width="28.7109375" style="355" customWidth="1"/>
    <col min="14594" max="14594" width="9.140625" style="355"/>
    <col min="14595" max="14596" width="0" style="355" hidden="1" customWidth="1"/>
    <col min="14597" max="14597" width="15.5703125" style="355" customWidth="1"/>
    <col min="14598" max="14598" width="12.85546875" style="355" customWidth="1"/>
    <col min="14599" max="14599" width="17.5703125" style="355" customWidth="1"/>
    <col min="14600" max="14847" width="9.140625" style="355"/>
    <col min="14848" max="14849" width="28.7109375" style="355" customWidth="1"/>
    <col min="14850" max="14850" width="9.140625" style="355"/>
    <col min="14851" max="14852" width="0" style="355" hidden="1" customWidth="1"/>
    <col min="14853" max="14853" width="15.5703125" style="355" customWidth="1"/>
    <col min="14854" max="14854" width="12.85546875" style="355" customWidth="1"/>
    <col min="14855" max="14855" width="17.5703125" style="355" customWidth="1"/>
    <col min="14856" max="15103" width="9.140625" style="355"/>
    <col min="15104" max="15105" width="28.7109375" style="355" customWidth="1"/>
    <col min="15106" max="15106" width="9.140625" style="355"/>
    <col min="15107" max="15108" width="0" style="355" hidden="1" customWidth="1"/>
    <col min="15109" max="15109" width="15.5703125" style="355" customWidth="1"/>
    <col min="15110" max="15110" width="12.85546875" style="355" customWidth="1"/>
    <col min="15111" max="15111" width="17.5703125" style="355" customWidth="1"/>
    <col min="15112" max="15359" width="9.140625" style="355"/>
    <col min="15360" max="15361" width="28.7109375" style="355" customWidth="1"/>
    <col min="15362" max="15362" width="9.140625" style="355"/>
    <col min="15363" max="15364" width="0" style="355" hidden="1" customWidth="1"/>
    <col min="15365" max="15365" width="15.5703125" style="355" customWidth="1"/>
    <col min="15366" max="15366" width="12.85546875" style="355" customWidth="1"/>
    <col min="15367" max="15367" width="17.5703125" style="355" customWidth="1"/>
    <col min="15368" max="15615" width="9.140625" style="355"/>
    <col min="15616" max="15617" width="28.7109375" style="355" customWidth="1"/>
    <col min="15618" max="15618" width="9.140625" style="355"/>
    <col min="15619" max="15620" width="0" style="355" hidden="1" customWidth="1"/>
    <col min="15621" max="15621" width="15.5703125" style="355" customWidth="1"/>
    <col min="15622" max="15622" width="12.85546875" style="355" customWidth="1"/>
    <col min="15623" max="15623" width="17.5703125" style="355" customWidth="1"/>
    <col min="15624" max="15871" width="9.140625" style="355"/>
    <col min="15872" max="15873" width="28.7109375" style="355" customWidth="1"/>
    <col min="15874" max="15874" width="9.140625" style="355"/>
    <col min="15875" max="15876" width="0" style="355" hidden="1" customWidth="1"/>
    <col min="15877" max="15877" width="15.5703125" style="355" customWidth="1"/>
    <col min="15878" max="15878" width="12.85546875" style="355" customWidth="1"/>
    <col min="15879" max="15879" width="17.5703125" style="355" customWidth="1"/>
    <col min="15880" max="16127" width="9.140625" style="355"/>
    <col min="16128" max="16129" width="28.7109375" style="355" customWidth="1"/>
    <col min="16130" max="16130" width="9.140625" style="355"/>
    <col min="16131" max="16132" width="0" style="355" hidden="1" customWidth="1"/>
    <col min="16133" max="16133" width="15.5703125" style="355" customWidth="1"/>
    <col min="16134" max="16134" width="12.85546875" style="355" customWidth="1"/>
    <col min="16135" max="16135" width="17.5703125" style="355" customWidth="1"/>
    <col min="16136" max="16384" width="9.140625" style="355"/>
  </cols>
  <sheetData>
    <row r="2" spans="1:8" ht="29.25" customHeight="1" x14ac:dyDescent="0.25">
      <c r="A2" s="1472" t="s">
        <v>510</v>
      </c>
      <c r="B2" s="1472"/>
      <c r="C2" s="1472"/>
      <c r="D2" s="1472"/>
      <c r="E2" s="1472"/>
      <c r="F2" s="1472"/>
      <c r="G2" s="1472"/>
      <c r="H2" s="1472"/>
    </row>
    <row r="4" spans="1:8" ht="134.25" x14ac:dyDescent="0.25">
      <c r="A4" s="418" t="s">
        <v>511</v>
      </c>
      <c r="B4" s="417" t="s">
        <v>512</v>
      </c>
      <c r="C4" s="417" t="s">
        <v>513</v>
      </c>
      <c r="D4" s="416" t="s">
        <v>514</v>
      </c>
      <c r="E4" s="416" t="s">
        <v>515</v>
      </c>
      <c r="F4" s="417" t="s">
        <v>516</v>
      </c>
      <c r="G4" s="417" t="s">
        <v>1373</v>
      </c>
      <c r="H4" s="417" t="s">
        <v>1376</v>
      </c>
    </row>
    <row r="5" spans="1:8" x14ac:dyDescent="0.25">
      <c r="A5" s="599" t="s">
        <v>517</v>
      </c>
      <c r="B5" s="606" t="s">
        <v>518</v>
      </c>
      <c r="C5" s="607">
        <f>3/2</f>
        <v>1.5</v>
      </c>
      <c r="D5" s="596">
        <v>43.6</v>
      </c>
      <c r="E5" s="596">
        <f t="shared" ref="E5:E20" si="0">1.0658*1.0645*1.1136</f>
        <v>1.26</v>
      </c>
      <c r="F5" s="579">
        <v>54.94</v>
      </c>
      <c r="G5" s="579">
        <f t="shared" ref="G5:G20" si="1">C5*F5</f>
        <v>82.41</v>
      </c>
      <c r="H5" s="579"/>
    </row>
    <row r="6" spans="1:8" x14ac:dyDescent="0.25">
      <c r="A6" s="599" t="s">
        <v>519</v>
      </c>
      <c r="B6" s="603" t="s">
        <v>520</v>
      </c>
      <c r="C6" s="608">
        <f>1/4</f>
        <v>0.25</v>
      </c>
      <c r="D6" s="596">
        <v>54.5</v>
      </c>
      <c r="E6" s="596">
        <f t="shared" si="0"/>
        <v>1.26</v>
      </c>
      <c r="F6" s="579">
        <v>68.67</v>
      </c>
      <c r="G6" s="579">
        <f t="shared" si="1"/>
        <v>17.170000000000002</v>
      </c>
      <c r="H6" s="579"/>
    </row>
    <row r="7" spans="1:8" x14ac:dyDescent="0.25">
      <c r="A7" s="599" t="s">
        <v>521</v>
      </c>
      <c r="B7" s="606" t="s">
        <v>522</v>
      </c>
      <c r="C7" s="607">
        <f>3/3</f>
        <v>1</v>
      </c>
      <c r="D7" s="596">
        <v>98.1</v>
      </c>
      <c r="E7" s="596">
        <f t="shared" si="0"/>
        <v>1.26</v>
      </c>
      <c r="F7" s="579">
        <v>123.61</v>
      </c>
      <c r="G7" s="579">
        <f t="shared" si="1"/>
        <v>123.61</v>
      </c>
      <c r="H7" s="579"/>
    </row>
    <row r="8" spans="1:8" x14ac:dyDescent="0.25">
      <c r="A8" s="599" t="s">
        <v>523</v>
      </c>
      <c r="B8" s="606" t="s">
        <v>522</v>
      </c>
      <c r="C8" s="607">
        <f>3/3</f>
        <v>1</v>
      </c>
      <c r="D8" s="596">
        <v>163.5</v>
      </c>
      <c r="E8" s="596">
        <f t="shared" si="0"/>
        <v>1.26</v>
      </c>
      <c r="F8" s="579">
        <v>206.01</v>
      </c>
      <c r="G8" s="579">
        <f t="shared" si="1"/>
        <v>206.01</v>
      </c>
      <c r="H8" s="579"/>
    </row>
    <row r="9" spans="1:8" x14ac:dyDescent="0.25">
      <c r="A9" s="599" t="s">
        <v>524</v>
      </c>
      <c r="B9" s="606" t="s">
        <v>525</v>
      </c>
      <c r="C9" s="607">
        <f>2/5</f>
        <v>0.4</v>
      </c>
      <c r="D9" s="596">
        <v>185.3</v>
      </c>
      <c r="E9" s="596">
        <f t="shared" si="0"/>
        <v>1.26</v>
      </c>
      <c r="F9" s="579">
        <v>233.48</v>
      </c>
      <c r="G9" s="579">
        <f t="shared" si="1"/>
        <v>93.39</v>
      </c>
      <c r="H9" s="579"/>
    </row>
    <row r="10" spans="1:8" x14ac:dyDescent="0.25">
      <c r="A10" s="599" t="s">
        <v>526</v>
      </c>
      <c r="B10" s="609" t="s">
        <v>527</v>
      </c>
      <c r="C10" s="610">
        <f>3/1</f>
        <v>3</v>
      </c>
      <c r="D10" s="596">
        <v>65.400000000000006</v>
      </c>
      <c r="E10" s="596">
        <f t="shared" si="0"/>
        <v>1.26</v>
      </c>
      <c r="F10" s="579">
        <v>82.4</v>
      </c>
      <c r="G10" s="579">
        <f t="shared" si="1"/>
        <v>247.2</v>
      </c>
      <c r="H10" s="579"/>
    </row>
    <row r="11" spans="1:8" x14ac:dyDescent="0.25">
      <c r="A11" s="599" t="s">
        <v>528</v>
      </c>
      <c r="B11" s="603" t="s">
        <v>529</v>
      </c>
      <c r="C11" s="608">
        <f>2/2</f>
        <v>1</v>
      </c>
      <c r="D11" s="596">
        <v>43.6</v>
      </c>
      <c r="E11" s="596">
        <f t="shared" si="0"/>
        <v>1.26</v>
      </c>
      <c r="F11" s="579">
        <v>54.94</v>
      </c>
      <c r="G11" s="579">
        <f t="shared" si="1"/>
        <v>54.94</v>
      </c>
      <c r="H11" s="579"/>
    </row>
    <row r="12" spans="1:8" x14ac:dyDescent="0.25">
      <c r="A12" s="599" t="s">
        <v>530</v>
      </c>
      <c r="B12" s="603" t="s">
        <v>531</v>
      </c>
      <c r="C12" s="608">
        <f>1/10</f>
        <v>0.1</v>
      </c>
      <c r="D12" s="596">
        <v>163.5</v>
      </c>
      <c r="E12" s="596">
        <f t="shared" si="0"/>
        <v>1.26</v>
      </c>
      <c r="F12" s="579">
        <v>206.01</v>
      </c>
      <c r="G12" s="579">
        <f t="shared" si="1"/>
        <v>20.6</v>
      </c>
      <c r="H12" s="579"/>
    </row>
    <row r="13" spans="1:8" x14ac:dyDescent="0.25">
      <c r="A13" s="599" t="s">
        <v>532</v>
      </c>
      <c r="B13" s="603" t="s">
        <v>533</v>
      </c>
      <c r="C13" s="608">
        <f>1/5</f>
        <v>0.2</v>
      </c>
      <c r="D13" s="596">
        <v>425.1</v>
      </c>
      <c r="E13" s="596">
        <f t="shared" si="0"/>
        <v>1.26</v>
      </c>
      <c r="F13" s="579">
        <v>535.63</v>
      </c>
      <c r="G13" s="579">
        <f t="shared" si="1"/>
        <v>107.13</v>
      </c>
      <c r="H13" s="579"/>
    </row>
    <row r="14" spans="1:8" x14ac:dyDescent="0.25">
      <c r="A14" s="599" t="s">
        <v>534</v>
      </c>
      <c r="B14" s="603" t="s">
        <v>533</v>
      </c>
      <c r="C14" s="608">
        <f>1/5</f>
        <v>0.2</v>
      </c>
      <c r="D14" s="596">
        <v>327</v>
      </c>
      <c r="E14" s="596">
        <f t="shared" si="0"/>
        <v>1.26</v>
      </c>
      <c r="F14" s="579">
        <v>412.02</v>
      </c>
      <c r="G14" s="579">
        <f t="shared" si="1"/>
        <v>82.4</v>
      </c>
      <c r="H14" s="579"/>
    </row>
    <row r="15" spans="1:8" x14ac:dyDescent="0.25">
      <c r="A15" s="599" t="s">
        <v>535</v>
      </c>
      <c r="B15" s="603" t="s">
        <v>533</v>
      </c>
      <c r="C15" s="608">
        <f>1/5</f>
        <v>0.2</v>
      </c>
      <c r="D15" s="596">
        <v>261.60000000000002</v>
      </c>
      <c r="E15" s="596">
        <f t="shared" si="0"/>
        <v>1.26</v>
      </c>
      <c r="F15" s="579">
        <v>329.62</v>
      </c>
      <c r="G15" s="579">
        <f t="shared" si="1"/>
        <v>65.92</v>
      </c>
      <c r="H15" s="579"/>
    </row>
    <row r="16" spans="1:8" x14ac:dyDescent="0.25">
      <c r="A16" s="599" t="s">
        <v>536</v>
      </c>
      <c r="B16" s="603" t="s">
        <v>537</v>
      </c>
      <c r="C16" s="608">
        <f>1/6</f>
        <v>0.17</v>
      </c>
      <c r="D16" s="596">
        <v>294.3</v>
      </c>
      <c r="E16" s="596">
        <f t="shared" si="0"/>
        <v>1.26</v>
      </c>
      <c r="F16" s="579">
        <v>370.82</v>
      </c>
      <c r="G16" s="579">
        <f t="shared" si="1"/>
        <v>63.04</v>
      </c>
      <c r="H16" s="579"/>
    </row>
    <row r="17" spans="1:8" x14ac:dyDescent="0.25">
      <c r="A17" s="599" t="s">
        <v>538</v>
      </c>
      <c r="B17" s="603" t="s">
        <v>539</v>
      </c>
      <c r="C17" s="608">
        <f>40/100/3</f>
        <v>0.13</v>
      </c>
      <c r="D17" s="596">
        <v>174.4</v>
      </c>
      <c r="E17" s="596">
        <f t="shared" si="0"/>
        <v>1.26</v>
      </c>
      <c r="F17" s="579">
        <v>219.74</v>
      </c>
      <c r="G17" s="579">
        <f t="shared" si="1"/>
        <v>28.57</v>
      </c>
      <c r="H17" s="579"/>
    </row>
    <row r="18" spans="1:8" x14ac:dyDescent="0.25">
      <c r="A18" s="599" t="s">
        <v>540</v>
      </c>
      <c r="B18" s="602" t="s">
        <v>541</v>
      </c>
      <c r="C18" s="611">
        <f>20/100/1</f>
        <v>0.2</v>
      </c>
      <c r="D18" s="596">
        <v>32.700000000000003</v>
      </c>
      <c r="E18" s="596">
        <f t="shared" si="0"/>
        <v>1.26</v>
      </c>
      <c r="F18" s="579">
        <v>41.2</v>
      </c>
      <c r="G18" s="579">
        <f t="shared" si="1"/>
        <v>8.24</v>
      </c>
      <c r="H18" s="579"/>
    </row>
    <row r="19" spans="1:8" x14ac:dyDescent="0.25">
      <c r="A19" s="599" t="s">
        <v>542</v>
      </c>
      <c r="B19" s="603" t="s">
        <v>543</v>
      </c>
      <c r="C19" s="608">
        <f>30/100/5</f>
        <v>0.06</v>
      </c>
      <c r="D19" s="596">
        <v>109</v>
      </c>
      <c r="E19" s="596">
        <f t="shared" si="0"/>
        <v>1.26</v>
      </c>
      <c r="F19" s="579">
        <v>137.34</v>
      </c>
      <c r="G19" s="579">
        <f t="shared" si="1"/>
        <v>8.24</v>
      </c>
      <c r="H19" s="579"/>
    </row>
    <row r="20" spans="1:8" x14ac:dyDescent="0.25">
      <c r="A20" s="599" t="s">
        <v>544</v>
      </c>
      <c r="B20" s="603" t="s">
        <v>545</v>
      </c>
      <c r="C20" s="608">
        <f>250/100/3</f>
        <v>0.83</v>
      </c>
      <c r="D20" s="596">
        <v>218</v>
      </c>
      <c r="E20" s="596">
        <f t="shared" si="0"/>
        <v>1.26</v>
      </c>
      <c r="F20" s="579">
        <v>274.68</v>
      </c>
      <c r="G20" s="579">
        <f t="shared" si="1"/>
        <v>227.98</v>
      </c>
      <c r="H20" s="579"/>
    </row>
    <row r="21" spans="1:8" x14ac:dyDescent="0.25">
      <c r="A21" s="612" t="s">
        <v>35</v>
      </c>
      <c r="B21" s="612"/>
      <c r="C21" s="613"/>
      <c r="D21" s="614"/>
      <c r="E21" s="614"/>
      <c r="F21" s="598"/>
      <c r="G21" s="598">
        <f>SUM(G5:G20)</f>
        <v>1436.85</v>
      </c>
      <c r="H21" s="598">
        <f>G21/12*4</f>
        <v>478.95</v>
      </c>
    </row>
    <row r="22" spans="1:8" ht="15" hidden="1" customHeight="1" x14ac:dyDescent="0.25">
      <c r="A22" s="1473" t="s">
        <v>1375</v>
      </c>
      <c r="B22" s="1473"/>
      <c r="C22" s="1473"/>
      <c r="D22" s="1473"/>
      <c r="E22" s="1473"/>
      <c r="G22" s="604">
        <v>247</v>
      </c>
    </row>
    <row r="23" spans="1:8" hidden="1" x14ac:dyDescent="0.25">
      <c r="A23" s="1474" t="s">
        <v>480</v>
      </c>
      <c r="B23" s="1474"/>
      <c r="C23" s="1474"/>
      <c r="D23" s="1474"/>
      <c r="E23" s="1474"/>
      <c r="G23" s="605">
        <f>G21/G22</f>
        <v>5.82</v>
      </c>
    </row>
  </sheetData>
  <mergeCells count="3">
    <mergeCell ref="A2:H2"/>
    <mergeCell ref="A22:E22"/>
    <mergeCell ref="A23:E23"/>
  </mergeCells>
  <pageMargins left="0.7" right="0.7" top="0.75" bottom="0.75" header="0.3" footer="0.3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S22"/>
  <sheetViews>
    <sheetView workbookViewId="0">
      <pane xSplit="1" ySplit="6" topLeftCell="D7" activePane="bottomRight" state="frozen"/>
      <selection pane="topRight" activeCell="C1" sqref="C1"/>
      <selection pane="bottomLeft" activeCell="A6" sqref="A6"/>
      <selection pane="bottomRight" activeCell="N19" sqref="N19"/>
    </sheetView>
  </sheetViews>
  <sheetFormatPr defaultRowHeight="15" x14ac:dyDescent="0.25"/>
  <cols>
    <col min="1" max="1" width="11.28515625" style="435" customWidth="1"/>
    <col min="2" max="2" width="11.7109375" style="435" hidden="1" customWidth="1"/>
    <col min="3" max="3" width="0" style="435" hidden="1" customWidth="1"/>
    <col min="4" max="4" width="11.28515625" style="435" bestFit="1" customWidth="1"/>
    <col min="5" max="5" width="9.140625" style="435"/>
    <col min="6" max="6" width="11.28515625" style="435" bestFit="1" customWidth="1"/>
    <col min="7" max="7" width="9.140625" style="435"/>
    <col min="8" max="8" width="11.28515625" style="435" bestFit="1" customWidth="1"/>
    <col min="9" max="9" width="9.140625" style="435"/>
    <col min="10" max="10" width="11.28515625" style="435" bestFit="1" customWidth="1"/>
    <col min="11" max="11" width="9.140625" style="435"/>
    <col min="12" max="12" width="11.28515625" style="435" bestFit="1" customWidth="1"/>
    <col min="13" max="13" width="9.140625" style="435"/>
    <col min="14" max="14" width="11.28515625" style="435" bestFit="1" customWidth="1"/>
    <col min="15" max="15" width="9.140625" style="435"/>
    <col min="16" max="16" width="11.28515625" style="435" bestFit="1" customWidth="1"/>
    <col min="17" max="17" width="9.140625" style="435"/>
    <col min="18" max="18" width="11.28515625" style="435" bestFit="1" customWidth="1"/>
    <col min="19" max="16384" width="9.140625" style="435"/>
  </cols>
  <sheetData>
    <row r="2" spans="1:19" ht="36" customHeight="1" x14ac:dyDescent="0.25">
      <c r="A2" s="1327" t="s">
        <v>1377</v>
      </c>
      <c r="B2" s="1327"/>
      <c r="C2" s="1327"/>
      <c r="D2" s="1327"/>
      <c r="E2" s="1327"/>
      <c r="F2" s="1327"/>
      <c r="G2" s="1327"/>
      <c r="H2" s="1327"/>
      <c r="I2" s="1327"/>
      <c r="J2" s="1327"/>
      <c r="K2" s="1327"/>
      <c r="L2" s="1327"/>
      <c r="M2" s="1327"/>
      <c r="N2" s="1327"/>
      <c r="O2" s="1327"/>
      <c r="P2" s="1327"/>
      <c r="Q2" s="1327"/>
      <c r="R2" s="1327"/>
      <c r="S2" s="1327"/>
    </row>
    <row r="4" spans="1:19" ht="15" customHeight="1" x14ac:dyDescent="0.25">
      <c r="A4" s="1398" t="s">
        <v>1378</v>
      </c>
      <c r="B4" s="1368" t="s">
        <v>1042</v>
      </c>
      <c r="C4" s="1368"/>
      <c r="D4" s="1463" t="s">
        <v>1379</v>
      </c>
      <c r="E4" s="1463"/>
      <c r="F4" s="1463" t="s">
        <v>1380</v>
      </c>
      <c r="G4" s="1463"/>
      <c r="H4" s="1463" t="s">
        <v>1381</v>
      </c>
      <c r="I4" s="1463"/>
      <c r="J4" s="1475" t="s">
        <v>1382</v>
      </c>
      <c r="K4" s="1476"/>
      <c r="L4" s="1476"/>
      <c r="M4" s="1476"/>
      <c r="N4" s="1476"/>
      <c r="O4" s="1476"/>
      <c r="P4" s="1476"/>
      <c r="Q4" s="1476"/>
      <c r="R4" s="1476"/>
      <c r="S4" s="1477"/>
    </row>
    <row r="5" spans="1:19" ht="14.25" customHeight="1" x14ac:dyDescent="0.25">
      <c r="A5" s="1330"/>
      <c r="B5" s="1478" t="s">
        <v>1383</v>
      </c>
      <c r="C5" s="1478" t="s">
        <v>1384</v>
      </c>
      <c r="D5" s="1478" t="s">
        <v>1383</v>
      </c>
      <c r="E5" s="1478" t="s">
        <v>1384</v>
      </c>
      <c r="F5" s="1478" t="s">
        <v>1383</v>
      </c>
      <c r="G5" s="1478" t="s">
        <v>1384</v>
      </c>
      <c r="H5" s="1475" t="s">
        <v>1385</v>
      </c>
      <c r="I5" s="1477"/>
      <c r="J5" s="1475" t="s">
        <v>1386</v>
      </c>
      <c r="K5" s="1477"/>
      <c r="L5" s="1475" t="s">
        <v>1387</v>
      </c>
      <c r="M5" s="1477"/>
      <c r="N5" s="1475" t="s">
        <v>1388</v>
      </c>
      <c r="O5" s="1477"/>
      <c r="P5" s="1475" t="s">
        <v>1389</v>
      </c>
      <c r="Q5" s="1477"/>
      <c r="R5" s="1475" t="s">
        <v>1390</v>
      </c>
      <c r="S5" s="1477"/>
    </row>
    <row r="6" spans="1:19" ht="38.25" x14ac:dyDescent="0.25">
      <c r="A6" s="1331"/>
      <c r="B6" s="1479"/>
      <c r="C6" s="1479"/>
      <c r="D6" s="1479"/>
      <c r="E6" s="1479"/>
      <c r="F6" s="1479"/>
      <c r="G6" s="1479"/>
      <c r="H6" s="615" t="s">
        <v>1383</v>
      </c>
      <c r="I6" s="615" t="s">
        <v>1384</v>
      </c>
      <c r="J6" s="615" t="s">
        <v>1383</v>
      </c>
      <c r="K6" s="615" t="s">
        <v>1384</v>
      </c>
      <c r="L6" s="615" t="s">
        <v>1383</v>
      </c>
      <c r="M6" s="615" t="s">
        <v>1384</v>
      </c>
      <c r="N6" s="615" t="s">
        <v>1383</v>
      </c>
      <c r="O6" s="615" t="s">
        <v>1384</v>
      </c>
      <c r="P6" s="615" t="s">
        <v>1383</v>
      </c>
      <c r="Q6" s="615" t="s">
        <v>1384</v>
      </c>
      <c r="R6" s="615" t="s">
        <v>1383</v>
      </c>
      <c r="S6" s="615" t="s">
        <v>1384</v>
      </c>
    </row>
    <row r="7" spans="1:19" x14ac:dyDescent="0.25">
      <c r="A7" s="616" t="s">
        <v>1391</v>
      </c>
      <c r="B7" s="617" t="s">
        <v>1008</v>
      </c>
      <c r="C7" s="618">
        <v>20</v>
      </c>
      <c r="D7" s="617" t="s">
        <v>1008</v>
      </c>
      <c r="E7" s="618">
        <v>20</v>
      </c>
      <c r="F7" s="617" t="s">
        <v>1008</v>
      </c>
      <c r="G7" s="618">
        <v>20</v>
      </c>
      <c r="H7" s="1408" t="s">
        <v>1392</v>
      </c>
      <c r="I7" s="619" t="s">
        <v>699</v>
      </c>
      <c r="J7" s="617" t="s">
        <v>1008</v>
      </c>
      <c r="K7" s="618">
        <v>20</v>
      </c>
      <c r="L7" s="619" t="s">
        <v>699</v>
      </c>
      <c r="M7" s="618"/>
      <c r="N7" s="619" t="s">
        <v>699</v>
      </c>
      <c r="O7" s="619" t="s">
        <v>699</v>
      </c>
      <c r="P7" s="619" t="s">
        <v>699</v>
      </c>
      <c r="Q7" s="619" t="s">
        <v>699</v>
      </c>
      <c r="R7" s="619" t="s">
        <v>699</v>
      </c>
      <c r="S7" s="619" t="s">
        <v>699</v>
      </c>
    </row>
    <row r="8" spans="1:19" x14ac:dyDescent="0.25">
      <c r="A8" s="616" t="s">
        <v>1393</v>
      </c>
      <c r="B8" s="617" t="s">
        <v>1394</v>
      </c>
      <c r="C8" s="618">
        <v>5</v>
      </c>
      <c r="D8" s="617" t="s">
        <v>1394</v>
      </c>
      <c r="E8" s="618">
        <v>5</v>
      </c>
      <c r="F8" s="617" t="s">
        <v>1394</v>
      </c>
      <c r="G8" s="618">
        <v>5</v>
      </c>
      <c r="H8" s="1480"/>
      <c r="I8" s="619" t="s">
        <v>699</v>
      </c>
      <c r="J8" s="617" t="s">
        <v>1394</v>
      </c>
      <c r="K8" s="618">
        <v>5</v>
      </c>
      <c r="L8" s="617" t="s">
        <v>1394</v>
      </c>
      <c r="M8" s="618">
        <v>5</v>
      </c>
      <c r="N8" s="619" t="s">
        <v>699</v>
      </c>
      <c r="O8" s="619" t="s">
        <v>699</v>
      </c>
      <c r="P8" s="619" t="s">
        <v>699</v>
      </c>
      <c r="Q8" s="619" t="s">
        <v>699</v>
      </c>
      <c r="R8" s="619" t="s">
        <v>699</v>
      </c>
      <c r="S8" s="619" t="s">
        <v>699</v>
      </c>
    </row>
    <row r="9" spans="1:19" x14ac:dyDescent="0.25">
      <c r="A9" s="616" t="s">
        <v>1395</v>
      </c>
      <c r="B9" s="617" t="s">
        <v>1009</v>
      </c>
      <c r="C9" s="618">
        <v>35</v>
      </c>
      <c r="D9" s="617" t="s">
        <v>1009</v>
      </c>
      <c r="E9" s="618">
        <v>35</v>
      </c>
      <c r="F9" s="617" t="s">
        <v>1009</v>
      </c>
      <c r="G9" s="618">
        <v>35</v>
      </c>
      <c r="H9" s="1480"/>
      <c r="I9" s="619" t="s">
        <v>699</v>
      </c>
      <c r="J9" s="619" t="s">
        <v>699</v>
      </c>
      <c r="K9" s="619" t="s">
        <v>699</v>
      </c>
      <c r="L9" s="617" t="s">
        <v>1009</v>
      </c>
      <c r="M9" s="618">
        <v>35</v>
      </c>
      <c r="N9" s="617" t="s">
        <v>1009</v>
      </c>
      <c r="O9" s="618">
        <v>35</v>
      </c>
      <c r="P9" s="619" t="s">
        <v>699</v>
      </c>
      <c r="Q9" s="619" t="s">
        <v>699</v>
      </c>
      <c r="R9" s="619" t="s">
        <v>699</v>
      </c>
      <c r="S9" s="619" t="s">
        <v>699</v>
      </c>
    </row>
    <row r="10" spans="1:19" x14ac:dyDescent="0.25">
      <c r="A10" s="616" t="s">
        <v>1396</v>
      </c>
      <c r="B10" s="617" t="s">
        <v>1397</v>
      </c>
      <c r="C10" s="618">
        <v>15</v>
      </c>
      <c r="D10" s="617" t="s">
        <v>1397</v>
      </c>
      <c r="E10" s="618">
        <v>15</v>
      </c>
      <c r="F10" s="617" t="s">
        <v>1397</v>
      </c>
      <c r="G10" s="618">
        <v>15</v>
      </c>
      <c r="H10" s="1480"/>
      <c r="I10" s="619" t="s">
        <v>699</v>
      </c>
      <c r="J10" s="619" t="s">
        <v>699</v>
      </c>
      <c r="K10" s="619" t="s">
        <v>699</v>
      </c>
      <c r="L10" s="619" t="s">
        <v>699</v>
      </c>
      <c r="M10" s="619" t="s">
        <v>699</v>
      </c>
      <c r="N10" s="617" t="s">
        <v>1397</v>
      </c>
      <c r="O10" s="618">
        <v>15</v>
      </c>
      <c r="P10" s="617" t="s">
        <v>1397</v>
      </c>
      <c r="Q10" s="618">
        <v>15</v>
      </c>
      <c r="R10" s="619" t="s">
        <v>699</v>
      </c>
      <c r="S10" s="619" t="s">
        <v>699</v>
      </c>
    </row>
    <row r="11" spans="1:19" x14ac:dyDescent="0.25">
      <c r="A11" s="616" t="s">
        <v>1398</v>
      </c>
      <c r="B11" s="619" t="s">
        <v>699</v>
      </c>
      <c r="C11" s="619" t="s">
        <v>699</v>
      </c>
      <c r="D11" s="620" t="s">
        <v>1399</v>
      </c>
      <c r="E11" s="618">
        <v>25</v>
      </c>
      <c r="F11" s="620" t="s">
        <v>1399</v>
      </c>
      <c r="G11" s="618">
        <v>20</v>
      </c>
      <c r="H11" s="1480"/>
      <c r="I11" s="619" t="s">
        <v>699</v>
      </c>
      <c r="J11" s="619" t="s">
        <v>699</v>
      </c>
      <c r="K11" s="619" t="s">
        <v>699</v>
      </c>
      <c r="L11" s="619" t="s">
        <v>699</v>
      </c>
      <c r="M11" s="619" t="s">
        <v>699</v>
      </c>
      <c r="N11" s="619" t="s">
        <v>699</v>
      </c>
      <c r="O11" s="619" t="s">
        <v>699</v>
      </c>
      <c r="P11" s="620" t="s">
        <v>1399</v>
      </c>
      <c r="Q11" s="618">
        <v>20</v>
      </c>
      <c r="R11" s="620" t="s">
        <v>1399</v>
      </c>
      <c r="S11" s="618">
        <v>20</v>
      </c>
    </row>
    <row r="12" spans="1:19" x14ac:dyDescent="0.25">
      <c r="A12" s="616" t="s">
        <v>1400</v>
      </c>
      <c r="B12" s="619" t="s">
        <v>699</v>
      </c>
      <c r="C12" s="619" t="s">
        <v>699</v>
      </c>
      <c r="D12" s="619" t="s">
        <v>699</v>
      </c>
      <c r="E12" s="619" t="s">
        <v>699</v>
      </c>
      <c r="F12" s="620" t="s">
        <v>1401</v>
      </c>
      <c r="G12" s="618">
        <v>5</v>
      </c>
      <c r="H12" s="1409"/>
      <c r="I12" s="619" t="s">
        <v>699</v>
      </c>
      <c r="J12" s="619" t="s">
        <v>699</v>
      </c>
      <c r="K12" s="619" t="s">
        <v>699</v>
      </c>
      <c r="L12" s="619" t="s">
        <v>699</v>
      </c>
      <c r="M12" s="619" t="s">
        <v>699</v>
      </c>
      <c r="N12" s="619" t="s">
        <v>699</v>
      </c>
      <c r="O12" s="619" t="s">
        <v>699</v>
      </c>
      <c r="P12" s="619" t="s">
        <v>699</v>
      </c>
      <c r="Q12" s="619" t="s">
        <v>699</v>
      </c>
      <c r="R12" s="620" t="s">
        <v>1401</v>
      </c>
      <c r="S12" s="618">
        <v>5</v>
      </c>
    </row>
    <row r="13" spans="1:19" s="156" customFormat="1" x14ac:dyDescent="0.25">
      <c r="A13" s="621" t="s">
        <v>35</v>
      </c>
      <c r="B13" s="622"/>
      <c r="C13" s="623">
        <f>SUM(C7:C12)</f>
        <v>75</v>
      </c>
      <c r="D13" s="622"/>
      <c r="E13" s="623">
        <f t="shared" ref="E13" si="0">SUM(E7:E12)</f>
        <v>100</v>
      </c>
      <c r="F13" s="622"/>
      <c r="G13" s="623">
        <f t="shared" ref="G13" si="1">SUM(G7:G12)</f>
        <v>100</v>
      </c>
      <c r="H13" s="622"/>
      <c r="I13" s="624">
        <f>(K13+M13+O13+Q13+S13)/5</f>
        <v>35</v>
      </c>
      <c r="J13" s="622"/>
      <c r="K13" s="623">
        <f t="shared" ref="K13" si="2">SUM(K7:K12)</f>
        <v>25</v>
      </c>
      <c r="L13" s="622"/>
      <c r="M13" s="623">
        <f t="shared" ref="M13" si="3">SUM(M7:M12)</f>
        <v>40</v>
      </c>
      <c r="N13" s="622"/>
      <c r="O13" s="623">
        <f t="shared" ref="O13" si="4">SUM(O7:O12)</f>
        <v>50</v>
      </c>
      <c r="P13" s="622"/>
      <c r="Q13" s="623">
        <f t="shared" ref="Q13" si="5">SUM(Q7:Q12)</f>
        <v>35</v>
      </c>
      <c r="R13" s="622"/>
      <c r="S13" s="623">
        <f t="shared" ref="S13" si="6">SUM(S7:S12)</f>
        <v>25</v>
      </c>
    </row>
    <row r="14" spans="1:19" x14ac:dyDescent="0.25">
      <c r="A14" s="625"/>
    </row>
    <row r="15" spans="1:19" x14ac:dyDescent="0.25">
      <c r="A15" s="625"/>
    </row>
    <row r="16" spans="1:19" x14ac:dyDescent="0.25">
      <c r="A16" s="625"/>
    </row>
    <row r="17" spans="1:1" x14ac:dyDescent="0.25">
      <c r="A17" s="625"/>
    </row>
    <row r="18" spans="1:1" x14ac:dyDescent="0.25">
      <c r="A18" s="625"/>
    </row>
    <row r="19" spans="1:1" x14ac:dyDescent="0.25">
      <c r="A19" s="625"/>
    </row>
    <row r="20" spans="1:1" x14ac:dyDescent="0.25">
      <c r="A20" s="625"/>
    </row>
    <row r="21" spans="1:1" x14ac:dyDescent="0.25">
      <c r="A21" s="625"/>
    </row>
    <row r="22" spans="1:1" x14ac:dyDescent="0.25">
      <c r="A22" s="625"/>
    </row>
  </sheetData>
  <mergeCells count="20">
    <mergeCell ref="H7:H12"/>
    <mergeCell ref="E5:E6"/>
    <mergeCell ref="F5:F6"/>
    <mergeCell ref="G5:G6"/>
    <mergeCell ref="H5:I5"/>
    <mergeCell ref="A2:S2"/>
    <mergeCell ref="A4:A6"/>
    <mergeCell ref="B4:C4"/>
    <mergeCell ref="D4:E4"/>
    <mergeCell ref="F4:G4"/>
    <mergeCell ref="H4:I4"/>
    <mergeCell ref="J4:S4"/>
    <mergeCell ref="B5:B6"/>
    <mergeCell ref="C5:C6"/>
    <mergeCell ref="D5:D6"/>
    <mergeCell ref="N5:O5"/>
    <mergeCell ref="P5:Q5"/>
    <mergeCell ref="R5:S5"/>
    <mergeCell ref="J5:K5"/>
    <mergeCell ref="L5:M5"/>
  </mergeCells>
  <pageMargins left="0.7" right="0.7" top="0.75" bottom="0.75" header="0.3" footer="0.3"/>
  <pageSetup paperSize="9" orientation="portrait" horizontalDpi="12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</sheetPr>
  <dimension ref="A2:AX37"/>
  <sheetViews>
    <sheetView view="pageBreakPreview" zoomScale="75" zoomScaleNormal="73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F11" sqref="F11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9" width="12.85546875" style="72" customWidth="1"/>
    <col min="10" max="11" width="13.7109375" style="72" customWidth="1"/>
    <col min="12" max="12" width="12.7109375" style="72" customWidth="1"/>
    <col min="13" max="13" width="14.28515625" style="72" customWidth="1"/>
    <col min="14" max="14" width="12.7109375" style="72" customWidth="1"/>
    <col min="15" max="15" width="14.28515625" style="72" customWidth="1"/>
    <col min="16" max="16" width="16" style="72" customWidth="1"/>
    <col min="17" max="17" width="16.42578125" style="72" customWidth="1"/>
    <col min="18" max="18" width="15.28515625" style="72" customWidth="1"/>
    <col min="19" max="19" width="13.42578125" style="72" customWidth="1"/>
    <col min="20" max="20" width="10.85546875" style="72" customWidth="1"/>
    <col min="21" max="21" width="18" style="72" customWidth="1"/>
    <col min="22" max="23" width="12.85546875" style="72" customWidth="1"/>
    <col min="24" max="24" width="12.42578125" style="72" customWidth="1"/>
    <col min="25" max="25" width="10.85546875" style="72" customWidth="1"/>
    <col min="26" max="27" width="15.7109375" style="72" customWidth="1"/>
    <col min="28" max="28" width="14.28515625" style="72" customWidth="1"/>
    <col min="29" max="29" width="23" style="72" customWidth="1"/>
    <col min="30" max="30" width="14.140625" style="72" customWidth="1"/>
    <col min="31" max="32" width="12.42578125" style="72" customWidth="1"/>
    <col min="33" max="33" width="12.7109375" style="72" customWidth="1"/>
    <col min="34" max="34" width="14" style="72" hidden="1" customWidth="1"/>
    <col min="35" max="35" width="12.5703125" style="72" hidden="1" customWidth="1"/>
    <col min="36" max="36" width="13.42578125" style="72" customWidth="1"/>
    <col min="37" max="37" width="15" style="72" hidden="1" customWidth="1"/>
    <col min="38" max="38" width="14.85546875" style="72" customWidth="1"/>
    <col min="39" max="39" width="12" style="72" hidden="1" customWidth="1"/>
    <col min="40" max="40" width="14.5703125" style="72" customWidth="1"/>
    <col min="41" max="41" width="28" style="72" customWidth="1"/>
    <col min="42" max="42" width="14.5703125" style="72" customWidth="1"/>
    <col min="43" max="43" width="17.5703125" style="72" customWidth="1"/>
    <col min="44" max="45" width="14.5703125" style="72" customWidth="1"/>
    <col min="46" max="46" width="4.42578125" style="72" customWidth="1"/>
    <col min="47" max="47" width="16" style="72" customWidth="1"/>
    <col min="48" max="48" width="16" style="72" hidden="1" customWidth="1"/>
    <col min="49" max="49" width="3.42578125" style="72" customWidth="1"/>
    <col min="50" max="50" width="13.42578125" style="72" customWidth="1"/>
    <col min="51" max="16384" width="9.140625" style="72"/>
  </cols>
  <sheetData>
    <row r="2" spans="1:50" s="657" customFormat="1" ht="18.75" customHeight="1" x14ac:dyDescent="0.25">
      <c r="K2" s="271" t="s">
        <v>1920</v>
      </c>
      <c r="S2" s="271" t="s">
        <v>2236</v>
      </c>
    </row>
    <row r="3" spans="1:50" s="657" customFormat="1" ht="17.25" customHeight="1" x14ac:dyDescent="0.25">
      <c r="A3" s="657" t="s">
        <v>1919</v>
      </c>
    </row>
    <row r="5" spans="1:50" ht="15.75" customHeight="1" x14ac:dyDescent="0.25">
      <c r="A5" s="1348" t="s">
        <v>270</v>
      </c>
      <c r="B5" s="1349" t="s">
        <v>1426</v>
      </c>
      <c r="C5" s="1350" t="s">
        <v>31</v>
      </c>
      <c r="D5" s="1350"/>
      <c r="E5" s="1349" t="s">
        <v>1427</v>
      </c>
      <c r="F5" s="1350" t="s">
        <v>31</v>
      </c>
      <c r="G5" s="1350"/>
      <c r="H5" s="1347" t="s">
        <v>1935</v>
      </c>
      <c r="I5" s="1347" t="s">
        <v>2100</v>
      </c>
      <c r="J5" s="1347" t="s">
        <v>1936</v>
      </c>
      <c r="K5" s="1347" t="s">
        <v>1930</v>
      </c>
      <c r="L5" s="1347" t="s">
        <v>1922</v>
      </c>
      <c r="M5" s="1347" t="s">
        <v>1921</v>
      </c>
      <c r="N5" s="1484" t="s">
        <v>1432</v>
      </c>
      <c r="O5" s="1347" t="s">
        <v>1926</v>
      </c>
      <c r="P5" s="1347" t="s">
        <v>1434</v>
      </c>
      <c r="Q5" s="1347" t="s">
        <v>2197</v>
      </c>
      <c r="R5" s="1347" t="s">
        <v>888</v>
      </c>
      <c r="S5" s="1347" t="s">
        <v>271</v>
      </c>
      <c r="T5" s="1347" t="s">
        <v>1925</v>
      </c>
      <c r="U5" s="1347" t="s">
        <v>2229</v>
      </c>
      <c r="V5" s="1353" t="s">
        <v>31</v>
      </c>
      <c r="W5" s="1354"/>
      <c r="X5" s="1354"/>
      <c r="Y5" s="1355"/>
      <c r="Z5" s="1481" t="s">
        <v>1927</v>
      </c>
      <c r="AA5" s="1481" t="s">
        <v>1438</v>
      </c>
      <c r="AB5" s="1482" t="s">
        <v>1439</v>
      </c>
      <c r="AC5" s="1483"/>
      <c r="AD5" s="1353" t="s">
        <v>1440</v>
      </c>
      <c r="AE5" s="1355"/>
      <c r="AF5" s="1481" t="s">
        <v>945</v>
      </c>
      <c r="AG5" s="1347" t="s">
        <v>946</v>
      </c>
      <c r="AH5" s="1362" t="s">
        <v>2095</v>
      </c>
      <c r="AI5" s="1362" t="s">
        <v>2213</v>
      </c>
      <c r="AJ5" s="1347" t="s">
        <v>1443</v>
      </c>
      <c r="AK5" s="1353" t="s">
        <v>31</v>
      </c>
      <c r="AL5" s="1354"/>
      <c r="AM5" s="1355"/>
      <c r="AN5" s="1363" t="s">
        <v>1444</v>
      </c>
      <c r="AO5" s="1363"/>
      <c r="AP5" s="1363"/>
      <c r="AQ5" s="1363"/>
      <c r="AR5" s="1363"/>
      <c r="AS5" s="1363"/>
      <c r="AU5" s="1364" t="s">
        <v>1445</v>
      </c>
      <c r="AV5" s="1347" t="s">
        <v>1446</v>
      </c>
      <c r="AX5" s="1360" t="s">
        <v>282</v>
      </c>
    </row>
    <row r="6" spans="1:50" ht="175.5" customHeight="1" x14ac:dyDescent="0.25">
      <c r="A6" s="1348"/>
      <c r="B6" s="1349"/>
      <c r="C6" s="659" t="s">
        <v>1447</v>
      </c>
      <c r="D6" s="659" t="s">
        <v>1448</v>
      </c>
      <c r="E6" s="1349"/>
      <c r="F6" s="659" t="s">
        <v>1449</v>
      </c>
      <c r="G6" s="659" t="s">
        <v>1448</v>
      </c>
      <c r="H6" s="1347"/>
      <c r="I6" s="1347"/>
      <c r="J6" s="1347"/>
      <c r="K6" s="1347"/>
      <c r="L6" s="1347"/>
      <c r="M6" s="1347"/>
      <c r="N6" s="1352"/>
      <c r="O6" s="1347"/>
      <c r="P6" s="1347"/>
      <c r="Q6" s="1347"/>
      <c r="R6" s="1347"/>
      <c r="S6" s="1347"/>
      <c r="T6" s="1347"/>
      <c r="U6" s="1347"/>
      <c r="V6" s="1217" t="s">
        <v>2087</v>
      </c>
      <c r="W6" s="1217" t="s">
        <v>1451</v>
      </c>
      <c r="X6" s="1217" t="s">
        <v>1923</v>
      </c>
      <c r="Y6" s="1153" t="s">
        <v>1924</v>
      </c>
      <c r="Z6" s="1357"/>
      <c r="AA6" s="1357"/>
      <c r="AB6" s="1153" t="s">
        <v>1928</v>
      </c>
      <c r="AC6" s="1152" t="s">
        <v>1929</v>
      </c>
      <c r="AD6" s="1153" t="s">
        <v>1456</v>
      </c>
      <c r="AE6" s="1152" t="s">
        <v>1457</v>
      </c>
      <c r="AF6" s="1357"/>
      <c r="AG6" s="1347"/>
      <c r="AH6" s="1362"/>
      <c r="AI6" s="1362"/>
      <c r="AJ6" s="1347"/>
      <c r="AK6" s="662" t="s">
        <v>1458</v>
      </c>
      <c r="AL6" s="663" t="s">
        <v>2214</v>
      </c>
      <c r="AM6" s="662" t="s">
        <v>1458</v>
      </c>
      <c r="AN6" s="664" t="s">
        <v>1460</v>
      </c>
      <c r="AO6" s="664" t="s">
        <v>1461</v>
      </c>
      <c r="AP6" s="665" t="s">
        <v>1462</v>
      </c>
      <c r="AQ6" s="1168" t="s">
        <v>1463</v>
      </c>
      <c r="AR6" s="665" t="s">
        <v>1464</v>
      </c>
      <c r="AS6" s="667" t="s">
        <v>1465</v>
      </c>
      <c r="AU6" s="1364"/>
      <c r="AV6" s="1347"/>
      <c r="AX6" s="1361"/>
    </row>
    <row r="7" spans="1:50" ht="63" customHeight="1" x14ac:dyDescent="0.25">
      <c r="A7" s="668" t="s">
        <v>1466</v>
      </c>
      <c r="B7" s="669" t="s">
        <v>1467</v>
      </c>
      <c r="C7" s="669" t="s">
        <v>1468</v>
      </c>
      <c r="D7" s="669" t="s">
        <v>1469</v>
      </c>
      <c r="E7" s="669" t="s">
        <v>269</v>
      </c>
      <c r="F7" s="669" t="s">
        <v>1470</v>
      </c>
      <c r="G7" s="669" t="s">
        <v>4</v>
      </c>
      <c r="H7" s="669">
        <v>4</v>
      </c>
      <c r="I7" s="669" t="s">
        <v>1931</v>
      </c>
      <c r="J7" s="669" t="s">
        <v>2199</v>
      </c>
      <c r="K7" s="669" t="s">
        <v>2198</v>
      </c>
      <c r="L7" s="669">
        <v>6</v>
      </c>
      <c r="M7" s="669">
        <v>7</v>
      </c>
      <c r="N7" s="669">
        <v>8</v>
      </c>
      <c r="O7" s="669" t="s">
        <v>464</v>
      </c>
      <c r="P7" s="669">
        <v>10</v>
      </c>
      <c r="Q7" s="669">
        <v>11</v>
      </c>
      <c r="R7" s="669">
        <v>12</v>
      </c>
      <c r="S7" s="669">
        <v>13</v>
      </c>
      <c r="T7" s="669">
        <v>14</v>
      </c>
      <c r="U7" s="669">
        <v>15</v>
      </c>
      <c r="V7" s="669">
        <v>16</v>
      </c>
      <c r="W7" s="669">
        <v>17</v>
      </c>
      <c r="X7" s="669">
        <v>18</v>
      </c>
      <c r="Y7" s="669">
        <v>19</v>
      </c>
      <c r="Z7" s="669">
        <v>20</v>
      </c>
      <c r="AA7" s="669">
        <v>21</v>
      </c>
      <c r="AB7" s="669">
        <v>22</v>
      </c>
      <c r="AC7" s="669">
        <v>23</v>
      </c>
      <c r="AD7" s="669">
        <v>24</v>
      </c>
      <c r="AE7" s="669">
        <v>25</v>
      </c>
      <c r="AF7" s="669">
        <v>26</v>
      </c>
      <c r="AG7" s="669">
        <v>27</v>
      </c>
      <c r="AH7" s="669">
        <v>8</v>
      </c>
      <c r="AI7" s="669">
        <v>8</v>
      </c>
      <c r="AJ7" s="669">
        <v>28</v>
      </c>
      <c r="AK7" s="669">
        <v>29</v>
      </c>
      <c r="AL7" s="669">
        <v>30</v>
      </c>
      <c r="AM7" s="670">
        <v>31</v>
      </c>
      <c r="AN7" s="671" t="s">
        <v>1471</v>
      </c>
      <c r="AO7" s="671" t="s">
        <v>1932</v>
      </c>
      <c r="AP7" s="671" t="s">
        <v>1473</v>
      </c>
      <c r="AQ7" s="671" t="s">
        <v>1933</v>
      </c>
      <c r="AR7" s="671" t="s">
        <v>1475</v>
      </c>
      <c r="AS7" s="671">
        <v>37</v>
      </c>
      <c r="AU7" s="1263" t="s">
        <v>2225</v>
      </c>
      <c r="AV7" s="672"/>
      <c r="AX7" s="1264" t="s">
        <v>2230</v>
      </c>
    </row>
    <row r="8" spans="1:50" ht="18.75" customHeight="1" x14ac:dyDescent="0.25">
      <c r="A8" s="673"/>
      <c r="B8" s="674"/>
      <c r="C8" s="674"/>
      <c r="D8" s="674"/>
      <c r="E8" s="674"/>
      <c r="F8" s="674"/>
      <c r="G8" s="674"/>
      <c r="H8" s="675"/>
      <c r="I8" s="675"/>
      <c r="J8" s="675"/>
      <c r="K8" s="675"/>
      <c r="L8" s="675"/>
      <c r="M8" s="675"/>
      <c r="N8" s="676"/>
      <c r="O8" s="675"/>
      <c r="P8" s="677"/>
      <c r="Q8" s="678"/>
      <c r="R8" s="506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5"/>
      <c r="AE8" s="675"/>
      <c r="AF8" s="675"/>
      <c r="AG8" s="675"/>
      <c r="AH8" s="679"/>
      <c r="AI8" s="679"/>
      <c r="AJ8" s="506"/>
      <c r="AK8" s="680"/>
      <c r="AL8" s="680"/>
      <c r="AM8" s="680"/>
      <c r="AN8" s="681"/>
      <c r="AO8" s="681">
        <f>42907.7*1.04*1.01525</f>
        <v>45304.5</v>
      </c>
      <c r="AP8" s="682"/>
      <c r="AQ8" s="683">
        <f>1493.1/2698.32</f>
        <v>0.55334399999999995</v>
      </c>
      <c r="AR8" s="684"/>
      <c r="AS8" s="685"/>
      <c r="AT8" s="686"/>
      <c r="AU8" s="677"/>
      <c r="AV8" s="677"/>
      <c r="AX8" s="1265"/>
    </row>
    <row r="9" spans="1:50" ht="18.75" hidden="1" customHeight="1" x14ac:dyDescent="0.25">
      <c r="A9" s="673"/>
      <c r="B9" s="674"/>
      <c r="C9" s="674"/>
      <c r="D9" s="674"/>
      <c r="E9" s="674"/>
      <c r="F9" s="674"/>
      <c r="G9" s="674"/>
      <c r="H9" s="675"/>
      <c r="I9" s="675"/>
      <c r="J9" s="675"/>
      <c r="K9" s="675"/>
      <c r="L9" s="675"/>
      <c r="M9" s="675"/>
      <c r="N9" s="675"/>
      <c r="O9" s="675"/>
      <c r="P9" s="677"/>
      <c r="Q9" s="678"/>
      <c r="R9" s="506"/>
      <c r="S9" s="675"/>
      <c r="T9" s="675"/>
      <c r="U9" s="675"/>
      <c r="V9" s="675"/>
      <c r="W9" s="675"/>
      <c r="X9" s="675"/>
      <c r="Y9" s="675"/>
      <c r="Z9" s="675"/>
      <c r="AA9" s="675"/>
      <c r="AB9" s="675"/>
      <c r="AC9" s="675"/>
      <c r="AD9" s="675"/>
      <c r="AE9" s="675"/>
      <c r="AF9" s="675"/>
      <c r="AG9" s="675"/>
      <c r="AH9" s="679"/>
      <c r="AI9" s="679"/>
      <c r="AJ9" s="506"/>
      <c r="AK9" s="687"/>
      <c r="AL9" s="687"/>
      <c r="AM9" s="687"/>
      <c r="AN9" s="688"/>
      <c r="AO9" s="688"/>
      <c r="AP9" s="689"/>
      <c r="AQ9" s="690"/>
      <c r="AR9" s="688"/>
      <c r="AS9" s="691"/>
      <c r="AT9" s="686"/>
      <c r="AU9" s="677"/>
      <c r="AV9" s="677"/>
    </row>
    <row r="10" spans="1:50" ht="18.75" hidden="1" customHeight="1" x14ac:dyDescent="0.25">
      <c r="A10" s="673"/>
      <c r="B10" s="674"/>
      <c r="C10" s="674"/>
      <c r="D10" s="674"/>
      <c r="E10" s="674"/>
      <c r="F10" s="674"/>
      <c r="G10" s="674"/>
      <c r="H10" s="675"/>
      <c r="I10" s="675"/>
      <c r="J10" s="675"/>
      <c r="K10" s="675"/>
      <c r="L10" s="675"/>
      <c r="M10" s="675"/>
      <c r="N10" s="675"/>
      <c r="O10" s="675"/>
      <c r="P10" s="677"/>
      <c r="Q10" s="678"/>
      <c r="R10" s="506"/>
      <c r="S10" s="675"/>
      <c r="T10" s="675"/>
      <c r="U10" s="675"/>
      <c r="V10" s="675"/>
      <c r="W10" s="675"/>
      <c r="X10" s="675"/>
      <c r="Y10" s="675"/>
      <c r="Z10" s="675"/>
      <c r="AA10" s="675"/>
      <c r="AB10" s="675"/>
      <c r="AC10" s="675"/>
      <c r="AD10" s="675"/>
      <c r="AE10" s="675"/>
      <c r="AF10" s="675"/>
      <c r="AG10" s="675"/>
      <c r="AH10" s="679"/>
      <c r="AI10" s="679"/>
      <c r="AJ10" s="506"/>
      <c r="AK10" s="687"/>
      <c r="AL10" s="687"/>
      <c r="AM10" s="687"/>
      <c r="AN10" s="688"/>
      <c r="AO10" s="688"/>
      <c r="AP10" s="689"/>
      <c r="AQ10" s="690"/>
      <c r="AR10" s="688"/>
      <c r="AS10" s="691"/>
      <c r="AT10" s="686"/>
      <c r="AU10" s="677"/>
      <c r="AV10" s="677"/>
    </row>
    <row r="11" spans="1:50" ht="24" x14ac:dyDescent="0.25">
      <c r="A11" s="96" t="s">
        <v>624</v>
      </c>
      <c r="B11" s="696"/>
      <c r="C11" s="696"/>
      <c r="D11" s="696"/>
      <c r="E11" s="696"/>
      <c r="F11" s="696"/>
      <c r="G11" s="696"/>
      <c r="H11" s="1155"/>
      <c r="I11" s="1155"/>
      <c r="J11" s="1155"/>
      <c r="K11" s="1155"/>
      <c r="L11" s="1155"/>
      <c r="M11" s="1155"/>
      <c r="N11" s="676"/>
      <c r="O11" s="696"/>
      <c r="P11" s="678"/>
      <c r="Q11" s="678"/>
      <c r="R11" s="695"/>
      <c r="S11" s="1155"/>
      <c r="T11" s="1155"/>
      <c r="U11" s="680"/>
      <c r="V11" s="680"/>
      <c r="W11" s="715"/>
      <c r="X11" s="680"/>
      <c r="Y11" s="680"/>
      <c r="Z11" s="696"/>
      <c r="AA11" s="696"/>
      <c r="AB11" s="1155"/>
      <c r="AC11" s="696"/>
      <c r="AD11" s="1155"/>
      <c r="AE11" s="696"/>
      <c r="AF11" s="715"/>
      <c r="AG11" s="715"/>
      <c r="AH11" s="1156"/>
      <c r="AI11" s="1156"/>
      <c r="AJ11" s="1157"/>
      <c r="AK11" s="676"/>
      <c r="AL11" s="1158"/>
      <c r="AM11" s="676"/>
      <c r="AN11" s="700"/>
      <c r="AO11" s="1159"/>
      <c r="AP11" s="700"/>
      <c r="AQ11" s="1160"/>
      <c r="AR11" s="1161"/>
      <c r="AS11" s="1162"/>
      <c r="AT11" s="1163"/>
      <c r="AU11" s="1164"/>
      <c r="AV11" s="707">
        <f t="shared" ref="AV11:AV24" si="0">O11*P11*Q11*R11*AH11*AI11*AJ11</f>
        <v>0</v>
      </c>
      <c r="AX11" s="201"/>
    </row>
    <row r="12" spans="1:50" x14ac:dyDescent="0.25">
      <c r="A12" s="12" t="s">
        <v>609</v>
      </c>
      <c r="B12" s="692">
        <f t="shared" ref="B12:B24" si="1">C12+D12</f>
        <v>90364</v>
      </c>
      <c r="C12" s="692">
        <f t="shared" ref="C12:C24" si="2">F12+AS12</f>
        <v>81667</v>
      </c>
      <c r="D12" s="692">
        <f t="shared" ref="D12:D24" si="3">G12</f>
        <v>8697</v>
      </c>
      <c r="E12" s="692">
        <f t="shared" ref="E12:E24" si="4">ROUND(K12/L12*O12*P12*Q12*R12*S12/T12*AF12*AG12*AH12*AI12*AJ12,0)</f>
        <v>75598</v>
      </c>
      <c r="F12" s="692">
        <f t="shared" ref="F12:F24" si="5">ROUND(K12/L12*O12*P12*Q12*S12/T12*AG12*R12*AJ12*AH12*AI12,0)</f>
        <v>66901</v>
      </c>
      <c r="G12" s="692">
        <f t="shared" ref="G12:G24" si="6">E12-F12</f>
        <v>8697</v>
      </c>
      <c r="H12" s="1155">
        <v>26</v>
      </c>
      <c r="I12" s="1155">
        <v>6</v>
      </c>
      <c r="J12" s="1165">
        <v>10</v>
      </c>
      <c r="K12" s="694">
        <f>H12+I12+J12</f>
        <v>42</v>
      </c>
      <c r="L12" s="675">
        <v>18</v>
      </c>
      <c r="M12" s="693">
        <v>14449</v>
      </c>
      <c r="N12" s="646">
        <v>1.01525</v>
      </c>
      <c r="O12" s="694">
        <f t="shared" ref="O12:O24" si="7">M12*N12</f>
        <v>14669</v>
      </c>
      <c r="P12" s="677">
        <v>1.302</v>
      </c>
      <c r="Q12" s="695">
        <v>1.841</v>
      </c>
      <c r="R12" s="695">
        <v>1.01</v>
      </c>
      <c r="S12" s="675">
        <v>12</v>
      </c>
      <c r="T12" s="1155">
        <v>25</v>
      </c>
      <c r="U12" s="506">
        <v>66.92</v>
      </c>
      <c r="V12" s="506">
        <v>6</v>
      </c>
      <c r="W12" s="508">
        <f t="shared" ref="W12:W37" si="8">U12-V12-X12</f>
        <v>26.09</v>
      </c>
      <c r="X12" s="506">
        <v>34.83</v>
      </c>
      <c r="Y12" s="506">
        <v>30.33</v>
      </c>
      <c r="Z12" s="696">
        <f t="shared" ref="Z12:Z24" si="9">O12*P12*Q12*Y12</f>
        <v>1066443</v>
      </c>
      <c r="AA12" s="696">
        <f t="shared" ref="AA12:AA24" si="10">Z12/Y12*(X12-Y12)</f>
        <v>158226</v>
      </c>
      <c r="AB12" s="693">
        <v>46206</v>
      </c>
      <c r="AC12" s="696">
        <f t="shared" ref="AC12:AC24" si="11">(AB12+AB12*(V12-1)*0.8)* 1.01*1.302*N12</f>
        <v>308442</v>
      </c>
      <c r="AD12" s="693">
        <v>16242</v>
      </c>
      <c r="AE12" s="696">
        <f t="shared" ref="AE12:AE24" si="12">W12*AD12*1.01*1.302</f>
        <v>557245</v>
      </c>
      <c r="AF12" s="508">
        <f t="shared" ref="AF12:AF24" si="13">AA12/(Z12+AA12)+1</f>
        <v>1.1299999999999999</v>
      </c>
      <c r="AG12" s="508">
        <f t="shared" ref="AG12:AG24" si="14">(AC12+AE12)/(Z12+AC12+AE12)+1</f>
        <v>1.45</v>
      </c>
      <c r="AH12" s="679">
        <v>1</v>
      </c>
      <c r="AI12" s="679">
        <v>1</v>
      </c>
      <c r="AJ12" s="697">
        <f t="shared" ref="AJ12:AJ24" si="15">ROUND(AK12*AL12*AM12,2)</f>
        <v>1.1599999999999999</v>
      </c>
      <c r="AK12" s="698">
        <v>1</v>
      </c>
      <c r="AL12" s="699">
        <f>1+(56+3)/365</f>
        <v>1.16164</v>
      </c>
      <c r="AM12" s="698">
        <v>1</v>
      </c>
      <c r="AN12" s="700">
        <f t="shared" ref="AN12:AN24" si="16">O12*Q12</f>
        <v>27005.63</v>
      </c>
      <c r="AO12" s="701">
        <v>45304.5</v>
      </c>
      <c r="AP12" s="702">
        <f t="shared" ref="AP12:AP24" si="17">(AO12-O12*Q12)</f>
        <v>18298.87</v>
      </c>
      <c r="AQ12" s="703">
        <v>0.55334399999999995</v>
      </c>
      <c r="AR12" s="704">
        <f t="shared" ref="AR12:AR24" si="18">AP12*AQ12</f>
        <v>10126</v>
      </c>
      <c r="AS12" s="705">
        <f t="shared" ref="AS12:AS24" si="19">ROUND(K12/L12*AR12*S12/T12*P12,0)</f>
        <v>14766</v>
      </c>
      <c r="AU12" s="706">
        <f t="shared" ref="AU12:AU24" si="20">K12/T12</f>
        <v>1.68</v>
      </c>
      <c r="AV12" s="707">
        <f t="shared" si="0"/>
        <v>41195.01</v>
      </c>
      <c r="AX12" s="201">
        <f>247*U12/33/T12</f>
        <v>20.04</v>
      </c>
    </row>
    <row r="13" spans="1:50" ht="36" hidden="1" x14ac:dyDescent="0.25">
      <c r="A13" s="92" t="s">
        <v>610</v>
      </c>
      <c r="B13" s="692">
        <f t="shared" si="1"/>
        <v>0</v>
      </c>
      <c r="C13" s="692">
        <f t="shared" si="2"/>
        <v>0</v>
      </c>
      <c r="D13" s="692">
        <f t="shared" si="3"/>
        <v>0</v>
      </c>
      <c r="E13" s="692">
        <f t="shared" si="4"/>
        <v>0</v>
      </c>
      <c r="F13" s="692">
        <f t="shared" si="5"/>
        <v>0</v>
      </c>
      <c r="G13" s="692">
        <f t="shared" si="6"/>
        <v>0</v>
      </c>
      <c r="H13" s="1173">
        <v>0</v>
      </c>
      <c r="I13" s="1173">
        <v>0</v>
      </c>
      <c r="J13" s="1167">
        <v>0</v>
      </c>
      <c r="K13" s="694">
        <f t="shared" ref="K13:K19" si="21">H13+I13+J13</f>
        <v>0</v>
      </c>
      <c r="L13" s="675">
        <v>18</v>
      </c>
      <c r="M13" s="693">
        <v>14449</v>
      </c>
      <c r="N13" s="646">
        <v>1.01525</v>
      </c>
      <c r="O13" s="694">
        <f t="shared" si="7"/>
        <v>14669</v>
      </c>
      <c r="P13" s="677">
        <v>1.302</v>
      </c>
      <c r="Q13" s="695">
        <v>1.841</v>
      </c>
      <c r="R13" s="695">
        <v>1.01</v>
      </c>
      <c r="S13" s="675">
        <v>12</v>
      </c>
      <c r="T13" s="1155">
        <v>25</v>
      </c>
      <c r="U13" s="506">
        <v>66.92</v>
      </c>
      <c r="V13" s="506">
        <v>6</v>
      </c>
      <c r="W13" s="508">
        <f t="shared" si="8"/>
        <v>26.09</v>
      </c>
      <c r="X13" s="506">
        <v>34.83</v>
      </c>
      <c r="Y13" s="506">
        <v>30.33</v>
      </c>
      <c r="Z13" s="696">
        <f t="shared" si="9"/>
        <v>1066443</v>
      </c>
      <c r="AA13" s="696">
        <f t="shared" si="10"/>
        <v>158226</v>
      </c>
      <c r="AB13" s="693">
        <v>46206</v>
      </c>
      <c r="AC13" s="696">
        <f t="shared" si="11"/>
        <v>308442</v>
      </c>
      <c r="AD13" s="693">
        <v>16242</v>
      </c>
      <c r="AE13" s="696">
        <f t="shared" si="12"/>
        <v>557245</v>
      </c>
      <c r="AF13" s="508">
        <f t="shared" si="13"/>
        <v>1.1299999999999999</v>
      </c>
      <c r="AG13" s="508">
        <f t="shared" si="14"/>
        <v>1.45</v>
      </c>
      <c r="AH13" s="679">
        <v>1</v>
      </c>
      <c r="AI13" s="679">
        <v>1</v>
      </c>
      <c r="AJ13" s="697">
        <f t="shared" si="15"/>
        <v>1.1599999999999999</v>
      </c>
      <c r="AK13" s="698">
        <v>1</v>
      </c>
      <c r="AL13" s="699">
        <f t="shared" ref="AL13:AL19" si="22">1+(56+3)/365</f>
        <v>1.16164</v>
      </c>
      <c r="AM13" s="698">
        <v>1</v>
      </c>
      <c r="AN13" s="700">
        <f t="shared" si="16"/>
        <v>27005.63</v>
      </c>
      <c r="AO13" s="701">
        <v>45304.5</v>
      </c>
      <c r="AP13" s="702">
        <f t="shared" si="17"/>
        <v>18298.87</v>
      </c>
      <c r="AQ13" s="703">
        <v>0.55334399999999995</v>
      </c>
      <c r="AR13" s="704">
        <f t="shared" si="18"/>
        <v>10126</v>
      </c>
      <c r="AS13" s="705">
        <f t="shared" si="19"/>
        <v>0</v>
      </c>
      <c r="AU13" s="706">
        <f t="shared" si="20"/>
        <v>0</v>
      </c>
      <c r="AV13" s="707">
        <f t="shared" si="0"/>
        <v>41195.01</v>
      </c>
      <c r="AX13" s="201">
        <f t="shared" ref="AX13:AX35" si="23">247*U13/33/T13</f>
        <v>20.04</v>
      </c>
    </row>
    <row r="14" spans="1:50" ht="24" x14ac:dyDescent="0.25">
      <c r="A14" s="12" t="s">
        <v>625</v>
      </c>
      <c r="B14" s="692">
        <f t="shared" si="1"/>
        <v>242348</v>
      </c>
      <c r="C14" s="692">
        <f t="shared" si="2"/>
        <v>209075</v>
      </c>
      <c r="D14" s="692">
        <f t="shared" si="3"/>
        <v>33273</v>
      </c>
      <c r="E14" s="692">
        <f t="shared" si="4"/>
        <v>208393</v>
      </c>
      <c r="F14" s="692">
        <f t="shared" si="5"/>
        <v>175120</v>
      </c>
      <c r="G14" s="692">
        <f t="shared" si="6"/>
        <v>33273</v>
      </c>
      <c r="H14" s="1155">
        <v>26</v>
      </c>
      <c r="I14" s="1155">
        <v>6</v>
      </c>
      <c r="J14" s="1165">
        <v>10</v>
      </c>
      <c r="K14" s="694">
        <f t="shared" si="21"/>
        <v>42</v>
      </c>
      <c r="L14" s="675">
        <v>18</v>
      </c>
      <c r="M14" s="693">
        <v>14449</v>
      </c>
      <c r="N14" s="646">
        <v>1.01525</v>
      </c>
      <c r="O14" s="694">
        <f t="shared" si="7"/>
        <v>14669</v>
      </c>
      <c r="P14" s="677">
        <v>1.302</v>
      </c>
      <c r="Q14" s="695">
        <v>1.9410000000000001</v>
      </c>
      <c r="R14" s="695">
        <v>1.01</v>
      </c>
      <c r="S14" s="675">
        <v>12</v>
      </c>
      <c r="T14" s="1155">
        <v>10</v>
      </c>
      <c r="U14" s="506">
        <v>69.48</v>
      </c>
      <c r="V14" s="506">
        <v>6</v>
      </c>
      <c r="W14" s="508">
        <f t="shared" si="8"/>
        <v>26.09</v>
      </c>
      <c r="X14" s="506">
        <v>37.39</v>
      </c>
      <c r="Y14" s="506">
        <v>30.33</v>
      </c>
      <c r="Z14" s="696">
        <f t="shared" si="9"/>
        <v>1124370</v>
      </c>
      <c r="AA14" s="696">
        <f t="shared" si="10"/>
        <v>261723</v>
      </c>
      <c r="AB14" s="693">
        <v>46206</v>
      </c>
      <c r="AC14" s="696">
        <f t="shared" si="11"/>
        <v>308442</v>
      </c>
      <c r="AD14" s="693">
        <v>16242</v>
      </c>
      <c r="AE14" s="696">
        <f t="shared" si="12"/>
        <v>557245</v>
      </c>
      <c r="AF14" s="508">
        <f t="shared" si="13"/>
        <v>1.19</v>
      </c>
      <c r="AG14" s="508">
        <f t="shared" si="14"/>
        <v>1.44</v>
      </c>
      <c r="AH14" s="679">
        <v>1</v>
      </c>
      <c r="AI14" s="679">
        <v>1</v>
      </c>
      <c r="AJ14" s="697">
        <f t="shared" si="15"/>
        <v>1.1599999999999999</v>
      </c>
      <c r="AK14" s="698">
        <v>1</v>
      </c>
      <c r="AL14" s="699">
        <f t="shared" si="22"/>
        <v>1.16164</v>
      </c>
      <c r="AM14" s="698">
        <v>1</v>
      </c>
      <c r="AN14" s="700">
        <f t="shared" si="16"/>
        <v>28472.53</v>
      </c>
      <c r="AO14" s="701">
        <v>45304.5</v>
      </c>
      <c r="AP14" s="702">
        <f t="shared" si="17"/>
        <v>16831.97</v>
      </c>
      <c r="AQ14" s="703">
        <v>0.55334399999999995</v>
      </c>
      <c r="AR14" s="704">
        <f t="shared" si="18"/>
        <v>9314</v>
      </c>
      <c r="AS14" s="705">
        <f t="shared" si="19"/>
        <v>33955</v>
      </c>
      <c r="AU14" s="706">
        <f t="shared" si="20"/>
        <v>4.2</v>
      </c>
      <c r="AV14" s="707">
        <f t="shared" si="0"/>
        <v>43432.66</v>
      </c>
      <c r="AX14" s="201">
        <f t="shared" si="23"/>
        <v>52</v>
      </c>
    </row>
    <row r="15" spans="1:50" x14ac:dyDescent="0.25">
      <c r="A15" s="12" t="s">
        <v>626</v>
      </c>
      <c r="B15" s="692">
        <f t="shared" si="1"/>
        <v>885302</v>
      </c>
      <c r="C15" s="692">
        <f t="shared" si="2"/>
        <v>675158</v>
      </c>
      <c r="D15" s="692">
        <f t="shared" si="3"/>
        <v>210144</v>
      </c>
      <c r="E15" s="692">
        <f t="shared" si="4"/>
        <v>1377614</v>
      </c>
      <c r="F15" s="692">
        <f t="shared" si="5"/>
        <v>1167470</v>
      </c>
      <c r="G15" s="692">
        <f t="shared" si="6"/>
        <v>210144</v>
      </c>
      <c r="H15" s="1155">
        <v>26</v>
      </c>
      <c r="I15" s="1155">
        <v>0</v>
      </c>
      <c r="J15" s="1165">
        <v>10</v>
      </c>
      <c r="K15" s="694">
        <f t="shared" si="21"/>
        <v>36</v>
      </c>
      <c r="L15" s="675">
        <v>18</v>
      </c>
      <c r="M15" s="693">
        <v>14449</v>
      </c>
      <c r="N15" s="646">
        <v>1.01525</v>
      </c>
      <c r="O15" s="694">
        <f t="shared" si="7"/>
        <v>14669</v>
      </c>
      <c r="P15" s="677">
        <v>1.302</v>
      </c>
      <c r="Q15" s="695">
        <v>1.9410000000000001</v>
      </c>
      <c r="R15" s="695">
        <v>1.01</v>
      </c>
      <c r="S15" s="675">
        <v>12</v>
      </c>
      <c r="T15" s="1155">
        <v>1</v>
      </c>
      <c r="U15" s="506">
        <v>2.84</v>
      </c>
      <c r="V15" s="506">
        <v>0</v>
      </c>
      <c r="W15" s="508">
        <f t="shared" si="8"/>
        <v>0</v>
      </c>
      <c r="X15" s="506">
        <v>2.84</v>
      </c>
      <c r="Y15" s="506">
        <v>2.34</v>
      </c>
      <c r="Z15" s="696">
        <f t="shared" si="9"/>
        <v>86747</v>
      </c>
      <c r="AA15" s="696">
        <f t="shared" si="10"/>
        <v>18536</v>
      </c>
      <c r="AB15" s="693">
        <v>46206</v>
      </c>
      <c r="AC15" s="696">
        <f t="shared" si="11"/>
        <v>12338</v>
      </c>
      <c r="AD15" s="693">
        <v>16242</v>
      </c>
      <c r="AE15" s="696">
        <f t="shared" si="12"/>
        <v>0</v>
      </c>
      <c r="AF15" s="508">
        <f t="shared" si="13"/>
        <v>1.18</v>
      </c>
      <c r="AG15" s="508">
        <f t="shared" si="14"/>
        <v>1.1200000000000001</v>
      </c>
      <c r="AH15" s="679">
        <v>1</v>
      </c>
      <c r="AI15" s="679">
        <v>1</v>
      </c>
      <c r="AJ15" s="697">
        <f t="shared" si="15"/>
        <v>1.1599999999999999</v>
      </c>
      <c r="AK15" s="698">
        <v>1</v>
      </c>
      <c r="AL15" s="699">
        <f t="shared" si="22"/>
        <v>1.16164</v>
      </c>
      <c r="AM15" s="698">
        <v>1</v>
      </c>
      <c r="AN15" s="700">
        <f t="shared" si="16"/>
        <v>28472.53</v>
      </c>
      <c r="AO15" s="701"/>
      <c r="AP15" s="702">
        <f t="shared" si="17"/>
        <v>-28472.53</v>
      </c>
      <c r="AQ15" s="703">
        <v>0.55334399999999995</v>
      </c>
      <c r="AR15" s="704">
        <f t="shared" si="18"/>
        <v>-15755</v>
      </c>
      <c r="AS15" s="705">
        <f t="shared" si="19"/>
        <v>-492312</v>
      </c>
      <c r="AU15" s="706">
        <f t="shared" si="20"/>
        <v>36</v>
      </c>
      <c r="AV15" s="707">
        <f t="shared" si="0"/>
        <v>43432.66</v>
      </c>
      <c r="AX15" s="201">
        <f>247*U15/1/T15</f>
        <v>701.48</v>
      </c>
    </row>
    <row r="16" spans="1:50" ht="36" hidden="1" x14ac:dyDescent="0.25">
      <c r="A16" s="92" t="s">
        <v>639</v>
      </c>
      <c r="B16" s="692">
        <f t="shared" si="1"/>
        <v>0</v>
      </c>
      <c r="C16" s="692">
        <f t="shared" si="2"/>
        <v>0</v>
      </c>
      <c r="D16" s="692">
        <f t="shared" si="3"/>
        <v>0</v>
      </c>
      <c r="E16" s="692">
        <f t="shared" si="4"/>
        <v>0</v>
      </c>
      <c r="F16" s="692">
        <f t="shared" si="5"/>
        <v>0</v>
      </c>
      <c r="G16" s="692">
        <f t="shared" si="6"/>
        <v>0</v>
      </c>
      <c r="H16" s="1174">
        <v>0</v>
      </c>
      <c r="I16" s="1174">
        <v>0</v>
      </c>
      <c r="J16" s="1154">
        <v>0</v>
      </c>
      <c r="K16" s="694">
        <f t="shared" si="21"/>
        <v>0</v>
      </c>
      <c r="L16" s="675">
        <v>18</v>
      </c>
      <c r="M16" s="693">
        <v>14449</v>
      </c>
      <c r="N16" s="646">
        <v>1.01525</v>
      </c>
      <c r="O16" s="694">
        <f t="shared" si="7"/>
        <v>14669</v>
      </c>
      <c r="P16" s="677">
        <v>1.302</v>
      </c>
      <c r="Q16" s="695">
        <v>1.9550000000000001</v>
      </c>
      <c r="R16" s="695">
        <v>1.01</v>
      </c>
      <c r="S16" s="675">
        <v>12</v>
      </c>
      <c r="T16" s="1155">
        <v>1</v>
      </c>
      <c r="U16" s="506">
        <v>4.9000000000000004</v>
      </c>
      <c r="V16" s="506">
        <v>0</v>
      </c>
      <c r="W16" s="508">
        <f t="shared" si="8"/>
        <v>0</v>
      </c>
      <c r="X16" s="506">
        <v>4.9000000000000004</v>
      </c>
      <c r="Y16" s="506">
        <v>2.34</v>
      </c>
      <c r="Z16" s="696">
        <f t="shared" si="9"/>
        <v>87372</v>
      </c>
      <c r="AA16" s="696">
        <f t="shared" si="10"/>
        <v>95586</v>
      </c>
      <c r="AB16" s="693">
        <v>46206</v>
      </c>
      <c r="AC16" s="696">
        <f t="shared" si="11"/>
        <v>12338</v>
      </c>
      <c r="AD16" s="693">
        <v>16242</v>
      </c>
      <c r="AE16" s="696">
        <f t="shared" si="12"/>
        <v>0</v>
      </c>
      <c r="AF16" s="508">
        <f t="shared" si="13"/>
        <v>1.52</v>
      </c>
      <c r="AG16" s="508">
        <f t="shared" si="14"/>
        <v>1.1200000000000001</v>
      </c>
      <c r="AH16" s="679">
        <v>1</v>
      </c>
      <c r="AI16" s="679">
        <v>1</v>
      </c>
      <c r="AJ16" s="697">
        <f t="shared" si="15"/>
        <v>1.1599999999999999</v>
      </c>
      <c r="AK16" s="698">
        <v>1</v>
      </c>
      <c r="AL16" s="699">
        <f t="shared" si="22"/>
        <v>1.16164</v>
      </c>
      <c r="AM16" s="698">
        <v>1</v>
      </c>
      <c r="AN16" s="700">
        <f t="shared" si="16"/>
        <v>28677.9</v>
      </c>
      <c r="AO16" s="701"/>
      <c r="AP16" s="702">
        <f t="shared" si="17"/>
        <v>-28677.9</v>
      </c>
      <c r="AQ16" s="703">
        <v>0.55334399999999995</v>
      </c>
      <c r="AR16" s="704">
        <f t="shared" si="18"/>
        <v>-15869</v>
      </c>
      <c r="AS16" s="705">
        <f t="shared" si="19"/>
        <v>0</v>
      </c>
      <c r="AU16" s="706">
        <f t="shared" si="20"/>
        <v>0</v>
      </c>
      <c r="AV16" s="707">
        <f t="shared" si="0"/>
        <v>43745.93</v>
      </c>
      <c r="AX16" s="201">
        <f>247*U16/1/T16</f>
        <v>1210.3</v>
      </c>
    </row>
    <row r="17" spans="1:50" ht="24" x14ac:dyDescent="0.25">
      <c r="A17" s="12" t="s">
        <v>627</v>
      </c>
      <c r="B17" s="692">
        <f t="shared" si="1"/>
        <v>94817</v>
      </c>
      <c r="C17" s="692">
        <f t="shared" si="2"/>
        <v>82009</v>
      </c>
      <c r="D17" s="692">
        <f t="shared" si="3"/>
        <v>12808</v>
      </c>
      <c r="E17" s="692">
        <f t="shared" si="4"/>
        <v>80217</v>
      </c>
      <c r="F17" s="692">
        <f t="shared" si="5"/>
        <v>67409</v>
      </c>
      <c r="G17" s="692">
        <f t="shared" si="6"/>
        <v>12808</v>
      </c>
      <c r="H17" s="1155">
        <v>26</v>
      </c>
      <c r="I17" s="1155">
        <v>6</v>
      </c>
      <c r="J17" s="1165">
        <v>10</v>
      </c>
      <c r="K17" s="694">
        <f t="shared" si="21"/>
        <v>42</v>
      </c>
      <c r="L17" s="675">
        <v>18</v>
      </c>
      <c r="M17" s="693">
        <v>14449</v>
      </c>
      <c r="N17" s="646">
        <v>1.01525</v>
      </c>
      <c r="O17" s="694">
        <f t="shared" si="7"/>
        <v>14669</v>
      </c>
      <c r="P17" s="677">
        <v>1.302</v>
      </c>
      <c r="Q17" s="695">
        <v>1.855</v>
      </c>
      <c r="R17" s="695">
        <v>1.01</v>
      </c>
      <c r="S17" s="675">
        <v>12</v>
      </c>
      <c r="T17" s="1155">
        <v>25</v>
      </c>
      <c r="U17" s="506">
        <v>69.48</v>
      </c>
      <c r="V17" s="506">
        <v>6</v>
      </c>
      <c r="W17" s="508">
        <f t="shared" si="8"/>
        <v>26.09</v>
      </c>
      <c r="X17" s="506">
        <v>37.39</v>
      </c>
      <c r="Y17" s="506">
        <v>30.33</v>
      </c>
      <c r="Z17" s="696">
        <f t="shared" si="9"/>
        <v>1074553</v>
      </c>
      <c r="AA17" s="696">
        <f t="shared" si="10"/>
        <v>250127</v>
      </c>
      <c r="AB17" s="693">
        <v>46206</v>
      </c>
      <c r="AC17" s="696">
        <f t="shared" si="11"/>
        <v>308442</v>
      </c>
      <c r="AD17" s="693">
        <v>16242</v>
      </c>
      <c r="AE17" s="696">
        <f t="shared" si="12"/>
        <v>557245</v>
      </c>
      <c r="AF17" s="508">
        <f t="shared" si="13"/>
        <v>1.19</v>
      </c>
      <c r="AG17" s="508">
        <f t="shared" si="14"/>
        <v>1.45</v>
      </c>
      <c r="AH17" s="679">
        <v>1</v>
      </c>
      <c r="AI17" s="679">
        <v>1</v>
      </c>
      <c r="AJ17" s="697">
        <f t="shared" si="15"/>
        <v>1.1599999999999999</v>
      </c>
      <c r="AK17" s="698">
        <v>1</v>
      </c>
      <c r="AL17" s="699">
        <f t="shared" si="22"/>
        <v>1.16164</v>
      </c>
      <c r="AM17" s="698">
        <v>1</v>
      </c>
      <c r="AN17" s="700">
        <f t="shared" si="16"/>
        <v>27211</v>
      </c>
      <c r="AO17" s="701">
        <v>45304.5</v>
      </c>
      <c r="AP17" s="702">
        <f t="shared" si="17"/>
        <v>18093.509999999998</v>
      </c>
      <c r="AQ17" s="703">
        <v>0.55334399999999995</v>
      </c>
      <c r="AR17" s="704">
        <f t="shared" si="18"/>
        <v>10012</v>
      </c>
      <c r="AS17" s="705">
        <f t="shared" si="19"/>
        <v>14600</v>
      </c>
      <c r="AU17" s="706">
        <f t="shared" si="20"/>
        <v>1.68</v>
      </c>
      <c r="AV17" s="707">
        <f t="shared" si="0"/>
        <v>41508.28</v>
      </c>
      <c r="AX17" s="201">
        <f t="shared" si="23"/>
        <v>20.8</v>
      </c>
    </row>
    <row r="18" spans="1:50" hidden="1" x14ac:dyDescent="0.25">
      <c r="A18" s="92" t="s">
        <v>608</v>
      </c>
      <c r="B18" s="692">
        <f t="shared" si="1"/>
        <v>0</v>
      </c>
      <c r="C18" s="692">
        <f t="shared" si="2"/>
        <v>0</v>
      </c>
      <c r="D18" s="692">
        <f t="shared" si="3"/>
        <v>0</v>
      </c>
      <c r="E18" s="692">
        <f t="shared" si="4"/>
        <v>0</v>
      </c>
      <c r="F18" s="692">
        <f t="shared" si="5"/>
        <v>0</v>
      </c>
      <c r="G18" s="692">
        <f t="shared" si="6"/>
        <v>0</v>
      </c>
      <c r="H18" s="1173">
        <v>0</v>
      </c>
      <c r="I18" s="1173">
        <v>0</v>
      </c>
      <c r="J18" s="1171">
        <v>0</v>
      </c>
      <c r="K18" s="694">
        <f t="shared" si="21"/>
        <v>0</v>
      </c>
      <c r="L18" s="675">
        <v>18</v>
      </c>
      <c r="M18" s="693">
        <v>14449</v>
      </c>
      <c r="N18" s="646">
        <v>1.01525</v>
      </c>
      <c r="O18" s="694">
        <f t="shared" si="7"/>
        <v>14669</v>
      </c>
      <c r="P18" s="677">
        <v>1.302</v>
      </c>
      <c r="Q18" s="695"/>
      <c r="R18" s="695">
        <v>1.01</v>
      </c>
      <c r="S18" s="675">
        <v>12</v>
      </c>
      <c r="T18" s="1155">
        <v>25</v>
      </c>
      <c r="U18" s="506"/>
      <c r="V18" s="506"/>
      <c r="W18" s="508">
        <f t="shared" si="8"/>
        <v>0</v>
      </c>
      <c r="X18" s="506"/>
      <c r="Y18" s="506"/>
      <c r="Z18" s="696">
        <f t="shared" si="9"/>
        <v>0</v>
      </c>
      <c r="AA18" s="696">
        <f>IF(Y18=0,0,Z18/Y18*(X18-Y18))</f>
        <v>0</v>
      </c>
      <c r="AB18" s="693">
        <v>46206</v>
      </c>
      <c r="AC18" s="696">
        <f t="shared" si="11"/>
        <v>12338</v>
      </c>
      <c r="AD18" s="693">
        <v>16242</v>
      </c>
      <c r="AE18" s="696">
        <f t="shared" si="12"/>
        <v>0</v>
      </c>
      <c r="AF18" s="508">
        <f>IF((Z18+AA18)=0,0,AA18/(Z18+AA18)+1)</f>
        <v>0</v>
      </c>
      <c r="AG18" s="508">
        <f t="shared" si="14"/>
        <v>2</v>
      </c>
      <c r="AH18" s="679">
        <v>1</v>
      </c>
      <c r="AI18" s="679">
        <v>1</v>
      </c>
      <c r="AJ18" s="697">
        <f t="shared" si="15"/>
        <v>1.1599999999999999</v>
      </c>
      <c r="AK18" s="698">
        <v>1</v>
      </c>
      <c r="AL18" s="699">
        <f t="shared" si="22"/>
        <v>1.16164</v>
      </c>
      <c r="AM18" s="698">
        <v>1</v>
      </c>
      <c r="AN18" s="700">
        <f t="shared" si="16"/>
        <v>0</v>
      </c>
      <c r="AO18" s="701"/>
      <c r="AP18" s="702">
        <f t="shared" si="17"/>
        <v>0</v>
      </c>
      <c r="AQ18" s="703">
        <v>0.55334399999999995</v>
      </c>
      <c r="AR18" s="704">
        <f t="shared" si="18"/>
        <v>0</v>
      </c>
      <c r="AS18" s="705">
        <f t="shared" si="19"/>
        <v>0</v>
      </c>
      <c r="AU18" s="706">
        <f t="shared" si="20"/>
        <v>0</v>
      </c>
      <c r="AV18" s="707">
        <f t="shared" si="0"/>
        <v>0</v>
      </c>
      <c r="AX18" s="201">
        <f>247*U18/19/T18</f>
        <v>0</v>
      </c>
    </row>
    <row r="19" spans="1:50" hidden="1" x14ac:dyDescent="0.25">
      <c r="A19" s="92" t="s">
        <v>611</v>
      </c>
      <c r="B19" s="692">
        <f t="shared" si="1"/>
        <v>0</v>
      </c>
      <c r="C19" s="692">
        <f t="shared" si="2"/>
        <v>0</v>
      </c>
      <c r="D19" s="692">
        <f t="shared" si="3"/>
        <v>0</v>
      </c>
      <c r="E19" s="692">
        <f t="shared" si="4"/>
        <v>0</v>
      </c>
      <c r="F19" s="692">
        <f t="shared" si="5"/>
        <v>0</v>
      </c>
      <c r="G19" s="692">
        <f t="shared" si="6"/>
        <v>0</v>
      </c>
      <c r="H19" s="1155">
        <v>14</v>
      </c>
      <c r="I19" s="1155">
        <v>0</v>
      </c>
      <c r="J19" s="1172">
        <v>0</v>
      </c>
      <c r="K19" s="694">
        <f t="shared" si="21"/>
        <v>14</v>
      </c>
      <c r="L19" s="675">
        <v>18</v>
      </c>
      <c r="M19" s="693">
        <v>14449</v>
      </c>
      <c r="N19" s="646">
        <v>1.01525</v>
      </c>
      <c r="O19" s="694">
        <f t="shared" si="7"/>
        <v>14669</v>
      </c>
      <c r="P19" s="677">
        <v>1.302</v>
      </c>
      <c r="Q19" s="695"/>
      <c r="R19" s="695">
        <v>1.01</v>
      </c>
      <c r="S19" s="675">
        <v>12</v>
      </c>
      <c r="T19" s="1155">
        <v>25</v>
      </c>
      <c r="U19" s="506"/>
      <c r="V19" s="506"/>
      <c r="W19" s="508">
        <f t="shared" si="8"/>
        <v>0</v>
      </c>
      <c r="X19" s="506"/>
      <c r="Y19" s="506"/>
      <c r="Z19" s="696">
        <f t="shared" si="9"/>
        <v>0</v>
      </c>
      <c r="AA19" s="696">
        <f>IF(Y19=0,0,Z19/Y19*(X19-Y19))</f>
        <v>0</v>
      </c>
      <c r="AB19" s="693">
        <v>46206</v>
      </c>
      <c r="AC19" s="696">
        <f t="shared" si="11"/>
        <v>12338</v>
      </c>
      <c r="AD19" s="693">
        <v>16242</v>
      </c>
      <c r="AE19" s="696">
        <f t="shared" si="12"/>
        <v>0</v>
      </c>
      <c r="AF19" s="508">
        <f>IF((Z19+AA19)=0,0,AA19/(Z19+AA19)+1)</f>
        <v>0</v>
      </c>
      <c r="AG19" s="508">
        <f t="shared" si="14"/>
        <v>2</v>
      </c>
      <c r="AH19" s="679">
        <v>1</v>
      </c>
      <c r="AI19" s="679">
        <v>1</v>
      </c>
      <c r="AJ19" s="697">
        <f t="shared" si="15"/>
        <v>1.1599999999999999</v>
      </c>
      <c r="AK19" s="698">
        <v>1</v>
      </c>
      <c r="AL19" s="699">
        <f t="shared" si="22"/>
        <v>1.16164</v>
      </c>
      <c r="AM19" s="698">
        <v>1</v>
      </c>
      <c r="AN19" s="700">
        <f t="shared" si="16"/>
        <v>0</v>
      </c>
      <c r="AO19" s="701"/>
      <c r="AP19" s="702">
        <f t="shared" si="17"/>
        <v>0</v>
      </c>
      <c r="AQ19" s="703">
        <v>0.55334399999999995</v>
      </c>
      <c r="AR19" s="704">
        <f t="shared" si="18"/>
        <v>0</v>
      </c>
      <c r="AS19" s="705">
        <f t="shared" si="19"/>
        <v>0</v>
      </c>
      <c r="AU19" s="706">
        <f t="shared" si="20"/>
        <v>0.56000000000000005</v>
      </c>
      <c r="AV19" s="707">
        <f t="shared" si="0"/>
        <v>0</v>
      </c>
      <c r="AX19" s="201">
        <f>247*U19/19/T19</f>
        <v>0</v>
      </c>
    </row>
    <row r="20" spans="1:50" ht="24" x14ac:dyDescent="0.25">
      <c r="A20" s="96" t="s">
        <v>603</v>
      </c>
      <c r="B20" s="696"/>
      <c r="C20" s="696"/>
      <c r="D20" s="696"/>
      <c r="E20" s="696"/>
      <c r="F20" s="696"/>
      <c r="G20" s="696"/>
      <c r="H20" s="1155"/>
      <c r="I20" s="1155"/>
      <c r="J20" s="1166"/>
      <c r="K20" s="1166"/>
      <c r="L20" s="1155"/>
      <c r="M20" s="1155"/>
      <c r="N20" s="676"/>
      <c r="O20" s="696"/>
      <c r="P20" s="678"/>
      <c r="Q20" s="678"/>
      <c r="R20" s="695"/>
      <c r="S20" s="1155"/>
      <c r="T20" s="1155"/>
      <c r="U20" s="680"/>
      <c r="V20" s="680"/>
      <c r="W20" s="715"/>
      <c r="X20" s="680"/>
      <c r="Y20" s="680"/>
      <c r="Z20" s="696"/>
      <c r="AA20" s="696"/>
      <c r="AB20" s="1155"/>
      <c r="AC20" s="696"/>
      <c r="AD20" s="1155"/>
      <c r="AE20" s="696"/>
      <c r="AF20" s="715"/>
      <c r="AG20" s="715"/>
      <c r="AH20" s="1156"/>
      <c r="AI20" s="1156"/>
      <c r="AJ20" s="1157"/>
      <c r="AK20" s="676"/>
      <c r="AL20" s="1158"/>
      <c r="AM20" s="676"/>
      <c r="AN20" s="700"/>
      <c r="AO20" s="1159"/>
      <c r="AP20" s="700"/>
      <c r="AQ20" s="1160"/>
      <c r="AR20" s="1161"/>
      <c r="AS20" s="1162"/>
      <c r="AT20" s="1163"/>
      <c r="AU20" s="1164"/>
      <c r="AV20" s="707">
        <f t="shared" si="0"/>
        <v>0</v>
      </c>
      <c r="AX20" s="201"/>
    </row>
    <row r="21" spans="1:50" x14ac:dyDescent="0.25">
      <c r="A21" s="12" t="s">
        <v>609</v>
      </c>
      <c r="B21" s="692">
        <f t="shared" si="1"/>
        <v>97921</v>
      </c>
      <c r="C21" s="692">
        <f t="shared" si="2"/>
        <v>91283</v>
      </c>
      <c r="D21" s="692">
        <f t="shared" si="3"/>
        <v>6638</v>
      </c>
      <c r="E21" s="692">
        <f t="shared" si="4"/>
        <v>80400</v>
      </c>
      <c r="F21" s="692">
        <f t="shared" si="5"/>
        <v>73762</v>
      </c>
      <c r="G21" s="692">
        <f t="shared" si="6"/>
        <v>6638</v>
      </c>
      <c r="H21" s="1219">
        <f>(33+35+36+36)/4</f>
        <v>35</v>
      </c>
      <c r="I21" s="1155">
        <v>5</v>
      </c>
      <c r="J21" s="1165">
        <v>10</v>
      </c>
      <c r="K21" s="694">
        <f t="shared" ref="K21:K28" si="24">H21+I21+J21</f>
        <v>50</v>
      </c>
      <c r="L21" s="675">
        <v>18</v>
      </c>
      <c r="M21" s="693">
        <v>14449</v>
      </c>
      <c r="N21" s="646">
        <v>1.01525</v>
      </c>
      <c r="O21" s="694">
        <f t="shared" si="7"/>
        <v>14669</v>
      </c>
      <c r="P21" s="677">
        <v>1.302</v>
      </c>
      <c r="Q21" s="678">
        <v>1.845</v>
      </c>
      <c r="R21" s="695">
        <v>1.01</v>
      </c>
      <c r="S21" s="675">
        <v>12</v>
      </c>
      <c r="T21" s="1155">
        <v>25</v>
      </c>
      <c r="U21" s="506">
        <v>83.81</v>
      </c>
      <c r="V21" s="506">
        <v>6</v>
      </c>
      <c r="W21" s="508">
        <f t="shared" si="8"/>
        <v>26.09</v>
      </c>
      <c r="X21" s="506">
        <v>51.72</v>
      </c>
      <c r="Y21" s="506">
        <v>47.22</v>
      </c>
      <c r="Z21" s="696">
        <f t="shared" si="9"/>
        <v>1663925</v>
      </c>
      <c r="AA21" s="696">
        <f t="shared" si="10"/>
        <v>158570</v>
      </c>
      <c r="AB21" s="693">
        <v>46206</v>
      </c>
      <c r="AC21" s="696">
        <f t="shared" si="11"/>
        <v>308442</v>
      </c>
      <c r="AD21" s="693">
        <v>16242</v>
      </c>
      <c r="AE21" s="696">
        <f t="shared" si="12"/>
        <v>557245</v>
      </c>
      <c r="AF21" s="508">
        <f t="shared" si="13"/>
        <v>1.0900000000000001</v>
      </c>
      <c r="AG21" s="508">
        <f t="shared" si="14"/>
        <v>1.34</v>
      </c>
      <c r="AH21" s="679">
        <v>1</v>
      </c>
      <c r="AI21" s="679">
        <v>1</v>
      </c>
      <c r="AJ21" s="697">
        <f t="shared" si="15"/>
        <v>1.1599999999999999</v>
      </c>
      <c r="AK21" s="698">
        <v>1</v>
      </c>
      <c r="AL21" s="699">
        <f t="shared" ref="AL21:AL28" si="25">1+(56+3)/365</f>
        <v>1.16164</v>
      </c>
      <c r="AM21" s="698">
        <v>1</v>
      </c>
      <c r="AN21" s="700">
        <f t="shared" si="16"/>
        <v>27064.31</v>
      </c>
      <c r="AO21" s="701">
        <v>45304.5</v>
      </c>
      <c r="AP21" s="702">
        <f t="shared" si="17"/>
        <v>18240.2</v>
      </c>
      <c r="AQ21" s="703">
        <v>0.55334399999999995</v>
      </c>
      <c r="AR21" s="704">
        <f t="shared" si="18"/>
        <v>10093</v>
      </c>
      <c r="AS21" s="705">
        <f t="shared" si="19"/>
        <v>17521</v>
      </c>
      <c r="AU21" s="706">
        <f t="shared" si="20"/>
        <v>2</v>
      </c>
      <c r="AV21" s="707">
        <f t="shared" si="0"/>
        <v>41284.519999999997</v>
      </c>
      <c r="AX21" s="201">
        <f t="shared" si="23"/>
        <v>25.09</v>
      </c>
    </row>
    <row r="22" spans="1:50" ht="36" hidden="1" x14ac:dyDescent="0.25">
      <c r="A22" s="92" t="s">
        <v>610</v>
      </c>
      <c r="B22" s="692">
        <f t="shared" si="1"/>
        <v>0</v>
      </c>
      <c r="C22" s="692">
        <f t="shared" si="2"/>
        <v>0</v>
      </c>
      <c r="D22" s="692">
        <f t="shared" si="3"/>
        <v>0</v>
      </c>
      <c r="E22" s="692">
        <f t="shared" si="4"/>
        <v>0</v>
      </c>
      <c r="F22" s="692">
        <f t="shared" si="5"/>
        <v>0</v>
      </c>
      <c r="G22" s="692">
        <f t="shared" si="6"/>
        <v>0</v>
      </c>
      <c r="H22" s="1173">
        <v>0</v>
      </c>
      <c r="I22" s="1173">
        <v>0</v>
      </c>
      <c r="J22" s="1167">
        <v>0</v>
      </c>
      <c r="K22" s="694">
        <f t="shared" si="24"/>
        <v>0</v>
      </c>
      <c r="L22" s="675">
        <v>18</v>
      </c>
      <c r="M22" s="693">
        <v>14449</v>
      </c>
      <c r="N22" s="646">
        <v>1.01525</v>
      </c>
      <c r="O22" s="694">
        <f t="shared" si="7"/>
        <v>14669</v>
      </c>
      <c r="P22" s="677">
        <v>1.302</v>
      </c>
      <c r="Q22" s="695">
        <v>1.845</v>
      </c>
      <c r="R22" s="695">
        <v>1.01</v>
      </c>
      <c r="S22" s="675">
        <v>12</v>
      </c>
      <c r="T22" s="1155">
        <v>25</v>
      </c>
      <c r="U22" s="506">
        <v>83.81</v>
      </c>
      <c r="V22" s="506">
        <v>6</v>
      </c>
      <c r="W22" s="508">
        <f t="shared" si="8"/>
        <v>26.09</v>
      </c>
      <c r="X22" s="506">
        <v>51.72</v>
      </c>
      <c r="Y22" s="506">
        <v>47.22</v>
      </c>
      <c r="Z22" s="696">
        <f t="shared" si="9"/>
        <v>1663925</v>
      </c>
      <c r="AA22" s="696">
        <f t="shared" si="10"/>
        <v>158570</v>
      </c>
      <c r="AB22" s="693">
        <v>46206</v>
      </c>
      <c r="AC22" s="696">
        <f t="shared" si="11"/>
        <v>308442</v>
      </c>
      <c r="AD22" s="693">
        <v>16242</v>
      </c>
      <c r="AE22" s="696">
        <f t="shared" si="12"/>
        <v>557245</v>
      </c>
      <c r="AF22" s="508">
        <f t="shared" si="13"/>
        <v>1.0900000000000001</v>
      </c>
      <c r="AG22" s="508">
        <f t="shared" si="14"/>
        <v>1.34</v>
      </c>
      <c r="AH22" s="679">
        <v>1</v>
      </c>
      <c r="AI22" s="679">
        <v>1</v>
      </c>
      <c r="AJ22" s="697">
        <f t="shared" si="15"/>
        <v>1.1599999999999999</v>
      </c>
      <c r="AK22" s="698">
        <v>1</v>
      </c>
      <c r="AL22" s="699">
        <f t="shared" si="25"/>
        <v>1.16164</v>
      </c>
      <c r="AM22" s="698">
        <v>1</v>
      </c>
      <c r="AN22" s="700">
        <f t="shared" si="16"/>
        <v>27064.31</v>
      </c>
      <c r="AO22" s="701">
        <v>45304.5</v>
      </c>
      <c r="AP22" s="702">
        <f t="shared" si="17"/>
        <v>18240.2</v>
      </c>
      <c r="AQ22" s="703">
        <v>0.55334399999999995</v>
      </c>
      <c r="AR22" s="704">
        <f t="shared" si="18"/>
        <v>10093</v>
      </c>
      <c r="AS22" s="705">
        <f t="shared" si="19"/>
        <v>0</v>
      </c>
      <c r="AU22" s="706">
        <f t="shared" si="20"/>
        <v>0</v>
      </c>
      <c r="AV22" s="707">
        <f t="shared" si="0"/>
        <v>41284.519999999997</v>
      </c>
      <c r="AX22" s="201">
        <f t="shared" si="23"/>
        <v>25.09</v>
      </c>
    </row>
    <row r="23" spans="1:50" ht="24" x14ac:dyDescent="0.25">
      <c r="A23" s="12" t="s">
        <v>625</v>
      </c>
      <c r="B23" s="692">
        <f t="shared" si="1"/>
        <v>258312</v>
      </c>
      <c r="C23" s="692">
        <f t="shared" si="2"/>
        <v>233228</v>
      </c>
      <c r="D23" s="692">
        <f t="shared" si="3"/>
        <v>25084</v>
      </c>
      <c r="E23" s="692">
        <f t="shared" si="4"/>
        <v>218032</v>
      </c>
      <c r="F23" s="692">
        <f t="shared" si="5"/>
        <v>192948</v>
      </c>
      <c r="G23" s="692">
        <f t="shared" si="6"/>
        <v>25084</v>
      </c>
      <c r="H23" s="1155">
        <v>35</v>
      </c>
      <c r="I23" s="1155">
        <v>5</v>
      </c>
      <c r="J23" s="1165">
        <v>10</v>
      </c>
      <c r="K23" s="694">
        <f t="shared" si="24"/>
        <v>50</v>
      </c>
      <c r="L23" s="675">
        <v>18</v>
      </c>
      <c r="M23" s="693">
        <v>14449</v>
      </c>
      <c r="N23" s="646">
        <v>1.01525</v>
      </c>
      <c r="O23" s="694">
        <f t="shared" si="7"/>
        <v>14669</v>
      </c>
      <c r="P23" s="677">
        <v>1.302</v>
      </c>
      <c r="Q23" s="695">
        <v>1.9450000000000001</v>
      </c>
      <c r="R23" s="695">
        <v>1.01</v>
      </c>
      <c r="S23" s="675">
        <v>12</v>
      </c>
      <c r="T23" s="1155">
        <v>10</v>
      </c>
      <c r="U23" s="506">
        <v>86.37</v>
      </c>
      <c r="V23" s="506">
        <v>6</v>
      </c>
      <c r="W23" s="508">
        <f t="shared" si="8"/>
        <v>26.09</v>
      </c>
      <c r="X23" s="506">
        <v>54.28</v>
      </c>
      <c r="Y23" s="506">
        <v>47.22</v>
      </c>
      <c r="Z23" s="696">
        <f t="shared" si="9"/>
        <v>1754111</v>
      </c>
      <c r="AA23" s="696">
        <f t="shared" si="10"/>
        <v>262262</v>
      </c>
      <c r="AB23" s="693">
        <v>46206</v>
      </c>
      <c r="AC23" s="696">
        <f t="shared" si="11"/>
        <v>308442</v>
      </c>
      <c r="AD23" s="693">
        <v>16242</v>
      </c>
      <c r="AE23" s="696">
        <f t="shared" si="12"/>
        <v>557245</v>
      </c>
      <c r="AF23" s="508">
        <f t="shared" si="13"/>
        <v>1.1299999999999999</v>
      </c>
      <c r="AG23" s="508">
        <f t="shared" si="14"/>
        <v>1.33</v>
      </c>
      <c r="AH23" s="679">
        <v>1</v>
      </c>
      <c r="AI23" s="679">
        <v>1</v>
      </c>
      <c r="AJ23" s="697">
        <f t="shared" si="15"/>
        <v>1.1599999999999999</v>
      </c>
      <c r="AK23" s="698">
        <v>1</v>
      </c>
      <c r="AL23" s="699">
        <f t="shared" si="25"/>
        <v>1.16164</v>
      </c>
      <c r="AM23" s="698">
        <v>1</v>
      </c>
      <c r="AN23" s="700">
        <f t="shared" si="16"/>
        <v>28531.21</v>
      </c>
      <c r="AO23" s="701">
        <v>45304.5</v>
      </c>
      <c r="AP23" s="702">
        <f t="shared" si="17"/>
        <v>16773.3</v>
      </c>
      <c r="AQ23" s="703">
        <v>0.55334399999999995</v>
      </c>
      <c r="AR23" s="704">
        <f t="shared" si="18"/>
        <v>9281</v>
      </c>
      <c r="AS23" s="705">
        <f t="shared" si="19"/>
        <v>40280</v>
      </c>
      <c r="AU23" s="706">
        <f t="shared" si="20"/>
        <v>5</v>
      </c>
      <c r="AV23" s="707">
        <f t="shared" si="0"/>
        <v>43522.16</v>
      </c>
      <c r="AX23" s="201">
        <f t="shared" si="23"/>
        <v>64.650000000000006</v>
      </c>
    </row>
    <row r="24" spans="1:50" ht="36" hidden="1" x14ac:dyDescent="0.25">
      <c r="A24" s="92" t="s">
        <v>639</v>
      </c>
      <c r="B24" s="692">
        <f t="shared" si="1"/>
        <v>0</v>
      </c>
      <c r="C24" s="692">
        <f t="shared" si="2"/>
        <v>0</v>
      </c>
      <c r="D24" s="692">
        <f t="shared" si="3"/>
        <v>0</v>
      </c>
      <c r="E24" s="692">
        <f t="shared" si="4"/>
        <v>0</v>
      </c>
      <c r="F24" s="692">
        <f t="shared" si="5"/>
        <v>0</v>
      </c>
      <c r="G24" s="692">
        <f t="shared" si="6"/>
        <v>0</v>
      </c>
      <c r="H24" s="1174">
        <v>0</v>
      </c>
      <c r="I24" s="1174">
        <v>0</v>
      </c>
      <c r="J24" s="1154">
        <v>0</v>
      </c>
      <c r="K24" s="694">
        <f t="shared" si="24"/>
        <v>0</v>
      </c>
      <c r="L24" s="675">
        <v>18</v>
      </c>
      <c r="M24" s="693">
        <v>14449</v>
      </c>
      <c r="N24" s="646">
        <v>1.01525</v>
      </c>
      <c r="O24" s="694">
        <f t="shared" si="7"/>
        <v>14669</v>
      </c>
      <c r="P24" s="677">
        <v>1.302</v>
      </c>
      <c r="Q24" s="678">
        <v>1.9550000000000001</v>
      </c>
      <c r="R24" s="695">
        <v>1.01</v>
      </c>
      <c r="S24" s="675">
        <v>12</v>
      </c>
      <c r="T24" s="1155">
        <v>1</v>
      </c>
      <c r="U24" s="506">
        <v>5.34</v>
      </c>
      <c r="V24" s="506">
        <v>0</v>
      </c>
      <c r="W24" s="508">
        <f t="shared" si="8"/>
        <v>0</v>
      </c>
      <c r="X24" s="506">
        <v>5.34</v>
      </c>
      <c r="Y24" s="506">
        <v>2.78</v>
      </c>
      <c r="Z24" s="696">
        <f t="shared" si="9"/>
        <v>103801</v>
      </c>
      <c r="AA24" s="696">
        <f t="shared" si="10"/>
        <v>95587</v>
      </c>
      <c r="AB24" s="693">
        <v>46206</v>
      </c>
      <c r="AC24" s="696">
        <f t="shared" si="11"/>
        <v>12338</v>
      </c>
      <c r="AD24" s="693">
        <v>16242</v>
      </c>
      <c r="AE24" s="696">
        <f t="shared" si="12"/>
        <v>0</v>
      </c>
      <c r="AF24" s="508">
        <f t="shared" si="13"/>
        <v>1.48</v>
      </c>
      <c r="AG24" s="508">
        <f t="shared" si="14"/>
        <v>1.1100000000000001</v>
      </c>
      <c r="AH24" s="679">
        <v>1</v>
      </c>
      <c r="AI24" s="679">
        <v>1</v>
      </c>
      <c r="AJ24" s="697">
        <f t="shared" si="15"/>
        <v>1.1599999999999999</v>
      </c>
      <c r="AK24" s="698">
        <v>1</v>
      </c>
      <c r="AL24" s="699">
        <f t="shared" si="25"/>
        <v>1.16164</v>
      </c>
      <c r="AM24" s="698">
        <v>1</v>
      </c>
      <c r="AN24" s="700">
        <f t="shared" si="16"/>
        <v>28677.9</v>
      </c>
      <c r="AO24" s="701"/>
      <c r="AP24" s="702">
        <f t="shared" si="17"/>
        <v>-28677.9</v>
      </c>
      <c r="AQ24" s="703">
        <v>0.55334399999999995</v>
      </c>
      <c r="AR24" s="704">
        <f t="shared" si="18"/>
        <v>-15869</v>
      </c>
      <c r="AS24" s="705">
        <f t="shared" si="19"/>
        <v>0</v>
      </c>
      <c r="AU24" s="706">
        <f t="shared" si="20"/>
        <v>0</v>
      </c>
      <c r="AV24" s="707">
        <f t="shared" si="0"/>
        <v>43745.93</v>
      </c>
      <c r="AX24" s="201">
        <f>247*U24/1/T24</f>
        <v>1318.98</v>
      </c>
    </row>
    <row r="25" spans="1:50" x14ac:dyDescent="0.25">
      <c r="A25" s="12" t="s">
        <v>626</v>
      </c>
      <c r="B25" s="692">
        <f t="shared" ref="B25:B37" si="26">C25+D25</f>
        <v>1001434</v>
      </c>
      <c r="C25" s="692">
        <f t="shared" ref="C25:C37" si="27">F25+AS25</f>
        <v>794100</v>
      </c>
      <c r="D25" s="692">
        <f t="shared" ref="D25:D37" si="28">G25</f>
        <v>207334</v>
      </c>
      <c r="E25" s="692">
        <f t="shared" ref="E25:E37" si="29">ROUND(K25/L25*O25*P25*Q25*R25*S25/T25*AF25*AG25*AH25*AI25*AJ25,0)</f>
        <v>1589560</v>
      </c>
      <c r="F25" s="692">
        <f t="shared" ref="F25:F37" si="30">ROUND(K25/L25*O25*P25*Q25*S25/T25*AG25*R25*AJ25*AH25*AI25,0)</f>
        <v>1382226</v>
      </c>
      <c r="G25" s="692">
        <f t="shared" ref="G25:G37" si="31">E25-F25</f>
        <v>207334</v>
      </c>
      <c r="H25" s="1155">
        <v>35</v>
      </c>
      <c r="I25" s="1155">
        <v>0</v>
      </c>
      <c r="J25" s="1165">
        <v>10</v>
      </c>
      <c r="K25" s="694">
        <f t="shared" si="24"/>
        <v>45</v>
      </c>
      <c r="L25" s="675">
        <v>18</v>
      </c>
      <c r="M25" s="693">
        <v>14449</v>
      </c>
      <c r="N25" s="646">
        <v>1.01525</v>
      </c>
      <c r="O25" s="694">
        <f t="shared" ref="O25:O37" si="32">M25*N25</f>
        <v>14669</v>
      </c>
      <c r="P25" s="677">
        <v>1.302</v>
      </c>
      <c r="Q25" s="678">
        <v>1.855</v>
      </c>
      <c r="R25" s="695">
        <v>1.01</v>
      </c>
      <c r="S25" s="675">
        <v>12</v>
      </c>
      <c r="T25" s="1155">
        <v>1</v>
      </c>
      <c r="U25" s="506">
        <v>3.28</v>
      </c>
      <c r="V25" s="506">
        <v>0</v>
      </c>
      <c r="W25" s="508">
        <f t="shared" si="8"/>
        <v>0</v>
      </c>
      <c r="X25" s="506">
        <v>3.28</v>
      </c>
      <c r="Y25" s="506">
        <v>2.78</v>
      </c>
      <c r="Z25" s="696">
        <f t="shared" ref="Z25:Z37" si="33">O25*P25*Q25*Y25</f>
        <v>98492</v>
      </c>
      <c r="AA25" s="696">
        <f t="shared" ref="AA25:AA37" si="34">Z25/Y25*(X25-Y25)</f>
        <v>17714</v>
      </c>
      <c r="AB25" s="693">
        <v>46206</v>
      </c>
      <c r="AC25" s="696">
        <f t="shared" ref="AC25:AC37" si="35">(AB25+AB25*(V25-1)*0.8)* 1.01*1.302*N25</f>
        <v>12338</v>
      </c>
      <c r="AD25" s="693">
        <v>16242</v>
      </c>
      <c r="AE25" s="696">
        <f t="shared" ref="AE25:AE37" si="36">W25*AD25*1.01*1.302</f>
        <v>0</v>
      </c>
      <c r="AF25" s="508">
        <f t="shared" ref="AF25:AF37" si="37">AA25/(Z25+AA25)+1</f>
        <v>1.1499999999999999</v>
      </c>
      <c r="AG25" s="508">
        <f t="shared" ref="AG25:AG37" si="38">(AC25+AE25)/(Z25+AC25+AE25)+1</f>
        <v>1.1100000000000001</v>
      </c>
      <c r="AH25" s="679">
        <v>1</v>
      </c>
      <c r="AI25" s="679">
        <v>1</v>
      </c>
      <c r="AJ25" s="697">
        <f t="shared" ref="AJ25:AJ37" si="39">ROUND(AK25*AL25*AM25,2)</f>
        <v>1.1599999999999999</v>
      </c>
      <c r="AK25" s="698">
        <v>1</v>
      </c>
      <c r="AL25" s="699">
        <f t="shared" si="25"/>
        <v>1.16164</v>
      </c>
      <c r="AM25" s="698">
        <v>1</v>
      </c>
      <c r="AN25" s="700">
        <f t="shared" ref="AN25:AN37" si="40">O25*Q25</f>
        <v>27211</v>
      </c>
      <c r="AO25" s="701"/>
      <c r="AP25" s="702">
        <f t="shared" ref="AP25:AP37" si="41">(AO25-O25*Q25)</f>
        <v>-27211</v>
      </c>
      <c r="AQ25" s="703">
        <v>0.55334399999999995</v>
      </c>
      <c r="AR25" s="704">
        <f t="shared" ref="AR25:AR37" si="42">AP25*AQ25</f>
        <v>-15057</v>
      </c>
      <c r="AS25" s="705">
        <f t="shared" ref="AS25:AS37" si="43">ROUND(K25/L25*AR25*S25/T25*P25,0)</f>
        <v>-588126</v>
      </c>
      <c r="AU25" s="706">
        <f t="shared" ref="AU25:AU37" si="44">K25/T25</f>
        <v>45</v>
      </c>
      <c r="AV25" s="707">
        <f t="shared" ref="AV25:AV37" si="45">O25*P25*Q25*R25*AH25*AI25*AJ25</f>
        <v>41508.28</v>
      </c>
      <c r="AX25" s="201">
        <f>247*U25/1/T25</f>
        <v>810.16</v>
      </c>
    </row>
    <row r="26" spans="1:50" ht="24" x14ac:dyDescent="0.25">
      <c r="A26" s="12" t="s">
        <v>627</v>
      </c>
      <c r="B26" s="692">
        <f t="shared" si="26"/>
        <v>103325</v>
      </c>
      <c r="C26" s="692">
        <f t="shared" si="27"/>
        <v>93291</v>
      </c>
      <c r="D26" s="692">
        <f t="shared" si="28"/>
        <v>10034</v>
      </c>
      <c r="E26" s="692">
        <f t="shared" si="29"/>
        <v>87213</v>
      </c>
      <c r="F26" s="692">
        <f t="shared" si="30"/>
        <v>77179</v>
      </c>
      <c r="G26" s="692">
        <f t="shared" si="31"/>
        <v>10034</v>
      </c>
      <c r="H26" s="1155">
        <v>35</v>
      </c>
      <c r="I26" s="1155">
        <v>5</v>
      </c>
      <c r="J26" s="1165">
        <v>10</v>
      </c>
      <c r="K26" s="694">
        <f t="shared" si="24"/>
        <v>50</v>
      </c>
      <c r="L26" s="675">
        <v>18</v>
      </c>
      <c r="M26" s="693">
        <v>14449</v>
      </c>
      <c r="N26" s="646">
        <v>1.01525</v>
      </c>
      <c r="O26" s="694">
        <f t="shared" si="32"/>
        <v>14669</v>
      </c>
      <c r="P26" s="677">
        <v>1.302</v>
      </c>
      <c r="Q26" s="678">
        <v>1.9450000000000001</v>
      </c>
      <c r="R26" s="695">
        <v>1.01</v>
      </c>
      <c r="S26" s="675">
        <v>12</v>
      </c>
      <c r="T26" s="1155">
        <v>25</v>
      </c>
      <c r="U26" s="506">
        <v>86.37</v>
      </c>
      <c r="V26" s="506">
        <v>6</v>
      </c>
      <c r="W26" s="508">
        <f t="shared" si="8"/>
        <v>26.09</v>
      </c>
      <c r="X26" s="506">
        <v>54.28</v>
      </c>
      <c r="Y26" s="506">
        <v>47.22</v>
      </c>
      <c r="Z26" s="696">
        <f t="shared" si="33"/>
        <v>1754111</v>
      </c>
      <c r="AA26" s="696">
        <f t="shared" si="34"/>
        <v>262262</v>
      </c>
      <c r="AB26" s="693">
        <v>46206</v>
      </c>
      <c r="AC26" s="696">
        <f t="shared" si="35"/>
        <v>308442</v>
      </c>
      <c r="AD26" s="693">
        <v>16242</v>
      </c>
      <c r="AE26" s="696">
        <f t="shared" si="36"/>
        <v>557245</v>
      </c>
      <c r="AF26" s="508">
        <f t="shared" si="37"/>
        <v>1.1299999999999999</v>
      </c>
      <c r="AG26" s="508">
        <f t="shared" si="38"/>
        <v>1.33</v>
      </c>
      <c r="AH26" s="679">
        <v>1</v>
      </c>
      <c r="AI26" s="679">
        <v>1</v>
      </c>
      <c r="AJ26" s="697">
        <f t="shared" si="39"/>
        <v>1.1599999999999999</v>
      </c>
      <c r="AK26" s="698">
        <v>1</v>
      </c>
      <c r="AL26" s="699">
        <f t="shared" si="25"/>
        <v>1.16164</v>
      </c>
      <c r="AM26" s="698">
        <v>1</v>
      </c>
      <c r="AN26" s="700">
        <f t="shared" si="40"/>
        <v>28531.21</v>
      </c>
      <c r="AO26" s="701">
        <v>45304.5</v>
      </c>
      <c r="AP26" s="702">
        <f t="shared" si="41"/>
        <v>16773.3</v>
      </c>
      <c r="AQ26" s="703">
        <v>0.55334399999999995</v>
      </c>
      <c r="AR26" s="704">
        <f t="shared" si="42"/>
        <v>9281</v>
      </c>
      <c r="AS26" s="705">
        <f t="shared" si="43"/>
        <v>16112</v>
      </c>
      <c r="AU26" s="706">
        <f t="shared" si="44"/>
        <v>2</v>
      </c>
      <c r="AV26" s="707">
        <f t="shared" si="45"/>
        <v>43522.16</v>
      </c>
      <c r="AX26" s="201">
        <f t="shared" si="23"/>
        <v>25.86</v>
      </c>
    </row>
    <row r="27" spans="1:50" x14ac:dyDescent="0.25">
      <c r="A27" s="174" t="s">
        <v>608</v>
      </c>
      <c r="B27" s="692">
        <f t="shared" si="26"/>
        <v>59772</v>
      </c>
      <c r="C27" s="692">
        <f t="shared" si="27"/>
        <v>52357</v>
      </c>
      <c r="D27" s="692">
        <f t="shared" si="28"/>
        <v>7415</v>
      </c>
      <c r="E27" s="692">
        <f t="shared" si="29"/>
        <v>53759</v>
      </c>
      <c r="F27" s="692">
        <f t="shared" si="30"/>
        <v>46344</v>
      </c>
      <c r="G27" s="692">
        <f t="shared" si="31"/>
        <v>7415</v>
      </c>
      <c r="H27" s="1219">
        <f>(23*1+24*1+26*3)/5</f>
        <v>25</v>
      </c>
      <c r="I27" s="1155">
        <v>0</v>
      </c>
      <c r="J27" s="1166">
        <v>0</v>
      </c>
      <c r="K27" s="694">
        <f t="shared" si="24"/>
        <v>25</v>
      </c>
      <c r="L27" s="675">
        <v>18</v>
      </c>
      <c r="M27" s="693">
        <v>14449</v>
      </c>
      <c r="N27" s="646">
        <v>1.01525</v>
      </c>
      <c r="O27" s="694">
        <f t="shared" si="32"/>
        <v>14669</v>
      </c>
      <c r="P27" s="677">
        <v>1.302</v>
      </c>
      <c r="Q27" s="678">
        <v>2.2349999999999999</v>
      </c>
      <c r="R27" s="695">
        <v>1.01</v>
      </c>
      <c r="S27" s="675">
        <v>12</v>
      </c>
      <c r="T27" s="1155">
        <v>25</v>
      </c>
      <c r="U27" s="506">
        <v>51.72</v>
      </c>
      <c r="V27" s="506">
        <v>5</v>
      </c>
      <c r="W27" s="508">
        <f t="shared" si="8"/>
        <v>18.61</v>
      </c>
      <c r="X27" s="506">
        <v>28.11</v>
      </c>
      <c r="Y27" s="506">
        <v>23.61</v>
      </c>
      <c r="Z27" s="696">
        <f t="shared" si="33"/>
        <v>1007825</v>
      </c>
      <c r="AA27" s="696">
        <f t="shared" si="34"/>
        <v>192089</v>
      </c>
      <c r="AB27" s="693">
        <v>46206</v>
      </c>
      <c r="AC27" s="696">
        <f t="shared" si="35"/>
        <v>259091</v>
      </c>
      <c r="AD27" s="693">
        <v>16242</v>
      </c>
      <c r="AE27" s="696">
        <f t="shared" si="36"/>
        <v>397483</v>
      </c>
      <c r="AF27" s="508">
        <f t="shared" si="37"/>
        <v>1.1599999999999999</v>
      </c>
      <c r="AG27" s="508">
        <f t="shared" si="38"/>
        <v>1.39</v>
      </c>
      <c r="AH27" s="679">
        <v>1</v>
      </c>
      <c r="AI27" s="679">
        <v>1</v>
      </c>
      <c r="AJ27" s="697">
        <f t="shared" si="39"/>
        <v>1.1599999999999999</v>
      </c>
      <c r="AK27" s="698">
        <v>1</v>
      </c>
      <c r="AL27" s="699">
        <f t="shared" si="25"/>
        <v>1.16164</v>
      </c>
      <c r="AM27" s="698">
        <v>1</v>
      </c>
      <c r="AN27" s="700">
        <f t="shared" si="40"/>
        <v>32785.22</v>
      </c>
      <c r="AO27" s="701">
        <v>45304.5</v>
      </c>
      <c r="AP27" s="702">
        <f t="shared" si="41"/>
        <v>12519.29</v>
      </c>
      <c r="AQ27" s="703">
        <v>0.55334399999999995</v>
      </c>
      <c r="AR27" s="704">
        <f t="shared" si="42"/>
        <v>6927</v>
      </c>
      <c r="AS27" s="705">
        <f t="shared" si="43"/>
        <v>6013</v>
      </c>
      <c r="AU27" s="706">
        <f t="shared" si="44"/>
        <v>1</v>
      </c>
      <c r="AV27" s="707">
        <f t="shared" si="45"/>
        <v>50011.33</v>
      </c>
      <c r="AX27" s="201">
        <f>247*U27/19/T27</f>
        <v>26.89</v>
      </c>
    </row>
    <row r="28" spans="1:50" x14ac:dyDescent="0.25">
      <c r="A28" s="174" t="s">
        <v>611</v>
      </c>
      <c r="B28" s="692">
        <f t="shared" si="26"/>
        <v>40547</v>
      </c>
      <c r="C28" s="692">
        <f t="shared" si="27"/>
        <v>32999</v>
      </c>
      <c r="D28" s="692">
        <f t="shared" si="28"/>
        <v>7548</v>
      </c>
      <c r="E28" s="692">
        <f t="shared" si="29"/>
        <v>37744</v>
      </c>
      <c r="F28" s="692">
        <f t="shared" si="30"/>
        <v>30196</v>
      </c>
      <c r="G28" s="692">
        <f t="shared" si="31"/>
        <v>7548</v>
      </c>
      <c r="H28" s="1155">
        <v>14</v>
      </c>
      <c r="I28" s="1155">
        <v>0</v>
      </c>
      <c r="J28" s="1166">
        <v>0</v>
      </c>
      <c r="K28" s="694">
        <f t="shared" si="24"/>
        <v>14</v>
      </c>
      <c r="L28" s="675">
        <v>18</v>
      </c>
      <c r="M28" s="693">
        <v>14449</v>
      </c>
      <c r="N28" s="646">
        <v>1.01525</v>
      </c>
      <c r="O28" s="694">
        <f t="shared" si="32"/>
        <v>14669</v>
      </c>
      <c r="P28" s="677">
        <v>1.302</v>
      </c>
      <c r="Q28" s="678">
        <v>2.3780000000000001</v>
      </c>
      <c r="R28" s="695">
        <v>1.01</v>
      </c>
      <c r="S28" s="675">
        <v>12</v>
      </c>
      <c r="T28" s="1155">
        <v>25</v>
      </c>
      <c r="U28" s="506">
        <v>40.83</v>
      </c>
      <c r="V28" s="506">
        <v>5</v>
      </c>
      <c r="W28" s="508">
        <f t="shared" si="8"/>
        <v>18.11</v>
      </c>
      <c r="X28" s="506">
        <v>17.72</v>
      </c>
      <c r="Y28" s="506">
        <v>13.22</v>
      </c>
      <c r="Z28" s="696">
        <f t="shared" si="33"/>
        <v>600420</v>
      </c>
      <c r="AA28" s="696">
        <f t="shared" si="34"/>
        <v>204379</v>
      </c>
      <c r="AB28" s="693">
        <v>46206</v>
      </c>
      <c r="AC28" s="696">
        <f t="shared" si="35"/>
        <v>259091</v>
      </c>
      <c r="AD28" s="693">
        <v>16242</v>
      </c>
      <c r="AE28" s="696">
        <f t="shared" si="36"/>
        <v>386803</v>
      </c>
      <c r="AF28" s="508">
        <f t="shared" si="37"/>
        <v>1.25</v>
      </c>
      <c r="AG28" s="508">
        <f t="shared" si="38"/>
        <v>1.52</v>
      </c>
      <c r="AH28" s="679">
        <v>1</v>
      </c>
      <c r="AI28" s="679">
        <v>1</v>
      </c>
      <c r="AJ28" s="697">
        <f t="shared" si="39"/>
        <v>1.1599999999999999</v>
      </c>
      <c r="AK28" s="698">
        <v>1</v>
      </c>
      <c r="AL28" s="699">
        <f t="shared" si="25"/>
        <v>1.16164</v>
      </c>
      <c r="AM28" s="698">
        <v>1</v>
      </c>
      <c r="AN28" s="700">
        <f t="shared" si="40"/>
        <v>34882.879999999997</v>
      </c>
      <c r="AO28" s="701">
        <v>45304.5</v>
      </c>
      <c r="AP28" s="702">
        <f t="shared" si="41"/>
        <v>10421.620000000001</v>
      </c>
      <c r="AQ28" s="703">
        <v>0.55334399999999995</v>
      </c>
      <c r="AR28" s="704">
        <f t="shared" si="42"/>
        <v>5767</v>
      </c>
      <c r="AS28" s="705">
        <f t="shared" si="43"/>
        <v>2803</v>
      </c>
      <c r="AU28" s="706">
        <f t="shared" si="44"/>
        <v>0.56000000000000005</v>
      </c>
      <c r="AV28" s="707">
        <f t="shared" si="45"/>
        <v>53211.16</v>
      </c>
      <c r="AX28" s="201">
        <f>247*U28/19/T28</f>
        <v>21.23</v>
      </c>
    </row>
    <row r="29" spans="1:50" ht="24" x14ac:dyDescent="0.25">
      <c r="A29" s="96" t="s">
        <v>620</v>
      </c>
      <c r="B29" s="696"/>
      <c r="C29" s="696"/>
      <c r="D29" s="696"/>
      <c r="E29" s="696"/>
      <c r="F29" s="696"/>
      <c r="G29" s="696"/>
      <c r="H29" s="1155"/>
      <c r="I29" s="1155"/>
      <c r="J29" s="1166"/>
      <c r="K29" s="1166"/>
      <c r="L29" s="1155"/>
      <c r="M29" s="1155"/>
      <c r="N29" s="676"/>
      <c r="O29" s="696"/>
      <c r="P29" s="678"/>
      <c r="Q29" s="678"/>
      <c r="R29" s="695"/>
      <c r="S29" s="1155"/>
      <c r="T29" s="1155"/>
      <c r="U29" s="680"/>
      <c r="V29" s="680"/>
      <c r="W29" s="715"/>
      <c r="X29" s="680"/>
      <c r="Y29" s="680"/>
      <c r="Z29" s="696"/>
      <c r="AA29" s="696"/>
      <c r="AB29" s="1155"/>
      <c r="AC29" s="696"/>
      <c r="AD29" s="1155"/>
      <c r="AE29" s="696"/>
      <c r="AF29" s="715"/>
      <c r="AG29" s="715"/>
      <c r="AH29" s="1156"/>
      <c r="AI29" s="1156"/>
      <c r="AJ29" s="1157"/>
      <c r="AK29" s="676"/>
      <c r="AL29" s="1158"/>
      <c r="AM29" s="676"/>
      <c r="AN29" s="700"/>
      <c r="AO29" s="1159"/>
      <c r="AP29" s="700"/>
      <c r="AQ29" s="1160"/>
      <c r="AR29" s="1161"/>
      <c r="AS29" s="1162"/>
      <c r="AT29" s="1163"/>
      <c r="AU29" s="1164"/>
      <c r="AV29" s="707">
        <f t="shared" si="45"/>
        <v>0</v>
      </c>
      <c r="AX29" s="201"/>
    </row>
    <row r="30" spans="1:50" x14ac:dyDescent="0.25">
      <c r="A30" s="12" t="s">
        <v>609</v>
      </c>
      <c r="B30" s="692">
        <f t="shared" si="26"/>
        <v>155299</v>
      </c>
      <c r="C30" s="692">
        <f t="shared" si="27"/>
        <v>121488</v>
      </c>
      <c r="D30" s="692">
        <f t="shared" si="28"/>
        <v>33811</v>
      </c>
      <c r="E30" s="692">
        <f t="shared" si="29"/>
        <v>136269</v>
      </c>
      <c r="F30" s="692">
        <f t="shared" si="30"/>
        <v>102458</v>
      </c>
      <c r="G30" s="692">
        <f t="shared" si="31"/>
        <v>33811</v>
      </c>
      <c r="H30" s="1155">
        <v>37</v>
      </c>
      <c r="I30" s="1155">
        <v>7</v>
      </c>
      <c r="J30" s="1166">
        <v>10</v>
      </c>
      <c r="K30" s="694">
        <f t="shared" ref="K30:K37" si="46">H30+I30+J30</f>
        <v>54</v>
      </c>
      <c r="L30" s="675">
        <v>18</v>
      </c>
      <c r="M30" s="693">
        <v>14449</v>
      </c>
      <c r="N30" s="646">
        <v>1.01525</v>
      </c>
      <c r="O30" s="694">
        <f t="shared" si="32"/>
        <v>14669</v>
      </c>
      <c r="P30" s="677">
        <v>1.302</v>
      </c>
      <c r="Q30" s="678">
        <v>1.8380000000000001</v>
      </c>
      <c r="R30" s="695">
        <v>1.01</v>
      </c>
      <c r="S30" s="675">
        <v>12</v>
      </c>
      <c r="T30" s="1155">
        <v>25</v>
      </c>
      <c r="U30" s="506">
        <v>45.59</v>
      </c>
      <c r="V30" s="506">
        <v>6</v>
      </c>
      <c r="W30" s="508">
        <f t="shared" si="8"/>
        <v>26.09</v>
      </c>
      <c r="X30" s="506">
        <v>13.5</v>
      </c>
      <c r="Y30" s="506">
        <v>9</v>
      </c>
      <c r="Z30" s="696">
        <f t="shared" si="33"/>
        <v>315936</v>
      </c>
      <c r="AA30" s="696">
        <f t="shared" si="34"/>
        <v>157968</v>
      </c>
      <c r="AB30" s="693">
        <v>46206</v>
      </c>
      <c r="AC30" s="696">
        <f t="shared" si="35"/>
        <v>308442</v>
      </c>
      <c r="AD30" s="693">
        <v>16242</v>
      </c>
      <c r="AE30" s="696">
        <f t="shared" si="36"/>
        <v>557245</v>
      </c>
      <c r="AF30" s="508">
        <f t="shared" si="37"/>
        <v>1.33</v>
      </c>
      <c r="AG30" s="508">
        <f t="shared" si="38"/>
        <v>1.73</v>
      </c>
      <c r="AH30" s="679">
        <v>1</v>
      </c>
      <c r="AI30" s="679">
        <v>1</v>
      </c>
      <c r="AJ30" s="697">
        <f t="shared" si="39"/>
        <v>1.1599999999999999</v>
      </c>
      <c r="AK30" s="698">
        <v>1</v>
      </c>
      <c r="AL30" s="699">
        <f t="shared" ref="AL30:AL37" si="47">1+(56+3)/365</f>
        <v>1.16164</v>
      </c>
      <c r="AM30" s="698">
        <v>1</v>
      </c>
      <c r="AN30" s="700">
        <f t="shared" si="40"/>
        <v>26961.62</v>
      </c>
      <c r="AO30" s="701">
        <v>45304.5</v>
      </c>
      <c r="AP30" s="702">
        <f t="shared" si="41"/>
        <v>18342.88</v>
      </c>
      <c r="AQ30" s="703">
        <v>0.55334399999999995</v>
      </c>
      <c r="AR30" s="704">
        <f t="shared" si="42"/>
        <v>10150</v>
      </c>
      <c r="AS30" s="705">
        <f t="shared" si="43"/>
        <v>19030</v>
      </c>
      <c r="AU30" s="706">
        <f t="shared" si="44"/>
        <v>2.16</v>
      </c>
      <c r="AV30" s="707">
        <f t="shared" si="45"/>
        <v>41127.879999999997</v>
      </c>
      <c r="AX30" s="201">
        <f t="shared" si="23"/>
        <v>13.65</v>
      </c>
    </row>
    <row r="31" spans="1:50" ht="36" hidden="1" x14ac:dyDescent="0.25">
      <c r="A31" s="92" t="s">
        <v>610</v>
      </c>
      <c r="B31" s="692">
        <f t="shared" si="26"/>
        <v>0</v>
      </c>
      <c r="C31" s="692">
        <f t="shared" si="27"/>
        <v>0</v>
      </c>
      <c r="D31" s="692">
        <f t="shared" si="28"/>
        <v>0</v>
      </c>
      <c r="E31" s="692">
        <f t="shared" si="29"/>
        <v>0</v>
      </c>
      <c r="F31" s="692">
        <f t="shared" si="30"/>
        <v>0</v>
      </c>
      <c r="G31" s="692">
        <f t="shared" si="31"/>
        <v>0</v>
      </c>
      <c r="H31" s="1173">
        <v>0</v>
      </c>
      <c r="I31" s="1173">
        <v>0</v>
      </c>
      <c r="J31" s="1173">
        <v>0</v>
      </c>
      <c r="K31" s="694">
        <f t="shared" si="46"/>
        <v>0</v>
      </c>
      <c r="L31" s="675">
        <v>18</v>
      </c>
      <c r="M31" s="693">
        <v>14449</v>
      </c>
      <c r="N31" s="646">
        <v>1.01525</v>
      </c>
      <c r="O31" s="694">
        <f t="shared" si="32"/>
        <v>14669</v>
      </c>
      <c r="P31" s="677">
        <v>1.302</v>
      </c>
      <c r="Q31" s="678">
        <v>1.8380000000000001</v>
      </c>
      <c r="R31" s="695">
        <v>1.01</v>
      </c>
      <c r="S31" s="675">
        <v>12</v>
      </c>
      <c r="T31" s="1155">
        <v>25</v>
      </c>
      <c r="U31" s="506">
        <v>45.59</v>
      </c>
      <c r="V31" s="506">
        <v>6</v>
      </c>
      <c r="W31" s="508">
        <f t="shared" si="8"/>
        <v>26.09</v>
      </c>
      <c r="X31" s="506">
        <v>13.5</v>
      </c>
      <c r="Y31" s="506">
        <v>9</v>
      </c>
      <c r="Z31" s="696">
        <f t="shared" si="33"/>
        <v>315936</v>
      </c>
      <c r="AA31" s="696">
        <f t="shared" si="34"/>
        <v>157968</v>
      </c>
      <c r="AB31" s="693">
        <v>46206</v>
      </c>
      <c r="AC31" s="696">
        <f t="shared" si="35"/>
        <v>308442</v>
      </c>
      <c r="AD31" s="693">
        <v>16242</v>
      </c>
      <c r="AE31" s="696">
        <f t="shared" si="36"/>
        <v>557245</v>
      </c>
      <c r="AF31" s="508">
        <f t="shared" si="37"/>
        <v>1.33</v>
      </c>
      <c r="AG31" s="508">
        <f t="shared" si="38"/>
        <v>1.73</v>
      </c>
      <c r="AH31" s="679">
        <v>1</v>
      </c>
      <c r="AI31" s="679">
        <v>1</v>
      </c>
      <c r="AJ31" s="697">
        <f t="shared" si="39"/>
        <v>1.1599999999999999</v>
      </c>
      <c r="AK31" s="698">
        <v>1</v>
      </c>
      <c r="AL31" s="699">
        <f t="shared" si="47"/>
        <v>1.16164</v>
      </c>
      <c r="AM31" s="698">
        <v>1</v>
      </c>
      <c r="AN31" s="700">
        <f t="shared" si="40"/>
        <v>26961.62</v>
      </c>
      <c r="AO31" s="701">
        <v>45304.5</v>
      </c>
      <c r="AP31" s="702">
        <f t="shared" si="41"/>
        <v>18342.88</v>
      </c>
      <c r="AQ31" s="703">
        <v>0.55334399999999995</v>
      </c>
      <c r="AR31" s="704">
        <f t="shared" si="42"/>
        <v>10150</v>
      </c>
      <c r="AS31" s="705">
        <f t="shared" si="43"/>
        <v>0</v>
      </c>
      <c r="AU31" s="706">
        <f t="shared" si="44"/>
        <v>0</v>
      </c>
      <c r="AV31" s="707">
        <f t="shared" si="45"/>
        <v>41127.879999999997</v>
      </c>
      <c r="AX31" s="201">
        <f t="shared" si="23"/>
        <v>13.65</v>
      </c>
    </row>
    <row r="32" spans="1:50" ht="24" hidden="1" x14ac:dyDescent="0.25">
      <c r="A32" s="92" t="s">
        <v>625</v>
      </c>
      <c r="B32" s="692">
        <f t="shared" si="26"/>
        <v>0</v>
      </c>
      <c r="C32" s="692">
        <f t="shared" si="27"/>
        <v>0</v>
      </c>
      <c r="D32" s="692">
        <f t="shared" si="28"/>
        <v>0</v>
      </c>
      <c r="E32" s="692">
        <f t="shared" si="29"/>
        <v>0</v>
      </c>
      <c r="F32" s="692">
        <f t="shared" si="30"/>
        <v>0</v>
      </c>
      <c r="G32" s="692">
        <f t="shared" si="31"/>
        <v>0</v>
      </c>
      <c r="H32" s="1173">
        <v>0</v>
      </c>
      <c r="I32" s="1173">
        <v>0</v>
      </c>
      <c r="J32" s="1173">
        <v>0</v>
      </c>
      <c r="K32" s="694">
        <f t="shared" si="46"/>
        <v>0</v>
      </c>
      <c r="L32" s="675">
        <v>18</v>
      </c>
      <c r="M32" s="693">
        <v>14449</v>
      </c>
      <c r="N32" s="646">
        <v>1.01525</v>
      </c>
      <c r="O32" s="694">
        <f t="shared" si="32"/>
        <v>14669</v>
      </c>
      <c r="P32" s="677">
        <v>1.302</v>
      </c>
      <c r="Q32" s="678">
        <v>1.9379999999999999</v>
      </c>
      <c r="R32" s="695">
        <v>1.01</v>
      </c>
      <c r="S32" s="675">
        <v>12</v>
      </c>
      <c r="T32" s="1155">
        <v>10</v>
      </c>
      <c r="U32" s="506">
        <v>48.15</v>
      </c>
      <c r="V32" s="506">
        <v>6</v>
      </c>
      <c r="W32" s="508">
        <f t="shared" si="8"/>
        <v>26.09</v>
      </c>
      <c r="X32" s="506">
        <v>16.059999999999999</v>
      </c>
      <c r="Y32" s="506">
        <v>9</v>
      </c>
      <c r="Z32" s="696">
        <f t="shared" si="33"/>
        <v>333125</v>
      </c>
      <c r="AA32" s="696">
        <f t="shared" si="34"/>
        <v>261318</v>
      </c>
      <c r="AB32" s="693">
        <v>46206</v>
      </c>
      <c r="AC32" s="696">
        <f t="shared" si="35"/>
        <v>308442</v>
      </c>
      <c r="AD32" s="693">
        <v>16242</v>
      </c>
      <c r="AE32" s="696">
        <f t="shared" si="36"/>
        <v>557245</v>
      </c>
      <c r="AF32" s="508">
        <f t="shared" si="37"/>
        <v>1.44</v>
      </c>
      <c r="AG32" s="508">
        <f t="shared" si="38"/>
        <v>1.72</v>
      </c>
      <c r="AH32" s="679">
        <v>1</v>
      </c>
      <c r="AI32" s="679">
        <v>1</v>
      </c>
      <c r="AJ32" s="697">
        <f t="shared" si="39"/>
        <v>1.1599999999999999</v>
      </c>
      <c r="AK32" s="698">
        <v>1</v>
      </c>
      <c r="AL32" s="699">
        <f t="shared" si="47"/>
        <v>1.16164</v>
      </c>
      <c r="AM32" s="698">
        <v>1</v>
      </c>
      <c r="AN32" s="700">
        <f t="shared" si="40"/>
        <v>28428.52</v>
      </c>
      <c r="AO32" s="701">
        <v>45304.5</v>
      </c>
      <c r="AP32" s="702">
        <f t="shared" si="41"/>
        <v>16875.98</v>
      </c>
      <c r="AQ32" s="703">
        <v>0.55334399999999995</v>
      </c>
      <c r="AR32" s="704">
        <f t="shared" si="42"/>
        <v>9338</v>
      </c>
      <c r="AS32" s="705">
        <f t="shared" si="43"/>
        <v>0</v>
      </c>
      <c r="AU32" s="706">
        <f t="shared" si="44"/>
        <v>0</v>
      </c>
      <c r="AV32" s="707">
        <f t="shared" si="45"/>
        <v>43365.53</v>
      </c>
      <c r="AX32" s="201">
        <f t="shared" si="23"/>
        <v>36.04</v>
      </c>
    </row>
    <row r="33" spans="1:50" ht="36" hidden="1" x14ac:dyDescent="0.25">
      <c r="A33" s="92" t="s">
        <v>639</v>
      </c>
      <c r="B33" s="692">
        <f t="shared" si="26"/>
        <v>0</v>
      </c>
      <c r="C33" s="692">
        <f t="shared" si="27"/>
        <v>0</v>
      </c>
      <c r="D33" s="692">
        <f t="shared" si="28"/>
        <v>0</v>
      </c>
      <c r="E33" s="692">
        <f t="shared" si="29"/>
        <v>0</v>
      </c>
      <c r="F33" s="692">
        <f t="shared" si="30"/>
        <v>0</v>
      </c>
      <c r="G33" s="692">
        <f t="shared" si="31"/>
        <v>0</v>
      </c>
      <c r="H33" s="1173">
        <v>0</v>
      </c>
      <c r="I33" s="1173">
        <v>0</v>
      </c>
      <c r="J33" s="1173">
        <v>0</v>
      </c>
      <c r="K33" s="694">
        <f t="shared" si="46"/>
        <v>0</v>
      </c>
      <c r="L33" s="675">
        <v>18</v>
      </c>
      <c r="M33" s="693">
        <v>14449</v>
      </c>
      <c r="N33" s="646">
        <v>1.01525</v>
      </c>
      <c r="O33" s="694">
        <f t="shared" si="32"/>
        <v>14669</v>
      </c>
      <c r="P33" s="677">
        <v>1.302</v>
      </c>
      <c r="Q33" s="678">
        <v>1.9550000000000001</v>
      </c>
      <c r="R33" s="695">
        <v>1.01</v>
      </c>
      <c r="S33" s="675">
        <v>12</v>
      </c>
      <c r="T33" s="1155">
        <v>1</v>
      </c>
      <c r="U33" s="506">
        <v>5.56</v>
      </c>
      <c r="V33" s="506">
        <v>0</v>
      </c>
      <c r="W33" s="508">
        <f t="shared" si="8"/>
        <v>0</v>
      </c>
      <c r="X33" s="506">
        <v>5.56</v>
      </c>
      <c r="Y33" s="506">
        <v>3</v>
      </c>
      <c r="Z33" s="696">
        <f t="shared" si="33"/>
        <v>112016</v>
      </c>
      <c r="AA33" s="696">
        <f t="shared" si="34"/>
        <v>95587</v>
      </c>
      <c r="AB33" s="693">
        <v>46206</v>
      </c>
      <c r="AC33" s="696">
        <f t="shared" si="35"/>
        <v>12338</v>
      </c>
      <c r="AD33" s="693">
        <v>16242</v>
      </c>
      <c r="AE33" s="696">
        <f t="shared" si="36"/>
        <v>0</v>
      </c>
      <c r="AF33" s="508">
        <f t="shared" si="37"/>
        <v>1.46</v>
      </c>
      <c r="AG33" s="508">
        <f t="shared" si="38"/>
        <v>1.1000000000000001</v>
      </c>
      <c r="AH33" s="679">
        <v>1</v>
      </c>
      <c r="AI33" s="679">
        <v>1</v>
      </c>
      <c r="AJ33" s="697">
        <f t="shared" si="39"/>
        <v>1.1599999999999999</v>
      </c>
      <c r="AK33" s="698">
        <v>1</v>
      </c>
      <c r="AL33" s="699">
        <f t="shared" si="47"/>
        <v>1.16164</v>
      </c>
      <c r="AM33" s="698">
        <v>1</v>
      </c>
      <c r="AN33" s="700">
        <f t="shared" si="40"/>
        <v>28677.9</v>
      </c>
      <c r="AO33" s="701"/>
      <c r="AP33" s="702">
        <f t="shared" si="41"/>
        <v>-28677.9</v>
      </c>
      <c r="AQ33" s="703">
        <v>0.55334399999999995</v>
      </c>
      <c r="AR33" s="704">
        <f t="shared" si="42"/>
        <v>-15869</v>
      </c>
      <c r="AS33" s="705">
        <f t="shared" si="43"/>
        <v>0</v>
      </c>
      <c r="AU33" s="706">
        <f t="shared" si="44"/>
        <v>0</v>
      </c>
      <c r="AV33" s="707">
        <f t="shared" si="45"/>
        <v>43745.93</v>
      </c>
      <c r="AX33" s="201">
        <f>247*U33/1/T33</f>
        <v>1373.32</v>
      </c>
    </row>
    <row r="34" spans="1:50" x14ac:dyDescent="0.25">
      <c r="A34" s="12" t="s">
        <v>626</v>
      </c>
      <c r="B34" s="692">
        <f t="shared" si="26"/>
        <v>1016678</v>
      </c>
      <c r="C34" s="692">
        <f t="shared" si="27"/>
        <v>816387</v>
      </c>
      <c r="D34" s="692">
        <f t="shared" si="28"/>
        <v>200291</v>
      </c>
      <c r="E34" s="692">
        <f t="shared" si="29"/>
        <v>1630943</v>
      </c>
      <c r="F34" s="692">
        <f t="shared" si="30"/>
        <v>1430652</v>
      </c>
      <c r="G34" s="692">
        <f t="shared" si="31"/>
        <v>200291</v>
      </c>
      <c r="H34" s="1155">
        <v>37</v>
      </c>
      <c r="I34" s="1155">
        <v>0</v>
      </c>
      <c r="J34" s="1166">
        <v>10</v>
      </c>
      <c r="K34" s="694">
        <f t="shared" si="46"/>
        <v>47</v>
      </c>
      <c r="L34" s="675">
        <v>18</v>
      </c>
      <c r="M34" s="693">
        <v>14449</v>
      </c>
      <c r="N34" s="646">
        <v>1.01525</v>
      </c>
      <c r="O34" s="694">
        <f t="shared" si="32"/>
        <v>14669</v>
      </c>
      <c r="P34" s="677">
        <v>1.302</v>
      </c>
      <c r="Q34" s="678">
        <v>1.855</v>
      </c>
      <c r="R34" s="695">
        <v>1.01</v>
      </c>
      <c r="S34" s="675">
        <v>12</v>
      </c>
      <c r="T34" s="1155">
        <v>1</v>
      </c>
      <c r="U34" s="506">
        <v>3.5</v>
      </c>
      <c r="V34" s="506">
        <v>0</v>
      </c>
      <c r="W34" s="508">
        <f t="shared" si="8"/>
        <v>0</v>
      </c>
      <c r="X34" s="506">
        <v>3.5</v>
      </c>
      <c r="Y34" s="506">
        <v>3</v>
      </c>
      <c r="Z34" s="696">
        <f t="shared" si="33"/>
        <v>106286</v>
      </c>
      <c r="AA34" s="696">
        <f t="shared" si="34"/>
        <v>17714</v>
      </c>
      <c r="AB34" s="693">
        <v>46206</v>
      </c>
      <c r="AC34" s="696">
        <f t="shared" si="35"/>
        <v>12338</v>
      </c>
      <c r="AD34" s="693">
        <v>16242</v>
      </c>
      <c r="AE34" s="696">
        <f t="shared" si="36"/>
        <v>0</v>
      </c>
      <c r="AF34" s="508">
        <f t="shared" si="37"/>
        <v>1.1399999999999999</v>
      </c>
      <c r="AG34" s="508">
        <f t="shared" si="38"/>
        <v>1.1000000000000001</v>
      </c>
      <c r="AH34" s="679">
        <v>1</v>
      </c>
      <c r="AI34" s="679">
        <v>1</v>
      </c>
      <c r="AJ34" s="697">
        <f t="shared" si="39"/>
        <v>1.1599999999999999</v>
      </c>
      <c r="AK34" s="698">
        <v>1</v>
      </c>
      <c r="AL34" s="699">
        <f t="shared" si="47"/>
        <v>1.16164</v>
      </c>
      <c r="AM34" s="698">
        <v>1</v>
      </c>
      <c r="AN34" s="700">
        <f t="shared" si="40"/>
        <v>27211</v>
      </c>
      <c r="AO34" s="701"/>
      <c r="AP34" s="702">
        <f t="shared" si="41"/>
        <v>-27211</v>
      </c>
      <c r="AQ34" s="703">
        <v>0.55334399999999995</v>
      </c>
      <c r="AR34" s="704">
        <f t="shared" si="42"/>
        <v>-15057</v>
      </c>
      <c r="AS34" s="705">
        <f t="shared" si="43"/>
        <v>-614265</v>
      </c>
      <c r="AU34" s="706">
        <f t="shared" si="44"/>
        <v>47</v>
      </c>
      <c r="AV34" s="707">
        <f t="shared" si="45"/>
        <v>41508.28</v>
      </c>
      <c r="AX34" s="201">
        <f>247*U34/1/T34</f>
        <v>864.5</v>
      </c>
    </row>
    <row r="35" spans="1:50" ht="24" x14ac:dyDescent="0.25">
      <c r="A35" s="12" t="s">
        <v>627</v>
      </c>
      <c r="B35" s="692">
        <f t="shared" si="26"/>
        <v>172175</v>
      </c>
      <c r="C35" s="692">
        <f t="shared" si="27"/>
        <v>124916</v>
      </c>
      <c r="D35" s="692">
        <f t="shared" si="28"/>
        <v>47259</v>
      </c>
      <c r="E35" s="692">
        <f t="shared" si="29"/>
        <v>154667</v>
      </c>
      <c r="F35" s="692">
        <f t="shared" si="30"/>
        <v>107408</v>
      </c>
      <c r="G35" s="692">
        <f t="shared" si="31"/>
        <v>47259</v>
      </c>
      <c r="H35" s="1155">
        <v>37</v>
      </c>
      <c r="I35" s="1155">
        <v>7</v>
      </c>
      <c r="J35" s="1166">
        <v>10</v>
      </c>
      <c r="K35" s="694">
        <f t="shared" si="46"/>
        <v>54</v>
      </c>
      <c r="L35" s="675">
        <v>18</v>
      </c>
      <c r="M35" s="693">
        <v>14449</v>
      </c>
      <c r="N35" s="646">
        <v>1.01525</v>
      </c>
      <c r="O35" s="694">
        <f t="shared" si="32"/>
        <v>14669</v>
      </c>
      <c r="P35" s="677">
        <v>1.302</v>
      </c>
      <c r="Q35" s="678">
        <v>1.9379999999999999</v>
      </c>
      <c r="R35" s="695">
        <v>1.01</v>
      </c>
      <c r="S35" s="675">
        <v>12</v>
      </c>
      <c r="T35" s="1155">
        <v>25</v>
      </c>
      <c r="U35" s="506">
        <v>48.15</v>
      </c>
      <c r="V35" s="506">
        <v>6</v>
      </c>
      <c r="W35" s="508">
        <f t="shared" si="8"/>
        <v>26.09</v>
      </c>
      <c r="X35" s="506">
        <v>16.059999999999999</v>
      </c>
      <c r="Y35" s="506">
        <v>9</v>
      </c>
      <c r="Z35" s="696">
        <f t="shared" si="33"/>
        <v>333125</v>
      </c>
      <c r="AA35" s="696">
        <f t="shared" si="34"/>
        <v>261318</v>
      </c>
      <c r="AB35" s="693">
        <v>46206</v>
      </c>
      <c r="AC35" s="696">
        <f t="shared" si="35"/>
        <v>308442</v>
      </c>
      <c r="AD35" s="693">
        <v>16242</v>
      </c>
      <c r="AE35" s="696">
        <f t="shared" si="36"/>
        <v>557245</v>
      </c>
      <c r="AF35" s="508">
        <f t="shared" si="37"/>
        <v>1.44</v>
      </c>
      <c r="AG35" s="508">
        <f t="shared" si="38"/>
        <v>1.72</v>
      </c>
      <c r="AH35" s="679">
        <v>1</v>
      </c>
      <c r="AI35" s="679">
        <v>1</v>
      </c>
      <c r="AJ35" s="697">
        <f t="shared" si="39"/>
        <v>1.1599999999999999</v>
      </c>
      <c r="AK35" s="698">
        <v>1</v>
      </c>
      <c r="AL35" s="699">
        <f t="shared" si="47"/>
        <v>1.16164</v>
      </c>
      <c r="AM35" s="698">
        <v>1</v>
      </c>
      <c r="AN35" s="700">
        <f t="shared" si="40"/>
        <v>28428.52</v>
      </c>
      <c r="AO35" s="701">
        <v>45304.5</v>
      </c>
      <c r="AP35" s="702">
        <f t="shared" si="41"/>
        <v>16875.98</v>
      </c>
      <c r="AQ35" s="703">
        <v>0.55334399999999995</v>
      </c>
      <c r="AR35" s="704">
        <f t="shared" si="42"/>
        <v>9338</v>
      </c>
      <c r="AS35" s="705">
        <f t="shared" si="43"/>
        <v>17508</v>
      </c>
      <c r="AU35" s="706">
        <f t="shared" si="44"/>
        <v>2.16</v>
      </c>
      <c r="AV35" s="707">
        <f t="shared" si="45"/>
        <v>43365.53</v>
      </c>
      <c r="AX35" s="201">
        <f t="shared" si="23"/>
        <v>14.42</v>
      </c>
    </row>
    <row r="36" spans="1:50" x14ac:dyDescent="0.25">
      <c r="A36" s="174" t="s">
        <v>608</v>
      </c>
      <c r="B36" s="692">
        <f t="shared" si="26"/>
        <v>99630</v>
      </c>
      <c r="C36" s="692">
        <f t="shared" si="27"/>
        <v>62871</v>
      </c>
      <c r="D36" s="692">
        <f t="shared" si="28"/>
        <v>36759</v>
      </c>
      <c r="E36" s="692">
        <f t="shared" si="29"/>
        <v>94195</v>
      </c>
      <c r="F36" s="692">
        <f t="shared" si="30"/>
        <v>57436</v>
      </c>
      <c r="G36" s="692">
        <f t="shared" si="31"/>
        <v>36759</v>
      </c>
      <c r="H36" s="1155">
        <f>23</f>
        <v>23</v>
      </c>
      <c r="I36" s="1155">
        <v>0</v>
      </c>
      <c r="J36" s="1166">
        <v>0</v>
      </c>
      <c r="K36" s="694">
        <f t="shared" si="46"/>
        <v>23</v>
      </c>
      <c r="L36" s="675">
        <v>18</v>
      </c>
      <c r="M36" s="693">
        <v>14449</v>
      </c>
      <c r="N36" s="646">
        <v>1.01525</v>
      </c>
      <c r="O36" s="694">
        <f t="shared" si="32"/>
        <v>14669</v>
      </c>
      <c r="P36" s="677">
        <v>1.302</v>
      </c>
      <c r="Q36" s="678">
        <v>2.25</v>
      </c>
      <c r="R36" s="695">
        <v>1.01</v>
      </c>
      <c r="S36" s="675">
        <v>12</v>
      </c>
      <c r="T36" s="1155">
        <v>25</v>
      </c>
      <c r="U36" s="506">
        <v>30.67</v>
      </c>
      <c r="V36" s="506">
        <v>5</v>
      </c>
      <c r="W36" s="508">
        <f t="shared" si="8"/>
        <v>18.61</v>
      </c>
      <c r="X36" s="506">
        <v>7.06</v>
      </c>
      <c r="Y36" s="506">
        <v>2.56</v>
      </c>
      <c r="Z36" s="696">
        <f t="shared" si="33"/>
        <v>110010</v>
      </c>
      <c r="AA36" s="696">
        <f t="shared" si="34"/>
        <v>193377</v>
      </c>
      <c r="AB36" s="693">
        <v>46206</v>
      </c>
      <c r="AC36" s="696">
        <f t="shared" si="35"/>
        <v>259091</v>
      </c>
      <c r="AD36" s="693">
        <v>16242</v>
      </c>
      <c r="AE36" s="696">
        <f t="shared" si="36"/>
        <v>397483</v>
      </c>
      <c r="AF36" s="508">
        <f t="shared" si="37"/>
        <v>1.64</v>
      </c>
      <c r="AG36" s="508">
        <f t="shared" si="38"/>
        <v>1.86</v>
      </c>
      <c r="AH36" s="679">
        <v>1</v>
      </c>
      <c r="AI36" s="679">
        <v>1</v>
      </c>
      <c r="AJ36" s="697">
        <f t="shared" si="39"/>
        <v>1.1599999999999999</v>
      </c>
      <c r="AK36" s="698">
        <v>1</v>
      </c>
      <c r="AL36" s="699">
        <f t="shared" si="47"/>
        <v>1.16164</v>
      </c>
      <c r="AM36" s="698">
        <v>1</v>
      </c>
      <c r="AN36" s="700">
        <f t="shared" si="40"/>
        <v>33005.25</v>
      </c>
      <c r="AO36" s="701">
        <v>45304.5</v>
      </c>
      <c r="AP36" s="702">
        <f t="shared" si="41"/>
        <v>12299.25</v>
      </c>
      <c r="AQ36" s="703">
        <v>0.55334399999999995</v>
      </c>
      <c r="AR36" s="704">
        <f t="shared" si="42"/>
        <v>6806</v>
      </c>
      <c r="AS36" s="705">
        <f t="shared" si="43"/>
        <v>5435</v>
      </c>
      <c r="AU36" s="706">
        <f t="shared" si="44"/>
        <v>0.92</v>
      </c>
      <c r="AV36" s="707">
        <f t="shared" si="45"/>
        <v>50346.97</v>
      </c>
      <c r="AX36" s="201">
        <f>247*U36/19/T36</f>
        <v>15.95</v>
      </c>
    </row>
    <row r="37" spans="1:50" x14ac:dyDescent="0.25">
      <c r="A37" s="174" t="s">
        <v>611</v>
      </c>
      <c r="B37" s="692">
        <f t="shared" si="26"/>
        <v>68407</v>
      </c>
      <c r="C37" s="692">
        <f t="shared" si="27"/>
        <v>40512</v>
      </c>
      <c r="D37" s="692">
        <f t="shared" si="28"/>
        <v>27895</v>
      </c>
      <c r="E37" s="692">
        <f t="shared" si="29"/>
        <v>65592</v>
      </c>
      <c r="F37" s="692">
        <f t="shared" si="30"/>
        <v>37697</v>
      </c>
      <c r="G37" s="692">
        <f t="shared" si="31"/>
        <v>27895</v>
      </c>
      <c r="H37" s="1155">
        <v>14</v>
      </c>
      <c r="I37" s="1155">
        <v>0</v>
      </c>
      <c r="J37" s="1166">
        <v>0</v>
      </c>
      <c r="K37" s="694">
        <f t="shared" si="46"/>
        <v>14</v>
      </c>
      <c r="L37" s="675">
        <v>18</v>
      </c>
      <c r="M37" s="693">
        <v>14449</v>
      </c>
      <c r="N37" s="646">
        <v>1.01525</v>
      </c>
      <c r="O37" s="694">
        <f t="shared" si="32"/>
        <v>14669</v>
      </c>
      <c r="P37" s="677">
        <v>1.302</v>
      </c>
      <c r="Q37" s="678">
        <v>2.375</v>
      </c>
      <c r="R37" s="695">
        <v>1.01</v>
      </c>
      <c r="S37" s="675">
        <v>12</v>
      </c>
      <c r="T37" s="1155">
        <v>25</v>
      </c>
      <c r="U37" s="506">
        <v>29.17</v>
      </c>
      <c r="V37" s="506">
        <v>5</v>
      </c>
      <c r="W37" s="508">
        <f t="shared" si="8"/>
        <v>18.11</v>
      </c>
      <c r="X37" s="506">
        <v>6.06</v>
      </c>
      <c r="Y37" s="506">
        <v>1.56</v>
      </c>
      <c r="Z37" s="696">
        <f t="shared" si="33"/>
        <v>70762</v>
      </c>
      <c r="AA37" s="696">
        <f t="shared" si="34"/>
        <v>204121</v>
      </c>
      <c r="AB37" s="693">
        <v>46206</v>
      </c>
      <c r="AC37" s="696">
        <f t="shared" si="35"/>
        <v>259091</v>
      </c>
      <c r="AD37" s="693">
        <v>16242</v>
      </c>
      <c r="AE37" s="696">
        <f t="shared" si="36"/>
        <v>386803</v>
      </c>
      <c r="AF37" s="508">
        <f t="shared" si="37"/>
        <v>1.74</v>
      </c>
      <c r="AG37" s="508">
        <f t="shared" si="38"/>
        <v>1.9</v>
      </c>
      <c r="AH37" s="679">
        <v>1</v>
      </c>
      <c r="AI37" s="679">
        <v>1</v>
      </c>
      <c r="AJ37" s="697">
        <f t="shared" si="39"/>
        <v>1.1599999999999999</v>
      </c>
      <c r="AK37" s="698">
        <v>1</v>
      </c>
      <c r="AL37" s="699">
        <f t="shared" si="47"/>
        <v>1.16164</v>
      </c>
      <c r="AM37" s="698">
        <v>1</v>
      </c>
      <c r="AN37" s="700">
        <f t="shared" si="40"/>
        <v>34838.879999999997</v>
      </c>
      <c r="AO37" s="701">
        <v>45304.5</v>
      </c>
      <c r="AP37" s="702">
        <f t="shared" si="41"/>
        <v>10465.629999999999</v>
      </c>
      <c r="AQ37" s="703">
        <v>0.55334399999999995</v>
      </c>
      <c r="AR37" s="704">
        <f t="shared" si="42"/>
        <v>5791</v>
      </c>
      <c r="AS37" s="705">
        <f t="shared" si="43"/>
        <v>2815</v>
      </c>
      <c r="AU37" s="706">
        <f t="shared" si="44"/>
        <v>0.56000000000000005</v>
      </c>
      <c r="AV37" s="707">
        <f t="shared" si="45"/>
        <v>53144.03</v>
      </c>
      <c r="AX37" s="201">
        <f>247*U37/19/T37</f>
        <v>15.17</v>
      </c>
    </row>
  </sheetData>
  <mergeCells count="34">
    <mergeCell ref="A5:A6"/>
    <mergeCell ref="B5:B6"/>
    <mergeCell ref="C5:D5"/>
    <mergeCell ref="E5:E6"/>
    <mergeCell ref="F5:G5"/>
    <mergeCell ref="AX5:AX6"/>
    <mergeCell ref="I5:I6"/>
    <mergeCell ref="H5:H6"/>
    <mergeCell ref="S5:S6"/>
    <mergeCell ref="T5:T6"/>
    <mergeCell ref="U5:U6"/>
    <mergeCell ref="V5:Y5"/>
    <mergeCell ref="K5:K6"/>
    <mergeCell ref="L5:L6"/>
    <mergeCell ref="M5:M6"/>
    <mergeCell ref="N5:N6"/>
    <mergeCell ref="AV5:AV6"/>
    <mergeCell ref="AN5:AS5"/>
    <mergeCell ref="AU5:AU6"/>
    <mergeCell ref="J5:J6"/>
    <mergeCell ref="AH5:AH6"/>
    <mergeCell ref="AJ5:AJ6"/>
    <mergeCell ref="AK5:AM5"/>
    <mergeCell ref="Z5:Z6"/>
    <mergeCell ref="AA5:AA6"/>
    <mergeCell ref="AB5:AC5"/>
    <mergeCell ref="AD5:AE5"/>
    <mergeCell ref="AF5:AF6"/>
    <mergeCell ref="AG5:AG6"/>
    <mergeCell ref="Q5:Q6"/>
    <mergeCell ref="R5:R6"/>
    <mergeCell ref="O5:O6"/>
    <mergeCell ref="P5:P6"/>
    <mergeCell ref="AI5:AI6"/>
  </mergeCells>
  <pageMargins left="0" right="0" top="0" bottom="0" header="0.31496062992125984" footer="0.31496062992125984"/>
  <pageSetup paperSize="9" scale="61" fitToWidth="4" fitToHeight="0" orientation="landscape" r:id="rId1"/>
  <colBreaks count="2" manualBreakCount="2">
    <brk id="12" max="1048575" man="1"/>
    <brk id="3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2:AV24"/>
  <sheetViews>
    <sheetView view="pageBreakPreview" zoomScale="75" zoomScaleNormal="75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Q2" sqref="Q2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8" width="12.85546875" style="72" customWidth="1"/>
    <col min="9" max="9" width="13.7109375" style="72" customWidth="1"/>
    <col min="10" max="10" width="12.7109375" style="72" customWidth="1"/>
    <col min="11" max="11" width="14.28515625" style="72" customWidth="1"/>
    <col min="12" max="12" width="12.7109375" style="72" customWidth="1"/>
    <col min="13" max="13" width="14.28515625" style="72" customWidth="1"/>
    <col min="14" max="14" width="16" style="72" customWidth="1"/>
    <col min="15" max="15" width="20.5703125" style="72" customWidth="1"/>
    <col min="16" max="16" width="15.28515625" style="72" customWidth="1"/>
    <col min="17" max="17" width="13.42578125" style="72" customWidth="1"/>
    <col min="18" max="18" width="10.85546875" style="72" customWidth="1"/>
    <col min="19" max="21" width="12.85546875" style="72" customWidth="1"/>
    <col min="22" max="22" width="12.42578125" style="72" customWidth="1"/>
    <col min="23" max="23" width="10.85546875" style="72" customWidth="1"/>
    <col min="24" max="25" width="15.7109375" style="72" customWidth="1"/>
    <col min="26" max="26" width="14.28515625" style="72" customWidth="1"/>
    <col min="27" max="27" width="23" style="72" customWidth="1"/>
    <col min="28" max="28" width="14.140625" style="72" customWidth="1"/>
    <col min="29" max="30" width="12.42578125" style="72" customWidth="1"/>
    <col min="31" max="31" width="12.7109375" style="72" customWidth="1"/>
    <col min="32" max="32" width="14" style="72" hidden="1" customWidth="1"/>
    <col min="33" max="33" width="12.5703125" style="72" hidden="1" customWidth="1"/>
    <col min="34" max="34" width="13.42578125" style="72" customWidth="1"/>
    <col min="35" max="35" width="15" style="72" hidden="1" customWidth="1"/>
    <col min="36" max="36" width="14.85546875" style="72" customWidth="1"/>
    <col min="37" max="37" width="0.28515625" style="72" customWidth="1"/>
    <col min="38" max="38" width="14.5703125" style="72" customWidth="1"/>
    <col min="39" max="39" width="32.5703125" style="72" customWidth="1"/>
    <col min="40" max="40" width="14.5703125" style="72" customWidth="1"/>
    <col min="41" max="41" width="17.5703125" style="72" customWidth="1"/>
    <col min="42" max="43" width="14.5703125" style="72" customWidth="1"/>
    <col min="44" max="44" width="4.42578125" style="72" customWidth="1"/>
    <col min="45" max="45" width="16" style="72" customWidth="1"/>
    <col min="46" max="46" width="16" style="72" hidden="1" customWidth="1"/>
    <col min="47" max="47" width="2.85546875" style="72" customWidth="1"/>
    <col min="48" max="48" width="13.140625" style="72" customWidth="1"/>
    <col min="49" max="16384" width="9.140625" style="72"/>
  </cols>
  <sheetData>
    <row r="2" spans="1:48" s="657" customFormat="1" ht="18.75" customHeight="1" x14ac:dyDescent="0.25">
      <c r="L2" s="1278" t="s">
        <v>1934</v>
      </c>
      <c r="Q2" s="1169"/>
    </row>
    <row r="3" spans="1:48" s="657" customFormat="1" ht="17.25" customHeight="1" x14ac:dyDescent="0.25">
      <c r="A3" s="657" t="s">
        <v>1425</v>
      </c>
      <c r="AI3" s="657">
        <f>9489/7198</f>
        <v>1.3182828563489899</v>
      </c>
    </row>
    <row r="5" spans="1:48" ht="15.75" customHeight="1" x14ac:dyDescent="0.25">
      <c r="A5" s="1348" t="s">
        <v>270</v>
      </c>
      <c r="B5" s="1349" t="s">
        <v>1426</v>
      </c>
      <c r="C5" s="1350" t="s">
        <v>31</v>
      </c>
      <c r="D5" s="1350"/>
      <c r="E5" s="1349" t="s">
        <v>1427</v>
      </c>
      <c r="F5" s="1350" t="s">
        <v>31</v>
      </c>
      <c r="G5" s="1350"/>
      <c r="H5" s="1347" t="s">
        <v>1428</v>
      </c>
      <c r="I5" s="1347" t="s">
        <v>1429</v>
      </c>
      <c r="J5" s="1347" t="s">
        <v>1430</v>
      </c>
      <c r="K5" s="1347" t="s">
        <v>1431</v>
      </c>
      <c r="L5" s="1351" t="s">
        <v>1432</v>
      </c>
      <c r="M5" s="1347" t="s">
        <v>1433</v>
      </c>
      <c r="N5" s="1347" t="s">
        <v>1434</v>
      </c>
      <c r="O5" s="1347" t="s">
        <v>1435</v>
      </c>
      <c r="P5" s="1347" t="s">
        <v>888</v>
      </c>
      <c r="Q5" s="1347" t="s">
        <v>271</v>
      </c>
      <c r="R5" s="1347" t="s">
        <v>1436</v>
      </c>
      <c r="S5" s="1347" t="s">
        <v>2226</v>
      </c>
      <c r="T5" s="1353" t="s">
        <v>31</v>
      </c>
      <c r="U5" s="1354"/>
      <c r="V5" s="1354"/>
      <c r="W5" s="1355"/>
      <c r="X5" s="1356" t="s">
        <v>1437</v>
      </c>
      <c r="Y5" s="1356" t="s">
        <v>1438</v>
      </c>
      <c r="Z5" s="1358" t="s">
        <v>1439</v>
      </c>
      <c r="AA5" s="1359"/>
      <c r="AB5" s="1353" t="s">
        <v>1440</v>
      </c>
      <c r="AC5" s="1355"/>
      <c r="AD5" s="1356" t="s">
        <v>945</v>
      </c>
      <c r="AE5" s="1347" t="s">
        <v>946</v>
      </c>
      <c r="AF5" s="1362" t="s">
        <v>1441</v>
      </c>
      <c r="AG5" s="1362" t="s">
        <v>1442</v>
      </c>
      <c r="AH5" s="1347" t="s">
        <v>1443</v>
      </c>
      <c r="AI5" s="1353" t="s">
        <v>31</v>
      </c>
      <c r="AJ5" s="1354"/>
      <c r="AK5" s="1355"/>
      <c r="AL5" s="1363" t="s">
        <v>1444</v>
      </c>
      <c r="AM5" s="1363"/>
      <c r="AN5" s="1363"/>
      <c r="AO5" s="1363"/>
      <c r="AP5" s="1363"/>
      <c r="AQ5" s="1363"/>
      <c r="AS5" s="1364" t="s">
        <v>1445</v>
      </c>
      <c r="AT5" s="1347" t="s">
        <v>1446</v>
      </c>
      <c r="AV5" s="1360" t="s">
        <v>282</v>
      </c>
    </row>
    <row r="6" spans="1:48" ht="175.5" customHeight="1" x14ac:dyDescent="0.25">
      <c r="A6" s="1348"/>
      <c r="B6" s="1349"/>
      <c r="C6" s="659" t="s">
        <v>1447</v>
      </c>
      <c r="D6" s="659" t="s">
        <v>1448</v>
      </c>
      <c r="E6" s="1349"/>
      <c r="F6" s="659" t="s">
        <v>1449</v>
      </c>
      <c r="G6" s="659" t="s">
        <v>1448</v>
      </c>
      <c r="H6" s="1347"/>
      <c r="I6" s="1347"/>
      <c r="J6" s="1347"/>
      <c r="K6" s="1347"/>
      <c r="L6" s="1352"/>
      <c r="M6" s="1347"/>
      <c r="N6" s="1347"/>
      <c r="O6" s="1347"/>
      <c r="P6" s="1347"/>
      <c r="Q6" s="1347"/>
      <c r="R6" s="1347"/>
      <c r="S6" s="1347"/>
      <c r="T6" s="660" t="s">
        <v>1450</v>
      </c>
      <c r="U6" s="660" t="s">
        <v>1451</v>
      </c>
      <c r="V6" s="660" t="s">
        <v>1452</v>
      </c>
      <c r="W6" s="661" t="s">
        <v>1453</v>
      </c>
      <c r="X6" s="1357"/>
      <c r="Y6" s="1357"/>
      <c r="Z6" s="661" t="s">
        <v>1454</v>
      </c>
      <c r="AA6" s="660" t="s">
        <v>1455</v>
      </c>
      <c r="AB6" s="661" t="s">
        <v>1456</v>
      </c>
      <c r="AC6" s="660" t="s">
        <v>1457</v>
      </c>
      <c r="AD6" s="1357"/>
      <c r="AE6" s="1347"/>
      <c r="AF6" s="1362"/>
      <c r="AG6" s="1362"/>
      <c r="AH6" s="1347"/>
      <c r="AI6" s="662" t="s">
        <v>1458</v>
      </c>
      <c r="AJ6" s="663" t="s">
        <v>1459</v>
      </c>
      <c r="AK6" s="662" t="s">
        <v>1458</v>
      </c>
      <c r="AL6" s="664" t="s">
        <v>1460</v>
      </c>
      <c r="AM6" s="664" t="s">
        <v>1461</v>
      </c>
      <c r="AN6" s="665" t="s">
        <v>1462</v>
      </c>
      <c r="AO6" s="666" t="s">
        <v>1463</v>
      </c>
      <c r="AP6" s="665" t="s">
        <v>1464</v>
      </c>
      <c r="AQ6" s="667" t="s">
        <v>1465</v>
      </c>
      <c r="AS6" s="1364"/>
      <c r="AT6" s="1347"/>
      <c r="AV6" s="1361"/>
    </row>
    <row r="7" spans="1:48" ht="93.75" customHeight="1" x14ac:dyDescent="0.25">
      <c r="A7" s="668" t="s">
        <v>1466</v>
      </c>
      <c r="B7" s="669" t="s">
        <v>1467</v>
      </c>
      <c r="C7" s="669" t="s">
        <v>1468</v>
      </c>
      <c r="D7" s="669" t="s">
        <v>1469</v>
      </c>
      <c r="E7" s="669" t="s">
        <v>269</v>
      </c>
      <c r="F7" s="669" t="s">
        <v>1470</v>
      </c>
      <c r="G7" s="669" t="s">
        <v>4</v>
      </c>
      <c r="H7" s="669">
        <v>4</v>
      </c>
      <c r="I7" s="669">
        <v>5</v>
      </c>
      <c r="J7" s="669">
        <v>6</v>
      </c>
      <c r="K7" s="669">
        <v>7</v>
      </c>
      <c r="L7" s="669">
        <v>8</v>
      </c>
      <c r="M7" s="669" t="s">
        <v>464</v>
      </c>
      <c r="N7" s="669">
        <v>10</v>
      </c>
      <c r="O7" s="669">
        <v>11</v>
      </c>
      <c r="P7" s="669">
        <v>12</v>
      </c>
      <c r="Q7" s="669">
        <v>13</v>
      </c>
      <c r="R7" s="669">
        <v>14</v>
      </c>
      <c r="S7" s="669">
        <v>15</v>
      </c>
      <c r="T7" s="669">
        <v>16</v>
      </c>
      <c r="U7" s="669">
        <v>17</v>
      </c>
      <c r="V7" s="669">
        <v>18</v>
      </c>
      <c r="W7" s="669">
        <v>19</v>
      </c>
      <c r="X7" s="669">
        <v>20</v>
      </c>
      <c r="Y7" s="669">
        <v>21</v>
      </c>
      <c r="Z7" s="669">
        <v>22</v>
      </c>
      <c r="AA7" s="669">
        <v>23</v>
      </c>
      <c r="AB7" s="669">
        <v>24</v>
      </c>
      <c r="AC7" s="669">
        <v>25</v>
      </c>
      <c r="AD7" s="669">
        <v>26</v>
      </c>
      <c r="AE7" s="669">
        <v>27</v>
      </c>
      <c r="AF7" s="669">
        <v>8</v>
      </c>
      <c r="AG7" s="669">
        <v>8</v>
      </c>
      <c r="AH7" s="669">
        <v>28</v>
      </c>
      <c r="AI7" s="669">
        <v>29</v>
      </c>
      <c r="AJ7" s="669">
        <v>30</v>
      </c>
      <c r="AK7" s="670">
        <v>31</v>
      </c>
      <c r="AL7" s="671" t="s">
        <v>1471</v>
      </c>
      <c r="AM7" s="671" t="s">
        <v>1472</v>
      </c>
      <c r="AN7" s="671" t="s">
        <v>1473</v>
      </c>
      <c r="AO7" s="671" t="s">
        <v>1474</v>
      </c>
      <c r="AP7" s="671" t="s">
        <v>1475</v>
      </c>
      <c r="AQ7" s="671">
        <v>37</v>
      </c>
      <c r="AS7" s="1263" t="s">
        <v>2225</v>
      </c>
      <c r="AT7" s="1262"/>
      <c r="AV7" s="1264" t="s">
        <v>2228</v>
      </c>
    </row>
    <row r="8" spans="1:48" ht="18.75" customHeight="1" x14ac:dyDescent="0.25">
      <c r="A8" s="673"/>
      <c r="B8" s="674"/>
      <c r="C8" s="674"/>
      <c r="D8" s="674"/>
      <c r="E8" s="674"/>
      <c r="F8" s="674"/>
      <c r="G8" s="674"/>
      <c r="H8" s="675"/>
      <c r="I8" s="675"/>
      <c r="J8" s="675"/>
      <c r="K8" s="675"/>
      <c r="L8" s="676"/>
      <c r="M8" s="675"/>
      <c r="N8" s="677"/>
      <c r="O8" s="678"/>
      <c r="P8" s="506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5"/>
      <c r="AE8" s="675"/>
      <c r="AF8" s="679"/>
      <c r="AG8" s="679"/>
      <c r="AH8" s="506"/>
      <c r="AI8" s="680"/>
      <c r="AJ8" s="680"/>
      <c r="AK8" s="680"/>
      <c r="AL8" s="681"/>
      <c r="AM8" s="681">
        <f>32069.71*1.00333*1.01525</f>
        <v>32667.200000000001</v>
      </c>
      <c r="AN8" s="682"/>
      <c r="AO8" s="683">
        <f>1055.4/1392.98</f>
        <v>0.757656</v>
      </c>
      <c r="AP8" s="684"/>
      <c r="AQ8" s="685"/>
      <c r="AR8" s="686"/>
      <c r="AS8" s="677"/>
      <c r="AT8" s="677"/>
      <c r="AV8" s="1265"/>
    </row>
    <row r="9" spans="1:48" ht="18.75" hidden="1" customHeight="1" x14ac:dyDescent="0.25">
      <c r="A9" s="673"/>
      <c r="B9" s="674"/>
      <c r="C9" s="674"/>
      <c r="D9" s="674"/>
      <c r="E9" s="674"/>
      <c r="F9" s="674"/>
      <c r="G9" s="674"/>
      <c r="H9" s="675"/>
      <c r="I9" s="675"/>
      <c r="J9" s="675"/>
      <c r="K9" s="675"/>
      <c r="L9" s="675"/>
      <c r="M9" s="675"/>
      <c r="N9" s="677"/>
      <c r="O9" s="678"/>
      <c r="P9" s="506"/>
      <c r="Q9" s="675"/>
      <c r="R9" s="675"/>
      <c r="S9" s="675"/>
      <c r="T9" s="675"/>
      <c r="U9" s="675"/>
      <c r="V9" s="675"/>
      <c r="W9" s="675"/>
      <c r="X9" s="675"/>
      <c r="Y9" s="675"/>
      <c r="Z9" s="675"/>
      <c r="AA9" s="675"/>
      <c r="AB9" s="675"/>
      <c r="AC9" s="675"/>
      <c r="AD9" s="675"/>
      <c r="AE9" s="675"/>
      <c r="AF9" s="679"/>
      <c r="AG9" s="679"/>
      <c r="AH9" s="506"/>
      <c r="AI9" s="687"/>
      <c r="AJ9" s="687"/>
      <c r="AK9" s="687"/>
      <c r="AL9" s="688"/>
      <c r="AM9" s="688"/>
      <c r="AN9" s="689"/>
      <c r="AO9" s="690"/>
      <c r="AP9" s="688"/>
      <c r="AQ9" s="691"/>
      <c r="AR9" s="686"/>
      <c r="AS9" s="677"/>
      <c r="AT9" s="677"/>
    </row>
    <row r="10" spans="1:48" ht="18.75" hidden="1" customHeight="1" x14ac:dyDescent="0.25">
      <c r="A10" s="673"/>
      <c r="B10" s="674"/>
      <c r="C10" s="674"/>
      <c r="D10" s="674"/>
      <c r="E10" s="674"/>
      <c r="F10" s="674"/>
      <c r="G10" s="674"/>
      <c r="H10" s="675"/>
      <c r="I10" s="675"/>
      <c r="J10" s="675"/>
      <c r="K10" s="675"/>
      <c r="L10" s="675"/>
      <c r="M10" s="675"/>
      <c r="N10" s="677"/>
      <c r="O10" s="678"/>
      <c r="P10" s="506"/>
      <c r="Q10" s="675"/>
      <c r="R10" s="675"/>
      <c r="S10" s="675"/>
      <c r="T10" s="675"/>
      <c r="U10" s="675"/>
      <c r="V10" s="675"/>
      <c r="W10" s="675"/>
      <c r="X10" s="675"/>
      <c r="Y10" s="675"/>
      <c r="Z10" s="675"/>
      <c r="AA10" s="675"/>
      <c r="AB10" s="675"/>
      <c r="AC10" s="675"/>
      <c r="AD10" s="675"/>
      <c r="AE10" s="675"/>
      <c r="AF10" s="679"/>
      <c r="AG10" s="679"/>
      <c r="AH10" s="506"/>
      <c r="AI10" s="687"/>
      <c r="AJ10" s="687"/>
      <c r="AK10" s="687"/>
      <c r="AL10" s="688"/>
      <c r="AM10" s="688"/>
      <c r="AN10" s="689"/>
      <c r="AO10" s="690"/>
      <c r="AP10" s="688"/>
      <c r="AQ10" s="691"/>
      <c r="AR10" s="686"/>
      <c r="AS10" s="677"/>
      <c r="AT10" s="677"/>
    </row>
    <row r="11" spans="1:48" ht="24" x14ac:dyDescent="0.25">
      <c r="A11" s="644" t="s">
        <v>421</v>
      </c>
      <c r="B11" s="692">
        <f>C11+D11</f>
        <v>85235</v>
      </c>
      <c r="C11" s="692">
        <f>F11+AQ11</f>
        <v>75834</v>
      </c>
      <c r="D11" s="692">
        <f>G11</f>
        <v>9401</v>
      </c>
      <c r="E11" s="692">
        <f t="shared" ref="E11:E24" si="0">ROUND(I11/J11*M11*N11*O11*P11*Q11/R11*AD11*AE11*AF11*AG11*AH11,0)</f>
        <v>64700</v>
      </c>
      <c r="F11" s="692">
        <f t="shared" ref="F11:F24" si="1">ROUND(I11/J11*M11*N11*O11*Q11/R11*AE11*P11*AH11*AF11*AG11,0)</f>
        <v>55299</v>
      </c>
      <c r="G11" s="692">
        <f>E11-F11</f>
        <v>9401</v>
      </c>
      <c r="H11" s="675">
        <v>12</v>
      </c>
      <c r="I11" s="675">
        <f t="shared" ref="I11:I24" si="2">H11*5</f>
        <v>60</v>
      </c>
      <c r="J11" s="675">
        <v>36</v>
      </c>
      <c r="K11" s="693">
        <v>13772</v>
      </c>
      <c r="L11" s="646">
        <v>1.01525</v>
      </c>
      <c r="M11" s="694">
        <f>K11*L11</f>
        <v>13982</v>
      </c>
      <c r="N11" s="677">
        <v>1.302</v>
      </c>
      <c r="O11" s="678">
        <v>1.325</v>
      </c>
      <c r="P11" s="695">
        <v>1.01</v>
      </c>
      <c r="Q11" s="675">
        <v>12</v>
      </c>
      <c r="R11" s="675">
        <v>15</v>
      </c>
      <c r="S11" s="506">
        <f>13.76-2</f>
        <v>11.76</v>
      </c>
      <c r="T11" s="506">
        <v>0</v>
      </c>
      <c r="U11" s="508">
        <f>S11-T11-V11</f>
        <v>5.75</v>
      </c>
      <c r="V11" s="506">
        <v>6.01</v>
      </c>
      <c r="W11" s="506">
        <v>5.01</v>
      </c>
      <c r="X11" s="696">
        <f>M11*N11*O11*W11</f>
        <v>120846</v>
      </c>
      <c r="Y11" s="696">
        <f t="shared" ref="Y11:Y24" si="3">X11/W11*(V11-W11)</f>
        <v>24121</v>
      </c>
      <c r="Z11" s="693">
        <v>39111</v>
      </c>
      <c r="AA11" s="696">
        <f>(Z11+Z11*(T11-1)*0.8)* 1.01*1.302*L11</f>
        <v>10443</v>
      </c>
      <c r="AB11" s="693">
        <v>16242</v>
      </c>
      <c r="AC11" s="696">
        <f>U11*AB11*1.01*1.302</f>
        <v>122812</v>
      </c>
      <c r="AD11" s="508">
        <f>Y11/(X11+Y11)+1</f>
        <v>1.17</v>
      </c>
      <c r="AE11" s="508">
        <f>(AA11+AC11)/(X11+AA11+AC11)+1</f>
        <v>1.52</v>
      </c>
      <c r="AF11" s="679">
        <v>1</v>
      </c>
      <c r="AG11" s="679">
        <v>1</v>
      </c>
      <c r="AH11" s="697">
        <f>ROUND(AI11*AJ11*AK11,2)</f>
        <v>1.1200000000000001</v>
      </c>
      <c r="AI11" s="698">
        <v>1</v>
      </c>
      <c r="AJ11" s="699">
        <f t="shared" ref="AJ11:AJ15" si="4">1+(42+3)/365</f>
        <v>1.1232899999999999</v>
      </c>
      <c r="AK11" s="698">
        <v>1</v>
      </c>
      <c r="AL11" s="700">
        <f>M11*O11</f>
        <v>18526.150000000001</v>
      </c>
      <c r="AM11" s="701">
        <v>34139.300000000003</v>
      </c>
      <c r="AN11" s="702">
        <f>(AM11-M11*O11)</f>
        <v>15613.15</v>
      </c>
      <c r="AO11" s="703">
        <v>0.757656</v>
      </c>
      <c r="AP11" s="704">
        <f>AN11*AO11</f>
        <v>11829</v>
      </c>
      <c r="AQ11" s="705">
        <f>ROUND(I11/J11*AP11*Q11/R11*N11,0)</f>
        <v>20535</v>
      </c>
      <c r="AR11" s="686"/>
      <c r="AS11" s="706">
        <f t="shared" ref="AS11:AS24" si="5">I11/R11</f>
        <v>4</v>
      </c>
      <c r="AT11" s="707">
        <f t="shared" ref="AT11:AT24" si="6">M11*N11*O11*P11*AF11*AG11*AH11</f>
        <v>27285.73</v>
      </c>
      <c r="AV11" s="201">
        <f>247*S11/3/R11</f>
        <v>64.55</v>
      </c>
    </row>
    <row r="12" spans="1:48" ht="24" x14ac:dyDescent="0.25">
      <c r="A12" s="644" t="s">
        <v>413</v>
      </c>
      <c r="B12" s="692">
        <f t="shared" ref="B12:B24" si="7">C12+D12</f>
        <v>65001</v>
      </c>
      <c r="C12" s="692">
        <f t="shared" ref="C12:C24" si="8">F12+AQ12</f>
        <v>56057</v>
      </c>
      <c r="D12" s="692">
        <f t="shared" ref="D12:D24" si="9">G12</f>
        <v>8944</v>
      </c>
      <c r="E12" s="692">
        <f t="shared" si="0"/>
        <v>49600</v>
      </c>
      <c r="F12" s="692">
        <f t="shared" si="1"/>
        <v>40656</v>
      </c>
      <c r="G12" s="692">
        <f t="shared" ref="G12:G24" si="10">E12-F12</f>
        <v>8944</v>
      </c>
      <c r="H12" s="675">
        <v>12</v>
      </c>
      <c r="I12" s="675">
        <f t="shared" si="2"/>
        <v>60</v>
      </c>
      <c r="J12" s="675">
        <v>36</v>
      </c>
      <c r="K12" s="693">
        <v>13772</v>
      </c>
      <c r="L12" s="646">
        <v>1.01525</v>
      </c>
      <c r="M12" s="694">
        <f t="shared" ref="M12:M24" si="11">K12*L12</f>
        <v>13982</v>
      </c>
      <c r="N12" s="677">
        <v>1.302</v>
      </c>
      <c r="O12" s="678">
        <v>1.325</v>
      </c>
      <c r="P12" s="695">
        <v>1.01</v>
      </c>
      <c r="Q12" s="675">
        <v>12</v>
      </c>
      <c r="R12" s="675">
        <v>20</v>
      </c>
      <c r="S12" s="506">
        <f>13.39-2</f>
        <v>11.39</v>
      </c>
      <c r="T12" s="506">
        <v>0</v>
      </c>
      <c r="U12" s="508">
        <f t="shared" ref="U12:U24" si="12">S12-T12-V12</f>
        <v>5</v>
      </c>
      <c r="V12" s="506">
        <v>6.39</v>
      </c>
      <c r="W12" s="506">
        <v>5.01</v>
      </c>
      <c r="X12" s="696">
        <f t="shared" ref="X12:X24" si="13">M12*N12*O12*W12</f>
        <v>120846</v>
      </c>
      <c r="Y12" s="696">
        <f t="shared" si="3"/>
        <v>33287</v>
      </c>
      <c r="Z12" s="693">
        <v>39111</v>
      </c>
      <c r="AA12" s="696">
        <f t="shared" ref="AA12:AA24" si="14">(Z12+Z12*(T12-1)*0.8)* 1.01*1.302*L12</f>
        <v>10443</v>
      </c>
      <c r="AB12" s="693">
        <v>16242</v>
      </c>
      <c r="AC12" s="696">
        <f t="shared" ref="AC12:AC24" si="15">U12*AB12*1.01*1.302</f>
        <v>106793</v>
      </c>
      <c r="AD12" s="508">
        <f t="shared" ref="AD12:AD24" si="16">Y12/(X12+Y12)+1</f>
        <v>1.22</v>
      </c>
      <c r="AE12" s="508">
        <f t="shared" ref="AE12:AE24" si="17">(AA12+AC12)/(X12+AA12+AC12)+1</f>
        <v>1.49</v>
      </c>
      <c r="AF12" s="679">
        <v>1</v>
      </c>
      <c r="AG12" s="679">
        <v>1</v>
      </c>
      <c r="AH12" s="697">
        <f t="shared" ref="AH12:AH24" si="18">ROUND(AI12*AJ12*AK12,2)</f>
        <v>1.1200000000000001</v>
      </c>
      <c r="AI12" s="698">
        <v>1</v>
      </c>
      <c r="AJ12" s="699">
        <f t="shared" si="4"/>
        <v>1.1232899999999999</v>
      </c>
      <c r="AK12" s="698">
        <v>1</v>
      </c>
      <c r="AL12" s="700">
        <f t="shared" ref="AL12:AL24" si="19">M12*O12</f>
        <v>18526.150000000001</v>
      </c>
      <c r="AM12" s="701">
        <v>34139.300000000003</v>
      </c>
      <c r="AN12" s="702">
        <f t="shared" ref="AN12:AN24" si="20">(AM12-M12*O12)</f>
        <v>15613.15</v>
      </c>
      <c r="AO12" s="703">
        <v>0.757656</v>
      </c>
      <c r="AP12" s="704">
        <f t="shared" ref="AP12:AP24" si="21">AN12*AO12</f>
        <v>11829</v>
      </c>
      <c r="AQ12" s="705">
        <f t="shared" ref="AQ12:AQ24" si="22">ROUND(I12/J12*AP12*Q12/R12*N12,0)</f>
        <v>15401</v>
      </c>
      <c r="AS12" s="706">
        <f t="shared" si="5"/>
        <v>3</v>
      </c>
      <c r="AT12" s="707">
        <f t="shared" si="6"/>
        <v>27285.73</v>
      </c>
      <c r="AV12" s="201">
        <f t="shared" ref="AV12:AV23" si="23">247*S12/3/R12</f>
        <v>46.89</v>
      </c>
    </row>
    <row r="13" spans="1:48" ht="24" x14ac:dyDescent="0.25">
      <c r="A13" s="644" t="s">
        <v>947</v>
      </c>
      <c r="B13" s="692">
        <f t="shared" si="7"/>
        <v>65001</v>
      </c>
      <c r="C13" s="692">
        <f t="shared" si="8"/>
        <v>56057</v>
      </c>
      <c r="D13" s="692">
        <f t="shared" si="9"/>
        <v>8944</v>
      </c>
      <c r="E13" s="692">
        <f t="shared" si="0"/>
        <v>49600</v>
      </c>
      <c r="F13" s="692">
        <f t="shared" si="1"/>
        <v>40656</v>
      </c>
      <c r="G13" s="692">
        <f t="shared" si="10"/>
        <v>8944</v>
      </c>
      <c r="H13" s="675">
        <v>12</v>
      </c>
      <c r="I13" s="675">
        <f t="shared" si="2"/>
        <v>60</v>
      </c>
      <c r="J13" s="675">
        <v>36</v>
      </c>
      <c r="K13" s="693">
        <v>13772</v>
      </c>
      <c r="L13" s="646">
        <v>1.01525</v>
      </c>
      <c r="M13" s="694">
        <f t="shared" si="11"/>
        <v>13982</v>
      </c>
      <c r="N13" s="677">
        <v>1.302</v>
      </c>
      <c r="O13" s="678">
        <v>1.325</v>
      </c>
      <c r="P13" s="695">
        <v>1.01</v>
      </c>
      <c r="Q13" s="675">
        <v>12</v>
      </c>
      <c r="R13" s="675">
        <v>20</v>
      </c>
      <c r="S13" s="506">
        <f>13.39-2</f>
        <v>11.39</v>
      </c>
      <c r="T13" s="506">
        <v>0</v>
      </c>
      <c r="U13" s="508">
        <f t="shared" si="12"/>
        <v>5</v>
      </c>
      <c r="V13" s="506">
        <v>6.39</v>
      </c>
      <c r="W13" s="506">
        <v>5.01</v>
      </c>
      <c r="X13" s="696">
        <f t="shared" si="13"/>
        <v>120846</v>
      </c>
      <c r="Y13" s="696">
        <f t="shared" si="3"/>
        <v>33287</v>
      </c>
      <c r="Z13" s="693">
        <v>39111</v>
      </c>
      <c r="AA13" s="696">
        <f t="shared" si="14"/>
        <v>10443</v>
      </c>
      <c r="AB13" s="693">
        <v>16242</v>
      </c>
      <c r="AC13" s="696">
        <f t="shared" si="15"/>
        <v>106793</v>
      </c>
      <c r="AD13" s="508">
        <f t="shared" si="16"/>
        <v>1.22</v>
      </c>
      <c r="AE13" s="508">
        <f t="shared" si="17"/>
        <v>1.49</v>
      </c>
      <c r="AF13" s="679">
        <v>1</v>
      </c>
      <c r="AG13" s="679">
        <v>1</v>
      </c>
      <c r="AH13" s="697">
        <f t="shared" si="18"/>
        <v>1.1200000000000001</v>
      </c>
      <c r="AI13" s="698">
        <v>1</v>
      </c>
      <c r="AJ13" s="699">
        <f t="shared" si="4"/>
        <v>1.1232899999999999</v>
      </c>
      <c r="AK13" s="698">
        <v>1</v>
      </c>
      <c r="AL13" s="700">
        <f t="shared" si="19"/>
        <v>18526.150000000001</v>
      </c>
      <c r="AM13" s="701">
        <v>34139.300000000003</v>
      </c>
      <c r="AN13" s="702">
        <f t="shared" si="20"/>
        <v>15613.15</v>
      </c>
      <c r="AO13" s="703">
        <v>0.757656</v>
      </c>
      <c r="AP13" s="704">
        <f t="shared" si="21"/>
        <v>11829</v>
      </c>
      <c r="AQ13" s="705">
        <f t="shared" si="22"/>
        <v>15401</v>
      </c>
      <c r="AS13" s="706">
        <f t="shared" si="5"/>
        <v>3</v>
      </c>
      <c r="AT13" s="707">
        <f t="shared" si="6"/>
        <v>27285.73</v>
      </c>
      <c r="AV13" s="201">
        <f t="shared" si="23"/>
        <v>46.89</v>
      </c>
    </row>
    <row r="14" spans="1:48" ht="24" x14ac:dyDescent="0.25">
      <c r="A14" s="644" t="s">
        <v>414</v>
      </c>
      <c r="B14" s="692">
        <f t="shared" si="7"/>
        <v>65001</v>
      </c>
      <c r="C14" s="692">
        <f t="shared" si="8"/>
        <v>56057</v>
      </c>
      <c r="D14" s="692">
        <f t="shared" si="9"/>
        <v>8944</v>
      </c>
      <c r="E14" s="692">
        <f t="shared" si="0"/>
        <v>49600</v>
      </c>
      <c r="F14" s="692">
        <f t="shared" si="1"/>
        <v>40656</v>
      </c>
      <c r="G14" s="692">
        <f t="shared" si="10"/>
        <v>8944</v>
      </c>
      <c r="H14" s="675">
        <v>12</v>
      </c>
      <c r="I14" s="675">
        <f t="shared" si="2"/>
        <v>60</v>
      </c>
      <c r="J14" s="675">
        <v>36</v>
      </c>
      <c r="K14" s="693">
        <v>13772</v>
      </c>
      <c r="L14" s="646">
        <v>1.01525</v>
      </c>
      <c r="M14" s="694">
        <f t="shared" si="11"/>
        <v>13982</v>
      </c>
      <c r="N14" s="677">
        <v>1.302</v>
      </c>
      <c r="O14" s="678">
        <v>1.325</v>
      </c>
      <c r="P14" s="695">
        <v>1.01</v>
      </c>
      <c r="Q14" s="675">
        <v>12</v>
      </c>
      <c r="R14" s="675">
        <v>20</v>
      </c>
      <c r="S14" s="506">
        <f>13.39-2</f>
        <v>11.39</v>
      </c>
      <c r="T14" s="506">
        <v>0</v>
      </c>
      <c r="U14" s="508">
        <f t="shared" si="12"/>
        <v>5</v>
      </c>
      <c r="V14" s="506">
        <v>6.39</v>
      </c>
      <c r="W14" s="506">
        <v>5.01</v>
      </c>
      <c r="X14" s="696">
        <f t="shared" si="13"/>
        <v>120846</v>
      </c>
      <c r="Y14" s="696">
        <f t="shared" si="3"/>
        <v>33287</v>
      </c>
      <c r="Z14" s="693">
        <v>39111</v>
      </c>
      <c r="AA14" s="696">
        <f t="shared" si="14"/>
        <v>10443</v>
      </c>
      <c r="AB14" s="693">
        <v>16242</v>
      </c>
      <c r="AC14" s="696">
        <f t="shared" si="15"/>
        <v>106793</v>
      </c>
      <c r="AD14" s="508">
        <f t="shared" si="16"/>
        <v>1.22</v>
      </c>
      <c r="AE14" s="508">
        <f t="shared" si="17"/>
        <v>1.49</v>
      </c>
      <c r="AF14" s="679">
        <v>1</v>
      </c>
      <c r="AG14" s="679">
        <v>1</v>
      </c>
      <c r="AH14" s="697">
        <f t="shared" si="18"/>
        <v>1.1200000000000001</v>
      </c>
      <c r="AI14" s="698">
        <v>1</v>
      </c>
      <c r="AJ14" s="699">
        <f t="shared" si="4"/>
        <v>1.1232899999999999</v>
      </c>
      <c r="AK14" s="698">
        <v>1</v>
      </c>
      <c r="AL14" s="700">
        <f t="shared" si="19"/>
        <v>18526.150000000001</v>
      </c>
      <c r="AM14" s="701">
        <v>34139.300000000003</v>
      </c>
      <c r="AN14" s="702">
        <f t="shared" si="20"/>
        <v>15613.15</v>
      </c>
      <c r="AO14" s="703">
        <v>0.757656</v>
      </c>
      <c r="AP14" s="704">
        <f t="shared" si="21"/>
        <v>11829</v>
      </c>
      <c r="AQ14" s="705">
        <f t="shared" si="22"/>
        <v>15401</v>
      </c>
      <c r="AS14" s="706">
        <f t="shared" si="5"/>
        <v>3</v>
      </c>
      <c r="AT14" s="707">
        <f t="shared" si="6"/>
        <v>27285.73</v>
      </c>
      <c r="AV14" s="201">
        <f t="shared" si="23"/>
        <v>46.89</v>
      </c>
    </row>
    <row r="15" spans="1:48" ht="24" x14ac:dyDescent="0.25">
      <c r="A15" s="644" t="s">
        <v>415</v>
      </c>
      <c r="B15" s="692">
        <f t="shared" si="7"/>
        <v>65001</v>
      </c>
      <c r="C15" s="692">
        <f t="shared" si="8"/>
        <v>56057</v>
      </c>
      <c r="D15" s="692">
        <f t="shared" si="9"/>
        <v>8944</v>
      </c>
      <c r="E15" s="692">
        <f t="shared" si="0"/>
        <v>49600</v>
      </c>
      <c r="F15" s="692">
        <f t="shared" si="1"/>
        <v>40656</v>
      </c>
      <c r="G15" s="692">
        <f t="shared" si="10"/>
        <v>8944</v>
      </c>
      <c r="H15" s="675">
        <v>12</v>
      </c>
      <c r="I15" s="675">
        <f t="shared" si="2"/>
        <v>60</v>
      </c>
      <c r="J15" s="675">
        <v>36</v>
      </c>
      <c r="K15" s="693">
        <v>13772</v>
      </c>
      <c r="L15" s="646">
        <v>1.01525</v>
      </c>
      <c r="M15" s="694">
        <f t="shared" si="11"/>
        <v>13982</v>
      </c>
      <c r="N15" s="677">
        <v>1.302</v>
      </c>
      <c r="O15" s="678">
        <v>1.325</v>
      </c>
      <c r="P15" s="695">
        <v>1.01</v>
      </c>
      <c r="Q15" s="675">
        <v>12</v>
      </c>
      <c r="R15" s="675">
        <v>20</v>
      </c>
      <c r="S15" s="506">
        <f>13.39-2</f>
        <v>11.39</v>
      </c>
      <c r="T15" s="506">
        <v>0</v>
      </c>
      <c r="U15" s="508">
        <f t="shared" si="12"/>
        <v>5</v>
      </c>
      <c r="V15" s="506">
        <v>6.39</v>
      </c>
      <c r="W15" s="506">
        <v>5.01</v>
      </c>
      <c r="X15" s="696">
        <f t="shared" si="13"/>
        <v>120846</v>
      </c>
      <c r="Y15" s="696">
        <f t="shared" si="3"/>
        <v>33287</v>
      </c>
      <c r="Z15" s="693">
        <v>39111</v>
      </c>
      <c r="AA15" s="696">
        <f t="shared" si="14"/>
        <v>10443</v>
      </c>
      <c r="AB15" s="693">
        <v>16242</v>
      </c>
      <c r="AC15" s="696">
        <f t="shared" si="15"/>
        <v>106793</v>
      </c>
      <c r="AD15" s="508">
        <f t="shared" si="16"/>
        <v>1.22</v>
      </c>
      <c r="AE15" s="508">
        <f t="shared" si="17"/>
        <v>1.49</v>
      </c>
      <c r="AF15" s="679">
        <v>1</v>
      </c>
      <c r="AG15" s="679">
        <v>1</v>
      </c>
      <c r="AH15" s="697">
        <f t="shared" si="18"/>
        <v>1.1200000000000001</v>
      </c>
      <c r="AI15" s="698">
        <v>1</v>
      </c>
      <c r="AJ15" s="699">
        <f t="shared" si="4"/>
        <v>1.1232899999999999</v>
      </c>
      <c r="AK15" s="698">
        <v>1</v>
      </c>
      <c r="AL15" s="700">
        <f t="shared" si="19"/>
        <v>18526.150000000001</v>
      </c>
      <c r="AM15" s="701">
        <v>34139.300000000003</v>
      </c>
      <c r="AN15" s="702">
        <f t="shared" si="20"/>
        <v>15613.15</v>
      </c>
      <c r="AO15" s="703">
        <v>0.757656</v>
      </c>
      <c r="AP15" s="704">
        <f t="shared" si="21"/>
        <v>11829</v>
      </c>
      <c r="AQ15" s="705">
        <f t="shared" si="22"/>
        <v>15401</v>
      </c>
      <c r="AS15" s="706">
        <f t="shared" si="5"/>
        <v>3</v>
      </c>
      <c r="AT15" s="707">
        <f t="shared" si="6"/>
        <v>27285.73</v>
      </c>
      <c r="AV15" s="201">
        <f t="shared" si="23"/>
        <v>46.89</v>
      </c>
    </row>
    <row r="16" spans="1:48" ht="24" x14ac:dyDescent="0.25">
      <c r="A16" s="708" t="s">
        <v>416</v>
      </c>
      <c r="B16" s="692">
        <f t="shared" si="7"/>
        <v>175785</v>
      </c>
      <c r="C16" s="692">
        <f t="shared" si="8"/>
        <v>136192</v>
      </c>
      <c r="D16" s="692">
        <f t="shared" si="9"/>
        <v>39593</v>
      </c>
      <c r="E16" s="692">
        <f t="shared" si="0"/>
        <v>143787</v>
      </c>
      <c r="F16" s="692">
        <f t="shared" si="1"/>
        <v>104194</v>
      </c>
      <c r="G16" s="692">
        <f t="shared" si="10"/>
        <v>39593</v>
      </c>
      <c r="H16" s="675">
        <v>12</v>
      </c>
      <c r="I16" s="675">
        <f t="shared" si="2"/>
        <v>60</v>
      </c>
      <c r="J16" s="675">
        <v>25</v>
      </c>
      <c r="K16" s="693">
        <v>13772</v>
      </c>
      <c r="L16" s="646">
        <v>1.01525</v>
      </c>
      <c r="M16" s="694">
        <f t="shared" si="11"/>
        <v>13982</v>
      </c>
      <c r="N16" s="677">
        <v>1.302</v>
      </c>
      <c r="O16" s="709">
        <v>1.4750000000000001</v>
      </c>
      <c r="P16" s="695">
        <v>1.01</v>
      </c>
      <c r="Q16" s="675">
        <v>12</v>
      </c>
      <c r="R16" s="675">
        <v>12</v>
      </c>
      <c r="S16" s="506">
        <f>18.58-2</f>
        <v>16.579999999999998</v>
      </c>
      <c r="T16" s="506">
        <v>0</v>
      </c>
      <c r="U16" s="508">
        <f t="shared" si="12"/>
        <v>5</v>
      </c>
      <c r="V16" s="506">
        <v>11.58</v>
      </c>
      <c r="W16" s="506">
        <v>7.2</v>
      </c>
      <c r="X16" s="696">
        <f t="shared" si="13"/>
        <v>193332</v>
      </c>
      <c r="Y16" s="696">
        <f t="shared" si="3"/>
        <v>117610</v>
      </c>
      <c r="Z16" s="693">
        <v>39111</v>
      </c>
      <c r="AA16" s="696">
        <f t="shared" si="14"/>
        <v>10443</v>
      </c>
      <c r="AB16" s="693">
        <v>16242</v>
      </c>
      <c r="AC16" s="696">
        <f t="shared" si="15"/>
        <v>106793</v>
      </c>
      <c r="AD16" s="508">
        <f t="shared" si="16"/>
        <v>1.38</v>
      </c>
      <c r="AE16" s="508">
        <f t="shared" si="17"/>
        <v>1.38</v>
      </c>
      <c r="AF16" s="679">
        <v>1</v>
      </c>
      <c r="AG16" s="679">
        <v>1</v>
      </c>
      <c r="AH16" s="697">
        <f t="shared" si="18"/>
        <v>1.1599999999999999</v>
      </c>
      <c r="AI16" s="698">
        <v>1</v>
      </c>
      <c r="AJ16" s="710">
        <f t="shared" ref="AJ16:AJ19" si="24">1+(56+3)/365</f>
        <v>1.16164</v>
      </c>
      <c r="AK16" s="698">
        <v>1</v>
      </c>
      <c r="AL16" s="700">
        <f t="shared" si="19"/>
        <v>20623.45</v>
      </c>
      <c r="AM16" s="701">
        <v>34139.300000000003</v>
      </c>
      <c r="AN16" s="702">
        <f t="shared" si="20"/>
        <v>13515.85</v>
      </c>
      <c r="AO16" s="703">
        <v>0.757656</v>
      </c>
      <c r="AP16" s="704">
        <f t="shared" si="21"/>
        <v>10240</v>
      </c>
      <c r="AQ16" s="705">
        <f t="shared" si="22"/>
        <v>31998</v>
      </c>
      <c r="AS16" s="706">
        <f t="shared" si="5"/>
        <v>5</v>
      </c>
      <c r="AT16" s="707">
        <f t="shared" si="6"/>
        <v>31459.49</v>
      </c>
      <c r="AV16" s="201">
        <f t="shared" si="23"/>
        <v>113.76</v>
      </c>
    </row>
    <row r="17" spans="1:48" ht="48" x14ac:dyDescent="0.25">
      <c r="A17" s="643" t="s">
        <v>417</v>
      </c>
      <c r="B17" s="692">
        <f t="shared" si="7"/>
        <v>210943</v>
      </c>
      <c r="C17" s="692">
        <f t="shared" si="8"/>
        <v>163431</v>
      </c>
      <c r="D17" s="692">
        <f t="shared" si="9"/>
        <v>47512</v>
      </c>
      <c r="E17" s="692">
        <f t="shared" si="0"/>
        <v>172545</v>
      </c>
      <c r="F17" s="692">
        <f t="shared" si="1"/>
        <v>125033</v>
      </c>
      <c r="G17" s="692">
        <f t="shared" si="10"/>
        <v>47512</v>
      </c>
      <c r="H17" s="675">
        <v>12</v>
      </c>
      <c r="I17" s="675">
        <f t="shared" si="2"/>
        <v>60</v>
      </c>
      <c r="J17" s="675">
        <v>25</v>
      </c>
      <c r="K17" s="693">
        <v>13772</v>
      </c>
      <c r="L17" s="646">
        <v>1.01525</v>
      </c>
      <c r="M17" s="694">
        <f t="shared" si="11"/>
        <v>13982</v>
      </c>
      <c r="N17" s="677">
        <v>1.302</v>
      </c>
      <c r="O17" s="709">
        <v>1.4750000000000001</v>
      </c>
      <c r="P17" s="695">
        <v>1.01</v>
      </c>
      <c r="Q17" s="675">
        <v>12</v>
      </c>
      <c r="R17" s="675">
        <v>10</v>
      </c>
      <c r="S17" s="506">
        <f>18.58-2</f>
        <v>16.579999999999998</v>
      </c>
      <c r="T17" s="506">
        <v>0</v>
      </c>
      <c r="U17" s="508">
        <f t="shared" si="12"/>
        <v>5</v>
      </c>
      <c r="V17" s="506">
        <v>11.58</v>
      </c>
      <c r="W17" s="506">
        <v>7.2</v>
      </c>
      <c r="X17" s="696">
        <f t="shared" si="13"/>
        <v>193332</v>
      </c>
      <c r="Y17" s="696">
        <f t="shared" si="3"/>
        <v>117610</v>
      </c>
      <c r="Z17" s="693">
        <v>39111</v>
      </c>
      <c r="AA17" s="696">
        <f t="shared" si="14"/>
        <v>10443</v>
      </c>
      <c r="AB17" s="693">
        <v>16242</v>
      </c>
      <c r="AC17" s="696">
        <f t="shared" si="15"/>
        <v>106793</v>
      </c>
      <c r="AD17" s="508">
        <f t="shared" si="16"/>
        <v>1.38</v>
      </c>
      <c r="AE17" s="508">
        <f t="shared" si="17"/>
        <v>1.38</v>
      </c>
      <c r="AF17" s="679">
        <v>1</v>
      </c>
      <c r="AG17" s="679">
        <v>1</v>
      </c>
      <c r="AH17" s="697">
        <f t="shared" si="18"/>
        <v>1.1599999999999999</v>
      </c>
      <c r="AI17" s="698">
        <v>1</v>
      </c>
      <c r="AJ17" s="710">
        <f t="shared" si="24"/>
        <v>1.16164</v>
      </c>
      <c r="AK17" s="698">
        <v>1</v>
      </c>
      <c r="AL17" s="700">
        <f t="shared" si="19"/>
        <v>20623.45</v>
      </c>
      <c r="AM17" s="701">
        <v>34139.300000000003</v>
      </c>
      <c r="AN17" s="702">
        <f t="shared" si="20"/>
        <v>13515.85</v>
      </c>
      <c r="AO17" s="703">
        <v>0.757656</v>
      </c>
      <c r="AP17" s="704">
        <f t="shared" si="21"/>
        <v>10240</v>
      </c>
      <c r="AQ17" s="705">
        <f t="shared" si="22"/>
        <v>38398</v>
      </c>
      <c r="AS17" s="706">
        <f t="shared" si="5"/>
        <v>6</v>
      </c>
      <c r="AT17" s="707">
        <f t="shared" si="6"/>
        <v>31459.49</v>
      </c>
      <c r="AV17" s="201">
        <f t="shared" si="23"/>
        <v>136.51</v>
      </c>
    </row>
    <row r="18" spans="1:48" ht="48" x14ac:dyDescent="0.25">
      <c r="A18" s="643" t="s">
        <v>422</v>
      </c>
      <c r="B18" s="692">
        <f t="shared" si="7"/>
        <v>353564</v>
      </c>
      <c r="C18" s="692">
        <f t="shared" si="8"/>
        <v>276914</v>
      </c>
      <c r="D18" s="692">
        <f t="shared" si="9"/>
        <v>76650</v>
      </c>
      <c r="E18" s="692">
        <f t="shared" si="0"/>
        <v>289568</v>
      </c>
      <c r="F18" s="692">
        <f t="shared" si="1"/>
        <v>212918</v>
      </c>
      <c r="G18" s="692">
        <f t="shared" si="10"/>
        <v>76650</v>
      </c>
      <c r="H18" s="675">
        <v>12</v>
      </c>
      <c r="I18" s="675">
        <f t="shared" si="2"/>
        <v>60</v>
      </c>
      <c r="J18" s="675">
        <v>25</v>
      </c>
      <c r="K18" s="693">
        <v>13772</v>
      </c>
      <c r="L18" s="646">
        <v>1.01525</v>
      </c>
      <c r="M18" s="694">
        <f t="shared" si="11"/>
        <v>13982</v>
      </c>
      <c r="N18" s="677">
        <v>1.302</v>
      </c>
      <c r="O18" s="709">
        <v>1.4750000000000001</v>
      </c>
      <c r="P18" s="695">
        <v>1.01</v>
      </c>
      <c r="Q18" s="675">
        <v>12</v>
      </c>
      <c r="R18" s="675">
        <v>6</v>
      </c>
      <c r="S18" s="506">
        <f>18.95-2</f>
        <v>16.95</v>
      </c>
      <c r="T18" s="506">
        <v>0</v>
      </c>
      <c r="U18" s="508">
        <f t="shared" si="12"/>
        <v>5.75</v>
      </c>
      <c r="V18" s="506">
        <v>11.2</v>
      </c>
      <c r="W18" s="506">
        <v>7.2</v>
      </c>
      <c r="X18" s="696">
        <f t="shared" si="13"/>
        <v>193332</v>
      </c>
      <c r="Y18" s="696">
        <f t="shared" si="3"/>
        <v>107407</v>
      </c>
      <c r="Z18" s="693">
        <v>39111</v>
      </c>
      <c r="AA18" s="696">
        <f t="shared" si="14"/>
        <v>10443</v>
      </c>
      <c r="AB18" s="693">
        <v>16242</v>
      </c>
      <c r="AC18" s="696">
        <f t="shared" si="15"/>
        <v>122812</v>
      </c>
      <c r="AD18" s="508">
        <f t="shared" si="16"/>
        <v>1.36</v>
      </c>
      <c r="AE18" s="508">
        <f t="shared" si="17"/>
        <v>1.41</v>
      </c>
      <c r="AF18" s="679">
        <v>1</v>
      </c>
      <c r="AG18" s="679">
        <v>1</v>
      </c>
      <c r="AH18" s="697">
        <f t="shared" si="18"/>
        <v>1.1599999999999999</v>
      </c>
      <c r="AI18" s="698">
        <v>1</v>
      </c>
      <c r="AJ18" s="710">
        <f t="shared" si="24"/>
        <v>1.16164</v>
      </c>
      <c r="AK18" s="698">
        <v>1</v>
      </c>
      <c r="AL18" s="700">
        <f t="shared" si="19"/>
        <v>20623.45</v>
      </c>
      <c r="AM18" s="701">
        <v>34139.300000000003</v>
      </c>
      <c r="AN18" s="702">
        <f t="shared" si="20"/>
        <v>13515.85</v>
      </c>
      <c r="AO18" s="703">
        <v>0.757656</v>
      </c>
      <c r="AP18" s="704">
        <f t="shared" si="21"/>
        <v>10240</v>
      </c>
      <c r="AQ18" s="705">
        <f t="shared" si="22"/>
        <v>63996</v>
      </c>
      <c r="AS18" s="706">
        <f t="shared" si="5"/>
        <v>10</v>
      </c>
      <c r="AT18" s="707">
        <f t="shared" si="6"/>
        <v>31459.49</v>
      </c>
      <c r="AV18" s="201">
        <f t="shared" si="23"/>
        <v>232.59</v>
      </c>
    </row>
    <row r="19" spans="1:48" ht="48" x14ac:dyDescent="0.25">
      <c r="A19" s="643" t="s">
        <v>418</v>
      </c>
      <c r="B19" s="692">
        <f t="shared" si="7"/>
        <v>263678</v>
      </c>
      <c r="C19" s="692">
        <f t="shared" si="8"/>
        <v>204288</v>
      </c>
      <c r="D19" s="692">
        <f t="shared" si="9"/>
        <v>59390</v>
      </c>
      <c r="E19" s="692">
        <f t="shared" si="0"/>
        <v>215681</v>
      </c>
      <c r="F19" s="692">
        <f t="shared" si="1"/>
        <v>156291</v>
      </c>
      <c r="G19" s="692">
        <f t="shared" si="10"/>
        <v>59390</v>
      </c>
      <c r="H19" s="675">
        <v>12</v>
      </c>
      <c r="I19" s="675">
        <f t="shared" si="2"/>
        <v>60</v>
      </c>
      <c r="J19" s="675">
        <v>25</v>
      </c>
      <c r="K19" s="693">
        <v>13772</v>
      </c>
      <c r="L19" s="646">
        <v>1.01525</v>
      </c>
      <c r="M19" s="694">
        <f t="shared" si="11"/>
        <v>13982</v>
      </c>
      <c r="N19" s="677">
        <v>1.302</v>
      </c>
      <c r="O19" s="709">
        <v>1.4750000000000001</v>
      </c>
      <c r="P19" s="695">
        <v>1.01</v>
      </c>
      <c r="Q19" s="675">
        <v>12</v>
      </c>
      <c r="R19" s="675">
        <v>8</v>
      </c>
      <c r="S19" s="506">
        <f>18.58-2</f>
        <v>16.579999999999998</v>
      </c>
      <c r="T19" s="506">
        <v>0</v>
      </c>
      <c r="U19" s="508">
        <f t="shared" si="12"/>
        <v>5</v>
      </c>
      <c r="V19" s="506">
        <v>11.58</v>
      </c>
      <c r="W19" s="506">
        <v>7.2</v>
      </c>
      <c r="X19" s="696">
        <f t="shared" si="13"/>
        <v>193332</v>
      </c>
      <c r="Y19" s="696">
        <f t="shared" si="3"/>
        <v>117610</v>
      </c>
      <c r="Z19" s="693">
        <v>39111</v>
      </c>
      <c r="AA19" s="696">
        <f t="shared" si="14"/>
        <v>10443</v>
      </c>
      <c r="AB19" s="693">
        <v>16242</v>
      </c>
      <c r="AC19" s="696">
        <f t="shared" si="15"/>
        <v>106793</v>
      </c>
      <c r="AD19" s="508">
        <f t="shared" si="16"/>
        <v>1.38</v>
      </c>
      <c r="AE19" s="508">
        <f t="shared" si="17"/>
        <v>1.38</v>
      </c>
      <c r="AF19" s="679">
        <v>1</v>
      </c>
      <c r="AG19" s="679">
        <v>1</v>
      </c>
      <c r="AH19" s="697">
        <f t="shared" si="18"/>
        <v>1.1599999999999999</v>
      </c>
      <c r="AI19" s="698">
        <v>1</v>
      </c>
      <c r="AJ19" s="710">
        <f t="shared" si="24"/>
        <v>1.16164</v>
      </c>
      <c r="AK19" s="698">
        <v>1</v>
      </c>
      <c r="AL19" s="700">
        <f t="shared" si="19"/>
        <v>20623.45</v>
      </c>
      <c r="AM19" s="701">
        <v>34139.300000000003</v>
      </c>
      <c r="AN19" s="702">
        <f t="shared" si="20"/>
        <v>13515.85</v>
      </c>
      <c r="AO19" s="703">
        <v>0.757656</v>
      </c>
      <c r="AP19" s="704">
        <f t="shared" si="21"/>
        <v>10240</v>
      </c>
      <c r="AQ19" s="705">
        <f t="shared" si="22"/>
        <v>47997</v>
      </c>
      <c r="AS19" s="706">
        <f t="shared" si="5"/>
        <v>7.5</v>
      </c>
      <c r="AT19" s="707">
        <f t="shared" si="6"/>
        <v>31459.49</v>
      </c>
      <c r="AV19" s="201">
        <f t="shared" si="23"/>
        <v>170.64</v>
      </c>
    </row>
    <row r="20" spans="1:48" x14ac:dyDescent="0.25">
      <c r="A20" s="708" t="s">
        <v>423</v>
      </c>
      <c r="B20" s="692">
        <f t="shared" si="7"/>
        <v>85235</v>
      </c>
      <c r="C20" s="692">
        <f t="shared" si="8"/>
        <v>75834</v>
      </c>
      <c r="D20" s="692">
        <f t="shared" si="9"/>
        <v>9401</v>
      </c>
      <c r="E20" s="692">
        <f t="shared" si="0"/>
        <v>64700</v>
      </c>
      <c r="F20" s="692">
        <f t="shared" si="1"/>
        <v>55299</v>
      </c>
      <c r="G20" s="692">
        <f t="shared" si="10"/>
        <v>9401</v>
      </c>
      <c r="H20" s="675">
        <v>12</v>
      </c>
      <c r="I20" s="675">
        <f t="shared" si="2"/>
        <v>60</v>
      </c>
      <c r="J20" s="675">
        <v>36</v>
      </c>
      <c r="K20" s="693">
        <v>13772</v>
      </c>
      <c r="L20" s="646">
        <v>1.01525</v>
      </c>
      <c r="M20" s="694">
        <f t="shared" si="11"/>
        <v>13982</v>
      </c>
      <c r="N20" s="677">
        <v>1.302</v>
      </c>
      <c r="O20" s="678">
        <v>1.325</v>
      </c>
      <c r="P20" s="695">
        <v>1.01</v>
      </c>
      <c r="Q20" s="675">
        <v>12</v>
      </c>
      <c r="R20" s="675">
        <v>15</v>
      </c>
      <c r="S20" s="506">
        <f>13.76-2</f>
        <v>11.76</v>
      </c>
      <c r="T20" s="506">
        <v>0</v>
      </c>
      <c r="U20" s="508">
        <f t="shared" si="12"/>
        <v>5.75</v>
      </c>
      <c r="V20" s="506">
        <v>6.01</v>
      </c>
      <c r="W20" s="506">
        <v>5.01</v>
      </c>
      <c r="X20" s="696">
        <f t="shared" si="13"/>
        <v>120846</v>
      </c>
      <c r="Y20" s="696">
        <f t="shared" si="3"/>
        <v>24121</v>
      </c>
      <c r="Z20" s="693">
        <v>39111</v>
      </c>
      <c r="AA20" s="696">
        <f t="shared" si="14"/>
        <v>10443</v>
      </c>
      <c r="AB20" s="693">
        <v>16242</v>
      </c>
      <c r="AC20" s="696">
        <f t="shared" si="15"/>
        <v>122812</v>
      </c>
      <c r="AD20" s="508">
        <f t="shared" si="16"/>
        <v>1.17</v>
      </c>
      <c r="AE20" s="508">
        <f t="shared" si="17"/>
        <v>1.52</v>
      </c>
      <c r="AF20" s="679">
        <v>1</v>
      </c>
      <c r="AG20" s="679">
        <v>1</v>
      </c>
      <c r="AH20" s="697">
        <f t="shared" si="18"/>
        <v>1.1200000000000001</v>
      </c>
      <c r="AI20" s="698">
        <v>1</v>
      </c>
      <c r="AJ20" s="699">
        <f t="shared" ref="AJ20:AJ24" si="25">1+(42+3)/365</f>
        <v>1.1232899999999999</v>
      </c>
      <c r="AK20" s="698">
        <v>1</v>
      </c>
      <c r="AL20" s="700">
        <f t="shared" si="19"/>
        <v>18526.150000000001</v>
      </c>
      <c r="AM20" s="701">
        <v>34139.300000000003</v>
      </c>
      <c r="AN20" s="702">
        <f t="shared" si="20"/>
        <v>15613.15</v>
      </c>
      <c r="AO20" s="703">
        <v>0.757656</v>
      </c>
      <c r="AP20" s="704">
        <f t="shared" si="21"/>
        <v>11829</v>
      </c>
      <c r="AQ20" s="705">
        <f t="shared" si="22"/>
        <v>20535</v>
      </c>
      <c r="AS20" s="706">
        <f t="shared" si="5"/>
        <v>4</v>
      </c>
      <c r="AT20" s="707">
        <f t="shared" si="6"/>
        <v>27285.73</v>
      </c>
      <c r="AV20" s="201">
        <f t="shared" si="23"/>
        <v>64.55</v>
      </c>
    </row>
    <row r="21" spans="1:48" ht="24" x14ac:dyDescent="0.25">
      <c r="A21" s="643" t="s">
        <v>419</v>
      </c>
      <c r="B21" s="692">
        <f t="shared" si="7"/>
        <v>65001</v>
      </c>
      <c r="C21" s="692">
        <f t="shared" si="8"/>
        <v>56057</v>
      </c>
      <c r="D21" s="692">
        <f t="shared" si="9"/>
        <v>8944</v>
      </c>
      <c r="E21" s="692">
        <f t="shared" si="0"/>
        <v>49600</v>
      </c>
      <c r="F21" s="692">
        <f t="shared" si="1"/>
        <v>40656</v>
      </c>
      <c r="G21" s="692">
        <f t="shared" si="10"/>
        <v>8944</v>
      </c>
      <c r="H21" s="675">
        <v>12</v>
      </c>
      <c r="I21" s="675">
        <f t="shared" si="2"/>
        <v>60</v>
      </c>
      <c r="J21" s="675">
        <v>36</v>
      </c>
      <c r="K21" s="693">
        <v>13772</v>
      </c>
      <c r="L21" s="646">
        <v>1.01525</v>
      </c>
      <c r="M21" s="694">
        <f t="shared" si="11"/>
        <v>13982</v>
      </c>
      <c r="N21" s="677">
        <v>1.302</v>
      </c>
      <c r="O21" s="678">
        <v>1.325</v>
      </c>
      <c r="P21" s="695">
        <v>1.01</v>
      </c>
      <c r="Q21" s="675">
        <v>12</v>
      </c>
      <c r="R21" s="675">
        <v>20</v>
      </c>
      <c r="S21" s="506">
        <f>13.39-2</f>
        <v>11.39</v>
      </c>
      <c r="T21" s="506">
        <v>0</v>
      </c>
      <c r="U21" s="508">
        <f t="shared" si="12"/>
        <v>5</v>
      </c>
      <c r="V21" s="506">
        <v>6.39</v>
      </c>
      <c r="W21" s="506">
        <v>5.01</v>
      </c>
      <c r="X21" s="696">
        <f t="shared" si="13"/>
        <v>120846</v>
      </c>
      <c r="Y21" s="696">
        <f t="shared" si="3"/>
        <v>33287</v>
      </c>
      <c r="Z21" s="693">
        <v>39111</v>
      </c>
      <c r="AA21" s="696">
        <f t="shared" si="14"/>
        <v>10443</v>
      </c>
      <c r="AB21" s="693">
        <v>16242</v>
      </c>
      <c r="AC21" s="696">
        <f t="shared" si="15"/>
        <v>106793</v>
      </c>
      <c r="AD21" s="508">
        <f t="shared" si="16"/>
        <v>1.22</v>
      </c>
      <c r="AE21" s="508">
        <f t="shared" si="17"/>
        <v>1.49</v>
      </c>
      <c r="AF21" s="679">
        <v>1</v>
      </c>
      <c r="AG21" s="679">
        <v>1</v>
      </c>
      <c r="AH21" s="697">
        <f t="shared" si="18"/>
        <v>1.1200000000000001</v>
      </c>
      <c r="AI21" s="698">
        <v>1</v>
      </c>
      <c r="AJ21" s="699">
        <f t="shared" si="25"/>
        <v>1.1232899999999999</v>
      </c>
      <c r="AK21" s="698">
        <v>1</v>
      </c>
      <c r="AL21" s="700">
        <f t="shared" si="19"/>
        <v>18526.150000000001</v>
      </c>
      <c r="AM21" s="701">
        <v>34139.300000000003</v>
      </c>
      <c r="AN21" s="702">
        <f t="shared" si="20"/>
        <v>15613.15</v>
      </c>
      <c r="AO21" s="703">
        <v>0.757656</v>
      </c>
      <c r="AP21" s="704">
        <f t="shared" si="21"/>
        <v>11829</v>
      </c>
      <c r="AQ21" s="705">
        <f t="shared" si="22"/>
        <v>15401</v>
      </c>
      <c r="AS21" s="706">
        <f t="shared" si="5"/>
        <v>3</v>
      </c>
      <c r="AT21" s="707">
        <f t="shared" si="6"/>
        <v>27285.73</v>
      </c>
      <c r="AV21" s="201">
        <f t="shared" si="23"/>
        <v>46.89</v>
      </c>
    </row>
    <row r="22" spans="1:48" x14ac:dyDescent="0.25">
      <c r="A22" s="708" t="s">
        <v>424</v>
      </c>
      <c r="B22" s="692">
        <f t="shared" si="7"/>
        <v>137836</v>
      </c>
      <c r="C22" s="692">
        <f t="shared" si="8"/>
        <v>117789</v>
      </c>
      <c r="D22" s="692">
        <f t="shared" si="9"/>
        <v>20047</v>
      </c>
      <c r="E22" s="692">
        <f t="shared" si="0"/>
        <v>111171</v>
      </c>
      <c r="F22" s="692">
        <f t="shared" si="1"/>
        <v>91124</v>
      </c>
      <c r="G22" s="692">
        <f t="shared" si="10"/>
        <v>20047</v>
      </c>
      <c r="H22" s="675">
        <v>12</v>
      </c>
      <c r="I22" s="675">
        <f t="shared" si="2"/>
        <v>60</v>
      </c>
      <c r="J22" s="675">
        <v>36</v>
      </c>
      <c r="K22" s="693">
        <v>13772</v>
      </c>
      <c r="L22" s="646">
        <v>1.01525</v>
      </c>
      <c r="M22" s="694">
        <f t="shared" si="11"/>
        <v>13982</v>
      </c>
      <c r="N22" s="677">
        <v>1.302</v>
      </c>
      <c r="O22" s="709">
        <v>1.4750000000000001</v>
      </c>
      <c r="P22" s="695">
        <v>1.01</v>
      </c>
      <c r="Q22" s="675">
        <v>12</v>
      </c>
      <c r="R22" s="675">
        <v>10</v>
      </c>
      <c r="S22" s="506">
        <f>14.14-2</f>
        <v>12.14</v>
      </c>
      <c r="T22" s="506">
        <v>0</v>
      </c>
      <c r="U22" s="508">
        <f t="shared" si="12"/>
        <v>5.75</v>
      </c>
      <c r="V22" s="506">
        <v>6.39</v>
      </c>
      <c r="W22" s="506">
        <v>5.01</v>
      </c>
      <c r="X22" s="696">
        <f t="shared" si="13"/>
        <v>134527</v>
      </c>
      <c r="Y22" s="696">
        <f t="shared" si="3"/>
        <v>37055</v>
      </c>
      <c r="Z22" s="693">
        <v>39111</v>
      </c>
      <c r="AA22" s="696">
        <f t="shared" si="14"/>
        <v>10443</v>
      </c>
      <c r="AB22" s="693">
        <v>16242</v>
      </c>
      <c r="AC22" s="696">
        <f t="shared" si="15"/>
        <v>122812</v>
      </c>
      <c r="AD22" s="508">
        <f t="shared" si="16"/>
        <v>1.22</v>
      </c>
      <c r="AE22" s="508">
        <f t="shared" si="17"/>
        <v>1.5</v>
      </c>
      <c r="AF22" s="679">
        <v>1</v>
      </c>
      <c r="AG22" s="679">
        <v>1</v>
      </c>
      <c r="AH22" s="697">
        <f t="shared" si="18"/>
        <v>1.1200000000000001</v>
      </c>
      <c r="AI22" s="698">
        <v>1</v>
      </c>
      <c r="AJ22" s="699">
        <f t="shared" si="25"/>
        <v>1.1232899999999999</v>
      </c>
      <c r="AK22" s="698">
        <v>1</v>
      </c>
      <c r="AL22" s="700">
        <f t="shared" si="19"/>
        <v>20623.45</v>
      </c>
      <c r="AM22" s="701">
        <v>34139.300000000003</v>
      </c>
      <c r="AN22" s="702">
        <f t="shared" si="20"/>
        <v>13515.85</v>
      </c>
      <c r="AO22" s="703">
        <v>0.757656</v>
      </c>
      <c r="AP22" s="704">
        <f t="shared" si="21"/>
        <v>10240</v>
      </c>
      <c r="AQ22" s="705">
        <f t="shared" si="22"/>
        <v>26665</v>
      </c>
      <c r="AS22" s="706">
        <f t="shared" si="5"/>
        <v>6</v>
      </c>
      <c r="AT22" s="707">
        <f t="shared" si="6"/>
        <v>30374.68</v>
      </c>
      <c r="AV22" s="201">
        <f t="shared" si="23"/>
        <v>99.95</v>
      </c>
    </row>
    <row r="23" spans="1:48" ht="24" x14ac:dyDescent="0.25">
      <c r="A23" s="643" t="s">
        <v>420</v>
      </c>
      <c r="B23" s="692">
        <f t="shared" si="7"/>
        <v>99417</v>
      </c>
      <c r="C23" s="692">
        <f t="shared" si="8"/>
        <v>82833</v>
      </c>
      <c r="D23" s="692">
        <f t="shared" si="9"/>
        <v>16584</v>
      </c>
      <c r="E23" s="692">
        <f t="shared" si="0"/>
        <v>80371</v>
      </c>
      <c r="F23" s="692">
        <f t="shared" si="1"/>
        <v>63787</v>
      </c>
      <c r="G23" s="692">
        <f t="shared" si="10"/>
        <v>16584</v>
      </c>
      <c r="H23" s="675">
        <v>12</v>
      </c>
      <c r="I23" s="675">
        <f t="shared" si="2"/>
        <v>60</v>
      </c>
      <c r="J23" s="675">
        <v>36</v>
      </c>
      <c r="K23" s="693">
        <v>13772</v>
      </c>
      <c r="L23" s="646">
        <v>1.01525</v>
      </c>
      <c r="M23" s="694">
        <f t="shared" si="11"/>
        <v>13982</v>
      </c>
      <c r="N23" s="677">
        <v>1.302</v>
      </c>
      <c r="O23" s="709">
        <v>1.4750000000000001</v>
      </c>
      <c r="P23" s="695">
        <v>1.01</v>
      </c>
      <c r="Q23" s="675">
        <v>12</v>
      </c>
      <c r="R23" s="675">
        <v>14</v>
      </c>
      <c r="S23" s="506">
        <f>13.77-2</f>
        <v>11.77</v>
      </c>
      <c r="T23" s="506">
        <v>0</v>
      </c>
      <c r="U23" s="508">
        <f t="shared" si="12"/>
        <v>5</v>
      </c>
      <c r="V23" s="506">
        <v>6.77</v>
      </c>
      <c r="W23" s="506">
        <v>5.01</v>
      </c>
      <c r="X23" s="696">
        <f t="shared" si="13"/>
        <v>134527</v>
      </c>
      <c r="Y23" s="696">
        <f t="shared" si="3"/>
        <v>47259</v>
      </c>
      <c r="Z23" s="693">
        <v>39111</v>
      </c>
      <c r="AA23" s="696">
        <f t="shared" si="14"/>
        <v>10443</v>
      </c>
      <c r="AB23" s="693">
        <v>16242</v>
      </c>
      <c r="AC23" s="696">
        <f t="shared" si="15"/>
        <v>106793</v>
      </c>
      <c r="AD23" s="508">
        <f t="shared" si="16"/>
        <v>1.26</v>
      </c>
      <c r="AE23" s="508">
        <f t="shared" si="17"/>
        <v>1.47</v>
      </c>
      <c r="AF23" s="679">
        <v>1</v>
      </c>
      <c r="AG23" s="679">
        <v>1</v>
      </c>
      <c r="AH23" s="697">
        <f t="shared" si="18"/>
        <v>1.1200000000000001</v>
      </c>
      <c r="AI23" s="698">
        <v>1</v>
      </c>
      <c r="AJ23" s="699">
        <f t="shared" si="25"/>
        <v>1.1232899999999999</v>
      </c>
      <c r="AK23" s="698">
        <v>1</v>
      </c>
      <c r="AL23" s="700">
        <f t="shared" si="19"/>
        <v>20623.45</v>
      </c>
      <c r="AM23" s="701">
        <v>34139.300000000003</v>
      </c>
      <c r="AN23" s="702">
        <f t="shared" si="20"/>
        <v>13515.85</v>
      </c>
      <c r="AO23" s="703">
        <v>0.757656</v>
      </c>
      <c r="AP23" s="704">
        <f t="shared" si="21"/>
        <v>10240</v>
      </c>
      <c r="AQ23" s="705">
        <f t="shared" si="22"/>
        <v>19046</v>
      </c>
      <c r="AS23" s="706">
        <f t="shared" si="5"/>
        <v>4.2857139999999996</v>
      </c>
      <c r="AT23" s="707">
        <f t="shared" si="6"/>
        <v>30374.68</v>
      </c>
      <c r="AV23" s="201">
        <f t="shared" si="23"/>
        <v>69.22</v>
      </c>
    </row>
    <row r="24" spans="1:48" ht="24" hidden="1" x14ac:dyDescent="0.25">
      <c r="A24" s="644" t="s">
        <v>1476</v>
      </c>
      <c r="B24" s="692">
        <f t="shared" si="7"/>
        <v>123094</v>
      </c>
      <c r="C24" s="692">
        <f t="shared" si="8"/>
        <v>113206</v>
      </c>
      <c r="D24" s="692">
        <f t="shared" si="9"/>
        <v>9888</v>
      </c>
      <c r="E24" s="692">
        <f t="shared" si="0"/>
        <v>92291</v>
      </c>
      <c r="F24" s="692">
        <f t="shared" si="1"/>
        <v>82403</v>
      </c>
      <c r="G24" s="692">
        <f t="shared" si="10"/>
        <v>9888</v>
      </c>
      <c r="H24" s="675">
        <v>24</v>
      </c>
      <c r="I24" s="675">
        <f t="shared" si="2"/>
        <v>120</v>
      </c>
      <c r="J24" s="675">
        <v>36</v>
      </c>
      <c r="K24" s="693">
        <v>13772</v>
      </c>
      <c r="L24" s="646">
        <v>1.01525</v>
      </c>
      <c r="M24" s="694">
        <f t="shared" si="11"/>
        <v>13982</v>
      </c>
      <c r="N24" s="677">
        <v>1.302</v>
      </c>
      <c r="O24" s="678">
        <v>1.325</v>
      </c>
      <c r="P24" s="695">
        <v>1.01</v>
      </c>
      <c r="Q24" s="675">
        <v>12</v>
      </c>
      <c r="R24" s="675">
        <v>20</v>
      </c>
      <c r="S24" s="714">
        <v>60.89</v>
      </c>
      <c r="T24" s="714">
        <v>1</v>
      </c>
      <c r="U24" s="715">
        <f t="shared" si="12"/>
        <v>29.5</v>
      </c>
      <c r="V24" s="714">
        <v>30.39</v>
      </c>
      <c r="W24" s="714">
        <v>26.72</v>
      </c>
      <c r="X24" s="696">
        <f t="shared" si="13"/>
        <v>644514</v>
      </c>
      <c r="Y24" s="696">
        <f t="shared" si="3"/>
        <v>88524</v>
      </c>
      <c r="Z24" s="693">
        <v>39111</v>
      </c>
      <c r="AA24" s="696">
        <f t="shared" si="14"/>
        <v>52216</v>
      </c>
      <c r="AB24" s="693">
        <v>16242</v>
      </c>
      <c r="AC24" s="696">
        <f t="shared" si="15"/>
        <v>630077</v>
      </c>
      <c r="AD24" s="508">
        <f t="shared" si="16"/>
        <v>1.1200000000000001</v>
      </c>
      <c r="AE24" s="508">
        <f t="shared" si="17"/>
        <v>1.51</v>
      </c>
      <c r="AF24" s="679">
        <v>1</v>
      </c>
      <c r="AG24" s="679">
        <v>1</v>
      </c>
      <c r="AH24" s="697">
        <f t="shared" si="18"/>
        <v>1.1200000000000001</v>
      </c>
      <c r="AI24" s="698">
        <v>1</v>
      </c>
      <c r="AJ24" s="699">
        <f t="shared" si="25"/>
        <v>1.1232899999999999</v>
      </c>
      <c r="AK24" s="698">
        <v>1</v>
      </c>
      <c r="AL24" s="700">
        <f t="shared" si="19"/>
        <v>18526.150000000001</v>
      </c>
      <c r="AM24" s="701">
        <v>34139.300000000003</v>
      </c>
      <c r="AN24" s="702">
        <f t="shared" si="20"/>
        <v>15613.15</v>
      </c>
      <c r="AO24" s="703">
        <v>0.757656</v>
      </c>
      <c r="AP24" s="704">
        <f t="shared" si="21"/>
        <v>11829</v>
      </c>
      <c r="AQ24" s="705">
        <f t="shared" si="22"/>
        <v>30803</v>
      </c>
      <c r="AS24" s="706">
        <f t="shared" si="5"/>
        <v>6</v>
      </c>
      <c r="AT24" s="707">
        <f t="shared" si="6"/>
        <v>27285.73</v>
      </c>
    </row>
  </sheetData>
  <mergeCells count="32">
    <mergeCell ref="AV5:AV6"/>
    <mergeCell ref="AT5:AT6"/>
    <mergeCell ref="AF5:AF6"/>
    <mergeCell ref="AG5:AG6"/>
    <mergeCell ref="AH5:AH6"/>
    <mergeCell ref="AI5:AK5"/>
    <mergeCell ref="AL5:AQ5"/>
    <mergeCell ref="AS5:AS6"/>
    <mergeCell ref="AE5:AE6"/>
    <mergeCell ref="O5:O6"/>
    <mergeCell ref="P5:P6"/>
    <mergeCell ref="Q5:Q6"/>
    <mergeCell ref="R5:R6"/>
    <mergeCell ref="S5:S6"/>
    <mergeCell ref="T5:W5"/>
    <mergeCell ref="X5:X6"/>
    <mergeCell ref="Y5:Y6"/>
    <mergeCell ref="Z5:AA5"/>
    <mergeCell ref="AB5:AC5"/>
    <mergeCell ref="AD5:AD6"/>
    <mergeCell ref="N5:N6"/>
    <mergeCell ref="A5:A6"/>
    <mergeCell ref="B5:B6"/>
    <mergeCell ref="C5:D5"/>
    <mergeCell ref="E5:E6"/>
    <mergeCell ref="F5:G5"/>
    <mergeCell ref="H5:H6"/>
    <mergeCell ref="I5:I6"/>
    <mergeCell ref="J5:J6"/>
    <mergeCell ref="K5:K6"/>
    <mergeCell ref="L5:L6"/>
    <mergeCell ref="M5:M6"/>
  </mergeCells>
  <pageMargins left="0" right="0" top="0" bottom="0" header="0.31496062992125984" footer="0.31496062992125984"/>
  <pageSetup paperSize="9" scale="50" fitToWidth="3" fitToHeight="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</sheetPr>
  <dimension ref="A2:AY37"/>
  <sheetViews>
    <sheetView view="pageBreakPreview" zoomScale="75" zoomScaleNormal="73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A4" sqref="A4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9" width="12.85546875" style="72" customWidth="1"/>
    <col min="10" max="11" width="13.7109375" style="72" customWidth="1"/>
    <col min="12" max="12" width="12.7109375" style="72" customWidth="1"/>
    <col min="13" max="13" width="14.28515625" style="72" customWidth="1"/>
    <col min="14" max="15" width="12.7109375" style="72" customWidth="1"/>
    <col min="16" max="16" width="14.28515625" style="72" customWidth="1"/>
    <col min="17" max="17" width="16" style="72" customWidth="1"/>
    <col min="18" max="18" width="16.42578125" style="72" customWidth="1"/>
    <col min="19" max="19" width="15.28515625" style="72" customWidth="1"/>
    <col min="20" max="20" width="13.42578125" style="72" customWidth="1"/>
    <col min="21" max="21" width="10.85546875" style="72" customWidth="1"/>
    <col min="22" max="22" width="18" style="72" customWidth="1"/>
    <col min="23" max="24" width="12.85546875" style="72" customWidth="1"/>
    <col min="25" max="25" width="12.42578125" style="72" customWidth="1"/>
    <col min="26" max="26" width="10.85546875" style="72" customWidth="1"/>
    <col min="27" max="28" width="15.7109375" style="72" customWidth="1"/>
    <col min="29" max="29" width="14.28515625" style="72" customWidth="1"/>
    <col min="30" max="30" width="23" style="72" customWidth="1"/>
    <col min="31" max="31" width="14.140625" style="72" customWidth="1"/>
    <col min="32" max="33" width="12.42578125" style="72" customWidth="1"/>
    <col min="34" max="34" width="12.7109375" style="72" customWidth="1"/>
    <col min="35" max="35" width="14" style="72" hidden="1" customWidth="1"/>
    <col min="36" max="36" width="12.5703125" style="72" hidden="1" customWidth="1"/>
    <col min="37" max="37" width="13.42578125" style="72" customWidth="1"/>
    <col min="38" max="38" width="15" style="72" hidden="1" customWidth="1"/>
    <col min="39" max="39" width="14.85546875" style="72" customWidth="1"/>
    <col min="40" max="40" width="12" style="72" hidden="1" customWidth="1"/>
    <col min="41" max="41" width="14.5703125" style="72" customWidth="1"/>
    <col min="42" max="42" width="27.28515625" style="72" customWidth="1"/>
    <col min="43" max="43" width="14.5703125" style="72" customWidth="1"/>
    <col min="44" max="44" width="17.5703125" style="72" customWidth="1"/>
    <col min="45" max="46" width="14.5703125" style="72" customWidth="1"/>
    <col min="47" max="47" width="4.42578125" style="72" customWidth="1"/>
    <col min="48" max="48" width="16" style="72" customWidth="1"/>
    <col min="49" max="49" width="16" style="72" hidden="1" customWidth="1"/>
    <col min="50" max="50" width="9.140625" style="72"/>
    <col min="51" max="51" width="13.42578125" style="72" customWidth="1"/>
    <col min="52" max="16384" width="9.140625" style="72"/>
  </cols>
  <sheetData>
    <row r="2" spans="1:51" s="657" customFormat="1" ht="18.75" customHeight="1" x14ac:dyDescent="0.25">
      <c r="K2" s="271" t="s">
        <v>1920</v>
      </c>
      <c r="T2" s="271" t="s">
        <v>1920</v>
      </c>
    </row>
    <row r="3" spans="1:51" s="657" customFormat="1" ht="17.25" customHeight="1" x14ac:dyDescent="0.25">
      <c r="A3" s="657" t="s">
        <v>2237</v>
      </c>
    </row>
    <row r="5" spans="1:51" ht="15.75" customHeight="1" x14ac:dyDescent="0.25">
      <c r="A5" s="1348" t="s">
        <v>270</v>
      </c>
      <c r="B5" s="1349" t="s">
        <v>1426</v>
      </c>
      <c r="C5" s="1350" t="s">
        <v>31</v>
      </c>
      <c r="D5" s="1350"/>
      <c r="E5" s="1349" t="s">
        <v>1427</v>
      </c>
      <c r="F5" s="1350" t="s">
        <v>31</v>
      </c>
      <c r="G5" s="1350"/>
      <c r="H5" s="1347" t="s">
        <v>1935</v>
      </c>
      <c r="I5" s="1347" t="s">
        <v>2100</v>
      </c>
      <c r="J5" s="1347" t="s">
        <v>1936</v>
      </c>
      <c r="K5" s="1347" t="s">
        <v>1930</v>
      </c>
      <c r="L5" s="1347" t="s">
        <v>1922</v>
      </c>
      <c r="M5" s="1347" t="s">
        <v>1921</v>
      </c>
      <c r="N5" s="1365" t="s">
        <v>1418</v>
      </c>
      <c r="O5" s="1351" t="s">
        <v>1479</v>
      </c>
      <c r="P5" s="1347" t="s">
        <v>1926</v>
      </c>
      <c r="Q5" s="1347" t="s">
        <v>1434</v>
      </c>
      <c r="R5" s="1347" t="s">
        <v>2197</v>
      </c>
      <c r="S5" s="1347" t="s">
        <v>888</v>
      </c>
      <c r="T5" s="1347" t="s">
        <v>271</v>
      </c>
      <c r="U5" s="1347" t="s">
        <v>1925</v>
      </c>
      <c r="V5" s="1347" t="s">
        <v>2200</v>
      </c>
      <c r="W5" s="1353" t="s">
        <v>31</v>
      </c>
      <c r="X5" s="1354"/>
      <c r="Y5" s="1354"/>
      <c r="Z5" s="1355"/>
      <c r="AA5" s="1481" t="s">
        <v>1927</v>
      </c>
      <c r="AB5" s="1481" t="s">
        <v>1438</v>
      </c>
      <c r="AC5" s="1482" t="s">
        <v>1439</v>
      </c>
      <c r="AD5" s="1483"/>
      <c r="AE5" s="1353" t="s">
        <v>1440</v>
      </c>
      <c r="AF5" s="1355"/>
      <c r="AG5" s="1481" t="s">
        <v>945</v>
      </c>
      <c r="AH5" s="1347" t="s">
        <v>946</v>
      </c>
      <c r="AI5" s="1362" t="s">
        <v>2095</v>
      </c>
      <c r="AJ5" s="1362" t="s">
        <v>2213</v>
      </c>
      <c r="AK5" s="1347" t="s">
        <v>1443</v>
      </c>
      <c r="AL5" s="1353" t="s">
        <v>31</v>
      </c>
      <c r="AM5" s="1354"/>
      <c r="AN5" s="1355"/>
      <c r="AO5" s="1363" t="s">
        <v>1444</v>
      </c>
      <c r="AP5" s="1363"/>
      <c r="AQ5" s="1363"/>
      <c r="AR5" s="1363"/>
      <c r="AS5" s="1363"/>
      <c r="AT5" s="1363"/>
      <c r="AV5" s="1364" t="s">
        <v>1445</v>
      </c>
      <c r="AW5" s="1347" t="s">
        <v>1446</v>
      </c>
      <c r="AY5" s="1360" t="s">
        <v>282</v>
      </c>
    </row>
    <row r="6" spans="1:51" ht="175.5" customHeight="1" x14ac:dyDescent="0.25">
      <c r="A6" s="1348"/>
      <c r="B6" s="1349"/>
      <c r="C6" s="1214" t="s">
        <v>1447</v>
      </c>
      <c r="D6" s="1214" t="s">
        <v>1448</v>
      </c>
      <c r="E6" s="1349"/>
      <c r="F6" s="1214" t="s">
        <v>1449</v>
      </c>
      <c r="G6" s="1214" t="s">
        <v>1448</v>
      </c>
      <c r="H6" s="1347"/>
      <c r="I6" s="1347"/>
      <c r="J6" s="1347"/>
      <c r="K6" s="1347"/>
      <c r="L6" s="1347"/>
      <c r="M6" s="1347"/>
      <c r="N6" s="1365"/>
      <c r="O6" s="1352"/>
      <c r="P6" s="1347"/>
      <c r="Q6" s="1347"/>
      <c r="R6" s="1347"/>
      <c r="S6" s="1347"/>
      <c r="T6" s="1347"/>
      <c r="U6" s="1347"/>
      <c r="V6" s="1347"/>
      <c r="W6" s="1217" t="s">
        <v>2087</v>
      </c>
      <c r="X6" s="1217" t="s">
        <v>1451</v>
      </c>
      <c r="Y6" s="1217" t="s">
        <v>1923</v>
      </c>
      <c r="Z6" s="1153" t="s">
        <v>1924</v>
      </c>
      <c r="AA6" s="1357"/>
      <c r="AB6" s="1357"/>
      <c r="AC6" s="1153" t="s">
        <v>1928</v>
      </c>
      <c r="AD6" s="1217" t="s">
        <v>1929</v>
      </c>
      <c r="AE6" s="1153" t="s">
        <v>1456</v>
      </c>
      <c r="AF6" s="1217" t="s">
        <v>1457</v>
      </c>
      <c r="AG6" s="1357"/>
      <c r="AH6" s="1347"/>
      <c r="AI6" s="1362"/>
      <c r="AJ6" s="1362"/>
      <c r="AK6" s="1347"/>
      <c r="AL6" s="662" t="s">
        <v>1458</v>
      </c>
      <c r="AM6" s="663" t="s">
        <v>2214</v>
      </c>
      <c r="AN6" s="662" t="s">
        <v>1458</v>
      </c>
      <c r="AO6" s="664" t="s">
        <v>1482</v>
      </c>
      <c r="AP6" s="664" t="s">
        <v>1483</v>
      </c>
      <c r="AQ6" s="665" t="s">
        <v>1462</v>
      </c>
      <c r="AR6" s="1168" t="s">
        <v>1463</v>
      </c>
      <c r="AS6" s="665" t="s">
        <v>1464</v>
      </c>
      <c r="AT6" s="667" t="s">
        <v>1465</v>
      </c>
      <c r="AV6" s="1364"/>
      <c r="AW6" s="1347"/>
      <c r="AY6" s="1361"/>
    </row>
    <row r="7" spans="1:51" ht="63" customHeight="1" x14ac:dyDescent="0.25">
      <c r="A7" s="668" t="s">
        <v>1466</v>
      </c>
      <c r="B7" s="669" t="s">
        <v>1467</v>
      </c>
      <c r="C7" s="669" t="s">
        <v>1468</v>
      </c>
      <c r="D7" s="669" t="s">
        <v>1469</v>
      </c>
      <c r="E7" s="669" t="s">
        <v>269</v>
      </c>
      <c r="F7" s="669" t="s">
        <v>1470</v>
      </c>
      <c r="G7" s="669" t="s">
        <v>4</v>
      </c>
      <c r="H7" s="669">
        <v>4</v>
      </c>
      <c r="I7" s="669" t="s">
        <v>1931</v>
      </c>
      <c r="J7" s="669" t="s">
        <v>2199</v>
      </c>
      <c r="K7" s="669" t="s">
        <v>2198</v>
      </c>
      <c r="L7" s="669">
        <v>6</v>
      </c>
      <c r="M7" s="669">
        <v>7</v>
      </c>
      <c r="N7" s="669">
        <v>8</v>
      </c>
      <c r="O7" s="669" t="s">
        <v>254</v>
      </c>
      <c r="P7" s="669" t="s">
        <v>2215</v>
      </c>
      <c r="Q7" s="669">
        <v>10</v>
      </c>
      <c r="R7" s="669">
        <v>11</v>
      </c>
      <c r="S7" s="669">
        <v>12</v>
      </c>
      <c r="T7" s="669">
        <v>13</v>
      </c>
      <c r="U7" s="669">
        <v>14</v>
      </c>
      <c r="V7" s="669">
        <v>15</v>
      </c>
      <c r="W7" s="669">
        <v>16</v>
      </c>
      <c r="X7" s="669">
        <v>17</v>
      </c>
      <c r="Y7" s="669">
        <v>18</v>
      </c>
      <c r="Z7" s="669">
        <v>19</v>
      </c>
      <c r="AA7" s="669">
        <v>20</v>
      </c>
      <c r="AB7" s="669">
        <v>21</v>
      </c>
      <c r="AC7" s="669">
        <v>22</v>
      </c>
      <c r="AD7" s="669">
        <v>23</v>
      </c>
      <c r="AE7" s="669">
        <v>24</v>
      </c>
      <c r="AF7" s="669">
        <v>25</v>
      </c>
      <c r="AG7" s="669">
        <v>26</v>
      </c>
      <c r="AH7" s="669">
        <v>27</v>
      </c>
      <c r="AI7" s="669">
        <v>8</v>
      </c>
      <c r="AJ7" s="669">
        <v>8</v>
      </c>
      <c r="AK7" s="669">
        <v>28</v>
      </c>
      <c r="AL7" s="669">
        <v>29</v>
      </c>
      <c r="AM7" s="669">
        <v>30</v>
      </c>
      <c r="AN7" s="670">
        <v>31</v>
      </c>
      <c r="AO7" s="671" t="s">
        <v>1471</v>
      </c>
      <c r="AP7" s="671" t="s">
        <v>1932</v>
      </c>
      <c r="AQ7" s="671" t="s">
        <v>1473</v>
      </c>
      <c r="AR7" s="671" t="s">
        <v>1933</v>
      </c>
      <c r="AS7" s="671" t="s">
        <v>1475</v>
      </c>
      <c r="AT7" s="671">
        <v>37</v>
      </c>
      <c r="AV7" s="672"/>
      <c r="AW7" s="672"/>
      <c r="AY7" s="1264" t="s">
        <v>2230</v>
      </c>
    </row>
    <row r="8" spans="1:51" ht="18.75" customHeight="1" x14ac:dyDescent="0.25">
      <c r="A8" s="673"/>
      <c r="B8" s="674"/>
      <c r="C8" s="674"/>
      <c r="D8" s="674"/>
      <c r="E8" s="674"/>
      <c r="F8" s="674"/>
      <c r="G8" s="674"/>
      <c r="H8" s="675"/>
      <c r="I8" s="675"/>
      <c r="J8" s="675"/>
      <c r="K8" s="675"/>
      <c r="L8" s="675"/>
      <c r="M8" s="675"/>
      <c r="N8" s="676"/>
      <c r="O8" s="676"/>
      <c r="P8" s="675"/>
      <c r="Q8" s="677"/>
      <c r="R8" s="678"/>
      <c r="S8" s="506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5"/>
      <c r="AE8" s="675"/>
      <c r="AF8" s="675"/>
      <c r="AG8" s="675"/>
      <c r="AH8" s="675"/>
      <c r="AI8" s="679"/>
      <c r="AJ8" s="679"/>
      <c r="AK8" s="506"/>
      <c r="AL8" s="680"/>
      <c r="AM8" s="680"/>
      <c r="AN8" s="680"/>
      <c r="AO8" s="681"/>
      <c r="AP8" s="681">
        <f>42907.7*1.04*1.01525</f>
        <v>45304.5</v>
      </c>
      <c r="AQ8" s="682"/>
      <c r="AR8" s="683">
        <f>1493.1/2698.32</f>
        <v>0.55334399999999995</v>
      </c>
      <c r="AS8" s="684"/>
      <c r="AT8" s="685"/>
      <c r="AU8" s="686"/>
      <c r="AV8" s="677"/>
      <c r="AW8" s="677"/>
      <c r="AY8" s="1265"/>
    </row>
    <row r="9" spans="1:51" ht="18.75" hidden="1" customHeight="1" x14ac:dyDescent="0.25">
      <c r="A9" s="673"/>
      <c r="B9" s="674"/>
      <c r="C9" s="674"/>
      <c r="D9" s="674"/>
      <c r="E9" s="674"/>
      <c r="F9" s="674"/>
      <c r="G9" s="674"/>
      <c r="H9" s="675"/>
      <c r="I9" s="675"/>
      <c r="J9" s="675"/>
      <c r="K9" s="675"/>
      <c r="L9" s="675"/>
      <c r="M9" s="675"/>
      <c r="N9" s="675"/>
      <c r="O9" s="675"/>
      <c r="P9" s="675"/>
      <c r="Q9" s="677"/>
      <c r="R9" s="678"/>
      <c r="S9" s="506"/>
      <c r="T9" s="675"/>
      <c r="U9" s="675"/>
      <c r="V9" s="675"/>
      <c r="W9" s="675"/>
      <c r="X9" s="675"/>
      <c r="Y9" s="675"/>
      <c r="Z9" s="675"/>
      <c r="AA9" s="675"/>
      <c r="AB9" s="675"/>
      <c r="AC9" s="675"/>
      <c r="AD9" s="675"/>
      <c r="AE9" s="675"/>
      <c r="AF9" s="675"/>
      <c r="AG9" s="675"/>
      <c r="AH9" s="675"/>
      <c r="AI9" s="679"/>
      <c r="AJ9" s="679"/>
      <c r="AK9" s="506"/>
      <c r="AL9" s="687"/>
      <c r="AM9" s="687"/>
      <c r="AN9" s="687"/>
      <c r="AO9" s="688"/>
      <c r="AP9" s="688"/>
      <c r="AQ9" s="689"/>
      <c r="AR9" s="690"/>
      <c r="AS9" s="688"/>
      <c r="AT9" s="691"/>
      <c r="AU9" s="686"/>
      <c r="AV9" s="677"/>
      <c r="AW9" s="677"/>
    </row>
    <row r="10" spans="1:51" ht="18.75" hidden="1" customHeight="1" x14ac:dyDescent="0.25">
      <c r="A10" s="673"/>
      <c r="B10" s="674"/>
      <c r="C10" s="674"/>
      <c r="D10" s="674"/>
      <c r="E10" s="674"/>
      <c r="F10" s="674"/>
      <c r="G10" s="674"/>
      <c r="H10" s="675"/>
      <c r="I10" s="675"/>
      <c r="J10" s="675"/>
      <c r="K10" s="675"/>
      <c r="L10" s="675"/>
      <c r="M10" s="675"/>
      <c r="N10" s="675"/>
      <c r="O10" s="675"/>
      <c r="P10" s="675"/>
      <c r="Q10" s="677"/>
      <c r="R10" s="678"/>
      <c r="S10" s="506"/>
      <c r="T10" s="675"/>
      <c r="U10" s="675"/>
      <c r="V10" s="675"/>
      <c r="W10" s="675"/>
      <c r="X10" s="675"/>
      <c r="Y10" s="675"/>
      <c r="Z10" s="675"/>
      <c r="AA10" s="675"/>
      <c r="AB10" s="675"/>
      <c r="AC10" s="675"/>
      <c r="AD10" s="675"/>
      <c r="AE10" s="675"/>
      <c r="AF10" s="675"/>
      <c r="AG10" s="675"/>
      <c r="AH10" s="675"/>
      <c r="AI10" s="679"/>
      <c r="AJ10" s="679"/>
      <c r="AK10" s="506"/>
      <c r="AL10" s="687"/>
      <c r="AM10" s="687"/>
      <c r="AN10" s="687"/>
      <c r="AO10" s="688"/>
      <c r="AP10" s="688"/>
      <c r="AQ10" s="689"/>
      <c r="AR10" s="690"/>
      <c r="AS10" s="688"/>
      <c r="AT10" s="691"/>
      <c r="AU10" s="686"/>
      <c r="AV10" s="677"/>
      <c r="AW10" s="677"/>
    </row>
    <row r="11" spans="1:51" ht="24" x14ac:dyDescent="0.25">
      <c r="A11" s="96" t="s">
        <v>624</v>
      </c>
      <c r="B11" s="696"/>
      <c r="C11" s="696"/>
      <c r="D11" s="696"/>
      <c r="E11" s="696"/>
      <c r="F11" s="696"/>
      <c r="G11" s="696"/>
      <c r="H11" s="1155"/>
      <c r="I11" s="1155"/>
      <c r="J11" s="1155"/>
      <c r="K11" s="1155"/>
      <c r="L11" s="1155"/>
      <c r="M11" s="1155"/>
      <c r="N11" s="676"/>
      <c r="O11" s="676"/>
      <c r="P11" s="696"/>
      <c r="Q11" s="678"/>
      <c r="R11" s="678"/>
      <c r="S11" s="695"/>
      <c r="T11" s="1155"/>
      <c r="U11" s="1155"/>
      <c r="V11" s="680"/>
      <c r="W11" s="680"/>
      <c r="X11" s="715"/>
      <c r="Y11" s="680"/>
      <c r="Z11" s="680"/>
      <c r="AA11" s="696"/>
      <c r="AB11" s="696"/>
      <c r="AC11" s="1155"/>
      <c r="AD11" s="696"/>
      <c r="AE11" s="1155"/>
      <c r="AF11" s="696"/>
      <c r="AG11" s="715"/>
      <c r="AH11" s="715"/>
      <c r="AI11" s="1156"/>
      <c r="AJ11" s="1156"/>
      <c r="AK11" s="1157"/>
      <c r="AL11" s="676"/>
      <c r="AM11" s="1158"/>
      <c r="AN11" s="676"/>
      <c r="AO11" s="700"/>
      <c r="AP11" s="1159"/>
      <c r="AQ11" s="700"/>
      <c r="AR11" s="1160"/>
      <c r="AS11" s="1161"/>
      <c r="AT11" s="1162"/>
      <c r="AU11" s="1163"/>
      <c r="AV11" s="1164"/>
      <c r="AW11" s="707">
        <f t="shared" ref="AW11:AW37" si="0">P11*Q11*R11*S11*AI11*AJ11*AK11</f>
        <v>0</v>
      </c>
      <c r="AY11" s="201"/>
    </row>
    <row r="12" spans="1:51" x14ac:dyDescent="0.25">
      <c r="A12" s="12" t="s">
        <v>609</v>
      </c>
      <c r="B12" s="692">
        <f t="shared" ref="B12:B37" si="1">C12+D12</f>
        <v>92251</v>
      </c>
      <c r="C12" s="692">
        <f t="shared" ref="C12:C37" si="2">F12+AT12</f>
        <v>83198</v>
      </c>
      <c r="D12" s="692">
        <f t="shared" ref="D12:D37" si="3">G12</f>
        <v>9053</v>
      </c>
      <c r="E12" s="692">
        <f t="shared" ref="E12:E37" si="4">ROUND(K12/L12*P12*Q12*R12*S12*T12/U12*AG12*AH12*AI12*AJ12*AK12,0)</f>
        <v>78697</v>
      </c>
      <c r="F12" s="692">
        <f t="shared" ref="F12:F37" si="5">ROUND(K12/L12*P12*Q12*R12*T12/U12*AH12*S12*AK12*AI12*AJ12,0)</f>
        <v>69644</v>
      </c>
      <c r="G12" s="692">
        <f t="shared" ref="G12:G37" si="6">E12-F12</f>
        <v>9053</v>
      </c>
      <c r="H12" s="1155">
        <v>26</v>
      </c>
      <c r="I12" s="1155">
        <v>6</v>
      </c>
      <c r="J12" s="1165">
        <v>10</v>
      </c>
      <c r="K12" s="694">
        <f>H12+I12+J12</f>
        <v>42</v>
      </c>
      <c r="L12" s="675">
        <v>18</v>
      </c>
      <c r="M12" s="693">
        <v>14449</v>
      </c>
      <c r="N12" s="646">
        <v>1.0609999999999999</v>
      </c>
      <c r="O12" s="646">
        <v>1.01</v>
      </c>
      <c r="P12" s="694">
        <f>M12*N12*O12</f>
        <v>15484</v>
      </c>
      <c r="Q12" s="677">
        <v>1.302</v>
      </c>
      <c r="R12" s="695">
        <v>1.841</v>
      </c>
      <c r="S12" s="695">
        <v>1.01</v>
      </c>
      <c r="T12" s="675">
        <v>12</v>
      </c>
      <c r="U12" s="1155">
        <v>25</v>
      </c>
      <c r="V12" s="506">
        <v>66.92</v>
      </c>
      <c r="W12" s="506">
        <v>6</v>
      </c>
      <c r="X12" s="508">
        <f t="shared" ref="X12:X37" si="7">V12-W12-Y12</f>
        <v>26.09</v>
      </c>
      <c r="Y12" s="506">
        <v>34.83</v>
      </c>
      <c r="Z12" s="506">
        <v>30.33</v>
      </c>
      <c r="AA12" s="696">
        <f t="shared" ref="AA12:AA37" si="8">P12*Q12*R12*Z12</f>
        <v>1125694</v>
      </c>
      <c r="AB12" s="696">
        <f t="shared" ref="AB12:AB37" si="9">AA12/Z12*(Y12-Z12)</f>
        <v>167017</v>
      </c>
      <c r="AC12" s="693">
        <v>46206</v>
      </c>
      <c r="AD12" s="696">
        <f t="shared" ref="AD12:AD37" si="10">(AC12+AC12*(W12-1)*0.8)* 1.01*1.302*O12</f>
        <v>306847</v>
      </c>
      <c r="AE12" s="693">
        <v>16242</v>
      </c>
      <c r="AF12" s="696">
        <f t="shared" ref="AF12:AF37" si="11">X12*AE12*1.01*1.302</f>
        <v>557245</v>
      </c>
      <c r="AG12" s="508">
        <f t="shared" ref="AG12:AG37" si="12">AB12/(AA12+AB12)+1</f>
        <v>1.1299999999999999</v>
      </c>
      <c r="AH12" s="508">
        <f t="shared" ref="AH12:AH37" si="13">(AD12+AF12)/(AA12+AD12+AF12)+1</f>
        <v>1.43</v>
      </c>
      <c r="AI12" s="679">
        <v>1</v>
      </c>
      <c r="AJ12" s="679">
        <v>1</v>
      </c>
      <c r="AK12" s="697">
        <f t="shared" ref="AK12:AK37" si="14">ROUND(AL12*AM12*AN12,2)</f>
        <v>1.1599999999999999</v>
      </c>
      <c r="AL12" s="698">
        <v>1</v>
      </c>
      <c r="AM12" s="699">
        <f>1+(56+3)/365</f>
        <v>1.16164</v>
      </c>
      <c r="AN12" s="698">
        <v>1</v>
      </c>
      <c r="AO12" s="700">
        <f t="shared" ref="AO12:AO37" si="15">P12*R12</f>
        <v>28506.04</v>
      </c>
      <c r="AP12" s="701">
        <v>45304.5</v>
      </c>
      <c r="AQ12" s="702">
        <f t="shared" ref="AQ12:AQ37" si="16">(AP12-P12*R12)</f>
        <v>16798.46</v>
      </c>
      <c r="AR12" s="703">
        <v>0.55334399999999995</v>
      </c>
      <c r="AS12" s="704">
        <f t="shared" ref="AS12:AS37" si="17">AQ12*AR12</f>
        <v>9295</v>
      </c>
      <c r="AT12" s="705">
        <f t="shared" ref="AT12:AT37" si="18">ROUND(K12/L12*AS12*T12/U12*Q12,0)</f>
        <v>13554</v>
      </c>
      <c r="AV12" s="706">
        <f t="shared" ref="AV12:AV37" si="19">K12/U12</f>
        <v>1.68</v>
      </c>
      <c r="AW12" s="707">
        <f t="shared" si="0"/>
        <v>43483.78</v>
      </c>
      <c r="AY12" s="201">
        <f>247*V12/33/U12</f>
        <v>20.04</v>
      </c>
    </row>
    <row r="13" spans="1:51" ht="36" hidden="1" x14ac:dyDescent="0.25">
      <c r="A13" s="92" t="s">
        <v>610</v>
      </c>
      <c r="B13" s="692">
        <f t="shared" si="1"/>
        <v>0</v>
      </c>
      <c r="C13" s="692">
        <f t="shared" si="2"/>
        <v>0</v>
      </c>
      <c r="D13" s="692">
        <f t="shared" si="3"/>
        <v>0</v>
      </c>
      <c r="E13" s="692">
        <f t="shared" si="4"/>
        <v>0</v>
      </c>
      <c r="F13" s="692">
        <f t="shared" si="5"/>
        <v>0</v>
      </c>
      <c r="G13" s="692">
        <f t="shared" si="6"/>
        <v>0</v>
      </c>
      <c r="H13" s="1173">
        <v>0</v>
      </c>
      <c r="I13" s="1173">
        <v>0</v>
      </c>
      <c r="J13" s="1167">
        <v>0</v>
      </c>
      <c r="K13" s="694">
        <f t="shared" ref="K13:K19" si="20">H13+I13+J13</f>
        <v>0</v>
      </c>
      <c r="L13" s="675">
        <v>18</v>
      </c>
      <c r="M13" s="693">
        <v>14449</v>
      </c>
      <c r="N13" s="646">
        <v>1.0609999999999999</v>
      </c>
      <c r="O13" s="646">
        <v>1.01</v>
      </c>
      <c r="P13" s="694">
        <f t="shared" ref="P13:P19" si="21">M13*N13*O13</f>
        <v>15484</v>
      </c>
      <c r="Q13" s="677">
        <v>1.302</v>
      </c>
      <c r="R13" s="695">
        <v>1.841</v>
      </c>
      <c r="S13" s="695">
        <v>1.01</v>
      </c>
      <c r="T13" s="675">
        <v>12</v>
      </c>
      <c r="U13" s="1155">
        <v>25</v>
      </c>
      <c r="V13" s="506">
        <v>66.92</v>
      </c>
      <c r="W13" s="506">
        <v>6</v>
      </c>
      <c r="X13" s="508">
        <f t="shared" si="7"/>
        <v>26.09</v>
      </c>
      <c r="Y13" s="506">
        <v>34.83</v>
      </c>
      <c r="Z13" s="506">
        <v>30.33</v>
      </c>
      <c r="AA13" s="696">
        <f t="shared" si="8"/>
        <v>1125694</v>
      </c>
      <c r="AB13" s="696">
        <f t="shared" si="9"/>
        <v>167017</v>
      </c>
      <c r="AC13" s="693">
        <v>46206</v>
      </c>
      <c r="AD13" s="696">
        <f t="shared" si="10"/>
        <v>306847</v>
      </c>
      <c r="AE13" s="693">
        <v>16242</v>
      </c>
      <c r="AF13" s="696">
        <f t="shared" si="11"/>
        <v>557245</v>
      </c>
      <c r="AG13" s="508">
        <f t="shared" si="12"/>
        <v>1.1299999999999999</v>
      </c>
      <c r="AH13" s="508">
        <f t="shared" si="13"/>
        <v>1.43</v>
      </c>
      <c r="AI13" s="679">
        <v>1</v>
      </c>
      <c r="AJ13" s="679">
        <v>1</v>
      </c>
      <c r="AK13" s="697">
        <f t="shared" si="14"/>
        <v>1.1599999999999999</v>
      </c>
      <c r="AL13" s="698">
        <v>1</v>
      </c>
      <c r="AM13" s="699">
        <f t="shared" ref="AM13:AM19" si="22">1+(56+3)/365</f>
        <v>1.16164</v>
      </c>
      <c r="AN13" s="698">
        <v>1</v>
      </c>
      <c r="AO13" s="700">
        <f t="shared" si="15"/>
        <v>28506.04</v>
      </c>
      <c r="AP13" s="701">
        <v>45304.5</v>
      </c>
      <c r="AQ13" s="702">
        <f t="shared" si="16"/>
        <v>16798.46</v>
      </c>
      <c r="AR13" s="703">
        <v>0.55334399999999995</v>
      </c>
      <c r="AS13" s="704">
        <f t="shared" si="17"/>
        <v>9295</v>
      </c>
      <c r="AT13" s="705">
        <f t="shared" si="18"/>
        <v>0</v>
      </c>
      <c r="AV13" s="706">
        <f t="shared" si="19"/>
        <v>0</v>
      </c>
      <c r="AW13" s="707">
        <f t="shared" si="0"/>
        <v>43483.78</v>
      </c>
      <c r="AY13" s="201">
        <f t="shared" ref="AY13:AY35" si="23">247*V13/33/U13</f>
        <v>20.04</v>
      </c>
    </row>
    <row r="14" spans="1:51" ht="24" x14ac:dyDescent="0.25">
      <c r="A14" s="12" t="s">
        <v>625</v>
      </c>
      <c r="B14" s="692">
        <f t="shared" si="1"/>
        <v>247681</v>
      </c>
      <c r="C14" s="692">
        <f t="shared" si="2"/>
        <v>213048</v>
      </c>
      <c r="D14" s="692">
        <f t="shared" si="3"/>
        <v>34633</v>
      </c>
      <c r="E14" s="692">
        <f t="shared" si="4"/>
        <v>216916</v>
      </c>
      <c r="F14" s="692">
        <f t="shared" si="5"/>
        <v>182283</v>
      </c>
      <c r="G14" s="692">
        <f t="shared" si="6"/>
        <v>34633</v>
      </c>
      <c r="H14" s="1155">
        <v>26</v>
      </c>
      <c r="I14" s="1155">
        <v>6</v>
      </c>
      <c r="J14" s="1165">
        <v>10</v>
      </c>
      <c r="K14" s="694">
        <f t="shared" si="20"/>
        <v>42</v>
      </c>
      <c r="L14" s="675">
        <v>18</v>
      </c>
      <c r="M14" s="693">
        <v>14449</v>
      </c>
      <c r="N14" s="646">
        <v>1.0609999999999999</v>
      </c>
      <c r="O14" s="646">
        <v>1.01</v>
      </c>
      <c r="P14" s="694">
        <f t="shared" si="21"/>
        <v>15484</v>
      </c>
      <c r="Q14" s="677">
        <v>1.302</v>
      </c>
      <c r="R14" s="695">
        <v>1.9410000000000001</v>
      </c>
      <c r="S14" s="695">
        <v>1.01</v>
      </c>
      <c r="T14" s="675">
        <v>12</v>
      </c>
      <c r="U14" s="1155">
        <v>10</v>
      </c>
      <c r="V14" s="506">
        <v>69.48</v>
      </c>
      <c r="W14" s="506">
        <v>6</v>
      </c>
      <c r="X14" s="508">
        <f t="shared" si="7"/>
        <v>26.09</v>
      </c>
      <c r="Y14" s="506">
        <v>37.39</v>
      </c>
      <c r="Z14" s="506">
        <v>30.33</v>
      </c>
      <c r="AA14" s="696">
        <f t="shared" si="8"/>
        <v>1186840</v>
      </c>
      <c r="AB14" s="696">
        <f t="shared" si="9"/>
        <v>276264</v>
      </c>
      <c r="AC14" s="693">
        <v>46206</v>
      </c>
      <c r="AD14" s="696">
        <f t="shared" si="10"/>
        <v>306847</v>
      </c>
      <c r="AE14" s="693">
        <v>16242</v>
      </c>
      <c r="AF14" s="696">
        <f t="shared" si="11"/>
        <v>557245</v>
      </c>
      <c r="AG14" s="508">
        <f t="shared" si="12"/>
        <v>1.19</v>
      </c>
      <c r="AH14" s="508">
        <f t="shared" si="13"/>
        <v>1.42</v>
      </c>
      <c r="AI14" s="679">
        <v>1</v>
      </c>
      <c r="AJ14" s="679">
        <v>1</v>
      </c>
      <c r="AK14" s="697">
        <f t="shared" si="14"/>
        <v>1.1599999999999999</v>
      </c>
      <c r="AL14" s="698">
        <v>1</v>
      </c>
      <c r="AM14" s="699">
        <f t="shared" si="22"/>
        <v>1.16164</v>
      </c>
      <c r="AN14" s="698">
        <v>1</v>
      </c>
      <c r="AO14" s="700">
        <f t="shared" si="15"/>
        <v>30054.44</v>
      </c>
      <c r="AP14" s="701">
        <v>45304.5</v>
      </c>
      <c r="AQ14" s="702">
        <f t="shared" si="16"/>
        <v>15250.06</v>
      </c>
      <c r="AR14" s="703">
        <v>0.55334399999999995</v>
      </c>
      <c r="AS14" s="704">
        <f t="shared" si="17"/>
        <v>8439</v>
      </c>
      <c r="AT14" s="705">
        <f t="shared" si="18"/>
        <v>30765</v>
      </c>
      <c r="AV14" s="706">
        <f t="shared" si="19"/>
        <v>4.2</v>
      </c>
      <c r="AW14" s="707">
        <f t="shared" si="0"/>
        <v>45845.75</v>
      </c>
      <c r="AY14" s="201">
        <f t="shared" si="23"/>
        <v>52</v>
      </c>
    </row>
    <row r="15" spans="1:51" x14ac:dyDescent="0.25">
      <c r="A15" s="12" t="s">
        <v>626</v>
      </c>
      <c r="B15" s="692">
        <f t="shared" si="1"/>
        <v>934500</v>
      </c>
      <c r="C15" s="692">
        <f t="shared" si="2"/>
        <v>712680</v>
      </c>
      <c r="D15" s="692">
        <f t="shared" si="3"/>
        <v>221820</v>
      </c>
      <c r="E15" s="692">
        <f t="shared" si="4"/>
        <v>1454154</v>
      </c>
      <c r="F15" s="692">
        <f t="shared" si="5"/>
        <v>1232334</v>
      </c>
      <c r="G15" s="692">
        <f t="shared" si="6"/>
        <v>221820</v>
      </c>
      <c r="H15" s="1155">
        <v>26</v>
      </c>
      <c r="I15" s="1155">
        <v>0</v>
      </c>
      <c r="J15" s="1165">
        <v>10</v>
      </c>
      <c r="K15" s="694">
        <f t="shared" si="20"/>
        <v>36</v>
      </c>
      <c r="L15" s="675">
        <v>18</v>
      </c>
      <c r="M15" s="693">
        <v>14449</v>
      </c>
      <c r="N15" s="646">
        <v>1.0609999999999999</v>
      </c>
      <c r="O15" s="646">
        <v>1.01</v>
      </c>
      <c r="P15" s="694">
        <f t="shared" si="21"/>
        <v>15484</v>
      </c>
      <c r="Q15" s="677">
        <v>1.302</v>
      </c>
      <c r="R15" s="695">
        <v>1.9410000000000001</v>
      </c>
      <c r="S15" s="695">
        <v>1.01</v>
      </c>
      <c r="T15" s="675">
        <v>12</v>
      </c>
      <c r="U15" s="1155">
        <v>1</v>
      </c>
      <c r="V15" s="506">
        <v>2.84</v>
      </c>
      <c r="W15" s="506">
        <v>0</v>
      </c>
      <c r="X15" s="508">
        <f t="shared" si="7"/>
        <v>0</v>
      </c>
      <c r="Y15" s="506">
        <v>2.84</v>
      </c>
      <c r="Z15" s="506">
        <v>2.34</v>
      </c>
      <c r="AA15" s="696">
        <f t="shared" si="8"/>
        <v>91566</v>
      </c>
      <c r="AB15" s="696">
        <f t="shared" si="9"/>
        <v>19565</v>
      </c>
      <c r="AC15" s="693">
        <v>46206</v>
      </c>
      <c r="AD15" s="696">
        <f t="shared" si="10"/>
        <v>12274</v>
      </c>
      <c r="AE15" s="693">
        <v>16242</v>
      </c>
      <c r="AF15" s="696">
        <f t="shared" si="11"/>
        <v>0</v>
      </c>
      <c r="AG15" s="508">
        <f t="shared" si="12"/>
        <v>1.18</v>
      </c>
      <c r="AH15" s="508">
        <f t="shared" si="13"/>
        <v>1.1200000000000001</v>
      </c>
      <c r="AI15" s="679">
        <v>1</v>
      </c>
      <c r="AJ15" s="679">
        <v>1</v>
      </c>
      <c r="AK15" s="697">
        <f t="shared" si="14"/>
        <v>1.1599999999999999</v>
      </c>
      <c r="AL15" s="698">
        <v>1</v>
      </c>
      <c r="AM15" s="699">
        <f t="shared" si="22"/>
        <v>1.16164</v>
      </c>
      <c r="AN15" s="698">
        <v>1</v>
      </c>
      <c r="AO15" s="700">
        <f t="shared" si="15"/>
        <v>30054.44</v>
      </c>
      <c r="AP15" s="701"/>
      <c r="AQ15" s="702">
        <f t="shared" si="16"/>
        <v>-30054.44</v>
      </c>
      <c r="AR15" s="703">
        <v>0.55334399999999995</v>
      </c>
      <c r="AS15" s="704">
        <f t="shared" si="17"/>
        <v>-16630</v>
      </c>
      <c r="AT15" s="705">
        <f t="shared" si="18"/>
        <v>-519654</v>
      </c>
      <c r="AV15" s="706">
        <f t="shared" si="19"/>
        <v>36</v>
      </c>
      <c r="AW15" s="707">
        <f t="shared" si="0"/>
        <v>45845.75</v>
      </c>
      <c r="AY15" s="201">
        <f>247*V15/1/U15</f>
        <v>701.48</v>
      </c>
    </row>
    <row r="16" spans="1:51" ht="36" hidden="1" x14ac:dyDescent="0.25">
      <c r="A16" s="92" t="s">
        <v>639</v>
      </c>
      <c r="B16" s="692">
        <f t="shared" si="1"/>
        <v>0</v>
      </c>
      <c r="C16" s="692">
        <f t="shared" si="2"/>
        <v>0</v>
      </c>
      <c r="D16" s="692">
        <f t="shared" si="3"/>
        <v>0</v>
      </c>
      <c r="E16" s="692">
        <f t="shared" si="4"/>
        <v>0</v>
      </c>
      <c r="F16" s="692">
        <f t="shared" si="5"/>
        <v>0</v>
      </c>
      <c r="G16" s="692">
        <f t="shared" si="6"/>
        <v>0</v>
      </c>
      <c r="H16" s="1174">
        <v>0</v>
      </c>
      <c r="I16" s="1174">
        <v>0</v>
      </c>
      <c r="J16" s="1154">
        <v>0</v>
      </c>
      <c r="K16" s="694">
        <f t="shared" si="20"/>
        <v>0</v>
      </c>
      <c r="L16" s="675">
        <v>18</v>
      </c>
      <c r="M16" s="693">
        <v>14449</v>
      </c>
      <c r="N16" s="646">
        <v>1.0609999999999999</v>
      </c>
      <c r="O16" s="646">
        <v>1.01</v>
      </c>
      <c r="P16" s="694">
        <f t="shared" si="21"/>
        <v>15484</v>
      </c>
      <c r="Q16" s="677">
        <v>1.302</v>
      </c>
      <c r="R16" s="695">
        <v>1.9550000000000001</v>
      </c>
      <c r="S16" s="695">
        <v>1.01</v>
      </c>
      <c r="T16" s="675">
        <v>12</v>
      </c>
      <c r="U16" s="1155">
        <v>1</v>
      </c>
      <c r="V16" s="506">
        <v>4.9000000000000004</v>
      </c>
      <c r="W16" s="506">
        <v>0</v>
      </c>
      <c r="X16" s="508">
        <f t="shared" si="7"/>
        <v>0</v>
      </c>
      <c r="Y16" s="506">
        <v>4.9000000000000004</v>
      </c>
      <c r="Z16" s="506">
        <v>2.34</v>
      </c>
      <c r="AA16" s="696">
        <f t="shared" si="8"/>
        <v>92227</v>
      </c>
      <c r="AB16" s="696">
        <f t="shared" si="9"/>
        <v>100898</v>
      </c>
      <c r="AC16" s="693">
        <v>46206</v>
      </c>
      <c r="AD16" s="696">
        <f t="shared" si="10"/>
        <v>12274</v>
      </c>
      <c r="AE16" s="693">
        <v>16242</v>
      </c>
      <c r="AF16" s="696">
        <f t="shared" si="11"/>
        <v>0</v>
      </c>
      <c r="AG16" s="508">
        <f t="shared" si="12"/>
        <v>1.52</v>
      </c>
      <c r="AH16" s="508">
        <f t="shared" si="13"/>
        <v>1.1200000000000001</v>
      </c>
      <c r="AI16" s="679">
        <v>1</v>
      </c>
      <c r="AJ16" s="679">
        <v>1</v>
      </c>
      <c r="AK16" s="697">
        <f t="shared" si="14"/>
        <v>1.1599999999999999</v>
      </c>
      <c r="AL16" s="698">
        <v>1</v>
      </c>
      <c r="AM16" s="699">
        <f t="shared" si="22"/>
        <v>1.16164</v>
      </c>
      <c r="AN16" s="698">
        <v>1</v>
      </c>
      <c r="AO16" s="700">
        <f t="shared" si="15"/>
        <v>30271.22</v>
      </c>
      <c r="AP16" s="701"/>
      <c r="AQ16" s="702">
        <f t="shared" si="16"/>
        <v>-30271.22</v>
      </c>
      <c r="AR16" s="703">
        <v>0.55334399999999995</v>
      </c>
      <c r="AS16" s="704">
        <f t="shared" si="17"/>
        <v>-16750</v>
      </c>
      <c r="AT16" s="705">
        <f t="shared" si="18"/>
        <v>0</v>
      </c>
      <c r="AV16" s="706">
        <f t="shared" si="19"/>
        <v>0</v>
      </c>
      <c r="AW16" s="707">
        <f t="shared" si="0"/>
        <v>46176.42</v>
      </c>
      <c r="AY16" s="201">
        <f>247*V16/1/U16</f>
        <v>1210.3</v>
      </c>
    </row>
    <row r="17" spans="1:51" ht="24" x14ac:dyDescent="0.25">
      <c r="A17" s="12" t="s">
        <v>627</v>
      </c>
      <c r="B17" s="692">
        <f t="shared" si="1"/>
        <v>96885</v>
      </c>
      <c r="C17" s="692">
        <f t="shared" si="2"/>
        <v>83552</v>
      </c>
      <c r="D17" s="692">
        <f t="shared" si="3"/>
        <v>13333</v>
      </c>
      <c r="E17" s="692">
        <f t="shared" si="4"/>
        <v>83506</v>
      </c>
      <c r="F17" s="692">
        <f t="shared" si="5"/>
        <v>70173</v>
      </c>
      <c r="G17" s="692">
        <f t="shared" si="6"/>
        <v>13333</v>
      </c>
      <c r="H17" s="1155">
        <v>26</v>
      </c>
      <c r="I17" s="1155">
        <v>6</v>
      </c>
      <c r="J17" s="1165">
        <v>10</v>
      </c>
      <c r="K17" s="694">
        <f t="shared" si="20"/>
        <v>42</v>
      </c>
      <c r="L17" s="675">
        <v>18</v>
      </c>
      <c r="M17" s="693">
        <v>14449</v>
      </c>
      <c r="N17" s="646">
        <v>1.0609999999999999</v>
      </c>
      <c r="O17" s="646">
        <v>1.01</v>
      </c>
      <c r="P17" s="694">
        <f t="shared" si="21"/>
        <v>15484</v>
      </c>
      <c r="Q17" s="677">
        <v>1.302</v>
      </c>
      <c r="R17" s="695">
        <v>1.855</v>
      </c>
      <c r="S17" s="695">
        <v>1.01</v>
      </c>
      <c r="T17" s="675">
        <v>12</v>
      </c>
      <c r="U17" s="1155">
        <v>25</v>
      </c>
      <c r="V17" s="506">
        <v>69.48</v>
      </c>
      <c r="W17" s="506">
        <v>6</v>
      </c>
      <c r="X17" s="508">
        <f t="shared" si="7"/>
        <v>26.09</v>
      </c>
      <c r="Y17" s="506">
        <v>37.39</v>
      </c>
      <c r="Z17" s="506">
        <v>30.33</v>
      </c>
      <c r="AA17" s="696">
        <f t="shared" si="8"/>
        <v>1134254</v>
      </c>
      <c r="AB17" s="696">
        <f t="shared" si="9"/>
        <v>264024</v>
      </c>
      <c r="AC17" s="693">
        <v>46206</v>
      </c>
      <c r="AD17" s="696">
        <f t="shared" si="10"/>
        <v>306847</v>
      </c>
      <c r="AE17" s="693">
        <v>16242</v>
      </c>
      <c r="AF17" s="696">
        <f t="shared" si="11"/>
        <v>557245</v>
      </c>
      <c r="AG17" s="508">
        <f t="shared" si="12"/>
        <v>1.19</v>
      </c>
      <c r="AH17" s="508">
        <f t="shared" si="13"/>
        <v>1.43</v>
      </c>
      <c r="AI17" s="679">
        <v>1</v>
      </c>
      <c r="AJ17" s="679">
        <v>1</v>
      </c>
      <c r="AK17" s="697">
        <f t="shared" si="14"/>
        <v>1.1599999999999999</v>
      </c>
      <c r="AL17" s="698">
        <v>1</v>
      </c>
      <c r="AM17" s="699">
        <f t="shared" si="22"/>
        <v>1.16164</v>
      </c>
      <c r="AN17" s="698">
        <v>1</v>
      </c>
      <c r="AO17" s="700">
        <f t="shared" si="15"/>
        <v>28722.82</v>
      </c>
      <c r="AP17" s="701">
        <v>45304.5</v>
      </c>
      <c r="AQ17" s="702">
        <f t="shared" si="16"/>
        <v>16581.68</v>
      </c>
      <c r="AR17" s="703">
        <v>0.55334399999999995</v>
      </c>
      <c r="AS17" s="704">
        <f t="shared" si="17"/>
        <v>9175</v>
      </c>
      <c r="AT17" s="705">
        <f t="shared" si="18"/>
        <v>13379</v>
      </c>
      <c r="AV17" s="706">
        <f t="shared" si="19"/>
        <v>1.68</v>
      </c>
      <c r="AW17" s="707">
        <f t="shared" si="0"/>
        <v>43814.46</v>
      </c>
      <c r="AY17" s="201">
        <f t="shared" si="23"/>
        <v>20.8</v>
      </c>
    </row>
    <row r="18" spans="1:51" hidden="1" x14ac:dyDescent="0.25">
      <c r="A18" s="92" t="s">
        <v>608</v>
      </c>
      <c r="B18" s="692">
        <f t="shared" si="1"/>
        <v>0</v>
      </c>
      <c r="C18" s="692">
        <f t="shared" si="2"/>
        <v>0</v>
      </c>
      <c r="D18" s="692">
        <f t="shared" si="3"/>
        <v>0</v>
      </c>
      <c r="E18" s="692">
        <f t="shared" si="4"/>
        <v>0</v>
      </c>
      <c r="F18" s="692">
        <f t="shared" si="5"/>
        <v>0</v>
      </c>
      <c r="G18" s="692">
        <f t="shared" si="6"/>
        <v>0</v>
      </c>
      <c r="H18" s="1173">
        <v>0</v>
      </c>
      <c r="I18" s="1173">
        <v>0</v>
      </c>
      <c r="J18" s="1171">
        <v>0</v>
      </c>
      <c r="K18" s="694">
        <f t="shared" si="20"/>
        <v>0</v>
      </c>
      <c r="L18" s="675">
        <v>18</v>
      </c>
      <c r="M18" s="693">
        <v>14449</v>
      </c>
      <c r="N18" s="646">
        <v>1.0609999999999999</v>
      </c>
      <c r="O18" s="646">
        <v>1.01</v>
      </c>
      <c r="P18" s="694">
        <f t="shared" si="21"/>
        <v>15484</v>
      </c>
      <c r="Q18" s="677">
        <v>1.302</v>
      </c>
      <c r="R18" s="695"/>
      <c r="S18" s="695">
        <v>1.01</v>
      </c>
      <c r="T18" s="675">
        <v>12</v>
      </c>
      <c r="U18" s="1155">
        <v>25</v>
      </c>
      <c r="V18" s="506"/>
      <c r="W18" s="506"/>
      <c r="X18" s="508">
        <f t="shared" si="7"/>
        <v>0</v>
      </c>
      <c r="Y18" s="506"/>
      <c r="Z18" s="506"/>
      <c r="AA18" s="696">
        <f t="shared" si="8"/>
        <v>0</v>
      </c>
      <c r="AB18" s="696">
        <f>IF(Z18=0,0,AA18/Z18*(Y18-Z18))</f>
        <v>0</v>
      </c>
      <c r="AC18" s="693">
        <v>46206</v>
      </c>
      <c r="AD18" s="696">
        <f t="shared" si="10"/>
        <v>12274</v>
      </c>
      <c r="AE18" s="693">
        <v>16242</v>
      </c>
      <c r="AF18" s="696">
        <f t="shared" si="11"/>
        <v>0</v>
      </c>
      <c r="AG18" s="508">
        <f>IF((AA18+AB18)=0,0,AB18/(AA18+AB18)+1)</f>
        <v>0</v>
      </c>
      <c r="AH18" s="508">
        <f t="shared" si="13"/>
        <v>2</v>
      </c>
      <c r="AI18" s="679">
        <v>1</v>
      </c>
      <c r="AJ18" s="679">
        <v>1</v>
      </c>
      <c r="AK18" s="697">
        <f t="shared" si="14"/>
        <v>1.1599999999999999</v>
      </c>
      <c r="AL18" s="698">
        <v>1</v>
      </c>
      <c r="AM18" s="699">
        <f t="shared" si="22"/>
        <v>1.16164</v>
      </c>
      <c r="AN18" s="698">
        <v>1</v>
      </c>
      <c r="AO18" s="700">
        <f t="shared" si="15"/>
        <v>0</v>
      </c>
      <c r="AP18" s="701"/>
      <c r="AQ18" s="702">
        <f t="shared" si="16"/>
        <v>0</v>
      </c>
      <c r="AR18" s="703">
        <v>0.55334399999999995</v>
      </c>
      <c r="AS18" s="704">
        <f t="shared" si="17"/>
        <v>0</v>
      </c>
      <c r="AT18" s="705">
        <f t="shared" si="18"/>
        <v>0</v>
      </c>
      <c r="AV18" s="706">
        <f t="shared" si="19"/>
        <v>0</v>
      </c>
      <c r="AW18" s="707">
        <f t="shared" si="0"/>
        <v>0</v>
      </c>
      <c r="AY18" s="201">
        <f>247*V18/19/U18</f>
        <v>0</v>
      </c>
    </row>
    <row r="19" spans="1:51" hidden="1" x14ac:dyDescent="0.25">
      <c r="A19" s="92" t="s">
        <v>611</v>
      </c>
      <c r="B19" s="692">
        <f t="shared" si="1"/>
        <v>0</v>
      </c>
      <c r="C19" s="692">
        <f t="shared" si="2"/>
        <v>0</v>
      </c>
      <c r="D19" s="692">
        <f t="shared" si="3"/>
        <v>0</v>
      </c>
      <c r="E19" s="692">
        <f t="shared" si="4"/>
        <v>0</v>
      </c>
      <c r="F19" s="692">
        <f t="shared" si="5"/>
        <v>0</v>
      </c>
      <c r="G19" s="692">
        <f t="shared" si="6"/>
        <v>0</v>
      </c>
      <c r="H19" s="1155">
        <v>14</v>
      </c>
      <c r="I19" s="1155">
        <v>0</v>
      </c>
      <c r="J19" s="1172">
        <v>0</v>
      </c>
      <c r="K19" s="694">
        <f t="shared" si="20"/>
        <v>14</v>
      </c>
      <c r="L19" s="675">
        <v>18</v>
      </c>
      <c r="M19" s="693">
        <v>14449</v>
      </c>
      <c r="N19" s="646">
        <v>1.0609999999999999</v>
      </c>
      <c r="O19" s="646">
        <v>1.01</v>
      </c>
      <c r="P19" s="694">
        <f t="shared" si="21"/>
        <v>15484</v>
      </c>
      <c r="Q19" s="677">
        <v>1.302</v>
      </c>
      <c r="R19" s="695"/>
      <c r="S19" s="695">
        <v>1.01</v>
      </c>
      <c r="T19" s="675">
        <v>12</v>
      </c>
      <c r="U19" s="1155">
        <v>25</v>
      </c>
      <c r="V19" s="506"/>
      <c r="W19" s="506"/>
      <c r="X19" s="508">
        <f t="shared" si="7"/>
        <v>0</v>
      </c>
      <c r="Y19" s="506"/>
      <c r="Z19" s="506"/>
      <c r="AA19" s="696">
        <f t="shared" si="8"/>
        <v>0</v>
      </c>
      <c r="AB19" s="696">
        <f>IF(Z19=0,0,AA19/Z19*(Y19-Z19))</f>
        <v>0</v>
      </c>
      <c r="AC19" s="693">
        <v>46206</v>
      </c>
      <c r="AD19" s="696">
        <f t="shared" si="10"/>
        <v>12274</v>
      </c>
      <c r="AE19" s="693">
        <v>16242</v>
      </c>
      <c r="AF19" s="696">
        <f t="shared" si="11"/>
        <v>0</v>
      </c>
      <c r="AG19" s="508">
        <f>IF((AA19+AB19)=0,0,AB19/(AA19+AB19)+1)</f>
        <v>0</v>
      </c>
      <c r="AH19" s="508">
        <f t="shared" si="13"/>
        <v>2</v>
      </c>
      <c r="AI19" s="679">
        <v>1</v>
      </c>
      <c r="AJ19" s="679">
        <v>1</v>
      </c>
      <c r="AK19" s="697">
        <f t="shared" si="14"/>
        <v>1.1599999999999999</v>
      </c>
      <c r="AL19" s="698">
        <v>1</v>
      </c>
      <c r="AM19" s="699">
        <f t="shared" si="22"/>
        <v>1.16164</v>
      </c>
      <c r="AN19" s="698">
        <v>1</v>
      </c>
      <c r="AO19" s="700">
        <f t="shared" si="15"/>
        <v>0</v>
      </c>
      <c r="AP19" s="701"/>
      <c r="AQ19" s="702">
        <f t="shared" si="16"/>
        <v>0</v>
      </c>
      <c r="AR19" s="703">
        <v>0.55334399999999995</v>
      </c>
      <c r="AS19" s="704">
        <f t="shared" si="17"/>
        <v>0</v>
      </c>
      <c r="AT19" s="705">
        <f t="shared" si="18"/>
        <v>0</v>
      </c>
      <c r="AV19" s="706">
        <f t="shared" si="19"/>
        <v>0.56000000000000005</v>
      </c>
      <c r="AW19" s="707">
        <f t="shared" si="0"/>
        <v>0</v>
      </c>
      <c r="AY19" s="201">
        <f>247*V19/19/U19</f>
        <v>0</v>
      </c>
    </row>
    <row r="20" spans="1:51" ht="24" x14ac:dyDescent="0.25">
      <c r="A20" s="96" t="s">
        <v>603</v>
      </c>
      <c r="B20" s="696"/>
      <c r="C20" s="696"/>
      <c r="D20" s="696"/>
      <c r="E20" s="696"/>
      <c r="F20" s="696"/>
      <c r="G20" s="696"/>
      <c r="H20" s="1155"/>
      <c r="I20" s="1155"/>
      <c r="J20" s="1166"/>
      <c r="K20" s="1166"/>
      <c r="L20" s="1155"/>
      <c r="M20" s="1155"/>
      <c r="N20" s="676"/>
      <c r="O20" s="676"/>
      <c r="P20" s="696"/>
      <c r="Q20" s="678"/>
      <c r="R20" s="678"/>
      <c r="S20" s="695"/>
      <c r="T20" s="1155"/>
      <c r="U20" s="1155"/>
      <c r="V20" s="680"/>
      <c r="W20" s="680"/>
      <c r="X20" s="715"/>
      <c r="Y20" s="680"/>
      <c r="Z20" s="680"/>
      <c r="AA20" s="696"/>
      <c r="AB20" s="696"/>
      <c r="AC20" s="1155"/>
      <c r="AD20" s="696"/>
      <c r="AE20" s="1155"/>
      <c r="AF20" s="696"/>
      <c r="AG20" s="715"/>
      <c r="AH20" s="715"/>
      <c r="AI20" s="1156"/>
      <c r="AJ20" s="1156"/>
      <c r="AK20" s="1157"/>
      <c r="AL20" s="676"/>
      <c r="AM20" s="1158"/>
      <c r="AN20" s="676"/>
      <c r="AO20" s="700"/>
      <c r="AP20" s="1159"/>
      <c r="AQ20" s="700"/>
      <c r="AR20" s="1160"/>
      <c r="AS20" s="1161"/>
      <c r="AT20" s="1162"/>
      <c r="AU20" s="1163"/>
      <c r="AV20" s="1164"/>
      <c r="AW20" s="707">
        <f t="shared" si="0"/>
        <v>0</v>
      </c>
      <c r="AY20" s="201"/>
    </row>
    <row r="21" spans="1:51" x14ac:dyDescent="0.25">
      <c r="A21" s="12" t="s">
        <v>609</v>
      </c>
      <c r="B21" s="692">
        <f t="shared" si="1"/>
        <v>100311</v>
      </c>
      <c r="C21" s="692">
        <f t="shared" si="2"/>
        <v>93356</v>
      </c>
      <c r="D21" s="692">
        <f t="shared" si="3"/>
        <v>6955</v>
      </c>
      <c r="E21" s="692">
        <f t="shared" si="4"/>
        <v>84234</v>
      </c>
      <c r="F21" s="692">
        <f t="shared" si="5"/>
        <v>77279</v>
      </c>
      <c r="G21" s="692">
        <f t="shared" si="6"/>
        <v>6955</v>
      </c>
      <c r="H21" s="1219">
        <f>(33+35+36+36)/4</f>
        <v>35</v>
      </c>
      <c r="I21" s="1155">
        <v>5</v>
      </c>
      <c r="J21" s="1165">
        <v>10</v>
      </c>
      <c r="K21" s="694">
        <f t="shared" ref="K21:K28" si="24">H21+I21+J21</f>
        <v>50</v>
      </c>
      <c r="L21" s="675">
        <v>18</v>
      </c>
      <c r="M21" s="693">
        <v>14449</v>
      </c>
      <c r="N21" s="646">
        <v>1.0609999999999999</v>
      </c>
      <c r="O21" s="646">
        <v>1.01</v>
      </c>
      <c r="P21" s="694">
        <f t="shared" ref="P21:P28" si="25">M21*N21*O21</f>
        <v>15484</v>
      </c>
      <c r="Q21" s="677">
        <v>1.302</v>
      </c>
      <c r="R21" s="678">
        <v>1.845</v>
      </c>
      <c r="S21" s="695">
        <v>1.01</v>
      </c>
      <c r="T21" s="675">
        <v>12</v>
      </c>
      <c r="U21" s="1155">
        <v>25</v>
      </c>
      <c r="V21" s="506">
        <v>83.81</v>
      </c>
      <c r="W21" s="506">
        <v>6</v>
      </c>
      <c r="X21" s="508">
        <f t="shared" si="7"/>
        <v>26.09</v>
      </c>
      <c r="Y21" s="506">
        <v>51.72</v>
      </c>
      <c r="Z21" s="506">
        <v>47.22</v>
      </c>
      <c r="AA21" s="696">
        <f t="shared" si="8"/>
        <v>1756372</v>
      </c>
      <c r="AB21" s="696">
        <f t="shared" si="9"/>
        <v>167380</v>
      </c>
      <c r="AC21" s="693">
        <v>46206</v>
      </c>
      <c r="AD21" s="696">
        <f t="shared" si="10"/>
        <v>306847</v>
      </c>
      <c r="AE21" s="693">
        <v>16242</v>
      </c>
      <c r="AF21" s="696">
        <f t="shared" si="11"/>
        <v>557245</v>
      </c>
      <c r="AG21" s="508">
        <f t="shared" si="12"/>
        <v>1.0900000000000001</v>
      </c>
      <c r="AH21" s="508">
        <f t="shared" si="13"/>
        <v>1.33</v>
      </c>
      <c r="AI21" s="679">
        <v>1</v>
      </c>
      <c r="AJ21" s="679">
        <v>1</v>
      </c>
      <c r="AK21" s="697">
        <f t="shared" si="14"/>
        <v>1.1599999999999999</v>
      </c>
      <c r="AL21" s="698">
        <v>1</v>
      </c>
      <c r="AM21" s="699">
        <f t="shared" ref="AM21:AM28" si="26">1+(56+3)/365</f>
        <v>1.16164</v>
      </c>
      <c r="AN21" s="698">
        <v>1</v>
      </c>
      <c r="AO21" s="700">
        <f t="shared" si="15"/>
        <v>28567.98</v>
      </c>
      <c r="AP21" s="701">
        <v>45304.5</v>
      </c>
      <c r="AQ21" s="702">
        <f t="shared" si="16"/>
        <v>16736.52</v>
      </c>
      <c r="AR21" s="703">
        <v>0.55334399999999995</v>
      </c>
      <c r="AS21" s="704">
        <f t="shared" si="17"/>
        <v>9261</v>
      </c>
      <c r="AT21" s="705">
        <f t="shared" si="18"/>
        <v>16077</v>
      </c>
      <c r="AV21" s="706">
        <f t="shared" si="19"/>
        <v>2</v>
      </c>
      <c r="AW21" s="707">
        <f t="shared" si="0"/>
        <v>43578.26</v>
      </c>
      <c r="AY21" s="201">
        <f t="shared" si="23"/>
        <v>25.09</v>
      </c>
    </row>
    <row r="22" spans="1:51" ht="36" hidden="1" x14ac:dyDescent="0.25">
      <c r="A22" s="92" t="s">
        <v>610</v>
      </c>
      <c r="B22" s="692">
        <f t="shared" si="1"/>
        <v>0</v>
      </c>
      <c r="C22" s="692">
        <f t="shared" si="2"/>
        <v>0</v>
      </c>
      <c r="D22" s="692">
        <f t="shared" si="3"/>
        <v>0</v>
      </c>
      <c r="E22" s="692">
        <f t="shared" si="4"/>
        <v>0</v>
      </c>
      <c r="F22" s="692">
        <f t="shared" si="5"/>
        <v>0</v>
      </c>
      <c r="G22" s="692">
        <f t="shared" si="6"/>
        <v>0</v>
      </c>
      <c r="H22" s="1173">
        <v>0</v>
      </c>
      <c r="I22" s="1173">
        <v>0</v>
      </c>
      <c r="J22" s="1167">
        <v>0</v>
      </c>
      <c r="K22" s="694">
        <f t="shared" si="24"/>
        <v>0</v>
      </c>
      <c r="L22" s="675">
        <v>18</v>
      </c>
      <c r="M22" s="693">
        <v>14449</v>
      </c>
      <c r="N22" s="646">
        <v>1.0609999999999999</v>
      </c>
      <c r="O22" s="646">
        <v>1.01</v>
      </c>
      <c r="P22" s="694">
        <f t="shared" si="25"/>
        <v>15484</v>
      </c>
      <c r="Q22" s="677">
        <v>1.302</v>
      </c>
      <c r="R22" s="695">
        <v>1.845</v>
      </c>
      <c r="S22" s="695">
        <v>1.01</v>
      </c>
      <c r="T22" s="675">
        <v>12</v>
      </c>
      <c r="U22" s="1155">
        <v>25</v>
      </c>
      <c r="V22" s="506">
        <v>83.81</v>
      </c>
      <c r="W22" s="506">
        <v>6</v>
      </c>
      <c r="X22" s="508">
        <f t="shared" si="7"/>
        <v>26.09</v>
      </c>
      <c r="Y22" s="506">
        <v>51.72</v>
      </c>
      <c r="Z22" s="506">
        <v>47.22</v>
      </c>
      <c r="AA22" s="696">
        <f t="shared" si="8"/>
        <v>1756372</v>
      </c>
      <c r="AB22" s="696">
        <f t="shared" si="9"/>
        <v>167380</v>
      </c>
      <c r="AC22" s="693">
        <v>46206</v>
      </c>
      <c r="AD22" s="696">
        <f t="shared" si="10"/>
        <v>306847</v>
      </c>
      <c r="AE22" s="693">
        <v>16242</v>
      </c>
      <c r="AF22" s="696">
        <f t="shared" si="11"/>
        <v>557245</v>
      </c>
      <c r="AG22" s="508">
        <f t="shared" si="12"/>
        <v>1.0900000000000001</v>
      </c>
      <c r="AH22" s="508">
        <f t="shared" si="13"/>
        <v>1.33</v>
      </c>
      <c r="AI22" s="679">
        <v>1</v>
      </c>
      <c r="AJ22" s="679">
        <v>1</v>
      </c>
      <c r="AK22" s="697">
        <f t="shared" si="14"/>
        <v>1.1599999999999999</v>
      </c>
      <c r="AL22" s="698">
        <v>1</v>
      </c>
      <c r="AM22" s="699">
        <f t="shared" si="26"/>
        <v>1.16164</v>
      </c>
      <c r="AN22" s="698">
        <v>1</v>
      </c>
      <c r="AO22" s="700">
        <f t="shared" si="15"/>
        <v>28567.98</v>
      </c>
      <c r="AP22" s="701">
        <v>45304.5</v>
      </c>
      <c r="AQ22" s="702">
        <f t="shared" si="16"/>
        <v>16736.52</v>
      </c>
      <c r="AR22" s="703">
        <v>0.55334399999999995</v>
      </c>
      <c r="AS22" s="704">
        <f t="shared" si="17"/>
        <v>9261</v>
      </c>
      <c r="AT22" s="705">
        <f t="shared" si="18"/>
        <v>0</v>
      </c>
      <c r="AV22" s="706">
        <f t="shared" si="19"/>
        <v>0</v>
      </c>
      <c r="AW22" s="707">
        <f t="shared" si="0"/>
        <v>43578.26</v>
      </c>
      <c r="AY22" s="201">
        <f t="shared" si="23"/>
        <v>25.09</v>
      </c>
    </row>
    <row r="23" spans="1:51" ht="24" x14ac:dyDescent="0.25">
      <c r="A23" s="12" t="s">
        <v>625</v>
      </c>
      <c r="B23" s="692">
        <f t="shared" si="1"/>
        <v>264888</v>
      </c>
      <c r="C23" s="692">
        <f t="shared" si="2"/>
        <v>238610</v>
      </c>
      <c r="D23" s="692">
        <f t="shared" si="3"/>
        <v>26278</v>
      </c>
      <c r="E23" s="692">
        <f t="shared" si="4"/>
        <v>228415</v>
      </c>
      <c r="F23" s="692">
        <f t="shared" si="5"/>
        <v>202137</v>
      </c>
      <c r="G23" s="692">
        <f t="shared" si="6"/>
        <v>26278</v>
      </c>
      <c r="H23" s="1155">
        <v>35</v>
      </c>
      <c r="I23" s="1155">
        <v>5</v>
      </c>
      <c r="J23" s="1165">
        <v>10</v>
      </c>
      <c r="K23" s="694">
        <f t="shared" si="24"/>
        <v>50</v>
      </c>
      <c r="L23" s="675">
        <v>18</v>
      </c>
      <c r="M23" s="693">
        <v>14449</v>
      </c>
      <c r="N23" s="646">
        <v>1.0609999999999999</v>
      </c>
      <c r="O23" s="646">
        <v>1.01</v>
      </c>
      <c r="P23" s="694">
        <f t="shared" si="25"/>
        <v>15484</v>
      </c>
      <c r="Q23" s="677">
        <v>1.302</v>
      </c>
      <c r="R23" s="695">
        <v>1.9450000000000001</v>
      </c>
      <c r="S23" s="695">
        <v>1.01</v>
      </c>
      <c r="T23" s="675">
        <v>12</v>
      </c>
      <c r="U23" s="1155">
        <v>10</v>
      </c>
      <c r="V23" s="506">
        <v>86.37</v>
      </c>
      <c r="W23" s="506">
        <v>6</v>
      </c>
      <c r="X23" s="508">
        <f t="shared" si="7"/>
        <v>26.09</v>
      </c>
      <c r="Y23" s="506">
        <v>54.28</v>
      </c>
      <c r="Z23" s="506">
        <v>47.22</v>
      </c>
      <c r="AA23" s="696">
        <f t="shared" si="8"/>
        <v>1851568</v>
      </c>
      <c r="AB23" s="696">
        <f t="shared" si="9"/>
        <v>276833</v>
      </c>
      <c r="AC23" s="693">
        <v>46206</v>
      </c>
      <c r="AD23" s="696">
        <f t="shared" si="10"/>
        <v>306847</v>
      </c>
      <c r="AE23" s="693">
        <v>16242</v>
      </c>
      <c r="AF23" s="696">
        <f t="shared" si="11"/>
        <v>557245</v>
      </c>
      <c r="AG23" s="508">
        <f t="shared" si="12"/>
        <v>1.1299999999999999</v>
      </c>
      <c r="AH23" s="508">
        <f t="shared" si="13"/>
        <v>1.32</v>
      </c>
      <c r="AI23" s="679">
        <v>1</v>
      </c>
      <c r="AJ23" s="679">
        <v>1</v>
      </c>
      <c r="AK23" s="697">
        <f t="shared" si="14"/>
        <v>1.1599999999999999</v>
      </c>
      <c r="AL23" s="698">
        <v>1</v>
      </c>
      <c r="AM23" s="699">
        <f t="shared" si="26"/>
        <v>1.16164</v>
      </c>
      <c r="AN23" s="698">
        <v>1</v>
      </c>
      <c r="AO23" s="700">
        <f t="shared" si="15"/>
        <v>30116.38</v>
      </c>
      <c r="AP23" s="701">
        <v>45304.5</v>
      </c>
      <c r="AQ23" s="702">
        <f t="shared" si="16"/>
        <v>15188.12</v>
      </c>
      <c r="AR23" s="703">
        <v>0.55334399999999995</v>
      </c>
      <c r="AS23" s="704">
        <f t="shared" si="17"/>
        <v>8404</v>
      </c>
      <c r="AT23" s="705">
        <f t="shared" si="18"/>
        <v>36473</v>
      </c>
      <c r="AV23" s="706">
        <f t="shared" si="19"/>
        <v>5</v>
      </c>
      <c r="AW23" s="707">
        <f t="shared" si="0"/>
        <v>45940.22</v>
      </c>
      <c r="AY23" s="201">
        <f t="shared" si="23"/>
        <v>64.650000000000006</v>
      </c>
    </row>
    <row r="24" spans="1:51" ht="36" hidden="1" x14ac:dyDescent="0.25">
      <c r="A24" s="92" t="s">
        <v>639</v>
      </c>
      <c r="B24" s="692">
        <f t="shared" si="1"/>
        <v>0</v>
      </c>
      <c r="C24" s="692">
        <f t="shared" si="2"/>
        <v>0</v>
      </c>
      <c r="D24" s="692">
        <f t="shared" si="3"/>
        <v>0</v>
      </c>
      <c r="E24" s="692">
        <f t="shared" si="4"/>
        <v>0</v>
      </c>
      <c r="F24" s="692">
        <f t="shared" si="5"/>
        <v>0</v>
      </c>
      <c r="G24" s="692">
        <f t="shared" si="6"/>
        <v>0</v>
      </c>
      <c r="H24" s="1174">
        <v>0</v>
      </c>
      <c r="I24" s="1174">
        <v>0</v>
      </c>
      <c r="J24" s="1154">
        <v>0</v>
      </c>
      <c r="K24" s="694">
        <f t="shared" si="24"/>
        <v>0</v>
      </c>
      <c r="L24" s="675">
        <v>18</v>
      </c>
      <c r="M24" s="693">
        <v>14449</v>
      </c>
      <c r="N24" s="646">
        <v>1.0609999999999999</v>
      </c>
      <c r="O24" s="646">
        <v>1.01</v>
      </c>
      <c r="P24" s="694">
        <f t="shared" si="25"/>
        <v>15484</v>
      </c>
      <c r="Q24" s="677">
        <v>1.302</v>
      </c>
      <c r="R24" s="678">
        <v>1.9550000000000001</v>
      </c>
      <c r="S24" s="695">
        <v>1.01</v>
      </c>
      <c r="T24" s="675">
        <v>12</v>
      </c>
      <c r="U24" s="1155">
        <v>1</v>
      </c>
      <c r="V24" s="506">
        <v>5.34</v>
      </c>
      <c r="W24" s="506">
        <v>0</v>
      </c>
      <c r="X24" s="508">
        <f t="shared" si="7"/>
        <v>0</v>
      </c>
      <c r="Y24" s="506">
        <v>5.34</v>
      </c>
      <c r="Z24" s="506">
        <v>2.78</v>
      </c>
      <c r="AA24" s="696">
        <f t="shared" si="8"/>
        <v>109568</v>
      </c>
      <c r="AB24" s="696">
        <f t="shared" si="9"/>
        <v>100897</v>
      </c>
      <c r="AC24" s="693">
        <v>46206</v>
      </c>
      <c r="AD24" s="696">
        <f t="shared" si="10"/>
        <v>12274</v>
      </c>
      <c r="AE24" s="693">
        <v>16242</v>
      </c>
      <c r="AF24" s="696">
        <f t="shared" si="11"/>
        <v>0</v>
      </c>
      <c r="AG24" s="508">
        <f t="shared" si="12"/>
        <v>1.48</v>
      </c>
      <c r="AH24" s="508">
        <f t="shared" si="13"/>
        <v>1.1000000000000001</v>
      </c>
      <c r="AI24" s="679">
        <v>1</v>
      </c>
      <c r="AJ24" s="679">
        <v>1</v>
      </c>
      <c r="AK24" s="697">
        <f t="shared" si="14"/>
        <v>1.1599999999999999</v>
      </c>
      <c r="AL24" s="698">
        <v>1</v>
      </c>
      <c r="AM24" s="699">
        <f t="shared" si="26"/>
        <v>1.16164</v>
      </c>
      <c r="AN24" s="698">
        <v>1</v>
      </c>
      <c r="AO24" s="700">
        <f t="shared" si="15"/>
        <v>30271.22</v>
      </c>
      <c r="AP24" s="701"/>
      <c r="AQ24" s="702">
        <f t="shared" si="16"/>
        <v>-30271.22</v>
      </c>
      <c r="AR24" s="703">
        <v>0.55334399999999995</v>
      </c>
      <c r="AS24" s="704">
        <f t="shared" si="17"/>
        <v>-16750</v>
      </c>
      <c r="AT24" s="705">
        <f t="shared" si="18"/>
        <v>0</v>
      </c>
      <c r="AV24" s="706">
        <f t="shared" si="19"/>
        <v>0</v>
      </c>
      <c r="AW24" s="707">
        <f t="shared" si="0"/>
        <v>46176.42</v>
      </c>
      <c r="AY24" s="201">
        <f>247*V24/1/U24</f>
        <v>1318.98</v>
      </c>
    </row>
    <row r="25" spans="1:51" x14ac:dyDescent="0.25">
      <c r="A25" s="12" t="s">
        <v>626</v>
      </c>
      <c r="B25" s="692">
        <f t="shared" si="1"/>
        <v>1057055</v>
      </c>
      <c r="C25" s="692">
        <f t="shared" si="2"/>
        <v>838201</v>
      </c>
      <c r="D25" s="692">
        <f t="shared" si="3"/>
        <v>218854</v>
      </c>
      <c r="E25" s="692">
        <f t="shared" si="4"/>
        <v>1677875</v>
      </c>
      <c r="F25" s="692">
        <f t="shared" si="5"/>
        <v>1459021</v>
      </c>
      <c r="G25" s="692">
        <f t="shared" si="6"/>
        <v>218854</v>
      </c>
      <c r="H25" s="1155">
        <v>35</v>
      </c>
      <c r="I25" s="1155">
        <v>0</v>
      </c>
      <c r="J25" s="1165">
        <v>10</v>
      </c>
      <c r="K25" s="694">
        <f t="shared" si="24"/>
        <v>45</v>
      </c>
      <c r="L25" s="675">
        <v>18</v>
      </c>
      <c r="M25" s="693">
        <v>14449</v>
      </c>
      <c r="N25" s="646">
        <v>1.0609999999999999</v>
      </c>
      <c r="O25" s="646">
        <v>1.01</v>
      </c>
      <c r="P25" s="694">
        <f t="shared" si="25"/>
        <v>15484</v>
      </c>
      <c r="Q25" s="677">
        <v>1.302</v>
      </c>
      <c r="R25" s="678">
        <v>1.855</v>
      </c>
      <c r="S25" s="695">
        <v>1.01</v>
      </c>
      <c r="T25" s="675">
        <v>12</v>
      </c>
      <c r="U25" s="1155">
        <v>1</v>
      </c>
      <c r="V25" s="506">
        <v>3.28</v>
      </c>
      <c r="W25" s="506">
        <v>0</v>
      </c>
      <c r="X25" s="508">
        <f t="shared" si="7"/>
        <v>0</v>
      </c>
      <c r="Y25" s="506">
        <v>3.28</v>
      </c>
      <c r="Z25" s="506">
        <v>2.78</v>
      </c>
      <c r="AA25" s="696">
        <f t="shared" si="8"/>
        <v>103964</v>
      </c>
      <c r="AB25" s="696">
        <f t="shared" si="9"/>
        <v>18699</v>
      </c>
      <c r="AC25" s="693">
        <v>46206</v>
      </c>
      <c r="AD25" s="696">
        <f t="shared" si="10"/>
        <v>12274</v>
      </c>
      <c r="AE25" s="693">
        <v>16242</v>
      </c>
      <c r="AF25" s="696">
        <f t="shared" si="11"/>
        <v>0</v>
      </c>
      <c r="AG25" s="508">
        <f t="shared" si="12"/>
        <v>1.1499999999999999</v>
      </c>
      <c r="AH25" s="508">
        <f t="shared" si="13"/>
        <v>1.1100000000000001</v>
      </c>
      <c r="AI25" s="679">
        <v>1</v>
      </c>
      <c r="AJ25" s="679">
        <v>1</v>
      </c>
      <c r="AK25" s="697">
        <f t="shared" si="14"/>
        <v>1.1599999999999999</v>
      </c>
      <c r="AL25" s="698">
        <v>1</v>
      </c>
      <c r="AM25" s="699">
        <f t="shared" si="26"/>
        <v>1.16164</v>
      </c>
      <c r="AN25" s="698">
        <v>1</v>
      </c>
      <c r="AO25" s="700">
        <f t="shared" si="15"/>
        <v>28722.82</v>
      </c>
      <c r="AP25" s="701"/>
      <c r="AQ25" s="702">
        <f t="shared" si="16"/>
        <v>-28722.82</v>
      </c>
      <c r="AR25" s="703">
        <v>0.55334399999999995</v>
      </c>
      <c r="AS25" s="704">
        <f t="shared" si="17"/>
        <v>-15894</v>
      </c>
      <c r="AT25" s="705">
        <f t="shared" si="18"/>
        <v>-620820</v>
      </c>
      <c r="AV25" s="706">
        <f t="shared" si="19"/>
        <v>45</v>
      </c>
      <c r="AW25" s="707">
        <f t="shared" si="0"/>
        <v>43814.46</v>
      </c>
      <c r="AY25" s="201">
        <f>247*V25/1/U25</f>
        <v>810.16</v>
      </c>
    </row>
    <row r="26" spans="1:51" ht="24" x14ac:dyDescent="0.25">
      <c r="A26" s="12" t="s">
        <v>627</v>
      </c>
      <c r="B26" s="692">
        <f t="shared" si="1"/>
        <v>105955</v>
      </c>
      <c r="C26" s="692">
        <f t="shared" si="2"/>
        <v>95444</v>
      </c>
      <c r="D26" s="692">
        <f t="shared" si="3"/>
        <v>10511</v>
      </c>
      <c r="E26" s="692">
        <f t="shared" si="4"/>
        <v>91366</v>
      </c>
      <c r="F26" s="692">
        <f t="shared" si="5"/>
        <v>80855</v>
      </c>
      <c r="G26" s="692">
        <f t="shared" si="6"/>
        <v>10511</v>
      </c>
      <c r="H26" s="1155">
        <v>35</v>
      </c>
      <c r="I26" s="1155">
        <v>5</v>
      </c>
      <c r="J26" s="1165">
        <v>10</v>
      </c>
      <c r="K26" s="694">
        <f t="shared" si="24"/>
        <v>50</v>
      </c>
      <c r="L26" s="675">
        <v>18</v>
      </c>
      <c r="M26" s="693">
        <v>14449</v>
      </c>
      <c r="N26" s="646">
        <v>1.0609999999999999</v>
      </c>
      <c r="O26" s="646">
        <v>1.01</v>
      </c>
      <c r="P26" s="694">
        <f t="shared" si="25"/>
        <v>15484</v>
      </c>
      <c r="Q26" s="677">
        <v>1.302</v>
      </c>
      <c r="R26" s="678">
        <v>1.9450000000000001</v>
      </c>
      <c r="S26" s="695">
        <v>1.01</v>
      </c>
      <c r="T26" s="675">
        <v>12</v>
      </c>
      <c r="U26" s="1155">
        <v>25</v>
      </c>
      <c r="V26" s="506">
        <v>86.37</v>
      </c>
      <c r="W26" s="506">
        <v>6</v>
      </c>
      <c r="X26" s="508">
        <f t="shared" si="7"/>
        <v>26.09</v>
      </c>
      <c r="Y26" s="506">
        <v>54.28</v>
      </c>
      <c r="Z26" s="506">
        <v>47.22</v>
      </c>
      <c r="AA26" s="696">
        <f t="shared" si="8"/>
        <v>1851568</v>
      </c>
      <c r="AB26" s="696">
        <f t="shared" si="9"/>
        <v>276833</v>
      </c>
      <c r="AC26" s="693">
        <v>46206</v>
      </c>
      <c r="AD26" s="696">
        <f t="shared" si="10"/>
        <v>306847</v>
      </c>
      <c r="AE26" s="693">
        <v>16242</v>
      </c>
      <c r="AF26" s="696">
        <f t="shared" si="11"/>
        <v>557245</v>
      </c>
      <c r="AG26" s="508">
        <f t="shared" si="12"/>
        <v>1.1299999999999999</v>
      </c>
      <c r="AH26" s="508">
        <f t="shared" si="13"/>
        <v>1.32</v>
      </c>
      <c r="AI26" s="679">
        <v>1</v>
      </c>
      <c r="AJ26" s="679">
        <v>1</v>
      </c>
      <c r="AK26" s="697">
        <f t="shared" si="14"/>
        <v>1.1599999999999999</v>
      </c>
      <c r="AL26" s="698">
        <v>1</v>
      </c>
      <c r="AM26" s="699">
        <f t="shared" si="26"/>
        <v>1.16164</v>
      </c>
      <c r="AN26" s="698">
        <v>1</v>
      </c>
      <c r="AO26" s="700">
        <f t="shared" si="15"/>
        <v>30116.38</v>
      </c>
      <c r="AP26" s="701">
        <v>45304.5</v>
      </c>
      <c r="AQ26" s="702">
        <f t="shared" si="16"/>
        <v>15188.12</v>
      </c>
      <c r="AR26" s="703">
        <v>0.55334399999999995</v>
      </c>
      <c r="AS26" s="704">
        <f t="shared" si="17"/>
        <v>8404</v>
      </c>
      <c r="AT26" s="705">
        <f t="shared" si="18"/>
        <v>14589</v>
      </c>
      <c r="AV26" s="706">
        <f t="shared" si="19"/>
        <v>2</v>
      </c>
      <c r="AW26" s="707">
        <f t="shared" si="0"/>
        <v>45940.22</v>
      </c>
      <c r="AY26" s="201">
        <f t="shared" si="23"/>
        <v>25.86</v>
      </c>
    </row>
    <row r="27" spans="1:51" x14ac:dyDescent="0.25">
      <c r="A27" s="174" t="s">
        <v>608</v>
      </c>
      <c r="B27" s="692">
        <f t="shared" si="1"/>
        <v>61476</v>
      </c>
      <c r="C27" s="692">
        <f t="shared" si="2"/>
        <v>53706</v>
      </c>
      <c r="D27" s="692">
        <f t="shared" si="3"/>
        <v>7770</v>
      </c>
      <c r="E27" s="692">
        <f t="shared" si="4"/>
        <v>56337</v>
      </c>
      <c r="F27" s="692">
        <f t="shared" si="5"/>
        <v>48567</v>
      </c>
      <c r="G27" s="692">
        <f t="shared" si="6"/>
        <v>7770</v>
      </c>
      <c r="H27" s="1219">
        <f>(23*1+24*1+26*3)/5</f>
        <v>25</v>
      </c>
      <c r="I27" s="1155">
        <v>0</v>
      </c>
      <c r="J27" s="1166">
        <v>0</v>
      </c>
      <c r="K27" s="694">
        <f t="shared" si="24"/>
        <v>25</v>
      </c>
      <c r="L27" s="675">
        <v>18</v>
      </c>
      <c r="M27" s="693">
        <v>14449</v>
      </c>
      <c r="N27" s="646">
        <v>1.0609999999999999</v>
      </c>
      <c r="O27" s="646">
        <v>1.01</v>
      </c>
      <c r="P27" s="694">
        <f t="shared" si="25"/>
        <v>15484</v>
      </c>
      <c r="Q27" s="677">
        <v>1.302</v>
      </c>
      <c r="R27" s="678">
        <v>2.2349999999999999</v>
      </c>
      <c r="S27" s="695">
        <v>1.01</v>
      </c>
      <c r="T27" s="675">
        <v>12</v>
      </c>
      <c r="U27" s="1155">
        <v>25</v>
      </c>
      <c r="V27" s="506">
        <v>51.72</v>
      </c>
      <c r="W27" s="506">
        <v>5</v>
      </c>
      <c r="X27" s="508">
        <f t="shared" si="7"/>
        <v>18.61</v>
      </c>
      <c r="Y27" s="506">
        <v>28.11</v>
      </c>
      <c r="Z27" s="506">
        <v>23.61</v>
      </c>
      <c r="AA27" s="696">
        <f t="shared" si="8"/>
        <v>1063819</v>
      </c>
      <c r="AB27" s="696">
        <f t="shared" si="9"/>
        <v>202761</v>
      </c>
      <c r="AC27" s="693">
        <v>46206</v>
      </c>
      <c r="AD27" s="696">
        <f t="shared" si="10"/>
        <v>257752</v>
      </c>
      <c r="AE27" s="693">
        <v>16242</v>
      </c>
      <c r="AF27" s="696">
        <f t="shared" si="11"/>
        <v>397483</v>
      </c>
      <c r="AG27" s="508">
        <f t="shared" si="12"/>
        <v>1.1599999999999999</v>
      </c>
      <c r="AH27" s="508">
        <f t="shared" si="13"/>
        <v>1.38</v>
      </c>
      <c r="AI27" s="679">
        <v>1</v>
      </c>
      <c r="AJ27" s="679">
        <v>1</v>
      </c>
      <c r="AK27" s="697">
        <f t="shared" si="14"/>
        <v>1.1599999999999999</v>
      </c>
      <c r="AL27" s="698">
        <v>1</v>
      </c>
      <c r="AM27" s="699">
        <f t="shared" si="26"/>
        <v>1.16164</v>
      </c>
      <c r="AN27" s="698">
        <v>1</v>
      </c>
      <c r="AO27" s="700">
        <f t="shared" si="15"/>
        <v>34606.74</v>
      </c>
      <c r="AP27" s="701">
        <v>45304.5</v>
      </c>
      <c r="AQ27" s="702">
        <f t="shared" si="16"/>
        <v>10697.76</v>
      </c>
      <c r="AR27" s="703">
        <v>0.55334399999999995</v>
      </c>
      <c r="AS27" s="704">
        <f t="shared" si="17"/>
        <v>5920</v>
      </c>
      <c r="AT27" s="705">
        <f t="shared" si="18"/>
        <v>5139</v>
      </c>
      <c r="AV27" s="706">
        <f t="shared" si="19"/>
        <v>1</v>
      </c>
      <c r="AW27" s="707">
        <f t="shared" si="0"/>
        <v>52789.919999999998</v>
      </c>
      <c r="AY27" s="201">
        <f>247*V27/19/U27</f>
        <v>26.89</v>
      </c>
    </row>
    <row r="28" spans="1:51" x14ac:dyDescent="0.25">
      <c r="A28" s="174" t="s">
        <v>611</v>
      </c>
      <c r="B28" s="692">
        <f t="shared" si="1"/>
        <v>41599</v>
      </c>
      <c r="C28" s="692">
        <f t="shared" si="2"/>
        <v>33736</v>
      </c>
      <c r="D28" s="692">
        <f t="shared" si="3"/>
        <v>7863</v>
      </c>
      <c r="E28" s="692">
        <f t="shared" si="4"/>
        <v>39317</v>
      </c>
      <c r="F28" s="692">
        <f t="shared" si="5"/>
        <v>31454</v>
      </c>
      <c r="G28" s="692">
        <f t="shared" si="6"/>
        <v>7863</v>
      </c>
      <c r="H28" s="1155">
        <v>14</v>
      </c>
      <c r="I28" s="1155">
        <v>0</v>
      </c>
      <c r="J28" s="1166">
        <v>0</v>
      </c>
      <c r="K28" s="694">
        <f t="shared" si="24"/>
        <v>14</v>
      </c>
      <c r="L28" s="675">
        <v>18</v>
      </c>
      <c r="M28" s="693">
        <v>14449</v>
      </c>
      <c r="N28" s="646">
        <v>1.0609999999999999</v>
      </c>
      <c r="O28" s="646">
        <v>1.01</v>
      </c>
      <c r="P28" s="694">
        <f t="shared" si="25"/>
        <v>15484</v>
      </c>
      <c r="Q28" s="677">
        <v>1.302</v>
      </c>
      <c r="R28" s="678">
        <v>2.3780000000000001</v>
      </c>
      <c r="S28" s="695">
        <v>1.01</v>
      </c>
      <c r="T28" s="675">
        <v>12</v>
      </c>
      <c r="U28" s="1155">
        <v>25</v>
      </c>
      <c r="V28" s="506">
        <v>40.83</v>
      </c>
      <c r="W28" s="506">
        <v>5</v>
      </c>
      <c r="X28" s="508">
        <f t="shared" si="7"/>
        <v>18.11</v>
      </c>
      <c r="Y28" s="506">
        <v>17.72</v>
      </c>
      <c r="Z28" s="506">
        <v>13.22</v>
      </c>
      <c r="AA28" s="696">
        <f t="shared" si="8"/>
        <v>633778</v>
      </c>
      <c r="AB28" s="696">
        <f t="shared" si="9"/>
        <v>215734</v>
      </c>
      <c r="AC28" s="693">
        <v>46206</v>
      </c>
      <c r="AD28" s="696">
        <f t="shared" si="10"/>
        <v>257752</v>
      </c>
      <c r="AE28" s="693">
        <v>16242</v>
      </c>
      <c r="AF28" s="696">
        <f t="shared" si="11"/>
        <v>386803</v>
      </c>
      <c r="AG28" s="508">
        <f t="shared" si="12"/>
        <v>1.25</v>
      </c>
      <c r="AH28" s="508">
        <f t="shared" si="13"/>
        <v>1.5</v>
      </c>
      <c r="AI28" s="679">
        <v>1</v>
      </c>
      <c r="AJ28" s="679">
        <v>1</v>
      </c>
      <c r="AK28" s="697">
        <f t="shared" si="14"/>
        <v>1.1599999999999999</v>
      </c>
      <c r="AL28" s="698">
        <v>1</v>
      </c>
      <c r="AM28" s="699">
        <f t="shared" si="26"/>
        <v>1.16164</v>
      </c>
      <c r="AN28" s="698">
        <v>1</v>
      </c>
      <c r="AO28" s="700">
        <f t="shared" si="15"/>
        <v>36820.949999999997</v>
      </c>
      <c r="AP28" s="701">
        <v>45304.5</v>
      </c>
      <c r="AQ28" s="702">
        <f t="shared" si="16"/>
        <v>8483.5499999999993</v>
      </c>
      <c r="AR28" s="703">
        <v>0.55334399999999995</v>
      </c>
      <c r="AS28" s="704">
        <f t="shared" si="17"/>
        <v>4694</v>
      </c>
      <c r="AT28" s="705">
        <f t="shared" si="18"/>
        <v>2282</v>
      </c>
      <c r="AV28" s="706">
        <f t="shared" si="19"/>
        <v>0.56000000000000005</v>
      </c>
      <c r="AW28" s="707">
        <f t="shared" si="0"/>
        <v>56167.53</v>
      </c>
      <c r="AY28" s="201">
        <f>247*V28/19/U28</f>
        <v>21.23</v>
      </c>
    </row>
    <row r="29" spans="1:51" ht="24" x14ac:dyDescent="0.25">
      <c r="A29" s="96" t="s">
        <v>620</v>
      </c>
      <c r="B29" s="696"/>
      <c r="C29" s="696"/>
      <c r="D29" s="696"/>
      <c r="E29" s="696"/>
      <c r="F29" s="696"/>
      <c r="G29" s="696"/>
      <c r="H29" s="1155"/>
      <c r="I29" s="1155"/>
      <c r="J29" s="1166"/>
      <c r="K29" s="1166"/>
      <c r="L29" s="1155"/>
      <c r="M29" s="1155"/>
      <c r="N29" s="676"/>
      <c r="O29" s="676"/>
      <c r="P29" s="696"/>
      <c r="Q29" s="678"/>
      <c r="R29" s="678"/>
      <c r="S29" s="695"/>
      <c r="T29" s="1155"/>
      <c r="U29" s="1155"/>
      <c r="V29" s="680"/>
      <c r="W29" s="680"/>
      <c r="X29" s="715"/>
      <c r="Y29" s="680"/>
      <c r="Z29" s="680"/>
      <c r="AA29" s="696"/>
      <c r="AB29" s="696"/>
      <c r="AC29" s="1155"/>
      <c r="AD29" s="696"/>
      <c r="AE29" s="1155"/>
      <c r="AF29" s="696"/>
      <c r="AG29" s="715"/>
      <c r="AH29" s="715"/>
      <c r="AI29" s="1156"/>
      <c r="AJ29" s="1156"/>
      <c r="AK29" s="1157"/>
      <c r="AL29" s="676"/>
      <c r="AM29" s="1158"/>
      <c r="AN29" s="676"/>
      <c r="AO29" s="700"/>
      <c r="AP29" s="1159"/>
      <c r="AQ29" s="700"/>
      <c r="AR29" s="1160"/>
      <c r="AS29" s="1161"/>
      <c r="AT29" s="1162"/>
      <c r="AU29" s="1163"/>
      <c r="AV29" s="1164"/>
      <c r="AW29" s="707">
        <f t="shared" si="0"/>
        <v>0</v>
      </c>
      <c r="AY29" s="201"/>
    </row>
    <row r="30" spans="1:51" x14ac:dyDescent="0.25">
      <c r="A30" s="12" t="s">
        <v>609</v>
      </c>
      <c r="B30" s="692">
        <f t="shared" si="1"/>
        <v>160484</v>
      </c>
      <c r="C30" s="692">
        <f t="shared" si="2"/>
        <v>125001</v>
      </c>
      <c r="D30" s="692">
        <f t="shared" si="3"/>
        <v>35483</v>
      </c>
      <c r="E30" s="692">
        <f t="shared" si="4"/>
        <v>143008</v>
      </c>
      <c r="F30" s="692">
        <f t="shared" si="5"/>
        <v>107525</v>
      </c>
      <c r="G30" s="692">
        <f t="shared" si="6"/>
        <v>35483</v>
      </c>
      <c r="H30" s="1155">
        <v>37</v>
      </c>
      <c r="I30" s="1155">
        <v>7</v>
      </c>
      <c r="J30" s="1166">
        <v>10</v>
      </c>
      <c r="K30" s="694">
        <f t="shared" ref="K30:K37" si="27">H30+I30+J30</f>
        <v>54</v>
      </c>
      <c r="L30" s="675">
        <v>18</v>
      </c>
      <c r="M30" s="693">
        <v>14449</v>
      </c>
      <c r="N30" s="646">
        <v>1.0609999999999999</v>
      </c>
      <c r="O30" s="646">
        <v>1.01</v>
      </c>
      <c r="P30" s="694">
        <f t="shared" ref="P30:P37" si="28">M30*N30*O30</f>
        <v>15484</v>
      </c>
      <c r="Q30" s="677">
        <v>1.302</v>
      </c>
      <c r="R30" s="678">
        <v>1.8380000000000001</v>
      </c>
      <c r="S30" s="695">
        <v>1.01</v>
      </c>
      <c r="T30" s="675">
        <v>12</v>
      </c>
      <c r="U30" s="1155">
        <v>25</v>
      </c>
      <c r="V30" s="506">
        <v>45.59</v>
      </c>
      <c r="W30" s="506">
        <v>6</v>
      </c>
      <c r="X30" s="508">
        <f t="shared" si="7"/>
        <v>26.09</v>
      </c>
      <c r="Y30" s="506">
        <v>13.5</v>
      </c>
      <c r="Z30" s="506">
        <v>9</v>
      </c>
      <c r="AA30" s="696">
        <f t="shared" si="8"/>
        <v>333489</v>
      </c>
      <c r="AB30" s="696">
        <f t="shared" si="9"/>
        <v>166745</v>
      </c>
      <c r="AC30" s="693">
        <v>46206</v>
      </c>
      <c r="AD30" s="696">
        <f t="shared" si="10"/>
        <v>306847</v>
      </c>
      <c r="AE30" s="693">
        <v>16242</v>
      </c>
      <c r="AF30" s="696">
        <f t="shared" si="11"/>
        <v>557245</v>
      </c>
      <c r="AG30" s="508">
        <f t="shared" si="12"/>
        <v>1.33</v>
      </c>
      <c r="AH30" s="508">
        <f t="shared" si="13"/>
        <v>1.72</v>
      </c>
      <c r="AI30" s="679">
        <v>1</v>
      </c>
      <c r="AJ30" s="679">
        <v>1</v>
      </c>
      <c r="AK30" s="697">
        <f t="shared" si="14"/>
        <v>1.1599999999999999</v>
      </c>
      <c r="AL30" s="698">
        <v>1</v>
      </c>
      <c r="AM30" s="699">
        <f t="shared" ref="AM30:AM37" si="29">1+(56+3)/365</f>
        <v>1.16164</v>
      </c>
      <c r="AN30" s="698">
        <v>1</v>
      </c>
      <c r="AO30" s="700">
        <f t="shared" si="15"/>
        <v>28459.59</v>
      </c>
      <c r="AP30" s="701">
        <v>45304.5</v>
      </c>
      <c r="AQ30" s="702">
        <f t="shared" si="16"/>
        <v>16844.91</v>
      </c>
      <c r="AR30" s="703">
        <v>0.55334399999999995</v>
      </c>
      <c r="AS30" s="704">
        <f t="shared" si="17"/>
        <v>9321</v>
      </c>
      <c r="AT30" s="705">
        <f t="shared" si="18"/>
        <v>17476</v>
      </c>
      <c r="AV30" s="706">
        <f t="shared" si="19"/>
        <v>2.16</v>
      </c>
      <c r="AW30" s="707">
        <f t="shared" si="0"/>
        <v>43412.92</v>
      </c>
      <c r="AY30" s="201">
        <f t="shared" si="23"/>
        <v>13.65</v>
      </c>
    </row>
    <row r="31" spans="1:51" ht="36" hidden="1" x14ac:dyDescent="0.25">
      <c r="A31" s="92" t="s">
        <v>610</v>
      </c>
      <c r="B31" s="692">
        <f t="shared" si="1"/>
        <v>0</v>
      </c>
      <c r="C31" s="692">
        <f t="shared" si="2"/>
        <v>0</v>
      </c>
      <c r="D31" s="692">
        <f t="shared" si="3"/>
        <v>0</v>
      </c>
      <c r="E31" s="692">
        <f t="shared" si="4"/>
        <v>0</v>
      </c>
      <c r="F31" s="692">
        <f t="shared" si="5"/>
        <v>0</v>
      </c>
      <c r="G31" s="692">
        <f t="shared" si="6"/>
        <v>0</v>
      </c>
      <c r="H31" s="1173">
        <v>0</v>
      </c>
      <c r="I31" s="1173">
        <v>0</v>
      </c>
      <c r="J31" s="1173">
        <v>0</v>
      </c>
      <c r="K31" s="694">
        <f t="shared" si="27"/>
        <v>0</v>
      </c>
      <c r="L31" s="675">
        <v>18</v>
      </c>
      <c r="M31" s="693">
        <v>14449</v>
      </c>
      <c r="N31" s="646">
        <v>1.0609999999999999</v>
      </c>
      <c r="O31" s="646">
        <v>1.01</v>
      </c>
      <c r="P31" s="694">
        <f t="shared" si="28"/>
        <v>15484</v>
      </c>
      <c r="Q31" s="677">
        <v>1.302</v>
      </c>
      <c r="R31" s="678">
        <v>1.8380000000000001</v>
      </c>
      <c r="S31" s="695">
        <v>1.01</v>
      </c>
      <c r="T31" s="675">
        <v>12</v>
      </c>
      <c r="U31" s="1155">
        <v>25</v>
      </c>
      <c r="V31" s="506">
        <v>45.59</v>
      </c>
      <c r="W31" s="506">
        <v>6</v>
      </c>
      <c r="X31" s="508">
        <f t="shared" si="7"/>
        <v>26.09</v>
      </c>
      <c r="Y31" s="506">
        <v>13.5</v>
      </c>
      <c r="Z31" s="506">
        <v>9</v>
      </c>
      <c r="AA31" s="696">
        <f t="shared" si="8"/>
        <v>333489</v>
      </c>
      <c r="AB31" s="696">
        <f t="shared" si="9"/>
        <v>166745</v>
      </c>
      <c r="AC31" s="693">
        <v>46206</v>
      </c>
      <c r="AD31" s="696">
        <f t="shared" si="10"/>
        <v>306847</v>
      </c>
      <c r="AE31" s="693">
        <v>16242</v>
      </c>
      <c r="AF31" s="696">
        <f t="shared" si="11"/>
        <v>557245</v>
      </c>
      <c r="AG31" s="508">
        <f t="shared" si="12"/>
        <v>1.33</v>
      </c>
      <c r="AH31" s="508">
        <f t="shared" si="13"/>
        <v>1.72</v>
      </c>
      <c r="AI31" s="679">
        <v>1</v>
      </c>
      <c r="AJ31" s="679">
        <v>1</v>
      </c>
      <c r="AK31" s="697">
        <f t="shared" si="14"/>
        <v>1.1599999999999999</v>
      </c>
      <c r="AL31" s="698">
        <v>1</v>
      </c>
      <c r="AM31" s="699">
        <f t="shared" si="29"/>
        <v>1.16164</v>
      </c>
      <c r="AN31" s="698">
        <v>1</v>
      </c>
      <c r="AO31" s="700">
        <f t="shared" si="15"/>
        <v>28459.59</v>
      </c>
      <c r="AP31" s="701">
        <v>45304.5</v>
      </c>
      <c r="AQ31" s="702">
        <f t="shared" si="16"/>
        <v>16844.91</v>
      </c>
      <c r="AR31" s="703">
        <v>0.55334399999999995</v>
      </c>
      <c r="AS31" s="704">
        <f t="shared" si="17"/>
        <v>9321</v>
      </c>
      <c r="AT31" s="705">
        <f t="shared" si="18"/>
        <v>0</v>
      </c>
      <c r="AV31" s="706">
        <f t="shared" si="19"/>
        <v>0</v>
      </c>
      <c r="AW31" s="707">
        <f t="shared" si="0"/>
        <v>43412.92</v>
      </c>
      <c r="AY31" s="201">
        <f t="shared" si="23"/>
        <v>13.65</v>
      </c>
    </row>
    <row r="32" spans="1:51" ht="24" hidden="1" x14ac:dyDescent="0.25">
      <c r="A32" s="92" t="s">
        <v>625</v>
      </c>
      <c r="B32" s="692">
        <f t="shared" si="1"/>
        <v>0</v>
      </c>
      <c r="C32" s="692">
        <f t="shared" si="2"/>
        <v>0</v>
      </c>
      <c r="D32" s="692">
        <f t="shared" si="3"/>
        <v>0</v>
      </c>
      <c r="E32" s="692">
        <f t="shared" si="4"/>
        <v>0</v>
      </c>
      <c r="F32" s="692">
        <f t="shared" si="5"/>
        <v>0</v>
      </c>
      <c r="G32" s="692">
        <f t="shared" si="6"/>
        <v>0</v>
      </c>
      <c r="H32" s="1173">
        <v>0</v>
      </c>
      <c r="I32" s="1173">
        <v>0</v>
      </c>
      <c r="J32" s="1173">
        <v>0</v>
      </c>
      <c r="K32" s="694">
        <f t="shared" si="27"/>
        <v>0</v>
      </c>
      <c r="L32" s="675">
        <v>18</v>
      </c>
      <c r="M32" s="693">
        <v>14449</v>
      </c>
      <c r="N32" s="646">
        <v>1.0609999999999999</v>
      </c>
      <c r="O32" s="646">
        <v>1.01</v>
      </c>
      <c r="P32" s="694">
        <f t="shared" si="28"/>
        <v>15484</v>
      </c>
      <c r="Q32" s="677">
        <v>1.302</v>
      </c>
      <c r="R32" s="678">
        <v>1.9379999999999999</v>
      </c>
      <c r="S32" s="695">
        <v>1.01</v>
      </c>
      <c r="T32" s="675">
        <v>12</v>
      </c>
      <c r="U32" s="1155">
        <v>10</v>
      </c>
      <c r="V32" s="506">
        <v>48.15</v>
      </c>
      <c r="W32" s="506">
        <v>6</v>
      </c>
      <c r="X32" s="508">
        <f t="shared" si="7"/>
        <v>26.09</v>
      </c>
      <c r="Y32" s="506">
        <v>16.059999999999999</v>
      </c>
      <c r="Z32" s="506">
        <v>9</v>
      </c>
      <c r="AA32" s="696">
        <f t="shared" si="8"/>
        <v>351634</v>
      </c>
      <c r="AB32" s="696">
        <f t="shared" si="9"/>
        <v>275837</v>
      </c>
      <c r="AC32" s="693">
        <v>46206</v>
      </c>
      <c r="AD32" s="696">
        <f t="shared" si="10"/>
        <v>306847</v>
      </c>
      <c r="AE32" s="693">
        <v>16242</v>
      </c>
      <c r="AF32" s="696">
        <f t="shared" si="11"/>
        <v>557245</v>
      </c>
      <c r="AG32" s="508">
        <f t="shared" si="12"/>
        <v>1.44</v>
      </c>
      <c r="AH32" s="508">
        <f t="shared" si="13"/>
        <v>1.71</v>
      </c>
      <c r="AI32" s="679">
        <v>1</v>
      </c>
      <c r="AJ32" s="679">
        <v>1</v>
      </c>
      <c r="AK32" s="697">
        <f t="shared" si="14"/>
        <v>1.1599999999999999</v>
      </c>
      <c r="AL32" s="698">
        <v>1</v>
      </c>
      <c r="AM32" s="699">
        <f t="shared" si="29"/>
        <v>1.16164</v>
      </c>
      <c r="AN32" s="698">
        <v>1</v>
      </c>
      <c r="AO32" s="700">
        <f t="shared" si="15"/>
        <v>30007.99</v>
      </c>
      <c r="AP32" s="701">
        <v>45304.5</v>
      </c>
      <c r="AQ32" s="702">
        <f t="shared" si="16"/>
        <v>15296.51</v>
      </c>
      <c r="AR32" s="703">
        <v>0.55334399999999995</v>
      </c>
      <c r="AS32" s="704">
        <f t="shared" si="17"/>
        <v>8464</v>
      </c>
      <c r="AT32" s="705">
        <f t="shared" si="18"/>
        <v>0</v>
      </c>
      <c r="AV32" s="706">
        <f t="shared" si="19"/>
        <v>0</v>
      </c>
      <c r="AW32" s="707">
        <f t="shared" si="0"/>
        <v>45774.89</v>
      </c>
      <c r="AY32" s="201">
        <f t="shared" si="23"/>
        <v>36.04</v>
      </c>
    </row>
    <row r="33" spans="1:51" ht="36" hidden="1" x14ac:dyDescent="0.25">
      <c r="A33" s="92" t="s">
        <v>639</v>
      </c>
      <c r="B33" s="692">
        <f t="shared" si="1"/>
        <v>0</v>
      </c>
      <c r="C33" s="692">
        <f t="shared" si="2"/>
        <v>0</v>
      </c>
      <c r="D33" s="692">
        <f t="shared" si="3"/>
        <v>0</v>
      </c>
      <c r="E33" s="692">
        <f t="shared" si="4"/>
        <v>0</v>
      </c>
      <c r="F33" s="692">
        <f t="shared" si="5"/>
        <v>0</v>
      </c>
      <c r="G33" s="692">
        <f t="shared" si="6"/>
        <v>0</v>
      </c>
      <c r="H33" s="1173">
        <v>0</v>
      </c>
      <c r="I33" s="1173">
        <v>0</v>
      </c>
      <c r="J33" s="1173">
        <v>0</v>
      </c>
      <c r="K33" s="694">
        <f t="shared" si="27"/>
        <v>0</v>
      </c>
      <c r="L33" s="675">
        <v>18</v>
      </c>
      <c r="M33" s="693">
        <v>14449</v>
      </c>
      <c r="N33" s="646">
        <v>1.0609999999999999</v>
      </c>
      <c r="O33" s="646">
        <v>1.01</v>
      </c>
      <c r="P33" s="694">
        <f t="shared" si="28"/>
        <v>15484</v>
      </c>
      <c r="Q33" s="677">
        <v>1.302</v>
      </c>
      <c r="R33" s="678">
        <v>1.9550000000000001</v>
      </c>
      <c r="S33" s="695">
        <v>1.01</v>
      </c>
      <c r="T33" s="675">
        <v>12</v>
      </c>
      <c r="U33" s="1155">
        <v>1</v>
      </c>
      <c r="V33" s="506">
        <v>5.56</v>
      </c>
      <c r="W33" s="506">
        <v>0</v>
      </c>
      <c r="X33" s="508">
        <f t="shared" si="7"/>
        <v>0</v>
      </c>
      <c r="Y33" s="506">
        <v>5.56</v>
      </c>
      <c r="Z33" s="506">
        <v>3</v>
      </c>
      <c r="AA33" s="696">
        <f t="shared" si="8"/>
        <v>118239</v>
      </c>
      <c r="AB33" s="696">
        <f t="shared" si="9"/>
        <v>100897</v>
      </c>
      <c r="AC33" s="693">
        <v>46206</v>
      </c>
      <c r="AD33" s="696">
        <f t="shared" si="10"/>
        <v>12274</v>
      </c>
      <c r="AE33" s="693">
        <v>16242</v>
      </c>
      <c r="AF33" s="696">
        <f t="shared" si="11"/>
        <v>0</v>
      </c>
      <c r="AG33" s="508">
        <f t="shared" si="12"/>
        <v>1.46</v>
      </c>
      <c r="AH33" s="508">
        <f t="shared" si="13"/>
        <v>1.0900000000000001</v>
      </c>
      <c r="AI33" s="679">
        <v>1</v>
      </c>
      <c r="AJ33" s="679">
        <v>1</v>
      </c>
      <c r="AK33" s="697">
        <f t="shared" si="14"/>
        <v>1.1599999999999999</v>
      </c>
      <c r="AL33" s="698">
        <v>1</v>
      </c>
      <c r="AM33" s="699">
        <f t="shared" si="29"/>
        <v>1.16164</v>
      </c>
      <c r="AN33" s="698">
        <v>1</v>
      </c>
      <c r="AO33" s="700">
        <f t="shared" si="15"/>
        <v>30271.22</v>
      </c>
      <c r="AP33" s="701"/>
      <c r="AQ33" s="702">
        <f t="shared" si="16"/>
        <v>-30271.22</v>
      </c>
      <c r="AR33" s="703">
        <v>0.55334399999999995</v>
      </c>
      <c r="AS33" s="704">
        <f t="shared" si="17"/>
        <v>-16750</v>
      </c>
      <c r="AT33" s="705">
        <f t="shared" si="18"/>
        <v>0</v>
      </c>
      <c r="AV33" s="706">
        <f t="shared" si="19"/>
        <v>0</v>
      </c>
      <c r="AW33" s="707">
        <f t="shared" si="0"/>
        <v>46176.42</v>
      </c>
      <c r="AY33" s="201">
        <f>247*V33/1/U33</f>
        <v>1373.32</v>
      </c>
    </row>
    <row r="34" spans="1:51" x14ac:dyDescent="0.25">
      <c r="A34" s="12" t="s">
        <v>626</v>
      </c>
      <c r="B34" s="692">
        <f t="shared" si="1"/>
        <v>1073146</v>
      </c>
      <c r="C34" s="692">
        <f t="shared" si="2"/>
        <v>861726</v>
      </c>
      <c r="D34" s="692">
        <f t="shared" si="3"/>
        <v>211420</v>
      </c>
      <c r="E34" s="692">
        <f t="shared" si="4"/>
        <v>1721558</v>
      </c>
      <c r="F34" s="692">
        <f t="shared" si="5"/>
        <v>1510138</v>
      </c>
      <c r="G34" s="692">
        <f t="shared" si="6"/>
        <v>211420</v>
      </c>
      <c r="H34" s="1155">
        <v>37</v>
      </c>
      <c r="I34" s="1155">
        <v>0</v>
      </c>
      <c r="J34" s="1166">
        <v>10</v>
      </c>
      <c r="K34" s="694">
        <f t="shared" si="27"/>
        <v>47</v>
      </c>
      <c r="L34" s="675">
        <v>18</v>
      </c>
      <c r="M34" s="693">
        <v>14449</v>
      </c>
      <c r="N34" s="646">
        <v>1.0609999999999999</v>
      </c>
      <c r="O34" s="646">
        <v>1.01</v>
      </c>
      <c r="P34" s="694">
        <f t="shared" si="28"/>
        <v>15484</v>
      </c>
      <c r="Q34" s="677">
        <v>1.302</v>
      </c>
      <c r="R34" s="678">
        <v>1.855</v>
      </c>
      <c r="S34" s="695">
        <v>1.01</v>
      </c>
      <c r="T34" s="675">
        <v>12</v>
      </c>
      <c r="U34" s="1155">
        <v>1</v>
      </c>
      <c r="V34" s="506">
        <v>3.5</v>
      </c>
      <c r="W34" s="506">
        <v>0</v>
      </c>
      <c r="X34" s="508">
        <f t="shared" si="7"/>
        <v>0</v>
      </c>
      <c r="Y34" s="506">
        <v>3.5</v>
      </c>
      <c r="Z34" s="506">
        <v>3</v>
      </c>
      <c r="AA34" s="696">
        <f t="shared" si="8"/>
        <v>112191</v>
      </c>
      <c r="AB34" s="696">
        <f t="shared" si="9"/>
        <v>18699</v>
      </c>
      <c r="AC34" s="693">
        <v>46206</v>
      </c>
      <c r="AD34" s="696">
        <f t="shared" si="10"/>
        <v>12274</v>
      </c>
      <c r="AE34" s="693">
        <v>16242</v>
      </c>
      <c r="AF34" s="696">
        <f t="shared" si="11"/>
        <v>0</v>
      </c>
      <c r="AG34" s="508">
        <f t="shared" si="12"/>
        <v>1.1399999999999999</v>
      </c>
      <c r="AH34" s="508">
        <f t="shared" si="13"/>
        <v>1.1000000000000001</v>
      </c>
      <c r="AI34" s="679">
        <v>1</v>
      </c>
      <c r="AJ34" s="679">
        <v>1</v>
      </c>
      <c r="AK34" s="697">
        <f t="shared" si="14"/>
        <v>1.1599999999999999</v>
      </c>
      <c r="AL34" s="698">
        <v>1</v>
      </c>
      <c r="AM34" s="699">
        <f t="shared" si="29"/>
        <v>1.16164</v>
      </c>
      <c r="AN34" s="698">
        <v>1</v>
      </c>
      <c r="AO34" s="700">
        <f t="shared" si="15"/>
        <v>28722.82</v>
      </c>
      <c r="AP34" s="701"/>
      <c r="AQ34" s="702">
        <f t="shared" si="16"/>
        <v>-28722.82</v>
      </c>
      <c r="AR34" s="703">
        <v>0.55334399999999995</v>
      </c>
      <c r="AS34" s="704">
        <f t="shared" si="17"/>
        <v>-15894</v>
      </c>
      <c r="AT34" s="705">
        <f t="shared" si="18"/>
        <v>-648412</v>
      </c>
      <c r="AV34" s="706">
        <f t="shared" si="19"/>
        <v>47</v>
      </c>
      <c r="AW34" s="707">
        <f t="shared" si="0"/>
        <v>43814.46</v>
      </c>
      <c r="AY34" s="201">
        <f>247*V34/1/U34</f>
        <v>864.5</v>
      </c>
    </row>
    <row r="35" spans="1:51" ht="24" x14ac:dyDescent="0.25">
      <c r="A35" s="12" t="s">
        <v>627</v>
      </c>
      <c r="B35" s="692">
        <f t="shared" si="1"/>
        <v>178180</v>
      </c>
      <c r="C35" s="692">
        <f t="shared" si="2"/>
        <v>128585</v>
      </c>
      <c r="D35" s="692">
        <f t="shared" si="3"/>
        <v>49595</v>
      </c>
      <c r="E35" s="692">
        <f t="shared" si="4"/>
        <v>162311</v>
      </c>
      <c r="F35" s="692">
        <f t="shared" si="5"/>
        <v>112716</v>
      </c>
      <c r="G35" s="692">
        <f t="shared" si="6"/>
        <v>49595</v>
      </c>
      <c r="H35" s="1155">
        <v>37</v>
      </c>
      <c r="I35" s="1155">
        <v>7</v>
      </c>
      <c r="J35" s="1166">
        <v>10</v>
      </c>
      <c r="K35" s="694">
        <f t="shared" si="27"/>
        <v>54</v>
      </c>
      <c r="L35" s="675">
        <v>18</v>
      </c>
      <c r="M35" s="693">
        <v>14449</v>
      </c>
      <c r="N35" s="646">
        <v>1.0609999999999999</v>
      </c>
      <c r="O35" s="646">
        <v>1.01</v>
      </c>
      <c r="P35" s="694">
        <f t="shared" si="28"/>
        <v>15484</v>
      </c>
      <c r="Q35" s="677">
        <v>1.302</v>
      </c>
      <c r="R35" s="678">
        <v>1.9379999999999999</v>
      </c>
      <c r="S35" s="695">
        <v>1.01</v>
      </c>
      <c r="T35" s="675">
        <v>12</v>
      </c>
      <c r="U35" s="1155">
        <v>25</v>
      </c>
      <c r="V35" s="506">
        <v>48.15</v>
      </c>
      <c r="W35" s="506">
        <v>6</v>
      </c>
      <c r="X35" s="508">
        <f t="shared" si="7"/>
        <v>26.09</v>
      </c>
      <c r="Y35" s="506">
        <v>16.059999999999999</v>
      </c>
      <c r="Z35" s="506">
        <v>9</v>
      </c>
      <c r="AA35" s="696">
        <f t="shared" si="8"/>
        <v>351634</v>
      </c>
      <c r="AB35" s="696">
        <f t="shared" si="9"/>
        <v>275837</v>
      </c>
      <c r="AC35" s="693">
        <v>46206</v>
      </c>
      <c r="AD35" s="696">
        <f t="shared" si="10"/>
        <v>306847</v>
      </c>
      <c r="AE35" s="693">
        <v>16242</v>
      </c>
      <c r="AF35" s="696">
        <f t="shared" si="11"/>
        <v>557245</v>
      </c>
      <c r="AG35" s="508">
        <f t="shared" si="12"/>
        <v>1.44</v>
      </c>
      <c r="AH35" s="508">
        <f t="shared" si="13"/>
        <v>1.71</v>
      </c>
      <c r="AI35" s="679">
        <v>1</v>
      </c>
      <c r="AJ35" s="679">
        <v>1</v>
      </c>
      <c r="AK35" s="697">
        <f t="shared" si="14"/>
        <v>1.1599999999999999</v>
      </c>
      <c r="AL35" s="698">
        <v>1</v>
      </c>
      <c r="AM35" s="699">
        <f t="shared" si="29"/>
        <v>1.16164</v>
      </c>
      <c r="AN35" s="698">
        <v>1</v>
      </c>
      <c r="AO35" s="700">
        <f t="shared" si="15"/>
        <v>30007.99</v>
      </c>
      <c r="AP35" s="701">
        <v>45304.5</v>
      </c>
      <c r="AQ35" s="702">
        <f t="shared" si="16"/>
        <v>15296.51</v>
      </c>
      <c r="AR35" s="703">
        <v>0.55334399999999995</v>
      </c>
      <c r="AS35" s="704">
        <f t="shared" si="17"/>
        <v>8464</v>
      </c>
      <c r="AT35" s="705">
        <f t="shared" si="18"/>
        <v>15869</v>
      </c>
      <c r="AV35" s="706">
        <f t="shared" si="19"/>
        <v>2.16</v>
      </c>
      <c r="AW35" s="707">
        <f t="shared" si="0"/>
        <v>45774.89</v>
      </c>
      <c r="AY35" s="201">
        <f t="shared" si="23"/>
        <v>14.42</v>
      </c>
    </row>
    <row r="36" spans="1:51" x14ac:dyDescent="0.25">
      <c r="A36" s="174" t="s">
        <v>608</v>
      </c>
      <c r="B36" s="692">
        <f t="shared" si="1"/>
        <v>103518</v>
      </c>
      <c r="C36" s="692">
        <f t="shared" si="2"/>
        <v>64925</v>
      </c>
      <c r="D36" s="692">
        <f t="shared" si="3"/>
        <v>38593</v>
      </c>
      <c r="E36" s="692">
        <f t="shared" si="4"/>
        <v>98894</v>
      </c>
      <c r="F36" s="692">
        <f t="shared" si="5"/>
        <v>60301</v>
      </c>
      <c r="G36" s="692">
        <f t="shared" si="6"/>
        <v>38593</v>
      </c>
      <c r="H36" s="1155">
        <f>23</f>
        <v>23</v>
      </c>
      <c r="I36" s="1155">
        <v>0</v>
      </c>
      <c r="J36" s="1166">
        <v>0</v>
      </c>
      <c r="K36" s="694">
        <f t="shared" si="27"/>
        <v>23</v>
      </c>
      <c r="L36" s="675">
        <v>18</v>
      </c>
      <c r="M36" s="693">
        <v>14449</v>
      </c>
      <c r="N36" s="646">
        <v>1.0609999999999999</v>
      </c>
      <c r="O36" s="646">
        <v>1.01</v>
      </c>
      <c r="P36" s="694">
        <f t="shared" si="28"/>
        <v>15484</v>
      </c>
      <c r="Q36" s="677">
        <v>1.302</v>
      </c>
      <c r="R36" s="678">
        <v>2.25</v>
      </c>
      <c r="S36" s="695">
        <v>1.01</v>
      </c>
      <c r="T36" s="675">
        <v>12</v>
      </c>
      <c r="U36" s="1155">
        <v>25</v>
      </c>
      <c r="V36" s="506">
        <v>30.67</v>
      </c>
      <c r="W36" s="506">
        <v>5</v>
      </c>
      <c r="X36" s="508">
        <f t="shared" si="7"/>
        <v>18.61</v>
      </c>
      <c r="Y36" s="506">
        <v>7.06</v>
      </c>
      <c r="Z36" s="506">
        <v>2.56</v>
      </c>
      <c r="AA36" s="696">
        <f t="shared" si="8"/>
        <v>116123</v>
      </c>
      <c r="AB36" s="696">
        <f t="shared" si="9"/>
        <v>204122</v>
      </c>
      <c r="AC36" s="693">
        <v>46206</v>
      </c>
      <c r="AD36" s="696">
        <f t="shared" si="10"/>
        <v>257752</v>
      </c>
      <c r="AE36" s="693">
        <v>16242</v>
      </c>
      <c r="AF36" s="696">
        <f t="shared" si="11"/>
        <v>397483</v>
      </c>
      <c r="AG36" s="508">
        <f t="shared" si="12"/>
        <v>1.64</v>
      </c>
      <c r="AH36" s="508">
        <f t="shared" si="13"/>
        <v>1.85</v>
      </c>
      <c r="AI36" s="679">
        <v>1</v>
      </c>
      <c r="AJ36" s="679">
        <v>1</v>
      </c>
      <c r="AK36" s="697">
        <f t="shared" si="14"/>
        <v>1.1599999999999999</v>
      </c>
      <c r="AL36" s="698">
        <v>1</v>
      </c>
      <c r="AM36" s="699">
        <f t="shared" si="29"/>
        <v>1.16164</v>
      </c>
      <c r="AN36" s="698">
        <v>1</v>
      </c>
      <c r="AO36" s="700">
        <f t="shared" si="15"/>
        <v>34839</v>
      </c>
      <c r="AP36" s="701">
        <v>45304.5</v>
      </c>
      <c r="AQ36" s="702">
        <f t="shared" si="16"/>
        <v>10465.5</v>
      </c>
      <c r="AR36" s="703">
        <v>0.55334399999999995</v>
      </c>
      <c r="AS36" s="704">
        <f t="shared" si="17"/>
        <v>5791</v>
      </c>
      <c r="AT36" s="705">
        <f t="shared" si="18"/>
        <v>4624</v>
      </c>
      <c r="AV36" s="706">
        <f t="shared" si="19"/>
        <v>0.92</v>
      </c>
      <c r="AW36" s="707">
        <f t="shared" si="0"/>
        <v>53144.22</v>
      </c>
      <c r="AY36" s="201">
        <f>247*V36/19/U36</f>
        <v>15.95</v>
      </c>
    </row>
    <row r="37" spans="1:51" x14ac:dyDescent="0.25">
      <c r="A37" s="174" t="s">
        <v>611</v>
      </c>
      <c r="B37" s="692">
        <f t="shared" si="1"/>
        <v>71531</v>
      </c>
      <c r="C37" s="692">
        <f t="shared" si="2"/>
        <v>42085</v>
      </c>
      <c r="D37" s="692">
        <f t="shared" si="3"/>
        <v>29446</v>
      </c>
      <c r="E37" s="692">
        <f t="shared" si="4"/>
        <v>69237</v>
      </c>
      <c r="F37" s="692">
        <f t="shared" si="5"/>
        <v>39791</v>
      </c>
      <c r="G37" s="692">
        <f t="shared" si="6"/>
        <v>29446</v>
      </c>
      <c r="H37" s="1155">
        <v>14</v>
      </c>
      <c r="I37" s="1155">
        <v>0</v>
      </c>
      <c r="J37" s="1166">
        <v>0</v>
      </c>
      <c r="K37" s="694">
        <f t="shared" si="27"/>
        <v>14</v>
      </c>
      <c r="L37" s="675">
        <v>18</v>
      </c>
      <c r="M37" s="693">
        <v>14449</v>
      </c>
      <c r="N37" s="646">
        <v>1.0609999999999999</v>
      </c>
      <c r="O37" s="646">
        <v>1.01</v>
      </c>
      <c r="P37" s="694">
        <f t="shared" si="28"/>
        <v>15484</v>
      </c>
      <c r="Q37" s="677">
        <v>1.302</v>
      </c>
      <c r="R37" s="678">
        <v>2.375</v>
      </c>
      <c r="S37" s="695">
        <v>1.01</v>
      </c>
      <c r="T37" s="675">
        <v>12</v>
      </c>
      <c r="U37" s="1155">
        <v>25</v>
      </c>
      <c r="V37" s="506">
        <v>29.17</v>
      </c>
      <c r="W37" s="506">
        <v>5</v>
      </c>
      <c r="X37" s="508">
        <f t="shared" si="7"/>
        <v>18.11</v>
      </c>
      <c r="Y37" s="506">
        <v>6.06</v>
      </c>
      <c r="Z37" s="506">
        <v>1.56</v>
      </c>
      <c r="AA37" s="696">
        <f t="shared" si="8"/>
        <v>74693</v>
      </c>
      <c r="AB37" s="696">
        <f t="shared" si="9"/>
        <v>215461</v>
      </c>
      <c r="AC37" s="693">
        <v>46206</v>
      </c>
      <c r="AD37" s="696">
        <f t="shared" si="10"/>
        <v>257752</v>
      </c>
      <c r="AE37" s="693">
        <v>16242</v>
      </c>
      <c r="AF37" s="696">
        <f t="shared" si="11"/>
        <v>386803</v>
      </c>
      <c r="AG37" s="508">
        <f t="shared" si="12"/>
        <v>1.74</v>
      </c>
      <c r="AH37" s="508">
        <f t="shared" si="13"/>
        <v>1.9</v>
      </c>
      <c r="AI37" s="679">
        <v>1</v>
      </c>
      <c r="AJ37" s="679">
        <v>1</v>
      </c>
      <c r="AK37" s="697">
        <f t="shared" si="14"/>
        <v>1.1599999999999999</v>
      </c>
      <c r="AL37" s="698">
        <v>1</v>
      </c>
      <c r="AM37" s="699">
        <f t="shared" si="29"/>
        <v>1.16164</v>
      </c>
      <c r="AN37" s="698">
        <v>1</v>
      </c>
      <c r="AO37" s="700">
        <f t="shared" si="15"/>
        <v>36774.5</v>
      </c>
      <c r="AP37" s="701">
        <v>45304.5</v>
      </c>
      <c r="AQ37" s="702">
        <f t="shared" si="16"/>
        <v>8530</v>
      </c>
      <c r="AR37" s="703">
        <v>0.55334399999999995</v>
      </c>
      <c r="AS37" s="704">
        <f t="shared" si="17"/>
        <v>4720</v>
      </c>
      <c r="AT37" s="705">
        <f t="shared" si="18"/>
        <v>2294</v>
      </c>
      <c r="AV37" s="706">
        <f t="shared" si="19"/>
        <v>0.56000000000000005</v>
      </c>
      <c r="AW37" s="707">
        <f t="shared" si="0"/>
        <v>56096.68</v>
      </c>
      <c r="AY37" s="201">
        <f>247*V37/19/U37</f>
        <v>15.17</v>
      </c>
    </row>
  </sheetData>
  <mergeCells count="35">
    <mergeCell ref="A5:A6"/>
    <mergeCell ref="B5:B6"/>
    <mergeCell ref="C5:D5"/>
    <mergeCell ref="E5:E6"/>
    <mergeCell ref="F5:G5"/>
    <mergeCell ref="AO5:AT5"/>
    <mergeCell ref="AV5:AV6"/>
    <mergeCell ref="H5:H6"/>
    <mergeCell ref="AY5:AY6"/>
    <mergeCell ref="U5:U6"/>
    <mergeCell ref="I5:I6"/>
    <mergeCell ref="J5:J6"/>
    <mergeCell ref="K5:K6"/>
    <mergeCell ref="L5:L6"/>
    <mergeCell ref="M5:M6"/>
    <mergeCell ref="O5:O6"/>
    <mergeCell ref="P5:P6"/>
    <mergeCell ref="Q5:Q6"/>
    <mergeCell ref="AW5:AW6"/>
    <mergeCell ref="N5:N6"/>
    <mergeCell ref="R5:R6"/>
    <mergeCell ref="S5:S6"/>
    <mergeCell ref="AL5:AN5"/>
    <mergeCell ref="V5:V6"/>
    <mergeCell ref="W5:Z5"/>
    <mergeCell ref="AA5:AA6"/>
    <mergeCell ref="AB5:AB6"/>
    <mergeCell ref="AC5:AD5"/>
    <mergeCell ref="AE5:AF5"/>
    <mergeCell ref="AG5:AG6"/>
    <mergeCell ref="AH5:AH6"/>
    <mergeCell ref="AI5:AI6"/>
    <mergeCell ref="AJ5:AJ6"/>
    <mergeCell ref="AK5:AK6"/>
    <mergeCell ref="T5:T6"/>
  </mergeCells>
  <pageMargins left="0" right="0" top="0" bottom="0" header="0.31496062992125984" footer="0.31496062992125984"/>
  <pageSetup paperSize="9" scale="59" fitToWidth="4" orientation="landscape" r:id="rId1"/>
  <colBreaks count="2" manualBreakCount="2">
    <brk id="27" max="1048575" man="1"/>
    <brk id="4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</sheetPr>
  <dimension ref="A2:AZ40"/>
  <sheetViews>
    <sheetView view="pageBreakPreview" zoomScale="71" zoomScaleNormal="73" zoomScaleSheetLayoutView="71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A4" sqref="A4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9" width="12.85546875" style="72" customWidth="1"/>
    <col min="10" max="11" width="13.7109375" style="72" customWidth="1"/>
    <col min="12" max="12" width="12.7109375" style="72" customWidth="1"/>
    <col min="13" max="13" width="14.28515625" style="72" customWidth="1"/>
    <col min="14" max="16" width="12.7109375" style="72" customWidth="1"/>
    <col min="17" max="17" width="14.28515625" style="72" customWidth="1"/>
    <col min="18" max="18" width="16" style="72" customWidth="1"/>
    <col min="19" max="19" width="16.42578125" style="72" customWidth="1"/>
    <col min="20" max="20" width="15.28515625" style="72" customWidth="1"/>
    <col min="21" max="21" width="13.42578125" style="72" customWidth="1"/>
    <col min="22" max="22" width="10.85546875" style="72" customWidth="1"/>
    <col min="23" max="23" width="18" style="72" customWidth="1"/>
    <col min="24" max="25" width="12.85546875" style="72" customWidth="1"/>
    <col min="26" max="26" width="12.42578125" style="72" customWidth="1"/>
    <col min="27" max="27" width="10.85546875" style="72" customWidth="1"/>
    <col min="28" max="29" width="15.7109375" style="72" customWidth="1"/>
    <col min="30" max="30" width="14.28515625" style="72" customWidth="1"/>
    <col min="31" max="31" width="23" style="72" customWidth="1"/>
    <col min="32" max="32" width="14.140625" style="72" customWidth="1"/>
    <col min="33" max="34" width="12.42578125" style="72" customWidth="1"/>
    <col min="35" max="35" width="12.7109375" style="72" customWidth="1"/>
    <col min="36" max="36" width="14" style="72" hidden="1" customWidth="1"/>
    <col min="37" max="37" width="12.5703125" style="72" hidden="1" customWidth="1"/>
    <col min="38" max="38" width="13.42578125" style="72" customWidth="1"/>
    <col min="39" max="39" width="15" style="72" hidden="1" customWidth="1"/>
    <col min="40" max="40" width="14.85546875" style="72" customWidth="1"/>
    <col min="41" max="41" width="12" style="72" hidden="1" customWidth="1"/>
    <col min="42" max="42" width="14.5703125" style="72" customWidth="1"/>
    <col min="43" max="43" width="27.28515625" style="72" customWidth="1"/>
    <col min="44" max="44" width="14.5703125" style="72" customWidth="1"/>
    <col min="45" max="45" width="17.5703125" style="72" customWidth="1"/>
    <col min="46" max="47" width="14.5703125" style="72" customWidth="1"/>
    <col min="48" max="48" width="4.42578125" style="72" customWidth="1"/>
    <col min="49" max="49" width="16" style="72" customWidth="1"/>
    <col min="50" max="50" width="16" style="72" hidden="1" customWidth="1"/>
    <col min="51" max="51" width="5.28515625" style="72" customWidth="1"/>
    <col min="52" max="52" width="13.42578125" style="72" customWidth="1"/>
    <col min="53" max="16384" width="9.140625" style="72"/>
  </cols>
  <sheetData>
    <row r="2" spans="1:52" s="657" customFormat="1" ht="18.75" customHeight="1" x14ac:dyDescent="0.25">
      <c r="K2" s="271" t="s">
        <v>1920</v>
      </c>
      <c r="U2" s="271" t="s">
        <v>1920</v>
      </c>
    </row>
    <row r="3" spans="1:52" s="657" customFormat="1" ht="17.25" customHeight="1" x14ac:dyDescent="0.25">
      <c r="A3" s="657" t="s">
        <v>2238</v>
      </c>
    </row>
    <row r="5" spans="1:52" ht="15.75" customHeight="1" x14ac:dyDescent="0.25">
      <c r="A5" s="1348" t="s">
        <v>270</v>
      </c>
      <c r="B5" s="1349" t="s">
        <v>1426</v>
      </c>
      <c r="C5" s="1350" t="s">
        <v>31</v>
      </c>
      <c r="D5" s="1350"/>
      <c r="E5" s="1349" t="s">
        <v>1427</v>
      </c>
      <c r="F5" s="1350" t="s">
        <v>31</v>
      </c>
      <c r="G5" s="1350"/>
      <c r="H5" s="1347" t="s">
        <v>1935</v>
      </c>
      <c r="I5" s="1347" t="s">
        <v>2100</v>
      </c>
      <c r="J5" s="1347" t="s">
        <v>1936</v>
      </c>
      <c r="K5" s="1347" t="s">
        <v>1930</v>
      </c>
      <c r="L5" s="1347" t="s">
        <v>1922</v>
      </c>
      <c r="M5" s="1347" t="s">
        <v>1921</v>
      </c>
      <c r="N5" s="1365" t="s">
        <v>1418</v>
      </c>
      <c r="O5" s="1365" t="s">
        <v>1419</v>
      </c>
      <c r="P5" s="1351" t="s">
        <v>1485</v>
      </c>
      <c r="Q5" s="1347" t="s">
        <v>1926</v>
      </c>
      <c r="R5" s="1347" t="s">
        <v>1434</v>
      </c>
      <c r="S5" s="1347" t="s">
        <v>2197</v>
      </c>
      <c r="T5" s="1347" t="s">
        <v>888</v>
      </c>
      <c r="U5" s="1347" t="s">
        <v>271</v>
      </c>
      <c r="V5" s="1347" t="s">
        <v>1925</v>
      </c>
      <c r="W5" s="1347" t="s">
        <v>2200</v>
      </c>
      <c r="X5" s="1353" t="s">
        <v>31</v>
      </c>
      <c r="Y5" s="1354"/>
      <c r="Z5" s="1354"/>
      <c r="AA5" s="1355"/>
      <c r="AB5" s="1481" t="s">
        <v>1927</v>
      </c>
      <c r="AC5" s="1481" t="s">
        <v>1438</v>
      </c>
      <c r="AD5" s="1482" t="s">
        <v>1439</v>
      </c>
      <c r="AE5" s="1483"/>
      <c r="AF5" s="1353" t="s">
        <v>1440</v>
      </c>
      <c r="AG5" s="1355"/>
      <c r="AH5" s="1481" t="s">
        <v>945</v>
      </c>
      <c r="AI5" s="1347" t="s">
        <v>946</v>
      </c>
      <c r="AJ5" s="1362" t="s">
        <v>2095</v>
      </c>
      <c r="AK5" s="1362" t="s">
        <v>2213</v>
      </c>
      <c r="AL5" s="1347" t="s">
        <v>1443</v>
      </c>
      <c r="AM5" s="1353" t="s">
        <v>31</v>
      </c>
      <c r="AN5" s="1354"/>
      <c r="AO5" s="1355"/>
      <c r="AP5" s="1363" t="s">
        <v>1444</v>
      </c>
      <c r="AQ5" s="1363"/>
      <c r="AR5" s="1363"/>
      <c r="AS5" s="1363"/>
      <c r="AT5" s="1363"/>
      <c r="AU5" s="1363"/>
      <c r="AW5" s="1364" t="s">
        <v>1445</v>
      </c>
      <c r="AX5" s="1347" t="s">
        <v>1446</v>
      </c>
      <c r="AZ5" s="1360" t="s">
        <v>282</v>
      </c>
    </row>
    <row r="6" spans="1:52" ht="175.5" customHeight="1" x14ac:dyDescent="0.25">
      <c r="A6" s="1348"/>
      <c r="B6" s="1349"/>
      <c r="C6" s="1214" t="s">
        <v>1447</v>
      </c>
      <c r="D6" s="1214" t="s">
        <v>1448</v>
      </c>
      <c r="E6" s="1349"/>
      <c r="F6" s="1214" t="s">
        <v>1449</v>
      </c>
      <c r="G6" s="1214" t="s">
        <v>1448</v>
      </c>
      <c r="H6" s="1347"/>
      <c r="I6" s="1347"/>
      <c r="J6" s="1347"/>
      <c r="K6" s="1347"/>
      <c r="L6" s="1347"/>
      <c r="M6" s="1347"/>
      <c r="N6" s="1365"/>
      <c r="O6" s="1365"/>
      <c r="P6" s="1352"/>
      <c r="Q6" s="1347"/>
      <c r="R6" s="1347"/>
      <c r="S6" s="1347"/>
      <c r="T6" s="1347"/>
      <c r="U6" s="1347"/>
      <c r="V6" s="1347"/>
      <c r="W6" s="1347"/>
      <c r="X6" s="1217" t="s">
        <v>2087</v>
      </c>
      <c r="Y6" s="1217" t="s">
        <v>1451</v>
      </c>
      <c r="Z6" s="1217" t="s">
        <v>1923</v>
      </c>
      <c r="AA6" s="1153" t="s">
        <v>1924</v>
      </c>
      <c r="AB6" s="1357"/>
      <c r="AC6" s="1357"/>
      <c r="AD6" s="1153" t="s">
        <v>1928</v>
      </c>
      <c r="AE6" s="1217" t="s">
        <v>1929</v>
      </c>
      <c r="AF6" s="1153" t="s">
        <v>1456</v>
      </c>
      <c r="AG6" s="1217" t="s">
        <v>1457</v>
      </c>
      <c r="AH6" s="1357"/>
      <c r="AI6" s="1347"/>
      <c r="AJ6" s="1362"/>
      <c r="AK6" s="1362"/>
      <c r="AL6" s="1347"/>
      <c r="AM6" s="662" t="s">
        <v>1458</v>
      </c>
      <c r="AN6" s="663" t="s">
        <v>2214</v>
      </c>
      <c r="AO6" s="662" t="s">
        <v>1458</v>
      </c>
      <c r="AP6" s="664" t="s">
        <v>1487</v>
      </c>
      <c r="AQ6" s="664" t="s">
        <v>1488</v>
      </c>
      <c r="AR6" s="665" t="s">
        <v>1462</v>
      </c>
      <c r="AS6" s="1168" t="s">
        <v>1463</v>
      </c>
      <c r="AT6" s="665" t="s">
        <v>1464</v>
      </c>
      <c r="AU6" s="667" t="s">
        <v>1465</v>
      </c>
      <c r="AW6" s="1364"/>
      <c r="AX6" s="1347"/>
      <c r="AZ6" s="1361"/>
    </row>
    <row r="7" spans="1:52" ht="63" customHeight="1" x14ac:dyDescent="0.25">
      <c r="A7" s="668" t="s">
        <v>1466</v>
      </c>
      <c r="B7" s="669" t="s">
        <v>1467</v>
      </c>
      <c r="C7" s="669" t="s">
        <v>1468</v>
      </c>
      <c r="D7" s="669" t="s">
        <v>1469</v>
      </c>
      <c r="E7" s="669" t="s">
        <v>269</v>
      </c>
      <c r="F7" s="669" t="s">
        <v>1470</v>
      </c>
      <c r="G7" s="669" t="s">
        <v>4</v>
      </c>
      <c r="H7" s="669">
        <v>4</v>
      </c>
      <c r="I7" s="669" t="s">
        <v>1931</v>
      </c>
      <c r="J7" s="669" t="s">
        <v>2199</v>
      </c>
      <c r="K7" s="669" t="s">
        <v>2198</v>
      </c>
      <c r="L7" s="669">
        <v>6</v>
      </c>
      <c r="M7" s="669">
        <v>7</v>
      </c>
      <c r="N7" s="669">
        <v>8</v>
      </c>
      <c r="O7" s="669" t="s">
        <v>254</v>
      </c>
      <c r="P7" s="669" t="s">
        <v>925</v>
      </c>
      <c r="Q7" s="669" t="s">
        <v>2216</v>
      </c>
      <c r="R7" s="669">
        <v>10</v>
      </c>
      <c r="S7" s="669">
        <v>11</v>
      </c>
      <c r="T7" s="669">
        <v>12</v>
      </c>
      <c r="U7" s="669">
        <v>13</v>
      </c>
      <c r="V7" s="669">
        <v>14</v>
      </c>
      <c r="W7" s="669">
        <v>15</v>
      </c>
      <c r="X7" s="669">
        <v>16</v>
      </c>
      <c r="Y7" s="669">
        <v>17</v>
      </c>
      <c r="Z7" s="669">
        <v>18</v>
      </c>
      <c r="AA7" s="669">
        <v>19</v>
      </c>
      <c r="AB7" s="669">
        <v>20</v>
      </c>
      <c r="AC7" s="669">
        <v>21</v>
      </c>
      <c r="AD7" s="669">
        <v>22</v>
      </c>
      <c r="AE7" s="669">
        <v>23</v>
      </c>
      <c r="AF7" s="669">
        <v>24</v>
      </c>
      <c r="AG7" s="669">
        <v>25</v>
      </c>
      <c r="AH7" s="669">
        <v>26</v>
      </c>
      <c r="AI7" s="669">
        <v>27</v>
      </c>
      <c r="AJ7" s="669">
        <v>8</v>
      </c>
      <c r="AK7" s="669">
        <v>8</v>
      </c>
      <c r="AL7" s="669">
        <v>28</v>
      </c>
      <c r="AM7" s="669">
        <v>29</v>
      </c>
      <c r="AN7" s="669">
        <v>30</v>
      </c>
      <c r="AO7" s="670">
        <v>31</v>
      </c>
      <c r="AP7" s="671" t="s">
        <v>1471</v>
      </c>
      <c r="AQ7" s="671" t="s">
        <v>1932</v>
      </c>
      <c r="AR7" s="671" t="s">
        <v>1473</v>
      </c>
      <c r="AS7" s="671" t="s">
        <v>1933</v>
      </c>
      <c r="AT7" s="671" t="s">
        <v>1475</v>
      </c>
      <c r="AU7" s="671">
        <v>37</v>
      </c>
      <c r="AW7" s="672"/>
      <c r="AX7" s="672"/>
      <c r="AZ7" s="1264" t="s">
        <v>2230</v>
      </c>
    </row>
    <row r="8" spans="1:52" ht="18.75" customHeight="1" x14ac:dyDescent="0.25">
      <c r="A8" s="673"/>
      <c r="B8" s="674"/>
      <c r="C8" s="674"/>
      <c r="D8" s="674"/>
      <c r="E8" s="674"/>
      <c r="F8" s="674"/>
      <c r="G8" s="674"/>
      <c r="H8" s="675"/>
      <c r="I8" s="675"/>
      <c r="J8" s="675"/>
      <c r="K8" s="675"/>
      <c r="L8" s="675"/>
      <c r="M8" s="675"/>
      <c r="N8" s="676"/>
      <c r="O8" s="676"/>
      <c r="P8" s="676"/>
      <c r="Q8" s="675"/>
      <c r="R8" s="677"/>
      <c r="S8" s="678"/>
      <c r="T8" s="506"/>
      <c r="U8" s="675"/>
      <c r="V8" s="675"/>
      <c r="W8" s="675"/>
      <c r="X8" s="675"/>
      <c r="Y8" s="675"/>
      <c r="Z8" s="675"/>
      <c r="AA8" s="675"/>
      <c r="AB8" s="675"/>
      <c r="AC8" s="675"/>
      <c r="AD8" s="675"/>
      <c r="AE8" s="675"/>
      <c r="AF8" s="675"/>
      <c r="AG8" s="675"/>
      <c r="AH8" s="675"/>
      <c r="AI8" s="675"/>
      <c r="AJ8" s="679"/>
      <c r="AK8" s="679"/>
      <c r="AL8" s="506"/>
      <c r="AM8" s="680"/>
      <c r="AN8" s="680"/>
      <c r="AO8" s="680"/>
      <c r="AP8" s="681"/>
      <c r="AQ8" s="681">
        <f>42907.7*1.04*1.01525</f>
        <v>45304.5</v>
      </c>
      <c r="AR8" s="682"/>
      <c r="AS8" s="683">
        <f>1493.1/2698.32</f>
        <v>0.55334399999999995</v>
      </c>
      <c r="AT8" s="684"/>
      <c r="AU8" s="685"/>
      <c r="AV8" s="686"/>
      <c r="AW8" s="677"/>
      <c r="AX8" s="677"/>
      <c r="AZ8" s="1265"/>
    </row>
    <row r="9" spans="1:52" ht="18.75" hidden="1" customHeight="1" x14ac:dyDescent="0.25">
      <c r="A9" s="673"/>
      <c r="B9" s="674"/>
      <c r="C9" s="674"/>
      <c r="D9" s="674"/>
      <c r="E9" s="674"/>
      <c r="F9" s="674"/>
      <c r="G9" s="674"/>
      <c r="H9" s="675"/>
      <c r="I9" s="675"/>
      <c r="J9" s="675"/>
      <c r="K9" s="675"/>
      <c r="L9" s="675"/>
      <c r="M9" s="675"/>
      <c r="N9" s="675"/>
      <c r="O9" s="675"/>
      <c r="P9" s="675"/>
      <c r="Q9" s="675"/>
      <c r="R9" s="677"/>
      <c r="S9" s="678"/>
      <c r="T9" s="506"/>
      <c r="U9" s="675"/>
      <c r="V9" s="675"/>
      <c r="W9" s="675"/>
      <c r="X9" s="675"/>
      <c r="Y9" s="675"/>
      <c r="Z9" s="675"/>
      <c r="AA9" s="675"/>
      <c r="AB9" s="675"/>
      <c r="AC9" s="675"/>
      <c r="AD9" s="675"/>
      <c r="AE9" s="675"/>
      <c r="AF9" s="675"/>
      <c r="AG9" s="675"/>
      <c r="AH9" s="675"/>
      <c r="AI9" s="675"/>
      <c r="AJ9" s="679"/>
      <c r="AK9" s="679"/>
      <c r="AL9" s="506"/>
      <c r="AM9" s="687"/>
      <c r="AN9" s="687"/>
      <c r="AO9" s="687"/>
      <c r="AP9" s="688"/>
      <c r="AQ9" s="688"/>
      <c r="AR9" s="689"/>
      <c r="AS9" s="690"/>
      <c r="AT9" s="688"/>
      <c r="AU9" s="691"/>
      <c r="AV9" s="686"/>
      <c r="AW9" s="677"/>
      <c r="AX9" s="677"/>
    </row>
    <row r="10" spans="1:52" ht="18.75" hidden="1" customHeight="1" x14ac:dyDescent="0.25">
      <c r="A10" s="673"/>
      <c r="B10" s="674"/>
      <c r="C10" s="674"/>
      <c r="D10" s="674"/>
      <c r="E10" s="674"/>
      <c r="F10" s="674"/>
      <c r="G10" s="674"/>
      <c r="H10" s="675"/>
      <c r="I10" s="675"/>
      <c r="J10" s="675"/>
      <c r="K10" s="675"/>
      <c r="L10" s="675"/>
      <c r="M10" s="675"/>
      <c r="N10" s="675"/>
      <c r="O10" s="675"/>
      <c r="P10" s="675"/>
      <c r="Q10" s="675"/>
      <c r="R10" s="677"/>
      <c r="S10" s="678"/>
      <c r="T10" s="506"/>
      <c r="U10" s="675"/>
      <c r="V10" s="675"/>
      <c r="W10" s="675"/>
      <c r="X10" s="675"/>
      <c r="Y10" s="675"/>
      <c r="Z10" s="675"/>
      <c r="AA10" s="675"/>
      <c r="AB10" s="675"/>
      <c r="AC10" s="675"/>
      <c r="AD10" s="675"/>
      <c r="AE10" s="675"/>
      <c r="AF10" s="675"/>
      <c r="AG10" s="675"/>
      <c r="AH10" s="675"/>
      <c r="AI10" s="675"/>
      <c r="AJ10" s="679"/>
      <c r="AK10" s="679"/>
      <c r="AL10" s="506"/>
      <c r="AM10" s="687"/>
      <c r="AN10" s="687"/>
      <c r="AO10" s="687"/>
      <c r="AP10" s="688"/>
      <c r="AQ10" s="688"/>
      <c r="AR10" s="689"/>
      <c r="AS10" s="690"/>
      <c r="AT10" s="688"/>
      <c r="AU10" s="691"/>
      <c r="AV10" s="686"/>
      <c r="AW10" s="677"/>
      <c r="AX10" s="677"/>
    </row>
    <row r="11" spans="1:52" ht="24" x14ac:dyDescent="0.25">
      <c r="A11" s="96" t="s">
        <v>624</v>
      </c>
      <c r="B11" s="696"/>
      <c r="C11" s="696"/>
      <c r="D11" s="696"/>
      <c r="E11" s="696"/>
      <c r="F11" s="696"/>
      <c r="G11" s="696"/>
      <c r="H11" s="1155"/>
      <c r="I11" s="1155"/>
      <c r="J11" s="1155"/>
      <c r="K11" s="1155"/>
      <c r="L11" s="1155"/>
      <c r="M11" s="1155"/>
      <c r="N11" s="676"/>
      <c r="O11" s="676"/>
      <c r="P11" s="676"/>
      <c r="Q11" s="696"/>
      <c r="R11" s="678"/>
      <c r="S11" s="678"/>
      <c r="T11" s="695"/>
      <c r="U11" s="1155"/>
      <c r="V11" s="1155"/>
      <c r="W11" s="680"/>
      <c r="X11" s="680"/>
      <c r="Y11" s="715"/>
      <c r="Z11" s="680"/>
      <c r="AA11" s="680"/>
      <c r="AB11" s="696"/>
      <c r="AC11" s="696"/>
      <c r="AD11" s="1155"/>
      <c r="AE11" s="696"/>
      <c r="AF11" s="1155"/>
      <c r="AG11" s="696"/>
      <c r="AH11" s="715"/>
      <c r="AI11" s="715"/>
      <c r="AJ11" s="1156"/>
      <c r="AK11" s="1156"/>
      <c r="AL11" s="1157"/>
      <c r="AM11" s="676"/>
      <c r="AN11" s="1158"/>
      <c r="AO11" s="676"/>
      <c r="AP11" s="700"/>
      <c r="AQ11" s="1159"/>
      <c r="AR11" s="700"/>
      <c r="AS11" s="1160"/>
      <c r="AT11" s="1161"/>
      <c r="AU11" s="1162"/>
      <c r="AV11" s="1163"/>
      <c r="AW11" s="1164"/>
      <c r="AX11" s="707">
        <f t="shared" ref="AX11:AX37" si="0">Q11*R11*S11*T11*AJ11*AK11*AL11</f>
        <v>0</v>
      </c>
      <c r="AZ11" s="201"/>
    </row>
    <row r="12" spans="1:52" x14ac:dyDescent="0.25">
      <c r="A12" s="12" t="s">
        <v>609</v>
      </c>
      <c r="B12" s="692">
        <f t="shared" ref="B12:B37" si="1">C12+D12</f>
        <v>93907</v>
      </c>
      <c r="C12" s="692">
        <f t="shared" ref="C12:C19" si="2">F12+AU12</f>
        <v>84557</v>
      </c>
      <c r="D12" s="692">
        <f t="shared" ref="D12:D37" si="3">G12</f>
        <v>9350</v>
      </c>
      <c r="E12" s="692">
        <f t="shared" ref="E12:E19" si="4">ROUND(K12/L12*Q12*R12*S12*T12*U12/V12*AH12*AI12*AJ12*AK12*AL12,0)</f>
        <v>81271</v>
      </c>
      <c r="F12" s="692">
        <f t="shared" ref="F12:F19" si="5">ROUND(K12/L12*Q12*R12*S12*U12/V12*AI12*T12*AL12*AJ12*AK12,0)</f>
        <v>71921</v>
      </c>
      <c r="G12" s="692">
        <f t="shared" ref="G12:G37" si="6">E12-F12</f>
        <v>9350</v>
      </c>
      <c r="H12" s="1155">
        <v>26</v>
      </c>
      <c r="I12" s="1155">
        <v>6</v>
      </c>
      <c r="J12" s="1165">
        <v>10</v>
      </c>
      <c r="K12" s="694">
        <f>H12+I12+J12</f>
        <v>42</v>
      </c>
      <c r="L12" s="675">
        <v>18</v>
      </c>
      <c r="M12" s="693">
        <v>14449</v>
      </c>
      <c r="N12" s="646">
        <v>1.0609999999999999</v>
      </c>
      <c r="O12" s="646">
        <v>1.04</v>
      </c>
      <c r="P12" s="646">
        <v>1.01</v>
      </c>
      <c r="Q12" s="694">
        <f>M12*N12*O12*P12</f>
        <v>16103</v>
      </c>
      <c r="R12" s="677">
        <v>1.302</v>
      </c>
      <c r="S12" s="695">
        <v>1.841</v>
      </c>
      <c r="T12" s="695">
        <v>1.01</v>
      </c>
      <c r="U12" s="675">
        <v>12</v>
      </c>
      <c r="V12" s="1155">
        <v>25</v>
      </c>
      <c r="W12" s="506">
        <v>66.92</v>
      </c>
      <c r="X12" s="506">
        <v>6</v>
      </c>
      <c r="Y12" s="508">
        <f t="shared" ref="Y12:Y37" si="7">W12-X12-Z12</f>
        <v>26.09</v>
      </c>
      <c r="Z12" s="506">
        <v>34.83</v>
      </c>
      <c r="AA12" s="506">
        <v>30.33</v>
      </c>
      <c r="AB12" s="696">
        <f t="shared" ref="AB12:AB37" si="8">Q12*R12*S12*AA12</f>
        <v>1170696</v>
      </c>
      <c r="AC12" s="696">
        <f t="shared" ref="AC12:AC37" si="9">AB12/AA12*(Z12-AA12)</f>
        <v>173694</v>
      </c>
      <c r="AD12" s="693">
        <v>46206</v>
      </c>
      <c r="AE12" s="696">
        <f t="shared" ref="AE12:AE37" si="10">(AD12+AD12*(X12-1)*0.8)* 1.01*1.302*P12</f>
        <v>306847</v>
      </c>
      <c r="AF12" s="693">
        <v>16242</v>
      </c>
      <c r="AG12" s="696">
        <f t="shared" ref="AG12:AG37" si="11">Y12*AF12*1.01*1.302</f>
        <v>557245</v>
      </c>
      <c r="AH12" s="508">
        <f t="shared" ref="AH12:AH37" si="12">AC12/(AB12+AC12)+1</f>
        <v>1.1299999999999999</v>
      </c>
      <c r="AI12" s="508">
        <f t="shared" ref="AI12:AI37" si="13">(AE12+AG12)/(AB12+AE12+AG12)+1</f>
        <v>1.42</v>
      </c>
      <c r="AJ12" s="679">
        <v>1</v>
      </c>
      <c r="AK12" s="679">
        <v>1</v>
      </c>
      <c r="AL12" s="697">
        <f t="shared" ref="AL12:AL37" si="14">ROUND(AM12*AN12*AO12,2)</f>
        <v>1.1599999999999999</v>
      </c>
      <c r="AM12" s="698">
        <v>1</v>
      </c>
      <c r="AN12" s="699">
        <f>1+(56+3)/365</f>
        <v>1.16164</v>
      </c>
      <c r="AO12" s="698">
        <v>1</v>
      </c>
      <c r="AP12" s="700">
        <f t="shared" ref="AP12:AP37" si="15">Q12*S12</f>
        <v>29645.62</v>
      </c>
      <c r="AQ12" s="701">
        <v>45304.5</v>
      </c>
      <c r="AR12" s="702">
        <f t="shared" ref="AR12:AR37" si="16">(AQ12-Q12*S12)</f>
        <v>15658.88</v>
      </c>
      <c r="AS12" s="703">
        <v>0.55334399999999995</v>
      </c>
      <c r="AT12" s="704">
        <f t="shared" ref="AT12:AT37" si="17">AR12*AS12</f>
        <v>8665</v>
      </c>
      <c r="AU12" s="705">
        <f t="shared" ref="AU12:AU19" si="18">ROUND(K12/L12*AT12*U12/V12*R12,0)</f>
        <v>12636</v>
      </c>
      <c r="AW12" s="706">
        <f t="shared" ref="AW12:AW19" si="19">K12/V12</f>
        <v>1.68</v>
      </c>
      <c r="AX12" s="707">
        <f t="shared" si="0"/>
        <v>45222.12</v>
      </c>
      <c r="AZ12" s="201">
        <f>247*W12/33/V12</f>
        <v>20.04</v>
      </c>
    </row>
    <row r="13" spans="1:52" ht="36" hidden="1" x14ac:dyDescent="0.25">
      <c r="A13" s="92" t="s">
        <v>610</v>
      </c>
      <c r="B13" s="692">
        <f t="shared" si="1"/>
        <v>0</v>
      </c>
      <c r="C13" s="692">
        <f t="shared" si="2"/>
        <v>0</v>
      </c>
      <c r="D13" s="692">
        <f t="shared" si="3"/>
        <v>0</v>
      </c>
      <c r="E13" s="692">
        <f t="shared" si="4"/>
        <v>0</v>
      </c>
      <c r="F13" s="692">
        <f t="shared" si="5"/>
        <v>0</v>
      </c>
      <c r="G13" s="692">
        <f t="shared" si="6"/>
        <v>0</v>
      </c>
      <c r="H13" s="1173">
        <v>0</v>
      </c>
      <c r="I13" s="1173">
        <v>0</v>
      </c>
      <c r="J13" s="1167">
        <v>0</v>
      </c>
      <c r="K13" s="694">
        <f t="shared" ref="K13:K19" si="20">H13+I13+J13</f>
        <v>0</v>
      </c>
      <c r="L13" s="675">
        <v>18</v>
      </c>
      <c r="M13" s="693">
        <v>14449</v>
      </c>
      <c r="N13" s="646">
        <v>1.0609999999999999</v>
      </c>
      <c r="O13" s="646">
        <v>1.04</v>
      </c>
      <c r="P13" s="646">
        <v>1.01</v>
      </c>
      <c r="Q13" s="694">
        <f t="shared" ref="Q13:Q19" si="21">M13*N13*O13*P13</f>
        <v>16103</v>
      </c>
      <c r="R13" s="677">
        <v>1.302</v>
      </c>
      <c r="S13" s="695">
        <v>1.841</v>
      </c>
      <c r="T13" s="695">
        <v>1.01</v>
      </c>
      <c r="U13" s="675">
        <v>12</v>
      </c>
      <c r="V13" s="1155">
        <v>25</v>
      </c>
      <c r="W13" s="506">
        <v>66.92</v>
      </c>
      <c r="X13" s="506">
        <v>6</v>
      </c>
      <c r="Y13" s="508">
        <f t="shared" si="7"/>
        <v>26.09</v>
      </c>
      <c r="Z13" s="506">
        <v>34.83</v>
      </c>
      <c r="AA13" s="506">
        <v>30.33</v>
      </c>
      <c r="AB13" s="696">
        <f t="shared" si="8"/>
        <v>1170696</v>
      </c>
      <c r="AC13" s="696">
        <f t="shared" si="9"/>
        <v>173694</v>
      </c>
      <c r="AD13" s="693">
        <v>46206</v>
      </c>
      <c r="AE13" s="696">
        <f t="shared" si="10"/>
        <v>306847</v>
      </c>
      <c r="AF13" s="693">
        <v>16242</v>
      </c>
      <c r="AG13" s="696">
        <f t="shared" si="11"/>
        <v>557245</v>
      </c>
      <c r="AH13" s="508">
        <f t="shared" si="12"/>
        <v>1.1299999999999999</v>
      </c>
      <c r="AI13" s="508">
        <f t="shared" si="13"/>
        <v>1.42</v>
      </c>
      <c r="AJ13" s="679">
        <v>1</v>
      </c>
      <c r="AK13" s="679">
        <v>1</v>
      </c>
      <c r="AL13" s="697">
        <f t="shared" si="14"/>
        <v>1.1599999999999999</v>
      </c>
      <c r="AM13" s="698">
        <v>1</v>
      </c>
      <c r="AN13" s="699">
        <f t="shared" ref="AN13:AN19" si="22">1+(56+3)/365</f>
        <v>1.16164</v>
      </c>
      <c r="AO13" s="698">
        <v>1</v>
      </c>
      <c r="AP13" s="700">
        <f t="shared" si="15"/>
        <v>29645.62</v>
      </c>
      <c r="AQ13" s="701">
        <v>45304.5</v>
      </c>
      <c r="AR13" s="702">
        <f t="shared" si="16"/>
        <v>15658.88</v>
      </c>
      <c r="AS13" s="703">
        <v>0.55334399999999995</v>
      </c>
      <c r="AT13" s="704">
        <f t="shared" si="17"/>
        <v>8665</v>
      </c>
      <c r="AU13" s="705">
        <f t="shared" si="18"/>
        <v>0</v>
      </c>
      <c r="AW13" s="706">
        <f t="shared" si="19"/>
        <v>0</v>
      </c>
      <c r="AX13" s="707">
        <f t="shared" si="0"/>
        <v>45222.12</v>
      </c>
      <c r="AZ13" s="201">
        <f t="shared" ref="AZ13:AZ35" si="23">247*W13/33/V13</f>
        <v>20.04</v>
      </c>
    </row>
    <row r="14" spans="1:52" ht="24" x14ac:dyDescent="0.25">
      <c r="A14" s="12" t="s">
        <v>625</v>
      </c>
      <c r="B14" s="692">
        <f t="shared" si="1"/>
        <v>252340</v>
      </c>
      <c r="C14" s="692">
        <f t="shared" si="2"/>
        <v>216576</v>
      </c>
      <c r="D14" s="692">
        <f t="shared" si="3"/>
        <v>35764</v>
      </c>
      <c r="E14" s="692">
        <f t="shared" si="4"/>
        <v>223999</v>
      </c>
      <c r="F14" s="692">
        <f t="shared" si="5"/>
        <v>188235</v>
      </c>
      <c r="G14" s="692">
        <f t="shared" si="6"/>
        <v>35764</v>
      </c>
      <c r="H14" s="1155">
        <v>26</v>
      </c>
      <c r="I14" s="1155">
        <v>6</v>
      </c>
      <c r="J14" s="1165">
        <v>10</v>
      </c>
      <c r="K14" s="694">
        <f t="shared" si="20"/>
        <v>42</v>
      </c>
      <c r="L14" s="675">
        <v>18</v>
      </c>
      <c r="M14" s="693">
        <v>14449</v>
      </c>
      <c r="N14" s="646">
        <v>1.0609999999999999</v>
      </c>
      <c r="O14" s="646">
        <v>1.04</v>
      </c>
      <c r="P14" s="646">
        <v>1.01</v>
      </c>
      <c r="Q14" s="694">
        <f t="shared" si="21"/>
        <v>16103</v>
      </c>
      <c r="R14" s="677">
        <v>1.302</v>
      </c>
      <c r="S14" s="695">
        <v>1.9410000000000001</v>
      </c>
      <c r="T14" s="695">
        <v>1.01</v>
      </c>
      <c r="U14" s="675">
        <v>12</v>
      </c>
      <c r="V14" s="1155">
        <v>10</v>
      </c>
      <c r="W14" s="506">
        <v>69.48</v>
      </c>
      <c r="X14" s="506">
        <v>6</v>
      </c>
      <c r="Y14" s="508">
        <f t="shared" si="7"/>
        <v>26.09</v>
      </c>
      <c r="Z14" s="506">
        <v>37.39</v>
      </c>
      <c r="AA14" s="506">
        <v>30.33</v>
      </c>
      <c r="AB14" s="696">
        <f t="shared" si="8"/>
        <v>1234286</v>
      </c>
      <c r="AC14" s="696">
        <f t="shared" si="9"/>
        <v>287308</v>
      </c>
      <c r="AD14" s="693">
        <v>46206</v>
      </c>
      <c r="AE14" s="696">
        <f t="shared" si="10"/>
        <v>306847</v>
      </c>
      <c r="AF14" s="693">
        <v>16242</v>
      </c>
      <c r="AG14" s="696">
        <f t="shared" si="11"/>
        <v>557245</v>
      </c>
      <c r="AH14" s="508">
        <f t="shared" si="12"/>
        <v>1.19</v>
      </c>
      <c r="AI14" s="508">
        <f t="shared" si="13"/>
        <v>1.41</v>
      </c>
      <c r="AJ14" s="679">
        <v>1</v>
      </c>
      <c r="AK14" s="679">
        <v>1</v>
      </c>
      <c r="AL14" s="697">
        <f t="shared" si="14"/>
        <v>1.1599999999999999</v>
      </c>
      <c r="AM14" s="698">
        <v>1</v>
      </c>
      <c r="AN14" s="699">
        <f t="shared" si="22"/>
        <v>1.16164</v>
      </c>
      <c r="AO14" s="698">
        <v>1</v>
      </c>
      <c r="AP14" s="700">
        <f t="shared" si="15"/>
        <v>31255.919999999998</v>
      </c>
      <c r="AQ14" s="701">
        <v>45304.5</v>
      </c>
      <c r="AR14" s="702">
        <f t="shared" si="16"/>
        <v>14048.58</v>
      </c>
      <c r="AS14" s="703">
        <v>0.55334399999999995</v>
      </c>
      <c r="AT14" s="704">
        <f t="shared" si="17"/>
        <v>7774</v>
      </c>
      <c r="AU14" s="705">
        <f t="shared" si="18"/>
        <v>28341</v>
      </c>
      <c r="AW14" s="706">
        <f t="shared" si="19"/>
        <v>4.2</v>
      </c>
      <c r="AX14" s="707">
        <f t="shared" si="0"/>
        <v>47678.51</v>
      </c>
      <c r="AZ14" s="201">
        <f t="shared" si="23"/>
        <v>52</v>
      </c>
    </row>
    <row r="15" spans="1:52" x14ac:dyDescent="0.25">
      <c r="A15" s="12" t="s">
        <v>626</v>
      </c>
      <c r="B15" s="692">
        <f t="shared" si="1"/>
        <v>958350</v>
      </c>
      <c r="C15" s="692">
        <f t="shared" si="2"/>
        <v>729722</v>
      </c>
      <c r="D15" s="692">
        <f t="shared" si="3"/>
        <v>228628</v>
      </c>
      <c r="E15" s="692">
        <f t="shared" si="4"/>
        <v>1498784</v>
      </c>
      <c r="F15" s="692">
        <f t="shared" si="5"/>
        <v>1270156</v>
      </c>
      <c r="G15" s="692">
        <f t="shared" si="6"/>
        <v>228628</v>
      </c>
      <c r="H15" s="1155">
        <v>26</v>
      </c>
      <c r="I15" s="1155">
        <v>0</v>
      </c>
      <c r="J15" s="1165">
        <v>10</v>
      </c>
      <c r="K15" s="694">
        <f t="shared" si="20"/>
        <v>36</v>
      </c>
      <c r="L15" s="675">
        <v>18</v>
      </c>
      <c r="M15" s="693">
        <v>14449</v>
      </c>
      <c r="N15" s="646">
        <v>1.0609999999999999</v>
      </c>
      <c r="O15" s="646">
        <v>1.04</v>
      </c>
      <c r="P15" s="646">
        <v>1.01</v>
      </c>
      <c r="Q15" s="694">
        <f t="shared" si="21"/>
        <v>16103</v>
      </c>
      <c r="R15" s="677">
        <v>1.302</v>
      </c>
      <c r="S15" s="695">
        <v>1.9410000000000001</v>
      </c>
      <c r="T15" s="695">
        <v>1.01</v>
      </c>
      <c r="U15" s="675">
        <v>12</v>
      </c>
      <c r="V15" s="1155">
        <v>1</v>
      </c>
      <c r="W15" s="506">
        <v>2.84</v>
      </c>
      <c r="X15" s="506">
        <v>0</v>
      </c>
      <c r="Y15" s="508">
        <f t="shared" si="7"/>
        <v>0</v>
      </c>
      <c r="Z15" s="506">
        <v>2.84</v>
      </c>
      <c r="AA15" s="506">
        <v>2.34</v>
      </c>
      <c r="AB15" s="696">
        <f t="shared" si="8"/>
        <v>95227</v>
      </c>
      <c r="AC15" s="696">
        <f t="shared" si="9"/>
        <v>20348</v>
      </c>
      <c r="AD15" s="693">
        <v>46206</v>
      </c>
      <c r="AE15" s="696">
        <f t="shared" si="10"/>
        <v>12274</v>
      </c>
      <c r="AF15" s="693">
        <v>16242</v>
      </c>
      <c r="AG15" s="696">
        <f t="shared" si="11"/>
        <v>0</v>
      </c>
      <c r="AH15" s="508">
        <f t="shared" si="12"/>
        <v>1.18</v>
      </c>
      <c r="AI15" s="508">
        <f t="shared" si="13"/>
        <v>1.1100000000000001</v>
      </c>
      <c r="AJ15" s="679">
        <v>1</v>
      </c>
      <c r="AK15" s="679">
        <v>1</v>
      </c>
      <c r="AL15" s="697">
        <f t="shared" si="14"/>
        <v>1.1599999999999999</v>
      </c>
      <c r="AM15" s="698">
        <v>1</v>
      </c>
      <c r="AN15" s="699">
        <f t="shared" si="22"/>
        <v>1.16164</v>
      </c>
      <c r="AO15" s="698">
        <v>1</v>
      </c>
      <c r="AP15" s="700">
        <f t="shared" si="15"/>
        <v>31255.919999999998</v>
      </c>
      <c r="AQ15" s="701"/>
      <c r="AR15" s="702">
        <f t="shared" si="16"/>
        <v>-31255.919999999998</v>
      </c>
      <c r="AS15" s="703">
        <v>0.55334399999999995</v>
      </c>
      <c r="AT15" s="704">
        <f t="shared" si="17"/>
        <v>-17295</v>
      </c>
      <c r="AU15" s="705">
        <f t="shared" si="18"/>
        <v>-540434</v>
      </c>
      <c r="AW15" s="706">
        <f t="shared" si="19"/>
        <v>36</v>
      </c>
      <c r="AX15" s="707">
        <f t="shared" si="0"/>
        <v>47678.51</v>
      </c>
      <c r="AZ15" s="201">
        <f>247*W15/1/V15</f>
        <v>701.48</v>
      </c>
    </row>
    <row r="16" spans="1:52" ht="36" hidden="1" x14ac:dyDescent="0.25">
      <c r="A16" s="92" t="s">
        <v>639</v>
      </c>
      <c r="B16" s="692">
        <f t="shared" si="1"/>
        <v>0</v>
      </c>
      <c r="C16" s="692">
        <f t="shared" si="2"/>
        <v>0</v>
      </c>
      <c r="D16" s="692">
        <f t="shared" si="3"/>
        <v>0</v>
      </c>
      <c r="E16" s="692">
        <f t="shared" si="4"/>
        <v>0</v>
      </c>
      <c r="F16" s="692">
        <f t="shared" si="5"/>
        <v>0</v>
      </c>
      <c r="G16" s="692">
        <f t="shared" si="6"/>
        <v>0</v>
      </c>
      <c r="H16" s="1174">
        <v>0</v>
      </c>
      <c r="I16" s="1174">
        <v>0</v>
      </c>
      <c r="J16" s="1154">
        <v>0</v>
      </c>
      <c r="K16" s="694">
        <f t="shared" si="20"/>
        <v>0</v>
      </c>
      <c r="L16" s="675">
        <v>18</v>
      </c>
      <c r="M16" s="693">
        <v>14449</v>
      </c>
      <c r="N16" s="646">
        <v>1.0609999999999999</v>
      </c>
      <c r="O16" s="646">
        <v>1.04</v>
      </c>
      <c r="P16" s="646">
        <v>1.01</v>
      </c>
      <c r="Q16" s="694">
        <f t="shared" si="21"/>
        <v>16103</v>
      </c>
      <c r="R16" s="677">
        <v>1.302</v>
      </c>
      <c r="S16" s="695">
        <v>1.9550000000000001</v>
      </c>
      <c r="T16" s="695">
        <v>1.01</v>
      </c>
      <c r="U16" s="675">
        <v>12</v>
      </c>
      <c r="V16" s="1155">
        <v>1</v>
      </c>
      <c r="W16" s="506">
        <v>4.9000000000000004</v>
      </c>
      <c r="X16" s="506">
        <v>0</v>
      </c>
      <c r="Y16" s="508">
        <f t="shared" si="7"/>
        <v>0</v>
      </c>
      <c r="Z16" s="506">
        <v>4.9000000000000004</v>
      </c>
      <c r="AA16" s="506">
        <v>2.34</v>
      </c>
      <c r="AB16" s="696">
        <f t="shared" si="8"/>
        <v>95914</v>
      </c>
      <c r="AC16" s="696">
        <f t="shared" si="9"/>
        <v>104932</v>
      </c>
      <c r="AD16" s="693">
        <v>46206</v>
      </c>
      <c r="AE16" s="696">
        <f t="shared" si="10"/>
        <v>12274</v>
      </c>
      <c r="AF16" s="693">
        <v>16242</v>
      </c>
      <c r="AG16" s="696">
        <f t="shared" si="11"/>
        <v>0</v>
      </c>
      <c r="AH16" s="508">
        <f t="shared" si="12"/>
        <v>1.52</v>
      </c>
      <c r="AI16" s="508">
        <f t="shared" si="13"/>
        <v>1.1100000000000001</v>
      </c>
      <c r="AJ16" s="679">
        <v>1</v>
      </c>
      <c r="AK16" s="679">
        <v>1</v>
      </c>
      <c r="AL16" s="697">
        <f t="shared" si="14"/>
        <v>1.1599999999999999</v>
      </c>
      <c r="AM16" s="698">
        <v>1</v>
      </c>
      <c r="AN16" s="699">
        <f t="shared" si="22"/>
        <v>1.16164</v>
      </c>
      <c r="AO16" s="698">
        <v>1</v>
      </c>
      <c r="AP16" s="700">
        <f t="shared" si="15"/>
        <v>31481.37</v>
      </c>
      <c r="AQ16" s="701"/>
      <c r="AR16" s="702">
        <f t="shared" si="16"/>
        <v>-31481.37</v>
      </c>
      <c r="AS16" s="703">
        <v>0.55334399999999995</v>
      </c>
      <c r="AT16" s="704">
        <f t="shared" si="17"/>
        <v>-17420</v>
      </c>
      <c r="AU16" s="705">
        <f t="shared" si="18"/>
        <v>0</v>
      </c>
      <c r="AW16" s="706">
        <f t="shared" si="19"/>
        <v>0</v>
      </c>
      <c r="AX16" s="707">
        <f t="shared" si="0"/>
        <v>48022.400000000001</v>
      </c>
      <c r="AZ16" s="201">
        <f>247*W16/1/V16</f>
        <v>1210.3</v>
      </c>
    </row>
    <row r="17" spans="1:52" ht="24" x14ac:dyDescent="0.25">
      <c r="A17" s="12" t="s">
        <v>627</v>
      </c>
      <c r="B17" s="692">
        <f t="shared" si="1"/>
        <v>98690</v>
      </c>
      <c r="C17" s="692">
        <f t="shared" si="2"/>
        <v>84921</v>
      </c>
      <c r="D17" s="692">
        <f t="shared" si="3"/>
        <v>13769</v>
      </c>
      <c r="E17" s="692">
        <f t="shared" si="4"/>
        <v>86237</v>
      </c>
      <c r="F17" s="692">
        <f t="shared" si="5"/>
        <v>72468</v>
      </c>
      <c r="G17" s="692">
        <f t="shared" si="6"/>
        <v>13769</v>
      </c>
      <c r="H17" s="1155">
        <v>26</v>
      </c>
      <c r="I17" s="1155">
        <v>6</v>
      </c>
      <c r="J17" s="1166">
        <v>10</v>
      </c>
      <c r="K17" s="694">
        <f t="shared" si="20"/>
        <v>42</v>
      </c>
      <c r="L17" s="675">
        <v>18</v>
      </c>
      <c r="M17" s="693">
        <v>14449</v>
      </c>
      <c r="N17" s="646">
        <v>1.0609999999999999</v>
      </c>
      <c r="O17" s="646">
        <v>1.04</v>
      </c>
      <c r="P17" s="646">
        <v>1.01</v>
      </c>
      <c r="Q17" s="694">
        <f t="shared" si="21"/>
        <v>16103</v>
      </c>
      <c r="R17" s="677">
        <v>1.302</v>
      </c>
      <c r="S17" s="695">
        <v>1.855</v>
      </c>
      <c r="T17" s="695">
        <v>1.01</v>
      </c>
      <c r="U17" s="675">
        <v>12</v>
      </c>
      <c r="V17" s="1155">
        <v>25</v>
      </c>
      <c r="W17" s="506">
        <v>69.48</v>
      </c>
      <c r="X17" s="506">
        <v>6</v>
      </c>
      <c r="Y17" s="508">
        <f t="shared" si="7"/>
        <v>26.09</v>
      </c>
      <c r="Z17" s="506">
        <v>37.39</v>
      </c>
      <c r="AA17" s="506">
        <v>30.33</v>
      </c>
      <c r="AB17" s="696">
        <f t="shared" si="8"/>
        <v>1179598</v>
      </c>
      <c r="AC17" s="696">
        <f t="shared" si="9"/>
        <v>274578</v>
      </c>
      <c r="AD17" s="693">
        <v>46206</v>
      </c>
      <c r="AE17" s="696">
        <f t="shared" si="10"/>
        <v>306847</v>
      </c>
      <c r="AF17" s="693">
        <v>16242</v>
      </c>
      <c r="AG17" s="696">
        <f t="shared" si="11"/>
        <v>557245</v>
      </c>
      <c r="AH17" s="508">
        <f t="shared" si="12"/>
        <v>1.19</v>
      </c>
      <c r="AI17" s="508">
        <f t="shared" si="13"/>
        <v>1.42</v>
      </c>
      <c r="AJ17" s="679">
        <v>1</v>
      </c>
      <c r="AK17" s="679">
        <v>1</v>
      </c>
      <c r="AL17" s="697">
        <f t="shared" si="14"/>
        <v>1.1599999999999999</v>
      </c>
      <c r="AM17" s="698">
        <v>1</v>
      </c>
      <c r="AN17" s="699">
        <f t="shared" si="22"/>
        <v>1.16164</v>
      </c>
      <c r="AO17" s="698">
        <v>1</v>
      </c>
      <c r="AP17" s="700">
        <f t="shared" si="15"/>
        <v>29871.07</v>
      </c>
      <c r="AQ17" s="701">
        <v>45304.5</v>
      </c>
      <c r="AR17" s="702">
        <f t="shared" si="16"/>
        <v>15433.44</v>
      </c>
      <c r="AS17" s="703">
        <v>0.55334399999999995</v>
      </c>
      <c r="AT17" s="704">
        <f t="shared" si="17"/>
        <v>8540</v>
      </c>
      <c r="AU17" s="705">
        <f t="shared" si="18"/>
        <v>12453</v>
      </c>
      <c r="AW17" s="706">
        <f t="shared" si="19"/>
        <v>1.68</v>
      </c>
      <c r="AX17" s="707">
        <f t="shared" si="0"/>
        <v>45566.02</v>
      </c>
      <c r="AZ17" s="201">
        <f t="shared" si="23"/>
        <v>20.8</v>
      </c>
    </row>
    <row r="18" spans="1:52" hidden="1" x14ac:dyDescent="0.25">
      <c r="A18" s="92" t="s">
        <v>608</v>
      </c>
      <c r="B18" s="692">
        <f t="shared" si="1"/>
        <v>0</v>
      </c>
      <c r="C18" s="692">
        <f t="shared" si="2"/>
        <v>0</v>
      </c>
      <c r="D18" s="692">
        <f t="shared" si="3"/>
        <v>0</v>
      </c>
      <c r="E18" s="692">
        <f t="shared" si="4"/>
        <v>0</v>
      </c>
      <c r="F18" s="692">
        <f t="shared" si="5"/>
        <v>0</v>
      </c>
      <c r="G18" s="692">
        <f t="shared" si="6"/>
        <v>0</v>
      </c>
      <c r="H18" s="1173">
        <v>0</v>
      </c>
      <c r="I18" s="1173">
        <v>0</v>
      </c>
      <c r="J18" s="1173">
        <v>0</v>
      </c>
      <c r="K18" s="694">
        <f t="shared" si="20"/>
        <v>0</v>
      </c>
      <c r="L18" s="675">
        <v>18</v>
      </c>
      <c r="M18" s="693">
        <v>14449</v>
      </c>
      <c r="N18" s="646">
        <v>1.0609999999999999</v>
      </c>
      <c r="O18" s="646">
        <v>1.04</v>
      </c>
      <c r="P18" s="646">
        <v>1.01</v>
      </c>
      <c r="Q18" s="694">
        <f t="shared" si="21"/>
        <v>16103</v>
      </c>
      <c r="R18" s="677">
        <v>1.302</v>
      </c>
      <c r="S18" s="695"/>
      <c r="T18" s="695">
        <v>1.01</v>
      </c>
      <c r="U18" s="675">
        <v>12</v>
      </c>
      <c r="V18" s="1155">
        <v>25</v>
      </c>
      <c r="W18" s="506"/>
      <c r="X18" s="506"/>
      <c r="Y18" s="508">
        <f t="shared" si="7"/>
        <v>0</v>
      </c>
      <c r="Z18" s="506"/>
      <c r="AA18" s="506"/>
      <c r="AB18" s="696">
        <f t="shared" si="8"/>
        <v>0</v>
      </c>
      <c r="AC18" s="696">
        <f>IF(AA18=0,0,AB18/AA18*(Z18-AA18))</f>
        <v>0</v>
      </c>
      <c r="AD18" s="693">
        <v>46206</v>
      </c>
      <c r="AE18" s="696">
        <f t="shared" si="10"/>
        <v>12274</v>
      </c>
      <c r="AF18" s="693">
        <v>16242</v>
      </c>
      <c r="AG18" s="696">
        <f t="shared" si="11"/>
        <v>0</v>
      </c>
      <c r="AH18" s="508">
        <f>IF((AB18+AC18)=0,0,AC18/(AB18+AC18)+1)</f>
        <v>0</v>
      </c>
      <c r="AI18" s="508">
        <f t="shared" si="13"/>
        <v>2</v>
      </c>
      <c r="AJ18" s="679">
        <v>1</v>
      </c>
      <c r="AK18" s="679">
        <v>1</v>
      </c>
      <c r="AL18" s="697">
        <f t="shared" si="14"/>
        <v>1.1599999999999999</v>
      </c>
      <c r="AM18" s="698">
        <v>1</v>
      </c>
      <c r="AN18" s="699">
        <f t="shared" si="22"/>
        <v>1.16164</v>
      </c>
      <c r="AO18" s="698">
        <v>1</v>
      </c>
      <c r="AP18" s="700">
        <f t="shared" si="15"/>
        <v>0</v>
      </c>
      <c r="AQ18" s="701"/>
      <c r="AR18" s="702">
        <f t="shared" si="16"/>
        <v>0</v>
      </c>
      <c r="AS18" s="703">
        <v>0.55334399999999995</v>
      </c>
      <c r="AT18" s="704">
        <f t="shared" si="17"/>
        <v>0</v>
      </c>
      <c r="AU18" s="705">
        <f t="shared" si="18"/>
        <v>0</v>
      </c>
      <c r="AW18" s="706">
        <f t="shared" si="19"/>
        <v>0</v>
      </c>
      <c r="AX18" s="707">
        <f t="shared" si="0"/>
        <v>0</v>
      </c>
      <c r="AZ18" s="201">
        <f>247*W18/19/V18</f>
        <v>0</v>
      </c>
    </row>
    <row r="19" spans="1:52" hidden="1" x14ac:dyDescent="0.25">
      <c r="A19" s="92" t="s">
        <v>611</v>
      </c>
      <c r="B19" s="692">
        <f t="shared" si="1"/>
        <v>0</v>
      </c>
      <c r="C19" s="692">
        <f t="shared" si="2"/>
        <v>0</v>
      </c>
      <c r="D19" s="692">
        <f t="shared" si="3"/>
        <v>0</v>
      </c>
      <c r="E19" s="692">
        <f t="shared" si="4"/>
        <v>0</v>
      </c>
      <c r="F19" s="692">
        <f t="shared" si="5"/>
        <v>0</v>
      </c>
      <c r="G19" s="692">
        <f t="shared" si="6"/>
        <v>0</v>
      </c>
      <c r="H19" s="1155">
        <v>14</v>
      </c>
      <c r="I19" s="1155">
        <v>0</v>
      </c>
      <c r="J19" s="1166">
        <v>0</v>
      </c>
      <c r="K19" s="694">
        <f t="shared" si="20"/>
        <v>14</v>
      </c>
      <c r="L19" s="675">
        <v>18</v>
      </c>
      <c r="M19" s="693">
        <v>14449</v>
      </c>
      <c r="N19" s="646">
        <v>1.0609999999999999</v>
      </c>
      <c r="O19" s="646">
        <v>1.04</v>
      </c>
      <c r="P19" s="646">
        <v>1.01</v>
      </c>
      <c r="Q19" s="694">
        <f t="shared" si="21"/>
        <v>16103</v>
      </c>
      <c r="R19" s="677">
        <v>1.302</v>
      </c>
      <c r="S19" s="695"/>
      <c r="T19" s="695">
        <v>1.01</v>
      </c>
      <c r="U19" s="675">
        <v>12</v>
      </c>
      <c r="V19" s="1155">
        <v>25</v>
      </c>
      <c r="W19" s="506"/>
      <c r="X19" s="506"/>
      <c r="Y19" s="508">
        <f t="shared" si="7"/>
        <v>0</v>
      </c>
      <c r="Z19" s="506"/>
      <c r="AA19" s="506"/>
      <c r="AB19" s="696">
        <f t="shared" si="8"/>
        <v>0</v>
      </c>
      <c r="AC19" s="696">
        <f>IF(AA19=0,0,AB19/AA19*(Z19-AA19))</f>
        <v>0</v>
      </c>
      <c r="AD19" s="693">
        <v>46206</v>
      </c>
      <c r="AE19" s="696">
        <f t="shared" si="10"/>
        <v>12274</v>
      </c>
      <c r="AF19" s="693">
        <v>16242</v>
      </c>
      <c r="AG19" s="696">
        <f t="shared" si="11"/>
        <v>0</v>
      </c>
      <c r="AH19" s="508">
        <f>IF((AB19+AC19)=0,0,AC19/(AB19+AC19)+1)</f>
        <v>0</v>
      </c>
      <c r="AI19" s="508">
        <f t="shared" si="13"/>
        <v>2</v>
      </c>
      <c r="AJ19" s="679">
        <v>1</v>
      </c>
      <c r="AK19" s="679">
        <v>1</v>
      </c>
      <c r="AL19" s="697">
        <f t="shared" si="14"/>
        <v>1.1599999999999999</v>
      </c>
      <c r="AM19" s="698">
        <v>1</v>
      </c>
      <c r="AN19" s="699">
        <f t="shared" si="22"/>
        <v>1.16164</v>
      </c>
      <c r="AO19" s="698">
        <v>1</v>
      </c>
      <c r="AP19" s="700">
        <f t="shared" si="15"/>
        <v>0</v>
      </c>
      <c r="AQ19" s="701"/>
      <c r="AR19" s="702">
        <f t="shared" si="16"/>
        <v>0</v>
      </c>
      <c r="AS19" s="703">
        <v>0.55334399999999995</v>
      </c>
      <c r="AT19" s="704">
        <f t="shared" si="17"/>
        <v>0</v>
      </c>
      <c r="AU19" s="705">
        <f t="shared" si="18"/>
        <v>0</v>
      </c>
      <c r="AW19" s="706">
        <f t="shared" si="19"/>
        <v>0.56000000000000005</v>
      </c>
      <c r="AX19" s="707">
        <f t="shared" si="0"/>
        <v>0</v>
      </c>
      <c r="AZ19" s="201">
        <f>247*W19/19/V19</f>
        <v>0</v>
      </c>
    </row>
    <row r="20" spans="1:52" ht="24" x14ac:dyDescent="0.25">
      <c r="A20" s="96" t="s">
        <v>603</v>
      </c>
      <c r="B20" s="696"/>
      <c r="C20" s="696"/>
      <c r="D20" s="696"/>
      <c r="E20" s="696"/>
      <c r="F20" s="696"/>
      <c r="G20" s="696"/>
      <c r="H20" s="1155"/>
      <c r="I20" s="1155"/>
      <c r="J20" s="1166"/>
      <c r="K20" s="1166"/>
      <c r="L20" s="1155"/>
      <c r="M20" s="1155"/>
      <c r="N20" s="676"/>
      <c r="O20" s="676"/>
      <c r="P20" s="676"/>
      <c r="Q20" s="696"/>
      <c r="R20" s="678"/>
      <c r="S20" s="678"/>
      <c r="T20" s="695"/>
      <c r="U20" s="1155"/>
      <c r="V20" s="1155"/>
      <c r="W20" s="680"/>
      <c r="X20" s="680"/>
      <c r="Y20" s="715"/>
      <c r="Z20" s="680"/>
      <c r="AA20" s="680"/>
      <c r="AB20" s="696"/>
      <c r="AC20" s="696"/>
      <c r="AD20" s="1155"/>
      <c r="AE20" s="696"/>
      <c r="AF20" s="1155"/>
      <c r="AG20" s="696"/>
      <c r="AH20" s="715"/>
      <c r="AI20" s="715"/>
      <c r="AJ20" s="1156"/>
      <c r="AK20" s="1156"/>
      <c r="AL20" s="1157"/>
      <c r="AM20" s="676"/>
      <c r="AN20" s="1158"/>
      <c r="AO20" s="676"/>
      <c r="AP20" s="700"/>
      <c r="AQ20" s="1159"/>
      <c r="AR20" s="700"/>
      <c r="AS20" s="1160"/>
      <c r="AT20" s="1161"/>
      <c r="AU20" s="1162"/>
      <c r="AV20" s="1163"/>
      <c r="AW20" s="1164"/>
      <c r="AX20" s="707">
        <f t="shared" si="0"/>
        <v>0</v>
      </c>
      <c r="AZ20" s="201"/>
    </row>
    <row r="21" spans="1:52" x14ac:dyDescent="0.25">
      <c r="A21" s="12" t="s">
        <v>609</v>
      </c>
      <c r="B21" s="692">
        <f t="shared" si="1"/>
        <v>101923</v>
      </c>
      <c r="C21" s="692">
        <f t="shared" ref="C21:C28" si="24">F21+AU21</f>
        <v>94744</v>
      </c>
      <c r="D21" s="692">
        <f t="shared" si="3"/>
        <v>7179</v>
      </c>
      <c r="E21" s="692">
        <f t="shared" ref="E21:E28" si="25">ROUND(K21/L21*Q21*R21*S21*T21*U21/V21*AH21*AI21*AJ21*AK21*AL21,0)</f>
        <v>86943</v>
      </c>
      <c r="F21" s="692">
        <f t="shared" ref="F21:F28" si="26">ROUND(K21/L21*Q21*R21*S21*U21/V21*AI21*T21*AL21*AJ21*AK21,0)</f>
        <v>79764</v>
      </c>
      <c r="G21" s="692">
        <f t="shared" si="6"/>
        <v>7179</v>
      </c>
      <c r="H21" s="1219">
        <f>(33+35+36+36)/4</f>
        <v>35</v>
      </c>
      <c r="I21" s="1155">
        <v>5</v>
      </c>
      <c r="J21" s="1166">
        <v>10</v>
      </c>
      <c r="K21" s="694">
        <f t="shared" ref="K21:K28" si="27">H21+I21+J21</f>
        <v>50</v>
      </c>
      <c r="L21" s="675">
        <v>18</v>
      </c>
      <c r="M21" s="693">
        <v>14449</v>
      </c>
      <c r="N21" s="646">
        <v>1.0609999999999999</v>
      </c>
      <c r="O21" s="646">
        <v>1.04</v>
      </c>
      <c r="P21" s="646">
        <v>1.01</v>
      </c>
      <c r="Q21" s="694">
        <f t="shared" ref="Q21:Q28" si="28">M21*N21*O21*P21</f>
        <v>16103</v>
      </c>
      <c r="R21" s="677">
        <v>1.302</v>
      </c>
      <c r="S21" s="678">
        <v>1.845</v>
      </c>
      <c r="T21" s="695">
        <v>1.01</v>
      </c>
      <c r="U21" s="675">
        <v>12</v>
      </c>
      <c r="V21" s="1155">
        <v>25</v>
      </c>
      <c r="W21" s="506">
        <v>83.81</v>
      </c>
      <c r="X21" s="506">
        <v>6</v>
      </c>
      <c r="Y21" s="508">
        <f t="shared" si="7"/>
        <v>26.09</v>
      </c>
      <c r="Z21" s="506">
        <v>51.72</v>
      </c>
      <c r="AA21" s="506">
        <v>47.22</v>
      </c>
      <c r="AB21" s="696">
        <f t="shared" si="8"/>
        <v>1826586</v>
      </c>
      <c r="AC21" s="696">
        <f t="shared" si="9"/>
        <v>174071</v>
      </c>
      <c r="AD21" s="693">
        <v>46206</v>
      </c>
      <c r="AE21" s="696">
        <f t="shared" si="10"/>
        <v>306847</v>
      </c>
      <c r="AF21" s="693">
        <v>16242</v>
      </c>
      <c r="AG21" s="696">
        <f t="shared" si="11"/>
        <v>557245</v>
      </c>
      <c r="AH21" s="508">
        <f t="shared" si="12"/>
        <v>1.0900000000000001</v>
      </c>
      <c r="AI21" s="508">
        <f t="shared" si="13"/>
        <v>1.32</v>
      </c>
      <c r="AJ21" s="679">
        <v>1</v>
      </c>
      <c r="AK21" s="679">
        <v>1</v>
      </c>
      <c r="AL21" s="697">
        <f t="shared" si="14"/>
        <v>1.1599999999999999</v>
      </c>
      <c r="AM21" s="698">
        <v>1</v>
      </c>
      <c r="AN21" s="699">
        <f t="shared" ref="AN21:AN28" si="29">1+(56+3)/365</f>
        <v>1.16164</v>
      </c>
      <c r="AO21" s="698">
        <v>1</v>
      </c>
      <c r="AP21" s="700">
        <f t="shared" si="15"/>
        <v>29710.04</v>
      </c>
      <c r="AQ21" s="701">
        <v>45304.5</v>
      </c>
      <c r="AR21" s="702">
        <f t="shared" si="16"/>
        <v>15594.47</v>
      </c>
      <c r="AS21" s="703">
        <v>0.55334399999999995</v>
      </c>
      <c r="AT21" s="704">
        <f t="shared" si="17"/>
        <v>8629</v>
      </c>
      <c r="AU21" s="705">
        <f t="shared" ref="AU21:AU28" si="30">ROUND(K21/L21*AT21*U21/V21*R21,0)</f>
        <v>14980</v>
      </c>
      <c r="AW21" s="706">
        <f t="shared" ref="AW21:AW28" si="31">K21/V21</f>
        <v>2</v>
      </c>
      <c r="AX21" s="707">
        <f t="shared" si="0"/>
        <v>45320.38</v>
      </c>
      <c r="AZ21" s="201">
        <f t="shared" si="23"/>
        <v>25.09</v>
      </c>
    </row>
    <row r="22" spans="1:52" ht="36" hidden="1" x14ac:dyDescent="0.25">
      <c r="A22" s="92" t="s">
        <v>610</v>
      </c>
      <c r="B22" s="692">
        <f t="shared" si="1"/>
        <v>0</v>
      </c>
      <c r="C22" s="692">
        <f t="shared" si="24"/>
        <v>0</v>
      </c>
      <c r="D22" s="692">
        <f t="shared" si="3"/>
        <v>0</v>
      </c>
      <c r="E22" s="692">
        <f t="shared" si="25"/>
        <v>0</v>
      </c>
      <c r="F22" s="692">
        <f t="shared" si="26"/>
        <v>0</v>
      </c>
      <c r="G22" s="692">
        <f t="shared" si="6"/>
        <v>0</v>
      </c>
      <c r="H22" s="1173">
        <v>0</v>
      </c>
      <c r="I22" s="1173">
        <v>0</v>
      </c>
      <c r="J22" s="1173">
        <v>0</v>
      </c>
      <c r="K22" s="694">
        <f t="shared" si="27"/>
        <v>0</v>
      </c>
      <c r="L22" s="675">
        <v>18</v>
      </c>
      <c r="M22" s="693">
        <v>14449</v>
      </c>
      <c r="N22" s="646">
        <v>1.0609999999999999</v>
      </c>
      <c r="O22" s="646">
        <v>1.04</v>
      </c>
      <c r="P22" s="646">
        <v>1.01</v>
      </c>
      <c r="Q22" s="694">
        <f t="shared" si="28"/>
        <v>16103</v>
      </c>
      <c r="R22" s="677">
        <v>1.302</v>
      </c>
      <c r="S22" s="695">
        <v>1.845</v>
      </c>
      <c r="T22" s="695">
        <v>1.01</v>
      </c>
      <c r="U22" s="675">
        <v>12</v>
      </c>
      <c r="V22" s="1155">
        <v>25</v>
      </c>
      <c r="W22" s="506">
        <v>83.81</v>
      </c>
      <c r="X22" s="506">
        <v>6</v>
      </c>
      <c r="Y22" s="508">
        <f t="shared" si="7"/>
        <v>26.09</v>
      </c>
      <c r="Z22" s="506">
        <v>51.72</v>
      </c>
      <c r="AA22" s="506">
        <v>47.22</v>
      </c>
      <c r="AB22" s="696">
        <f t="shared" si="8"/>
        <v>1826586</v>
      </c>
      <c r="AC22" s="696">
        <f t="shared" si="9"/>
        <v>174071</v>
      </c>
      <c r="AD22" s="693">
        <v>46206</v>
      </c>
      <c r="AE22" s="696">
        <f t="shared" si="10"/>
        <v>306847</v>
      </c>
      <c r="AF22" s="693">
        <v>16242</v>
      </c>
      <c r="AG22" s="696">
        <f t="shared" si="11"/>
        <v>557245</v>
      </c>
      <c r="AH22" s="508">
        <f t="shared" si="12"/>
        <v>1.0900000000000001</v>
      </c>
      <c r="AI22" s="508">
        <f t="shared" si="13"/>
        <v>1.32</v>
      </c>
      <c r="AJ22" s="679">
        <v>1</v>
      </c>
      <c r="AK22" s="679">
        <v>1</v>
      </c>
      <c r="AL22" s="697">
        <f t="shared" si="14"/>
        <v>1.1599999999999999</v>
      </c>
      <c r="AM22" s="698">
        <v>1</v>
      </c>
      <c r="AN22" s="699">
        <f t="shared" si="29"/>
        <v>1.16164</v>
      </c>
      <c r="AO22" s="698">
        <v>1</v>
      </c>
      <c r="AP22" s="700">
        <f t="shared" si="15"/>
        <v>29710.04</v>
      </c>
      <c r="AQ22" s="701">
        <v>45304.5</v>
      </c>
      <c r="AR22" s="702">
        <f t="shared" si="16"/>
        <v>15594.47</v>
      </c>
      <c r="AS22" s="703">
        <v>0.55334399999999995</v>
      </c>
      <c r="AT22" s="704">
        <f t="shared" si="17"/>
        <v>8629</v>
      </c>
      <c r="AU22" s="705">
        <f t="shared" si="30"/>
        <v>0</v>
      </c>
      <c r="AW22" s="706">
        <f t="shared" si="31"/>
        <v>0</v>
      </c>
      <c r="AX22" s="707">
        <f t="shared" si="0"/>
        <v>45320.38</v>
      </c>
      <c r="AZ22" s="201">
        <f t="shared" si="23"/>
        <v>25.09</v>
      </c>
    </row>
    <row r="23" spans="1:52" ht="24" x14ac:dyDescent="0.25">
      <c r="A23" s="12" t="s">
        <v>625</v>
      </c>
      <c r="B23" s="692">
        <f t="shared" si="1"/>
        <v>269329</v>
      </c>
      <c r="C23" s="692">
        <f t="shared" si="24"/>
        <v>242208</v>
      </c>
      <c r="D23" s="692">
        <f t="shared" si="3"/>
        <v>27121</v>
      </c>
      <c r="E23" s="692">
        <f t="shared" si="25"/>
        <v>235746</v>
      </c>
      <c r="F23" s="692">
        <f t="shared" si="26"/>
        <v>208625</v>
      </c>
      <c r="G23" s="692">
        <f t="shared" si="6"/>
        <v>27121</v>
      </c>
      <c r="H23" s="1155">
        <v>35</v>
      </c>
      <c r="I23" s="1155">
        <v>5</v>
      </c>
      <c r="J23" s="1166">
        <v>10</v>
      </c>
      <c r="K23" s="694">
        <f t="shared" si="27"/>
        <v>50</v>
      </c>
      <c r="L23" s="675">
        <v>18</v>
      </c>
      <c r="M23" s="693">
        <v>14449</v>
      </c>
      <c r="N23" s="646">
        <v>1.0609999999999999</v>
      </c>
      <c r="O23" s="646">
        <v>1.04</v>
      </c>
      <c r="P23" s="646">
        <v>1.01</v>
      </c>
      <c r="Q23" s="694">
        <f t="shared" si="28"/>
        <v>16103</v>
      </c>
      <c r="R23" s="677">
        <v>1.302</v>
      </c>
      <c r="S23" s="695">
        <v>1.9450000000000001</v>
      </c>
      <c r="T23" s="695">
        <v>1.01</v>
      </c>
      <c r="U23" s="675">
        <v>12</v>
      </c>
      <c r="V23" s="1155">
        <v>10</v>
      </c>
      <c r="W23" s="506">
        <v>86.37</v>
      </c>
      <c r="X23" s="506">
        <v>6</v>
      </c>
      <c r="Y23" s="508">
        <f t="shared" si="7"/>
        <v>26.09</v>
      </c>
      <c r="Z23" s="506">
        <v>54.28</v>
      </c>
      <c r="AA23" s="506">
        <v>47.22</v>
      </c>
      <c r="AB23" s="696">
        <f t="shared" si="8"/>
        <v>1925588</v>
      </c>
      <c r="AC23" s="696">
        <f t="shared" si="9"/>
        <v>287900</v>
      </c>
      <c r="AD23" s="693">
        <v>46206</v>
      </c>
      <c r="AE23" s="696">
        <f t="shared" si="10"/>
        <v>306847</v>
      </c>
      <c r="AF23" s="693">
        <v>16242</v>
      </c>
      <c r="AG23" s="696">
        <f t="shared" si="11"/>
        <v>557245</v>
      </c>
      <c r="AH23" s="508">
        <f t="shared" si="12"/>
        <v>1.1299999999999999</v>
      </c>
      <c r="AI23" s="508">
        <f t="shared" si="13"/>
        <v>1.31</v>
      </c>
      <c r="AJ23" s="679">
        <v>1</v>
      </c>
      <c r="AK23" s="679">
        <v>1</v>
      </c>
      <c r="AL23" s="697">
        <f t="shared" si="14"/>
        <v>1.1599999999999999</v>
      </c>
      <c r="AM23" s="698">
        <v>1</v>
      </c>
      <c r="AN23" s="699">
        <f t="shared" si="29"/>
        <v>1.16164</v>
      </c>
      <c r="AO23" s="698">
        <v>1</v>
      </c>
      <c r="AP23" s="700">
        <f t="shared" si="15"/>
        <v>31320.34</v>
      </c>
      <c r="AQ23" s="701">
        <v>45304.5</v>
      </c>
      <c r="AR23" s="702">
        <f t="shared" si="16"/>
        <v>13984.17</v>
      </c>
      <c r="AS23" s="703">
        <v>0.55334399999999995</v>
      </c>
      <c r="AT23" s="704">
        <f t="shared" si="17"/>
        <v>7738</v>
      </c>
      <c r="AU23" s="705">
        <f t="shared" si="30"/>
        <v>33583</v>
      </c>
      <c r="AW23" s="706">
        <f t="shared" si="31"/>
        <v>5</v>
      </c>
      <c r="AX23" s="707">
        <f t="shared" si="0"/>
        <v>47776.77</v>
      </c>
      <c r="AZ23" s="201">
        <f t="shared" si="23"/>
        <v>64.650000000000006</v>
      </c>
    </row>
    <row r="24" spans="1:52" ht="36" hidden="1" x14ac:dyDescent="0.25">
      <c r="A24" s="92" t="s">
        <v>639</v>
      </c>
      <c r="B24" s="692">
        <f t="shared" si="1"/>
        <v>0</v>
      </c>
      <c r="C24" s="692">
        <f t="shared" si="24"/>
        <v>0</v>
      </c>
      <c r="D24" s="692">
        <f t="shared" si="3"/>
        <v>0</v>
      </c>
      <c r="E24" s="692">
        <f t="shared" si="25"/>
        <v>0</v>
      </c>
      <c r="F24" s="692">
        <f t="shared" si="26"/>
        <v>0</v>
      </c>
      <c r="G24" s="692">
        <f t="shared" si="6"/>
        <v>0</v>
      </c>
      <c r="H24" s="1174">
        <v>0</v>
      </c>
      <c r="I24" s="1174">
        <v>0</v>
      </c>
      <c r="J24" s="1174">
        <v>0</v>
      </c>
      <c r="K24" s="694">
        <f t="shared" si="27"/>
        <v>0</v>
      </c>
      <c r="L24" s="675">
        <v>18</v>
      </c>
      <c r="M24" s="693">
        <v>14449</v>
      </c>
      <c r="N24" s="646">
        <v>1.0609999999999999</v>
      </c>
      <c r="O24" s="646">
        <v>1.04</v>
      </c>
      <c r="P24" s="646">
        <v>1.01</v>
      </c>
      <c r="Q24" s="694">
        <f t="shared" si="28"/>
        <v>16103</v>
      </c>
      <c r="R24" s="677">
        <v>1.302</v>
      </c>
      <c r="S24" s="678">
        <v>1.9550000000000001</v>
      </c>
      <c r="T24" s="695">
        <v>1.01</v>
      </c>
      <c r="U24" s="675">
        <v>12</v>
      </c>
      <c r="V24" s="1155">
        <v>1</v>
      </c>
      <c r="W24" s="506">
        <v>5.34</v>
      </c>
      <c r="X24" s="506">
        <v>0</v>
      </c>
      <c r="Y24" s="508">
        <f t="shared" si="7"/>
        <v>0</v>
      </c>
      <c r="Z24" s="506">
        <v>5.34</v>
      </c>
      <c r="AA24" s="506">
        <v>2.78</v>
      </c>
      <c r="AB24" s="696">
        <f t="shared" si="8"/>
        <v>113949</v>
      </c>
      <c r="AC24" s="696">
        <f t="shared" si="9"/>
        <v>104931</v>
      </c>
      <c r="AD24" s="693">
        <v>46206</v>
      </c>
      <c r="AE24" s="696">
        <f t="shared" si="10"/>
        <v>12274</v>
      </c>
      <c r="AF24" s="693">
        <v>16242</v>
      </c>
      <c r="AG24" s="696">
        <f t="shared" si="11"/>
        <v>0</v>
      </c>
      <c r="AH24" s="508">
        <f t="shared" si="12"/>
        <v>1.48</v>
      </c>
      <c r="AI24" s="508">
        <f t="shared" si="13"/>
        <v>1.1000000000000001</v>
      </c>
      <c r="AJ24" s="679">
        <v>1</v>
      </c>
      <c r="AK24" s="679">
        <v>1</v>
      </c>
      <c r="AL24" s="697">
        <f t="shared" si="14"/>
        <v>1.1599999999999999</v>
      </c>
      <c r="AM24" s="698">
        <v>1</v>
      </c>
      <c r="AN24" s="699">
        <f t="shared" si="29"/>
        <v>1.16164</v>
      </c>
      <c r="AO24" s="698">
        <v>1</v>
      </c>
      <c r="AP24" s="700">
        <f t="shared" si="15"/>
        <v>31481.37</v>
      </c>
      <c r="AQ24" s="701"/>
      <c r="AR24" s="702">
        <f t="shared" si="16"/>
        <v>-31481.37</v>
      </c>
      <c r="AS24" s="703">
        <v>0.55334399999999995</v>
      </c>
      <c r="AT24" s="704">
        <f t="shared" si="17"/>
        <v>-17420</v>
      </c>
      <c r="AU24" s="705">
        <f t="shared" si="30"/>
        <v>0</v>
      </c>
      <c r="AW24" s="706">
        <f t="shared" si="31"/>
        <v>0</v>
      </c>
      <c r="AX24" s="707">
        <f t="shared" si="0"/>
        <v>48022.400000000001</v>
      </c>
      <c r="AZ24" s="201">
        <f>247*W24/1/V24</f>
        <v>1318.98</v>
      </c>
    </row>
    <row r="25" spans="1:52" x14ac:dyDescent="0.25">
      <c r="A25" s="12" t="s">
        <v>626</v>
      </c>
      <c r="B25" s="692">
        <f t="shared" si="1"/>
        <v>1083607</v>
      </c>
      <c r="C25" s="692">
        <f t="shared" si="24"/>
        <v>858056</v>
      </c>
      <c r="D25" s="692">
        <f t="shared" si="3"/>
        <v>225551</v>
      </c>
      <c r="E25" s="692">
        <f t="shared" si="25"/>
        <v>1729230</v>
      </c>
      <c r="F25" s="692">
        <f t="shared" si="26"/>
        <v>1503679</v>
      </c>
      <c r="G25" s="692">
        <f t="shared" si="6"/>
        <v>225551</v>
      </c>
      <c r="H25" s="1155">
        <v>35</v>
      </c>
      <c r="I25" s="1155">
        <v>0</v>
      </c>
      <c r="J25" s="1166">
        <v>10</v>
      </c>
      <c r="K25" s="694">
        <f t="shared" si="27"/>
        <v>45</v>
      </c>
      <c r="L25" s="675">
        <v>18</v>
      </c>
      <c r="M25" s="693">
        <v>14449</v>
      </c>
      <c r="N25" s="646">
        <v>1.0609999999999999</v>
      </c>
      <c r="O25" s="646">
        <v>1.04</v>
      </c>
      <c r="P25" s="646">
        <v>1.01</v>
      </c>
      <c r="Q25" s="694">
        <f t="shared" si="28"/>
        <v>16103</v>
      </c>
      <c r="R25" s="677">
        <v>1.302</v>
      </c>
      <c r="S25" s="678">
        <v>1.855</v>
      </c>
      <c r="T25" s="695">
        <v>1.01</v>
      </c>
      <c r="U25" s="675">
        <v>12</v>
      </c>
      <c r="V25" s="1155">
        <v>1</v>
      </c>
      <c r="W25" s="506">
        <v>3.28</v>
      </c>
      <c r="X25" s="506">
        <v>0</v>
      </c>
      <c r="Y25" s="508">
        <f t="shared" si="7"/>
        <v>0</v>
      </c>
      <c r="Z25" s="506">
        <v>3.28</v>
      </c>
      <c r="AA25" s="506">
        <v>2.78</v>
      </c>
      <c r="AB25" s="696">
        <f t="shared" si="8"/>
        <v>108120</v>
      </c>
      <c r="AC25" s="696">
        <f t="shared" si="9"/>
        <v>19446</v>
      </c>
      <c r="AD25" s="693">
        <v>46206</v>
      </c>
      <c r="AE25" s="696">
        <f t="shared" si="10"/>
        <v>12274</v>
      </c>
      <c r="AF25" s="693">
        <v>16242</v>
      </c>
      <c r="AG25" s="696">
        <f t="shared" si="11"/>
        <v>0</v>
      </c>
      <c r="AH25" s="508">
        <f t="shared" si="12"/>
        <v>1.1499999999999999</v>
      </c>
      <c r="AI25" s="508">
        <f t="shared" si="13"/>
        <v>1.1000000000000001</v>
      </c>
      <c r="AJ25" s="679">
        <v>1</v>
      </c>
      <c r="AK25" s="679">
        <v>1</v>
      </c>
      <c r="AL25" s="697">
        <f t="shared" si="14"/>
        <v>1.1599999999999999</v>
      </c>
      <c r="AM25" s="698">
        <v>1</v>
      </c>
      <c r="AN25" s="699">
        <f t="shared" si="29"/>
        <v>1.16164</v>
      </c>
      <c r="AO25" s="698">
        <v>1</v>
      </c>
      <c r="AP25" s="700">
        <f t="shared" si="15"/>
        <v>29871.07</v>
      </c>
      <c r="AQ25" s="701"/>
      <c r="AR25" s="702">
        <f t="shared" si="16"/>
        <v>-29871.07</v>
      </c>
      <c r="AS25" s="703">
        <v>0.55334399999999995</v>
      </c>
      <c r="AT25" s="704">
        <f t="shared" si="17"/>
        <v>-16529</v>
      </c>
      <c r="AU25" s="705">
        <f t="shared" si="30"/>
        <v>-645623</v>
      </c>
      <c r="AW25" s="706">
        <f t="shared" si="31"/>
        <v>45</v>
      </c>
      <c r="AX25" s="707">
        <f t="shared" si="0"/>
        <v>45566.02</v>
      </c>
      <c r="AZ25" s="201">
        <f>247*W25/1/V25</f>
        <v>810.16</v>
      </c>
    </row>
    <row r="26" spans="1:52" ht="24" x14ac:dyDescent="0.25">
      <c r="A26" s="12" t="s">
        <v>627</v>
      </c>
      <c r="B26" s="692">
        <f t="shared" si="1"/>
        <v>107732</v>
      </c>
      <c r="C26" s="692">
        <f t="shared" si="24"/>
        <v>96883</v>
      </c>
      <c r="D26" s="692">
        <f t="shared" si="3"/>
        <v>10849</v>
      </c>
      <c r="E26" s="692">
        <f t="shared" si="25"/>
        <v>94299</v>
      </c>
      <c r="F26" s="692">
        <f t="shared" si="26"/>
        <v>83450</v>
      </c>
      <c r="G26" s="692">
        <f t="shared" si="6"/>
        <v>10849</v>
      </c>
      <c r="H26" s="1155">
        <v>35</v>
      </c>
      <c r="I26" s="1155">
        <v>5</v>
      </c>
      <c r="J26" s="1166">
        <v>10</v>
      </c>
      <c r="K26" s="694">
        <f t="shared" si="27"/>
        <v>50</v>
      </c>
      <c r="L26" s="675">
        <v>18</v>
      </c>
      <c r="M26" s="693">
        <v>14449</v>
      </c>
      <c r="N26" s="646">
        <v>1.0609999999999999</v>
      </c>
      <c r="O26" s="646">
        <v>1.04</v>
      </c>
      <c r="P26" s="646">
        <v>1.01</v>
      </c>
      <c r="Q26" s="694">
        <f t="shared" si="28"/>
        <v>16103</v>
      </c>
      <c r="R26" s="677">
        <v>1.302</v>
      </c>
      <c r="S26" s="678">
        <v>1.9450000000000001</v>
      </c>
      <c r="T26" s="695">
        <v>1.01</v>
      </c>
      <c r="U26" s="675">
        <v>12</v>
      </c>
      <c r="V26" s="1155">
        <v>25</v>
      </c>
      <c r="W26" s="506">
        <v>86.37</v>
      </c>
      <c r="X26" s="506">
        <v>6</v>
      </c>
      <c r="Y26" s="508">
        <f t="shared" si="7"/>
        <v>26.09</v>
      </c>
      <c r="Z26" s="506">
        <v>54.28</v>
      </c>
      <c r="AA26" s="506">
        <v>47.22</v>
      </c>
      <c r="AB26" s="696">
        <f t="shared" si="8"/>
        <v>1925588</v>
      </c>
      <c r="AC26" s="696">
        <f t="shared" si="9"/>
        <v>287900</v>
      </c>
      <c r="AD26" s="693">
        <v>46206</v>
      </c>
      <c r="AE26" s="696">
        <f t="shared" si="10"/>
        <v>306847</v>
      </c>
      <c r="AF26" s="693">
        <v>16242</v>
      </c>
      <c r="AG26" s="696">
        <f t="shared" si="11"/>
        <v>557245</v>
      </c>
      <c r="AH26" s="508">
        <f t="shared" si="12"/>
        <v>1.1299999999999999</v>
      </c>
      <c r="AI26" s="508">
        <f t="shared" si="13"/>
        <v>1.31</v>
      </c>
      <c r="AJ26" s="679">
        <v>1</v>
      </c>
      <c r="AK26" s="679">
        <v>1</v>
      </c>
      <c r="AL26" s="697">
        <f t="shared" si="14"/>
        <v>1.1599999999999999</v>
      </c>
      <c r="AM26" s="698">
        <v>1</v>
      </c>
      <c r="AN26" s="699">
        <f t="shared" si="29"/>
        <v>1.16164</v>
      </c>
      <c r="AO26" s="698">
        <v>1</v>
      </c>
      <c r="AP26" s="700">
        <f t="shared" si="15"/>
        <v>31320.34</v>
      </c>
      <c r="AQ26" s="701">
        <v>45304.5</v>
      </c>
      <c r="AR26" s="702">
        <f t="shared" si="16"/>
        <v>13984.17</v>
      </c>
      <c r="AS26" s="703">
        <v>0.55334399999999995</v>
      </c>
      <c r="AT26" s="704">
        <f t="shared" si="17"/>
        <v>7738</v>
      </c>
      <c r="AU26" s="705">
        <f t="shared" si="30"/>
        <v>13433</v>
      </c>
      <c r="AW26" s="706">
        <f t="shared" si="31"/>
        <v>2</v>
      </c>
      <c r="AX26" s="707">
        <f t="shared" si="0"/>
        <v>47776.77</v>
      </c>
      <c r="AZ26" s="201">
        <f t="shared" si="23"/>
        <v>25.86</v>
      </c>
    </row>
    <row r="27" spans="1:52" x14ac:dyDescent="0.25">
      <c r="A27" s="174" t="s">
        <v>608</v>
      </c>
      <c r="B27" s="692">
        <f t="shared" si="1"/>
        <v>62639</v>
      </c>
      <c r="C27" s="692">
        <f t="shared" si="24"/>
        <v>54616</v>
      </c>
      <c r="D27" s="692">
        <f t="shared" si="3"/>
        <v>8023</v>
      </c>
      <c r="E27" s="692">
        <f t="shared" si="25"/>
        <v>58165</v>
      </c>
      <c r="F27" s="692">
        <f t="shared" si="26"/>
        <v>50142</v>
      </c>
      <c r="G27" s="692">
        <f t="shared" si="6"/>
        <v>8023</v>
      </c>
      <c r="H27" s="1219">
        <f>(23*1+24*1+26*3)/5</f>
        <v>25</v>
      </c>
      <c r="I27" s="1155">
        <v>0</v>
      </c>
      <c r="J27" s="1166">
        <v>0</v>
      </c>
      <c r="K27" s="694">
        <f t="shared" si="27"/>
        <v>25</v>
      </c>
      <c r="L27" s="675">
        <v>18</v>
      </c>
      <c r="M27" s="693">
        <v>14449</v>
      </c>
      <c r="N27" s="646">
        <v>1.0609999999999999</v>
      </c>
      <c r="O27" s="646">
        <v>1.04</v>
      </c>
      <c r="P27" s="646">
        <v>1.01</v>
      </c>
      <c r="Q27" s="694">
        <f t="shared" si="28"/>
        <v>16103</v>
      </c>
      <c r="R27" s="677">
        <v>1.302</v>
      </c>
      <c r="S27" s="678">
        <v>2.2349999999999999</v>
      </c>
      <c r="T27" s="695">
        <v>1.01</v>
      </c>
      <c r="U27" s="675">
        <v>12</v>
      </c>
      <c r="V27" s="1155">
        <v>25</v>
      </c>
      <c r="W27" s="506">
        <v>51.72</v>
      </c>
      <c r="X27" s="506">
        <v>5</v>
      </c>
      <c r="Y27" s="508">
        <f t="shared" si="7"/>
        <v>18.61</v>
      </c>
      <c r="Z27" s="506">
        <v>28.11</v>
      </c>
      <c r="AA27" s="506">
        <v>23.61</v>
      </c>
      <c r="AB27" s="696">
        <f t="shared" si="8"/>
        <v>1106347</v>
      </c>
      <c r="AC27" s="696">
        <f t="shared" si="9"/>
        <v>210867</v>
      </c>
      <c r="AD27" s="693">
        <v>46206</v>
      </c>
      <c r="AE27" s="696">
        <f t="shared" si="10"/>
        <v>257752</v>
      </c>
      <c r="AF27" s="693">
        <v>16242</v>
      </c>
      <c r="AG27" s="696">
        <f t="shared" si="11"/>
        <v>397483</v>
      </c>
      <c r="AH27" s="508">
        <f t="shared" si="12"/>
        <v>1.1599999999999999</v>
      </c>
      <c r="AI27" s="508">
        <f t="shared" si="13"/>
        <v>1.37</v>
      </c>
      <c r="AJ27" s="679">
        <v>1</v>
      </c>
      <c r="AK27" s="679">
        <v>1</v>
      </c>
      <c r="AL27" s="697">
        <f t="shared" si="14"/>
        <v>1.1599999999999999</v>
      </c>
      <c r="AM27" s="698">
        <v>1</v>
      </c>
      <c r="AN27" s="699">
        <f t="shared" si="29"/>
        <v>1.16164</v>
      </c>
      <c r="AO27" s="698">
        <v>1</v>
      </c>
      <c r="AP27" s="700">
        <f t="shared" si="15"/>
        <v>35990.21</v>
      </c>
      <c r="AQ27" s="701">
        <v>45304.5</v>
      </c>
      <c r="AR27" s="702">
        <f t="shared" si="16"/>
        <v>9314.2999999999993</v>
      </c>
      <c r="AS27" s="703">
        <v>0.55334399999999995</v>
      </c>
      <c r="AT27" s="704">
        <f t="shared" si="17"/>
        <v>5154</v>
      </c>
      <c r="AU27" s="705">
        <f t="shared" si="30"/>
        <v>4474</v>
      </c>
      <c r="AW27" s="706">
        <f t="shared" si="31"/>
        <v>1</v>
      </c>
      <c r="AX27" s="707">
        <f t="shared" si="0"/>
        <v>54900.29</v>
      </c>
      <c r="AZ27" s="201">
        <f>247*W27/19/V27</f>
        <v>26.89</v>
      </c>
    </row>
    <row r="28" spans="1:52" x14ac:dyDescent="0.25">
      <c r="A28" s="174" t="s">
        <v>611</v>
      </c>
      <c r="B28" s="692">
        <f t="shared" si="1"/>
        <v>42502</v>
      </c>
      <c r="C28" s="692">
        <f t="shared" si="24"/>
        <v>34379</v>
      </c>
      <c r="D28" s="692">
        <f t="shared" si="3"/>
        <v>8123</v>
      </c>
      <c r="E28" s="692">
        <f t="shared" si="25"/>
        <v>40616</v>
      </c>
      <c r="F28" s="692">
        <f t="shared" si="26"/>
        <v>32493</v>
      </c>
      <c r="G28" s="692">
        <f t="shared" si="6"/>
        <v>8123</v>
      </c>
      <c r="H28" s="1155">
        <v>14</v>
      </c>
      <c r="I28" s="1155">
        <v>0</v>
      </c>
      <c r="J28" s="1166">
        <v>0</v>
      </c>
      <c r="K28" s="694">
        <f t="shared" si="27"/>
        <v>14</v>
      </c>
      <c r="L28" s="675">
        <v>18</v>
      </c>
      <c r="M28" s="693">
        <v>14449</v>
      </c>
      <c r="N28" s="646">
        <v>1.0609999999999999</v>
      </c>
      <c r="O28" s="646">
        <v>1.04</v>
      </c>
      <c r="P28" s="646">
        <v>1.01</v>
      </c>
      <c r="Q28" s="694">
        <f t="shared" si="28"/>
        <v>16103</v>
      </c>
      <c r="R28" s="677">
        <v>1.302</v>
      </c>
      <c r="S28" s="678">
        <v>2.3780000000000001</v>
      </c>
      <c r="T28" s="695">
        <v>1.01</v>
      </c>
      <c r="U28" s="675">
        <v>12</v>
      </c>
      <c r="V28" s="1155">
        <v>25</v>
      </c>
      <c r="W28" s="506">
        <v>40.83</v>
      </c>
      <c r="X28" s="506">
        <v>5</v>
      </c>
      <c r="Y28" s="508">
        <f t="shared" si="7"/>
        <v>18.11</v>
      </c>
      <c r="Z28" s="506">
        <v>17.72</v>
      </c>
      <c r="AA28" s="506">
        <v>13.22</v>
      </c>
      <c r="AB28" s="696">
        <f t="shared" si="8"/>
        <v>659115</v>
      </c>
      <c r="AC28" s="696">
        <f t="shared" si="9"/>
        <v>224358</v>
      </c>
      <c r="AD28" s="693">
        <v>46206</v>
      </c>
      <c r="AE28" s="696">
        <f t="shared" si="10"/>
        <v>257752</v>
      </c>
      <c r="AF28" s="693">
        <v>16242</v>
      </c>
      <c r="AG28" s="696">
        <f t="shared" si="11"/>
        <v>386803</v>
      </c>
      <c r="AH28" s="508">
        <f t="shared" si="12"/>
        <v>1.25</v>
      </c>
      <c r="AI28" s="508">
        <f t="shared" si="13"/>
        <v>1.49</v>
      </c>
      <c r="AJ28" s="679">
        <v>1</v>
      </c>
      <c r="AK28" s="679">
        <v>1</v>
      </c>
      <c r="AL28" s="697">
        <f t="shared" si="14"/>
        <v>1.1599999999999999</v>
      </c>
      <c r="AM28" s="698">
        <v>1</v>
      </c>
      <c r="AN28" s="699">
        <f t="shared" si="29"/>
        <v>1.16164</v>
      </c>
      <c r="AO28" s="698">
        <v>1</v>
      </c>
      <c r="AP28" s="700">
        <f t="shared" si="15"/>
        <v>38292.93</v>
      </c>
      <c r="AQ28" s="701">
        <v>45304.5</v>
      </c>
      <c r="AR28" s="702">
        <f t="shared" si="16"/>
        <v>7011.57</v>
      </c>
      <c r="AS28" s="703">
        <v>0.55334399999999995</v>
      </c>
      <c r="AT28" s="704">
        <f t="shared" si="17"/>
        <v>3880</v>
      </c>
      <c r="AU28" s="705">
        <f t="shared" si="30"/>
        <v>1886</v>
      </c>
      <c r="AW28" s="706">
        <f t="shared" si="31"/>
        <v>0.56000000000000005</v>
      </c>
      <c r="AX28" s="707">
        <f t="shared" si="0"/>
        <v>58412.93</v>
      </c>
      <c r="AZ28" s="201">
        <f>247*W28/19/V28</f>
        <v>21.23</v>
      </c>
    </row>
    <row r="29" spans="1:52" ht="24" x14ac:dyDescent="0.25">
      <c r="A29" s="96" t="s">
        <v>620</v>
      </c>
      <c r="B29" s="696"/>
      <c r="C29" s="696"/>
      <c r="D29" s="696"/>
      <c r="E29" s="696"/>
      <c r="F29" s="696"/>
      <c r="G29" s="696"/>
      <c r="H29" s="1155"/>
      <c r="I29" s="1155"/>
      <c r="J29" s="1166"/>
      <c r="K29" s="1166"/>
      <c r="L29" s="1155"/>
      <c r="M29" s="1155"/>
      <c r="N29" s="676"/>
      <c r="O29" s="676"/>
      <c r="P29" s="676"/>
      <c r="Q29" s="696"/>
      <c r="R29" s="678"/>
      <c r="S29" s="678"/>
      <c r="T29" s="695"/>
      <c r="U29" s="1155"/>
      <c r="V29" s="1155"/>
      <c r="W29" s="680"/>
      <c r="X29" s="680"/>
      <c r="Y29" s="715"/>
      <c r="Z29" s="680"/>
      <c r="AA29" s="680"/>
      <c r="AB29" s="696"/>
      <c r="AC29" s="696"/>
      <c r="AD29" s="1155"/>
      <c r="AE29" s="696"/>
      <c r="AF29" s="1155"/>
      <c r="AG29" s="696"/>
      <c r="AH29" s="715"/>
      <c r="AI29" s="715"/>
      <c r="AJ29" s="1156"/>
      <c r="AK29" s="1156"/>
      <c r="AL29" s="1157"/>
      <c r="AM29" s="676"/>
      <c r="AN29" s="1158"/>
      <c r="AO29" s="676"/>
      <c r="AP29" s="700"/>
      <c r="AQ29" s="1159"/>
      <c r="AR29" s="700"/>
      <c r="AS29" s="1160"/>
      <c r="AT29" s="1161"/>
      <c r="AU29" s="1162"/>
      <c r="AV29" s="1163"/>
      <c r="AW29" s="1164"/>
      <c r="AX29" s="707">
        <f t="shared" si="0"/>
        <v>0</v>
      </c>
      <c r="AZ29" s="201"/>
    </row>
    <row r="30" spans="1:52" x14ac:dyDescent="0.25">
      <c r="A30" s="12" t="s">
        <v>609</v>
      </c>
      <c r="B30" s="692">
        <f t="shared" si="1"/>
        <v>164156</v>
      </c>
      <c r="C30" s="692">
        <f t="shared" ref="C30:C37" si="32">F30+AU30</f>
        <v>127468</v>
      </c>
      <c r="D30" s="692">
        <f t="shared" si="3"/>
        <v>36688</v>
      </c>
      <c r="E30" s="692">
        <f t="shared" ref="E30:E37" si="33">ROUND(K30/L30*Q30*R30*S30*T30*U30/V30*AH30*AI30*AJ30*AK30*AL30,0)</f>
        <v>147861</v>
      </c>
      <c r="F30" s="692">
        <f t="shared" ref="F30:F37" si="34">ROUND(K30/L30*Q30*R30*S30*U30/V30*AI30*T30*AL30*AJ30*AK30,0)</f>
        <v>111173</v>
      </c>
      <c r="G30" s="692">
        <f t="shared" si="6"/>
        <v>36688</v>
      </c>
      <c r="H30" s="1155">
        <v>37</v>
      </c>
      <c r="I30" s="1155">
        <v>7</v>
      </c>
      <c r="J30" s="1166">
        <v>10</v>
      </c>
      <c r="K30" s="694">
        <f t="shared" ref="K30:K37" si="35">H30+I30+J30</f>
        <v>54</v>
      </c>
      <c r="L30" s="675">
        <v>18</v>
      </c>
      <c r="M30" s="693">
        <v>14449</v>
      </c>
      <c r="N30" s="646">
        <v>1.0609999999999999</v>
      </c>
      <c r="O30" s="646">
        <v>1.04</v>
      </c>
      <c r="P30" s="646">
        <v>1.01</v>
      </c>
      <c r="Q30" s="694">
        <f t="shared" ref="Q30:Q37" si="36">M30*N30*O30*P30</f>
        <v>16103</v>
      </c>
      <c r="R30" s="677">
        <v>1.302</v>
      </c>
      <c r="S30" s="678">
        <v>1.8380000000000001</v>
      </c>
      <c r="T30" s="695">
        <v>1.01</v>
      </c>
      <c r="U30" s="675">
        <v>12</v>
      </c>
      <c r="V30" s="1155">
        <v>25</v>
      </c>
      <c r="W30" s="506">
        <v>45.59</v>
      </c>
      <c r="X30" s="506">
        <v>6</v>
      </c>
      <c r="Y30" s="508">
        <f t="shared" si="7"/>
        <v>26.09</v>
      </c>
      <c r="Z30" s="506">
        <v>13.5</v>
      </c>
      <c r="AA30" s="506">
        <v>9</v>
      </c>
      <c r="AB30" s="696">
        <f t="shared" si="8"/>
        <v>346821</v>
      </c>
      <c r="AC30" s="696">
        <f t="shared" si="9"/>
        <v>173411</v>
      </c>
      <c r="AD30" s="693">
        <v>46206</v>
      </c>
      <c r="AE30" s="696">
        <f t="shared" si="10"/>
        <v>306847</v>
      </c>
      <c r="AF30" s="693">
        <v>16242</v>
      </c>
      <c r="AG30" s="696">
        <f t="shared" si="11"/>
        <v>557245</v>
      </c>
      <c r="AH30" s="508">
        <f t="shared" si="12"/>
        <v>1.33</v>
      </c>
      <c r="AI30" s="508">
        <f t="shared" si="13"/>
        <v>1.71</v>
      </c>
      <c r="AJ30" s="679">
        <v>1</v>
      </c>
      <c r="AK30" s="679">
        <v>1</v>
      </c>
      <c r="AL30" s="697">
        <f t="shared" si="14"/>
        <v>1.1599999999999999</v>
      </c>
      <c r="AM30" s="698">
        <v>1</v>
      </c>
      <c r="AN30" s="699">
        <f t="shared" ref="AN30:AN37" si="37">1+(56+3)/365</f>
        <v>1.16164</v>
      </c>
      <c r="AO30" s="698">
        <v>1</v>
      </c>
      <c r="AP30" s="700">
        <f t="shared" si="15"/>
        <v>29597.31</v>
      </c>
      <c r="AQ30" s="701">
        <v>45304.5</v>
      </c>
      <c r="AR30" s="702">
        <f t="shared" si="16"/>
        <v>15707.19</v>
      </c>
      <c r="AS30" s="703">
        <v>0.55334399999999995</v>
      </c>
      <c r="AT30" s="704">
        <f t="shared" si="17"/>
        <v>8691</v>
      </c>
      <c r="AU30" s="705">
        <f t="shared" ref="AU30:AU37" si="38">ROUND(K30/L30*AT30*U30/V30*R30,0)</f>
        <v>16295</v>
      </c>
      <c r="AW30" s="706">
        <f t="shared" ref="AW30:AW37" si="39">K30/V30</f>
        <v>2.16</v>
      </c>
      <c r="AX30" s="707">
        <f t="shared" si="0"/>
        <v>45148.43</v>
      </c>
      <c r="AZ30" s="201">
        <f t="shared" si="23"/>
        <v>13.65</v>
      </c>
    </row>
    <row r="31" spans="1:52" ht="36" hidden="1" x14ac:dyDescent="0.25">
      <c r="A31" s="92" t="s">
        <v>610</v>
      </c>
      <c r="B31" s="692">
        <f t="shared" si="1"/>
        <v>0</v>
      </c>
      <c r="C31" s="692">
        <f t="shared" si="32"/>
        <v>0</v>
      </c>
      <c r="D31" s="692">
        <f t="shared" si="3"/>
        <v>0</v>
      </c>
      <c r="E31" s="692">
        <f t="shared" si="33"/>
        <v>0</v>
      </c>
      <c r="F31" s="692">
        <f t="shared" si="34"/>
        <v>0</v>
      </c>
      <c r="G31" s="692">
        <f t="shared" si="6"/>
        <v>0</v>
      </c>
      <c r="H31" s="1173">
        <v>0</v>
      </c>
      <c r="I31" s="1173">
        <v>0</v>
      </c>
      <c r="J31" s="1173">
        <v>0</v>
      </c>
      <c r="K31" s="694">
        <f t="shared" si="35"/>
        <v>0</v>
      </c>
      <c r="L31" s="675">
        <v>18</v>
      </c>
      <c r="M31" s="693">
        <v>14449</v>
      </c>
      <c r="N31" s="646">
        <v>1.0609999999999999</v>
      </c>
      <c r="O31" s="646">
        <v>1.04</v>
      </c>
      <c r="P31" s="646">
        <v>1.01</v>
      </c>
      <c r="Q31" s="694">
        <f t="shared" si="36"/>
        <v>16103</v>
      </c>
      <c r="R31" s="677">
        <v>1.302</v>
      </c>
      <c r="S31" s="678">
        <v>1.8380000000000001</v>
      </c>
      <c r="T31" s="695">
        <v>1.01</v>
      </c>
      <c r="U31" s="675">
        <v>12</v>
      </c>
      <c r="V31" s="1155">
        <v>25</v>
      </c>
      <c r="W31" s="506">
        <v>45.59</v>
      </c>
      <c r="X31" s="506">
        <v>6</v>
      </c>
      <c r="Y31" s="508">
        <f t="shared" si="7"/>
        <v>26.09</v>
      </c>
      <c r="Z31" s="506">
        <v>13.5</v>
      </c>
      <c r="AA31" s="506">
        <v>9</v>
      </c>
      <c r="AB31" s="696">
        <f t="shared" si="8"/>
        <v>346821</v>
      </c>
      <c r="AC31" s="696">
        <f t="shared" si="9"/>
        <v>173411</v>
      </c>
      <c r="AD31" s="693">
        <v>46206</v>
      </c>
      <c r="AE31" s="696">
        <f t="shared" si="10"/>
        <v>306847</v>
      </c>
      <c r="AF31" s="693">
        <v>16242</v>
      </c>
      <c r="AG31" s="696">
        <f t="shared" si="11"/>
        <v>557245</v>
      </c>
      <c r="AH31" s="508">
        <f t="shared" si="12"/>
        <v>1.33</v>
      </c>
      <c r="AI31" s="508">
        <f t="shared" si="13"/>
        <v>1.71</v>
      </c>
      <c r="AJ31" s="679">
        <v>1</v>
      </c>
      <c r="AK31" s="679">
        <v>1</v>
      </c>
      <c r="AL31" s="697">
        <f t="shared" si="14"/>
        <v>1.1599999999999999</v>
      </c>
      <c r="AM31" s="698">
        <v>1</v>
      </c>
      <c r="AN31" s="699">
        <f t="shared" si="37"/>
        <v>1.16164</v>
      </c>
      <c r="AO31" s="698">
        <v>1</v>
      </c>
      <c r="AP31" s="700">
        <f t="shared" si="15"/>
        <v>29597.31</v>
      </c>
      <c r="AQ31" s="701">
        <v>45304.5</v>
      </c>
      <c r="AR31" s="702">
        <f t="shared" si="16"/>
        <v>15707.19</v>
      </c>
      <c r="AS31" s="703">
        <v>0.55334399999999995</v>
      </c>
      <c r="AT31" s="704">
        <f t="shared" si="17"/>
        <v>8691</v>
      </c>
      <c r="AU31" s="705">
        <f t="shared" si="38"/>
        <v>0</v>
      </c>
      <c r="AW31" s="706">
        <f t="shared" si="39"/>
        <v>0</v>
      </c>
      <c r="AX31" s="707">
        <f t="shared" si="0"/>
        <v>45148.43</v>
      </c>
      <c r="AZ31" s="201">
        <f t="shared" si="23"/>
        <v>13.65</v>
      </c>
    </row>
    <row r="32" spans="1:52" ht="24" hidden="1" x14ac:dyDescent="0.25">
      <c r="A32" s="92" t="s">
        <v>625</v>
      </c>
      <c r="B32" s="692">
        <f t="shared" si="1"/>
        <v>0</v>
      </c>
      <c r="C32" s="692">
        <f t="shared" si="32"/>
        <v>0</v>
      </c>
      <c r="D32" s="692">
        <f t="shared" si="3"/>
        <v>0</v>
      </c>
      <c r="E32" s="692">
        <f t="shared" si="33"/>
        <v>0</v>
      </c>
      <c r="F32" s="692">
        <f t="shared" si="34"/>
        <v>0</v>
      </c>
      <c r="G32" s="692">
        <f t="shared" si="6"/>
        <v>0</v>
      </c>
      <c r="H32" s="1173">
        <v>0</v>
      </c>
      <c r="I32" s="1173">
        <v>0</v>
      </c>
      <c r="J32" s="1173">
        <v>0</v>
      </c>
      <c r="K32" s="694">
        <f t="shared" si="35"/>
        <v>0</v>
      </c>
      <c r="L32" s="675">
        <v>18</v>
      </c>
      <c r="M32" s="693">
        <v>14449</v>
      </c>
      <c r="N32" s="646">
        <v>1.0609999999999999</v>
      </c>
      <c r="O32" s="646">
        <v>1.04</v>
      </c>
      <c r="P32" s="646">
        <v>1.01</v>
      </c>
      <c r="Q32" s="694">
        <f t="shared" si="36"/>
        <v>16103</v>
      </c>
      <c r="R32" s="677">
        <v>1.302</v>
      </c>
      <c r="S32" s="678">
        <v>1.9379999999999999</v>
      </c>
      <c r="T32" s="695">
        <v>1.01</v>
      </c>
      <c r="U32" s="675">
        <v>12</v>
      </c>
      <c r="V32" s="1155">
        <v>10</v>
      </c>
      <c r="W32" s="506">
        <v>48.15</v>
      </c>
      <c r="X32" s="506">
        <v>6</v>
      </c>
      <c r="Y32" s="508">
        <f t="shared" si="7"/>
        <v>26.09</v>
      </c>
      <c r="Z32" s="506">
        <v>16.059999999999999</v>
      </c>
      <c r="AA32" s="506">
        <v>9</v>
      </c>
      <c r="AB32" s="696">
        <f t="shared" si="8"/>
        <v>365691</v>
      </c>
      <c r="AC32" s="696">
        <f t="shared" si="9"/>
        <v>286864</v>
      </c>
      <c r="AD32" s="693">
        <v>46206</v>
      </c>
      <c r="AE32" s="696">
        <f t="shared" si="10"/>
        <v>306847</v>
      </c>
      <c r="AF32" s="693">
        <v>16242</v>
      </c>
      <c r="AG32" s="696">
        <f t="shared" si="11"/>
        <v>557245</v>
      </c>
      <c r="AH32" s="508">
        <f t="shared" si="12"/>
        <v>1.44</v>
      </c>
      <c r="AI32" s="508">
        <f t="shared" si="13"/>
        <v>1.7</v>
      </c>
      <c r="AJ32" s="679">
        <v>1</v>
      </c>
      <c r="AK32" s="679">
        <v>1</v>
      </c>
      <c r="AL32" s="697">
        <f t="shared" si="14"/>
        <v>1.1599999999999999</v>
      </c>
      <c r="AM32" s="698">
        <v>1</v>
      </c>
      <c r="AN32" s="699">
        <f t="shared" si="37"/>
        <v>1.16164</v>
      </c>
      <c r="AO32" s="698">
        <v>1</v>
      </c>
      <c r="AP32" s="700">
        <f t="shared" si="15"/>
        <v>31207.61</v>
      </c>
      <c r="AQ32" s="701">
        <v>45304.5</v>
      </c>
      <c r="AR32" s="702">
        <f t="shared" si="16"/>
        <v>14096.89</v>
      </c>
      <c r="AS32" s="703">
        <v>0.55334399999999995</v>
      </c>
      <c r="AT32" s="704">
        <f t="shared" si="17"/>
        <v>7800</v>
      </c>
      <c r="AU32" s="705">
        <f t="shared" si="38"/>
        <v>0</v>
      </c>
      <c r="AW32" s="706">
        <f t="shared" si="39"/>
        <v>0</v>
      </c>
      <c r="AX32" s="707">
        <f t="shared" si="0"/>
        <v>47604.82</v>
      </c>
      <c r="AZ32" s="201">
        <f t="shared" si="23"/>
        <v>36.04</v>
      </c>
    </row>
    <row r="33" spans="1:52" ht="36" hidden="1" x14ac:dyDescent="0.25">
      <c r="A33" s="92" t="s">
        <v>639</v>
      </c>
      <c r="B33" s="692">
        <f t="shared" si="1"/>
        <v>0</v>
      </c>
      <c r="C33" s="692">
        <f t="shared" si="32"/>
        <v>0</v>
      </c>
      <c r="D33" s="692">
        <f t="shared" si="3"/>
        <v>0</v>
      </c>
      <c r="E33" s="692">
        <f t="shared" si="33"/>
        <v>0</v>
      </c>
      <c r="F33" s="692">
        <f t="shared" si="34"/>
        <v>0</v>
      </c>
      <c r="G33" s="692">
        <f t="shared" si="6"/>
        <v>0</v>
      </c>
      <c r="H33" s="1173">
        <v>0</v>
      </c>
      <c r="I33" s="1173">
        <v>0</v>
      </c>
      <c r="J33" s="1173">
        <v>0</v>
      </c>
      <c r="K33" s="694">
        <f t="shared" si="35"/>
        <v>0</v>
      </c>
      <c r="L33" s="675">
        <v>18</v>
      </c>
      <c r="M33" s="693">
        <v>14449</v>
      </c>
      <c r="N33" s="646">
        <v>1.0609999999999999</v>
      </c>
      <c r="O33" s="646">
        <v>1.04</v>
      </c>
      <c r="P33" s="646">
        <v>1.01</v>
      </c>
      <c r="Q33" s="694">
        <f t="shared" si="36"/>
        <v>16103</v>
      </c>
      <c r="R33" s="677">
        <v>1.302</v>
      </c>
      <c r="S33" s="678">
        <v>1.9550000000000001</v>
      </c>
      <c r="T33" s="695">
        <v>1.01</v>
      </c>
      <c r="U33" s="675">
        <v>12</v>
      </c>
      <c r="V33" s="1155">
        <v>1</v>
      </c>
      <c r="W33" s="506">
        <v>5.56</v>
      </c>
      <c r="X33" s="506">
        <v>0</v>
      </c>
      <c r="Y33" s="508">
        <f t="shared" si="7"/>
        <v>0</v>
      </c>
      <c r="Z33" s="506">
        <v>5.56</v>
      </c>
      <c r="AA33" s="506">
        <v>3</v>
      </c>
      <c r="AB33" s="696">
        <f t="shared" si="8"/>
        <v>122966</v>
      </c>
      <c r="AC33" s="696">
        <f t="shared" si="9"/>
        <v>104931</v>
      </c>
      <c r="AD33" s="693">
        <v>46206</v>
      </c>
      <c r="AE33" s="696">
        <f t="shared" si="10"/>
        <v>12274</v>
      </c>
      <c r="AF33" s="693">
        <v>16242</v>
      </c>
      <c r="AG33" s="696">
        <f t="shared" si="11"/>
        <v>0</v>
      </c>
      <c r="AH33" s="508">
        <f t="shared" si="12"/>
        <v>1.46</v>
      </c>
      <c r="AI33" s="508">
        <f t="shared" si="13"/>
        <v>1.0900000000000001</v>
      </c>
      <c r="AJ33" s="679">
        <v>1</v>
      </c>
      <c r="AK33" s="679">
        <v>1</v>
      </c>
      <c r="AL33" s="697">
        <f t="shared" si="14"/>
        <v>1.1599999999999999</v>
      </c>
      <c r="AM33" s="698">
        <v>1</v>
      </c>
      <c r="AN33" s="699">
        <f t="shared" si="37"/>
        <v>1.16164</v>
      </c>
      <c r="AO33" s="698">
        <v>1</v>
      </c>
      <c r="AP33" s="700">
        <f t="shared" si="15"/>
        <v>31481.37</v>
      </c>
      <c r="AQ33" s="701"/>
      <c r="AR33" s="702">
        <f t="shared" si="16"/>
        <v>-31481.37</v>
      </c>
      <c r="AS33" s="703">
        <v>0.55334399999999995</v>
      </c>
      <c r="AT33" s="704">
        <f t="shared" si="17"/>
        <v>-17420</v>
      </c>
      <c r="AU33" s="705">
        <f t="shared" si="38"/>
        <v>0</v>
      </c>
      <c r="AW33" s="706">
        <f t="shared" si="39"/>
        <v>0</v>
      </c>
      <c r="AX33" s="707">
        <f t="shared" si="0"/>
        <v>48022.400000000001</v>
      </c>
      <c r="AZ33" s="201">
        <f>247*W33/1/V33</f>
        <v>1373.32</v>
      </c>
    </row>
    <row r="34" spans="1:52" x14ac:dyDescent="0.25">
      <c r="A34" s="12" t="s">
        <v>626</v>
      </c>
      <c r="B34" s="692">
        <f t="shared" si="1"/>
        <v>1116063</v>
      </c>
      <c r="C34" s="692">
        <f t="shared" si="32"/>
        <v>896192</v>
      </c>
      <c r="D34" s="692">
        <f t="shared" si="3"/>
        <v>219871</v>
      </c>
      <c r="E34" s="692">
        <f t="shared" si="33"/>
        <v>1790380</v>
      </c>
      <c r="F34" s="692">
        <f t="shared" si="34"/>
        <v>1570509</v>
      </c>
      <c r="G34" s="692">
        <f t="shared" si="6"/>
        <v>219871</v>
      </c>
      <c r="H34" s="1155">
        <v>37</v>
      </c>
      <c r="I34" s="1155">
        <v>0</v>
      </c>
      <c r="J34" s="1166">
        <v>10</v>
      </c>
      <c r="K34" s="694">
        <f t="shared" si="35"/>
        <v>47</v>
      </c>
      <c r="L34" s="675">
        <v>18</v>
      </c>
      <c r="M34" s="693">
        <v>14449</v>
      </c>
      <c r="N34" s="646">
        <v>1.0609999999999999</v>
      </c>
      <c r="O34" s="646">
        <v>1.04</v>
      </c>
      <c r="P34" s="646">
        <v>1.01</v>
      </c>
      <c r="Q34" s="694">
        <f t="shared" si="36"/>
        <v>16103</v>
      </c>
      <c r="R34" s="677">
        <v>1.302</v>
      </c>
      <c r="S34" s="678">
        <v>1.855</v>
      </c>
      <c r="T34" s="695">
        <v>1.01</v>
      </c>
      <c r="U34" s="675">
        <v>12</v>
      </c>
      <c r="V34" s="1155">
        <v>1</v>
      </c>
      <c r="W34" s="506">
        <v>3.5</v>
      </c>
      <c r="X34" s="506">
        <v>0</v>
      </c>
      <c r="Y34" s="508">
        <f t="shared" si="7"/>
        <v>0</v>
      </c>
      <c r="Z34" s="506">
        <v>3.5</v>
      </c>
      <c r="AA34" s="506">
        <v>3</v>
      </c>
      <c r="AB34" s="696">
        <f t="shared" si="8"/>
        <v>116676</v>
      </c>
      <c r="AC34" s="696">
        <f t="shared" si="9"/>
        <v>19446</v>
      </c>
      <c r="AD34" s="693">
        <v>46206</v>
      </c>
      <c r="AE34" s="696">
        <f t="shared" si="10"/>
        <v>12274</v>
      </c>
      <c r="AF34" s="693">
        <v>16242</v>
      </c>
      <c r="AG34" s="696">
        <f t="shared" si="11"/>
        <v>0</v>
      </c>
      <c r="AH34" s="508">
        <f t="shared" si="12"/>
        <v>1.1399999999999999</v>
      </c>
      <c r="AI34" s="508">
        <f t="shared" si="13"/>
        <v>1.1000000000000001</v>
      </c>
      <c r="AJ34" s="679">
        <v>1</v>
      </c>
      <c r="AK34" s="679">
        <v>1</v>
      </c>
      <c r="AL34" s="697">
        <f t="shared" si="14"/>
        <v>1.1599999999999999</v>
      </c>
      <c r="AM34" s="698">
        <v>1</v>
      </c>
      <c r="AN34" s="699">
        <f t="shared" si="37"/>
        <v>1.16164</v>
      </c>
      <c r="AO34" s="698">
        <v>1</v>
      </c>
      <c r="AP34" s="700">
        <f t="shared" si="15"/>
        <v>29871.07</v>
      </c>
      <c r="AQ34" s="701"/>
      <c r="AR34" s="702">
        <f t="shared" si="16"/>
        <v>-29871.07</v>
      </c>
      <c r="AS34" s="703">
        <v>0.55334399999999995</v>
      </c>
      <c r="AT34" s="704">
        <f t="shared" si="17"/>
        <v>-16529</v>
      </c>
      <c r="AU34" s="705">
        <f t="shared" si="38"/>
        <v>-674317</v>
      </c>
      <c r="AW34" s="706">
        <f t="shared" si="39"/>
        <v>47</v>
      </c>
      <c r="AX34" s="707">
        <f t="shared" si="0"/>
        <v>45566.02</v>
      </c>
      <c r="AZ34" s="201">
        <f>247*W34/1/V34</f>
        <v>864.5</v>
      </c>
    </row>
    <row r="35" spans="1:52" ht="24" x14ac:dyDescent="0.25">
      <c r="A35" s="12" t="s">
        <v>627</v>
      </c>
      <c r="B35" s="692">
        <f t="shared" si="1"/>
        <v>182437</v>
      </c>
      <c r="C35" s="692">
        <f t="shared" si="32"/>
        <v>131161</v>
      </c>
      <c r="D35" s="692">
        <f t="shared" si="3"/>
        <v>51276</v>
      </c>
      <c r="E35" s="692">
        <f t="shared" si="33"/>
        <v>167813</v>
      </c>
      <c r="F35" s="692">
        <f t="shared" si="34"/>
        <v>116537</v>
      </c>
      <c r="G35" s="692">
        <f t="shared" si="6"/>
        <v>51276</v>
      </c>
      <c r="H35" s="1155">
        <v>37</v>
      </c>
      <c r="I35" s="1155">
        <v>7</v>
      </c>
      <c r="J35" s="1166">
        <v>10</v>
      </c>
      <c r="K35" s="694">
        <f t="shared" si="35"/>
        <v>54</v>
      </c>
      <c r="L35" s="675">
        <v>18</v>
      </c>
      <c r="M35" s="693">
        <v>14449</v>
      </c>
      <c r="N35" s="646">
        <v>1.0609999999999999</v>
      </c>
      <c r="O35" s="646">
        <v>1.04</v>
      </c>
      <c r="P35" s="646">
        <v>1.01</v>
      </c>
      <c r="Q35" s="694">
        <f t="shared" si="36"/>
        <v>16103</v>
      </c>
      <c r="R35" s="677">
        <v>1.302</v>
      </c>
      <c r="S35" s="678">
        <v>1.9379999999999999</v>
      </c>
      <c r="T35" s="695">
        <v>1.01</v>
      </c>
      <c r="U35" s="675">
        <v>12</v>
      </c>
      <c r="V35" s="1155">
        <v>25</v>
      </c>
      <c r="W35" s="506">
        <v>48.15</v>
      </c>
      <c r="X35" s="506">
        <v>6</v>
      </c>
      <c r="Y35" s="508">
        <f t="shared" si="7"/>
        <v>26.09</v>
      </c>
      <c r="Z35" s="506">
        <v>16.059999999999999</v>
      </c>
      <c r="AA35" s="506">
        <v>9</v>
      </c>
      <c r="AB35" s="696">
        <f t="shared" si="8"/>
        <v>365691</v>
      </c>
      <c r="AC35" s="696">
        <f t="shared" si="9"/>
        <v>286864</v>
      </c>
      <c r="AD35" s="693">
        <v>46206</v>
      </c>
      <c r="AE35" s="696">
        <f t="shared" si="10"/>
        <v>306847</v>
      </c>
      <c r="AF35" s="693">
        <v>16242</v>
      </c>
      <c r="AG35" s="696">
        <f t="shared" si="11"/>
        <v>557245</v>
      </c>
      <c r="AH35" s="508">
        <f t="shared" si="12"/>
        <v>1.44</v>
      </c>
      <c r="AI35" s="508">
        <f t="shared" si="13"/>
        <v>1.7</v>
      </c>
      <c r="AJ35" s="679">
        <v>1</v>
      </c>
      <c r="AK35" s="679">
        <v>1</v>
      </c>
      <c r="AL35" s="697">
        <f t="shared" si="14"/>
        <v>1.1599999999999999</v>
      </c>
      <c r="AM35" s="698">
        <v>1</v>
      </c>
      <c r="AN35" s="699">
        <f t="shared" si="37"/>
        <v>1.16164</v>
      </c>
      <c r="AO35" s="698">
        <v>1</v>
      </c>
      <c r="AP35" s="700">
        <f t="shared" si="15"/>
        <v>31207.61</v>
      </c>
      <c r="AQ35" s="701">
        <v>45304.5</v>
      </c>
      <c r="AR35" s="702">
        <f t="shared" si="16"/>
        <v>14096.89</v>
      </c>
      <c r="AS35" s="703">
        <v>0.55334399999999995</v>
      </c>
      <c r="AT35" s="704">
        <f t="shared" si="17"/>
        <v>7800</v>
      </c>
      <c r="AU35" s="705">
        <f t="shared" si="38"/>
        <v>14624</v>
      </c>
      <c r="AW35" s="706">
        <f t="shared" si="39"/>
        <v>2.16</v>
      </c>
      <c r="AX35" s="707">
        <f t="shared" si="0"/>
        <v>47604.82</v>
      </c>
      <c r="AZ35" s="201">
        <f t="shared" si="23"/>
        <v>14.42</v>
      </c>
    </row>
    <row r="36" spans="1:52" x14ac:dyDescent="0.25">
      <c r="A36" s="174" t="s">
        <v>608</v>
      </c>
      <c r="B36" s="692">
        <f t="shared" si="1"/>
        <v>106300</v>
      </c>
      <c r="C36" s="692">
        <f t="shared" si="32"/>
        <v>66382</v>
      </c>
      <c r="D36" s="692">
        <f t="shared" si="3"/>
        <v>39918</v>
      </c>
      <c r="E36" s="692">
        <f t="shared" si="33"/>
        <v>102291</v>
      </c>
      <c r="F36" s="692">
        <f t="shared" si="34"/>
        <v>62373</v>
      </c>
      <c r="G36" s="692">
        <f t="shared" si="6"/>
        <v>39918</v>
      </c>
      <c r="H36" s="1155">
        <f>23</f>
        <v>23</v>
      </c>
      <c r="I36" s="1155">
        <v>0</v>
      </c>
      <c r="J36" s="1166">
        <v>0</v>
      </c>
      <c r="K36" s="694">
        <f t="shared" si="35"/>
        <v>23</v>
      </c>
      <c r="L36" s="675">
        <v>18</v>
      </c>
      <c r="M36" s="693">
        <v>14449</v>
      </c>
      <c r="N36" s="646">
        <v>1.0609999999999999</v>
      </c>
      <c r="O36" s="646">
        <v>1.04</v>
      </c>
      <c r="P36" s="646">
        <v>1.01</v>
      </c>
      <c r="Q36" s="694">
        <f t="shared" si="36"/>
        <v>16103</v>
      </c>
      <c r="R36" s="677">
        <v>1.302</v>
      </c>
      <c r="S36" s="678">
        <v>2.25</v>
      </c>
      <c r="T36" s="695">
        <v>1.01</v>
      </c>
      <c r="U36" s="675">
        <v>12</v>
      </c>
      <c r="V36" s="1155">
        <v>25</v>
      </c>
      <c r="W36" s="506">
        <v>30.67</v>
      </c>
      <c r="X36" s="506">
        <v>5</v>
      </c>
      <c r="Y36" s="508">
        <f t="shared" si="7"/>
        <v>18.61</v>
      </c>
      <c r="Z36" s="506">
        <v>7.06</v>
      </c>
      <c r="AA36" s="506">
        <v>2.56</v>
      </c>
      <c r="AB36" s="696">
        <f t="shared" si="8"/>
        <v>120765</v>
      </c>
      <c r="AC36" s="696">
        <f t="shared" si="9"/>
        <v>212282</v>
      </c>
      <c r="AD36" s="693">
        <v>46206</v>
      </c>
      <c r="AE36" s="696">
        <f t="shared" si="10"/>
        <v>257752</v>
      </c>
      <c r="AF36" s="693">
        <v>16242</v>
      </c>
      <c r="AG36" s="696">
        <f t="shared" si="11"/>
        <v>397483</v>
      </c>
      <c r="AH36" s="508">
        <f t="shared" si="12"/>
        <v>1.64</v>
      </c>
      <c r="AI36" s="508">
        <f t="shared" si="13"/>
        <v>1.84</v>
      </c>
      <c r="AJ36" s="679">
        <v>1</v>
      </c>
      <c r="AK36" s="679">
        <v>1</v>
      </c>
      <c r="AL36" s="697">
        <f t="shared" si="14"/>
        <v>1.1599999999999999</v>
      </c>
      <c r="AM36" s="698">
        <v>1</v>
      </c>
      <c r="AN36" s="699">
        <f t="shared" si="37"/>
        <v>1.16164</v>
      </c>
      <c r="AO36" s="698">
        <v>1</v>
      </c>
      <c r="AP36" s="700">
        <f t="shared" si="15"/>
        <v>36231.75</v>
      </c>
      <c r="AQ36" s="701">
        <v>45304.5</v>
      </c>
      <c r="AR36" s="702">
        <f t="shared" si="16"/>
        <v>9072.75</v>
      </c>
      <c r="AS36" s="703">
        <v>0.55334399999999995</v>
      </c>
      <c r="AT36" s="704">
        <f t="shared" si="17"/>
        <v>5020</v>
      </c>
      <c r="AU36" s="705">
        <f t="shared" si="38"/>
        <v>4009</v>
      </c>
      <c r="AW36" s="706">
        <f t="shared" si="39"/>
        <v>0.92</v>
      </c>
      <c r="AX36" s="707">
        <f t="shared" si="0"/>
        <v>55268.75</v>
      </c>
      <c r="AZ36" s="201">
        <f>247*W36/19/V36</f>
        <v>15.95</v>
      </c>
    </row>
    <row r="37" spans="1:52" x14ac:dyDescent="0.25">
      <c r="A37" s="174" t="s">
        <v>611</v>
      </c>
      <c r="B37" s="692">
        <f t="shared" si="1"/>
        <v>73525</v>
      </c>
      <c r="C37" s="692">
        <f t="shared" si="32"/>
        <v>43063</v>
      </c>
      <c r="D37" s="692">
        <f t="shared" si="3"/>
        <v>30462</v>
      </c>
      <c r="E37" s="692">
        <f t="shared" si="33"/>
        <v>71626</v>
      </c>
      <c r="F37" s="692">
        <f t="shared" si="34"/>
        <v>41164</v>
      </c>
      <c r="G37" s="692">
        <f t="shared" si="6"/>
        <v>30462</v>
      </c>
      <c r="H37" s="1155">
        <v>14</v>
      </c>
      <c r="I37" s="1155">
        <v>0</v>
      </c>
      <c r="J37" s="1166">
        <v>0</v>
      </c>
      <c r="K37" s="694">
        <f t="shared" si="35"/>
        <v>14</v>
      </c>
      <c r="L37" s="675">
        <v>18</v>
      </c>
      <c r="M37" s="693">
        <v>14449</v>
      </c>
      <c r="N37" s="646">
        <v>1.0609999999999999</v>
      </c>
      <c r="O37" s="646">
        <v>1.04</v>
      </c>
      <c r="P37" s="646">
        <v>1.01</v>
      </c>
      <c r="Q37" s="694">
        <f t="shared" si="36"/>
        <v>16103</v>
      </c>
      <c r="R37" s="677">
        <v>1.302</v>
      </c>
      <c r="S37" s="678">
        <v>2.375</v>
      </c>
      <c r="T37" s="695">
        <v>1.01</v>
      </c>
      <c r="U37" s="675">
        <v>12</v>
      </c>
      <c r="V37" s="1155">
        <v>25</v>
      </c>
      <c r="W37" s="506">
        <v>29.17</v>
      </c>
      <c r="X37" s="506">
        <v>5</v>
      </c>
      <c r="Y37" s="508">
        <f t="shared" si="7"/>
        <v>18.11</v>
      </c>
      <c r="Z37" s="506">
        <v>6.06</v>
      </c>
      <c r="AA37" s="506">
        <v>1.56</v>
      </c>
      <c r="AB37" s="696">
        <f t="shared" si="8"/>
        <v>77679</v>
      </c>
      <c r="AC37" s="696">
        <f t="shared" si="9"/>
        <v>224074</v>
      </c>
      <c r="AD37" s="693">
        <v>46206</v>
      </c>
      <c r="AE37" s="696">
        <f t="shared" si="10"/>
        <v>257752</v>
      </c>
      <c r="AF37" s="693">
        <v>16242</v>
      </c>
      <c r="AG37" s="696">
        <f t="shared" si="11"/>
        <v>386803</v>
      </c>
      <c r="AH37" s="508">
        <f t="shared" si="12"/>
        <v>1.74</v>
      </c>
      <c r="AI37" s="508">
        <f t="shared" si="13"/>
        <v>1.89</v>
      </c>
      <c r="AJ37" s="679">
        <v>1</v>
      </c>
      <c r="AK37" s="679">
        <v>1</v>
      </c>
      <c r="AL37" s="697">
        <f t="shared" si="14"/>
        <v>1.1599999999999999</v>
      </c>
      <c r="AM37" s="698">
        <v>1</v>
      </c>
      <c r="AN37" s="699">
        <f t="shared" si="37"/>
        <v>1.16164</v>
      </c>
      <c r="AO37" s="698">
        <v>1</v>
      </c>
      <c r="AP37" s="700">
        <f t="shared" si="15"/>
        <v>38244.629999999997</v>
      </c>
      <c r="AQ37" s="701">
        <v>45304.5</v>
      </c>
      <c r="AR37" s="702">
        <f t="shared" si="16"/>
        <v>7059.88</v>
      </c>
      <c r="AS37" s="703">
        <v>0.55334399999999995</v>
      </c>
      <c r="AT37" s="704">
        <f t="shared" si="17"/>
        <v>3907</v>
      </c>
      <c r="AU37" s="705">
        <f t="shared" si="38"/>
        <v>1899</v>
      </c>
      <c r="AW37" s="706">
        <f t="shared" si="39"/>
        <v>0.56000000000000005</v>
      </c>
      <c r="AX37" s="707">
        <f t="shared" si="0"/>
        <v>58339.24</v>
      </c>
      <c r="AZ37" s="201">
        <f>247*W37/19/V37</f>
        <v>15.17</v>
      </c>
    </row>
    <row r="38" spans="1:52" x14ac:dyDescent="0.25">
      <c r="J38" s="657"/>
    </row>
    <row r="39" spans="1:52" x14ac:dyDescent="0.25">
      <c r="J39" s="657"/>
    </row>
    <row r="40" spans="1:52" x14ac:dyDescent="0.25">
      <c r="J40" s="657"/>
    </row>
  </sheetData>
  <mergeCells count="36">
    <mergeCell ref="AZ5:AZ6"/>
    <mergeCell ref="P5:P6"/>
    <mergeCell ref="N5:N6"/>
    <mergeCell ref="O5:O6"/>
    <mergeCell ref="A5:A6"/>
    <mergeCell ref="B5:B6"/>
    <mergeCell ref="C5:D5"/>
    <mergeCell ref="E5:E6"/>
    <mergeCell ref="F5:G5"/>
    <mergeCell ref="H5:H6"/>
    <mergeCell ref="I5:I6"/>
    <mergeCell ref="J5:J6"/>
    <mergeCell ref="K5:K6"/>
    <mergeCell ref="L5:L6"/>
    <mergeCell ref="M5:M6"/>
    <mergeCell ref="AF5:AG5"/>
    <mergeCell ref="Q5:Q6"/>
    <mergeCell ref="R5:R6"/>
    <mergeCell ref="S5:S6"/>
    <mergeCell ref="T5:T6"/>
    <mergeCell ref="U5:U6"/>
    <mergeCell ref="V5:V6"/>
    <mergeCell ref="W5:W6"/>
    <mergeCell ref="X5:AA5"/>
    <mergeCell ref="AB5:AB6"/>
    <mergeCell ref="AC5:AC6"/>
    <mergeCell ref="AD5:AE5"/>
    <mergeCell ref="AP5:AU5"/>
    <mergeCell ref="AW5:AW6"/>
    <mergeCell ref="AX5:AX6"/>
    <mergeCell ref="AH5:AH6"/>
    <mergeCell ref="AI5:AI6"/>
    <mergeCell ref="AJ5:AJ6"/>
    <mergeCell ref="AK5:AK6"/>
    <mergeCell ref="AL5:AL6"/>
    <mergeCell ref="AM5:AO5"/>
  </mergeCells>
  <pageMargins left="0" right="0" top="0" bottom="0" header="0.31496062992125984" footer="0.31496062992125984"/>
  <pageSetup paperSize="9" scale="57" fitToWidth="4" orientation="landscape" r:id="rId1"/>
  <colBreaks count="2" manualBreakCount="2">
    <brk id="13" max="1048575" man="1"/>
    <brk id="2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U35"/>
  <sheetViews>
    <sheetView workbookViewId="0">
      <pane xSplit="2" ySplit="4" topLeftCell="I5" activePane="bottomRight" state="frozen"/>
      <selection pane="topRight" activeCell="C1" sqref="C1"/>
      <selection pane="bottomLeft" activeCell="A5" sqref="A5"/>
      <selection pane="bottomRight" activeCell="O27" sqref="O27"/>
    </sheetView>
  </sheetViews>
  <sheetFormatPr defaultRowHeight="15" x14ac:dyDescent="0.25"/>
  <cols>
    <col min="1" max="1" width="99.42578125" customWidth="1"/>
    <col min="2" max="2" width="21.140625" customWidth="1"/>
    <col min="3" max="3" width="9.7109375" customWidth="1"/>
    <col min="4" max="4" width="9.140625" customWidth="1"/>
    <col min="5" max="7" width="8.42578125" customWidth="1"/>
    <col min="8" max="9" width="9" customWidth="1"/>
    <col min="10" max="10" width="10" customWidth="1"/>
    <col min="11" max="12" width="9.7109375" customWidth="1"/>
    <col min="13" max="13" width="10.7109375" customWidth="1"/>
    <col min="14" max="15" width="10.85546875" customWidth="1"/>
    <col min="16" max="16" width="9.7109375" customWidth="1"/>
    <col min="17" max="18" width="8.5703125" customWidth="1"/>
    <col min="19" max="19" width="9.7109375" customWidth="1"/>
    <col min="20" max="21" width="8.5703125" customWidth="1"/>
  </cols>
  <sheetData>
    <row r="2" spans="1:21" x14ac:dyDescent="0.25">
      <c r="A2" t="s">
        <v>2155</v>
      </c>
    </row>
    <row r="3" spans="1:21" x14ac:dyDescent="0.25">
      <c r="A3" s="1485" t="s">
        <v>2173</v>
      </c>
      <c r="B3" s="1485" t="s">
        <v>2154</v>
      </c>
      <c r="C3" s="1487" t="s">
        <v>2157</v>
      </c>
      <c r="D3" s="1489" t="s">
        <v>31</v>
      </c>
      <c r="E3" s="1489"/>
      <c r="F3" s="1489"/>
      <c r="G3" s="1489"/>
      <c r="H3" s="1489"/>
      <c r="I3" s="1489"/>
      <c r="J3" s="1489"/>
      <c r="K3" s="1489"/>
      <c r="L3" s="1489"/>
      <c r="M3" s="1489"/>
      <c r="N3" s="1489"/>
      <c r="O3" s="1489"/>
      <c r="P3" s="1489"/>
      <c r="Q3" s="1489"/>
      <c r="R3" s="1489"/>
      <c r="S3" s="1489"/>
      <c r="T3" s="1489"/>
      <c r="U3" s="1489"/>
    </row>
    <row r="4" spans="1:21" ht="84" customHeight="1" x14ac:dyDescent="0.25">
      <c r="A4" s="1486"/>
      <c r="B4" s="1486"/>
      <c r="C4" s="1488"/>
      <c r="D4" s="1235" t="s">
        <v>2231</v>
      </c>
      <c r="E4" s="1235" t="s">
        <v>2203</v>
      </c>
      <c r="F4" s="1235" t="s">
        <v>2204</v>
      </c>
      <c r="G4" s="1266" t="s">
        <v>2181</v>
      </c>
      <c r="H4" s="1266" t="s">
        <v>2205</v>
      </c>
      <c r="I4" s="1266" t="s">
        <v>2206</v>
      </c>
      <c r="J4" s="1235" t="s">
        <v>2182</v>
      </c>
      <c r="K4" s="1235" t="s">
        <v>2207</v>
      </c>
      <c r="L4" s="1235" t="s">
        <v>2208</v>
      </c>
      <c r="M4" s="1235" t="s">
        <v>2185</v>
      </c>
      <c r="N4" s="1235" t="s">
        <v>2209</v>
      </c>
      <c r="O4" s="1235" t="s">
        <v>2210</v>
      </c>
      <c r="P4" s="1266" t="s">
        <v>2193</v>
      </c>
      <c r="Q4" s="1266" t="s">
        <v>2194</v>
      </c>
      <c r="R4" s="1266" t="s">
        <v>2211</v>
      </c>
      <c r="S4" s="1266" t="s">
        <v>2195</v>
      </c>
      <c r="T4" s="1266" t="s">
        <v>2196</v>
      </c>
      <c r="U4" s="1266" t="s">
        <v>2212</v>
      </c>
    </row>
    <row r="5" spans="1:21" ht="15.75" customHeight="1" x14ac:dyDescent="0.25">
      <c r="A5" s="1236" t="s">
        <v>2152</v>
      </c>
      <c r="B5" s="1236"/>
      <c r="C5" s="1236"/>
      <c r="D5" s="1236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</row>
    <row r="6" spans="1:21" ht="45" x14ac:dyDescent="0.25">
      <c r="A6" s="1267" t="s">
        <v>2153</v>
      </c>
      <c r="B6" s="618" t="s">
        <v>2156</v>
      </c>
      <c r="C6" s="618">
        <f>(5+15)/2</f>
        <v>10</v>
      </c>
      <c r="D6" s="618"/>
      <c r="E6" s="618"/>
      <c r="F6" s="618"/>
      <c r="G6" s="618">
        <f t="shared" ref="G6:I6" si="0">(5+15)/2</f>
        <v>10</v>
      </c>
      <c r="H6" s="618">
        <f t="shared" si="0"/>
        <v>10</v>
      </c>
      <c r="I6" s="618">
        <f t="shared" si="0"/>
        <v>10</v>
      </c>
      <c r="J6" s="618"/>
      <c r="K6" s="618"/>
      <c r="L6" s="618"/>
      <c r="M6" s="618">
        <f t="shared" ref="M6:U6" si="1">(5+15)/2</f>
        <v>10</v>
      </c>
      <c r="N6" s="618">
        <f t="shared" si="1"/>
        <v>10</v>
      </c>
      <c r="O6" s="618">
        <f t="shared" si="1"/>
        <v>10</v>
      </c>
      <c r="P6" s="618">
        <f t="shared" si="1"/>
        <v>10</v>
      </c>
      <c r="Q6" s="618">
        <f t="shared" si="1"/>
        <v>10</v>
      </c>
      <c r="R6" s="618">
        <f t="shared" si="1"/>
        <v>10</v>
      </c>
      <c r="S6" s="618">
        <f t="shared" si="1"/>
        <v>10</v>
      </c>
      <c r="T6" s="618">
        <f t="shared" si="1"/>
        <v>10</v>
      </c>
      <c r="U6" s="618">
        <f t="shared" si="1"/>
        <v>10</v>
      </c>
    </row>
    <row r="7" spans="1:21" ht="45" x14ac:dyDescent="0.25">
      <c r="A7" s="1268" t="s">
        <v>2160</v>
      </c>
      <c r="B7" s="618" t="s">
        <v>2156</v>
      </c>
      <c r="C7" s="618">
        <f>(5+15)/2</f>
        <v>10</v>
      </c>
      <c r="D7" s="618"/>
      <c r="E7" s="618"/>
      <c r="F7" s="618"/>
      <c r="G7" s="618"/>
      <c r="H7" s="618"/>
      <c r="I7" s="618"/>
      <c r="J7" s="618">
        <f t="shared" ref="J7:U7" si="2">(5+15)/2</f>
        <v>10</v>
      </c>
      <c r="K7" s="618">
        <f t="shared" si="2"/>
        <v>10</v>
      </c>
      <c r="L7" s="618">
        <f t="shared" si="2"/>
        <v>10</v>
      </c>
      <c r="M7" s="618">
        <f t="shared" si="2"/>
        <v>10</v>
      </c>
      <c r="N7" s="618">
        <f t="shared" si="2"/>
        <v>10</v>
      </c>
      <c r="O7" s="618">
        <f t="shared" si="2"/>
        <v>10</v>
      </c>
      <c r="P7" s="618">
        <f t="shared" si="2"/>
        <v>10</v>
      </c>
      <c r="Q7" s="618">
        <f t="shared" si="2"/>
        <v>10</v>
      </c>
      <c r="R7" s="618">
        <f t="shared" si="2"/>
        <v>10</v>
      </c>
      <c r="S7" s="618">
        <f t="shared" si="2"/>
        <v>10</v>
      </c>
      <c r="T7" s="618">
        <f t="shared" si="2"/>
        <v>10</v>
      </c>
      <c r="U7" s="618">
        <f t="shared" si="2"/>
        <v>10</v>
      </c>
    </row>
    <row r="8" spans="1:21" x14ac:dyDescent="0.25">
      <c r="A8" s="1241" t="s">
        <v>2190</v>
      </c>
      <c r="B8" s="752" t="s">
        <v>2169</v>
      </c>
      <c r="C8" s="618">
        <v>10</v>
      </c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  <c r="P8" s="618">
        <v>10</v>
      </c>
      <c r="Q8" s="618">
        <v>10</v>
      </c>
      <c r="R8" s="618">
        <v>10</v>
      </c>
      <c r="S8" s="618">
        <v>10</v>
      </c>
      <c r="T8" s="618">
        <v>10</v>
      </c>
      <c r="U8" s="618">
        <v>10</v>
      </c>
    </row>
    <row r="9" spans="1:21" x14ac:dyDescent="0.25">
      <c r="A9" s="1234" t="s">
        <v>2161</v>
      </c>
      <c r="B9" s="618" t="s">
        <v>2163</v>
      </c>
      <c r="C9" s="618">
        <v>20</v>
      </c>
      <c r="D9" s="618">
        <v>20</v>
      </c>
      <c r="E9" s="618"/>
      <c r="F9" s="618"/>
      <c r="G9" s="618">
        <v>20</v>
      </c>
      <c r="H9" s="618"/>
      <c r="I9" s="618"/>
      <c r="J9" s="618"/>
      <c r="K9" s="618"/>
      <c r="L9" s="618"/>
      <c r="M9" s="618"/>
      <c r="N9" s="618"/>
      <c r="O9" s="618"/>
      <c r="P9" s="618">
        <v>20</v>
      </c>
      <c r="Q9" s="618"/>
      <c r="R9" s="618"/>
      <c r="S9" s="618">
        <v>20</v>
      </c>
      <c r="T9" s="618"/>
      <c r="U9" s="618"/>
    </row>
    <row r="10" spans="1:21" x14ac:dyDescent="0.25">
      <c r="A10" s="1234" t="s">
        <v>2162</v>
      </c>
      <c r="B10" s="618" t="s">
        <v>2164</v>
      </c>
      <c r="C10" s="618">
        <v>25</v>
      </c>
      <c r="D10" s="618"/>
      <c r="E10" s="618">
        <v>25</v>
      </c>
      <c r="F10" s="618">
        <v>25</v>
      </c>
      <c r="G10" s="618"/>
      <c r="H10" s="618">
        <v>25</v>
      </c>
      <c r="I10" s="618">
        <v>25</v>
      </c>
      <c r="J10" s="618"/>
      <c r="K10" s="618"/>
      <c r="L10" s="618"/>
      <c r="M10" s="618"/>
      <c r="N10" s="618"/>
      <c r="O10" s="618"/>
      <c r="P10" s="618"/>
      <c r="Q10" s="618">
        <v>25</v>
      </c>
      <c r="R10" s="618">
        <v>25</v>
      </c>
      <c r="S10" s="618"/>
      <c r="T10" s="618">
        <v>25</v>
      </c>
      <c r="U10" s="618">
        <v>25</v>
      </c>
    </row>
    <row r="11" spans="1:21" x14ac:dyDescent="0.25">
      <c r="A11" s="1234" t="s">
        <v>2165</v>
      </c>
      <c r="B11" s="618" t="s">
        <v>2159</v>
      </c>
      <c r="C11" s="618">
        <v>15</v>
      </c>
      <c r="D11" s="618">
        <v>15</v>
      </c>
      <c r="E11" s="618"/>
      <c r="F11" s="618"/>
      <c r="G11" s="618">
        <v>15</v>
      </c>
      <c r="H11" s="618"/>
      <c r="I11" s="618"/>
      <c r="J11" s="618">
        <v>15</v>
      </c>
      <c r="K11" s="618"/>
      <c r="L11" s="618"/>
      <c r="M11" s="618">
        <v>15</v>
      </c>
      <c r="N11" s="618"/>
      <c r="O11" s="618"/>
      <c r="P11" s="618">
        <v>15</v>
      </c>
      <c r="Q11" s="618"/>
      <c r="R11" s="618"/>
      <c r="S11" s="618">
        <v>15</v>
      </c>
      <c r="T11" s="618"/>
      <c r="U11" s="618"/>
    </row>
    <row r="12" spans="1:21" x14ac:dyDescent="0.25">
      <c r="A12" s="1234" t="s">
        <v>2166</v>
      </c>
      <c r="B12" s="618" t="s">
        <v>2167</v>
      </c>
      <c r="C12" s="618">
        <f>(20+15+10)/3</f>
        <v>15</v>
      </c>
      <c r="D12" s="618"/>
      <c r="E12" s="618">
        <f t="shared" ref="E12:U12" si="3">(20+15+10)/3</f>
        <v>15</v>
      </c>
      <c r="F12" s="618">
        <f t="shared" si="3"/>
        <v>15</v>
      </c>
      <c r="G12" s="618"/>
      <c r="H12" s="618">
        <f t="shared" si="3"/>
        <v>15</v>
      </c>
      <c r="I12" s="618">
        <f t="shared" si="3"/>
        <v>15</v>
      </c>
      <c r="J12" s="618"/>
      <c r="K12" s="618">
        <f t="shared" si="3"/>
        <v>15</v>
      </c>
      <c r="L12" s="618">
        <f t="shared" si="3"/>
        <v>15</v>
      </c>
      <c r="M12" s="618"/>
      <c r="N12" s="618">
        <f t="shared" si="3"/>
        <v>15</v>
      </c>
      <c r="O12" s="618">
        <f t="shared" si="3"/>
        <v>15</v>
      </c>
      <c r="P12" s="618"/>
      <c r="Q12" s="618">
        <f t="shared" si="3"/>
        <v>15</v>
      </c>
      <c r="R12" s="618">
        <f t="shared" si="3"/>
        <v>15</v>
      </c>
      <c r="S12" s="618"/>
      <c r="T12" s="618">
        <f t="shared" si="3"/>
        <v>15</v>
      </c>
      <c r="U12" s="618">
        <f t="shared" si="3"/>
        <v>15</v>
      </c>
    </row>
    <row r="13" spans="1:21" x14ac:dyDescent="0.25">
      <c r="A13" s="1234" t="s">
        <v>2168</v>
      </c>
      <c r="B13" s="618" t="s">
        <v>2169</v>
      </c>
      <c r="C13" s="618">
        <v>10</v>
      </c>
      <c r="D13" s="618">
        <v>10</v>
      </c>
      <c r="E13" s="618">
        <v>10</v>
      </c>
      <c r="F13" s="618">
        <v>10</v>
      </c>
      <c r="G13" s="618">
        <v>10</v>
      </c>
      <c r="H13" s="618">
        <v>10</v>
      </c>
      <c r="I13" s="618">
        <v>10</v>
      </c>
      <c r="J13" s="618">
        <v>10</v>
      </c>
      <c r="K13" s="618">
        <v>10</v>
      </c>
      <c r="L13" s="618">
        <v>10</v>
      </c>
      <c r="M13" s="618">
        <v>10</v>
      </c>
      <c r="N13" s="618">
        <v>10</v>
      </c>
      <c r="O13" s="618">
        <v>10</v>
      </c>
      <c r="P13" s="618">
        <v>10</v>
      </c>
      <c r="Q13" s="618">
        <v>10</v>
      </c>
      <c r="R13" s="618">
        <v>10</v>
      </c>
      <c r="S13" s="618">
        <v>10</v>
      </c>
      <c r="T13" s="618">
        <v>10</v>
      </c>
      <c r="U13" s="618">
        <v>10</v>
      </c>
    </row>
    <row r="14" spans="1:21" ht="30" hidden="1" x14ac:dyDescent="0.25">
      <c r="A14" s="1238" t="s">
        <v>2158</v>
      </c>
      <c r="B14" s="1239" t="s">
        <v>2159</v>
      </c>
      <c r="C14" s="618"/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N14" s="618"/>
      <c r="O14" s="618"/>
      <c r="P14" s="618"/>
      <c r="Q14" s="618"/>
      <c r="R14" s="618"/>
      <c r="S14" s="618"/>
      <c r="T14" s="618"/>
      <c r="U14" s="618"/>
    </row>
    <row r="15" spans="1:21" hidden="1" x14ac:dyDescent="0.25">
      <c r="A15" s="1238" t="s">
        <v>2187</v>
      </c>
      <c r="B15" s="1239" t="s">
        <v>2186</v>
      </c>
      <c r="C15" s="618"/>
      <c r="D15" s="618"/>
      <c r="E15" s="618"/>
      <c r="F15" s="618"/>
      <c r="G15" s="618"/>
      <c r="H15" s="618"/>
      <c r="I15" s="618"/>
      <c r="J15" s="618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</row>
    <row r="16" spans="1:21" hidden="1" x14ac:dyDescent="0.25">
      <c r="A16" s="1238" t="s">
        <v>2189</v>
      </c>
      <c r="B16" s="1239" t="s">
        <v>2188</v>
      </c>
      <c r="C16" s="618"/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618"/>
      <c r="O16" s="618"/>
      <c r="P16" s="618"/>
      <c r="Q16" s="618"/>
      <c r="R16" s="618"/>
      <c r="S16" s="618"/>
      <c r="T16" s="618"/>
      <c r="U16" s="618"/>
    </row>
    <row r="17" spans="1:21" hidden="1" x14ac:dyDescent="0.25">
      <c r="A17" s="1238" t="s">
        <v>2170</v>
      </c>
      <c r="B17" s="1239" t="s">
        <v>2159</v>
      </c>
      <c r="C17" s="618"/>
      <c r="D17" s="618"/>
      <c r="E17" s="618"/>
      <c r="F17" s="618"/>
      <c r="G17" s="618"/>
      <c r="H17" s="618"/>
      <c r="I17" s="618"/>
      <c r="J17" s="618"/>
      <c r="K17" s="618"/>
      <c r="L17" s="618"/>
      <c r="M17" s="618"/>
      <c r="N17" s="618"/>
      <c r="O17" s="618"/>
      <c r="P17" s="618"/>
      <c r="Q17" s="618"/>
      <c r="R17" s="618"/>
      <c r="S17" s="618"/>
      <c r="T17" s="618"/>
      <c r="U17" s="618"/>
    </row>
    <row r="18" spans="1:21" ht="30" hidden="1" x14ac:dyDescent="0.25">
      <c r="A18" s="1238" t="s">
        <v>2171</v>
      </c>
      <c r="B18" s="1239" t="s">
        <v>2172</v>
      </c>
      <c r="C18" s="618"/>
      <c r="D18" s="618"/>
      <c r="E18" s="618"/>
      <c r="F18" s="618"/>
      <c r="G18" s="618"/>
      <c r="H18" s="618"/>
      <c r="I18" s="618"/>
      <c r="J18" s="618"/>
      <c r="K18" s="618"/>
      <c r="L18" s="618"/>
      <c r="M18" s="618"/>
      <c r="N18" s="618"/>
      <c r="O18" s="618"/>
      <c r="P18" s="618"/>
      <c r="Q18" s="618"/>
      <c r="R18" s="618"/>
      <c r="S18" s="618"/>
      <c r="T18" s="618"/>
      <c r="U18" s="618"/>
    </row>
    <row r="19" spans="1:21" x14ac:dyDescent="0.25">
      <c r="A19" s="1234"/>
      <c r="B19" s="618"/>
      <c r="C19" s="618"/>
      <c r="D19" s="618"/>
      <c r="E19" s="618"/>
      <c r="F19" s="618"/>
      <c r="G19" s="618"/>
      <c r="H19" s="618"/>
      <c r="I19" s="618"/>
      <c r="J19" s="618"/>
      <c r="K19" s="618"/>
      <c r="L19" s="618"/>
      <c r="M19" s="618"/>
      <c r="N19" s="618"/>
      <c r="O19" s="618"/>
      <c r="P19" s="618"/>
      <c r="Q19" s="618"/>
      <c r="R19" s="618"/>
      <c r="S19" s="618"/>
      <c r="T19" s="618"/>
      <c r="U19" s="618"/>
    </row>
    <row r="20" spans="1:21" x14ac:dyDescent="0.25">
      <c r="A20" s="1236" t="s">
        <v>2174</v>
      </c>
      <c r="B20" s="1237"/>
      <c r="C20" s="1237"/>
      <c r="D20" s="1237"/>
      <c r="E20" s="1237"/>
      <c r="F20" s="1237"/>
      <c r="G20" s="1237"/>
      <c r="H20" s="1237"/>
      <c r="I20" s="1237"/>
      <c r="J20" s="1237"/>
      <c r="K20" s="1237"/>
      <c r="L20" s="1237"/>
      <c r="M20" s="1237"/>
      <c r="N20" s="1237"/>
      <c r="O20" s="1237"/>
      <c r="P20" s="1237"/>
      <c r="Q20" s="1237"/>
      <c r="R20" s="1237"/>
      <c r="S20" s="1237"/>
      <c r="T20" s="1237"/>
      <c r="U20" s="1237"/>
    </row>
    <row r="21" spans="1:21" x14ac:dyDescent="0.25">
      <c r="A21" s="1234" t="s">
        <v>2175</v>
      </c>
      <c r="B21" s="618" t="s">
        <v>2176</v>
      </c>
      <c r="C21" s="618">
        <f>(10+15+20)/3</f>
        <v>15</v>
      </c>
      <c r="D21" s="618">
        <f t="shared" ref="D21:U21" si="4">(10+15+20)/3</f>
        <v>15</v>
      </c>
      <c r="E21" s="618">
        <f t="shared" si="4"/>
        <v>15</v>
      </c>
      <c r="F21" s="618">
        <f t="shared" si="4"/>
        <v>15</v>
      </c>
      <c r="G21" s="618">
        <f t="shared" si="4"/>
        <v>15</v>
      </c>
      <c r="H21" s="618">
        <f t="shared" si="4"/>
        <v>15</v>
      </c>
      <c r="I21" s="618">
        <f t="shared" si="4"/>
        <v>15</v>
      </c>
      <c r="J21" s="618">
        <f t="shared" si="4"/>
        <v>15</v>
      </c>
      <c r="K21" s="618">
        <f t="shared" si="4"/>
        <v>15</v>
      </c>
      <c r="L21" s="618">
        <f t="shared" si="4"/>
        <v>15</v>
      </c>
      <c r="M21" s="618">
        <f t="shared" si="4"/>
        <v>15</v>
      </c>
      <c r="N21" s="618">
        <f t="shared" si="4"/>
        <v>15</v>
      </c>
      <c r="O21" s="618">
        <f t="shared" si="4"/>
        <v>15</v>
      </c>
      <c r="P21" s="618">
        <f t="shared" si="4"/>
        <v>15</v>
      </c>
      <c r="Q21" s="618">
        <f t="shared" si="4"/>
        <v>15</v>
      </c>
      <c r="R21" s="618">
        <f t="shared" si="4"/>
        <v>15</v>
      </c>
      <c r="S21" s="618">
        <f t="shared" si="4"/>
        <v>15</v>
      </c>
      <c r="T21" s="618">
        <f t="shared" si="4"/>
        <v>15</v>
      </c>
      <c r="U21" s="618">
        <f t="shared" si="4"/>
        <v>15</v>
      </c>
    </row>
    <row r="22" spans="1:21" x14ac:dyDescent="0.25">
      <c r="A22" s="1234" t="s">
        <v>2177</v>
      </c>
      <c r="B22" s="618" t="s">
        <v>2178</v>
      </c>
      <c r="C22" s="618">
        <f>(10+25)/2</f>
        <v>17.5</v>
      </c>
      <c r="D22" s="618">
        <f t="shared" ref="D22:U22" si="5">(10+25)/2</f>
        <v>17.5</v>
      </c>
      <c r="E22" s="618">
        <f t="shared" si="5"/>
        <v>17.5</v>
      </c>
      <c r="F22" s="618">
        <f t="shared" si="5"/>
        <v>17.5</v>
      </c>
      <c r="G22" s="618">
        <f t="shared" si="5"/>
        <v>17.5</v>
      </c>
      <c r="H22" s="618">
        <f t="shared" si="5"/>
        <v>17.5</v>
      </c>
      <c r="I22" s="618">
        <f t="shared" si="5"/>
        <v>17.5</v>
      </c>
      <c r="J22" s="618">
        <f t="shared" si="5"/>
        <v>17.5</v>
      </c>
      <c r="K22" s="618">
        <f t="shared" si="5"/>
        <v>17.5</v>
      </c>
      <c r="L22" s="618">
        <f t="shared" si="5"/>
        <v>17.5</v>
      </c>
      <c r="M22" s="618">
        <f t="shared" si="5"/>
        <v>17.5</v>
      </c>
      <c r="N22" s="618">
        <f t="shared" si="5"/>
        <v>17.5</v>
      </c>
      <c r="O22" s="618">
        <f t="shared" si="5"/>
        <v>17.5</v>
      </c>
      <c r="P22" s="618">
        <f t="shared" si="5"/>
        <v>17.5</v>
      </c>
      <c r="Q22" s="618">
        <f t="shared" si="5"/>
        <v>17.5</v>
      </c>
      <c r="R22" s="618">
        <f t="shared" si="5"/>
        <v>17.5</v>
      </c>
      <c r="S22" s="618">
        <f t="shared" si="5"/>
        <v>17.5</v>
      </c>
      <c r="T22" s="618">
        <f t="shared" si="5"/>
        <v>17.5</v>
      </c>
      <c r="U22" s="618">
        <f t="shared" si="5"/>
        <v>17.5</v>
      </c>
    </row>
    <row r="23" spans="1:21" x14ac:dyDescent="0.25">
      <c r="A23" s="1234" t="s">
        <v>2180</v>
      </c>
      <c r="B23" s="618" t="s">
        <v>2179</v>
      </c>
      <c r="C23" s="618">
        <f>(25+15+25+15+10)/5</f>
        <v>18</v>
      </c>
      <c r="D23" s="618">
        <f t="shared" ref="D23:U23" si="6">(25+15+25+15+10)/5</f>
        <v>18</v>
      </c>
      <c r="E23" s="618">
        <f t="shared" si="6"/>
        <v>18</v>
      </c>
      <c r="F23" s="618">
        <f t="shared" si="6"/>
        <v>18</v>
      </c>
      <c r="G23" s="618">
        <f t="shared" si="6"/>
        <v>18</v>
      </c>
      <c r="H23" s="618">
        <f t="shared" si="6"/>
        <v>18</v>
      </c>
      <c r="I23" s="618">
        <f t="shared" si="6"/>
        <v>18</v>
      </c>
      <c r="J23" s="618">
        <f t="shared" si="6"/>
        <v>18</v>
      </c>
      <c r="K23" s="618">
        <f t="shared" si="6"/>
        <v>18</v>
      </c>
      <c r="L23" s="618">
        <f t="shared" si="6"/>
        <v>18</v>
      </c>
      <c r="M23" s="618">
        <f t="shared" si="6"/>
        <v>18</v>
      </c>
      <c r="N23" s="618">
        <f t="shared" si="6"/>
        <v>18</v>
      </c>
      <c r="O23" s="618">
        <f t="shared" si="6"/>
        <v>18</v>
      </c>
      <c r="P23" s="618">
        <f t="shared" si="6"/>
        <v>18</v>
      </c>
      <c r="Q23" s="618">
        <f t="shared" si="6"/>
        <v>18</v>
      </c>
      <c r="R23" s="618">
        <f t="shared" si="6"/>
        <v>18</v>
      </c>
      <c r="S23" s="618">
        <f t="shared" si="6"/>
        <v>18</v>
      </c>
      <c r="T23" s="618">
        <f t="shared" si="6"/>
        <v>18</v>
      </c>
      <c r="U23" s="618">
        <f t="shared" si="6"/>
        <v>18</v>
      </c>
    </row>
    <row r="24" spans="1:21" x14ac:dyDescent="0.25">
      <c r="A24" s="1234"/>
      <c r="B24" s="618"/>
      <c r="C24" s="618"/>
      <c r="D24" s="618"/>
      <c r="E24" s="618"/>
      <c r="F24" s="618"/>
      <c r="G24" s="618"/>
      <c r="H24" s="618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</row>
    <row r="25" spans="1:21" x14ac:dyDescent="0.25">
      <c r="A25" s="1236" t="s">
        <v>2192</v>
      </c>
      <c r="B25" s="1236"/>
      <c r="C25" s="1236"/>
      <c r="D25" s="1236">
        <v>0.43</v>
      </c>
      <c r="E25" s="1236">
        <v>0.36</v>
      </c>
      <c r="F25" s="1236">
        <v>0.33</v>
      </c>
      <c r="G25" s="1236">
        <v>0.43</v>
      </c>
      <c r="H25" s="1236">
        <v>0.36</v>
      </c>
      <c r="I25" s="1236">
        <v>0.33</v>
      </c>
      <c r="J25" s="1236">
        <v>0.43</v>
      </c>
      <c r="K25" s="1236">
        <v>0.36</v>
      </c>
      <c r="L25" s="1236">
        <v>0.33</v>
      </c>
      <c r="M25" s="1236">
        <v>0.43</v>
      </c>
      <c r="N25" s="1236">
        <v>0.36</v>
      </c>
      <c r="O25" s="1236">
        <v>0.33</v>
      </c>
      <c r="P25" s="1236">
        <v>0</v>
      </c>
      <c r="Q25" s="1236">
        <v>1.29</v>
      </c>
      <c r="R25" s="1236">
        <v>1.28</v>
      </c>
      <c r="S25" s="1236">
        <v>0</v>
      </c>
      <c r="T25" s="1236">
        <v>0.72</v>
      </c>
      <c r="U25" s="1236">
        <v>0.78</v>
      </c>
    </row>
    <row r="26" spans="1:21" x14ac:dyDescent="0.25">
      <c r="A26" s="1236" t="s">
        <v>2183</v>
      </c>
      <c r="B26" s="1236"/>
      <c r="C26" s="1236"/>
      <c r="D26" s="1247">
        <f>D6+D7+D8+D9*D25+D10*D25+D11+D12+D13+D21+D22+D23</f>
        <v>84.1</v>
      </c>
      <c r="E26" s="1247">
        <f t="shared" ref="E26:U26" si="7">E6+E7+E8+E9*E25+E10*E25+E11+E12+E13+E21+E22+E23</f>
        <v>84.5</v>
      </c>
      <c r="F26" s="1247">
        <f t="shared" si="7"/>
        <v>83.8</v>
      </c>
      <c r="G26" s="1247">
        <f t="shared" si="7"/>
        <v>94.1</v>
      </c>
      <c r="H26" s="1247">
        <f t="shared" si="7"/>
        <v>94.5</v>
      </c>
      <c r="I26" s="1247">
        <f t="shared" si="7"/>
        <v>93.8</v>
      </c>
      <c r="J26" s="1247">
        <f t="shared" si="7"/>
        <v>85.5</v>
      </c>
      <c r="K26" s="1247">
        <f t="shared" si="7"/>
        <v>85.5</v>
      </c>
      <c r="L26" s="1247">
        <f t="shared" si="7"/>
        <v>85.5</v>
      </c>
      <c r="M26" s="1247">
        <f t="shared" si="7"/>
        <v>95.5</v>
      </c>
      <c r="N26" s="1247">
        <f t="shared" si="7"/>
        <v>95.5</v>
      </c>
      <c r="O26" s="1247">
        <f t="shared" si="7"/>
        <v>95.5</v>
      </c>
      <c r="P26" s="1247">
        <f t="shared" si="7"/>
        <v>105.5</v>
      </c>
      <c r="Q26" s="1247">
        <f t="shared" si="7"/>
        <v>137.80000000000001</v>
      </c>
      <c r="R26" s="1247">
        <f t="shared" si="7"/>
        <v>137.5</v>
      </c>
      <c r="S26" s="1247">
        <f t="shared" si="7"/>
        <v>105.5</v>
      </c>
      <c r="T26" s="1247">
        <f t="shared" si="7"/>
        <v>123.5</v>
      </c>
      <c r="U26" s="1247">
        <f t="shared" si="7"/>
        <v>125</v>
      </c>
    </row>
    <row r="27" spans="1:21" x14ac:dyDescent="0.25">
      <c r="A27" s="1236" t="s">
        <v>2184</v>
      </c>
      <c r="B27" s="1236"/>
      <c r="C27" s="1236"/>
      <c r="D27" s="1240">
        <f>D26/100+1</f>
        <v>1.841</v>
      </c>
      <c r="E27" s="1240">
        <f t="shared" ref="E27:L27" si="8">E26/100+1</f>
        <v>1.845</v>
      </c>
      <c r="F27" s="1240">
        <f t="shared" si="8"/>
        <v>1.8380000000000001</v>
      </c>
      <c r="G27" s="1240">
        <f t="shared" si="8"/>
        <v>1.9410000000000001</v>
      </c>
      <c r="H27" s="1240">
        <f t="shared" si="8"/>
        <v>1.9450000000000001</v>
      </c>
      <c r="I27" s="1240">
        <f t="shared" si="8"/>
        <v>1.9379999999999999</v>
      </c>
      <c r="J27" s="1240">
        <f t="shared" si="8"/>
        <v>1.855</v>
      </c>
      <c r="K27" s="1240">
        <f t="shared" si="8"/>
        <v>1.855</v>
      </c>
      <c r="L27" s="1240">
        <f t="shared" si="8"/>
        <v>1.855</v>
      </c>
      <c r="M27" s="1240">
        <f t="shared" ref="M27" si="9">M26/100+1</f>
        <v>1.9550000000000001</v>
      </c>
      <c r="N27" s="1240">
        <f t="shared" ref="N27:O27" si="10">N26/100+1</f>
        <v>1.9550000000000001</v>
      </c>
      <c r="O27" s="1240">
        <f t="shared" si="10"/>
        <v>1.9550000000000001</v>
      </c>
      <c r="P27" s="1240">
        <f t="shared" ref="P27:S27" si="11">P26/100+1</f>
        <v>2.0550000000000002</v>
      </c>
      <c r="Q27" s="1240">
        <f t="shared" ref="Q27:U27" si="12">Q26/100+1</f>
        <v>2.3780000000000001</v>
      </c>
      <c r="R27" s="1240">
        <f t="shared" si="12"/>
        <v>2.375</v>
      </c>
      <c r="S27" s="1240">
        <f t="shared" si="11"/>
        <v>2.0550000000000002</v>
      </c>
      <c r="T27" s="1240">
        <f t="shared" si="12"/>
        <v>2.2349999999999999</v>
      </c>
      <c r="U27" s="1240">
        <f t="shared" si="12"/>
        <v>2.25</v>
      </c>
    </row>
    <row r="28" spans="1:21" x14ac:dyDescent="0.25">
      <c r="A28" s="1233"/>
    </row>
    <row r="29" spans="1:21" x14ac:dyDescent="0.25">
      <c r="A29" s="1233"/>
    </row>
    <row r="30" spans="1:21" x14ac:dyDescent="0.25">
      <c r="A30" s="1233"/>
    </row>
    <row r="31" spans="1:21" x14ac:dyDescent="0.25">
      <c r="A31" s="1233"/>
    </row>
    <row r="32" spans="1:21" x14ac:dyDescent="0.25">
      <c r="A32" s="1233"/>
    </row>
    <row r="33" spans="1:1" x14ac:dyDescent="0.25">
      <c r="A33" s="1233"/>
    </row>
    <row r="34" spans="1:1" x14ac:dyDescent="0.25">
      <c r="A34" s="1233"/>
    </row>
    <row r="35" spans="1:1" x14ac:dyDescent="0.25">
      <c r="A35" s="1233"/>
    </row>
  </sheetData>
  <mergeCells count="4">
    <mergeCell ref="A3:A4"/>
    <mergeCell ref="B3:B4"/>
    <mergeCell ref="C3:C4"/>
    <mergeCell ref="D3:U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T117"/>
  <sheetViews>
    <sheetView zoomScale="75" zoomScaleNormal="75" zoomScaleSheetLayoutView="75" workbookViewId="0">
      <pane xSplit="3" ySplit="6" topLeftCell="AW8" activePane="bottomRight" state="frozen"/>
      <selection activeCell="AX19" sqref="AX19"/>
      <selection pane="topRight" activeCell="AX19" sqref="AX19"/>
      <selection pane="bottomLeft" activeCell="AX19" sqref="AX19"/>
      <selection pane="bottomRight" activeCell="BF8" sqref="BF8"/>
    </sheetView>
  </sheetViews>
  <sheetFormatPr defaultRowHeight="15" x14ac:dyDescent="0.25"/>
  <cols>
    <col min="1" max="1" width="18" style="1192" customWidth="1"/>
    <col min="2" max="2" width="55.5703125" style="1170" customWidth="1"/>
    <col min="3" max="3" width="51" style="228" customWidth="1"/>
    <col min="4" max="4" width="5.7109375" style="1170" customWidth="1"/>
    <col min="5" max="16" width="5.7109375" style="1170" hidden="1" customWidth="1"/>
    <col min="17" max="17" width="5.7109375" style="1170" customWidth="1"/>
    <col min="18" max="30" width="5.7109375" style="1170" hidden="1" customWidth="1"/>
    <col min="31" max="31" width="6.85546875" style="1170" customWidth="1"/>
    <col min="32" max="48" width="5.7109375" style="1170" hidden="1" customWidth="1"/>
    <col min="49" max="49" width="6.28515625" style="1170" customWidth="1"/>
    <col min="50" max="50" width="12.42578125" style="1170" customWidth="1"/>
    <col min="51" max="52" width="12.42578125" style="1213" customWidth="1"/>
    <col min="53" max="53" width="12.42578125" style="1170" customWidth="1"/>
    <col min="54" max="58" width="12.42578125" style="1213" customWidth="1"/>
    <col min="59" max="59" width="12.42578125" style="1170" customWidth="1"/>
    <col min="60" max="61" width="12.42578125" style="1213" customWidth="1"/>
    <col min="62" max="62" width="12.42578125" style="1175" customWidth="1"/>
    <col min="63" max="64" width="12.42578125" style="1213" customWidth="1"/>
    <col min="65" max="67" width="14" style="1213" customWidth="1"/>
    <col min="68" max="68" width="14" style="1170" customWidth="1"/>
    <col min="69" max="70" width="14" style="1213" customWidth="1"/>
    <col min="71" max="71" width="12.42578125" style="1175" customWidth="1"/>
    <col min="72" max="76" width="12.42578125" style="1213" customWidth="1"/>
    <col min="77" max="77" width="12.42578125" style="1175" customWidth="1"/>
    <col min="78" max="79" width="12.42578125" style="1213" customWidth="1"/>
    <col min="80" max="80" width="12.42578125" style="1175" customWidth="1"/>
    <col min="81" max="82" width="12.42578125" style="1213" customWidth="1"/>
    <col min="83" max="83" width="12.42578125" style="1175" customWidth="1"/>
    <col min="84" max="85" width="12.42578125" style="1213" customWidth="1"/>
    <col min="86" max="86" width="12.42578125" style="1175" customWidth="1"/>
    <col min="87" max="91" width="12.42578125" style="1213" customWidth="1"/>
    <col min="92" max="92" width="12.42578125" style="1170" customWidth="1"/>
    <col min="93" max="94" width="12.42578125" style="1213" customWidth="1"/>
    <col min="95" max="95" width="12.42578125" style="1175" customWidth="1"/>
    <col min="96" max="97" width="12.42578125" style="1213" customWidth="1"/>
    <col min="98" max="98" width="43.28515625" style="1170" customWidth="1"/>
    <col min="99" max="16384" width="9.140625" style="1170"/>
  </cols>
  <sheetData>
    <row r="1" spans="1:98" ht="20.25" customHeight="1" x14ac:dyDescent="0.25">
      <c r="A1" s="1496"/>
      <c r="B1" s="1496"/>
    </row>
    <row r="2" spans="1:98" ht="42" customHeight="1" x14ac:dyDescent="0.25">
      <c r="A2" s="1497" t="s">
        <v>1970</v>
      </c>
      <c r="B2" s="1497"/>
      <c r="C2" s="1497"/>
      <c r="AX2" s="1396" t="s">
        <v>2144</v>
      </c>
      <c r="AY2" s="1399"/>
      <c r="AZ2" s="1399"/>
      <c r="BA2" s="1399"/>
      <c r="BB2" s="1399"/>
      <c r="BC2" s="1399"/>
      <c r="BD2" s="1399"/>
      <c r="BE2" s="1399"/>
      <c r="BF2" s="1397"/>
      <c r="BG2" s="1396" t="s">
        <v>2101</v>
      </c>
      <c r="BH2" s="1399"/>
      <c r="BI2" s="1399"/>
      <c r="BJ2" s="1399"/>
      <c r="BK2" s="1399"/>
      <c r="BL2" s="1399"/>
      <c r="BM2" s="1399"/>
      <c r="BN2" s="1399"/>
      <c r="BO2" s="1399"/>
      <c r="BP2" s="1399"/>
      <c r="BQ2" s="1399"/>
      <c r="BR2" s="1399"/>
      <c r="BS2" s="1399"/>
      <c r="BT2" s="1399"/>
      <c r="BU2" s="1399"/>
      <c r="BV2" s="1399"/>
      <c r="BW2" s="1399"/>
      <c r="BX2" s="1399"/>
      <c r="BY2" s="1399"/>
      <c r="BZ2" s="1399"/>
      <c r="CA2" s="1399"/>
      <c r="CB2" s="1399"/>
      <c r="CC2" s="1399"/>
      <c r="CD2" s="1399"/>
      <c r="CE2" s="1399"/>
      <c r="CF2" s="1399"/>
      <c r="CG2" s="1399"/>
      <c r="CH2" s="1399"/>
      <c r="CI2" s="1399"/>
      <c r="CJ2" s="1399"/>
      <c r="CK2" s="1399"/>
      <c r="CL2" s="1399"/>
      <c r="CM2" s="1397"/>
      <c r="CN2" s="1494" t="s">
        <v>2091</v>
      </c>
      <c r="CO2" s="1494"/>
      <c r="CP2" s="1494"/>
      <c r="CQ2" s="1494"/>
      <c r="CR2" s="1494"/>
      <c r="CS2" s="1494"/>
    </row>
    <row r="3" spans="1:98" x14ac:dyDescent="0.25">
      <c r="A3" s="1498"/>
      <c r="B3" s="1498"/>
      <c r="C3" s="1498"/>
      <c r="AX3" s="1176">
        <v>25</v>
      </c>
      <c r="AY3" s="1216">
        <v>25</v>
      </c>
      <c r="AZ3" s="1216">
        <v>25</v>
      </c>
      <c r="BA3" s="1248">
        <v>1</v>
      </c>
      <c r="BB3" s="1248">
        <v>1</v>
      </c>
      <c r="BC3" s="1248">
        <v>1</v>
      </c>
      <c r="BD3" s="1216">
        <v>1</v>
      </c>
      <c r="BE3" s="1216">
        <v>1</v>
      </c>
      <c r="BF3" s="1216">
        <v>1</v>
      </c>
      <c r="BG3" s="1248">
        <v>10</v>
      </c>
      <c r="BH3" s="1248">
        <v>10</v>
      </c>
      <c r="BI3" s="1248">
        <v>10</v>
      </c>
      <c r="BJ3" s="1176">
        <v>6</v>
      </c>
      <c r="BK3" s="1216">
        <v>6</v>
      </c>
      <c r="BL3" s="1216">
        <v>6</v>
      </c>
      <c r="BM3" s="1248">
        <v>12</v>
      </c>
      <c r="BN3" s="1248">
        <v>12</v>
      </c>
      <c r="BO3" s="1248">
        <v>12</v>
      </c>
      <c r="BP3" s="1176">
        <v>12</v>
      </c>
      <c r="BQ3" s="1216">
        <v>12</v>
      </c>
      <c r="BR3" s="1216">
        <v>12</v>
      </c>
      <c r="BS3" s="1248">
        <v>8</v>
      </c>
      <c r="BT3" s="1248">
        <v>8</v>
      </c>
      <c r="BU3" s="1248">
        <v>8</v>
      </c>
      <c r="BV3" s="1216">
        <v>12</v>
      </c>
      <c r="BW3" s="1216">
        <v>12</v>
      </c>
      <c r="BX3" s="1216">
        <v>12</v>
      </c>
      <c r="BY3" s="1248">
        <v>12</v>
      </c>
      <c r="BZ3" s="1248">
        <v>12</v>
      </c>
      <c r="CA3" s="1248">
        <v>12</v>
      </c>
      <c r="CB3" s="1176">
        <v>10</v>
      </c>
      <c r="CC3" s="1216">
        <v>10</v>
      </c>
      <c r="CD3" s="1216">
        <v>10</v>
      </c>
      <c r="CE3" s="1248">
        <v>8</v>
      </c>
      <c r="CF3" s="1248">
        <v>8</v>
      </c>
      <c r="CG3" s="1248">
        <v>8</v>
      </c>
      <c r="CH3" s="1176">
        <v>5</v>
      </c>
      <c r="CI3" s="1216">
        <v>5</v>
      </c>
      <c r="CJ3" s="1216">
        <v>5</v>
      </c>
      <c r="CK3" s="1250">
        <f>SUM(BG3:CH3)/10</f>
        <v>28</v>
      </c>
      <c r="CL3" s="1250">
        <f t="shared" ref="CL3:CM3" si="0">SUM(BH3:CI3)/10</f>
        <v>27</v>
      </c>
      <c r="CM3" s="1250">
        <f t="shared" si="0"/>
        <v>27</v>
      </c>
      <c r="CN3" s="1176">
        <v>25</v>
      </c>
      <c r="CO3" s="1216">
        <v>25</v>
      </c>
      <c r="CP3" s="1216">
        <v>25</v>
      </c>
      <c r="CQ3" s="1176">
        <v>25</v>
      </c>
      <c r="CR3" s="1216">
        <v>25</v>
      </c>
      <c r="CS3" s="1216">
        <v>25</v>
      </c>
    </row>
    <row r="4" spans="1:98" ht="15" customHeight="1" x14ac:dyDescent="0.25">
      <c r="A4" s="1499" t="s">
        <v>1507</v>
      </c>
      <c r="B4" s="1501" t="s">
        <v>1971</v>
      </c>
      <c r="C4" s="1196" t="s">
        <v>1508</v>
      </c>
      <c r="D4" s="1503" t="s">
        <v>1972</v>
      </c>
      <c r="E4" s="1503"/>
      <c r="F4" s="1503"/>
      <c r="G4" s="1503"/>
      <c r="H4" s="1503"/>
      <c r="I4" s="1503"/>
      <c r="J4" s="1503"/>
      <c r="K4" s="1503"/>
      <c r="L4" s="1503"/>
      <c r="M4" s="1503"/>
      <c r="N4" s="1503"/>
      <c r="O4" s="1503"/>
      <c r="P4" s="1503"/>
      <c r="Q4" s="1503"/>
      <c r="R4" s="1503"/>
      <c r="S4" s="1503"/>
      <c r="T4" s="1503"/>
      <c r="U4" s="1503"/>
      <c r="V4" s="1503"/>
      <c r="W4" s="1503"/>
      <c r="X4" s="1503"/>
      <c r="Y4" s="1503"/>
      <c r="Z4" s="1503"/>
      <c r="AA4" s="1503"/>
      <c r="AB4" s="1503"/>
      <c r="AC4" s="1503"/>
      <c r="AD4" s="1503"/>
      <c r="AE4" s="1503"/>
      <c r="AF4" s="1503"/>
      <c r="AG4" s="1503"/>
      <c r="AH4" s="1503"/>
      <c r="AI4" s="1503"/>
      <c r="AJ4" s="1503"/>
      <c r="AK4" s="1503"/>
      <c r="AL4" s="1503"/>
      <c r="AM4" s="1503"/>
      <c r="AN4" s="1503"/>
      <c r="AO4" s="1503"/>
      <c r="AP4" s="1503"/>
      <c r="AQ4" s="1503"/>
      <c r="AR4" s="1503"/>
      <c r="AS4" s="1503"/>
      <c r="AT4" s="1503"/>
      <c r="AU4" s="1503"/>
      <c r="AV4" s="1503"/>
      <c r="AX4" s="1504" t="s">
        <v>2107</v>
      </c>
      <c r="AY4" s="1504" t="s">
        <v>2107</v>
      </c>
      <c r="AZ4" s="1504" t="s">
        <v>2107</v>
      </c>
      <c r="BA4" s="1495" t="s">
        <v>2201</v>
      </c>
      <c r="BB4" s="1495" t="s">
        <v>2201</v>
      </c>
      <c r="BC4" s="1495" t="s">
        <v>2201</v>
      </c>
      <c r="BD4" s="1495" t="s">
        <v>2202</v>
      </c>
      <c r="BE4" s="1495" t="s">
        <v>2202</v>
      </c>
      <c r="BF4" s="1495" t="s">
        <v>2202</v>
      </c>
      <c r="BG4" s="1490" t="s">
        <v>2108</v>
      </c>
      <c r="BH4" s="1490" t="s">
        <v>2108</v>
      </c>
      <c r="BI4" s="1490" t="s">
        <v>2108</v>
      </c>
      <c r="BJ4" s="1490" t="s">
        <v>2109</v>
      </c>
      <c r="BK4" s="1490" t="s">
        <v>2109</v>
      </c>
      <c r="BL4" s="1490" t="s">
        <v>2109</v>
      </c>
      <c r="BM4" s="1490" t="s">
        <v>2151</v>
      </c>
      <c r="BN4" s="1490" t="s">
        <v>2151</v>
      </c>
      <c r="BO4" s="1490" t="s">
        <v>2151</v>
      </c>
      <c r="BP4" s="1490" t="s">
        <v>2110</v>
      </c>
      <c r="BQ4" s="1490" t="s">
        <v>2110</v>
      </c>
      <c r="BR4" s="1490" t="s">
        <v>2110</v>
      </c>
      <c r="BS4" s="1490" t="s">
        <v>2111</v>
      </c>
      <c r="BT4" s="1490" t="s">
        <v>2111</v>
      </c>
      <c r="BU4" s="1490" t="s">
        <v>2111</v>
      </c>
      <c r="BV4" s="1490" t="s">
        <v>2112</v>
      </c>
      <c r="BW4" s="1490" t="s">
        <v>2112</v>
      </c>
      <c r="BX4" s="1490" t="s">
        <v>2112</v>
      </c>
      <c r="BY4" s="1490" t="s">
        <v>2114</v>
      </c>
      <c r="BZ4" s="1490" t="s">
        <v>2114</v>
      </c>
      <c r="CA4" s="1490" t="s">
        <v>2114</v>
      </c>
      <c r="CB4" s="1490" t="s">
        <v>2113</v>
      </c>
      <c r="CC4" s="1490" t="s">
        <v>2113</v>
      </c>
      <c r="CD4" s="1490" t="s">
        <v>2113</v>
      </c>
      <c r="CE4" s="1490" t="s">
        <v>2115</v>
      </c>
      <c r="CF4" s="1490" t="s">
        <v>2115</v>
      </c>
      <c r="CG4" s="1490" t="s">
        <v>2115</v>
      </c>
      <c r="CH4" s="1490" t="s">
        <v>2116</v>
      </c>
      <c r="CI4" s="1490" t="s">
        <v>2116</v>
      </c>
      <c r="CJ4" s="1490" t="s">
        <v>2116</v>
      </c>
      <c r="CK4" s="1492" t="s">
        <v>2150</v>
      </c>
      <c r="CL4" s="1492" t="s">
        <v>2150</v>
      </c>
      <c r="CM4" s="1492" t="s">
        <v>2150</v>
      </c>
      <c r="CN4" s="1495" t="s">
        <v>2117</v>
      </c>
      <c r="CO4" s="1495" t="s">
        <v>2117</v>
      </c>
      <c r="CP4" s="1495" t="s">
        <v>2117</v>
      </c>
      <c r="CQ4" s="1495" t="s">
        <v>2118</v>
      </c>
      <c r="CR4" s="1495" t="s">
        <v>2118</v>
      </c>
      <c r="CS4" s="1495" t="s">
        <v>2118</v>
      </c>
      <c r="CT4" s="1495" t="s">
        <v>50</v>
      </c>
    </row>
    <row r="5" spans="1:98" ht="77.25" customHeight="1" x14ac:dyDescent="0.25">
      <c r="A5" s="1500"/>
      <c r="B5" s="1502"/>
      <c r="C5" s="1197" t="s">
        <v>1973</v>
      </c>
      <c r="D5" s="778" t="s">
        <v>1974</v>
      </c>
      <c r="E5" s="778" t="s">
        <v>1975</v>
      </c>
      <c r="F5" s="778" t="s">
        <v>1976</v>
      </c>
      <c r="G5" s="778" t="s">
        <v>1977</v>
      </c>
      <c r="H5" s="778" t="s">
        <v>1978</v>
      </c>
      <c r="I5" s="778" t="s">
        <v>1979</v>
      </c>
      <c r="J5" s="778" t="s">
        <v>1980</v>
      </c>
      <c r="K5" s="778" t="s">
        <v>1981</v>
      </c>
      <c r="L5" s="778" t="s">
        <v>1982</v>
      </c>
      <c r="M5" s="778" t="s">
        <v>1983</v>
      </c>
      <c r="N5" s="778" t="s">
        <v>1984</v>
      </c>
      <c r="O5" s="778" t="s">
        <v>1985</v>
      </c>
      <c r="P5" s="778" t="s">
        <v>1986</v>
      </c>
      <c r="Q5" s="1177" t="s">
        <v>1987</v>
      </c>
      <c r="R5" s="1177" t="s">
        <v>1988</v>
      </c>
      <c r="S5" s="1177" t="s">
        <v>1989</v>
      </c>
      <c r="T5" s="1177" t="s">
        <v>1990</v>
      </c>
      <c r="U5" s="1177" t="s">
        <v>1991</v>
      </c>
      <c r="V5" s="1177" t="s">
        <v>1992</v>
      </c>
      <c r="W5" s="1177" t="s">
        <v>1993</v>
      </c>
      <c r="X5" s="1177" t="s">
        <v>1994</v>
      </c>
      <c r="Y5" s="1177" t="s">
        <v>1995</v>
      </c>
      <c r="Z5" s="1177" t="s">
        <v>1996</v>
      </c>
      <c r="AA5" s="1177" t="s">
        <v>1997</v>
      </c>
      <c r="AB5" s="1177" t="s">
        <v>1998</v>
      </c>
      <c r="AC5" s="1177" t="s">
        <v>1999</v>
      </c>
      <c r="AD5" s="1177" t="s">
        <v>2000</v>
      </c>
      <c r="AE5" s="1177" t="s">
        <v>2001</v>
      </c>
      <c r="AF5" s="1177" t="s">
        <v>2002</v>
      </c>
      <c r="AG5" s="1177" t="s">
        <v>2003</v>
      </c>
      <c r="AH5" s="1177" t="s">
        <v>2004</v>
      </c>
      <c r="AI5" s="1177" t="s">
        <v>2005</v>
      </c>
      <c r="AJ5" s="1177" t="s">
        <v>2006</v>
      </c>
      <c r="AK5" s="1177" t="s">
        <v>2007</v>
      </c>
      <c r="AL5" s="1177" t="s">
        <v>2008</v>
      </c>
      <c r="AM5" s="1177" t="s">
        <v>2009</v>
      </c>
      <c r="AN5" s="1177" t="s">
        <v>2010</v>
      </c>
      <c r="AO5" s="1177" t="s">
        <v>2011</v>
      </c>
      <c r="AP5" s="1177" t="s">
        <v>2012</v>
      </c>
      <c r="AQ5" s="1177" t="s">
        <v>2013</v>
      </c>
      <c r="AR5" s="1177" t="s">
        <v>2014</v>
      </c>
      <c r="AS5" s="1177" t="s">
        <v>2015</v>
      </c>
      <c r="AT5" s="1177" t="s">
        <v>2016</v>
      </c>
      <c r="AU5" s="1177" t="s">
        <v>2017</v>
      </c>
      <c r="AV5" s="1177" t="s">
        <v>2018</v>
      </c>
      <c r="AX5" s="1504"/>
      <c r="AY5" s="1504"/>
      <c r="AZ5" s="1504"/>
      <c r="BA5" s="1495"/>
      <c r="BB5" s="1495"/>
      <c r="BC5" s="1495"/>
      <c r="BD5" s="1495"/>
      <c r="BE5" s="1495"/>
      <c r="BF5" s="1495"/>
      <c r="BG5" s="1491"/>
      <c r="BH5" s="1491"/>
      <c r="BI5" s="1491"/>
      <c r="BJ5" s="1491"/>
      <c r="BK5" s="1491"/>
      <c r="BL5" s="1491"/>
      <c r="BM5" s="1491"/>
      <c r="BN5" s="1491"/>
      <c r="BO5" s="1491"/>
      <c r="BP5" s="1491"/>
      <c r="BQ5" s="1491"/>
      <c r="BR5" s="1491"/>
      <c r="BS5" s="1491"/>
      <c r="BT5" s="1491"/>
      <c r="BU5" s="1491"/>
      <c r="BV5" s="1491"/>
      <c r="BW5" s="1491"/>
      <c r="BX5" s="1491"/>
      <c r="BY5" s="1491"/>
      <c r="BZ5" s="1491"/>
      <c r="CA5" s="1491"/>
      <c r="CB5" s="1491"/>
      <c r="CC5" s="1491"/>
      <c r="CD5" s="1491"/>
      <c r="CE5" s="1491"/>
      <c r="CF5" s="1491"/>
      <c r="CG5" s="1491"/>
      <c r="CH5" s="1491"/>
      <c r="CI5" s="1491"/>
      <c r="CJ5" s="1491"/>
      <c r="CK5" s="1493"/>
      <c r="CL5" s="1493"/>
      <c r="CM5" s="1493"/>
      <c r="CN5" s="1495"/>
      <c r="CO5" s="1495"/>
      <c r="CP5" s="1495"/>
      <c r="CQ5" s="1495"/>
      <c r="CR5" s="1495"/>
      <c r="CS5" s="1495"/>
      <c r="CT5" s="1495"/>
    </row>
    <row r="6" spans="1:98" s="419" customFormat="1" ht="12.75" x14ac:dyDescent="0.25">
      <c r="A6" s="1178">
        <v>1</v>
      </c>
      <c r="B6" s="1179">
        <v>2</v>
      </c>
      <c r="C6" s="1198">
        <v>3</v>
      </c>
      <c r="D6" s="1180" t="s">
        <v>447</v>
      </c>
      <c r="E6" s="1180" t="s">
        <v>448</v>
      </c>
      <c r="F6" s="1180" t="s">
        <v>449</v>
      </c>
      <c r="G6" s="1180" t="s">
        <v>450</v>
      </c>
      <c r="H6" s="1180" t="s">
        <v>451</v>
      </c>
      <c r="I6" s="1180" t="s">
        <v>452</v>
      </c>
      <c r="J6" s="1180" t="s">
        <v>453</v>
      </c>
      <c r="K6" s="1180" t="s">
        <v>590</v>
      </c>
      <c r="L6" s="1180" t="s">
        <v>591</v>
      </c>
      <c r="M6" s="1180" t="s">
        <v>592</v>
      </c>
      <c r="N6" s="1180" t="s">
        <v>593</v>
      </c>
      <c r="O6" s="1180" t="s">
        <v>594</v>
      </c>
      <c r="P6" s="1180" t="s">
        <v>595</v>
      </c>
      <c r="Q6" s="1180" t="s">
        <v>597</v>
      </c>
      <c r="R6" s="1180" t="s">
        <v>598</v>
      </c>
      <c r="S6" s="1180" t="s">
        <v>599</v>
      </c>
      <c r="T6" s="1180" t="s">
        <v>600</v>
      </c>
      <c r="U6" s="1180" t="s">
        <v>717</v>
      </c>
      <c r="V6" s="1180" t="s">
        <v>718</v>
      </c>
      <c r="W6" s="1180" t="s">
        <v>719</v>
      </c>
      <c r="X6" s="1180" t="s">
        <v>720</v>
      </c>
      <c r="Y6" s="1180" t="s">
        <v>1937</v>
      </c>
      <c r="Z6" s="1180" t="s">
        <v>1938</v>
      </c>
      <c r="AA6" s="1180" t="s">
        <v>1939</v>
      </c>
      <c r="AB6" s="1180" t="s">
        <v>1940</v>
      </c>
      <c r="AC6" s="1180" t="s">
        <v>1941</v>
      </c>
      <c r="AD6" s="1180" t="s">
        <v>1942</v>
      </c>
      <c r="AE6" s="1180" t="s">
        <v>1943</v>
      </c>
      <c r="AF6" s="1180" t="s">
        <v>1944</v>
      </c>
      <c r="AG6" s="1180" t="s">
        <v>1945</v>
      </c>
      <c r="AH6" s="1180" t="s">
        <v>1946</v>
      </c>
      <c r="AI6" s="1180" t="s">
        <v>1947</v>
      </c>
      <c r="AJ6" s="1180" t="s">
        <v>1948</v>
      </c>
      <c r="AK6" s="1180" t="s">
        <v>1949</v>
      </c>
      <c r="AL6" s="1180" t="s">
        <v>1950</v>
      </c>
      <c r="AM6" s="1180" t="s">
        <v>1951</v>
      </c>
      <c r="AN6" s="1180" t="s">
        <v>1952</v>
      </c>
      <c r="AO6" s="1180" t="s">
        <v>1953</v>
      </c>
      <c r="AP6" s="1180" t="s">
        <v>1954</v>
      </c>
      <c r="AQ6" s="1180" t="s">
        <v>1955</v>
      </c>
      <c r="AR6" s="1180" t="s">
        <v>1956</v>
      </c>
      <c r="AS6" s="1180" t="s">
        <v>1957</v>
      </c>
      <c r="AT6" s="1180" t="s">
        <v>1958</v>
      </c>
      <c r="AU6" s="1180" t="s">
        <v>1959</v>
      </c>
      <c r="AV6" s="1180" t="s">
        <v>1960</v>
      </c>
      <c r="AX6" s="1180" t="s">
        <v>2097</v>
      </c>
      <c r="AY6" s="1180" t="s">
        <v>2098</v>
      </c>
      <c r="AZ6" s="1180" t="s">
        <v>2099</v>
      </c>
      <c r="BA6" s="1180" t="s">
        <v>2097</v>
      </c>
      <c r="BB6" s="1180" t="s">
        <v>2098</v>
      </c>
      <c r="BC6" s="1180" t="s">
        <v>2099</v>
      </c>
      <c r="BD6" s="1180" t="s">
        <v>2097</v>
      </c>
      <c r="BE6" s="1180" t="s">
        <v>2098</v>
      </c>
      <c r="BF6" s="1180" t="s">
        <v>2099</v>
      </c>
      <c r="BG6" s="1180" t="s">
        <v>2097</v>
      </c>
      <c r="BH6" s="1180" t="s">
        <v>2098</v>
      </c>
      <c r="BI6" s="1180" t="s">
        <v>2099</v>
      </c>
      <c r="BJ6" s="1180" t="s">
        <v>2097</v>
      </c>
      <c r="BK6" s="1180" t="s">
        <v>2098</v>
      </c>
      <c r="BL6" s="1180" t="s">
        <v>2099</v>
      </c>
      <c r="BM6" s="1180" t="s">
        <v>2097</v>
      </c>
      <c r="BN6" s="1180" t="s">
        <v>2098</v>
      </c>
      <c r="BO6" s="1180" t="s">
        <v>2099</v>
      </c>
      <c r="BP6" s="1180" t="s">
        <v>2097</v>
      </c>
      <c r="BQ6" s="1180" t="s">
        <v>2098</v>
      </c>
      <c r="BR6" s="1180" t="s">
        <v>2099</v>
      </c>
      <c r="BS6" s="1180" t="s">
        <v>2097</v>
      </c>
      <c r="BT6" s="1180" t="s">
        <v>2098</v>
      </c>
      <c r="BU6" s="1180" t="s">
        <v>2099</v>
      </c>
      <c r="BV6" s="1180" t="s">
        <v>2097</v>
      </c>
      <c r="BW6" s="1180" t="s">
        <v>2098</v>
      </c>
      <c r="BX6" s="1180" t="s">
        <v>2099</v>
      </c>
      <c r="BY6" s="1180" t="s">
        <v>2097</v>
      </c>
      <c r="BZ6" s="1180" t="s">
        <v>2098</v>
      </c>
      <c r="CA6" s="1180" t="s">
        <v>2099</v>
      </c>
      <c r="CB6" s="1180" t="s">
        <v>2097</v>
      </c>
      <c r="CC6" s="1180" t="s">
        <v>2098</v>
      </c>
      <c r="CD6" s="1180" t="s">
        <v>2099</v>
      </c>
      <c r="CE6" s="1180" t="s">
        <v>2097</v>
      </c>
      <c r="CF6" s="1180" t="s">
        <v>2098</v>
      </c>
      <c r="CG6" s="1180" t="s">
        <v>2099</v>
      </c>
      <c r="CH6" s="1180" t="s">
        <v>2097</v>
      </c>
      <c r="CI6" s="1180" t="s">
        <v>2098</v>
      </c>
      <c r="CJ6" s="1180" t="s">
        <v>2099</v>
      </c>
      <c r="CK6" s="1249" t="s">
        <v>2097</v>
      </c>
      <c r="CL6" s="1249" t="s">
        <v>2098</v>
      </c>
      <c r="CM6" s="1249" t="s">
        <v>2099</v>
      </c>
      <c r="CN6" s="1180" t="s">
        <v>2097</v>
      </c>
      <c r="CO6" s="1180" t="s">
        <v>2098</v>
      </c>
      <c r="CP6" s="1180" t="s">
        <v>2099</v>
      </c>
      <c r="CQ6" s="1180"/>
      <c r="CR6" s="1180"/>
      <c r="CS6" s="1180"/>
      <c r="CT6" s="1180"/>
    </row>
    <row r="7" spans="1:98" s="1175" customFormat="1" ht="15.75" hidden="1" x14ac:dyDescent="0.25">
      <c r="A7" s="1186"/>
      <c r="B7" s="1212" t="s">
        <v>2120</v>
      </c>
      <c r="C7" s="1199"/>
      <c r="D7" s="1189"/>
      <c r="E7" s="1189"/>
      <c r="F7" s="1189"/>
      <c r="G7" s="1189"/>
      <c r="H7" s="1189"/>
      <c r="I7" s="1189"/>
      <c r="J7" s="1189"/>
      <c r="K7" s="1189"/>
      <c r="L7" s="1189"/>
      <c r="M7" s="1189"/>
      <c r="N7" s="1189"/>
      <c r="O7" s="1189"/>
      <c r="P7" s="1189"/>
      <c r="Q7" s="1189"/>
      <c r="R7" s="1189"/>
      <c r="S7" s="1189"/>
      <c r="T7" s="1189"/>
      <c r="U7" s="1189"/>
      <c r="V7" s="1189"/>
      <c r="W7" s="1189"/>
      <c r="X7" s="1189"/>
      <c r="Y7" s="1189"/>
      <c r="Z7" s="1189"/>
      <c r="AA7" s="1189"/>
      <c r="AB7" s="1189"/>
      <c r="AC7" s="1189"/>
      <c r="AD7" s="1189"/>
      <c r="AE7" s="1189"/>
      <c r="AF7" s="1189"/>
      <c r="AG7" s="1189"/>
      <c r="AH7" s="1189"/>
      <c r="AI7" s="1189"/>
      <c r="AJ7" s="1189"/>
      <c r="AK7" s="1189"/>
      <c r="AL7" s="1189"/>
      <c r="AM7" s="1189"/>
      <c r="AN7" s="1189"/>
      <c r="AO7" s="1189"/>
      <c r="AP7" s="1189"/>
      <c r="AQ7" s="1189"/>
      <c r="AR7" s="1189"/>
      <c r="AS7" s="1189"/>
      <c r="AT7" s="1189"/>
      <c r="AU7" s="1189"/>
      <c r="AV7" s="1189"/>
      <c r="AX7" s="1211">
        <f>AX8+AX75</f>
        <v>74.92</v>
      </c>
      <c r="AY7" s="1211">
        <f>AY8+AY75</f>
        <v>91.81</v>
      </c>
      <c r="AZ7" s="1211">
        <f>AZ8+AZ75</f>
        <v>53.59</v>
      </c>
      <c r="BA7" s="1211">
        <f t="shared" ref="BA7:CQ7" si="1">BA8+BA75</f>
        <v>2.84</v>
      </c>
      <c r="BB7" s="1211">
        <f t="shared" ref="BB7:BC7" si="2">BB8+BB75</f>
        <v>3.28</v>
      </c>
      <c r="BC7" s="1211">
        <f t="shared" si="2"/>
        <v>3.5</v>
      </c>
      <c r="BD7" s="1211">
        <f t="shared" ref="BD7:BE7" si="3">BD8+BD75</f>
        <v>4.9000000000000004</v>
      </c>
      <c r="BE7" s="1211">
        <f t="shared" si="3"/>
        <v>5.34</v>
      </c>
      <c r="BF7" s="1211">
        <f t="shared" ref="BF7" si="4">BF8+BF75</f>
        <v>5.56</v>
      </c>
      <c r="BG7" s="1211">
        <f t="shared" si="1"/>
        <v>77.42</v>
      </c>
      <c r="BH7" s="1211">
        <f t="shared" ref="BH7:BI7" si="5">BH8+BH75</f>
        <v>94.31</v>
      </c>
      <c r="BI7" s="1211">
        <f t="shared" si="5"/>
        <v>56.09</v>
      </c>
      <c r="BJ7" s="1211">
        <f t="shared" si="1"/>
        <v>77.22</v>
      </c>
      <c r="BK7" s="1211">
        <f t="shared" ref="BK7:BL7" si="6">BK8+BK75</f>
        <v>94.11</v>
      </c>
      <c r="BL7" s="1211">
        <f t="shared" si="6"/>
        <v>55.89</v>
      </c>
      <c r="BM7" s="1231">
        <f t="shared" ref="BM7:BO7" si="7">BM8+BM75</f>
        <v>77.52</v>
      </c>
      <c r="BN7" s="1231">
        <f t="shared" si="7"/>
        <v>94.41</v>
      </c>
      <c r="BO7" s="1231">
        <f t="shared" si="7"/>
        <v>56.19</v>
      </c>
      <c r="BP7" s="1231">
        <f t="shared" si="1"/>
        <v>77.52</v>
      </c>
      <c r="BQ7" s="1231">
        <f t="shared" ref="BQ7:BR7" si="8">BQ8+BQ75</f>
        <v>94.41</v>
      </c>
      <c r="BR7" s="1231">
        <f t="shared" si="8"/>
        <v>56.19</v>
      </c>
      <c r="BS7" s="1211">
        <f t="shared" si="1"/>
        <v>78.319999999999993</v>
      </c>
      <c r="BT7" s="1211">
        <f t="shared" ref="BT7:BU7" si="9">BT8+BT75</f>
        <v>95.21</v>
      </c>
      <c r="BU7" s="1211">
        <f t="shared" si="9"/>
        <v>56.99</v>
      </c>
      <c r="BV7" s="1232">
        <f t="shared" ref="BV7:BX7" si="10">BV8+BV75</f>
        <v>76.52</v>
      </c>
      <c r="BW7" s="1232">
        <f t="shared" si="10"/>
        <v>93.41</v>
      </c>
      <c r="BX7" s="1232">
        <f t="shared" si="10"/>
        <v>55.19</v>
      </c>
      <c r="BY7" s="1232">
        <f t="shared" si="1"/>
        <v>76.52</v>
      </c>
      <c r="BZ7" s="1232">
        <f t="shared" ref="BZ7:CA7" si="11">BZ8+BZ75</f>
        <v>93.41</v>
      </c>
      <c r="CA7" s="1232">
        <f t="shared" si="11"/>
        <v>55.19</v>
      </c>
      <c r="CB7" s="1211">
        <f t="shared" si="1"/>
        <v>78.42</v>
      </c>
      <c r="CC7" s="1211">
        <f t="shared" ref="CC7:CD7" si="12">CC8+CC75</f>
        <v>95.31</v>
      </c>
      <c r="CD7" s="1211">
        <f t="shared" si="12"/>
        <v>57.09</v>
      </c>
      <c r="CE7" s="1211">
        <f t="shared" si="1"/>
        <v>78.92</v>
      </c>
      <c r="CF7" s="1211">
        <f t="shared" ref="CF7:CG7" si="13">CF8+CF75</f>
        <v>95.81</v>
      </c>
      <c r="CG7" s="1211">
        <f t="shared" si="13"/>
        <v>57.59</v>
      </c>
      <c r="CH7" s="1211">
        <f t="shared" si="1"/>
        <v>76.290000000000006</v>
      </c>
      <c r="CI7" s="1211">
        <f t="shared" ref="CI7:CJ7" si="14">CI8+CI75</f>
        <v>93.18</v>
      </c>
      <c r="CJ7" s="1211">
        <f t="shared" si="14"/>
        <v>54.96</v>
      </c>
      <c r="CK7" s="1211">
        <f t="shared" ref="CK7:CM7" si="15">CK8+CK75</f>
        <v>77.48</v>
      </c>
      <c r="CL7" s="1211">
        <f t="shared" si="15"/>
        <v>94.37</v>
      </c>
      <c r="CM7" s="1211">
        <f t="shared" si="15"/>
        <v>56.15</v>
      </c>
      <c r="CN7" s="1211">
        <f t="shared" si="1"/>
        <v>35.11</v>
      </c>
      <c r="CO7" s="1211">
        <f t="shared" ref="CO7:CP7" si="16">CO8+CO75</f>
        <v>48.33</v>
      </c>
      <c r="CP7" s="1211">
        <f t="shared" si="16"/>
        <v>36.67</v>
      </c>
      <c r="CQ7" s="1211">
        <f t="shared" si="1"/>
        <v>35.61</v>
      </c>
      <c r="CR7" s="1211">
        <f t="shared" ref="CR7:CS7" si="17">CR8+CR75</f>
        <v>59.22</v>
      </c>
      <c r="CS7" s="1211">
        <f t="shared" si="17"/>
        <v>38.17</v>
      </c>
      <c r="CT7" s="1189"/>
    </row>
    <row r="8" spans="1:98" ht="31.5" x14ac:dyDescent="0.25">
      <c r="A8" s="1186"/>
      <c r="B8" s="1212" t="s">
        <v>2088</v>
      </c>
      <c r="C8" s="1199"/>
      <c r="D8" s="1189"/>
      <c r="E8" s="1189"/>
      <c r="F8" s="1189"/>
      <c r="G8" s="1189"/>
      <c r="H8" s="1189"/>
      <c r="I8" s="1189"/>
      <c r="J8" s="1189"/>
      <c r="K8" s="1189"/>
      <c r="L8" s="1189"/>
      <c r="M8" s="1189"/>
      <c r="N8" s="1189"/>
      <c r="O8" s="1189"/>
      <c r="P8" s="1189"/>
      <c r="Q8" s="1189"/>
      <c r="R8" s="1189"/>
      <c r="S8" s="1189"/>
      <c r="T8" s="1189"/>
      <c r="U8" s="1189"/>
      <c r="V8" s="1189"/>
      <c r="W8" s="1189"/>
      <c r="X8" s="1189"/>
      <c r="Y8" s="1189"/>
      <c r="Z8" s="1189"/>
      <c r="AA8" s="1189"/>
      <c r="AB8" s="1189"/>
      <c r="AC8" s="1189"/>
      <c r="AD8" s="1189"/>
      <c r="AE8" s="1189"/>
      <c r="AF8" s="1189"/>
      <c r="AG8" s="1189"/>
      <c r="AH8" s="1189"/>
      <c r="AI8" s="1189"/>
      <c r="AJ8" s="1189"/>
      <c r="AK8" s="1189"/>
      <c r="AL8" s="1189"/>
      <c r="AM8" s="1189"/>
      <c r="AN8" s="1189"/>
      <c r="AO8" s="1189"/>
      <c r="AP8" s="1189"/>
      <c r="AQ8" s="1189"/>
      <c r="AR8" s="1189"/>
      <c r="AS8" s="1189"/>
      <c r="AT8" s="1189"/>
      <c r="AU8" s="1189"/>
      <c r="AV8" s="1189"/>
      <c r="AX8" s="1211">
        <f t="shared" ref="AX8:BF8" si="18">SUM(AX14:AX16)+AX18+AX23+AX28+AX34+AX40+AX43+AX46+AX53+AX59+AX66</f>
        <v>66.92</v>
      </c>
      <c r="AY8" s="1211">
        <f t="shared" si="18"/>
        <v>83.81</v>
      </c>
      <c r="AZ8" s="1211">
        <f t="shared" si="18"/>
        <v>45.59</v>
      </c>
      <c r="BA8" s="1211">
        <f t="shared" si="18"/>
        <v>2.84</v>
      </c>
      <c r="BB8" s="1211">
        <f t="shared" si="18"/>
        <v>3.28</v>
      </c>
      <c r="BC8" s="1211">
        <f t="shared" si="18"/>
        <v>3.5</v>
      </c>
      <c r="BD8" s="1211">
        <f t="shared" si="18"/>
        <v>4.9000000000000004</v>
      </c>
      <c r="BE8" s="1211">
        <f t="shared" si="18"/>
        <v>5.34</v>
      </c>
      <c r="BF8" s="1211">
        <f t="shared" si="18"/>
        <v>5.56</v>
      </c>
      <c r="BG8" s="1211">
        <f t="shared" ref="BG8:BS8" si="19">SUM(BG14:BG16)+BG18+BG23+BG28+BG34+BG40+BG43+BG46+BG53+BG59+BG66</f>
        <v>69.42</v>
      </c>
      <c r="BH8" s="1211">
        <f t="shared" ref="BH8:BI8" si="20">SUM(BH14:BH16)+BH18+BH23+BH28+BH34+BH40+BH43+BH46+BH53+BH59+BH66</f>
        <v>86.31</v>
      </c>
      <c r="BI8" s="1211">
        <f t="shared" si="20"/>
        <v>48.09</v>
      </c>
      <c r="BJ8" s="1211">
        <f t="shared" ref="BJ8:BL8" si="21">SUM(BJ14:BJ16)+BJ18+BJ23+BJ28+BJ34+BJ40+BJ43+BJ46+BJ53+BJ59+BJ66</f>
        <v>69.22</v>
      </c>
      <c r="BK8" s="1211">
        <f t="shared" si="21"/>
        <v>86.11</v>
      </c>
      <c r="BL8" s="1211">
        <f t="shared" si="21"/>
        <v>47.89</v>
      </c>
      <c r="BM8" s="1211">
        <f t="shared" ref="BM8:BO8" si="22">SUM(BM14:BM16)+BM18+BM23+BM28+BM34+BM40+BM43+BM46+BM53+BM59+BM66</f>
        <v>69.52</v>
      </c>
      <c r="BN8" s="1211">
        <f t="shared" si="22"/>
        <v>86.41</v>
      </c>
      <c r="BO8" s="1211">
        <f t="shared" si="22"/>
        <v>48.19</v>
      </c>
      <c r="BP8" s="1211">
        <f t="shared" si="19"/>
        <v>69.52</v>
      </c>
      <c r="BQ8" s="1211">
        <f t="shared" ref="BQ8:BR8" si="23">SUM(BQ14:BQ16)+BQ18+BQ23+BQ28+BQ34+BQ40+BQ43+BQ46+BQ53+BQ59+BQ66</f>
        <v>86.41</v>
      </c>
      <c r="BR8" s="1211">
        <f t="shared" si="23"/>
        <v>48.19</v>
      </c>
      <c r="BS8" s="1211">
        <f t="shared" si="19"/>
        <v>70.319999999999993</v>
      </c>
      <c r="BT8" s="1211">
        <f t="shared" ref="BT8:BU8" si="24">SUM(BT14:BT16)+BT18+BT23+BT28+BT34+BT40+BT43+BT46+BT53+BT59+BT66</f>
        <v>87.21</v>
      </c>
      <c r="BU8" s="1211">
        <f t="shared" si="24"/>
        <v>48.99</v>
      </c>
      <c r="BV8" s="1211">
        <f t="shared" ref="BV8:BX8" si="25">SUM(BV14:BV16)+BV18+BV23+BV28+BV34+BV40+BV43+BV46+BV53+BV59+BV66</f>
        <v>68.52</v>
      </c>
      <c r="BW8" s="1211">
        <f t="shared" si="25"/>
        <v>85.41</v>
      </c>
      <c r="BX8" s="1211">
        <f t="shared" si="25"/>
        <v>47.19</v>
      </c>
      <c r="BY8" s="1211">
        <f t="shared" ref="BY8:CB8" si="26">SUM(BY14:BY16)+BY18+BY23+BY28+BY34+BY40+BY43+BY46+BY53+BY59+BY66</f>
        <v>68.52</v>
      </c>
      <c r="BZ8" s="1211">
        <f t="shared" ref="BZ8:CA8" si="27">SUM(BZ14:BZ16)+BZ18+BZ23+BZ28+BZ34+BZ40+BZ43+BZ46+BZ53+BZ59+BZ66</f>
        <v>85.41</v>
      </c>
      <c r="CA8" s="1211">
        <f t="shared" si="27"/>
        <v>47.19</v>
      </c>
      <c r="CB8" s="1211">
        <f t="shared" si="26"/>
        <v>70.42</v>
      </c>
      <c r="CC8" s="1211">
        <f t="shared" ref="CC8:CD8" si="28">SUM(CC14:CC16)+CC18+CC23+CC28+CC34+CC40+CC43+CC46+CC53+CC59+CC66</f>
        <v>87.31</v>
      </c>
      <c r="CD8" s="1211">
        <f t="shared" si="28"/>
        <v>49.09</v>
      </c>
      <c r="CE8" s="1211">
        <f t="shared" ref="CE8:CG8" si="29">SUM(CE14:CE16)+CE18+CE23+CE28+CE34+CE40+CE43+CE46+CE53+CE59+CE66</f>
        <v>70.92</v>
      </c>
      <c r="CF8" s="1211">
        <f t="shared" si="29"/>
        <v>87.81</v>
      </c>
      <c r="CG8" s="1211">
        <f t="shared" si="29"/>
        <v>49.59</v>
      </c>
      <c r="CH8" s="1211">
        <f t="shared" ref="CH8:CK8" si="30">SUM(CH14:CH16)+CH18+CH23+CH28+CH34+CH40+CH43+CH46+CH53+CH59+CH66</f>
        <v>68.290000000000006</v>
      </c>
      <c r="CI8" s="1211">
        <f t="shared" ref="CI8:CJ8" si="31">SUM(CI14:CI16)+CI18+CI23+CI28+CI34+CI40+CI43+CI46+CI53+CI59+CI66</f>
        <v>85.18</v>
      </c>
      <c r="CJ8" s="1211">
        <f t="shared" si="31"/>
        <v>46.96</v>
      </c>
      <c r="CK8" s="1211">
        <f t="shared" si="30"/>
        <v>69.48</v>
      </c>
      <c r="CL8" s="1211">
        <f t="shared" ref="CL8:CM8" si="32">SUM(CL14:CL16)+CL18+CL23+CL28+CL34+CL40+CL43+CL46+CL53+CL59+CL66</f>
        <v>86.37</v>
      </c>
      <c r="CM8" s="1211">
        <f t="shared" si="32"/>
        <v>48.15</v>
      </c>
      <c r="CN8" s="1251">
        <f t="shared" ref="CN8:CQ8" si="33">SUM(CN14:CN16)+CN18+CN23+CN28+CN34+CN40+CN43+CN46+CN53+CN59+CN66</f>
        <v>27.61</v>
      </c>
      <c r="CO8" s="1211">
        <f t="shared" ref="CO8:CP8" si="34">SUM(CO14:CO16)+CO18+CO23+CO28+CO34+CO40+CO43+CO46+CO53+CO59+CO66</f>
        <v>40.83</v>
      </c>
      <c r="CP8" s="1211">
        <f t="shared" si="34"/>
        <v>29.17</v>
      </c>
      <c r="CQ8" s="1251">
        <f t="shared" si="33"/>
        <v>28.11</v>
      </c>
      <c r="CR8" s="1211">
        <f t="shared" ref="CR8:CS8" si="35">SUM(CR14:CR16)+CR18+CR23+CR28+CR34+CR40+CR43+CR46+CR53+CR59+CR66</f>
        <v>51.72</v>
      </c>
      <c r="CS8" s="1211">
        <f t="shared" si="35"/>
        <v>30.67</v>
      </c>
      <c r="CT8" s="1189"/>
    </row>
    <row r="9" spans="1:98" ht="31.5" x14ac:dyDescent="0.25">
      <c r="A9" s="1186"/>
      <c r="B9" s="1212" t="s">
        <v>2090</v>
      </c>
      <c r="C9" s="1199"/>
      <c r="D9" s="1189"/>
      <c r="E9" s="1189"/>
      <c r="F9" s="1189"/>
      <c r="G9" s="1189"/>
      <c r="H9" s="1189"/>
      <c r="I9" s="1189"/>
      <c r="J9" s="1189"/>
      <c r="K9" s="1189"/>
      <c r="L9" s="1189"/>
      <c r="M9" s="1189"/>
      <c r="N9" s="1189"/>
      <c r="O9" s="1189"/>
      <c r="P9" s="1189"/>
      <c r="Q9" s="1189"/>
      <c r="R9" s="1189"/>
      <c r="S9" s="1189"/>
      <c r="T9" s="1189"/>
      <c r="U9" s="1189"/>
      <c r="V9" s="1189"/>
      <c r="W9" s="1189"/>
      <c r="X9" s="1189"/>
      <c r="Y9" s="1189"/>
      <c r="Z9" s="1189"/>
      <c r="AA9" s="1189"/>
      <c r="AB9" s="1189"/>
      <c r="AC9" s="1189"/>
      <c r="AD9" s="1189"/>
      <c r="AE9" s="1189"/>
      <c r="AF9" s="1189"/>
      <c r="AG9" s="1189"/>
      <c r="AH9" s="1189"/>
      <c r="AI9" s="1189"/>
      <c r="AJ9" s="1189"/>
      <c r="AK9" s="1189"/>
      <c r="AL9" s="1189"/>
      <c r="AM9" s="1189"/>
      <c r="AN9" s="1189"/>
      <c r="AO9" s="1189"/>
      <c r="AP9" s="1189"/>
      <c r="AQ9" s="1189"/>
      <c r="AR9" s="1189"/>
      <c r="AS9" s="1189"/>
      <c r="AT9" s="1189"/>
      <c r="AU9" s="1189"/>
      <c r="AV9" s="1189"/>
      <c r="AX9" s="1211">
        <f t="shared" ref="AX9:BF9" si="36">AX14+AX15+AX16+AX19+AX24</f>
        <v>6</v>
      </c>
      <c r="AY9" s="1211">
        <f t="shared" si="36"/>
        <v>6</v>
      </c>
      <c r="AZ9" s="1211">
        <f t="shared" si="36"/>
        <v>6</v>
      </c>
      <c r="BA9" s="1211">
        <f t="shared" si="36"/>
        <v>0</v>
      </c>
      <c r="BB9" s="1211">
        <f t="shared" si="36"/>
        <v>0</v>
      </c>
      <c r="BC9" s="1211">
        <f t="shared" si="36"/>
        <v>0</v>
      </c>
      <c r="BD9" s="1211">
        <f t="shared" si="36"/>
        <v>0</v>
      </c>
      <c r="BE9" s="1211">
        <f t="shared" si="36"/>
        <v>0</v>
      </c>
      <c r="BF9" s="1211">
        <f t="shared" si="36"/>
        <v>0</v>
      </c>
      <c r="BG9" s="1211">
        <f t="shared" ref="BG9:BV9" si="37">BG14+BG15+BG16+BG19+BG24</f>
        <v>6</v>
      </c>
      <c r="BH9" s="1211">
        <f t="shared" ref="BH9:BI9" si="38">BH14+BH15+BH16+BH19+BH24</f>
        <v>6</v>
      </c>
      <c r="BI9" s="1211">
        <f t="shared" si="38"/>
        <v>6</v>
      </c>
      <c r="BJ9" s="1211">
        <f t="shared" ref="BJ9:BM9" si="39">BJ14+BJ15+BJ16+BJ19+BJ24</f>
        <v>6</v>
      </c>
      <c r="BK9" s="1211">
        <f t="shared" ref="BK9:BL9" si="40">BK14+BK15+BK16+BK19+BK24</f>
        <v>6</v>
      </c>
      <c r="BL9" s="1211">
        <f t="shared" si="40"/>
        <v>6</v>
      </c>
      <c r="BM9" s="1211">
        <f t="shared" si="39"/>
        <v>6</v>
      </c>
      <c r="BN9" s="1211">
        <f t="shared" ref="BN9:BO9" si="41">BN14+BN15+BN16+BN19+BN24</f>
        <v>6</v>
      </c>
      <c r="BO9" s="1211">
        <f t="shared" si="41"/>
        <v>6</v>
      </c>
      <c r="BP9" s="1211">
        <f t="shared" si="37"/>
        <v>6</v>
      </c>
      <c r="BQ9" s="1211">
        <f t="shared" ref="BQ9:BR9" si="42">BQ14+BQ15+BQ16+BQ19+BQ24</f>
        <v>6</v>
      </c>
      <c r="BR9" s="1211">
        <f t="shared" si="42"/>
        <v>6</v>
      </c>
      <c r="BS9" s="1211">
        <f t="shared" si="37"/>
        <v>6</v>
      </c>
      <c r="BT9" s="1211">
        <f t="shared" ref="BT9:BU9" si="43">BT14+BT15+BT16+BT19+BT24</f>
        <v>6</v>
      </c>
      <c r="BU9" s="1211">
        <f t="shared" si="43"/>
        <v>6</v>
      </c>
      <c r="BV9" s="1211">
        <f t="shared" si="37"/>
        <v>6</v>
      </c>
      <c r="BW9" s="1211">
        <f t="shared" ref="BW9:BX9" si="44">BW14+BW15+BW16+BW19+BW24</f>
        <v>6</v>
      </c>
      <c r="BX9" s="1211">
        <f t="shared" si="44"/>
        <v>6</v>
      </c>
      <c r="BY9" s="1211">
        <f t="shared" ref="BY9:CB9" si="45">BY14+BY15+BY16+BY19+BY24</f>
        <v>6</v>
      </c>
      <c r="BZ9" s="1211">
        <f t="shared" ref="BZ9:CA9" si="46">BZ14+BZ15+BZ16+BZ19+BZ24</f>
        <v>6</v>
      </c>
      <c r="CA9" s="1211">
        <f t="shared" si="46"/>
        <v>6</v>
      </c>
      <c r="CB9" s="1211">
        <f t="shared" si="45"/>
        <v>6</v>
      </c>
      <c r="CC9" s="1211">
        <f t="shared" ref="CC9:CD9" si="47">CC14+CC15+CC16+CC19+CC24</f>
        <v>6</v>
      </c>
      <c r="CD9" s="1211">
        <f t="shared" si="47"/>
        <v>6</v>
      </c>
      <c r="CE9" s="1211">
        <f t="shared" ref="CE9:CG9" si="48">CE14+CE15+CE16+CE19+CE24</f>
        <v>6</v>
      </c>
      <c r="CF9" s="1211">
        <f t="shared" si="48"/>
        <v>6</v>
      </c>
      <c r="CG9" s="1211">
        <f t="shared" si="48"/>
        <v>6</v>
      </c>
      <c r="CH9" s="1211">
        <f t="shared" ref="CH9:CK9" si="49">CH14+CH15+CH16+CH19+CH24</f>
        <v>6</v>
      </c>
      <c r="CI9" s="1211">
        <f t="shared" ref="CI9:CJ9" si="50">CI14+CI15+CI16+CI19+CI24</f>
        <v>6</v>
      </c>
      <c r="CJ9" s="1211">
        <f t="shared" si="50"/>
        <v>6</v>
      </c>
      <c r="CK9" s="1211">
        <f t="shared" si="49"/>
        <v>6</v>
      </c>
      <c r="CL9" s="1211">
        <f t="shared" ref="CL9:CM9" si="51">CL14+CL15+CL16+CL19+CL24</f>
        <v>6</v>
      </c>
      <c r="CM9" s="1211">
        <f t="shared" si="51"/>
        <v>6</v>
      </c>
      <c r="CN9" s="1211">
        <f t="shared" ref="CN9:CQ9" si="52">CN14+CN15+CN16+CN19+CN24</f>
        <v>5</v>
      </c>
      <c r="CO9" s="1211">
        <f t="shared" ref="CO9:CP9" si="53">CO14+CO15+CO16+CO19+CO24</f>
        <v>5</v>
      </c>
      <c r="CP9" s="1211">
        <f t="shared" si="53"/>
        <v>5</v>
      </c>
      <c r="CQ9" s="1211">
        <f t="shared" si="52"/>
        <v>5</v>
      </c>
      <c r="CR9" s="1211">
        <f t="shared" ref="CR9:CS9" si="54">CR14+CR15+CR16+CR19+CR24</f>
        <v>5</v>
      </c>
      <c r="CS9" s="1211">
        <f t="shared" si="54"/>
        <v>5</v>
      </c>
      <c r="CT9" s="1189"/>
    </row>
    <row r="10" spans="1:98" ht="16.5" customHeight="1" x14ac:dyDescent="0.25">
      <c r="A10" s="1186"/>
      <c r="B10" s="1212" t="s">
        <v>2092</v>
      </c>
      <c r="C10" s="1199"/>
      <c r="D10" s="1189"/>
      <c r="E10" s="1189"/>
      <c r="F10" s="1189"/>
      <c r="G10" s="1189"/>
      <c r="H10" s="1189"/>
      <c r="I10" s="1189"/>
      <c r="J10" s="1189"/>
      <c r="K10" s="1189"/>
      <c r="L10" s="1189"/>
      <c r="M10" s="1189"/>
      <c r="N10" s="1189"/>
      <c r="O10" s="1189"/>
      <c r="P10" s="1189"/>
      <c r="Q10" s="1189"/>
      <c r="R10" s="1189"/>
      <c r="S10" s="1189"/>
      <c r="T10" s="1189"/>
      <c r="U10" s="1189"/>
      <c r="V10" s="1189"/>
      <c r="W10" s="1189"/>
      <c r="X10" s="1189"/>
      <c r="Y10" s="1189"/>
      <c r="Z10" s="1189"/>
      <c r="AA10" s="1189"/>
      <c r="AB10" s="1189"/>
      <c r="AC10" s="1189"/>
      <c r="AD10" s="1189"/>
      <c r="AE10" s="1189"/>
      <c r="AF10" s="1189"/>
      <c r="AG10" s="1189"/>
      <c r="AH10" s="1189"/>
      <c r="AI10" s="1189"/>
      <c r="AJ10" s="1189"/>
      <c r="AK10" s="1189"/>
      <c r="AL10" s="1189"/>
      <c r="AM10" s="1189"/>
      <c r="AN10" s="1189"/>
      <c r="AO10" s="1189"/>
      <c r="AP10" s="1189"/>
      <c r="AQ10" s="1189"/>
      <c r="AR10" s="1189"/>
      <c r="AS10" s="1189"/>
      <c r="AT10" s="1189"/>
      <c r="AU10" s="1189"/>
      <c r="AV10" s="1189"/>
      <c r="AX10" s="1211">
        <f t="shared" ref="AX10:BF10" si="55">AX8-AX9-AX11</f>
        <v>26.09</v>
      </c>
      <c r="AY10" s="1211">
        <f t="shared" si="55"/>
        <v>26.09</v>
      </c>
      <c r="AZ10" s="1211">
        <f t="shared" si="55"/>
        <v>26.09</v>
      </c>
      <c r="BA10" s="1211">
        <f t="shared" si="55"/>
        <v>0</v>
      </c>
      <c r="BB10" s="1211">
        <f t="shared" si="55"/>
        <v>0</v>
      </c>
      <c r="BC10" s="1211">
        <f t="shared" si="55"/>
        <v>0</v>
      </c>
      <c r="BD10" s="1211">
        <f t="shared" si="55"/>
        <v>0</v>
      </c>
      <c r="BE10" s="1211">
        <f t="shared" si="55"/>
        <v>0</v>
      </c>
      <c r="BF10" s="1211">
        <f t="shared" si="55"/>
        <v>0</v>
      </c>
      <c r="BG10" s="1211">
        <f t="shared" ref="BG10:CN10" si="56">BG8-BG9-BG11</f>
        <v>26.09</v>
      </c>
      <c r="BH10" s="1211">
        <f t="shared" ref="BH10:BI10" si="57">BH8-BH9-BH11</f>
        <v>26.09</v>
      </c>
      <c r="BI10" s="1211">
        <f t="shared" si="57"/>
        <v>26.09</v>
      </c>
      <c r="BJ10" s="1211">
        <f t="shared" ref="BJ10:BM10" si="58">BJ8-BJ9-BJ11</f>
        <v>26.09</v>
      </c>
      <c r="BK10" s="1211">
        <f t="shared" ref="BK10:BL10" si="59">BK8-BK9-BK11</f>
        <v>26.09</v>
      </c>
      <c r="BL10" s="1211">
        <f t="shared" si="59"/>
        <v>26.09</v>
      </c>
      <c r="BM10" s="1211">
        <f t="shared" si="58"/>
        <v>26.09</v>
      </c>
      <c r="BN10" s="1211">
        <f t="shared" ref="BN10:BO10" si="60">BN8-BN9-BN11</f>
        <v>26.09</v>
      </c>
      <c r="BO10" s="1211">
        <f t="shared" si="60"/>
        <v>26.09</v>
      </c>
      <c r="BP10" s="1211">
        <f t="shared" si="56"/>
        <v>26.09</v>
      </c>
      <c r="BQ10" s="1211">
        <f t="shared" ref="BQ10:BR10" si="61">BQ8-BQ9-BQ11</f>
        <v>26.09</v>
      </c>
      <c r="BR10" s="1211">
        <f t="shared" si="61"/>
        <v>26.09</v>
      </c>
      <c r="BS10" s="1211">
        <f t="shared" si="56"/>
        <v>26.09</v>
      </c>
      <c r="BT10" s="1211">
        <f t="shared" ref="BT10:BU10" si="62">BT8-BT9-BT11</f>
        <v>26.09</v>
      </c>
      <c r="BU10" s="1211">
        <f t="shared" si="62"/>
        <v>26.09</v>
      </c>
      <c r="BV10" s="1211">
        <f t="shared" si="56"/>
        <v>26.09</v>
      </c>
      <c r="BW10" s="1211">
        <f t="shared" ref="BW10:BX10" si="63">BW8-BW9-BW11</f>
        <v>26.09</v>
      </c>
      <c r="BX10" s="1211">
        <f t="shared" si="63"/>
        <v>26.09</v>
      </c>
      <c r="BY10" s="1211">
        <f t="shared" ref="BY10:CB10" si="64">BY8-BY9-BY11</f>
        <v>26.09</v>
      </c>
      <c r="BZ10" s="1211">
        <f t="shared" ref="BZ10:CA10" si="65">BZ8-BZ9-BZ11</f>
        <v>26.09</v>
      </c>
      <c r="CA10" s="1211">
        <f t="shared" si="65"/>
        <v>26.09</v>
      </c>
      <c r="CB10" s="1211">
        <f t="shared" si="64"/>
        <v>26.09</v>
      </c>
      <c r="CC10" s="1211">
        <f t="shared" ref="CC10:CD10" si="66">CC8-CC9-CC11</f>
        <v>26.09</v>
      </c>
      <c r="CD10" s="1211">
        <f t="shared" si="66"/>
        <v>26.09</v>
      </c>
      <c r="CE10" s="1211">
        <f t="shared" ref="CE10:CG10" si="67">CE8-CE9-CE11</f>
        <v>26.09</v>
      </c>
      <c r="CF10" s="1211">
        <f t="shared" si="67"/>
        <v>26.09</v>
      </c>
      <c r="CG10" s="1211">
        <f t="shared" si="67"/>
        <v>26.09</v>
      </c>
      <c r="CH10" s="1211">
        <f t="shared" ref="CH10:CK10" si="68">CH8-CH9-CH11</f>
        <v>26.09</v>
      </c>
      <c r="CI10" s="1211">
        <f t="shared" ref="CI10:CJ10" si="69">CI8-CI9-CI11</f>
        <v>26.09</v>
      </c>
      <c r="CJ10" s="1211">
        <f t="shared" si="69"/>
        <v>26.09</v>
      </c>
      <c r="CK10" s="1211">
        <f t="shared" si="68"/>
        <v>26.09</v>
      </c>
      <c r="CL10" s="1211">
        <f t="shared" ref="CL10:CM10" si="70">CL8-CL9-CL11</f>
        <v>26.09</v>
      </c>
      <c r="CM10" s="1211">
        <f t="shared" si="70"/>
        <v>26.09</v>
      </c>
      <c r="CN10" s="1211">
        <f t="shared" si="56"/>
        <v>18.11</v>
      </c>
      <c r="CO10" s="1211">
        <f t="shared" ref="CO10:CP10" si="71">CO8-CO9-CO11</f>
        <v>18.11</v>
      </c>
      <c r="CP10" s="1211">
        <f t="shared" si="71"/>
        <v>18.11</v>
      </c>
      <c r="CQ10" s="1211">
        <f t="shared" ref="CQ10:CS10" si="72">CQ8-CQ9-CQ11</f>
        <v>18.61</v>
      </c>
      <c r="CR10" s="1211">
        <f t="shared" si="72"/>
        <v>18.61</v>
      </c>
      <c r="CS10" s="1211">
        <f t="shared" si="72"/>
        <v>18.61</v>
      </c>
      <c r="CT10" s="1189"/>
    </row>
    <row r="11" spans="1:98" ht="15.75" x14ac:dyDescent="0.25">
      <c r="A11" s="1186"/>
      <c r="B11" s="1212" t="s">
        <v>2093</v>
      </c>
      <c r="C11" s="1199"/>
      <c r="D11" s="1189"/>
      <c r="E11" s="1189"/>
      <c r="F11" s="1189"/>
      <c r="G11" s="1189"/>
      <c r="H11" s="1189"/>
      <c r="I11" s="1189"/>
      <c r="J11" s="1189"/>
      <c r="K11" s="1189"/>
      <c r="L11" s="1189"/>
      <c r="M11" s="1189"/>
      <c r="N11" s="1189"/>
      <c r="O11" s="1189"/>
      <c r="P11" s="1189"/>
      <c r="Q11" s="1189"/>
      <c r="R11" s="1189"/>
      <c r="S11" s="1189"/>
      <c r="T11" s="1189"/>
      <c r="U11" s="1189"/>
      <c r="V11" s="1189"/>
      <c r="W11" s="1189"/>
      <c r="X11" s="1189"/>
      <c r="Y11" s="1189"/>
      <c r="Z11" s="1189"/>
      <c r="AA11" s="1189"/>
      <c r="AB11" s="1189"/>
      <c r="AC11" s="1189"/>
      <c r="AD11" s="1189"/>
      <c r="AE11" s="1189"/>
      <c r="AF11" s="1189"/>
      <c r="AG11" s="1189"/>
      <c r="AH11" s="1189"/>
      <c r="AI11" s="1189"/>
      <c r="AJ11" s="1189"/>
      <c r="AK11" s="1189"/>
      <c r="AL11" s="1189"/>
      <c r="AM11" s="1189"/>
      <c r="AN11" s="1189"/>
      <c r="AO11" s="1189"/>
      <c r="AP11" s="1189"/>
      <c r="AQ11" s="1189"/>
      <c r="AR11" s="1189"/>
      <c r="AS11" s="1189"/>
      <c r="AT11" s="1189"/>
      <c r="AU11" s="1189"/>
      <c r="AV11" s="1189"/>
      <c r="AX11" s="1211">
        <f t="shared" ref="AX11:BF11" si="73">AX46+AX53+AX59</f>
        <v>34.83</v>
      </c>
      <c r="AY11" s="1211">
        <f t="shared" si="73"/>
        <v>51.72</v>
      </c>
      <c r="AZ11" s="1211">
        <f t="shared" si="73"/>
        <v>13.5</v>
      </c>
      <c r="BA11" s="1211">
        <f t="shared" si="73"/>
        <v>2.84</v>
      </c>
      <c r="BB11" s="1211">
        <f t="shared" si="73"/>
        <v>3.28</v>
      </c>
      <c r="BC11" s="1211">
        <f t="shared" si="73"/>
        <v>3.5</v>
      </c>
      <c r="BD11" s="1211">
        <f t="shared" si="73"/>
        <v>4.9000000000000004</v>
      </c>
      <c r="BE11" s="1211">
        <f t="shared" si="73"/>
        <v>5.34</v>
      </c>
      <c r="BF11" s="1211">
        <f t="shared" si="73"/>
        <v>5.56</v>
      </c>
      <c r="BG11" s="1211">
        <f t="shared" ref="BG11:BV11" si="74">BG46+BG53+BG59</f>
        <v>37.33</v>
      </c>
      <c r="BH11" s="1211">
        <f t="shared" ref="BH11:BI11" si="75">BH46+BH53+BH59</f>
        <v>54.22</v>
      </c>
      <c r="BI11" s="1211">
        <f t="shared" si="75"/>
        <v>16</v>
      </c>
      <c r="BJ11" s="1211">
        <f t="shared" ref="BJ11:BM11" si="76">BJ46+BJ53+BJ59</f>
        <v>37.130000000000003</v>
      </c>
      <c r="BK11" s="1211">
        <f t="shared" ref="BK11:BL11" si="77">BK46+BK53+BK59</f>
        <v>54.02</v>
      </c>
      <c r="BL11" s="1211">
        <f t="shared" si="77"/>
        <v>15.8</v>
      </c>
      <c r="BM11" s="1211">
        <f t="shared" si="76"/>
        <v>37.43</v>
      </c>
      <c r="BN11" s="1211">
        <f t="shared" ref="BN11:BO11" si="78">BN46+BN53+BN59</f>
        <v>54.32</v>
      </c>
      <c r="BO11" s="1211">
        <f t="shared" si="78"/>
        <v>16.100000000000001</v>
      </c>
      <c r="BP11" s="1211">
        <f t="shared" si="74"/>
        <v>37.43</v>
      </c>
      <c r="BQ11" s="1211">
        <f t="shared" ref="BQ11:BR11" si="79">BQ46+BQ53+BQ59</f>
        <v>54.32</v>
      </c>
      <c r="BR11" s="1211">
        <f t="shared" si="79"/>
        <v>16.100000000000001</v>
      </c>
      <c r="BS11" s="1211">
        <f t="shared" si="74"/>
        <v>38.229999999999997</v>
      </c>
      <c r="BT11" s="1211">
        <f t="shared" ref="BT11:BU11" si="80">BT46+BT53+BT59</f>
        <v>55.12</v>
      </c>
      <c r="BU11" s="1211">
        <f t="shared" si="80"/>
        <v>16.899999999999999</v>
      </c>
      <c r="BV11" s="1211">
        <f t="shared" si="74"/>
        <v>36.43</v>
      </c>
      <c r="BW11" s="1211">
        <f t="shared" ref="BW11:BX11" si="81">BW46+BW53+BW59</f>
        <v>53.32</v>
      </c>
      <c r="BX11" s="1211">
        <f t="shared" si="81"/>
        <v>15.1</v>
      </c>
      <c r="BY11" s="1211">
        <f t="shared" ref="BY11:CB11" si="82">BY46+BY53+BY59</f>
        <v>36.43</v>
      </c>
      <c r="BZ11" s="1211">
        <f t="shared" ref="BZ11:CA11" si="83">BZ46+BZ53+BZ59</f>
        <v>53.32</v>
      </c>
      <c r="CA11" s="1211">
        <f t="shared" si="83"/>
        <v>15.1</v>
      </c>
      <c r="CB11" s="1211">
        <f t="shared" si="82"/>
        <v>38.33</v>
      </c>
      <c r="CC11" s="1211">
        <f t="shared" ref="CC11:CD11" si="84">CC46+CC53+CC59</f>
        <v>55.22</v>
      </c>
      <c r="CD11" s="1211">
        <f t="shared" si="84"/>
        <v>17</v>
      </c>
      <c r="CE11" s="1211">
        <f t="shared" ref="CE11:CG11" si="85">CE46+CE53+CE59</f>
        <v>38.83</v>
      </c>
      <c r="CF11" s="1211">
        <f t="shared" si="85"/>
        <v>55.72</v>
      </c>
      <c r="CG11" s="1211">
        <f t="shared" si="85"/>
        <v>17.5</v>
      </c>
      <c r="CH11" s="1211">
        <f t="shared" ref="CH11:CK11" si="86">CH46+CH53+CH59</f>
        <v>36.200000000000003</v>
      </c>
      <c r="CI11" s="1211">
        <f t="shared" ref="CI11:CJ11" si="87">CI46+CI53+CI59</f>
        <v>53.09</v>
      </c>
      <c r="CJ11" s="1211">
        <f t="shared" si="87"/>
        <v>14.87</v>
      </c>
      <c r="CK11" s="1211">
        <f t="shared" si="86"/>
        <v>37.39</v>
      </c>
      <c r="CL11" s="1211">
        <f t="shared" ref="CL11:CM11" si="88">CL46+CL53+CL59</f>
        <v>54.28</v>
      </c>
      <c r="CM11" s="1211">
        <f t="shared" si="88"/>
        <v>16.059999999999999</v>
      </c>
      <c r="CN11" s="1211">
        <f t="shared" ref="CN11:CQ11" si="89">CN46+CN53+CN59</f>
        <v>4.5</v>
      </c>
      <c r="CO11" s="1211">
        <f t="shared" ref="CO11" si="90">CO46+CO53+CO59</f>
        <v>17.72</v>
      </c>
      <c r="CP11" s="1211">
        <f>CP46+CP53+CP59</f>
        <v>6.06</v>
      </c>
      <c r="CQ11" s="1211">
        <f t="shared" si="89"/>
        <v>4.5</v>
      </c>
      <c r="CR11" s="1211">
        <f t="shared" ref="CR11:CS11" si="91">CR46+CR53+CR59</f>
        <v>28.11</v>
      </c>
      <c r="CS11" s="1211">
        <f t="shared" si="91"/>
        <v>7.06</v>
      </c>
      <c r="CT11" s="1189"/>
    </row>
    <row r="12" spans="1:98" ht="15.75" x14ac:dyDescent="0.25">
      <c r="A12" s="1186"/>
      <c r="B12" s="1212" t="s">
        <v>2089</v>
      </c>
      <c r="C12" s="1199"/>
      <c r="D12" s="1189"/>
      <c r="E12" s="1189"/>
      <c r="F12" s="1189"/>
      <c r="G12" s="1189"/>
      <c r="H12" s="1189"/>
      <c r="I12" s="1189"/>
      <c r="J12" s="1189"/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X12" s="1211">
        <f t="shared" ref="AX12:BF12" si="92">AX59</f>
        <v>30.33</v>
      </c>
      <c r="AY12" s="1211">
        <f t="shared" si="92"/>
        <v>47.22</v>
      </c>
      <c r="AZ12" s="1211">
        <f t="shared" si="92"/>
        <v>9</v>
      </c>
      <c r="BA12" s="1211">
        <f t="shared" si="92"/>
        <v>2.34</v>
      </c>
      <c r="BB12" s="1211">
        <f t="shared" si="92"/>
        <v>2.78</v>
      </c>
      <c r="BC12" s="1211">
        <f t="shared" si="92"/>
        <v>3</v>
      </c>
      <c r="BD12" s="1211">
        <f t="shared" si="92"/>
        <v>2.34</v>
      </c>
      <c r="BE12" s="1211">
        <f t="shared" si="92"/>
        <v>2.78</v>
      </c>
      <c r="BF12" s="1211">
        <f t="shared" si="92"/>
        <v>3</v>
      </c>
      <c r="BG12" s="1211">
        <f t="shared" ref="BG12:BV12" si="93">BG59</f>
        <v>30.33</v>
      </c>
      <c r="BH12" s="1211">
        <f t="shared" ref="BH12:BI12" si="94">BH59</f>
        <v>47.22</v>
      </c>
      <c r="BI12" s="1211">
        <f t="shared" si="94"/>
        <v>9</v>
      </c>
      <c r="BJ12" s="1211">
        <f t="shared" ref="BJ12:BM12" si="95">BJ59</f>
        <v>30.33</v>
      </c>
      <c r="BK12" s="1211">
        <f t="shared" ref="BK12:BL12" si="96">BK59</f>
        <v>47.22</v>
      </c>
      <c r="BL12" s="1211">
        <f t="shared" si="96"/>
        <v>9</v>
      </c>
      <c r="BM12" s="1211">
        <f t="shared" si="95"/>
        <v>30.33</v>
      </c>
      <c r="BN12" s="1211">
        <f t="shared" ref="BN12:BO12" si="97">BN59</f>
        <v>47.22</v>
      </c>
      <c r="BO12" s="1211">
        <f t="shared" si="97"/>
        <v>9</v>
      </c>
      <c r="BP12" s="1211">
        <f t="shared" si="93"/>
        <v>30.33</v>
      </c>
      <c r="BQ12" s="1211">
        <f t="shared" ref="BQ12:BR12" si="98">BQ59</f>
        <v>47.22</v>
      </c>
      <c r="BR12" s="1211">
        <f t="shared" si="98"/>
        <v>9</v>
      </c>
      <c r="BS12" s="1211">
        <f t="shared" si="93"/>
        <v>30.33</v>
      </c>
      <c r="BT12" s="1211">
        <f t="shared" ref="BT12:BU12" si="99">BT59</f>
        <v>47.22</v>
      </c>
      <c r="BU12" s="1211">
        <f t="shared" si="99"/>
        <v>9</v>
      </c>
      <c r="BV12" s="1211">
        <f t="shared" si="93"/>
        <v>30.33</v>
      </c>
      <c r="BW12" s="1211">
        <f t="shared" ref="BW12:BX12" si="100">BW59</f>
        <v>47.22</v>
      </c>
      <c r="BX12" s="1211">
        <f t="shared" si="100"/>
        <v>9</v>
      </c>
      <c r="BY12" s="1211">
        <f t="shared" ref="BY12:CB12" si="101">BY59</f>
        <v>30.33</v>
      </c>
      <c r="BZ12" s="1211">
        <f t="shared" ref="BZ12:CA12" si="102">BZ59</f>
        <v>47.22</v>
      </c>
      <c r="CA12" s="1211">
        <f t="shared" si="102"/>
        <v>9</v>
      </c>
      <c r="CB12" s="1211">
        <f t="shared" si="101"/>
        <v>30.33</v>
      </c>
      <c r="CC12" s="1211">
        <f t="shared" ref="CC12:CD12" si="103">CC59</f>
        <v>47.22</v>
      </c>
      <c r="CD12" s="1211">
        <f t="shared" si="103"/>
        <v>9</v>
      </c>
      <c r="CE12" s="1211">
        <f t="shared" ref="CE12:CG12" si="104">CE59</f>
        <v>30.33</v>
      </c>
      <c r="CF12" s="1211">
        <f t="shared" si="104"/>
        <v>47.22</v>
      </c>
      <c r="CG12" s="1211">
        <f t="shared" si="104"/>
        <v>9</v>
      </c>
      <c r="CH12" s="1211">
        <f t="shared" ref="CH12:CK12" si="105">CH59</f>
        <v>30.33</v>
      </c>
      <c r="CI12" s="1211">
        <f t="shared" ref="CI12:CJ12" si="106">CI59</f>
        <v>47.22</v>
      </c>
      <c r="CJ12" s="1211">
        <f t="shared" si="106"/>
        <v>9</v>
      </c>
      <c r="CK12" s="1211">
        <f t="shared" si="105"/>
        <v>30.33</v>
      </c>
      <c r="CL12" s="1211">
        <f t="shared" ref="CL12:CM12" si="107">CL59</f>
        <v>47.22</v>
      </c>
      <c r="CM12" s="1211">
        <f t="shared" si="107"/>
        <v>9</v>
      </c>
      <c r="CN12" s="1211">
        <f t="shared" ref="CN12:CQ12" si="108">CN59</f>
        <v>0</v>
      </c>
      <c r="CO12" s="1211">
        <f t="shared" ref="CO12:CP12" si="109">CO59</f>
        <v>13.22</v>
      </c>
      <c r="CP12" s="1211">
        <f t="shared" si="109"/>
        <v>1.56</v>
      </c>
      <c r="CQ12" s="1211">
        <f t="shared" si="108"/>
        <v>0</v>
      </c>
      <c r="CR12" s="1211">
        <f t="shared" ref="CR12:CS12" si="110">CR59</f>
        <v>23.61</v>
      </c>
      <c r="CS12" s="1211">
        <f t="shared" si="110"/>
        <v>2.56</v>
      </c>
      <c r="CT12" s="1189"/>
    </row>
    <row r="13" spans="1:98" s="779" customFormat="1" ht="15.75" x14ac:dyDescent="0.25">
      <c r="A13" s="783"/>
      <c r="B13" s="1242" t="s">
        <v>2191</v>
      </c>
      <c r="C13" s="1243"/>
      <c r="D13" s="1244"/>
      <c r="E13" s="1244"/>
      <c r="F13" s="1244"/>
      <c r="G13" s="1244"/>
      <c r="H13" s="1244"/>
      <c r="I13" s="1244"/>
      <c r="J13" s="1244"/>
      <c r="K13" s="1244"/>
      <c r="L13" s="1244"/>
      <c r="M13" s="1244"/>
      <c r="N13" s="1244"/>
      <c r="O13" s="1244"/>
      <c r="P13" s="1244"/>
      <c r="Q13" s="1244"/>
      <c r="R13" s="1244"/>
      <c r="S13" s="1244"/>
      <c r="T13" s="1244"/>
      <c r="U13" s="1244"/>
      <c r="V13" s="1244"/>
      <c r="W13" s="1244"/>
      <c r="X13" s="1244"/>
      <c r="Y13" s="1244"/>
      <c r="Z13" s="1244"/>
      <c r="AA13" s="1244"/>
      <c r="AB13" s="1244"/>
      <c r="AC13" s="1244"/>
      <c r="AD13" s="1244"/>
      <c r="AE13" s="1244"/>
      <c r="AF13" s="1244"/>
      <c r="AG13" s="1244"/>
      <c r="AH13" s="1244"/>
      <c r="AI13" s="1244"/>
      <c r="AJ13" s="1244"/>
      <c r="AK13" s="1244"/>
      <c r="AL13" s="1244"/>
      <c r="AM13" s="1244"/>
      <c r="AN13" s="1244"/>
      <c r="AO13" s="1244"/>
      <c r="AP13" s="1244"/>
      <c r="AQ13" s="1244"/>
      <c r="AR13" s="1244"/>
      <c r="AS13" s="1244"/>
      <c r="AT13" s="1244"/>
      <c r="AU13" s="1244"/>
      <c r="AV13" s="1244"/>
      <c r="AX13" s="1245">
        <f>13/AX12</f>
        <v>0.43</v>
      </c>
      <c r="AY13" s="1245">
        <f>17/AY12</f>
        <v>0.36</v>
      </c>
      <c r="AZ13" s="1245">
        <f>3/AZ12</f>
        <v>0.33</v>
      </c>
      <c r="BA13" s="1246">
        <v>0.43</v>
      </c>
      <c r="BB13" s="1246">
        <v>0.36</v>
      </c>
      <c r="BC13" s="1246">
        <v>0.33</v>
      </c>
      <c r="BD13" s="1246">
        <v>0.43</v>
      </c>
      <c r="BE13" s="1246">
        <v>0.36</v>
      </c>
      <c r="BF13" s="1246">
        <v>0.33</v>
      </c>
      <c r="BG13" s="1245">
        <f>13/BG12</f>
        <v>0.43</v>
      </c>
      <c r="BH13" s="1245">
        <f>17/BH12</f>
        <v>0.36</v>
      </c>
      <c r="BI13" s="1245">
        <f>3/BI12</f>
        <v>0.33</v>
      </c>
      <c r="BJ13" s="1245">
        <f t="shared" ref="BJ13" si="111">13/BJ12</f>
        <v>0.43</v>
      </c>
      <c r="BK13" s="1245">
        <f t="shared" ref="BK13" si="112">17/BK12</f>
        <v>0.36</v>
      </c>
      <c r="BL13" s="1245">
        <f t="shared" ref="BL13" si="113">3/BL12</f>
        <v>0.33</v>
      </c>
      <c r="BM13" s="1245">
        <f t="shared" ref="BM13" si="114">13/BM12</f>
        <v>0.43</v>
      </c>
      <c r="BN13" s="1245">
        <f t="shared" ref="BN13" si="115">17/BN12</f>
        <v>0.36</v>
      </c>
      <c r="BO13" s="1245">
        <f t="shared" ref="BO13" si="116">3/BO12</f>
        <v>0.33</v>
      </c>
      <c r="BP13" s="1245">
        <f t="shared" ref="BP13" si="117">13/BP12</f>
        <v>0.43</v>
      </c>
      <c r="BQ13" s="1245">
        <f t="shared" ref="BQ13" si="118">17/BQ12</f>
        <v>0.36</v>
      </c>
      <c r="BR13" s="1245">
        <f t="shared" ref="BR13" si="119">3/BR12</f>
        <v>0.33</v>
      </c>
      <c r="BS13" s="1245">
        <f t="shared" ref="BS13" si="120">13/BS12</f>
        <v>0.43</v>
      </c>
      <c r="BT13" s="1245">
        <f t="shared" ref="BT13" si="121">17/BT12</f>
        <v>0.36</v>
      </c>
      <c r="BU13" s="1245">
        <f t="shared" ref="BU13" si="122">3/BU12</f>
        <v>0.33</v>
      </c>
      <c r="BV13" s="1245">
        <f t="shared" ref="BV13" si="123">13/BV12</f>
        <v>0.43</v>
      </c>
      <c r="BW13" s="1245">
        <f t="shared" ref="BW13" si="124">17/BW12</f>
        <v>0.36</v>
      </c>
      <c r="BX13" s="1245">
        <f t="shared" ref="BX13" si="125">3/BX12</f>
        <v>0.33</v>
      </c>
      <c r="BY13" s="1245">
        <f t="shared" ref="BY13" si="126">13/BY12</f>
        <v>0.43</v>
      </c>
      <c r="BZ13" s="1245">
        <f t="shared" ref="BZ13" si="127">17/BZ12</f>
        <v>0.36</v>
      </c>
      <c r="CA13" s="1245">
        <f t="shared" ref="CA13" si="128">3/CA12</f>
        <v>0.33</v>
      </c>
      <c r="CB13" s="1245">
        <f t="shared" ref="CB13" si="129">13/CB12</f>
        <v>0.43</v>
      </c>
      <c r="CC13" s="1245">
        <f t="shared" ref="CC13" si="130">17/CC12</f>
        <v>0.36</v>
      </c>
      <c r="CD13" s="1245">
        <f t="shared" ref="CD13" si="131">3/CD12</f>
        <v>0.33</v>
      </c>
      <c r="CE13" s="1245">
        <f t="shared" ref="CE13" si="132">13/CE12</f>
        <v>0.43</v>
      </c>
      <c r="CF13" s="1245">
        <f t="shared" ref="CF13" si="133">17/CF12</f>
        <v>0.36</v>
      </c>
      <c r="CG13" s="1245">
        <f t="shared" ref="CG13" si="134">3/CG12</f>
        <v>0.33</v>
      </c>
      <c r="CH13" s="1245">
        <f t="shared" ref="CH13" si="135">13/CH12</f>
        <v>0.43</v>
      </c>
      <c r="CI13" s="1245">
        <f t="shared" ref="CI13" si="136">17/CI12</f>
        <v>0.36</v>
      </c>
      <c r="CJ13" s="1245">
        <f t="shared" ref="CJ13" si="137">3/CJ12</f>
        <v>0.33</v>
      </c>
      <c r="CK13" s="1245">
        <f t="shared" ref="CK13" si="138">13/CK12</f>
        <v>0.43</v>
      </c>
      <c r="CL13" s="1245">
        <f t="shared" ref="CL13" si="139">17/CL12</f>
        <v>0.36</v>
      </c>
      <c r="CM13" s="1245">
        <f t="shared" ref="CM13" si="140">3/CM12</f>
        <v>0.33</v>
      </c>
      <c r="CN13" s="1245">
        <f>IF(CN12=0,0,0/CN12)</f>
        <v>0</v>
      </c>
      <c r="CO13" s="1245">
        <f>17/CO12</f>
        <v>1.29</v>
      </c>
      <c r="CP13" s="1245">
        <f>2/CP12</f>
        <v>1.28</v>
      </c>
      <c r="CQ13" s="1245">
        <f>IF(CQ12=0,0,0/CQ12)</f>
        <v>0</v>
      </c>
      <c r="CR13" s="1245">
        <f>17/CR12</f>
        <v>0.72</v>
      </c>
      <c r="CS13" s="1245">
        <f>2/CS12</f>
        <v>0.78</v>
      </c>
      <c r="CT13" s="1244"/>
    </row>
    <row r="14" spans="1:98" x14ac:dyDescent="0.25">
      <c r="A14" s="1182" t="s">
        <v>2019</v>
      </c>
      <c r="B14" s="780" t="s">
        <v>1509</v>
      </c>
      <c r="C14" s="1200" t="s">
        <v>1510</v>
      </c>
      <c r="D14" s="781">
        <v>1</v>
      </c>
      <c r="E14" s="781">
        <v>1</v>
      </c>
      <c r="F14" s="781">
        <v>1</v>
      </c>
      <c r="G14" s="781">
        <v>1</v>
      </c>
      <c r="H14" s="781">
        <v>1</v>
      </c>
      <c r="I14" s="781">
        <v>1</v>
      </c>
      <c r="J14" s="781">
        <v>1</v>
      </c>
      <c r="K14" s="781">
        <v>1</v>
      </c>
      <c r="L14" s="781">
        <v>1</v>
      </c>
      <c r="M14" s="781">
        <v>1</v>
      </c>
      <c r="N14" s="781">
        <v>1</v>
      </c>
      <c r="O14" s="781">
        <v>1</v>
      </c>
      <c r="P14" s="781">
        <v>1</v>
      </c>
      <c r="Q14" s="781">
        <v>1</v>
      </c>
      <c r="R14" s="781">
        <v>1</v>
      </c>
      <c r="S14" s="781">
        <v>1</v>
      </c>
      <c r="T14" s="781">
        <v>1</v>
      </c>
      <c r="U14" s="781">
        <v>1</v>
      </c>
      <c r="V14" s="781">
        <v>1</v>
      </c>
      <c r="W14" s="781">
        <v>1</v>
      </c>
      <c r="X14" s="781">
        <v>1</v>
      </c>
      <c r="Y14" s="781">
        <v>1</v>
      </c>
      <c r="Z14" s="781">
        <v>1</v>
      </c>
      <c r="AA14" s="781">
        <v>1</v>
      </c>
      <c r="AB14" s="781">
        <v>1</v>
      </c>
      <c r="AC14" s="781">
        <v>1</v>
      </c>
      <c r="AD14" s="781">
        <v>1</v>
      </c>
      <c r="AE14" s="781">
        <v>1</v>
      </c>
      <c r="AF14" s="781">
        <v>1</v>
      </c>
      <c r="AG14" s="781">
        <v>1</v>
      </c>
      <c r="AH14" s="781">
        <v>1</v>
      </c>
      <c r="AI14" s="781">
        <v>1</v>
      </c>
      <c r="AJ14" s="781">
        <v>1</v>
      </c>
      <c r="AK14" s="781">
        <v>1</v>
      </c>
      <c r="AL14" s="781">
        <v>1</v>
      </c>
      <c r="AM14" s="781">
        <v>1</v>
      </c>
      <c r="AN14" s="781">
        <v>1</v>
      </c>
      <c r="AO14" s="781">
        <v>1</v>
      </c>
      <c r="AP14" s="781">
        <v>1</v>
      </c>
      <c r="AQ14" s="781">
        <v>1</v>
      </c>
      <c r="AR14" s="781">
        <v>1</v>
      </c>
      <c r="AS14" s="781">
        <v>1</v>
      </c>
      <c r="AT14" s="781">
        <v>1</v>
      </c>
      <c r="AU14" s="781">
        <v>1</v>
      </c>
      <c r="AV14" s="781">
        <v>1</v>
      </c>
      <c r="AX14" s="781">
        <v>1</v>
      </c>
      <c r="AY14" s="781">
        <v>1</v>
      </c>
      <c r="AZ14" s="781">
        <v>1</v>
      </c>
      <c r="BA14" s="781">
        <v>0</v>
      </c>
      <c r="BB14" s="781">
        <v>0</v>
      </c>
      <c r="BC14" s="781">
        <v>0</v>
      </c>
      <c r="BD14" s="781">
        <v>0</v>
      </c>
      <c r="BE14" s="781">
        <v>0</v>
      </c>
      <c r="BF14" s="781">
        <v>0</v>
      </c>
      <c r="BG14" s="781">
        <v>1</v>
      </c>
      <c r="BH14" s="781">
        <v>1</v>
      </c>
      <c r="BI14" s="781">
        <v>1</v>
      </c>
      <c r="BJ14" s="781">
        <v>1</v>
      </c>
      <c r="BK14" s="781">
        <v>1</v>
      </c>
      <c r="BL14" s="781">
        <v>1</v>
      </c>
      <c r="BM14" s="781">
        <v>1</v>
      </c>
      <c r="BN14" s="781">
        <v>1</v>
      </c>
      <c r="BO14" s="781">
        <v>1</v>
      </c>
      <c r="BP14" s="781">
        <v>1</v>
      </c>
      <c r="BQ14" s="781">
        <v>1</v>
      </c>
      <c r="BR14" s="781">
        <v>1</v>
      </c>
      <c r="BS14" s="781">
        <v>1</v>
      </c>
      <c r="BT14" s="781">
        <v>1</v>
      </c>
      <c r="BU14" s="781">
        <v>1</v>
      </c>
      <c r="BV14" s="781">
        <v>1</v>
      </c>
      <c r="BW14" s="781">
        <v>1</v>
      </c>
      <c r="BX14" s="781">
        <v>1</v>
      </c>
      <c r="BY14" s="781">
        <v>1</v>
      </c>
      <c r="BZ14" s="781">
        <v>1</v>
      </c>
      <c r="CA14" s="781">
        <v>1</v>
      </c>
      <c r="CB14" s="781">
        <v>1</v>
      </c>
      <c r="CC14" s="781">
        <v>1</v>
      </c>
      <c r="CD14" s="781">
        <v>1</v>
      </c>
      <c r="CE14" s="781">
        <v>1</v>
      </c>
      <c r="CF14" s="781">
        <v>1</v>
      </c>
      <c r="CG14" s="781">
        <v>1</v>
      </c>
      <c r="CH14" s="781">
        <v>1</v>
      </c>
      <c r="CI14" s="781">
        <v>1</v>
      </c>
      <c r="CJ14" s="781">
        <v>1</v>
      </c>
      <c r="CK14" s="1230">
        <f>(BG14+BJ14+BM14+BP14+BS14+BV14+BY14+CB14+CE14+CH14)/10</f>
        <v>1</v>
      </c>
      <c r="CL14" s="1230">
        <f t="shared" ref="CL14:CL16" si="141">(BH14+BK14+BN14+BQ14+BT14+BW14+BZ14+CC14+CF14+CI14)/10</f>
        <v>1</v>
      </c>
      <c r="CM14" s="1230">
        <f t="shared" ref="CM14:CM16" si="142">(BI14+BL14+BO14+BR14+BU14+BX14+CA14+CD14+CG14+CJ14)/10</f>
        <v>1</v>
      </c>
      <c r="CN14" s="781">
        <v>1</v>
      </c>
      <c r="CO14" s="781">
        <v>1</v>
      </c>
      <c r="CP14" s="781">
        <v>1</v>
      </c>
      <c r="CQ14" s="781">
        <v>1</v>
      </c>
      <c r="CR14" s="781">
        <v>1</v>
      </c>
      <c r="CS14" s="781">
        <v>1</v>
      </c>
      <c r="CT14" s="781"/>
    </row>
    <row r="15" spans="1:98" ht="63.75" x14ac:dyDescent="0.25">
      <c r="A15" s="1182" t="s">
        <v>2020</v>
      </c>
      <c r="B15" s="780" t="s">
        <v>2021</v>
      </c>
      <c r="C15" s="1201" t="s">
        <v>2022</v>
      </c>
      <c r="D15" s="781">
        <v>0</v>
      </c>
      <c r="E15" s="781">
        <v>0.5</v>
      </c>
      <c r="F15" s="781">
        <v>0.5</v>
      </c>
      <c r="G15" s="781">
        <v>0.5</v>
      </c>
      <c r="H15" s="781">
        <v>1</v>
      </c>
      <c r="I15" s="781">
        <v>1</v>
      </c>
      <c r="J15" s="781">
        <v>1</v>
      </c>
      <c r="K15" s="781">
        <v>1</v>
      </c>
      <c r="L15" s="781">
        <v>1</v>
      </c>
      <c r="M15" s="781">
        <v>1</v>
      </c>
      <c r="N15" s="781">
        <v>1</v>
      </c>
      <c r="O15" s="781">
        <v>1</v>
      </c>
      <c r="P15" s="781">
        <v>1</v>
      </c>
      <c r="Q15" s="781">
        <v>1</v>
      </c>
      <c r="R15" s="781">
        <v>1</v>
      </c>
      <c r="S15" s="781">
        <v>1</v>
      </c>
      <c r="T15" s="781">
        <v>1</v>
      </c>
      <c r="U15" s="781">
        <v>1.5</v>
      </c>
      <c r="V15" s="781">
        <v>1.5</v>
      </c>
      <c r="W15" s="781">
        <v>1.5</v>
      </c>
      <c r="X15" s="781">
        <v>1.5</v>
      </c>
      <c r="Y15" s="781">
        <v>1.5</v>
      </c>
      <c r="Z15" s="781">
        <v>1.5</v>
      </c>
      <c r="AA15" s="781">
        <v>1.5</v>
      </c>
      <c r="AB15" s="781">
        <v>2</v>
      </c>
      <c r="AC15" s="781">
        <v>2</v>
      </c>
      <c r="AD15" s="781">
        <v>2</v>
      </c>
      <c r="AE15" s="781">
        <v>2</v>
      </c>
      <c r="AF15" s="781">
        <v>2</v>
      </c>
      <c r="AG15" s="781">
        <v>2</v>
      </c>
      <c r="AH15" s="781">
        <v>2</v>
      </c>
      <c r="AI15" s="781">
        <v>2</v>
      </c>
      <c r="AJ15" s="781">
        <v>2</v>
      </c>
      <c r="AK15" s="781">
        <v>2</v>
      </c>
      <c r="AL15" s="781">
        <v>2.5</v>
      </c>
      <c r="AM15" s="781">
        <v>2.5</v>
      </c>
      <c r="AN15" s="781">
        <v>2.5</v>
      </c>
      <c r="AO15" s="781">
        <v>2.5</v>
      </c>
      <c r="AP15" s="781">
        <v>2.5</v>
      </c>
      <c r="AQ15" s="781">
        <v>2.5</v>
      </c>
      <c r="AR15" s="781">
        <v>2.5</v>
      </c>
      <c r="AS15" s="781">
        <v>2.5</v>
      </c>
      <c r="AT15" s="781">
        <v>2.5</v>
      </c>
      <c r="AU15" s="781">
        <v>2.5</v>
      </c>
      <c r="AV15" s="781">
        <v>3</v>
      </c>
      <c r="AX15" s="781">
        <v>2</v>
      </c>
      <c r="AY15" s="781">
        <v>2</v>
      </c>
      <c r="AZ15" s="781">
        <v>2</v>
      </c>
      <c r="BA15" s="781">
        <v>0</v>
      </c>
      <c r="BB15" s="781">
        <v>0</v>
      </c>
      <c r="BC15" s="781">
        <v>0</v>
      </c>
      <c r="BD15" s="781">
        <v>0</v>
      </c>
      <c r="BE15" s="781">
        <v>0</v>
      </c>
      <c r="BF15" s="781">
        <v>0</v>
      </c>
      <c r="BG15" s="781">
        <v>2</v>
      </c>
      <c r="BH15" s="781">
        <v>2</v>
      </c>
      <c r="BI15" s="781">
        <v>2</v>
      </c>
      <c r="BJ15" s="781">
        <v>2</v>
      </c>
      <c r="BK15" s="781">
        <v>2</v>
      </c>
      <c r="BL15" s="781">
        <v>2</v>
      </c>
      <c r="BM15" s="781">
        <v>2</v>
      </c>
      <c r="BN15" s="781">
        <v>2</v>
      </c>
      <c r="BO15" s="781">
        <v>2</v>
      </c>
      <c r="BP15" s="781">
        <v>2</v>
      </c>
      <c r="BQ15" s="781">
        <v>2</v>
      </c>
      <c r="BR15" s="781">
        <v>2</v>
      </c>
      <c r="BS15" s="781">
        <v>2</v>
      </c>
      <c r="BT15" s="781">
        <v>2</v>
      </c>
      <c r="BU15" s="781">
        <v>2</v>
      </c>
      <c r="BV15" s="781">
        <v>2</v>
      </c>
      <c r="BW15" s="781">
        <v>2</v>
      </c>
      <c r="BX15" s="781">
        <v>2</v>
      </c>
      <c r="BY15" s="781">
        <v>2</v>
      </c>
      <c r="BZ15" s="781">
        <v>2</v>
      </c>
      <c r="CA15" s="781">
        <v>2</v>
      </c>
      <c r="CB15" s="781">
        <v>2</v>
      </c>
      <c r="CC15" s="781">
        <v>2</v>
      </c>
      <c r="CD15" s="781">
        <v>2</v>
      </c>
      <c r="CE15" s="781">
        <v>2</v>
      </c>
      <c r="CF15" s="781">
        <v>2</v>
      </c>
      <c r="CG15" s="781">
        <v>2</v>
      </c>
      <c r="CH15" s="781">
        <v>2</v>
      </c>
      <c r="CI15" s="781">
        <v>2</v>
      </c>
      <c r="CJ15" s="781">
        <v>2</v>
      </c>
      <c r="CK15" s="1230">
        <f t="shared" ref="CK15:CK16" si="143">(BG15+BJ15+BM15+BP15+BS15+BV15+BY15+CB15+CE15+CH15)/10</f>
        <v>2</v>
      </c>
      <c r="CL15" s="1230">
        <f t="shared" si="141"/>
        <v>2</v>
      </c>
      <c r="CM15" s="1230">
        <f t="shared" si="142"/>
        <v>2</v>
      </c>
      <c r="CN15" s="781">
        <v>1</v>
      </c>
      <c r="CO15" s="781">
        <v>1</v>
      </c>
      <c r="CP15" s="781">
        <v>1</v>
      </c>
      <c r="CQ15" s="781">
        <v>1</v>
      </c>
      <c r="CR15" s="781">
        <v>1</v>
      </c>
      <c r="CS15" s="781">
        <v>1</v>
      </c>
      <c r="CT15" s="781"/>
    </row>
    <row r="16" spans="1:98" ht="45" x14ac:dyDescent="0.25">
      <c r="A16" s="1182" t="s">
        <v>2020</v>
      </c>
      <c r="B16" s="1182" t="s">
        <v>2023</v>
      </c>
      <c r="C16" s="1202" t="s">
        <v>2024</v>
      </c>
      <c r="D16" s="781">
        <v>0.5</v>
      </c>
      <c r="E16" s="781">
        <v>0.5</v>
      </c>
      <c r="F16" s="781">
        <v>0.5</v>
      </c>
      <c r="G16" s="781">
        <v>0.5</v>
      </c>
      <c r="H16" s="781">
        <v>0.5</v>
      </c>
      <c r="I16" s="781">
        <v>1</v>
      </c>
      <c r="J16" s="781">
        <v>1</v>
      </c>
      <c r="K16" s="781">
        <v>1</v>
      </c>
      <c r="L16" s="781">
        <v>1</v>
      </c>
      <c r="M16" s="781">
        <v>1</v>
      </c>
      <c r="N16" s="781">
        <v>1</v>
      </c>
      <c r="O16" s="781">
        <v>1</v>
      </c>
      <c r="P16" s="781">
        <v>1</v>
      </c>
      <c r="Q16" s="781">
        <v>1</v>
      </c>
      <c r="R16" s="781">
        <v>1</v>
      </c>
      <c r="S16" s="781">
        <v>1</v>
      </c>
      <c r="T16" s="781">
        <v>1</v>
      </c>
      <c r="U16" s="781">
        <v>1</v>
      </c>
      <c r="V16" s="781">
        <v>1</v>
      </c>
      <c r="W16" s="781">
        <v>1</v>
      </c>
      <c r="X16" s="781">
        <v>1</v>
      </c>
      <c r="Y16" s="781">
        <v>1</v>
      </c>
      <c r="Z16" s="781">
        <v>1</v>
      </c>
      <c r="AA16" s="781">
        <v>1</v>
      </c>
      <c r="AB16" s="781">
        <v>1</v>
      </c>
      <c r="AC16" s="781">
        <v>1</v>
      </c>
      <c r="AD16" s="781">
        <v>1</v>
      </c>
      <c r="AE16" s="781">
        <v>1</v>
      </c>
      <c r="AF16" s="781">
        <v>1</v>
      </c>
      <c r="AG16" s="781">
        <v>1</v>
      </c>
      <c r="AH16" s="781">
        <v>1</v>
      </c>
      <c r="AI16" s="781">
        <v>1</v>
      </c>
      <c r="AJ16" s="781">
        <v>1</v>
      </c>
      <c r="AK16" s="781">
        <v>1</v>
      </c>
      <c r="AL16" s="781">
        <v>1</v>
      </c>
      <c r="AM16" s="781">
        <v>1</v>
      </c>
      <c r="AN16" s="781">
        <v>1</v>
      </c>
      <c r="AO16" s="781">
        <v>1</v>
      </c>
      <c r="AP16" s="781">
        <v>1</v>
      </c>
      <c r="AQ16" s="781">
        <v>1</v>
      </c>
      <c r="AR16" s="781">
        <v>1</v>
      </c>
      <c r="AS16" s="781">
        <v>1</v>
      </c>
      <c r="AT16" s="781">
        <v>1</v>
      </c>
      <c r="AU16" s="781">
        <v>1</v>
      </c>
      <c r="AV16" s="781">
        <v>1</v>
      </c>
      <c r="AX16" s="781">
        <v>1</v>
      </c>
      <c r="AY16" s="781">
        <v>1</v>
      </c>
      <c r="AZ16" s="781">
        <v>1</v>
      </c>
      <c r="BA16" s="781">
        <v>0</v>
      </c>
      <c r="BB16" s="781">
        <v>0</v>
      </c>
      <c r="BC16" s="781">
        <v>0</v>
      </c>
      <c r="BD16" s="781">
        <v>0</v>
      </c>
      <c r="BE16" s="781">
        <v>0</v>
      </c>
      <c r="BF16" s="781">
        <v>0</v>
      </c>
      <c r="BG16" s="781">
        <v>1</v>
      </c>
      <c r="BH16" s="781">
        <v>1</v>
      </c>
      <c r="BI16" s="781">
        <v>1</v>
      </c>
      <c r="BJ16" s="781">
        <v>1</v>
      </c>
      <c r="BK16" s="781">
        <v>1</v>
      </c>
      <c r="BL16" s="781">
        <v>1</v>
      </c>
      <c r="BM16" s="781">
        <v>1</v>
      </c>
      <c r="BN16" s="781">
        <v>1</v>
      </c>
      <c r="BO16" s="781">
        <v>1</v>
      </c>
      <c r="BP16" s="781">
        <v>1</v>
      </c>
      <c r="BQ16" s="781">
        <v>1</v>
      </c>
      <c r="BR16" s="781">
        <v>1</v>
      </c>
      <c r="BS16" s="781">
        <v>1</v>
      </c>
      <c r="BT16" s="781">
        <v>1</v>
      </c>
      <c r="BU16" s="781">
        <v>1</v>
      </c>
      <c r="BV16" s="781">
        <v>1</v>
      </c>
      <c r="BW16" s="781">
        <v>1</v>
      </c>
      <c r="BX16" s="781">
        <v>1</v>
      </c>
      <c r="BY16" s="781">
        <v>1</v>
      </c>
      <c r="BZ16" s="781">
        <v>1</v>
      </c>
      <c r="CA16" s="781">
        <v>1</v>
      </c>
      <c r="CB16" s="781">
        <v>1</v>
      </c>
      <c r="CC16" s="781">
        <v>1</v>
      </c>
      <c r="CD16" s="781">
        <v>1</v>
      </c>
      <c r="CE16" s="781">
        <v>1</v>
      </c>
      <c r="CF16" s="781">
        <v>1</v>
      </c>
      <c r="CG16" s="781">
        <v>1</v>
      </c>
      <c r="CH16" s="781">
        <v>1</v>
      </c>
      <c r="CI16" s="781">
        <v>1</v>
      </c>
      <c r="CJ16" s="781">
        <v>1</v>
      </c>
      <c r="CK16" s="1230">
        <f t="shared" si="143"/>
        <v>1</v>
      </c>
      <c r="CL16" s="1230">
        <f t="shared" si="141"/>
        <v>1</v>
      </c>
      <c r="CM16" s="1230">
        <f t="shared" si="142"/>
        <v>1</v>
      </c>
      <c r="CN16" s="781">
        <v>1</v>
      </c>
      <c r="CO16" s="781">
        <v>1</v>
      </c>
      <c r="CP16" s="781">
        <v>1</v>
      </c>
      <c r="CQ16" s="781">
        <v>1</v>
      </c>
      <c r="CR16" s="781">
        <v>1</v>
      </c>
      <c r="CS16" s="781">
        <v>1</v>
      </c>
      <c r="CT16" s="781"/>
    </row>
    <row r="17" spans="1:98" x14ac:dyDescent="0.25">
      <c r="A17" s="1186"/>
      <c r="B17" s="1182"/>
      <c r="C17" s="1203"/>
      <c r="D17" s="781"/>
      <c r="E17" s="781"/>
      <c r="F17" s="781"/>
      <c r="G17" s="781"/>
      <c r="H17" s="781"/>
      <c r="I17" s="781"/>
      <c r="J17" s="781"/>
      <c r="K17" s="781"/>
      <c r="L17" s="781"/>
      <c r="M17" s="781"/>
      <c r="N17" s="781"/>
      <c r="O17" s="781"/>
      <c r="P17" s="781"/>
      <c r="Q17" s="781"/>
      <c r="R17" s="781"/>
      <c r="S17" s="781"/>
      <c r="T17" s="781"/>
      <c r="U17" s="781"/>
      <c r="V17" s="781"/>
      <c r="W17" s="781"/>
      <c r="X17" s="781"/>
      <c r="Y17" s="781"/>
      <c r="Z17" s="781"/>
      <c r="AA17" s="781"/>
      <c r="AB17" s="781"/>
      <c r="AC17" s="781"/>
      <c r="AD17" s="781"/>
      <c r="AE17" s="781"/>
      <c r="AF17" s="781"/>
      <c r="AG17" s="781"/>
      <c r="AH17" s="781"/>
      <c r="AI17" s="781"/>
      <c r="AJ17" s="781"/>
      <c r="AK17" s="781"/>
      <c r="AL17" s="781"/>
      <c r="AM17" s="781"/>
      <c r="AN17" s="781"/>
      <c r="AO17" s="781"/>
      <c r="AP17" s="781"/>
      <c r="AQ17" s="781"/>
      <c r="AR17" s="781"/>
      <c r="AS17" s="781"/>
      <c r="AT17" s="781"/>
      <c r="AU17" s="781"/>
      <c r="AV17" s="781"/>
      <c r="AX17" s="781"/>
      <c r="AY17" s="781"/>
      <c r="AZ17" s="781"/>
      <c r="BA17" s="781"/>
      <c r="BB17" s="781"/>
      <c r="BC17" s="781"/>
      <c r="BD17" s="781"/>
      <c r="BE17" s="781"/>
      <c r="BF17" s="781"/>
      <c r="BG17" s="781"/>
      <c r="BH17" s="781"/>
      <c r="BI17" s="781"/>
      <c r="BJ17" s="781"/>
      <c r="BK17" s="781"/>
      <c r="BL17" s="781"/>
      <c r="BM17" s="781"/>
      <c r="BN17" s="781"/>
      <c r="BO17" s="781"/>
      <c r="BP17" s="781"/>
      <c r="BQ17" s="781"/>
      <c r="BR17" s="781"/>
      <c r="BS17" s="781"/>
      <c r="BT17" s="781"/>
      <c r="BU17" s="781"/>
      <c r="BV17" s="781"/>
      <c r="BW17" s="781"/>
      <c r="BX17" s="781"/>
      <c r="BY17" s="781"/>
      <c r="BZ17" s="781"/>
      <c r="CA17" s="781"/>
      <c r="CB17" s="781"/>
      <c r="CC17" s="781"/>
      <c r="CD17" s="781"/>
      <c r="CE17" s="781"/>
      <c r="CF17" s="781"/>
      <c r="CG17" s="781"/>
      <c r="CH17" s="781"/>
      <c r="CI17" s="781"/>
      <c r="CJ17" s="781"/>
      <c r="CK17" s="781"/>
      <c r="CL17" s="781"/>
      <c r="CM17" s="781"/>
      <c r="CN17" s="781"/>
      <c r="CO17" s="781"/>
      <c r="CP17" s="781"/>
      <c r="CQ17" s="781"/>
      <c r="CR17" s="781"/>
      <c r="CS17" s="781"/>
      <c r="CT17" s="781"/>
    </row>
    <row r="18" spans="1:98" x14ac:dyDescent="0.25">
      <c r="A18" s="1186"/>
      <c r="B18" s="1210" t="s">
        <v>2025</v>
      </c>
      <c r="C18" s="1203"/>
      <c r="D18" s="781"/>
      <c r="E18" s="781"/>
      <c r="F18" s="781"/>
      <c r="G18" s="781"/>
      <c r="H18" s="781"/>
      <c r="I18" s="781"/>
      <c r="J18" s="781"/>
      <c r="K18" s="781"/>
      <c r="L18" s="781"/>
      <c r="M18" s="781"/>
      <c r="N18" s="781"/>
      <c r="O18" s="781"/>
      <c r="P18" s="781"/>
      <c r="Q18" s="781"/>
      <c r="R18" s="781"/>
      <c r="S18" s="781"/>
      <c r="T18" s="781"/>
      <c r="U18" s="781"/>
      <c r="V18" s="781"/>
      <c r="W18" s="781"/>
      <c r="X18" s="781"/>
      <c r="Y18" s="781"/>
      <c r="Z18" s="781"/>
      <c r="AA18" s="781"/>
      <c r="AB18" s="781"/>
      <c r="AC18" s="781"/>
      <c r="AD18" s="781"/>
      <c r="AE18" s="781"/>
      <c r="AF18" s="781"/>
      <c r="AG18" s="781"/>
      <c r="AH18" s="781"/>
      <c r="AI18" s="781"/>
      <c r="AJ18" s="781"/>
      <c r="AK18" s="781"/>
      <c r="AL18" s="781"/>
      <c r="AM18" s="781"/>
      <c r="AN18" s="781"/>
      <c r="AO18" s="781"/>
      <c r="AP18" s="781"/>
      <c r="AQ18" s="781"/>
      <c r="AR18" s="781"/>
      <c r="AS18" s="781"/>
      <c r="AT18" s="781"/>
      <c r="AU18" s="781"/>
      <c r="AV18" s="781"/>
      <c r="AX18" s="1209">
        <f t="shared" ref="AX18:BS18" si="144">SUM(AX19:AX21)</f>
        <v>1.5</v>
      </c>
      <c r="AY18" s="1209">
        <f t="shared" si="144"/>
        <v>1.5</v>
      </c>
      <c r="AZ18" s="1209">
        <f t="shared" si="144"/>
        <v>1.5</v>
      </c>
      <c r="BA18" s="1209">
        <f t="shared" si="144"/>
        <v>0</v>
      </c>
      <c r="BB18" s="1209">
        <f t="shared" si="144"/>
        <v>0</v>
      </c>
      <c r="BC18" s="1209">
        <f t="shared" si="144"/>
        <v>0</v>
      </c>
      <c r="BD18" s="1209">
        <f t="shared" si="144"/>
        <v>0</v>
      </c>
      <c r="BE18" s="1209">
        <f t="shared" si="144"/>
        <v>0</v>
      </c>
      <c r="BF18" s="1209">
        <f t="shared" si="144"/>
        <v>0</v>
      </c>
      <c r="BG18" s="1209">
        <f t="shared" si="144"/>
        <v>1.5</v>
      </c>
      <c r="BH18" s="1209">
        <f t="shared" ref="BH18" si="145">SUM(BH19:BH21)</f>
        <v>1.5</v>
      </c>
      <c r="BI18" s="1209">
        <f t="shared" ref="BI18" si="146">SUM(BI19:BI21)</f>
        <v>1.5</v>
      </c>
      <c r="BJ18" s="1209">
        <f t="shared" si="144"/>
        <v>1.5</v>
      </c>
      <c r="BK18" s="1209">
        <f t="shared" ref="BK18" si="147">SUM(BK19:BK21)</f>
        <v>1.5</v>
      </c>
      <c r="BL18" s="1209">
        <f t="shared" ref="BL18" si="148">SUM(BL19:BL21)</f>
        <v>1.5</v>
      </c>
      <c r="BM18" s="1209">
        <f t="shared" si="144"/>
        <v>1.5</v>
      </c>
      <c r="BN18" s="1209">
        <f t="shared" ref="BN18" si="149">SUM(BN19:BN21)</f>
        <v>1.5</v>
      </c>
      <c r="BO18" s="1209">
        <f t="shared" ref="BO18" si="150">SUM(BO19:BO21)</f>
        <v>1.5</v>
      </c>
      <c r="BP18" s="1209">
        <f t="shared" si="144"/>
        <v>1.5</v>
      </c>
      <c r="BQ18" s="1209">
        <f t="shared" ref="BQ18" si="151">SUM(BQ19:BQ21)</f>
        <v>1.5</v>
      </c>
      <c r="BR18" s="1209">
        <f t="shared" ref="BR18" si="152">SUM(BR19:BR21)</f>
        <v>1.5</v>
      </c>
      <c r="BS18" s="1209">
        <f t="shared" si="144"/>
        <v>1.5</v>
      </c>
      <c r="BT18" s="1209">
        <f t="shared" ref="BT18" si="153">SUM(BT19:BT21)</f>
        <v>1.5</v>
      </c>
      <c r="BU18" s="1209">
        <f t="shared" ref="BU18" si="154">SUM(BU19:BU21)</f>
        <v>1.5</v>
      </c>
      <c r="BV18" s="1209">
        <f t="shared" ref="BV18:BX18" si="155">SUM(BV19:BV21)</f>
        <v>1.5</v>
      </c>
      <c r="BW18" s="1209">
        <f t="shared" si="155"/>
        <v>1.5</v>
      </c>
      <c r="BX18" s="1209">
        <f t="shared" si="155"/>
        <v>1.5</v>
      </c>
      <c r="BY18" s="1209">
        <f t="shared" ref="BY18:CH18" si="156">SUM(BY19:BY21)</f>
        <v>1.5</v>
      </c>
      <c r="BZ18" s="1209">
        <f t="shared" ref="BZ18:CA18" si="157">SUM(BZ19:BZ21)</f>
        <v>1.5</v>
      </c>
      <c r="CA18" s="1209">
        <f t="shared" si="157"/>
        <v>1.5</v>
      </c>
      <c r="CB18" s="1209">
        <f>SUM(CB19:CB21)</f>
        <v>1.5</v>
      </c>
      <c r="CC18" s="1209">
        <f t="shared" ref="CC18:CD18" si="158">SUM(CC19:CC21)</f>
        <v>1.5</v>
      </c>
      <c r="CD18" s="1209">
        <f t="shared" si="158"/>
        <v>1.5</v>
      </c>
      <c r="CE18" s="1209">
        <f>SUM(CE19:CE21)</f>
        <v>1.5</v>
      </c>
      <c r="CF18" s="1209">
        <f t="shared" ref="CF18:CG18" si="159">SUM(CF19:CF21)</f>
        <v>1.5</v>
      </c>
      <c r="CG18" s="1209">
        <f t="shared" si="159"/>
        <v>1.5</v>
      </c>
      <c r="CH18" s="1209">
        <f t="shared" si="156"/>
        <v>1.5</v>
      </c>
      <c r="CI18" s="1209">
        <f t="shared" ref="CI18:CJ18" si="160">SUM(CI19:CI21)</f>
        <v>1.5</v>
      </c>
      <c r="CJ18" s="1209">
        <f t="shared" si="160"/>
        <v>1.5</v>
      </c>
      <c r="CK18" s="1209">
        <f t="shared" ref="CK18:CM18" si="161">SUM(CK19:CK21)</f>
        <v>1.5</v>
      </c>
      <c r="CL18" s="1209">
        <f t="shared" si="161"/>
        <v>1.5</v>
      </c>
      <c r="CM18" s="1209">
        <f t="shared" si="161"/>
        <v>1.5</v>
      </c>
      <c r="CN18" s="1209">
        <f>SUM(CN19:CN21)</f>
        <v>1.5</v>
      </c>
      <c r="CO18" s="1209">
        <f t="shared" ref="CO18:CP18" si="162">SUM(CO19:CO21)</f>
        <v>1.5</v>
      </c>
      <c r="CP18" s="1209">
        <f t="shared" si="162"/>
        <v>1.5</v>
      </c>
      <c r="CQ18" s="1209">
        <f>SUM(CQ19:CQ21)</f>
        <v>1.5</v>
      </c>
      <c r="CR18" s="1209">
        <f t="shared" ref="CR18:CS18" si="163">SUM(CR19:CR21)</f>
        <v>1.5</v>
      </c>
      <c r="CS18" s="1209">
        <f t="shared" si="163"/>
        <v>1.5</v>
      </c>
      <c r="CT18" s="781"/>
    </row>
    <row r="19" spans="1:98" ht="60" x14ac:dyDescent="0.25">
      <c r="A19" s="1182" t="s">
        <v>2020</v>
      </c>
      <c r="B19" s="1182" t="s">
        <v>2026</v>
      </c>
      <c r="C19" s="1202" t="s">
        <v>1961</v>
      </c>
      <c r="D19" s="781">
        <v>0</v>
      </c>
      <c r="E19" s="781">
        <v>0</v>
      </c>
      <c r="F19" s="781">
        <v>0</v>
      </c>
      <c r="G19" s="781">
        <v>0</v>
      </c>
      <c r="H19" s="781">
        <v>0</v>
      </c>
      <c r="I19" s="781">
        <v>0</v>
      </c>
      <c r="J19" s="781">
        <v>0</v>
      </c>
      <c r="K19" s="781">
        <v>0</v>
      </c>
      <c r="L19" s="781">
        <v>0</v>
      </c>
      <c r="M19" s="781">
        <v>0</v>
      </c>
      <c r="N19" s="781">
        <v>0</v>
      </c>
      <c r="O19" s="781">
        <v>1</v>
      </c>
      <c r="P19" s="781">
        <v>1</v>
      </c>
      <c r="Q19" s="781">
        <v>1</v>
      </c>
      <c r="R19" s="781">
        <v>1</v>
      </c>
      <c r="S19" s="781">
        <v>1</v>
      </c>
      <c r="T19" s="781">
        <v>1</v>
      </c>
      <c r="U19" s="781">
        <v>1</v>
      </c>
      <c r="V19" s="781">
        <v>1</v>
      </c>
      <c r="W19" s="781">
        <v>1</v>
      </c>
      <c r="X19" s="781">
        <v>1</v>
      </c>
      <c r="Y19" s="781">
        <v>1</v>
      </c>
      <c r="Z19" s="781">
        <v>1</v>
      </c>
      <c r="AA19" s="781">
        <v>1</v>
      </c>
      <c r="AB19" s="781">
        <v>1</v>
      </c>
      <c r="AC19" s="781">
        <v>1</v>
      </c>
      <c r="AD19" s="781">
        <v>1</v>
      </c>
      <c r="AE19" s="781">
        <v>1</v>
      </c>
      <c r="AF19" s="781">
        <v>1</v>
      </c>
      <c r="AG19" s="781">
        <v>1</v>
      </c>
      <c r="AH19" s="781">
        <v>1</v>
      </c>
      <c r="AI19" s="781">
        <v>1</v>
      </c>
      <c r="AJ19" s="781">
        <v>1</v>
      </c>
      <c r="AK19" s="781">
        <v>1</v>
      </c>
      <c r="AL19" s="781">
        <v>1</v>
      </c>
      <c r="AM19" s="781">
        <v>1</v>
      </c>
      <c r="AN19" s="781">
        <v>1</v>
      </c>
      <c r="AO19" s="781">
        <v>1</v>
      </c>
      <c r="AP19" s="781">
        <v>1</v>
      </c>
      <c r="AQ19" s="781">
        <v>1</v>
      </c>
      <c r="AR19" s="781">
        <v>1</v>
      </c>
      <c r="AS19" s="781">
        <v>1</v>
      </c>
      <c r="AT19" s="781">
        <v>1</v>
      </c>
      <c r="AU19" s="781">
        <v>1</v>
      </c>
      <c r="AV19" s="781">
        <v>1</v>
      </c>
      <c r="AX19" s="781">
        <v>1</v>
      </c>
      <c r="AY19" s="781">
        <v>1</v>
      </c>
      <c r="AZ19" s="781">
        <v>1</v>
      </c>
      <c r="BA19" s="781">
        <v>0</v>
      </c>
      <c r="BB19" s="781">
        <v>0</v>
      </c>
      <c r="BC19" s="781">
        <v>0</v>
      </c>
      <c r="BD19" s="781">
        <v>0</v>
      </c>
      <c r="BE19" s="781">
        <v>0</v>
      </c>
      <c r="BF19" s="781">
        <v>0</v>
      </c>
      <c r="BG19" s="781">
        <v>1</v>
      </c>
      <c r="BH19" s="781">
        <v>1</v>
      </c>
      <c r="BI19" s="781">
        <v>1</v>
      </c>
      <c r="BJ19" s="781">
        <v>1</v>
      </c>
      <c r="BK19" s="781">
        <v>1</v>
      </c>
      <c r="BL19" s="781">
        <v>1</v>
      </c>
      <c r="BM19" s="781">
        <v>1</v>
      </c>
      <c r="BN19" s="781">
        <v>1</v>
      </c>
      <c r="BO19" s="781">
        <v>1</v>
      </c>
      <c r="BP19" s="781">
        <v>1</v>
      </c>
      <c r="BQ19" s="781">
        <v>1</v>
      </c>
      <c r="BR19" s="781">
        <v>1</v>
      </c>
      <c r="BS19" s="781">
        <v>1</v>
      </c>
      <c r="BT19" s="781">
        <v>1</v>
      </c>
      <c r="BU19" s="781">
        <v>1</v>
      </c>
      <c r="BV19" s="781">
        <v>1</v>
      </c>
      <c r="BW19" s="781">
        <v>1</v>
      </c>
      <c r="BX19" s="781">
        <v>1</v>
      </c>
      <c r="BY19" s="781">
        <v>1</v>
      </c>
      <c r="BZ19" s="781">
        <v>1</v>
      </c>
      <c r="CA19" s="781">
        <v>1</v>
      </c>
      <c r="CB19" s="781">
        <v>1</v>
      </c>
      <c r="CC19" s="781">
        <v>1</v>
      </c>
      <c r="CD19" s="781">
        <v>1</v>
      </c>
      <c r="CE19" s="781">
        <v>1</v>
      </c>
      <c r="CF19" s="781">
        <v>1</v>
      </c>
      <c r="CG19" s="781">
        <v>1</v>
      </c>
      <c r="CH19" s="781">
        <v>1</v>
      </c>
      <c r="CI19" s="781">
        <v>1</v>
      </c>
      <c r="CJ19" s="781">
        <v>1</v>
      </c>
      <c r="CK19" s="1230">
        <f t="shared" ref="CK19:CK21" si="164">(BG19+BJ19+BM19+BP19+BS19+BV19+BY19+CB19+CE19+CH19)/10</f>
        <v>1</v>
      </c>
      <c r="CL19" s="1230">
        <f t="shared" ref="CL19:CL21" si="165">(BH19+BK19+BN19+BQ19+BT19+BW19+BZ19+CC19+CF19+CI19)/10</f>
        <v>1</v>
      </c>
      <c r="CM19" s="1230">
        <f t="shared" ref="CM19:CM21" si="166">(BI19+BL19+BO19+BR19+BU19+BX19+CA19+CD19+CG19+CJ19)/10</f>
        <v>1</v>
      </c>
      <c r="CN19" s="781">
        <v>1</v>
      </c>
      <c r="CO19" s="781">
        <v>1</v>
      </c>
      <c r="CP19" s="781">
        <v>1</v>
      </c>
      <c r="CQ19" s="781">
        <v>1</v>
      </c>
      <c r="CR19" s="781">
        <v>1</v>
      </c>
      <c r="CS19" s="781">
        <v>1</v>
      </c>
      <c r="CT19" s="781"/>
    </row>
    <row r="20" spans="1:98" ht="72" customHeight="1" x14ac:dyDescent="0.25">
      <c r="A20" s="1182" t="s">
        <v>2027</v>
      </c>
      <c r="B20" s="1182" t="s">
        <v>1511</v>
      </c>
      <c r="C20" s="1202" t="s">
        <v>2028</v>
      </c>
      <c r="D20" s="781">
        <v>0.5</v>
      </c>
      <c r="E20" s="781">
        <v>0.5</v>
      </c>
      <c r="F20" s="781">
        <v>0.5</v>
      </c>
      <c r="G20" s="781">
        <v>0.5</v>
      </c>
      <c r="H20" s="781">
        <v>1</v>
      </c>
      <c r="I20" s="781">
        <v>1</v>
      </c>
      <c r="J20" s="781">
        <v>1</v>
      </c>
      <c r="K20" s="781">
        <v>1</v>
      </c>
      <c r="L20" s="781">
        <v>1</v>
      </c>
      <c r="M20" s="781">
        <v>1</v>
      </c>
      <c r="N20" s="781">
        <v>1</v>
      </c>
      <c r="O20" s="781">
        <v>0</v>
      </c>
      <c r="P20" s="781">
        <v>0</v>
      </c>
      <c r="Q20" s="781">
        <v>0</v>
      </c>
      <c r="R20" s="781">
        <v>0</v>
      </c>
      <c r="S20" s="781">
        <v>0</v>
      </c>
      <c r="T20" s="781">
        <v>0</v>
      </c>
      <c r="U20" s="781">
        <v>0</v>
      </c>
      <c r="V20" s="781">
        <v>0</v>
      </c>
      <c r="W20" s="781">
        <v>0</v>
      </c>
      <c r="X20" s="781">
        <v>0</v>
      </c>
      <c r="Y20" s="781">
        <v>0</v>
      </c>
      <c r="Z20" s="781">
        <v>0</v>
      </c>
      <c r="AA20" s="781">
        <v>0</v>
      </c>
      <c r="AB20" s="781">
        <v>0</v>
      </c>
      <c r="AC20" s="781">
        <v>0</v>
      </c>
      <c r="AD20" s="781">
        <v>0</v>
      </c>
      <c r="AE20" s="781">
        <v>0</v>
      </c>
      <c r="AF20" s="781">
        <v>0</v>
      </c>
      <c r="AG20" s="781">
        <v>0</v>
      </c>
      <c r="AH20" s="781">
        <v>0</v>
      </c>
      <c r="AI20" s="781">
        <v>0</v>
      </c>
      <c r="AJ20" s="781">
        <v>0</v>
      </c>
      <c r="AK20" s="781">
        <v>0</v>
      </c>
      <c r="AL20" s="781">
        <v>0</v>
      </c>
      <c r="AM20" s="781">
        <v>0</v>
      </c>
      <c r="AN20" s="781">
        <v>0</v>
      </c>
      <c r="AO20" s="781">
        <v>0</v>
      </c>
      <c r="AP20" s="781">
        <v>0</v>
      </c>
      <c r="AQ20" s="781">
        <v>0</v>
      </c>
      <c r="AR20" s="781">
        <v>0</v>
      </c>
      <c r="AS20" s="781">
        <v>0</v>
      </c>
      <c r="AT20" s="781">
        <v>0</v>
      </c>
      <c r="AU20" s="781">
        <v>0</v>
      </c>
      <c r="AV20" s="781">
        <v>0</v>
      </c>
      <c r="AX20" s="781">
        <v>0</v>
      </c>
      <c r="AY20" s="781">
        <v>0</v>
      </c>
      <c r="AZ20" s="781">
        <v>0</v>
      </c>
      <c r="BA20" s="781">
        <v>0</v>
      </c>
      <c r="BB20" s="781">
        <v>0</v>
      </c>
      <c r="BC20" s="781">
        <v>0</v>
      </c>
      <c r="BD20" s="781">
        <v>0</v>
      </c>
      <c r="BE20" s="781">
        <v>0</v>
      </c>
      <c r="BF20" s="781">
        <v>0</v>
      </c>
      <c r="BG20" s="781">
        <v>0</v>
      </c>
      <c r="BH20" s="781">
        <v>0</v>
      </c>
      <c r="BI20" s="781">
        <v>0</v>
      </c>
      <c r="BJ20" s="781">
        <v>0</v>
      </c>
      <c r="BK20" s="781">
        <v>0</v>
      </c>
      <c r="BL20" s="781">
        <v>0</v>
      </c>
      <c r="BM20" s="781">
        <v>0</v>
      </c>
      <c r="BN20" s="781">
        <v>0</v>
      </c>
      <c r="BO20" s="781">
        <v>0</v>
      </c>
      <c r="BP20" s="781">
        <v>0</v>
      </c>
      <c r="BQ20" s="781">
        <v>0</v>
      </c>
      <c r="BR20" s="781">
        <v>0</v>
      </c>
      <c r="BS20" s="781">
        <v>0</v>
      </c>
      <c r="BT20" s="781">
        <v>0</v>
      </c>
      <c r="BU20" s="781">
        <v>0</v>
      </c>
      <c r="BV20" s="781">
        <v>0</v>
      </c>
      <c r="BW20" s="781">
        <v>0</v>
      </c>
      <c r="BX20" s="781">
        <v>0</v>
      </c>
      <c r="BY20" s="781">
        <v>0</v>
      </c>
      <c r="BZ20" s="781">
        <v>0</v>
      </c>
      <c r="CA20" s="781">
        <v>0</v>
      </c>
      <c r="CB20" s="781">
        <v>0</v>
      </c>
      <c r="CC20" s="781">
        <v>0</v>
      </c>
      <c r="CD20" s="781">
        <v>0</v>
      </c>
      <c r="CE20" s="781">
        <v>0</v>
      </c>
      <c r="CF20" s="781">
        <v>0</v>
      </c>
      <c r="CG20" s="781">
        <v>0</v>
      </c>
      <c r="CH20" s="781">
        <v>0</v>
      </c>
      <c r="CI20" s="781">
        <v>0</v>
      </c>
      <c r="CJ20" s="781">
        <v>0</v>
      </c>
      <c r="CK20" s="1230">
        <f t="shared" si="164"/>
        <v>0</v>
      </c>
      <c r="CL20" s="1230">
        <f t="shared" si="165"/>
        <v>0</v>
      </c>
      <c r="CM20" s="1230">
        <f t="shared" si="166"/>
        <v>0</v>
      </c>
      <c r="CN20" s="781">
        <v>0</v>
      </c>
      <c r="CO20" s="781">
        <v>0</v>
      </c>
      <c r="CP20" s="781">
        <v>0</v>
      </c>
      <c r="CQ20" s="781">
        <v>0</v>
      </c>
      <c r="CR20" s="781">
        <v>0</v>
      </c>
      <c r="CS20" s="781">
        <v>0</v>
      </c>
      <c r="CT20" s="781"/>
    </row>
    <row r="21" spans="1:98" ht="45" x14ac:dyDescent="0.25">
      <c r="A21" s="1182" t="s">
        <v>2027</v>
      </c>
      <c r="B21" s="1182" t="s">
        <v>2029</v>
      </c>
      <c r="C21" s="1203" t="s">
        <v>1964</v>
      </c>
      <c r="D21" s="1184">
        <v>0.25</v>
      </c>
      <c r="E21" s="1184">
        <v>0.5</v>
      </c>
      <c r="F21" s="1184">
        <v>0.5</v>
      </c>
      <c r="G21" s="1184">
        <v>0.5</v>
      </c>
      <c r="H21" s="1184">
        <v>0.5</v>
      </c>
      <c r="I21" s="1184">
        <v>0.5</v>
      </c>
      <c r="J21" s="1184">
        <v>0.5</v>
      </c>
      <c r="K21" s="1184">
        <v>0.5</v>
      </c>
      <c r="L21" s="1184">
        <v>0.5</v>
      </c>
      <c r="M21" s="1184">
        <v>0.5</v>
      </c>
      <c r="N21" s="1184">
        <v>0.5</v>
      </c>
      <c r="O21" s="1184">
        <v>0.5</v>
      </c>
      <c r="P21" s="1184">
        <v>0.5</v>
      </c>
      <c r="Q21" s="1184">
        <v>0.5</v>
      </c>
      <c r="R21" s="1184">
        <v>0.5</v>
      </c>
      <c r="S21" s="1184">
        <v>0.5</v>
      </c>
      <c r="T21" s="1184">
        <v>0.5</v>
      </c>
      <c r="U21" s="1184">
        <v>0.5</v>
      </c>
      <c r="V21" s="1184">
        <v>0.5</v>
      </c>
      <c r="W21" s="1184">
        <v>0.5</v>
      </c>
      <c r="X21" s="1184">
        <v>0.5</v>
      </c>
      <c r="Y21" s="1184">
        <v>0.5</v>
      </c>
      <c r="Z21" s="1184">
        <v>0.5</v>
      </c>
      <c r="AA21" s="1184">
        <v>0.5</v>
      </c>
      <c r="AB21" s="1184">
        <v>0.5</v>
      </c>
      <c r="AC21" s="1184">
        <v>0.5</v>
      </c>
      <c r="AD21" s="1184">
        <v>0.5</v>
      </c>
      <c r="AE21" s="1184">
        <v>0.5</v>
      </c>
      <c r="AF21" s="1184">
        <v>0.5</v>
      </c>
      <c r="AG21" s="1184">
        <v>0.5</v>
      </c>
      <c r="AH21" s="1184">
        <v>0.5</v>
      </c>
      <c r="AI21" s="1184">
        <v>0.5</v>
      </c>
      <c r="AJ21" s="1184">
        <v>0.5</v>
      </c>
      <c r="AK21" s="1184">
        <v>0.5</v>
      </c>
      <c r="AL21" s="1184">
        <v>0.5</v>
      </c>
      <c r="AM21" s="1184">
        <v>0.5</v>
      </c>
      <c r="AN21" s="1184">
        <v>0.5</v>
      </c>
      <c r="AO21" s="1184">
        <v>0.5</v>
      </c>
      <c r="AP21" s="1184">
        <v>0.5</v>
      </c>
      <c r="AQ21" s="1184">
        <v>0.5</v>
      </c>
      <c r="AR21" s="1184">
        <v>0.5</v>
      </c>
      <c r="AS21" s="1184">
        <v>0.5</v>
      </c>
      <c r="AT21" s="1184">
        <v>0.5</v>
      </c>
      <c r="AU21" s="1184">
        <v>0.5</v>
      </c>
      <c r="AV21" s="1184">
        <v>0.5</v>
      </c>
      <c r="AX21" s="1184">
        <v>0.5</v>
      </c>
      <c r="AY21" s="1184">
        <v>0.5</v>
      </c>
      <c r="AZ21" s="1184">
        <v>0.5</v>
      </c>
      <c r="BA21" s="781">
        <v>0</v>
      </c>
      <c r="BB21" s="781">
        <v>0</v>
      </c>
      <c r="BC21" s="781">
        <v>0</v>
      </c>
      <c r="BD21" s="781">
        <v>0</v>
      </c>
      <c r="BE21" s="781">
        <v>0</v>
      </c>
      <c r="BF21" s="781">
        <v>0</v>
      </c>
      <c r="BG21" s="1184">
        <v>0.5</v>
      </c>
      <c r="BH21" s="1184">
        <v>0.5</v>
      </c>
      <c r="BI21" s="1184">
        <v>0.5</v>
      </c>
      <c r="BJ21" s="1184">
        <v>0.5</v>
      </c>
      <c r="BK21" s="1184">
        <v>0.5</v>
      </c>
      <c r="BL21" s="1184">
        <v>0.5</v>
      </c>
      <c r="BM21" s="1184">
        <v>0.5</v>
      </c>
      <c r="BN21" s="1184">
        <v>0.5</v>
      </c>
      <c r="BO21" s="1184">
        <v>0.5</v>
      </c>
      <c r="BP21" s="1184">
        <v>0.5</v>
      </c>
      <c r="BQ21" s="1184">
        <v>0.5</v>
      </c>
      <c r="BR21" s="1184">
        <v>0.5</v>
      </c>
      <c r="BS21" s="1184">
        <v>0.5</v>
      </c>
      <c r="BT21" s="1184">
        <v>0.5</v>
      </c>
      <c r="BU21" s="1184">
        <v>0.5</v>
      </c>
      <c r="BV21" s="1184">
        <v>0.5</v>
      </c>
      <c r="BW21" s="1184">
        <v>0.5</v>
      </c>
      <c r="BX21" s="1184">
        <v>0.5</v>
      </c>
      <c r="BY21" s="1184">
        <v>0.5</v>
      </c>
      <c r="BZ21" s="1184">
        <v>0.5</v>
      </c>
      <c r="CA21" s="1184">
        <v>0.5</v>
      </c>
      <c r="CB21" s="1184">
        <v>0.5</v>
      </c>
      <c r="CC21" s="1184">
        <v>0.5</v>
      </c>
      <c r="CD21" s="1184">
        <v>0.5</v>
      </c>
      <c r="CE21" s="1184">
        <v>0.5</v>
      </c>
      <c r="CF21" s="1184">
        <v>0.5</v>
      </c>
      <c r="CG21" s="1184">
        <v>0.5</v>
      </c>
      <c r="CH21" s="1184">
        <v>0.5</v>
      </c>
      <c r="CI21" s="1184">
        <v>0.5</v>
      </c>
      <c r="CJ21" s="1184">
        <v>0.5</v>
      </c>
      <c r="CK21" s="1230">
        <f t="shared" si="164"/>
        <v>0.5</v>
      </c>
      <c r="CL21" s="1230">
        <f t="shared" si="165"/>
        <v>0.5</v>
      </c>
      <c r="CM21" s="1230">
        <f t="shared" si="166"/>
        <v>0.5</v>
      </c>
      <c r="CN21" s="1184">
        <v>0.5</v>
      </c>
      <c r="CO21" s="1184">
        <v>0.5</v>
      </c>
      <c r="CP21" s="1184">
        <v>0.5</v>
      </c>
      <c r="CQ21" s="1184">
        <v>0.5</v>
      </c>
      <c r="CR21" s="1184">
        <v>0.5</v>
      </c>
      <c r="CS21" s="1184">
        <v>0.5</v>
      </c>
      <c r="CT21" s="1184"/>
    </row>
    <row r="22" spans="1:98" x14ac:dyDescent="0.25">
      <c r="A22" s="1186"/>
      <c r="B22" s="1182"/>
      <c r="C22" s="1203"/>
      <c r="D22" s="781"/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/>
      <c r="AP22" s="781"/>
      <c r="AQ22" s="781"/>
      <c r="AR22" s="781"/>
      <c r="AS22" s="781"/>
      <c r="AT22" s="781"/>
      <c r="AU22" s="781"/>
      <c r="AV22" s="781"/>
      <c r="AX22" s="781"/>
      <c r="AY22" s="781"/>
      <c r="AZ22" s="781"/>
      <c r="BA22" s="781"/>
      <c r="BB22" s="781"/>
      <c r="BC22" s="781"/>
      <c r="BD22" s="781"/>
      <c r="BE22" s="781"/>
      <c r="BF22" s="781"/>
      <c r="BG22" s="781"/>
      <c r="BH22" s="781"/>
      <c r="BI22" s="781"/>
      <c r="BJ22" s="781"/>
      <c r="BK22" s="781"/>
      <c r="BL22" s="781"/>
      <c r="BM22" s="781"/>
      <c r="BN22" s="781"/>
      <c r="BO22" s="781"/>
      <c r="BP22" s="781"/>
      <c r="BQ22" s="781"/>
      <c r="BR22" s="781"/>
      <c r="BS22" s="781"/>
      <c r="BT22" s="781"/>
      <c r="BU22" s="781"/>
      <c r="BV22" s="781"/>
      <c r="BW22" s="781"/>
      <c r="BX22" s="781"/>
      <c r="BY22" s="781"/>
      <c r="BZ22" s="781"/>
      <c r="CA22" s="781"/>
      <c r="CB22" s="781"/>
      <c r="CC22" s="781"/>
      <c r="CD22" s="781"/>
      <c r="CE22" s="781"/>
      <c r="CF22" s="781"/>
      <c r="CG22" s="781"/>
      <c r="CH22" s="781"/>
      <c r="CI22" s="781"/>
      <c r="CJ22" s="781"/>
      <c r="CK22" s="781"/>
      <c r="CL22" s="781"/>
      <c r="CM22" s="781"/>
      <c r="CN22" s="781"/>
      <c r="CO22" s="781"/>
      <c r="CP22" s="781"/>
      <c r="CQ22" s="781"/>
      <c r="CR22" s="781"/>
      <c r="CS22" s="781"/>
      <c r="CT22" s="781"/>
    </row>
    <row r="23" spans="1:98" ht="30" x14ac:dyDescent="0.25">
      <c r="A23" s="1186"/>
      <c r="B23" s="1210" t="s">
        <v>2030</v>
      </c>
      <c r="C23" s="1203" t="s">
        <v>1512</v>
      </c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O23" s="782"/>
      <c r="P23" s="782"/>
      <c r="Q23" s="782"/>
      <c r="R23" s="782"/>
      <c r="S23" s="782"/>
      <c r="T23" s="782"/>
      <c r="U23" s="782"/>
      <c r="V23" s="782"/>
      <c r="W23" s="782"/>
      <c r="X23" s="782"/>
      <c r="Y23" s="782"/>
      <c r="Z23" s="782"/>
      <c r="AA23" s="782"/>
      <c r="AB23" s="782"/>
      <c r="AC23" s="782"/>
      <c r="AD23" s="782"/>
      <c r="AE23" s="782"/>
      <c r="AF23" s="782"/>
      <c r="AG23" s="782"/>
      <c r="AH23" s="782"/>
      <c r="AI23" s="782"/>
      <c r="AJ23" s="782"/>
      <c r="AK23" s="782"/>
      <c r="AL23" s="782"/>
      <c r="AM23" s="782"/>
      <c r="AN23" s="782"/>
      <c r="AO23" s="782"/>
      <c r="AP23" s="782"/>
      <c r="AQ23" s="782"/>
      <c r="AR23" s="782"/>
      <c r="AS23" s="782"/>
      <c r="AT23" s="782"/>
      <c r="AU23" s="782"/>
      <c r="AV23" s="782"/>
      <c r="AX23" s="1209">
        <f t="shared" ref="AX23:BV23" si="167">SUM(AX24:AX26)</f>
        <v>2.5</v>
      </c>
      <c r="AY23" s="1209">
        <f t="shared" si="167"/>
        <v>2.5</v>
      </c>
      <c r="AZ23" s="1209">
        <f t="shared" si="167"/>
        <v>2.5</v>
      </c>
      <c r="BA23" s="1209">
        <f t="shared" si="167"/>
        <v>0</v>
      </c>
      <c r="BB23" s="1209">
        <f t="shared" si="167"/>
        <v>0</v>
      </c>
      <c r="BC23" s="1209">
        <f t="shared" si="167"/>
        <v>0</v>
      </c>
      <c r="BD23" s="1209">
        <f t="shared" si="167"/>
        <v>0</v>
      </c>
      <c r="BE23" s="1209">
        <f t="shared" si="167"/>
        <v>0</v>
      </c>
      <c r="BF23" s="1209">
        <f t="shared" si="167"/>
        <v>0</v>
      </c>
      <c r="BG23" s="1209">
        <f t="shared" si="167"/>
        <v>2.5</v>
      </c>
      <c r="BH23" s="1209">
        <f t="shared" ref="BH23" si="168">SUM(BH24:BH26)</f>
        <v>2.5</v>
      </c>
      <c r="BI23" s="1209">
        <f t="shared" ref="BI23" si="169">SUM(BI24:BI26)</f>
        <v>2.5</v>
      </c>
      <c r="BJ23" s="1209">
        <f t="shared" si="167"/>
        <v>2.5</v>
      </c>
      <c r="BK23" s="1209">
        <f t="shared" ref="BK23" si="170">SUM(BK24:BK26)</f>
        <v>2.5</v>
      </c>
      <c r="BL23" s="1209">
        <f t="shared" ref="BL23" si="171">SUM(BL24:BL26)</f>
        <v>2.5</v>
      </c>
      <c r="BM23" s="1209">
        <f t="shared" si="167"/>
        <v>2.5</v>
      </c>
      <c r="BN23" s="1209">
        <f t="shared" ref="BN23" si="172">SUM(BN24:BN26)</f>
        <v>2.5</v>
      </c>
      <c r="BO23" s="1209">
        <f t="shared" ref="BO23" si="173">SUM(BO24:BO26)</f>
        <v>2.5</v>
      </c>
      <c r="BP23" s="1209">
        <f t="shared" si="167"/>
        <v>2.5</v>
      </c>
      <c r="BQ23" s="1209">
        <f t="shared" ref="BQ23" si="174">SUM(BQ24:BQ26)</f>
        <v>2.5</v>
      </c>
      <c r="BR23" s="1209">
        <f t="shared" ref="BR23" si="175">SUM(BR24:BR26)</f>
        <v>2.5</v>
      </c>
      <c r="BS23" s="1209">
        <f t="shared" si="167"/>
        <v>2.5</v>
      </c>
      <c r="BT23" s="1209">
        <f t="shared" ref="BT23" si="176">SUM(BT24:BT26)</f>
        <v>2.5</v>
      </c>
      <c r="BU23" s="1209">
        <f t="shared" ref="BU23" si="177">SUM(BU24:BU26)</f>
        <v>2.5</v>
      </c>
      <c r="BV23" s="1209">
        <f t="shared" si="167"/>
        <v>2.5</v>
      </c>
      <c r="BW23" s="1209">
        <f t="shared" ref="BW23" si="178">SUM(BW24:BW26)</f>
        <v>2.5</v>
      </c>
      <c r="BX23" s="1209">
        <f t="shared" ref="BX23" si="179">SUM(BX24:BX26)</f>
        <v>2.5</v>
      </c>
      <c r="BY23" s="1209">
        <f t="shared" ref="BY23:CH23" si="180">SUM(BY24:BY26)</f>
        <v>2.5</v>
      </c>
      <c r="BZ23" s="1209">
        <f t="shared" ref="BZ23:CA23" si="181">SUM(BZ24:BZ26)</f>
        <v>2.5</v>
      </c>
      <c r="CA23" s="1209">
        <f t="shared" si="181"/>
        <v>2.5</v>
      </c>
      <c r="CB23" s="1209">
        <f>SUM(CB24:CB26)</f>
        <v>2.5</v>
      </c>
      <c r="CC23" s="1209">
        <f t="shared" ref="CC23:CD23" si="182">SUM(CC24:CC26)</f>
        <v>2.5</v>
      </c>
      <c r="CD23" s="1209">
        <f t="shared" si="182"/>
        <v>2.5</v>
      </c>
      <c r="CE23" s="1209">
        <f>SUM(CE24:CE26)</f>
        <v>2.5</v>
      </c>
      <c r="CF23" s="1209">
        <f t="shared" ref="CF23:CG23" si="183">SUM(CF24:CF26)</f>
        <v>2.5</v>
      </c>
      <c r="CG23" s="1209">
        <f t="shared" si="183"/>
        <v>2.5</v>
      </c>
      <c r="CH23" s="1209">
        <f t="shared" si="180"/>
        <v>2.5</v>
      </c>
      <c r="CI23" s="1209">
        <f t="shared" ref="CI23:CJ23" si="184">SUM(CI24:CI26)</f>
        <v>2.5</v>
      </c>
      <c r="CJ23" s="1209">
        <f t="shared" si="184"/>
        <v>2.5</v>
      </c>
      <c r="CK23" s="1209">
        <f t="shared" ref="CK23:CM23" si="185">SUM(CK24:CK26)</f>
        <v>2.5</v>
      </c>
      <c r="CL23" s="1209">
        <f t="shared" si="185"/>
        <v>2.5</v>
      </c>
      <c r="CM23" s="1209">
        <f t="shared" si="185"/>
        <v>2.5</v>
      </c>
      <c r="CN23" s="1209">
        <f>SUM(CN24:CN26)</f>
        <v>2.5</v>
      </c>
      <c r="CO23" s="1209">
        <f t="shared" ref="CO23:CP23" si="186">SUM(CO24:CO26)</f>
        <v>2.5</v>
      </c>
      <c r="CP23" s="1209">
        <f t="shared" si="186"/>
        <v>2.5</v>
      </c>
      <c r="CQ23" s="1209">
        <f>SUM(CQ24:CQ26)</f>
        <v>2.5</v>
      </c>
      <c r="CR23" s="1209">
        <f t="shared" ref="CR23:CS23" si="187">SUM(CR24:CR26)</f>
        <v>2.5</v>
      </c>
      <c r="CS23" s="1209">
        <f t="shared" si="187"/>
        <v>2.5</v>
      </c>
      <c r="CT23" s="782"/>
    </row>
    <row r="24" spans="1:98" ht="30" x14ac:dyDescent="0.25">
      <c r="A24" s="1182" t="s">
        <v>2020</v>
      </c>
      <c r="B24" s="1182" t="s">
        <v>1962</v>
      </c>
      <c r="C24" s="1203" t="s">
        <v>1510</v>
      </c>
      <c r="D24" s="781">
        <v>1</v>
      </c>
      <c r="E24" s="781">
        <v>1</v>
      </c>
      <c r="F24" s="781">
        <v>1</v>
      </c>
      <c r="G24" s="781">
        <v>1</v>
      </c>
      <c r="H24" s="781">
        <v>1</v>
      </c>
      <c r="I24" s="781">
        <v>1</v>
      </c>
      <c r="J24" s="781">
        <v>1</v>
      </c>
      <c r="K24" s="781">
        <v>1</v>
      </c>
      <c r="L24" s="781">
        <v>1</v>
      </c>
      <c r="M24" s="781">
        <v>1</v>
      </c>
      <c r="N24" s="781">
        <v>1</v>
      </c>
      <c r="O24" s="781">
        <v>1</v>
      </c>
      <c r="P24" s="781">
        <v>1</v>
      </c>
      <c r="Q24" s="781">
        <v>1</v>
      </c>
      <c r="R24" s="781">
        <v>1</v>
      </c>
      <c r="S24" s="781">
        <v>1</v>
      </c>
      <c r="T24" s="781">
        <v>1</v>
      </c>
      <c r="U24" s="781">
        <v>1</v>
      </c>
      <c r="V24" s="781">
        <v>1</v>
      </c>
      <c r="W24" s="781">
        <v>1</v>
      </c>
      <c r="X24" s="781">
        <v>1</v>
      </c>
      <c r="Y24" s="781">
        <v>1</v>
      </c>
      <c r="Z24" s="781">
        <v>1</v>
      </c>
      <c r="AA24" s="781">
        <v>1</v>
      </c>
      <c r="AB24" s="781">
        <v>1</v>
      </c>
      <c r="AC24" s="781">
        <v>1</v>
      </c>
      <c r="AD24" s="781">
        <v>1</v>
      </c>
      <c r="AE24" s="781">
        <v>1</v>
      </c>
      <c r="AF24" s="781">
        <v>1</v>
      </c>
      <c r="AG24" s="781">
        <v>1</v>
      </c>
      <c r="AH24" s="781">
        <v>1</v>
      </c>
      <c r="AI24" s="781">
        <v>1</v>
      </c>
      <c r="AJ24" s="781">
        <v>1</v>
      </c>
      <c r="AK24" s="781">
        <v>1</v>
      </c>
      <c r="AL24" s="781">
        <v>1</v>
      </c>
      <c r="AM24" s="781">
        <v>1</v>
      </c>
      <c r="AN24" s="781">
        <v>1</v>
      </c>
      <c r="AO24" s="781">
        <v>1</v>
      </c>
      <c r="AP24" s="781">
        <v>1</v>
      </c>
      <c r="AQ24" s="781">
        <v>1</v>
      </c>
      <c r="AR24" s="781">
        <v>1</v>
      </c>
      <c r="AS24" s="781">
        <v>1</v>
      </c>
      <c r="AT24" s="781">
        <v>1</v>
      </c>
      <c r="AU24" s="781">
        <v>1</v>
      </c>
      <c r="AV24" s="781">
        <v>1</v>
      </c>
      <c r="AX24" s="781">
        <v>1</v>
      </c>
      <c r="AY24" s="781">
        <v>1</v>
      </c>
      <c r="AZ24" s="781">
        <v>1</v>
      </c>
      <c r="BA24" s="781">
        <v>0</v>
      </c>
      <c r="BB24" s="781">
        <v>0</v>
      </c>
      <c r="BC24" s="781">
        <v>0</v>
      </c>
      <c r="BD24" s="781">
        <v>0</v>
      </c>
      <c r="BE24" s="781">
        <v>0</v>
      </c>
      <c r="BF24" s="781">
        <v>0</v>
      </c>
      <c r="BG24" s="781">
        <v>1</v>
      </c>
      <c r="BH24" s="781">
        <v>1</v>
      </c>
      <c r="BI24" s="781">
        <v>1</v>
      </c>
      <c r="BJ24" s="781">
        <v>1</v>
      </c>
      <c r="BK24" s="781">
        <v>1</v>
      </c>
      <c r="BL24" s="781">
        <v>1</v>
      </c>
      <c r="BM24" s="781">
        <v>1</v>
      </c>
      <c r="BN24" s="781">
        <v>1</v>
      </c>
      <c r="BO24" s="781">
        <v>1</v>
      </c>
      <c r="BP24" s="781">
        <v>1</v>
      </c>
      <c r="BQ24" s="781">
        <v>1</v>
      </c>
      <c r="BR24" s="781">
        <v>1</v>
      </c>
      <c r="BS24" s="781">
        <v>1</v>
      </c>
      <c r="BT24" s="781">
        <v>1</v>
      </c>
      <c r="BU24" s="781">
        <v>1</v>
      </c>
      <c r="BV24" s="781">
        <v>1</v>
      </c>
      <c r="BW24" s="781">
        <v>1</v>
      </c>
      <c r="BX24" s="781">
        <v>1</v>
      </c>
      <c r="BY24" s="781">
        <v>1</v>
      </c>
      <c r="BZ24" s="781">
        <v>1</v>
      </c>
      <c r="CA24" s="781">
        <v>1</v>
      </c>
      <c r="CB24" s="781">
        <v>1</v>
      </c>
      <c r="CC24" s="781">
        <v>1</v>
      </c>
      <c r="CD24" s="781">
        <v>1</v>
      </c>
      <c r="CE24" s="781">
        <v>1</v>
      </c>
      <c r="CF24" s="781">
        <v>1</v>
      </c>
      <c r="CG24" s="781">
        <v>1</v>
      </c>
      <c r="CH24" s="781">
        <v>1</v>
      </c>
      <c r="CI24" s="781">
        <v>1</v>
      </c>
      <c r="CJ24" s="781">
        <v>1</v>
      </c>
      <c r="CK24" s="1230">
        <f t="shared" ref="CK24:CK26" si="188">(BG24+BJ24+BM24+BP24+BS24+BV24+BY24+CB24+CE24+CH24)/10</f>
        <v>1</v>
      </c>
      <c r="CL24" s="1230">
        <f t="shared" ref="CL24:CL26" si="189">(BH24+BK24+BN24+BQ24+BT24+BW24+BZ24+CC24+CF24+CI24)/10</f>
        <v>1</v>
      </c>
      <c r="CM24" s="1230">
        <f t="shared" ref="CM24:CM26" si="190">(BI24+BL24+BO24+BR24+BU24+BX24+CA24+CD24+CG24+CJ24)/10</f>
        <v>1</v>
      </c>
      <c r="CN24" s="781">
        <v>1</v>
      </c>
      <c r="CO24" s="781">
        <v>1</v>
      </c>
      <c r="CP24" s="781">
        <v>1</v>
      </c>
      <c r="CQ24" s="781">
        <v>1</v>
      </c>
      <c r="CR24" s="781">
        <v>1</v>
      </c>
      <c r="CS24" s="781">
        <v>1</v>
      </c>
      <c r="CT24" s="781"/>
    </row>
    <row r="25" spans="1:98" ht="30" x14ac:dyDescent="0.25">
      <c r="A25" s="1182" t="s">
        <v>2027</v>
      </c>
      <c r="B25" s="1186" t="s">
        <v>1513</v>
      </c>
      <c r="C25" s="1202" t="s">
        <v>1961</v>
      </c>
      <c r="D25" s="784">
        <v>0.5</v>
      </c>
      <c r="E25" s="784">
        <v>0.5</v>
      </c>
      <c r="F25" s="784">
        <v>0.5</v>
      </c>
      <c r="G25" s="784">
        <v>0.5</v>
      </c>
      <c r="H25" s="784">
        <v>0.5</v>
      </c>
      <c r="I25" s="784">
        <v>0.5</v>
      </c>
      <c r="J25" s="784">
        <v>0.5</v>
      </c>
      <c r="K25" s="784">
        <v>0.5</v>
      </c>
      <c r="L25" s="784">
        <v>0.5</v>
      </c>
      <c r="M25" s="784">
        <v>0.5</v>
      </c>
      <c r="N25" s="784">
        <v>0.5</v>
      </c>
      <c r="O25" s="784">
        <v>0.5</v>
      </c>
      <c r="P25" s="784">
        <v>0.5</v>
      </c>
      <c r="Q25" s="784">
        <v>1</v>
      </c>
      <c r="R25" s="784">
        <v>1</v>
      </c>
      <c r="S25" s="784">
        <v>1</v>
      </c>
      <c r="T25" s="784">
        <v>1</v>
      </c>
      <c r="U25" s="784">
        <v>1</v>
      </c>
      <c r="V25" s="784">
        <v>1</v>
      </c>
      <c r="W25" s="784">
        <v>1</v>
      </c>
      <c r="X25" s="784">
        <v>1</v>
      </c>
      <c r="Y25" s="784">
        <v>1</v>
      </c>
      <c r="Z25" s="784">
        <v>1</v>
      </c>
      <c r="AA25" s="784">
        <v>1</v>
      </c>
      <c r="AB25" s="784">
        <v>1</v>
      </c>
      <c r="AC25" s="784">
        <v>1</v>
      </c>
      <c r="AD25" s="784">
        <v>1</v>
      </c>
      <c r="AE25" s="784">
        <v>1</v>
      </c>
      <c r="AF25" s="784">
        <v>1</v>
      </c>
      <c r="AG25" s="784">
        <v>1</v>
      </c>
      <c r="AH25" s="784">
        <v>1</v>
      </c>
      <c r="AI25" s="784">
        <v>1</v>
      </c>
      <c r="AJ25" s="784">
        <v>1</v>
      </c>
      <c r="AK25" s="784">
        <v>1</v>
      </c>
      <c r="AL25" s="784">
        <v>1.5</v>
      </c>
      <c r="AM25" s="784">
        <v>1.5</v>
      </c>
      <c r="AN25" s="784">
        <v>1.5</v>
      </c>
      <c r="AO25" s="784">
        <v>1.5</v>
      </c>
      <c r="AP25" s="784">
        <v>1.5</v>
      </c>
      <c r="AQ25" s="784">
        <v>1.5</v>
      </c>
      <c r="AR25" s="784">
        <v>1.5</v>
      </c>
      <c r="AS25" s="784">
        <v>1.5</v>
      </c>
      <c r="AT25" s="784">
        <v>1.5</v>
      </c>
      <c r="AU25" s="784">
        <v>1.5</v>
      </c>
      <c r="AV25" s="784">
        <v>1.5</v>
      </c>
      <c r="AX25" s="784">
        <v>1</v>
      </c>
      <c r="AY25" s="784">
        <v>1</v>
      </c>
      <c r="AZ25" s="784">
        <v>1</v>
      </c>
      <c r="BA25" s="781">
        <v>0</v>
      </c>
      <c r="BB25" s="781">
        <v>0</v>
      </c>
      <c r="BC25" s="781">
        <v>0</v>
      </c>
      <c r="BD25" s="781">
        <v>0</v>
      </c>
      <c r="BE25" s="781">
        <v>0</v>
      </c>
      <c r="BF25" s="781">
        <v>0</v>
      </c>
      <c r="BG25" s="784">
        <v>1</v>
      </c>
      <c r="BH25" s="784">
        <v>1</v>
      </c>
      <c r="BI25" s="784">
        <v>1</v>
      </c>
      <c r="BJ25" s="784">
        <v>1</v>
      </c>
      <c r="BK25" s="784">
        <v>1</v>
      </c>
      <c r="BL25" s="784">
        <v>1</v>
      </c>
      <c r="BM25" s="784">
        <v>1</v>
      </c>
      <c r="BN25" s="784">
        <v>1</v>
      </c>
      <c r="BO25" s="784">
        <v>1</v>
      </c>
      <c r="BP25" s="784">
        <v>1</v>
      </c>
      <c r="BQ25" s="784">
        <v>1</v>
      </c>
      <c r="BR25" s="784">
        <v>1</v>
      </c>
      <c r="BS25" s="784">
        <v>1</v>
      </c>
      <c r="BT25" s="784">
        <v>1</v>
      </c>
      <c r="BU25" s="784">
        <v>1</v>
      </c>
      <c r="BV25" s="784">
        <v>1</v>
      </c>
      <c r="BW25" s="784">
        <v>1</v>
      </c>
      <c r="BX25" s="784">
        <v>1</v>
      </c>
      <c r="BY25" s="784">
        <v>1</v>
      </c>
      <c r="BZ25" s="784">
        <v>1</v>
      </c>
      <c r="CA25" s="784">
        <v>1</v>
      </c>
      <c r="CB25" s="784">
        <v>1</v>
      </c>
      <c r="CC25" s="784">
        <v>1</v>
      </c>
      <c r="CD25" s="784">
        <v>1</v>
      </c>
      <c r="CE25" s="784">
        <v>1</v>
      </c>
      <c r="CF25" s="784">
        <v>1</v>
      </c>
      <c r="CG25" s="784">
        <v>1</v>
      </c>
      <c r="CH25" s="784">
        <v>1</v>
      </c>
      <c r="CI25" s="784">
        <v>1</v>
      </c>
      <c r="CJ25" s="784">
        <v>1</v>
      </c>
      <c r="CK25" s="1230">
        <f t="shared" si="188"/>
        <v>1</v>
      </c>
      <c r="CL25" s="1230">
        <f t="shared" si="189"/>
        <v>1</v>
      </c>
      <c r="CM25" s="1230">
        <f t="shared" si="190"/>
        <v>1</v>
      </c>
      <c r="CN25" s="784">
        <v>1</v>
      </c>
      <c r="CO25" s="784">
        <v>1</v>
      </c>
      <c r="CP25" s="784">
        <v>1</v>
      </c>
      <c r="CQ25" s="784">
        <v>1</v>
      </c>
      <c r="CR25" s="784">
        <v>1</v>
      </c>
      <c r="CS25" s="784">
        <v>1</v>
      </c>
      <c r="CT25" s="784"/>
    </row>
    <row r="26" spans="1:98" ht="30" x14ac:dyDescent="0.25">
      <c r="A26" s="1182" t="s">
        <v>2027</v>
      </c>
      <c r="B26" s="1186" t="s">
        <v>1963</v>
      </c>
      <c r="C26" s="1203" t="s">
        <v>1964</v>
      </c>
      <c r="D26" s="1187">
        <v>0.25</v>
      </c>
      <c r="E26" s="1187">
        <v>0.5</v>
      </c>
      <c r="F26" s="1187">
        <v>0.5</v>
      </c>
      <c r="G26" s="1187">
        <v>0.5</v>
      </c>
      <c r="H26" s="1187">
        <v>0.5</v>
      </c>
      <c r="I26" s="1187">
        <v>0.5</v>
      </c>
      <c r="J26" s="1187">
        <v>0.5</v>
      </c>
      <c r="K26" s="1187">
        <v>0.5</v>
      </c>
      <c r="L26" s="1187">
        <v>0.5</v>
      </c>
      <c r="M26" s="1187">
        <v>0.5</v>
      </c>
      <c r="N26" s="1187">
        <v>0.5</v>
      </c>
      <c r="O26" s="1187">
        <v>0.5</v>
      </c>
      <c r="P26" s="1187">
        <v>0.5</v>
      </c>
      <c r="Q26" s="1187">
        <v>0.5</v>
      </c>
      <c r="R26" s="1187">
        <v>0.5</v>
      </c>
      <c r="S26" s="1187">
        <v>0.5</v>
      </c>
      <c r="T26" s="1187">
        <v>0.5</v>
      </c>
      <c r="U26" s="1187">
        <v>0.5</v>
      </c>
      <c r="V26" s="1187">
        <v>0.5</v>
      </c>
      <c r="W26" s="1187">
        <v>0.5</v>
      </c>
      <c r="X26" s="1187">
        <v>0.5</v>
      </c>
      <c r="Y26" s="1187">
        <v>0.5</v>
      </c>
      <c r="Z26" s="1187">
        <v>0.5</v>
      </c>
      <c r="AA26" s="1187">
        <v>0.5</v>
      </c>
      <c r="AB26" s="1187">
        <v>0.5</v>
      </c>
      <c r="AC26" s="1187">
        <v>0.5</v>
      </c>
      <c r="AD26" s="1187">
        <v>0.5</v>
      </c>
      <c r="AE26" s="1187">
        <v>0.5</v>
      </c>
      <c r="AF26" s="1187">
        <v>0.5</v>
      </c>
      <c r="AG26" s="1187">
        <v>0.5</v>
      </c>
      <c r="AH26" s="1187">
        <v>0.5</v>
      </c>
      <c r="AI26" s="1187">
        <v>0.5</v>
      </c>
      <c r="AJ26" s="1187">
        <v>0.5</v>
      </c>
      <c r="AK26" s="1187">
        <v>0.5</v>
      </c>
      <c r="AL26" s="1187">
        <v>0.5</v>
      </c>
      <c r="AM26" s="1187">
        <v>0.5</v>
      </c>
      <c r="AN26" s="1187">
        <v>0.5</v>
      </c>
      <c r="AO26" s="1187">
        <v>0.5</v>
      </c>
      <c r="AP26" s="1187">
        <v>0.5</v>
      </c>
      <c r="AQ26" s="1187">
        <v>0.5</v>
      </c>
      <c r="AR26" s="1187">
        <v>0.5</v>
      </c>
      <c r="AS26" s="1187">
        <v>0.5</v>
      </c>
      <c r="AT26" s="1187">
        <v>0.5</v>
      </c>
      <c r="AU26" s="1187">
        <v>0.5</v>
      </c>
      <c r="AV26" s="1187">
        <v>0.5</v>
      </c>
      <c r="AX26" s="1187">
        <v>0.5</v>
      </c>
      <c r="AY26" s="1187">
        <v>0.5</v>
      </c>
      <c r="AZ26" s="1187">
        <v>0.5</v>
      </c>
      <c r="BA26" s="781">
        <v>0</v>
      </c>
      <c r="BB26" s="781">
        <v>0</v>
      </c>
      <c r="BC26" s="781">
        <v>0</v>
      </c>
      <c r="BD26" s="781">
        <v>0</v>
      </c>
      <c r="BE26" s="781">
        <v>0</v>
      </c>
      <c r="BF26" s="781">
        <v>0</v>
      </c>
      <c r="BG26" s="1187">
        <v>0.5</v>
      </c>
      <c r="BH26" s="1187">
        <v>0.5</v>
      </c>
      <c r="BI26" s="1187">
        <v>0.5</v>
      </c>
      <c r="BJ26" s="1187">
        <v>0.5</v>
      </c>
      <c r="BK26" s="1187">
        <v>0.5</v>
      </c>
      <c r="BL26" s="1187">
        <v>0.5</v>
      </c>
      <c r="BM26" s="1187">
        <v>0.5</v>
      </c>
      <c r="BN26" s="1187">
        <v>0.5</v>
      </c>
      <c r="BO26" s="1187">
        <v>0.5</v>
      </c>
      <c r="BP26" s="1187">
        <v>0.5</v>
      </c>
      <c r="BQ26" s="1187">
        <v>0.5</v>
      </c>
      <c r="BR26" s="1187">
        <v>0.5</v>
      </c>
      <c r="BS26" s="1187">
        <v>0.5</v>
      </c>
      <c r="BT26" s="1187">
        <v>0.5</v>
      </c>
      <c r="BU26" s="1187">
        <v>0.5</v>
      </c>
      <c r="BV26" s="1187">
        <v>0.5</v>
      </c>
      <c r="BW26" s="1187">
        <v>0.5</v>
      </c>
      <c r="BX26" s="1187">
        <v>0.5</v>
      </c>
      <c r="BY26" s="1187">
        <v>0.5</v>
      </c>
      <c r="BZ26" s="1187">
        <v>0.5</v>
      </c>
      <c r="CA26" s="1187">
        <v>0.5</v>
      </c>
      <c r="CB26" s="1187">
        <v>0.5</v>
      </c>
      <c r="CC26" s="1187">
        <v>0.5</v>
      </c>
      <c r="CD26" s="1187">
        <v>0.5</v>
      </c>
      <c r="CE26" s="1187">
        <v>0.5</v>
      </c>
      <c r="CF26" s="1187">
        <v>0.5</v>
      </c>
      <c r="CG26" s="1187">
        <v>0.5</v>
      </c>
      <c r="CH26" s="1187">
        <v>0.5</v>
      </c>
      <c r="CI26" s="1187">
        <v>0.5</v>
      </c>
      <c r="CJ26" s="1187">
        <v>0.5</v>
      </c>
      <c r="CK26" s="1230">
        <f t="shared" si="188"/>
        <v>0.5</v>
      </c>
      <c r="CL26" s="1230">
        <f t="shared" si="189"/>
        <v>0.5</v>
      </c>
      <c r="CM26" s="1230">
        <f t="shared" si="190"/>
        <v>0.5</v>
      </c>
      <c r="CN26" s="1187">
        <v>0.5</v>
      </c>
      <c r="CO26" s="1187">
        <v>0.5</v>
      </c>
      <c r="CP26" s="1187">
        <v>0.5</v>
      </c>
      <c r="CQ26" s="1187">
        <v>0.5</v>
      </c>
      <c r="CR26" s="1187">
        <v>0.5</v>
      </c>
      <c r="CS26" s="1187">
        <v>0.5</v>
      </c>
      <c r="CT26" s="1187"/>
    </row>
    <row r="27" spans="1:98" x14ac:dyDescent="0.25">
      <c r="A27" s="1186"/>
      <c r="B27" s="1182"/>
      <c r="C27" s="1203"/>
      <c r="D27" s="781"/>
      <c r="E27" s="781"/>
      <c r="F27" s="781"/>
      <c r="G27" s="781"/>
      <c r="H27" s="781"/>
      <c r="I27" s="781"/>
      <c r="J27" s="781"/>
      <c r="K27" s="781"/>
      <c r="L27" s="781"/>
      <c r="M27" s="781"/>
      <c r="N27" s="781"/>
      <c r="O27" s="781"/>
      <c r="P27" s="781"/>
      <c r="Q27" s="781"/>
      <c r="R27" s="781"/>
      <c r="S27" s="781"/>
      <c r="T27" s="781"/>
      <c r="U27" s="781"/>
      <c r="V27" s="781"/>
      <c r="W27" s="781"/>
      <c r="X27" s="781"/>
      <c r="Y27" s="781"/>
      <c r="Z27" s="781"/>
      <c r="AA27" s="781"/>
      <c r="AB27" s="781"/>
      <c r="AC27" s="781"/>
      <c r="AD27" s="781"/>
      <c r="AE27" s="781"/>
      <c r="AF27" s="781"/>
      <c r="AG27" s="781"/>
      <c r="AH27" s="781"/>
      <c r="AI27" s="781"/>
      <c r="AJ27" s="781"/>
      <c r="AK27" s="781"/>
      <c r="AL27" s="781"/>
      <c r="AM27" s="781"/>
      <c r="AN27" s="781"/>
      <c r="AO27" s="781"/>
      <c r="AP27" s="781"/>
      <c r="AQ27" s="781"/>
      <c r="AR27" s="781"/>
      <c r="AS27" s="781"/>
      <c r="AT27" s="781"/>
      <c r="AU27" s="781"/>
      <c r="AV27" s="781"/>
      <c r="AX27" s="781"/>
      <c r="AY27" s="781"/>
      <c r="AZ27" s="781"/>
      <c r="BA27" s="781"/>
      <c r="BB27" s="781"/>
      <c r="BC27" s="781"/>
      <c r="BD27" s="781"/>
      <c r="BE27" s="781"/>
      <c r="BF27" s="781"/>
      <c r="BG27" s="781"/>
      <c r="BH27" s="781"/>
      <c r="BI27" s="781"/>
      <c r="BJ27" s="781"/>
      <c r="BK27" s="781"/>
      <c r="BL27" s="781"/>
      <c r="BM27" s="781"/>
      <c r="BN27" s="781"/>
      <c r="BO27" s="781"/>
      <c r="BP27" s="781"/>
      <c r="BQ27" s="781"/>
      <c r="BR27" s="781"/>
      <c r="BS27" s="781"/>
      <c r="BT27" s="781"/>
      <c r="BU27" s="781"/>
      <c r="BV27" s="781"/>
      <c r="BW27" s="781"/>
      <c r="BX27" s="781"/>
      <c r="BY27" s="781"/>
      <c r="BZ27" s="781"/>
      <c r="CA27" s="781"/>
      <c r="CB27" s="781"/>
      <c r="CC27" s="781"/>
      <c r="CD27" s="781"/>
      <c r="CE27" s="781"/>
      <c r="CF27" s="781"/>
      <c r="CG27" s="781"/>
      <c r="CH27" s="781"/>
      <c r="CI27" s="781"/>
      <c r="CJ27" s="781"/>
      <c r="CK27" s="781"/>
      <c r="CL27" s="781"/>
      <c r="CM27" s="781"/>
      <c r="CN27" s="781"/>
      <c r="CO27" s="781"/>
      <c r="CP27" s="781"/>
      <c r="CQ27" s="781"/>
      <c r="CR27" s="781"/>
      <c r="CS27" s="781"/>
      <c r="CT27" s="781"/>
    </row>
    <row r="28" spans="1:98" ht="30" x14ac:dyDescent="0.25">
      <c r="A28" s="1186"/>
      <c r="B28" s="1210" t="s">
        <v>2031</v>
      </c>
      <c r="C28" s="1203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  <c r="AJ28" s="781"/>
      <c r="AK28" s="781"/>
      <c r="AL28" s="781"/>
      <c r="AM28" s="781"/>
      <c r="AN28" s="781"/>
      <c r="AO28" s="781"/>
      <c r="AP28" s="781"/>
      <c r="AQ28" s="781"/>
      <c r="AR28" s="781"/>
      <c r="AS28" s="781"/>
      <c r="AT28" s="781"/>
      <c r="AU28" s="781"/>
      <c r="AV28" s="781"/>
      <c r="AX28" s="1209">
        <f t="shared" ref="AX28:BV28" si="191">SUM(AX29:AX32)</f>
        <v>1.5</v>
      </c>
      <c r="AY28" s="1209">
        <f t="shared" si="191"/>
        <v>1.5</v>
      </c>
      <c r="AZ28" s="1209">
        <f t="shared" si="191"/>
        <v>1.5</v>
      </c>
      <c r="BA28" s="1209">
        <f t="shared" si="191"/>
        <v>0</v>
      </c>
      <c r="BB28" s="1209">
        <f t="shared" si="191"/>
        <v>0</v>
      </c>
      <c r="BC28" s="1209">
        <f t="shared" si="191"/>
        <v>0</v>
      </c>
      <c r="BD28" s="1209">
        <f t="shared" si="191"/>
        <v>0</v>
      </c>
      <c r="BE28" s="1209">
        <f t="shared" si="191"/>
        <v>0</v>
      </c>
      <c r="BF28" s="1209">
        <f t="shared" si="191"/>
        <v>0</v>
      </c>
      <c r="BG28" s="1209">
        <f t="shared" si="191"/>
        <v>1.5</v>
      </c>
      <c r="BH28" s="1209">
        <f t="shared" ref="BH28" si="192">SUM(BH29:BH32)</f>
        <v>1.5</v>
      </c>
      <c r="BI28" s="1209">
        <f t="shared" ref="BI28" si="193">SUM(BI29:BI32)</f>
        <v>1.5</v>
      </c>
      <c r="BJ28" s="1209">
        <f t="shared" si="191"/>
        <v>1.5</v>
      </c>
      <c r="BK28" s="1209">
        <f t="shared" ref="BK28" si="194">SUM(BK29:BK32)</f>
        <v>1.5</v>
      </c>
      <c r="BL28" s="1209">
        <f t="shared" ref="BL28" si="195">SUM(BL29:BL32)</f>
        <v>1.5</v>
      </c>
      <c r="BM28" s="1209">
        <f t="shared" si="191"/>
        <v>1.5</v>
      </c>
      <c r="BN28" s="1209">
        <f t="shared" ref="BN28" si="196">SUM(BN29:BN32)</f>
        <v>1.5</v>
      </c>
      <c r="BO28" s="1209">
        <f t="shared" ref="BO28" si="197">SUM(BO29:BO32)</f>
        <v>1.5</v>
      </c>
      <c r="BP28" s="1209">
        <f t="shared" si="191"/>
        <v>1.5</v>
      </c>
      <c r="BQ28" s="1209">
        <f t="shared" ref="BQ28" si="198">SUM(BQ29:BQ32)</f>
        <v>1.5</v>
      </c>
      <c r="BR28" s="1209">
        <f t="shared" ref="BR28" si="199">SUM(BR29:BR32)</f>
        <v>1.5</v>
      </c>
      <c r="BS28" s="1209">
        <f t="shared" si="191"/>
        <v>1.5</v>
      </c>
      <c r="BT28" s="1209">
        <f t="shared" ref="BT28" si="200">SUM(BT29:BT32)</f>
        <v>1.5</v>
      </c>
      <c r="BU28" s="1209">
        <f t="shared" ref="BU28" si="201">SUM(BU29:BU32)</f>
        <v>1.5</v>
      </c>
      <c r="BV28" s="1209">
        <f t="shared" si="191"/>
        <v>1.5</v>
      </c>
      <c r="BW28" s="1209">
        <f t="shared" ref="BW28" si="202">SUM(BW29:BW32)</f>
        <v>1.5</v>
      </c>
      <c r="BX28" s="1209">
        <f t="shared" ref="BX28" si="203">SUM(BX29:BX32)</f>
        <v>1.5</v>
      </c>
      <c r="BY28" s="1209">
        <f t="shared" ref="BY28:CH28" si="204">SUM(BY29:BY32)</f>
        <v>1.5</v>
      </c>
      <c r="BZ28" s="1209">
        <f t="shared" ref="BZ28:CA28" si="205">SUM(BZ29:BZ32)</f>
        <v>1.5</v>
      </c>
      <c r="CA28" s="1209">
        <f t="shared" si="205"/>
        <v>1.5</v>
      </c>
      <c r="CB28" s="1209">
        <f>SUM(CB29:CB32)</f>
        <v>1.5</v>
      </c>
      <c r="CC28" s="1209">
        <f t="shared" ref="CC28:CD28" si="206">SUM(CC29:CC32)</f>
        <v>1.5</v>
      </c>
      <c r="CD28" s="1209">
        <f t="shared" si="206"/>
        <v>1.5</v>
      </c>
      <c r="CE28" s="1209">
        <f>SUM(CE29:CE32)</f>
        <v>1.5</v>
      </c>
      <c r="CF28" s="1209">
        <f t="shared" ref="CF28:CG28" si="207">SUM(CF29:CF32)</f>
        <v>1.5</v>
      </c>
      <c r="CG28" s="1209">
        <f t="shared" si="207"/>
        <v>1.5</v>
      </c>
      <c r="CH28" s="1209">
        <f t="shared" si="204"/>
        <v>1.5</v>
      </c>
      <c r="CI28" s="1209">
        <f t="shared" ref="CI28:CJ28" si="208">SUM(CI29:CI32)</f>
        <v>1.5</v>
      </c>
      <c r="CJ28" s="1209">
        <f t="shared" si="208"/>
        <v>1.5</v>
      </c>
      <c r="CK28" s="1209">
        <f t="shared" ref="CK28:CM28" si="209">SUM(CK29:CK32)</f>
        <v>1.5</v>
      </c>
      <c r="CL28" s="1209">
        <f t="shared" si="209"/>
        <v>1.5</v>
      </c>
      <c r="CM28" s="1209">
        <f t="shared" si="209"/>
        <v>1.5</v>
      </c>
      <c r="CN28" s="1209">
        <f>SUM(CN29:CN32)</f>
        <v>1</v>
      </c>
      <c r="CO28" s="1209">
        <f t="shared" ref="CO28:CP28" si="210">SUM(CO29:CO32)</f>
        <v>1</v>
      </c>
      <c r="CP28" s="1209">
        <f t="shared" si="210"/>
        <v>1</v>
      </c>
      <c r="CQ28" s="1209">
        <f>SUM(CQ29:CQ32)</f>
        <v>1</v>
      </c>
      <c r="CR28" s="1209">
        <f t="shared" ref="CR28:CS28" si="211">SUM(CR29:CR32)</f>
        <v>1</v>
      </c>
      <c r="CS28" s="1209">
        <f t="shared" si="211"/>
        <v>1</v>
      </c>
      <c r="CT28" s="781"/>
    </row>
    <row r="29" spans="1:98" ht="45" x14ac:dyDescent="0.25">
      <c r="A29" s="1182" t="s">
        <v>2032</v>
      </c>
      <c r="B29" s="1182" t="s">
        <v>2033</v>
      </c>
      <c r="C29" s="1202" t="s">
        <v>1961</v>
      </c>
      <c r="D29" s="781">
        <v>0</v>
      </c>
      <c r="E29" s="781">
        <v>0</v>
      </c>
      <c r="F29" s="781">
        <v>0</v>
      </c>
      <c r="G29" s="781">
        <v>0</v>
      </c>
      <c r="H29" s="781">
        <v>0</v>
      </c>
      <c r="I29" s="781">
        <v>0</v>
      </c>
      <c r="J29" s="781">
        <v>0</v>
      </c>
      <c r="K29" s="781">
        <v>0</v>
      </c>
      <c r="L29" s="781">
        <v>1</v>
      </c>
      <c r="M29" s="781">
        <v>1</v>
      </c>
      <c r="N29" s="781">
        <v>1</v>
      </c>
      <c r="O29" s="781">
        <v>1</v>
      </c>
      <c r="P29" s="781">
        <v>1</v>
      </c>
      <c r="Q29" s="781">
        <v>1</v>
      </c>
      <c r="R29" s="781">
        <v>1</v>
      </c>
      <c r="S29" s="781">
        <v>1</v>
      </c>
      <c r="T29" s="781">
        <v>1</v>
      </c>
      <c r="U29" s="781">
        <v>1</v>
      </c>
      <c r="V29" s="781">
        <v>1</v>
      </c>
      <c r="W29" s="781">
        <v>1</v>
      </c>
      <c r="X29" s="781">
        <v>1</v>
      </c>
      <c r="Y29" s="781">
        <v>1</v>
      </c>
      <c r="Z29" s="781">
        <v>1</v>
      </c>
      <c r="AA29" s="781">
        <v>1</v>
      </c>
      <c r="AB29" s="781">
        <v>1</v>
      </c>
      <c r="AC29" s="781">
        <v>1</v>
      </c>
      <c r="AD29" s="781">
        <v>1</v>
      </c>
      <c r="AE29" s="781">
        <v>1</v>
      </c>
      <c r="AF29" s="781">
        <v>1</v>
      </c>
      <c r="AG29" s="781">
        <v>1</v>
      </c>
      <c r="AH29" s="781">
        <v>1</v>
      </c>
      <c r="AI29" s="781">
        <v>1</v>
      </c>
      <c r="AJ29" s="781">
        <v>1</v>
      </c>
      <c r="AK29" s="781">
        <v>1</v>
      </c>
      <c r="AL29" s="781">
        <v>1</v>
      </c>
      <c r="AM29" s="781">
        <v>1</v>
      </c>
      <c r="AN29" s="781">
        <v>1</v>
      </c>
      <c r="AO29" s="781">
        <v>1</v>
      </c>
      <c r="AP29" s="781">
        <v>1</v>
      </c>
      <c r="AQ29" s="781">
        <v>1</v>
      </c>
      <c r="AR29" s="781">
        <v>1</v>
      </c>
      <c r="AS29" s="781">
        <v>1</v>
      </c>
      <c r="AT29" s="781">
        <v>1</v>
      </c>
      <c r="AU29" s="781">
        <v>1</v>
      </c>
      <c r="AV29" s="781">
        <v>1</v>
      </c>
      <c r="AX29" s="781">
        <v>1</v>
      </c>
      <c r="AY29" s="781">
        <v>1</v>
      </c>
      <c r="AZ29" s="781">
        <v>1</v>
      </c>
      <c r="BA29" s="781">
        <v>0</v>
      </c>
      <c r="BB29" s="781">
        <v>0</v>
      </c>
      <c r="BC29" s="781">
        <v>0</v>
      </c>
      <c r="BD29" s="781">
        <v>0</v>
      </c>
      <c r="BE29" s="781">
        <v>0</v>
      </c>
      <c r="BF29" s="781">
        <v>0</v>
      </c>
      <c r="BG29" s="781">
        <v>1</v>
      </c>
      <c r="BH29" s="781">
        <v>1</v>
      </c>
      <c r="BI29" s="781">
        <v>1</v>
      </c>
      <c r="BJ29" s="781">
        <v>1</v>
      </c>
      <c r="BK29" s="781">
        <v>1</v>
      </c>
      <c r="BL29" s="781">
        <v>1</v>
      </c>
      <c r="BM29" s="781">
        <v>1</v>
      </c>
      <c r="BN29" s="781">
        <v>1</v>
      </c>
      <c r="BO29" s="781">
        <v>1</v>
      </c>
      <c r="BP29" s="781">
        <v>1</v>
      </c>
      <c r="BQ29" s="781">
        <v>1</v>
      </c>
      <c r="BR29" s="781">
        <v>1</v>
      </c>
      <c r="BS29" s="781">
        <v>1</v>
      </c>
      <c r="BT29" s="781">
        <v>1</v>
      </c>
      <c r="BU29" s="781">
        <v>1</v>
      </c>
      <c r="BV29" s="781">
        <v>1</v>
      </c>
      <c r="BW29" s="781">
        <v>1</v>
      </c>
      <c r="BX29" s="781">
        <v>1</v>
      </c>
      <c r="BY29" s="781">
        <v>1</v>
      </c>
      <c r="BZ29" s="781">
        <v>1</v>
      </c>
      <c r="CA29" s="781">
        <v>1</v>
      </c>
      <c r="CB29" s="781">
        <v>1</v>
      </c>
      <c r="CC29" s="781">
        <v>1</v>
      </c>
      <c r="CD29" s="781">
        <v>1</v>
      </c>
      <c r="CE29" s="781">
        <v>1</v>
      </c>
      <c r="CF29" s="781">
        <v>1</v>
      </c>
      <c r="CG29" s="781">
        <v>1</v>
      </c>
      <c r="CH29" s="781">
        <v>1</v>
      </c>
      <c r="CI29" s="781">
        <v>1</v>
      </c>
      <c r="CJ29" s="781">
        <v>1</v>
      </c>
      <c r="CK29" s="1230">
        <f t="shared" ref="CK29:CK30" si="212">(BG29+BJ29+BM29+BP29+BS29+BV29+BY29+CB29+CE29+CH29)/10</f>
        <v>1</v>
      </c>
      <c r="CL29" s="1230">
        <f t="shared" ref="CL29:CL30" si="213">(BH29+BK29+BN29+BQ29+BT29+BW29+BZ29+CC29+CF29+CI29)/10</f>
        <v>1</v>
      </c>
      <c r="CM29" s="1230">
        <f t="shared" ref="CM29:CM30" si="214">(BI29+BL29+BO29+BR29+BU29+BX29+CA29+CD29+CG29+CJ29)/10</f>
        <v>1</v>
      </c>
      <c r="CN29" s="781">
        <v>1</v>
      </c>
      <c r="CO29" s="781">
        <v>1</v>
      </c>
      <c r="CP29" s="781">
        <v>1</v>
      </c>
      <c r="CQ29" s="781">
        <v>1</v>
      </c>
      <c r="CR29" s="781">
        <v>1</v>
      </c>
      <c r="CS29" s="781">
        <v>1</v>
      </c>
      <c r="CT29" s="781"/>
    </row>
    <row r="30" spans="1:98" x14ac:dyDescent="0.25">
      <c r="A30" s="1186"/>
      <c r="B30" s="1182" t="s">
        <v>2034</v>
      </c>
      <c r="C30" s="1202" t="s">
        <v>1961</v>
      </c>
      <c r="D30" s="781">
        <v>0</v>
      </c>
      <c r="E30" s="781">
        <v>0.5</v>
      </c>
      <c r="F30" s="781">
        <v>0.5</v>
      </c>
      <c r="G30" s="781">
        <v>0.5</v>
      </c>
      <c r="H30" s="781">
        <v>0.5</v>
      </c>
      <c r="I30" s="781">
        <v>0.5</v>
      </c>
      <c r="J30" s="781">
        <v>0.5</v>
      </c>
      <c r="K30" s="781">
        <v>0.5</v>
      </c>
      <c r="L30" s="781">
        <v>0</v>
      </c>
      <c r="M30" s="781">
        <v>0</v>
      </c>
      <c r="N30" s="781">
        <v>0</v>
      </c>
      <c r="O30" s="781">
        <v>0</v>
      </c>
      <c r="P30" s="781">
        <v>0</v>
      </c>
      <c r="Q30" s="781">
        <v>0</v>
      </c>
      <c r="R30" s="781">
        <v>0</v>
      </c>
      <c r="S30" s="781">
        <v>0</v>
      </c>
      <c r="T30" s="781">
        <v>0</v>
      </c>
      <c r="U30" s="781">
        <v>0</v>
      </c>
      <c r="V30" s="781">
        <v>0</v>
      </c>
      <c r="W30" s="781">
        <v>0</v>
      </c>
      <c r="X30" s="781">
        <v>0</v>
      </c>
      <c r="Y30" s="781">
        <v>0</v>
      </c>
      <c r="Z30" s="781">
        <v>0</v>
      </c>
      <c r="AA30" s="781">
        <v>0</v>
      </c>
      <c r="AB30" s="781">
        <v>0.5</v>
      </c>
      <c r="AC30" s="781">
        <v>0.5</v>
      </c>
      <c r="AD30" s="781">
        <v>0.5</v>
      </c>
      <c r="AE30" s="781">
        <v>0.5</v>
      </c>
      <c r="AF30" s="781">
        <v>0.5</v>
      </c>
      <c r="AG30" s="781">
        <v>0.5</v>
      </c>
      <c r="AH30" s="781">
        <v>0.5</v>
      </c>
      <c r="AI30" s="781">
        <v>0.5</v>
      </c>
      <c r="AJ30" s="781">
        <v>0.5</v>
      </c>
      <c r="AK30" s="781">
        <v>0.5</v>
      </c>
      <c r="AL30" s="781">
        <v>0.5</v>
      </c>
      <c r="AM30" s="781">
        <v>0.5</v>
      </c>
      <c r="AN30" s="781">
        <v>0.5</v>
      </c>
      <c r="AO30" s="781">
        <v>0.5</v>
      </c>
      <c r="AP30" s="781">
        <v>0.5</v>
      </c>
      <c r="AQ30" s="781">
        <v>0.5</v>
      </c>
      <c r="AR30" s="781">
        <v>0.5</v>
      </c>
      <c r="AS30" s="781">
        <v>0.5</v>
      </c>
      <c r="AT30" s="781">
        <v>0.5</v>
      </c>
      <c r="AU30" s="781">
        <v>0.5</v>
      </c>
      <c r="AV30" s="781">
        <v>0.5</v>
      </c>
      <c r="AX30" s="781">
        <v>0.5</v>
      </c>
      <c r="AY30" s="781">
        <v>0.5</v>
      </c>
      <c r="AZ30" s="781">
        <v>0.5</v>
      </c>
      <c r="BA30" s="781">
        <v>0</v>
      </c>
      <c r="BB30" s="781">
        <v>0</v>
      </c>
      <c r="BC30" s="781">
        <v>0</v>
      </c>
      <c r="BD30" s="781">
        <v>0</v>
      </c>
      <c r="BE30" s="781">
        <v>0</v>
      </c>
      <c r="BF30" s="781">
        <v>0</v>
      </c>
      <c r="BG30" s="781">
        <v>0.5</v>
      </c>
      <c r="BH30" s="781">
        <v>0.5</v>
      </c>
      <c r="BI30" s="781">
        <v>0.5</v>
      </c>
      <c r="BJ30" s="781">
        <v>0.5</v>
      </c>
      <c r="BK30" s="781">
        <v>0.5</v>
      </c>
      <c r="BL30" s="781">
        <v>0.5</v>
      </c>
      <c r="BM30" s="781">
        <v>0.5</v>
      </c>
      <c r="BN30" s="781">
        <v>0.5</v>
      </c>
      <c r="BO30" s="781">
        <v>0.5</v>
      </c>
      <c r="BP30" s="781">
        <v>0.5</v>
      </c>
      <c r="BQ30" s="781">
        <v>0.5</v>
      </c>
      <c r="BR30" s="781">
        <v>0.5</v>
      </c>
      <c r="BS30" s="781">
        <v>0.5</v>
      </c>
      <c r="BT30" s="781">
        <v>0.5</v>
      </c>
      <c r="BU30" s="781">
        <v>0.5</v>
      </c>
      <c r="BV30" s="781">
        <v>0.5</v>
      </c>
      <c r="BW30" s="781">
        <v>0.5</v>
      </c>
      <c r="BX30" s="781">
        <v>0.5</v>
      </c>
      <c r="BY30" s="781">
        <v>0.5</v>
      </c>
      <c r="BZ30" s="781">
        <v>0.5</v>
      </c>
      <c r="CA30" s="781">
        <v>0.5</v>
      </c>
      <c r="CB30" s="781">
        <v>0.5</v>
      </c>
      <c r="CC30" s="781">
        <v>0.5</v>
      </c>
      <c r="CD30" s="781">
        <v>0.5</v>
      </c>
      <c r="CE30" s="781">
        <v>0.5</v>
      </c>
      <c r="CF30" s="781">
        <v>0.5</v>
      </c>
      <c r="CG30" s="781">
        <v>0.5</v>
      </c>
      <c r="CH30" s="781">
        <v>0.5</v>
      </c>
      <c r="CI30" s="781">
        <v>0.5</v>
      </c>
      <c r="CJ30" s="781">
        <v>0.5</v>
      </c>
      <c r="CK30" s="1230">
        <f t="shared" si="212"/>
        <v>0.5</v>
      </c>
      <c r="CL30" s="1230">
        <f t="shared" si="213"/>
        <v>0.5</v>
      </c>
      <c r="CM30" s="1230">
        <f t="shared" si="214"/>
        <v>0.5</v>
      </c>
      <c r="CN30" s="781">
        <v>0</v>
      </c>
      <c r="CO30" s="781">
        <v>0</v>
      </c>
      <c r="CP30" s="781">
        <v>0</v>
      </c>
      <c r="CQ30" s="781">
        <v>0</v>
      </c>
      <c r="CR30" s="781">
        <v>0</v>
      </c>
      <c r="CS30" s="781">
        <v>0</v>
      </c>
      <c r="CT30" s="781"/>
    </row>
    <row r="31" spans="1:98" s="779" customFormat="1" ht="30" x14ac:dyDescent="0.25">
      <c r="A31" s="1182" t="s">
        <v>2035</v>
      </c>
      <c r="B31" s="783" t="s">
        <v>1514</v>
      </c>
      <c r="C31" s="1204"/>
      <c r="D31" s="782"/>
      <c r="E31" s="782"/>
      <c r="F31" s="782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82"/>
      <c r="R31" s="782"/>
      <c r="S31" s="782"/>
      <c r="T31" s="782"/>
      <c r="U31" s="782"/>
      <c r="V31" s="782"/>
      <c r="W31" s="782"/>
      <c r="X31" s="782"/>
      <c r="Y31" s="782"/>
      <c r="Z31" s="782"/>
      <c r="AA31" s="782"/>
      <c r="AB31" s="782"/>
      <c r="AC31" s="782"/>
      <c r="AD31" s="782"/>
      <c r="AE31" s="782"/>
      <c r="AF31" s="782"/>
      <c r="AG31" s="782"/>
      <c r="AH31" s="782"/>
      <c r="AI31" s="782"/>
      <c r="AJ31" s="782"/>
      <c r="AK31" s="782"/>
      <c r="AL31" s="782"/>
      <c r="AM31" s="782"/>
      <c r="AN31" s="782"/>
      <c r="AO31" s="782"/>
      <c r="AP31" s="782"/>
      <c r="AQ31" s="782"/>
      <c r="AR31" s="782"/>
      <c r="AS31" s="782"/>
      <c r="AT31" s="782"/>
      <c r="AU31" s="782"/>
      <c r="AV31" s="782"/>
      <c r="AX31" s="782"/>
      <c r="AY31" s="782"/>
      <c r="AZ31" s="782"/>
      <c r="BA31" s="782"/>
      <c r="BB31" s="782"/>
      <c r="BC31" s="782"/>
      <c r="BD31" s="782"/>
      <c r="BE31" s="782"/>
      <c r="BF31" s="782"/>
      <c r="BG31" s="782"/>
      <c r="BH31" s="782"/>
      <c r="BI31" s="782"/>
      <c r="BJ31" s="782"/>
      <c r="BK31" s="782"/>
      <c r="BL31" s="782"/>
      <c r="BM31" s="782"/>
      <c r="BN31" s="782"/>
      <c r="BO31" s="782"/>
      <c r="BP31" s="782"/>
      <c r="BQ31" s="782"/>
      <c r="BR31" s="782"/>
      <c r="BS31" s="782"/>
      <c r="BT31" s="782"/>
      <c r="BU31" s="782"/>
      <c r="BV31" s="782"/>
      <c r="BW31" s="782"/>
      <c r="BX31" s="782"/>
      <c r="BY31" s="782"/>
      <c r="BZ31" s="782"/>
      <c r="CA31" s="782"/>
      <c r="CB31" s="782"/>
      <c r="CC31" s="782"/>
      <c r="CD31" s="782"/>
      <c r="CE31" s="782"/>
      <c r="CF31" s="782"/>
      <c r="CG31" s="782"/>
      <c r="CH31" s="782"/>
      <c r="CI31" s="782"/>
      <c r="CJ31" s="782"/>
      <c r="CK31" s="782"/>
      <c r="CL31" s="782"/>
      <c r="CM31" s="782"/>
      <c r="CN31" s="782"/>
      <c r="CO31" s="782"/>
      <c r="CP31" s="782"/>
      <c r="CQ31" s="782"/>
      <c r="CR31" s="782"/>
      <c r="CS31" s="782"/>
      <c r="CT31" s="782"/>
    </row>
    <row r="32" spans="1:98" s="779" customFormat="1" ht="30" x14ac:dyDescent="0.25">
      <c r="A32" s="1182" t="s">
        <v>2027</v>
      </c>
      <c r="B32" s="783" t="s">
        <v>1515</v>
      </c>
      <c r="C32" s="1204"/>
      <c r="D32" s="782"/>
      <c r="E32" s="782"/>
      <c r="F32" s="782"/>
      <c r="G32" s="782"/>
      <c r="H32" s="782"/>
      <c r="I32" s="782"/>
      <c r="J32" s="782"/>
      <c r="K32" s="782"/>
      <c r="L32" s="782"/>
      <c r="M32" s="782"/>
      <c r="N32" s="782"/>
      <c r="O32" s="782"/>
      <c r="P32" s="782"/>
      <c r="Q32" s="782"/>
      <c r="R32" s="782"/>
      <c r="S32" s="782"/>
      <c r="T32" s="782"/>
      <c r="U32" s="782"/>
      <c r="V32" s="782"/>
      <c r="W32" s="782"/>
      <c r="X32" s="782"/>
      <c r="Y32" s="782"/>
      <c r="Z32" s="782"/>
      <c r="AA32" s="782"/>
      <c r="AB32" s="782"/>
      <c r="AC32" s="782"/>
      <c r="AD32" s="782"/>
      <c r="AE32" s="782"/>
      <c r="AF32" s="782"/>
      <c r="AG32" s="782"/>
      <c r="AH32" s="782"/>
      <c r="AI32" s="782"/>
      <c r="AJ32" s="782"/>
      <c r="AK32" s="782"/>
      <c r="AL32" s="782"/>
      <c r="AM32" s="782"/>
      <c r="AN32" s="782"/>
      <c r="AO32" s="782"/>
      <c r="AP32" s="782"/>
      <c r="AQ32" s="782"/>
      <c r="AR32" s="782"/>
      <c r="AS32" s="782"/>
      <c r="AT32" s="782"/>
      <c r="AU32" s="782"/>
      <c r="AV32" s="782"/>
      <c r="AX32" s="782"/>
      <c r="AY32" s="782"/>
      <c r="AZ32" s="782"/>
      <c r="BA32" s="782"/>
      <c r="BB32" s="782"/>
      <c r="BC32" s="782"/>
      <c r="BD32" s="782"/>
      <c r="BE32" s="782"/>
      <c r="BF32" s="782"/>
      <c r="BG32" s="782"/>
      <c r="BH32" s="782"/>
      <c r="BI32" s="782"/>
      <c r="BJ32" s="782"/>
      <c r="BK32" s="782"/>
      <c r="BL32" s="782"/>
      <c r="BM32" s="782"/>
      <c r="BN32" s="782"/>
      <c r="BO32" s="782"/>
      <c r="BP32" s="782"/>
      <c r="BQ32" s="782"/>
      <c r="BR32" s="782"/>
      <c r="BS32" s="782"/>
      <c r="BT32" s="782"/>
      <c r="BU32" s="782"/>
      <c r="BV32" s="782"/>
      <c r="BW32" s="782"/>
      <c r="BX32" s="782"/>
      <c r="BY32" s="782"/>
      <c r="BZ32" s="782"/>
      <c r="CA32" s="782"/>
      <c r="CB32" s="782"/>
      <c r="CC32" s="782"/>
      <c r="CD32" s="782"/>
      <c r="CE32" s="782"/>
      <c r="CF32" s="782"/>
      <c r="CG32" s="782"/>
      <c r="CH32" s="782"/>
      <c r="CI32" s="782"/>
      <c r="CJ32" s="782"/>
      <c r="CK32" s="782"/>
      <c r="CL32" s="782"/>
      <c r="CM32" s="782"/>
      <c r="CN32" s="782"/>
      <c r="CO32" s="782"/>
      <c r="CP32" s="782"/>
      <c r="CQ32" s="782"/>
      <c r="CR32" s="782"/>
      <c r="CS32" s="782"/>
      <c r="CT32" s="782"/>
    </row>
    <row r="33" spans="1:98" s="271" customFormat="1" ht="7.5" customHeight="1" x14ac:dyDescent="0.25">
      <c r="A33" s="1186"/>
      <c r="B33" s="1182"/>
      <c r="C33" s="1203"/>
      <c r="D33" s="1184"/>
      <c r="E33" s="1184"/>
      <c r="F33" s="1184"/>
      <c r="G33" s="1184"/>
      <c r="H33" s="1184"/>
      <c r="I33" s="1184"/>
      <c r="J33" s="1184"/>
      <c r="K33" s="1184"/>
      <c r="L33" s="1184"/>
      <c r="M33" s="1184"/>
      <c r="N33" s="1184"/>
      <c r="O33" s="1184"/>
      <c r="P33" s="1184"/>
      <c r="Q33" s="1184"/>
      <c r="R33" s="1184"/>
      <c r="S33" s="1184"/>
      <c r="T33" s="1184"/>
      <c r="U33" s="1184"/>
      <c r="V33" s="1184"/>
      <c r="W33" s="1184"/>
      <c r="X33" s="1184"/>
      <c r="Y33" s="1184"/>
      <c r="Z33" s="1184"/>
      <c r="AA33" s="1184"/>
      <c r="AB33" s="1184"/>
      <c r="AC33" s="1184"/>
      <c r="AD33" s="1184"/>
      <c r="AE33" s="1184"/>
      <c r="AF33" s="1184"/>
      <c r="AG33" s="1184"/>
      <c r="AH33" s="1184"/>
      <c r="AI33" s="1184"/>
      <c r="AJ33" s="1184"/>
      <c r="AK33" s="1184"/>
      <c r="AL33" s="1184"/>
      <c r="AM33" s="1184"/>
      <c r="AN33" s="1184"/>
      <c r="AO33" s="1184"/>
      <c r="AP33" s="1184"/>
      <c r="AQ33" s="1184"/>
      <c r="AR33" s="1184"/>
      <c r="AS33" s="1184"/>
      <c r="AT33" s="1184"/>
      <c r="AU33" s="1184"/>
      <c r="AV33" s="1184"/>
      <c r="AX33" s="1184"/>
      <c r="AY33" s="1184"/>
      <c r="AZ33" s="1184"/>
      <c r="BA33" s="1184"/>
      <c r="BB33" s="1184"/>
      <c r="BC33" s="1184"/>
      <c r="BD33" s="1184"/>
      <c r="BE33" s="1184"/>
      <c r="BF33" s="1184"/>
      <c r="BG33" s="1184"/>
      <c r="BH33" s="1184"/>
      <c r="BI33" s="1184"/>
      <c r="BJ33" s="1184"/>
      <c r="BK33" s="1184"/>
      <c r="BL33" s="1184"/>
      <c r="BM33" s="1184"/>
      <c r="BN33" s="1184"/>
      <c r="BO33" s="1184"/>
      <c r="BP33" s="1184"/>
      <c r="BQ33" s="1184"/>
      <c r="BR33" s="1184"/>
      <c r="BS33" s="1184"/>
      <c r="BT33" s="1184"/>
      <c r="BU33" s="1184"/>
      <c r="BV33" s="1184"/>
      <c r="BW33" s="1184"/>
      <c r="BX33" s="1184"/>
      <c r="BY33" s="1184"/>
      <c r="BZ33" s="1184"/>
      <c r="CA33" s="1184"/>
      <c r="CB33" s="1184"/>
      <c r="CC33" s="1184"/>
      <c r="CD33" s="1184"/>
      <c r="CE33" s="1184"/>
      <c r="CF33" s="1184"/>
      <c r="CG33" s="1184"/>
      <c r="CH33" s="1184"/>
      <c r="CI33" s="1184"/>
      <c r="CJ33" s="1184"/>
      <c r="CK33" s="1184"/>
      <c r="CL33" s="1184"/>
      <c r="CM33" s="1184"/>
      <c r="CN33" s="1184"/>
      <c r="CO33" s="1184"/>
      <c r="CP33" s="1184"/>
      <c r="CQ33" s="1184"/>
      <c r="CR33" s="1184"/>
      <c r="CS33" s="1184"/>
      <c r="CT33" s="1184"/>
    </row>
    <row r="34" spans="1:98" s="271" customFormat="1" x14ac:dyDescent="0.25">
      <c r="A34" s="1186"/>
      <c r="B34" s="1210" t="s">
        <v>1965</v>
      </c>
      <c r="C34" s="1203"/>
      <c r="D34" s="1184"/>
      <c r="E34" s="1184"/>
      <c r="F34" s="1184"/>
      <c r="G34" s="1184"/>
      <c r="H34" s="1184"/>
      <c r="I34" s="1184"/>
      <c r="J34" s="1184"/>
      <c r="K34" s="1184"/>
      <c r="L34" s="1184"/>
      <c r="M34" s="1184"/>
      <c r="N34" s="1184"/>
      <c r="O34" s="1184"/>
      <c r="P34" s="1184"/>
      <c r="Q34" s="1184"/>
      <c r="R34" s="1184"/>
      <c r="S34" s="1184"/>
      <c r="T34" s="1184"/>
      <c r="U34" s="1184"/>
      <c r="V34" s="1184"/>
      <c r="W34" s="1184"/>
      <c r="X34" s="1184"/>
      <c r="Y34" s="1184"/>
      <c r="Z34" s="1184"/>
      <c r="AA34" s="1184"/>
      <c r="AB34" s="1184"/>
      <c r="AC34" s="1184"/>
      <c r="AD34" s="1184"/>
      <c r="AE34" s="1184"/>
      <c r="AF34" s="1184"/>
      <c r="AG34" s="1184"/>
      <c r="AH34" s="1184"/>
      <c r="AI34" s="1184"/>
      <c r="AJ34" s="1184"/>
      <c r="AK34" s="1184"/>
      <c r="AL34" s="1184"/>
      <c r="AM34" s="1184"/>
      <c r="AN34" s="1184"/>
      <c r="AO34" s="1184"/>
      <c r="AP34" s="1184"/>
      <c r="AQ34" s="1184"/>
      <c r="AR34" s="1184"/>
      <c r="AS34" s="1184"/>
      <c r="AT34" s="1184"/>
      <c r="AU34" s="1184"/>
      <c r="AV34" s="1184"/>
      <c r="AX34" s="1209">
        <f t="shared" ref="AX34:BV34" si="215">SUM(AX35:AX38)</f>
        <v>2.25</v>
      </c>
      <c r="AY34" s="1209">
        <f t="shared" si="215"/>
        <v>2.25</v>
      </c>
      <c r="AZ34" s="1209">
        <f t="shared" si="215"/>
        <v>2.25</v>
      </c>
      <c r="BA34" s="1209">
        <f t="shared" si="215"/>
        <v>0</v>
      </c>
      <c r="BB34" s="1209">
        <f t="shared" si="215"/>
        <v>0</v>
      </c>
      <c r="BC34" s="1209">
        <f t="shared" si="215"/>
        <v>0</v>
      </c>
      <c r="BD34" s="1209">
        <f t="shared" si="215"/>
        <v>0</v>
      </c>
      <c r="BE34" s="1209">
        <f t="shared" si="215"/>
        <v>0</v>
      </c>
      <c r="BF34" s="1209">
        <f t="shared" si="215"/>
        <v>0</v>
      </c>
      <c r="BG34" s="1209">
        <f t="shared" si="215"/>
        <v>2.25</v>
      </c>
      <c r="BH34" s="1209">
        <f t="shared" ref="BH34" si="216">SUM(BH35:BH38)</f>
        <v>2.25</v>
      </c>
      <c r="BI34" s="1209">
        <f t="shared" ref="BI34" si="217">SUM(BI35:BI38)</f>
        <v>2.25</v>
      </c>
      <c r="BJ34" s="1209">
        <f t="shared" si="215"/>
        <v>2.25</v>
      </c>
      <c r="BK34" s="1209">
        <f t="shared" ref="BK34" si="218">SUM(BK35:BK38)</f>
        <v>2.25</v>
      </c>
      <c r="BL34" s="1209">
        <f t="shared" ref="BL34" si="219">SUM(BL35:BL38)</f>
        <v>2.25</v>
      </c>
      <c r="BM34" s="1209">
        <f t="shared" si="215"/>
        <v>2.25</v>
      </c>
      <c r="BN34" s="1209">
        <f t="shared" ref="BN34" si="220">SUM(BN35:BN38)</f>
        <v>2.25</v>
      </c>
      <c r="BO34" s="1209">
        <f t="shared" ref="BO34" si="221">SUM(BO35:BO38)</f>
        <v>2.25</v>
      </c>
      <c r="BP34" s="1209">
        <f t="shared" si="215"/>
        <v>2.25</v>
      </c>
      <c r="BQ34" s="1209">
        <f t="shared" ref="BQ34" si="222">SUM(BQ35:BQ38)</f>
        <v>2.25</v>
      </c>
      <c r="BR34" s="1209">
        <f t="shared" ref="BR34" si="223">SUM(BR35:BR38)</f>
        <v>2.25</v>
      </c>
      <c r="BS34" s="1209">
        <f t="shared" si="215"/>
        <v>2.25</v>
      </c>
      <c r="BT34" s="1209">
        <f t="shared" ref="BT34" si="224">SUM(BT35:BT38)</f>
        <v>2.25</v>
      </c>
      <c r="BU34" s="1209">
        <f t="shared" ref="BU34" si="225">SUM(BU35:BU38)</f>
        <v>2.25</v>
      </c>
      <c r="BV34" s="1209">
        <f t="shared" si="215"/>
        <v>2.25</v>
      </c>
      <c r="BW34" s="1209">
        <f t="shared" ref="BW34" si="226">SUM(BW35:BW38)</f>
        <v>2.25</v>
      </c>
      <c r="BX34" s="1209">
        <f t="shared" ref="BX34" si="227">SUM(BX35:BX38)</f>
        <v>2.25</v>
      </c>
      <c r="BY34" s="1209">
        <f t="shared" ref="BY34:CH34" si="228">SUM(BY35:BY38)</f>
        <v>2.25</v>
      </c>
      <c r="BZ34" s="1209">
        <f t="shared" ref="BZ34:CA34" si="229">SUM(BZ35:BZ38)</f>
        <v>2.25</v>
      </c>
      <c r="CA34" s="1209">
        <f t="shared" si="229"/>
        <v>2.25</v>
      </c>
      <c r="CB34" s="1209">
        <f>SUM(CB35:CB38)</f>
        <v>2.25</v>
      </c>
      <c r="CC34" s="1209">
        <f t="shared" ref="CC34:CD34" si="230">SUM(CC35:CC38)</f>
        <v>2.25</v>
      </c>
      <c r="CD34" s="1209">
        <f t="shared" si="230"/>
        <v>2.25</v>
      </c>
      <c r="CE34" s="1209">
        <f>SUM(CE35:CE38)</f>
        <v>2.25</v>
      </c>
      <c r="CF34" s="1209">
        <f t="shared" ref="CF34:CG34" si="231">SUM(CF35:CF38)</f>
        <v>2.25</v>
      </c>
      <c r="CG34" s="1209">
        <f t="shared" si="231"/>
        <v>2.25</v>
      </c>
      <c r="CH34" s="1209">
        <f t="shared" si="228"/>
        <v>2.25</v>
      </c>
      <c r="CI34" s="1209">
        <f t="shared" ref="CI34:CJ34" si="232">SUM(CI35:CI38)</f>
        <v>2.25</v>
      </c>
      <c r="CJ34" s="1209">
        <f t="shared" si="232"/>
        <v>2.25</v>
      </c>
      <c r="CK34" s="1209">
        <f t="shared" ref="CK34:CM34" si="233">SUM(CK35:CK38)</f>
        <v>2.25</v>
      </c>
      <c r="CL34" s="1209">
        <f t="shared" si="233"/>
        <v>2.25</v>
      </c>
      <c r="CM34" s="1209">
        <f t="shared" si="233"/>
        <v>2.25</v>
      </c>
      <c r="CN34" s="1209">
        <f>SUM(CN35:CN38)</f>
        <v>1.5</v>
      </c>
      <c r="CO34" s="1209">
        <f t="shared" ref="CO34:CP34" si="234">SUM(CO35:CO38)</f>
        <v>1.5</v>
      </c>
      <c r="CP34" s="1209">
        <f t="shared" si="234"/>
        <v>1.5</v>
      </c>
      <c r="CQ34" s="1209">
        <f>SUM(CQ35:CQ38)</f>
        <v>2</v>
      </c>
      <c r="CR34" s="1209">
        <f t="shared" ref="CR34:CS34" si="235">SUM(CR35:CR38)</f>
        <v>2</v>
      </c>
      <c r="CS34" s="1209">
        <f t="shared" si="235"/>
        <v>2</v>
      </c>
      <c r="CT34" s="1184"/>
    </row>
    <row r="35" spans="1:98" s="779" customFormat="1" ht="45" x14ac:dyDescent="0.25">
      <c r="A35" s="1182" t="s">
        <v>2036</v>
      </c>
      <c r="B35" s="1186" t="s">
        <v>2037</v>
      </c>
      <c r="C35" s="1202" t="s">
        <v>1961</v>
      </c>
      <c r="D35" s="781">
        <v>0</v>
      </c>
      <c r="E35" s="781">
        <v>0.5</v>
      </c>
      <c r="F35" s="781">
        <v>0.5</v>
      </c>
      <c r="G35" s="781">
        <v>0.5</v>
      </c>
      <c r="H35" s="781">
        <v>0.5</v>
      </c>
      <c r="I35" s="781">
        <v>1</v>
      </c>
      <c r="J35" s="781">
        <v>1</v>
      </c>
      <c r="K35" s="781">
        <v>1</v>
      </c>
      <c r="L35" s="781">
        <v>1</v>
      </c>
      <c r="M35" s="781">
        <v>1</v>
      </c>
      <c r="N35" s="781">
        <v>1</v>
      </c>
      <c r="O35" s="781">
        <v>1</v>
      </c>
      <c r="P35" s="781">
        <v>1</v>
      </c>
      <c r="Q35" s="781">
        <v>1</v>
      </c>
      <c r="R35" s="781">
        <v>1</v>
      </c>
      <c r="S35" s="781">
        <v>1</v>
      </c>
      <c r="T35" s="781">
        <v>1</v>
      </c>
      <c r="U35" s="781">
        <v>1</v>
      </c>
      <c r="V35" s="781">
        <v>1</v>
      </c>
      <c r="W35" s="781">
        <v>1</v>
      </c>
      <c r="X35" s="781">
        <v>1</v>
      </c>
      <c r="Y35" s="781">
        <v>1</v>
      </c>
      <c r="Z35" s="781">
        <v>1</v>
      </c>
      <c r="AA35" s="781">
        <v>1</v>
      </c>
      <c r="AB35" s="781">
        <v>1</v>
      </c>
      <c r="AC35" s="781">
        <v>1</v>
      </c>
      <c r="AD35" s="781">
        <v>1</v>
      </c>
      <c r="AE35" s="781">
        <v>1</v>
      </c>
      <c r="AF35" s="781">
        <v>1</v>
      </c>
      <c r="AG35" s="781">
        <v>1</v>
      </c>
      <c r="AH35" s="781">
        <v>1</v>
      </c>
      <c r="AI35" s="781">
        <v>1</v>
      </c>
      <c r="AJ35" s="781">
        <v>1</v>
      </c>
      <c r="AK35" s="781">
        <v>1</v>
      </c>
      <c r="AL35" s="781">
        <v>1</v>
      </c>
      <c r="AM35" s="781">
        <v>1</v>
      </c>
      <c r="AN35" s="781">
        <v>1</v>
      </c>
      <c r="AO35" s="781">
        <v>1</v>
      </c>
      <c r="AP35" s="781">
        <v>1</v>
      </c>
      <c r="AQ35" s="781">
        <v>1</v>
      </c>
      <c r="AR35" s="781">
        <v>1</v>
      </c>
      <c r="AS35" s="781">
        <v>1</v>
      </c>
      <c r="AT35" s="781">
        <v>1</v>
      </c>
      <c r="AU35" s="781">
        <v>1</v>
      </c>
      <c r="AV35" s="781">
        <v>1</v>
      </c>
      <c r="AX35" s="781">
        <v>1</v>
      </c>
      <c r="AY35" s="781">
        <v>1</v>
      </c>
      <c r="AZ35" s="781">
        <v>1</v>
      </c>
      <c r="BA35" s="781">
        <v>0</v>
      </c>
      <c r="BB35" s="781">
        <v>0</v>
      </c>
      <c r="BC35" s="781">
        <v>0</v>
      </c>
      <c r="BD35" s="781">
        <v>0</v>
      </c>
      <c r="BE35" s="781">
        <v>0</v>
      </c>
      <c r="BF35" s="781">
        <v>0</v>
      </c>
      <c r="BG35" s="781">
        <v>1</v>
      </c>
      <c r="BH35" s="781">
        <v>1</v>
      </c>
      <c r="BI35" s="781">
        <v>1</v>
      </c>
      <c r="BJ35" s="781">
        <v>1</v>
      </c>
      <c r="BK35" s="781">
        <v>1</v>
      </c>
      <c r="BL35" s="781">
        <v>1</v>
      </c>
      <c r="BM35" s="781">
        <v>1</v>
      </c>
      <c r="BN35" s="781">
        <v>1</v>
      </c>
      <c r="BO35" s="781">
        <v>1</v>
      </c>
      <c r="BP35" s="781">
        <v>1</v>
      </c>
      <c r="BQ35" s="781">
        <v>1</v>
      </c>
      <c r="BR35" s="781">
        <v>1</v>
      </c>
      <c r="BS35" s="781">
        <v>1</v>
      </c>
      <c r="BT35" s="781">
        <v>1</v>
      </c>
      <c r="BU35" s="781">
        <v>1</v>
      </c>
      <c r="BV35" s="781">
        <v>1</v>
      </c>
      <c r="BW35" s="781">
        <v>1</v>
      </c>
      <c r="BX35" s="781">
        <v>1</v>
      </c>
      <c r="BY35" s="781">
        <v>1</v>
      </c>
      <c r="BZ35" s="781">
        <v>1</v>
      </c>
      <c r="CA35" s="781">
        <v>1</v>
      </c>
      <c r="CB35" s="781">
        <v>1</v>
      </c>
      <c r="CC35" s="781">
        <v>1</v>
      </c>
      <c r="CD35" s="781">
        <v>1</v>
      </c>
      <c r="CE35" s="781">
        <v>1</v>
      </c>
      <c r="CF35" s="781">
        <v>1</v>
      </c>
      <c r="CG35" s="781">
        <v>1</v>
      </c>
      <c r="CH35" s="781">
        <v>1</v>
      </c>
      <c r="CI35" s="781">
        <v>1</v>
      </c>
      <c r="CJ35" s="781">
        <v>1</v>
      </c>
      <c r="CK35" s="1230">
        <f t="shared" ref="CK35:CK38" si="236">(BG35+BJ35+BM35+BP35+BS35+BV35+BY35+CB35+CE35+CH35)/10</f>
        <v>1</v>
      </c>
      <c r="CL35" s="1230">
        <f t="shared" ref="CL35:CL38" si="237">(BH35+BK35+BN35+BQ35+BT35+BW35+BZ35+CC35+CF35+CI35)/10</f>
        <v>1</v>
      </c>
      <c r="CM35" s="1230">
        <f t="shared" ref="CM35:CM38" si="238">(BI35+BL35+BO35+BR35+BU35+BX35+CA35+CD35+CG35+CJ35)/10</f>
        <v>1</v>
      </c>
      <c r="CN35" s="781">
        <v>1</v>
      </c>
      <c r="CO35" s="781">
        <v>1</v>
      </c>
      <c r="CP35" s="781">
        <v>1</v>
      </c>
      <c r="CQ35" s="781">
        <v>1</v>
      </c>
      <c r="CR35" s="781">
        <v>1</v>
      </c>
      <c r="CS35" s="781">
        <v>1</v>
      </c>
      <c r="CT35" s="781"/>
    </row>
    <row r="36" spans="1:98" ht="30" x14ac:dyDescent="0.25">
      <c r="A36" s="1182" t="s">
        <v>2027</v>
      </c>
      <c r="B36" s="1182" t="s">
        <v>1966</v>
      </c>
      <c r="C36" s="1203" t="s">
        <v>2038</v>
      </c>
      <c r="D36" s="781">
        <v>0</v>
      </c>
      <c r="E36" s="781">
        <v>0</v>
      </c>
      <c r="F36" s="781">
        <v>0</v>
      </c>
      <c r="G36" s="781">
        <v>0</v>
      </c>
      <c r="H36" s="781">
        <v>0</v>
      </c>
      <c r="I36" s="781">
        <v>0</v>
      </c>
      <c r="J36" s="781">
        <v>0</v>
      </c>
      <c r="K36" s="781">
        <v>0</v>
      </c>
      <c r="L36" s="781">
        <v>0.5</v>
      </c>
      <c r="M36" s="781">
        <v>0.5</v>
      </c>
      <c r="N36" s="781">
        <v>0.5</v>
      </c>
      <c r="O36" s="781">
        <v>0.5</v>
      </c>
      <c r="P36" s="781">
        <v>0.5</v>
      </c>
      <c r="Q36" s="781">
        <v>0.5</v>
      </c>
      <c r="R36" s="781">
        <v>0.5</v>
      </c>
      <c r="S36" s="781">
        <v>0.5</v>
      </c>
      <c r="T36" s="781">
        <v>0.5</v>
      </c>
      <c r="U36" s="781">
        <v>0.5</v>
      </c>
      <c r="V36" s="781">
        <v>0.5</v>
      </c>
      <c r="W36" s="781">
        <v>0.5</v>
      </c>
      <c r="X36" s="781">
        <v>0.5</v>
      </c>
      <c r="Y36" s="781">
        <v>0.5</v>
      </c>
      <c r="Z36" s="781">
        <v>0.5</v>
      </c>
      <c r="AA36" s="781">
        <v>0.5</v>
      </c>
      <c r="AB36" s="781">
        <v>0.5</v>
      </c>
      <c r="AC36" s="781">
        <v>0.5</v>
      </c>
      <c r="AD36" s="781">
        <v>0.5</v>
      </c>
      <c r="AE36" s="781">
        <v>0.5</v>
      </c>
      <c r="AF36" s="781">
        <v>0.5</v>
      </c>
      <c r="AG36" s="781">
        <v>0.5</v>
      </c>
      <c r="AH36" s="781">
        <v>0.5</v>
      </c>
      <c r="AI36" s="781">
        <v>0.5</v>
      </c>
      <c r="AJ36" s="781">
        <v>0.5</v>
      </c>
      <c r="AK36" s="781">
        <v>0.5</v>
      </c>
      <c r="AL36" s="781">
        <v>0.5</v>
      </c>
      <c r="AM36" s="781">
        <v>0.5</v>
      </c>
      <c r="AN36" s="781">
        <v>0.5</v>
      </c>
      <c r="AO36" s="781">
        <v>0.5</v>
      </c>
      <c r="AP36" s="781">
        <v>0.5</v>
      </c>
      <c r="AQ36" s="781">
        <v>0.5</v>
      </c>
      <c r="AR36" s="781">
        <v>0.5</v>
      </c>
      <c r="AS36" s="781">
        <v>0.5</v>
      </c>
      <c r="AT36" s="781">
        <v>0.5</v>
      </c>
      <c r="AU36" s="781">
        <v>0.5</v>
      </c>
      <c r="AV36" s="781">
        <v>0.5</v>
      </c>
      <c r="AX36" s="781">
        <v>0.5</v>
      </c>
      <c r="AY36" s="781">
        <v>0.5</v>
      </c>
      <c r="AZ36" s="781">
        <v>0.5</v>
      </c>
      <c r="BA36" s="781">
        <v>0</v>
      </c>
      <c r="BB36" s="781">
        <v>0</v>
      </c>
      <c r="BC36" s="781">
        <v>0</v>
      </c>
      <c r="BD36" s="781">
        <v>0</v>
      </c>
      <c r="BE36" s="781">
        <v>0</v>
      </c>
      <c r="BF36" s="781">
        <v>0</v>
      </c>
      <c r="BG36" s="781">
        <v>0.5</v>
      </c>
      <c r="BH36" s="781">
        <v>0.5</v>
      </c>
      <c r="BI36" s="781">
        <v>0.5</v>
      </c>
      <c r="BJ36" s="781">
        <v>0.5</v>
      </c>
      <c r="BK36" s="781">
        <v>0.5</v>
      </c>
      <c r="BL36" s="781">
        <v>0.5</v>
      </c>
      <c r="BM36" s="781">
        <v>0.5</v>
      </c>
      <c r="BN36" s="781">
        <v>0.5</v>
      </c>
      <c r="BO36" s="781">
        <v>0.5</v>
      </c>
      <c r="BP36" s="781">
        <v>0.5</v>
      </c>
      <c r="BQ36" s="781">
        <v>0.5</v>
      </c>
      <c r="BR36" s="781">
        <v>0.5</v>
      </c>
      <c r="BS36" s="781">
        <v>0.5</v>
      </c>
      <c r="BT36" s="781">
        <v>0.5</v>
      </c>
      <c r="BU36" s="781">
        <v>0.5</v>
      </c>
      <c r="BV36" s="781">
        <v>0.5</v>
      </c>
      <c r="BW36" s="781">
        <v>0.5</v>
      </c>
      <c r="BX36" s="781">
        <v>0.5</v>
      </c>
      <c r="BY36" s="781">
        <v>0.5</v>
      </c>
      <c r="BZ36" s="781">
        <v>0.5</v>
      </c>
      <c r="CA36" s="781">
        <v>0.5</v>
      </c>
      <c r="CB36" s="781">
        <v>0.5</v>
      </c>
      <c r="CC36" s="781">
        <v>0.5</v>
      </c>
      <c r="CD36" s="781">
        <v>0.5</v>
      </c>
      <c r="CE36" s="781">
        <v>0.5</v>
      </c>
      <c r="CF36" s="781">
        <v>0.5</v>
      </c>
      <c r="CG36" s="781">
        <v>0.5</v>
      </c>
      <c r="CH36" s="781">
        <v>0.5</v>
      </c>
      <c r="CI36" s="781">
        <v>0.5</v>
      </c>
      <c r="CJ36" s="781">
        <v>0.5</v>
      </c>
      <c r="CK36" s="1230">
        <f t="shared" si="236"/>
        <v>0.5</v>
      </c>
      <c r="CL36" s="1230">
        <f t="shared" si="237"/>
        <v>0.5</v>
      </c>
      <c r="CM36" s="1230">
        <f t="shared" si="238"/>
        <v>0.5</v>
      </c>
      <c r="CN36" s="781">
        <v>0</v>
      </c>
      <c r="CO36" s="781">
        <v>0</v>
      </c>
      <c r="CP36" s="781">
        <v>0</v>
      </c>
      <c r="CQ36" s="781">
        <v>0.5</v>
      </c>
      <c r="CR36" s="781">
        <v>0.5</v>
      </c>
      <c r="CS36" s="781">
        <v>0.5</v>
      </c>
      <c r="CT36" s="781"/>
    </row>
    <row r="37" spans="1:98" ht="45" customHeight="1" x14ac:dyDescent="0.25">
      <c r="A37" s="1182" t="s">
        <v>2027</v>
      </c>
      <c r="B37" s="1182" t="s">
        <v>1517</v>
      </c>
      <c r="C37" s="1203" t="s">
        <v>2039</v>
      </c>
      <c r="D37" s="781">
        <v>0</v>
      </c>
      <c r="E37" s="781">
        <v>0</v>
      </c>
      <c r="F37" s="781">
        <v>0</v>
      </c>
      <c r="G37" s="781">
        <v>0</v>
      </c>
      <c r="H37" s="781">
        <v>0</v>
      </c>
      <c r="I37" s="781">
        <v>0</v>
      </c>
      <c r="J37" s="781">
        <v>0</v>
      </c>
      <c r="K37" s="781">
        <v>0</v>
      </c>
      <c r="L37" s="1184">
        <v>0.25</v>
      </c>
      <c r="M37" s="1184">
        <v>0.25</v>
      </c>
      <c r="N37" s="1184">
        <v>0.25</v>
      </c>
      <c r="O37" s="1184">
        <v>0.25</v>
      </c>
      <c r="P37" s="1184">
        <v>0.25</v>
      </c>
      <c r="Q37" s="1184">
        <v>0.5</v>
      </c>
      <c r="R37" s="1184">
        <v>0.5</v>
      </c>
      <c r="S37" s="1184">
        <v>0.5</v>
      </c>
      <c r="T37" s="1184">
        <v>0.5</v>
      </c>
      <c r="U37" s="1184">
        <v>0.5</v>
      </c>
      <c r="V37" s="1184">
        <v>0.5</v>
      </c>
      <c r="W37" s="1184">
        <v>0.5</v>
      </c>
      <c r="X37" s="1184">
        <v>0.5</v>
      </c>
      <c r="Y37" s="1184">
        <v>0.5</v>
      </c>
      <c r="Z37" s="1184">
        <v>0.5</v>
      </c>
      <c r="AA37" s="1184">
        <v>0.5</v>
      </c>
      <c r="AB37" s="1184">
        <v>0.75</v>
      </c>
      <c r="AC37" s="1184">
        <v>0.75</v>
      </c>
      <c r="AD37" s="1184">
        <v>0.75</v>
      </c>
      <c r="AE37" s="1184">
        <v>0.75</v>
      </c>
      <c r="AF37" s="1184">
        <v>0.75</v>
      </c>
      <c r="AG37" s="1184">
        <v>0.75</v>
      </c>
      <c r="AH37" s="1184">
        <v>0.75</v>
      </c>
      <c r="AI37" s="1184">
        <v>0.75</v>
      </c>
      <c r="AJ37" s="1184">
        <v>0.75</v>
      </c>
      <c r="AK37" s="1184">
        <v>0.75</v>
      </c>
      <c r="AL37" s="1184">
        <v>1</v>
      </c>
      <c r="AM37" s="1184">
        <v>1</v>
      </c>
      <c r="AN37" s="1184">
        <v>1</v>
      </c>
      <c r="AO37" s="1184">
        <v>1</v>
      </c>
      <c r="AP37" s="1184">
        <v>1</v>
      </c>
      <c r="AQ37" s="1184">
        <v>1</v>
      </c>
      <c r="AR37" s="1184">
        <v>1</v>
      </c>
      <c r="AS37" s="1184">
        <v>1</v>
      </c>
      <c r="AT37" s="1184">
        <v>1</v>
      </c>
      <c r="AU37" s="1184">
        <v>1</v>
      </c>
      <c r="AV37" s="1184">
        <v>1</v>
      </c>
      <c r="AX37" s="1184">
        <v>0.75</v>
      </c>
      <c r="AY37" s="1184">
        <v>0.75</v>
      </c>
      <c r="AZ37" s="1184">
        <v>0.75</v>
      </c>
      <c r="BA37" s="1184">
        <v>0</v>
      </c>
      <c r="BB37" s="1184">
        <v>0</v>
      </c>
      <c r="BC37" s="1184">
        <v>0</v>
      </c>
      <c r="BD37" s="1184">
        <v>0</v>
      </c>
      <c r="BE37" s="1184">
        <v>0</v>
      </c>
      <c r="BF37" s="1184">
        <v>0</v>
      </c>
      <c r="BG37" s="1184">
        <v>0.75</v>
      </c>
      <c r="BH37" s="1184">
        <v>0.75</v>
      </c>
      <c r="BI37" s="1184">
        <v>0.75</v>
      </c>
      <c r="BJ37" s="1184">
        <v>0.75</v>
      </c>
      <c r="BK37" s="1184">
        <v>0.75</v>
      </c>
      <c r="BL37" s="1184">
        <v>0.75</v>
      </c>
      <c r="BM37" s="1184">
        <v>0.75</v>
      </c>
      <c r="BN37" s="1184">
        <v>0.75</v>
      </c>
      <c r="BO37" s="1184">
        <v>0.75</v>
      </c>
      <c r="BP37" s="1184">
        <v>0.75</v>
      </c>
      <c r="BQ37" s="1184">
        <v>0.75</v>
      </c>
      <c r="BR37" s="1184">
        <v>0.75</v>
      </c>
      <c r="BS37" s="1184">
        <v>0.75</v>
      </c>
      <c r="BT37" s="1184">
        <v>0.75</v>
      </c>
      <c r="BU37" s="1184">
        <v>0.75</v>
      </c>
      <c r="BV37" s="1184">
        <v>0.75</v>
      </c>
      <c r="BW37" s="1184">
        <v>0.75</v>
      </c>
      <c r="BX37" s="1184">
        <v>0.75</v>
      </c>
      <c r="BY37" s="1184">
        <v>0.75</v>
      </c>
      <c r="BZ37" s="1184">
        <v>0.75</v>
      </c>
      <c r="CA37" s="1184">
        <v>0.75</v>
      </c>
      <c r="CB37" s="1184">
        <v>0.75</v>
      </c>
      <c r="CC37" s="1184">
        <v>0.75</v>
      </c>
      <c r="CD37" s="1184">
        <v>0.75</v>
      </c>
      <c r="CE37" s="1184">
        <v>0.75</v>
      </c>
      <c r="CF37" s="1184">
        <v>0.75</v>
      </c>
      <c r="CG37" s="1184">
        <v>0.75</v>
      </c>
      <c r="CH37" s="1184">
        <v>0.75</v>
      </c>
      <c r="CI37" s="1184">
        <v>0.75</v>
      </c>
      <c r="CJ37" s="1184">
        <v>0.75</v>
      </c>
      <c r="CK37" s="1230">
        <f t="shared" si="236"/>
        <v>0.75</v>
      </c>
      <c r="CL37" s="1230">
        <f t="shared" si="237"/>
        <v>0.75</v>
      </c>
      <c r="CM37" s="1230">
        <f t="shared" si="238"/>
        <v>0.75</v>
      </c>
      <c r="CN37" s="1184">
        <v>0.5</v>
      </c>
      <c r="CO37" s="1184">
        <v>0.5</v>
      </c>
      <c r="CP37" s="1184">
        <v>0.5</v>
      </c>
      <c r="CQ37" s="1184">
        <v>0.5</v>
      </c>
      <c r="CR37" s="1184">
        <v>0.5</v>
      </c>
      <c r="CS37" s="1184">
        <v>0.5</v>
      </c>
      <c r="CT37" s="1184"/>
    </row>
    <row r="38" spans="1:98" ht="63.75" x14ac:dyDescent="0.25">
      <c r="A38" s="1182" t="s">
        <v>2027</v>
      </c>
      <c r="B38" s="1182" t="s">
        <v>1516</v>
      </c>
      <c r="C38" s="1205" t="s">
        <v>2040</v>
      </c>
      <c r="D38" s="781"/>
      <c r="E38" s="781"/>
      <c r="F38" s="781"/>
      <c r="G38" s="781"/>
      <c r="H38" s="781"/>
      <c r="I38" s="781"/>
      <c r="J38" s="781"/>
      <c r="K38" s="781"/>
      <c r="L38" s="781"/>
      <c r="M38" s="781"/>
      <c r="N38" s="781"/>
      <c r="O38" s="781"/>
      <c r="P38" s="781"/>
      <c r="Q38" s="781"/>
      <c r="R38" s="781"/>
      <c r="S38" s="781"/>
      <c r="T38" s="781"/>
      <c r="U38" s="781"/>
      <c r="V38" s="781"/>
      <c r="W38" s="781"/>
      <c r="X38" s="781"/>
      <c r="Y38" s="781"/>
      <c r="Z38" s="781"/>
      <c r="AA38" s="781"/>
      <c r="AB38" s="781"/>
      <c r="AC38" s="781"/>
      <c r="AD38" s="781"/>
      <c r="AE38" s="781"/>
      <c r="AF38" s="781"/>
      <c r="AG38" s="781"/>
      <c r="AH38" s="781"/>
      <c r="AI38" s="781"/>
      <c r="AJ38" s="781"/>
      <c r="AK38" s="781"/>
      <c r="AL38" s="781"/>
      <c r="AM38" s="781"/>
      <c r="AN38" s="781"/>
      <c r="AO38" s="781"/>
      <c r="AP38" s="781"/>
      <c r="AQ38" s="781"/>
      <c r="AR38" s="781"/>
      <c r="AS38" s="781"/>
      <c r="AT38" s="781"/>
      <c r="AU38" s="781"/>
      <c r="AV38" s="781"/>
      <c r="AX38" s="781"/>
      <c r="AY38" s="781"/>
      <c r="AZ38" s="781"/>
      <c r="BA38" s="781"/>
      <c r="BB38" s="781"/>
      <c r="BC38" s="781"/>
      <c r="BD38" s="781"/>
      <c r="BE38" s="781"/>
      <c r="BF38" s="781"/>
      <c r="BG38" s="781"/>
      <c r="BH38" s="781"/>
      <c r="BI38" s="781"/>
      <c r="BJ38" s="781"/>
      <c r="BK38" s="781"/>
      <c r="BL38" s="781"/>
      <c r="BM38" s="781"/>
      <c r="BN38" s="781"/>
      <c r="BO38" s="781"/>
      <c r="BP38" s="781"/>
      <c r="BQ38" s="781"/>
      <c r="BR38" s="781"/>
      <c r="BS38" s="781"/>
      <c r="BT38" s="781"/>
      <c r="BU38" s="781"/>
      <c r="BV38" s="781"/>
      <c r="BW38" s="781"/>
      <c r="BX38" s="781"/>
      <c r="BY38" s="781"/>
      <c r="BZ38" s="781"/>
      <c r="CA38" s="781"/>
      <c r="CB38" s="781"/>
      <c r="CC38" s="781"/>
      <c r="CD38" s="781"/>
      <c r="CE38" s="781"/>
      <c r="CF38" s="781"/>
      <c r="CG38" s="781"/>
      <c r="CH38" s="781"/>
      <c r="CI38" s="781"/>
      <c r="CJ38" s="781"/>
      <c r="CK38" s="1230">
        <f t="shared" si="236"/>
        <v>0</v>
      </c>
      <c r="CL38" s="1230">
        <f t="shared" si="237"/>
        <v>0</v>
      </c>
      <c r="CM38" s="1230">
        <f t="shared" si="238"/>
        <v>0</v>
      </c>
      <c r="CN38" s="781"/>
      <c r="CO38" s="781"/>
      <c r="CP38" s="781"/>
      <c r="CQ38" s="781"/>
      <c r="CR38" s="781"/>
      <c r="CS38" s="781"/>
      <c r="CT38" s="781"/>
    </row>
    <row r="39" spans="1:98" x14ac:dyDescent="0.25">
      <c r="A39" s="1186"/>
      <c r="B39" s="1182"/>
      <c r="C39" s="1203"/>
      <c r="D39" s="781"/>
      <c r="E39" s="781"/>
      <c r="F39" s="781"/>
      <c r="G39" s="781"/>
      <c r="H39" s="781"/>
      <c r="I39" s="781"/>
      <c r="J39" s="781"/>
      <c r="K39" s="781"/>
      <c r="L39" s="781"/>
      <c r="M39" s="781"/>
      <c r="N39" s="781"/>
      <c r="O39" s="781"/>
      <c r="P39" s="781"/>
      <c r="Q39" s="781"/>
      <c r="R39" s="781"/>
      <c r="S39" s="781"/>
      <c r="T39" s="781"/>
      <c r="U39" s="781"/>
      <c r="V39" s="781"/>
      <c r="W39" s="781"/>
      <c r="X39" s="781"/>
      <c r="Y39" s="781"/>
      <c r="Z39" s="781"/>
      <c r="AA39" s="781"/>
      <c r="AB39" s="781"/>
      <c r="AC39" s="781"/>
      <c r="AD39" s="781"/>
      <c r="AE39" s="781"/>
      <c r="AF39" s="781"/>
      <c r="AG39" s="781"/>
      <c r="AH39" s="781"/>
      <c r="AI39" s="781"/>
      <c r="AJ39" s="781"/>
      <c r="AK39" s="781"/>
      <c r="AL39" s="781"/>
      <c r="AM39" s="781"/>
      <c r="AN39" s="781"/>
      <c r="AO39" s="781"/>
      <c r="AP39" s="781"/>
      <c r="AQ39" s="781"/>
      <c r="AR39" s="781"/>
      <c r="AS39" s="781"/>
      <c r="AT39" s="781"/>
      <c r="AU39" s="781"/>
      <c r="AV39" s="781"/>
      <c r="AX39" s="781"/>
      <c r="AY39" s="781"/>
      <c r="AZ39" s="781"/>
      <c r="BA39" s="781"/>
      <c r="BB39" s="781"/>
      <c r="BC39" s="781"/>
      <c r="BD39" s="781"/>
      <c r="BE39" s="781"/>
      <c r="BF39" s="781"/>
      <c r="BG39" s="781"/>
      <c r="BH39" s="781"/>
      <c r="BI39" s="781"/>
      <c r="BJ39" s="781"/>
      <c r="BK39" s="781"/>
      <c r="BL39" s="781"/>
      <c r="BM39" s="781"/>
      <c r="BN39" s="781"/>
      <c r="BO39" s="781"/>
      <c r="BP39" s="781"/>
      <c r="BQ39" s="781"/>
      <c r="BR39" s="781"/>
      <c r="BS39" s="781"/>
      <c r="BT39" s="781"/>
      <c r="BU39" s="781"/>
      <c r="BV39" s="781"/>
      <c r="BW39" s="781"/>
      <c r="BX39" s="781"/>
      <c r="BY39" s="781"/>
      <c r="BZ39" s="781"/>
      <c r="CA39" s="781"/>
      <c r="CB39" s="781"/>
      <c r="CC39" s="781"/>
      <c r="CD39" s="781"/>
      <c r="CE39" s="781"/>
      <c r="CF39" s="781"/>
      <c r="CG39" s="781"/>
      <c r="CH39" s="781"/>
      <c r="CI39" s="781"/>
      <c r="CJ39" s="781"/>
      <c r="CK39" s="781"/>
      <c r="CL39" s="781"/>
      <c r="CM39" s="781"/>
      <c r="CN39" s="781"/>
      <c r="CO39" s="781"/>
      <c r="CP39" s="781"/>
      <c r="CQ39" s="781"/>
      <c r="CR39" s="781"/>
      <c r="CS39" s="781"/>
      <c r="CT39" s="781"/>
    </row>
    <row r="40" spans="1:98" ht="60" x14ac:dyDescent="0.25">
      <c r="A40" s="1186"/>
      <c r="B40" s="1210" t="s">
        <v>2041</v>
      </c>
      <c r="C40" s="1203"/>
      <c r="D40" s="781"/>
      <c r="E40" s="781"/>
      <c r="F40" s="781"/>
      <c r="G40" s="781"/>
      <c r="H40" s="781"/>
      <c r="I40" s="781"/>
      <c r="J40" s="781"/>
      <c r="K40" s="781"/>
      <c r="L40" s="781"/>
      <c r="M40" s="781"/>
      <c r="N40" s="781"/>
      <c r="O40" s="781"/>
      <c r="P40" s="781"/>
      <c r="Q40" s="781"/>
      <c r="R40" s="781"/>
      <c r="S40" s="781"/>
      <c r="T40" s="781"/>
      <c r="U40" s="781"/>
      <c r="V40" s="781"/>
      <c r="W40" s="781"/>
      <c r="X40" s="781"/>
      <c r="Y40" s="781"/>
      <c r="Z40" s="781"/>
      <c r="AA40" s="781"/>
      <c r="AB40" s="781"/>
      <c r="AC40" s="781"/>
      <c r="AD40" s="781"/>
      <c r="AE40" s="781"/>
      <c r="AF40" s="781"/>
      <c r="AG40" s="781"/>
      <c r="AH40" s="781"/>
      <c r="AI40" s="781"/>
      <c r="AJ40" s="781"/>
      <c r="AK40" s="781"/>
      <c r="AL40" s="781"/>
      <c r="AM40" s="781"/>
      <c r="AN40" s="781"/>
      <c r="AO40" s="781"/>
      <c r="AP40" s="781"/>
      <c r="AQ40" s="781"/>
      <c r="AR40" s="781"/>
      <c r="AS40" s="781"/>
      <c r="AT40" s="781"/>
      <c r="AU40" s="781"/>
      <c r="AV40" s="781"/>
      <c r="AX40" s="1209">
        <f t="shared" ref="AX40:BS40" si="239">SUM(AX41:AX41)</f>
        <v>2</v>
      </c>
      <c r="AY40" s="1209">
        <f t="shared" si="239"/>
        <v>2</v>
      </c>
      <c r="AZ40" s="1209">
        <f t="shared" si="239"/>
        <v>2</v>
      </c>
      <c r="BA40" s="1209">
        <f t="shared" si="239"/>
        <v>0</v>
      </c>
      <c r="BB40" s="1209">
        <f t="shared" si="239"/>
        <v>0</v>
      </c>
      <c r="BC40" s="1209">
        <f t="shared" si="239"/>
        <v>0</v>
      </c>
      <c r="BD40" s="1209">
        <f t="shared" si="239"/>
        <v>0</v>
      </c>
      <c r="BE40" s="1209">
        <f t="shared" si="239"/>
        <v>0</v>
      </c>
      <c r="BF40" s="1209">
        <f t="shared" si="239"/>
        <v>0</v>
      </c>
      <c r="BG40" s="1209">
        <f t="shared" si="239"/>
        <v>2</v>
      </c>
      <c r="BH40" s="1209">
        <f t="shared" ref="BH40" si="240">SUM(BH41:BH41)</f>
        <v>2</v>
      </c>
      <c r="BI40" s="1209">
        <f t="shared" ref="BI40" si="241">SUM(BI41:BI41)</f>
        <v>2</v>
      </c>
      <c r="BJ40" s="1209">
        <f t="shared" si="239"/>
        <v>2</v>
      </c>
      <c r="BK40" s="1209">
        <f t="shared" ref="BK40" si="242">SUM(BK41:BK41)</f>
        <v>2</v>
      </c>
      <c r="BL40" s="1209">
        <f t="shared" ref="BL40" si="243">SUM(BL41:BL41)</f>
        <v>2</v>
      </c>
      <c r="BM40" s="1209">
        <f t="shared" si="239"/>
        <v>2</v>
      </c>
      <c r="BN40" s="1209">
        <f t="shared" ref="BN40" si="244">SUM(BN41:BN41)</f>
        <v>2</v>
      </c>
      <c r="BO40" s="1209">
        <f t="shared" ref="BO40" si="245">SUM(BO41:BO41)</f>
        <v>2</v>
      </c>
      <c r="BP40" s="1209">
        <f t="shared" si="239"/>
        <v>2</v>
      </c>
      <c r="BQ40" s="1209">
        <f t="shared" ref="BQ40" si="246">SUM(BQ41:BQ41)</f>
        <v>2</v>
      </c>
      <c r="BR40" s="1209">
        <f t="shared" ref="BR40" si="247">SUM(BR41:BR41)</f>
        <v>2</v>
      </c>
      <c r="BS40" s="1209">
        <f t="shared" si="239"/>
        <v>2</v>
      </c>
      <c r="BT40" s="1209">
        <f t="shared" ref="BT40" si="248">SUM(BT41:BT41)</f>
        <v>2</v>
      </c>
      <c r="BU40" s="1209">
        <f t="shared" ref="BU40" si="249">SUM(BU41:BU41)</f>
        <v>2</v>
      </c>
      <c r="BV40" s="1209">
        <f t="shared" ref="BV40:CM40" si="250">SUM(BV41:BV41)</f>
        <v>2</v>
      </c>
      <c r="BW40" s="1209">
        <f t="shared" si="250"/>
        <v>2</v>
      </c>
      <c r="BX40" s="1209">
        <f t="shared" si="250"/>
        <v>2</v>
      </c>
      <c r="BY40" s="1209">
        <f t="shared" si="250"/>
        <v>2</v>
      </c>
      <c r="BZ40" s="1209">
        <f t="shared" si="250"/>
        <v>2</v>
      </c>
      <c r="CA40" s="1209">
        <f t="shared" si="250"/>
        <v>2</v>
      </c>
      <c r="CB40" s="1209">
        <f>SUM(CB41:CB41)</f>
        <v>2</v>
      </c>
      <c r="CC40" s="1209">
        <f t="shared" ref="CC40:CD40" si="251">SUM(CC41:CC41)</f>
        <v>2</v>
      </c>
      <c r="CD40" s="1209">
        <f t="shared" si="251"/>
        <v>2</v>
      </c>
      <c r="CE40" s="1209">
        <f>SUM(CE41:CE41)</f>
        <v>2</v>
      </c>
      <c r="CF40" s="1209">
        <f t="shared" ref="CF40:CG40" si="252">SUM(CF41:CF41)</f>
        <v>2</v>
      </c>
      <c r="CG40" s="1209">
        <f t="shared" si="252"/>
        <v>2</v>
      </c>
      <c r="CH40" s="1209">
        <f t="shared" si="250"/>
        <v>2</v>
      </c>
      <c r="CI40" s="1209">
        <f t="shared" si="250"/>
        <v>2</v>
      </c>
      <c r="CJ40" s="1209">
        <f t="shared" si="250"/>
        <v>2</v>
      </c>
      <c r="CK40" s="1209">
        <f t="shared" si="250"/>
        <v>2</v>
      </c>
      <c r="CL40" s="1209">
        <f t="shared" si="250"/>
        <v>2</v>
      </c>
      <c r="CM40" s="1209">
        <f t="shared" si="250"/>
        <v>2</v>
      </c>
      <c r="CN40" s="1209">
        <f>SUM(CN41:CN41)</f>
        <v>1</v>
      </c>
      <c r="CO40" s="1209">
        <f t="shared" ref="CO40:CP40" si="253">SUM(CO41:CO41)</f>
        <v>1</v>
      </c>
      <c r="CP40" s="1209">
        <f t="shared" si="253"/>
        <v>1</v>
      </c>
      <c r="CQ40" s="1209">
        <f>SUM(CQ41:CQ41)</f>
        <v>1</v>
      </c>
      <c r="CR40" s="1209">
        <f t="shared" ref="CR40:CS40" si="254">SUM(CR41:CR41)</f>
        <v>1</v>
      </c>
      <c r="CS40" s="1209">
        <f t="shared" si="254"/>
        <v>1</v>
      </c>
      <c r="CT40" s="781"/>
    </row>
    <row r="41" spans="1:98" ht="167.25" customHeight="1" x14ac:dyDescent="0.25">
      <c r="A41" s="1182" t="s">
        <v>2027</v>
      </c>
      <c r="B41" s="1182" t="s">
        <v>2042</v>
      </c>
      <c r="C41" s="1203" t="s">
        <v>2043</v>
      </c>
      <c r="D41" s="781"/>
      <c r="E41" s="781"/>
      <c r="F41" s="781"/>
      <c r="G41" s="781"/>
      <c r="H41" s="781"/>
      <c r="I41" s="781"/>
      <c r="J41" s="781"/>
      <c r="K41" s="781"/>
      <c r="L41" s="781"/>
      <c r="M41" s="781"/>
      <c r="N41" s="781"/>
      <c r="O41" s="781"/>
      <c r="P41" s="781"/>
      <c r="Q41" s="781"/>
      <c r="R41" s="781"/>
      <c r="S41" s="781"/>
      <c r="T41" s="781"/>
      <c r="U41" s="781"/>
      <c r="V41" s="781"/>
      <c r="W41" s="781"/>
      <c r="X41" s="781"/>
      <c r="Y41" s="781"/>
      <c r="Z41" s="781"/>
      <c r="AA41" s="781"/>
      <c r="AB41" s="781"/>
      <c r="AC41" s="781"/>
      <c r="AD41" s="781"/>
      <c r="AE41" s="781"/>
      <c r="AF41" s="781"/>
      <c r="AG41" s="781"/>
      <c r="AH41" s="781"/>
      <c r="AI41" s="781"/>
      <c r="AJ41" s="781"/>
      <c r="AK41" s="781"/>
      <c r="AL41" s="781"/>
      <c r="AM41" s="781"/>
      <c r="AN41" s="781"/>
      <c r="AO41" s="781"/>
      <c r="AP41" s="781"/>
      <c r="AQ41" s="781"/>
      <c r="AR41" s="781"/>
      <c r="AS41" s="781"/>
      <c r="AT41" s="781"/>
      <c r="AU41" s="781"/>
      <c r="AV41" s="781"/>
      <c r="AX41" s="781">
        <v>2</v>
      </c>
      <c r="AY41" s="781">
        <v>2</v>
      </c>
      <c r="AZ41" s="781">
        <v>2</v>
      </c>
      <c r="BA41" s="781">
        <v>0</v>
      </c>
      <c r="BB41" s="781">
        <v>0</v>
      </c>
      <c r="BC41" s="781">
        <v>0</v>
      </c>
      <c r="BD41" s="781">
        <v>0</v>
      </c>
      <c r="BE41" s="781">
        <v>0</v>
      </c>
      <c r="BF41" s="781">
        <v>0</v>
      </c>
      <c r="BG41" s="781">
        <v>2</v>
      </c>
      <c r="BH41" s="781">
        <v>2</v>
      </c>
      <c r="BI41" s="781">
        <v>2</v>
      </c>
      <c r="BJ41" s="781">
        <v>2</v>
      </c>
      <c r="BK41" s="781">
        <v>2</v>
      </c>
      <c r="BL41" s="781">
        <v>2</v>
      </c>
      <c r="BM41" s="781">
        <v>2</v>
      </c>
      <c r="BN41" s="781">
        <v>2</v>
      </c>
      <c r="BO41" s="781">
        <v>2</v>
      </c>
      <c r="BP41" s="781">
        <v>2</v>
      </c>
      <c r="BQ41" s="781">
        <v>2</v>
      </c>
      <c r="BR41" s="781">
        <v>2</v>
      </c>
      <c r="BS41" s="781">
        <v>2</v>
      </c>
      <c r="BT41" s="781">
        <v>2</v>
      </c>
      <c r="BU41" s="781">
        <v>2</v>
      </c>
      <c r="BV41" s="781">
        <v>2</v>
      </c>
      <c r="BW41" s="781">
        <v>2</v>
      </c>
      <c r="BX41" s="781">
        <v>2</v>
      </c>
      <c r="BY41" s="781">
        <v>2</v>
      </c>
      <c r="BZ41" s="781">
        <v>2</v>
      </c>
      <c r="CA41" s="781">
        <v>2</v>
      </c>
      <c r="CB41" s="781">
        <v>2</v>
      </c>
      <c r="CC41" s="781">
        <v>2</v>
      </c>
      <c r="CD41" s="781">
        <v>2</v>
      </c>
      <c r="CE41" s="781">
        <v>2</v>
      </c>
      <c r="CF41" s="781">
        <v>2</v>
      </c>
      <c r="CG41" s="781">
        <v>2</v>
      </c>
      <c r="CH41" s="781">
        <v>2</v>
      </c>
      <c r="CI41" s="781">
        <v>2</v>
      </c>
      <c r="CJ41" s="781">
        <v>2</v>
      </c>
      <c r="CK41" s="1230">
        <f t="shared" ref="CK41:CM41" si="255">(BG41+BJ41+BM41+BP41+BS41+BV41+BY41+CB41+CE41+CH41)/10</f>
        <v>2</v>
      </c>
      <c r="CL41" s="1230">
        <f t="shared" si="255"/>
        <v>2</v>
      </c>
      <c r="CM41" s="1230">
        <f t="shared" si="255"/>
        <v>2</v>
      </c>
      <c r="CN41" s="781">
        <v>1</v>
      </c>
      <c r="CO41" s="781">
        <v>1</v>
      </c>
      <c r="CP41" s="781">
        <v>1</v>
      </c>
      <c r="CQ41" s="781">
        <v>1</v>
      </c>
      <c r="CR41" s="781">
        <v>1</v>
      </c>
      <c r="CS41" s="781">
        <v>1</v>
      </c>
      <c r="CT41" s="1218" t="s">
        <v>2094</v>
      </c>
    </row>
    <row r="42" spans="1:98" x14ac:dyDescent="0.25">
      <c r="A42" s="1186"/>
      <c r="B42" s="1182"/>
      <c r="C42" s="1203"/>
      <c r="D42" s="781"/>
      <c r="E42" s="781"/>
      <c r="F42" s="781"/>
      <c r="G42" s="781"/>
      <c r="H42" s="781"/>
      <c r="I42" s="781"/>
      <c r="J42" s="781"/>
      <c r="K42" s="781"/>
      <c r="L42" s="781"/>
      <c r="M42" s="781"/>
      <c r="N42" s="781"/>
      <c r="O42" s="781"/>
      <c r="P42" s="781"/>
      <c r="Q42" s="781"/>
      <c r="R42" s="781"/>
      <c r="S42" s="781"/>
      <c r="T42" s="781"/>
      <c r="U42" s="781"/>
      <c r="V42" s="781"/>
      <c r="W42" s="781"/>
      <c r="X42" s="781"/>
      <c r="Y42" s="781"/>
      <c r="Z42" s="781"/>
      <c r="AA42" s="781"/>
      <c r="AB42" s="781"/>
      <c r="AC42" s="781"/>
      <c r="AD42" s="781"/>
      <c r="AE42" s="781"/>
      <c r="AF42" s="781"/>
      <c r="AG42" s="781"/>
      <c r="AH42" s="781"/>
      <c r="AI42" s="781"/>
      <c r="AJ42" s="781"/>
      <c r="AK42" s="781"/>
      <c r="AL42" s="781"/>
      <c r="AM42" s="781"/>
      <c r="AN42" s="781"/>
      <c r="AO42" s="781"/>
      <c r="AP42" s="781"/>
      <c r="AQ42" s="781"/>
      <c r="AR42" s="781"/>
      <c r="AS42" s="781"/>
      <c r="AT42" s="781"/>
      <c r="AU42" s="781"/>
      <c r="AV42" s="781"/>
      <c r="AX42" s="781"/>
      <c r="AY42" s="781"/>
      <c r="AZ42" s="781"/>
      <c r="BA42" s="781"/>
      <c r="BB42" s="781"/>
      <c r="BC42" s="781"/>
      <c r="BD42" s="781"/>
      <c r="BE42" s="781"/>
      <c r="BF42" s="781"/>
      <c r="BG42" s="781"/>
      <c r="BH42" s="781"/>
      <c r="BI42" s="781"/>
      <c r="BJ42" s="781"/>
      <c r="BK42" s="781"/>
      <c r="BL42" s="781"/>
      <c r="BM42" s="781"/>
      <c r="BN42" s="781"/>
      <c r="BO42" s="781"/>
      <c r="BP42" s="781"/>
      <c r="BQ42" s="781"/>
      <c r="BR42" s="781"/>
      <c r="BS42" s="781"/>
      <c r="BT42" s="781"/>
      <c r="BU42" s="781"/>
      <c r="BV42" s="781"/>
      <c r="BW42" s="781"/>
      <c r="BX42" s="781"/>
      <c r="BY42" s="781"/>
      <c r="BZ42" s="781"/>
      <c r="CA42" s="781"/>
      <c r="CB42" s="781"/>
      <c r="CC42" s="781"/>
      <c r="CD42" s="781"/>
      <c r="CE42" s="781"/>
      <c r="CF42" s="781"/>
      <c r="CG42" s="781"/>
      <c r="CH42" s="781"/>
      <c r="CI42" s="781"/>
      <c r="CJ42" s="781"/>
      <c r="CK42" s="781"/>
      <c r="CL42" s="781"/>
      <c r="CM42" s="781"/>
      <c r="CN42" s="781"/>
      <c r="CO42" s="781"/>
      <c r="CP42" s="781"/>
      <c r="CQ42" s="781"/>
      <c r="CR42" s="781"/>
      <c r="CS42" s="781"/>
      <c r="CT42" s="781"/>
    </row>
    <row r="43" spans="1:98" x14ac:dyDescent="0.25">
      <c r="A43" s="1186"/>
      <c r="B43" s="1210" t="s">
        <v>1967</v>
      </c>
      <c r="C43" s="1203"/>
      <c r="D43" s="781"/>
      <c r="E43" s="781"/>
      <c r="F43" s="781"/>
      <c r="G43" s="781"/>
      <c r="H43" s="781"/>
      <c r="I43" s="781"/>
      <c r="J43" s="781"/>
      <c r="K43" s="781"/>
      <c r="L43" s="781"/>
      <c r="M43" s="781"/>
      <c r="N43" s="781"/>
      <c r="O43" s="781"/>
      <c r="P43" s="781"/>
      <c r="Q43" s="781"/>
      <c r="R43" s="781"/>
      <c r="S43" s="781"/>
      <c r="T43" s="781"/>
      <c r="U43" s="781"/>
      <c r="V43" s="781"/>
      <c r="W43" s="781"/>
      <c r="X43" s="781"/>
      <c r="Y43" s="781"/>
      <c r="Z43" s="781"/>
      <c r="AA43" s="781"/>
      <c r="AB43" s="781"/>
      <c r="AC43" s="781"/>
      <c r="AD43" s="781"/>
      <c r="AE43" s="781"/>
      <c r="AF43" s="781"/>
      <c r="AG43" s="781"/>
      <c r="AH43" s="781"/>
      <c r="AI43" s="781"/>
      <c r="AJ43" s="781"/>
      <c r="AK43" s="781"/>
      <c r="AL43" s="781"/>
      <c r="AM43" s="781"/>
      <c r="AN43" s="781"/>
      <c r="AO43" s="781"/>
      <c r="AP43" s="781"/>
      <c r="AQ43" s="781"/>
      <c r="AR43" s="781"/>
      <c r="AS43" s="781"/>
      <c r="AT43" s="781"/>
      <c r="AU43" s="781"/>
      <c r="AV43" s="781"/>
      <c r="AX43" s="1209">
        <f t="shared" ref="AX43:BS43" si="256">SUM(AX44:AX44)</f>
        <v>2</v>
      </c>
      <c r="AY43" s="1209">
        <f t="shared" si="256"/>
        <v>2</v>
      </c>
      <c r="AZ43" s="1209">
        <f t="shared" si="256"/>
        <v>2</v>
      </c>
      <c r="BA43" s="1209">
        <f t="shared" si="256"/>
        <v>0</v>
      </c>
      <c r="BB43" s="1209">
        <f t="shared" si="256"/>
        <v>0</v>
      </c>
      <c r="BC43" s="1209">
        <f t="shared" si="256"/>
        <v>0</v>
      </c>
      <c r="BD43" s="1209">
        <f t="shared" si="256"/>
        <v>0</v>
      </c>
      <c r="BE43" s="1209">
        <f t="shared" si="256"/>
        <v>0</v>
      </c>
      <c r="BF43" s="1209">
        <f t="shared" si="256"/>
        <v>0</v>
      </c>
      <c r="BG43" s="1209">
        <f t="shared" si="256"/>
        <v>2</v>
      </c>
      <c r="BH43" s="1209">
        <f t="shared" ref="BH43" si="257">SUM(BH44:BH44)</f>
        <v>2</v>
      </c>
      <c r="BI43" s="1209">
        <f t="shared" ref="BI43" si="258">SUM(BI44:BI44)</f>
        <v>2</v>
      </c>
      <c r="BJ43" s="1209">
        <f t="shared" si="256"/>
        <v>2</v>
      </c>
      <c r="BK43" s="1209">
        <f t="shared" ref="BK43" si="259">SUM(BK44:BK44)</f>
        <v>2</v>
      </c>
      <c r="BL43" s="1209">
        <f t="shared" ref="BL43" si="260">SUM(BL44:BL44)</f>
        <v>2</v>
      </c>
      <c r="BM43" s="1209">
        <f t="shared" si="256"/>
        <v>2</v>
      </c>
      <c r="BN43" s="1209">
        <f t="shared" ref="BN43" si="261">SUM(BN44:BN44)</f>
        <v>2</v>
      </c>
      <c r="BO43" s="1209">
        <f t="shared" ref="BO43" si="262">SUM(BO44:BO44)</f>
        <v>2</v>
      </c>
      <c r="BP43" s="1209">
        <f t="shared" si="256"/>
        <v>2</v>
      </c>
      <c r="BQ43" s="1209">
        <f t="shared" ref="BQ43" si="263">SUM(BQ44:BQ44)</f>
        <v>2</v>
      </c>
      <c r="BR43" s="1209">
        <f t="shared" ref="BR43" si="264">SUM(BR44:BR44)</f>
        <v>2</v>
      </c>
      <c r="BS43" s="1209">
        <f t="shared" si="256"/>
        <v>2</v>
      </c>
      <c r="BT43" s="1209">
        <f t="shared" ref="BT43" si="265">SUM(BT44:BT44)</f>
        <v>2</v>
      </c>
      <c r="BU43" s="1209">
        <f t="shared" ref="BU43" si="266">SUM(BU44:BU44)</f>
        <v>2</v>
      </c>
      <c r="BV43" s="1209">
        <f t="shared" ref="BV43:CM43" si="267">SUM(BV44:BV44)</f>
        <v>2</v>
      </c>
      <c r="BW43" s="1209">
        <f t="shared" si="267"/>
        <v>2</v>
      </c>
      <c r="BX43" s="1209">
        <f t="shared" si="267"/>
        <v>2</v>
      </c>
      <c r="BY43" s="1209">
        <f t="shared" si="267"/>
        <v>2</v>
      </c>
      <c r="BZ43" s="1209">
        <f t="shared" si="267"/>
        <v>2</v>
      </c>
      <c r="CA43" s="1209">
        <f t="shared" si="267"/>
        <v>2</v>
      </c>
      <c r="CB43" s="1209">
        <f>SUM(CB44:CB44)</f>
        <v>2</v>
      </c>
      <c r="CC43" s="1209">
        <f t="shared" ref="CC43:CD43" si="268">SUM(CC44:CC44)</f>
        <v>2</v>
      </c>
      <c r="CD43" s="1209">
        <f t="shared" si="268"/>
        <v>2</v>
      </c>
      <c r="CE43" s="1209">
        <f>SUM(CE44:CE44)</f>
        <v>2</v>
      </c>
      <c r="CF43" s="1209">
        <f t="shared" ref="CF43:CG43" si="269">SUM(CF44:CF44)</f>
        <v>2</v>
      </c>
      <c r="CG43" s="1209">
        <f t="shared" si="269"/>
        <v>2</v>
      </c>
      <c r="CH43" s="1209">
        <f t="shared" si="267"/>
        <v>2</v>
      </c>
      <c r="CI43" s="1209">
        <f t="shared" si="267"/>
        <v>2</v>
      </c>
      <c r="CJ43" s="1209">
        <f t="shared" si="267"/>
        <v>2</v>
      </c>
      <c r="CK43" s="1209">
        <f t="shared" si="267"/>
        <v>2</v>
      </c>
      <c r="CL43" s="1209">
        <f t="shared" si="267"/>
        <v>2</v>
      </c>
      <c r="CM43" s="1209">
        <f t="shared" si="267"/>
        <v>2</v>
      </c>
      <c r="CN43" s="1209">
        <f>SUM(CN44:CN44)</f>
        <v>1.5</v>
      </c>
      <c r="CO43" s="1209">
        <f t="shared" ref="CO43:CP43" si="270">SUM(CO44:CO44)</f>
        <v>1.5</v>
      </c>
      <c r="CP43" s="1209">
        <f t="shared" si="270"/>
        <v>1.5</v>
      </c>
      <c r="CQ43" s="1209">
        <f>SUM(CQ44:CQ44)</f>
        <v>1.5</v>
      </c>
      <c r="CR43" s="1209">
        <f t="shared" ref="CR43:CS43" si="271">SUM(CR44:CR44)</f>
        <v>1.5</v>
      </c>
      <c r="CS43" s="1209">
        <f t="shared" si="271"/>
        <v>1.5</v>
      </c>
      <c r="CT43" s="781"/>
    </row>
    <row r="44" spans="1:98" ht="114" customHeight="1" x14ac:dyDescent="0.25">
      <c r="A44" s="1182" t="s">
        <v>2027</v>
      </c>
      <c r="B44" s="1182" t="s">
        <v>1518</v>
      </c>
      <c r="C44" s="1203" t="s">
        <v>2044</v>
      </c>
      <c r="D44" s="781">
        <v>0.5</v>
      </c>
      <c r="E44" s="781">
        <v>0.5</v>
      </c>
      <c r="F44" s="781">
        <v>0.5</v>
      </c>
      <c r="G44" s="781">
        <v>1</v>
      </c>
      <c r="H44" s="781">
        <v>1</v>
      </c>
      <c r="I44" s="781">
        <v>1</v>
      </c>
      <c r="J44" s="781">
        <v>1</v>
      </c>
      <c r="K44" s="781">
        <v>1</v>
      </c>
      <c r="L44" s="781">
        <v>1</v>
      </c>
      <c r="M44" s="781">
        <v>1</v>
      </c>
      <c r="N44" s="781">
        <v>1</v>
      </c>
      <c r="O44" s="781">
        <v>1</v>
      </c>
      <c r="P44" s="781">
        <v>1</v>
      </c>
      <c r="Q44" s="781">
        <v>1.5</v>
      </c>
      <c r="R44" s="781">
        <v>1.5</v>
      </c>
      <c r="S44" s="781">
        <v>1.5</v>
      </c>
      <c r="T44" s="781">
        <v>1.5</v>
      </c>
      <c r="U44" s="781">
        <v>1.5</v>
      </c>
      <c r="V44" s="781">
        <v>1.5</v>
      </c>
      <c r="W44" s="781">
        <v>1.5</v>
      </c>
      <c r="X44" s="781">
        <v>1.5</v>
      </c>
      <c r="Y44" s="781">
        <v>1.5</v>
      </c>
      <c r="Z44" s="781">
        <v>1.5</v>
      </c>
      <c r="AA44" s="781">
        <v>2</v>
      </c>
      <c r="AB44" s="781">
        <v>2</v>
      </c>
      <c r="AC44" s="781">
        <v>2</v>
      </c>
      <c r="AD44" s="781">
        <v>2</v>
      </c>
      <c r="AE44" s="781">
        <v>2</v>
      </c>
      <c r="AF44" s="781">
        <v>2</v>
      </c>
      <c r="AG44" s="781">
        <v>2</v>
      </c>
      <c r="AH44" s="781">
        <v>2</v>
      </c>
      <c r="AI44" s="781">
        <v>2</v>
      </c>
      <c r="AJ44" s="781">
        <v>2</v>
      </c>
      <c r="AK44" s="781">
        <v>2</v>
      </c>
      <c r="AL44" s="781">
        <v>2.5</v>
      </c>
      <c r="AM44" s="781">
        <v>2.5</v>
      </c>
      <c r="AN44" s="781">
        <v>2.5</v>
      </c>
      <c r="AO44" s="781">
        <v>2.5</v>
      </c>
      <c r="AP44" s="781">
        <v>2.5</v>
      </c>
      <c r="AQ44" s="781">
        <v>2.5</v>
      </c>
      <c r="AR44" s="781">
        <v>2.5</v>
      </c>
      <c r="AS44" s="781">
        <v>2.5</v>
      </c>
      <c r="AT44" s="781">
        <v>2.5</v>
      </c>
      <c r="AU44" s="781">
        <v>2.5</v>
      </c>
      <c r="AV44" s="781">
        <v>2.5</v>
      </c>
      <c r="AX44" s="781">
        <v>2</v>
      </c>
      <c r="AY44" s="781">
        <v>2</v>
      </c>
      <c r="AZ44" s="781">
        <v>2</v>
      </c>
      <c r="BA44" s="781">
        <v>0</v>
      </c>
      <c r="BB44" s="781">
        <v>0</v>
      </c>
      <c r="BC44" s="781">
        <v>0</v>
      </c>
      <c r="BD44" s="781">
        <v>0</v>
      </c>
      <c r="BE44" s="781">
        <v>0</v>
      </c>
      <c r="BF44" s="781">
        <v>0</v>
      </c>
      <c r="BG44" s="781">
        <v>2</v>
      </c>
      <c r="BH44" s="781">
        <v>2</v>
      </c>
      <c r="BI44" s="781">
        <v>2</v>
      </c>
      <c r="BJ44" s="781">
        <v>2</v>
      </c>
      <c r="BK44" s="781">
        <v>2</v>
      </c>
      <c r="BL44" s="781">
        <v>2</v>
      </c>
      <c r="BM44" s="781">
        <v>2</v>
      </c>
      <c r="BN44" s="781">
        <v>2</v>
      </c>
      <c r="BO44" s="781">
        <v>2</v>
      </c>
      <c r="BP44" s="781">
        <v>2</v>
      </c>
      <c r="BQ44" s="781">
        <v>2</v>
      </c>
      <c r="BR44" s="781">
        <v>2</v>
      </c>
      <c r="BS44" s="781">
        <v>2</v>
      </c>
      <c r="BT44" s="781">
        <v>2</v>
      </c>
      <c r="BU44" s="781">
        <v>2</v>
      </c>
      <c r="BV44" s="781">
        <v>2</v>
      </c>
      <c r="BW44" s="781">
        <v>2</v>
      </c>
      <c r="BX44" s="781">
        <v>2</v>
      </c>
      <c r="BY44" s="781">
        <v>2</v>
      </c>
      <c r="BZ44" s="781">
        <v>2</v>
      </c>
      <c r="CA44" s="781">
        <v>2</v>
      </c>
      <c r="CB44" s="781">
        <v>2</v>
      </c>
      <c r="CC44" s="781">
        <v>2</v>
      </c>
      <c r="CD44" s="781">
        <v>2</v>
      </c>
      <c r="CE44" s="781">
        <v>2</v>
      </c>
      <c r="CF44" s="781">
        <v>2</v>
      </c>
      <c r="CG44" s="781">
        <v>2</v>
      </c>
      <c r="CH44" s="781">
        <v>2</v>
      </c>
      <c r="CI44" s="781">
        <v>2</v>
      </c>
      <c r="CJ44" s="781">
        <v>2</v>
      </c>
      <c r="CK44" s="1230">
        <f t="shared" ref="CK44:CM44" si="272">(BG44+BJ44+BM44+BP44+BS44+BV44+BY44+CB44+CE44+CH44)/10</f>
        <v>2</v>
      </c>
      <c r="CL44" s="1230">
        <f t="shared" si="272"/>
        <v>2</v>
      </c>
      <c r="CM44" s="1230">
        <f t="shared" si="272"/>
        <v>2</v>
      </c>
      <c r="CN44" s="781">
        <v>1.5</v>
      </c>
      <c r="CO44" s="781">
        <v>1.5</v>
      </c>
      <c r="CP44" s="781">
        <v>1.5</v>
      </c>
      <c r="CQ44" s="781">
        <v>1.5</v>
      </c>
      <c r="CR44" s="781">
        <v>1.5</v>
      </c>
      <c r="CS44" s="781">
        <v>1.5</v>
      </c>
      <c r="CT44" s="781"/>
    </row>
    <row r="45" spans="1:98" x14ac:dyDescent="0.25">
      <c r="A45" s="1186"/>
      <c r="B45" s="1182"/>
      <c r="C45" s="1203"/>
      <c r="D45" s="781"/>
      <c r="E45" s="781"/>
      <c r="F45" s="781"/>
      <c r="G45" s="781"/>
      <c r="H45" s="781"/>
      <c r="I45" s="781"/>
      <c r="J45" s="781"/>
      <c r="K45" s="781"/>
      <c r="L45" s="781"/>
      <c r="M45" s="781"/>
      <c r="N45" s="781"/>
      <c r="O45" s="781"/>
      <c r="P45" s="781"/>
      <c r="Q45" s="781"/>
      <c r="R45" s="781"/>
      <c r="S45" s="781"/>
      <c r="T45" s="781"/>
      <c r="U45" s="781"/>
      <c r="V45" s="781"/>
      <c r="W45" s="781"/>
      <c r="X45" s="781"/>
      <c r="Y45" s="781"/>
      <c r="Z45" s="781"/>
      <c r="AA45" s="781"/>
      <c r="AB45" s="781"/>
      <c r="AC45" s="781"/>
      <c r="AD45" s="781"/>
      <c r="AE45" s="781"/>
      <c r="AF45" s="781"/>
      <c r="AG45" s="781"/>
      <c r="AH45" s="781"/>
      <c r="AI45" s="781"/>
      <c r="AJ45" s="781"/>
      <c r="AK45" s="781"/>
      <c r="AL45" s="781"/>
      <c r="AM45" s="781"/>
      <c r="AN45" s="781"/>
      <c r="AO45" s="781"/>
      <c r="AP45" s="781"/>
      <c r="AQ45" s="781"/>
      <c r="AR45" s="781"/>
      <c r="AS45" s="781"/>
      <c r="AT45" s="781"/>
      <c r="AU45" s="781"/>
      <c r="AV45" s="781"/>
      <c r="AX45" s="781"/>
      <c r="AY45" s="781"/>
      <c r="AZ45" s="781"/>
      <c r="BA45" s="781"/>
      <c r="BB45" s="781"/>
      <c r="BC45" s="781"/>
      <c r="BD45" s="781"/>
      <c r="BE45" s="781"/>
      <c r="BF45" s="781"/>
      <c r="BG45" s="781"/>
      <c r="BH45" s="781"/>
      <c r="BI45" s="781"/>
      <c r="BJ45" s="781"/>
      <c r="BK45" s="781"/>
      <c r="BL45" s="781"/>
      <c r="BM45" s="781"/>
      <c r="BN45" s="781"/>
      <c r="BO45" s="781"/>
      <c r="BP45" s="781"/>
      <c r="BQ45" s="781"/>
      <c r="BR45" s="781"/>
      <c r="BS45" s="781"/>
      <c r="BT45" s="781"/>
      <c r="BU45" s="781"/>
      <c r="BV45" s="781"/>
      <c r="BW45" s="781"/>
      <c r="BX45" s="781"/>
      <c r="BY45" s="781"/>
      <c r="BZ45" s="781"/>
      <c r="CA45" s="781"/>
      <c r="CB45" s="781"/>
      <c r="CC45" s="781"/>
      <c r="CD45" s="781"/>
      <c r="CE45" s="781"/>
      <c r="CF45" s="781"/>
      <c r="CG45" s="781"/>
      <c r="CH45" s="781"/>
      <c r="CI45" s="781"/>
      <c r="CJ45" s="781"/>
      <c r="CK45" s="781"/>
      <c r="CL45" s="781"/>
      <c r="CM45" s="781"/>
      <c r="CN45" s="781"/>
      <c r="CO45" s="781"/>
      <c r="CP45" s="781"/>
      <c r="CQ45" s="781"/>
      <c r="CR45" s="781"/>
      <c r="CS45" s="781"/>
      <c r="CT45" s="781"/>
    </row>
    <row r="46" spans="1:98" ht="60" x14ac:dyDescent="0.25">
      <c r="A46" s="1186"/>
      <c r="B46" s="1210" t="s">
        <v>2045</v>
      </c>
      <c r="C46" s="1203" t="s">
        <v>2046</v>
      </c>
      <c r="D46" s="781"/>
      <c r="E46" s="781"/>
      <c r="F46" s="781"/>
      <c r="G46" s="781"/>
      <c r="H46" s="781"/>
      <c r="I46" s="781"/>
      <c r="J46" s="781"/>
      <c r="K46" s="781"/>
      <c r="L46" s="781"/>
      <c r="M46" s="781"/>
      <c r="N46" s="781"/>
      <c r="O46" s="781"/>
      <c r="P46" s="781"/>
      <c r="Q46" s="781"/>
      <c r="R46" s="781"/>
      <c r="S46" s="781"/>
      <c r="T46" s="781"/>
      <c r="U46" s="781"/>
      <c r="V46" s="781"/>
      <c r="W46" s="781"/>
      <c r="X46" s="781"/>
      <c r="Y46" s="781"/>
      <c r="Z46" s="781"/>
      <c r="AA46" s="781"/>
      <c r="AB46" s="781"/>
      <c r="AC46" s="781"/>
      <c r="AD46" s="781"/>
      <c r="AE46" s="781"/>
      <c r="AF46" s="781"/>
      <c r="AG46" s="781"/>
      <c r="AH46" s="781"/>
      <c r="AI46" s="781"/>
      <c r="AJ46" s="781"/>
      <c r="AK46" s="781"/>
      <c r="AL46" s="781"/>
      <c r="AM46" s="781"/>
      <c r="AN46" s="781"/>
      <c r="AO46" s="781"/>
      <c r="AP46" s="781"/>
      <c r="AQ46" s="781"/>
      <c r="AR46" s="781"/>
      <c r="AS46" s="781"/>
      <c r="AT46" s="781"/>
      <c r="AU46" s="781"/>
      <c r="AV46" s="781"/>
      <c r="AX46" s="1209">
        <f t="shared" ref="AX46:BV46" si="273">SUM(AX47:AX51)</f>
        <v>0</v>
      </c>
      <c r="AY46" s="1209">
        <f t="shared" si="273"/>
        <v>0</v>
      </c>
      <c r="AZ46" s="1209">
        <f t="shared" si="273"/>
        <v>0</v>
      </c>
      <c r="BA46" s="1209">
        <f t="shared" si="273"/>
        <v>0</v>
      </c>
      <c r="BB46" s="1209">
        <f t="shared" si="273"/>
        <v>0</v>
      </c>
      <c r="BC46" s="1209">
        <f t="shared" si="273"/>
        <v>0</v>
      </c>
      <c r="BD46" s="1209">
        <f t="shared" si="273"/>
        <v>2.56</v>
      </c>
      <c r="BE46" s="1209">
        <f t="shared" si="273"/>
        <v>2.56</v>
      </c>
      <c r="BF46" s="1209">
        <f t="shared" si="273"/>
        <v>2.56</v>
      </c>
      <c r="BG46" s="1209">
        <f t="shared" si="273"/>
        <v>2.5</v>
      </c>
      <c r="BH46" s="1209">
        <f t="shared" ref="BH46" si="274">SUM(BH47:BH51)</f>
        <v>2.5</v>
      </c>
      <c r="BI46" s="1209">
        <f t="shared" ref="BI46" si="275">SUM(BI47:BI51)</f>
        <v>2.5</v>
      </c>
      <c r="BJ46" s="1209">
        <f t="shared" si="273"/>
        <v>2.2999999999999998</v>
      </c>
      <c r="BK46" s="1209">
        <f t="shared" ref="BK46" si="276">SUM(BK47:BK51)</f>
        <v>2.2999999999999998</v>
      </c>
      <c r="BL46" s="1209">
        <f t="shared" ref="BL46" si="277">SUM(BL47:BL51)</f>
        <v>2.2999999999999998</v>
      </c>
      <c r="BM46" s="1209">
        <f t="shared" si="273"/>
        <v>2.6</v>
      </c>
      <c r="BN46" s="1209">
        <f t="shared" ref="BN46" si="278">SUM(BN47:BN51)</f>
        <v>2.6</v>
      </c>
      <c r="BO46" s="1209">
        <f t="shared" ref="BO46" si="279">SUM(BO47:BO51)</f>
        <v>2.6</v>
      </c>
      <c r="BP46" s="1209">
        <f t="shared" si="273"/>
        <v>2.6</v>
      </c>
      <c r="BQ46" s="1209">
        <f t="shared" ref="BQ46" si="280">SUM(BQ47:BQ51)</f>
        <v>2.6</v>
      </c>
      <c r="BR46" s="1209">
        <f t="shared" ref="BR46" si="281">SUM(BR47:BR51)</f>
        <v>2.6</v>
      </c>
      <c r="BS46" s="1209">
        <f t="shared" si="273"/>
        <v>3.4</v>
      </c>
      <c r="BT46" s="1209">
        <f t="shared" ref="BT46" si="282">SUM(BT47:BT51)</f>
        <v>3.4</v>
      </c>
      <c r="BU46" s="1209">
        <f t="shared" ref="BU46" si="283">SUM(BU47:BU51)</f>
        <v>3.4</v>
      </c>
      <c r="BV46" s="1209">
        <f t="shared" si="273"/>
        <v>1.6</v>
      </c>
      <c r="BW46" s="1209">
        <f t="shared" ref="BW46" si="284">SUM(BW47:BW51)</f>
        <v>1.6</v>
      </c>
      <c r="BX46" s="1209">
        <f t="shared" ref="BX46" si="285">SUM(BX47:BX51)</f>
        <v>1.6</v>
      </c>
      <c r="BY46" s="1209">
        <f t="shared" ref="BY46:CH46" si="286">SUM(BY47:BY51)</f>
        <v>1.6</v>
      </c>
      <c r="BZ46" s="1209">
        <f t="shared" ref="BZ46:CA46" si="287">SUM(BZ47:BZ51)</f>
        <v>1.6</v>
      </c>
      <c r="CA46" s="1209">
        <f t="shared" si="287"/>
        <v>1.6</v>
      </c>
      <c r="CB46" s="1209">
        <f>SUM(CB47:CB51)</f>
        <v>3.5</v>
      </c>
      <c r="CC46" s="1209">
        <f t="shared" ref="CC46:CD46" si="288">SUM(CC47:CC51)</f>
        <v>3.5</v>
      </c>
      <c r="CD46" s="1209">
        <f t="shared" si="288"/>
        <v>3.5</v>
      </c>
      <c r="CE46" s="1209">
        <f>SUM(CE47:CE51)</f>
        <v>4</v>
      </c>
      <c r="CF46" s="1209">
        <f t="shared" ref="CF46:CG46" si="289">SUM(CF47:CF51)</f>
        <v>4</v>
      </c>
      <c r="CG46" s="1209">
        <f t="shared" si="289"/>
        <v>4</v>
      </c>
      <c r="CH46" s="1209">
        <f t="shared" si="286"/>
        <v>1.37</v>
      </c>
      <c r="CI46" s="1209">
        <f t="shared" ref="CI46:CJ46" si="290">SUM(CI47:CI51)</f>
        <v>1.37</v>
      </c>
      <c r="CJ46" s="1209">
        <f t="shared" si="290"/>
        <v>1.37</v>
      </c>
      <c r="CK46" s="1209">
        <f t="shared" ref="CK46:CM46" si="291">SUM(CK47:CK51)</f>
        <v>2.56</v>
      </c>
      <c r="CL46" s="1209">
        <f t="shared" si="291"/>
        <v>2.56</v>
      </c>
      <c r="CM46" s="1209">
        <f t="shared" si="291"/>
        <v>2.56</v>
      </c>
      <c r="CN46" s="1209">
        <f>SUM(CN47:CN51)</f>
        <v>0</v>
      </c>
      <c r="CO46" s="1209">
        <f t="shared" ref="CO46:CP46" si="292">SUM(CO47:CO51)</f>
        <v>0</v>
      </c>
      <c r="CP46" s="1209">
        <f t="shared" si="292"/>
        <v>0</v>
      </c>
      <c r="CQ46" s="1209">
        <f>SUM(CQ47:CQ51)</f>
        <v>0</v>
      </c>
      <c r="CR46" s="1209">
        <f t="shared" ref="CR46:CS46" si="293">SUM(CR47:CR51)</f>
        <v>0</v>
      </c>
      <c r="CS46" s="1209">
        <f t="shared" si="293"/>
        <v>0</v>
      </c>
      <c r="CT46" s="781"/>
    </row>
    <row r="47" spans="1:98" ht="108" customHeight="1" x14ac:dyDescent="0.25">
      <c r="A47" s="1182" t="s">
        <v>2035</v>
      </c>
      <c r="B47" s="1186" t="s">
        <v>2047</v>
      </c>
      <c r="C47" s="1203" t="s">
        <v>2048</v>
      </c>
      <c r="D47" s="781"/>
      <c r="E47" s="781"/>
      <c r="F47" s="781"/>
      <c r="G47" s="781"/>
      <c r="H47" s="781"/>
      <c r="I47" s="781"/>
      <c r="J47" s="781"/>
      <c r="K47" s="781"/>
      <c r="L47" s="781"/>
      <c r="M47" s="781"/>
      <c r="N47" s="781"/>
      <c r="O47" s="781"/>
      <c r="P47" s="781"/>
      <c r="Q47" s="781"/>
      <c r="R47" s="781"/>
      <c r="S47" s="781"/>
      <c r="T47" s="781"/>
      <c r="U47" s="781"/>
      <c r="V47" s="781"/>
      <c r="W47" s="781"/>
      <c r="X47" s="781"/>
      <c r="Y47" s="781"/>
      <c r="Z47" s="781"/>
      <c r="AA47" s="781"/>
      <c r="AB47" s="781"/>
      <c r="AC47" s="781"/>
      <c r="AD47" s="781"/>
      <c r="AE47" s="781"/>
      <c r="AF47" s="781"/>
      <c r="AG47" s="781"/>
      <c r="AH47" s="781"/>
      <c r="AI47" s="781"/>
      <c r="AJ47" s="781"/>
      <c r="AK47" s="781"/>
      <c r="AL47" s="781"/>
      <c r="AM47" s="781"/>
      <c r="AN47" s="781"/>
      <c r="AO47" s="781"/>
      <c r="AP47" s="781"/>
      <c r="AQ47" s="781"/>
      <c r="AR47" s="781"/>
      <c r="AS47" s="781"/>
      <c r="AT47" s="781"/>
      <c r="AU47" s="781"/>
      <c r="AV47" s="781"/>
      <c r="AX47" s="781">
        <v>0</v>
      </c>
      <c r="AY47" s="781">
        <v>0</v>
      </c>
      <c r="AZ47" s="781">
        <v>0</v>
      </c>
      <c r="BA47" s="781">
        <v>0</v>
      </c>
      <c r="BB47" s="781">
        <v>0</v>
      </c>
      <c r="BC47" s="781">
        <v>0</v>
      </c>
      <c r="BD47" s="1230">
        <f t="shared" ref="BD47:BF51" si="294">CK47</f>
        <v>0.96</v>
      </c>
      <c r="BE47" s="1230">
        <f t="shared" si="294"/>
        <v>0.96</v>
      </c>
      <c r="BF47" s="1230">
        <f t="shared" si="294"/>
        <v>0.96</v>
      </c>
      <c r="BG47" s="781">
        <v>1</v>
      </c>
      <c r="BH47" s="781">
        <v>1</v>
      </c>
      <c r="BI47" s="781">
        <v>1</v>
      </c>
      <c r="BJ47" s="781">
        <v>1</v>
      </c>
      <c r="BK47" s="781">
        <v>1</v>
      </c>
      <c r="BL47" s="781">
        <v>1</v>
      </c>
      <c r="BM47" s="781">
        <v>1</v>
      </c>
      <c r="BN47" s="781">
        <v>1</v>
      </c>
      <c r="BO47" s="781">
        <v>1</v>
      </c>
      <c r="BP47" s="781">
        <v>1</v>
      </c>
      <c r="BQ47" s="781">
        <v>1</v>
      </c>
      <c r="BR47" s="781">
        <v>1</v>
      </c>
      <c r="BS47" s="781">
        <v>1</v>
      </c>
      <c r="BT47" s="781">
        <v>1</v>
      </c>
      <c r="BU47" s="781">
        <v>1</v>
      </c>
      <c r="BV47" s="781">
        <v>1</v>
      </c>
      <c r="BW47" s="781">
        <v>1</v>
      </c>
      <c r="BX47" s="781">
        <v>1</v>
      </c>
      <c r="BY47" s="781">
        <v>1</v>
      </c>
      <c r="BZ47" s="781">
        <v>1</v>
      </c>
      <c r="CA47" s="781">
        <v>1</v>
      </c>
      <c r="CB47" s="781">
        <v>1</v>
      </c>
      <c r="CC47" s="781">
        <v>1</v>
      </c>
      <c r="CD47" s="781">
        <v>1</v>
      </c>
      <c r="CE47" s="781">
        <v>1</v>
      </c>
      <c r="CF47" s="781">
        <v>1</v>
      </c>
      <c r="CG47" s="781">
        <v>1</v>
      </c>
      <c r="CH47" s="1188">
        <f>1/((6+12)/2)*5</f>
        <v>0.56000000000000005</v>
      </c>
      <c r="CI47" s="1188">
        <f t="shared" ref="CI47:CJ48" si="295">1/((6+12)/2)*5</f>
        <v>0.56000000000000005</v>
      </c>
      <c r="CJ47" s="1188">
        <f t="shared" si="295"/>
        <v>0.56000000000000005</v>
      </c>
      <c r="CK47" s="1230">
        <f t="shared" ref="CK47:CK51" si="296">(BG47+BJ47+BM47+BP47+BS47+BV47+BY47+CB47+CE47+CH47)/10</f>
        <v>0.96</v>
      </c>
      <c r="CL47" s="1230">
        <f t="shared" ref="CL47:CL51" si="297">(BH47+BK47+BN47+BQ47+BT47+BW47+BZ47+CC47+CF47+CI47)/10</f>
        <v>0.96</v>
      </c>
      <c r="CM47" s="1230">
        <f t="shared" ref="CM47:CM51" si="298">(BI47+BL47+BO47+BR47+BU47+BX47+CA47+CD47+CG47+CJ47)/10</f>
        <v>0.96</v>
      </c>
      <c r="CN47" s="781">
        <v>0</v>
      </c>
      <c r="CO47" s="781">
        <v>0</v>
      </c>
      <c r="CP47" s="781">
        <v>0</v>
      </c>
      <c r="CQ47" s="781">
        <v>0</v>
      </c>
      <c r="CR47" s="781">
        <v>0</v>
      </c>
      <c r="CS47" s="781">
        <v>0</v>
      </c>
      <c r="CT47" s="781"/>
    </row>
    <row r="48" spans="1:98" ht="123" customHeight="1" x14ac:dyDescent="0.25">
      <c r="A48" s="1182" t="s">
        <v>2035</v>
      </c>
      <c r="B48" s="1186" t="s">
        <v>2049</v>
      </c>
      <c r="C48" s="1203" t="s">
        <v>2050</v>
      </c>
      <c r="D48" s="781"/>
      <c r="E48" s="781"/>
      <c r="F48" s="781"/>
      <c r="G48" s="781"/>
      <c r="H48" s="781"/>
      <c r="I48" s="781"/>
      <c r="J48" s="781"/>
      <c r="K48" s="781"/>
      <c r="L48" s="781"/>
      <c r="M48" s="781"/>
      <c r="N48" s="781"/>
      <c r="O48" s="781"/>
      <c r="P48" s="781"/>
      <c r="Q48" s="781"/>
      <c r="R48" s="781"/>
      <c r="S48" s="781"/>
      <c r="T48" s="781"/>
      <c r="U48" s="781"/>
      <c r="V48" s="781"/>
      <c r="W48" s="781"/>
      <c r="X48" s="781"/>
      <c r="Y48" s="781"/>
      <c r="Z48" s="781"/>
      <c r="AA48" s="781"/>
      <c r="AB48" s="781"/>
      <c r="AC48" s="781"/>
      <c r="AD48" s="781"/>
      <c r="AE48" s="781"/>
      <c r="AF48" s="781"/>
      <c r="AG48" s="781"/>
      <c r="AH48" s="781"/>
      <c r="AI48" s="781"/>
      <c r="AJ48" s="781"/>
      <c r="AK48" s="781"/>
      <c r="AL48" s="781"/>
      <c r="AM48" s="781"/>
      <c r="AN48" s="781"/>
      <c r="AO48" s="781"/>
      <c r="AP48" s="781"/>
      <c r="AQ48" s="781"/>
      <c r="AR48" s="781"/>
      <c r="AS48" s="781"/>
      <c r="AT48" s="781"/>
      <c r="AU48" s="781"/>
      <c r="AV48" s="781"/>
      <c r="AX48" s="781">
        <v>0</v>
      </c>
      <c r="AY48" s="781">
        <v>0</v>
      </c>
      <c r="AZ48" s="781">
        <v>0</v>
      </c>
      <c r="BA48" s="781">
        <v>0</v>
      </c>
      <c r="BB48" s="781">
        <v>0</v>
      </c>
      <c r="BC48" s="781">
        <v>0</v>
      </c>
      <c r="BD48" s="1230">
        <f t="shared" si="294"/>
        <v>0.76</v>
      </c>
      <c r="BE48" s="1230">
        <f t="shared" si="294"/>
        <v>0.76</v>
      </c>
      <c r="BF48" s="1230">
        <f t="shared" si="294"/>
        <v>0.76</v>
      </c>
      <c r="BG48" s="781">
        <v>1</v>
      </c>
      <c r="BH48" s="781">
        <v>1</v>
      </c>
      <c r="BI48" s="781">
        <v>1</v>
      </c>
      <c r="BJ48" s="781">
        <v>1</v>
      </c>
      <c r="BK48" s="781">
        <v>1</v>
      </c>
      <c r="BL48" s="781">
        <v>1</v>
      </c>
      <c r="BM48" s="781">
        <v>1</v>
      </c>
      <c r="BN48" s="781">
        <v>1</v>
      </c>
      <c r="BO48" s="781">
        <v>1</v>
      </c>
      <c r="BP48" s="781">
        <v>1</v>
      </c>
      <c r="BQ48" s="781">
        <v>1</v>
      </c>
      <c r="BR48" s="781">
        <v>1</v>
      </c>
      <c r="BS48" s="781">
        <v>1</v>
      </c>
      <c r="BT48" s="781">
        <v>1</v>
      </c>
      <c r="BU48" s="781">
        <v>1</v>
      </c>
      <c r="BV48" s="781">
        <v>0</v>
      </c>
      <c r="BW48" s="781">
        <v>0</v>
      </c>
      <c r="BX48" s="781">
        <v>0</v>
      </c>
      <c r="BY48" s="781">
        <v>0</v>
      </c>
      <c r="BZ48" s="781">
        <v>0</v>
      </c>
      <c r="CA48" s="781">
        <v>0</v>
      </c>
      <c r="CB48" s="781">
        <v>1</v>
      </c>
      <c r="CC48" s="781">
        <v>1</v>
      </c>
      <c r="CD48" s="781">
        <v>1</v>
      </c>
      <c r="CE48" s="781">
        <v>1</v>
      </c>
      <c r="CF48" s="781">
        <v>1</v>
      </c>
      <c r="CG48" s="781">
        <v>1</v>
      </c>
      <c r="CH48" s="1188">
        <f>1/((6+12)/2)*5</f>
        <v>0.56000000000000005</v>
      </c>
      <c r="CI48" s="1188">
        <f t="shared" si="295"/>
        <v>0.56000000000000005</v>
      </c>
      <c r="CJ48" s="1188">
        <f t="shared" si="295"/>
        <v>0.56000000000000005</v>
      </c>
      <c r="CK48" s="1230">
        <f t="shared" si="296"/>
        <v>0.76</v>
      </c>
      <c r="CL48" s="1230">
        <f t="shared" si="297"/>
        <v>0.76</v>
      </c>
      <c r="CM48" s="1230">
        <f t="shared" si="298"/>
        <v>0.76</v>
      </c>
      <c r="CN48" s="781">
        <v>0</v>
      </c>
      <c r="CO48" s="781">
        <v>0</v>
      </c>
      <c r="CP48" s="781">
        <v>0</v>
      </c>
      <c r="CQ48" s="781">
        <v>0</v>
      </c>
      <c r="CR48" s="781">
        <v>0</v>
      </c>
      <c r="CS48" s="781">
        <v>0</v>
      </c>
      <c r="CT48" s="781"/>
    </row>
    <row r="49" spans="1:98" ht="108" customHeight="1" x14ac:dyDescent="0.25">
      <c r="A49" s="1182" t="s">
        <v>2035</v>
      </c>
      <c r="B49" s="1182" t="s">
        <v>2051</v>
      </c>
      <c r="C49" s="1203" t="s">
        <v>2052</v>
      </c>
      <c r="D49" s="781"/>
      <c r="E49" s="781"/>
      <c r="F49" s="781"/>
      <c r="G49" s="781"/>
      <c r="H49" s="781"/>
      <c r="I49" s="781"/>
      <c r="J49" s="781"/>
      <c r="K49" s="781"/>
      <c r="L49" s="781"/>
      <c r="M49" s="781"/>
      <c r="N49" s="781"/>
      <c r="O49" s="781"/>
      <c r="P49" s="781"/>
      <c r="Q49" s="781"/>
      <c r="R49" s="781"/>
      <c r="S49" s="781"/>
      <c r="T49" s="781"/>
      <c r="U49" s="781"/>
      <c r="V49" s="781"/>
      <c r="W49" s="781"/>
      <c r="X49" s="781"/>
      <c r="Y49" s="781"/>
      <c r="Z49" s="781"/>
      <c r="AA49" s="781"/>
      <c r="AB49" s="781"/>
      <c r="AC49" s="781"/>
      <c r="AD49" s="781"/>
      <c r="AE49" s="781"/>
      <c r="AF49" s="781"/>
      <c r="AG49" s="781"/>
      <c r="AH49" s="781"/>
      <c r="AI49" s="781"/>
      <c r="AJ49" s="781"/>
      <c r="AK49" s="781"/>
      <c r="AL49" s="781"/>
      <c r="AM49" s="781"/>
      <c r="AN49" s="781"/>
      <c r="AO49" s="781"/>
      <c r="AP49" s="781"/>
      <c r="AQ49" s="781"/>
      <c r="AR49" s="781"/>
      <c r="AS49" s="781"/>
      <c r="AT49" s="781"/>
      <c r="AU49" s="781"/>
      <c r="AV49" s="781"/>
      <c r="AX49" s="781">
        <v>0</v>
      </c>
      <c r="AY49" s="781">
        <v>0</v>
      </c>
      <c r="AZ49" s="781">
        <v>0</v>
      </c>
      <c r="BA49" s="781">
        <v>0</v>
      </c>
      <c r="BB49" s="781">
        <v>0</v>
      </c>
      <c r="BC49" s="781">
        <v>0</v>
      </c>
      <c r="BD49" s="1230">
        <f t="shared" si="294"/>
        <v>0.44</v>
      </c>
      <c r="BE49" s="1230">
        <f t="shared" si="294"/>
        <v>0.44</v>
      </c>
      <c r="BF49" s="1230">
        <f t="shared" si="294"/>
        <v>0.44</v>
      </c>
      <c r="BG49" s="1188">
        <f>1/20*BG3</f>
        <v>0.5</v>
      </c>
      <c r="BH49" s="1188">
        <f t="shared" ref="BH49:BI49" si="299">1/20*BH3</f>
        <v>0.5</v>
      </c>
      <c r="BI49" s="1188">
        <f t="shared" si="299"/>
        <v>0.5</v>
      </c>
      <c r="BJ49" s="1188">
        <f>1/20*BJ3</f>
        <v>0.3</v>
      </c>
      <c r="BK49" s="1188">
        <f t="shared" ref="BK49:BL49" si="300">1/20*BK3</f>
        <v>0.3</v>
      </c>
      <c r="BL49" s="1188">
        <f t="shared" si="300"/>
        <v>0.3</v>
      </c>
      <c r="BM49" s="1188">
        <f t="shared" ref="BM49:BO49" si="301">1/20*BM3</f>
        <v>0.6</v>
      </c>
      <c r="BN49" s="1188">
        <f t="shared" si="301"/>
        <v>0.6</v>
      </c>
      <c r="BO49" s="1188">
        <f t="shared" si="301"/>
        <v>0.6</v>
      </c>
      <c r="BP49" s="1188">
        <f t="shared" ref="BP49:BS49" si="302">1/20*BP3</f>
        <v>0.6</v>
      </c>
      <c r="BQ49" s="1188">
        <f t="shared" ref="BQ49:BR49" si="303">1/20*BQ3</f>
        <v>0.6</v>
      </c>
      <c r="BR49" s="1188">
        <f t="shared" si="303"/>
        <v>0.6</v>
      </c>
      <c r="BS49" s="1188">
        <f t="shared" si="302"/>
        <v>0.4</v>
      </c>
      <c r="BT49" s="1188">
        <f t="shared" ref="BT49:BU49" si="304">1/20*BT3</f>
        <v>0.4</v>
      </c>
      <c r="BU49" s="1188">
        <f t="shared" si="304"/>
        <v>0.4</v>
      </c>
      <c r="BV49" s="1188">
        <f>1/20*BV3</f>
        <v>0.6</v>
      </c>
      <c r="BW49" s="1188">
        <f t="shared" ref="BW49:BX49" si="305">1/20*BW3</f>
        <v>0.6</v>
      </c>
      <c r="BX49" s="1188">
        <f t="shared" si="305"/>
        <v>0.6</v>
      </c>
      <c r="BY49" s="1188">
        <f>1/20*BY3</f>
        <v>0.6</v>
      </c>
      <c r="BZ49" s="1188">
        <f t="shared" ref="BZ49:CA49" si="306">1/20*BZ3</f>
        <v>0.6</v>
      </c>
      <c r="CA49" s="1188">
        <f t="shared" si="306"/>
        <v>0.6</v>
      </c>
      <c r="CB49" s="1188">
        <f>1/20*CB3</f>
        <v>0.5</v>
      </c>
      <c r="CC49" s="1188">
        <f t="shared" ref="CC49:CD49" si="307">1/20*CC3</f>
        <v>0.5</v>
      </c>
      <c r="CD49" s="1188">
        <f t="shared" si="307"/>
        <v>0.5</v>
      </c>
      <c r="CE49" s="781">
        <v>0</v>
      </c>
      <c r="CF49" s="781">
        <v>0</v>
      </c>
      <c r="CG49" s="781">
        <v>0</v>
      </c>
      <c r="CH49" s="1188">
        <f>1/20*CH3</f>
        <v>0.25</v>
      </c>
      <c r="CI49" s="1188">
        <f t="shared" ref="CI49:CJ49" si="308">1/20*CI3</f>
        <v>0.25</v>
      </c>
      <c r="CJ49" s="1188">
        <f t="shared" si="308"/>
        <v>0.25</v>
      </c>
      <c r="CK49" s="1230">
        <f t="shared" si="296"/>
        <v>0.44</v>
      </c>
      <c r="CL49" s="1230">
        <f t="shared" si="297"/>
        <v>0.44</v>
      </c>
      <c r="CM49" s="1230">
        <f t="shared" si="298"/>
        <v>0.44</v>
      </c>
      <c r="CN49" s="781">
        <v>0</v>
      </c>
      <c r="CO49" s="781">
        <v>0</v>
      </c>
      <c r="CP49" s="781">
        <v>0</v>
      </c>
      <c r="CQ49" s="781">
        <v>0</v>
      </c>
      <c r="CR49" s="781">
        <v>0</v>
      </c>
      <c r="CS49" s="781">
        <v>0</v>
      </c>
      <c r="CT49" s="781"/>
    </row>
    <row r="50" spans="1:98" ht="30" x14ac:dyDescent="0.25">
      <c r="A50" s="1182" t="s">
        <v>2035</v>
      </c>
      <c r="B50" s="1182" t="s">
        <v>2053</v>
      </c>
      <c r="C50" s="1203" t="s">
        <v>2054</v>
      </c>
      <c r="D50" s="781"/>
      <c r="E50" s="781"/>
      <c r="F50" s="781"/>
      <c r="G50" s="781"/>
      <c r="H50" s="781"/>
      <c r="I50" s="781"/>
      <c r="J50" s="781"/>
      <c r="K50" s="781"/>
      <c r="L50" s="781"/>
      <c r="M50" s="781"/>
      <c r="N50" s="781"/>
      <c r="O50" s="781"/>
      <c r="P50" s="781"/>
      <c r="Q50" s="781"/>
      <c r="R50" s="781"/>
      <c r="S50" s="781"/>
      <c r="T50" s="781"/>
      <c r="U50" s="781"/>
      <c r="V50" s="781"/>
      <c r="W50" s="781"/>
      <c r="X50" s="781"/>
      <c r="Y50" s="781"/>
      <c r="Z50" s="781"/>
      <c r="AA50" s="781"/>
      <c r="AB50" s="781"/>
      <c r="AC50" s="781"/>
      <c r="AD50" s="781"/>
      <c r="AE50" s="781"/>
      <c r="AF50" s="781"/>
      <c r="AG50" s="781"/>
      <c r="AH50" s="781"/>
      <c r="AI50" s="781"/>
      <c r="AJ50" s="781"/>
      <c r="AK50" s="781"/>
      <c r="AL50" s="781"/>
      <c r="AM50" s="781"/>
      <c r="AN50" s="781"/>
      <c r="AO50" s="781"/>
      <c r="AP50" s="781"/>
      <c r="AQ50" s="781"/>
      <c r="AR50" s="781"/>
      <c r="AS50" s="781"/>
      <c r="AT50" s="781"/>
      <c r="AU50" s="781"/>
      <c r="AV50" s="781"/>
      <c r="AX50" s="781">
        <v>0</v>
      </c>
      <c r="AY50" s="781">
        <v>0</v>
      </c>
      <c r="AZ50" s="781">
        <v>0</v>
      </c>
      <c r="BA50" s="781">
        <v>0</v>
      </c>
      <c r="BB50" s="781">
        <v>0</v>
      </c>
      <c r="BC50" s="781">
        <v>0</v>
      </c>
      <c r="BD50" s="1230">
        <f t="shared" si="294"/>
        <v>0.1</v>
      </c>
      <c r="BE50" s="1230">
        <f t="shared" si="294"/>
        <v>0.1</v>
      </c>
      <c r="BF50" s="1230">
        <f t="shared" si="294"/>
        <v>0.1</v>
      </c>
      <c r="BG50" s="781">
        <v>0</v>
      </c>
      <c r="BH50" s="781">
        <v>0</v>
      </c>
      <c r="BI50" s="781">
        <v>0</v>
      </c>
      <c r="BJ50" s="781">
        <v>0</v>
      </c>
      <c r="BK50" s="781">
        <v>0</v>
      </c>
      <c r="BL50" s="781">
        <v>0</v>
      </c>
      <c r="BM50" s="781">
        <v>0</v>
      </c>
      <c r="BN50" s="781">
        <v>0</v>
      </c>
      <c r="BO50" s="781">
        <v>0</v>
      </c>
      <c r="BP50" s="781">
        <v>0</v>
      </c>
      <c r="BQ50" s="781">
        <v>0</v>
      </c>
      <c r="BR50" s="781">
        <v>0</v>
      </c>
      <c r="BS50" s="781">
        <v>0</v>
      </c>
      <c r="BT50" s="781">
        <v>0</v>
      </c>
      <c r="BU50" s="781">
        <v>0</v>
      </c>
      <c r="BV50" s="781">
        <v>0</v>
      </c>
      <c r="BW50" s="781">
        <v>0</v>
      </c>
      <c r="BX50" s="781">
        <v>0</v>
      </c>
      <c r="BY50" s="781">
        <v>0</v>
      </c>
      <c r="BZ50" s="781">
        <v>0</v>
      </c>
      <c r="CA50" s="781">
        <v>0</v>
      </c>
      <c r="CB50" s="781">
        <v>0</v>
      </c>
      <c r="CC50" s="781">
        <v>0</v>
      </c>
      <c r="CD50" s="781">
        <v>0</v>
      </c>
      <c r="CE50" s="1183">
        <v>1</v>
      </c>
      <c r="CF50" s="1183">
        <v>1</v>
      </c>
      <c r="CG50" s="1183">
        <v>1</v>
      </c>
      <c r="CH50" s="781">
        <v>0</v>
      </c>
      <c r="CI50" s="781">
        <v>0</v>
      </c>
      <c r="CJ50" s="781">
        <v>0</v>
      </c>
      <c r="CK50" s="1230">
        <f t="shared" si="296"/>
        <v>0.1</v>
      </c>
      <c r="CL50" s="1230">
        <f t="shared" si="297"/>
        <v>0.1</v>
      </c>
      <c r="CM50" s="1230">
        <f t="shared" si="298"/>
        <v>0.1</v>
      </c>
      <c r="CN50" s="781">
        <v>0</v>
      </c>
      <c r="CO50" s="781">
        <v>0</v>
      </c>
      <c r="CP50" s="781">
        <v>0</v>
      </c>
      <c r="CQ50" s="781">
        <v>0</v>
      </c>
      <c r="CR50" s="781">
        <v>0</v>
      </c>
      <c r="CS50" s="781">
        <v>0</v>
      </c>
      <c r="CT50" s="781"/>
    </row>
    <row r="51" spans="1:98" ht="75" x14ac:dyDescent="0.25">
      <c r="A51" s="1182" t="s">
        <v>2055</v>
      </c>
      <c r="B51" s="1182" t="s">
        <v>2056</v>
      </c>
      <c r="C51" s="1203" t="s">
        <v>2057</v>
      </c>
      <c r="D51" s="781"/>
      <c r="E51" s="781"/>
      <c r="F51" s="781"/>
      <c r="G51" s="781"/>
      <c r="H51" s="781"/>
      <c r="I51" s="781"/>
      <c r="J51" s="781"/>
      <c r="K51" s="781"/>
      <c r="L51" s="781"/>
      <c r="M51" s="781"/>
      <c r="N51" s="781"/>
      <c r="O51" s="781"/>
      <c r="P51" s="781"/>
      <c r="Q51" s="781"/>
      <c r="R51" s="781"/>
      <c r="S51" s="781"/>
      <c r="T51" s="781"/>
      <c r="U51" s="781"/>
      <c r="V51" s="781"/>
      <c r="W51" s="781"/>
      <c r="X51" s="781"/>
      <c r="Y51" s="781"/>
      <c r="Z51" s="781"/>
      <c r="AA51" s="781"/>
      <c r="AB51" s="781"/>
      <c r="AC51" s="781"/>
      <c r="AD51" s="781"/>
      <c r="AE51" s="781"/>
      <c r="AF51" s="781"/>
      <c r="AG51" s="781"/>
      <c r="AH51" s="781"/>
      <c r="AI51" s="781"/>
      <c r="AJ51" s="781"/>
      <c r="AK51" s="781"/>
      <c r="AL51" s="781"/>
      <c r="AM51" s="781"/>
      <c r="AN51" s="781"/>
      <c r="AO51" s="781"/>
      <c r="AP51" s="781"/>
      <c r="AQ51" s="781"/>
      <c r="AR51" s="781"/>
      <c r="AS51" s="781"/>
      <c r="AT51" s="781"/>
      <c r="AU51" s="781"/>
      <c r="AV51" s="781"/>
      <c r="AX51" s="781">
        <v>0</v>
      </c>
      <c r="AY51" s="781">
        <v>0</v>
      </c>
      <c r="AZ51" s="781">
        <v>0</v>
      </c>
      <c r="BA51" s="781">
        <v>0</v>
      </c>
      <c r="BB51" s="781">
        <v>0</v>
      </c>
      <c r="BC51" s="781">
        <v>0</v>
      </c>
      <c r="BD51" s="1230">
        <f t="shared" si="294"/>
        <v>0.3</v>
      </c>
      <c r="BE51" s="1230">
        <f t="shared" si="294"/>
        <v>0.3</v>
      </c>
      <c r="BF51" s="1230">
        <f t="shared" si="294"/>
        <v>0.3</v>
      </c>
      <c r="BG51" s="781">
        <v>0</v>
      </c>
      <c r="BH51" s="781">
        <v>0</v>
      </c>
      <c r="BI51" s="781">
        <v>0</v>
      </c>
      <c r="BJ51" s="781">
        <v>0</v>
      </c>
      <c r="BK51" s="781">
        <v>0</v>
      </c>
      <c r="BL51" s="781">
        <v>0</v>
      </c>
      <c r="BM51" s="781">
        <v>0</v>
      </c>
      <c r="BN51" s="781">
        <v>0</v>
      </c>
      <c r="BO51" s="781">
        <v>0</v>
      </c>
      <c r="BP51" s="781">
        <v>0</v>
      </c>
      <c r="BQ51" s="781">
        <v>0</v>
      </c>
      <c r="BR51" s="781">
        <v>0</v>
      </c>
      <c r="BS51" s="781">
        <v>1</v>
      </c>
      <c r="BT51" s="781">
        <v>1</v>
      </c>
      <c r="BU51" s="781">
        <v>1</v>
      </c>
      <c r="BV51" s="781">
        <v>0</v>
      </c>
      <c r="BW51" s="781">
        <v>0</v>
      </c>
      <c r="BX51" s="781">
        <v>0</v>
      </c>
      <c r="BY51" s="781">
        <v>0</v>
      </c>
      <c r="BZ51" s="781">
        <v>0</v>
      </c>
      <c r="CA51" s="781">
        <v>0</v>
      </c>
      <c r="CB51" s="781">
        <v>1</v>
      </c>
      <c r="CC51" s="781">
        <v>1</v>
      </c>
      <c r="CD51" s="781">
        <v>1</v>
      </c>
      <c r="CE51" s="781">
        <v>1</v>
      </c>
      <c r="CF51" s="781">
        <v>1</v>
      </c>
      <c r="CG51" s="781">
        <v>1</v>
      </c>
      <c r="CH51" s="781">
        <v>0</v>
      </c>
      <c r="CI51" s="781">
        <v>0</v>
      </c>
      <c r="CJ51" s="781">
        <v>0</v>
      </c>
      <c r="CK51" s="1230">
        <f t="shared" si="296"/>
        <v>0.3</v>
      </c>
      <c r="CL51" s="1230">
        <f t="shared" si="297"/>
        <v>0.3</v>
      </c>
      <c r="CM51" s="1230">
        <f t="shared" si="298"/>
        <v>0.3</v>
      </c>
      <c r="CN51" s="781">
        <v>0</v>
      </c>
      <c r="CO51" s="781">
        <v>0</v>
      </c>
      <c r="CP51" s="781">
        <v>0</v>
      </c>
      <c r="CQ51" s="781">
        <v>0</v>
      </c>
      <c r="CR51" s="781">
        <v>0</v>
      </c>
      <c r="CS51" s="781">
        <v>0</v>
      </c>
      <c r="CT51" s="781"/>
    </row>
    <row r="52" spans="1:98" s="271" customFormat="1" x14ac:dyDescent="0.25">
      <c r="A52" s="1186"/>
      <c r="B52" s="1182"/>
      <c r="C52" s="1203"/>
      <c r="D52" s="1184"/>
      <c r="E52" s="1184"/>
      <c r="F52" s="1184"/>
      <c r="G52" s="1184"/>
      <c r="H52" s="1184"/>
      <c r="I52" s="1184"/>
      <c r="J52" s="1184"/>
      <c r="K52" s="1184"/>
      <c r="L52" s="1184"/>
      <c r="M52" s="1184"/>
      <c r="N52" s="1184"/>
      <c r="O52" s="1184"/>
      <c r="P52" s="1184"/>
      <c r="Q52" s="1184"/>
      <c r="R52" s="1184"/>
      <c r="S52" s="1184"/>
      <c r="T52" s="1184"/>
      <c r="U52" s="1184"/>
      <c r="V52" s="1184"/>
      <c r="W52" s="1184"/>
      <c r="X52" s="1184"/>
      <c r="Y52" s="1184"/>
      <c r="Z52" s="1184"/>
      <c r="AA52" s="1184"/>
      <c r="AB52" s="1184"/>
      <c r="AC52" s="1184"/>
      <c r="AD52" s="1184"/>
      <c r="AE52" s="1184"/>
      <c r="AF52" s="1184"/>
      <c r="AG52" s="1184"/>
      <c r="AH52" s="1184"/>
      <c r="AI52" s="1184"/>
      <c r="AJ52" s="1184"/>
      <c r="AK52" s="1184"/>
      <c r="AL52" s="1184"/>
      <c r="AM52" s="1184"/>
      <c r="AN52" s="1184"/>
      <c r="AO52" s="1184"/>
      <c r="AP52" s="1184"/>
      <c r="AQ52" s="1184"/>
      <c r="AR52" s="1184"/>
      <c r="AS52" s="1184"/>
      <c r="AT52" s="1184"/>
      <c r="AU52" s="1184"/>
      <c r="AV52" s="1184"/>
      <c r="AX52" s="1184"/>
      <c r="AY52" s="1184"/>
      <c r="AZ52" s="1184"/>
      <c r="BA52" s="1184"/>
      <c r="BB52" s="1184"/>
      <c r="BC52" s="1184"/>
      <c r="BD52" s="1184"/>
      <c r="BE52" s="1184"/>
      <c r="BF52" s="1184"/>
      <c r="BG52" s="1184"/>
      <c r="BH52" s="1184"/>
      <c r="BI52" s="1184"/>
      <c r="BJ52" s="1184"/>
      <c r="BK52" s="1184"/>
      <c r="BL52" s="1184"/>
      <c r="BM52" s="1184"/>
      <c r="BN52" s="1184"/>
      <c r="BO52" s="1184"/>
      <c r="BP52" s="1184"/>
      <c r="BQ52" s="1184"/>
      <c r="BR52" s="1184"/>
      <c r="BS52" s="1184"/>
      <c r="BT52" s="1184"/>
      <c r="BU52" s="1184"/>
      <c r="BV52" s="1184"/>
      <c r="BW52" s="1184"/>
      <c r="BX52" s="1184"/>
      <c r="BY52" s="1184"/>
      <c r="BZ52" s="1184"/>
      <c r="CA52" s="1184"/>
      <c r="CB52" s="1184"/>
      <c r="CC52" s="1184"/>
      <c r="CD52" s="1184"/>
      <c r="CE52" s="1184"/>
      <c r="CF52" s="1184"/>
      <c r="CG52" s="1184"/>
      <c r="CH52" s="1184"/>
      <c r="CI52" s="1184"/>
      <c r="CJ52" s="1184"/>
      <c r="CK52" s="1184"/>
      <c r="CL52" s="1184"/>
      <c r="CM52" s="1184"/>
      <c r="CN52" s="1184"/>
      <c r="CO52" s="1184"/>
      <c r="CP52" s="1184"/>
      <c r="CQ52" s="1184"/>
      <c r="CR52" s="1184"/>
      <c r="CS52" s="1184"/>
      <c r="CT52" s="1184"/>
    </row>
    <row r="53" spans="1:98" s="271" customFormat="1" x14ac:dyDescent="0.25">
      <c r="A53" s="1186"/>
      <c r="B53" s="1210" t="s">
        <v>1968</v>
      </c>
      <c r="C53" s="1203"/>
      <c r="D53" s="1184"/>
      <c r="E53" s="1184"/>
      <c r="F53" s="1184"/>
      <c r="G53" s="1184"/>
      <c r="H53" s="1184"/>
      <c r="I53" s="1184"/>
      <c r="J53" s="1184"/>
      <c r="K53" s="1184"/>
      <c r="L53" s="1184"/>
      <c r="M53" s="1184"/>
      <c r="N53" s="1184"/>
      <c r="O53" s="1184"/>
      <c r="P53" s="1184"/>
      <c r="Q53" s="1184"/>
      <c r="R53" s="1184"/>
      <c r="S53" s="1184"/>
      <c r="T53" s="1184"/>
      <c r="U53" s="1184"/>
      <c r="V53" s="1184"/>
      <c r="W53" s="1184"/>
      <c r="X53" s="1184"/>
      <c r="Y53" s="1184"/>
      <c r="Z53" s="1184"/>
      <c r="AA53" s="1184"/>
      <c r="AB53" s="1184"/>
      <c r="AC53" s="1184"/>
      <c r="AD53" s="1184"/>
      <c r="AE53" s="1184"/>
      <c r="AF53" s="1184"/>
      <c r="AG53" s="1184"/>
      <c r="AH53" s="1184"/>
      <c r="AI53" s="1184"/>
      <c r="AJ53" s="1184"/>
      <c r="AK53" s="1184"/>
      <c r="AL53" s="1184"/>
      <c r="AM53" s="1184"/>
      <c r="AN53" s="1184"/>
      <c r="AO53" s="1184"/>
      <c r="AP53" s="1184"/>
      <c r="AQ53" s="1184"/>
      <c r="AR53" s="1184"/>
      <c r="AS53" s="1184"/>
      <c r="AT53" s="1184"/>
      <c r="AU53" s="1184"/>
      <c r="AV53" s="1184"/>
      <c r="AX53" s="1209">
        <f t="shared" ref="AX53:BS53" si="309">SUM(AX54:AX57)</f>
        <v>4.5</v>
      </c>
      <c r="AY53" s="1209">
        <f t="shared" si="309"/>
        <v>4.5</v>
      </c>
      <c r="AZ53" s="1209">
        <f t="shared" si="309"/>
        <v>4.5</v>
      </c>
      <c r="BA53" s="1209">
        <f t="shared" si="309"/>
        <v>0.5</v>
      </c>
      <c r="BB53" s="1209">
        <f t="shared" si="309"/>
        <v>0.5</v>
      </c>
      <c r="BC53" s="1209">
        <f t="shared" si="309"/>
        <v>0.5</v>
      </c>
      <c r="BD53" s="1209">
        <f t="shared" si="309"/>
        <v>0</v>
      </c>
      <c r="BE53" s="1209">
        <f t="shared" si="309"/>
        <v>0</v>
      </c>
      <c r="BF53" s="1209">
        <f t="shared" si="309"/>
        <v>0</v>
      </c>
      <c r="BG53" s="1209">
        <f t="shared" si="309"/>
        <v>4.5</v>
      </c>
      <c r="BH53" s="1209">
        <f t="shared" ref="BH53" si="310">SUM(BH54:BH57)</f>
        <v>4.5</v>
      </c>
      <c r="BI53" s="1209">
        <f t="shared" ref="BI53" si="311">SUM(BI54:BI57)</f>
        <v>4.5</v>
      </c>
      <c r="BJ53" s="1209">
        <f t="shared" si="309"/>
        <v>4.5</v>
      </c>
      <c r="BK53" s="1209">
        <f t="shared" ref="BK53" si="312">SUM(BK54:BK57)</f>
        <v>4.5</v>
      </c>
      <c r="BL53" s="1209">
        <f t="shared" ref="BL53" si="313">SUM(BL54:BL57)</f>
        <v>4.5</v>
      </c>
      <c r="BM53" s="1209">
        <f t="shared" si="309"/>
        <v>4.5</v>
      </c>
      <c r="BN53" s="1209">
        <f t="shared" ref="BN53" si="314">SUM(BN54:BN57)</f>
        <v>4.5</v>
      </c>
      <c r="BO53" s="1209">
        <f t="shared" ref="BO53" si="315">SUM(BO54:BO57)</f>
        <v>4.5</v>
      </c>
      <c r="BP53" s="1209">
        <f t="shared" si="309"/>
        <v>4.5</v>
      </c>
      <c r="BQ53" s="1209">
        <f t="shared" ref="BQ53" si="316">SUM(BQ54:BQ57)</f>
        <v>4.5</v>
      </c>
      <c r="BR53" s="1209">
        <f t="shared" ref="BR53" si="317">SUM(BR54:BR57)</f>
        <v>4.5</v>
      </c>
      <c r="BS53" s="1209">
        <f t="shared" si="309"/>
        <v>4.5</v>
      </c>
      <c r="BT53" s="1209">
        <f t="shared" ref="BT53" si="318">SUM(BT54:BT57)</f>
        <v>4.5</v>
      </c>
      <c r="BU53" s="1209">
        <f t="shared" ref="BU53" si="319">SUM(BU54:BU57)</f>
        <v>4.5</v>
      </c>
      <c r="BV53" s="1209">
        <f t="shared" ref="BV53:BX53" si="320">SUM(BV54:BV57)</f>
        <v>4.5</v>
      </c>
      <c r="BW53" s="1209">
        <f t="shared" si="320"/>
        <v>4.5</v>
      </c>
      <c r="BX53" s="1209">
        <f t="shared" si="320"/>
        <v>4.5</v>
      </c>
      <c r="BY53" s="1209">
        <f t="shared" ref="BY53:CH53" si="321">SUM(BY54:BY57)</f>
        <v>4.5</v>
      </c>
      <c r="BZ53" s="1209">
        <f t="shared" ref="BZ53:CA53" si="322">SUM(BZ54:BZ57)</f>
        <v>4.5</v>
      </c>
      <c r="CA53" s="1209">
        <f t="shared" si="322"/>
        <v>4.5</v>
      </c>
      <c r="CB53" s="1209">
        <f>SUM(CB54:CB57)</f>
        <v>4.5</v>
      </c>
      <c r="CC53" s="1209">
        <f t="shared" ref="CC53:CD53" si="323">SUM(CC54:CC57)</f>
        <v>4.5</v>
      </c>
      <c r="CD53" s="1209">
        <f t="shared" si="323"/>
        <v>4.5</v>
      </c>
      <c r="CE53" s="1209">
        <f>SUM(CE54:CE57)</f>
        <v>4.5</v>
      </c>
      <c r="CF53" s="1209">
        <f t="shared" ref="CF53:CG53" si="324">SUM(CF54:CF57)</f>
        <v>4.5</v>
      </c>
      <c r="CG53" s="1209">
        <f t="shared" si="324"/>
        <v>4.5</v>
      </c>
      <c r="CH53" s="1209">
        <f t="shared" si="321"/>
        <v>4.5</v>
      </c>
      <c r="CI53" s="1209">
        <f t="shared" ref="CI53:CJ53" si="325">SUM(CI54:CI57)</f>
        <v>4.5</v>
      </c>
      <c r="CJ53" s="1209">
        <f t="shared" si="325"/>
        <v>4.5</v>
      </c>
      <c r="CK53" s="1209">
        <f t="shared" ref="CK53:CM53" si="326">SUM(CK54:CK57)</f>
        <v>4.5</v>
      </c>
      <c r="CL53" s="1209">
        <f t="shared" si="326"/>
        <v>4.5</v>
      </c>
      <c r="CM53" s="1209">
        <f t="shared" si="326"/>
        <v>4.5</v>
      </c>
      <c r="CN53" s="1209">
        <f>SUM(CN54:CN57)</f>
        <v>4.5</v>
      </c>
      <c r="CO53" s="1209">
        <f t="shared" ref="CO53:CP53" si="327">SUM(CO54:CO57)</f>
        <v>4.5</v>
      </c>
      <c r="CP53" s="1209">
        <f t="shared" si="327"/>
        <v>4.5</v>
      </c>
      <c r="CQ53" s="1209">
        <f>SUM(CQ54:CQ57)</f>
        <v>4.5</v>
      </c>
      <c r="CR53" s="1209">
        <f t="shared" ref="CR53:CS53" si="328">SUM(CR54:CR57)</f>
        <v>4.5</v>
      </c>
      <c r="CS53" s="1209">
        <f t="shared" si="328"/>
        <v>4.5</v>
      </c>
      <c r="CT53" s="1184"/>
    </row>
    <row r="54" spans="1:98" ht="70.5" customHeight="1" x14ac:dyDescent="0.25">
      <c r="A54" s="1182" t="s">
        <v>2035</v>
      </c>
      <c r="B54" s="1193" t="s">
        <v>1524</v>
      </c>
      <c r="C54" s="1202" t="s">
        <v>2058</v>
      </c>
      <c r="D54" s="1184">
        <v>0.5</v>
      </c>
      <c r="E54" s="1184">
        <v>0.5</v>
      </c>
      <c r="F54" s="1184">
        <v>0.5</v>
      </c>
      <c r="G54" s="1184">
        <v>0.75</v>
      </c>
      <c r="H54" s="1184">
        <v>0.75</v>
      </c>
      <c r="I54" s="1184">
        <v>0.75</v>
      </c>
      <c r="J54" s="1184">
        <f>1/300*(J2*25)</f>
        <v>0</v>
      </c>
      <c r="K54" s="1184">
        <v>1</v>
      </c>
      <c r="L54" s="1184">
        <v>1</v>
      </c>
      <c r="M54" s="1184">
        <v>1</v>
      </c>
      <c r="N54" s="1184">
        <v>1</v>
      </c>
      <c r="O54" s="1184">
        <v>1</v>
      </c>
      <c r="P54" s="1184">
        <v>1</v>
      </c>
      <c r="Q54" s="1184">
        <v>1</v>
      </c>
      <c r="R54" s="1184">
        <v>1</v>
      </c>
      <c r="S54" s="1184">
        <v>1</v>
      </c>
      <c r="T54" s="1184">
        <v>1</v>
      </c>
      <c r="U54" s="1184">
        <v>1</v>
      </c>
      <c r="V54" s="1184">
        <v>1</v>
      </c>
      <c r="W54" s="1184">
        <v>1</v>
      </c>
      <c r="X54" s="1184">
        <v>1</v>
      </c>
      <c r="Y54" s="1184">
        <v>1</v>
      </c>
      <c r="Z54" s="1184">
        <v>1</v>
      </c>
      <c r="AA54" s="1184">
        <v>1</v>
      </c>
      <c r="AB54" s="1184">
        <v>1</v>
      </c>
      <c r="AC54" s="1184">
        <v>1</v>
      </c>
      <c r="AD54" s="1184">
        <v>1</v>
      </c>
      <c r="AE54" s="1184">
        <v>1</v>
      </c>
      <c r="AF54" s="1184">
        <v>1</v>
      </c>
      <c r="AG54" s="1184">
        <v>1.5</v>
      </c>
      <c r="AH54" s="1184">
        <v>1.5</v>
      </c>
      <c r="AI54" s="1184">
        <v>1.5</v>
      </c>
      <c r="AJ54" s="1184">
        <v>1.5</v>
      </c>
      <c r="AK54" s="1184">
        <v>1.5</v>
      </c>
      <c r="AL54" s="1184">
        <v>1.5</v>
      </c>
      <c r="AM54" s="1184">
        <v>1.5</v>
      </c>
      <c r="AN54" s="1184">
        <v>1.5</v>
      </c>
      <c r="AO54" s="1184">
        <v>1.5</v>
      </c>
      <c r="AP54" s="1184">
        <v>1.5</v>
      </c>
      <c r="AQ54" s="1184">
        <v>1.5</v>
      </c>
      <c r="AR54" s="1184">
        <v>1.5</v>
      </c>
      <c r="AS54" s="1184">
        <v>1.5</v>
      </c>
      <c r="AT54" s="1184">
        <v>1.5</v>
      </c>
      <c r="AU54" s="1184">
        <v>1.5</v>
      </c>
      <c r="AV54" s="1184">
        <v>1.5</v>
      </c>
      <c r="AX54" s="1184">
        <v>1</v>
      </c>
      <c r="AY54" s="1184">
        <v>1</v>
      </c>
      <c r="AZ54" s="1184">
        <v>1</v>
      </c>
      <c r="BA54" s="1184">
        <v>0.5</v>
      </c>
      <c r="BB54" s="1184">
        <v>0.5</v>
      </c>
      <c r="BC54" s="1184">
        <v>0.5</v>
      </c>
      <c r="BD54" s="1184">
        <v>0</v>
      </c>
      <c r="BE54" s="1184">
        <v>0</v>
      </c>
      <c r="BF54" s="1184">
        <v>0</v>
      </c>
      <c r="BG54" s="1184">
        <v>1</v>
      </c>
      <c r="BH54" s="1184">
        <v>1</v>
      </c>
      <c r="BI54" s="1184">
        <v>1</v>
      </c>
      <c r="BJ54" s="1184">
        <v>1</v>
      </c>
      <c r="BK54" s="1184">
        <v>1</v>
      </c>
      <c r="BL54" s="1184">
        <v>1</v>
      </c>
      <c r="BM54" s="1184">
        <v>1</v>
      </c>
      <c r="BN54" s="1184">
        <v>1</v>
      </c>
      <c r="BO54" s="1184">
        <v>1</v>
      </c>
      <c r="BP54" s="1184">
        <v>1</v>
      </c>
      <c r="BQ54" s="1184">
        <v>1</v>
      </c>
      <c r="BR54" s="1184">
        <v>1</v>
      </c>
      <c r="BS54" s="1184">
        <v>1</v>
      </c>
      <c r="BT54" s="1184">
        <v>1</v>
      </c>
      <c r="BU54" s="1184">
        <v>1</v>
      </c>
      <c r="BV54" s="1184">
        <v>1</v>
      </c>
      <c r="BW54" s="1184">
        <v>1</v>
      </c>
      <c r="BX54" s="1184">
        <v>1</v>
      </c>
      <c r="BY54" s="1184">
        <v>1</v>
      </c>
      <c r="BZ54" s="1184">
        <v>1</v>
      </c>
      <c r="CA54" s="1184">
        <v>1</v>
      </c>
      <c r="CB54" s="1184">
        <v>1</v>
      </c>
      <c r="CC54" s="1184">
        <v>1</v>
      </c>
      <c r="CD54" s="1184">
        <v>1</v>
      </c>
      <c r="CE54" s="1184">
        <v>1</v>
      </c>
      <c r="CF54" s="1184">
        <v>1</v>
      </c>
      <c r="CG54" s="1184">
        <v>1</v>
      </c>
      <c r="CH54" s="1184">
        <v>1</v>
      </c>
      <c r="CI54" s="1184">
        <v>1</v>
      </c>
      <c r="CJ54" s="1184">
        <v>1</v>
      </c>
      <c r="CK54" s="1230">
        <f t="shared" ref="CK54:CK57" si="329">(BG54+BJ54+BM54+BP54+BS54+BV54+BY54+CB54+CE54+CH54)/10</f>
        <v>1</v>
      </c>
      <c r="CL54" s="1230">
        <f t="shared" ref="CL54:CL57" si="330">(BH54+BK54+BN54+BQ54+BT54+BW54+BZ54+CC54+CF54+CI54)/10</f>
        <v>1</v>
      </c>
      <c r="CM54" s="1230">
        <f t="shared" ref="CM54:CM57" si="331">(BI54+BL54+BO54+BR54+BU54+BX54+CA54+CD54+CG54+CJ54)/10</f>
        <v>1</v>
      </c>
      <c r="CN54" s="1184">
        <v>1</v>
      </c>
      <c r="CO54" s="1184">
        <v>1</v>
      </c>
      <c r="CP54" s="1184">
        <v>1</v>
      </c>
      <c r="CQ54" s="1184">
        <v>1</v>
      </c>
      <c r="CR54" s="1184">
        <v>1</v>
      </c>
      <c r="CS54" s="1184">
        <v>1</v>
      </c>
      <c r="CT54" s="1184"/>
    </row>
    <row r="55" spans="1:98" ht="57.75" customHeight="1" x14ac:dyDescent="0.25">
      <c r="A55" s="1182" t="s">
        <v>2035</v>
      </c>
      <c r="B55" s="1182" t="s">
        <v>2059</v>
      </c>
      <c r="C55" s="1205" t="s">
        <v>2060</v>
      </c>
      <c r="D55" s="781">
        <v>0</v>
      </c>
      <c r="E55" s="781">
        <v>0</v>
      </c>
      <c r="F55" s="781">
        <v>0</v>
      </c>
      <c r="G55" s="781">
        <v>0</v>
      </c>
      <c r="H55" s="781">
        <v>0</v>
      </c>
      <c r="I55" s="781">
        <v>0</v>
      </c>
      <c r="J55" s="781">
        <v>0</v>
      </c>
      <c r="K55" s="781">
        <v>0</v>
      </c>
      <c r="L55" s="781">
        <v>0</v>
      </c>
      <c r="M55" s="781">
        <v>0</v>
      </c>
      <c r="N55" s="781">
        <v>0</v>
      </c>
      <c r="O55" s="781">
        <v>0</v>
      </c>
      <c r="P55" s="781">
        <v>0</v>
      </c>
      <c r="Q55" s="781">
        <v>0.5</v>
      </c>
      <c r="R55" s="781">
        <v>0.5</v>
      </c>
      <c r="S55" s="781">
        <v>0.5</v>
      </c>
      <c r="T55" s="781">
        <v>0.5</v>
      </c>
      <c r="U55" s="781">
        <v>0.5</v>
      </c>
      <c r="V55" s="781">
        <v>0.5</v>
      </c>
      <c r="W55" s="781">
        <v>0.5</v>
      </c>
      <c r="X55" s="781">
        <v>0.5</v>
      </c>
      <c r="Y55" s="781">
        <v>0.5</v>
      </c>
      <c r="Z55" s="781">
        <v>0.5</v>
      </c>
      <c r="AA55" s="781">
        <v>0.5</v>
      </c>
      <c r="AB55" s="781">
        <v>0.5</v>
      </c>
      <c r="AC55" s="781">
        <v>0.5</v>
      </c>
      <c r="AD55" s="781">
        <v>0.5</v>
      </c>
      <c r="AE55" s="781">
        <v>0.5</v>
      </c>
      <c r="AF55" s="781">
        <v>0.5</v>
      </c>
      <c r="AG55" s="781">
        <v>0.5</v>
      </c>
      <c r="AH55" s="781">
        <v>0.5</v>
      </c>
      <c r="AI55" s="781">
        <v>0.5</v>
      </c>
      <c r="AJ55" s="781">
        <v>0.5</v>
      </c>
      <c r="AK55" s="781">
        <v>0.5</v>
      </c>
      <c r="AL55" s="781">
        <v>0.5</v>
      </c>
      <c r="AM55" s="781">
        <v>0.5</v>
      </c>
      <c r="AN55" s="781">
        <v>0.5</v>
      </c>
      <c r="AO55" s="781">
        <v>0.5</v>
      </c>
      <c r="AP55" s="781">
        <v>0.5</v>
      </c>
      <c r="AQ55" s="781">
        <v>0.5</v>
      </c>
      <c r="AR55" s="781">
        <v>0.5</v>
      </c>
      <c r="AS55" s="781">
        <v>0.5</v>
      </c>
      <c r="AT55" s="781">
        <v>0.5</v>
      </c>
      <c r="AU55" s="781">
        <v>0.5</v>
      </c>
      <c r="AV55" s="781">
        <v>0.5</v>
      </c>
      <c r="AX55" s="781">
        <v>0.5</v>
      </c>
      <c r="AY55" s="781">
        <v>0.5</v>
      </c>
      <c r="AZ55" s="781">
        <v>0.5</v>
      </c>
      <c r="BA55" s="781">
        <v>0</v>
      </c>
      <c r="BB55" s="781">
        <v>0</v>
      </c>
      <c r="BC55" s="781">
        <v>0</v>
      </c>
      <c r="BD55" s="781">
        <v>0</v>
      </c>
      <c r="BE55" s="781">
        <v>0</v>
      </c>
      <c r="BF55" s="781">
        <v>0</v>
      </c>
      <c r="BG55" s="781">
        <v>0.5</v>
      </c>
      <c r="BH55" s="781">
        <v>0.5</v>
      </c>
      <c r="BI55" s="781">
        <v>0.5</v>
      </c>
      <c r="BJ55" s="781">
        <v>0.5</v>
      </c>
      <c r="BK55" s="781">
        <v>0.5</v>
      </c>
      <c r="BL55" s="781">
        <v>0.5</v>
      </c>
      <c r="BM55" s="781">
        <v>0.5</v>
      </c>
      <c r="BN55" s="781">
        <v>0.5</v>
      </c>
      <c r="BO55" s="781">
        <v>0.5</v>
      </c>
      <c r="BP55" s="781">
        <v>0.5</v>
      </c>
      <c r="BQ55" s="781">
        <v>0.5</v>
      </c>
      <c r="BR55" s="781">
        <v>0.5</v>
      </c>
      <c r="BS55" s="781">
        <v>0.5</v>
      </c>
      <c r="BT55" s="781">
        <v>0.5</v>
      </c>
      <c r="BU55" s="781">
        <v>0.5</v>
      </c>
      <c r="BV55" s="781">
        <v>0.5</v>
      </c>
      <c r="BW55" s="781">
        <v>0.5</v>
      </c>
      <c r="BX55" s="781">
        <v>0.5</v>
      </c>
      <c r="BY55" s="781">
        <v>0.5</v>
      </c>
      <c r="BZ55" s="781">
        <v>0.5</v>
      </c>
      <c r="CA55" s="781">
        <v>0.5</v>
      </c>
      <c r="CB55" s="781">
        <v>0.5</v>
      </c>
      <c r="CC55" s="781">
        <v>0.5</v>
      </c>
      <c r="CD55" s="781">
        <v>0.5</v>
      </c>
      <c r="CE55" s="781">
        <v>0.5</v>
      </c>
      <c r="CF55" s="781">
        <v>0.5</v>
      </c>
      <c r="CG55" s="781">
        <v>0.5</v>
      </c>
      <c r="CH55" s="781">
        <v>0.5</v>
      </c>
      <c r="CI55" s="781">
        <v>0.5</v>
      </c>
      <c r="CJ55" s="781">
        <v>0.5</v>
      </c>
      <c r="CK55" s="1230">
        <f t="shared" si="329"/>
        <v>0.5</v>
      </c>
      <c r="CL55" s="1230">
        <f t="shared" si="330"/>
        <v>0.5</v>
      </c>
      <c r="CM55" s="1230">
        <f t="shared" si="331"/>
        <v>0.5</v>
      </c>
      <c r="CN55" s="781">
        <f>0.5+0.5</f>
        <v>1</v>
      </c>
      <c r="CO55" s="781">
        <f t="shared" ref="CO55:CP55" si="332">0.5+0.5</f>
        <v>1</v>
      </c>
      <c r="CP55" s="781">
        <f t="shared" si="332"/>
        <v>1</v>
      </c>
      <c r="CQ55" s="781">
        <f>0.5+0.5</f>
        <v>1</v>
      </c>
      <c r="CR55" s="781">
        <f t="shared" ref="CR55:CS55" si="333">0.5+0.5</f>
        <v>1</v>
      </c>
      <c r="CS55" s="781">
        <f t="shared" si="333"/>
        <v>1</v>
      </c>
      <c r="CT55" s="781"/>
    </row>
    <row r="56" spans="1:98" ht="69.75" customHeight="1" x14ac:dyDescent="0.25">
      <c r="A56" s="1182" t="s">
        <v>2035</v>
      </c>
      <c r="B56" s="1182" t="s">
        <v>1969</v>
      </c>
      <c r="C56" s="1202" t="s">
        <v>2061</v>
      </c>
      <c r="D56" s="781">
        <v>0</v>
      </c>
      <c r="E56" s="781">
        <v>0.5</v>
      </c>
      <c r="F56" s="781">
        <v>0.5</v>
      </c>
      <c r="G56" s="781">
        <v>0.5</v>
      </c>
      <c r="H56" s="781">
        <v>1</v>
      </c>
      <c r="I56" s="781">
        <v>1</v>
      </c>
      <c r="J56" s="781">
        <v>1</v>
      </c>
      <c r="K56" s="781">
        <v>1</v>
      </c>
      <c r="L56" s="781">
        <v>1</v>
      </c>
      <c r="M56" s="781">
        <v>1</v>
      </c>
      <c r="N56" s="781">
        <v>1</v>
      </c>
      <c r="O56" s="781">
        <v>1</v>
      </c>
      <c r="P56" s="781">
        <v>1</v>
      </c>
      <c r="Q56" s="781">
        <v>1</v>
      </c>
      <c r="R56" s="781">
        <v>1</v>
      </c>
      <c r="S56" s="781">
        <v>1</v>
      </c>
      <c r="T56" s="781">
        <v>1</v>
      </c>
      <c r="U56" s="781">
        <v>1</v>
      </c>
      <c r="V56" s="781">
        <v>1</v>
      </c>
      <c r="W56" s="781">
        <v>1</v>
      </c>
      <c r="X56" s="781">
        <v>1</v>
      </c>
      <c r="Y56" s="781">
        <v>1</v>
      </c>
      <c r="Z56" s="781">
        <v>1</v>
      </c>
      <c r="AA56" s="781">
        <v>1</v>
      </c>
      <c r="AB56" s="781">
        <v>2</v>
      </c>
      <c r="AC56" s="781">
        <v>2</v>
      </c>
      <c r="AD56" s="781">
        <v>2</v>
      </c>
      <c r="AE56" s="781">
        <v>2</v>
      </c>
      <c r="AF56" s="781">
        <v>2</v>
      </c>
      <c r="AG56" s="781">
        <v>2</v>
      </c>
      <c r="AH56" s="781">
        <v>2</v>
      </c>
      <c r="AI56" s="781">
        <v>2</v>
      </c>
      <c r="AJ56" s="781">
        <v>2</v>
      </c>
      <c r="AK56" s="781">
        <v>2</v>
      </c>
      <c r="AL56" s="781">
        <v>2</v>
      </c>
      <c r="AM56" s="781">
        <v>2</v>
      </c>
      <c r="AN56" s="781">
        <v>2</v>
      </c>
      <c r="AO56" s="781">
        <v>2</v>
      </c>
      <c r="AP56" s="781">
        <v>2</v>
      </c>
      <c r="AQ56" s="781">
        <v>2</v>
      </c>
      <c r="AR56" s="781">
        <v>2</v>
      </c>
      <c r="AS56" s="781">
        <v>2</v>
      </c>
      <c r="AT56" s="781">
        <v>2</v>
      </c>
      <c r="AU56" s="781">
        <v>2</v>
      </c>
      <c r="AV56" s="781">
        <v>2</v>
      </c>
      <c r="AX56" s="781">
        <v>2</v>
      </c>
      <c r="AY56" s="781">
        <v>2</v>
      </c>
      <c r="AZ56" s="781">
        <v>2</v>
      </c>
      <c r="BA56" s="781">
        <v>0</v>
      </c>
      <c r="BB56" s="781">
        <v>0</v>
      </c>
      <c r="BC56" s="781">
        <v>0</v>
      </c>
      <c r="BD56" s="781">
        <v>0</v>
      </c>
      <c r="BE56" s="781">
        <v>0</v>
      </c>
      <c r="BF56" s="781">
        <v>0</v>
      </c>
      <c r="BG56" s="781">
        <v>2</v>
      </c>
      <c r="BH56" s="781">
        <v>2</v>
      </c>
      <c r="BI56" s="781">
        <v>2</v>
      </c>
      <c r="BJ56" s="781">
        <v>2</v>
      </c>
      <c r="BK56" s="781">
        <v>2</v>
      </c>
      <c r="BL56" s="781">
        <v>2</v>
      </c>
      <c r="BM56" s="781">
        <v>2</v>
      </c>
      <c r="BN56" s="781">
        <v>2</v>
      </c>
      <c r="BO56" s="781">
        <v>2</v>
      </c>
      <c r="BP56" s="781">
        <v>2</v>
      </c>
      <c r="BQ56" s="781">
        <v>2</v>
      </c>
      <c r="BR56" s="781">
        <v>2</v>
      </c>
      <c r="BS56" s="781">
        <v>2</v>
      </c>
      <c r="BT56" s="781">
        <v>2</v>
      </c>
      <c r="BU56" s="781">
        <v>2</v>
      </c>
      <c r="BV56" s="781">
        <v>2</v>
      </c>
      <c r="BW56" s="781">
        <v>2</v>
      </c>
      <c r="BX56" s="781">
        <v>2</v>
      </c>
      <c r="BY56" s="781">
        <v>2</v>
      </c>
      <c r="BZ56" s="781">
        <v>2</v>
      </c>
      <c r="CA56" s="781">
        <v>2</v>
      </c>
      <c r="CB56" s="781">
        <v>2</v>
      </c>
      <c r="CC56" s="781">
        <v>2</v>
      </c>
      <c r="CD56" s="781">
        <v>2</v>
      </c>
      <c r="CE56" s="781">
        <v>2</v>
      </c>
      <c r="CF56" s="781">
        <v>2</v>
      </c>
      <c r="CG56" s="781">
        <v>2</v>
      </c>
      <c r="CH56" s="781">
        <v>2</v>
      </c>
      <c r="CI56" s="781">
        <v>2</v>
      </c>
      <c r="CJ56" s="781">
        <v>2</v>
      </c>
      <c r="CK56" s="1230">
        <f t="shared" si="329"/>
        <v>2</v>
      </c>
      <c r="CL56" s="1230">
        <f t="shared" si="330"/>
        <v>2</v>
      </c>
      <c r="CM56" s="1230">
        <f t="shared" si="331"/>
        <v>2</v>
      </c>
      <c r="CN56" s="781">
        <f>1+0.5</f>
        <v>1.5</v>
      </c>
      <c r="CO56" s="781">
        <f t="shared" ref="CO56:CP56" si="334">1+0.5</f>
        <v>1.5</v>
      </c>
      <c r="CP56" s="781">
        <f t="shared" si="334"/>
        <v>1.5</v>
      </c>
      <c r="CQ56" s="781">
        <f>1+0.5</f>
        <v>1.5</v>
      </c>
      <c r="CR56" s="781">
        <f t="shared" ref="CR56:CS56" si="335">1+0.5</f>
        <v>1.5</v>
      </c>
      <c r="CS56" s="781">
        <f t="shared" si="335"/>
        <v>1.5</v>
      </c>
      <c r="CT56" s="781"/>
    </row>
    <row r="57" spans="1:98" ht="132.75" customHeight="1" x14ac:dyDescent="0.25">
      <c r="A57" s="1182" t="s">
        <v>2035</v>
      </c>
      <c r="B57" s="1182" t="s">
        <v>1525</v>
      </c>
      <c r="C57" s="1203" t="s">
        <v>2062</v>
      </c>
      <c r="D57" s="781"/>
      <c r="E57" s="781"/>
      <c r="F57" s="781"/>
      <c r="G57" s="781"/>
      <c r="H57" s="781"/>
      <c r="I57" s="781"/>
      <c r="J57" s="781"/>
      <c r="K57" s="781"/>
      <c r="L57" s="781"/>
      <c r="M57" s="781"/>
      <c r="N57" s="781"/>
      <c r="O57" s="781"/>
      <c r="P57" s="781"/>
      <c r="Q57" s="781"/>
      <c r="R57" s="781"/>
      <c r="S57" s="781"/>
      <c r="T57" s="781"/>
      <c r="U57" s="781"/>
      <c r="V57" s="781"/>
      <c r="W57" s="781"/>
      <c r="X57" s="781"/>
      <c r="Y57" s="781"/>
      <c r="Z57" s="781"/>
      <c r="AA57" s="781"/>
      <c r="AB57" s="781"/>
      <c r="AC57" s="781"/>
      <c r="AD57" s="781"/>
      <c r="AE57" s="781"/>
      <c r="AF57" s="781"/>
      <c r="AG57" s="781"/>
      <c r="AH57" s="781"/>
      <c r="AI57" s="781"/>
      <c r="AJ57" s="781"/>
      <c r="AK57" s="781"/>
      <c r="AL57" s="781"/>
      <c r="AM57" s="781"/>
      <c r="AN57" s="781"/>
      <c r="AO57" s="781"/>
      <c r="AP57" s="781"/>
      <c r="AQ57" s="781"/>
      <c r="AR57" s="781"/>
      <c r="AS57" s="781"/>
      <c r="AT57" s="781"/>
      <c r="AU57" s="781"/>
      <c r="AV57" s="781"/>
      <c r="AX57" s="781">
        <v>1</v>
      </c>
      <c r="AY57" s="781">
        <v>1</v>
      </c>
      <c r="AZ57" s="781">
        <v>1</v>
      </c>
      <c r="BA57" s="781">
        <v>0</v>
      </c>
      <c r="BB57" s="781">
        <v>0</v>
      </c>
      <c r="BC57" s="781">
        <v>0</v>
      </c>
      <c r="BD57" s="781">
        <v>0</v>
      </c>
      <c r="BE57" s="781">
        <v>0</v>
      </c>
      <c r="BF57" s="781">
        <v>0</v>
      </c>
      <c r="BG57" s="781">
        <v>1</v>
      </c>
      <c r="BH57" s="781">
        <v>1</v>
      </c>
      <c r="BI57" s="781">
        <v>1</v>
      </c>
      <c r="BJ57" s="781">
        <v>1</v>
      </c>
      <c r="BK57" s="781">
        <v>1</v>
      </c>
      <c r="BL57" s="781">
        <v>1</v>
      </c>
      <c r="BM57" s="781">
        <v>1</v>
      </c>
      <c r="BN57" s="781">
        <v>1</v>
      </c>
      <c r="BO57" s="781">
        <v>1</v>
      </c>
      <c r="BP57" s="781">
        <v>1</v>
      </c>
      <c r="BQ57" s="781">
        <v>1</v>
      </c>
      <c r="BR57" s="781">
        <v>1</v>
      </c>
      <c r="BS57" s="781">
        <v>1</v>
      </c>
      <c r="BT57" s="781">
        <v>1</v>
      </c>
      <c r="BU57" s="781">
        <v>1</v>
      </c>
      <c r="BV57" s="781">
        <v>1</v>
      </c>
      <c r="BW57" s="781">
        <v>1</v>
      </c>
      <c r="BX57" s="781">
        <v>1</v>
      </c>
      <c r="BY57" s="781">
        <v>1</v>
      </c>
      <c r="BZ57" s="781">
        <v>1</v>
      </c>
      <c r="CA57" s="781">
        <v>1</v>
      </c>
      <c r="CB57" s="781">
        <v>1</v>
      </c>
      <c r="CC57" s="781">
        <v>1</v>
      </c>
      <c r="CD57" s="781">
        <v>1</v>
      </c>
      <c r="CE57" s="781">
        <v>1</v>
      </c>
      <c r="CF57" s="781">
        <v>1</v>
      </c>
      <c r="CG57" s="781">
        <v>1</v>
      </c>
      <c r="CH57" s="781">
        <v>1</v>
      </c>
      <c r="CI57" s="781">
        <v>1</v>
      </c>
      <c r="CJ57" s="781">
        <v>1</v>
      </c>
      <c r="CK57" s="1230">
        <f t="shared" si="329"/>
        <v>1</v>
      </c>
      <c r="CL57" s="1230">
        <f t="shared" si="330"/>
        <v>1</v>
      </c>
      <c r="CM57" s="1230">
        <f t="shared" si="331"/>
        <v>1</v>
      </c>
      <c r="CN57" s="781">
        <v>1</v>
      </c>
      <c r="CO57" s="781">
        <v>1</v>
      </c>
      <c r="CP57" s="781">
        <v>1</v>
      </c>
      <c r="CQ57" s="781">
        <v>1</v>
      </c>
      <c r="CR57" s="781">
        <v>1</v>
      </c>
      <c r="CS57" s="781">
        <v>1</v>
      </c>
      <c r="CT57" s="781" t="s">
        <v>2119</v>
      </c>
    </row>
    <row r="58" spans="1:98" x14ac:dyDescent="0.25">
      <c r="A58" s="1186"/>
      <c r="B58" s="1182"/>
      <c r="C58" s="1203"/>
      <c r="D58" s="781"/>
      <c r="E58" s="781"/>
      <c r="F58" s="781"/>
      <c r="G58" s="781"/>
      <c r="H58" s="781"/>
      <c r="I58" s="781"/>
      <c r="J58" s="781"/>
      <c r="K58" s="781"/>
      <c r="L58" s="781"/>
      <c r="M58" s="781"/>
      <c r="N58" s="781"/>
      <c r="O58" s="781"/>
      <c r="P58" s="781"/>
      <c r="Q58" s="781"/>
      <c r="R58" s="781"/>
      <c r="S58" s="781"/>
      <c r="T58" s="781"/>
      <c r="U58" s="781"/>
      <c r="V58" s="781"/>
      <c r="W58" s="781"/>
      <c r="X58" s="781"/>
      <c r="Y58" s="781"/>
      <c r="Z58" s="781"/>
      <c r="AA58" s="781"/>
      <c r="AB58" s="781"/>
      <c r="AC58" s="781"/>
      <c r="AD58" s="781"/>
      <c r="AE58" s="781"/>
      <c r="AF58" s="781"/>
      <c r="AG58" s="781"/>
      <c r="AH58" s="781"/>
      <c r="AI58" s="781"/>
      <c r="AJ58" s="781"/>
      <c r="AK58" s="781"/>
      <c r="AL58" s="781"/>
      <c r="AM58" s="781"/>
      <c r="AN58" s="781"/>
      <c r="AO58" s="781"/>
      <c r="AP58" s="781"/>
      <c r="AQ58" s="781"/>
      <c r="AR58" s="781"/>
      <c r="AS58" s="781"/>
      <c r="AT58" s="781"/>
      <c r="AU58" s="781"/>
      <c r="AV58" s="781"/>
      <c r="AX58" s="781"/>
      <c r="AY58" s="781"/>
      <c r="AZ58" s="781"/>
      <c r="BA58" s="781"/>
      <c r="BB58" s="781"/>
      <c r="BC58" s="781"/>
      <c r="BD58" s="781"/>
      <c r="BE58" s="781"/>
      <c r="BF58" s="781"/>
      <c r="BG58" s="781"/>
      <c r="BH58" s="781"/>
      <c r="BI58" s="781"/>
      <c r="BJ58" s="781"/>
      <c r="BK58" s="781"/>
      <c r="BL58" s="781"/>
      <c r="BM58" s="781"/>
      <c r="BN58" s="781"/>
      <c r="BO58" s="781"/>
      <c r="BP58" s="781"/>
      <c r="BQ58" s="781"/>
      <c r="BR58" s="781"/>
      <c r="BS58" s="781"/>
      <c r="BT58" s="781"/>
      <c r="BU58" s="781"/>
      <c r="BV58" s="781"/>
      <c r="BW58" s="781"/>
      <c r="BX58" s="781"/>
      <c r="BY58" s="781"/>
      <c r="BZ58" s="781"/>
      <c r="CA58" s="781"/>
      <c r="CB58" s="781"/>
      <c r="CC58" s="781"/>
      <c r="CD58" s="781"/>
      <c r="CE58" s="781"/>
      <c r="CF58" s="781"/>
      <c r="CG58" s="781"/>
      <c r="CH58" s="781"/>
      <c r="CI58" s="781"/>
      <c r="CJ58" s="781"/>
      <c r="CK58" s="781"/>
      <c r="CL58" s="781"/>
      <c r="CM58" s="781"/>
      <c r="CN58" s="781"/>
      <c r="CO58" s="781"/>
      <c r="CP58" s="781"/>
      <c r="CQ58" s="781"/>
      <c r="CR58" s="781"/>
      <c r="CS58" s="781"/>
      <c r="CT58" s="781"/>
    </row>
    <row r="59" spans="1:98" x14ac:dyDescent="0.25">
      <c r="A59" s="1186"/>
      <c r="B59" s="1210" t="s">
        <v>2063</v>
      </c>
      <c r="C59" s="1203"/>
      <c r="D59" s="781"/>
      <c r="E59" s="781"/>
      <c r="F59" s="781"/>
      <c r="G59" s="781"/>
      <c r="H59" s="781"/>
      <c r="I59" s="781"/>
      <c r="J59" s="781"/>
      <c r="K59" s="781"/>
      <c r="L59" s="781"/>
      <c r="M59" s="781"/>
      <c r="N59" s="781"/>
      <c r="O59" s="781"/>
      <c r="P59" s="781"/>
      <c r="Q59" s="781"/>
      <c r="R59" s="781"/>
      <c r="S59" s="781"/>
      <c r="T59" s="781"/>
      <c r="U59" s="781"/>
      <c r="V59" s="781"/>
      <c r="W59" s="781"/>
      <c r="X59" s="781"/>
      <c r="Y59" s="781"/>
      <c r="Z59" s="781"/>
      <c r="AA59" s="781"/>
      <c r="AB59" s="781"/>
      <c r="AC59" s="781"/>
      <c r="AD59" s="781"/>
      <c r="AE59" s="781"/>
      <c r="AF59" s="781"/>
      <c r="AG59" s="781"/>
      <c r="AH59" s="781"/>
      <c r="AI59" s="781"/>
      <c r="AJ59" s="781"/>
      <c r="AK59" s="781"/>
      <c r="AL59" s="781"/>
      <c r="AM59" s="781"/>
      <c r="AN59" s="781"/>
      <c r="AO59" s="781"/>
      <c r="AP59" s="781"/>
      <c r="AQ59" s="781"/>
      <c r="AR59" s="781"/>
      <c r="AS59" s="781"/>
      <c r="AT59" s="781"/>
      <c r="AU59" s="781"/>
      <c r="AV59" s="781"/>
      <c r="AX59" s="1209">
        <f t="shared" ref="AX59:BS59" si="336">SUM(AX60:AX64)</f>
        <v>30.33</v>
      </c>
      <c r="AY59" s="1209">
        <f t="shared" si="336"/>
        <v>47.22</v>
      </c>
      <c r="AZ59" s="1209">
        <f t="shared" si="336"/>
        <v>9</v>
      </c>
      <c r="BA59" s="1209">
        <f t="shared" si="336"/>
        <v>2.34</v>
      </c>
      <c r="BB59" s="1209">
        <f t="shared" si="336"/>
        <v>2.78</v>
      </c>
      <c r="BC59" s="1209">
        <f t="shared" si="336"/>
        <v>3</v>
      </c>
      <c r="BD59" s="1209">
        <f t="shared" si="336"/>
        <v>2.34</v>
      </c>
      <c r="BE59" s="1209">
        <f t="shared" si="336"/>
        <v>2.78</v>
      </c>
      <c r="BF59" s="1209">
        <f t="shared" si="336"/>
        <v>3</v>
      </c>
      <c r="BG59" s="1209">
        <f t="shared" si="336"/>
        <v>30.33</v>
      </c>
      <c r="BH59" s="1209">
        <f t="shared" ref="BH59" si="337">SUM(BH60:BH64)</f>
        <v>47.22</v>
      </c>
      <c r="BI59" s="1209">
        <f t="shared" ref="BI59" si="338">SUM(BI60:BI64)</f>
        <v>9</v>
      </c>
      <c r="BJ59" s="1209">
        <f t="shared" si="336"/>
        <v>30.33</v>
      </c>
      <c r="BK59" s="1209">
        <f t="shared" ref="BK59" si="339">SUM(BK60:BK64)</f>
        <v>47.22</v>
      </c>
      <c r="BL59" s="1209">
        <f t="shared" ref="BL59" si="340">SUM(BL60:BL64)</f>
        <v>9</v>
      </c>
      <c r="BM59" s="1209">
        <f t="shared" si="336"/>
        <v>30.33</v>
      </c>
      <c r="BN59" s="1209">
        <f t="shared" ref="BN59" si="341">SUM(BN60:BN64)</f>
        <v>47.22</v>
      </c>
      <c r="BO59" s="1209">
        <f t="shared" ref="BO59" si="342">SUM(BO60:BO64)</f>
        <v>9</v>
      </c>
      <c r="BP59" s="1209">
        <f t="shared" si="336"/>
        <v>30.33</v>
      </c>
      <c r="BQ59" s="1209">
        <f t="shared" ref="BQ59" si="343">SUM(BQ60:BQ64)</f>
        <v>47.22</v>
      </c>
      <c r="BR59" s="1209">
        <f t="shared" ref="BR59" si="344">SUM(BR60:BR64)</f>
        <v>9</v>
      </c>
      <c r="BS59" s="1209">
        <f t="shared" si="336"/>
        <v>30.33</v>
      </c>
      <c r="BT59" s="1209">
        <f t="shared" ref="BT59" si="345">SUM(BT60:BT64)</f>
        <v>47.22</v>
      </c>
      <c r="BU59" s="1209">
        <f t="shared" ref="BU59" si="346">SUM(BU60:BU64)</f>
        <v>9</v>
      </c>
      <c r="BV59" s="1209">
        <f t="shared" ref="BV59:BX59" si="347">SUM(BV60:BV64)</f>
        <v>30.33</v>
      </c>
      <c r="BW59" s="1209">
        <f t="shared" si="347"/>
        <v>47.22</v>
      </c>
      <c r="BX59" s="1209">
        <f t="shared" si="347"/>
        <v>9</v>
      </c>
      <c r="BY59" s="1209">
        <f t="shared" ref="BY59:CH59" si="348">SUM(BY60:BY64)</f>
        <v>30.33</v>
      </c>
      <c r="BZ59" s="1209">
        <f t="shared" ref="BZ59:CA59" si="349">SUM(BZ60:BZ64)</f>
        <v>47.22</v>
      </c>
      <c r="CA59" s="1209">
        <f t="shared" si="349"/>
        <v>9</v>
      </c>
      <c r="CB59" s="1209">
        <f>SUM(CB60:CB64)</f>
        <v>30.33</v>
      </c>
      <c r="CC59" s="1209">
        <f t="shared" ref="CC59:CD59" si="350">SUM(CC60:CC64)</f>
        <v>47.22</v>
      </c>
      <c r="CD59" s="1209">
        <f t="shared" si="350"/>
        <v>9</v>
      </c>
      <c r="CE59" s="1209">
        <f>SUM(CE60:CE64)</f>
        <v>30.33</v>
      </c>
      <c r="CF59" s="1209">
        <f t="shared" ref="CF59:CG59" si="351">SUM(CF60:CF64)</f>
        <v>47.22</v>
      </c>
      <c r="CG59" s="1209">
        <f t="shared" si="351"/>
        <v>9</v>
      </c>
      <c r="CH59" s="1209">
        <f t="shared" si="348"/>
        <v>30.33</v>
      </c>
      <c r="CI59" s="1209">
        <f t="shared" ref="CI59:CJ59" si="352">SUM(CI60:CI64)</f>
        <v>47.22</v>
      </c>
      <c r="CJ59" s="1209">
        <f t="shared" si="352"/>
        <v>9</v>
      </c>
      <c r="CK59" s="1209">
        <f t="shared" ref="CK59:CM59" si="353">SUM(CK60:CK64)</f>
        <v>30.33</v>
      </c>
      <c r="CL59" s="1209">
        <f t="shared" si="353"/>
        <v>47.22</v>
      </c>
      <c r="CM59" s="1209">
        <f t="shared" si="353"/>
        <v>9</v>
      </c>
      <c r="CN59" s="1209">
        <f>SUM(CN60:CN64)</f>
        <v>0</v>
      </c>
      <c r="CO59" s="1209">
        <f t="shared" ref="CO59:CP59" si="354">SUM(CO60:CO64)</f>
        <v>13.22</v>
      </c>
      <c r="CP59" s="1209">
        <f t="shared" si="354"/>
        <v>1.56</v>
      </c>
      <c r="CQ59" s="1209">
        <f>SUM(CQ60:CQ64)</f>
        <v>0</v>
      </c>
      <c r="CR59" s="1209">
        <f t="shared" ref="CR59:CS59" si="355">SUM(CR60:CR64)</f>
        <v>23.61</v>
      </c>
      <c r="CS59" s="1209">
        <f t="shared" si="355"/>
        <v>2.56</v>
      </c>
      <c r="CT59" s="781"/>
    </row>
    <row r="60" spans="1:98" ht="82.5" customHeight="1" x14ac:dyDescent="0.25">
      <c r="A60" s="1182" t="s">
        <v>2035</v>
      </c>
      <c r="B60" s="1182" t="s">
        <v>2096</v>
      </c>
      <c r="C60" s="1203" t="s">
        <v>2064</v>
      </c>
      <c r="D60" s="781"/>
      <c r="E60" s="781"/>
      <c r="F60" s="781"/>
      <c r="G60" s="781"/>
      <c r="H60" s="781"/>
      <c r="I60" s="781"/>
      <c r="J60" s="781"/>
      <c r="K60" s="781"/>
      <c r="L60" s="781"/>
      <c r="M60" s="781"/>
      <c r="N60" s="781"/>
      <c r="O60" s="781"/>
      <c r="P60" s="781"/>
      <c r="Q60" s="781"/>
      <c r="R60" s="781"/>
      <c r="S60" s="781"/>
      <c r="T60" s="781"/>
      <c r="U60" s="781"/>
      <c r="V60" s="781"/>
      <c r="W60" s="781"/>
      <c r="X60" s="781"/>
      <c r="Y60" s="781"/>
      <c r="Z60" s="781"/>
      <c r="AA60" s="781"/>
      <c r="AB60" s="781"/>
      <c r="AC60" s="781"/>
      <c r="AD60" s="781"/>
      <c r="AE60" s="781"/>
      <c r="AF60" s="781"/>
      <c r="AG60" s="781"/>
      <c r="AH60" s="781"/>
      <c r="AI60" s="781"/>
      <c r="AJ60" s="781"/>
      <c r="AK60" s="781"/>
      <c r="AL60" s="781"/>
      <c r="AM60" s="781"/>
      <c r="AN60" s="781"/>
      <c r="AO60" s="781"/>
      <c r="AP60" s="781"/>
      <c r="AQ60" s="781"/>
      <c r="AR60" s="781"/>
      <c r="AS60" s="781"/>
      <c r="AT60" s="781"/>
      <c r="AU60" s="781"/>
      <c r="AV60" s="781"/>
      <c r="AX60" s="781"/>
      <c r="AY60" s="781"/>
      <c r="AZ60" s="781"/>
      <c r="BA60" s="781"/>
      <c r="BB60" s="781"/>
      <c r="BC60" s="781"/>
      <c r="BD60" s="781"/>
      <c r="BE60" s="781"/>
      <c r="BF60" s="781"/>
      <c r="BG60" s="781"/>
      <c r="BH60" s="781"/>
      <c r="BI60" s="781"/>
      <c r="BJ60" s="781"/>
      <c r="BK60" s="781"/>
      <c r="BL60" s="781"/>
      <c r="BM60" s="781"/>
      <c r="BN60" s="781"/>
      <c r="BO60" s="781"/>
      <c r="BP60" s="781"/>
      <c r="BQ60" s="781"/>
      <c r="BR60" s="781"/>
      <c r="BS60" s="781"/>
      <c r="BT60" s="781"/>
      <c r="BU60" s="781"/>
      <c r="BV60" s="781"/>
      <c r="BW60" s="781"/>
      <c r="BX60" s="781"/>
      <c r="BY60" s="781"/>
      <c r="BZ60" s="781"/>
      <c r="CA60" s="781"/>
      <c r="CB60" s="781"/>
      <c r="CC60" s="781"/>
      <c r="CD60" s="781"/>
      <c r="CE60" s="781"/>
      <c r="CF60" s="781"/>
      <c r="CG60" s="781"/>
      <c r="CH60" s="781"/>
      <c r="CI60" s="781"/>
      <c r="CJ60" s="781"/>
      <c r="CK60" s="781"/>
      <c r="CL60" s="781"/>
      <c r="CM60" s="781"/>
      <c r="CN60" s="781"/>
      <c r="CO60" s="781"/>
      <c r="CP60" s="781"/>
      <c r="CQ60" s="781"/>
      <c r="CR60" s="781"/>
      <c r="CS60" s="781"/>
      <c r="CT60" s="781"/>
    </row>
    <row r="61" spans="1:98" s="1175" customFormat="1" ht="63.75" x14ac:dyDescent="0.25">
      <c r="A61" s="1182"/>
      <c r="B61" s="1182" t="s">
        <v>2097</v>
      </c>
      <c r="C61" s="1203" t="s">
        <v>2102</v>
      </c>
      <c r="D61" s="781"/>
      <c r="E61" s="781"/>
      <c r="F61" s="781"/>
      <c r="G61" s="781"/>
      <c r="H61" s="781"/>
      <c r="I61" s="781"/>
      <c r="J61" s="781"/>
      <c r="K61" s="781"/>
      <c r="L61" s="781"/>
      <c r="M61" s="781"/>
      <c r="N61" s="781"/>
      <c r="O61" s="781"/>
      <c r="P61" s="781"/>
      <c r="Q61" s="781"/>
      <c r="R61" s="781"/>
      <c r="S61" s="781"/>
      <c r="T61" s="781"/>
      <c r="U61" s="781"/>
      <c r="V61" s="781"/>
      <c r="W61" s="781"/>
      <c r="X61" s="781"/>
      <c r="Y61" s="781"/>
      <c r="Z61" s="781"/>
      <c r="AA61" s="781"/>
      <c r="AB61" s="781"/>
      <c r="AC61" s="781"/>
      <c r="AD61" s="781"/>
      <c r="AE61" s="781"/>
      <c r="AF61" s="781"/>
      <c r="AG61" s="781"/>
      <c r="AH61" s="781"/>
      <c r="AI61" s="781"/>
      <c r="AJ61" s="781"/>
      <c r="AK61" s="781"/>
      <c r="AL61" s="781"/>
      <c r="AM61" s="781"/>
      <c r="AN61" s="781"/>
      <c r="AO61" s="781"/>
      <c r="AP61" s="781"/>
      <c r="AQ61" s="781"/>
      <c r="AR61" s="781"/>
      <c r="AS61" s="781"/>
      <c r="AT61" s="781"/>
      <c r="AU61" s="781"/>
      <c r="AV61" s="781"/>
      <c r="AX61" s="1188">
        <f>(13)*26/18+(13)*6/18</f>
        <v>23.11</v>
      </c>
      <c r="AY61" s="1188"/>
      <c r="AZ61" s="1188"/>
      <c r="BA61" s="1227">
        <f>(1)*26/18+(1)*6/18</f>
        <v>1.78</v>
      </c>
      <c r="BB61" s="1227"/>
      <c r="BC61" s="1227"/>
      <c r="BD61" s="1227">
        <f>(1)*26/18+(1)*6/18</f>
        <v>1.78</v>
      </c>
      <c r="BE61" s="1227"/>
      <c r="BF61" s="1227"/>
      <c r="BG61" s="1188">
        <f t="shared" ref="BG61:CH61" si="356">(13)*26/18+(13)*6/18</f>
        <v>23.11</v>
      </c>
      <c r="BH61" s="1188"/>
      <c r="BI61" s="1188"/>
      <c r="BJ61" s="1188">
        <f t="shared" si="356"/>
        <v>23.11</v>
      </c>
      <c r="BK61" s="1188"/>
      <c r="BL61" s="1188"/>
      <c r="BM61" s="1188">
        <f t="shared" si="356"/>
        <v>23.11</v>
      </c>
      <c r="BN61" s="1188"/>
      <c r="BO61" s="1188"/>
      <c r="BP61" s="1188">
        <f t="shared" si="356"/>
        <v>23.11</v>
      </c>
      <c r="BQ61" s="1188"/>
      <c r="BR61" s="1188"/>
      <c r="BS61" s="1188">
        <f t="shared" si="356"/>
        <v>23.11</v>
      </c>
      <c r="BT61" s="1188"/>
      <c r="BU61" s="1188"/>
      <c r="BV61" s="1188">
        <f t="shared" si="356"/>
        <v>23.11</v>
      </c>
      <c r="BW61" s="1188"/>
      <c r="BX61" s="1188"/>
      <c r="BY61" s="1188">
        <f t="shared" si="356"/>
        <v>23.11</v>
      </c>
      <c r="BZ61" s="1188"/>
      <c r="CA61" s="1188"/>
      <c r="CB61" s="1188">
        <f t="shared" si="356"/>
        <v>23.11</v>
      </c>
      <c r="CC61" s="1188"/>
      <c r="CD61" s="1188"/>
      <c r="CE61" s="1188">
        <f t="shared" si="356"/>
        <v>23.11</v>
      </c>
      <c r="CF61" s="1188"/>
      <c r="CG61" s="1188"/>
      <c r="CH61" s="1188">
        <f t="shared" si="356"/>
        <v>23.11</v>
      </c>
      <c r="CI61" s="1188"/>
      <c r="CJ61" s="1188"/>
      <c r="CK61" s="1230">
        <f t="shared" ref="CK61:CK64" si="357">(BG61+BJ61+BM61+BP61+BS61+BV61+BY61+CB61+CE61+CH61)/10</f>
        <v>23.11</v>
      </c>
      <c r="CL61" s="1230">
        <f t="shared" ref="CL61:CL64" si="358">(BH61+BK61+BN61+BQ61+BT61+BW61+BZ61+CC61+CF61+CI61)/10</f>
        <v>0</v>
      </c>
      <c r="CM61" s="1230">
        <f t="shared" ref="CM61:CM64" si="359">(BI61+BL61+BO61+BR61+BU61+BX61+CA61+CD61+CG61+CJ61)/10</f>
        <v>0</v>
      </c>
      <c r="CN61" s="1188">
        <f>(0)*14/18</f>
        <v>0</v>
      </c>
      <c r="CO61" s="1188"/>
      <c r="CP61" s="1188"/>
      <c r="CQ61" s="781">
        <v>0</v>
      </c>
      <c r="CR61" s="781"/>
      <c r="CS61" s="781"/>
      <c r="CT61" s="1203" t="s">
        <v>2104</v>
      </c>
    </row>
    <row r="62" spans="1:98" s="1175" customFormat="1" ht="51" x14ac:dyDescent="0.25">
      <c r="A62" s="1182"/>
      <c r="B62" s="1182" t="s">
        <v>2098</v>
      </c>
      <c r="C62" s="1203" t="s">
        <v>1526</v>
      </c>
      <c r="D62" s="781"/>
      <c r="E62" s="781"/>
      <c r="F62" s="781"/>
      <c r="G62" s="781"/>
      <c r="H62" s="781"/>
      <c r="I62" s="781"/>
      <c r="J62" s="781"/>
      <c r="K62" s="781"/>
      <c r="L62" s="781"/>
      <c r="M62" s="781"/>
      <c r="N62" s="781"/>
      <c r="O62" s="781"/>
      <c r="P62" s="781"/>
      <c r="Q62" s="781"/>
      <c r="R62" s="781"/>
      <c r="S62" s="781"/>
      <c r="T62" s="781"/>
      <c r="U62" s="781"/>
      <c r="V62" s="781"/>
      <c r="W62" s="781"/>
      <c r="X62" s="781"/>
      <c r="Y62" s="781"/>
      <c r="Z62" s="781"/>
      <c r="AA62" s="781"/>
      <c r="AB62" s="781"/>
      <c r="AC62" s="781"/>
      <c r="AD62" s="781"/>
      <c r="AE62" s="781"/>
      <c r="AF62" s="781"/>
      <c r="AG62" s="781"/>
      <c r="AH62" s="781"/>
      <c r="AI62" s="781"/>
      <c r="AJ62" s="781"/>
      <c r="AK62" s="781"/>
      <c r="AL62" s="781"/>
      <c r="AM62" s="781"/>
      <c r="AN62" s="781"/>
      <c r="AO62" s="781"/>
      <c r="AP62" s="781"/>
      <c r="AQ62" s="781"/>
      <c r="AR62" s="781"/>
      <c r="AS62" s="781"/>
      <c r="AT62" s="781"/>
      <c r="AU62" s="781"/>
      <c r="AV62" s="781"/>
      <c r="AX62" s="1188"/>
      <c r="AY62" s="1188">
        <f>(17)*35/18+(17)*5/18</f>
        <v>37.78</v>
      </c>
      <c r="AZ62" s="1188"/>
      <c r="BA62" s="1227"/>
      <c r="BB62" s="1227">
        <f>(1)*35/18+(1)*5/18</f>
        <v>2.2200000000000002</v>
      </c>
      <c r="BC62" s="1227"/>
      <c r="BD62" s="1227"/>
      <c r="BE62" s="1227">
        <f>(1)*35/18+(1)*5/18</f>
        <v>2.2200000000000002</v>
      </c>
      <c r="BF62" s="1227"/>
      <c r="BG62" s="1188"/>
      <c r="BH62" s="1188">
        <f t="shared" ref="BH62:CI62" si="360">(17)*35/18+(17)*5/18</f>
        <v>37.78</v>
      </c>
      <c r="BI62" s="1188"/>
      <c r="BJ62" s="1188"/>
      <c r="BK62" s="1188">
        <f t="shared" si="360"/>
        <v>37.78</v>
      </c>
      <c r="BL62" s="1188"/>
      <c r="BM62" s="1188"/>
      <c r="BN62" s="1188">
        <f t="shared" si="360"/>
        <v>37.78</v>
      </c>
      <c r="BO62" s="1188"/>
      <c r="BP62" s="1188"/>
      <c r="BQ62" s="1188">
        <f t="shared" si="360"/>
        <v>37.78</v>
      </c>
      <c r="BR62" s="1188"/>
      <c r="BS62" s="1188"/>
      <c r="BT62" s="1188">
        <f t="shared" si="360"/>
        <v>37.78</v>
      </c>
      <c r="BU62" s="1188"/>
      <c r="BV62" s="1188"/>
      <c r="BW62" s="1188">
        <f t="shared" si="360"/>
        <v>37.78</v>
      </c>
      <c r="BX62" s="1188"/>
      <c r="BY62" s="1188"/>
      <c r="BZ62" s="1188">
        <f t="shared" si="360"/>
        <v>37.78</v>
      </c>
      <c r="CA62" s="1188"/>
      <c r="CB62" s="1188"/>
      <c r="CC62" s="1188">
        <f t="shared" si="360"/>
        <v>37.78</v>
      </c>
      <c r="CD62" s="1188"/>
      <c r="CE62" s="1188"/>
      <c r="CF62" s="1188">
        <f t="shared" si="360"/>
        <v>37.78</v>
      </c>
      <c r="CG62" s="1188"/>
      <c r="CH62" s="1188"/>
      <c r="CI62" s="1188">
        <f t="shared" si="360"/>
        <v>37.78</v>
      </c>
      <c r="CJ62" s="1188"/>
      <c r="CK62" s="1230">
        <f t="shared" si="357"/>
        <v>0</v>
      </c>
      <c r="CL62" s="1230">
        <f t="shared" si="358"/>
        <v>37.78</v>
      </c>
      <c r="CM62" s="1230">
        <f t="shared" si="359"/>
        <v>0</v>
      </c>
      <c r="CN62" s="1188"/>
      <c r="CO62" s="1188">
        <f t="shared" ref="CO62" si="361">(17)*14/18</f>
        <v>13.22</v>
      </c>
      <c r="CP62" s="1188"/>
      <c r="CQ62" s="1188"/>
      <c r="CR62" s="1188">
        <f t="shared" ref="CR62" si="362">(17)*25/18</f>
        <v>23.61</v>
      </c>
      <c r="CS62" s="1188"/>
      <c r="CT62" s="1203" t="s">
        <v>2105</v>
      </c>
    </row>
    <row r="63" spans="1:98" s="1175" customFormat="1" ht="63.75" x14ac:dyDescent="0.25">
      <c r="A63" s="1182"/>
      <c r="B63" s="1182" t="s">
        <v>2099</v>
      </c>
      <c r="C63" s="1203" t="s">
        <v>2103</v>
      </c>
      <c r="D63" s="781"/>
      <c r="E63" s="781"/>
      <c r="F63" s="781"/>
      <c r="G63" s="781"/>
      <c r="H63" s="781"/>
      <c r="I63" s="781"/>
      <c r="J63" s="781"/>
      <c r="K63" s="781"/>
      <c r="L63" s="781"/>
      <c r="M63" s="781"/>
      <c r="N63" s="781"/>
      <c r="O63" s="781"/>
      <c r="P63" s="781"/>
      <c r="Q63" s="781"/>
      <c r="R63" s="781"/>
      <c r="S63" s="781"/>
      <c r="T63" s="781"/>
      <c r="U63" s="781"/>
      <c r="V63" s="781"/>
      <c r="W63" s="781"/>
      <c r="X63" s="781"/>
      <c r="Y63" s="781"/>
      <c r="Z63" s="781"/>
      <c r="AA63" s="781"/>
      <c r="AB63" s="781"/>
      <c r="AC63" s="781"/>
      <c r="AD63" s="781"/>
      <c r="AE63" s="781"/>
      <c r="AF63" s="781"/>
      <c r="AG63" s="781"/>
      <c r="AH63" s="781"/>
      <c r="AI63" s="781"/>
      <c r="AJ63" s="781"/>
      <c r="AK63" s="781"/>
      <c r="AL63" s="781"/>
      <c r="AM63" s="781"/>
      <c r="AN63" s="781"/>
      <c r="AO63" s="781"/>
      <c r="AP63" s="781"/>
      <c r="AQ63" s="781"/>
      <c r="AR63" s="781"/>
      <c r="AS63" s="781"/>
      <c r="AT63" s="781"/>
      <c r="AU63" s="781"/>
      <c r="AV63" s="781"/>
      <c r="AX63" s="1188"/>
      <c r="AY63" s="1188"/>
      <c r="AZ63" s="1188">
        <f>(3)*37/18+(3)*7/18</f>
        <v>7.33</v>
      </c>
      <c r="BA63" s="1227"/>
      <c r="BB63" s="1227"/>
      <c r="BC63" s="1227">
        <f>(1)*37/18+(1)*7/18</f>
        <v>2.44</v>
      </c>
      <c r="BD63" s="1227"/>
      <c r="BE63" s="1227"/>
      <c r="BF63" s="1227">
        <f>(1)*37/18+(1)*7/18</f>
        <v>2.44</v>
      </c>
      <c r="BG63" s="1188"/>
      <c r="BH63" s="1188"/>
      <c r="BI63" s="1188">
        <f t="shared" ref="BI63:CJ63" si="363">(3)*37/18+(3)*7/18</f>
        <v>7.33</v>
      </c>
      <c r="BJ63" s="1188"/>
      <c r="BK63" s="1188"/>
      <c r="BL63" s="1188">
        <f t="shared" si="363"/>
        <v>7.33</v>
      </c>
      <c r="BM63" s="1188"/>
      <c r="BN63" s="1188"/>
      <c r="BO63" s="1188">
        <f t="shared" si="363"/>
        <v>7.33</v>
      </c>
      <c r="BP63" s="1188"/>
      <c r="BQ63" s="1188"/>
      <c r="BR63" s="1188">
        <f t="shared" si="363"/>
        <v>7.33</v>
      </c>
      <c r="BS63" s="1188"/>
      <c r="BT63" s="1188"/>
      <c r="BU63" s="1188">
        <f t="shared" si="363"/>
        <v>7.33</v>
      </c>
      <c r="BV63" s="1188"/>
      <c r="BW63" s="1188"/>
      <c r="BX63" s="1188">
        <f t="shared" si="363"/>
        <v>7.33</v>
      </c>
      <c r="BY63" s="1188"/>
      <c r="BZ63" s="1188"/>
      <c r="CA63" s="1188">
        <f t="shared" si="363"/>
        <v>7.33</v>
      </c>
      <c r="CB63" s="1188"/>
      <c r="CC63" s="1188"/>
      <c r="CD63" s="1188">
        <f t="shared" si="363"/>
        <v>7.33</v>
      </c>
      <c r="CE63" s="1188"/>
      <c r="CF63" s="1188"/>
      <c r="CG63" s="1188">
        <f t="shared" si="363"/>
        <v>7.33</v>
      </c>
      <c r="CH63" s="1188"/>
      <c r="CI63" s="1188"/>
      <c r="CJ63" s="1188">
        <f t="shared" si="363"/>
        <v>7.33</v>
      </c>
      <c r="CK63" s="1230">
        <f t="shared" si="357"/>
        <v>0</v>
      </c>
      <c r="CL63" s="1230">
        <f t="shared" si="358"/>
        <v>0</v>
      </c>
      <c r="CM63" s="1230">
        <f t="shared" si="359"/>
        <v>7.33</v>
      </c>
      <c r="CN63" s="1188"/>
      <c r="CO63" s="1188"/>
      <c r="CP63" s="1188">
        <f t="shared" ref="CP63" si="364">(2)*14/18</f>
        <v>1.56</v>
      </c>
      <c r="CQ63" s="1188"/>
      <c r="CR63" s="1188"/>
      <c r="CS63" s="1188">
        <f t="shared" ref="CS63" si="365">(2)*23/18</f>
        <v>2.56</v>
      </c>
      <c r="CT63" s="1203" t="s">
        <v>2106</v>
      </c>
    </row>
    <row r="64" spans="1:98" ht="42.75" customHeight="1" x14ac:dyDescent="0.25">
      <c r="A64" s="1182" t="s">
        <v>2035</v>
      </c>
      <c r="B64" s="1182" t="s">
        <v>2065</v>
      </c>
      <c r="C64" s="1203" t="s">
        <v>2066</v>
      </c>
      <c r="D64" s="781"/>
      <c r="E64" s="781"/>
      <c r="F64" s="781"/>
      <c r="G64" s="781"/>
      <c r="H64" s="781"/>
      <c r="I64" s="781"/>
      <c r="J64" s="781"/>
      <c r="K64" s="781"/>
      <c r="L64" s="781"/>
      <c r="M64" s="781"/>
      <c r="N64" s="781"/>
      <c r="O64" s="781"/>
      <c r="P64" s="781"/>
      <c r="Q64" s="781"/>
      <c r="R64" s="781"/>
      <c r="S64" s="781"/>
      <c r="T64" s="781"/>
      <c r="U64" s="781"/>
      <c r="V64" s="781"/>
      <c r="W64" s="781"/>
      <c r="X64" s="781"/>
      <c r="Y64" s="781"/>
      <c r="Z64" s="781"/>
      <c r="AA64" s="781"/>
      <c r="AB64" s="781"/>
      <c r="AC64" s="781"/>
      <c r="AD64" s="781"/>
      <c r="AE64" s="781"/>
      <c r="AF64" s="781"/>
      <c r="AG64" s="781"/>
      <c r="AH64" s="781"/>
      <c r="AI64" s="781"/>
      <c r="AJ64" s="781"/>
      <c r="AK64" s="781"/>
      <c r="AL64" s="781"/>
      <c r="AM64" s="781"/>
      <c r="AN64" s="781"/>
      <c r="AO64" s="781"/>
      <c r="AP64" s="781"/>
      <c r="AQ64" s="781"/>
      <c r="AR64" s="781"/>
      <c r="AS64" s="781"/>
      <c r="AT64" s="781"/>
      <c r="AU64" s="781"/>
      <c r="AV64" s="781"/>
      <c r="AX64" s="1188">
        <f>(13)*10/18</f>
        <v>7.22</v>
      </c>
      <c r="AY64" s="1188">
        <f>(17)*10/18</f>
        <v>9.44</v>
      </c>
      <c r="AZ64" s="1188">
        <f>(3)*10/18</f>
        <v>1.67</v>
      </c>
      <c r="BA64" s="1227">
        <f t="shared" ref="BA64:BF64" si="366">(1)*10/18</f>
        <v>0.56000000000000005</v>
      </c>
      <c r="BB64" s="1227">
        <f t="shared" si="366"/>
        <v>0.56000000000000005</v>
      </c>
      <c r="BC64" s="1227">
        <f t="shared" si="366"/>
        <v>0.56000000000000005</v>
      </c>
      <c r="BD64" s="1227">
        <f t="shared" si="366"/>
        <v>0.56000000000000005</v>
      </c>
      <c r="BE64" s="1227">
        <f t="shared" si="366"/>
        <v>0.56000000000000005</v>
      </c>
      <c r="BF64" s="1227">
        <f t="shared" si="366"/>
        <v>0.56000000000000005</v>
      </c>
      <c r="BG64" s="1188">
        <f>(13)*10/18</f>
        <v>7.22</v>
      </c>
      <c r="BH64" s="1188">
        <f>(17)*10/18</f>
        <v>9.44</v>
      </c>
      <c r="BI64" s="1188">
        <f>(3)*10/18</f>
        <v>1.67</v>
      </c>
      <c r="BJ64" s="1188">
        <f>(13)*10/18</f>
        <v>7.22</v>
      </c>
      <c r="BK64" s="1188">
        <f>(17)*10/18</f>
        <v>9.44</v>
      </c>
      <c r="BL64" s="1188">
        <f>(3)*10/18</f>
        <v>1.67</v>
      </c>
      <c r="BM64" s="1188">
        <f>(13)*10/18</f>
        <v>7.22</v>
      </c>
      <c r="BN64" s="1188">
        <f>(17)*10/18</f>
        <v>9.44</v>
      </c>
      <c r="BO64" s="1188">
        <f>(3)*10/18</f>
        <v>1.67</v>
      </c>
      <c r="BP64" s="1188">
        <f>(13)*10/18</f>
        <v>7.22</v>
      </c>
      <c r="BQ64" s="1188">
        <f>(17)*10/18</f>
        <v>9.44</v>
      </c>
      <c r="BR64" s="1188">
        <f>(3)*10/18</f>
        <v>1.67</v>
      </c>
      <c r="BS64" s="1188">
        <f>(13)*10/18</f>
        <v>7.22</v>
      </c>
      <c r="BT64" s="1188">
        <f>(17)*10/18</f>
        <v>9.44</v>
      </c>
      <c r="BU64" s="1188">
        <f>(3)*10/18</f>
        <v>1.67</v>
      </c>
      <c r="BV64" s="1188">
        <f>(13)*10/18</f>
        <v>7.22</v>
      </c>
      <c r="BW64" s="1188">
        <f>(17)*10/18</f>
        <v>9.44</v>
      </c>
      <c r="BX64" s="1188">
        <f>(3)*10/18</f>
        <v>1.67</v>
      </c>
      <c r="BY64" s="1188">
        <f>(13)*10/18</f>
        <v>7.22</v>
      </c>
      <c r="BZ64" s="1188">
        <f>(17)*10/18</f>
        <v>9.44</v>
      </c>
      <c r="CA64" s="1188">
        <f>(3)*10/18</f>
        <v>1.67</v>
      </c>
      <c r="CB64" s="1188">
        <f>(13)*10/18</f>
        <v>7.22</v>
      </c>
      <c r="CC64" s="1188">
        <f>(17)*10/18</f>
        <v>9.44</v>
      </c>
      <c r="CD64" s="1188">
        <f>(3)*10/18</f>
        <v>1.67</v>
      </c>
      <c r="CE64" s="1188">
        <f>(13)*10/18</f>
        <v>7.22</v>
      </c>
      <c r="CF64" s="1188">
        <f>(17)*10/18</f>
        <v>9.44</v>
      </c>
      <c r="CG64" s="1188">
        <f>(3)*10/18</f>
        <v>1.67</v>
      </c>
      <c r="CH64" s="1188">
        <f>(13)*10/18</f>
        <v>7.22</v>
      </c>
      <c r="CI64" s="1188">
        <f>(17)*10/18</f>
        <v>9.44</v>
      </c>
      <c r="CJ64" s="1188">
        <f>(3)*10/18</f>
        <v>1.67</v>
      </c>
      <c r="CK64" s="1230">
        <f t="shared" si="357"/>
        <v>7.22</v>
      </c>
      <c r="CL64" s="1230">
        <f t="shared" si="358"/>
        <v>9.44</v>
      </c>
      <c r="CM64" s="1230">
        <f t="shared" si="359"/>
        <v>1.67</v>
      </c>
      <c r="CN64" s="1220">
        <v>0</v>
      </c>
      <c r="CO64" s="1220">
        <v>0</v>
      </c>
      <c r="CP64" s="1220">
        <v>0</v>
      </c>
      <c r="CQ64" s="1220">
        <v>0</v>
      </c>
      <c r="CR64" s="1220">
        <v>0</v>
      </c>
      <c r="CS64" s="1220">
        <v>0</v>
      </c>
      <c r="CT64" s="781"/>
    </row>
    <row r="65" spans="1:98" x14ac:dyDescent="0.25">
      <c r="A65" s="1186"/>
      <c r="B65" s="1182"/>
      <c r="C65" s="1203"/>
      <c r="D65" s="781"/>
      <c r="E65" s="781"/>
      <c r="F65" s="781"/>
      <c r="G65" s="781"/>
      <c r="H65" s="781"/>
      <c r="I65" s="781"/>
      <c r="J65" s="781"/>
      <c r="K65" s="781"/>
      <c r="L65" s="781"/>
      <c r="M65" s="781"/>
      <c r="N65" s="781"/>
      <c r="O65" s="781"/>
      <c r="P65" s="781"/>
      <c r="Q65" s="781"/>
      <c r="R65" s="781"/>
      <c r="S65" s="781"/>
      <c r="T65" s="781"/>
      <c r="U65" s="781"/>
      <c r="V65" s="781"/>
      <c r="W65" s="781"/>
      <c r="X65" s="781"/>
      <c r="Y65" s="781"/>
      <c r="Z65" s="781"/>
      <c r="AA65" s="781"/>
      <c r="AB65" s="781"/>
      <c r="AC65" s="781"/>
      <c r="AD65" s="781"/>
      <c r="AE65" s="781"/>
      <c r="AF65" s="781"/>
      <c r="AG65" s="781"/>
      <c r="AH65" s="781"/>
      <c r="AI65" s="781"/>
      <c r="AJ65" s="781"/>
      <c r="AK65" s="781"/>
      <c r="AL65" s="781"/>
      <c r="AM65" s="781"/>
      <c r="AN65" s="781"/>
      <c r="AO65" s="781"/>
      <c r="AP65" s="781"/>
      <c r="AQ65" s="781"/>
      <c r="AR65" s="781"/>
      <c r="AS65" s="781"/>
      <c r="AT65" s="781"/>
      <c r="AU65" s="781"/>
      <c r="AV65" s="781"/>
      <c r="AX65" s="781"/>
      <c r="AY65" s="781"/>
      <c r="AZ65" s="781"/>
      <c r="BA65" s="781"/>
      <c r="BB65" s="781"/>
      <c r="BC65" s="781"/>
      <c r="BD65" s="781"/>
      <c r="BE65" s="781"/>
      <c r="BF65" s="781"/>
      <c r="BG65" s="781"/>
      <c r="BH65" s="781"/>
      <c r="BI65" s="781"/>
      <c r="BJ65" s="781"/>
      <c r="BK65" s="781"/>
      <c r="BL65" s="781"/>
      <c r="BM65" s="781"/>
      <c r="BN65" s="781"/>
      <c r="BO65" s="781"/>
      <c r="BP65" s="781"/>
      <c r="BQ65" s="781"/>
      <c r="BR65" s="781"/>
      <c r="BS65" s="781"/>
      <c r="BT65" s="781"/>
      <c r="BU65" s="781"/>
      <c r="BV65" s="781"/>
      <c r="BW65" s="781"/>
      <c r="BX65" s="781"/>
      <c r="BY65" s="781"/>
      <c r="BZ65" s="781"/>
      <c r="CA65" s="781"/>
      <c r="CB65" s="781"/>
      <c r="CC65" s="781"/>
      <c r="CD65" s="781"/>
      <c r="CE65" s="781"/>
      <c r="CF65" s="781"/>
      <c r="CG65" s="781"/>
      <c r="CH65" s="781"/>
      <c r="CI65" s="781"/>
      <c r="CJ65" s="781"/>
      <c r="CK65" s="781"/>
      <c r="CL65" s="781"/>
      <c r="CM65" s="781"/>
      <c r="CN65" s="781"/>
      <c r="CO65" s="781"/>
      <c r="CP65" s="781"/>
      <c r="CQ65" s="781"/>
      <c r="CR65" s="781"/>
      <c r="CS65" s="781"/>
      <c r="CT65" s="781"/>
    </row>
    <row r="66" spans="1:98" ht="42" customHeight="1" x14ac:dyDescent="0.25">
      <c r="A66" s="1186"/>
      <c r="B66" s="1210" t="s">
        <v>2067</v>
      </c>
      <c r="C66" s="1205" t="s">
        <v>2068</v>
      </c>
      <c r="D66" s="781"/>
      <c r="E66" s="781"/>
      <c r="F66" s="781"/>
      <c r="G66" s="781"/>
      <c r="H66" s="781"/>
      <c r="I66" s="781"/>
      <c r="J66" s="781"/>
      <c r="K66" s="781"/>
      <c r="L66" s="781"/>
      <c r="M66" s="781"/>
      <c r="N66" s="781"/>
      <c r="O66" s="781"/>
      <c r="P66" s="781"/>
      <c r="Q66" s="781"/>
      <c r="R66" s="781"/>
      <c r="S66" s="781"/>
      <c r="T66" s="781"/>
      <c r="U66" s="781"/>
      <c r="V66" s="781"/>
      <c r="W66" s="781"/>
      <c r="X66" s="781"/>
      <c r="Y66" s="781"/>
      <c r="Z66" s="781"/>
      <c r="AA66" s="781"/>
      <c r="AB66" s="781"/>
      <c r="AC66" s="781"/>
      <c r="AD66" s="781"/>
      <c r="AE66" s="781"/>
      <c r="AF66" s="781"/>
      <c r="AG66" s="781"/>
      <c r="AH66" s="781"/>
      <c r="AI66" s="781"/>
      <c r="AJ66" s="781"/>
      <c r="AK66" s="781"/>
      <c r="AL66" s="781"/>
      <c r="AM66" s="781"/>
      <c r="AN66" s="781"/>
      <c r="AO66" s="781"/>
      <c r="AP66" s="781"/>
      <c r="AQ66" s="781"/>
      <c r="AR66" s="781"/>
      <c r="AS66" s="781"/>
      <c r="AT66" s="781"/>
      <c r="AU66" s="781"/>
      <c r="AV66" s="781"/>
      <c r="AX66" s="1209">
        <f t="shared" ref="AX66:BS66" si="367">SUM(AX67:AX73)</f>
        <v>16.34</v>
      </c>
      <c r="AY66" s="1209">
        <f t="shared" si="367"/>
        <v>16.34</v>
      </c>
      <c r="AZ66" s="1209">
        <f t="shared" si="367"/>
        <v>16.34</v>
      </c>
      <c r="BA66" s="1209">
        <f t="shared" si="367"/>
        <v>0</v>
      </c>
      <c r="BB66" s="1209">
        <f t="shared" si="367"/>
        <v>0</v>
      </c>
      <c r="BC66" s="1209">
        <f t="shared" si="367"/>
        <v>0</v>
      </c>
      <c r="BD66" s="1209">
        <f t="shared" si="367"/>
        <v>0</v>
      </c>
      <c r="BE66" s="1209">
        <f t="shared" si="367"/>
        <v>0</v>
      </c>
      <c r="BF66" s="1209">
        <f t="shared" si="367"/>
        <v>0</v>
      </c>
      <c r="BG66" s="1209">
        <f t="shared" si="367"/>
        <v>16.34</v>
      </c>
      <c r="BH66" s="1209">
        <f t="shared" ref="BH66" si="368">SUM(BH67:BH73)</f>
        <v>16.34</v>
      </c>
      <c r="BI66" s="1209">
        <f t="shared" ref="BI66" si="369">SUM(BI67:BI73)</f>
        <v>16.34</v>
      </c>
      <c r="BJ66" s="1209">
        <f t="shared" si="367"/>
        <v>16.34</v>
      </c>
      <c r="BK66" s="1209">
        <f t="shared" ref="BK66" si="370">SUM(BK67:BK73)</f>
        <v>16.34</v>
      </c>
      <c r="BL66" s="1209">
        <f t="shared" ref="BL66" si="371">SUM(BL67:BL73)</f>
        <v>16.34</v>
      </c>
      <c r="BM66" s="1209">
        <f t="shared" si="367"/>
        <v>16.34</v>
      </c>
      <c r="BN66" s="1209">
        <f t="shared" ref="BN66" si="372">SUM(BN67:BN73)</f>
        <v>16.34</v>
      </c>
      <c r="BO66" s="1209">
        <f t="shared" ref="BO66" si="373">SUM(BO67:BO73)</f>
        <v>16.34</v>
      </c>
      <c r="BP66" s="1209">
        <f t="shared" si="367"/>
        <v>16.34</v>
      </c>
      <c r="BQ66" s="1209">
        <f t="shared" ref="BQ66" si="374">SUM(BQ67:BQ73)</f>
        <v>16.34</v>
      </c>
      <c r="BR66" s="1209">
        <f t="shared" ref="BR66" si="375">SUM(BR67:BR73)</f>
        <v>16.34</v>
      </c>
      <c r="BS66" s="1209">
        <f t="shared" si="367"/>
        <v>16.34</v>
      </c>
      <c r="BT66" s="1209">
        <f t="shared" ref="BT66" si="376">SUM(BT67:BT73)</f>
        <v>16.34</v>
      </c>
      <c r="BU66" s="1209">
        <f t="shared" ref="BU66" si="377">SUM(BU67:BU73)</f>
        <v>16.34</v>
      </c>
      <c r="BV66" s="1209">
        <f t="shared" ref="BV66:BX66" si="378">SUM(BV67:BV73)</f>
        <v>16.34</v>
      </c>
      <c r="BW66" s="1209">
        <f t="shared" si="378"/>
        <v>16.34</v>
      </c>
      <c r="BX66" s="1209">
        <f t="shared" si="378"/>
        <v>16.34</v>
      </c>
      <c r="BY66" s="1209">
        <f t="shared" ref="BY66:CH66" si="379">SUM(BY67:BY73)</f>
        <v>16.34</v>
      </c>
      <c r="BZ66" s="1209">
        <f t="shared" ref="BZ66:CA66" si="380">SUM(BZ67:BZ73)</f>
        <v>16.34</v>
      </c>
      <c r="CA66" s="1209">
        <f t="shared" si="380"/>
        <v>16.34</v>
      </c>
      <c r="CB66" s="1209">
        <f>SUM(CB67:CB73)</f>
        <v>16.34</v>
      </c>
      <c r="CC66" s="1209">
        <f t="shared" ref="CC66:CD66" si="381">SUM(CC67:CC73)</f>
        <v>16.34</v>
      </c>
      <c r="CD66" s="1209">
        <f t="shared" si="381"/>
        <v>16.34</v>
      </c>
      <c r="CE66" s="1209">
        <f>SUM(CE67:CE73)</f>
        <v>16.34</v>
      </c>
      <c r="CF66" s="1209">
        <f t="shared" ref="CF66:CG66" si="382">SUM(CF67:CF73)</f>
        <v>16.34</v>
      </c>
      <c r="CG66" s="1209">
        <f t="shared" si="382"/>
        <v>16.34</v>
      </c>
      <c r="CH66" s="1209">
        <f t="shared" si="379"/>
        <v>16.34</v>
      </c>
      <c r="CI66" s="1209">
        <f t="shared" ref="CI66:CJ66" si="383">SUM(CI67:CI73)</f>
        <v>16.34</v>
      </c>
      <c r="CJ66" s="1209">
        <f t="shared" si="383"/>
        <v>16.34</v>
      </c>
      <c r="CK66" s="1209">
        <f t="shared" ref="CK66:CM66" si="384">SUM(CK67:CK73)</f>
        <v>16.34</v>
      </c>
      <c r="CL66" s="1209">
        <f t="shared" si="384"/>
        <v>16.34</v>
      </c>
      <c r="CM66" s="1209">
        <f t="shared" si="384"/>
        <v>16.34</v>
      </c>
      <c r="CN66" s="1209">
        <f>SUM(CN67:CN73)</f>
        <v>11.11</v>
      </c>
      <c r="CO66" s="1209">
        <f t="shared" ref="CO66:CP66" si="385">SUM(CO67:CO73)</f>
        <v>11.11</v>
      </c>
      <c r="CP66" s="1209">
        <f t="shared" si="385"/>
        <v>11.11</v>
      </c>
      <c r="CQ66" s="1209">
        <f>SUM(CQ67:CQ73)</f>
        <v>11.11</v>
      </c>
      <c r="CR66" s="1209">
        <f t="shared" ref="CR66:CS66" si="386">SUM(CR67:CR73)</f>
        <v>11.11</v>
      </c>
      <c r="CS66" s="1209">
        <f t="shared" si="386"/>
        <v>11.11</v>
      </c>
      <c r="CT66" s="781"/>
    </row>
    <row r="67" spans="1:98" ht="102" x14ac:dyDescent="0.25">
      <c r="A67" s="1182" t="s">
        <v>2069</v>
      </c>
      <c r="B67" s="1193" t="s">
        <v>1519</v>
      </c>
      <c r="C67" s="1203" t="s">
        <v>2070</v>
      </c>
      <c r="D67" s="781">
        <v>0.5</v>
      </c>
      <c r="E67" s="781">
        <v>1</v>
      </c>
      <c r="F67" s="781">
        <v>1</v>
      </c>
      <c r="G67" s="781">
        <v>1</v>
      </c>
      <c r="H67" s="781">
        <v>1</v>
      </c>
      <c r="I67" s="781">
        <v>1</v>
      </c>
      <c r="J67" s="781">
        <v>1</v>
      </c>
      <c r="K67" s="781">
        <v>1</v>
      </c>
      <c r="L67" s="781">
        <v>1</v>
      </c>
      <c r="M67" s="781">
        <v>1</v>
      </c>
      <c r="N67" s="781">
        <v>1</v>
      </c>
      <c r="O67" s="781">
        <v>1.5</v>
      </c>
      <c r="P67" s="781">
        <v>1.5</v>
      </c>
      <c r="Q67" s="781">
        <v>1.5</v>
      </c>
      <c r="R67" s="781">
        <v>1.5</v>
      </c>
      <c r="S67" s="781">
        <v>1.5</v>
      </c>
      <c r="T67" s="781">
        <v>1.5</v>
      </c>
      <c r="U67" s="781">
        <v>2</v>
      </c>
      <c r="V67" s="781">
        <v>2</v>
      </c>
      <c r="W67" s="781">
        <v>2</v>
      </c>
      <c r="X67" s="781">
        <v>2</v>
      </c>
      <c r="Y67" s="781">
        <v>2</v>
      </c>
      <c r="Z67" s="781">
        <v>2</v>
      </c>
      <c r="AA67" s="781">
        <v>2</v>
      </c>
      <c r="AB67" s="781">
        <v>2</v>
      </c>
      <c r="AC67" s="781">
        <v>2</v>
      </c>
      <c r="AD67" s="781">
        <v>2</v>
      </c>
      <c r="AE67" s="781">
        <v>2</v>
      </c>
      <c r="AF67" s="781">
        <v>2</v>
      </c>
      <c r="AG67" s="781">
        <v>2</v>
      </c>
      <c r="AH67" s="781">
        <v>2</v>
      </c>
      <c r="AI67" s="781">
        <v>2</v>
      </c>
      <c r="AJ67" s="781">
        <v>2</v>
      </c>
      <c r="AK67" s="781">
        <v>2</v>
      </c>
      <c r="AL67" s="781">
        <v>2</v>
      </c>
      <c r="AM67" s="781">
        <v>2</v>
      </c>
      <c r="AN67" s="781">
        <v>2</v>
      </c>
      <c r="AO67" s="781">
        <v>2</v>
      </c>
      <c r="AP67" s="781">
        <v>2</v>
      </c>
      <c r="AQ67" s="781">
        <v>2</v>
      </c>
      <c r="AR67" s="781">
        <v>2</v>
      </c>
      <c r="AS67" s="781">
        <v>2</v>
      </c>
      <c r="AT67" s="781">
        <v>2</v>
      </c>
      <c r="AU67" s="781">
        <v>2</v>
      </c>
      <c r="AV67" s="781">
        <v>2</v>
      </c>
      <c r="AX67" s="781">
        <v>2</v>
      </c>
      <c r="AY67" s="781">
        <v>2</v>
      </c>
      <c r="AZ67" s="781">
        <v>2</v>
      </c>
      <c r="BA67" s="781">
        <v>0</v>
      </c>
      <c r="BB67" s="781">
        <v>0</v>
      </c>
      <c r="BC67" s="781">
        <v>0</v>
      </c>
      <c r="BD67" s="781">
        <v>0</v>
      </c>
      <c r="BE67" s="781">
        <v>0</v>
      </c>
      <c r="BF67" s="781">
        <v>0</v>
      </c>
      <c r="BG67" s="781">
        <v>2</v>
      </c>
      <c r="BH67" s="781">
        <v>2</v>
      </c>
      <c r="BI67" s="781">
        <v>2</v>
      </c>
      <c r="BJ67" s="781">
        <v>2</v>
      </c>
      <c r="BK67" s="781">
        <v>2</v>
      </c>
      <c r="BL67" s="781">
        <v>2</v>
      </c>
      <c r="BM67" s="781">
        <v>2</v>
      </c>
      <c r="BN67" s="781">
        <v>2</v>
      </c>
      <c r="BO67" s="781">
        <v>2</v>
      </c>
      <c r="BP67" s="781">
        <v>2</v>
      </c>
      <c r="BQ67" s="781">
        <v>2</v>
      </c>
      <c r="BR67" s="781">
        <v>2</v>
      </c>
      <c r="BS67" s="781">
        <v>2</v>
      </c>
      <c r="BT67" s="781">
        <v>2</v>
      </c>
      <c r="BU67" s="781">
        <v>2</v>
      </c>
      <c r="BV67" s="781">
        <v>2</v>
      </c>
      <c r="BW67" s="781">
        <v>2</v>
      </c>
      <c r="BX67" s="781">
        <v>2</v>
      </c>
      <c r="BY67" s="781">
        <v>2</v>
      </c>
      <c r="BZ67" s="781">
        <v>2</v>
      </c>
      <c r="CA67" s="781">
        <v>2</v>
      </c>
      <c r="CB67" s="781">
        <v>2</v>
      </c>
      <c r="CC67" s="781">
        <v>2</v>
      </c>
      <c r="CD67" s="781">
        <v>2</v>
      </c>
      <c r="CE67" s="781">
        <v>2</v>
      </c>
      <c r="CF67" s="781">
        <v>2</v>
      </c>
      <c r="CG67" s="781">
        <v>2</v>
      </c>
      <c r="CH67" s="781">
        <v>2</v>
      </c>
      <c r="CI67" s="781">
        <v>2</v>
      </c>
      <c r="CJ67" s="781">
        <v>2</v>
      </c>
      <c r="CK67" s="1230">
        <f t="shared" ref="CK67:CM67" si="387">(BG67+BJ67+BM67+BP67+BS67+BV67+BY67+CB67+CE67+CH67)/10</f>
        <v>2</v>
      </c>
      <c r="CL67" s="1230">
        <f t="shared" si="387"/>
        <v>2</v>
      </c>
      <c r="CM67" s="1230">
        <f t="shared" si="387"/>
        <v>2</v>
      </c>
      <c r="CN67" s="781">
        <v>1.5</v>
      </c>
      <c r="CO67" s="781">
        <v>1.5</v>
      </c>
      <c r="CP67" s="781">
        <v>1.5</v>
      </c>
      <c r="CQ67" s="781">
        <v>1.5</v>
      </c>
      <c r="CR67" s="781">
        <v>1.5</v>
      </c>
      <c r="CS67" s="781">
        <v>1.5</v>
      </c>
      <c r="CT67" s="781"/>
    </row>
    <row r="68" spans="1:98" x14ac:dyDescent="0.25">
      <c r="A68" s="1186"/>
      <c r="B68" s="1182"/>
      <c r="C68" s="1203"/>
      <c r="D68" s="781"/>
      <c r="E68" s="781"/>
      <c r="F68" s="781"/>
      <c r="G68" s="781"/>
      <c r="H68" s="781"/>
      <c r="I68" s="781"/>
      <c r="J68" s="781"/>
      <c r="K68" s="781"/>
      <c r="L68" s="781"/>
      <c r="M68" s="781"/>
      <c r="N68" s="781"/>
      <c r="O68" s="781"/>
      <c r="P68" s="781"/>
      <c r="Q68" s="781"/>
      <c r="R68" s="781"/>
      <c r="S68" s="781"/>
      <c r="T68" s="781"/>
      <c r="U68" s="781"/>
      <c r="V68" s="781"/>
      <c r="W68" s="781"/>
      <c r="X68" s="781"/>
      <c r="Y68" s="781"/>
      <c r="Z68" s="781"/>
      <c r="AA68" s="781"/>
      <c r="AB68" s="781"/>
      <c r="AC68" s="781"/>
      <c r="AD68" s="781"/>
      <c r="AE68" s="781"/>
      <c r="AF68" s="781"/>
      <c r="AG68" s="781"/>
      <c r="AH68" s="781"/>
      <c r="AI68" s="781"/>
      <c r="AJ68" s="781"/>
      <c r="AK68" s="781"/>
      <c r="AL68" s="781"/>
      <c r="AM68" s="781"/>
      <c r="AN68" s="781"/>
      <c r="AO68" s="781"/>
      <c r="AP68" s="781"/>
      <c r="AQ68" s="781"/>
      <c r="AR68" s="781"/>
      <c r="AS68" s="781"/>
      <c r="AT68" s="781"/>
      <c r="AU68" s="781"/>
      <c r="AV68" s="781"/>
      <c r="AX68" s="781"/>
      <c r="AY68" s="781"/>
      <c r="AZ68" s="781"/>
      <c r="BA68" s="781"/>
      <c r="BB68" s="781"/>
      <c r="BC68" s="781"/>
      <c r="BD68" s="781"/>
      <c r="BE68" s="781"/>
      <c r="BF68" s="781"/>
      <c r="BG68" s="781"/>
      <c r="BH68" s="781"/>
      <c r="BI68" s="781"/>
      <c r="BJ68" s="781"/>
      <c r="BK68" s="781"/>
      <c r="BL68" s="781"/>
      <c r="BM68" s="781"/>
      <c r="BN68" s="781"/>
      <c r="BO68" s="781"/>
      <c r="BP68" s="781"/>
      <c r="BQ68" s="781"/>
      <c r="BR68" s="781"/>
      <c r="BS68" s="781"/>
      <c r="BT68" s="781"/>
      <c r="BU68" s="781"/>
      <c r="BV68" s="781"/>
      <c r="BW68" s="781"/>
      <c r="BX68" s="781"/>
      <c r="BY68" s="781"/>
      <c r="BZ68" s="781"/>
      <c r="CA68" s="781"/>
      <c r="CB68" s="781"/>
      <c r="CC68" s="781"/>
      <c r="CD68" s="781"/>
      <c r="CE68" s="781"/>
      <c r="CF68" s="781"/>
      <c r="CG68" s="781"/>
      <c r="CH68" s="781"/>
      <c r="CI68" s="781"/>
      <c r="CJ68" s="781"/>
      <c r="CK68" s="781"/>
      <c r="CL68" s="781"/>
      <c r="CM68" s="781"/>
      <c r="CN68" s="781"/>
      <c r="CO68" s="781"/>
      <c r="CP68" s="781"/>
      <c r="CQ68" s="781"/>
      <c r="CR68" s="781"/>
      <c r="CS68" s="781"/>
      <c r="CT68" s="781"/>
    </row>
    <row r="69" spans="1:98" ht="178.5" x14ac:dyDescent="0.25">
      <c r="A69" s="1182" t="s">
        <v>2069</v>
      </c>
      <c r="B69" s="1182" t="s">
        <v>1520</v>
      </c>
      <c r="C69" s="1203" t="s">
        <v>2071</v>
      </c>
      <c r="D69" s="781"/>
      <c r="E69" s="781"/>
      <c r="F69" s="781"/>
      <c r="G69" s="781"/>
      <c r="H69" s="781"/>
      <c r="I69" s="781"/>
      <c r="J69" s="781"/>
      <c r="K69" s="781"/>
      <c r="L69" s="781"/>
      <c r="M69" s="781"/>
      <c r="N69" s="781"/>
      <c r="O69" s="781"/>
      <c r="P69" s="781"/>
      <c r="Q69" s="781"/>
      <c r="R69" s="781"/>
      <c r="S69" s="781"/>
      <c r="T69" s="781"/>
      <c r="U69" s="781"/>
      <c r="V69" s="781"/>
      <c r="W69" s="781"/>
      <c r="X69" s="781"/>
      <c r="Y69" s="781"/>
      <c r="Z69" s="781"/>
      <c r="AA69" s="781"/>
      <c r="AB69" s="781"/>
      <c r="AC69" s="781"/>
      <c r="AD69" s="781"/>
      <c r="AE69" s="781"/>
      <c r="AF69" s="781"/>
      <c r="AG69" s="781"/>
      <c r="AH69" s="781"/>
      <c r="AI69" s="781"/>
      <c r="AJ69" s="781"/>
      <c r="AK69" s="781"/>
      <c r="AL69" s="781"/>
      <c r="AM69" s="781"/>
      <c r="AN69" s="781"/>
      <c r="AO69" s="781"/>
      <c r="AP69" s="781"/>
      <c r="AQ69" s="781"/>
      <c r="AR69" s="781"/>
      <c r="AS69" s="781"/>
      <c r="AT69" s="781"/>
      <c r="AU69" s="781"/>
      <c r="AV69" s="781"/>
      <c r="AX69" s="1227">
        <f>6.75*AX3*33/500</f>
        <v>11.14</v>
      </c>
      <c r="AY69" s="1227">
        <f>6.75*AY3*33/500</f>
        <v>11.14</v>
      </c>
      <c r="AZ69" s="1227">
        <f>6.75*AZ3*33/500</f>
        <v>11.14</v>
      </c>
      <c r="BA69" s="1184">
        <v>0</v>
      </c>
      <c r="BB69" s="1184">
        <v>0</v>
      </c>
      <c r="BC69" s="1184">
        <v>0</v>
      </c>
      <c r="BD69" s="1184">
        <v>0</v>
      </c>
      <c r="BE69" s="1184">
        <v>0</v>
      </c>
      <c r="BF69" s="1184">
        <v>0</v>
      </c>
      <c r="BG69" s="1227">
        <f t="shared" ref="BG69:CJ69" si="388">$AX$69</f>
        <v>11.14</v>
      </c>
      <c r="BH69" s="1227">
        <f t="shared" si="388"/>
        <v>11.14</v>
      </c>
      <c r="BI69" s="1227">
        <f t="shared" si="388"/>
        <v>11.14</v>
      </c>
      <c r="BJ69" s="1227">
        <f t="shared" si="388"/>
        <v>11.14</v>
      </c>
      <c r="BK69" s="1227">
        <f t="shared" si="388"/>
        <v>11.14</v>
      </c>
      <c r="BL69" s="1227">
        <f t="shared" si="388"/>
        <v>11.14</v>
      </c>
      <c r="BM69" s="1227">
        <f t="shared" si="388"/>
        <v>11.14</v>
      </c>
      <c r="BN69" s="1227">
        <f t="shared" si="388"/>
        <v>11.14</v>
      </c>
      <c r="BO69" s="1227">
        <f t="shared" si="388"/>
        <v>11.14</v>
      </c>
      <c r="BP69" s="1227">
        <f t="shared" si="388"/>
        <v>11.14</v>
      </c>
      <c r="BQ69" s="1227">
        <f t="shared" si="388"/>
        <v>11.14</v>
      </c>
      <c r="BR69" s="1227">
        <f t="shared" si="388"/>
        <v>11.14</v>
      </c>
      <c r="BS69" s="1227">
        <f t="shared" si="388"/>
        <v>11.14</v>
      </c>
      <c r="BT69" s="1227">
        <f t="shared" si="388"/>
        <v>11.14</v>
      </c>
      <c r="BU69" s="1227">
        <f t="shared" si="388"/>
        <v>11.14</v>
      </c>
      <c r="BV69" s="1227">
        <f t="shared" si="388"/>
        <v>11.14</v>
      </c>
      <c r="BW69" s="1227">
        <f t="shared" si="388"/>
        <v>11.14</v>
      </c>
      <c r="BX69" s="1227">
        <f t="shared" si="388"/>
        <v>11.14</v>
      </c>
      <c r="BY69" s="1227">
        <f t="shared" si="388"/>
        <v>11.14</v>
      </c>
      <c r="BZ69" s="1227">
        <f t="shared" si="388"/>
        <v>11.14</v>
      </c>
      <c r="CA69" s="1227">
        <f t="shared" si="388"/>
        <v>11.14</v>
      </c>
      <c r="CB69" s="1227">
        <f t="shared" si="388"/>
        <v>11.14</v>
      </c>
      <c r="CC69" s="1227">
        <f t="shared" si="388"/>
        <v>11.14</v>
      </c>
      <c r="CD69" s="1227">
        <f t="shared" si="388"/>
        <v>11.14</v>
      </c>
      <c r="CE69" s="1227">
        <f t="shared" si="388"/>
        <v>11.14</v>
      </c>
      <c r="CF69" s="1227">
        <f t="shared" si="388"/>
        <v>11.14</v>
      </c>
      <c r="CG69" s="1227">
        <f t="shared" si="388"/>
        <v>11.14</v>
      </c>
      <c r="CH69" s="1227">
        <f t="shared" si="388"/>
        <v>11.14</v>
      </c>
      <c r="CI69" s="1227">
        <f t="shared" si="388"/>
        <v>11.14</v>
      </c>
      <c r="CJ69" s="1227">
        <f t="shared" si="388"/>
        <v>11.14</v>
      </c>
      <c r="CK69" s="1230">
        <f t="shared" ref="CK69:CM69" si="389">(BG69+BJ69+BM69+BP69+BS69+BV69+BY69+CB69+CE69+CH69)/10</f>
        <v>11.14</v>
      </c>
      <c r="CL69" s="1230">
        <f t="shared" si="389"/>
        <v>11.14</v>
      </c>
      <c r="CM69" s="1230">
        <f t="shared" si="389"/>
        <v>11.14</v>
      </c>
      <c r="CN69" s="1227">
        <f>6.75*CN3*19/500</f>
        <v>6.41</v>
      </c>
      <c r="CO69" s="1227">
        <f t="shared" ref="CO69:CP69" si="390">6.75*CO3*19/500</f>
        <v>6.41</v>
      </c>
      <c r="CP69" s="1227">
        <f t="shared" si="390"/>
        <v>6.41</v>
      </c>
      <c r="CQ69" s="1227">
        <f>6.75*CQ3*19/500</f>
        <v>6.41</v>
      </c>
      <c r="CR69" s="1227">
        <f t="shared" ref="CR69:CS69" si="391">6.75*CR3*19/500</f>
        <v>6.41</v>
      </c>
      <c r="CS69" s="1227">
        <f t="shared" si="391"/>
        <v>6.41</v>
      </c>
      <c r="CT69" s="1218" t="s">
        <v>2149</v>
      </c>
    </row>
    <row r="70" spans="1:98" x14ac:dyDescent="0.25">
      <c r="A70" s="1186"/>
      <c r="B70" s="1182"/>
      <c r="C70" s="1203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X70" s="1184"/>
      <c r="AY70" s="1184"/>
      <c r="AZ70" s="1184"/>
      <c r="BA70" s="1184"/>
      <c r="BB70" s="1184"/>
      <c r="BC70" s="1184"/>
      <c r="BD70" s="1184"/>
      <c r="BE70" s="1184"/>
      <c r="BF70" s="1184"/>
      <c r="BG70" s="1184"/>
      <c r="BH70" s="1184"/>
      <c r="BI70" s="1184"/>
      <c r="BJ70" s="1184"/>
      <c r="BK70" s="1184"/>
      <c r="BL70" s="1184"/>
      <c r="BM70" s="1184"/>
      <c r="BN70" s="1184"/>
      <c r="BO70" s="1184"/>
      <c r="BP70" s="1184"/>
      <c r="BQ70" s="1184"/>
      <c r="BR70" s="1184"/>
      <c r="BS70" s="1184"/>
      <c r="BT70" s="1184"/>
      <c r="BU70" s="1184"/>
      <c r="BV70" s="1184"/>
      <c r="BW70" s="1184"/>
      <c r="BX70" s="1184"/>
      <c r="BY70" s="1184"/>
      <c r="BZ70" s="1184"/>
      <c r="CA70" s="1184"/>
      <c r="CB70" s="1184"/>
      <c r="CC70" s="1184"/>
      <c r="CD70" s="1184"/>
      <c r="CE70" s="1184"/>
      <c r="CF70" s="1184"/>
      <c r="CG70" s="1184"/>
      <c r="CH70" s="1184"/>
      <c r="CI70" s="1184"/>
      <c r="CJ70" s="1184"/>
      <c r="CK70" s="1184"/>
      <c r="CL70" s="1184"/>
      <c r="CM70" s="1184"/>
      <c r="CN70" s="1184"/>
      <c r="CO70" s="1184"/>
      <c r="CP70" s="1184"/>
      <c r="CQ70" s="1184"/>
      <c r="CR70" s="1184"/>
      <c r="CS70" s="1184"/>
      <c r="CT70" s="781"/>
    </row>
    <row r="71" spans="1:98" ht="30" x14ac:dyDescent="0.25">
      <c r="A71" s="1186"/>
      <c r="B71" s="1182" t="s">
        <v>2072</v>
      </c>
      <c r="C71" s="1203" t="s">
        <v>2073</v>
      </c>
      <c r="D71" s="781"/>
      <c r="E71" s="781"/>
      <c r="F71" s="781"/>
      <c r="G71" s="781"/>
      <c r="H71" s="781"/>
      <c r="I71" s="781"/>
      <c r="J71" s="781"/>
      <c r="K71" s="781"/>
      <c r="L71" s="781"/>
      <c r="M71" s="781"/>
      <c r="N71" s="781"/>
      <c r="O71" s="781"/>
      <c r="P71" s="781"/>
      <c r="Q71" s="781"/>
      <c r="R71" s="781"/>
      <c r="S71" s="781"/>
      <c r="T71" s="781"/>
      <c r="U71" s="781"/>
      <c r="V71" s="781"/>
      <c r="W71" s="781"/>
      <c r="X71" s="781"/>
      <c r="Y71" s="781"/>
      <c r="Z71" s="781"/>
      <c r="AA71" s="781"/>
      <c r="AB71" s="781"/>
      <c r="AC71" s="781"/>
      <c r="AD71" s="781"/>
      <c r="AE71" s="781"/>
      <c r="AF71" s="781"/>
      <c r="AG71" s="781"/>
      <c r="AH71" s="781"/>
      <c r="AI71" s="781"/>
      <c r="AJ71" s="781"/>
      <c r="AK71" s="781"/>
      <c r="AL71" s="781"/>
      <c r="AM71" s="781"/>
      <c r="AN71" s="781"/>
      <c r="AO71" s="781"/>
      <c r="AP71" s="781"/>
      <c r="AQ71" s="781"/>
      <c r="AR71" s="781"/>
      <c r="AS71" s="781"/>
      <c r="AT71" s="781"/>
      <c r="AU71" s="781"/>
      <c r="AV71" s="781"/>
      <c r="AX71" s="1184"/>
      <c r="AY71" s="1184"/>
      <c r="AZ71" s="1184"/>
      <c r="BA71" s="1184"/>
      <c r="BB71" s="1184"/>
      <c r="BC71" s="1184"/>
      <c r="BD71" s="1184"/>
      <c r="BE71" s="1184"/>
      <c r="BF71" s="1184"/>
      <c r="BG71" s="1184"/>
      <c r="BH71" s="1184"/>
      <c r="BI71" s="1184"/>
      <c r="BJ71" s="1184"/>
      <c r="BK71" s="1184"/>
      <c r="BL71" s="1184"/>
      <c r="BM71" s="1184"/>
      <c r="BN71" s="1184"/>
      <c r="BO71" s="1184"/>
      <c r="BP71" s="1184"/>
      <c r="BQ71" s="1184"/>
      <c r="BR71" s="1184"/>
      <c r="BS71" s="1184"/>
      <c r="BT71" s="1184"/>
      <c r="BU71" s="1184"/>
      <c r="BV71" s="1184"/>
      <c r="BW71" s="1184"/>
      <c r="BX71" s="1184"/>
      <c r="BY71" s="1184"/>
      <c r="BZ71" s="1184"/>
      <c r="CA71" s="1184"/>
      <c r="CB71" s="1184"/>
      <c r="CC71" s="1184"/>
      <c r="CD71" s="1184"/>
      <c r="CE71" s="1184"/>
      <c r="CF71" s="1184"/>
      <c r="CG71" s="1184"/>
      <c r="CH71" s="1184"/>
      <c r="CI71" s="1184"/>
      <c r="CJ71" s="1184"/>
      <c r="CK71" s="1184"/>
      <c r="CL71" s="1184"/>
      <c r="CM71" s="1184"/>
      <c r="CN71" s="1184"/>
      <c r="CO71" s="1184"/>
      <c r="CP71" s="1184"/>
      <c r="CQ71" s="1184"/>
      <c r="CR71" s="1184"/>
      <c r="CS71" s="1184"/>
      <c r="CT71" s="781"/>
    </row>
    <row r="72" spans="1:98" s="779" customFormat="1" ht="45" x14ac:dyDescent="0.25">
      <c r="A72" s="1182" t="s">
        <v>2069</v>
      </c>
      <c r="B72" s="783" t="s">
        <v>1521</v>
      </c>
      <c r="C72" s="1203" t="s">
        <v>1522</v>
      </c>
      <c r="D72" s="782"/>
      <c r="E72" s="782"/>
      <c r="F72" s="782"/>
      <c r="G72" s="782"/>
      <c r="H72" s="782"/>
      <c r="I72" s="782"/>
      <c r="J72" s="782"/>
      <c r="K72" s="782"/>
      <c r="L72" s="782"/>
      <c r="M72" s="782"/>
      <c r="N72" s="782"/>
      <c r="O72" s="782"/>
      <c r="P72" s="782"/>
      <c r="Q72" s="782"/>
      <c r="R72" s="782"/>
      <c r="S72" s="782"/>
      <c r="T72" s="782"/>
      <c r="U72" s="782"/>
      <c r="V72" s="782"/>
      <c r="W72" s="782"/>
      <c r="X72" s="782"/>
      <c r="Y72" s="782"/>
      <c r="Z72" s="782"/>
      <c r="AA72" s="782"/>
      <c r="AB72" s="782"/>
      <c r="AC72" s="782"/>
      <c r="AD72" s="782"/>
      <c r="AE72" s="782"/>
      <c r="AF72" s="782"/>
      <c r="AG72" s="782"/>
      <c r="AH72" s="782"/>
      <c r="AI72" s="782"/>
      <c r="AJ72" s="782"/>
      <c r="AK72" s="782"/>
      <c r="AL72" s="782"/>
      <c r="AM72" s="782"/>
      <c r="AN72" s="782"/>
      <c r="AO72" s="782"/>
      <c r="AP72" s="782"/>
      <c r="AQ72" s="782"/>
      <c r="AR72" s="782"/>
      <c r="AS72" s="782"/>
      <c r="AT72" s="782"/>
      <c r="AU72" s="782"/>
      <c r="AV72" s="782"/>
      <c r="AX72" s="1221">
        <f>99.27/31</f>
        <v>3.2</v>
      </c>
      <c r="AY72" s="1221">
        <f>99.27/31</f>
        <v>3.2</v>
      </c>
      <c r="AZ72" s="1221">
        <f>99.27/31</f>
        <v>3.2</v>
      </c>
      <c r="BA72" s="1221">
        <v>0</v>
      </c>
      <c r="BB72" s="1221">
        <v>0</v>
      </c>
      <c r="BC72" s="1221">
        <v>0</v>
      </c>
      <c r="BD72" s="1221">
        <v>0</v>
      </c>
      <c r="BE72" s="1221">
        <v>0</v>
      </c>
      <c r="BF72" s="1221">
        <v>0</v>
      </c>
      <c r="BG72" s="1221">
        <f t="shared" ref="BG72:CS72" si="392">99.27/31</f>
        <v>3.2</v>
      </c>
      <c r="BH72" s="1221">
        <f t="shared" si="392"/>
        <v>3.2</v>
      </c>
      <c r="BI72" s="1221">
        <f t="shared" si="392"/>
        <v>3.2</v>
      </c>
      <c r="BJ72" s="1221">
        <f t="shared" si="392"/>
        <v>3.2</v>
      </c>
      <c r="BK72" s="1221">
        <f t="shared" si="392"/>
        <v>3.2</v>
      </c>
      <c r="BL72" s="1221">
        <f t="shared" si="392"/>
        <v>3.2</v>
      </c>
      <c r="BM72" s="1221">
        <f t="shared" si="392"/>
        <v>3.2</v>
      </c>
      <c r="BN72" s="1221">
        <f t="shared" si="392"/>
        <v>3.2</v>
      </c>
      <c r="BO72" s="1221">
        <f t="shared" si="392"/>
        <v>3.2</v>
      </c>
      <c r="BP72" s="1221">
        <f t="shared" si="392"/>
        <v>3.2</v>
      </c>
      <c r="BQ72" s="1221">
        <f t="shared" si="392"/>
        <v>3.2</v>
      </c>
      <c r="BR72" s="1221">
        <f t="shared" si="392"/>
        <v>3.2</v>
      </c>
      <c r="BS72" s="1221">
        <f t="shared" si="392"/>
        <v>3.2</v>
      </c>
      <c r="BT72" s="1221">
        <f t="shared" si="392"/>
        <v>3.2</v>
      </c>
      <c r="BU72" s="1221">
        <f t="shared" si="392"/>
        <v>3.2</v>
      </c>
      <c r="BV72" s="1221">
        <f t="shared" si="392"/>
        <v>3.2</v>
      </c>
      <c r="BW72" s="1221">
        <f t="shared" si="392"/>
        <v>3.2</v>
      </c>
      <c r="BX72" s="1221">
        <f t="shared" si="392"/>
        <v>3.2</v>
      </c>
      <c r="BY72" s="1221">
        <f t="shared" si="392"/>
        <v>3.2</v>
      </c>
      <c r="BZ72" s="1221">
        <f t="shared" si="392"/>
        <v>3.2</v>
      </c>
      <c r="CA72" s="1221">
        <f t="shared" si="392"/>
        <v>3.2</v>
      </c>
      <c r="CB72" s="1221">
        <f t="shared" si="392"/>
        <v>3.2</v>
      </c>
      <c r="CC72" s="1221">
        <f t="shared" si="392"/>
        <v>3.2</v>
      </c>
      <c r="CD72" s="1221">
        <f t="shared" si="392"/>
        <v>3.2</v>
      </c>
      <c r="CE72" s="1221">
        <f t="shared" si="392"/>
        <v>3.2</v>
      </c>
      <c r="CF72" s="1221">
        <f t="shared" si="392"/>
        <v>3.2</v>
      </c>
      <c r="CG72" s="1221">
        <f t="shared" si="392"/>
        <v>3.2</v>
      </c>
      <c r="CH72" s="1221">
        <f t="shared" si="392"/>
        <v>3.2</v>
      </c>
      <c r="CI72" s="1221">
        <f t="shared" si="392"/>
        <v>3.2</v>
      </c>
      <c r="CJ72" s="1221">
        <f t="shared" si="392"/>
        <v>3.2</v>
      </c>
      <c r="CK72" s="1230">
        <f t="shared" ref="CK72:CK73" si="393">(BG72+BJ72+BM72+BP72+BS72+BV72+BY72+CB72+CE72+CH72)/10</f>
        <v>3.2</v>
      </c>
      <c r="CL72" s="1230">
        <f t="shared" ref="CL72:CL73" si="394">(BH72+BK72+BN72+BQ72+BT72+BW72+BZ72+CC72+CF72+CI72)/10</f>
        <v>3.2</v>
      </c>
      <c r="CM72" s="1230">
        <f t="shared" ref="CM72:CM73" si="395">(BI72+BL72+BO72+BR72+BU72+BX72+CA72+CD72+CG72+CJ72)/10</f>
        <v>3.2</v>
      </c>
      <c r="CN72" s="1221">
        <f t="shared" si="392"/>
        <v>3.2</v>
      </c>
      <c r="CO72" s="1221">
        <f t="shared" si="392"/>
        <v>3.2</v>
      </c>
      <c r="CP72" s="1221">
        <f t="shared" si="392"/>
        <v>3.2</v>
      </c>
      <c r="CQ72" s="1221">
        <f t="shared" si="392"/>
        <v>3.2</v>
      </c>
      <c r="CR72" s="1221">
        <f t="shared" si="392"/>
        <v>3.2</v>
      </c>
      <c r="CS72" s="1221">
        <f t="shared" si="392"/>
        <v>3.2</v>
      </c>
      <c r="CT72" s="1226" t="s">
        <v>2145</v>
      </c>
    </row>
    <row r="73" spans="1:98" s="779" customFormat="1" ht="59.25" customHeight="1" x14ac:dyDescent="0.25">
      <c r="A73" s="1182" t="s">
        <v>2069</v>
      </c>
      <c r="B73" s="783" t="s">
        <v>1523</v>
      </c>
      <c r="C73" s="1203" t="s">
        <v>2074</v>
      </c>
      <c r="D73" s="782"/>
      <c r="E73" s="782"/>
      <c r="F73" s="782"/>
      <c r="G73" s="782"/>
      <c r="H73" s="782"/>
      <c r="I73" s="782"/>
      <c r="J73" s="782"/>
      <c r="K73" s="782"/>
      <c r="L73" s="782"/>
      <c r="M73" s="782"/>
      <c r="N73" s="782"/>
      <c r="O73" s="782"/>
      <c r="P73" s="782"/>
      <c r="Q73" s="782"/>
      <c r="R73" s="782"/>
      <c r="S73" s="782"/>
      <c r="T73" s="782"/>
      <c r="U73" s="782"/>
      <c r="V73" s="782"/>
      <c r="W73" s="782"/>
      <c r="X73" s="782"/>
      <c r="Y73" s="782"/>
      <c r="Z73" s="782"/>
      <c r="AA73" s="782"/>
      <c r="AB73" s="782"/>
      <c r="AC73" s="782"/>
      <c r="AD73" s="782"/>
      <c r="AE73" s="782"/>
      <c r="AF73" s="782"/>
      <c r="AG73" s="782"/>
      <c r="AH73" s="782"/>
      <c r="AI73" s="782"/>
      <c r="AJ73" s="782"/>
      <c r="AK73" s="782"/>
      <c r="AL73" s="782"/>
      <c r="AM73" s="782"/>
      <c r="AN73" s="782"/>
      <c r="AO73" s="782"/>
      <c r="AP73" s="782"/>
      <c r="AQ73" s="782"/>
      <c r="AR73" s="782"/>
      <c r="AS73" s="782"/>
      <c r="AT73" s="782"/>
      <c r="AU73" s="782"/>
      <c r="AV73" s="782"/>
      <c r="AX73" s="782">
        <v>0</v>
      </c>
      <c r="AY73" s="782">
        <v>0</v>
      </c>
      <c r="AZ73" s="782">
        <v>0</v>
      </c>
      <c r="BA73" s="782">
        <v>0</v>
      </c>
      <c r="BB73" s="782">
        <v>0</v>
      </c>
      <c r="BC73" s="782">
        <v>0</v>
      </c>
      <c r="BD73" s="782">
        <v>0</v>
      </c>
      <c r="BE73" s="782">
        <v>0</v>
      </c>
      <c r="BF73" s="782">
        <v>0</v>
      </c>
      <c r="BG73" s="782">
        <v>0</v>
      </c>
      <c r="BH73" s="782">
        <v>0</v>
      </c>
      <c r="BI73" s="782">
        <v>0</v>
      </c>
      <c r="BJ73" s="782">
        <v>0</v>
      </c>
      <c r="BK73" s="782">
        <v>0</v>
      </c>
      <c r="BL73" s="782">
        <v>0</v>
      </c>
      <c r="BM73" s="782">
        <v>0</v>
      </c>
      <c r="BN73" s="782">
        <v>0</v>
      </c>
      <c r="BO73" s="782">
        <v>0</v>
      </c>
      <c r="BP73" s="782">
        <v>0</v>
      </c>
      <c r="BQ73" s="782">
        <v>0</v>
      </c>
      <c r="BR73" s="782">
        <v>0</v>
      </c>
      <c r="BS73" s="782">
        <v>0</v>
      </c>
      <c r="BT73" s="782">
        <v>0</v>
      </c>
      <c r="BU73" s="782">
        <v>0</v>
      </c>
      <c r="BV73" s="782">
        <v>0</v>
      </c>
      <c r="BW73" s="782">
        <v>0</v>
      </c>
      <c r="BX73" s="782">
        <v>0</v>
      </c>
      <c r="BY73" s="782">
        <v>0</v>
      </c>
      <c r="BZ73" s="782">
        <v>0</v>
      </c>
      <c r="CA73" s="782">
        <v>0</v>
      </c>
      <c r="CB73" s="782">
        <v>0</v>
      </c>
      <c r="CC73" s="782">
        <v>0</v>
      </c>
      <c r="CD73" s="782">
        <v>0</v>
      </c>
      <c r="CE73" s="782">
        <v>0</v>
      </c>
      <c r="CF73" s="782">
        <v>0</v>
      </c>
      <c r="CG73" s="782">
        <v>0</v>
      </c>
      <c r="CH73" s="782">
        <v>0</v>
      </c>
      <c r="CI73" s="782">
        <v>0</v>
      </c>
      <c r="CJ73" s="782">
        <v>0</v>
      </c>
      <c r="CK73" s="1230">
        <f t="shared" si="393"/>
        <v>0</v>
      </c>
      <c r="CL73" s="1230">
        <f t="shared" si="394"/>
        <v>0</v>
      </c>
      <c r="CM73" s="1230">
        <f t="shared" si="395"/>
        <v>0</v>
      </c>
      <c r="CN73" s="782">
        <v>0</v>
      </c>
      <c r="CO73" s="782">
        <v>0</v>
      </c>
      <c r="CP73" s="782">
        <v>0</v>
      </c>
      <c r="CQ73" s="782">
        <v>0</v>
      </c>
      <c r="CR73" s="782">
        <v>0</v>
      </c>
      <c r="CS73" s="782">
        <v>0</v>
      </c>
      <c r="CT73" s="782"/>
    </row>
    <row r="74" spans="1:98" x14ac:dyDescent="0.25">
      <c r="A74" s="1185"/>
      <c r="B74" s="780"/>
      <c r="C74" s="1200"/>
      <c r="D74" s="781"/>
      <c r="E74" s="781"/>
      <c r="F74" s="781"/>
      <c r="G74" s="781"/>
      <c r="H74" s="781"/>
      <c r="I74" s="781"/>
      <c r="J74" s="781"/>
      <c r="K74" s="781"/>
      <c r="L74" s="781"/>
      <c r="M74" s="781"/>
      <c r="N74" s="781"/>
      <c r="O74" s="781"/>
      <c r="P74" s="781"/>
      <c r="Q74" s="781"/>
      <c r="R74" s="781"/>
      <c r="S74" s="781"/>
      <c r="T74" s="781"/>
      <c r="U74" s="781"/>
      <c r="V74" s="781"/>
      <c r="W74" s="781"/>
      <c r="X74" s="781"/>
      <c r="Y74" s="781"/>
      <c r="Z74" s="781"/>
      <c r="AA74" s="781"/>
      <c r="AB74" s="781"/>
      <c r="AC74" s="781"/>
      <c r="AD74" s="781"/>
      <c r="AE74" s="781"/>
      <c r="AF74" s="781"/>
      <c r="AG74" s="781"/>
      <c r="AH74" s="781"/>
      <c r="AI74" s="781"/>
      <c r="AJ74" s="781"/>
      <c r="AK74" s="781"/>
      <c r="AL74" s="781"/>
      <c r="AM74" s="781"/>
      <c r="AN74" s="781"/>
      <c r="AO74" s="781"/>
      <c r="AP74" s="781"/>
      <c r="AQ74" s="781"/>
      <c r="AR74" s="781"/>
      <c r="AS74" s="781"/>
      <c r="AT74" s="781"/>
      <c r="AU74" s="781"/>
      <c r="AV74" s="781"/>
      <c r="AX74" s="781"/>
      <c r="AY74" s="781"/>
      <c r="AZ74" s="781"/>
      <c r="BA74" s="781"/>
      <c r="BB74" s="781"/>
      <c r="BC74" s="781"/>
      <c r="BD74" s="781"/>
      <c r="BE74" s="781"/>
      <c r="BF74" s="781"/>
      <c r="BG74" s="781"/>
      <c r="BH74" s="781"/>
      <c r="BI74" s="781"/>
      <c r="BJ74" s="781"/>
      <c r="BK74" s="781"/>
      <c r="BL74" s="781"/>
      <c r="BM74" s="781"/>
      <c r="BN74" s="781"/>
      <c r="BO74" s="781"/>
      <c r="BP74" s="781"/>
      <c r="BQ74" s="781"/>
      <c r="BR74" s="781"/>
      <c r="BS74" s="781"/>
      <c r="BT74" s="781"/>
      <c r="BU74" s="781"/>
      <c r="BV74" s="781"/>
      <c r="BW74" s="781"/>
      <c r="BX74" s="781"/>
      <c r="BY74" s="781"/>
      <c r="BZ74" s="781"/>
      <c r="CA74" s="781"/>
      <c r="CB74" s="781"/>
      <c r="CC74" s="781"/>
      <c r="CD74" s="781"/>
      <c r="CE74" s="781"/>
      <c r="CF74" s="781"/>
      <c r="CG74" s="781"/>
      <c r="CH74" s="781"/>
      <c r="CI74" s="781"/>
      <c r="CJ74" s="781"/>
      <c r="CK74" s="781"/>
      <c r="CL74" s="781"/>
      <c r="CM74" s="781"/>
      <c r="CN74" s="781"/>
      <c r="CO74" s="781"/>
      <c r="CP74" s="781"/>
      <c r="CQ74" s="781"/>
      <c r="CR74" s="781"/>
      <c r="CS74" s="781"/>
      <c r="CT74" s="781"/>
    </row>
    <row r="75" spans="1:98" ht="43.5" customHeight="1" x14ac:dyDescent="0.25">
      <c r="A75" s="1182"/>
      <c r="B75" s="1190" t="s">
        <v>2075</v>
      </c>
      <c r="C75" s="1206" t="s">
        <v>2068</v>
      </c>
      <c r="D75" s="1189"/>
      <c r="E75" s="1189"/>
      <c r="F75" s="1189"/>
      <c r="G75" s="1189"/>
      <c r="H75" s="1189"/>
      <c r="I75" s="1189"/>
      <c r="J75" s="1189"/>
      <c r="K75" s="1189"/>
      <c r="L75" s="1189"/>
      <c r="M75" s="1189"/>
      <c r="N75" s="1189"/>
      <c r="O75" s="1189"/>
      <c r="P75" s="1189"/>
      <c r="Q75" s="1189"/>
      <c r="R75" s="1189"/>
      <c r="S75" s="1189"/>
      <c r="T75" s="1189"/>
      <c r="U75" s="1189"/>
      <c r="V75" s="1189"/>
      <c r="W75" s="1189"/>
      <c r="X75" s="1189"/>
      <c r="Y75" s="1189"/>
      <c r="Z75" s="1189"/>
      <c r="AA75" s="1189"/>
      <c r="AB75" s="1189"/>
      <c r="AC75" s="1189"/>
      <c r="AD75" s="1189"/>
      <c r="AE75" s="1189"/>
      <c r="AF75" s="1189"/>
      <c r="AG75" s="1189"/>
      <c r="AH75" s="1189"/>
      <c r="AI75" s="1189"/>
      <c r="AJ75" s="1189"/>
      <c r="AK75" s="1189"/>
      <c r="AL75" s="1189"/>
      <c r="AM75" s="1189"/>
      <c r="AN75" s="1189"/>
      <c r="AO75" s="1189"/>
      <c r="AP75" s="1189"/>
      <c r="AQ75" s="1189"/>
      <c r="AR75" s="1189"/>
      <c r="AS75" s="1189"/>
      <c r="AT75" s="1189"/>
      <c r="AU75" s="1189"/>
      <c r="AV75" s="1189"/>
      <c r="AX75" s="1189">
        <f>SUM(AX76:AX82)</f>
        <v>8</v>
      </c>
      <c r="AY75" s="1189">
        <f>SUM(AY76:AY82)</f>
        <v>8</v>
      </c>
      <c r="AZ75" s="1189">
        <f>SUM(AZ76:AZ82)</f>
        <v>8</v>
      </c>
      <c r="BA75" s="1189">
        <f t="shared" ref="BA75:CQ75" si="396">SUM(BA76:BA82)</f>
        <v>0</v>
      </c>
      <c r="BB75" s="1189">
        <f t="shared" ref="BB75:BC75" si="397">SUM(BB76:BB82)</f>
        <v>0</v>
      </c>
      <c r="BC75" s="1189">
        <f t="shared" si="397"/>
        <v>0</v>
      </c>
      <c r="BD75" s="1189">
        <f t="shared" ref="BD75:BE75" si="398">SUM(BD76:BD82)</f>
        <v>0</v>
      </c>
      <c r="BE75" s="1189">
        <f t="shared" si="398"/>
        <v>0</v>
      </c>
      <c r="BF75" s="1189">
        <f t="shared" ref="BF75" si="399">SUM(BF76:BF82)</f>
        <v>0</v>
      </c>
      <c r="BG75" s="1189">
        <f t="shared" si="396"/>
        <v>8</v>
      </c>
      <c r="BH75" s="1189">
        <f t="shared" ref="BH75:BI75" si="400">SUM(BH76:BH82)</f>
        <v>8</v>
      </c>
      <c r="BI75" s="1189">
        <f t="shared" si="400"/>
        <v>8</v>
      </c>
      <c r="BJ75" s="1189">
        <f t="shared" si="396"/>
        <v>8</v>
      </c>
      <c r="BK75" s="1189">
        <f t="shared" ref="BK75:BL75" si="401">SUM(BK76:BK82)</f>
        <v>8</v>
      </c>
      <c r="BL75" s="1189">
        <f t="shared" si="401"/>
        <v>8</v>
      </c>
      <c r="BM75" s="1189">
        <f t="shared" ref="BM75:BO75" si="402">SUM(BM76:BM82)</f>
        <v>8</v>
      </c>
      <c r="BN75" s="1189">
        <f t="shared" si="402"/>
        <v>8</v>
      </c>
      <c r="BO75" s="1189">
        <f t="shared" si="402"/>
        <v>8</v>
      </c>
      <c r="BP75" s="1189">
        <f t="shared" si="396"/>
        <v>8</v>
      </c>
      <c r="BQ75" s="1189">
        <f t="shared" ref="BQ75:BR75" si="403">SUM(BQ76:BQ82)</f>
        <v>8</v>
      </c>
      <c r="BR75" s="1189">
        <f t="shared" si="403"/>
        <v>8</v>
      </c>
      <c r="BS75" s="1189">
        <f t="shared" si="396"/>
        <v>8</v>
      </c>
      <c r="BT75" s="1189">
        <f t="shared" ref="BT75:BU75" si="404">SUM(BT76:BT82)</f>
        <v>8</v>
      </c>
      <c r="BU75" s="1189">
        <f t="shared" si="404"/>
        <v>8</v>
      </c>
      <c r="BV75" s="1189">
        <f t="shared" ref="BV75:BX75" si="405">SUM(BV76:BV82)</f>
        <v>8</v>
      </c>
      <c r="BW75" s="1189">
        <f t="shared" si="405"/>
        <v>8</v>
      </c>
      <c r="BX75" s="1189">
        <f t="shared" si="405"/>
        <v>8</v>
      </c>
      <c r="BY75" s="1189">
        <f t="shared" si="396"/>
        <v>8</v>
      </c>
      <c r="BZ75" s="1189">
        <f t="shared" ref="BZ75:CA75" si="406">SUM(BZ76:BZ82)</f>
        <v>8</v>
      </c>
      <c r="CA75" s="1189">
        <f t="shared" si="406"/>
        <v>8</v>
      </c>
      <c r="CB75" s="1189">
        <f t="shared" si="396"/>
        <v>8</v>
      </c>
      <c r="CC75" s="1189">
        <f t="shared" ref="CC75:CD75" si="407">SUM(CC76:CC82)</f>
        <v>8</v>
      </c>
      <c r="CD75" s="1189">
        <f t="shared" si="407"/>
        <v>8</v>
      </c>
      <c r="CE75" s="1189">
        <f t="shared" si="396"/>
        <v>8</v>
      </c>
      <c r="CF75" s="1189">
        <f t="shared" ref="CF75:CG75" si="408">SUM(CF76:CF82)</f>
        <v>8</v>
      </c>
      <c r="CG75" s="1189">
        <f t="shared" si="408"/>
        <v>8</v>
      </c>
      <c r="CH75" s="1189">
        <f t="shared" si="396"/>
        <v>8</v>
      </c>
      <c r="CI75" s="1189">
        <f t="shared" ref="CI75:CJ75" si="409">SUM(CI76:CI82)</f>
        <v>8</v>
      </c>
      <c r="CJ75" s="1189">
        <f t="shared" si="409"/>
        <v>8</v>
      </c>
      <c r="CK75" s="1189">
        <f t="shared" ref="CK75:CM75" si="410">SUM(CK76:CK82)</f>
        <v>8</v>
      </c>
      <c r="CL75" s="1189">
        <f t="shared" si="410"/>
        <v>8</v>
      </c>
      <c r="CM75" s="1189">
        <f t="shared" si="410"/>
        <v>8</v>
      </c>
      <c r="CN75" s="1189">
        <f t="shared" si="396"/>
        <v>7.5</v>
      </c>
      <c r="CO75" s="1189">
        <f t="shared" ref="CO75:CP75" si="411">SUM(CO76:CO82)</f>
        <v>7.5</v>
      </c>
      <c r="CP75" s="1189">
        <f t="shared" si="411"/>
        <v>7.5</v>
      </c>
      <c r="CQ75" s="1189">
        <f t="shared" si="396"/>
        <v>7.5</v>
      </c>
      <c r="CR75" s="1189">
        <f t="shared" ref="CR75:CS75" si="412">SUM(CR76:CR82)</f>
        <v>7.5</v>
      </c>
      <c r="CS75" s="1189">
        <f t="shared" si="412"/>
        <v>7.5</v>
      </c>
      <c r="CT75" s="1189"/>
    </row>
    <row r="76" spans="1:98" ht="30" x14ac:dyDescent="0.25">
      <c r="A76" s="1182" t="s">
        <v>2069</v>
      </c>
      <c r="B76" s="1182" t="s">
        <v>1527</v>
      </c>
      <c r="C76" s="1203" t="s">
        <v>2076</v>
      </c>
      <c r="D76" s="1181"/>
      <c r="E76" s="1181"/>
      <c r="F76" s="1181"/>
      <c r="G76" s="1181"/>
      <c r="H76" s="1181"/>
      <c r="I76" s="1181"/>
      <c r="J76" s="1181"/>
      <c r="K76" s="1181"/>
      <c r="L76" s="1181"/>
      <c r="M76" s="1181"/>
      <c r="N76" s="1181"/>
      <c r="O76" s="1181"/>
      <c r="P76" s="1181"/>
      <c r="Q76" s="1181"/>
      <c r="R76" s="1181"/>
      <c r="S76" s="1181"/>
      <c r="T76" s="1181"/>
      <c r="U76" s="1181"/>
      <c r="V76" s="1181"/>
      <c r="W76" s="1181"/>
      <c r="X76" s="1181"/>
      <c r="Y76" s="1181"/>
      <c r="Z76" s="1181"/>
      <c r="AA76" s="1181"/>
      <c r="AB76" s="1181"/>
      <c r="AC76" s="1181"/>
      <c r="AD76" s="1181"/>
      <c r="AE76" s="1181"/>
      <c r="AF76" s="1181"/>
      <c r="AG76" s="1181"/>
      <c r="AH76" s="1181"/>
      <c r="AI76" s="1181"/>
      <c r="AJ76" s="1181"/>
      <c r="AK76" s="1181"/>
      <c r="AL76" s="1181"/>
      <c r="AM76" s="1181"/>
      <c r="AN76" s="1181"/>
      <c r="AO76" s="1181"/>
      <c r="AP76" s="1181"/>
      <c r="AQ76" s="1181"/>
      <c r="AR76" s="1181"/>
      <c r="AS76" s="1181"/>
      <c r="AT76" s="1181"/>
      <c r="AU76" s="1181"/>
      <c r="AV76" s="1181"/>
      <c r="AX76" s="781">
        <v>3</v>
      </c>
      <c r="AY76" s="781">
        <v>3</v>
      </c>
      <c r="AZ76" s="781">
        <v>3</v>
      </c>
      <c r="BA76" s="781">
        <v>0</v>
      </c>
      <c r="BB76" s="781">
        <v>0</v>
      </c>
      <c r="BC76" s="781">
        <v>0</v>
      </c>
      <c r="BD76" s="781">
        <v>0</v>
      </c>
      <c r="BE76" s="781">
        <v>0</v>
      </c>
      <c r="BF76" s="781">
        <v>0</v>
      </c>
      <c r="BG76" s="781">
        <v>3</v>
      </c>
      <c r="BH76" s="781">
        <v>3</v>
      </c>
      <c r="BI76" s="781">
        <v>3</v>
      </c>
      <c r="BJ76" s="781">
        <v>3</v>
      </c>
      <c r="BK76" s="781">
        <v>3</v>
      </c>
      <c r="BL76" s="781">
        <v>3</v>
      </c>
      <c r="BM76" s="781">
        <v>3</v>
      </c>
      <c r="BN76" s="781">
        <v>3</v>
      </c>
      <c r="BO76" s="781">
        <v>3</v>
      </c>
      <c r="BP76" s="781">
        <v>3</v>
      </c>
      <c r="BQ76" s="781">
        <v>3</v>
      </c>
      <c r="BR76" s="781">
        <v>3</v>
      </c>
      <c r="BS76" s="781">
        <v>3</v>
      </c>
      <c r="BT76" s="781">
        <v>3</v>
      </c>
      <c r="BU76" s="781">
        <v>3</v>
      </c>
      <c r="BV76" s="781">
        <v>3</v>
      </c>
      <c r="BW76" s="781">
        <v>3</v>
      </c>
      <c r="BX76" s="781">
        <v>3</v>
      </c>
      <c r="BY76" s="781">
        <v>3</v>
      </c>
      <c r="BZ76" s="781">
        <v>3</v>
      </c>
      <c r="CA76" s="781">
        <v>3</v>
      </c>
      <c r="CB76" s="781">
        <v>3</v>
      </c>
      <c r="CC76" s="781">
        <v>3</v>
      </c>
      <c r="CD76" s="781">
        <v>3</v>
      </c>
      <c r="CE76" s="781">
        <v>3</v>
      </c>
      <c r="CF76" s="781">
        <v>3</v>
      </c>
      <c r="CG76" s="781">
        <v>3</v>
      </c>
      <c r="CH76" s="781">
        <v>3</v>
      </c>
      <c r="CI76" s="781">
        <v>3</v>
      </c>
      <c r="CJ76" s="781">
        <v>3</v>
      </c>
      <c r="CK76" s="1230">
        <f t="shared" ref="CK76:CK77" si="413">(BG76+BJ76+BM76+BP76+BS76+BV76+BY76+CB76+CE76+CH76)/10</f>
        <v>3</v>
      </c>
      <c r="CL76" s="1230">
        <f t="shared" ref="CL76:CL77" si="414">(BH76+BK76+BN76+BQ76+BT76+BW76+BZ76+CC76+CF76+CI76)/10</f>
        <v>3</v>
      </c>
      <c r="CM76" s="1230">
        <f t="shared" ref="CM76:CM77" si="415">(BI76+BL76+BO76+BR76+BU76+BX76+CA76+CD76+CG76+CJ76)/10</f>
        <v>3</v>
      </c>
      <c r="CN76" s="781">
        <v>3</v>
      </c>
      <c r="CO76" s="781">
        <v>3</v>
      </c>
      <c r="CP76" s="781">
        <v>3</v>
      </c>
      <c r="CQ76" s="781">
        <v>3</v>
      </c>
      <c r="CR76" s="781">
        <v>3</v>
      </c>
      <c r="CS76" s="781">
        <v>3</v>
      </c>
      <c r="CT76" s="1181"/>
    </row>
    <row r="77" spans="1:98" ht="44.25" customHeight="1" x14ac:dyDescent="0.25">
      <c r="A77" s="1182" t="s">
        <v>2069</v>
      </c>
      <c r="B77" s="1182" t="s">
        <v>1528</v>
      </c>
      <c r="C77" s="1203" t="s">
        <v>2077</v>
      </c>
      <c r="D77" s="1181"/>
      <c r="E77" s="1181"/>
      <c r="F77" s="1181"/>
      <c r="G77" s="1181"/>
      <c r="H77" s="1181"/>
      <c r="I77" s="1181"/>
      <c r="J77" s="1181"/>
      <c r="K77" s="1181"/>
      <c r="L77" s="1181"/>
      <c r="M77" s="1181"/>
      <c r="N77" s="1181"/>
      <c r="O77" s="1181"/>
      <c r="P77" s="1181"/>
      <c r="Q77" s="1181"/>
      <c r="R77" s="1181"/>
      <c r="S77" s="1181"/>
      <c r="T77" s="1181"/>
      <c r="U77" s="1181"/>
      <c r="V77" s="1181"/>
      <c r="W77" s="1181"/>
      <c r="X77" s="1181"/>
      <c r="Y77" s="1181"/>
      <c r="Z77" s="1181"/>
      <c r="AA77" s="1181"/>
      <c r="AB77" s="1181"/>
      <c r="AC77" s="1181"/>
      <c r="AD77" s="1181"/>
      <c r="AE77" s="1181"/>
      <c r="AF77" s="1181"/>
      <c r="AG77" s="1181"/>
      <c r="AH77" s="1181"/>
      <c r="AI77" s="1181"/>
      <c r="AJ77" s="1181"/>
      <c r="AK77" s="1181"/>
      <c r="AL77" s="1181"/>
      <c r="AM77" s="1181"/>
      <c r="AN77" s="1181"/>
      <c r="AO77" s="1181"/>
      <c r="AP77" s="1181"/>
      <c r="AQ77" s="1181"/>
      <c r="AR77" s="1181"/>
      <c r="AS77" s="1181"/>
      <c r="AT77" s="1181"/>
      <c r="AU77" s="1181"/>
      <c r="AV77" s="1181"/>
      <c r="AX77" s="781">
        <v>1.5</v>
      </c>
      <c r="AY77" s="781">
        <v>1.5</v>
      </c>
      <c r="AZ77" s="781">
        <v>1.5</v>
      </c>
      <c r="BA77" s="781">
        <v>0</v>
      </c>
      <c r="BB77" s="781">
        <v>0</v>
      </c>
      <c r="BC77" s="781">
        <v>0</v>
      </c>
      <c r="BD77" s="781">
        <v>0</v>
      </c>
      <c r="BE77" s="781">
        <v>0</v>
      </c>
      <c r="BF77" s="781">
        <v>0</v>
      </c>
      <c r="BG77" s="781">
        <v>1.5</v>
      </c>
      <c r="BH77" s="781">
        <v>1.5</v>
      </c>
      <c r="BI77" s="781">
        <v>1.5</v>
      </c>
      <c r="BJ77" s="781">
        <v>1.5</v>
      </c>
      <c r="BK77" s="781">
        <v>1.5</v>
      </c>
      <c r="BL77" s="781">
        <v>1.5</v>
      </c>
      <c r="BM77" s="781">
        <v>1.5</v>
      </c>
      <c r="BN77" s="781">
        <v>1.5</v>
      </c>
      <c r="BO77" s="781">
        <v>1.5</v>
      </c>
      <c r="BP77" s="781">
        <v>1.5</v>
      </c>
      <c r="BQ77" s="781">
        <v>1.5</v>
      </c>
      <c r="BR77" s="781">
        <v>1.5</v>
      </c>
      <c r="BS77" s="781">
        <v>1.5</v>
      </c>
      <c r="BT77" s="781">
        <v>1.5</v>
      </c>
      <c r="BU77" s="781">
        <v>1.5</v>
      </c>
      <c r="BV77" s="781">
        <v>1.5</v>
      </c>
      <c r="BW77" s="781">
        <v>1.5</v>
      </c>
      <c r="BX77" s="781">
        <v>1.5</v>
      </c>
      <c r="BY77" s="781">
        <v>1.5</v>
      </c>
      <c r="BZ77" s="781">
        <v>1.5</v>
      </c>
      <c r="CA77" s="781">
        <v>1.5</v>
      </c>
      <c r="CB77" s="781">
        <v>1.5</v>
      </c>
      <c r="CC77" s="781">
        <v>1.5</v>
      </c>
      <c r="CD77" s="781">
        <v>1.5</v>
      </c>
      <c r="CE77" s="781">
        <v>1.5</v>
      </c>
      <c r="CF77" s="781">
        <v>1.5</v>
      </c>
      <c r="CG77" s="781">
        <v>1.5</v>
      </c>
      <c r="CH77" s="781">
        <v>1.5</v>
      </c>
      <c r="CI77" s="781">
        <v>1.5</v>
      </c>
      <c r="CJ77" s="781">
        <v>1.5</v>
      </c>
      <c r="CK77" s="1230">
        <f t="shared" si="413"/>
        <v>1.5</v>
      </c>
      <c r="CL77" s="1230">
        <f t="shared" si="414"/>
        <v>1.5</v>
      </c>
      <c r="CM77" s="1230">
        <f t="shared" si="415"/>
        <v>1.5</v>
      </c>
      <c r="CN77" s="781">
        <v>1.5</v>
      </c>
      <c r="CO77" s="781">
        <v>1.5</v>
      </c>
      <c r="CP77" s="781">
        <v>1.5</v>
      </c>
      <c r="CQ77" s="781">
        <v>1.5</v>
      </c>
      <c r="CR77" s="781">
        <v>1.5</v>
      </c>
      <c r="CS77" s="781">
        <v>1.5</v>
      </c>
      <c r="CT77" s="1181"/>
    </row>
    <row r="78" spans="1:98" x14ac:dyDescent="0.25">
      <c r="A78" s="1186"/>
      <c r="B78" s="1182"/>
      <c r="C78" s="1203"/>
      <c r="D78" s="781"/>
      <c r="E78" s="781"/>
      <c r="F78" s="781"/>
      <c r="G78" s="781"/>
      <c r="H78" s="781"/>
      <c r="I78" s="781"/>
      <c r="J78" s="781"/>
      <c r="K78" s="781"/>
      <c r="L78" s="781"/>
      <c r="M78" s="781"/>
      <c r="N78" s="781"/>
      <c r="O78" s="781"/>
      <c r="P78" s="781"/>
      <c r="Q78" s="781"/>
      <c r="R78" s="781"/>
      <c r="S78" s="781"/>
      <c r="T78" s="781"/>
      <c r="U78" s="781"/>
      <c r="V78" s="781"/>
      <c r="W78" s="781"/>
      <c r="X78" s="781"/>
      <c r="Y78" s="781"/>
      <c r="Z78" s="781"/>
      <c r="AA78" s="781"/>
      <c r="AB78" s="781"/>
      <c r="AC78" s="781"/>
      <c r="AD78" s="781"/>
      <c r="AE78" s="781"/>
      <c r="AF78" s="781"/>
      <c r="AG78" s="781"/>
      <c r="AH78" s="781"/>
      <c r="AI78" s="781"/>
      <c r="AJ78" s="781"/>
      <c r="AK78" s="781"/>
      <c r="AL78" s="781"/>
      <c r="AM78" s="781"/>
      <c r="AN78" s="781"/>
      <c r="AO78" s="781"/>
      <c r="AP78" s="781"/>
      <c r="AQ78" s="781"/>
      <c r="AR78" s="781"/>
      <c r="AS78" s="781"/>
      <c r="AT78" s="781"/>
      <c r="AU78" s="781"/>
      <c r="AV78" s="781"/>
      <c r="AX78" s="781"/>
      <c r="AY78" s="781"/>
      <c r="AZ78" s="781"/>
      <c r="BA78" s="781"/>
      <c r="BB78" s="781"/>
      <c r="BC78" s="781"/>
      <c r="BD78" s="781"/>
      <c r="BE78" s="781"/>
      <c r="BF78" s="781"/>
      <c r="BG78" s="781"/>
      <c r="BH78" s="781"/>
      <c r="BI78" s="781"/>
      <c r="BJ78" s="781"/>
      <c r="BK78" s="781"/>
      <c r="BL78" s="781"/>
      <c r="BM78" s="781"/>
      <c r="BN78" s="781"/>
      <c r="BO78" s="781"/>
      <c r="BP78" s="781"/>
      <c r="BQ78" s="781"/>
      <c r="BR78" s="781"/>
      <c r="BS78" s="781"/>
      <c r="BT78" s="781"/>
      <c r="BU78" s="781"/>
      <c r="BV78" s="781"/>
      <c r="BW78" s="781"/>
      <c r="BX78" s="781"/>
      <c r="BY78" s="781"/>
      <c r="BZ78" s="781"/>
      <c r="CA78" s="781"/>
      <c r="CB78" s="781"/>
      <c r="CC78" s="781"/>
      <c r="CD78" s="781"/>
      <c r="CE78" s="781"/>
      <c r="CF78" s="781"/>
      <c r="CG78" s="781"/>
      <c r="CH78" s="781"/>
      <c r="CI78" s="781"/>
      <c r="CJ78" s="781"/>
      <c r="CK78" s="781"/>
      <c r="CL78" s="781"/>
      <c r="CM78" s="781"/>
      <c r="CN78" s="781"/>
      <c r="CO78" s="781"/>
      <c r="CP78" s="781"/>
      <c r="CQ78" s="781"/>
      <c r="CR78" s="781"/>
      <c r="CS78" s="781"/>
      <c r="CT78" s="781"/>
    </row>
    <row r="79" spans="1:98" ht="45" x14ac:dyDescent="0.25">
      <c r="A79" s="1186"/>
      <c r="B79" s="1182" t="s">
        <v>2078</v>
      </c>
      <c r="C79" s="1205" t="s">
        <v>2079</v>
      </c>
      <c r="D79" s="784"/>
      <c r="E79" s="784"/>
      <c r="F79" s="784"/>
      <c r="G79" s="784"/>
      <c r="H79" s="784"/>
      <c r="I79" s="784"/>
      <c r="J79" s="784"/>
      <c r="K79" s="784"/>
      <c r="L79" s="784"/>
      <c r="M79" s="784"/>
      <c r="N79" s="784"/>
      <c r="O79" s="784"/>
      <c r="P79" s="784"/>
      <c r="Q79" s="784"/>
      <c r="R79" s="784"/>
      <c r="S79" s="784"/>
      <c r="T79" s="784"/>
      <c r="U79" s="784"/>
      <c r="V79" s="784"/>
      <c r="W79" s="784"/>
      <c r="X79" s="784"/>
      <c r="Y79" s="784"/>
      <c r="Z79" s="784"/>
      <c r="AA79" s="784"/>
      <c r="AB79" s="784"/>
      <c r="AC79" s="784"/>
      <c r="AD79" s="784"/>
      <c r="AE79" s="784"/>
      <c r="AF79" s="784"/>
      <c r="AG79" s="784"/>
      <c r="AH79" s="784"/>
      <c r="AI79" s="784"/>
      <c r="AJ79" s="784"/>
      <c r="AK79" s="784"/>
      <c r="AL79" s="784"/>
      <c r="AM79" s="784"/>
      <c r="AN79" s="784"/>
      <c r="AO79" s="784"/>
      <c r="AP79" s="784"/>
      <c r="AQ79" s="784"/>
      <c r="AR79" s="784"/>
      <c r="AS79" s="784"/>
      <c r="AT79" s="784"/>
      <c r="AU79" s="784"/>
      <c r="AV79" s="784"/>
      <c r="AX79" s="784"/>
      <c r="AY79" s="784"/>
      <c r="AZ79" s="784"/>
      <c r="BA79" s="784"/>
      <c r="BB79" s="784"/>
      <c r="BC79" s="784"/>
      <c r="BD79" s="784"/>
      <c r="BE79" s="784"/>
      <c r="BF79" s="784"/>
      <c r="BG79" s="784"/>
      <c r="BH79" s="784"/>
      <c r="BI79" s="784"/>
      <c r="BJ79" s="784"/>
      <c r="BK79" s="784"/>
      <c r="BL79" s="784"/>
      <c r="BM79" s="784"/>
      <c r="BN79" s="784"/>
      <c r="BO79" s="784"/>
      <c r="BP79" s="784"/>
      <c r="BQ79" s="784"/>
      <c r="BR79" s="784"/>
      <c r="BS79" s="784"/>
      <c r="BT79" s="784"/>
      <c r="BU79" s="784"/>
      <c r="BV79" s="784"/>
      <c r="BW79" s="784"/>
      <c r="BX79" s="784"/>
      <c r="BY79" s="784"/>
      <c r="BZ79" s="784"/>
      <c r="CA79" s="784"/>
      <c r="CB79" s="784"/>
      <c r="CC79" s="784"/>
      <c r="CD79" s="784"/>
      <c r="CE79" s="784"/>
      <c r="CF79" s="784"/>
      <c r="CG79" s="784"/>
      <c r="CH79" s="784"/>
      <c r="CI79" s="784"/>
      <c r="CJ79" s="784"/>
      <c r="CK79" s="784"/>
      <c r="CL79" s="784"/>
      <c r="CM79" s="784"/>
      <c r="CN79" s="784"/>
      <c r="CO79" s="784"/>
      <c r="CP79" s="784"/>
      <c r="CQ79" s="784"/>
      <c r="CR79" s="784"/>
      <c r="CS79" s="784"/>
      <c r="CT79" s="784"/>
    </row>
    <row r="80" spans="1:98" s="228" customFormat="1" ht="63.75" x14ac:dyDescent="0.25">
      <c r="A80" s="1182" t="s">
        <v>2069</v>
      </c>
      <c r="B80" s="1194" t="s">
        <v>2080</v>
      </c>
      <c r="C80" s="1204" t="s">
        <v>2081</v>
      </c>
      <c r="D80" s="784">
        <v>0</v>
      </c>
      <c r="E80" s="784">
        <v>0.5</v>
      </c>
      <c r="F80" s="784">
        <v>0.5</v>
      </c>
      <c r="G80" s="784">
        <v>0.5</v>
      </c>
      <c r="H80" s="784">
        <v>0.5</v>
      </c>
      <c r="I80" s="784">
        <v>1</v>
      </c>
      <c r="J80" s="784">
        <v>1</v>
      </c>
      <c r="K80" s="784">
        <v>1</v>
      </c>
      <c r="L80" s="784">
        <v>1</v>
      </c>
      <c r="M80" s="784">
        <v>1</v>
      </c>
      <c r="N80" s="784">
        <v>1</v>
      </c>
      <c r="O80" s="784">
        <v>1.5</v>
      </c>
      <c r="P80" s="784">
        <v>1.5</v>
      </c>
      <c r="Q80" s="784">
        <v>1.5</v>
      </c>
      <c r="R80" s="784">
        <v>1.5</v>
      </c>
      <c r="S80" s="784">
        <v>1.5</v>
      </c>
      <c r="T80" s="784">
        <v>1.5</v>
      </c>
      <c r="U80" s="784">
        <v>2</v>
      </c>
      <c r="V80" s="784">
        <v>2</v>
      </c>
      <c r="W80" s="784">
        <v>2</v>
      </c>
      <c r="X80" s="784">
        <v>2</v>
      </c>
      <c r="Y80" s="784">
        <v>2</v>
      </c>
      <c r="Z80" s="784">
        <v>2</v>
      </c>
      <c r="AA80" s="784">
        <v>2</v>
      </c>
      <c r="AB80" s="784">
        <v>2</v>
      </c>
      <c r="AC80" s="784">
        <v>2</v>
      </c>
      <c r="AD80" s="784">
        <v>2</v>
      </c>
      <c r="AE80" s="784">
        <v>2</v>
      </c>
      <c r="AF80" s="784">
        <v>2</v>
      </c>
      <c r="AG80" s="784">
        <v>2</v>
      </c>
      <c r="AH80" s="784">
        <v>2</v>
      </c>
      <c r="AI80" s="784">
        <v>2</v>
      </c>
      <c r="AJ80" s="784">
        <v>2</v>
      </c>
      <c r="AK80" s="784">
        <v>2</v>
      </c>
      <c r="AL80" s="784">
        <v>2.5</v>
      </c>
      <c r="AM80" s="784">
        <v>2.5</v>
      </c>
      <c r="AN80" s="784">
        <v>2.5</v>
      </c>
      <c r="AO80" s="784">
        <v>2.5</v>
      </c>
      <c r="AP80" s="784">
        <v>2.5</v>
      </c>
      <c r="AQ80" s="784">
        <v>2.5</v>
      </c>
      <c r="AR80" s="784">
        <v>2.5</v>
      </c>
      <c r="AS80" s="784">
        <v>2.5</v>
      </c>
      <c r="AT80" s="784">
        <v>2.5</v>
      </c>
      <c r="AU80" s="784">
        <v>2.5</v>
      </c>
      <c r="AV80" s="784">
        <v>2.5</v>
      </c>
      <c r="AX80" s="784">
        <v>2</v>
      </c>
      <c r="AY80" s="784">
        <v>2</v>
      </c>
      <c r="AZ80" s="784">
        <v>2</v>
      </c>
      <c r="BA80" s="784">
        <v>0</v>
      </c>
      <c r="BB80" s="784">
        <v>0</v>
      </c>
      <c r="BC80" s="784">
        <v>0</v>
      </c>
      <c r="BD80" s="784">
        <v>0</v>
      </c>
      <c r="BE80" s="784">
        <v>0</v>
      </c>
      <c r="BF80" s="784">
        <v>0</v>
      </c>
      <c r="BG80" s="784">
        <v>2</v>
      </c>
      <c r="BH80" s="784">
        <v>2</v>
      </c>
      <c r="BI80" s="784">
        <v>2</v>
      </c>
      <c r="BJ80" s="784">
        <v>2</v>
      </c>
      <c r="BK80" s="784">
        <v>2</v>
      </c>
      <c r="BL80" s="784">
        <v>2</v>
      </c>
      <c r="BM80" s="784">
        <v>2</v>
      </c>
      <c r="BN80" s="784">
        <v>2</v>
      </c>
      <c r="BO80" s="784">
        <v>2</v>
      </c>
      <c r="BP80" s="784">
        <v>2</v>
      </c>
      <c r="BQ80" s="784">
        <v>2</v>
      </c>
      <c r="BR80" s="784">
        <v>2</v>
      </c>
      <c r="BS80" s="784">
        <v>2</v>
      </c>
      <c r="BT80" s="784">
        <v>2</v>
      </c>
      <c r="BU80" s="784">
        <v>2</v>
      </c>
      <c r="BV80" s="784">
        <v>2</v>
      </c>
      <c r="BW80" s="784">
        <v>2</v>
      </c>
      <c r="BX80" s="784">
        <v>2</v>
      </c>
      <c r="BY80" s="784">
        <v>2</v>
      </c>
      <c r="BZ80" s="784">
        <v>2</v>
      </c>
      <c r="CA80" s="784">
        <v>2</v>
      </c>
      <c r="CB80" s="784">
        <v>2</v>
      </c>
      <c r="CC80" s="784">
        <v>2</v>
      </c>
      <c r="CD80" s="784">
        <v>2</v>
      </c>
      <c r="CE80" s="784">
        <v>2</v>
      </c>
      <c r="CF80" s="784">
        <v>2</v>
      </c>
      <c r="CG80" s="784">
        <v>2</v>
      </c>
      <c r="CH80" s="784">
        <v>2</v>
      </c>
      <c r="CI80" s="784">
        <v>2</v>
      </c>
      <c r="CJ80" s="784">
        <v>2</v>
      </c>
      <c r="CK80" s="1230">
        <f t="shared" ref="CK80:CM80" si="416">(BG80+BJ80+BM80+BP80+BS80+BV80+BY80+CB80+CE80+CH80)/10</f>
        <v>2</v>
      </c>
      <c r="CL80" s="1230">
        <f t="shared" si="416"/>
        <v>2</v>
      </c>
      <c r="CM80" s="1230">
        <f t="shared" si="416"/>
        <v>2</v>
      </c>
      <c r="CN80" s="784">
        <v>1.5</v>
      </c>
      <c r="CO80" s="784">
        <v>1.5</v>
      </c>
      <c r="CP80" s="784">
        <v>1.5</v>
      </c>
      <c r="CQ80" s="784">
        <v>1.5</v>
      </c>
      <c r="CR80" s="784">
        <v>1.5</v>
      </c>
      <c r="CS80" s="784">
        <v>1.5</v>
      </c>
      <c r="CT80" s="784"/>
    </row>
    <row r="81" spans="1:98" x14ac:dyDescent="0.25">
      <c r="A81" s="1191"/>
      <c r="B81" s="271"/>
      <c r="C81" s="1140"/>
      <c r="D81" s="618"/>
      <c r="E81" s="618"/>
      <c r="F81" s="618"/>
      <c r="G81" s="618"/>
      <c r="H81" s="618"/>
      <c r="I81" s="618"/>
      <c r="J81" s="618"/>
      <c r="K81" s="618"/>
      <c r="L81" s="618"/>
      <c r="M81" s="618"/>
      <c r="N81" s="618"/>
      <c r="O81" s="618"/>
      <c r="P81" s="618"/>
      <c r="Q81" s="618"/>
      <c r="R81" s="618"/>
      <c r="S81" s="618"/>
      <c r="T81" s="618"/>
      <c r="U81" s="618"/>
      <c r="V81" s="618"/>
      <c r="W81" s="618"/>
      <c r="X81" s="618"/>
      <c r="Y81" s="618"/>
      <c r="Z81" s="618"/>
      <c r="AA81" s="618"/>
      <c r="AB81" s="618"/>
      <c r="AC81" s="618"/>
      <c r="AD81" s="618"/>
      <c r="AE81" s="618"/>
      <c r="AF81" s="618"/>
      <c r="AG81" s="618"/>
      <c r="AH81" s="618"/>
      <c r="AI81" s="618"/>
      <c r="AJ81" s="618"/>
      <c r="AK81" s="618"/>
      <c r="AL81" s="618"/>
      <c r="AM81" s="618"/>
      <c r="AN81" s="618"/>
      <c r="AO81" s="618"/>
      <c r="AP81" s="618"/>
      <c r="AQ81" s="618"/>
      <c r="AR81" s="618"/>
      <c r="AS81" s="618"/>
      <c r="AT81" s="618"/>
      <c r="AU81" s="618"/>
      <c r="AV81" s="618"/>
      <c r="AX81" s="618"/>
      <c r="AY81" s="618"/>
      <c r="AZ81" s="618"/>
      <c r="BA81" s="618"/>
      <c r="BB81" s="618"/>
      <c r="BC81" s="618"/>
      <c r="BD81" s="618"/>
      <c r="BE81" s="618"/>
      <c r="BF81" s="618"/>
      <c r="BG81" s="618"/>
      <c r="BH81" s="618"/>
      <c r="BI81" s="618"/>
      <c r="BJ81" s="618"/>
      <c r="BK81" s="618"/>
      <c r="BL81" s="618"/>
      <c r="BM81" s="618"/>
      <c r="BN81" s="618"/>
      <c r="BO81" s="618"/>
      <c r="BP81" s="618"/>
      <c r="BQ81" s="618"/>
      <c r="BR81" s="618"/>
      <c r="BS81" s="618"/>
      <c r="BT81" s="618"/>
      <c r="BU81" s="618"/>
      <c r="BV81" s="618"/>
      <c r="BW81" s="618"/>
      <c r="BX81" s="618"/>
      <c r="BY81" s="618"/>
      <c r="BZ81" s="618"/>
      <c r="CA81" s="618"/>
      <c r="CB81" s="618"/>
      <c r="CC81" s="618"/>
      <c r="CD81" s="618"/>
      <c r="CE81" s="618"/>
      <c r="CF81" s="618"/>
      <c r="CG81" s="618"/>
      <c r="CH81" s="618"/>
      <c r="CI81" s="618"/>
      <c r="CJ81" s="618"/>
      <c r="CK81" s="618"/>
      <c r="CL81" s="618"/>
      <c r="CM81" s="618"/>
      <c r="CN81" s="618"/>
      <c r="CO81" s="618"/>
      <c r="CP81" s="618"/>
      <c r="CQ81" s="618"/>
      <c r="CR81" s="618"/>
      <c r="CS81" s="618"/>
      <c r="CT81" s="618"/>
    </row>
    <row r="82" spans="1:98" ht="210" customHeight="1" x14ac:dyDescent="0.25">
      <c r="A82" s="1186"/>
      <c r="B82" s="1195" t="s">
        <v>2082</v>
      </c>
      <c r="C82" s="1203" t="s">
        <v>2083</v>
      </c>
      <c r="D82" s="784">
        <v>1.5</v>
      </c>
      <c r="E82" s="784">
        <v>1.5</v>
      </c>
      <c r="F82" s="784">
        <v>1.5</v>
      </c>
      <c r="G82" s="784">
        <v>1.5</v>
      </c>
      <c r="H82" s="784">
        <v>1.5</v>
      </c>
      <c r="I82" s="784">
        <v>1.5</v>
      </c>
      <c r="J82" s="784">
        <v>1.5</v>
      </c>
      <c r="K82" s="784">
        <v>1.5</v>
      </c>
      <c r="L82" s="784">
        <v>1.5</v>
      </c>
      <c r="M82" s="784">
        <v>1.5</v>
      </c>
      <c r="N82" s="784">
        <v>1.5</v>
      </c>
      <c r="O82" s="784">
        <v>1.5</v>
      </c>
      <c r="P82" s="784">
        <v>1.5</v>
      </c>
      <c r="Q82" s="784">
        <v>1.5</v>
      </c>
      <c r="R82" s="784">
        <v>1.5</v>
      </c>
      <c r="S82" s="784">
        <v>1.5</v>
      </c>
      <c r="T82" s="784">
        <v>1.5</v>
      </c>
      <c r="U82" s="784">
        <v>1.5</v>
      </c>
      <c r="V82" s="784">
        <v>1.5</v>
      </c>
      <c r="W82" s="784">
        <v>1.5</v>
      </c>
      <c r="X82" s="784">
        <v>1.5</v>
      </c>
      <c r="Y82" s="784">
        <v>1.5</v>
      </c>
      <c r="Z82" s="784">
        <v>1.5</v>
      </c>
      <c r="AA82" s="784">
        <v>1.5</v>
      </c>
      <c r="AB82" s="784">
        <v>1.5</v>
      </c>
      <c r="AC82" s="784">
        <v>1.5</v>
      </c>
      <c r="AD82" s="784">
        <v>1.5</v>
      </c>
      <c r="AE82" s="784">
        <v>1.5</v>
      </c>
      <c r="AF82" s="784">
        <v>1.5</v>
      </c>
      <c r="AG82" s="784">
        <v>1.5</v>
      </c>
      <c r="AH82" s="784">
        <v>1.5</v>
      </c>
      <c r="AI82" s="784">
        <v>1.5</v>
      </c>
      <c r="AJ82" s="784">
        <v>1.5</v>
      </c>
      <c r="AK82" s="784">
        <v>1.5</v>
      </c>
      <c r="AL82" s="784">
        <v>1.5</v>
      </c>
      <c r="AM82" s="784">
        <v>1.5</v>
      </c>
      <c r="AN82" s="784">
        <v>1.5</v>
      </c>
      <c r="AO82" s="784">
        <v>1.5</v>
      </c>
      <c r="AP82" s="784">
        <v>1.5</v>
      </c>
      <c r="AQ82" s="784">
        <v>1.5</v>
      </c>
      <c r="AR82" s="784">
        <v>1.5</v>
      </c>
      <c r="AS82" s="784">
        <v>1.5</v>
      </c>
      <c r="AT82" s="784">
        <v>1.5</v>
      </c>
      <c r="AU82" s="784">
        <v>1.5</v>
      </c>
      <c r="AV82" s="784">
        <v>1.5</v>
      </c>
      <c r="AX82" s="784">
        <v>1.5</v>
      </c>
      <c r="AY82" s="784">
        <v>1.5</v>
      </c>
      <c r="AZ82" s="784">
        <v>1.5</v>
      </c>
      <c r="BA82" s="784">
        <v>0</v>
      </c>
      <c r="BB82" s="784">
        <v>0</v>
      </c>
      <c r="BC82" s="784">
        <v>0</v>
      </c>
      <c r="BD82" s="784">
        <v>0</v>
      </c>
      <c r="BE82" s="784">
        <v>0</v>
      </c>
      <c r="BF82" s="784">
        <v>0</v>
      </c>
      <c r="BG82" s="784">
        <v>1.5</v>
      </c>
      <c r="BH82" s="784">
        <v>1.5</v>
      </c>
      <c r="BI82" s="784">
        <v>1.5</v>
      </c>
      <c r="BJ82" s="784">
        <v>1.5</v>
      </c>
      <c r="BK82" s="784">
        <v>1.5</v>
      </c>
      <c r="BL82" s="784">
        <v>1.5</v>
      </c>
      <c r="BM82" s="784">
        <v>1.5</v>
      </c>
      <c r="BN82" s="784">
        <v>1.5</v>
      </c>
      <c r="BO82" s="784">
        <v>1.5</v>
      </c>
      <c r="BP82" s="784">
        <v>1.5</v>
      </c>
      <c r="BQ82" s="784">
        <v>1.5</v>
      </c>
      <c r="BR82" s="784">
        <v>1.5</v>
      </c>
      <c r="BS82" s="784">
        <v>1.5</v>
      </c>
      <c r="BT82" s="784">
        <v>1.5</v>
      </c>
      <c r="BU82" s="784">
        <v>1.5</v>
      </c>
      <c r="BV82" s="784">
        <v>1.5</v>
      </c>
      <c r="BW82" s="784">
        <v>1.5</v>
      </c>
      <c r="BX82" s="784">
        <v>1.5</v>
      </c>
      <c r="BY82" s="784">
        <v>1.5</v>
      </c>
      <c r="BZ82" s="784">
        <v>1.5</v>
      </c>
      <c r="CA82" s="784">
        <v>1.5</v>
      </c>
      <c r="CB82" s="784">
        <v>1.5</v>
      </c>
      <c r="CC82" s="784">
        <v>1.5</v>
      </c>
      <c r="CD82" s="784">
        <v>1.5</v>
      </c>
      <c r="CE82" s="784">
        <v>1.5</v>
      </c>
      <c r="CF82" s="784">
        <v>1.5</v>
      </c>
      <c r="CG82" s="784">
        <v>1.5</v>
      </c>
      <c r="CH82" s="784">
        <v>1.5</v>
      </c>
      <c r="CI82" s="784">
        <v>1.5</v>
      </c>
      <c r="CJ82" s="784">
        <v>1.5</v>
      </c>
      <c r="CK82" s="1230">
        <f t="shared" ref="CK82:CM82" si="417">(BG82+BJ82+BM82+BP82+BS82+BV82+BY82+CB82+CE82+CH82)/10</f>
        <v>1.5</v>
      </c>
      <c r="CL82" s="1230">
        <f t="shared" si="417"/>
        <v>1.5</v>
      </c>
      <c r="CM82" s="1230">
        <f t="shared" si="417"/>
        <v>1.5</v>
      </c>
      <c r="CN82" s="784">
        <v>1.5</v>
      </c>
      <c r="CO82" s="784">
        <v>1.5</v>
      </c>
      <c r="CP82" s="784">
        <v>1.5</v>
      </c>
      <c r="CQ82" s="784">
        <v>1.5</v>
      </c>
      <c r="CR82" s="784">
        <v>1.5</v>
      </c>
      <c r="CS82" s="784">
        <v>1.5</v>
      </c>
      <c r="CT82" s="784"/>
    </row>
    <row r="83" spans="1:98" s="228" customFormat="1" ht="30" x14ac:dyDescent="0.25">
      <c r="A83" s="1182" t="s">
        <v>2069</v>
      </c>
      <c r="B83" s="785" t="s">
        <v>2084</v>
      </c>
      <c r="C83" s="1207" t="s">
        <v>1529</v>
      </c>
      <c r="D83" s="786"/>
      <c r="E83" s="786"/>
      <c r="F83" s="786"/>
      <c r="G83" s="786"/>
      <c r="H83" s="786"/>
      <c r="I83" s="786"/>
      <c r="J83" s="786"/>
      <c r="K83" s="786"/>
      <c r="L83" s="786"/>
      <c r="M83" s="786"/>
      <c r="N83" s="786"/>
      <c r="O83" s="786"/>
      <c r="P83" s="786"/>
      <c r="Q83" s="786"/>
      <c r="R83" s="786"/>
      <c r="S83" s="786"/>
      <c r="T83" s="786"/>
      <c r="U83" s="786"/>
      <c r="V83" s="786"/>
      <c r="W83" s="786"/>
      <c r="X83" s="786"/>
      <c r="Y83" s="786"/>
      <c r="Z83" s="786"/>
      <c r="AA83" s="786"/>
      <c r="AB83" s="786"/>
      <c r="AC83" s="786"/>
      <c r="AD83" s="786"/>
      <c r="AE83" s="786"/>
      <c r="AF83" s="786"/>
      <c r="AG83" s="786"/>
      <c r="AH83" s="786"/>
      <c r="AI83" s="786"/>
      <c r="AJ83" s="786"/>
      <c r="AK83" s="786"/>
      <c r="AL83" s="786"/>
      <c r="AM83" s="786"/>
      <c r="AN83" s="786"/>
      <c r="AO83" s="786"/>
      <c r="AP83" s="786"/>
      <c r="AQ83" s="786"/>
      <c r="AR83" s="786"/>
      <c r="AS83" s="786"/>
      <c r="AT83" s="786"/>
      <c r="AU83" s="786"/>
      <c r="AV83" s="786"/>
      <c r="AX83" s="786"/>
      <c r="AY83" s="786"/>
      <c r="AZ83" s="786"/>
      <c r="BA83" s="786"/>
      <c r="BB83" s="786"/>
      <c r="BC83" s="786"/>
      <c r="BD83" s="786"/>
      <c r="BE83" s="786"/>
      <c r="BF83" s="786"/>
      <c r="BG83" s="786"/>
      <c r="BH83" s="786"/>
      <c r="BI83" s="786"/>
      <c r="BJ83" s="786"/>
      <c r="BK83" s="786"/>
      <c r="BL83" s="786"/>
      <c r="BM83" s="786"/>
      <c r="BN83" s="786"/>
      <c r="BO83" s="786"/>
      <c r="BP83" s="786"/>
      <c r="BQ83" s="786"/>
      <c r="BR83" s="786"/>
      <c r="BS83" s="786"/>
      <c r="BT83" s="786"/>
      <c r="BU83" s="786"/>
      <c r="BV83" s="786"/>
      <c r="BW83" s="786"/>
      <c r="BX83" s="786"/>
      <c r="BY83" s="786"/>
      <c r="BZ83" s="786"/>
      <c r="CA83" s="786"/>
      <c r="CB83" s="786"/>
      <c r="CC83" s="786"/>
      <c r="CD83" s="786"/>
      <c r="CE83" s="786"/>
      <c r="CF83" s="786"/>
      <c r="CG83" s="786"/>
      <c r="CH83" s="786"/>
      <c r="CI83" s="786"/>
      <c r="CJ83" s="786"/>
      <c r="CK83" s="786"/>
      <c r="CL83" s="786"/>
      <c r="CM83" s="786"/>
      <c r="CN83" s="786"/>
      <c r="CO83" s="786"/>
      <c r="CP83" s="786"/>
      <c r="CQ83" s="786"/>
      <c r="CR83" s="786"/>
      <c r="CS83" s="786"/>
      <c r="CT83" s="786"/>
    </row>
    <row r="84" spans="1:98" s="228" customFormat="1" ht="30" x14ac:dyDescent="0.25">
      <c r="A84" s="1182" t="s">
        <v>2069</v>
      </c>
      <c r="B84" s="785" t="s">
        <v>2085</v>
      </c>
      <c r="C84" s="1207" t="s">
        <v>2086</v>
      </c>
      <c r="D84" s="786"/>
      <c r="E84" s="786"/>
      <c r="F84" s="786"/>
      <c r="G84" s="786"/>
      <c r="H84" s="786"/>
      <c r="I84" s="786"/>
      <c r="J84" s="786"/>
      <c r="K84" s="786"/>
      <c r="L84" s="786"/>
      <c r="M84" s="786"/>
      <c r="N84" s="786"/>
      <c r="O84" s="786"/>
      <c r="P84" s="786"/>
      <c r="Q84" s="786"/>
      <c r="R84" s="786"/>
      <c r="S84" s="786"/>
      <c r="T84" s="786"/>
      <c r="U84" s="786"/>
      <c r="V84" s="786"/>
      <c r="W84" s="786"/>
      <c r="X84" s="786"/>
      <c r="Y84" s="786"/>
      <c r="Z84" s="786"/>
      <c r="AA84" s="786"/>
      <c r="AB84" s="786"/>
      <c r="AC84" s="786"/>
      <c r="AD84" s="786"/>
      <c r="AE84" s="786"/>
      <c r="AF84" s="786"/>
      <c r="AG84" s="786"/>
      <c r="AH84" s="786"/>
      <c r="AI84" s="786"/>
      <c r="AJ84" s="786"/>
      <c r="AK84" s="786"/>
      <c r="AL84" s="786"/>
      <c r="AM84" s="786"/>
      <c r="AN84" s="786"/>
      <c r="AO84" s="786"/>
      <c r="AP84" s="786"/>
      <c r="AQ84" s="786"/>
      <c r="AR84" s="786"/>
      <c r="AS84" s="786"/>
      <c r="AT84" s="786"/>
      <c r="AU84" s="786"/>
      <c r="AV84" s="786"/>
      <c r="AX84" s="786"/>
      <c r="AY84" s="786"/>
      <c r="AZ84" s="786"/>
      <c r="BA84" s="786"/>
      <c r="BB84" s="786"/>
      <c r="BC84" s="786"/>
      <c r="BD84" s="786"/>
      <c r="BE84" s="786"/>
      <c r="BF84" s="786"/>
      <c r="BG84" s="786"/>
      <c r="BH84" s="786"/>
      <c r="BI84" s="786"/>
      <c r="BJ84" s="786"/>
      <c r="BK84" s="786"/>
      <c r="BL84" s="786"/>
      <c r="BM84" s="786"/>
      <c r="BN84" s="786"/>
      <c r="BO84" s="786"/>
      <c r="BP84" s="786"/>
      <c r="BQ84" s="786"/>
      <c r="BR84" s="786"/>
      <c r="BS84" s="786"/>
      <c r="BT84" s="786"/>
      <c r="BU84" s="786"/>
      <c r="BV84" s="786"/>
      <c r="BW84" s="786"/>
      <c r="BX84" s="786"/>
      <c r="BY84" s="786"/>
      <c r="BZ84" s="786"/>
      <c r="CA84" s="786"/>
      <c r="CB84" s="786"/>
      <c r="CC84" s="786"/>
      <c r="CD84" s="786"/>
      <c r="CE84" s="786"/>
      <c r="CF84" s="786"/>
      <c r="CG84" s="786"/>
      <c r="CH84" s="786"/>
      <c r="CI84" s="786"/>
      <c r="CJ84" s="786"/>
      <c r="CK84" s="786"/>
      <c r="CL84" s="786"/>
      <c r="CM84" s="786"/>
      <c r="CN84" s="786"/>
      <c r="CO84" s="786"/>
      <c r="CP84" s="786"/>
      <c r="CQ84" s="786"/>
      <c r="CR84" s="786"/>
      <c r="CS84" s="786"/>
      <c r="CT84" s="786"/>
    </row>
    <row r="91" spans="1:98" x14ac:dyDescent="0.25">
      <c r="A91" s="1505" t="s">
        <v>2146</v>
      </c>
      <c r="B91" s="1176" t="s">
        <v>2121</v>
      </c>
      <c r="C91" s="1222"/>
    </row>
    <row r="92" spans="1:98" x14ac:dyDescent="0.25">
      <c r="A92" s="1331"/>
      <c r="B92" s="1176" t="s">
        <v>2122</v>
      </c>
      <c r="C92" s="1222" t="s">
        <v>2123</v>
      </c>
    </row>
    <row r="93" spans="1:98" ht="30" x14ac:dyDescent="0.25">
      <c r="A93" s="1208" t="s">
        <v>2124</v>
      </c>
      <c r="B93" s="618">
        <v>2.5</v>
      </c>
      <c r="C93" s="1010"/>
    </row>
    <row r="94" spans="1:98" ht="60" x14ac:dyDescent="0.25">
      <c r="A94" s="1208" t="s">
        <v>2147</v>
      </c>
      <c r="B94" s="618">
        <f>3.5-3.5</f>
        <v>0</v>
      </c>
      <c r="C94" s="1010"/>
    </row>
    <row r="95" spans="1:98" x14ac:dyDescent="0.25">
      <c r="A95" s="1208" t="s">
        <v>2125</v>
      </c>
      <c r="B95" s="618"/>
      <c r="C95" s="1010">
        <v>15</v>
      </c>
    </row>
    <row r="96" spans="1:98" x14ac:dyDescent="0.25">
      <c r="A96" s="1208" t="s">
        <v>2126</v>
      </c>
      <c r="B96" s="618"/>
      <c r="C96" s="1010">
        <v>6</v>
      </c>
    </row>
    <row r="97" spans="1:3" ht="30" x14ac:dyDescent="0.25">
      <c r="A97" s="1208" t="s">
        <v>2127</v>
      </c>
      <c r="B97" s="618">
        <f>2.5-2.5</f>
        <v>0</v>
      </c>
      <c r="C97" s="1010"/>
    </row>
    <row r="98" spans="1:3" ht="30" x14ac:dyDescent="0.25">
      <c r="A98" s="1208" t="s">
        <v>2128</v>
      </c>
      <c r="B98" s="618">
        <v>0.6</v>
      </c>
      <c r="C98" s="1010"/>
    </row>
    <row r="99" spans="1:3" ht="30" x14ac:dyDescent="0.25">
      <c r="A99" s="1208" t="s">
        <v>2129</v>
      </c>
      <c r="B99" s="618">
        <v>2</v>
      </c>
      <c r="C99" s="1010"/>
    </row>
    <row r="100" spans="1:3" x14ac:dyDescent="0.25">
      <c r="A100" s="1208" t="s">
        <v>2130</v>
      </c>
      <c r="B100" s="618"/>
      <c r="C100" s="1010">
        <v>0.65</v>
      </c>
    </row>
    <row r="101" spans="1:3" x14ac:dyDescent="0.25">
      <c r="A101" s="1208" t="s">
        <v>2131</v>
      </c>
      <c r="B101" s="618"/>
      <c r="C101" s="1010">
        <v>10</v>
      </c>
    </row>
    <row r="102" spans="1:3" ht="30" x14ac:dyDescent="0.25">
      <c r="A102" s="1208" t="s">
        <v>2132</v>
      </c>
      <c r="B102" s="618"/>
      <c r="C102" s="1010">
        <v>14</v>
      </c>
    </row>
    <row r="103" spans="1:3" ht="30" x14ac:dyDescent="0.25">
      <c r="A103" s="1208" t="s">
        <v>2133</v>
      </c>
      <c r="B103" s="618"/>
      <c r="C103" s="1010">
        <v>8</v>
      </c>
    </row>
    <row r="104" spans="1:3" ht="30" x14ac:dyDescent="0.25">
      <c r="A104" s="1208" t="s">
        <v>2133</v>
      </c>
      <c r="B104" s="618"/>
      <c r="C104" s="1010">
        <v>8</v>
      </c>
    </row>
    <row r="105" spans="1:3" ht="45" x14ac:dyDescent="0.25">
      <c r="A105" s="1208" t="s">
        <v>2134</v>
      </c>
      <c r="B105" s="618"/>
      <c r="C105" s="1010">
        <v>12</v>
      </c>
    </row>
    <row r="106" spans="1:3" ht="45" x14ac:dyDescent="0.25">
      <c r="A106" s="1208" t="s">
        <v>2135</v>
      </c>
      <c r="B106" s="618"/>
      <c r="C106" s="1010">
        <v>12</v>
      </c>
    </row>
    <row r="107" spans="1:3" x14ac:dyDescent="0.25">
      <c r="A107" s="1208" t="s">
        <v>2142</v>
      </c>
      <c r="B107" s="618">
        <v>0.1</v>
      </c>
      <c r="C107" s="1010"/>
    </row>
    <row r="108" spans="1:3" ht="30" x14ac:dyDescent="0.25">
      <c r="A108" s="1208" t="s">
        <v>2136</v>
      </c>
      <c r="B108" s="618"/>
      <c r="C108" s="1010">
        <v>3</v>
      </c>
    </row>
    <row r="109" spans="1:3" ht="30" x14ac:dyDescent="0.25">
      <c r="A109" s="1208" t="s">
        <v>2137</v>
      </c>
      <c r="B109" s="618">
        <v>0.2</v>
      </c>
      <c r="C109" s="1010"/>
    </row>
    <row r="110" spans="1:3" ht="60" x14ac:dyDescent="0.25">
      <c r="A110" s="1208" t="s">
        <v>2138</v>
      </c>
      <c r="B110" s="618"/>
      <c r="C110" s="1010">
        <v>4</v>
      </c>
    </row>
    <row r="111" spans="1:3" x14ac:dyDescent="0.25">
      <c r="A111" s="1208" t="s">
        <v>2139</v>
      </c>
      <c r="B111" s="618"/>
      <c r="C111" s="1010">
        <f>21-21</f>
        <v>0</v>
      </c>
    </row>
    <row r="112" spans="1:3" ht="60" x14ac:dyDescent="0.25">
      <c r="A112" s="1208" t="s">
        <v>2148</v>
      </c>
      <c r="B112" s="618"/>
      <c r="C112" s="1010">
        <v>10</v>
      </c>
    </row>
    <row r="113" spans="1:3" x14ac:dyDescent="0.25">
      <c r="A113" s="1208" t="s">
        <v>2140</v>
      </c>
      <c r="B113" s="618">
        <v>0.15</v>
      </c>
      <c r="C113" s="1010"/>
    </row>
    <row r="114" spans="1:3" x14ac:dyDescent="0.25">
      <c r="A114" s="1208" t="s">
        <v>2141</v>
      </c>
      <c r="B114" s="618">
        <v>1.2</v>
      </c>
      <c r="C114" s="1010"/>
    </row>
    <row r="115" spans="1:3" x14ac:dyDescent="0.25">
      <c r="A115" s="1223" t="s">
        <v>1326</v>
      </c>
      <c r="B115" s="623">
        <f>SUM(B93:B114)</f>
        <v>6.75</v>
      </c>
      <c r="C115" s="623">
        <f>SUM(C93:C114)</f>
        <v>102.65</v>
      </c>
    </row>
    <row r="116" spans="1:3" x14ac:dyDescent="0.25">
      <c r="A116" s="1223" t="s">
        <v>2122</v>
      </c>
      <c r="B116" s="622"/>
      <c r="C116" s="1224">
        <f>C115/(33*25)</f>
        <v>0.12</v>
      </c>
    </row>
    <row r="117" spans="1:3" x14ac:dyDescent="0.25">
      <c r="A117" s="1223" t="s">
        <v>2143</v>
      </c>
      <c r="B117" s="1224">
        <f>B115+C116</f>
        <v>6.87</v>
      </c>
      <c r="C117" s="1225"/>
    </row>
  </sheetData>
  <mergeCells count="58">
    <mergeCell ref="A91:A92"/>
    <mergeCell ref="BJ4:BJ5"/>
    <mergeCell ref="BS4:BS5"/>
    <mergeCell ref="CB4:CB5"/>
    <mergeCell ref="BP4:BP5"/>
    <mergeCell ref="BV4:BV5"/>
    <mergeCell ref="BD4:BD5"/>
    <mergeCell ref="AY4:AY5"/>
    <mergeCell ref="BB4:BB5"/>
    <mergeCell ref="BE4:BE5"/>
    <mergeCell ref="AZ4:AZ5"/>
    <mergeCell ref="BC4:BC5"/>
    <mergeCell ref="CT4:CT5"/>
    <mergeCell ref="BG4:BG5"/>
    <mergeCell ref="A1:B1"/>
    <mergeCell ref="A2:C3"/>
    <mergeCell ref="A4:A5"/>
    <mergeCell ref="B4:B5"/>
    <mergeCell ref="D4:AV4"/>
    <mergeCell ref="AX4:AX5"/>
    <mergeCell ref="BA4:BA5"/>
    <mergeCell ref="CH4:CH5"/>
    <mergeCell ref="CE4:CE5"/>
    <mergeCell ref="BY4:BY5"/>
    <mergeCell ref="BF4:BF5"/>
    <mergeCell ref="CK4:CK5"/>
    <mergeCell ref="BM4:BM5"/>
    <mergeCell ref="CQ4:CQ5"/>
    <mergeCell ref="AX2:BF2"/>
    <mergeCell ref="BG2:CM2"/>
    <mergeCell ref="BH4:BH5"/>
    <mergeCell ref="BI4:BI5"/>
    <mergeCell ref="BK4:BK5"/>
    <mergeCell ref="BL4:BL5"/>
    <mergeCell ref="BN4:BN5"/>
    <mergeCell ref="BO4:BO5"/>
    <mergeCell ref="BQ4:BQ5"/>
    <mergeCell ref="BR4:BR5"/>
    <mergeCell ref="BT4:BT5"/>
    <mergeCell ref="BU4:BU5"/>
    <mergeCell ref="BW4:BW5"/>
    <mergeCell ref="BX4:BX5"/>
    <mergeCell ref="BZ4:BZ5"/>
    <mergeCell ref="CA4:CA5"/>
    <mergeCell ref="CC4:CC5"/>
    <mergeCell ref="CD4:CD5"/>
    <mergeCell ref="CF4:CF5"/>
    <mergeCell ref="CG4:CG5"/>
    <mergeCell ref="CI4:CI5"/>
    <mergeCell ref="CJ4:CJ5"/>
    <mergeCell ref="CL4:CL5"/>
    <mergeCell ref="CN2:CS2"/>
    <mergeCell ref="CM4:CM5"/>
    <mergeCell ref="CO4:CO5"/>
    <mergeCell ref="CP4:CP5"/>
    <mergeCell ref="CR4:CR5"/>
    <mergeCell ref="CS4:CS5"/>
    <mergeCell ref="CN4:CN5"/>
  </mergeCells>
  <pageMargins left="0.31496062992125984" right="0" top="0.39370078740157483" bottom="0" header="0" footer="0"/>
  <pageSetup paperSize="9" scale="60" fitToWidth="0" fitToHeight="0" orientation="landscape" r:id="rId1"/>
  <rowBreaks count="3" manualBreakCount="3">
    <brk id="33" max="63" man="1"/>
    <brk id="58" max="63" man="1"/>
    <brk id="74" max="6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7">
    <tabColor rgb="FF92D050"/>
  </sheetPr>
  <dimension ref="A1:W43"/>
  <sheetViews>
    <sheetView view="pageBreakPreview" zoomScale="80" zoomScaleNormal="75" zoomScaleSheetLayoutView="80" workbookViewId="0">
      <pane xSplit="1" ySplit="4" topLeftCell="D23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W27" sqref="W27"/>
    </sheetView>
  </sheetViews>
  <sheetFormatPr defaultRowHeight="15.75" x14ac:dyDescent="0.25"/>
  <cols>
    <col min="1" max="1" width="55.7109375" style="236" customWidth="1"/>
    <col min="2" max="7" width="11.42578125" style="236" customWidth="1"/>
    <col min="8" max="8" width="0.85546875" style="236" customWidth="1"/>
    <col min="9" max="14" width="11.42578125" style="236" customWidth="1"/>
    <col min="15" max="15" width="1.5703125" style="236" customWidth="1"/>
    <col min="16" max="21" width="11.42578125" style="236" customWidth="1"/>
    <col min="22" max="22" width="2.7109375" style="236" customWidth="1"/>
    <col min="23" max="23" width="32" style="236" customWidth="1"/>
    <col min="24" max="16384" width="9.140625" style="236"/>
  </cols>
  <sheetData>
    <row r="1" spans="1:21" x14ac:dyDescent="0.25">
      <c r="E1" s="1410" t="s">
        <v>870</v>
      </c>
      <c r="F1" s="1410"/>
      <c r="G1" s="1410"/>
      <c r="H1" s="1410"/>
      <c r="I1" s="1410"/>
      <c r="J1" s="1410"/>
      <c r="K1" s="1410"/>
      <c r="L1" s="1410"/>
      <c r="M1" s="1410"/>
      <c r="N1" s="1410"/>
      <c r="O1" s="1410"/>
      <c r="P1" s="1410"/>
      <c r="Q1" s="1410"/>
      <c r="R1" s="1410"/>
      <c r="S1" s="1410"/>
      <c r="T1" s="1410"/>
      <c r="U1" s="1410"/>
    </row>
    <row r="2" spans="1:21" ht="42" customHeight="1" x14ac:dyDescent="0.25">
      <c r="A2" s="1507" t="s">
        <v>1887</v>
      </c>
      <c r="B2" s="1507"/>
      <c r="C2" s="1507"/>
      <c r="D2" s="1507"/>
      <c r="E2" s="1507"/>
      <c r="F2" s="1507"/>
      <c r="G2" s="1507"/>
      <c r="H2" s="1507"/>
      <c r="I2" s="1507"/>
      <c r="J2" s="1507"/>
      <c r="K2" s="1507"/>
      <c r="L2" s="1507"/>
      <c r="M2" s="1507"/>
      <c r="N2" s="1507"/>
      <c r="O2" s="1507"/>
      <c r="P2" s="1507"/>
      <c r="Q2" s="1507"/>
      <c r="R2" s="1507"/>
      <c r="S2" s="1507"/>
      <c r="T2" s="1507"/>
      <c r="U2" s="1507"/>
    </row>
    <row r="3" spans="1:21" x14ac:dyDescent="0.25">
      <c r="A3" s="1506"/>
      <c r="B3" s="1508" t="s">
        <v>1043</v>
      </c>
      <c r="C3" s="1508"/>
      <c r="D3" s="1508"/>
      <c r="E3" s="1508"/>
      <c r="F3" s="1508"/>
      <c r="G3" s="1508"/>
      <c r="H3" s="1134"/>
      <c r="I3" s="1509" t="s">
        <v>1044</v>
      </c>
      <c r="J3" s="1509"/>
      <c r="K3" s="1509"/>
      <c r="L3" s="1509"/>
      <c r="M3" s="1509"/>
      <c r="N3" s="1509"/>
      <c r="O3" s="1137"/>
      <c r="P3" s="1508" t="s">
        <v>1704</v>
      </c>
      <c r="Q3" s="1508"/>
      <c r="R3" s="1508"/>
      <c r="S3" s="1508"/>
      <c r="T3" s="1508"/>
      <c r="U3" s="1508"/>
    </row>
    <row r="4" spans="1:21" ht="54" customHeight="1" x14ac:dyDescent="0.25">
      <c r="A4" s="1506"/>
      <c r="B4" s="237" t="s">
        <v>860</v>
      </c>
      <c r="C4" s="237" t="s">
        <v>861</v>
      </c>
      <c r="D4" s="237" t="s">
        <v>862</v>
      </c>
      <c r="E4" s="237" t="s">
        <v>863</v>
      </c>
      <c r="F4" s="237" t="s">
        <v>864</v>
      </c>
      <c r="G4" s="237" t="s">
        <v>852</v>
      </c>
      <c r="H4" s="1075"/>
      <c r="I4" s="277" t="s">
        <v>860</v>
      </c>
      <c r="J4" s="277" t="s">
        <v>861</v>
      </c>
      <c r="K4" s="277" t="s">
        <v>862</v>
      </c>
      <c r="L4" s="277" t="s">
        <v>863</v>
      </c>
      <c r="M4" s="277" t="s">
        <v>864</v>
      </c>
      <c r="N4" s="277" t="s">
        <v>852</v>
      </c>
      <c r="O4" s="1076"/>
      <c r="P4" s="237" t="s">
        <v>860</v>
      </c>
      <c r="Q4" s="237" t="s">
        <v>861</v>
      </c>
      <c r="R4" s="237" t="s">
        <v>862</v>
      </c>
      <c r="S4" s="237" t="s">
        <v>863</v>
      </c>
      <c r="T4" s="237" t="s">
        <v>864</v>
      </c>
      <c r="U4" s="237" t="s">
        <v>852</v>
      </c>
    </row>
    <row r="5" spans="1:21" s="238" customFormat="1" ht="48.75" customHeight="1" x14ac:dyDescent="0.25">
      <c r="A5" s="1077" t="s">
        <v>1889</v>
      </c>
      <c r="B5" s="310">
        <v>13132</v>
      </c>
      <c r="C5" s="310">
        <v>13132</v>
      </c>
      <c r="D5" s="310">
        <v>13132</v>
      </c>
      <c r="E5" s="310">
        <v>13132</v>
      </c>
      <c r="F5" s="310">
        <v>13132</v>
      </c>
      <c r="G5" s="310">
        <v>13132</v>
      </c>
      <c r="H5" s="1078"/>
      <c r="I5" s="311">
        <f>ROUNDUP(B5*1.061,0)</f>
        <v>13934</v>
      </c>
      <c r="J5" s="311">
        <f>ROUNDUP(C5*1.061,0)</f>
        <v>13934</v>
      </c>
      <c r="K5" s="311">
        <f>ROUNDUP(D5*1.061,0)</f>
        <v>13934</v>
      </c>
      <c r="L5" s="311">
        <f>ROUNDUP(E5*1.061,0)</f>
        <v>13934</v>
      </c>
      <c r="M5" s="311">
        <f>ROUNDUP(F5*1.061,0)</f>
        <v>13934</v>
      </c>
      <c r="N5" s="311">
        <f t="shared" ref="N5" si="0">ROUNDUP(G5*1.061,0)</f>
        <v>13934</v>
      </c>
      <c r="O5" s="1079"/>
      <c r="P5" s="310">
        <f t="shared" ref="P5:U5" si="1">ROUNDUP(I5*1.04,0)</f>
        <v>14492</v>
      </c>
      <c r="Q5" s="310">
        <f t="shared" si="1"/>
        <v>14492</v>
      </c>
      <c r="R5" s="310">
        <f t="shared" si="1"/>
        <v>14492</v>
      </c>
      <c r="S5" s="310">
        <f t="shared" si="1"/>
        <v>14492</v>
      </c>
      <c r="T5" s="310">
        <f t="shared" si="1"/>
        <v>14492</v>
      </c>
      <c r="U5" s="310">
        <f t="shared" si="1"/>
        <v>14492</v>
      </c>
    </row>
    <row r="6" spans="1:21" s="238" customFormat="1" ht="63" x14ac:dyDescent="0.25">
      <c r="A6" s="1077" t="s">
        <v>932</v>
      </c>
      <c r="B6" s="239">
        <v>2</v>
      </c>
      <c r="C6" s="239">
        <v>2</v>
      </c>
      <c r="D6" s="239">
        <v>2</v>
      </c>
      <c r="E6" s="239">
        <v>2</v>
      </c>
      <c r="F6" s="239">
        <v>2</v>
      </c>
      <c r="G6" s="239">
        <v>2</v>
      </c>
      <c r="H6" s="1080"/>
      <c r="I6" s="278">
        <v>2</v>
      </c>
      <c r="J6" s="278">
        <v>2</v>
      </c>
      <c r="K6" s="278">
        <v>2</v>
      </c>
      <c r="L6" s="278">
        <v>2</v>
      </c>
      <c r="M6" s="278">
        <v>2</v>
      </c>
      <c r="N6" s="278">
        <v>2</v>
      </c>
      <c r="O6" s="1081"/>
      <c r="P6" s="239">
        <v>2</v>
      </c>
      <c r="Q6" s="239">
        <v>2</v>
      </c>
      <c r="R6" s="239">
        <v>2</v>
      </c>
      <c r="S6" s="239">
        <v>2</v>
      </c>
      <c r="T6" s="239">
        <v>2</v>
      </c>
      <c r="U6" s="239">
        <v>2</v>
      </c>
    </row>
    <row r="7" spans="1:21" s="238" customFormat="1" ht="47.25" x14ac:dyDescent="0.25">
      <c r="A7" s="1077" t="s">
        <v>933</v>
      </c>
      <c r="B7" s="239">
        <v>18</v>
      </c>
      <c r="C7" s="239">
        <v>18</v>
      </c>
      <c r="D7" s="239">
        <v>18</v>
      </c>
      <c r="E7" s="239">
        <v>18</v>
      </c>
      <c r="F7" s="239">
        <v>18</v>
      </c>
      <c r="G7" s="239">
        <v>18</v>
      </c>
      <c r="H7" s="1080"/>
      <c r="I7" s="278">
        <v>18</v>
      </c>
      <c r="J7" s="278">
        <v>18</v>
      </c>
      <c r="K7" s="278">
        <v>18</v>
      </c>
      <c r="L7" s="278">
        <v>18</v>
      </c>
      <c r="M7" s="278">
        <v>18</v>
      </c>
      <c r="N7" s="278">
        <v>18</v>
      </c>
      <c r="O7" s="1081"/>
      <c r="P7" s="239">
        <v>18</v>
      </c>
      <c r="Q7" s="239">
        <v>18</v>
      </c>
      <c r="R7" s="239">
        <v>18</v>
      </c>
      <c r="S7" s="239">
        <v>18</v>
      </c>
      <c r="T7" s="239">
        <v>18</v>
      </c>
      <c r="U7" s="239">
        <v>18</v>
      </c>
    </row>
    <row r="8" spans="1:21" s="238" customFormat="1" ht="83.25" customHeight="1" x14ac:dyDescent="0.25">
      <c r="A8" s="1077" t="s">
        <v>1890</v>
      </c>
      <c r="B8" s="239">
        <v>1.45</v>
      </c>
      <c r="C8" s="239">
        <v>1.45</v>
      </c>
      <c r="D8" s="239">
        <v>1.45</v>
      </c>
      <c r="E8" s="239">
        <v>1.45</v>
      </c>
      <c r="F8" s="239">
        <v>1.45</v>
      </c>
      <c r="G8" s="239">
        <v>1.45</v>
      </c>
      <c r="H8" s="1080"/>
      <c r="I8" s="278">
        <v>1.45</v>
      </c>
      <c r="J8" s="278">
        <v>1.45</v>
      </c>
      <c r="K8" s="278">
        <v>1.45</v>
      </c>
      <c r="L8" s="278">
        <v>1.45</v>
      </c>
      <c r="M8" s="278">
        <v>1.45</v>
      </c>
      <c r="N8" s="278">
        <v>1.45</v>
      </c>
      <c r="O8" s="1081"/>
      <c r="P8" s="239">
        <v>1.45</v>
      </c>
      <c r="Q8" s="239">
        <v>1.45</v>
      </c>
      <c r="R8" s="239">
        <v>1.45</v>
      </c>
      <c r="S8" s="239">
        <v>1.45</v>
      </c>
      <c r="T8" s="239">
        <v>1.45</v>
      </c>
      <c r="U8" s="239">
        <v>1.45</v>
      </c>
    </row>
    <row r="9" spans="1:21" s="238" customFormat="1" ht="63" x14ac:dyDescent="0.25">
      <c r="A9" s="1077" t="s">
        <v>934</v>
      </c>
      <c r="B9" s="239">
        <v>1.302</v>
      </c>
      <c r="C9" s="239">
        <v>1.302</v>
      </c>
      <c r="D9" s="239">
        <v>1.302</v>
      </c>
      <c r="E9" s="239">
        <v>1.302</v>
      </c>
      <c r="F9" s="239">
        <v>1.302</v>
      </c>
      <c r="G9" s="239">
        <v>1.302</v>
      </c>
      <c r="H9" s="1080"/>
      <c r="I9" s="278">
        <v>1.302</v>
      </c>
      <c r="J9" s="278">
        <v>1.302</v>
      </c>
      <c r="K9" s="278">
        <v>1.302</v>
      </c>
      <c r="L9" s="278">
        <v>1.302</v>
      </c>
      <c r="M9" s="278">
        <v>1.302</v>
      </c>
      <c r="N9" s="278">
        <v>1.302</v>
      </c>
      <c r="O9" s="1081"/>
      <c r="P9" s="239">
        <v>1.302</v>
      </c>
      <c r="Q9" s="239">
        <v>1.302</v>
      </c>
      <c r="R9" s="239">
        <v>1.302</v>
      </c>
      <c r="S9" s="239">
        <v>1.302</v>
      </c>
      <c r="T9" s="239">
        <v>1.302</v>
      </c>
      <c r="U9" s="239">
        <v>1.302</v>
      </c>
    </row>
    <row r="10" spans="1:21" s="238" customFormat="1" ht="47.25" x14ac:dyDescent="0.25">
      <c r="A10" s="1077" t="s">
        <v>935</v>
      </c>
      <c r="B10" s="239">
        <v>1</v>
      </c>
      <c r="C10" s="239">
        <v>1</v>
      </c>
      <c r="D10" s="239">
        <v>1</v>
      </c>
      <c r="E10" s="239">
        <v>1</v>
      </c>
      <c r="F10" s="239">
        <v>1</v>
      </c>
      <c r="G10" s="239">
        <v>1</v>
      </c>
      <c r="H10" s="1080"/>
      <c r="I10" s="278">
        <v>1</v>
      </c>
      <c r="J10" s="278">
        <v>1</v>
      </c>
      <c r="K10" s="278">
        <v>1</v>
      </c>
      <c r="L10" s="278">
        <v>1</v>
      </c>
      <c r="M10" s="278">
        <v>1</v>
      </c>
      <c r="N10" s="278">
        <v>1</v>
      </c>
      <c r="O10" s="1081"/>
      <c r="P10" s="239">
        <v>1</v>
      </c>
      <c r="Q10" s="239">
        <v>1</v>
      </c>
      <c r="R10" s="239">
        <v>1</v>
      </c>
      <c r="S10" s="239">
        <v>1</v>
      </c>
      <c r="T10" s="239">
        <v>1</v>
      </c>
      <c r="U10" s="239">
        <v>1</v>
      </c>
    </row>
    <row r="11" spans="1:21" s="238" customFormat="1" ht="31.5" x14ac:dyDescent="0.25">
      <c r="A11" s="1082" t="s">
        <v>1891</v>
      </c>
      <c r="B11" s="276">
        <f>6.1/12*3/100+1</f>
        <v>1.01525</v>
      </c>
      <c r="C11" s="276">
        <f t="shared" ref="C11:G11" si="2">6.1/12*3/100+1</f>
        <v>1.01525</v>
      </c>
      <c r="D11" s="276">
        <f t="shared" si="2"/>
        <v>1.01525</v>
      </c>
      <c r="E11" s="276">
        <f t="shared" si="2"/>
        <v>1.01525</v>
      </c>
      <c r="F11" s="276">
        <f t="shared" si="2"/>
        <v>1.01525</v>
      </c>
      <c r="G11" s="276">
        <f t="shared" si="2"/>
        <v>1.01525</v>
      </c>
      <c r="H11" s="1083"/>
      <c r="I11" s="279">
        <f t="shared" ref="I11:U11" si="3">4/12*3/100+1</f>
        <v>1.01</v>
      </c>
      <c r="J11" s="279">
        <f t="shared" si="3"/>
        <v>1.01</v>
      </c>
      <c r="K11" s="279">
        <f t="shared" si="3"/>
        <v>1.01</v>
      </c>
      <c r="L11" s="279">
        <f t="shared" si="3"/>
        <v>1.01</v>
      </c>
      <c r="M11" s="279">
        <f t="shared" si="3"/>
        <v>1.01</v>
      </c>
      <c r="N11" s="279">
        <f t="shared" si="3"/>
        <v>1.01</v>
      </c>
      <c r="O11" s="1084"/>
      <c r="P11" s="276">
        <f t="shared" si="3"/>
        <v>1.01</v>
      </c>
      <c r="Q11" s="276">
        <f t="shared" si="3"/>
        <v>1.01</v>
      </c>
      <c r="R11" s="276">
        <f t="shared" si="3"/>
        <v>1.01</v>
      </c>
      <c r="S11" s="276">
        <f t="shared" si="3"/>
        <v>1.01</v>
      </c>
      <c r="T11" s="276">
        <f t="shared" si="3"/>
        <v>1.01</v>
      </c>
      <c r="U11" s="276">
        <f t="shared" si="3"/>
        <v>1.01</v>
      </c>
    </row>
    <row r="12" spans="1:21" s="238" customFormat="1" ht="31.5" x14ac:dyDescent="0.25">
      <c r="A12" s="1077" t="s">
        <v>936</v>
      </c>
      <c r="B12" s="239">
        <v>12</v>
      </c>
      <c r="C12" s="239">
        <v>12</v>
      </c>
      <c r="D12" s="239">
        <v>12</v>
      </c>
      <c r="E12" s="239">
        <v>12</v>
      </c>
      <c r="F12" s="239">
        <v>12</v>
      </c>
      <c r="G12" s="239">
        <v>14</v>
      </c>
      <c r="H12" s="1080"/>
      <c r="I12" s="278">
        <v>12</v>
      </c>
      <c r="J12" s="278">
        <v>12</v>
      </c>
      <c r="K12" s="278">
        <v>12</v>
      </c>
      <c r="L12" s="278">
        <v>12</v>
      </c>
      <c r="M12" s="278">
        <v>12</v>
      </c>
      <c r="N12" s="278">
        <v>14</v>
      </c>
      <c r="O12" s="1081"/>
      <c r="P12" s="239">
        <v>12</v>
      </c>
      <c r="Q12" s="239">
        <v>12</v>
      </c>
      <c r="R12" s="239">
        <v>12</v>
      </c>
      <c r="S12" s="239">
        <v>12</v>
      </c>
      <c r="T12" s="239">
        <v>12</v>
      </c>
      <c r="U12" s="239">
        <v>14</v>
      </c>
    </row>
    <row r="13" spans="1:21" s="238" customFormat="1" ht="32.25" customHeight="1" x14ac:dyDescent="0.25">
      <c r="A13" s="1082" t="s">
        <v>931</v>
      </c>
      <c r="B13" s="239">
        <v>12</v>
      </c>
      <c r="C13" s="239">
        <v>12</v>
      </c>
      <c r="D13" s="239">
        <v>12</v>
      </c>
      <c r="E13" s="239">
        <v>12</v>
      </c>
      <c r="F13" s="239">
        <v>12</v>
      </c>
      <c r="G13" s="239">
        <v>12</v>
      </c>
      <c r="H13" s="1080"/>
      <c r="I13" s="278">
        <v>12</v>
      </c>
      <c r="J13" s="278">
        <v>12</v>
      </c>
      <c r="K13" s="278">
        <v>12</v>
      </c>
      <c r="L13" s="278">
        <v>12</v>
      </c>
      <c r="M13" s="278">
        <v>12</v>
      </c>
      <c r="N13" s="278">
        <v>12</v>
      </c>
      <c r="O13" s="1081"/>
      <c r="P13" s="239">
        <v>12</v>
      </c>
      <c r="Q13" s="239">
        <v>12</v>
      </c>
      <c r="R13" s="239">
        <v>12</v>
      </c>
      <c r="S13" s="239">
        <v>12</v>
      </c>
      <c r="T13" s="239">
        <v>12</v>
      </c>
      <c r="U13" s="239">
        <v>12</v>
      </c>
    </row>
    <row r="14" spans="1:21" s="240" customFormat="1" x14ac:dyDescent="0.25">
      <c r="A14" s="1085" t="s">
        <v>865</v>
      </c>
      <c r="B14" s="274">
        <f>ROUND(B5*B9*B10*B11*B8*B6/B7/B12*B13,0)</f>
        <v>2797</v>
      </c>
      <c r="C14" s="274">
        <f t="shared" ref="C14:U14" si="4">ROUND(C5*C9*C10*C11*C8*C6/C7/C12*C13,0)</f>
        <v>2797</v>
      </c>
      <c r="D14" s="274">
        <f t="shared" si="4"/>
        <v>2797</v>
      </c>
      <c r="E14" s="274">
        <f t="shared" si="4"/>
        <v>2797</v>
      </c>
      <c r="F14" s="274">
        <f t="shared" si="4"/>
        <v>2797</v>
      </c>
      <c r="G14" s="274">
        <f t="shared" si="4"/>
        <v>2397</v>
      </c>
      <c r="H14" s="1086"/>
      <c r="I14" s="274">
        <f t="shared" si="4"/>
        <v>2952</v>
      </c>
      <c r="J14" s="274">
        <f t="shared" si="4"/>
        <v>2952</v>
      </c>
      <c r="K14" s="274">
        <f t="shared" si="4"/>
        <v>2952</v>
      </c>
      <c r="L14" s="274">
        <f t="shared" si="4"/>
        <v>2952</v>
      </c>
      <c r="M14" s="274">
        <f t="shared" si="4"/>
        <v>2952</v>
      </c>
      <c r="N14" s="274">
        <f t="shared" si="4"/>
        <v>2530</v>
      </c>
      <c r="O14" s="1086"/>
      <c r="P14" s="274">
        <f t="shared" si="4"/>
        <v>3070</v>
      </c>
      <c r="Q14" s="274">
        <f t="shared" si="4"/>
        <v>3070</v>
      </c>
      <c r="R14" s="274">
        <f t="shared" si="4"/>
        <v>3070</v>
      </c>
      <c r="S14" s="274">
        <f t="shared" si="4"/>
        <v>3070</v>
      </c>
      <c r="T14" s="274">
        <f t="shared" si="4"/>
        <v>3070</v>
      </c>
      <c r="U14" s="274">
        <f t="shared" si="4"/>
        <v>2632</v>
      </c>
    </row>
    <row r="15" spans="1:21" s="240" customFormat="1" x14ac:dyDescent="0.25">
      <c r="A15" s="1085" t="s">
        <v>867</v>
      </c>
      <c r="B15" s="273">
        <v>0</v>
      </c>
      <c r="C15" s="273">
        <v>0</v>
      </c>
      <c r="D15" s="273">
        <v>0</v>
      </c>
      <c r="E15" s="273">
        <v>0</v>
      </c>
      <c r="F15" s="273">
        <v>0</v>
      </c>
      <c r="G15" s="273">
        <v>0</v>
      </c>
      <c r="H15" s="1088"/>
      <c r="I15" s="273">
        <v>0</v>
      </c>
      <c r="J15" s="273">
        <v>0</v>
      </c>
      <c r="K15" s="273">
        <v>0</v>
      </c>
      <c r="L15" s="273">
        <v>0</v>
      </c>
      <c r="M15" s="273">
        <v>0</v>
      </c>
      <c r="N15" s="273">
        <v>0</v>
      </c>
      <c r="O15" s="1088"/>
      <c r="P15" s="273">
        <v>0</v>
      </c>
      <c r="Q15" s="273">
        <v>0</v>
      </c>
      <c r="R15" s="273">
        <v>0</v>
      </c>
      <c r="S15" s="273">
        <v>0</v>
      </c>
      <c r="T15" s="273">
        <v>0</v>
      </c>
      <c r="U15" s="273">
        <v>0</v>
      </c>
    </row>
    <row r="16" spans="1:21" s="240" customFormat="1" x14ac:dyDescent="0.25">
      <c r="A16" s="1085" t="s">
        <v>1892</v>
      </c>
      <c r="B16" s="275">
        <f>ROUND((B14+B15)*0.02,0)</f>
        <v>56</v>
      </c>
      <c r="C16" s="275">
        <f t="shared" ref="C16:U16" si="5">ROUND((C14+C15)*0.02,0)</f>
        <v>56</v>
      </c>
      <c r="D16" s="275">
        <f t="shared" si="5"/>
        <v>56</v>
      </c>
      <c r="E16" s="275">
        <f t="shared" si="5"/>
        <v>56</v>
      </c>
      <c r="F16" s="275">
        <f t="shared" si="5"/>
        <v>56</v>
      </c>
      <c r="G16" s="275">
        <f t="shared" si="5"/>
        <v>48</v>
      </c>
      <c r="H16" s="1089"/>
      <c r="I16" s="275">
        <f t="shared" si="5"/>
        <v>59</v>
      </c>
      <c r="J16" s="275">
        <f t="shared" si="5"/>
        <v>59</v>
      </c>
      <c r="K16" s="275">
        <f t="shared" si="5"/>
        <v>59</v>
      </c>
      <c r="L16" s="275">
        <f t="shared" si="5"/>
        <v>59</v>
      </c>
      <c r="M16" s="275">
        <f t="shared" si="5"/>
        <v>59</v>
      </c>
      <c r="N16" s="275">
        <f t="shared" si="5"/>
        <v>51</v>
      </c>
      <c r="O16" s="1089"/>
      <c r="P16" s="275">
        <f t="shared" si="5"/>
        <v>61</v>
      </c>
      <c r="Q16" s="275">
        <f t="shared" si="5"/>
        <v>61</v>
      </c>
      <c r="R16" s="275">
        <f t="shared" si="5"/>
        <v>61</v>
      </c>
      <c r="S16" s="275">
        <f t="shared" si="5"/>
        <v>61</v>
      </c>
      <c r="T16" s="275">
        <f t="shared" si="5"/>
        <v>61</v>
      </c>
      <c r="U16" s="275">
        <f t="shared" si="5"/>
        <v>53</v>
      </c>
    </row>
    <row r="17" spans="1:21" s="241" customFormat="1" x14ac:dyDescent="0.25">
      <c r="A17" s="314" t="s">
        <v>971</v>
      </c>
      <c r="B17" s="272">
        <f>ROUND(B14+B15+B16,0)</f>
        <v>2853</v>
      </c>
      <c r="C17" s="272">
        <f t="shared" ref="C17:U17" si="6">ROUND(C14+C15+C16,0)</f>
        <v>2853</v>
      </c>
      <c r="D17" s="272">
        <f t="shared" si="6"/>
        <v>2853</v>
      </c>
      <c r="E17" s="272">
        <f t="shared" si="6"/>
        <v>2853</v>
      </c>
      <c r="F17" s="272">
        <f t="shared" si="6"/>
        <v>2853</v>
      </c>
      <c r="G17" s="272">
        <f t="shared" si="6"/>
        <v>2445</v>
      </c>
      <c r="H17" s="1091"/>
      <c r="I17" s="272">
        <f t="shared" si="6"/>
        <v>3011</v>
      </c>
      <c r="J17" s="272">
        <f t="shared" si="6"/>
        <v>3011</v>
      </c>
      <c r="K17" s="272">
        <f t="shared" si="6"/>
        <v>3011</v>
      </c>
      <c r="L17" s="272">
        <f t="shared" si="6"/>
        <v>3011</v>
      </c>
      <c r="M17" s="272">
        <f t="shared" si="6"/>
        <v>3011</v>
      </c>
      <c r="N17" s="272">
        <f t="shared" si="6"/>
        <v>2581</v>
      </c>
      <c r="O17" s="1091"/>
      <c r="P17" s="272">
        <f t="shared" si="6"/>
        <v>3131</v>
      </c>
      <c r="Q17" s="272">
        <f t="shared" si="6"/>
        <v>3131</v>
      </c>
      <c r="R17" s="272">
        <f t="shared" si="6"/>
        <v>3131</v>
      </c>
      <c r="S17" s="272">
        <f t="shared" si="6"/>
        <v>3131</v>
      </c>
      <c r="T17" s="272">
        <f t="shared" si="6"/>
        <v>3131</v>
      </c>
      <c r="U17" s="272">
        <f t="shared" si="6"/>
        <v>2685</v>
      </c>
    </row>
    <row r="18" spans="1:21" s="238" customFormat="1" ht="31.5" x14ac:dyDescent="0.25">
      <c r="A18" s="1082" t="s">
        <v>972</v>
      </c>
      <c r="B18" s="1092">
        <f>1/72</f>
        <v>1.3889E-2</v>
      </c>
      <c r="C18" s="1092">
        <f t="shared" ref="C18:U18" si="7">1/72</f>
        <v>1.3889E-2</v>
      </c>
      <c r="D18" s="1092">
        <f t="shared" si="7"/>
        <v>1.3889E-2</v>
      </c>
      <c r="E18" s="1092">
        <f t="shared" si="7"/>
        <v>1.3889E-2</v>
      </c>
      <c r="F18" s="1092">
        <f t="shared" si="7"/>
        <v>1.3889E-2</v>
      </c>
      <c r="G18" s="1092">
        <f t="shared" si="7"/>
        <v>1.3889E-2</v>
      </c>
      <c r="H18" s="1093"/>
      <c r="I18" s="1092">
        <f t="shared" si="7"/>
        <v>1.3889E-2</v>
      </c>
      <c r="J18" s="1092">
        <f t="shared" si="7"/>
        <v>1.3889E-2</v>
      </c>
      <c r="K18" s="1092">
        <f t="shared" si="7"/>
        <v>1.3889E-2</v>
      </c>
      <c r="L18" s="1092">
        <f t="shared" si="7"/>
        <v>1.3889E-2</v>
      </c>
      <c r="M18" s="1092">
        <f t="shared" si="7"/>
        <v>1.3889E-2</v>
      </c>
      <c r="N18" s="1092">
        <f t="shared" si="7"/>
        <v>1.3889E-2</v>
      </c>
      <c r="O18" s="1093"/>
      <c r="P18" s="1092">
        <f t="shared" si="7"/>
        <v>1.3889E-2</v>
      </c>
      <c r="Q18" s="1092">
        <f t="shared" si="7"/>
        <v>1.3889E-2</v>
      </c>
      <c r="R18" s="1092">
        <f t="shared" si="7"/>
        <v>1.3889E-2</v>
      </c>
      <c r="S18" s="1092">
        <f t="shared" si="7"/>
        <v>1.3889E-2</v>
      </c>
      <c r="T18" s="1092">
        <f t="shared" si="7"/>
        <v>1.3889E-2</v>
      </c>
      <c r="U18" s="1092">
        <f t="shared" si="7"/>
        <v>1.3889E-2</v>
      </c>
    </row>
    <row r="19" spans="1:21" s="240" customFormat="1" x14ac:dyDescent="0.25">
      <c r="A19" s="1085" t="s">
        <v>865</v>
      </c>
      <c r="B19" s="1094">
        <f>B14*B18</f>
        <v>38.85</v>
      </c>
      <c r="C19" s="1094">
        <f t="shared" ref="C19:U19" si="8">C14*C18</f>
        <v>38.85</v>
      </c>
      <c r="D19" s="1094">
        <f t="shared" si="8"/>
        <v>38.85</v>
      </c>
      <c r="E19" s="1094">
        <f t="shared" si="8"/>
        <v>38.85</v>
      </c>
      <c r="F19" s="1094">
        <f t="shared" si="8"/>
        <v>38.85</v>
      </c>
      <c r="G19" s="1094">
        <f t="shared" si="8"/>
        <v>33.29</v>
      </c>
      <c r="H19" s="1095"/>
      <c r="I19" s="1094">
        <f t="shared" si="8"/>
        <v>41</v>
      </c>
      <c r="J19" s="1094">
        <f t="shared" si="8"/>
        <v>41</v>
      </c>
      <c r="K19" s="1094">
        <f t="shared" si="8"/>
        <v>41</v>
      </c>
      <c r="L19" s="1094">
        <f t="shared" si="8"/>
        <v>41</v>
      </c>
      <c r="M19" s="1094">
        <f t="shared" si="8"/>
        <v>41</v>
      </c>
      <c r="N19" s="1094">
        <f t="shared" si="8"/>
        <v>35.14</v>
      </c>
      <c r="O19" s="1095"/>
      <c r="P19" s="1094">
        <f t="shared" si="8"/>
        <v>42.64</v>
      </c>
      <c r="Q19" s="1094">
        <f t="shared" si="8"/>
        <v>42.64</v>
      </c>
      <c r="R19" s="1094">
        <f t="shared" si="8"/>
        <v>42.64</v>
      </c>
      <c r="S19" s="1094">
        <f t="shared" si="8"/>
        <v>42.64</v>
      </c>
      <c r="T19" s="1094">
        <f t="shared" si="8"/>
        <v>42.64</v>
      </c>
      <c r="U19" s="1094">
        <f t="shared" si="8"/>
        <v>36.56</v>
      </c>
    </row>
    <row r="20" spans="1:21" s="240" customFormat="1" x14ac:dyDescent="0.25">
      <c r="A20" s="1085" t="s">
        <v>867</v>
      </c>
      <c r="B20" s="1096">
        <v>0</v>
      </c>
      <c r="C20" s="1096">
        <v>0</v>
      </c>
      <c r="D20" s="1096">
        <v>0</v>
      </c>
      <c r="E20" s="1096">
        <v>0</v>
      </c>
      <c r="F20" s="1096">
        <v>0</v>
      </c>
      <c r="G20" s="1096">
        <v>0</v>
      </c>
      <c r="H20" s="1095"/>
      <c r="I20" s="1096">
        <v>0</v>
      </c>
      <c r="J20" s="1096">
        <v>0</v>
      </c>
      <c r="K20" s="1096">
        <v>0</v>
      </c>
      <c r="L20" s="1096">
        <v>0</v>
      </c>
      <c r="M20" s="1096">
        <v>0</v>
      </c>
      <c r="N20" s="1096">
        <v>0</v>
      </c>
      <c r="O20" s="1095"/>
      <c r="P20" s="1096">
        <v>0</v>
      </c>
      <c r="Q20" s="1096">
        <v>0</v>
      </c>
      <c r="R20" s="1096">
        <v>0</v>
      </c>
      <c r="S20" s="1096">
        <v>0</v>
      </c>
      <c r="T20" s="1096">
        <v>0</v>
      </c>
      <c r="U20" s="1096">
        <v>0</v>
      </c>
    </row>
    <row r="21" spans="1:21" s="240" customFormat="1" x14ac:dyDescent="0.25">
      <c r="A21" s="1085" t="s">
        <v>866</v>
      </c>
      <c r="B21" s="1094">
        <f>B16*B18</f>
        <v>0.78</v>
      </c>
      <c r="C21" s="1094">
        <f t="shared" ref="C21:U21" si="9">C16*C18</f>
        <v>0.78</v>
      </c>
      <c r="D21" s="1094">
        <f t="shared" si="9"/>
        <v>0.78</v>
      </c>
      <c r="E21" s="1094">
        <f t="shared" si="9"/>
        <v>0.78</v>
      </c>
      <c r="F21" s="1094">
        <f t="shared" si="9"/>
        <v>0.78</v>
      </c>
      <c r="G21" s="1094">
        <f t="shared" si="9"/>
        <v>0.67</v>
      </c>
      <c r="H21" s="1095"/>
      <c r="I21" s="1094">
        <f t="shared" si="9"/>
        <v>0.82</v>
      </c>
      <c r="J21" s="1094">
        <f t="shared" si="9"/>
        <v>0.82</v>
      </c>
      <c r="K21" s="1094">
        <f t="shared" si="9"/>
        <v>0.82</v>
      </c>
      <c r="L21" s="1094">
        <f t="shared" si="9"/>
        <v>0.82</v>
      </c>
      <c r="M21" s="1094">
        <f t="shared" si="9"/>
        <v>0.82</v>
      </c>
      <c r="N21" s="1094">
        <f t="shared" si="9"/>
        <v>0.71</v>
      </c>
      <c r="O21" s="1095"/>
      <c r="P21" s="1094">
        <f t="shared" si="9"/>
        <v>0.85</v>
      </c>
      <c r="Q21" s="1094">
        <f t="shared" si="9"/>
        <v>0.85</v>
      </c>
      <c r="R21" s="1094">
        <f t="shared" si="9"/>
        <v>0.85</v>
      </c>
      <c r="S21" s="1094">
        <f t="shared" si="9"/>
        <v>0.85</v>
      </c>
      <c r="T21" s="1094">
        <f t="shared" si="9"/>
        <v>0.85</v>
      </c>
      <c r="U21" s="1094">
        <f t="shared" si="9"/>
        <v>0.74</v>
      </c>
    </row>
    <row r="22" spans="1:21" s="241" customFormat="1" x14ac:dyDescent="0.25">
      <c r="A22" s="1090" t="s">
        <v>1893</v>
      </c>
      <c r="B22" s="1146">
        <f>(B19+B20+B21)</f>
        <v>39.630000000000003</v>
      </c>
      <c r="C22" s="1146">
        <f t="shared" ref="C22:G22" si="10">(C19+C20+C21)</f>
        <v>39.630000000000003</v>
      </c>
      <c r="D22" s="1146">
        <f t="shared" si="10"/>
        <v>39.630000000000003</v>
      </c>
      <c r="E22" s="1146">
        <f t="shared" si="10"/>
        <v>39.630000000000003</v>
      </c>
      <c r="F22" s="1146">
        <f t="shared" si="10"/>
        <v>39.630000000000003</v>
      </c>
      <c r="G22" s="1146">
        <f t="shared" si="10"/>
        <v>33.96</v>
      </c>
      <c r="H22" s="1147"/>
      <c r="I22" s="1146">
        <f t="shared" ref="I22:N22" si="11">(I19+I20+I21)</f>
        <v>41.82</v>
      </c>
      <c r="J22" s="1146">
        <f t="shared" si="11"/>
        <v>41.82</v>
      </c>
      <c r="K22" s="1146">
        <f t="shared" si="11"/>
        <v>41.82</v>
      </c>
      <c r="L22" s="1146">
        <f t="shared" si="11"/>
        <v>41.82</v>
      </c>
      <c r="M22" s="1146">
        <f t="shared" si="11"/>
        <v>41.82</v>
      </c>
      <c r="N22" s="1146">
        <f t="shared" si="11"/>
        <v>35.85</v>
      </c>
      <c r="O22" s="1147"/>
      <c r="P22" s="1146">
        <f t="shared" ref="P22:U22" si="12">(P19+P20+P21)</f>
        <v>43.49</v>
      </c>
      <c r="Q22" s="1146">
        <f t="shared" si="12"/>
        <v>43.49</v>
      </c>
      <c r="R22" s="1146">
        <f t="shared" si="12"/>
        <v>43.49</v>
      </c>
      <c r="S22" s="1146">
        <f t="shared" si="12"/>
        <v>43.49</v>
      </c>
      <c r="T22" s="1146">
        <f t="shared" si="12"/>
        <v>43.49</v>
      </c>
      <c r="U22" s="1146">
        <f t="shared" si="12"/>
        <v>37.299999999999997</v>
      </c>
    </row>
    <row r="23" spans="1:21" s="241" customFormat="1" x14ac:dyDescent="0.25">
      <c r="A23" s="1097" t="s">
        <v>1894</v>
      </c>
      <c r="B23" s="1146">
        <f>B19+B20</f>
        <v>38.85</v>
      </c>
      <c r="C23" s="1146">
        <f t="shared" ref="C23:G23" si="13">C19+C20</f>
        <v>38.85</v>
      </c>
      <c r="D23" s="1146">
        <f t="shared" si="13"/>
        <v>38.85</v>
      </c>
      <c r="E23" s="1146">
        <f t="shared" si="13"/>
        <v>38.85</v>
      </c>
      <c r="F23" s="1146">
        <f t="shared" si="13"/>
        <v>38.85</v>
      </c>
      <c r="G23" s="1146">
        <f t="shared" si="13"/>
        <v>33.29</v>
      </c>
      <c r="H23" s="1147"/>
      <c r="I23" s="1146">
        <f t="shared" ref="I23:N23" si="14">I19+I20</f>
        <v>41</v>
      </c>
      <c r="J23" s="1146">
        <f t="shared" si="14"/>
        <v>41</v>
      </c>
      <c r="K23" s="1146">
        <f t="shared" si="14"/>
        <v>41</v>
      </c>
      <c r="L23" s="1146">
        <f t="shared" si="14"/>
        <v>41</v>
      </c>
      <c r="M23" s="1146">
        <f t="shared" si="14"/>
        <v>41</v>
      </c>
      <c r="N23" s="1146">
        <f t="shared" si="14"/>
        <v>35.14</v>
      </c>
      <c r="O23" s="1147"/>
      <c r="P23" s="1146">
        <f t="shared" ref="P23:U23" si="15">P19+P20</f>
        <v>42.64</v>
      </c>
      <c r="Q23" s="1146">
        <f t="shared" si="15"/>
        <v>42.64</v>
      </c>
      <c r="R23" s="1146">
        <f t="shared" si="15"/>
        <v>42.64</v>
      </c>
      <c r="S23" s="1146">
        <f t="shared" si="15"/>
        <v>42.64</v>
      </c>
      <c r="T23" s="1146">
        <f t="shared" si="15"/>
        <v>42.64</v>
      </c>
      <c r="U23" s="1146">
        <f t="shared" si="15"/>
        <v>36.56</v>
      </c>
    </row>
    <row r="24" spans="1:21" x14ac:dyDescent="0.25">
      <c r="A24" s="1097" t="s">
        <v>1918</v>
      </c>
      <c r="B24" s="1146">
        <f>B22-B23</f>
        <v>0.78</v>
      </c>
      <c r="C24" s="1146">
        <f t="shared" ref="C24:G24" si="16">C22-C23</f>
        <v>0.78</v>
      </c>
      <c r="D24" s="1146">
        <f t="shared" si="16"/>
        <v>0.78</v>
      </c>
      <c r="E24" s="1146">
        <f t="shared" si="16"/>
        <v>0.78</v>
      </c>
      <c r="F24" s="1146">
        <f t="shared" si="16"/>
        <v>0.78</v>
      </c>
      <c r="G24" s="1146">
        <f t="shared" si="16"/>
        <v>0.67</v>
      </c>
      <c r="H24" s="1147"/>
      <c r="I24" s="1146">
        <f t="shared" ref="I24:N24" si="17">I22-I23</f>
        <v>0.82</v>
      </c>
      <c r="J24" s="1146">
        <f t="shared" si="17"/>
        <v>0.82</v>
      </c>
      <c r="K24" s="1146">
        <f t="shared" si="17"/>
        <v>0.82</v>
      </c>
      <c r="L24" s="1146">
        <f t="shared" si="17"/>
        <v>0.82</v>
      </c>
      <c r="M24" s="1146">
        <f t="shared" si="17"/>
        <v>0.82</v>
      </c>
      <c r="N24" s="1146">
        <f t="shared" si="17"/>
        <v>0.71</v>
      </c>
      <c r="O24" s="1147"/>
      <c r="P24" s="1146">
        <f t="shared" ref="P24:U24" si="18">P22-P23</f>
        <v>0.85</v>
      </c>
      <c r="Q24" s="1146">
        <f t="shared" si="18"/>
        <v>0.85</v>
      </c>
      <c r="R24" s="1146">
        <f t="shared" si="18"/>
        <v>0.85</v>
      </c>
      <c r="S24" s="1146">
        <f t="shared" si="18"/>
        <v>0.85</v>
      </c>
      <c r="T24" s="1146">
        <f t="shared" si="18"/>
        <v>0.85</v>
      </c>
      <c r="U24" s="1146">
        <f t="shared" si="18"/>
        <v>0.74</v>
      </c>
    </row>
    <row r="25" spans="1:21" x14ac:dyDescent="0.25">
      <c r="B25" s="236">
        <f>B6/B7/B12*12</f>
        <v>0.11111111111111099</v>
      </c>
    </row>
    <row r="26" spans="1:21" x14ac:dyDescent="0.25">
      <c r="B26" s="1508" t="s">
        <v>1043</v>
      </c>
      <c r="C26" s="1508"/>
      <c r="D26" s="1508"/>
      <c r="E26" s="1508"/>
      <c r="F26" s="1508"/>
      <c r="G26" s="1508"/>
      <c r="H26" s="1134"/>
      <c r="I26" s="1509" t="s">
        <v>1044</v>
      </c>
      <c r="J26" s="1509"/>
      <c r="K26" s="1509"/>
      <c r="L26" s="1509"/>
      <c r="M26" s="1509"/>
      <c r="N26" s="1509"/>
      <c r="O26" s="1137"/>
      <c r="P26" s="1508" t="s">
        <v>1704</v>
      </c>
      <c r="Q26" s="1508"/>
      <c r="R26" s="1508"/>
      <c r="S26" s="1508"/>
      <c r="T26" s="1508"/>
      <c r="U26" s="1508"/>
    </row>
    <row r="27" spans="1:21" ht="44.25" customHeight="1" x14ac:dyDescent="0.25">
      <c r="A27" s="313" t="s">
        <v>954</v>
      </c>
      <c r="B27" s="237" t="s">
        <v>860</v>
      </c>
      <c r="C27" s="237" t="s">
        <v>861</v>
      </c>
      <c r="D27" s="237" t="s">
        <v>862</v>
      </c>
      <c r="E27" s="237" t="s">
        <v>863</v>
      </c>
      <c r="F27" s="237" t="s">
        <v>864</v>
      </c>
      <c r="G27" s="237" t="s">
        <v>852</v>
      </c>
      <c r="H27" s="1075"/>
      <c r="I27" s="237" t="s">
        <v>860</v>
      </c>
      <c r="J27" s="237" t="s">
        <v>861</v>
      </c>
      <c r="K27" s="237" t="s">
        <v>862</v>
      </c>
      <c r="L27" s="237" t="s">
        <v>863</v>
      </c>
      <c r="M27" s="237" t="s">
        <v>864</v>
      </c>
      <c r="N27" s="237" t="s">
        <v>852</v>
      </c>
      <c r="O27" s="1075"/>
      <c r="P27" s="237" t="s">
        <v>860</v>
      </c>
      <c r="Q27" s="237" t="s">
        <v>861</v>
      </c>
      <c r="R27" s="237" t="s">
        <v>862</v>
      </c>
      <c r="S27" s="237" t="s">
        <v>863</v>
      </c>
      <c r="T27" s="237" t="s">
        <v>864</v>
      </c>
      <c r="U27" s="237" t="s">
        <v>852</v>
      </c>
    </row>
    <row r="28" spans="1:21" x14ac:dyDescent="0.2">
      <c r="A28" s="251" t="s">
        <v>873</v>
      </c>
      <c r="B28" s="1138">
        <f t="shared" ref="B28:U28" si="19">B21/B32</f>
        <v>7.3557099999999994E-5</v>
      </c>
      <c r="C28" s="1138">
        <f t="shared" si="19"/>
        <v>7.3557099999999994E-5</v>
      </c>
      <c r="D28" s="1138">
        <f t="shared" si="19"/>
        <v>7.3557099999999994E-5</v>
      </c>
      <c r="E28" s="1138">
        <f t="shared" si="19"/>
        <v>7.3557099999999994E-5</v>
      </c>
      <c r="F28" s="1138">
        <f t="shared" si="19"/>
        <v>7.3557099999999994E-5</v>
      </c>
      <c r="G28" s="1138">
        <f t="shared" si="19"/>
        <v>6.3183700000000003E-5</v>
      </c>
      <c r="H28" s="1139"/>
      <c r="I28" s="1138">
        <f t="shared" si="19"/>
        <v>7.7329299999999998E-5</v>
      </c>
      <c r="J28" s="1138">
        <f t="shared" si="19"/>
        <v>7.7329299999999998E-5</v>
      </c>
      <c r="K28" s="1138">
        <f t="shared" si="19"/>
        <v>7.7329299999999998E-5</v>
      </c>
      <c r="L28" s="1138">
        <f t="shared" si="19"/>
        <v>7.7329299999999998E-5</v>
      </c>
      <c r="M28" s="1138">
        <f t="shared" si="19"/>
        <v>7.7329299999999998E-5</v>
      </c>
      <c r="N28" s="1138">
        <f t="shared" si="19"/>
        <v>6.6955899999999994E-5</v>
      </c>
      <c r="O28" s="1139"/>
      <c r="P28" s="1138">
        <f t="shared" si="19"/>
        <v>8.0158400000000002E-5</v>
      </c>
      <c r="Q28" s="1138">
        <f t="shared" si="19"/>
        <v>8.0158400000000002E-5</v>
      </c>
      <c r="R28" s="1138">
        <f t="shared" si="19"/>
        <v>8.0158400000000002E-5</v>
      </c>
      <c r="S28" s="1138">
        <f t="shared" si="19"/>
        <v>8.0158400000000002E-5</v>
      </c>
      <c r="T28" s="1138">
        <f t="shared" si="19"/>
        <v>8.0158400000000002E-5</v>
      </c>
      <c r="U28" s="1138">
        <f t="shared" si="19"/>
        <v>6.9784999999999997E-5</v>
      </c>
    </row>
    <row r="29" spans="1:21" ht="39.75" x14ac:dyDescent="0.3">
      <c r="A29" s="251" t="s">
        <v>874</v>
      </c>
      <c r="B29" s="1148">
        <f>B33*B28</f>
        <v>0.69</v>
      </c>
      <c r="C29" s="1148">
        <f t="shared" ref="C29:D29" si="20">C33*C28</f>
        <v>0.69</v>
      </c>
      <c r="D29" s="1148">
        <f t="shared" si="20"/>
        <v>0.69</v>
      </c>
      <c r="E29" s="1148">
        <f>E33*E28</f>
        <v>0.69</v>
      </c>
      <c r="F29" s="1148">
        <f t="shared" ref="F29:G29" si="21">F33*F28</f>
        <v>0.69</v>
      </c>
      <c r="G29" s="1148">
        <f t="shared" si="21"/>
        <v>0.6</v>
      </c>
      <c r="H29" s="1149"/>
      <c r="I29" s="1148">
        <f>I33*I28</f>
        <v>0.73</v>
      </c>
      <c r="J29" s="1148">
        <f t="shared" ref="J29" si="22">J33*J28</f>
        <v>0.73</v>
      </c>
      <c r="K29" s="1148">
        <f t="shared" ref="K29" si="23">K33*K28</f>
        <v>0.73</v>
      </c>
      <c r="L29" s="1148">
        <f>L33*L28</f>
        <v>0.73</v>
      </c>
      <c r="M29" s="1148">
        <f t="shared" ref="M29" si="24">M33*M28</f>
        <v>0.73</v>
      </c>
      <c r="N29" s="1148">
        <f t="shared" ref="N29" si="25">N33*N28</f>
        <v>0.63</v>
      </c>
      <c r="O29" s="1149"/>
      <c r="P29" s="1148">
        <f>P33*P28</f>
        <v>0.76</v>
      </c>
      <c r="Q29" s="1148">
        <f t="shared" ref="Q29" si="26">Q33*Q28</f>
        <v>0.76</v>
      </c>
      <c r="R29" s="1148">
        <f t="shared" ref="R29" si="27">R33*R28</f>
        <v>0.76</v>
      </c>
      <c r="S29" s="1148">
        <f>S33*S28</f>
        <v>0.76</v>
      </c>
      <c r="T29" s="1148">
        <f t="shared" ref="T29" si="28">T33*T28</f>
        <v>0.76</v>
      </c>
      <c r="U29" s="1148">
        <f t="shared" ref="U29" si="29">U33*U28</f>
        <v>0.66</v>
      </c>
    </row>
    <row r="30" spans="1:21" ht="27" x14ac:dyDescent="0.3">
      <c r="A30" s="251" t="s">
        <v>875</v>
      </c>
      <c r="B30" s="1148">
        <f>B34*B28</f>
        <v>0.09</v>
      </c>
      <c r="C30" s="1148">
        <f t="shared" ref="C30:D30" si="30">C34*C28</f>
        <v>0.09</v>
      </c>
      <c r="D30" s="1148">
        <f t="shared" si="30"/>
        <v>0.09</v>
      </c>
      <c r="E30" s="1148">
        <f>E34*E28</f>
        <v>0.09</v>
      </c>
      <c r="F30" s="1148">
        <f t="shared" ref="F30:G30" si="31">F34*F28</f>
        <v>0.09</v>
      </c>
      <c r="G30" s="1148">
        <f t="shared" si="31"/>
        <v>7.0000000000000007E-2</v>
      </c>
      <c r="H30" s="1149"/>
      <c r="I30" s="1148">
        <f>I34*I28</f>
        <v>0.09</v>
      </c>
      <c r="J30" s="1148">
        <f t="shared" ref="J30:K30" si="32">J34*J28</f>
        <v>0.09</v>
      </c>
      <c r="K30" s="1148">
        <f t="shared" si="32"/>
        <v>0.09</v>
      </c>
      <c r="L30" s="1148">
        <f>L34*L28</f>
        <v>0.09</v>
      </c>
      <c r="M30" s="1148">
        <f t="shared" ref="M30:N30" si="33">M34*M28</f>
        <v>0.09</v>
      </c>
      <c r="N30" s="1148">
        <f t="shared" si="33"/>
        <v>0.08</v>
      </c>
      <c r="O30" s="1149"/>
      <c r="P30" s="1148">
        <f>P34*P28</f>
        <v>0.09</v>
      </c>
      <c r="Q30" s="1148">
        <f t="shared" ref="Q30:R30" si="34">Q34*Q28</f>
        <v>0.09</v>
      </c>
      <c r="R30" s="1148">
        <f t="shared" si="34"/>
        <v>0.09</v>
      </c>
      <c r="S30" s="1148">
        <f>S34*S28</f>
        <v>0.09</v>
      </c>
      <c r="T30" s="1148">
        <f t="shared" ref="T30:U30" si="35">T34*T28</f>
        <v>0.09</v>
      </c>
      <c r="U30" s="1148">
        <f t="shared" si="35"/>
        <v>0.08</v>
      </c>
    </row>
    <row r="31" spans="1:21" x14ac:dyDescent="0.25">
      <c r="A31" s="252" t="s">
        <v>467</v>
      </c>
      <c r="B31" s="1150">
        <f t="shared" ref="B31:U31" si="36">B21-B29-B30</f>
        <v>0</v>
      </c>
      <c r="C31" s="1150">
        <f t="shared" si="36"/>
        <v>0</v>
      </c>
      <c r="D31" s="1150">
        <f t="shared" si="36"/>
        <v>0</v>
      </c>
      <c r="E31" s="1150">
        <f t="shared" si="36"/>
        <v>0</v>
      </c>
      <c r="F31" s="1150">
        <f t="shared" si="36"/>
        <v>0</v>
      </c>
      <c r="G31" s="1150">
        <f t="shared" si="36"/>
        <v>0</v>
      </c>
      <c r="H31" s="1151"/>
      <c r="I31" s="1150">
        <f t="shared" si="36"/>
        <v>0</v>
      </c>
      <c r="J31" s="1150">
        <f t="shared" si="36"/>
        <v>0</v>
      </c>
      <c r="K31" s="1150">
        <f t="shared" si="36"/>
        <v>0</v>
      </c>
      <c r="L31" s="1150">
        <f t="shared" si="36"/>
        <v>0</v>
      </c>
      <c r="M31" s="1150">
        <f t="shared" si="36"/>
        <v>0</v>
      </c>
      <c r="N31" s="1150">
        <f t="shared" si="36"/>
        <v>0</v>
      </c>
      <c r="O31" s="1151"/>
      <c r="P31" s="1150">
        <f t="shared" si="36"/>
        <v>0</v>
      </c>
      <c r="Q31" s="1150">
        <f t="shared" si="36"/>
        <v>0</v>
      </c>
      <c r="R31" s="1150">
        <f t="shared" si="36"/>
        <v>0</v>
      </c>
      <c r="S31" s="1150">
        <f t="shared" si="36"/>
        <v>0</v>
      </c>
      <c r="T31" s="1150">
        <f t="shared" si="36"/>
        <v>0</v>
      </c>
      <c r="U31" s="1150">
        <f t="shared" si="36"/>
        <v>0</v>
      </c>
    </row>
    <row r="32" spans="1:21" ht="18.75" x14ac:dyDescent="0.3">
      <c r="A32" s="253" t="s">
        <v>886</v>
      </c>
      <c r="B32" s="242">
        <f>B33+B34</f>
        <v>10604</v>
      </c>
      <c r="C32" s="242">
        <f t="shared" ref="C32:D32" si="37">C33+C34</f>
        <v>10604</v>
      </c>
      <c r="D32" s="242">
        <f t="shared" si="37"/>
        <v>10604</v>
      </c>
      <c r="E32" s="242">
        <f>E33+E34</f>
        <v>10604</v>
      </c>
      <c r="F32" s="242">
        <f t="shared" ref="F32:G32" si="38">F33+F34</f>
        <v>10604</v>
      </c>
      <c r="G32" s="242">
        <f t="shared" si="38"/>
        <v>10604</v>
      </c>
      <c r="H32" s="1135"/>
      <c r="I32" s="242">
        <f>I33+I34</f>
        <v>10604</v>
      </c>
      <c r="J32" s="242">
        <f t="shared" ref="J32" si="39">J33+J34</f>
        <v>10604</v>
      </c>
      <c r="K32" s="242">
        <f t="shared" ref="K32" si="40">K33+K34</f>
        <v>10604</v>
      </c>
      <c r="L32" s="242">
        <f>L33+L34</f>
        <v>10604</v>
      </c>
      <c r="M32" s="242">
        <f t="shared" ref="M32" si="41">M33+M34</f>
        <v>10604</v>
      </c>
      <c r="N32" s="242">
        <f t="shared" ref="N32" si="42">N33+N34</f>
        <v>10604</v>
      </c>
      <c r="O32" s="1135"/>
      <c r="P32" s="242">
        <f>P33+P34</f>
        <v>10604</v>
      </c>
      <c r="Q32" s="242">
        <f t="shared" ref="Q32" si="43">Q33+Q34</f>
        <v>10604</v>
      </c>
      <c r="R32" s="242">
        <f t="shared" ref="R32" si="44">R33+R34</f>
        <v>10604</v>
      </c>
      <c r="S32" s="242">
        <f>S33+S34</f>
        <v>10604</v>
      </c>
      <c r="T32" s="242">
        <f t="shared" ref="T32" si="45">T33+T34</f>
        <v>10604</v>
      </c>
      <c r="U32" s="242">
        <f t="shared" ref="U32" si="46">U33+U34</f>
        <v>10604</v>
      </c>
    </row>
    <row r="33" spans="1:23" ht="39.75" x14ac:dyDescent="0.3">
      <c r="A33" s="251" t="s">
        <v>874</v>
      </c>
      <c r="B33" s="312">
        <f>'3.9.расчет прочих'!L250</f>
        <v>9428</v>
      </c>
      <c r="C33" s="312">
        <f>'3.9.расчет прочих'!L250</f>
        <v>9428</v>
      </c>
      <c r="D33" s="312">
        <f>'3.9.расчет прочих'!L250</f>
        <v>9428</v>
      </c>
      <c r="E33" s="312">
        <f>'3.9.расчет прочих'!L250</f>
        <v>9428</v>
      </c>
      <c r="F33" s="312">
        <f>'3.9.расчет прочих'!L250</f>
        <v>9428</v>
      </c>
      <c r="G33" s="312">
        <f>'3.9.расчет прочих'!L250</f>
        <v>9428</v>
      </c>
      <c r="H33" s="1136"/>
      <c r="I33" s="312">
        <f>'3.9.расчет прочих'!L250</f>
        <v>9428</v>
      </c>
      <c r="J33" s="312">
        <f>'3.9.расчет прочих'!L250</f>
        <v>9428</v>
      </c>
      <c r="K33" s="312">
        <f>'3.9.расчет прочих'!L250</f>
        <v>9428</v>
      </c>
      <c r="L33" s="312">
        <f>'3.9.расчет прочих'!L250</f>
        <v>9428</v>
      </c>
      <c r="M33" s="312">
        <f>'3.9.расчет прочих'!L250</f>
        <v>9428</v>
      </c>
      <c r="N33" s="312">
        <f>'3.9.расчет прочих'!L250</f>
        <v>9428</v>
      </c>
      <c r="O33" s="1136"/>
      <c r="P33" s="312">
        <f>'3.9.расчет прочих'!L250</f>
        <v>9428</v>
      </c>
      <c r="Q33" s="312">
        <f>'3.9.расчет прочих'!L250</f>
        <v>9428</v>
      </c>
      <c r="R33" s="312">
        <f>'3.9.расчет прочих'!L250</f>
        <v>9428</v>
      </c>
      <c r="S33" s="312">
        <f>'3.9.расчет прочих'!L250</f>
        <v>9428</v>
      </c>
      <c r="T33" s="312">
        <f>'3.9.расчет прочих'!L250</f>
        <v>9428</v>
      </c>
      <c r="U33" s="312">
        <f>'3.9.расчет прочих'!L250</f>
        <v>9428</v>
      </c>
    </row>
    <row r="34" spans="1:23" ht="27" x14ac:dyDescent="0.3">
      <c r="A34" s="251" t="s">
        <v>875</v>
      </c>
      <c r="B34" s="312">
        <f>'3.9.расчет прочих'!L251</f>
        <v>1176</v>
      </c>
      <c r="C34" s="312">
        <f>'3.9.расчет прочих'!L251</f>
        <v>1176</v>
      </c>
      <c r="D34" s="312">
        <f>'3.9.расчет прочих'!L251</f>
        <v>1176</v>
      </c>
      <c r="E34" s="312">
        <f>'3.9.расчет прочих'!L251</f>
        <v>1176</v>
      </c>
      <c r="F34" s="312">
        <f>'3.9.расчет прочих'!L251</f>
        <v>1176</v>
      </c>
      <c r="G34" s="312">
        <f>'3.9.расчет прочих'!L251</f>
        <v>1176</v>
      </c>
      <c r="H34" s="1136"/>
      <c r="I34" s="312">
        <f>'3.9.расчет прочих'!L251</f>
        <v>1176</v>
      </c>
      <c r="J34" s="312">
        <f>'3.9.расчет прочих'!L251</f>
        <v>1176</v>
      </c>
      <c r="K34" s="312">
        <f>'3.9.расчет прочих'!L251</f>
        <v>1176</v>
      </c>
      <c r="L34" s="312">
        <f>'3.9.расчет прочих'!L251</f>
        <v>1176</v>
      </c>
      <c r="M34" s="312">
        <f>'3.9.расчет прочих'!L251</f>
        <v>1176</v>
      </c>
      <c r="N34" s="312">
        <f>'3.9.расчет прочих'!L251</f>
        <v>1176</v>
      </c>
      <c r="O34" s="1136"/>
      <c r="P34" s="312">
        <f>'3.9.расчет прочих'!L251</f>
        <v>1176</v>
      </c>
      <c r="Q34" s="312">
        <f>'3.9.расчет прочих'!L251</f>
        <v>1176</v>
      </c>
      <c r="R34" s="312">
        <f>'3.9.расчет прочих'!L251</f>
        <v>1176</v>
      </c>
      <c r="S34" s="312">
        <f>'3.9.расчет прочих'!L251</f>
        <v>1176</v>
      </c>
      <c r="T34" s="312">
        <f>'3.9.расчет прочих'!L251</f>
        <v>1176</v>
      </c>
      <c r="U34" s="312">
        <f>'3.9.расчет прочих'!L251</f>
        <v>1176</v>
      </c>
    </row>
    <row r="35" spans="1:23" x14ac:dyDescent="0.25">
      <c r="A35" s="1093"/>
      <c r="B35" s="1093"/>
      <c r="C35" s="1093"/>
      <c r="D35" s="1093"/>
      <c r="E35" s="1093"/>
      <c r="F35" s="1093"/>
      <c r="G35" s="1093"/>
      <c r="H35" s="1093"/>
      <c r="I35" s="1093"/>
      <c r="J35" s="1093"/>
      <c r="K35" s="1093"/>
      <c r="L35" s="1093"/>
      <c r="M35" s="1093"/>
      <c r="N35" s="1093"/>
      <c r="O35" s="1093"/>
      <c r="P35" s="1093"/>
      <c r="Q35" s="1093"/>
      <c r="R35" s="1093"/>
      <c r="S35" s="1093"/>
      <c r="T35" s="1093"/>
      <c r="U35" s="1093"/>
      <c r="W35" s="1360" t="s">
        <v>282</v>
      </c>
    </row>
    <row r="36" spans="1:23" x14ac:dyDescent="0.25">
      <c r="A36" s="1140"/>
      <c r="B36" s="1141" t="s">
        <v>942</v>
      </c>
      <c r="C36" s="1141" t="s">
        <v>943</v>
      </c>
      <c r="D36" s="1141" t="s">
        <v>944</v>
      </c>
      <c r="E36" s="1142" t="s">
        <v>467</v>
      </c>
      <c r="F36" s="1093"/>
      <c r="G36" s="1093"/>
      <c r="H36" s="1093"/>
      <c r="I36" s="1141" t="s">
        <v>942</v>
      </c>
      <c r="J36" s="1141" t="s">
        <v>943</v>
      </c>
      <c r="K36" s="1141" t="s">
        <v>944</v>
      </c>
      <c r="L36" s="1142" t="s">
        <v>467</v>
      </c>
      <c r="M36" s="1093"/>
      <c r="N36" s="1093"/>
      <c r="O36" s="1093"/>
      <c r="P36" s="1141" t="s">
        <v>942</v>
      </c>
      <c r="Q36" s="1141" t="s">
        <v>943</v>
      </c>
      <c r="R36" s="1141" t="s">
        <v>944</v>
      </c>
      <c r="S36" s="1142" t="s">
        <v>467</v>
      </c>
      <c r="T36" s="1093"/>
      <c r="U36" s="1093"/>
      <c r="W36" s="1361"/>
    </row>
    <row r="37" spans="1:23" ht="25.5" x14ac:dyDescent="0.25">
      <c r="A37" s="69" t="s">
        <v>601</v>
      </c>
      <c r="B37" s="1141"/>
      <c r="C37" s="1141"/>
      <c r="D37" s="1141"/>
      <c r="E37" s="1093"/>
      <c r="F37" s="1093"/>
      <c r="G37" s="1093"/>
      <c r="H37" s="1093"/>
      <c r="I37" s="1141"/>
      <c r="J37" s="1141"/>
      <c r="K37" s="1141"/>
      <c r="L37" s="1093"/>
      <c r="M37" s="1093"/>
      <c r="N37" s="1093"/>
      <c r="O37" s="1093"/>
      <c r="P37" s="1141"/>
      <c r="Q37" s="1141"/>
      <c r="R37" s="1141"/>
      <c r="S37" s="1093"/>
      <c r="T37" s="1093"/>
      <c r="U37" s="1093"/>
      <c r="W37" s="1264" t="s">
        <v>2232</v>
      </c>
    </row>
    <row r="38" spans="1:23" x14ac:dyDescent="0.25">
      <c r="A38" s="12" t="s">
        <v>456</v>
      </c>
      <c r="B38" s="1143">
        <f>(B19+B20)</f>
        <v>38.85</v>
      </c>
      <c r="C38" s="1143">
        <f>B29</f>
        <v>0.69</v>
      </c>
      <c r="D38" s="1143">
        <f>B30</f>
        <v>0.09</v>
      </c>
      <c r="E38" s="1144">
        <f>B22-B38-C38-D38</f>
        <v>0</v>
      </c>
      <c r="F38" s="1145"/>
      <c r="G38" s="1145"/>
      <c r="H38" s="1145"/>
      <c r="I38" s="1143">
        <f>(I19+I20)</f>
        <v>41</v>
      </c>
      <c r="J38" s="1143">
        <f>I29</f>
        <v>0.73</v>
      </c>
      <c r="K38" s="1143">
        <f>I30</f>
        <v>0.09</v>
      </c>
      <c r="L38" s="1144">
        <f>I22-I38-J38-K38</f>
        <v>0</v>
      </c>
      <c r="M38" s="1145"/>
      <c r="N38" s="1145"/>
      <c r="O38" s="1145"/>
      <c r="P38" s="1143">
        <f>(P19+P20)</f>
        <v>42.64</v>
      </c>
      <c r="Q38" s="1143">
        <f>P29</f>
        <v>0.76</v>
      </c>
      <c r="R38" s="1143">
        <f>P30</f>
        <v>0.09</v>
      </c>
      <c r="S38" s="1144">
        <f>P22-P38-Q38-R38</f>
        <v>0</v>
      </c>
      <c r="T38" s="1093"/>
      <c r="U38" s="1093"/>
      <c r="W38" s="201">
        <f>247*(B6/B7)/B12</f>
        <v>2.29</v>
      </c>
    </row>
    <row r="39" spans="1:23" x14ac:dyDescent="0.25">
      <c r="A39" s="12" t="s">
        <v>457</v>
      </c>
      <c r="B39" s="1143">
        <f>(C19+C20)</f>
        <v>38.85</v>
      </c>
      <c r="C39" s="1143">
        <f>D29</f>
        <v>0.69</v>
      </c>
      <c r="D39" s="1143">
        <f>C30</f>
        <v>0.09</v>
      </c>
      <c r="E39" s="1144">
        <f>C22-B39-C39-D39</f>
        <v>0</v>
      </c>
      <c r="F39" s="1145"/>
      <c r="G39" s="1145"/>
      <c r="H39" s="1145"/>
      <c r="I39" s="1143">
        <f>(J19+J20)</f>
        <v>41</v>
      </c>
      <c r="J39" s="1143">
        <f>K29</f>
        <v>0.73</v>
      </c>
      <c r="K39" s="1143">
        <f>J30</f>
        <v>0.09</v>
      </c>
      <c r="L39" s="1144">
        <f>J22-I39-J39-K39</f>
        <v>0</v>
      </c>
      <c r="M39" s="1145"/>
      <c r="N39" s="1145"/>
      <c r="O39" s="1145"/>
      <c r="P39" s="1143">
        <f>(Q19+Q20)</f>
        <v>42.64</v>
      </c>
      <c r="Q39" s="1143">
        <f>R29</f>
        <v>0.76</v>
      </c>
      <c r="R39" s="1143">
        <f>Q30</f>
        <v>0.09</v>
      </c>
      <c r="S39" s="1144">
        <f>Q22-P39-Q39-R39</f>
        <v>0</v>
      </c>
      <c r="T39" s="1093"/>
      <c r="U39" s="1093"/>
      <c r="W39" s="201">
        <f>247*(C6/C7)/C12</f>
        <v>2.29</v>
      </c>
    </row>
    <row r="40" spans="1:23" x14ac:dyDescent="0.25">
      <c r="A40" s="12" t="s">
        <v>471</v>
      </c>
      <c r="B40" s="1143">
        <f>(G19+G20)</f>
        <v>33.29</v>
      </c>
      <c r="C40" s="1143">
        <f>G29</f>
        <v>0.6</v>
      </c>
      <c r="D40" s="1143">
        <f>G30</f>
        <v>7.0000000000000007E-2</v>
      </c>
      <c r="E40" s="1144">
        <f>G22-B40-C40-D40</f>
        <v>0</v>
      </c>
      <c r="F40" s="1145"/>
      <c r="G40" s="1145"/>
      <c r="H40" s="1145"/>
      <c r="I40" s="1143">
        <f>(N19+N20)</f>
        <v>35.14</v>
      </c>
      <c r="J40" s="1143">
        <f>N29</f>
        <v>0.63</v>
      </c>
      <c r="K40" s="1143">
        <f>N30</f>
        <v>0.08</v>
      </c>
      <c r="L40" s="1144">
        <f>N22-I40-J40-K40</f>
        <v>0</v>
      </c>
      <c r="M40" s="1145"/>
      <c r="N40" s="1145"/>
      <c r="O40" s="1145"/>
      <c r="P40" s="1143">
        <f>(U19+U20)</f>
        <v>36.56</v>
      </c>
      <c r="Q40" s="1143">
        <f>U29</f>
        <v>0.66</v>
      </c>
      <c r="R40" s="1143">
        <f>U30</f>
        <v>0.08</v>
      </c>
      <c r="S40" s="1144">
        <f>U22-P40-Q40-R40</f>
        <v>0</v>
      </c>
      <c r="T40" s="1093"/>
      <c r="U40" s="1093"/>
      <c r="W40" s="201">
        <f>247*G6/G7/G12</f>
        <v>1.96</v>
      </c>
    </row>
    <row r="41" spans="1:23" x14ac:dyDescent="0.25">
      <c r="A41" s="12" t="s">
        <v>458</v>
      </c>
      <c r="B41" s="1143">
        <f>(F19+F20)</f>
        <v>38.85</v>
      </c>
      <c r="C41" s="1143">
        <f>F29</f>
        <v>0.69</v>
      </c>
      <c r="D41" s="1143">
        <f>F30</f>
        <v>0.09</v>
      </c>
      <c r="E41" s="1144">
        <f>F22-B41-C41-D41</f>
        <v>0</v>
      </c>
      <c r="F41" s="1145"/>
      <c r="G41" s="1145"/>
      <c r="H41" s="1145"/>
      <c r="I41" s="1143">
        <f>(M19+M20)</f>
        <v>41</v>
      </c>
      <c r="J41" s="1143">
        <f>M29</f>
        <v>0.73</v>
      </c>
      <c r="K41" s="1143">
        <f>M30</f>
        <v>0.09</v>
      </c>
      <c r="L41" s="1144">
        <f>M22-I41-J41-K41</f>
        <v>0</v>
      </c>
      <c r="M41" s="1145"/>
      <c r="N41" s="1145"/>
      <c r="O41" s="1145"/>
      <c r="P41" s="1143">
        <f>(T19+T20)</f>
        <v>42.64</v>
      </c>
      <c r="Q41" s="1143">
        <f>T29</f>
        <v>0.76</v>
      </c>
      <c r="R41" s="1143">
        <f>T30</f>
        <v>0.09</v>
      </c>
      <c r="S41" s="1144">
        <f>T22-P41-Q41-R41</f>
        <v>0</v>
      </c>
      <c r="T41" s="1093"/>
      <c r="U41" s="1093"/>
      <c r="W41" s="201">
        <f>247*F6/F7/F12</f>
        <v>2.29</v>
      </c>
    </row>
    <row r="42" spans="1:23" x14ac:dyDescent="0.25">
      <c r="A42" s="12" t="s">
        <v>459</v>
      </c>
      <c r="B42" s="1143">
        <f>(D19+D20)</f>
        <v>38.85</v>
      </c>
      <c r="C42" s="1143">
        <f>D29</f>
        <v>0.69</v>
      </c>
      <c r="D42" s="1143">
        <f>D30</f>
        <v>0.09</v>
      </c>
      <c r="E42" s="1144">
        <f>D22-B42-C42-D42</f>
        <v>0</v>
      </c>
      <c r="F42" s="1145"/>
      <c r="G42" s="1145"/>
      <c r="H42" s="1145"/>
      <c r="I42" s="1143">
        <f>(K19+K20)</f>
        <v>41</v>
      </c>
      <c r="J42" s="1143">
        <f>K29</f>
        <v>0.73</v>
      </c>
      <c r="K42" s="1143">
        <f>K30</f>
        <v>0.09</v>
      </c>
      <c r="L42" s="1144">
        <f>K22-I42-J42-K42</f>
        <v>0</v>
      </c>
      <c r="M42" s="1145"/>
      <c r="N42" s="1145"/>
      <c r="O42" s="1145"/>
      <c r="P42" s="1143">
        <f>(R19+R20)</f>
        <v>42.64</v>
      </c>
      <c r="Q42" s="1143">
        <f>R29</f>
        <v>0.76</v>
      </c>
      <c r="R42" s="1143">
        <f>R30</f>
        <v>0.09</v>
      </c>
      <c r="S42" s="1144">
        <f>R22-P42-Q42-R42</f>
        <v>0</v>
      </c>
      <c r="T42" s="1093"/>
      <c r="U42" s="1093"/>
      <c r="W42" s="201">
        <f>247*D6/D7/D12</f>
        <v>2.29</v>
      </c>
    </row>
    <row r="43" spans="1:23" x14ac:dyDescent="0.25">
      <c r="A43" s="12" t="s">
        <v>460</v>
      </c>
      <c r="B43" s="1143">
        <f>(E19+E20)</f>
        <v>38.85</v>
      </c>
      <c r="C43" s="1143">
        <f>E29</f>
        <v>0.69</v>
      </c>
      <c r="D43" s="1143">
        <f>E30</f>
        <v>0.09</v>
      </c>
      <c r="E43" s="1144">
        <f>E22-B43-C43-D43</f>
        <v>0</v>
      </c>
      <c r="F43" s="1145"/>
      <c r="G43" s="1145"/>
      <c r="H43" s="1145"/>
      <c r="I43" s="1143">
        <f>(L19+L20)</f>
        <v>41</v>
      </c>
      <c r="J43" s="1143">
        <f>L29</f>
        <v>0.73</v>
      </c>
      <c r="K43" s="1143">
        <f>L30</f>
        <v>0.09</v>
      </c>
      <c r="L43" s="1144">
        <f>L22-I43-J43-K43</f>
        <v>0</v>
      </c>
      <c r="M43" s="1145"/>
      <c r="N43" s="1145"/>
      <c r="O43" s="1145"/>
      <c r="P43" s="1143">
        <f>(S19+S20)</f>
        <v>42.64</v>
      </c>
      <c r="Q43" s="1143">
        <f>S29</f>
        <v>0.76</v>
      </c>
      <c r="R43" s="1143">
        <f>S30</f>
        <v>0.09</v>
      </c>
      <c r="S43" s="1144">
        <f>S22-P43-Q43-R43</f>
        <v>0</v>
      </c>
      <c r="T43" s="1093"/>
      <c r="U43" s="1093"/>
      <c r="W43" s="201">
        <f>247*E6/E7/E12</f>
        <v>2.29</v>
      </c>
    </row>
  </sheetData>
  <mergeCells count="10">
    <mergeCell ref="W35:W36"/>
    <mergeCell ref="A3:A4"/>
    <mergeCell ref="A2:U2"/>
    <mergeCell ref="E1:U1"/>
    <mergeCell ref="P26:U26"/>
    <mergeCell ref="B26:G26"/>
    <mergeCell ref="I26:N26"/>
    <mergeCell ref="B3:G3"/>
    <mergeCell ref="I3:N3"/>
    <mergeCell ref="P3:U3"/>
  </mergeCells>
  <pageMargins left="0.70866141732283472" right="0.70866141732283472" top="0.74803149606299213" bottom="0.74803149606299213" header="0.31496062992125984" footer="0.31496062992125984"/>
  <pageSetup paperSize="9" scale="44" fitToWidth="3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32">
    <tabColor rgb="FF00B050"/>
  </sheetPr>
  <dimension ref="A1:S39"/>
  <sheetViews>
    <sheetView view="pageBreakPreview" zoomScale="75" zoomScaleNormal="75" zoomScaleSheetLayoutView="75" workbookViewId="0">
      <pane xSplit="1" ySplit="7" topLeftCell="B8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A4" sqref="A4:A6"/>
    </sheetView>
  </sheetViews>
  <sheetFormatPr defaultRowHeight="15.75" x14ac:dyDescent="0.25"/>
  <cols>
    <col min="1" max="1" width="73" style="72" customWidth="1"/>
    <col min="2" max="2" width="11.140625" style="72" customWidth="1"/>
    <col min="3" max="3" width="13.5703125" style="72" customWidth="1"/>
    <col min="4" max="4" width="9.85546875" style="72" customWidth="1"/>
    <col min="5" max="5" width="9.42578125" style="72" customWidth="1"/>
    <col min="6" max="6" width="11.140625" style="72" customWidth="1"/>
    <col min="7" max="8" width="12.7109375" style="72" customWidth="1"/>
    <col min="9" max="9" width="12" style="72" customWidth="1"/>
    <col min="10" max="10" width="12.7109375" style="72" customWidth="1"/>
    <col min="11" max="11" width="15.7109375" style="72" customWidth="1"/>
    <col min="12" max="12" width="13.5703125" style="72" customWidth="1"/>
    <col min="13" max="14" width="12.7109375" style="72" customWidth="1"/>
    <col min="15" max="15" width="11.5703125" style="72" customWidth="1"/>
    <col min="16" max="17" width="12.7109375" style="72" customWidth="1"/>
    <col min="18" max="18" width="12.140625" style="72" customWidth="1"/>
    <col min="19" max="19" width="12.42578125" style="72" hidden="1" customWidth="1"/>
    <col min="20" max="16384" width="9.140625" style="72"/>
  </cols>
  <sheetData>
    <row r="1" spans="1:19" x14ac:dyDescent="0.25">
      <c r="O1" s="1" t="s">
        <v>871</v>
      </c>
    </row>
    <row r="2" spans="1:19" x14ac:dyDescent="0.25">
      <c r="A2" s="72" t="s">
        <v>773</v>
      </c>
    </row>
    <row r="4" spans="1:19" ht="22.5" customHeight="1" x14ac:dyDescent="0.25">
      <c r="A4" s="1374" t="s">
        <v>270</v>
      </c>
      <c r="B4" s="1375" t="s">
        <v>960</v>
      </c>
      <c r="C4" s="1376"/>
      <c r="D4" s="1376"/>
      <c r="E4" s="1376"/>
      <c r="F4" s="1376"/>
      <c r="G4" s="1376"/>
      <c r="H4" s="1376"/>
      <c r="I4" s="1376"/>
      <c r="J4" s="1376"/>
      <c r="K4" s="1376"/>
      <c r="L4" s="1376"/>
      <c r="M4" s="1376"/>
      <c r="N4" s="1376"/>
      <c r="O4" s="1376"/>
      <c r="P4" s="1376"/>
      <c r="Q4" s="1376"/>
      <c r="R4" s="1376"/>
      <c r="S4" s="10"/>
    </row>
    <row r="5" spans="1:19" ht="15.75" customHeight="1" x14ac:dyDescent="0.25">
      <c r="A5" s="1374"/>
      <c r="B5" s="1371" t="s">
        <v>272</v>
      </c>
      <c r="C5" s="1377" t="s">
        <v>937</v>
      </c>
      <c r="D5" s="1377" t="s">
        <v>774</v>
      </c>
      <c r="E5" s="1371" t="s">
        <v>775</v>
      </c>
      <c r="F5" s="1360" t="s">
        <v>282</v>
      </c>
      <c r="G5" s="1510" t="s">
        <v>1422</v>
      </c>
      <c r="H5" s="1365" t="s">
        <v>1415</v>
      </c>
      <c r="I5" s="1368" t="s">
        <v>1416</v>
      </c>
      <c r="J5" s="1369" t="s">
        <v>273</v>
      </c>
      <c r="K5" s="1370" t="s">
        <v>1423</v>
      </c>
      <c r="L5" s="1370" t="s">
        <v>888</v>
      </c>
      <c r="M5" s="1369" t="s">
        <v>274</v>
      </c>
      <c r="N5" s="1371" t="s">
        <v>959</v>
      </c>
      <c r="O5" s="1369" t="s">
        <v>271</v>
      </c>
      <c r="P5" s="1369" t="s">
        <v>276</v>
      </c>
      <c r="Q5" s="1378" t="s">
        <v>277</v>
      </c>
      <c r="R5" s="1379" t="s">
        <v>283</v>
      </c>
      <c r="S5" s="1366" t="s">
        <v>284</v>
      </c>
    </row>
    <row r="6" spans="1:19" ht="179.25" customHeight="1" x14ac:dyDescent="0.25">
      <c r="A6" s="1374"/>
      <c r="B6" s="1372"/>
      <c r="C6" s="1352"/>
      <c r="D6" s="1352"/>
      <c r="E6" s="1372"/>
      <c r="F6" s="1361"/>
      <c r="G6" s="1372"/>
      <c r="H6" s="1365"/>
      <c r="I6" s="1368"/>
      <c r="J6" s="1369"/>
      <c r="K6" s="1370"/>
      <c r="L6" s="1370"/>
      <c r="M6" s="1369"/>
      <c r="N6" s="1372"/>
      <c r="O6" s="1369"/>
      <c r="P6" s="1369"/>
      <c r="Q6" s="1378"/>
      <c r="R6" s="1379"/>
      <c r="S6" s="1367"/>
    </row>
    <row r="7" spans="1:19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>
        <v>8</v>
      </c>
      <c r="I7" s="421">
        <v>9</v>
      </c>
      <c r="J7" s="78" t="s">
        <v>279</v>
      </c>
      <c r="K7" s="78" t="s">
        <v>889</v>
      </c>
      <c r="L7" s="78" t="s">
        <v>890</v>
      </c>
      <c r="M7" s="78">
        <v>12</v>
      </c>
      <c r="N7" s="78">
        <v>13</v>
      </c>
      <c r="O7" s="78">
        <v>14</v>
      </c>
      <c r="P7" s="78" t="s">
        <v>891</v>
      </c>
      <c r="Q7" s="78" t="s">
        <v>280</v>
      </c>
      <c r="R7" s="79" t="s">
        <v>281</v>
      </c>
      <c r="S7" s="10"/>
    </row>
    <row r="8" spans="1:19" ht="24" x14ac:dyDescent="0.25">
      <c r="A8" s="193" t="s">
        <v>624</v>
      </c>
    </row>
    <row r="9" spans="1:19" x14ac:dyDescent="0.25">
      <c r="A9" s="12" t="s">
        <v>609</v>
      </c>
      <c r="B9" s="11">
        <v>247</v>
      </c>
      <c r="C9" s="73">
        <v>9</v>
      </c>
      <c r="D9" s="11">
        <v>30</v>
      </c>
      <c r="E9" s="11">
        <v>25</v>
      </c>
      <c r="F9" s="74">
        <f>IF(E9=0,0, B9*C9/D9/E9)</f>
        <v>2.96</v>
      </c>
      <c r="G9" s="649">
        <v>4588</v>
      </c>
      <c r="H9" s="650">
        <v>1.01525</v>
      </c>
      <c r="I9" s="651">
        <v>16242</v>
      </c>
      <c r="J9" s="76">
        <f>(I9-G9*H9)/G9+1</f>
        <v>3.5249999999999999</v>
      </c>
      <c r="K9" s="75">
        <v>1</v>
      </c>
      <c r="L9" s="75">
        <v>1.01</v>
      </c>
      <c r="M9" s="75">
        <v>1.302</v>
      </c>
      <c r="N9" s="75">
        <v>1.085</v>
      </c>
      <c r="O9" s="11">
        <v>12</v>
      </c>
      <c r="P9" s="77">
        <f>G9*H9*J9*K9*L9*M9*N9*O9</f>
        <v>281125</v>
      </c>
      <c r="Q9" s="77">
        <f t="shared" ref="Q9" si="0">P9/B9</f>
        <v>1138</v>
      </c>
      <c r="R9" s="219">
        <f t="shared" ref="R9" si="1">F9*Q9</f>
        <v>3368.48</v>
      </c>
    </row>
    <row r="10" spans="1:19" ht="24" hidden="1" customHeight="1" x14ac:dyDescent="0.25">
      <c r="A10" s="92" t="s">
        <v>610</v>
      </c>
      <c r="B10" s="10"/>
      <c r="C10" s="10"/>
      <c r="D10" s="10"/>
      <c r="E10" s="10"/>
      <c r="F10" s="10"/>
      <c r="G10" s="652">
        <v>4588</v>
      </c>
      <c r="H10" s="653">
        <v>1.01525</v>
      </c>
      <c r="I10" s="654">
        <v>16242</v>
      </c>
      <c r="J10" s="10"/>
      <c r="K10" s="10"/>
      <c r="L10" s="10"/>
      <c r="M10" s="10"/>
      <c r="N10" s="10"/>
      <c r="O10" s="10"/>
      <c r="P10" s="10"/>
      <c r="Q10" s="10"/>
      <c r="R10" s="224"/>
    </row>
    <row r="11" spans="1:19" ht="24" x14ac:dyDescent="0.25">
      <c r="A11" s="12" t="s">
        <v>625</v>
      </c>
      <c r="B11" s="11">
        <v>247</v>
      </c>
      <c r="C11" s="73">
        <v>9</v>
      </c>
      <c r="D11" s="11">
        <v>30</v>
      </c>
      <c r="E11" s="11">
        <v>9</v>
      </c>
      <c r="F11" s="74">
        <f>IF(E11=0,0, B11*C11/D11/E11)</f>
        <v>8.23</v>
      </c>
      <c r="G11" s="649">
        <v>4588</v>
      </c>
      <c r="H11" s="650">
        <v>1.01525</v>
      </c>
      <c r="I11" s="651">
        <v>16242</v>
      </c>
      <c r="J11" s="76">
        <f t="shared" ref="J11:J12" si="2">(I11-G11*H11)/G11+1</f>
        <v>3.5249999999999999</v>
      </c>
      <c r="K11" s="75">
        <v>1</v>
      </c>
      <c r="L11" s="75">
        <v>1.01</v>
      </c>
      <c r="M11" s="75">
        <v>1.302</v>
      </c>
      <c r="N11" s="75">
        <v>1.085</v>
      </c>
      <c r="O11" s="11">
        <v>12</v>
      </c>
      <c r="P11" s="77">
        <f t="shared" ref="P11:P12" si="3">G11*H11*J11*K11*L11*M11*N11*O11</f>
        <v>281125</v>
      </c>
      <c r="Q11" s="77">
        <f t="shared" ref="Q11:Q12" si="4">P11/B11</f>
        <v>1138</v>
      </c>
      <c r="R11" s="219">
        <f t="shared" ref="R11:R12" si="5">F11*Q11</f>
        <v>9365.74</v>
      </c>
    </row>
    <row r="12" spans="1:19" x14ac:dyDescent="0.25">
      <c r="A12" s="12" t="s">
        <v>626</v>
      </c>
      <c r="B12" s="11">
        <v>247</v>
      </c>
      <c r="C12" s="73">
        <v>9</v>
      </c>
      <c r="D12" s="11">
        <v>30</v>
      </c>
      <c r="E12" s="11">
        <v>0</v>
      </c>
      <c r="F12" s="74">
        <f>IF(E12=0,0, B12*C12/D12/E12)</f>
        <v>0</v>
      </c>
      <c r="G12" s="649">
        <v>4588</v>
      </c>
      <c r="H12" s="650">
        <v>1.01525</v>
      </c>
      <c r="I12" s="651">
        <v>16242</v>
      </c>
      <c r="J12" s="76">
        <f t="shared" si="2"/>
        <v>3.5249999999999999</v>
      </c>
      <c r="K12" s="75">
        <v>1</v>
      </c>
      <c r="L12" s="75">
        <v>1.01</v>
      </c>
      <c r="M12" s="75">
        <v>1.302</v>
      </c>
      <c r="N12" s="75">
        <v>1.085</v>
      </c>
      <c r="O12" s="11">
        <v>12</v>
      </c>
      <c r="P12" s="77">
        <f t="shared" si="3"/>
        <v>281125</v>
      </c>
      <c r="Q12" s="77">
        <f t="shared" si="4"/>
        <v>1138</v>
      </c>
      <c r="R12" s="219">
        <f t="shared" si="5"/>
        <v>0</v>
      </c>
    </row>
    <row r="13" spans="1:19" ht="24" hidden="1" customHeight="1" x14ac:dyDescent="0.25">
      <c r="A13" s="92" t="s">
        <v>639</v>
      </c>
      <c r="B13" s="10"/>
      <c r="C13" s="10"/>
      <c r="D13" s="10"/>
      <c r="E13" s="10"/>
      <c r="F13" s="10"/>
      <c r="G13" s="652">
        <v>4588</v>
      </c>
      <c r="H13" s="653">
        <v>1.01525</v>
      </c>
      <c r="I13" s="651">
        <v>16242</v>
      </c>
      <c r="J13" s="10"/>
      <c r="K13" s="10"/>
      <c r="L13" s="10"/>
      <c r="M13" s="10"/>
      <c r="N13" s="10"/>
      <c r="O13" s="10"/>
      <c r="P13" s="10"/>
      <c r="Q13" s="10"/>
      <c r="R13" s="224"/>
    </row>
    <row r="14" spans="1:19" ht="15.75" customHeight="1" x14ac:dyDescent="0.25">
      <c r="A14" s="12" t="s">
        <v>627</v>
      </c>
      <c r="B14" s="11">
        <v>247</v>
      </c>
      <c r="C14" s="73">
        <v>9</v>
      </c>
      <c r="D14" s="11">
        <v>30</v>
      </c>
      <c r="E14" s="11">
        <v>25</v>
      </c>
      <c r="F14" s="74">
        <f>IF(E14=0,0, B14*C14/D14/E14)</f>
        <v>2.96</v>
      </c>
      <c r="G14" s="649">
        <v>4588</v>
      </c>
      <c r="H14" s="650">
        <v>1.01525</v>
      </c>
      <c r="I14" s="651">
        <v>16242</v>
      </c>
      <c r="J14" s="76">
        <f>(I14-G14*H14)/G14+1</f>
        <v>3.5249999999999999</v>
      </c>
      <c r="K14" s="75">
        <v>1</v>
      </c>
      <c r="L14" s="75">
        <v>1.01</v>
      </c>
      <c r="M14" s="75">
        <v>1.302</v>
      </c>
      <c r="N14" s="75">
        <v>1.085</v>
      </c>
      <c r="O14" s="11">
        <v>12</v>
      </c>
      <c r="P14" s="77">
        <f>G14*H14*J14*K14*L14*M14*N14*O14</f>
        <v>281125</v>
      </c>
      <c r="Q14" s="77">
        <f t="shared" ref="Q14" si="6">P14/B14</f>
        <v>1138</v>
      </c>
      <c r="R14" s="219">
        <f t="shared" ref="R14" si="7">F14*Q14</f>
        <v>3368.48</v>
      </c>
    </row>
    <row r="15" spans="1:19" ht="15.75" hidden="1" customHeight="1" x14ac:dyDescent="0.25">
      <c r="A15" s="92" t="s">
        <v>608</v>
      </c>
      <c r="B15" s="10"/>
      <c r="C15" s="10"/>
      <c r="D15" s="10"/>
      <c r="E15" s="10"/>
      <c r="F15" s="10"/>
      <c r="G15" s="652">
        <v>4588</v>
      </c>
      <c r="H15" s="653">
        <v>1.01525</v>
      </c>
      <c r="I15" s="651">
        <v>16242</v>
      </c>
      <c r="J15" s="10"/>
      <c r="K15" s="10"/>
      <c r="L15" s="10"/>
      <c r="M15" s="10"/>
      <c r="N15" s="10"/>
      <c r="O15" s="10"/>
      <c r="P15" s="10"/>
      <c r="Q15" s="10"/>
      <c r="R15" s="224"/>
    </row>
    <row r="16" spans="1:19" ht="15.75" hidden="1" customHeight="1" x14ac:dyDescent="0.25">
      <c r="A16" s="92" t="s">
        <v>611</v>
      </c>
      <c r="B16" s="10"/>
      <c r="C16" s="10"/>
      <c r="D16" s="10"/>
      <c r="E16" s="10"/>
      <c r="F16" s="10"/>
      <c r="G16" s="652">
        <v>4588</v>
      </c>
      <c r="H16" s="653">
        <v>1.01525</v>
      </c>
      <c r="I16" s="651">
        <v>16242</v>
      </c>
      <c r="J16" s="10"/>
      <c r="K16" s="10"/>
      <c r="L16" s="10"/>
      <c r="M16" s="10"/>
      <c r="N16" s="10"/>
      <c r="O16" s="10"/>
      <c r="P16" s="10"/>
      <c r="Q16" s="10"/>
      <c r="R16" s="224"/>
    </row>
    <row r="17" spans="1:18" ht="24" x14ac:dyDescent="0.25">
      <c r="A17" s="193" t="s">
        <v>603</v>
      </c>
      <c r="G17" s="657"/>
      <c r="H17" s="658"/>
      <c r="I17" s="658"/>
    </row>
    <row r="18" spans="1:18" x14ac:dyDescent="0.25">
      <c r="A18" s="220" t="s">
        <v>609</v>
      </c>
      <c r="B18" s="211">
        <v>247</v>
      </c>
      <c r="C18" s="212">
        <v>9</v>
      </c>
      <c r="D18" s="211">
        <v>30</v>
      </c>
      <c r="E18" s="211">
        <v>25</v>
      </c>
      <c r="F18" s="213">
        <f>IF(E18=0,0, B18*C18/D18/E18)</f>
        <v>2.96</v>
      </c>
      <c r="G18" s="655">
        <v>4588</v>
      </c>
      <c r="H18" s="656">
        <v>1.01525</v>
      </c>
      <c r="I18" s="651">
        <v>16242</v>
      </c>
      <c r="J18" s="215">
        <f>(I18-G18*H18)/G18+1</f>
        <v>3.5249999999999999</v>
      </c>
      <c r="K18" s="214">
        <v>1</v>
      </c>
      <c r="L18" s="214">
        <v>1.01</v>
      </c>
      <c r="M18" s="214">
        <v>1.302</v>
      </c>
      <c r="N18" s="214">
        <v>1.085</v>
      </c>
      <c r="O18" s="211">
        <v>12</v>
      </c>
      <c r="P18" s="216">
        <f>G18*H18*J18*K18*L18*M18*N18*O18</f>
        <v>281125</v>
      </c>
      <c r="Q18" s="216">
        <f t="shared" ref="Q18" si="8">P18/B18</f>
        <v>1138</v>
      </c>
      <c r="R18" s="219">
        <f t="shared" ref="R18" si="9">F18*Q18</f>
        <v>3368.48</v>
      </c>
    </row>
    <row r="19" spans="1:18" ht="24" hidden="1" customHeight="1" x14ac:dyDescent="0.25">
      <c r="A19" s="221" t="s">
        <v>610</v>
      </c>
      <c r="B19" s="222"/>
      <c r="C19" s="222"/>
      <c r="D19" s="222"/>
      <c r="E19" s="222"/>
      <c r="F19" s="222"/>
      <c r="G19" s="652">
        <v>4588</v>
      </c>
      <c r="H19" s="653">
        <v>1.01525</v>
      </c>
      <c r="I19" s="651">
        <v>16242</v>
      </c>
      <c r="J19" s="222"/>
      <c r="K19" s="222"/>
      <c r="L19" s="222"/>
      <c r="M19" s="222"/>
      <c r="N19" s="222"/>
      <c r="O19" s="222"/>
      <c r="P19" s="222"/>
      <c r="Q19" s="222"/>
      <c r="R19" s="224"/>
    </row>
    <row r="20" spans="1:18" ht="24" x14ac:dyDescent="0.25">
      <c r="A20" s="220" t="s">
        <v>625</v>
      </c>
      <c r="B20" s="211">
        <v>247</v>
      </c>
      <c r="C20" s="212">
        <v>9</v>
      </c>
      <c r="D20" s="211">
        <v>30</v>
      </c>
      <c r="E20" s="211">
        <v>9</v>
      </c>
      <c r="F20" s="213">
        <f>IF(E20=0,0, B20*C20/D20/E20)</f>
        <v>8.23</v>
      </c>
      <c r="G20" s="655">
        <v>4588</v>
      </c>
      <c r="H20" s="656">
        <v>1.01525</v>
      </c>
      <c r="I20" s="651">
        <v>16242</v>
      </c>
      <c r="J20" s="215">
        <f>(I20-G20*H20)/G20+1</f>
        <v>3.5249999999999999</v>
      </c>
      <c r="K20" s="214">
        <v>1</v>
      </c>
      <c r="L20" s="214">
        <v>1.01</v>
      </c>
      <c r="M20" s="214">
        <v>1.302</v>
      </c>
      <c r="N20" s="214">
        <v>1.085</v>
      </c>
      <c r="O20" s="211">
        <v>12</v>
      </c>
      <c r="P20" s="216">
        <f>G20*H20*J20*K20*L20*M20*N20*O20</f>
        <v>281125</v>
      </c>
      <c r="Q20" s="216">
        <f t="shared" ref="Q20" si="10">P20/B20</f>
        <v>1138</v>
      </c>
      <c r="R20" s="219">
        <f t="shared" ref="R20" si="11">F20*Q20</f>
        <v>9365.74</v>
      </c>
    </row>
    <row r="21" spans="1:18" ht="24" hidden="1" customHeight="1" x14ac:dyDescent="0.25">
      <c r="A21" s="221" t="s">
        <v>639</v>
      </c>
      <c r="B21" s="222"/>
      <c r="C21" s="222"/>
      <c r="D21" s="222"/>
      <c r="E21" s="222"/>
      <c r="F21" s="222"/>
      <c r="G21" s="652">
        <v>4588</v>
      </c>
      <c r="H21" s="653">
        <v>1.01525</v>
      </c>
      <c r="I21" s="651">
        <v>16242</v>
      </c>
      <c r="J21" s="222"/>
      <c r="K21" s="222"/>
      <c r="L21" s="222"/>
      <c r="M21" s="222"/>
      <c r="N21" s="222"/>
      <c r="O21" s="222"/>
      <c r="P21" s="222"/>
      <c r="Q21" s="222"/>
      <c r="R21" s="224"/>
    </row>
    <row r="22" spans="1:18" x14ac:dyDescent="0.25">
      <c r="A22" s="220" t="s">
        <v>626</v>
      </c>
      <c r="B22" s="211">
        <v>247</v>
      </c>
      <c r="C22" s="212">
        <v>9</v>
      </c>
      <c r="D22" s="211">
        <v>30</v>
      </c>
      <c r="E22" s="211">
        <v>0</v>
      </c>
      <c r="F22" s="213">
        <f>IF(E22=0,0, B22*C22/D22/E22)</f>
        <v>0</v>
      </c>
      <c r="G22" s="655">
        <v>4588</v>
      </c>
      <c r="H22" s="656">
        <v>1.01525</v>
      </c>
      <c r="I22" s="651">
        <v>16242</v>
      </c>
      <c r="J22" s="215">
        <f t="shared" ref="J22:J24" si="12">(I22-G22*H22)/G22+1</f>
        <v>3.5249999999999999</v>
      </c>
      <c r="K22" s="214">
        <v>1</v>
      </c>
      <c r="L22" s="214">
        <v>1.01</v>
      </c>
      <c r="M22" s="214">
        <v>1.302</v>
      </c>
      <c r="N22" s="214">
        <v>1.085</v>
      </c>
      <c r="O22" s="211">
        <v>12</v>
      </c>
      <c r="P22" s="216">
        <f t="shared" ref="P22:P24" si="13">G22*H22*J22*K22*L22*M22*N22*O22</f>
        <v>281125</v>
      </c>
      <c r="Q22" s="216">
        <f t="shared" ref="Q22:Q24" si="14">P22/B22</f>
        <v>1138</v>
      </c>
      <c r="R22" s="219">
        <f t="shared" ref="R22:R24" si="15">F22*Q22</f>
        <v>0</v>
      </c>
    </row>
    <row r="23" spans="1:18" ht="15.75" customHeight="1" x14ac:dyDescent="0.25">
      <c r="A23" s="220" t="s">
        <v>627</v>
      </c>
      <c r="B23" s="211">
        <v>247</v>
      </c>
      <c r="C23" s="212">
        <v>9</v>
      </c>
      <c r="D23" s="211">
        <v>30</v>
      </c>
      <c r="E23" s="211">
        <v>25</v>
      </c>
      <c r="F23" s="213">
        <f>IF(E23=0,0, B23*C23/D23/E23)</f>
        <v>2.96</v>
      </c>
      <c r="G23" s="655">
        <v>4588</v>
      </c>
      <c r="H23" s="656">
        <v>1.01525</v>
      </c>
      <c r="I23" s="651">
        <v>16242</v>
      </c>
      <c r="J23" s="215">
        <f t="shared" si="12"/>
        <v>3.5249999999999999</v>
      </c>
      <c r="K23" s="214">
        <v>1</v>
      </c>
      <c r="L23" s="214">
        <v>1.01</v>
      </c>
      <c r="M23" s="214">
        <v>1.302</v>
      </c>
      <c r="N23" s="214">
        <v>1.085</v>
      </c>
      <c r="O23" s="211">
        <v>12</v>
      </c>
      <c r="P23" s="216">
        <f t="shared" si="13"/>
        <v>281125</v>
      </c>
      <c r="Q23" s="216">
        <f t="shared" si="14"/>
        <v>1138</v>
      </c>
      <c r="R23" s="219">
        <f t="shared" si="15"/>
        <v>3368.48</v>
      </c>
    </row>
    <row r="24" spans="1:18" x14ac:dyDescent="0.25">
      <c r="A24" s="223" t="s">
        <v>608</v>
      </c>
      <c r="B24" s="211">
        <v>247</v>
      </c>
      <c r="C24" s="212">
        <v>9</v>
      </c>
      <c r="D24" s="211">
        <v>30</v>
      </c>
      <c r="E24" s="211">
        <v>25</v>
      </c>
      <c r="F24" s="213">
        <f>IF(E24=0,0, B24*C24/D24/E24)</f>
        <v>2.96</v>
      </c>
      <c r="G24" s="655">
        <v>4588</v>
      </c>
      <c r="H24" s="656">
        <v>1.01525</v>
      </c>
      <c r="I24" s="651">
        <v>16242</v>
      </c>
      <c r="J24" s="215">
        <f t="shared" si="12"/>
        <v>3.5249999999999999</v>
      </c>
      <c r="K24" s="214">
        <v>1</v>
      </c>
      <c r="L24" s="214">
        <v>1.01</v>
      </c>
      <c r="M24" s="214">
        <v>1.302</v>
      </c>
      <c r="N24" s="214">
        <v>1.085</v>
      </c>
      <c r="O24" s="211">
        <v>12</v>
      </c>
      <c r="P24" s="216">
        <f t="shared" si="13"/>
        <v>281125</v>
      </c>
      <c r="Q24" s="216">
        <f t="shared" si="14"/>
        <v>1138</v>
      </c>
      <c r="R24" s="219">
        <f t="shared" si="15"/>
        <v>3368.48</v>
      </c>
    </row>
    <row r="25" spans="1:18" ht="15.75" hidden="1" customHeight="1" x14ac:dyDescent="0.25">
      <c r="A25" s="221" t="s">
        <v>611</v>
      </c>
      <c r="B25" s="222"/>
      <c r="C25" s="222"/>
      <c r="D25" s="222"/>
      <c r="E25" s="222"/>
      <c r="F25" s="222"/>
      <c r="G25" s="652">
        <v>4588</v>
      </c>
      <c r="H25" s="653">
        <v>1.01525</v>
      </c>
      <c r="I25" s="651">
        <v>16242</v>
      </c>
      <c r="J25" s="222"/>
      <c r="K25" s="222"/>
      <c r="L25" s="222"/>
      <c r="M25" s="222"/>
      <c r="N25" s="222"/>
      <c r="O25" s="222"/>
      <c r="P25" s="222"/>
      <c r="Q25" s="222"/>
      <c r="R25" s="224"/>
    </row>
    <row r="26" spans="1:18" ht="24.75" customHeight="1" x14ac:dyDescent="0.25">
      <c r="A26" s="193" t="s">
        <v>620</v>
      </c>
      <c r="G26" s="657"/>
      <c r="H26" s="658"/>
      <c r="I26" s="658"/>
    </row>
    <row r="27" spans="1:18" x14ac:dyDescent="0.25">
      <c r="A27" s="12" t="s">
        <v>609</v>
      </c>
      <c r="B27" s="11">
        <v>247</v>
      </c>
      <c r="C27" s="73">
        <v>9</v>
      </c>
      <c r="D27" s="11">
        <v>30</v>
      </c>
      <c r="E27" s="11">
        <v>25</v>
      </c>
      <c r="F27" s="74">
        <f>IF(E27=0,0, B27*C27/D27/E27)</f>
        <v>2.96</v>
      </c>
      <c r="G27" s="649">
        <v>4588</v>
      </c>
      <c r="H27" s="650">
        <v>1.01525</v>
      </c>
      <c r="I27" s="651">
        <v>16242</v>
      </c>
      <c r="J27" s="76">
        <f>(I27-G27*H27)/G27+1</f>
        <v>3.5249999999999999</v>
      </c>
      <c r="K27" s="75">
        <v>1</v>
      </c>
      <c r="L27" s="75">
        <v>1.01</v>
      </c>
      <c r="M27" s="75">
        <v>1.302</v>
      </c>
      <c r="N27" s="75">
        <v>1.085</v>
      </c>
      <c r="O27" s="11">
        <v>12</v>
      </c>
      <c r="P27" s="77">
        <f>G27*H27*J27*K27*L27*M27*N27*O27</f>
        <v>281125</v>
      </c>
      <c r="Q27" s="77">
        <f t="shared" ref="Q27" si="16">P27/B27</f>
        <v>1138</v>
      </c>
      <c r="R27" s="219">
        <f t="shared" ref="R27" si="17">F27*Q27</f>
        <v>3368.48</v>
      </c>
    </row>
    <row r="28" spans="1:18" ht="24" hidden="1" customHeight="1" x14ac:dyDescent="0.25">
      <c r="A28" s="92" t="s">
        <v>610</v>
      </c>
      <c r="B28" s="10"/>
      <c r="C28" s="10"/>
      <c r="D28" s="10"/>
      <c r="E28" s="10"/>
      <c r="F28" s="10"/>
      <c r="G28" s="652">
        <v>4588</v>
      </c>
      <c r="H28" s="653">
        <v>1.01525</v>
      </c>
      <c r="I28" s="651">
        <v>16242</v>
      </c>
      <c r="J28" s="10"/>
      <c r="K28" s="10"/>
      <c r="L28" s="10"/>
      <c r="M28" s="10"/>
      <c r="N28" s="10"/>
      <c r="O28" s="10"/>
      <c r="P28" s="10"/>
      <c r="Q28" s="10"/>
      <c r="R28" s="224"/>
    </row>
    <row r="29" spans="1:18" ht="24" hidden="1" customHeight="1" x14ac:dyDescent="0.25">
      <c r="A29" s="92" t="s">
        <v>625</v>
      </c>
      <c r="B29" s="10"/>
      <c r="C29" s="10"/>
      <c r="D29" s="10"/>
      <c r="E29" s="10"/>
      <c r="F29" s="10"/>
      <c r="G29" s="652">
        <v>4588</v>
      </c>
      <c r="H29" s="653">
        <v>1.01525</v>
      </c>
      <c r="I29" s="651">
        <v>16242</v>
      </c>
      <c r="J29" s="10"/>
      <c r="K29" s="10"/>
      <c r="L29" s="10"/>
      <c r="M29" s="10"/>
      <c r="N29" s="10"/>
      <c r="O29" s="10"/>
      <c r="P29" s="10"/>
      <c r="Q29" s="10"/>
      <c r="R29" s="224"/>
    </row>
    <row r="30" spans="1:18" ht="24" hidden="1" customHeight="1" x14ac:dyDescent="0.25">
      <c r="A30" s="92" t="s">
        <v>639</v>
      </c>
      <c r="B30" s="10"/>
      <c r="C30" s="10"/>
      <c r="D30" s="10"/>
      <c r="E30" s="10"/>
      <c r="F30" s="10"/>
      <c r="G30" s="652">
        <v>4588</v>
      </c>
      <c r="H30" s="653">
        <v>1.01525</v>
      </c>
      <c r="I30" s="651">
        <v>16242</v>
      </c>
      <c r="J30" s="10"/>
      <c r="K30" s="10"/>
      <c r="L30" s="10"/>
      <c r="M30" s="10"/>
      <c r="N30" s="10"/>
      <c r="O30" s="10"/>
      <c r="P30" s="10"/>
      <c r="Q30" s="10"/>
      <c r="R30" s="224"/>
    </row>
    <row r="31" spans="1:18" x14ac:dyDescent="0.25">
      <c r="A31" s="12" t="s">
        <v>626</v>
      </c>
      <c r="B31" s="11">
        <v>247</v>
      </c>
      <c r="C31" s="73">
        <v>9</v>
      </c>
      <c r="D31" s="11">
        <v>30</v>
      </c>
      <c r="E31" s="11">
        <v>0</v>
      </c>
      <c r="F31" s="74">
        <f>IF(E31=0,0, B31*C31/D31/E31)</f>
        <v>0</v>
      </c>
      <c r="G31" s="649">
        <v>4588</v>
      </c>
      <c r="H31" s="650">
        <v>1.01525</v>
      </c>
      <c r="I31" s="651">
        <v>16242</v>
      </c>
      <c r="J31" s="76">
        <f t="shared" ref="J31:J33" si="18">(I31-G31*H31)/G31+1</f>
        <v>3.5249999999999999</v>
      </c>
      <c r="K31" s="75">
        <v>1</v>
      </c>
      <c r="L31" s="75">
        <v>1.01</v>
      </c>
      <c r="M31" s="75">
        <v>1.302</v>
      </c>
      <c r="N31" s="75">
        <v>1.085</v>
      </c>
      <c r="O31" s="11">
        <v>12</v>
      </c>
      <c r="P31" s="77">
        <f t="shared" ref="P31:P33" si="19">G31*H31*J31*K31*L31*M31*N31*O31</f>
        <v>281125</v>
      </c>
      <c r="Q31" s="77">
        <f t="shared" ref="Q31:Q33" si="20">P31/B31</f>
        <v>1138</v>
      </c>
      <c r="R31" s="219">
        <f t="shared" ref="R31:R33" si="21">F31*Q31</f>
        <v>0</v>
      </c>
    </row>
    <row r="32" spans="1:18" ht="15.75" customHeight="1" x14ac:dyDescent="0.25">
      <c r="A32" s="12" t="s">
        <v>627</v>
      </c>
      <c r="B32" s="11">
        <v>247</v>
      </c>
      <c r="C32" s="73">
        <v>9</v>
      </c>
      <c r="D32" s="11">
        <v>30</v>
      </c>
      <c r="E32" s="11">
        <v>25</v>
      </c>
      <c r="F32" s="74">
        <f>IF(E32=0,0, B32*C32/D32/E32)</f>
        <v>2.96</v>
      </c>
      <c r="G32" s="649">
        <v>4588</v>
      </c>
      <c r="H32" s="650">
        <v>1.01525</v>
      </c>
      <c r="I32" s="651">
        <v>16242</v>
      </c>
      <c r="J32" s="76">
        <f t="shared" si="18"/>
        <v>3.5249999999999999</v>
      </c>
      <c r="K32" s="75">
        <v>1</v>
      </c>
      <c r="L32" s="75">
        <v>1.01</v>
      </c>
      <c r="M32" s="75">
        <v>1.302</v>
      </c>
      <c r="N32" s="75">
        <v>1.085</v>
      </c>
      <c r="O32" s="11">
        <v>12</v>
      </c>
      <c r="P32" s="77">
        <f t="shared" si="19"/>
        <v>281125</v>
      </c>
      <c r="Q32" s="77">
        <f t="shared" si="20"/>
        <v>1138</v>
      </c>
      <c r="R32" s="219">
        <f t="shared" si="21"/>
        <v>3368.48</v>
      </c>
    </row>
    <row r="33" spans="1:18" x14ac:dyDescent="0.25">
      <c r="A33" s="174" t="s">
        <v>608</v>
      </c>
      <c r="B33" s="11">
        <v>247</v>
      </c>
      <c r="C33" s="73">
        <v>9</v>
      </c>
      <c r="D33" s="11">
        <v>30</v>
      </c>
      <c r="E33" s="11">
        <v>25</v>
      </c>
      <c r="F33" s="74">
        <f>IF(E33=0,0, B33*C33/D33/E33)</f>
        <v>2.96</v>
      </c>
      <c r="G33" s="649">
        <v>4588</v>
      </c>
      <c r="H33" s="650">
        <v>1.01525</v>
      </c>
      <c r="I33" s="651">
        <v>16242</v>
      </c>
      <c r="J33" s="76">
        <f t="shared" si="18"/>
        <v>3.5249999999999999</v>
      </c>
      <c r="K33" s="75">
        <v>1</v>
      </c>
      <c r="L33" s="75">
        <v>1.01</v>
      </c>
      <c r="M33" s="75">
        <v>1.302</v>
      </c>
      <c r="N33" s="75">
        <v>1.085</v>
      </c>
      <c r="O33" s="11">
        <v>12</v>
      </c>
      <c r="P33" s="77">
        <f t="shared" si="19"/>
        <v>281125</v>
      </c>
      <c r="Q33" s="77">
        <f t="shared" si="20"/>
        <v>1138</v>
      </c>
      <c r="R33" s="219">
        <f t="shared" si="21"/>
        <v>3368.48</v>
      </c>
    </row>
    <row r="34" spans="1:18" ht="15.75" hidden="1" customHeight="1" x14ac:dyDescent="0.25">
      <c r="A34" s="92" t="s">
        <v>611</v>
      </c>
      <c r="B34" s="10"/>
      <c r="C34" s="10"/>
      <c r="D34" s="10"/>
      <c r="E34" s="10"/>
      <c r="F34" s="10"/>
      <c r="G34" s="652">
        <v>4588</v>
      </c>
      <c r="H34" s="653">
        <v>1.01525</v>
      </c>
      <c r="I34" s="651">
        <v>16242</v>
      </c>
      <c r="J34" s="10"/>
      <c r="K34" s="10"/>
      <c r="L34" s="10"/>
      <c r="M34" s="10"/>
      <c r="N34" s="10"/>
      <c r="O34" s="10"/>
      <c r="P34" s="10"/>
      <c r="Q34" s="10"/>
      <c r="R34" s="224"/>
    </row>
    <row r="35" spans="1:18" x14ac:dyDescent="0.25">
      <c r="G35" s="657"/>
      <c r="H35" s="657"/>
      <c r="I35" s="657"/>
    </row>
    <row r="37" spans="1:18" x14ac:dyDescent="0.25">
      <c r="A37" s="1" t="s">
        <v>316</v>
      </c>
      <c r="K37" s="1"/>
      <c r="L37" s="1"/>
    </row>
    <row r="38" spans="1:18" x14ac:dyDescent="0.25">
      <c r="A38" s="1"/>
    </row>
    <row r="39" spans="1:18" x14ac:dyDescent="0.25">
      <c r="A39" s="1" t="s">
        <v>411</v>
      </c>
    </row>
  </sheetData>
  <mergeCells count="20"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I5:I6"/>
    <mergeCell ref="Q5:Q6"/>
    <mergeCell ref="R5:R6"/>
    <mergeCell ref="L5:L6"/>
    <mergeCell ref="S5:S6"/>
    <mergeCell ref="J5:J6"/>
    <mergeCell ref="K5:K6"/>
    <mergeCell ref="M5:M6"/>
    <mergeCell ref="N5:N6"/>
    <mergeCell ref="O5:O6"/>
    <mergeCell ref="P5:P6"/>
  </mergeCells>
  <pageMargins left="0" right="0" top="0" bottom="0" header="0.31496062992125984" footer="0.31496062992125984"/>
  <pageSetup paperSize="9" scale="50" fitToWidth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33">
    <tabColor rgb="FF00B050"/>
  </sheetPr>
  <dimension ref="A1:T39"/>
  <sheetViews>
    <sheetView view="pageBreakPreview" zoomScale="75" zoomScaleNormal="75" zoomScaleSheetLayoutView="75" workbookViewId="0">
      <pane xSplit="1" ySplit="7" topLeftCell="B8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L37" sqref="L37"/>
    </sheetView>
  </sheetViews>
  <sheetFormatPr defaultRowHeight="15.75" x14ac:dyDescent="0.25"/>
  <cols>
    <col min="1" max="1" width="73" style="72" customWidth="1"/>
    <col min="2" max="2" width="11.140625" style="72" customWidth="1"/>
    <col min="3" max="3" width="13.5703125" style="72" customWidth="1"/>
    <col min="4" max="4" width="9.85546875" style="72" customWidth="1"/>
    <col min="5" max="5" width="9.42578125" style="72" customWidth="1"/>
    <col min="6" max="6" width="11.140625" style="72" customWidth="1"/>
    <col min="7" max="9" width="12.7109375" style="72" customWidth="1"/>
    <col min="10" max="10" width="12" style="72" customWidth="1"/>
    <col min="11" max="11" width="12.7109375" style="72" customWidth="1"/>
    <col min="12" max="12" width="16.5703125" style="72" customWidth="1"/>
    <col min="13" max="13" width="13.5703125" style="72" customWidth="1"/>
    <col min="14" max="15" width="12.7109375" style="72" customWidth="1"/>
    <col min="16" max="16" width="11.5703125" style="72" customWidth="1"/>
    <col min="17" max="18" width="12.7109375" style="72" customWidth="1"/>
    <col min="19" max="19" width="12.140625" style="72" customWidth="1"/>
    <col min="20" max="20" width="12.42578125" style="72" hidden="1" customWidth="1"/>
    <col min="21" max="16384" width="9.140625" style="72"/>
  </cols>
  <sheetData>
    <row r="1" spans="1:20" x14ac:dyDescent="0.25">
      <c r="P1" s="1" t="s">
        <v>871</v>
      </c>
    </row>
    <row r="2" spans="1:20" x14ac:dyDescent="0.25">
      <c r="A2" s="72" t="s">
        <v>773</v>
      </c>
    </row>
    <row r="4" spans="1:20" ht="22.5" customHeight="1" x14ac:dyDescent="0.25">
      <c r="A4" s="1374" t="s">
        <v>270</v>
      </c>
      <c r="B4" s="1375" t="s">
        <v>1045</v>
      </c>
      <c r="C4" s="1376"/>
      <c r="D4" s="1376"/>
      <c r="E4" s="1376"/>
      <c r="F4" s="1376"/>
      <c r="G4" s="1376"/>
      <c r="H4" s="1376"/>
      <c r="I4" s="1376"/>
      <c r="J4" s="1376"/>
      <c r="K4" s="1376"/>
      <c r="L4" s="1376"/>
      <c r="M4" s="1376"/>
      <c r="N4" s="1376"/>
      <c r="O4" s="1376"/>
      <c r="P4" s="1376"/>
      <c r="Q4" s="1376"/>
      <c r="R4" s="1376"/>
      <c r="S4" s="1376"/>
      <c r="T4" s="10"/>
    </row>
    <row r="5" spans="1:20" ht="15.75" customHeight="1" x14ac:dyDescent="0.25">
      <c r="A5" s="1374"/>
      <c r="B5" s="1371" t="s">
        <v>272</v>
      </c>
      <c r="C5" s="1377" t="s">
        <v>937</v>
      </c>
      <c r="D5" s="1377" t="s">
        <v>774</v>
      </c>
      <c r="E5" s="1371" t="s">
        <v>775</v>
      </c>
      <c r="F5" s="1360" t="s">
        <v>282</v>
      </c>
      <c r="G5" s="1510" t="s">
        <v>1422</v>
      </c>
      <c r="H5" s="1365" t="s">
        <v>1418</v>
      </c>
      <c r="I5" s="1381" t="s">
        <v>993</v>
      </c>
      <c r="J5" s="1368" t="s">
        <v>1416</v>
      </c>
      <c r="K5" s="1369" t="s">
        <v>273</v>
      </c>
      <c r="L5" s="1370" t="s">
        <v>958</v>
      </c>
      <c r="M5" s="1370" t="s">
        <v>888</v>
      </c>
      <c r="N5" s="1369" t="s">
        <v>274</v>
      </c>
      <c r="O5" s="1371" t="s">
        <v>959</v>
      </c>
      <c r="P5" s="1369" t="s">
        <v>271</v>
      </c>
      <c r="Q5" s="1369" t="s">
        <v>276</v>
      </c>
      <c r="R5" s="1378" t="s">
        <v>277</v>
      </c>
      <c r="S5" s="1379" t="s">
        <v>283</v>
      </c>
      <c r="T5" s="1366" t="s">
        <v>284</v>
      </c>
    </row>
    <row r="6" spans="1:20" ht="179.25" customHeight="1" x14ac:dyDescent="0.25">
      <c r="A6" s="1374"/>
      <c r="B6" s="1372"/>
      <c r="C6" s="1352"/>
      <c r="D6" s="1352"/>
      <c r="E6" s="1372"/>
      <c r="F6" s="1361"/>
      <c r="G6" s="1372"/>
      <c r="H6" s="1365"/>
      <c r="I6" s="1381"/>
      <c r="J6" s="1368"/>
      <c r="K6" s="1369"/>
      <c r="L6" s="1370"/>
      <c r="M6" s="1370"/>
      <c r="N6" s="1369"/>
      <c r="O6" s="1372"/>
      <c r="P6" s="1369"/>
      <c r="Q6" s="1369"/>
      <c r="R6" s="1378"/>
      <c r="S6" s="1379"/>
      <c r="T6" s="1367"/>
    </row>
    <row r="7" spans="1:20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>
        <v>8</v>
      </c>
      <c r="I7" s="78" t="s">
        <v>925</v>
      </c>
      <c r="J7" s="421">
        <v>9</v>
      </c>
      <c r="K7" s="78" t="s">
        <v>929</v>
      </c>
      <c r="L7" s="78" t="s">
        <v>889</v>
      </c>
      <c r="M7" s="78" t="s">
        <v>890</v>
      </c>
      <c r="N7" s="78">
        <v>12</v>
      </c>
      <c r="O7" s="78">
        <v>13</v>
      </c>
      <c r="P7" s="78">
        <v>14</v>
      </c>
      <c r="Q7" s="78" t="s">
        <v>930</v>
      </c>
      <c r="R7" s="78" t="s">
        <v>280</v>
      </c>
      <c r="S7" s="79" t="s">
        <v>281</v>
      </c>
      <c r="T7" s="10"/>
    </row>
    <row r="8" spans="1:20" ht="24" x14ac:dyDescent="0.25">
      <c r="A8" s="269" t="s">
        <v>624</v>
      </c>
    </row>
    <row r="9" spans="1:20" x14ac:dyDescent="0.25">
      <c r="A9" s="12" t="s">
        <v>609</v>
      </c>
      <c r="B9" s="11">
        <v>247</v>
      </c>
      <c r="C9" s="73">
        <v>9</v>
      </c>
      <c r="D9" s="11">
        <v>30</v>
      </c>
      <c r="E9" s="11">
        <v>25</v>
      </c>
      <c r="F9" s="74">
        <f>IF(E9=0,0, B9*C9/D9/E9)</f>
        <v>2.96</v>
      </c>
      <c r="G9" s="649">
        <v>4588</v>
      </c>
      <c r="H9" s="650">
        <v>1.0609999999999999</v>
      </c>
      <c r="I9" s="650">
        <v>1.01</v>
      </c>
      <c r="J9" s="651">
        <v>16242</v>
      </c>
      <c r="K9" s="76">
        <f>(J9-G9*H9*I9)/G9+1</f>
        <v>3.468</v>
      </c>
      <c r="L9" s="75">
        <v>1</v>
      </c>
      <c r="M9" s="75">
        <v>1.01</v>
      </c>
      <c r="N9" s="75">
        <v>1.302</v>
      </c>
      <c r="O9" s="75">
        <v>1.085</v>
      </c>
      <c r="P9" s="11">
        <v>12</v>
      </c>
      <c r="Q9" s="77">
        <f>G9*H9*I9*K9*L9*M9*N9*O9*P9</f>
        <v>291933</v>
      </c>
      <c r="R9" s="77">
        <f t="shared" ref="R9" si="0">Q9/B9</f>
        <v>1182</v>
      </c>
      <c r="S9" s="219">
        <f t="shared" ref="S9" si="1">F9*R9</f>
        <v>3498.72</v>
      </c>
    </row>
    <row r="10" spans="1:20" ht="24" hidden="1" customHeight="1" x14ac:dyDescent="0.25">
      <c r="A10" s="92" t="s">
        <v>610</v>
      </c>
      <c r="B10" s="10"/>
      <c r="C10" s="10"/>
      <c r="D10" s="10"/>
      <c r="E10" s="10"/>
      <c r="F10" s="10"/>
      <c r="G10" s="652">
        <v>4588</v>
      </c>
      <c r="H10" s="653">
        <v>1.01525</v>
      </c>
      <c r="I10" s="653"/>
      <c r="J10" s="654">
        <v>16242</v>
      </c>
      <c r="K10" s="10"/>
      <c r="L10" s="10"/>
      <c r="M10" s="10"/>
      <c r="N10" s="10"/>
      <c r="O10" s="10"/>
      <c r="P10" s="10"/>
      <c r="Q10" s="10"/>
      <c r="R10" s="10"/>
      <c r="S10" s="224"/>
    </row>
    <row r="11" spans="1:20" ht="24" x14ac:dyDescent="0.25">
      <c r="A11" s="12" t="s">
        <v>625</v>
      </c>
      <c r="B11" s="11">
        <v>247</v>
      </c>
      <c r="C11" s="73">
        <v>9</v>
      </c>
      <c r="D11" s="11">
        <v>30</v>
      </c>
      <c r="E11" s="11">
        <v>9</v>
      </c>
      <c r="F11" s="74">
        <f>IF(E11=0,0, B11*C11/D11/E11)</f>
        <v>8.23</v>
      </c>
      <c r="G11" s="649">
        <v>4588</v>
      </c>
      <c r="H11" s="650">
        <v>1.0609999999999999</v>
      </c>
      <c r="I11" s="650">
        <v>1.01</v>
      </c>
      <c r="J11" s="651">
        <v>16242</v>
      </c>
      <c r="K11" s="76">
        <f t="shared" ref="K11:K12" si="2">(J11-G11*H11*I11)/G11+1</f>
        <v>3.468</v>
      </c>
      <c r="L11" s="75">
        <v>1</v>
      </c>
      <c r="M11" s="75">
        <v>1.01</v>
      </c>
      <c r="N11" s="75">
        <v>1.302</v>
      </c>
      <c r="O11" s="75">
        <v>1.085</v>
      </c>
      <c r="P11" s="11">
        <v>12</v>
      </c>
      <c r="Q11" s="77">
        <f t="shared" ref="Q11:Q12" si="3">G11*H11*I11*K11*L11*M11*N11*O11*P11</f>
        <v>291933</v>
      </c>
      <c r="R11" s="77">
        <f t="shared" ref="R11:R12" si="4">Q11/B11</f>
        <v>1182</v>
      </c>
      <c r="S11" s="219">
        <f t="shared" ref="S11:S12" si="5">F11*R11</f>
        <v>9727.86</v>
      </c>
    </row>
    <row r="12" spans="1:20" x14ac:dyDescent="0.25">
      <c r="A12" s="12" t="s">
        <v>626</v>
      </c>
      <c r="B12" s="11">
        <v>247</v>
      </c>
      <c r="C12" s="73">
        <v>9</v>
      </c>
      <c r="D12" s="11">
        <v>30</v>
      </c>
      <c r="E12" s="11">
        <v>0</v>
      </c>
      <c r="F12" s="74">
        <f>IF(E12=0,0, B12*C12/D12/E12)</f>
        <v>0</v>
      </c>
      <c r="G12" s="649">
        <v>4588</v>
      </c>
      <c r="H12" s="650">
        <v>1.0609999999999999</v>
      </c>
      <c r="I12" s="650">
        <v>1.01</v>
      </c>
      <c r="J12" s="651">
        <v>16242</v>
      </c>
      <c r="K12" s="76">
        <f t="shared" si="2"/>
        <v>3.468</v>
      </c>
      <c r="L12" s="75">
        <v>1</v>
      </c>
      <c r="M12" s="75">
        <v>1.01</v>
      </c>
      <c r="N12" s="75">
        <v>1.302</v>
      </c>
      <c r="O12" s="75">
        <v>1.085</v>
      </c>
      <c r="P12" s="11">
        <v>12</v>
      </c>
      <c r="Q12" s="77">
        <f t="shared" si="3"/>
        <v>291933</v>
      </c>
      <c r="R12" s="77">
        <f t="shared" si="4"/>
        <v>1182</v>
      </c>
      <c r="S12" s="219">
        <f t="shared" si="5"/>
        <v>0</v>
      </c>
    </row>
    <row r="13" spans="1:20" ht="24" hidden="1" customHeight="1" x14ac:dyDescent="0.25">
      <c r="A13" s="92" t="s">
        <v>639</v>
      </c>
      <c r="B13" s="10"/>
      <c r="C13" s="10"/>
      <c r="D13" s="10"/>
      <c r="E13" s="10"/>
      <c r="F13" s="10"/>
      <c r="G13" s="652">
        <v>4588</v>
      </c>
      <c r="H13" s="653">
        <v>1.0609999999999999</v>
      </c>
      <c r="I13" s="653"/>
      <c r="J13" s="651">
        <v>16242</v>
      </c>
      <c r="K13" s="10"/>
      <c r="L13" s="10"/>
      <c r="M13" s="10"/>
      <c r="N13" s="10"/>
      <c r="O13" s="10"/>
      <c r="P13" s="10"/>
      <c r="Q13" s="10"/>
      <c r="R13" s="10"/>
      <c r="S13" s="224"/>
    </row>
    <row r="14" spans="1:20" ht="15.75" customHeight="1" x14ac:dyDescent="0.25">
      <c r="A14" s="12" t="s">
        <v>627</v>
      </c>
      <c r="B14" s="11">
        <v>247</v>
      </c>
      <c r="C14" s="73">
        <v>9</v>
      </c>
      <c r="D14" s="11">
        <v>30</v>
      </c>
      <c r="E14" s="11">
        <v>25</v>
      </c>
      <c r="F14" s="74">
        <f>IF(E14=0,0, B14*C14/D14/E14)</f>
        <v>2.96</v>
      </c>
      <c r="G14" s="649">
        <v>4588</v>
      </c>
      <c r="H14" s="650">
        <v>1.0609999999999999</v>
      </c>
      <c r="I14" s="650">
        <v>1.01</v>
      </c>
      <c r="J14" s="651">
        <v>16242</v>
      </c>
      <c r="K14" s="76">
        <f>(J14-G14*H14*I14)/G14+1</f>
        <v>3.468</v>
      </c>
      <c r="L14" s="75">
        <v>1</v>
      </c>
      <c r="M14" s="75">
        <v>1.01</v>
      </c>
      <c r="N14" s="75">
        <v>1.302</v>
      </c>
      <c r="O14" s="75">
        <v>1.085</v>
      </c>
      <c r="P14" s="11">
        <v>12</v>
      </c>
      <c r="Q14" s="77">
        <f>G14*H14*I14*K14*L14*M14*N14*O14*P14</f>
        <v>291933</v>
      </c>
      <c r="R14" s="77">
        <f t="shared" ref="R14" si="6">Q14/B14</f>
        <v>1182</v>
      </c>
      <c r="S14" s="219">
        <f t="shared" ref="S14" si="7">F14*R14</f>
        <v>3498.72</v>
      </c>
    </row>
    <row r="15" spans="1:20" ht="15.75" hidden="1" customHeight="1" x14ac:dyDescent="0.25">
      <c r="A15" s="92" t="s">
        <v>608</v>
      </c>
      <c r="B15" s="10"/>
      <c r="C15" s="10"/>
      <c r="D15" s="10"/>
      <c r="E15" s="10"/>
      <c r="F15" s="10"/>
      <c r="G15" s="652">
        <v>4588</v>
      </c>
      <c r="H15" s="653">
        <v>1.0609999999999999</v>
      </c>
      <c r="I15" s="653"/>
      <c r="J15" s="651">
        <v>16242</v>
      </c>
      <c r="K15" s="10"/>
      <c r="L15" s="10"/>
      <c r="M15" s="10"/>
      <c r="N15" s="10"/>
      <c r="O15" s="10"/>
      <c r="P15" s="10"/>
      <c r="Q15" s="10"/>
      <c r="R15" s="10"/>
      <c r="S15" s="224"/>
    </row>
    <row r="16" spans="1:20" ht="15.75" hidden="1" customHeight="1" x14ac:dyDescent="0.25">
      <c r="A16" s="92" t="s">
        <v>611</v>
      </c>
      <c r="B16" s="10"/>
      <c r="C16" s="10"/>
      <c r="D16" s="10"/>
      <c r="E16" s="10"/>
      <c r="F16" s="10"/>
      <c r="G16" s="652">
        <v>4588</v>
      </c>
      <c r="H16" s="653">
        <v>1.0609999999999999</v>
      </c>
      <c r="I16" s="653"/>
      <c r="J16" s="651">
        <v>16242</v>
      </c>
      <c r="K16" s="10"/>
      <c r="L16" s="10"/>
      <c r="M16" s="10"/>
      <c r="N16" s="10"/>
      <c r="O16" s="10"/>
      <c r="P16" s="10"/>
      <c r="Q16" s="10"/>
      <c r="R16" s="10"/>
      <c r="S16" s="224"/>
    </row>
    <row r="17" spans="1:19" ht="24" x14ac:dyDescent="0.25">
      <c r="A17" s="269" t="s">
        <v>603</v>
      </c>
      <c r="G17" s="657"/>
      <c r="H17" s="658"/>
      <c r="I17" s="658"/>
      <c r="J17" s="658"/>
    </row>
    <row r="18" spans="1:19" x14ac:dyDescent="0.25">
      <c r="A18" s="220" t="s">
        <v>609</v>
      </c>
      <c r="B18" s="211">
        <v>247</v>
      </c>
      <c r="C18" s="212">
        <v>9</v>
      </c>
      <c r="D18" s="211">
        <v>30</v>
      </c>
      <c r="E18" s="211">
        <v>25</v>
      </c>
      <c r="F18" s="213">
        <f>IF(E18=0,0, B18*C18/D18/E18)</f>
        <v>2.96</v>
      </c>
      <c r="G18" s="655">
        <v>4588</v>
      </c>
      <c r="H18" s="656">
        <v>1.0609999999999999</v>
      </c>
      <c r="I18" s="656">
        <v>1.01</v>
      </c>
      <c r="J18" s="651">
        <v>16242</v>
      </c>
      <c r="K18" s="215">
        <f>(J18-G18*H18*I18)/G18+1</f>
        <v>3.468</v>
      </c>
      <c r="L18" s="214">
        <v>1</v>
      </c>
      <c r="M18" s="214">
        <v>1.01</v>
      </c>
      <c r="N18" s="214">
        <v>1.302</v>
      </c>
      <c r="O18" s="214">
        <v>1.085</v>
      </c>
      <c r="P18" s="211">
        <v>12</v>
      </c>
      <c r="Q18" s="216">
        <f>G18*H18*I18*K18*L18*M18*N18*O18*P18</f>
        <v>291933</v>
      </c>
      <c r="R18" s="216">
        <f t="shared" ref="R18" si="8">Q18/B18</f>
        <v>1182</v>
      </c>
      <c r="S18" s="219">
        <f t="shared" ref="S18" si="9">F18*R18</f>
        <v>3498.72</v>
      </c>
    </row>
    <row r="19" spans="1:19" ht="24" hidden="1" customHeight="1" x14ac:dyDescent="0.25">
      <c r="A19" s="221" t="s">
        <v>610</v>
      </c>
      <c r="B19" s="222"/>
      <c r="C19" s="222"/>
      <c r="D19" s="222"/>
      <c r="E19" s="222"/>
      <c r="F19" s="222"/>
      <c r="G19" s="652">
        <v>4588</v>
      </c>
      <c r="H19" s="653">
        <v>1.0609999999999999</v>
      </c>
      <c r="I19" s="653"/>
      <c r="J19" s="651">
        <v>16242</v>
      </c>
      <c r="K19" s="222"/>
      <c r="L19" s="222"/>
      <c r="M19" s="222"/>
      <c r="N19" s="222"/>
      <c r="O19" s="222"/>
      <c r="P19" s="222"/>
      <c r="Q19" s="222"/>
      <c r="R19" s="222"/>
      <c r="S19" s="224"/>
    </row>
    <row r="20" spans="1:19" ht="24" x14ac:dyDescent="0.25">
      <c r="A20" s="220" t="s">
        <v>625</v>
      </c>
      <c r="B20" s="211">
        <v>247</v>
      </c>
      <c r="C20" s="212">
        <v>9</v>
      </c>
      <c r="D20" s="211">
        <v>30</v>
      </c>
      <c r="E20" s="211">
        <v>9</v>
      </c>
      <c r="F20" s="213">
        <f>IF(E20=0,0, B20*C20/D20/E20)</f>
        <v>8.23</v>
      </c>
      <c r="G20" s="655">
        <v>4588</v>
      </c>
      <c r="H20" s="656">
        <v>1.0609999999999999</v>
      </c>
      <c r="I20" s="656">
        <v>1.01</v>
      </c>
      <c r="J20" s="651">
        <v>16242</v>
      </c>
      <c r="K20" s="215">
        <f>(J20-G20*H20*I20)/G20+1</f>
        <v>3.468</v>
      </c>
      <c r="L20" s="214">
        <v>1</v>
      </c>
      <c r="M20" s="214">
        <v>1.01</v>
      </c>
      <c r="N20" s="214">
        <v>1.302</v>
      </c>
      <c r="O20" s="214">
        <v>1.085</v>
      </c>
      <c r="P20" s="211">
        <v>12</v>
      </c>
      <c r="Q20" s="216">
        <f>G20*H20*I20*K20*L20*M20*N20*O20*P20</f>
        <v>291933</v>
      </c>
      <c r="R20" s="216">
        <f t="shared" ref="R20" si="10">Q20/B20</f>
        <v>1182</v>
      </c>
      <c r="S20" s="219">
        <f t="shared" ref="S20" si="11">F20*R20</f>
        <v>9727.86</v>
      </c>
    </row>
    <row r="21" spans="1:19" ht="24" hidden="1" customHeight="1" x14ac:dyDescent="0.25">
      <c r="A21" s="221" t="s">
        <v>639</v>
      </c>
      <c r="B21" s="222"/>
      <c r="C21" s="222"/>
      <c r="D21" s="222"/>
      <c r="E21" s="222"/>
      <c r="F21" s="222"/>
      <c r="G21" s="652">
        <v>4588</v>
      </c>
      <c r="H21" s="653">
        <v>1.0609999999999999</v>
      </c>
      <c r="I21" s="653"/>
      <c r="J21" s="651">
        <v>16242</v>
      </c>
      <c r="K21" s="222"/>
      <c r="L21" s="222"/>
      <c r="M21" s="222"/>
      <c r="N21" s="222"/>
      <c r="O21" s="222"/>
      <c r="P21" s="222"/>
      <c r="Q21" s="222"/>
      <c r="R21" s="222"/>
      <c r="S21" s="224"/>
    </row>
    <row r="22" spans="1:19" x14ac:dyDescent="0.25">
      <c r="A22" s="220" t="s">
        <v>626</v>
      </c>
      <c r="B22" s="211">
        <v>247</v>
      </c>
      <c r="C22" s="212">
        <v>9</v>
      </c>
      <c r="D22" s="211">
        <v>30</v>
      </c>
      <c r="E22" s="211">
        <v>0</v>
      </c>
      <c r="F22" s="213">
        <f>IF(E22=0,0, B22*C22/D22/E22)</f>
        <v>0</v>
      </c>
      <c r="G22" s="655">
        <v>4588</v>
      </c>
      <c r="H22" s="656">
        <v>1.0609999999999999</v>
      </c>
      <c r="I22" s="656">
        <v>1.01</v>
      </c>
      <c r="J22" s="651">
        <v>16242</v>
      </c>
      <c r="K22" s="215">
        <f t="shared" ref="K22:K24" si="12">(J22-G22*H22*I22)/G22+1</f>
        <v>3.468</v>
      </c>
      <c r="L22" s="214">
        <v>1</v>
      </c>
      <c r="M22" s="214">
        <v>1.01</v>
      </c>
      <c r="N22" s="214">
        <v>1.302</v>
      </c>
      <c r="O22" s="214">
        <v>1.085</v>
      </c>
      <c r="P22" s="211">
        <v>12</v>
      </c>
      <c r="Q22" s="216">
        <f t="shared" ref="Q22:Q24" si="13">G22*H22*I22*K22*L22*M22*N22*O22*P22</f>
        <v>291933</v>
      </c>
      <c r="R22" s="216">
        <f t="shared" ref="R22:R24" si="14">Q22/B22</f>
        <v>1182</v>
      </c>
      <c r="S22" s="219">
        <f t="shared" ref="S22:S24" si="15">F22*R22</f>
        <v>0</v>
      </c>
    </row>
    <row r="23" spans="1:19" ht="15.75" customHeight="1" x14ac:dyDescent="0.25">
      <c r="A23" s="220" t="s">
        <v>627</v>
      </c>
      <c r="B23" s="211">
        <v>247</v>
      </c>
      <c r="C23" s="212">
        <v>9</v>
      </c>
      <c r="D23" s="211">
        <v>30</v>
      </c>
      <c r="E23" s="211">
        <v>25</v>
      </c>
      <c r="F23" s="213">
        <f>IF(E23=0,0, B23*C23/D23/E23)</f>
        <v>2.96</v>
      </c>
      <c r="G23" s="655">
        <v>4588</v>
      </c>
      <c r="H23" s="656">
        <v>1.0609999999999999</v>
      </c>
      <c r="I23" s="656">
        <v>1.01</v>
      </c>
      <c r="J23" s="651">
        <v>16242</v>
      </c>
      <c r="K23" s="215">
        <f t="shared" si="12"/>
        <v>3.468</v>
      </c>
      <c r="L23" s="214">
        <v>1</v>
      </c>
      <c r="M23" s="214">
        <v>1.01</v>
      </c>
      <c r="N23" s="214">
        <v>1.302</v>
      </c>
      <c r="O23" s="214">
        <v>1.085</v>
      </c>
      <c r="P23" s="211">
        <v>12</v>
      </c>
      <c r="Q23" s="216">
        <f t="shared" si="13"/>
        <v>291933</v>
      </c>
      <c r="R23" s="216">
        <f t="shared" si="14"/>
        <v>1182</v>
      </c>
      <c r="S23" s="219">
        <f t="shared" si="15"/>
        <v>3498.72</v>
      </c>
    </row>
    <row r="24" spans="1:19" x14ac:dyDescent="0.25">
      <c r="A24" s="223" t="s">
        <v>608</v>
      </c>
      <c r="B24" s="211">
        <v>247</v>
      </c>
      <c r="C24" s="212">
        <v>9</v>
      </c>
      <c r="D24" s="211">
        <v>30</v>
      </c>
      <c r="E24" s="211">
        <v>25</v>
      </c>
      <c r="F24" s="213">
        <f>IF(E24=0,0, B24*C24/D24/E24)</f>
        <v>2.96</v>
      </c>
      <c r="G24" s="655">
        <v>4588</v>
      </c>
      <c r="H24" s="656">
        <v>1.0609999999999999</v>
      </c>
      <c r="I24" s="656">
        <v>1.01</v>
      </c>
      <c r="J24" s="651">
        <v>16242</v>
      </c>
      <c r="K24" s="215">
        <f t="shared" si="12"/>
        <v>3.468</v>
      </c>
      <c r="L24" s="214">
        <v>1</v>
      </c>
      <c r="M24" s="214">
        <v>1.01</v>
      </c>
      <c r="N24" s="214">
        <v>1.302</v>
      </c>
      <c r="O24" s="214">
        <v>1.085</v>
      </c>
      <c r="P24" s="211">
        <v>12</v>
      </c>
      <c r="Q24" s="216">
        <f t="shared" si="13"/>
        <v>291933</v>
      </c>
      <c r="R24" s="216">
        <f t="shared" si="14"/>
        <v>1182</v>
      </c>
      <c r="S24" s="219">
        <f t="shared" si="15"/>
        <v>3498.72</v>
      </c>
    </row>
    <row r="25" spans="1:19" ht="15.75" hidden="1" customHeight="1" x14ac:dyDescent="0.25">
      <c r="A25" s="221" t="s">
        <v>611</v>
      </c>
      <c r="B25" s="222"/>
      <c r="C25" s="222"/>
      <c r="D25" s="222"/>
      <c r="E25" s="222"/>
      <c r="F25" s="222"/>
      <c r="G25" s="652">
        <v>4588</v>
      </c>
      <c r="H25" s="653">
        <v>1.0609999999999999</v>
      </c>
      <c r="I25" s="653"/>
      <c r="J25" s="651">
        <v>16242</v>
      </c>
      <c r="K25" s="222"/>
      <c r="L25" s="222"/>
      <c r="M25" s="222"/>
      <c r="N25" s="222"/>
      <c r="O25" s="222"/>
      <c r="P25" s="222"/>
      <c r="Q25" s="222"/>
      <c r="R25" s="222"/>
      <c r="S25" s="224"/>
    </row>
    <row r="26" spans="1:19" ht="21" customHeight="1" x14ac:dyDescent="0.25">
      <c r="A26" s="269" t="s">
        <v>620</v>
      </c>
      <c r="G26" s="657"/>
      <c r="H26" s="658"/>
      <c r="I26" s="658"/>
      <c r="J26" s="658"/>
    </row>
    <row r="27" spans="1:19" x14ac:dyDescent="0.25">
      <c r="A27" s="12" t="s">
        <v>609</v>
      </c>
      <c r="B27" s="11">
        <v>247</v>
      </c>
      <c r="C27" s="73">
        <v>9</v>
      </c>
      <c r="D27" s="11">
        <v>30</v>
      </c>
      <c r="E27" s="11">
        <v>25</v>
      </c>
      <c r="F27" s="74">
        <f>IF(E27=0,0, B27*C27/D27/E27)</f>
        <v>2.96</v>
      </c>
      <c r="G27" s="649">
        <v>4588</v>
      </c>
      <c r="H27" s="650">
        <v>1.0609999999999999</v>
      </c>
      <c r="I27" s="650">
        <v>1.01</v>
      </c>
      <c r="J27" s="651">
        <v>16242</v>
      </c>
      <c r="K27" s="76">
        <f>(J27-G27*H27*I27)/G27+1</f>
        <v>3.468</v>
      </c>
      <c r="L27" s="75">
        <v>1</v>
      </c>
      <c r="M27" s="75">
        <v>1.01</v>
      </c>
      <c r="N27" s="75">
        <v>1.302</v>
      </c>
      <c r="O27" s="75">
        <v>1.085</v>
      </c>
      <c r="P27" s="11">
        <v>12</v>
      </c>
      <c r="Q27" s="77">
        <f>G27*H27*I27*K27*L27*M27*N27*O27*P27</f>
        <v>291933</v>
      </c>
      <c r="R27" s="77">
        <f t="shared" ref="R27" si="16">Q27/B27</f>
        <v>1182</v>
      </c>
      <c r="S27" s="219">
        <f t="shared" ref="S27" si="17">F27*R27</f>
        <v>3498.72</v>
      </c>
    </row>
    <row r="28" spans="1:19" ht="24" hidden="1" customHeight="1" x14ac:dyDescent="0.25">
      <c r="A28" s="92" t="s">
        <v>610</v>
      </c>
      <c r="B28" s="10"/>
      <c r="C28" s="10"/>
      <c r="D28" s="10"/>
      <c r="E28" s="10"/>
      <c r="F28" s="10"/>
      <c r="G28" s="652">
        <v>4588</v>
      </c>
      <c r="H28" s="653">
        <v>1.0609999999999999</v>
      </c>
      <c r="I28" s="653"/>
      <c r="J28" s="651">
        <v>16242</v>
      </c>
      <c r="K28" s="10"/>
      <c r="L28" s="10"/>
      <c r="M28" s="10"/>
      <c r="N28" s="10"/>
      <c r="O28" s="10"/>
      <c r="P28" s="10"/>
      <c r="Q28" s="10"/>
      <c r="R28" s="10"/>
      <c r="S28" s="224"/>
    </row>
    <row r="29" spans="1:19" ht="24" hidden="1" customHeight="1" x14ac:dyDescent="0.25">
      <c r="A29" s="92" t="s">
        <v>625</v>
      </c>
      <c r="B29" s="10"/>
      <c r="C29" s="10"/>
      <c r="D29" s="10"/>
      <c r="E29" s="10"/>
      <c r="F29" s="10"/>
      <c r="G29" s="652">
        <v>4588</v>
      </c>
      <c r="H29" s="653">
        <v>1.0609999999999999</v>
      </c>
      <c r="I29" s="653"/>
      <c r="J29" s="651">
        <v>16242</v>
      </c>
      <c r="K29" s="10"/>
      <c r="L29" s="10"/>
      <c r="M29" s="10"/>
      <c r="N29" s="10"/>
      <c r="O29" s="10"/>
      <c r="P29" s="10"/>
      <c r="Q29" s="10"/>
      <c r="R29" s="10"/>
      <c r="S29" s="224"/>
    </row>
    <row r="30" spans="1:19" ht="24" hidden="1" customHeight="1" x14ac:dyDescent="0.25">
      <c r="A30" s="92" t="s">
        <v>639</v>
      </c>
      <c r="B30" s="10"/>
      <c r="C30" s="10"/>
      <c r="D30" s="10"/>
      <c r="E30" s="10"/>
      <c r="F30" s="10"/>
      <c r="G30" s="652">
        <v>4588</v>
      </c>
      <c r="H30" s="653">
        <v>1.0609999999999999</v>
      </c>
      <c r="I30" s="653"/>
      <c r="J30" s="651">
        <v>16242</v>
      </c>
      <c r="K30" s="10"/>
      <c r="L30" s="10"/>
      <c r="M30" s="10"/>
      <c r="N30" s="10"/>
      <c r="O30" s="10"/>
      <c r="P30" s="10"/>
      <c r="Q30" s="10"/>
      <c r="R30" s="10"/>
      <c r="S30" s="224"/>
    </row>
    <row r="31" spans="1:19" x14ac:dyDescent="0.25">
      <c r="A31" s="12" t="s">
        <v>626</v>
      </c>
      <c r="B31" s="11">
        <v>247</v>
      </c>
      <c r="C31" s="73">
        <v>9</v>
      </c>
      <c r="D31" s="11">
        <v>30</v>
      </c>
      <c r="E31" s="11">
        <v>0</v>
      </c>
      <c r="F31" s="74">
        <f>IF(E31=0,0, B31*C31/D31/E31)</f>
        <v>0</v>
      </c>
      <c r="G31" s="649">
        <v>4588</v>
      </c>
      <c r="H31" s="650">
        <v>1.0609999999999999</v>
      </c>
      <c r="I31" s="650">
        <v>1.01</v>
      </c>
      <c r="J31" s="651">
        <v>16242</v>
      </c>
      <c r="K31" s="76">
        <f t="shared" ref="K31:K33" si="18">(J31-G31*H31*I31)/G31+1</f>
        <v>3.468</v>
      </c>
      <c r="L31" s="75">
        <v>1</v>
      </c>
      <c r="M31" s="75">
        <v>1.01</v>
      </c>
      <c r="N31" s="75">
        <v>1.302</v>
      </c>
      <c r="O31" s="75">
        <v>1.085</v>
      </c>
      <c r="P31" s="11">
        <v>12</v>
      </c>
      <c r="Q31" s="77">
        <f t="shared" ref="Q31:Q33" si="19">G31*H31*I31*K31*L31*M31*N31*O31*P31</f>
        <v>291933</v>
      </c>
      <c r="R31" s="77">
        <f t="shared" ref="R31:R33" si="20">Q31/B31</f>
        <v>1182</v>
      </c>
      <c r="S31" s="219">
        <f t="shared" ref="S31:S33" si="21">F31*R31</f>
        <v>0</v>
      </c>
    </row>
    <row r="32" spans="1:19" ht="15.75" customHeight="1" x14ac:dyDescent="0.25">
      <c r="A32" s="12" t="s">
        <v>627</v>
      </c>
      <c r="B32" s="11">
        <v>247</v>
      </c>
      <c r="C32" s="73">
        <v>9</v>
      </c>
      <c r="D32" s="11">
        <v>30</v>
      </c>
      <c r="E32" s="11">
        <v>25</v>
      </c>
      <c r="F32" s="74">
        <f>IF(E32=0,0, B32*C32/D32/E32)</f>
        <v>2.96</v>
      </c>
      <c r="G32" s="649">
        <v>4588</v>
      </c>
      <c r="H32" s="650">
        <v>1.0609999999999999</v>
      </c>
      <c r="I32" s="650">
        <v>1.01</v>
      </c>
      <c r="J32" s="651">
        <v>16242</v>
      </c>
      <c r="K32" s="76">
        <f t="shared" si="18"/>
        <v>3.468</v>
      </c>
      <c r="L32" s="75">
        <v>1</v>
      </c>
      <c r="M32" s="75">
        <v>1.01</v>
      </c>
      <c r="N32" s="75">
        <v>1.302</v>
      </c>
      <c r="O32" s="75">
        <v>1.085</v>
      </c>
      <c r="P32" s="11">
        <v>12</v>
      </c>
      <c r="Q32" s="77">
        <f t="shared" si="19"/>
        <v>291933</v>
      </c>
      <c r="R32" s="77">
        <f t="shared" si="20"/>
        <v>1182</v>
      </c>
      <c r="S32" s="219">
        <f t="shared" si="21"/>
        <v>3498.72</v>
      </c>
    </row>
    <row r="33" spans="1:19" x14ac:dyDescent="0.25">
      <c r="A33" s="174" t="s">
        <v>608</v>
      </c>
      <c r="B33" s="11">
        <v>247</v>
      </c>
      <c r="C33" s="73">
        <v>9</v>
      </c>
      <c r="D33" s="11">
        <v>30</v>
      </c>
      <c r="E33" s="11">
        <v>25</v>
      </c>
      <c r="F33" s="74">
        <f>IF(E33=0,0, B33*C33/D33/E33)</f>
        <v>2.96</v>
      </c>
      <c r="G33" s="649">
        <v>4588</v>
      </c>
      <c r="H33" s="650">
        <v>1.0609999999999999</v>
      </c>
      <c r="I33" s="650">
        <v>1.01</v>
      </c>
      <c r="J33" s="651">
        <v>16242</v>
      </c>
      <c r="K33" s="76">
        <f t="shared" si="18"/>
        <v>3.468</v>
      </c>
      <c r="L33" s="75">
        <v>1</v>
      </c>
      <c r="M33" s="75">
        <v>1.01</v>
      </c>
      <c r="N33" s="75">
        <v>1.302</v>
      </c>
      <c r="O33" s="75">
        <v>1.085</v>
      </c>
      <c r="P33" s="11">
        <v>12</v>
      </c>
      <c r="Q33" s="77">
        <f t="shared" si="19"/>
        <v>291933</v>
      </c>
      <c r="R33" s="77">
        <f t="shared" si="20"/>
        <v>1182</v>
      </c>
      <c r="S33" s="219">
        <f t="shared" si="21"/>
        <v>3498.72</v>
      </c>
    </row>
    <row r="34" spans="1:19" ht="15.75" hidden="1" customHeight="1" x14ac:dyDescent="0.25">
      <c r="A34" s="92" t="s">
        <v>611</v>
      </c>
      <c r="B34" s="10"/>
      <c r="C34" s="10"/>
      <c r="D34" s="10"/>
      <c r="E34" s="10"/>
      <c r="F34" s="10"/>
      <c r="G34" s="652">
        <v>4588</v>
      </c>
      <c r="H34" s="653">
        <v>1.0609999999999999</v>
      </c>
      <c r="I34" s="653"/>
      <c r="J34" s="651">
        <v>16242</v>
      </c>
      <c r="K34" s="10"/>
      <c r="L34" s="10"/>
      <c r="M34" s="10"/>
      <c r="N34" s="10"/>
      <c r="O34" s="10"/>
      <c r="P34" s="10"/>
      <c r="Q34" s="10"/>
      <c r="R34" s="10"/>
      <c r="S34" s="224"/>
    </row>
    <row r="35" spans="1:19" x14ac:dyDescent="0.25">
      <c r="G35" s="657"/>
      <c r="H35" s="657"/>
      <c r="I35" s="657"/>
      <c r="J35" s="657"/>
    </row>
    <row r="37" spans="1:19" x14ac:dyDescent="0.25">
      <c r="A37" s="1" t="s">
        <v>316</v>
      </c>
      <c r="L37" s="1"/>
      <c r="M37" s="1"/>
    </row>
    <row r="38" spans="1:19" x14ac:dyDescent="0.25">
      <c r="A38" s="1"/>
    </row>
    <row r="39" spans="1:19" x14ac:dyDescent="0.25">
      <c r="A39" s="1" t="s">
        <v>411</v>
      </c>
    </row>
  </sheetData>
  <mergeCells count="21">
    <mergeCell ref="T5:T6"/>
    <mergeCell ref="I5:I6"/>
    <mergeCell ref="K5:K6"/>
    <mergeCell ref="L5:L6"/>
    <mergeCell ref="M5:M6"/>
    <mergeCell ref="N5:N6"/>
    <mergeCell ref="O5:O6"/>
    <mergeCell ref="P5:P6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J5:J6"/>
    <mergeCell ref="Q5:Q6"/>
    <mergeCell ref="R5:R6"/>
    <mergeCell ref="S5:S6"/>
  </mergeCells>
  <pageMargins left="0" right="0" top="0" bottom="0" header="0.31496062992125984" footer="0.31496062992125984"/>
  <pageSetup paperSize="9" scale="50" fitToWidth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34">
    <tabColor rgb="FF00B050"/>
  </sheetPr>
  <dimension ref="A1:U39"/>
  <sheetViews>
    <sheetView view="pageBreakPreview" zoomScale="75" zoomScaleNormal="75" zoomScaleSheetLayoutView="75" workbookViewId="0">
      <pane xSplit="1" ySplit="7" topLeftCell="B8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O5" sqref="O5:O6"/>
    </sheetView>
  </sheetViews>
  <sheetFormatPr defaultRowHeight="15.75" x14ac:dyDescent="0.25"/>
  <cols>
    <col min="1" max="1" width="73" style="72" customWidth="1"/>
    <col min="2" max="2" width="11.140625" style="72" customWidth="1"/>
    <col min="3" max="3" width="11.85546875" style="72" customWidth="1"/>
    <col min="4" max="4" width="9.85546875" style="72" customWidth="1"/>
    <col min="5" max="5" width="9.42578125" style="72" customWidth="1"/>
    <col min="6" max="6" width="11.140625" style="72" customWidth="1"/>
    <col min="7" max="7" width="11" style="72" customWidth="1"/>
    <col min="8" max="10" width="12.7109375" style="72" customWidth="1"/>
    <col min="11" max="11" width="12" style="72" customWidth="1"/>
    <col min="12" max="12" width="12.7109375" style="72" customWidth="1"/>
    <col min="13" max="13" width="15.42578125" style="72" customWidth="1"/>
    <col min="14" max="14" width="12.42578125" style="72" customWidth="1"/>
    <col min="15" max="16" width="12.7109375" style="72" customWidth="1"/>
    <col min="17" max="17" width="8" style="72" customWidth="1"/>
    <col min="18" max="19" width="12.7109375" style="72" customWidth="1"/>
    <col min="20" max="20" width="12.140625" style="72" customWidth="1"/>
    <col min="21" max="21" width="12.42578125" style="72" hidden="1" customWidth="1"/>
    <col min="22" max="16384" width="9.140625" style="72"/>
  </cols>
  <sheetData>
    <row r="1" spans="1:21" x14ac:dyDescent="0.25">
      <c r="Q1" s="1" t="s">
        <v>871</v>
      </c>
    </row>
    <row r="2" spans="1:21" x14ac:dyDescent="0.25">
      <c r="A2" s="72" t="s">
        <v>773</v>
      </c>
    </row>
    <row r="4" spans="1:21" ht="22.5" customHeight="1" x14ac:dyDescent="0.25">
      <c r="A4" s="1374" t="s">
        <v>270</v>
      </c>
      <c r="B4" s="1375" t="s">
        <v>1424</v>
      </c>
      <c r="C4" s="1376"/>
      <c r="D4" s="1376"/>
      <c r="E4" s="1376"/>
      <c r="F4" s="1376"/>
      <c r="G4" s="1376"/>
      <c r="H4" s="1376"/>
      <c r="I4" s="1376"/>
      <c r="J4" s="1376"/>
      <c r="K4" s="1376"/>
      <c r="L4" s="1376"/>
      <c r="M4" s="1376"/>
      <c r="N4" s="1376"/>
      <c r="O4" s="1376"/>
      <c r="P4" s="1376"/>
      <c r="Q4" s="1376"/>
      <c r="R4" s="1376"/>
      <c r="S4" s="1376"/>
      <c r="T4" s="1376"/>
      <c r="U4" s="10"/>
    </row>
    <row r="5" spans="1:21" ht="15.75" customHeight="1" x14ac:dyDescent="0.25">
      <c r="A5" s="1374"/>
      <c r="B5" s="1371" t="s">
        <v>272</v>
      </c>
      <c r="C5" s="1377" t="s">
        <v>937</v>
      </c>
      <c r="D5" s="1377" t="s">
        <v>774</v>
      </c>
      <c r="E5" s="1371" t="s">
        <v>775</v>
      </c>
      <c r="F5" s="1360" t="s">
        <v>282</v>
      </c>
      <c r="G5" s="1510" t="s">
        <v>1422</v>
      </c>
      <c r="H5" s="1365" t="s">
        <v>1418</v>
      </c>
      <c r="I5" s="1381" t="s">
        <v>1419</v>
      </c>
      <c r="J5" s="1381" t="s">
        <v>1420</v>
      </c>
      <c r="K5" s="1368" t="s">
        <v>1416</v>
      </c>
      <c r="L5" s="1369" t="s">
        <v>273</v>
      </c>
      <c r="M5" s="1370" t="s">
        <v>958</v>
      </c>
      <c r="N5" s="1370" t="s">
        <v>888</v>
      </c>
      <c r="O5" s="1369" t="s">
        <v>274</v>
      </c>
      <c r="P5" s="1371" t="s">
        <v>959</v>
      </c>
      <c r="Q5" s="1369" t="s">
        <v>271</v>
      </c>
      <c r="R5" s="1369" t="s">
        <v>276</v>
      </c>
      <c r="S5" s="1378" t="s">
        <v>277</v>
      </c>
      <c r="T5" s="1379" t="s">
        <v>283</v>
      </c>
      <c r="U5" s="1366" t="s">
        <v>284</v>
      </c>
    </row>
    <row r="6" spans="1:21" ht="179.25" customHeight="1" x14ac:dyDescent="0.25">
      <c r="A6" s="1374"/>
      <c r="B6" s="1372"/>
      <c r="C6" s="1352"/>
      <c r="D6" s="1352"/>
      <c r="E6" s="1372"/>
      <c r="F6" s="1361"/>
      <c r="G6" s="1372"/>
      <c r="H6" s="1365"/>
      <c r="I6" s="1381"/>
      <c r="J6" s="1381"/>
      <c r="K6" s="1368"/>
      <c r="L6" s="1369"/>
      <c r="M6" s="1370"/>
      <c r="N6" s="1370"/>
      <c r="O6" s="1369"/>
      <c r="P6" s="1372"/>
      <c r="Q6" s="1369"/>
      <c r="R6" s="1369"/>
      <c r="S6" s="1378"/>
      <c r="T6" s="1379"/>
      <c r="U6" s="1367"/>
    </row>
    <row r="7" spans="1:21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>
        <v>8</v>
      </c>
      <c r="I7" s="78" t="s">
        <v>925</v>
      </c>
      <c r="J7" s="78" t="s">
        <v>926</v>
      </c>
      <c r="K7" s="421">
        <v>9</v>
      </c>
      <c r="L7" s="78" t="s">
        <v>927</v>
      </c>
      <c r="M7" s="78" t="s">
        <v>889</v>
      </c>
      <c r="N7" s="78" t="s">
        <v>890</v>
      </c>
      <c r="O7" s="78">
        <v>12</v>
      </c>
      <c r="P7" s="78">
        <v>13</v>
      </c>
      <c r="Q7" s="78">
        <v>14</v>
      </c>
      <c r="R7" s="78" t="s">
        <v>928</v>
      </c>
      <c r="S7" s="78" t="s">
        <v>280</v>
      </c>
      <c r="T7" s="79" t="s">
        <v>281</v>
      </c>
      <c r="U7" s="10"/>
    </row>
    <row r="8" spans="1:21" ht="24" x14ac:dyDescent="0.25">
      <c r="A8" s="269" t="s">
        <v>624</v>
      </c>
    </row>
    <row r="9" spans="1:21" x14ac:dyDescent="0.25">
      <c r="A9" s="12" t="s">
        <v>609</v>
      </c>
      <c r="B9" s="11">
        <v>247</v>
      </c>
      <c r="C9" s="73">
        <v>9</v>
      </c>
      <c r="D9" s="11">
        <v>30</v>
      </c>
      <c r="E9" s="11">
        <v>25</v>
      </c>
      <c r="F9" s="74">
        <f>IF(E9=0,0, B9*C9/D9/E9)</f>
        <v>2.96</v>
      </c>
      <c r="G9" s="649">
        <v>4588</v>
      </c>
      <c r="H9" s="650">
        <v>1.0609999999999999</v>
      </c>
      <c r="I9" s="650">
        <v>1.04</v>
      </c>
      <c r="J9" s="650">
        <v>1.01</v>
      </c>
      <c r="K9" s="651">
        <v>16242</v>
      </c>
      <c r="L9" s="76">
        <f>(K9-G9*H9*I9*J9)/G9+1</f>
        <v>3.4260000000000002</v>
      </c>
      <c r="M9" s="75">
        <v>1</v>
      </c>
      <c r="N9" s="75">
        <v>1.01</v>
      </c>
      <c r="O9" s="75">
        <v>1.302</v>
      </c>
      <c r="P9" s="75">
        <v>1.085</v>
      </c>
      <c r="Q9" s="11">
        <v>12</v>
      </c>
      <c r="R9" s="77">
        <f>G9*H9*I9*J9*L9*M9*N9*O9*P9*Q9</f>
        <v>299933</v>
      </c>
      <c r="S9" s="77">
        <f t="shared" ref="S9" si="0">R9/B9</f>
        <v>1214</v>
      </c>
      <c r="T9" s="219">
        <f>F9*S9</f>
        <v>3593.44</v>
      </c>
    </row>
    <row r="10" spans="1:21" ht="24" hidden="1" customHeight="1" x14ac:dyDescent="0.25">
      <c r="A10" s="92" t="s">
        <v>610</v>
      </c>
      <c r="B10" s="10"/>
      <c r="C10" s="10"/>
      <c r="D10" s="10"/>
      <c r="E10" s="10"/>
      <c r="F10" s="10"/>
      <c r="G10" s="652">
        <v>4588</v>
      </c>
      <c r="H10" s="653">
        <v>1.01525</v>
      </c>
      <c r="I10" s="653"/>
      <c r="J10" s="653"/>
      <c r="K10" s="654">
        <v>16242</v>
      </c>
      <c r="L10" s="10"/>
      <c r="M10" s="10"/>
      <c r="N10" s="10"/>
      <c r="O10" s="10"/>
      <c r="P10" s="10"/>
      <c r="Q10" s="10"/>
      <c r="R10" s="10"/>
      <c r="S10" s="10"/>
      <c r="T10" s="224"/>
    </row>
    <row r="11" spans="1:21" ht="24" x14ac:dyDescent="0.25">
      <c r="A11" s="12" t="s">
        <v>625</v>
      </c>
      <c r="B11" s="11">
        <v>247</v>
      </c>
      <c r="C11" s="73">
        <v>9</v>
      </c>
      <c r="D11" s="11">
        <v>30</v>
      </c>
      <c r="E11" s="11">
        <v>9</v>
      </c>
      <c r="F11" s="74">
        <f>IF(E11=0,0, B11*C11/D11/E11)</f>
        <v>8.23</v>
      </c>
      <c r="G11" s="649">
        <v>4588</v>
      </c>
      <c r="H11" s="650">
        <v>1.0609999999999999</v>
      </c>
      <c r="I11" s="650">
        <v>1.04</v>
      </c>
      <c r="J11" s="650">
        <v>1.01</v>
      </c>
      <c r="K11" s="651">
        <v>16242</v>
      </c>
      <c r="L11" s="76">
        <f t="shared" ref="L11:L12" si="1">(K11-G11*H11*I11*J11)/G11+1</f>
        <v>3.4260000000000002</v>
      </c>
      <c r="M11" s="75">
        <v>1</v>
      </c>
      <c r="N11" s="75">
        <v>1.01</v>
      </c>
      <c r="O11" s="75">
        <v>1.302</v>
      </c>
      <c r="P11" s="75">
        <v>1.085</v>
      </c>
      <c r="Q11" s="11">
        <v>12</v>
      </c>
      <c r="R11" s="77">
        <f t="shared" ref="R11:R12" si="2">G11*H11*I11*J11*L11*M11*N11*O11*P11*Q11</f>
        <v>299933</v>
      </c>
      <c r="S11" s="77">
        <f t="shared" ref="S11:S12" si="3">R11/B11</f>
        <v>1214</v>
      </c>
      <c r="T11" s="219">
        <f t="shared" ref="T11:T12" si="4">F11*S11</f>
        <v>9991.2199999999993</v>
      </c>
    </row>
    <row r="12" spans="1:21" x14ac:dyDescent="0.25">
      <c r="A12" s="12" t="s">
        <v>626</v>
      </c>
      <c r="B12" s="11">
        <v>247</v>
      </c>
      <c r="C12" s="73">
        <v>9</v>
      </c>
      <c r="D12" s="11">
        <v>30</v>
      </c>
      <c r="E12" s="11">
        <v>0</v>
      </c>
      <c r="F12" s="74">
        <f>IF(E12=0,0, B12*C12/D12/E12)</f>
        <v>0</v>
      </c>
      <c r="G12" s="649">
        <v>4588</v>
      </c>
      <c r="H12" s="650">
        <v>1.0609999999999999</v>
      </c>
      <c r="I12" s="650">
        <v>1.04</v>
      </c>
      <c r="J12" s="650">
        <v>1.01</v>
      </c>
      <c r="K12" s="651">
        <v>16242</v>
      </c>
      <c r="L12" s="76">
        <f t="shared" si="1"/>
        <v>3.4260000000000002</v>
      </c>
      <c r="M12" s="75">
        <v>1</v>
      </c>
      <c r="N12" s="75">
        <v>1.01</v>
      </c>
      <c r="O12" s="75">
        <v>1.302</v>
      </c>
      <c r="P12" s="75">
        <v>1.085</v>
      </c>
      <c r="Q12" s="11">
        <v>12</v>
      </c>
      <c r="R12" s="77">
        <f t="shared" si="2"/>
        <v>299933</v>
      </c>
      <c r="S12" s="77">
        <f t="shared" si="3"/>
        <v>1214</v>
      </c>
      <c r="T12" s="219">
        <f t="shared" si="4"/>
        <v>0</v>
      </c>
    </row>
    <row r="13" spans="1:21" ht="24" hidden="1" customHeight="1" x14ac:dyDescent="0.25">
      <c r="A13" s="92" t="s">
        <v>639</v>
      </c>
      <c r="B13" s="10"/>
      <c r="C13" s="10"/>
      <c r="D13" s="10"/>
      <c r="E13" s="10"/>
      <c r="F13" s="10"/>
      <c r="G13" s="652">
        <v>4588</v>
      </c>
      <c r="H13" s="653">
        <v>1.0609999999999999</v>
      </c>
      <c r="I13" s="653"/>
      <c r="J13" s="653"/>
      <c r="K13" s="651">
        <v>16242</v>
      </c>
      <c r="L13" s="10"/>
      <c r="M13" s="10"/>
      <c r="N13" s="10"/>
      <c r="O13" s="10"/>
      <c r="P13" s="10"/>
      <c r="Q13" s="10"/>
      <c r="R13" s="10"/>
      <c r="S13" s="10"/>
      <c r="T13" s="224"/>
    </row>
    <row r="14" spans="1:21" ht="15.75" customHeight="1" x14ac:dyDescent="0.25">
      <c r="A14" s="12" t="s">
        <v>627</v>
      </c>
      <c r="B14" s="11">
        <v>247</v>
      </c>
      <c r="C14" s="73">
        <v>9</v>
      </c>
      <c r="D14" s="11">
        <v>30</v>
      </c>
      <c r="E14" s="11">
        <v>25</v>
      </c>
      <c r="F14" s="74">
        <f>IF(E14=0,0, B14*C14/D14/E14)</f>
        <v>2.96</v>
      </c>
      <c r="G14" s="649">
        <v>4588</v>
      </c>
      <c r="H14" s="650">
        <v>1.0609999999999999</v>
      </c>
      <c r="I14" s="650">
        <v>1.04</v>
      </c>
      <c r="J14" s="650">
        <v>1.01</v>
      </c>
      <c r="K14" s="651">
        <v>16242</v>
      </c>
      <c r="L14" s="76">
        <f>(K14-G14*H14*I14*J14)/G14+1</f>
        <v>3.4260000000000002</v>
      </c>
      <c r="M14" s="75">
        <v>1</v>
      </c>
      <c r="N14" s="75">
        <v>1.01</v>
      </c>
      <c r="O14" s="75">
        <v>1.302</v>
      </c>
      <c r="P14" s="75">
        <v>1.085</v>
      </c>
      <c r="Q14" s="11">
        <v>12</v>
      </c>
      <c r="R14" s="77">
        <f>G14*H14*I14*J14*L14*M14*N14*O14*P14*Q14</f>
        <v>299933</v>
      </c>
      <c r="S14" s="77">
        <f t="shared" ref="S14" si="5">R14/B14</f>
        <v>1214</v>
      </c>
      <c r="T14" s="219">
        <f>F14*S14</f>
        <v>3593.44</v>
      </c>
    </row>
    <row r="15" spans="1:21" ht="15.75" hidden="1" customHeight="1" x14ac:dyDescent="0.25">
      <c r="A15" s="92" t="s">
        <v>608</v>
      </c>
      <c r="B15" s="10"/>
      <c r="C15" s="10"/>
      <c r="D15" s="10"/>
      <c r="E15" s="10"/>
      <c r="F15" s="10"/>
      <c r="G15" s="652">
        <v>4588</v>
      </c>
      <c r="H15" s="653">
        <v>1.0609999999999999</v>
      </c>
      <c r="I15" s="653"/>
      <c r="J15" s="653"/>
      <c r="K15" s="651">
        <v>16242</v>
      </c>
      <c r="L15" s="10"/>
      <c r="M15" s="10"/>
      <c r="N15" s="10"/>
      <c r="O15" s="10"/>
      <c r="P15" s="10"/>
      <c r="Q15" s="10"/>
      <c r="R15" s="10"/>
      <c r="S15" s="10"/>
      <c r="T15" s="224"/>
    </row>
    <row r="16" spans="1:21" ht="15.75" hidden="1" customHeight="1" x14ac:dyDescent="0.25">
      <c r="A16" s="92" t="s">
        <v>611</v>
      </c>
      <c r="B16" s="10"/>
      <c r="C16" s="10"/>
      <c r="D16" s="10"/>
      <c r="E16" s="10"/>
      <c r="F16" s="10"/>
      <c r="G16" s="652">
        <v>4588</v>
      </c>
      <c r="H16" s="653">
        <v>1.0609999999999999</v>
      </c>
      <c r="I16" s="653"/>
      <c r="J16" s="653"/>
      <c r="K16" s="651">
        <v>16242</v>
      </c>
      <c r="L16" s="10"/>
      <c r="M16" s="10"/>
      <c r="N16" s="10"/>
      <c r="O16" s="10"/>
      <c r="P16" s="10"/>
      <c r="Q16" s="10"/>
      <c r="R16" s="10"/>
      <c r="S16" s="10"/>
      <c r="T16" s="224"/>
    </row>
    <row r="17" spans="1:20" ht="24" x14ac:dyDescent="0.25">
      <c r="A17" s="269" t="s">
        <v>603</v>
      </c>
      <c r="G17" s="657"/>
      <c r="H17" s="658"/>
      <c r="I17" s="658"/>
      <c r="J17" s="658"/>
      <c r="K17" s="658"/>
    </row>
    <row r="18" spans="1:20" x14ac:dyDescent="0.25">
      <c r="A18" s="220" t="s">
        <v>609</v>
      </c>
      <c r="B18" s="211">
        <v>247</v>
      </c>
      <c r="C18" s="212">
        <v>9</v>
      </c>
      <c r="D18" s="211">
        <v>30</v>
      </c>
      <c r="E18" s="211">
        <v>25</v>
      </c>
      <c r="F18" s="213">
        <f>IF(E18=0,0, B18*C18/D18/E18)</f>
        <v>2.96</v>
      </c>
      <c r="G18" s="655">
        <v>4588</v>
      </c>
      <c r="H18" s="656">
        <v>1.0609999999999999</v>
      </c>
      <c r="I18" s="656">
        <v>1.04</v>
      </c>
      <c r="J18" s="656">
        <v>1.01</v>
      </c>
      <c r="K18" s="651">
        <v>16242</v>
      </c>
      <c r="L18" s="215">
        <f>(K18-G18*H18*I18*J18)/G18+1</f>
        <v>3.4260000000000002</v>
      </c>
      <c r="M18" s="214">
        <v>1</v>
      </c>
      <c r="N18" s="214">
        <v>1.01</v>
      </c>
      <c r="O18" s="214">
        <v>1.302</v>
      </c>
      <c r="P18" s="214">
        <v>1.085</v>
      </c>
      <c r="Q18" s="211">
        <v>12</v>
      </c>
      <c r="R18" s="216">
        <f>G18*H18*I18*J18*L18*M18*N18*O18*P18*Q18</f>
        <v>299933</v>
      </c>
      <c r="S18" s="216">
        <f t="shared" ref="S18" si="6">R18/B18</f>
        <v>1214</v>
      </c>
      <c r="T18" s="219">
        <f>F18*S18</f>
        <v>3593.44</v>
      </c>
    </row>
    <row r="19" spans="1:20" ht="24" hidden="1" customHeight="1" x14ac:dyDescent="0.25">
      <c r="A19" s="221" t="s">
        <v>610</v>
      </c>
      <c r="B19" s="222"/>
      <c r="C19" s="222"/>
      <c r="D19" s="222"/>
      <c r="E19" s="222"/>
      <c r="F19" s="222"/>
      <c r="G19" s="652">
        <v>4588</v>
      </c>
      <c r="H19" s="653">
        <v>1.0609999999999999</v>
      </c>
      <c r="I19" s="653"/>
      <c r="J19" s="653"/>
      <c r="K19" s="651">
        <v>16242</v>
      </c>
      <c r="L19" s="222"/>
      <c r="M19" s="222"/>
      <c r="N19" s="222"/>
      <c r="O19" s="222"/>
      <c r="P19" s="222"/>
      <c r="Q19" s="222"/>
      <c r="R19" s="222"/>
      <c r="S19" s="222"/>
      <c r="T19" s="224"/>
    </row>
    <row r="20" spans="1:20" ht="24" x14ac:dyDescent="0.25">
      <c r="A20" s="220" t="s">
        <v>625</v>
      </c>
      <c r="B20" s="211">
        <v>247</v>
      </c>
      <c r="C20" s="212">
        <v>9</v>
      </c>
      <c r="D20" s="211">
        <v>30</v>
      </c>
      <c r="E20" s="211">
        <v>9</v>
      </c>
      <c r="F20" s="213">
        <f>IF(E20=0,0, B20*C20/D20/E20)</f>
        <v>8.23</v>
      </c>
      <c r="G20" s="655">
        <v>4588</v>
      </c>
      <c r="H20" s="656">
        <v>1.0609999999999999</v>
      </c>
      <c r="I20" s="656">
        <v>1.04</v>
      </c>
      <c r="J20" s="656">
        <v>1.01</v>
      </c>
      <c r="K20" s="651">
        <v>16242</v>
      </c>
      <c r="L20" s="215">
        <f>(K20-G20*H20*I20*J20)/G20+1</f>
        <v>3.4260000000000002</v>
      </c>
      <c r="M20" s="214">
        <v>1</v>
      </c>
      <c r="N20" s="214">
        <v>1.01</v>
      </c>
      <c r="O20" s="214">
        <v>1.302</v>
      </c>
      <c r="P20" s="214">
        <v>1.085</v>
      </c>
      <c r="Q20" s="211">
        <v>12</v>
      </c>
      <c r="R20" s="216">
        <f>G20*H20*I20*J20*L20*M20*N20*O20*P20*Q20</f>
        <v>299933</v>
      </c>
      <c r="S20" s="216">
        <f t="shared" ref="S20" si="7">R20/B20</f>
        <v>1214</v>
      </c>
      <c r="T20" s="219">
        <f>F20*S20</f>
        <v>9991.2199999999993</v>
      </c>
    </row>
    <row r="21" spans="1:20" ht="24" hidden="1" customHeight="1" x14ac:dyDescent="0.25">
      <c r="A21" s="221" t="s">
        <v>639</v>
      </c>
      <c r="B21" s="222"/>
      <c r="C21" s="222"/>
      <c r="D21" s="222"/>
      <c r="E21" s="222"/>
      <c r="F21" s="222"/>
      <c r="G21" s="652">
        <v>4588</v>
      </c>
      <c r="H21" s="653">
        <v>1.0609999999999999</v>
      </c>
      <c r="I21" s="653"/>
      <c r="J21" s="653"/>
      <c r="K21" s="651">
        <v>16242</v>
      </c>
      <c r="L21" s="222"/>
      <c r="M21" s="222"/>
      <c r="N21" s="222"/>
      <c r="O21" s="222"/>
      <c r="P21" s="222"/>
      <c r="Q21" s="222"/>
      <c r="R21" s="222"/>
      <c r="S21" s="222"/>
      <c r="T21" s="224"/>
    </row>
    <row r="22" spans="1:20" x14ac:dyDescent="0.25">
      <c r="A22" s="220" t="s">
        <v>626</v>
      </c>
      <c r="B22" s="211">
        <v>247</v>
      </c>
      <c r="C22" s="212">
        <v>9</v>
      </c>
      <c r="D22" s="211">
        <v>30</v>
      </c>
      <c r="E22" s="211">
        <v>0</v>
      </c>
      <c r="F22" s="213">
        <f>IF(E22=0,0, B22*C22/D22/E22)</f>
        <v>0</v>
      </c>
      <c r="G22" s="655">
        <v>4588</v>
      </c>
      <c r="H22" s="656">
        <v>1.0609999999999999</v>
      </c>
      <c r="I22" s="656">
        <v>1.04</v>
      </c>
      <c r="J22" s="656">
        <v>1.01</v>
      </c>
      <c r="K22" s="651">
        <v>16242</v>
      </c>
      <c r="L22" s="215">
        <f t="shared" ref="L22:L24" si="8">(K22-G22*H22*I22*J22)/G22+1</f>
        <v>3.4260000000000002</v>
      </c>
      <c r="M22" s="214">
        <v>1</v>
      </c>
      <c r="N22" s="214">
        <v>1.01</v>
      </c>
      <c r="O22" s="214">
        <v>1.302</v>
      </c>
      <c r="P22" s="214">
        <v>1.085</v>
      </c>
      <c r="Q22" s="211">
        <v>12</v>
      </c>
      <c r="R22" s="216">
        <f t="shared" ref="R22:R24" si="9">G22*H22*I22*J22*L22*M22*N22*O22*P22*Q22</f>
        <v>299933</v>
      </c>
      <c r="S22" s="216">
        <f t="shared" ref="S22:S24" si="10">R22/B22</f>
        <v>1214</v>
      </c>
      <c r="T22" s="219">
        <f t="shared" ref="T22:T24" si="11">F22*S22</f>
        <v>0</v>
      </c>
    </row>
    <row r="23" spans="1:20" ht="15.75" customHeight="1" x14ac:dyDescent="0.25">
      <c r="A23" s="220" t="s">
        <v>627</v>
      </c>
      <c r="B23" s="211">
        <v>247</v>
      </c>
      <c r="C23" s="212">
        <v>9</v>
      </c>
      <c r="D23" s="211">
        <v>30</v>
      </c>
      <c r="E23" s="211">
        <v>25</v>
      </c>
      <c r="F23" s="213">
        <f>IF(E23=0,0, B23*C23/D23/E23)</f>
        <v>2.96</v>
      </c>
      <c r="G23" s="655">
        <v>4588</v>
      </c>
      <c r="H23" s="656">
        <v>1.0609999999999999</v>
      </c>
      <c r="I23" s="656">
        <v>1.04</v>
      </c>
      <c r="J23" s="656">
        <v>1.01</v>
      </c>
      <c r="K23" s="651">
        <v>16242</v>
      </c>
      <c r="L23" s="215">
        <f t="shared" si="8"/>
        <v>3.4260000000000002</v>
      </c>
      <c r="M23" s="214">
        <v>1</v>
      </c>
      <c r="N23" s="214">
        <v>1.01</v>
      </c>
      <c r="O23" s="214">
        <v>1.302</v>
      </c>
      <c r="P23" s="214">
        <v>1.085</v>
      </c>
      <c r="Q23" s="211">
        <v>12</v>
      </c>
      <c r="R23" s="216">
        <f t="shared" si="9"/>
        <v>299933</v>
      </c>
      <c r="S23" s="216">
        <f t="shared" si="10"/>
        <v>1214</v>
      </c>
      <c r="T23" s="219">
        <f t="shared" si="11"/>
        <v>3593.44</v>
      </c>
    </row>
    <row r="24" spans="1:20" x14ac:dyDescent="0.25">
      <c r="A24" s="223" t="s">
        <v>608</v>
      </c>
      <c r="B24" s="211">
        <v>247</v>
      </c>
      <c r="C24" s="212">
        <v>9</v>
      </c>
      <c r="D24" s="211">
        <v>30</v>
      </c>
      <c r="E24" s="211">
        <v>25</v>
      </c>
      <c r="F24" s="213">
        <f>IF(E24=0,0, B24*C24/D24/E24)</f>
        <v>2.96</v>
      </c>
      <c r="G24" s="655">
        <v>4588</v>
      </c>
      <c r="H24" s="656">
        <v>1.0609999999999999</v>
      </c>
      <c r="I24" s="656">
        <v>1.04</v>
      </c>
      <c r="J24" s="656">
        <v>1.01</v>
      </c>
      <c r="K24" s="651">
        <v>16242</v>
      </c>
      <c r="L24" s="215">
        <f t="shared" si="8"/>
        <v>3.4260000000000002</v>
      </c>
      <c r="M24" s="214">
        <v>1</v>
      </c>
      <c r="N24" s="214">
        <v>1.01</v>
      </c>
      <c r="O24" s="214">
        <v>1.302</v>
      </c>
      <c r="P24" s="214">
        <v>1.085</v>
      </c>
      <c r="Q24" s="211">
        <v>12</v>
      </c>
      <c r="R24" s="216">
        <f t="shared" si="9"/>
        <v>299933</v>
      </c>
      <c r="S24" s="216">
        <f t="shared" si="10"/>
        <v>1214</v>
      </c>
      <c r="T24" s="219">
        <f t="shared" si="11"/>
        <v>3593.44</v>
      </c>
    </row>
    <row r="25" spans="1:20" ht="15.75" hidden="1" customHeight="1" x14ac:dyDescent="0.25">
      <c r="A25" s="221" t="s">
        <v>611</v>
      </c>
      <c r="B25" s="222"/>
      <c r="C25" s="222"/>
      <c r="D25" s="222"/>
      <c r="E25" s="222"/>
      <c r="F25" s="222"/>
      <c r="G25" s="652">
        <v>4588</v>
      </c>
      <c r="H25" s="653">
        <v>1.0609999999999999</v>
      </c>
      <c r="I25" s="653"/>
      <c r="J25" s="653"/>
      <c r="K25" s="651">
        <v>16242</v>
      </c>
      <c r="L25" s="222"/>
      <c r="M25" s="222"/>
      <c r="N25" s="222"/>
      <c r="O25" s="222"/>
      <c r="P25" s="222"/>
      <c r="Q25" s="222"/>
      <c r="R25" s="222"/>
      <c r="S25" s="222"/>
      <c r="T25" s="224"/>
    </row>
    <row r="26" spans="1:20" ht="25.5" customHeight="1" x14ac:dyDescent="0.25">
      <c r="A26" s="269" t="s">
        <v>620</v>
      </c>
      <c r="G26" s="657"/>
      <c r="H26" s="658"/>
      <c r="I26" s="658"/>
      <c r="J26" s="658"/>
      <c r="K26" s="658"/>
    </row>
    <row r="27" spans="1:20" x14ac:dyDescent="0.25">
      <c r="A27" s="12" t="s">
        <v>609</v>
      </c>
      <c r="B27" s="11">
        <v>247</v>
      </c>
      <c r="C27" s="73">
        <v>9</v>
      </c>
      <c r="D27" s="11">
        <v>30</v>
      </c>
      <c r="E27" s="11">
        <v>25</v>
      </c>
      <c r="F27" s="74">
        <f>IF(E27=0,0, B27*C27/D27/E27)</f>
        <v>2.96</v>
      </c>
      <c r="G27" s="649">
        <v>4588</v>
      </c>
      <c r="H27" s="650">
        <v>1.0609999999999999</v>
      </c>
      <c r="I27" s="650">
        <v>1.04</v>
      </c>
      <c r="J27" s="650">
        <v>1.01</v>
      </c>
      <c r="K27" s="651">
        <v>16242</v>
      </c>
      <c r="L27" s="76">
        <f>(K27-G27*H27*I27*J27)/G27+1</f>
        <v>3.4260000000000002</v>
      </c>
      <c r="M27" s="75">
        <v>1</v>
      </c>
      <c r="N27" s="75">
        <v>1.01</v>
      </c>
      <c r="O27" s="75">
        <v>1.302</v>
      </c>
      <c r="P27" s="75">
        <v>1.085</v>
      </c>
      <c r="Q27" s="11">
        <v>12</v>
      </c>
      <c r="R27" s="77">
        <f>G27*H27*I27*J27*L27*M27*N27*O27*P27*Q27</f>
        <v>299933</v>
      </c>
      <c r="S27" s="77">
        <f t="shared" ref="S27" si="12">R27/B27</f>
        <v>1214</v>
      </c>
      <c r="T27" s="219">
        <f>F27*S27</f>
        <v>3593.44</v>
      </c>
    </row>
    <row r="28" spans="1:20" ht="24" hidden="1" customHeight="1" x14ac:dyDescent="0.25">
      <c r="A28" s="92" t="s">
        <v>610</v>
      </c>
      <c r="B28" s="10"/>
      <c r="C28" s="10"/>
      <c r="D28" s="10"/>
      <c r="E28" s="10"/>
      <c r="F28" s="10"/>
      <c r="G28" s="652">
        <v>4588</v>
      </c>
      <c r="H28" s="653">
        <v>1.0609999999999999</v>
      </c>
      <c r="I28" s="653"/>
      <c r="J28" s="653"/>
      <c r="K28" s="651">
        <v>16242</v>
      </c>
      <c r="L28" s="10"/>
      <c r="M28" s="10"/>
      <c r="N28" s="10"/>
      <c r="O28" s="10"/>
      <c r="P28" s="10"/>
      <c r="Q28" s="10"/>
      <c r="R28" s="10"/>
      <c r="S28" s="10"/>
      <c r="T28" s="224"/>
    </row>
    <row r="29" spans="1:20" ht="24" hidden="1" customHeight="1" x14ac:dyDescent="0.25">
      <c r="A29" s="92" t="s">
        <v>625</v>
      </c>
      <c r="B29" s="10"/>
      <c r="C29" s="10"/>
      <c r="D29" s="10"/>
      <c r="E29" s="10"/>
      <c r="F29" s="10"/>
      <c r="G29" s="652">
        <v>4588</v>
      </c>
      <c r="H29" s="653">
        <v>1.0609999999999999</v>
      </c>
      <c r="I29" s="653"/>
      <c r="J29" s="653"/>
      <c r="K29" s="651">
        <v>16242</v>
      </c>
      <c r="L29" s="10"/>
      <c r="M29" s="10"/>
      <c r="N29" s="10"/>
      <c r="O29" s="10"/>
      <c r="P29" s="10"/>
      <c r="Q29" s="10"/>
      <c r="R29" s="10"/>
      <c r="S29" s="10"/>
      <c r="T29" s="224"/>
    </row>
    <row r="30" spans="1:20" ht="24" hidden="1" customHeight="1" x14ac:dyDescent="0.25">
      <c r="A30" s="92" t="s">
        <v>639</v>
      </c>
      <c r="B30" s="10"/>
      <c r="C30" s="10"/>
      <c r="D30" s="10"/>
      <c r="E30" s="10"/>
      <c r="F30" s="10"/>
      <c r="G30" s="652">
        <v>4588</v>
      </c>
      <c r="H30" s="653">
        <v>1.0609999999999999</v>
      </c>
      <c r="I30" s="653"/>
      <c r="J30" s="653"/>
      <c r="K30" s="651">
        <v>16242</v>
      </c>
      <c r="L30" s="10"/>
      <c r="M30" s="10"/>
      <c r="N30" s="10"/>
      <c r="O30" s="10"/>
      <c r="P30" s="10"/>
      <c r="Q30" s="10"/>
      <c r="R30" s="10"/>
      <c r="S30" s="10"/>
      <c r="T30" s="224"/>
    </row>
    <row r="31" spans="1:20" x14ac:dyDescent="0.25">
      <c r="A31" s="12" t="s">
        <v>626</v>
      </c>
      <c r="B31" s="11">
        <v>247</v>
      </c>
      <c r="C31" s="73">
        <v>9</v>
      </c>
      <c r="D31" s="11">
        <v>30</v>
      </c>
      <c r="E31" s="11">
        <v>0</v>
      </c>
      <c r="F31" s="74">
        <f>IF(E31=0,0, B31*C31/D31/E31)</f>
        <v>0</v>
      </c>
      <c r="G31" s="649">
        <v>4588</v>
      </c>
      <c r="H31" s="650">
        <v>1.0609999999999999</v>
      </c>
      <c r="I31" s="650">
        <v>1.04</v>
      </c>
      <c r="J31" s="650">
        <v>1.01</v>
      </c>
      <c r="K31" s="651">
        <v>16242</v>
      </c>
      <c r="L31" s="76">
        <f t="shared" ref="L31:L33" si="13">(K31-G31*H31*I31*J31)/G31+1</f>
        <v>3.4260000000000002</v>
      </c>
      <c r="M31" s="75">
        <v>1</v>
      </c>
      <c r="N31" s="75">
        <v>1.01</v>
      </c>
      <c r="O31" s="75">
        <v>1.302</v>
      </c>
      <c r="P31" s="75">
        <v>1.085</v>
      </c>
      <c r="Q31" s="11">
        <v>12</v>
      </c>
      <c r="R31" s="77">
        <f t="shared" ref="R31:R33" si="14">G31*H31*I31*J31*L31*M31*N31*O31*P31*Q31</f>
        <v>299933</v>
      </c>
      <c r="S31" s="77">
        <f t="shared" ref="S31:S33" si="15">R31/B31</f>
        <v>1214</v>
      </c>
      <c r="T31" s="219">
        <f t="shared" ref="T31:T33" si="16">F31*S31</f>
        <v>0</v>
      </c>
    </row>
    <row r="32" spans="1:20" ht="15.75" customHeight="1" x14ac:dyDescent="0.25">
      <c r="A32" s="12" t="s">
        <v>627</v>
      </c>
      <c r="B32" s="11">
        <v>247</v>
      </c>
      <c r="C32" s="73">
        <v>9</v>
      </c>
      <c r="D32" s="11">
        <v>30</v>
      </c>
      <c r="E32" s="11">
        <v>25</v>
      </c>
      <c r="F32" s="74">
        <f>IF(E32=0,0, B32*C32/D32/E32)</f>
        <v>2.96</v>
      </c>
      <c r="G32" s="649">
        <v>4588</v>
      </c>
      <c r="H32" s="650">
        <v>1.0609999999999999</v>
      </c>
      <c r="I32" s="650">
        <v>1.04</v>
      </c>
      <c r="J32" s="650">
        <v>1.01</v>
      </c>
      <c r="K32" s="651">
        <v>16242</v>
      </c>
      <c r="L32" s="76">
        <f t="shared" si="13"/>
        <v>3.4260000000000002</v>
      </c>
      <c r="M32" s="75">
        <v>1</v>
      </c>
      <c r="N32" s="75">
        <v>1.01</v>
      </c>
      <c r="O32" s="75">
        <v>1.302</v>
      </c>
      <c r="P32" s="75">
        <v>1.085</v>
      </c>
      <c r="Q32" s="11">
        <v>12</v>
      </c>
      <c r="R32" s="77">
        <f t="shared" si="14"/>
        <v>299933</v>
      </c>
      <c r="S32" s="77">
        <f t="shared" si="15"/>
        <v>1214</v>
      </c>
      <c r="T32" s="219">
        <f t="shared" si="16"/>
        <v>3593.44</v>
      </c>
    </row>
    <row r="33" spans="1:20" x14ac:dyDescent="0.25">
      <c r="A33" s="174" t="s">
        <v>608</v>
      </c>
      <c r="B33" s="11">
        <v>247</v>
      </c>
      <c r="C33" s="73">
        <v>9</v>
      </c>
      <c r="D33" s="11">
        <v>30</v>
      </c>
      <c r="E33" s="11">
        <v>25</v>
      </c>
      <c r="F33" s="74">
        <f>IF(E33=0,0, B33*C33/D33/E33)</f>
        <v>2.96</v>
      </c>
      <c r="G33" s="649">
        <v>4588</v>
      </c>
      <c r="H33" s="650">
        <v>1.0609999999999999</v>
      </c>
      <c r="I33" s="650">
        <v>1.04</v>
      </c>
      <c r="J33" s="650">
        <v>1.01</v>
      </c>
      <c r="K33" s="651">
        <v>16242</v>
      </c>
      <c r="L33" s="76">
        <f t="shared" si="13"/>
        <v>3.4260000000000002</v>
      </c>
      <c r="M33" s="75">
        <v>1</v>
      </c>
      <c r="N33" s="75">
        <v>1.01</v>
      </c>
      <c r="O33" s="75">
        <v>1.302</v>
      </c>
      <c r="P33" s="75">
        <v>1.085</v>
      </c>
      <c r="Q33" s="11">
        <v>12</v>
      </c>
      <c r="R33" s="77">
        <f t="shared" si="14"/>
        <v>299933</v>
      </c>
      <c r="S33" s="77">
        <f t="shared" si="15"/>
        <v>1214</v>
      </c>
      <c r="T33" s="219">
        <f t="shared" si="16"/>
        <v>3593.44</v>
      </c>
    </row>
    <row r="34" spans="1:20" ht="15.75" hidden="1" customHeight="1" x14ac:dyDescent="0.25">
      <c r="A34" s="92" t="s">
        <v>611</v>
      </c>
      <c r="B34" s="10"/>
      <c r="C34" s="10"/>
      <c r="D34" s="10"/>
      <c r="E34" s="10"/>
      <c r="F34" s="10"/>
      <c r="G34" s="652">
        <v>4588</v>
      </c>
      <c r="H34" s="653">
        <v>1.0609999999999999</v>
      </c>
      <c r="I34" s="653"/>
      <c r="J34" s="653"/>
      <c r="K34" s="651">
        <v>16242</v>
      </c>
      <c r="L34" s="10"/>
      <c r="M34" s="10"/>
      <c r="N34" s="10"/>
      <c r="O34" s="10"/>
      <c r="P34" s="10"/>
      <c r="Q34" s="10"/>
      <c r="R34" s="10"/>
      <c r="S34" s="10"/>
      <c r="T34" s="224"/>
    </row>
    <row r="35" spans="1:20" x14ac:dyDescent="0.25">
      <c r="G35" s="657"/>
      <c r="H35" s="657"/>
      <c r="I35" s="657"/>
      <c r="J35" s="657"/>
      <c r="K35" s="657"/>
    </row>
    <row r="37" spans="1:20" x14ac:dyDescent="0.25">
      <c r="A37" s="1" t="s">
        <v>316</v>
      </c>
      <c r="M37" s="1"/>
      <c r="N37" s="1"/>
    </row>
    <row r="38" spans="1:20" x14ac:dyDescent="0.25">
      <c r="A38" s="1"/>
    </row>
    <row r="39" spans="1:20" x14ac:dyDescent="0.25">
      <c r="A39" s="1" t="s">
        <v>411</v>
      </c>
    </row>
  </sheetData>
  <mergeCells count="22">
    <mergeCell ref="U5:U6"/>
    <mergeCell ref="N5:N6"/>
    <mergeCell ref="Q5:Q6"/>
    <mergeCell ref="R5:R6"/>
    <mergeCell ref="S5:S6"/>
    <mergeCell ref="T5:T6"/>
    <mergeCell ref="O5:O6"/>
    <mergeCell ref="P5:P6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ageMargins left="0" right="0" top="0" bottom="0" header="0.31496062992125984" footer="0.31496062992125984"/>
  <pageSetup paperSize="9" scale="48" fitToWidth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35">
    <tabColor rgb="FF92D050"/>
  </sheetPr>
  <dimension ref="A1:LL242"/>
  <sheetViews>
    <sheetView view="pageBreakPreview" zoomScale="80" zoomScaleNormal="80" zoomScaleSheetLayoutView="80" workbookViewId="0">
      <pane xSplit="2" ySplit="9" topLeftCell="KV214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EA5" sqref="EA5"/>
    </sheetView>
  </sheetViews>
  <sheetFormatPr defaultRowHeight="15" x14ac:dyDescent="0.25"/>
  <cols>
    <col min="1" max="1" width="5.57031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10.5703125" style="1" customWidth="1"/>
    <col min="9" max="9" width="10.710937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9.140625" style="132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132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132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10.710937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132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132" customWidth="1"/>
    <col min="55" max="55" width="7.7109375" style="1" customWidth="1"/>
    <col min="56" max="56" width="8.140625" style="1" customWidth="1"/>
    <col min="57" max="57" width="7.7109375" style="1" customWidth="1"/>
    <col min="58" max="58" width="9.28515625" style="1" customWidth="1"/>
    <col min="59" max="59" width="11.5703125" style="1" customWidth="1"/>
    <col min="60" max="60" width="8" style="1" customWidth="1"/>
    <col min="61" max="61" width="11.5703125" style="1" customWidth="1"/>
    <col min="62" max="62" width="12" style="1" customWidth="1"/>
    <col min="63" max="63" width="11" style="1" customWidth="1"/>
    <col min="64" max="64" width="8.28515625" style="132" customWidth="1"/>
    <col min="65" max="65" width="7.7109375" style="1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132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132" customWidth="1"/>
    <col min="85" max="85" width="7.7109375" style="1" customWidth="1"/>
    <col min="86" max="86" width="8.140625" style="1" customWidth="1"/>
    <col min="87" max="87" width="7.7109375" style="1" customWidth="1"/>
    <col min="88" max="88" width="9.28515625" style="1" customWidth="1"/>
    <col min="89" max="89" width="11.5703125" style="1" customWidth="1"/>
    <col min="90" max="90" width="8" style="1" customWidth="1"/>
    <col min="91" max="91" width="11.5703125" style="1" customWidth="1"/>
    <col min="92" max="92" width="12" style="1" customWidth="1"/>
    <col min="93" max="93" width="11" style="1" customWidth="1"/>
    <col min="94" max="94" width="8.28515625" style="132" customWidth="1"/>
    <col min="95" max="95" width="7.7109375" style="1" customWidth="1"/>
    <col min="96" max="96" width="8.140625" style="1" customWidth="1"/>
    <col min="97" max="97" width="7.7109375" style="1" customWidth="1"/>
    <col min="98" max="98" width="9.28515625" style="1" customWidth="1"/>
    <col min="99" max="99" width="11.5703125" style="1" customWidth="1"/>
    <col min="100" max="100" width="8" style="1" customWidth="1"/>
    <col min="101" max="101" width="11.5703125" style="1" customWidth="1"/>
    <col min="102" max="102" width="12" style="1" customWidth="1"/>
    <col min="103" max="103" width="11" style="1" customWidth="1"/>
    <col min="104" max="104" width="8.28515625" style="132" customWidth="1"/>
    <col min="105" max="105" width="7.7109375" style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132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132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132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132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132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132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132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132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132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132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132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132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132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132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132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132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132" customWidth="1"/>
    <col min="275" max="275" width="7.7109375" style="1" customWidth="1"/>
    <col min="276" max="276" width="8.140625" style="1" customWidth="1"/>
    <col min="277" max="277" width="7.7109375" style="1" customWidth="1"/>
    <col min="278" max="278" width="9.28515625" style="1" customWidth="1"/>
    <col min="279" max="279" width="11.5703125" style="1" customWidth="1"/>
    <col min="280" max="280" width="8" style="1" customWidth="1"/>
    <col min="281" max="281" width="11.5703125" style="1" customWidth="1"/>
    <col min="282" max="282" width="12" style="1" customWidth="1"/>
    <col min="283" max="283" width="11" style="1" customWidth="1"/>
    <col min="284" max="284" width="8.28515625" style="132" customWidth="1"/>
    <col min="285" max="285" width="7.7109375" style="1" customWidth="1"/>
    <col min="286" max="286" width="8.140625" style="1" customWidth="1"/>
    <col min="287" max="287" width="7.7109375" style="1" customWidth="1"/>
    <col min="288" max="288" width="9.28515625" style="1" customWidth="1"/>
    <col min="289" max="289" width="11.5703125" style="1" customWidth="1"/>
    <col min="290" max="290" width="8" style="1" customWidth="1"/>
    <col min="291" max="291" width="11.5703125" style="1" customWidth="1"/>
    <col min="292" max="292" width="12" style="1" customWidth="1"/>
    <col min="293" max="293" width="11" style="1" customWidth="1"/>
    <col min="294" max="294" width="8.28515625" style="132" customWidth="1"/>
    <col min="295" max="295" width="7.7109375" style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132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132" customWidth="1"/>
    <col min="315" max="315" width="7.7109375" style="1" customWidth="1"/>
    <col min="316" max="316" width="7.85546875" style="1" customWidth="1"/>
    <col min="317" max="317" width="7.7109375" style="1" customWidth="1"/>
    <col min="318" max="318" width="10.57031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132" customWidth="1"/>
    <col min="325" max="472" width="9.140625" style="1"/>
    <col min="473" max="473" width="6.28515625" style="1" customWidth="1"/>
    <col min="474" max="474" width="71.85546875" style="1" customWidth="1"/>
    <col min="475" max="475" width="7.5703125" style="1" customWidth="1"/>
    <col min="476" max="476" width="7" style="1" customWidth="1"/>
    <col min="477" max="477" width="7.7109375" style="1" customWidth="1"/>
    <col min="478" max="478" width="9.28515625" style="1" customWidth="1"/>
    <col min="479" max="479" width="9.710937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1" customWidth="1"/>
    <col min="485" max="485" width="7.7109375" style="1" customWidth="1"/>
    <col min="486" max="486" width="7" style="1" customWidth="1"/>
    <col min="487" max="487" width="7.7109375" style="1" customWidth="1"/>
    <col min="488" max="488" width="9.28515625" style="1" customWidth="1"/>
    <col min="489" max="489" width="9.710937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1" customWidth="1"/>
    <col min="495" max="495" width="7.7109375" style="1" customWidth="1"/>
    <col min="496" max="496" width="7" style="1" customWidth="1"/>
    <col min="497" max="497" width="7.7109375" style="1" customWidth="1"/>
    <col min="498" max="498" width="9.28515625" style="1" customWidth="1"/>
    <col min="499" max="499" width="9.710937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1" customWidth="1"/>
    <col min="505" max="505" width="7.7109375" style="1" customWidth="1"/>
    <col min="506" max="506" width="7" style="1" customWidth="1"/>
    <col min="507" max="507" width="7.7109375" style="1" customWidth="1"/>
    <col min="508" max="508" width="9.28515625" style="1" customWidth="1"/>
    <col min="509" max="509" width="9.710937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1" customWidth="1"/>
    <col min="515" max="515" width="7.7109375" style="1" customWidth="1"/>
    <col min="516" max="516" width="7" style="1" customWidth="1"/>
    <col min="517" max="517" width="7.7109375" style="1" customWidth="1"/>
    <col min="518" max="518" width="9.28515625" style="1" customWidth="1"/>
    <col min="519" max="519" width="9.710937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1" customWidth="1"/>
    <col min="525" max="525" width="7.7109375" style="1" customWidth="1"/>
    <col min="526" max="526" width="7.85546875" style="1" customWidth="1"/>
    <col min="527" max="527" width="7.7109375" style="1" customWidth="1"/>
    <col min="528" max="528" width="9.28515625" style="1" customWidth="1"/>
    <col min="529" max="529" width="9.710937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1" customWidth="1"/>
    <col min="535" max="728" width="9.140625" style="1"/>
    <col min="729" max="729" width="6.28515625" style="1" customWidth="1"/>
    <col min="730" max="730" width="71.85546875" style="1" customWidth="1"/>
    <col min="731" max="731" width="7.5703125" style="1" customWidth="1"/>
    <col min="732" max="732" width="7" style="1" customWidth="1"/>
    <col min="733" max="733" width="7.7109375" style="1" customWidth="1"/>
    <col min="734" max="734" width="9.28515625" style="1" customWidth="1"/>
    <col min="735" max="735" width="9.7109375" style="1" customWidth="1"/>
    <col min="736" max="736" width="8" style="1" customWidth="1"/>
    <col min="737" max="737" width="11.5703125" style="1" customWidth="1"/>
    <col min="738" max="738" width="12" style="1" customWidth="1"/>
    <col min="739" max="739" width="11" style="1" customWidth="1"/>
    <col min="740" max="740" width="8.28515625" style="1" customWidth="1"/>
    <col min="741" max="741" width="7.7109375" style="1" customWidth="1"/>
    <col min="742" max="742" width="7" style="1" customWidth="1"/>
    <col min="743" max="743" width="7.7109375" style="1" customWidth="1"/>
    <col min="744" max="744" width="9.28515625" style="1" customWidth="1"/>
    <col min="745" max="745" width="9.7109375" style="1" customWidth="1"/>
    <col min="746" max="746" width="8" style="1" customWidth="1"/>
    <col min="747" max="747" width="11.5703125" style="1" customWidth="1"/>
    <col min="748" max="748" width="12" style="1" customWidth="1"/>
    <col min="749" max="749" width="11" style="1" customWidth="1"/>
    <col min="750" max="750" width="8.28515625" style="1" customWidth="1"/>
    <col min="751" max="751" width="7.7109375" style="1" customWidth="1"/>
    <col min="752" max="752" width="7" style="1" customWidth="1"/>
    <col min="753" max="753" width="7.7109375" style="1" customWidth="1"/>
    <col min="754" max="754" width="9.28515625" style="1" customWidth="1"/>
    <col min="755" max="755" width="9.7109375" style="1" customWidth="1"/>
    <col min="756" max="756" width="8" style="1" customWidth="1"/>
    <col min="757" max="757" width="11.5703125" style="1" customWidth="1"/>
    <col min="758" max="758" width="12" style="1" customWidth="1"/>
    <col min="759" max="759" width="11" style="1" customWidth="1"/>
    <col min="760" max="760" width="8.28515625" style="1" customWidth="1"/>
    <col min="761" max="761" width="7.7109375" style="1" customWidth="1"/>
    <col min="762" max="762" width="7" style="1" customWidth="1"/>
    <col min="763" max="763" width="7.7109375" style="1" customWidth="1"/>
    <col min="764" max="764" width="9.28515625" style="1" customWidth="1"/>
    <col min="765" max="765" width="9.7109375" style="1" customWidth="1"/>
    <col min="766" max="766" width="8" style="1" customWidth="1"/>
    <col min="767" max="767" width="11.5703125" style="1" customWidth="1"/>
    <col min="768" max="768" width="12" style="1" customWidth="1"/>
    <col min="769" max="769" width="11" style="1" customWidth="1"/>
    <col min="770" max="770" width="8.28515625" style="1" customWidth="1"/>
    <col min="771" max="771" width="7.7109375" style="1" customWidth="1"/>
    <col min="772" max="772" width="7" style="1" customWidth="1"/>
    <col min="773" max="773" width="7.7109375" style="1" customWidth="1"/>
    <col min="774" max="774" width="9.28515625" style="1" customWidth="1"/>
    <col min="775" max="775" width="9.7109375" style="1" customWidth="1"/>
    <col min="776" max="776" width="8" style="1" customWidth="1"/>
    <col min="777" max="777" width="11.5703125" style="1" customWidth="1"/>
    <col min="778" max="778" width="12" style="1" customWidth="1"/>
    <col min="779" max="779" width="11" style="1" customWidth="1"/>
    <col min="780" max="780" width="8.28515625" style="1" customWidth="1"/>
    <col min="781" max="781" width="7.7109375" style="1" customWidth="1"/>
    <col min="782" max="782" width="7.85546875" style="1" customWidth="1"/>
    <col min="783" max="783" width="7.7109375" style="1" customWidth="1"/>
    <col min="784" max="784" width="9.28515625" style="1" customWidth="1"/>
    <col min="785" max="785" width="9.7109375" style="1" customWidth="1"/>
    <col min="786" max="786" width="8" style="1" customWidth="1"/>
    <col min="787" max="787" width="11.5703125" style="1" customWidth="1"/>
    <col min="788" max="788" width="12" style="1" customWidth="1"/>
    <col min="789" max="789" width="11" style="1" customWidth="1"/>
    <col min="790" max="790" width="8.28515625" style="1" customWidth="1"/>
    <col min="791" max="984" width="9.140625" style="1"/>
    <col min="985" max="985" width="6.28515625" style="1" customWidth="1"/>
    <col min="986" max="986" width="71.85546875" style="1" customWidth="1"/>
    <col min="987" max="987" width="7.5703125" style="1" customWidth="1"/>
    <col min="988" max="988" width="7" style="1" customWidth="1"/>
    <col min="989" max="989" width="7.7109375" style="1" customWidth="1"/>
    <col min="990" max="990" width="9.28515625" style="1" customWidth="1"/>
    <col min="991" max="991" width="9.7109375" style="1" customWidth="1"/>
    <col min="992" max="992" width="8" style="1" customWidth="1"/>
    <col min="993" max="993" width="11.5703125" style="1" customWidth="1"/>
    <col min="994" max="994" width="12" style="1" customWidth="1"/>
    <col min="995" max="995" width="11" style="1" customWidth="1"/>
    <col min="996" max="996" width="8.28515625" style="1" customWidth="1"/>
    <col min="997" max="997" width="7.7109375" style="1" customWidth="1"/>
    <col min="998" max="998" width="7" style="1" customWidth="1"/>
    <col min="999" max="999" width="7.7109375" style="1" customWidth="1"/>
    <col min="1000" max="1000" width="9.28515625" style="1" customWidth="1"/>
    <col min="1001" max="1001" width="9.7109375" style="1" customWidth="1"/>
    <col min="1002" max="1002" width="8" style="1" customWidth="1"/>
    <col min="1003" max="1003" width="11.5703125" style="1" customWidth="1"/>
    <col min="1004" max="1004" width="12" style="1" customWidth="1"/>
    <col min="1005" max="1005" width="11" style="1" customWidth="1"/>
    <col min="1006" max="1006" width="8.28515625" style="1" customWidth="1"/>
    <col min="1007" max="1007" width="7.7109375" style="1" customWidth="1"/>
    <col min="1008" max="1008" width="7" style="1" customWidth="1"/>
    <col min="1009" max="1009" width="7.7109375" style="1" customWidth="1"/>
    <col min="1010" max="1010" width="9.28515625" style="1" customWidth="1"/>
    <col min="1011" max="1011" width="9.7109375" style="1" customWidth="1"/>
    <col min="1012" max="1012" width="8" style="1" customWidth="1"/>
    <col min="1013" max="1013" width="11.5703125" style="1" customWidth="1"/>
    <col min="1014" max="1014" width="12" style="1" customWidth="1"/>
    <col min="1015" max="1015" width="11" style="1" customWidth="1"/>
    <col min="1016" max="1016" width="8.28515625" style="1" customWidth="1"/>
    <col min="1017" max="1017" width="7.7109375" style="1" customWidth="1"/>
    <col min="1018" max="1018" width="7" style="1" customWidth="1"/>
    <col min="1019" max="1019" width="7.7109375" style="1" customWidth="1"/>
    <col min="1020" max="1020" width="9.28515625" style="1" customWidth="1"/>
    <col min="1021" max="1021" width="9.7109375" style="1" customWidth="1"/>
    <col min="1022" max="1022" width="8" style="1" customWidth="1"/>
    <col min="1023" max="1023" width="11.5703125" style="1" customWidth="1"/>
    <col min="1024" max="1024" width="12" style="1" customWidth="1"/>
    <col min="1025" max="1025" width="11" style="1" customWidth="1"/>
    <col min="1026" max="1026" width="8.28515625" style="1" customWidth="1"/>
    <col min="1027" max="1027" width="7.7109375" style="1" customWidth="1"/>
    <col min="1028" max="1028" width="7" style="1" customWidth="1"/>
    <col min="1029" max="1029" width="7.7109375" style="1" customWidth="1"/>
    <col min="1030" max="1030" width="9.28515625" style="1" customWidth="1"/>
    <col min="1031" max="1031" width="9.7109375" style="1" customWidth="1"/>
    <col min="1032" max="1032" width="8" style="1" customWidth="1"/>
    <col min="1033" max="1033" width="11.5703125" style="1" customWidth="1"/>
    <col min="1034" max="1034" width="12" style="1" customWidth="1"/>
    <col min="1035" max="1035" width="11" style="1" customWidth="1"/>
    <col min="1036" max="1036" width="8.28515625" style="1" customWidth="1"/>
    <col min="1037" max="1037" width="7.7109375" style="1" customWidth="1"/>
    <col min="1038" max="1038" width="7.85546875" style="1" customWidth="1"/>
    <col min="1039" max="1039" width="7.7109375" style="1" customWidth="1"/>
    <col min="1040" max="1040" width="9.28515625" style="1" customWidth="1"/>
    <col min="1041" max="1041" width="9.7109375" style="1" customWidth="1"/>
    <col min="1042" max="1042" width="8" style="1" customWidth="1"/>
    <col min="1043" max="1043" width="11.5703125" style="1" customWidth="1"/>
    <col min="1044" max="1044" width="12" style="1" customWidth="1"/>
    <col min="1045" max="1045" width="11" style="1" customWidth="1"/>
    <col min="1046" max="1046" width="8.28515625" style="1" customWidth="1"/>
    <col min="1047" max="1240" width="9.140625" style="1"/>
    <col min="1241" max="1241" width="6.28515625" style="1" customWidth="1"/>
    <col min="1242" max="1242" width="71.85546875" style="1" customWidth="1"/>
    <col min="1243" max="1243" width="7.5703125" style="1" customWidth="1"/>
    <col min="1244" max="1244" width="7" style="1" customWidth="1"/>
    <col min="1245" max="1245" width="7.7109375" style="1" customWidth="1"/>
    <col min="1246" max="1246" width="9.28515625" style="1" customWidth="1"/>
    <col min="1247" max="1247" width="9.7109375" style="1" customWidth="1"/>
    <col min="1248" max="1248" width="8" style="1" customWidth="1"/>
    <col min="1249" max="1249" width="11.5703125" style="1" customWidth="1"/>
    <col min="1250" max="1250" width="12" style="1" customWidth="1"/>
    <col min="1251" max="1251" width="11" style="1" customWidth="1"/>
    <col min="1252" max="1252" width="8.28515625" style="1" customWidth="1"/>
    <col min="1253" max="1253" width="7.7109375" style="1" customWidth="1"/>
    <col min="1254" max="1254" width="7" style="1" customWidth="1"/>
    <col min="1255" max="1255" width="7.7109375" style="1" customWidth="1"/>
    <col min="1256" max="1256" width="9.28515625" style="1" customWidth="1"/>
    <col min="1257" max="1257" width="9.7109375" style="1" customWidth="1"/>
    <col min="1258" max="1258" width="8" style="1" customWidth="1"/>
    <col min="1259" max="1259" width="11.5703125" style="1" customWidth="1"/>
    <col min="1260" max="1260" width="12" style="1" customWidth="1"/>
    <col min="1261" max="1261" width="11" style="1" customWidth="1"/>
    <col min="1262" max="1262" width="8.28515625" style="1" customWidth="1"/>
    <col min="1263" max="1263" width="7.7109375" style="1" customWidth="1"/>
    <col min="1264" max="1264" width="7" style="1" customWidth="1"/>
    <col min="1265" max="1265" width="7.7109375" style="1" customWidth="1"/>
    <col min="1266" max="1266" width="9.28515625" style="1" customWidth="1"/>
    <col min="1267" max="1267" width="9.7109375" style="1" customWidth="1"/>
    <col min="1268" max="1268" width="8" style="1" customWidth="1"/>
    <col min="1269" max="1269" width="11.5703125" style="1" customWidth="1"/>
    <col min="1270" max="1270" width="12" style="1" customWidth="1"/>
    <col min="1271" max="1271" width="11" style="1" customWidth="1"/>
    <col min="1272" max="1272" width="8.28515625" style="1" customWidth="1"/>
    <col min="1273" max="1273" width="7.7109375" style="1" customWidth="1"/>
    <col min="1274" max="1274" width="7" style="1" customWidth="1"/>
    <col min="1275" max="1275" width="7.7109375" style="1" customWidth="1"/>
    <col min="1276" max="1276" width="9.28515625" style="1" customWidth="1"/>
    <col min="1277" max="1277" width="9.7109375" style="1" customWidth="1"/>
    <col min="1278" max="1278" width="8" style="1" customWidth="1"/>
    <col min="1279" max="1279" width="11.5703125" style="1" customWidth="1"/>
    <col min="1280" max="1280" width="12" style="1" customWidth="1"/>
    <col min="1281" max="1281" width="11" style="1" customWidth="1"/>
    <col min="1282" max="1282" width="8.28515625" style="1" customWidth="1"/>
    <col min="1283" max="1283" width="7.7109375" style="1" customWidth="1"/>
    <col min="1284" max="1284" width="7" style="1" customWidth="1"/>
    <col min="1285" max="1285" width="7.7109375" style="1" customWidth="1"/>
    <col min="1286" max="1286" width="9.28515625" style="1" customWidth="1"/>
    <col min="1287" max="1287" width="9.7109375" style="1" customWidth="1"/>
    <col min="1288" max="1288" width="8" style="1" customWidth="1"/>
    <col min="1289" max="1289" width="11.5703125" style="1" customWidth="1"/>
    <col min="1290" max="1290" width="12" style="1" customWidth="1"/>
    <col min="1291" max="1291" width="11" style="1" customWidth="1"/>
    <col min="1292" max="1292" width="8.28515625" style="1" customWidth="1"/>
    <col min="1293" max="1293" width="7.7109375" style="1" customWidth="1"/>
    <col min="1294" max="1294" width="7.85546875" style="1" customWidth="1"/>
    <col min="1295" max="1295" width="7.7109375" style="1" customWidth="1"/>
    <col min="1296" max="1296" width="9.28515625" style="1" customWidth="1"/>
    <col min="1297" max="1297" width="9.7109375" style="1" customWidth="1"/>
    <col min="1298" max="1298" width="8" style="1" customWidth="1"/>
    <col min="1299" max="1299" width="11.5703125" style="1" customWidth="1"/>
    <col min="1300" max="1300" width="12" style="1" customWidth="1"/>
    <col min="1301" max="1301" width="11" style="1" customWidth="1"/>
    <col min="1302" max="1302" width="8.28515625" style="1" customWidth="1"/>
    <col min="1303" max="1496" width="9.140625" style="1"/>
    <col min="1497" max="1497" width="6.28515625" style="1" customWidth="1"/>
    <col min="1498" max="1498" width="71.85546875" style="1" customWidth="1"/>
    <col min="1499" max="1499" width="7.5703125" style="1" customWidth="1"/>
    <col min="1500" max="1500" width="7" style="1" customWidth="1"/>
    <col min="1501" max="1501" width="7.7109375" style="1" customWidth="1"/>
    <col min="1502" max="1502" width="9.28515625" style="1" customWidth="1"/>
    <col min="1503" max="1503" width="9.7109375" style="1" customWidth="1"/>
    <col min="1504" max="1504" width="8" style="1" customWidth="1"/>
    <col min="1505" max="1505" width="11.5703125" style="1" customWidth="1"/>
    <col min="1506" max="1506" width="12" style="1" customWidth="1"/>
    <col min="1507" max="1507" width="11" style="1" customWidth="1"/>
    <col min="1508" max="1508" width="8.28515625" style="1" customWidth="1"/>
    <col min="1509" max="1509" width="7.7109375" style="1" customWidth="1"/>
    <col min="1510" max="1510" width="7" style="1" customWidth="1"/>
    <col min="1511" max="1511" width="7.7109375" style="1" customWidth="1"/>
    <col min="1512" max="1512" width="9.28515625" style="1" customWidth="1"/>
    <col min="1513" max="1513" width="9.7109375" style="1" customWidth="1"/>
    <col min="1514" max="1514" width="8" style="1" customWidth="1"/>
    <col min="1515" max="1515" width="11.5703125" style="1" customWidth="1"/>
    <col min="1516" max="1516" width="12" style="1" customWidth="1"/>
    <col min="1517" max="1517" width="11" style="1" customWidth="1"/>
    <col min="1518" max="1518" width="8.28515625" style="1" customWidth="1"/>
    <col min="1519" max="1519" width="7.7109375" style="1" customWidth="1"/>
    <col min="1520" max="1520" width="7" style="1" customWidth="1"/>
    <col min="1521" max="1521" width="7.7109375" style="1" customWidth="1"/>
    <col min="1522" max="1522" width="9.28515625" style="1" customWidth="1"/>
    <col min="1523" max="1523" width="9.7109375" style="1" customWidth="1"/>
    <col min="1524" max="1524" width="8" style="1" customWidth="1"/>
    <col min="1525" max="1525" width="11.5703125" style="1" customWidth="1"/>
    <col min="1526" max="1526" width="12" style="1" customWidth="1"/>
    <col min="1527" max="1527" width="11" style="1" customWidth="1"/>
    <col min="1528" max="1528" width="8.28515625" style="1" customWidth="1"/>
    <col min="1529" max="1529" width="7.7109375" style="1" customWidth="1"/>
    <col min="1530" max="1530" width="7" style="1" customWidth="1"/>
    <col min="1531" max="1531" width="7.7109375" style="1" customWidth="1"/>
    <col min="1532" max="1532" width="9.28515625" style="1" customWidth="1"/>
    <col min="1533" max="1533" width="9.7109375" style="1" customWidth="1"/>
    <col min="1534" max="1534" width="8" style="1" customWidth="1"/>
    <col min="1535" max="1535" width="11.5703125" style="1" customWidth="1"/>
    <col min="1536" max="1536" width="12" style="1" customWidth="1"/>
    <col min="1537" max="1537" width="11" style="1" customWidth="1"/>
    <col min="1538" max="1538" width="8.28515625" style="1" customWidth="1"/>
    <col min="1539" max="1539" width="7.7109375" style="1" customWidth="1"/>
    <col min="1540" max="1540" width="7" style="1" customWidth="1"/>
    <col min="1541" max="1541" width="7.7109375" style="1" customWidth="1"/>
    <col min="1542" max="1542" width="9.28515625" style="1" customWidth="1"/>
    <col min="1543" max="1543" width="9.7109375" style="1" customWidth="1"/>
    <col min="1544" max="1544" width="8" style="1" customWidth="1"/>
    <col min="1545" max="1545" width="11.5703125" style="1" customWidth="1"/>
    <col min="1546" max="1546" width="12" style="1" customWidth="1"/>
    <col min="1547" max="1547" width="11" style="1" customWidth="1"/>
    <col min="1548" max="1548" width="8.28515625" style="1" customWidth="1"/>
    <col min="1549" max="1549" width="7.7109375" style="1" customWidth="1"/>
    <col min="1550" max="1550" width="7.85546875" style="1" customWidth="1"/>
    <col min="1551" max="1551" width="7.7109375" style="1" customWidth="1"/>
    <col min="1552" max="1552" width="9.28515625" style="1" customWidth="1"/>
    <col min="1553" max="1553" width="9.7109375" style="1" customWidth="1"/>
    <col min="1554" max="1554" width="8" style="1" customWidth="1"/>
    <col min="1555" max="1555" width="11.5703125" style="1" customWidth="1"/>
    <col min="1556" max="1556" width="12" style="1" customWidth="1"/>
    <col min="1557" max="1557" width="11" style="1" customWidth="1"/>
    <col min="1558" max="1558" width="8.28515625" style="1" customWidth="1"/>
    <col min="1559" max="1752" width="9.140625" style="1"/>
    <col min="1753" max="1753" width="6.28515625" style="1" customWidth="1"/>
    <col min="1754" max="1754" width="71.85546875" style="1" customWidth="1"/>
    <col min="1755" max="1755" width="7.5703125" style="1" customWidth="1"/>
    <col min="1756" max="1756" width="7" style="1" customWidth="1"/>
    <col min="1757" max="1757" width="7.7109375" style="1" customWidth="1"/>
    <col min="1758" max="1758" width="9.28515625" style="1" customWidth="1"/>
    <col min="1759" max="1759" width="9.7109375" style="1" customWidth="1"/>
    <col min="1760" max="1760" width="8" style="1" customWidth="1"/>
    <col min="1761" max="1761" width="11.5703125" style="1" customWidth="1"/>
    <col min="1762" max="1762" width="12" style="1" customWidth="1"/>
    <col min="1763" max="1763" width="11" style="1" customWidth="1"/>
    <col min="1764" max="1764" width="8.28515625" style="1" customWidth="1"/>
    <col min="1765" max="1765" width="7.7109375" style="1" customWidth="1"/>
    <col min="1766" max="1766" width="7" style="1" customWidth="1"/>
    <col min="1767" max="1767" width="7.7109375" style="1" customWidth="1"/>
    <col min="1768" max="1768" width="9.28515625" style="1" customWidth="1"/>
    <col min="1769" max="1769" width="9.7109375" style="1" customWidth="1"/>
    <col min="1770" max="1770" width="8" style="1" customWidth="1"/>
    <col min="1771" max="1771" width="11.5703125" style="1" customWidth="1"/>
    <col min="1772" max="1772" width="12" style="1" customWidth="1"/>
    <col min="1773" max="1773" width="11" style="1" customWidth="1"/>
    <col min="1774" max="1774" width="8.28515625" style="1" customWidth="1"/>
    <col min="1775" max="1775" width="7.7109375" style="1" customWidth="1"/>
    <col min="1776" max="1776" width="7" style="1" customWidth="1"/>
    <col min="1777" max="1777" width="7.7109375" style="1" customWidth="1"/>
    <col min="1778" max="1778" width="9.28515625" style="1" customWidth="1"/>
    <col min="1779" max="1779" width="9.7109375" style="1" customWidth="1"/>
    <col min="1780" max="1780" width="8" style="1" customWidth="1"/>
    <col min="1781" max="1781" width="11.5703125" style="1" customWidth="1"/>
    <col min="1782" max="1782" width="12" style="1" customWidth="1"/>
    <col min="1783" max="1783" width="11" style="1" customWidth="1"/>
    <col min="1784" max="1784" width="8.28515625" style="1" customWidth="1"/>
    <col min="1785" max="1785" width="7.7109375" style="1" customWidth="1"/>
    <col min="1786" max="1786" width="7" style="1" customWidth="1"/>
    <col min="1787" max="1787" width="7.7109375" style="1" customWidth="1"/>
    <col min="1788" max="1788" width="9.28515625" style="1" customWidth="1"/>
    <col min="1789" max="1789" width="9.7109375" style="1" customWidth="1"/>
    <col min="1790" max="1790" width="8" style="1" customWidth="1"/>
    <col min="1791" max="1791" width="11.5703125" style="1" customWidth="1"/>
    <col min="1792" max="1792" width="12" style="1" customWidth="1"/>
    <col min="1793" max="1793" width="11" style="1" customWidth="1"/>
    <col min="1794" max="1794" width="8.28515625" style="1" customWidth="1"/>
    <col min="1795" max="1795" width="7.7109375" style="1" customWidth="1"/>
    <col min="1796" max="1796" width="7" style="1" customWidth="1"/>
    <col min="1797" max="1797" width="7.7109375" style="1" customWidth="1"/>
    <col min="1798" max="1798" width="9.28515625" style="1" customWidth="1"/>
    <col min="1799" max="1799" width="9.7109375" style="1" customWidth="1"/>
    <col min="1800" max="1800" width="8" style="1" customWidth="1"/>
    <col min="1801" max="1801" width="11.5703125" style="1" customWidth="1"/>
    <col min="1802" max="1802" width="12" style="1" customWidth="1"/>
    <col min="1803" max="1803" width="11" style="1" customWidth="1"/>
    <col min="1804" max="1804" width="8.28515625" style="1" customWidth="1"/>
    <col min="1805" max="1805" width="7.7109375" style="1" customWidth="1"/>
    <col min="1806" max="1806" width="7.85546875" style="1" customWidth="1"/>
    <col min="1807" max="1807" width="7.7109375" style="1" customWidth="1"/>
    <col min="1808" max="1808" width="9.28515625" style="1" customWidth="1"/>
    <col min="1809" max="1809" width="9.7109375" style="1" customWidth="1"/>
    <col min="1810" max="1810" width="8" style="1" customWidth="1"/>
    <col min="1811" max="1811" width="11.5703125" style="1" customWidth="1"/>
    <col min="1812" max="1812" width="12" style="1" customWidth="1"/>
    <col min="1813" max="1813" width="11" style="1" customWidth="1"/>
    <col min="1814" max="1814" width="8.28515625" style="1" customWidth="1"/>
    <col min="1815" max="2008" width="9.140625" style="1"/>
    <col min="2009" max="2009" width="6.28515625" style="1" customWidth="1"/>
    <col min="2010" max="2010" width="71.85546875" style="1" customWidth="1"/>
    <col min="2011" max="2011" width="7.5703125" style="1" customWidth="1"/>
    <col min="2012" max="2012" width="7" style="1" customWidth="1"/>
    <col min="2013" max="2013" width="7.7109375" style="1" customWidth="1"/>
    <col min="2014" max="2014" width="9.28515625" style="1" customWidth="1"/>
    <col min="2015" max="2015" width="9.7109375" style="1" customWidth="1"/>
    <col min="2016" max="2016" width="8" style="1" customWidth="1"/>
    <col min="2017" max="2017" width="11.5703125" style="1" customWidth="1"/>
    <col min="2018" max="2018" width="12" style="1" customWidth="1"/>
    <col min="2019" max="2019" width="11" style="1" customWidth="1"/>
    <col min="2020" max="2020" width="8.28515625" style="1" customWidth="1"/>
    <col min="2021" max="2021" width="7.7109375" style="1" customWidth="1"/>
    <col min="2022" max="2022" width="7" style="1" customWidth="1"/>
    <col min="2023" max="2023" width="7.7109375" style="1" customWidth="1"/>
    <col min="2024" max="2024" width="9.28515625" style="1" customWidth="1"/>
    <col min="2025" max="2025" width="9.7109375" style="1" customWidth="1"/>
    <col min="2026" max="2026" width="8" style="1" customWidth="1"/>
    <col min="2027" max="2027" width="11.5703125" style="1" customWidth="1"/>
    <col min="2028" max="2028" width="12" style="1" customWidth="1"/>
    <col min="2029" max="2029" width="11" style="1" customWidth="1"/>
    <col min="2030" max="2030" width="8.28515625" style="1" customWidth="1"/>
    <col min="2031" max="2031" width="7.7109375" style="1" customWidth="1"/>
    <col min="2032" max="2032" width="7" style="1" customWidth="1"/>
    <col min="2033" max="2033" width="7.7109375" style="1" customWidth="1"/>
    <col min="2034" max="2034" width="9.28515625" style="1" customWidth="1"/>
    <col min="2035" max="2035" width="9.7109375" style="1" customWidth="1"/>
    <col min="2036" max="2036" width="8" style="1" customWidth="1"/>
    <col min="2037" max="2037" width="11.5703125" style="1" customWidth="1"/>
    <col min="2038" max="2038" width="12" style="1" customWidth="1"/>
    <col min="2039" max="2039" width="11" style="1" customWidth="1"/>
    <col min="2040" max="2040" width="8.28515625" style="1" customWidth="1"/>
    <col min="2041" max="2041" width="7.7109375" style="1" customWidth="1"/>
    <col min="2042" max="2042" width="7" style="1" customWidth="1"/>
    <col min="2043" max="2043" width="7.7109375" style="1" customWidth="1"/>
    <col min="2044" max="2044" width="9.28515625" style="1" customWidth="1"/>
    <col min="2045" max="2045" width="9.7109375" style="1" customWidth="1"/>
    <col min="2046" max="2046" width="8" style="1" customWidth="1"/>
    <col min="2047" max="2047" width="11.5703125" style="1" customWidth="1"/>
    <col min="2048" max="2048" width="12" style="1" customWidth="1"/>
    <col min="2049" max="2049" width="11" style="1" customWidth="1"/>
    <col min="2050" max="2050" width="8.28515625" style="1" customWidth="1"/>
    <col min="2051" max="2051" width="7.7109375" style="1" customWidth="1"/>
    <col min="2052" max="2052" width="7" style="1" customWidth="1"/>
    <col min="2053" max="2053" width="7.7109375" style="1" customWidth="1"/>
    <col min="2054" max="2054" width="9.28515625" style="1" customWidth="1"/>
    <col min="2055" max="2055" width="9.7109375" style="1" customWidth="1"/>
    <col min="2056" max="2056" width="8" style="1" customWidth="1"/>
    <col min="2057" max="2057" width="11.5703125" style="1" customWidth="1"/>
    <col min="2058" max="2058" width="12" style="1" customWidth="1"/>
    <col min="2059" max="2059" width="11" style="1" customWidth="1"/>
    <col min="2060" max="2060" width="8.28515625" style="1" customWidth="1"/>
    <col min="2061" max="2061" width="7.7109375" style="1" customWidth="1"/>
    <col min="2062" max="2062" width="7.85546875" style="1" customWidth="1"/>
    <col min="2063" max="2063" width="7.7109375" style="1" customWidth="1"/>
    <col min="2064" max="2064" width="9.28515625" style="1" customWidth="1"/>
    <col min="2065" max="2065" width="9.7109375" style="1" customWidth="1"/>
    <col min="2066" max="2066" width="8" style="1" customWidth="1"/>
    <col min="2067" max="2067" width="11.5703125" style="1" customWidth="1"/>
    <col min="2068" max="2068" width="12" style="1" customWidth="1"/>
    <col min="2069" max="2069" width="11" style="1" customWidth="1"/>
    <col min="2070" max="2070" width="8.28515625" style="1" customWidth="1"/>
    <col min="2071" max="2264" width="9.140625" style="1"/>
    <col min="2265" max="2265" width="6.28515625" style="1" customWidth="1"/>
    <col min="2266" max="2266" width="71.85546875" style="1" customWidth="1"/>
    <col min="2267" max="2267" width="7.5703125" style="1" customWidth="1"/>
    <col min="2268" max="2268" width="7" style="1" customWidth="1"/>
    <col min="2269" max="2269" width="7.7109375" style="1" customWidth="1"/>
    <col min="2270" max="2270" width="9.28515625" style="1" customWidth="1"/>
    <col min="2271" max="2271" width="9.7109375" style="1" customWidth="1"/>
    <col min="2272" max="2272" width="8" style="1" customWidth="1"/>
    <col min="2273" max="2273" width="11.5703125" style="1" customWidth="1"/>
    <col min="2274" max="2274" width="12" style="1" customWidth="1"/>
    <col min="2275" max="2275" width="11" style="1" customWidth="1"/>
    <col min="2276" max="2276" width="8.28515625" style="1" customWidth="1"/>
    <col min="2277" max="2277" width="7.7109375" style="1" customWidth="1"/>
    <col min="2278" max="2278" width="7" style="1" customWidth="1"/>
    <col min="2279" max="2279" width="7.7109375" style="1" customWidth="1"/>
    <col min="2280" max="2280" width="9.28515625" style="1" customWidth="1"/>
    <col min="2281" max="2281" width="9.7109375" style="1" customWidth="1"/>
    <col min="2282" max="2282" width="8" style="1" customWidth="1"/>
    <col min="2283" max="2283" width="11.5703125" style="1" customWidth="1"/>
    <col min="2284" max="2284" width="12" style="1" customWidth="1"/>
    <col min="2285" max="2285" width="11" style="1" customWidth="1"/>
    <col min="2286" max="2286" width="8.28515625" style="1" customWidth="1"/>
    <col min="2287" max="2287" width="7.7109375" style="1" customWidth="1"/>
    <col min="2288" max="2288" width="7" style="1" customWidth="1"/>
    <col min="2289" max="2289" width="7.7109375" style="1" customWidth="1"/>
    <col min="2290" max="2290" width="9.28515625" style="1" customWidth="1"/>
    <col min="2291" max="2291" width="9.7109375" style="1" customWidth="1"/>
    <col min="2292" max="2292" width="8" style="1" customWidth="1"/>
    <col min="2293" max="2293" width="11.5703125" style="1" customWidth="1"/>
    <col min="2294" max="2294" width="12" style="1" customWidth="1"/>
    <col min="2295" max="2295" width="11" style="1" customWidth="1"/>
    <col min="2296" max="2296" width="8.28515625" style="1" customWidth="1"/>
    <col min="2297" max="2297" width="7.7109375" style="1" customWidth="1"/>
    <col min="2298" max="2298" width="7" style="1" customWidth="1"/>
    <col min="2299" max="2299" width="7.7109375" style="1" customWidth="1"/>
    <col min="2300" max="2300" width="9.28515625" style="1" customWidth="1"/>
    <col min="2301" max="2301" width="9.7109375" style="1" customWidth="1"/>
    <col min="2302" max="2302" width="8" style="1" customWidth="1"/>
    <col min="2303" max="2303" width="11.5703125" style="1" customWidth="1"/>
    <col min="2304" max="2304" width="12" style="1" customWidth="1"/>
    <col min="2305" max="2305" width="11" style="1" customWidth="1"/>
    <col min="2306" max="2306" width="8.28515625" style="1" customWidth="1"/>
    <col min="2307" max="2307" width="7.7109375" style="1" customWidth="1"/>
    <col min="2308" max="2308" width="7" style="1" customWidth="1"/>
    <col min="2309" max="2309" width="7.7109375" style="1" customWidth="1"/>
    <col min="2310" max="2310" width="9.28515625" style="1" customWidth="1"/>
    <col min="2311" max="2311" width="9.7109375" style="1" customWidth="1"/>
    <col min="2312" max="2312" width="8" style="1" customWidth="1"/>
    <col min="2313" max="2313" width="11.5703125" style="1" customWidth="1"/>
    <col min="2314" max="2314" width="12" style="1" customWidth="1"/>
    <col min="2315" max="2315" width="11" style="1" customWidth="1"/>
    <col min="2316" max="2316" width="8.28515625" style="1" customWidth="1"/>
    <col min="2317" max="2317" width="7.7109375" style="1" customWidth="1"/>
    <col min="2318" max="2318" width="7.85546875" style="1" customWidth="1"/>
    <col min="2319" max="2319" width="7.7109375" style="1" customWidth="1"/>
    <col min="2320" max="2320" width="9.28515625" style="1" customWidth="1"/>
    <col min="2321" max="2321" width="9.7109375" style="1" customWidth="1"/>
    <col min="2322" max="2322" width="8" style="1" customWidth="1"/>
    <col min="2323" max="2323" width="11.5703125" style="1" customWidth="1"/>
    <col min="2324" max="2324" width="12" style="1" customWidth="1"/>
    <col min="2325" max="2325" width="11" style="1" customWidth="1"/>
    <col min="2326" max="2326" width="8.28515625" style="1" customWidth="1"/>
    <col min="2327" max="2520" width="9.140625" style="1"/>
    <col min="2521" max="2521" width="6.28515625" style="1" customWidth="1"/>
    <col min="2522" max="2522" width="71.85546875" style="1" customWidth="1"/>
    <col min="2523" max="2523" width="7.5703125" style="1" customWidth="1"/>
    <col min="2524" max="2524" width="7" style="1" customWidth="1"/>
    <col min="2525" max="2525" width="7.7109375" style="1" customWidth="1"/>
    <col min="2526" max="2526" width="9.28515625" style="1" customWidth="1"/>
    <col min="2527" max="2527" width="9.7109375" style="1" customWidth="1"/>
    <col min="2528" max="2528" width="8" style="1" customWidth="1"/>
    <col min="2529" max="2529" width="11.5703125" style="1" customWidth="1"/>
    <col min="2530" max="2530" width="12" style="1" customWidth="1"/>
    <col min="2531" max="2531" width="11" style="1" customWidth="1"/>
    <col min="2532" max="2532" width="8.28515625" style="1" customWidth="1"/>
    <col min="2533" max="2533" width="7.7109375" style="1" customWidth="1"/>
    <col min="2534" max="2534" width="7" style="1" customWidth="1"/>
    <col min="2535" max="2535" width="7.7109375" style="1" customWidth="1"/>
    <col min="2536" max="2536" width="9.28515625" style="1" customWidth="1"/>
    <col min="2537" max="2537" width="9.7109375" style="1" customWidth="1"/>
    <col min="2538" max="2538" width="8" style="1" customWidth="1"/>
    <col min="2539" max="2539" width="11.5703125" style="1" customWidth="1"/>
    <col min="2540" max="2540" width="12" style="1" customWidth="1"/>
    <col min="2541" max="2541" width="11" style="1" customWidth="1"/>
    <col min="2542" max="2542" width="8.28515625" style="1" customWidth="1"/>
    <col min="2543" max="2543" width="7.7109375" style="1" customWidth="1"/>
    <col min="2544" max="2544" width="7" style="1" customWidth="1"/>
    <col min="2545" max="2545" width="7.7109375" style="1" customWidth="1"/>
    <col min="2546" max="2546" width="9.28515625" style="1" customWidth="1"/>
    <col min="2547" max="2547" width="9.7109375" style="1" customWidth="1"/>
    <col min="2548" max="2548" width="8" style="1" customWidth="1"/>
    <col min="2549" max="2549" width="11.5703125" style="1" customWidth="1"/>
    <col min="2550" max="2550" width="12" style="1" customWidth="1"/>
    <col min="2551" max="2551" width="11" style="1" customWidth="1"/>
    <col min="2552" max="2552" width="8.28515625" style="1" customWidth="1"/>
    <col min="2553" max="2553" width="7.7109375" style="1" customWidth="1"/>
    <col min="2554" max="2554" width="7" style="1" customWidth="1"/>
    <col min="2555" max="2555" width="7.7109375" style="1" customWidth="1"/>
    <col min="2556" max="2556" width="9.28515625" style="1" customWidth="1"/>
    <col min="2557" max="2557" width="9.7109375" style="1" customWidth="1"/>
    <col min="2558" max="2558" width="8" style="1" customWidth="1"/>
    <col min="2559" max="2559" width="11.5703125" style="1" customWidth="1"/>
    <col min="2560" max="2560" width="12" style="1" customWidth="1"/>
    <col min="2561" max="2561" width="11" style="1" customWidth="1"/>
    <col min="2562" max="2562" width="8.28515625" style="1" customWidth="1"/>
    <col min="2563" max="2563" width="7.7109375" style="1" customWidth="1"/>
    <col min="2564" max="2564" width="7" style="1" customWidth="1"/>
    <col min="2565" max="2565" width="7.7109375" style="1" customWidth="1"/>
    <col min="2566" max="2566" width="9.28515625" style="1" customWidth="1"/>
    <col min="2567" max="2567" width="9.7109375" style="1" customWidth="1"/>
    <col min="2568" max="2568" width="8" style="1" customWidth="1"/>
    <col min="2569" max="2569" width="11.5703125" style="1" customWidth="1"/>
    <col min="2570" max="2570" width="12" style="1" customWidth="1"/>
    <col min="2571" max="2571" width="11" style="1" customWidth="1"/>
    <col min="2572" max="2572" width="8.28515625" style="1" customWidth="1"/>
    <col min="2573" max="2573" width="7.7109375" style="1" customWidth="1"/>
    <col min="2574" max="2574" width="7.85546875" style="1" customWidth="1"/>
    <col min="2575" max="2575" width="7.7109375" style="1" customWidth="1"/>
    <col min="2576" max="2576" width="9.28515625" style="1" customWidth="1"/>
    <col min="2577" max="2577" width="9.7109375" style="1" customWidth="1"/>
    <col min="2578" max="2578" width="8" style="1" customWidth="1"/>
    <col min="2579" max="2579" width="11.5703125" style="1" customWidth="1"/>
    <col min="2580" max="2580" width="12" style="1" customWidth="1"/>
    <col min="2581" max="2581" width="11" style="1" customWidth="1"/>
    <col min="2582" max="2582" width="8.28515625" style="1" customWidth="1"/>
    <col min="2583" max="2776" width="9.140625" style="1"/>
    <col min="2777" max="2777" width="6.28515625" style="1" customWidth="1"/>
    <col min="2778" max="2778" width="71.85546875" style="1" customWidth="1"/>
    <col min="2779" max="2779" width="7.5703125" style="1" customWidth="1"/>
    <col min="2780" max="2780" width="7" style="1" customWidth="1"/>
    <col min="2781" max="2781" width="7.7109375" style="1" customWidth="1"/>
    <col min="2782" max="2782" width="9.28515625" style="1" customWidth="1"/>
    <col min="2783" max="2783" width="9.7109375" style="1" customWidth="1"/>
    <col min="2784" max="2784" width="8" style="1" customWidth="1"/>
    <col min="2785" max="2785" width="11.5703125" style="1" customWidth="1"/>
    <col min="2786" max="2786" width="12" style="1" customWidth="1"/>
    <col min="2787" max="2787" width="11" style="1" customWidth="1"/>
    <col min="2788" max="2788" width="8.28515625" style="1" customWidth="1"/>
    <col min="2789" max="2789" width="7.7109375" style="1" customWidth="1"/>
    <col min="2790" max="2790" width="7" style="1" customWidth="1"/>
    <col min="2791" max="2791" width="7.7109375" style="1" customWidth="1"/>
    <col min="2792" max="2792" width="9.28515625" style="1" customWidth="1"/>
    <col min="2793" max="2793" width="9.7109375" style="1" customWidth="1"/>
    <col min="2794" max="2794" width="8" style="1" customWidth="1"/>
    <col min="2795" max="2795" width="11.5703125" style="1" customWidth="1"/>
    <col min="2796" max="2796" width="12" style="1" customWidth="1"/>
    <col min="2797" max="2797" width="11" style="1" customWidth="1"/>
    <col min="2798" max="2798" width="8.28515625" style="1" customWidth="1"/>
    <col min="2799" max="2799" width="7.7109375" style="1" customWidth="1"/>
    <col min="2800" max="2800" width="7" style="1" customWidth="1"/>
    <col min="2801" max="2801" width="7.7109375" style="1" customWidth="1"/>
    <col min="2802" max="2802" width="9.28515625" style="1" customWidth="1"/>
    <col min="2803" max="2803" width="9.7109375" style="1" customWidth="1"/>
    <col min="2804" max="2804" width="8" style="1" customWidth="1"/>
    <col min="2805" max="2805" width="11.5703125" style="1" customWidth="1"/>
    <col min="2806" max="2806" width="12" style="1" customWidth="1"/>
    <col min="2807" max="2807" width="11" style="1" customWidth="1"/>
    <col min="2808" max="2808" width="8.28515625" style="1" customWidth="1"/>
    <col min="2809" max="2809" width="7.7109375" style="1" customWidth="1"/>
    <col min="2810" max="2810" width="7" style="1" customWidth="1"/>
    <col min="2811" max="2811" width="7.7109375" style="1" customWidth="1"/>
    <col min="2812" max="2812" width="9.28515625" style="1" customWidth="1"/>
    <col min="2813" max="2813" width="9.7109375" style="1" customWidth="1"/>
    <col min="2814" max="2814" width="8" style="1" customWidth="1"/>
    <col min="2815" max="2815" width="11.5703125" style="1" customWidth="1"/>
    <col min="2816" max="2816" width="12" style="1" customWidth="1"/>
    <col min="2817" max="2817" width="11" style="1" customWidth="1"/>
    <col min="2818" max="2818" width="8.28515625" style="1" customWidth="1"/>
    <col min="2819" max="2819" width="7.7109375" style="1" customWidth="1"/>
    <col min="2820" max="2820" width="7" style="1" customWidth="1"/>
    <col min="2821" max="2821" width="7.7109375" style="1" customWidth="1"/>
    <col min="2822" max="2822" width="9.28515625" style="1" customWidth="1"/>
    <col min="2823" max="2823" width="9.7109375" style="1" customWidth="1"/>
    <col min="2824" max="2824" width="8" style="1" customWidth="1"/>
    <col min="2825" max="2825" width="11.5703125" style="1" customWidth="1"/>
    <col min="2826" max="2826" width="12" style="1" customWidth="1"/>
    <col min="2827" max="2827" width="11" style="1" customWidth="1"/>
    <col min="2828" max="2828" width="8.28515625" style="1" customWidth="1"/>
    <col min="2829" max="2829" width="7.7109375" style="1" customWidth="1"/>
    <col min="2830" max="2830" width="7.85546875" style="1" customWidth="1"/>
    <col min="2831" max="2831" width="7.7109375" style="1" customWidth="1"/>
    <col min="2832" max="2832" width="9.28515625" style="1" customWidth="1"/>
    <col min="2833" max="2833" width="9.7109375" style="1" customWidth="1"/>
    <col min="2834" max="2834" width="8" style="1" customWidth="1"/>
    <col min="2835" max="2835" width="11.5703125" style="1" customWidth="1"/>
    <col min="2836" max="2836" width="12" style="1" customWidth="1"/>
    <col min="2837" max="2837" width="11" style="1" customWidth="1"/>
    <col min="2838" max="2838" width="8.28515625" style="1" customWidth="1"/>
    <col min="2839" max="3032" width="9.140625" style="1"/>
    <col min="3033" max="3033" width="6.28515625" style="1" customWidth="1"/>
    <col min="3034" max="3034" width="71.85546875" style="1" customWidth="1"/>
    <col min="3035" max="3035" width="7.5703125" style="1" customWidth="1"/>
    <col min="3036" max="3036" width="7" style="1" customWidth="1"/>
    <col min="3037" max="3037" width="7.7109375" style="1" customWidth="1"/>
    <col min="3038" max="3038" width="9.28515625" style="1" customWidth="1"/>
    <col min="3039" max="3039" width="9.7109375" style="1" customWidth="1"/>
    <col min="3040" max="3040" width="8" style="1" customWidth="1"/>
    <col min="3041" max="3041" width="11.5703125" style="1" customWidth="1"/>
    <col min="3042" max="3042" width="12" style="1" customWidth="1"/>
    <col min="3043" max="3043" width="11" style="1" customWidth="1"/>
    <col min="3044" max="3044" width="8.28515625" style="1" customWidth="1"/>
    <col min="3045" max="3045" width="7.7109375" style="1" customWidth="1"/>
    <col min="3046" max="3046" width="7" style="1" customWidth="1"/>
    <col min="3047" max="3047" width="7.7109375" style="1" customWidth="1"/>
    <col min="3048" max="3048" width="9.28515625" style="1" customWidth="1"/>
    <col min="3049" max="3049" width="9.7109375" style="1" customWidth="1"/>
    <col min="3050" max="3050" width="8" style="1" customWidth="1"/>
    <col min="3051" max="3051" width="11.5703125" style="1" customWidth="1"/>
    <col min="3052" max="3052" width="12" style="1" customWidth="1"/>
    <col min="3053" max="3053" width="11" style="1" customWidth="1"/>
    <col min="3054" max="3054" width="8.28515625" style="1" customWidth="1"/>
    <col min="3055" max="3055" width="7.7109375" style="1" customWidth="1"/>
    <col min="3056" max="3056" width="7" style="1" customWidth="1"/>
    <col min="3057" max="3057" width="7.7109375" style="1" customWidth="1"/>
    <col min="3058" max="3058" width="9.28515625" style="1" customWidth="1"/>
    <col min="3059" max="3059" width="9.7109375" style="1" customWidth="1"/>
    <col min="3060" max="3060" width="8" style="1" customWidth="1"/>
    <col min="3061" max="3061" width="11.5703125" style="1" customWidth="1"/>
    <col min="3062" max="3062" width="12" style="1" customWidth="1"/>
    <col min="3063" max="3063" width="11" style="1" customWidth="1"/>
    <col min="3064" max="3064" width="8.28515625" style="1" customWidth="1"/>
    <col min="3065" max="3065" width="7.7109375" style="1" customWidth="1"/>
    <col min="3066" max="3066" width="7" style="1" customWidth="1"/>
    <col min="3067" max="3067" width="7.7109375" style="1" customWidth="1"/>
    <col min="3068" max="3068" width="9.28515625" style="1" customWidth="1"/>
    <col min="3069" max="3069" width="9.7109375" style="1" customWidth="1"/>
    <col min="3070" max="3070" width="8" style="1" customWidth="1"/>
    <col min="3071" max="3071" width="11.5703125" style="1" customWidth="1"/>
    <col min="3072" max="3072" width="12" style="1" customWidth="1"/>
    <col min="3073" max="3073" width="11" style="1" customWidth="1"/>
    <col min="3074" max="3074" width="8.28515625" style="1" customWidth="1"/>
    <col min="3075" max="3075" width="7.7109375" style="1" customWidth="1"/>
    <col min="3076" max="3076" width="7" style="1" customWidth="1"/>
    <col min="3077" max="3077" width="7.7109375" style="1" customWidth="1"/>
    <col min="3078" max="3078" width="9.28515625" style="1" customWidth="1"/>
    <col min="3079" max="3079" width="9.7109375" style="1" customWidth="1"/>
    <col min="3080" max="3080" width="8" style="1" customWidth="1"/>
    <col min="3081" max="3081" width="11.5703125" style="1" customWidth="1"/>
    <col min="3082" max="3082" width="12" style="1" customWidth="1"/>
    <col min="3083" max="3083" width="11" style="1" customWidth="1"/>
    <col min="3084" max="3084" width="8.28515625" style="1" customWidth="1"/>
    <col min="3085" max="3085" width="7.7109375" style="1" customWidth="1"/>
    <col min="3086" max="3086" width="7.85546875" style="1" customWidth="1"/>
    <col min="3087" max="3087" width="7.7109375" style="1" customWidth="1"/>
    <col min="3088" max="3088" width="9.28515625" style="1" customWidth="1"/>
    <col min="3089" max="3089" width="9.7109375" style="1" customWidth="1"/>
    <col min="3090" max="3090" width="8" style="1" customWidth="1"/>
    <col min="3091" max="3091" width="11.5703125" style="1" customWidth="1"/>
    <col min="3092" max="3092" width="12" style="1" customWidth="1"/>
    <col min="3093" max="3093" width="11" style="1" customWidth="1"/>
    <col min="3094" max="3094" width="8.28515625" style="1" customWidth="1"/>
    <col min="3095" max="3288" width="9.140625" style="1"/>
    <col min="3289" max="3289" width="6.28515625" style="1" customWidth="1"/>
    <col min="3290" max="3290" width="71.85546875" style="1" customWidth="1"/>
    <col min="3291" max="3291" width="7.5703125" style="1" customWidth="1"/>
    <col min="3292" max="3292" width="7" style="1" customWidth="1"/>
    <col min="3293" max="3293" width="7.7109375" style="1" customWidth="1"/>
    <col min="3294" max="3294" width="9.28515625" style="1" customWidth="1"/>
    <col min="3295" max="3295" width="9.7109375" style="1" customWidth="1"/>
    <col min="3296" max="3296" width="8" style="1" customWidth="1"/>
    <col min="3297" max="3297" width="11.5703125" style="1" customWidth="1"/>
    <col min="3298" max="3298" width="12" style="1" customWidth="1"/>
    <col min="3299" max="3299" width="11" style="1" customWidth="1"/>
    <col min="3300" max="3300" width="8.28515625" style="1" customWidth="1"/>
    <col min="3301" max="3301" width="7.7109375" style="1" customWidth="1"/>
    <col min="3302" max="3302" width="7" style="1" customWidth="1"/>
    <col min="3303" max="3303" width="7.7109375" style="1" customWidth="1"/>
    <col min="3304" max="3304" width="9.28515625" style="1" customWidth="1"/>
    <col min="3305" max="3305" width="9.7109375" style="1" customWidth="1"/>
    <col min="3306" max="3306" width="8" style="1" customWidth="1"/>
    <col min="3307" max="3307" width="11.5703125" style="1" customWidth="1"/>
    <col min="3308" max="3308" width="12" style="1" customWidth="1"/>
    <col min="3309" max="3309" width="11" style="1" customWidth="1"/>
    <col min="3310" max="3310" width="8.28515625" style="1" customWidth="1"/>
    <col min="3311" max="3311" width="7.7109375" style="1" customWidth="1"/>
    <col min="3312" max="3312" width="7" style="1" customWidth="1"/>
    <col min="3313" max="3313" width="7.7109375" style="1" customWidth="1"/>
    <col min="3314" max="3314" width="9.28515625" style="1" customWidth="1"/>
    <col min="3315" max="3315" width="9.7109375" style="1" customWidth="1"/>
    <col min="3316" max="3316" width="8" style="1" customWidth="1"/>
    <col min="3317" max="3317" width="11.5703125" style="1" customWidth="1"/>
    <col min="3318" max="3318" width="12" style="1" customWidth="1"/>
    <col min="3319" max="3319" width="11" style="1" customWidth="1"/>
    <col min="3320" max="3320" width="8.28515625" style="1" customWidth="1"/>
    <col min="3321" max="3321" width="7.7109375" style="1" customWidth="1"/>
    <col min="3322" max="3322" width="7" style="1" customWidth="1"/>
    <col min="3323" max="3323" width="7.7109375" style="1" customWidth="1"/>
    <col min="3324" max="3324" width="9.28515625" style="1" customWidth="1"/>
    <col min="3325" max="3325" width="9.7109375" style="1" customWidth="1"/>
    <col min="3326" max="3326" width="8" style="1" customWidth="1"/>
    <col min="3327" max="3327" width="11.5703125" style="1" customWidth="1"/>
    <col min="3328" max="3328" width="12" style="1" customWidth="1"/>
    <col min="3329" max="3329" width="11" style="1" customWidth="1"/>
    <col min="3330" max="3330" width="8.28515625" style="1" customWidth="1"/>
    <col min="3331" max="3331" width="7.7109375" style="1" customWidth="1"/>
    <col min="3332" max="3332" width="7" style="1" customWidth="1"/>
    <col min="3333" max="3333" width="7.7109375" style="1" customWidth="1"/>
    <col min="3334" max="3334" width="9.28515625" style="1" customWidth="1"/>
    <col min="3335" max="3335" width="9.7109375" style="1" customWidth="1"/>
    <col min="3336" max="3336" width="8" style="1" customWidth="1"/>
    <col min="3337" max="3337" width="11.5703125" style="1" customWidth="1"/>
    <col min="3338" max="3338" width="12" style="1" customWidth="1"/>
    <col min="3339" max="3339" width="11" style="1" customWidth="1"/>
    <col min="3340" max="3340" width="8.28515625" style="1" customWidth="1"/>
    <col min="3341" max="3341" width="7.7109375" style="1" customWidth="1"/>
    <col min="3342" max="3342" width="7.85546875" style="1" customWidth="1"/>
    <col min="3343" max="3343" width="7.7109375" style="1" customWidth="1"/>
    <col min="3344" max="3344" width="9.28515625" style="1" customWidth="1"/>
    <col min="3345" max="3345" width="9.7109375" style="1" customWidth="1"/>
    <col min="3346" max="3346" width="8" style="1" customWidth="1"/>
    <col min="3347" max="3347" width="11.5703125" style="1" customWidth="1"/>
    <col min="3348" max="3348" width="12" style="1" customWidth="1"/>
    <col min="3349" max="3349" width="11" style="1" customWidth="1"/>
    <col min="3350" max="3350" width="8.28515625" style="1" customWidth="1"/>
    <col min="3351" max="3544" width="9.140625" style="1"/>
    <col min="3545" max="3545" width="6.28515625" style="1" customWidth="1"/>
    <col min="3546" max="3546" width="71.85546875" style="1" customWidth="1"/>
    <col min="3547" max="3547" width="7.5703125" style="1" customWidth="1"/>
    <col min="3548" max="3548" width="7" style="1" customWidth="1"/>
    <col min="3549" max="3549" width="7.7109375" style="1" customWidth="1"/>
    <col min="3550" max="3550" width="9.28515625" style="1" customWidth="1"/>
    <col min="3551" max="3551" width="9.7109375" style="1" customWidth="1"/>
    <col min="3552" max="3552" width="8" style="1" customWidth="1"/>
    <col min="3553" max="3553" width="11.5703125" style="1" customWidth="1"/>
    <col min="3554" max="3554" width="12" style="1" customWidth="1"/>
    <col min="3555" max="3555" width="11" style="1" customWidth="1"/>
    <col min="3556" max="3556" width="8.28515625" style="1" customWidth="1"/>
    <col min="3557" max="3557" width="7.7109375" style="1" customWidth="1"/>
    <col min="3558" max="3558" width="7" style="1" customWidth="1"/>
    <col min="3559" max="3559" width="7.7109375" style="1" customWidth="1"/>
    <col min="3560" max="3560" width="9.28515625" style="1" customWidth="1"/>
    <col min="3561" max="3561" width="9.7109375" style="1" customWidth="1"/>
    <col min="3562" max="3562" width="8" style="1" customWidth="1"/>
    <col min="3563" max="3563" width="11.5703125" style="1" customWidth="1"/>
    <col min="3564" max="3564" width="12" style="1" customWidth="1"/>
    <col min="3565" max="3565" width="11" style="1" customWidth="1"/>
    <col min="3566" max="3566" width="8.28515625" style="1" customWidth="1"/>
    <col min="3567" max="3567" width="7.7109375" style="1" customWidth="1"/>
    <col min="3568" max="3568" width="7" style="1" customWidth="1"/>
    <col min="3569" max="3569" width="7.7109375" style="1" customWidth="1"/>
    <col min="3570" max="3570" width="9.28515625" style="1" customWidth="1"/>
    <col min="3571" max="3571" width="9.7109375" style="1" customWidth="1"/>
    <col min="3572" max="3572" width="8" style="1" customWidth="1"/>
    <col min="3573" max="3573" width="11.5703125" style="1" customWidth="1"/>
    <col min="3574" max="3574" width="12" style="1" customWidth="1"/>
    <col min="3575" max="3575" width="11" style="1" customWidth="1"/>
    <col min="3576" max="3576" width="8.28515625" style="1" customWidth="1"/>
    <col min="3577" max="3577" width="7.7109375" style="1" customWidth="1"/>
    <col min="3578" max="3578" width="7" style="1" customWidth="1"/>
    <col min="3579" max="3579" width="7.7109375" style="1" customWidth="1"/>
    <col min="3580" max="3580" width="9.28515625" style="1" customWidth="1"/>
    <col min="3581" max="3581" width="9.7109375" style="1" customWidth="1"/>
    <col min="3582" max="3582" width="8" style="1" customWidth="1"/>
    <col min="3583" max="3583" width="11.5703125" style="1" customWidth="1"/>
    <col min="3584" max="3584" width="12" style="1" customWidth="1"/>
    <col min="3585" max="3585" width="11" style="1" customWidth="1"/>
    <col min="3586" max="3586" width="8.28515625" style="1" customWidth="1"/>
    <col min="3587" max="3587" width="7.7109375" style="1" customWidth="1"/>
    <col min="3588" max="3588" width="7" style="1" customWidth="1"/>
    <col min="3589" max="3589" width="7.7109375" style="1" customWidth="1"/>
    <col min="3590" max="3590" width="9.28515625" style="1" customWidth="1"/>
    <col min="3591" max="3591" width="9.7109375" style="1" customWidth="1"/>
    <col min="3592" max="3592" width="8" style="1" customWidth="1"/>
    <col min="3593" max="3593" width="11.5703125" style="1" customWidth="1"/>
    <col min="3594" max="3594" width="12" style="1" customWidth="1"/>
    <col min="3595" max="3595" width="11" style="1" customWidth="1"/>
    <col min="3596" max="3596" width="8.28515625" style="1" customWidth="1"/>
    <col min="3597" max="3597" width="7.7109375" style="1" customWidth="1"/>
    <col min="3598" max="3598" width="7.85546875" style="1" customWidth="1"/>
    <col min="3599" max="3599" width="7.7109375" style="1" customWidth="1"/>
    <col min="3600" max="3600" width="9.28515625" style="1" customWidth="1"/>
    <col min="3601" max="3601" width="9.7109375" style="1" customWidth="1"/>
    <col min="3602" max="3602" width="8" style="1" customWidth="1"/>
    <col min="3603" max="3603" width="11.5703125" style="1" customWidth="1"/>
    <col min="3604" max="3604" width="12" style="1" customWidth="1"/>
    <col min="3605" max="3605" width="11" style="1" customWidth="1"/>
    <col min="3606" max="3606" width="8.28515625" style="1" customWidth="1"/>
    <col min="3607" max="3800" width="9.140625" style="1"/>
    <col min="3801" max="3801" width="6.28515625" style="1" customWidth="1"/>
    <col min="3802" max="3802" width="71.85546875" style="1" customWidth="1"/>
    <col min="3803" max="3803" width="7.5703125" style="1" customWidth="1"/>
    <col min="3804" max="3804" width="7" style="1" customWidth="1"/>
    <col min="3805" max="3805" width="7.7109375" style="1" customWidth="1"/>
    <col min="3806" max="3806" width="9.28515625" style="1" customWidth="1"/>
    <col min="3807" max="3807" width="9.7109375" style="1" customWidth="1"/>
    <col min="3808" max="3808" width="8" style="1" customWidth="1"/>
    <col min="3809" max="3809" width="11.5703125" style="1" customWidth="1"/>
    <col min="3810" max="3810" width="12" style="1" customWidth="1"/>
    <col min="3811" max="3811" width="11" style="1" customWidth="1"/>
    <col min="3812" max="3812" width="8.28515625" style="1" customWidth="1"/>
    <col min="3813" max="3813" width="7.7109375" style="1" customWidth="1"/>
    <col min="3814" max="3814" width="7" style="1" customWidth="1"/>
    <col min="3815" max="3815" width="7.7109375" style="1" customWidth="1"/>
    <col min="3816" max="3816" width="9.28515625" style="1" customWidth="1"/>
    <col min="3817" max="3817" width="9.7109375" style="1" customWidth="1"/>
    <col min="3818" max="3818" width="8" style="1" customWidth="1"/>
    <col min="3819" max="3819" width="11.5703125" style="1" customWidth="1"/>
    <col min="3820" max="3820" width="12" style="1" customWidth="1"/>
    <col min="3821" max="3821" width="11" style="1" customWidth="1"/>
    <col min="3822" max="3822" width="8.28515625" style="1" customWidth="1"/>
    <col min="3823" max="3823" width="7.7109375" style="1" customWidth="1"/>
    <col min="3824" max="3824" width="7" style="1" customWidth="1"/>
    <col min="3825" max="3825" width="7.7109375" style="1" customWidth="1"/>
    <col min="3826" max="3826" width="9.28515625" style="1" customWidth="1"/>
    <col min="3827" max="3827" width="9.7109375" style="1" customWidth="1"/>
    <col min="3828" max="3828" width="8" style="1" customWidth="1"/>
    <col min="3829" max="3829" width="11.5703125" style="1" customWidth="1"/>
    <col min="3830" max="3830" width="12" style="1" customWidth="1"/>
    <col min="3831" max="3831" width="11" style="1" customWidth="1"/>
    <col min="3832" max="3832" width="8.28515625" style="1" customWidth="1"/>
    <col min="3833" max="3833" width="7.7109375" style="1" customWidth="1"/>
    <col min="3834" max="3834" width="7" style="1" customWidth="1"/>
    <col min="3835" max="3835" width="7.7109375" style="1" customWidth="1"/>
    <col min="3836" max="3836" width="9.28515625" style="1" customWidth="1"/>
    <col min="3837" max="3837" width="9.7109375" style="1" customWidth="1"/>
    <col min="3838" max="3838" width="8" style="1" customWidth="1"/>
    <col min="3839" max="3839" width="11.5703125" style="1" customWidth="1"/>
    <col min="3840" max="3840" width="12" style="1" customWidth="1"/>
    <col min="3841" max="3841" width="11" style="1" customWidth="1"/>
    <col min="3842" max="3842" width="8.28515625" style="1" customWidth="1"/>
    <col min="3843" max="3843" width="7.7109375" style="1" customWidth="1"/>
    <col min="3844" max="3844" width="7" style="1" customWidth="1"/>
    <col min="3845" max="3845" width="7.7109375" style="1" customWidth="1"/>
    <col min="3846" max="3846" width="9.28515625" style="1" customWidth="1"/>
    <col min="3847" max="3847" width="9.7109375" style="1" customWidth="1"/>
    <col min="3848" max="3848" width="8" style="1" customWidth="1"/>
    <col min="3849" max="3849" width="11.5703125" style="1" customWidth="1"/>
    <col min="3850" max="3850" width="12" style="1" customWidth="1"/>
    <col min="3851" max="3851" width="11" style="1" customWidth="1"/>
    <col min="3852" max="3852" width="8.28515625" style="1" customWidth="1"/>
    <col min="3853" max="3853" width="7.7109375" style="1" customWidth="1"/>
    <col min="3854" max="3854" width="7.85546875" style="1" customWidth="1"/>
    <col min="3855" max="3855" width="7.7109375" style="1" customWidth="1"/>
    <col min="3856" max="3856" width="9.28515625" style="1" customWidth="1"/>
    <col min="3857" max="3857" width="9.7109375" style="1" customWidth="1"/>
    <col min="3858" max="3858" width="8" style="1" customWidth="1"/>
    <col min="3859" max="3859" width="11.5703125" style="1" customWidth="1"/>
    <col min="3860" max="3860" width="12" style="1" customWidth="1"/>
    <col min="3861" max="3861" width="11" style="1" customWidth="1"/>
    <col min="3862" max="3862" width="8.28515625" style="1" customWidth="1"/>
    <col min="3863" max="4056" width="9.140625" style="1"/>
    <col min="4057" max="4057" width="6.28515625" style="1" customWidth="1"/>
    <col min="4058" max="4058" width="71.85546875" style="1" customWidth="1"/>
    <col min="4059" max="4059" width="7.5703125" style="1" customWidth="1"/>
    <col min="4060" max="4060" width="7" style="1" customWidth="1"/>
    <col min="4061" max="4061" width="7.7109375" style="1" customWidth="1"/>
    <col min="4062" max="4062" width="9.28515625" style="1" customWidth="1"/>
    <col min="4063" max="4063" width="9.7109375" style="1" customWidth="1"/>
    <col min="4064" max="4064" width="8" style="1" customWidth="1"/>
    <col min="4065" max="4065" width="11.5703125" style="1" customWidth="1"/>
    <col min="4066" max="4066" width="12" style="1" customWidth="1"/>
    <col min="4067" max="4067" width="11" style="1" customWidth="1"/>
    <col min="4068" max="4068" width="8.28515625" style="1" customWidth="1"/>
    <col min="4069" max="4069" width="7.7109375" style="1" customWidth="1"/>
    <col min="4070" max="4070" width="7" style="1" customWidth="1"/>
    <col min="4071" max="4071" width="7.7109375" style="1" customWidth="1"/>
    <col min="4072" max="4072" width="9.28515625" style="1" customWidth="1"/>
    <col min="4073" max="4073" width="9.7109375" style="1" customWidth="1"/>
    <col min="4074" max="4074" width="8" style="1" customWidth="1"/>
    <col min="4075" max="4075" width="11.5703125" style="1" customWidth="1"/>
    <col min="4076" max="4076" width="12" style="1" customWidth="1"/>
    <col min="4077" max="4077" width="11" style="1" customWidth="1"/>
    <col min="4078" max="4078" width="8.28515625" style="1" customWidth="1"/>
    <col min="4079" max="4079" width="7.7109375" style="1" customWidth="1"/>
    <col min="4080" max="4080" width="7" style="1" customWidth="1"/>
    <col min="4081" max="4081" width="7.7109375" style="1" customWidth="1"/>
    <col min="4082" max="4082" width="9.28515625" style="1" customWidth="1"/>
    <col min="4083" max="4083" width="9.7109375" style="1" customWidth="1"/>
    <col min="4084" max="4084" width="8" style="1" customWidth="1"/>
    <col min="4085" max="4085" width="11.5703125" style="1" customWidth="1"/>
    <col min="4086" max="4086" width="12" style="1" customWidth="1"/>
    <col min="4087" max="4087" width="11" style="1" customWidth="1"/>
    <col min="4088" max="4088" width="8.28515625" style="1" customWidth="1"/>
    <col min="4089" max="4089" width="7.7109375" style="1" customWidth="1"/>
    <col min="4090" max="4090" width="7" style="1" customWidth="1"/>
    <col min="4091" max="4091" width="7.7109375" style="1" customWidth="1"/>
    <col min="4092" max="4092" width="9.28515625" style="1" customWidth="1"/>
    <col min="4093" max="4093" width="9.7109375" style="1" customWidth="1"/>
    <col min="4094" max="4094" width="8" style="1" customWidth="1"/>
    <col min="4095" max="4095" width="11.5703125" style="1" customWidth="1"/>
    <col min="4096" max="4096" width="12" style="1" customWidth="1"/>
    <col min="4097" max="4097" width="11" style="1" customWidth="1"/>
    <col min="4098" max="4098" width="8.28515625" style="1" customWidth="1"/>
    <col min="4099" max="4099" width="7.7109375" style="1" customWidth="1"/>
    <col min="4100" max="4100" width="7" style="1" customWidth="1"/>
    <col min="4101" max="4101" width="7.7109375" style="1" customWidth="1"/>
    <col min="4102" max="4102" width="9.28515625" style="1" customWidth="1"/>
    <col min="4103" max="4103" width="9.7109375" style="1" customWidth="1"/>
    <col min="4104" max="4104" width="8" style="1" customWidth="1"/>
    <col min="4105" max="4105" width="11.5703125" style="1" customWidth="1"/>
    <col min="4106" max="4106" width="12" style="1" customWidth="1"/>
    <col min="4107" max="4107" width="11" style="1" customWidth="1"/>
    <col min="4108" max="4108" width="8.28515625" style="1" customWidth="1"/>
    <col min="4109" max="4109" width="7.7109375" style="1" customWidth="1"/>
    <col min="4110" max="4110" width="7.85546875" style="1" customWidth="1"/>
    <col min="4111" max="4111" width="7.7109375" style="1" customWidth="1"/>
    <col min="4112" max="4112" width="9.28515625" style="1" customWidth="1"/>
    <col min="4113" max="4113" width="9.7109375" style="1" customWidth="1"/>
    <col min="4114" max="4114" width="8" style="1" customWidth="1"/>
    <col min="4115" max="4115" width="11.5703125" style="1" customWidth="1"/>
    <col min="4116" max="4116" width="12" style="1" customWidth="1"/>
    <col min="4117" max="4117" width="11" style="1" customWidth="1"/>
    <col min="4118" max="4118" width="8.28515625" style="1" customWidth="1"/>
    <col min="4119" max="4312" width="9.140625" style="1"/>
    <col min="4313" max="4313" width="6.28515625" style="1" customWidth="1"/>
    <col min="4314" max="4314" width="71.85546875" style="1" customWidth="1"/>
    <col min="4315" max="4315" width="7.5703125" style="1" customWidth="1"/>
    <col min="4316" max="4316" width="7" style="1" customWidth="1"/>
    <col min="4317" max="4317" width="7.7109375" style="1" customWidth="1"/>
    <col min="4318" max="4318" width="9.28515625" style="1" customWidth="1"/>
    <col min="4319" max="4319" width="9.7109375" style="1" customWidth="1"/>
    <col min="4320" max="4320" width="8" style="1" customWidth="1"/>
    <col min="4321" max="4321" width="11.5703125" style="1" customWidth="1"/>
    <col min="4322" max="4322" width="12" style="1" customWidth="1"/>
    <col min="4323" max="4323" width="11" style="1" customWidth="1"/>
    <col min="4324" max="4324" width="8.28515625" style="1" customWidth="1"/>
    <col min="4325" max="4325" width="7.7109375" style="1" customWidth="1"/>
    <col min="4326" max="4326" width="7" style="1" customWidth="1"/>
    <col min="4327" max="4327" width="7.7109375" style="1" customWidth="1"/>
    <col min="4328" max="4328" width="9.28515625" style="1" customWidth="1"/>
    <col min="4329" max="4329" width="9.7109375" style="1" customWidth="1"/>
    <col min="4330" max="4330" width="8" style="1" customWidth="1"/>
    <col min="4331" max="4331" width="11.5703125" style="1" customWidth="1"/>
    <col min="4332" max="4332" width="12" style="1" customWidth="1"/>
    <col min="4333" max="4333" width="11" style="1" customWidth="1"/>
    <col min="4334" max="4334" width="8.28515625" style="1" customWidth="1"/>
    <col min="4335" max="4335" width="7.7109375" style="1" customWidth="1"/>
    <col min="4336" max="4336" width="7" style="1" customWidth="1"/>
    <col min="4337" max="4337" width="7.7109375" style="1" customWidth="1"/>
    <col min="4338" max="4338" width="9.28515625" style="1" customWidth="1"/>
    <col min="4339" max="4339" width="9.7109375" style="1" customWidth="1"/>
    <col min="4340" max="4340" width="8" style="1" customWidth="1"/>
    <col min="4341" max="4341" width="11.5703125" style="1" customWidth="1"/>
    <col min="4342" max="4342" width="12" style="1" customWidth="1"/>
    <col min="4343" max="4343" width="11" style="1" customWidth="1"/>
    <col min="4344" max="4344" width="8.28515625" style="1" customWidth="1"/>
    <col min="4345" max="4345" width="7.7109375" style="1" customWidth="1"/>
    <col min="4346" max="4346" width="7" style="1" customWidth="1"/>
    <col min="4347" max="4347" width="7.7109375" style="1" customWidth="1"/>
    <col min="4348" max="4348" width="9.28515625" style="1" customWidth="1"/>
    <col min="4349" max="4349" width="9.7109375" style="1" customWidth="1"/>
    <col min="4350" max="4350" width="8" style="1" customWidth="1"/>
    <col min="4351" max="4351" width="11.5703125" style="1" customWidth="1"/>
    <col min="4352" max="4352" width="12" style="1" customWidth="1"/>
    <col min="4353" max="4353" width="11" style="1" customWidth="1"/>
    <col min="4354" max="4354" width="8.28515625" style="1" customWidth="1"/>
    <col min="4355" max="4355" width="7.7109375" style="1" customWidth="1"/>
    <col min="4356" max="4356" width="7" style="1" customWidth="1"/>
    <col min="4357" max="4357" width="7.7109375" style="1" customWidth="1"/>
    <col min="4358" max="4358" width="9.28515625" style="1" customWidth="1"/>
    <col min="4359" max="4359" width="9.7109375" style="1" customWidth="1"/>
    <col min="4360" max="4360" width="8" style="1" customWidth="1"/>
    <col min="4361" max="4361" width="11.5703125" style="1" customWidth="1"/>
    <col min="4362" max="4362" width="12" style="1" customWidth="1"/>
    <col min="4363" max="4363" width="11" style="1" customWidth="1"/>
    <col min="4364" max="4364" width="8.28515625" style="1" customWidth="1"/>
    <col min="4365" max="4365" width="7.7109375" style="1" customWidth="1"/>
    <col min="4366" max="4366" width="7.85546875" style="1" customWidth="1"/>
    <col min="4367" max="4367" width="7.7109375" style="1" customWidth="1"/>
    <col min="4368" max="4368" width="9.28515625" style="1" customWidth="1"/>
    <col min="4369" max="4369" width="9.7109375" style="1" customWidth="1"/>
    <col min="4370" max="4370" width="8" style="1" customWidth="1"/>
    <col min="4371" max="4371" width="11.5703125" style="1" customWidth="1"/>
    <col min="4372" max="4372" width="12" style="1" customWidth="1"/>
    <col min="4373" max="4373" width="11" style="1" customWidth="1"/>
    <col min="4374" max="4374" width="8.28515625" style="1" customWidth="1"/>
    <col min="4375" max="4568" width="9.140625" style="1"/>
    <col min="4569" max="4569" width="6.28515625" style="1" customWidth="1"/>
    <col min="4570" max="4570" width="71.85546875" style="1" customWidth="1"/>
    <col min="4571" max="4571" width="7.5703125" style="1" customWidth="1"/>
    <col min="4572" max="4572" width="7" style="1" customWidth="1"/>
    <col min="4573" max="4573" width="7.7109375" style="1" customWidth="1"/>
    <col min="4574" max="4574" width="9.28515625" style="1" customWidth="1"/>
    <col min="4575" max="4575" width="9.7109375" style="1" customWidth="1"/>
    <col min="4576" max="4576" width="8" style="1" customWidth="1"/>
    <col min="4577" max="4577" width="11.5703125" style="1" customWidth="1"/>
    <col min="4578" max="4578" width="12" style="1" customWidth="1"/>
    <col min="4579" max="4579" width="11" style="1" customWidth="1"/>
    <col min="4580" max="4580" width="8.28515625" style="1" customWidth="1"/>
    <col min="4581" max="4581" width="7.7109375" style="1" customWidth="1"/>
    <col min="4582" max="4582" width="7" style="1" customWidth="1"/>
    <col min="4583" max="4583" width="7.7109375" style="1" customWidth="1"/>
    <col min="4584" max="4584" width="9.28515625" style="1" customWidth="1"/>
    <col min="4585" max="4585" width="9.7109375" style="1" customWidth="1"/>
    <col min="4586" max="4586" width="8" style="1" customWidth="1"/>
    <col min="4587" max="4587" width="11.5703125" style="1" customWidth="1"/>
    <col min="4588" max="4588" width="12" style="1" customWidth="1"/>
    <col min="4589" max="4589" width="11" style="1" customWidth="1"/>
    <col min="4590" max="4590" width="8.28515625" style="1" customWidth="1"/>
    <col min="4591" max="4591" width="7.7109375" style="1" customWidth="1"/>
    <col min="4592" max="4592" width="7" style="1" customWidth="1"/>
    <col min="4593" max="4593" width="7.7109375" style="1" customWidth="1"/>
    <col min="4594" max="4594" width="9.28515625" style="1" customWidth="1"/>
    <col min="4595" max="4595" width="9.7109375" style="1" customWidth="1"/>
    <col min="4596" max="4596" width="8" style="1" customWidth="1"/>
    <col min="4597" max="4597" width="11.5703125" style="1" customWidth="1"/>
    <col min="4598" max="4598" width="12" style="1" customWidth="1"/>
    <col min="4599" max="4599" width="11" style="1" customWidth="1"/>
    <col min="4600" max="4600" width="8.28515625" style="1" customWidth="1"/>
    <col min="4601" max="4601" width="7.7109375" style="1" customWidth="1"/>
    <col min="4602" max="4602" width="7" style="1" customWidth="1"/>
    <col min="4603" max="4603" width="7.7109375" style="1" customWidth="1"/>
    <col min="4604" max="4604" width="9.28515625" style="1" customWidth="1"/>
    <col min="4605" max="4605" width="9.7109375" style="1" customWidth="1"/>
    <col min="4606" max="4606" width="8" style="1" customWidth="1"/>
    <col min="4607" max="4607" width="11.5703125" style="1" customWidth="1"/>
    <col min="4608" max="4608" width="12" style="1" customWidth="1"/>
    <col min="4609" max="4609" width="11" style="1" customWidth="1"/>
    <col min="4610" max="4610" width="8.28515625" style="1" customWidth="1"/>
    <col min="4611" max="4611" width="7.7109375" style="1" customWidth="1"/>
    <col min="4612" max="4612" width="7" style="1" customWidth="1"/>
    <col min="4613" max="4613" width="7.7109375" style="1" customWidth="1"/>
    <col min="4614" max="4614" width="9.28515625" style="1" customWidth="1"/>
    <col min="4615" max="4615" width="9.7109375" style="1" customWidth="1"/>
    <col min="4616" max="4616" width="8" style="1" customWidth="1"/>
    <col min="4617" max="4617" width="11.5703125" style="1" customWidth="1"/>
    <col min="4618" max="4618" width="12" style="1" customWidth="1"/>
    <col min="4619" max="4619" width="11" style="1" customWidth="1"/>
    <col min="4620" max="4620" width="8.28515625" style="1" customWidth="1"/>
    <col min="4621" max="4621" width="7.7109375" style="1" customWidth="1"/>
    <col min="4622" max="4622" width="7.85546875" style="1" customWidth="1"/>
    <col min="4623" max="4623" width="7.7109375" style="1" customWidth="1"/>
    <col min="4624" max="4624" width="9.28515625" style="1" customWidth="1"/>
    <col min="4625" max="4625" width="9.7109375" style="1" customWidth="1"/>
    <col min="4626" max="4626" width="8" style="1" customWidth="1"/>
    <col min="4627" max="4627" width="11.5703125" style="1" customWidth="1"/>
    <col min="4628" max="4628" width="12" style="1" customWidth="1"/>
    <col min="4629" max="4629" width="11" style="1" customWidth="1"/>
    <col min="4630" max="4630" width="8.28515625" style="1" customWidth="1"/>
    <col min="4631" max="4824" width="9.140625" style="1"/>
    <col min="4825" max="4825" width="6.28515625" style="1" customWidth="1"/>
    <col min="4826" max="4826" width="71.85546875" style="1" customWidth="1"/>
    <col min="4827" max="4827" width="7.5703125" style="1" customWidth="1"/>
    <col min="4828" max="4828" width="7" style="1" customWidth="1"/>
    <col min="4829" max="4829" width="7.7109375" style="1" customWidth="1"/>
    <col min="4830" max="4830" width="9.28515625" style="1" customWidth="1"/>
    <col min="4831" max="4831" width="9.7109375" style="1" customWidth="1"/>
    <col min="4832" max="4832" width="8" style="1" customWidth="1"/>
    <col min="4833" max="4833" width="11.5703125" style="1" customWidth="1"/>
    <col min="4834" max="4834" width="12" style="1" customWidth="1"/>
    <col min="4835" max="4835" width="11" style="1" customWidth="1"/>
    <col min="4836" max="4836" width="8.28515625" style="1" customWidth="1"/>
    <col min="4837" max="4837" width="7.7109375" style="1" customWidth="1"/>
    <col min="4838" max="4838" width="7" style="1" customWidth="1"/>
    <col min="4839" max="4839" width="7.7109375" style="1" customWidth="1"/>
    <col min="4840" max="4840" width="9.28515625" style="1" customWidth="1"/>
    <col min="4841" max="4841" width="9.7109375" style="1" customWidth="1"/>
    <col min="4842" max="4842" width="8" style="1" customWidth="1"/>
    <col min="4843" max="4843" width="11.5703125" style="1" customWidth="1"/>
    <col min="4844" max="4844" width="12" style="1" customWidth="1"/>
    <col min="4845" max="4845" width="11" style="1" customWidth="1"/>
    <col min="4846" max="4846" width="8.28515625" style="1" customWidth="1"/>
    <col min="4847" max="4847" width="7.7109375" style="1" customWidth="1"/>
    <col min="4848" max="4848" width="7" style="1" customWidth="1"/>
    <col min="4849" max="4849" width="7.7109375" style="1" customWidth="1"/>
    <col min="4850" max="4850" width="9.28515625" style="1" customWidth="1"/>
    <col min="4851" max="4851" width="9.7109375" style="1" customWidth="1"/>
    <col min="4852" max="4852" width="8" style="1" customWidth="1"/>
    <col min="4853" max="4853" width="11.5703125" style="1" customWidth="1"/>
    <col min="4854" max="4854" width="12" style="1" customWidth="1"/>
    <col min="4855" max="4855" width="11" style="1" customWidth="1"/>
    <col min="4856" max="4856" width="8.28515625" style="1" customWidth="1"/>
    <col min="4857" max="4857" width="7.7109375" style="1" customWidth="1"/>
    <col min="4858" max="4858" width="7" style="1" customWidth="1"/>
    <col min="4859" max="4859" width="7.7109375" style="1" customWidth="1"/>
    <col min="4860" max="4860" width="9.28515625" style="1" customWidth="1"/>
    <col min="4861" max="4861" width="9.7109375" style="1" customWidth="1"/>
    <col min="4862" max="4862" width="8" style="1" customWidth="1"/>
    <col min="4863" max="4863" width="11.5703125" style="1" customWidth="1"/>
    <col min="4864" max="4864" width="12" style="1" customWidth="1"/>
    <col min="4865" max="4865" width="11" style="1" customWidth="1"/>
    <col min="4866" max="4866" width="8.28515625" style="1" customWidth="1"/>
    <col min="4867" max="4867" width="7.7109375" style="1" customWidth="1"/>
    <col min="4868" max="4868" width="7" style="1" customWidth="1"/>
    <col min="4869" max="4869" width="7.7109375" style="1" customWidth="1"/>
    <col min="4870" max="4870" width="9.28515625" style="1" customWidth="1"/>
    <col min="4871" max="4871" width="9.7109375" style="1" customWidth="1"/>
    <col min="4872" max="4872" width="8" style="1" customWidth="1"/>
    <col min="4873" max="4873" width="11.5703125" style="1" customWidth="1"/>
    <col min="4874" max="4874" width="12" style="1" customWidth="1"/>
    <col min="4875" max="4875" width="11" style="1" customWidth="1"/>
    <col min="4876" max="4876" width="8.28515625" style="1" customWidth="1"/>
    <col min="4877" max="4877" width="7.7109375" style="1" customWidth="1"/>
    <col min="4878" max="4878" width="7.85546875" style="1" customWidth="1"/>
    <col min="4879" max="4879" width="7.7109375" style="1" customWidth="1"/>
    <col min="4880" max="4880" width="9.28515625" style="1" customWidth="1"/>
    <col min="4881" max="4881" width="9.7109375" style="1" customWidth="1"/>
    <col min="4882" max="4882" width="8" style="1" customWidth="1"/>
    <col min="4883" max="4883" width="11.5703125" style="1" customWidth="1"/>
    <col min="4884" max="4884" width="12" style="1" customWidth="1"/>
    <col min="4885" max="4885" width="11" style="1" customWidth="1"/>
    <col min="4886" max="4886" width="8.28515625" style="1" customWidth="1"/>
    <col min="4887" max="5080" width="9.140625" style="1"/>
    <col min="5081" max="5081" width="6.28515625" style="1" customWidth="1"/>
    <col min="5082" max="5082" width="71.85546875" style="1" customWidth="1"/>
    <col min="5083" max="5083" width="7.5703125" style="1" customWidth="1"/>
    <col min="5084" max="5084" width="7" style="1" customWidth="1"/>
    <col min="5085" max="5085" width="7.7109375" style="1" customWidth="1"/>
    <col min="5086" max="5086" width="9.28515625" style="1" customWidth="1"/>
    <col min="5087" max="5087" width="9.7109375" style="1" customWidth="1"/>
    <col min="5088" max="5088" width="8" style="1" customWidth="1"/>
    <col min="5089" max="5089" width="11.5703125" style="1" customWidth="1"/>
    <col min="5090" max="5090" width="12" style="1" customWidth="1"/>
    <col min="5091" max="5091" width="11" style="1" customWidth="1"/>
    <col min="5092" max="5092" width="8.28515625" style="1" customWidth="1"/>
    <col min="5093" max="5093" width="7.7109375" style="1" customWidth="1"/>
    <col min="5094" max="5094" width="7" style="1" customWidth="1"/>
    <col min="5095" max="5095" width="7.7109375" style="1" customWidth="1"/>
    <col min="5096" max="5096" width="9.28515625" style="1" customWidth="1"/>
    <col min="5097" max="5097" width="9.7109375" style="1" customWidth="1"/>
    <col min="5098" max="5098" width="8" style="1" customWidth="1"/>
    <col min="5099" max="5099" width="11.5703125" style="1" customWidth="1"/>
    <col min="5100" max="5100" width="12" style="1" customWidth="1"/>
    <col min="5101" max="5101" width="11" style="1" customWidth="1"/>
    <col min="5102" max="5102" width="8.28515625" style="1" customWidth="1"/>
    <col min="5103" max="5103" width="7.7109375" style="1" customWidth="1"/>
    <col min="5104" max="5104" width="7" style="1" customWidth="1"/>
    <col min="5105" max="5105" width="7.7109375" style="1" customWidth="1"/>
    <col min="5106" max="5106" width="9.28515625" style="1" customWidth="1"/>
    <col min="5107" max="5107" width="9.7109375" style="1" customWidth="1"/>
    <col min="5108" max="5108" width="8" style="1" customWidth="1"/>
    <col min="5109" max="5109" width="11.5703125" style="1" customWidth="1"/>
    <col min="5110" max="5110" width="12" style="1" customWidth="1"/>
    <col min="5111" max="5111" width="11" style="1" customWidth="1"/>
    <col min="5112" max="5112" width="8.28515625" style="1" customWidth="1"/>
    <col min="5113" max="5113" width="7.7109375" style="1" customWidth="1"/>
    <col min="5114" max="5114" width="7" style="1" customWidth="1"/>
    <col min="5115" max="5115" width="7.7109375" style="1" customWidth="1"/>
    <col min="5116" max="5116" width="9.28515625" style="1" customWidth="1"/>
    <col min="5117" max="5117" width="9.7109375" style="1" customWidth="1"/>
    <col min="5118" max="5118" width="8" style="1" customWidth="1"/>
    <col min="5119" max="5119" width="11.5703125" style="1" customWidth="1"/>
    <col min="5120" max="5120" width="12" style="1" customWidth="1"/>
    <col min="5121" max="5121" width="11" style="1" customWidth="1"/>
    <col min="5122" max="5122" width="8.28515625" style="1" customWidth="1"/>
    <col min="5123" max="5123" width="7.7109375" style="1" customWidth="1"/>
    <col min="5124" max="5124" width="7" style="1" customWidth="1"/>
    <col min="5125" max="5125" width="7.7109375" style="1" customWidth="1"/>
    <col min="5126" max="5126" width="9.28515625" style="1" customWidth="1"/>
    <col min="5127" max="5127" width="9.7109375" style="1" customWidth="1"/>
    <col min="5128" max="5128" width="8" style="1" customWidth="1"/>
    <col min="5129" max="5129" width="11.5703125" style="1" customWidth="1"/>
    <col min="5130" max="5130" width="12" style="1" customWidth="1"/>
    <col min="5131" max="5131" width="11" style="1" customWidth="1"/>
    <col min="5132" max="5132" width="8.28515625" style="1" customWidth="1"/>
    <col min="5133" max="5133" width="7.7109375" style="1" customWidth="1"/>
    <col min="5134" max="5134" width="7.85546875" style="1" customWidth="1"/>
    <col min="5135" max="5135" width="7.7109375" style="1" customWidth="1"/>
    <col min="5136" max="5136" width="9.28515625" style="1" customWidth="1"/>
    <col min="5137" max="5137" width="9.7109375" style="1" customWidth="1"/>
    <col min="5138" max="5138" width="8" style="1" customWidth="1"/>
    <col min="5139" max="5139" width="11.5703125" style="1" customWidth="1"/>
    <col min="5140" max="5140" width="12" style="1" customWidth="1"/>
    <col min="5141" max="5141" width="11" style="1" customWidth="1"/>
    <col min="5142" max="5142" width="8.28515625" style="1" customWidth="1"/>
    <col min="5143" max="5336" width="9.140625" style="1"/>
    <col min="5337" max="5337" width="6.28515625" style="1" customWidth="1"/>
    <col min="5338" max="5338" width="71.85546875" style="1" customWidth="1"/>
    <col min="5339" max="5339" width="7.5703125" style="1" customWidth="1"/>
    <col min="5340" max="5340" width="7" style="1" customWidth="1"/>
    <col min="5341" max="5341" width="7.7109375" style="1" customWidth="1"/>
    <col min="5342" max="5342" width="9.28515625" style="1" customWidth="1"/>
    <col min="5343" max="5343" width="9.7109375" style="1" customWidth="1"/>
    <col min="5344" max="5344" width="8" style="1" customWidth="1"/>
    <col min="5345" max="5345" width="11.5703125" style="1" customWidth="1"/>
    <col min="5346" max="5346" width="12" style="1" customWidth="1"/>
    <col min="5347" max="5347" width="11" style="1" customWidth="1"/>
    <col min="5348" max="5348" width="8.28515625" style="1" customWidth="1"/>
    <col min="5349" max="5349" width="7.7109375" style="1" customWidth="1"/>
    <col min="5350" max="5350" width="7" style="1" customWidth="1"/>
    <col min="5351" max="5351" width="7.7109375" style="1" customWidth="1"/>
    <col min="5352" max="5352" width="9.28515625" style="1" customWidth="1"/>
    <col min="5353" max="5353" width="9.7109375" style="1" customWidth="1"/>
    <col min="5354" max="5354" width="8" style="1" customWidth="1"/>
    <col min="5355" max="5355" width="11.5703125" style="1" customWidth="1"/>
    <col min="5356" max="5356" width="12" style="1" customWidth="1"/>
    <col min="5357" max="5357" width="11" style="1" customWidth="1"/>
    <col min="5358" max="5358" width="8.28515625" style="1" customWidth="1"/>
    <col min="5359" max="5359" width="7.7109375" style="1" customWidth="1"/>
    <col min="5360" max="5360" width="7" style="1" customWidth="1"/>
    <col min="5361" max="5361" width="7.7109375" style="1" customWidth="1"/>
    <col min="5362" max="5362" width="9.28515625" style="1" customWidth="1"/>
    <col min="5363" max="5363" width="9.7109375" style="1" customWidth="1"/>
    <col min="5364" max="5364" width="8" style="1" customWidth="1"/>
    <col min="5365" max="5365" width="11.5703125" style="1" customWidth="1"/>
    <col min="5366" max="5366" width="12" style="1" customWidth="1"/>
    <col min="5367" max="5367" width="11" style="1" customWidth="1"/>
    <col min="5368" max="5368" width="8.28515625" style="1" customWidth="1"/>
    <col min="5369" max="5369" width="7.7109375" style="1" customWidth="1"/>
    <col min="5370" max="5370" width="7" style="1" customWidth="1"/>
    <col min="5371" max="5371" width="7.7109375" style="1" customWidth="1"/>
    <col min="5372" max="5372" width="9.28515625" style="1" customWidth="1"/>
    <col min="5373" max="5373" width="9.7109375" style="1" customWidth="1"/>
    <col min="5374" max="5374" width="8" style="1" customWidth="1"/>
    <col min="5375" max="5375" width="11.5703125" style="1" customWidth="1"/>
    <col min="5376" max="5376" width="12" style="1" customWidth="1"/>
    <col min="5377" max="5377" width="11" style="1" customWidth="1"/>
    <col min="5378" max="5378" width="8.28515625" style="1" customWidth="1"/>
    <col min="5379" max="5379" width="7.7109375" style="1" customWidth="1"/>
    <col min="5380" max="5380" width="7" style="1" customWidth="1"/>
    <col min="5381" max="5381" width="7.7109375" style="1" customWidth="1"/>
    <col min="5382" max="5382" width="9.28515625" style="1" customWidth="1"/>
    <col min="5383" max="5383" width="9.7109375" style="1" customWidth="1"/>
    <col min="5384" max="5384" width="8" style="1" customWidth="1"/>
    <col min="5385" max="5385" width="11.5703125" style="1" customWidth="1"/>
    <col min="5386" max="5386" width="12" style="1" customWidth="1"/>
    <col min="5387" max="5387" width="11" style="1" customWidth="1"/>
    <col min="5388" max="5388" width="8.28515625" style="1" customWidth="1"/>
    <col min="5389" max="5389" width="7.7109375" style="1" customWidth="1"/>
    <col min="5390" max="5390" width="7.85546875" style="1" customWidth="1"/>
    <col min="5391" max="5391" width="7.7109375" style="1" customWidth="1"/>
    <col min="5392" max="5392" width="9.28515625" style="1" customWidth="1"/>
    <col min="5393" max="5393" width="9.7109375" style="1" customWidth="1"/>
    <col min="5394" max="5394" width="8" style="1" customWidth="1"/>
    <col min="5395" max="5395" width="11.5703125" style="1" customWidth="1"/>
    <col min="5396" max="5396" width="12" style="1" customWidth="1"/>
    <col min="5397" max="5397" width="11" style="1" customWidth="1"/>
    <col min="5398" max="5398" width="8.28515625" style="1" customWidth="1"/>
    <col min="5399" max="5592" width="9.140625" style="1"/>
    <col min="5593" max="5593" width="6.28515625" style="1" customWidth="1"/>
    <col min="5594" max="5594" width="71.85546875" style="1" customWidth="1"/>
    <col min="5595" max="5595" width="7.5703125" style="1" customWidth="1"/>
    <col min="5596" max="5596" width="7" style="1" customWidth="1"/>
    <col min="5597" max="5597" width="7.7109375" style="1" customWidth="1"/>
    <col min="5598" max="5598" width="9.28515625" style="1" customWidth="1"/>
    <col min="5599" max="5599" width="9.7109375" style="1" customWidth="1"/>
    <col min="5600" max="5600" width="8" style="1" customWidth="1"/>
    <col min="5601" max="5601" width="11.5703125" style="1" customWidth="1"/>
    <col min="5602" max="5602" width="12" style="1" customWidth="1"/>
    <col min="5603" max="5603" width="11" style="1" customWidth="1"/>
    <col min="5604" max="5604" width="8.28515625" style="1" customWidth="1"/>
    <col min="5605" max="5605" width="7.7109375" style="1" customWidth="1"/>
    <col min="5606" max="5606" width="7" style="1" customWidth="1"/>
    <col min="5607" max="5607" width="7.7109375" style="1" customWidth="1"/>
    <col min="5608" max="5608" width="9.28515625" style="1" customWidth="1"/>
    <col min="5609" max="5609" width="9.7109375" style="1" customWidth="1"/>
    <col min="5610" max="5610" width="8" style="1" customWidth="1"/>
    <col min="5611" max="5611" width="11.5703125" style="1" customWidth="1"/>
    <col min="5612" max="5612" width="12" style="1" customWidth="1"/>
    <col min="5613" max="5613" width="11" style="1" customWidth="1"/>
    <col min="5614" max="5614" width="8.28515625" style="1" customWidth="1"/>
    <col min="5615" max="5615" width="7.7109375" style="1" customWidth="1"/>
    <col min="5616" max="5616" width="7" style="1" customWidth="1"/>
    <col min="5617" max="5617" width="7.7109375" style="1" customWidth="1"/>
    <col min="5618" max="5618" width="9.28515625" style="1" customWidth="1"/>
    <col min="5619" max="5619" width="9.7109375" style="1" customWidth="1"/>
    <col min="5620" max="5620" width="8" style="1" customWidth="1"/>
    <col min="5621" max="5621" width="11.5703125" style="1" customWidth="1"/>
    <col min="5622" max="5622" width="12" style="1" customWidth="1"/>
    <col min="5623" max="5623" width="11" style="1" customWidth="1"/>
    <col min="5624" max="5624" width="8.28515625" style="1" customWidth="1"/>
    <col min="5625" max="5625" width="7.7109375" style="1" customWidth="1"/>
    <col min="5626" max="5626" width="7" style="1" customWidth="1"/>
    <col min="5627" max="5627" width="7.7109375" style="1" customWidth="1"/>
    <col min="5628" max="5628" width="9.28515625" style="1" customWidth="1"/>
    <col min="5629" max="5629" width="9.7109375" style="1" customWidth="1"/>
    <col min="5630" max="5630" width="8" style="1" customWidth="1"/>
    <col min="5631" max="5631" width="11.5703125" style="1" customWidth="1"/>
    <col min="5632" max="5632" width="12" style="1" customWidth="1"/>
    <col min="5633" max="5633" width="11" style="1" customWidth="1"/>
    <col min="5634" max="5634" width="8.28515625" style="1" customWidth="1"/>
    <col min="5635" max="5635" width="7.7109375" style="1" customWidth="1"/>
    <col min="5636" max="5636" width="7" style="1" customWidth="1"/>
    <col min="5637" max="5637" width="7.7109375" style="1" customWidth="1"/>
    <col min="5638" max="5638" width="9.28515625" style="1" customWidth="1"/>
    <col min="5639" max="5639" width="9.7109375" style="1" customWidth="1"/>
    <col min="5640" max="5640" width="8" style="1" customWidth="1"/>
    <col min="5641" max="5641" width="11.5703125" style="1" customWidth="1"/>
    <col min="5642" max="5642" width="12" style="1" customWidth="1"/>
    <col min="5643" max="5643" width="11" style="1" customWidth="1"/>
    <col min="5644" max="5644" width="8.28515625" style="1" customWidth="1"/>
    <col min="5645" max="5645" width="7.7109375" style="1" customWidth="1"/>
    <col min="5646" max="5646" width="7.85546875" style="1" customWidth="1"/>
    <col min="5647" max="5647" width="7.7109375" style="1" customWidth="1"/>
    <col min="5648" max="5648" width="9.28515625" style="1" customWidth="1"/>
    <col min="5649" max="5649" width="9.7109375" style="1" customWidth="1"/>
    <col min="5650" max="5650" width="8" style="1" customWidth="1"/>
    <col min="5651" max="5651" width="11.5703125" style="1" customWidth="1"/>
    <col min="5652" max="5652" width="12" style="1" customWidth="1"/>
    <col min="5653" max="5653" width="11" style="1" customWidth="1"/>
    <col min="5654" max="5654" width="8.28515625" style="1" customWidth="1"/>
    <col min="5655" max="5848" width="9.140625" style="1"/>
    <col min="5849" max="5849" width="6.28515625" style="1" customWidth="1"/>
    <col min="5850" max="5850" width="71.85546875" style="1" customWidth="1"/>
    <col min="5851" max="5851" width="7.5703125" style="1" customWidth="1"/>
    <col min="5852" max="5852" width="7" style="1" customWidth="1"/>
    <col min="5853" max="5853" width="7.7109375" style="1" customWidth="1"/>
    <col min="5854" max="5854" width="9.28515625" style="1" customWidth="1"/>
    <col min="5855" max="5855" width="9.7109375" style="1" customWidth="1"/>
    <col min="5856" max="5856" width="8" style="1" customWidth="1"/>
    <col min="5857" max="5857" width="11.5703125" style="1" customWidth="1"/>
    <col min="5858" max="5858" width="12" style="1" customWidth="1"/>
    <col min="5859" max="5859" width="11" style="1" customWidth="1"/>
    <col min="5860" max="5860" width="8.28515625" style="1" customWidth="1"/>
    <col min="5861" max="5861" width="7.7109375" style="1" customWidth="1"/>
    <col min="5862" max="5862" width="7" style="1" customWidth="1"/>
    <col min="5863" max="5863" width="7.7109375" style="1" customWidth="1"/>
    <col min="5864" max="5864" width="9.28515625" style="1" customWidth="1"/>
    <col min="5865" max="5865" width="9.7109375" style="1" customWidth="1"/>
    <col min="5866" max="5866" width="8" style="1" customWidth="1"/>
    <col min="5867" max="5867" width="11.5703125" style="1" customWidth="1"/>
    <col min="5868" max="5868" width="12" style="1" customWidth="1"/>
    <col min="5869" max="5869" width="11" style="1" customWidth="1"/>
    <col min="5870" max="5870" width="8.28515625" style="1" customWidth="1"/>
    <col min="5871" max="5871" width="7.7109375" style="1" customWidth="1"/>
    <col min="5872" max="5872" width="7" style="1" customWidth="1"/>
    <col min="5873" max="5873" width="7.7109375" style="1" customWidth="1"/>
    <col min="5874" max="5874" width="9.28515625" style="1" customWidth="1"/>
    <col min="5875" max="5875" width="9.7109375" style="1" customWidth="1"/>
    <col min="5876" max="5876" width="8" style="1" customWidth="1"/>
    <col min="5877" max="5877" width="11.5703125" style="1" customWidth="1"/>
    <col min="5878" max="5878" width="12" style="1" customWidth="1"/>
    <col min="5879" max="5879" width="11" style="1" customWidth="1"/>
    <col min="5880" max="5880" width="8.28515625" style="1" customWidth="1"/>
    <col min="5881" max="5881" width="7.7109375" style="1" customWidth="1"/>
    <col min="5882" max="5882" width="7" style="1" customWidth="1"/>
    <col min="5883" max="5883" width="7.7109375" style="1" customWidth="1"/>
    <col min="5884" max="5884" width="9.28515625" style="1" customWidth="1"/>
    <col min="5885" max="5885" width="9.7109375" style="1" customWidth="1"/>
    <col min="5886" max="5886" width="8" style="1" customWidth="1"/>
    <col min="5887" max="5887" width="11.5703125" style="1" customWidth="1"/>
    <col min="5888" max="5888" width="12" style="1" customWidth="1"/>
    <col min="5889" max="5889" width="11" style="1" customWidth="1"/>
    <col min="5890" max="5890" width="8.28515625" style="1" customWidth="1"/>
    <col min="5891" max="5891" width="7.7109375" style="1" customWidth="1"/>
    <col min="5892" max="5892" width="7" style="1" customWidth="1"/>
    <col min="5893" max="5893" width="7.7109375" style="1" customWidth="1"/>
    <col min="5894" max="5894" width="9.28515625" style="1" customWidth="1"/>
    <col min="5895" max="5895" width="9.7109375" style="1" customWidth="1"/>
    <col min="5896" max="5896" width="8" style="1" customWidth="1"/>
    <col min="5897" max="5897" width="11.5703125" style="1" customWidth="1"/>
    <col min="5898" max="5898" width="12" style="1" customWidth="1"/>
    <col min="5899" max="5899" width="11" style="1" customWidth="1"/>
    <col min="5900" max="5900" width="8.28515625" style="1" customWidth="1"/>
    <col min="5901" max="5901" width="7.7109375" style="1" customWidth="1"/>
    <col min="5902" max="5902" width="7.85546875" style="1" customWidth="1"/>
    <col min="5903" max="5903" width="7.7109375" style="1" customWidth="1"/>
    <col min="5904" max="5904" width="9.28515625" style="1" customWidth="1"/>
    <col min="5905" max="5905" width="9.7109375" style="1" customWidth="1"/>
    <col min="5906" max="5906" width="8" style="1" customWidth="1"/>
    <col min="5907" max="5907" width="11.5703125" style="1" customWidth="1"/>
    <col min="5908" max="5908" width="12" style="1" customWidth="1"/>
    <col min="5909" max="5909" width="11" style="1" customWidth="1"/>
    <col min="5910" max="5910" width="8.28515625" style="1" customWidth="1"/>
    <col min="5911" max="6104" width="9.140625" style="1"/>
    <col min="6105" max="6105" width="6.28515625" style="1" customWidth="1"/>
    <col min="6106" max="6106" width="71.85546875" style="1" customWidth="1"/>
    <col min="6107" max="6107" width="7.5703125" style="1" customWidth="1"/>
    <col min="6108" max="6108" width="7" style="1" customWidth="1"/>
    <col min="6109" max="6109" width="7.7109375" style="1" customWidth="1"/>
    <col min="6110" max="6110" width="9.28515625" style="1" customWidth="1"/>
    <col min="6111" max="6111" width="9.7109375" style="1" customWidth="1"/>
    <col min="6112" max="6112" width="8" style="1" customWidth="1"/>
    <col min="6113" max="6113" width="11.5703125" style="1" customWidth="1"/>
    <col min="6114" max="6114" width="12" style="1" customWidth="1"/>
    <col min="6115" max="6115" width="11" style="1" customWidth="1"/>
    <col min="6116" max="6116" width="8.28515625" style="1" customWidth="1"/>
    <col min="6117" max="6117" width="7.7109375" style="1" customWidth="1"/>
    <col min="6118" max="6118" width="7" style="1" customWidth="1"/>
    <col min="6119" max="6119" width="7.7109375" style="1" customWidth="1"/>
    <col min="6120" max="6120" width="9.28515625" style="1" customWidth="1"/>
    <col min="6121" max="6121" width="9.7109375" style="1" customWidth="1"/>
    <col min="6122" max="6122" width="8" style="1" customWidth="1"/>
    <col min="6123" max="6123" width="11.5703125" style="1" customWidth="1"/>
    <col min="6124" max="6124" width="12" style="1" customWidth="1"/>
    <col min="6125" max="6125" width="11" style="1" customWidth="1"/>
    <col min="6126" max="6126" width="8.28515625" style="1" customWidth="1"/>
    <col min="6127" max="6127" width="7.7109375" style="1" customWidth="1"/>
    <col min="6128" max="6128" width="7" style="1" customWidth="1"/>
    <col min="6129" max="6129" width="7.7109375" style="1" customWidth="1"/>
    <col min="6130" max="6130" width="9.28515625" style="1" customWidth="1"/>
    <col min="6131" max="6131" width="9.7109375" style="1" customWidth="1"/>
    <col min="6132" max="6132" width="8" style="1" customWidth="1"/>
    <col min="6133" max="6133" width="11.5703125" style="1" customWidth="1"/>
    <col min="6134" max="6134" width="12" style="1" customWidth="1"/>
    <col min="6135" max="6135" width="11" style="1" customWidth="1"/>
    <col min="6136" max="6136" width="8.28515625" style="1" customWidth="1"/>
    <col min="6137" max="6137" width="7.7109375" style="1" customWidth="1"/>
    <col min="6138" max="6138" width="7" style="1" customWidth="1"/>
    <col min="6139" max="6139" width="7.7109375" style="1" customWidth="1"/>
    <col min="6140" max="6140" width="9.28515625" style="1" customWidth="1"/>
    <col min="6141" max="6141" width="9.7109375" style="1" customWidth="1"/>
    <col min="6142" max="6142" width="8" style="1" customWidth="1"/>
    <col min="6143" max="6143" width="11.5703125" style="1" customWidth="1"/>
    <col min="6144" max="6144" width="12" style="1" customWidth="1"/>
    <col min="6145" max="6145" width="11" style="1" customWidth="1"/>
    <col min="6146" max="6146" width="8.28515625" style="1" customWidth="1"/>
    <col min="6147" max="6147" width="7.7109375" style="1" customWidth="1"/>
    <col min="6148" max="6148" width="7" style="1" customWidth="1"/>
    <col min="6149" max="6149" width="7.7109375" style="1" customWidth="1"/>
    <col min="6150" max="6150" width="9.28515625" style="1" customWidth="1"/>
    <col min="6151" max="6151" width="9.7109375" style="1" customWidth="1"/>
    <col min="6152" max="6152" width="8" style="1" customWidth="1"/>
    <col min="6153" max="6153" width="11.5703125" style="1" customWidth="1"/>
    <col min="6154" max="6154" width="12" style="1" customWidth="1"/>
    <col min="6155" max="6155" width="11" style="1" customWidth="1"/>
    <col min="6156" max="6156" width="8.28515625" style="1" customWidth="1"/>
    <col min="6157" max="6157" width="7.7109375" style="1" customWidth="1"/>
    <col min="6158" max="6158" width="7.85546875" style="1" customWidth="1"/>
    <col min="6159" max="6159" width="7.7109375" style="1" customWidth="1"/>
    <col min="6160" max="6160" width="9.28515625" style="1" customWidth="1"/>
    <col min="6161" max="6161" width="9.7109375" style="1" customWidth="1"/>
    <col min="6162" max="6162" width="8" style="1" customWidth="1"/>
    <col min="6163" max="6163" width="11.5703125" style="1" customWidth="1"/>
    <col min="6164" max="6164" width="12" style="1" customWidth="1"/>
    <col min="6165" max="6165" width="11" style="1" customWidth="1"/>
    <col min="6166" max="6166" width="8.28515625" style="1" customWidth="1"/>
    <col min="6167" max="6360" width="9.140625" style="1"/>
    <col min="6361" max="6361" width="6.28515625" style="1" customWidth="1"/>
    <col min="6362" max="6362" width="71.85546875" style="1" customWidth="1"/>
    <col min="6363" max="6363" width="7.5703125" style="1" customWidth="1"/>
    <col min="6364" max="6364" width="7" style="1" customWidth="1"/>
    <col min="6365" max="6365" width="7.7109375" style="1" customWidth="1"/>
    <col min="6366" max="6366" width="9.28515625" style="1" customWidth="1"/>
    <col min="6367" max="6367" width="9.7109375" style="1" customWidth="1"/>
    <col min="6368" max="6368" width="8" style="1" customWidth="1"/>
    <col min="6369" max="6369" width="11.5703125" style="1" customWidth="1"/>
    <col min="6370" max="6370" width="12" style="1" customWidth="1"/>
    <col min="6371" max="6371" width="11" style="1" customWidth="1"/>
    <col min="6372" max="6372" width="8.28515625" style="1" customWidth="1"/>
    <col min="6373" max="6373" width="7.7109375" style="1" customWidth="1"/>
    <col min="6374" max="6374" width="7" style="1" customWidth="1"/>
    <col min="6375" max="6375" width="7.7109375" style="1" customWidth="1"/>
    <col min="6376" max="6376" width="9.28515625" style="1" customWidth="1"/>
    <col min="6377" max="6377" width="9.7109375" style="1" customWidth="1"/>
    <col min="6378" max="6378" width="8" style="1" customWidth="1"/>
    <col min="6379" max="6379" width="11.5703125" style="1" customWidth="1"/>
    <col min="6380" max="6380" width="12" style="1" customWidth="1"/>
    <col min="6381" max="6381" width="11" style="1" customWidth="1"/>
    <col min="6382" max="6382" width="8.28515625" style="1" customWidth="1"/>
    <col min="6383" max="6383" width="7.7109375" style="1" customWidth="1"/>
    <col min="6384" max="6384" width="7" style="1" customWidth="1"/>
    <col min="6385" max="6385" width="7.7109375" style="1" customWidth="1"/>
    <col min="6386" max="6386" width="9.28515625" style="1" customWidth="1"/>
    <col min="6387" max="6387" width="9.7109375" style="1" customWidth="1"/>
    <col min="6388" max="6388" width="8" style="1" customWidth="1"/>
    <col min="6389" max="6389" width="11.5703125" style="1" customWidth="1"/>
    <col min="6390" max="6390" width="12" style="1" customWidth="1"/>
    <col min="6391" max="6391" width="11" style="1" customWidth="1"/>
    <col min="6392" max="6392" width="8.28515625" style="1" customWidth="1"/>
    <col min="6393" max="6393" width="7.7109375" style="1" customWidth="1"/>
    <col min="6394" max="6394" width="7" style="1" customWidth="1"/>
    <col min="6395" max="6395" width="7.7109375" style="1" customWidth="1"/>
    <col min="6396" max="6396" width="9.28515625" style="1" customWidth="1"/>
    <col min="6397" max="6397" width="9.7109375" style="1" customWidth="1"/>
    <col min="6398" max="6398" width="8" style="1" customWidth="1"/>
    <col min="6399" max="6399" width="11.5703125" style="1" customWidth="1"/>
    <col min="6400" max="6400" width="12" style="1" customWidth="1"/>
    <col min="6401" max="6401" width="11" style="1" customWidth="1"/>
    <col min="6402" max="6402" width="8.28515625" style="1" customWidth="1"/>
    <col min="6403" max="6403" width="7.7109375" style="1" customWidth="1"/>
    <col min="6404" max="6404" width="7" style="1" customWidth="1"/>
    <col min="6405" max="6405" width="7.7109375" style="1" customWidth="1"/>
    <col min="6406" max="6406" width="9.28515625" style="1" customWidth="1"/>
    <col min="6407" max="6407" width="9.7109375" style="1" customWidth="1"/>
    <col min="6408" max="6408" width="8" style="1" customWidth="1"/>
    <col min="6409" max="6409" width="11.5703125" style="1" customWidth="1"/>
    <col min="6410" max="6410" width="12" style="1" customWidth="1"/>
    <col min="6411" max="6411" width="11" style="1" customWidth="1"/>
    <col min="6412" max="6412" width="8.28515625" style="1" customWidth="1"/>
    <col min="6413" max="6413" width="7.7109375" style="1" customWidth="1"/>
    <col min="6414" max="6414" width="7.85546875" style="1" customWidth="1"/>
    <col min="6415" max="6415" width="7.7109375" style="1" customWidth="1"/>
    <col min="6416" max="6416" width="9.28515625" style="1" customWidth="1"/>
    <col min="6417" max="6417" width="9.7109375" style="1" customWidth="1"/>
    <col min="6418" max="6418" width="8" style="1" customWidth="1"/>
    <col min="6419" max="6419" width="11.5703125" style="1" customWidth="1"/>
    <col min="6420" max="6420" width="12" style="1" customWidth="1"/>
    <col min="6421" max="6421" width="11" style="1" customWidth="1"/>
    <col min="6422" max="6422" width="8.28515625" style="1" customWidth="1"/>
    <col min="6423" max="6616" width="9.140625" style="1"/>
    <col min="6617" max="6617" width="6.28515625" style="1" customWidth="1"/>
    <col min="6618" max="6618" width="71.85546875" style="1" customWidth="1"/>
    <col min="6619" max="6619" width="7.5703125" style="1" customWidth="1"/>
    <col min="6620" max="6620" width="7" style="1" customWidth="1"/>
    <col min="6621" max="6621" width="7.7109375" style="1" customWidth="1"/>
    <col min="6622" max="6622" width="9.28515625" style="1" customWidth="1"/>
    <col min="6623" max="6623" width="9.7109375" style="1" customWidth="1"/>
    <col min="6624" max="6624" width="8" style="1" customWidth="1"/>
    <col min="6625" max="6625" width="11.5703125" style="1" customWidth="1"/>
    <col min="6626" max="6626" width="12" style="1" customWidth="1"/>
    <col min="6627" max="6627" width="11" style="1" customWidth="1"/>
    <col min="6628" max="6628" width="8.28515625" style="1" customWidth="1"/>
    <col min="6629" max="6629" width="7.7109375" style="1" customWidth="1"/>
    <col min="6630" max="6630" width="7" style="1" customWidth="1"/>
    <col min="6631" max="6631" width="7.7109375" style="1" customWidth="1"/>
    <col min="6632" max="6632" width="9.28515625" style="1" customWidth="1"/>
    <col min="6633" max="6633" width="9.7109375" style="1" customWidth="1"/>
    <col min="6634" max="6634" width="8" style="1" customWidth="1"/>
    <col min="6635" max="6635" width="11.5703125" style="1" customWidth="1"/>
    <col min="6636" max="6636" width="12" style="1" customWidth="1"/>
    <col min="6637" max="6637" width="11" style="1" customWidth="1"/>
    <col min="6638" max="6638" width="8.28515625" style="1" customWidth="1"/>
    <col min="6639" max="6639" width="7.7109375" style="1" customWidth="1"/>
    <col min="6640" max="6640" width="7" style="1" customWidth="1"/>
    <col min="6641" max="6641" width="7.7109375" style="1" customWidth="1"/>
    <col min="6642" max="6642" width="9.28515625" style="1" customWidth="1"/>
    <col min="6643" max="6643" width="9.7109375" style="1" customWidth="1"/>
    <col min="6644" max="6644" width="8" style="1" customWidth="1"/>
    <col min="6645" max="6645" width="11.5703125" style="1" customWidth="1"/>
    <col min="6646" max="6646" width="12" style="1" customWidth="1"/>
    <col min="6647" max="6647" width="11" style="1" customWidth="1"/>
    <col min="6648" max="6648" width="8.28515625" style="1" customWidth="1"/>
    <col min="6649" max="6649" width="7.7109375" style="1" customWidth="1"/>
    <col min="6650" max="6650" width="7" style="1" customWidth="1"/>
    <col min="6651" max="6651" width="7.7109375" style="1" customWidth="1"/>
    <col min="6652" max="6652" width="9.28515625" style="1" customWidth="1"/>
    <col min="6653" max="6653" width="9.7109375" style="1" customWidth="1"/>
    <col min="6654" max="6654" width="8" style="1" customWidth="1"/>
    <col min="6655" max="6655" width="11.5703125" style="1" customWidth="1"/>
    <col min="6656" max="6656" width="12" style="1" customWidth="1"/>
    <col min="6657" max="6657" width="11" style="1" customWidth="1"/>
    <col min="6658" max="6658" width="8.28515625" style="1" customWidth="1"/>
    <col min="6659" max="6659" width="7.7109375" style="1" customWidth="1"/>
    <col min="6660" max="6660" width="7" style="1" customWidth="1"/>
    <col min="6661" max="6661" width="7.7109375" style="1" customWidth="1"/>
    <col min="6662" max="6662" width="9.28515625" style="1" customWidth="1"/>
    <col min="6663" max="6663" width="9.7109375" style="1" customWidth="1"/>
    <col min="6664" max="6664" width="8" style="1" customWidth="1"/>
    <col min="6665" max="6665" width="11.5703125" style="1" customWidth="1"/>
    <col min="6666" max="6666" width="12" style="1" customWidth="1"/>
    <col min="6667" max="6667" width="11" style="1" customWidth="1"/>
    <col min="6668" max="6668" width="8.28515625" style="1" customWidth="1"/>
    <col min="6669" max="6669" width="7.7109375" style="1" customWidth="1"/>
    <col min="6670" max="6670" width="7.85546875" style="1" customWidth="1"/>
    <col min="6671" max="6671" width="7.7109375" style="1" customWidth="1"/>
    <col min="6672" max="6672" width="9.28515625" style="1" customWidth="1"/>
    <col min="6673" max="6673" width="9.7109375" style="1" customWidth="1"/>
    <col min="6674" max="6674" width="8" style="1" customWidth="1"/>
    <col min="6675" max="6675" width="11.5703125" style="1" customWidth="1"/>
    <col min="6676" max="6676" width="12" style="1" customWidth="1"/>
    <col min="6677" max="6677" width="11" style="1" customWidth="1"/>
    <col min="6678" max="6678" width="8.28515625" style="1" customWidth="1"/>
    <col min="6679" max="6872" width="9.140625" style="1"/>
    <col min="6873" max="6873" width="6.28515625" style="1" customWidth="1"/>
    <col min="6874" max="6874" width="71.85546875" style="1" customWidth="1"/>
    <col min="6875" max="6875" width="7.5703125" style="1" customWidth="1"/>
    <col min="6876" max="6876" width="7" style="1" customWidth="1"/>
    <col min="6877" max="6877" width="7.7109375" style="1" customWidth="1"/>
    <col min="6878" max="6878" width="9.28515625" style="1" customWidth="1"/>
    <col min="6879" max="6879" width="9.7109375" style="1" customWidth="1"/>
    <col min="6880" max="6880" width="8" style="1" customWidth="1"/>
    <col min="6881" max="6881" width="11.5703125" style="1" customWidth="1"/>
    <col min="6882" max="6882" width="12" style="1" customWidth="1"/>
    <col min="6883" max="6883" width="11" style="1" customWidth="1"/>
    <col min="6884" max="6884" width="8.28515625" style="1" customWidth="1"/>
    <col min="6885" max="6885" width="7.7109375" style="1" customWidth="1"/>
    <col min="6886" max="6886" width="7" style="1" customWidth="1"/>
    <col min="6887" max="6887" width="7.7109375" style="1" customWidth="1"/>
    <col min="6888" max="6888" width="9.28515625" style="1" customWidth="1"/>
    <col min="6889" max="6889" width="9.7109375" style="1" customWidth="1"/>
    <col min="6890" max="6890" width="8" style="1" customWidth="1"/>
    <col min="6891" max="6891" width="11.5703125" style="1" customWidth="1"/>
    <col min="6892" max="6892" width="12" style="1" customWidth="1"/>
    <col min="6893" max="6893" width="11" style="1" customWidth="1"/>
    <col min="6894" max="6894" width="8.28515625" style="1" customWidth="1"/>
    <col min="6895" max="6895" width="7.7109375" style="1" customWidth="1"/>
    <col min="6896" max="6896" width="7" style="1" customWidth="1"/>
    <col min="6897" max="6897" width="7.7109375" style="1" customWidth="1"/>
    <col min="6898" max="6898" width="9.28515625" style="1" customWidth="1"/>
    <col min="6899" max="6899" width="9.7109375" style="1" customWidth="1"/>
    <col min="6900" max="6900" width="8" style="1" customWidth="1"/>
    <col min="6901" max="6901" width="11.5703125" style="1" customWidth="1"/>
    <col min="6902" max="6902" width="12" style="1" customWidth="1"/>
    <col min="6903" max="6903" width="11" style="1" customWidth="1"/>
    <col min="6904" max="6904" width="8.28515625" style="1" customWidth="1"/>
    <col min="6905" max="6905" width="7.7109375" style="1" customWidth="1"/>
    <col min="6906" max="6906" width="7" style="1" customWidth="1"/>
    <col min="6907" max="6907" width="7.7109375" style="1" customWidth="1"/>
    <col min="6908" max="6908" width="9.28515625" style="1" customWidth="1"/>
    <col min="6909" max="6909" width="9.7109375" style="1" customWidth="1"/>
    <col min="6910" max="6910" width="8" style="1" customWidth="1"/>
    <col min="6911" max="6911" width="11.5703125" style="1" customWidth="1"/>
    <col min="6912" max="6912" width="12" style="1" customWidth="1"/>
    <col min="6913" max="6913" width="11" style="1" customWidth="1"/>
    <col min="6914" max="6914" width="8.28515625" style="1" customWidth="1"/>
    <col min="6915" max="6915" width="7.7109375" style="1" customWidth="1"/>
    <col min="6916" max="6916" width="7" style="1" customWidth="1"/>
    <col min="6917" max="6917" width="7.7109375" style="1" customWidth="1"/>
    <col min="6918" max="6918" width="9.28515625" style="1" customWidth="1"/>
    <col min="6919" max="6919" width="9.7109375" style="1" customWidth="1"/>
    <col min="6920" max="6920" width="8" style="1" customWidth="1"/>
    <col min="6921" max="6921" width="11.5703125" style="1" customWidth="1"/>
    <col min="6922" max="6922" width="12" style="1" customWidth="1"/>
    <col min="6923" max="6923" width="11" style="1" customWidth="1"/>
    <col min="6924" max="6924" width="8.28515625" style="1" customWidth="1"/>
    <col min="6925" max="6925" width="7.7109375" style="1" customWidth="1"/>
    <col min="6926" max="6926" width="7.85546875" style="1" customWidth="1"/>
    <col min="6927" max="6927" width="7.7109375" style="1" customWidth="1"/>
    <col min="6928" max="6928" width="9.28515625" style="1" customWidth="1"/>
    <col min="6929" max="6929" width="9.7109375" style="1" customWidth="1"/>
    <col min="6930" max="6930" width="8" style="1" customWidth="1"/>
    <col min="6931" max="6931" width="11.5703125" style="1" customWidth="1"/>
    <col min="6932" max="6932" width="12" style="1" customWidth="1"/>
    <col min="6933" max="6933" width="11" style="1" customWidth="1"/>
    <col min="6934" max="6934" width="8.28515625" style="1" customWidth="1"/>
    <col min="6935" max="7128" width="9.140625" style="1"/>
    <col min="7129" max="7129" width="6.28515625" style="1" customWidth="1"/>
    <col min="7130" max="7130" width="71.85546875" style="1" customWidth="1"/>
    <col min="7131" max="7131" width="7.5703125" style="1" customWidth="1"/>
    <col min="7132" max="7132" width="7" style="1" customWidth="1"/>
    <col min="7133" max="7133" width="7.7109375" style="1" customWidth="1"/>
    <col min="7134" max="7134" width="9.28515625" style="1" customWidth="1"/>
    <col min="7135" max="7135" width="9.7109375" style="1" customWidth="1"/>
    <col min="7136" max="7136" width="8" style="1" customWidth="1"/>
    <col min="7137" max="7137" width="11.5703125" style="1" customWidth="1"/>
    <col min="7138" max="7138" width="12" style="1" customWidth="1"/>
    <col min="7139" max="7139" width="11" style="1" customWidth="1"/>
    <col min="7140" max="7140" width="8.28515625" style="1" customWidth="1"/>
    <col min="7141" max="7141" width="7.7109375" style="1" customWidth="1"/>
    <col min="7142" max="7142" width="7" style="1" customWidth="1"/>
    <col min="7143" max="7143" width="7.7109375" style="1" customWidth="1"/>
    <col min="7144" max="7144" width="9.28515625" style="1" customWidth="1"/>
    <col min="7145" max="7145" width="9.7109375" style="1" customWidth="1"/>
    <col min="7146" max="7146" width="8" style="1" customWidth="1"/>
    <col min="7147" max="7147" width="11.5703125" style="1" customWidth="1"/>
    <col min="7148" max="7148" width="12" style="1" customWidth="1"/>
    <col min="7149" max="7149" width="11" style="1" customWidth="1"/>
    <col min="7150" max="7150" width="8.28515625" style="1" customWidth="1"/>
    <col min="7151" max="7151" width="7.7109375" style="1" customWidth="1"/>
    <col min="7152" max="7152" width="7" style="1" customWidth="1"/>
    <col min="7153" max="7153" width="7.7109375" style="1" customWidth="1"/>
    <col min="7154" max="7154" width="9.28515625" style="1" customWidth="1"/>
    <col min="7155" max="7155" width="9.7109375" style="1" customWidth="1"/>
    <col min="7156" max="7156" width="8" style="1" customWidth="1"/>
    <col min="7157" max="7157" width="11.5703125" style="1" customWidth="1"/>
    <col min="7158" max="7158" width="12" style="1" customWidth="1"/>
    <col min="7159" max="7159" width="11" style="1" customWidth="1"/>
    <col min="7160" max="7160" width="8.28515625" style="1" customWidth="1"/>
    <col min="7161" max="7161" width="7.7109375" style="1" customWidth="1"/>
    <col min="7162" max="7162" width="7" style="1" customWidth="1"/>
    <col min="7163" max="7163" width="7.7109375" style="1" customWidth="1"/>
    <col min="7164" max="7164" width="9.28515625" style="1" customWidth="1"/>
    <col min="7165" max="7165" width="9.7109375" style="1" customWidth="1"/>
    <col min="7166" max="7166" width="8" style="1" customWidth="1"/>
    <col min="7167" max="7167" width="11.5703125" style="1" customWidth="1"/>
    <col min="7168" max="7168" width="12" style="1" customWidth="1"/>
    <col min="7169" max="7169" width="11" style="1" customWidth="1"/>
    <col min="7170" max="7170" width="8.28515625" style="1" customWidth="1"/>
    <col min="7171" max="7171" width="7.7109375" style="1" customWidth="1"/>
    <col min="7172" max="7172" width="7" style="1" customWidth="1"/>
    <col min="7173" max="7173" width="7.7109375" style="1" customWidth="1"/>
    <col min="7174" max="7174" width="9.28515625" style="1" customWidth="1"/>
    <col min="7175" max="7175" width="9.7109375" style="1" customWidth="1"/>
    <col min="7176" max="7176" width="8" style="1" customWidth="1"/>
    <col min="7177" max="7177" width="11.5703125" style="1" customWidth="1"/>
    <col min="7178" max="7178" width="12" style="1" customWidth="1"/>
    <col min="7179" max="7179" width="11" style="1" customWidth="1"/>
    <col min="7180" max="7180" width="8.28515625" style="1" customWidth="1"/>
    <col min="7181" max="7181" width="7.7109375" style="1" customWidth="1"/>
    <col min="7182" max="7182" width="7.85546875" style="1" customWidth="1"/>
    <col min="7183" max="7183" width="7.7109375" style="1" customWidth="1"/>
    <col min="7184" max="7184" width="9.28515625" style="1" customWidth="1"/>
    <col min="7185" max="7185" width="9.7109375" style="1" customWidth="1"/>
    <col min="7186" max="7186" width="8" style="1" customWidth="1"/>
    <col min="7187" max="7187" width="11.5703125" style="1" customWidth="1"/>
    <col min="7188" max="7188" width="12" style="1" customWidth="1"/>
    <col min="7189" max="7189" width="11" style="1" customWidth="1"/>
    <col min="7190" max="7190" width="8.28515625" style="1" customWidth="1"/>
    <col min="7191" max="7384" width="9.140625" style="1"/>
    <col min="7385" max="7385" width="6.28515625" style="1" customWidth="1"/>
    <col min="7386" max="7386" width="71.85546875" style="1" customWidth="1"/>
    <col min="7387" max="7387" width="7.5703125" style="1" customWidth="1"/>
    <col min="7388" max="7388" width="7" style="1" customWidth="1"/>
    <col min="7389" max="7389" width="7.7109375" style="1" customWidth="1"/>
    <col min="7390" max="7390" width="9.28515625" style="1" customWidth="1"/>
    <col min="7391" max="7391" width="9.7109375" style="1" customWidth="1"/>
    <col min="7392" max="7392" width="8" style="1" customWidth="1"/>
    <col min="7393" max="7393" width="11.5703125" style="1" customWidth="1"/>
    <col min="7394" max="7394" width="12" style="1" customWidth="1"/>
    <col min="7395" max="7395" width="11" style="1" customWidth="1"/>
    <col min="7396" max="7396" width="8.28515625" style="1" customWidth="1"/>
    <col min="7397" max="7397" width="7.7109375" style="1" customWidth="1"/>
    <col min="7398" max="7398" width="7" style="1" customWidth="1"/>
    <col min="7399" max="7399" width="7.7109375" style="1" customWidth="1"/>
    <col min="7400" max="7400" width="9.28515625" style="1" customWidth="1"/>
    <col min="7401" max="7401" width="9.7109375" style="1" customWidth="1"/>
    <col min="7402" max="7402" width="8" style="1" customWidth="1"/>
    <col min="7403" max="7403" width="11.5703125" style="1" customWidth="1"/>
    <col min="7404" max="7404" width="12" style="1" customWidth="1"/>
    <col min="7405" max="7405" width="11" style="1" customWidth="1"/>
    <col min="7406" max="7406" width="8.28515625" style="1" customWidth="1"/>
    <col min="7407" max="7407" width="7.7109375" style="1" customWidth="1"/>
    <col min="7408" max="7408" width="7" style="1" customWidth="1"/>
    <col min="7409" max="7409" width="7.7109375" style="1" customWidth="1"/>
    <col min="7410" max="7410" width="9.28515625" style="1" customWidth="1"/>
    <col min="7411" max="7411" width="9.7109375" style="1" customWidth="1"/>
    <col min="7412" max="7412" width="8" style="1" customWidth="1"/>
    <col min="7413" max="7413" width="11.5703125" style="1" customWidth="1"/>
    <col min="7414" max="7414" width="12" style="1" customWidth="1"/>
    <col min="7415" max="7415" width="11" style="1" customWidth="1"/>
    <col min="7416" max="7416" width="8.28515625" style="1" customWidth="1"/>
    <col min="7417" max="7417" width="7.7109375" style="1" customWidth="1"/>
    <col min="7418" max="7418" width="7" style="1" customWidth="1"/>
    <col min="7419" max="7419" width="7.7109375" style="1" customWidth="1"/>
    <col min="7420" max="7420" width="9.28515625" style="1" customWidth="1"/>
    <col min="7421" max="7421" width="9.7109375" style="1" customWidth="1"/>
    <col min="7422" max="7422" width="8" style="1" customWidth="1"/>
    <col min="7423" max="7423" width="11.5703125" style="1" customWidth="1"/>
    <col min="7424" max="7424" width="12" style="1" customWidth="1"/>
    <col min="7425" max="7425" width="11" style="1" customWidth="1"/>
    <col min="7426" max="7426" width="8.28515625" style="1" customWidth="1"/>
    <col min="7427" max="7427" width="7.7109375" style="1" customWidth="1"/>
    <col min="7428" max="7428" width="7" style="1" customWidth="1"/>
    <col min="7429" max="7429" width="7.7109375" style="1" customWidth="1"/>
    <col min="7430" max="7430" width="9.28515625" style="1" customWidth="1"/>
    <col min="7431" max="7431" width="9.7109375" style="1" customWidth="1"/>
    <col min="7432" max="7432" width="8" style="1" customWidth="1"/>
    <col min="7433" max="7433" width="11.5703125" style="1" customWidth="1"/>
    <col min="7434" max="7434" width="12" style="1" customWidth="1"/>
    <col min="7435" max="7435" width="11" style="1" customWidth="1"/>
    <col min="7436" max="7436" width="8.28515625" style="1" customWidth="1"/>
    <col min="7437" max="7437" width="7.7109375" style="1" customWidth="1"/>
    <col min="7438" max="7438" width="7.85546875" style="1" customWidth="1"/>
    <col min="7439" max="7439" width="7.7109375" style="1" customWidth="1"/>
    <col min="7440" max="7440" width="9.28515625" style="1" customWidth="1"/>
    <col min="7441" max="7441" width="9.7109375" style="1" customWidth="1"/>
    <col min="7442" max="7442" width="8" style="1" customWidth="1"/>
    <col min="7443" max="7443" width="11.5703125" style="1" customWidth="1"/>
    <col min="7444" max="7444" width="12" style="1" customWidth="1"/>
    <col min="7445" max="7445" width="11" style="1" customWidth="1"/>
    <col min="7446" max="7446" width="8.28515625" style="1" customWidth="1"/>
    <col min="7447" max="7640" width="9.140625" style="1"/>
    <col min="7641" max="7641" width="6.28515625" style="1" customWidth="1"/>
    <col min="7642" max="7642" width="71.85546875" style="1" customWidth="1"/>
    <col min="7643" max="7643" width="7.5703125" style="1" customWidth="1"/>
    <col min="7644" max="7644" width="7" style="1" customWidth="1"/>
    <col min="7645" max="7645" width="7.7109375" style="1" customWidth="1"/>
    <col min="7646" max="7646" width="9.28515625" style="1" customWidth="1"/>
    <col min="7647" max="7647" width="9.7109375" style="1" customWidth="1"/>
    <col min="7648" max="7648" width="8" style="1" customWidth="1"/>
    <col min="7649" max="7649" width="11.5703125" style="1" customWidth="1"/>
    <col min="7650" max="7650" width="12" style="1" customWidth="1"/>
    <col min="7651" max="7651" width="11" style="1" customWidth="1"/>
    <col min="7652" max="7652" width="8.28515625" style="1" customWidth="1"/>
    <col min="7653" max="7653" width="7.7109375" style="1" customWidth="1"/>
    <col min="7654" max="7654" width="7" style="1" customWidth="1"/>
    <col min="7655" max="7655" width="7.7109375" style="1" customWidth="1"/>
    <col min="7656" max="7656" width="9.28515625" style="1" customWidth="1"/>
    <col min="7657" max="7657" width="9.7109375" style="1" customWidth="1"/>
    <col min="7658" max="7658" width="8" style="1" customWidth="1"/>
    <col min="7659" max="7659" width="11.5703125" style="1" customWidth="1"/>
    <col min="7660" max="7660" width="12" style="1" customWidth="1"/>
    <col min="7661" max="7661" width="11" style="1" customWidth="1"/>
    <col min="7662" max="7662" width="8.28515625" style="1" customWidth="1"/>
    <col min="7663" max="7663" width="7.7109375" style="1" customWidth="1"/>
    <col min="7664" max="7664" width="7" style="1" customWidth="1"/>
    <col min="7665" max="7665" width="7.7109375" style="1" customWidth="1"/>
    <col min="7666" max="7666" width="9.28515625" style="1" customWidth="1"/>
    <col min="7667" max="7667" width="9.7109375" style="1" customWidth="1"/>
    <col min="7668" max="7668" width="8" style="1" customWidth="1"/>
    <col min="7669" max="7669" width="11.5703125" style="1" customWidth="1"/>
    <col min="7670" max="7670" width="12" style="1" customWidth="1"/>
    <col min="7671" max="7671" width="11" style="1" customWidth="1"/>
    <col min="7672" max="7672" width="8.28515625" style="1" customWidth="1"/>
    <col min="7673" max="7673" width="7.7109375" style="1" customWidth="1"/>
    <col min="7674" max="7674" width="7" style="1" customWidth="1"/>
    <col min="7675" max="7675" width="7.7109375" style="1" customWidth="1"/>
    <col min="7676" max="7676" width="9.28515625" style="1" customWidth="1"/>
    <col min="7677" max="7677" width="9.7109375" style="1" customWidth="1"/>
    <col min="7678" max="7678" width="8" style="1" customWidth="1"/>
    <col min="7679" max="7679" width="11.5703125" style="1" customWidth="1"/>
    <col min="7680" max="7680" width="12" style="1" customWidth="1"/>
    <col min="7681" max="7681" width="11" style="1" customWidth="1"/>
    <col min="7682" max="7682" width="8.28515625" style="1" customWidth="1"/>
    <col min="7683" max="7683" width="7.7109375" style="1" customWidth="1"/>
    <col min="7684" max="7684" width="7" style="1" customWidth="1"/>
    <col min="7685" max="7685" width="7.7109375" style="1" customWidth="1"/>
    <col min="7686" max="7686" width="9.28515625" style="1" customWidth="1"/>
    <col min="7687" max="7687" width="9.7109375" style="1" customWidth="1"/>
    <col min="7688" max="7688" width="8" style="1" customWidth="1"/>
    <col min="7689" max="7689" width="11.5703125" style="1" customWidth="1"/>
    <col min="7690" max="7690" width="12" style="1" customWidth="1"/>
    <col min="7691" max="7691" width="11" style="1" customWidth="1"/>
    <col min="7692" max="7692" width="8.28515625" style="1" customWidth="1"/>
    <col min="7693" max="7693" width="7.7109375" style="1" customWidth="1"/>
    <col min="7694" max="7694" width="7.85546875" style="1" customWidth="1"/>
    <col min="7695" max="7695" width="7.7109375" style="1" customWidth="1"/>
    <col min="7696" max="7696" width="9.28515625" style="1" customWidth="1"/>
    <col min="7697" max="7697" width="9.7109375" style="1" customWidth="1"/>
    <col min="7698" max="7698" width="8" style="1" customWidth="1"/>
    <col min="7699" max="7699" width="11.5703125" style="1" customWidth="1"/>
    <col min="7700" max="7700" width="12" style="1" customWidth="1"/>
    <col min="7701" max="7701" width="11" style="1" customWidth="1"/>
    <col min="7702" max="7702" width="8.28515625" style="1" customWidth="1"/>
    <col min="7703" max="7896" width="9.140625" style="1"/>
    <col min="7897" max="7897" width="6.28515625" style="1" customWidth="1"/>
    <col min="7898" max="7898" width="71.85546875" style="1" customWidth="1"/>
    <col min="7899" max="7899" width="7.5703125" style="1" customWidth="1"/>
    <col min="7900" max="7900" width="7" style="1" customWidth="1"/>
    <col min="7901" max="7901" width="7.7109375" style="1" customWidth="1"/>
    <col min="7902" max="7902" width="9.28515625" style="1" customWidth="1"/>
    <col min="7903" max="7903" width="9.7109375" style="1" customWidth="1"/>
    <col min="7904" max="7904" width="8" style="1" customWidth="1"/>
    <col min="7905" max="7905" width="11.5703125" style="1" customWidth="1"/>
    <col min="7906" max="7906" width="12" style="1" customWidth="1"/>
    <col min="7907" max="7907" width="11" style="1" customWidth="1"/>
    <col min="7908" max="7908" width="8.28515625" style="1" customWidth="1"/>
    <col min="7909" max="7909" width="7.7109375" style="1" customWidth="1"/>
    <col min="7910" max="7910" width="7" style="1" customWidth="1"/>
    <col min="7911" max="7911" width="7.7109375" style="1" customWidth="1"/>
    <col min="7912" max="7912" width="9.28515625" style="1" customWidth="1"/>
    <col min="7913" max="7913" width="9.7109375" style="1" customWidth="1"/>
    <col min="7914" max="7914" width="8" style="1" customWidth="1"/>
    <col min="7915" max="7915" width="11.5703125" style="1" customWidth="1"/>
    <col min="7916" max="7916" width="12" style="1" customWidth="1"/>
    <col min="7917" max="7917" width="11" style="1" customWidth="1"/>
    <col min="7918" max="7918" width="8.28515625" style="1" customWidth="1"/>
    <col min="7919" max="7919" width="7.7109375" style="1" customWidth="1"/>
    <col min="7920" max="7920" width="7" style="1" customWidth="1"/>
    <col min="7921" max="7921" width="7.7109375" style="1" customWidth="1"/>
    <col min="7922" max="7922" width="9.28515625" style="1" customWidth="1"/>
    <col min="7923" max="7923" width="9.7109375" style="1" customWidth="1"/>
    <col min="7924" max="7924" width="8" style="1" customWidth="1"/>
    <col min="7925" max="7925" width="11.5703125" style="1" customWidth="1"/>
    <col min="7926" max="7926" width="12" style="1" customWidth="1"/>
    <col min="7927" max="7927" width="11" style="1" customWidth="1"/>
    <col min="7928" max="7928" width="8.28515625" style="1" customWidth="1"/>
    <col min="7929" max="7929" width="7.7109375" style="1" customWidth="1"/>
    <col min="7930" max="7930" width="7" style="1" customWidth="1"/>
    <col min="7931" max="7931" width="7.7109375" style="1" customWidth="1"/>
    <col min="7932" max="7932" width="9.28515625" style="1" customWidth="1"/>
    <col min="7933" max="7933" width="9.7109375" style="1" customWidth="1"/>
    <col min="7934" max="7934" width="8" style="1" customWidth="1"/>
    <col min="7935" max="7935" width="11.5703125" style="1" customWidth="1"/>
    <col min="7936" max="7936" width="12" style="1" customWidth="1"/>
    <col min="7937" max="7937" width="11" style="1" customWidth="1"/>
    <col min="7938" max="7938" width="8.28515625" style="1" customWidth="1"/>
    <col min="7939" max="7939" width="7.7109375" style="1" customWidth="1"/>
    <col min="7940" max="7940" width="7" style="1" customWidth="1"/>
    <col min="7941" max="7941" width="7.7109375" style="1" customWidth="1"/>
    <col min="7942" max="7942" width="9.28515625" style="1" customWidth="1"/>
    <col min="7943" max="7943" width="9.7109375" style="1" customWidth="1"/>
    <col min="7944" max="7944" width="8" style="1" customWidth="1"/>
    <col min="7945" max="7945" width="11.5703125" style="1" customWidth="1"/>
    <col min="7946" max="7946" width="12" style="1" customWidth="1"/>
    <col min="7947" max="7947" width="11" style="1" customWidth="1"/>
    <col min="7948" max="7948" width="8.28515625" style="1" customWidth="1"/>
    <col min="7949" max="7949" width="7.7109375" style="1" customWidth="1"/>
    <col min="7950" max="7950" width="7.85546875" style="1" customWidth="1"/>
    <col min="7951" max="7951" width="7.7109375" style="1" customWidth="1"/>
    <col min="7952" max="7952" width="9.28515625" style="1" customWidth="1"/>
    <col min="7953" max="7953" width="9.7109375" style="1" customWidth="1"/>
    <col min="7954" max="7954" width="8" style="1" customWidth="1"/>
    <col min="7955" max="7955" width="11.5703125" style="1" customWidth="1"/>
    <col min="7956" max="7956" width="12" style="1" customWidth="1"/>
    <col min="7957" max="7957" width="11" style="1" customWidth="1"/>
    <col min="7958" max="7958" width="8.28515625" style="1" customWidth="1"/>
    <col min="7959" max="8152" width="9.140625" style="1"/>
    <col min="8153" max="8153" width="6.28515625" style="1" customWidth="1"/>
    <col min="8154" max="8154" width="71.85546875" style="1" customWidth="1"/>
    <col min="8155" max="8155" width="7.5703125" style="1" customWidth="1"/>
    <col min="8156" max="8156" width="7" style="1" customWidth="1"/>
    <col min="8157" max="8157" width="7.7109375" style="1" customWidth="1"/>
    <col min="8158" max="8158" width="9.28515625" style="1" customWidth="1"/>
    <col min="8159" max="8159" width="9.7109375" style="1" customWidth="1"/>
    <col min="8160" max="8160" width="8" style="1" customWidth="1"/>
    <col min="8161" max="8161" width="11.5703125" style="1" customWidth="1"/>
    <col min="8162" max="8162" width="12" style="1" customWidth="1"/>
    <col min="8163" max="8163" width="11" style="1" customWidth="1"/>
    <col min="8164" max="8164" width="8.28515625" style="1" customWidth="1"/>
    <col min="8165" max="8165" width="7.7109375" style="1" customWidth="1"/>
    <col min="8166" max="8166" width="7" style="1" customWidth="1"/>
    <col min="8167" max="8167" width="7.7109375" style="1" customWidth="1"/>
    <col min="8168" max="8168" width="9.28515625" style="1" customWidth="1"/>
    <col min="8169" max="8169" width="9.7109375" style="1" customWidth="1"/>
    <col min="8170" max="8170" width="8" style="1" customWidth="1"/>
    <col min="8171" max="8171" width="11.5703125" style="1" customWidth="1"/>
    <col min="8172" max="8172" width="12" style="1" customWidth="1"/>
    <col min="8173" max="8173" width="11" style="1" customWidth="1"/>
    <col min="8174" max="8174" width="8.28515625" style="1" customWidth="1"/>
    <col min="8175" max="8175" width="7.7109375" style="1" customWidth="1"/>
    <col min="8176" max="8176" width="7" style="1" customWidth="1"/>
    <col min="8177" max="8177" width="7.7109375" style="1" customWidth="1"/>
    <col min="8178" max="8178" width="9.28515625" style="1" customWidth="1"/>
    <col min="8179" max="8179" width="9.7109375" style="1" customWidth="1"/>
    <col min="8180" max="8180" width="8" style="1" customWidth="1"/>
    <col min="8181" max="8181" width="11.5703125" style="1" customWidth="1"/>
    <col min="8182" max="8182" width="12" style="1" customWidth="1"/>
    <col min="8183" max="8183" width="11" style="1" customWidth="1"/>
    <col min="8184" max="8184" width="8.28515625" style="1" customWidth="1"/>
    <col min="8185" max="8185" width="7.7109375" style="1" customWidth="1"/>
    <col min="8186" max="8186" width="7" style="1" customWidth="1"/>
    <col min="8187" max="8187" width="7.7109375" style="1" customWidth="1"/>
    <col min="8188" max="8188" width="9.28515625" style="1" customWidth="1"/>
    <col min="8189" max="8189" width="9.7109375" style="1" customWidth="1"/>
    <col min="8190" max="8190" width="8" style="1" customWidth="1"/>
    <col min="8191" max="8191" width="11.5703125" style="1" customWidth="1"/>
    <col min="8192" max="8192" width="12" style="1" customWidth="1"/>
    <col min="8193" max="8193" width="11" style="1" customWidth="1"/>
    <col min="8194" max="8194" width="8.28515625" style="1" customWidth="1"/>
    <col min="8195" max="8195" width="7.7109375" style="1" customWidth="1"/>
    <col min="8196" max="8196" width="7" style="1" customWidth="1"/>
    <col min="8197" max="8197" width="7.7109375" style="1" customWidth="1"/>
    <col min="8198" max="8198" width="9.28515625" style="1" customWidth="1"/>
    <col min="8199" max="8199" width="9.7109375" style="1" customWidth="1"/>
    <col min="8200" max="8200" width="8" style="1" customWidth="1"/>
    <col min="8201" max="8201" width="11.5703125" style="1" customWidth="1"/>
    <col min="8202" max="8202" width="12" style="1" customWidth="1"/>
    <col min="8203" max="8203" width="11" style="1" customWidth="1"/>
    <col min="8204" max="8204" width="8.28515625" style="1" customWidth="1"/>
    <col min="8205" max="8205" width="7.7109375" style="1" customWidth="1"/>
    <col min="8206" max="8206" width="7.85546875" style="1" customWidth="1"/>
    <col min="8207" max="8207" width="7.7109375" style="1" customWidth="1"/>
    <col min="8208" max="8208" width="9.28515625" style="1" customWidth="1"/>
    <col min="8209" max="8209" width="9.7109375" style="1" customWidth="1"/>
    <col min="8210" max="8210" width="8" style="1" customWidth="1"/>
    <col min="8211" max="8211" width="11.5703125" style="1" customWidth="1"/>
    <col min="8212" max="8212" width="12" style="1" customWidth="1"/>
    <col min="8213" max="8213" width="11" style="1" customWidth="1"/>
    <col min="8214" max="8214" width="8.28515625" style="1" customWidth="1"/>
    <col min="8215" max="8408" width="9.140625" style="1"/>
    <col min="8409" max="8409" width="6.28515625" style="1" customWidth="1"/>
    <col min="8410" max="8410" width="71.85546875" style="1" customWidth="1"/>
    <col min="8411" max="8411" width="7.5703125" style="1" customWidth="1"/>
    <col min="8412" max="8412" width="7" style="1" customWidth="1"/>
    <col min="8413" max="8413" width="7.7109375" style="1" customWidth="1"/>
    <col min="8414" max="8414" width="9.28515625" style="1" customWidth="1"/>
    <col min="8415" max="8415" width="9.7109375" style="1" customWidth="1"/>
    <col min="8416" max="8416" width="8" style="1" customWidth="1"/>
    <col min="8417" max="8417" width="11.5703125" style="1" customWidth="1"/>
    <col min="8418" max="8418" width="12" style="1" customWidth="1"/>
    <col min="8419" max="8419" width="11" style="1" customWidth="1"/>
    <col min="8420" max="8420" width="8.28515625" style="1" customWidth="1"/>
    <col min="8421" max="8421" width="7.7109375" style="1" customWidth="1"/>
    <col min="8422" max="8422" width="7" style="1" customWidth="1"/>
    <col min="8423" max="8423" width="7.7109375" style="1" customWidth="1"/>
    <col min="8424" max="8424" width="9.28515625" style="1" customWidth="1"/>
    <col min="8425" max="8425" width="9.7109375" style="1" customWidth="1"/>
    <col min="8426" max="8426" width="8" style="1" customWidth="1"/>
    <col min="8427" max="8427" width="11.5703125" style="1" customWidth="1"/>
    <col min="8428" max="8428" width="12" style="1" customWidth="1"/>
    <col min="8429" max="8429" width="11" style="1" customWidth="1"/>
    <col min="8430" max="8430" width="8.28515625" style="1" customWidth="1"/>
    <col min="8431" max="8431" width="7.7109375" style="1" customWidth="1"/>
    <col min="8432" max="8432" width="7" style="1" customWidth="1"/>
    <col min="8433" max="8433" width="7.7109375" style="1" customWidth="1"/>
    <col min="8434" max="8434" width="9.28515625" style="1" customWidth="1"/>
    <col min="8435" max="8435" width="9.7109375" style="1" customWidth="1"/>
    <col min="8436" max="8436" width="8" style="1" customWidth="1"/>
    <col min="8437" max="8437" width="11.5703125" style="1" customWidth="1"/>
    <col min="8438" max="8438" width="12" style="1" customWidth="1"/>
    <col min="8439" max="8439" width="11" style="1" customWidth="1"/>
    <col min="8440" max="8440" width="8.28515625" style="1" customWidth="1"/>
    <col min="8441" max="8441" width="7.7109375" style="1" customWidth="1"/>
    <col min="8442" max="8442" width="7" style="1" customWidth="1"/>
    <col min="8443" max="8443" width="7.7109375" style="1" customWidth="1"/>
    <col min="8444" max="8444" width="9.28515625" style="1" customWidth="1"/>
    <col min="8445" max="8445" width="9.7109375" style="1" customWidth="1"/>
    <col min="8446" max="8446" width="8" style="1" customWidth="1"/>
    <col min="8447" max="8447" width="11.5703125" style="1" customWidth="1"/>
    <col min="8448" max="8448" width="12" style="1" customWidth="1"/>
    <col min="8449" max="8449" width="11" style="1" customWidth="1"/>
    <col min="8450" max="8450" width="8.28515625" style="1" customWidth="1"/>
    <col min="8451" max="8451" width="7.7109375" style="1" customWidth="1"/>
    <col min="8452" max="8452" width="7" style="1" customWidth="1"/>
    <col min="8453" max="8453" width="7.7109375" style="1" customWidth="1"/>
    <col min="8454" max="8454" width="9.28515625" style="1" customWidth="1"/>
    <col min="8455" max="8455" width="9.7109375" style="1" customWidth="1"/>
    <col min="8456" max="8456" width="8" style="1" customWidth="1"/>
    <col min="8457" max="8457" width="11.5703125" style="1" customWidth="1"/>
    <col min="8458" max="8458" width="12" style="1" customWidth="1"/>
    <col min="8459" max="8459" width="11" style="1" customWidth="1"/>
    <col min="8460" max="8460" width="8.28515625" style="1" customWidth="1"/>
    <col min="8461" max="8461" width="7.7109375" style="1" customWidth="1"/>
    <col min="8462" max="8462" width="7.85546875" style="1" customWidth="1"/>
    <col min="8463" max="8463" width="7.7109375" style="1" customWidth="1"/>
    <col min="8464" max="8464" width="9.28515625" style="1" customWidth="1"/>
    <col min="8465" max="8465" width="9.7109375" style="1" customWidth="1"/>
    <col min="8466" max="8466" width="8" style="1" customWidth="1"/>
    <col min="8467" max="8467" width="11.5703125" style="1" customWidth="1"/>
    <col min="8468" max="8468" width="12" style="1" customWidth="1"/>
    <col min="8469" max="8469" width="11" style="1" customWidth="1"/>
    <col min="8470" max="8470" width="8.28515625" style="1" customWidth="1"/>
    <col min="8471" max="8664" width="9.140625" style="1"/>
    <col min="8665" max="8665" width="6.28515625" style="1" customWidth="1"/>
    <col min="8666" max="8666" width="71.85546875" style="1" customWidth="1"/>
    <col min="8667" max="8667" width="7.5703125" style="1" customWidth="1"/>
    <col min="8668" max="8668" width="7" style="1" customWidth="1"/>
    <col min="8669" max="8669" width="7.7109375" style="1" customWidth="1"/>
    <col min="8670" max="8670" width="9.28515625" style="1" customWidth="1"/>
    <col min="8671" max="8671" width="9.7109375" style="1" customWidth="1"/>
    <col min="8672" max="8672" width="8" style="1" customWidth="1"/>
    <col min="8673" max="8673" width="11.5703125" style="1" customWidth="1"/>
    <col min="8674" max="8674" width="12" style="1" customWidth="1"/>
    <col min="8675" max="8675" width="11" style="1" customWidth="1"/>
    <col min="8676" max="8676" width="8.28515625" style="1" customWidth="1"/>
    <col min="8677" max="8677" width="7.7109375" style="1" customWidth="1"/>
    <col min="8678" max="8678" width="7" style="1" customWidth="1"/>
    <col min="8679" max="8679" width="7.7109375" style="1" customWidth="1"/>
    <col min="8680" max="8680" width="9.28515625" style="1" customWidth="1"/>
    <col min="8681" max="8681" width="9.7109375" style="1" customWidth="1"/>
    <col min="8682" max="8682" width="8" style="1" customWidth="1"/>
    <col min="8683" max="8683" width="11.5703125" style="1" customWidth="1"/>
    <col min="8684" max="8684" width="12" style="1" customWidth="1"/>
    <col min="8685" max="8685" width="11" style="1" customWidth="1"/>
    <col min="8686" max="8686" width="8.28515625" style="1" customWidth="1"/>
    <col min="8687" max="8687" width="7.7109375" style="1" customWidth="1"/>
    <col min="8688" max="8688" width="7" style="1" customWidth="1"/>
    <col min="8689" max="8689" width="7.7109375" style="1" customWidth="1"/>
    <col min="8690" max="8690" width="9.28515625" style="1" customWidth="1"/>
    <col min="8691" max="8691" width="9.7109375" style="1" customWidth="1"/>
    <col min="8692" max="8692" width="8" style="1" customWidth="1"/>
    <col min="8693" max="8693" width="11.5703125" style="1" customWidth="1"/>
    <col min="8694" max="8694" width="12" style="1" customWidth="1"/>
    <col min="8695" max="8695" width="11" style="1" customWidth="1"/>
    <col min="8696" max="8696" width="8.28515625" style="1" customWidth="1"/>
    <col min="8697" max="8697" width="7.7109375" style="1" customWidth="1"/>
    <col min="8698" max="8698" width="7" style="1" customWidth="1"/>
    <col min="8699" max="8699" width="7.7109375" style="1" customWidth="1"/>
    <col min="8700" max="8700" width="9.28515625" style="1" customWidth="1"/>
    <col min="8701" max="8701" width="9.7109375" style="1" customWidth="1"/>
    <col min="8702" max="8702" width="8" style="1" customWidth="1"/>
    <col min="8703" max="8703" width="11.5703125" style="1" customWidth="1"/>
    <col min="8704" max="8704" width="12" style="1" customWidth="1"/>
    <col min="8705" max="8705" width="11" style="1" customWidth="1"/>
    <col min="8706" max="8706" width="8.28515625" style="1" customWidth="1"/>
    <col min="8707" max="8707" width="7.7109375" style="1" customWidth="1"/>
    <col min="8708" max="8708" width="7" style="1" customWidth="1"/>
    <col min="8709" max="8709" width="7.7109375" style="1" customWidth="1"/>
    <col min="8710" max="8710" width="9.28515625" style="1" customWidth="1"/>
    <col min="8711" max="8711" width="9.7109375" style="1" customWidth="1"/>
    <col min="8712" max="8712" width="8" style="1" customWidth="1"/>
    <col min="8713" max="8713" width="11.5703125" style="1" customWidth="1"/>
    <col min="8714" max="8714" width="12" style="1" customWidth="1"/>
    <col min="8715" max="8715" width="11" style="1" customWidth="1"/>
    <col min="8716" max="8716" width="8.28515625" style="1" customWidth="1"/>
    <col min="8717" max="8717" width="7.7109375" style="1" customWidth="1"/>
    <col min="8718" max="8718" width="7.85546875" style="1" customWidth="1"/>
    <col min="8719" max="8719" width="7.7109375" style="1" customWidth="1"/>
    <col min="8720" max="8720" width="9.28515625" style="1" customWidth="1"/>
    <col min="8721" max="8721" width="9.7109375" style="1" customWidth="1"/>
    <col min="8722" max="8722" width="8" style="1" customWidth="1"/>
    <col min="8723" max="8723" width="11.5703125" style="1" customWidth="1"/>
    <col min="8724" max="8724" width="12" style="1" customWidth="1"/>
    <col min="8725" max="8725" width="11" style="1" customWidth="1"/>
    <col min="8726" max="8726" width="8.28515625" style="1" customWidth="1"/>
    <col min="8727" max="8920" width="9.140625" style="1"/>
    <col min="8921" max="8921" width="6.28515625" style="1" customWidth="1"/>
    <col min="8922" max="8922" width="71.85546875" style="1" customWidth="1"/>
    <col min="8923" max="8923" width="7.5703125" style="1" customWidth="1"/>
    <col min="8924" max="8924" width="7" style="1" customWidth="1"/>
    <col min="8925" max="8925" width="7.7109375" style="1" customWidth="1"/>
    <col min="8926" max="8926" width="9.28515625" style="1" customWidth="1"/>
    <col min="8927" max="8927" width="9.7109375" style="1" customWidth="1"/>
    <col min="8928" max="8928" width="8" style="1" customWidth="1"/>
    <col min="8929" max="8929" width="11.5703125" style="1" customWidth="1"/>
    <col min="8930" max="8930" width="12" style="1" customWidth="1"/>
    <col min="8931" max="8931" width="11" style="1" customWidth="1"/>
    <col min="8932" max="8932" width="8.28515625" style="1" customWidth="1"/>
    <col min="8933" max="8933" width="7.7109375" style="1" customWidth="1"/>
    <col min="8934" max="8934" width="7" style="1" customWidth="1"/>
    <col min="8935" max="8935" width="7.7109375" style="1" customWidth="1"/>
    <col min="8936" max="8936" width="9.28515625" style="1" customWidth="1"/>
    <col min="8937" max="8937" width="9.7109375" style="1" customWidth="1"/>
    <col min="8938" max="8938" width="8" style="1" customWidth="1"/>
    <col min="8939" max="8939" width="11.5703125" style="1" customWidth="1"/>
    <col min="8940" max="8940" width="12" style="1" customWidth="1"/>
    <col min="8941" max="8941" width="11" style="1" customWidth="1"/>
    <col min="8942" max="8942" width="8.28515625" style="1" customWidth="1"/>
    <col min="8943" max="8943" width="7.7109375" style="1" customWidth="1"/>
    <col min="8944" max="8944" width="7" style="1" customWidth="1"/>
    <col min="8945" max="8945" width="7.7109375" style="1" customWidth="1"/>
    <col min="8946" max="8946" width="9.28515625" style="1" customWidth="1"/>
    <col min="8947" max="8947" width="9.7109375" style="1" customWidth="1"/>
    <col min="8948" max="8948" width="8" style="1" customWidth="1"/>
    <col min="8949" max="8949" width="11.5703125" style="1" customWidth="1"/>
    <col min="8950" max="8950" width="12" style="1" customWidth="1"/>
    <col min="8951" max="8951" width="11" style="1" customWidth="1"/>
    <col min="8952" max="8952" width="8.28515625" style="1" customWidth="1"/>
    <col min="8953" max="8953" width="7.7109375" style="1" customWidth="1"/>
    <col min="8954" max="8954" width="7" style="1" customWidth="1"/>
    <col min="8955" max="8955" width="7.7109375" style="1" customWidth="1"/>
    <col min="8956" max="8956" width="9.28515625" style="1" customWidth="1"/>
    <col min="8957" max="8957" width="9.7109375" style="1" customWidth="1"/>
    <col min="8958" max="8958" width="8" style="1" customWidth="1"/>
    <col min="8959" max="8959" width="11.5703125" style="1" customWidth="1"/>
    <col min="8960" max="8960" width="12" style="1" customWidth="1"/>
    <col min="8961" max="8961" width="11" style="1" customWidth="1"/>
    <col min="8962" max="8962" width="8.28515625" style="1" customWidth="1"/>
    <col min="8963" max="8963" width="7.7109375" style="1" customWidth="1"/>
    <col min="8964" max="8964" width="7" style="1" customWidth="1"/>
    <col min="8965" max="8965" width="7.7109375" style="1" customWidth="1"/>
    <col min="8966" max="8966" width="9.28515625" style="1" customWidth="1"/>
    <col min="8967" max="8967" width="9.7109375" style="1" customWidth="1"/>
    <col min="8968" max="8968" width="8" style="1" customWidth="1"/>
    <col min="8969" max="8969" width="11.5703125" style="1" customWidth="1"/>
    <col min="8970" max="8970" width="12" style="1" customWidth="1"/>
    <col min="8971" max="8971" width="11" style="1" customWidth="1"/>
    <col min="8972" max="8972" width="8.28515625" style="1" customWidth="1"/>
    <col min="8973" max="8973" width="7.7109375" style="1" customWidth="1"/>
    <col min="8974" max="8974" width="7.85546875" style="1" customWidth="1"/>
    <col min="8975" max="8975" width="7.7109375" style="1" customWidth="1"/>
    <col min="8976" max="8976" width="9.28515625" style="1" customWidth="1"/>
    <col min="8977" max="8977" width="9.7109375" style="1" customWidth="1"/>
    <col min="8978" max="8978" width="8" style="1" customWidth="1"/>
    <col min="8979" max="8979" width="11.5703125" style="1" customWidth="1"/>
    <col min="8980" max="8980" width="12" style="1" customWidth="1"/>
    <col min="8981" max="8981" width="11" style="1" customWidth="1"/>
    <col min="8982" max="8982" width="8.28515625" style="1" customWidth="1"/>
    <col min="8983" max="9176" width="9.140625" style="1"/>
    <col min="9177" max="9177" width="6.28515625" style="1" customWidth="1"/>
    <col min="9178" max="9178" width="71.85546875" style="1" customWidth="1"/>
    <col min="9179" max="9179" width="7.5703125" style="1" customWidth="1"/>
    <col min="9180" max="9180" width="7" style="1" customWidth="1"/>
    <col min="9181" max="9181" width="7.7109375" style="1" customWidth="1"/>
    <col min="9182" max="9182" width="9.28515625" style="1" customWidth="1"/>
    <col min="9183" max="9183" width="9.7109375" style="1" customWidth="1"/>
    <col min="9184" max="9184" width="8" style="1" customWidth="1"/>
    <col min="9185" max="9185" width="11.5703125" style="1" customWidth="1"/>
    <col min="9186" max="9186" width="12" style="1" customWidth="1"/>
    <col min="9187" max="9187" width="11" style="1" customWidth="1"/>
    <col min="9188" max="9188" width="8.28515625" style="1" customWidth="1"/>
    <col min="9189" max="9189" width="7.7109375" style="1" customWidth="1"/>
    <col min="9190" max="9190" width="7" style="1" customWidth="1"/>
    <col min="9191" max="9191" width="7.7109375" style="1" customWidth="1"/>
    <col min="9192" max="9192" width="9.28515625" style="1" customWidth="1"/>
    <col min="9193" max="9193" width="9.7109375" style="1" customWidth="1"/>
    <col min="9194" max="9194" width="8" style="1" customWidth="1"/>
    <col min="9195" max="9195" width="11.5703125" style="1" customWidth="1"/>
    <col min="9196" max="9196" width="12" style="1" customWidth="1"/>
    <col min="9197" max="9197" width="11" style="1" customWidth="1"/>
    <col min="9198" max="9198" width="8.28515625" style="1" customWidth="1"/>
    <col min="9199" max="9199" width="7.7109375" style="1" customWidth="1"/>
    <col min="9200" max="9200" width="7" style="1" customWidth="1"/>
    <col min="9201" max="9201" width="7.7109375" style="1" customWidth="1"/>
    <col min="9202" max="9202" width="9.28515625" style="1" customWidth="1"/>
    <col min="9203" max="9203" width="9.7109375" style="1" customWidth="1"/>
    <col min="9204" max="9204" width="8" style="1" customWidth="1"/>
    <col min="9205" max="9205" width="11.5703125" style="1" customWidth="1"/>
    <col min="9206" max="9206" width="12" style="1" customWidth="1"/>
    <col min="9207" max="9207" width="11" style="1" customWidth="1"/>
    <col min="9208" max="9208" width="8.28515625" style="1" customWidth="1"/>
    <col min="9209" max="9209" width="7.7109375" style="1" customWidth="1"/>
    <col min="9210" max="9210" width="7" style="1" customWidth="1"/>
    <col min="9211" max="9211" width="7.7109375" style="1" customWidth="1"/>
    <col min="9212" max="9212" width="9.28515625" style="1" customWidth="1"/>
    <col min="9213" max="9213" width="9.7109375" style="1" customWidth="1"/>
    <col min="9214" max="9214" width="8" style="1" customWidth="1"/>
    <col min="9215" max="9215" width="11.5703125" style="1" customWidth="1"/>
    <col min="9216" max="9216" width="12" style="1" customWidth="1"/>
    <col min="9217" max="9217" width="11" style="1" customWidth="1"/>
    <col min="9218" max="9218" width="8.28515625" style="1" customWidth="1"/>
    <col min="9219" max="9219" width="7.7109375" style="1" customWidth="1"/>
    <col min="9220" max="9220" width="7" style="1" customWidth="1"/>
    <col min="9221" max="9221" width="7.7109375" style="1" customWidth="1"/>
    <col min="9222" max="9222" width="9.28515625" style="1" customWidth="1"/>
    <col min="9223" max="9223" width="9.7109375" style="1" customWidth="1"/>
    <col min="9224" max="9224" width="8" style="1" customWidth="1"/>
    <col min="9225" max="9225" width="11.5703125" style="1" customWidth="1"/>
    <col min="9226" max="9226" width="12" style="1" customWidth="1"/>
    <col min="9227" max="9227" width="11" style="1" customWidth="1"/>
    <col min="9228" max="9228" width="8.28515625" style="1" customWidth="1"/>
    <col min="9229" max="9229" width="7.7109375" style="1" customWidth="1"/>
    <col min="9230" max="9230" width="7.85546875" style="1" customWidth="1"/>
    <col min="9231" max="9231" width="7.7109375" style="1" customWidth="1"/>
    <col min="9232" max="9232" width="9.28515625" style="1" customWidth="1"/>
    <col min="9233" max="9233" width="9.7109375" style="1" customWidth="1"/>
    <col min="9234" max="9234" width="8" style="1" customWidth="1"/>
    <col min="9235" max="9235" width="11.5703125" style="1" customWidth="1"/>
    <col min="9236" max="9236" width="12" style="1" customWidth="1"/>
    <col min="9237" max="9237" width="11" style="1" customWidth="1"/>
    <col min="9238" max="9238" width="8.28515625" style="1" customWidth="1"/>
    <col min="9239" max="9432" width="9.140625" style="1"/>
    <col min="9433" max="9433" width="6.28515625" style="1" customWidth="1"/>
    <col min="9434" max="9434" width="71.85546875" style="1" customWidth="1"/>
    <col min="9435" max="9435" width="7.5703125" style="1" customWidth="1"/>
    <col min="9436" max="9436" width="7" style="1" customWidth="1"/>
    <col min="9437" max="9437" width="7.7109375" style="1" customWidth="1"/>
    <col min="9438" max="9438" width="9.28515625" style="1" customWidth="1"/>
    <col min="9439" max="9439" width="9.7109375" style="1" customWidth="1"/>
    <col min="9440" max="9440" width="8" style="1" customWidth="1"/>
    <col min="9441" max="9441" width="11.5703125" style="1" customWidth="1"/>
    <col min="9442" max="9442" width="12" style="1" customWidth="1"/>
    <col min="9443" max="9443" width="11" style="1" customWidth="1"/>
    <col min="9444" max="9444" width="8.28515625" style="1" customWidth="1"/>
    <col min="9445" max="9445" width="7.7109375" style="1" customWidth="1"/>
    <col min="9446" max="9446" width="7" style="1" customWidth="1"/>
    <col min="9447" max="9447" width="7.7109375" style="1" customWidth="1"/>
    <col min="9448" max="9448" width="9.28515625" style="1" customWidth="1"/>
    <col min="9449" max="9449" width="9.7109375" style="1" customWidth="1"/>
    <col min="9450" max="9450" width="8" style="1" customWidth="1"/>
    <col min="9451" max="9451" width="11.5703125" style="1" customWidth="1"/>
    <col min="9452" max="9452" width="12" style="1" customWidth="1"/>
    <col min="9453" max="9453" width="11" style="1" customWidth="1"/>
    <col min="9454" max="9454" width="8.28515625" style="1" customWidth="1"/>
    <col min="9455" max="9455" width="7.7109375" style="1" customWidth="1"/>
    <col min="9456" max="9456" width="7" style="1" customWidth="1"/>
    <col min="9457" max="9457" width="7.7109375" style="1" customWidth="1"/>
    <col min="9458" max="9458" width="9.28515625" style="1" customWidth="1"/>
    <col min="9459" max="9459" width="9.7109375" style="1" customWidth="1"/>
    <col min="9460" max="9460" width="8" style="1" customWidth="1"/>
    <col min="9461" max="9461" width="11.5703125" style="1" customWidth="1"/>
    <col min="9462" max="9462" width="12" style="1" customWidth="1"/>
    <col min="9463" max="9463" width="11" style="1" customWidth="1"/>
    <col min="9464" max="9464" width="8.28515625" style="1" customWidth="1"/>
    <col min="9465" max="9465" width="7.7109375" style="1" customWidth="1"/>
    <col min="9466" max="9466" width="7" style="1" customWidth="1"/>
    <col min="9467" max="9467" width="7.7109375" style="1" customWidth="1"/>
    <col min="9468" max="9468" width="9.28515625" style="1" customWidth="1"/>
    <col min="9469" max="9469" width="9.7109375" style="1" customWidth="1"/>
    <col min="9470" max="9470" width="8" style="1" customWidth="1"/>
    <col min="9471" max="9471" width="11.5703125" style="1" customWidth="1"/>
    <col min="9472" max="9472" width="12" style="1" customWidth="1"/>
    <col min="9473" max="9473" width="11" style="1" customWidth="1"/>
    <col min="9474" max="9474" width="8.28515625" style="1" customWidth="1"/>
    <col min="9475" max="9475" width="7.7109375" style="1" customWidth="1"/>
    <col min="9476" max="9476" width="7" style="1" customWidth="1"/>
    <col min="9477" max="9477" width="7.7109375" style="1" customWidth="1"/>
    <col min="9478" max="9478" width="9.28515625" style="1" customWidth="1"/>
    <col min="9479" max="9479" width="9.7109375" style="1" customWidth="1"/>
    <col min="9480" max="9480" width="8" style="1" customWidth="1"/>
    <col min="9481" max="9481" width="11.5703125" style="1" customWidth="1"/>
    <col min="9482" max="9482" width="12" style="1" customWidth="1"/>
    <col min="9483" max="9483" width="11" style="1" customWidth="1"/>
    <col min="9484" max="9484" width="8.28515625" style="1" customWidth="1"/>
    <col min="9485" max="9485" width="7.7109375" style="1" customWidth="1"/>
    <col min="9486" max="9486" width="7.85546875" style="1" customWidth="1"/>
    <col min="9487" max="9487" width="7.7109375" style="1" customWidth="1"/>
    <col min="9488" max="9488" width="9.28515625" style="1" customWidth="1"/>
    <col min="9489" max="9489" width="9.7109375" style="1" customWidth="1"/>
    <col min="9490" max="9490" width="8" style="1" customWidth="1"/>
    <col min="9491" max="9491" width="11.5703125" style="1" customWidth="1"/>
    <col min="9492" max="9492" width="12" style="1" customWidth="1"/>
    <col min="9493" max="9493" width="11" style="1" customWidth="1"/>
    <col min="9494" max="9494" width="8.28515625" style="1" customWidth="1"/>
    <col min="9495" max="9688" width="9.140625" style="1"/>
    <col min="9689" max="9689" width="6.28515625" style="1" customWidth="1"/>
    <col min="9690" max="9690" width="71.85546875" style="1" customWidth="1"/>
    <col min="9691" max="9691" width="7.5703125" style="1" customWidth="1"/>
    <col min="9692" max="9692" width="7" style="1" customWidth="1"/>
    <col min="9693" max="9693" width="7.7109375" style="1" customWidth="1"/>
    <col min="9694" max="9694" width="9.28515625" style="1" customWidth="1"/>
    <col min="9695" max="9695" width="9.7109375" style="1" customWidth="1"/>
    <col min="9696" max="9696" width="8" style="1" customWidth="1"/>
    <col min="9697" max="9697" width="11.5703125" style="1" customWidth="1"/>
    <col min="9698" max="9698" width="12" style="1" customWidth="1"/>
    <col min="9699" max="9699" width="11" style="1" customWidth="1"/>
    <col min="9700" max="9700" width="8.28515625" style="1" customWidth="1"/>
    <col min="9701" max="9701" width="7.7109375" style="1" customWidth="1"/>
    <col min="9702" max="9702" width="7" style="1" customWidth="1"/>
    <col min="9703" max="9703" width="7.7109375" style="1" customWidth="1"/>
    <col min="9704" max="9704" width="9.28515625" style="1" customWidth="1"/>
    <col min="9705" max="9705" width="9.7109375" style="1" customWidth="1"/>
    <col min="9706" max="9706" width="8" style="1" customWidth="1"/>
    <col min="9707" max="9707" width="11.5703125" style="1" customWidth="1"/>
    <col min="9708" max="9708" width="12" style="1" customWidth="1"/>
    <col min="9709" max="9709" width="11" style="1" customWidth="1"/>
    <col min="9710" max="9710" width="8.28515625" style="1" customWidth="1"/>
    <col min="9711" max="9711" width="7.7109375" style="1" customWidth="1"/>
    <col min="9712" max="9712" width="7" style="1" customWidth="1"/>
    <col min="9713" max="9713" width="7.7109375" style="1" customWidth="1"/>
    <col min="9714" max="9714" width="9.28515625" style="1" customWidth="1"/>
    <col min="9715" max="9715" width="9.7109375" style="1" customWidth="1"/>
    <col min="9716" max="9716" width="8" style="1" customWidth="1"/>
    <col min="9717" max="9717" width="11.5703125" style="1" customWidth="1"/>
    <col min="9718" max="9718" width="12" style="1" customWidth="1"/>
    <col min="9719" max="9719" width="11" style="1" customWidth="1"/>
    <col min="9720" max="9720" width="8.28515625" style="1" customWidth="1"/>
    <col min="9721" max="9721" width="7.7109375" style="1" customWidth="1"/>
    <col min="9722" max="9722" width="7" style="1" customWidth="1"/>
    <col min="9723" max="9723" width="7.7109375" style="1" customWidth="1"/>
    <col min="9724" max="9724" width="9.28515625" style="1" customWidth="1"/>
    <col min="9725" max="9725" width="9.7109375" style="1" customWidth="1"/>
    <col min="9726" max="9726" width="8" style="1" customWidth="1"/>
    <col min="9727" max="9727" width="11.5703125" style="1" customWidth="1"/>
    <col min="9728" max="9728" width="12" style="1" customWidth="1"/>
    <col min="9729" max="9729" width="11" style="1" customWidth="1"/>
    <col min="9730" max="9730" width="8.28515625" style="1" customWidth="1"/>
    <col min="9731" max="9731" width="7.7109375" style="1" customWidth="1"/>
    <col min="9732" max="9732" width="7" style="1" customWidth="1"/>
    <col min="9733" max="9733" width="7.7109375" style="1" customWidth="1"/>
    <col min="9734" max="9734" width="9.28515625" style="1" customWidth="1"/>
    <col min="9735" max="9735" width="9.7109375" style="1" customWidth="1"/>
    <col min="9736" max="9736" width="8" style="1" customWidth="1"/>
    <col min="9737" max="9737" width="11.5703125" style="1" customWidth="1"/>
    <col min="9738" max="9738" width="12" style="1" customWidth="1"/>
    <col min="9739" max="9739" width="11" style="1" customWidth="1"/>
    <col min="9740" max="9740" width="8.28515625" style="1" customWidth="1"/>
    <col min="9741" max="9741" width="7.7109375" style="1" customWidth="1"/>
    <col min="9742" max="9742" width="7.85546875" style="1" customWidth="1"/>
    <col min="9743" max="9743" width="7.7109375" style="1" customWidth="1"/>
    <col min="9744" max="9744" width="9.28515625" style="1" customWidth="1"/>
    <col min="9745" max="9745" width="9.7109375" style="1" customWidth="1"/>
    <col min="9746" max="9746" width="8" style="1" customWidth="1"/>
    <col min="9747" max="9747" width="11.5703125" style="1" customWidth="1"/>
    <col min="9748" max="9748" width="12" style="1" customWidth="1"/>
    <col min="9749" max="9749" width="11" style="1" customWidth="1"/>
    <col min="9750" max="9750" width="8.28515625" style="1" customWidth="1"/>
    <col min="9751" max="9944" width="9.140625" style="1"/>
    <col min="9945" max="9945" width="6.28515625" style="1" customWidth="1"/>
    <col min="9946" max="9946" width="71.85546875" style="1" customWidth="1"/>
    <col min="9947" max="9947" width="7.5703125" style="1" customWidth="1"/>
    <col min="9948" max="9948" width="7" style="1" customWidth="1"/>
    <col min="9949" max="9949" width="7.7109375" style="1" customWidth="1"/>
    <col min="9950" max="9950" width="9.28515625" style="1" customWidth="1"/>
    <col min="9951" max="9951" width="9.7109375" style="1" customWidth="1"/>
    <col min="9952" max="9952" width="8" style="1" customWidth="1"/>
    <col min="9953" max="9953" width="11.5703125" style="1" customWidth="1"/>
    <col min="9954" max="9954" width="12" style="1" customWidth="1"/>
    <col min="9955" max="9955" width="11" style="1" customWidth="1"/>
    <col min="9956" max="9956" width="8.28515625" style="1" customWidth="1"/>
    <col min="9957" max="9957" width="7.7109375" style="1" customWidth="1"/>
    <col min="9958" max="9958" width="7" style="1" customWidth="1"/>
    <col min="9959" max="9959" width="7.7109375" style="1" customWidth="1"/>
    <col min="9960" max="9960" width="9.28515625" style="1" customWidth="1"/>
    <col min="9961" max="9961" width="9.7109375" style="1" customWidth="1"/>
    <col min="9962" max="9962" width="8" style="1" customWidth="1"/>
    <col min="9963" max="9963" width="11.5703125" style="1" customWidth="1"/>
    <col min="9964" max="9964" width="12" style="1" customWidth="1"/>
    <col min="9965" max="9965" width="11" style="1" customWidth="1"/>
    <col min="9966" max="9966" width="8.28515625" style="1" customWidth="1"/>
    <col min="9967" max="9967" width="7.7109375" style="1" customWidth="1"/>
    <col min="9968" max="9968" width="7" style="1" customWidth="1"/>
    <col min="9969" max="9969" width="7.7109375" style="1" customWidth="1"/>
    <col min="9970" max="9970" width="9.28515625" style="1" customWidth="1"/>
    <col min="9971" max="9971" width="9.7109375" style="1" customWidth="1"/>
    <col min="9972" max="9972" width="8" style="1" customWidth="1"/>
    <col min="9973" max="9973" width="11.5703125" style="1" customWidth="1"/>
    <col min="9974" max="9974" width="12" style="1" customWidth="1"/>
    <col min="9975" max="9975" width="11" style="1" customWidth="1"/>
    <col min="9976" max="9976" width="8.28515625" style="1" customWidth="1"/>
    <col min="9977" max="9977" width="7.7109375" style="1" customWidth="1"/>
    <col min="9978" max="9978" width="7" style="1" customWidth="1"/>
    <col min="9979" max="9979" width="7.7109375" style="1" customWidth="1"/>
    <col min="9980" max="9980" width="9.28515625" style="1" customWidth="1"/>
    <col min="9981" max="9981" width="9.7109375" style="1" customWidth="1"/>
    <col min="9982" max="9982" width="8" style="1" customWidth="1"/>
    <col min="9983" max="9983" width="11.5703125" style="1" customWidth="1"/>
    <col min="9984" max="9984" width="12" style="1" customWidth="1"/>
    <col min="9985" max="9985" width="11" style="1" customWidth="1"/>
    <col min="9986" max="9986" width="8.28515625" style="1" customWidth="1"/>
    <col min="9987" max="9987" width="7.7109375" style="1" customWidth="1"/>
    <col min="9988" max="9988" width="7" style="1" customWidth="1"/>
    <col min="9989" max="9989" width="7.7109375" style="1" customWidth="1"/>
    <col min="9990" max="9990" width="9.28515625" style="1" customWidth="1"/>
    <col min="9991" max="9991" width="9.7109375" style="1" customWidth="1"/>
    <col min="9992" max="9992" width="8" style="1" customWidth="1"/>
    <col min="9993" max="9993" width="11.5703125" style="1" customWidth="1"/>
    <col min="9994" max="9994" width="12" style="1" customWidth="1"/>
    <col min="9995" max="9995" width="11" style="1" customWidth="1"/>
    <col min="9996" max="9996" width="8.28515625" style="1" customWidth="1"/>
    <col min="9997" max="9997" width="7.7109375" style="1" customWidth="1"/>
    <col min="9998" max="9998" width="7.85546875" style="1" customWidth="1"/>
    <col min="9999" max="9999" width="7.7109375" style="1" customWidth="1"/>
    <col min="10000" max="10000" width="9.28515625" style="1" customWidth="1"/>
    <col min="10001" max="10001" width="9.7109375" style="1" customWidth="1"/>
    <col min="10002" max="10002" width="8" style="1" customWidth="1"/>
    <col min="10003" max="10003" width="11.5703125" style="1" customWidth="1"/>
    <col min="10004" max="10004" width="12" style="1" customWidth="1"/>
    <col min="10005" max="10005" width="11" style="1" customWidth="1"/>
    <col min="10006" max="10006" width="8.28515625" style="1" customWidth="1"/>
    <col min="10007" max="10200" width="9.140625" style="1"/>
    <col min="10201" max="10201" width="6.28515625" style="1" customWidth="1"/>
    <col min="10202" max="10202" width="71.85546875" style="1" customWidth="1"/>
    <col min="10203" max="10203" width="7.5703125" style="1" customWidth="1"/>
    <col min="10204" max="10204" width="7" style="1" customWidth="1"/>
    <col min="10205" max="10205" width="7.7109375" style="1" customWidth="1"/>
    <col min="10206" max="10206" width="9.28515625" style="1" customWidth="1"/>
    <col min="10207" max="10207" width="9.7109375" style="1" customWidth="1"/>
    <col min="10208" max="10208" width="8" style="1" customWidth="1"/>
    <col min="10209" max="10209" width="11.5703125" style="1" customWidth="1"/>
    <col min="10210" max="10210" width="12" style="1" customWidth="1"/>
    <col min="10211" max="10211" width="11" style="1" customWidth="1"/>
    <col min="10212" max="10212" width="8.28515625" style="1" customWidth="1"/>
    <col min="10213" max="10213" width="7.7109375" style="1" customWidth="1"/>
    <col min="10214" max="10214" width="7" style="1" customWidth="1"/>
    <col min="10215" max="10215" width="7.7109375" style="1" customWidth="1"/>
    <col min="10216" max="10216" width="9.28515625" style="1" customWidth="1"/>
    <col min="10217" max="10217" width="9.7109375" style="1" customWidth="1"/>
    <col min="10218" max="10218" width="8" style="1" customWidth="1"/>
    <col min="10219" max="10219" width="11.5703125" style="1" customWidth="1"/>
    <col min="10220" max="10220" width="12" style="1" customWidth="1"/>
    <col min="10221" max="10221" width="11" style="1" customWidth="1"/>
    <col min="10222" max="10222" width="8.28515625" style="1" customWidth="1"/>
    <col min="10223" max="10223" width="7.7109375" style="1" customWidth="1"/>
    <col min="10224" max="10224" width="7" style="1" customWidth="1"/>
    <col min="10225" max="10225" width="7.7109375" style="1" customWidth="1"/>
    <col min="10226" max="10226" width="9.28515625" style="1" customWidth="1"/>
    <col min="10227" max="10227" width="9.7109375" style="1" customWidth="1"/>
    <col min="10228" max="10228" width="8" style="1" customWidth="1"/>
    <col min="10229" max="10229" width="11.5703125" style="1" customWidth="1"/>
    <col min="10230" max="10230" width="12" style="1" customWidth="1"/>
    <col min="10231" max="10231" width="11" style="1" customWidth="1"/>
    <col min="10232" max="10232" width="8.28515625" style="1" customWidth="1"/>
    <col min="10233" max="10233" width="7.7109375" style="1" customWidth="1"/>
    <col min="10234" max="10234" width="7" style="1" customWidth="1"/>
    <col min="10235" max="10235" width="7.7109375" style="1" customWidth="1"/>
    <col min="10236" max="10236" width="9.28515625" style="1" customWidth="1"/>
    <col min="10237" max="10237" width="9.7109375" style="1" customWidth="1"/>
    <col min="10238" max="10238" width="8" style="1" customWidth="1"/>
    <col min="10239" max="10239" width="11.5703125" style="1" customWidth="1"/>
    <col min="10240" max="10240" width="12" style="1" customWidth="1"/>
    <col min="10241" max="10241" width="11" style="1" customWidth="1"/>
    <col min="10242" max="10242" width="8.28515625" style="1" customWidth="1"/>
    <col min="10243" max="10243" width="7.7109375" style="1" customWidth="1"/>
    <col min="10244" max="10244" width="7" style="1" customWidth="1"/>
    <col min="10245" max="10245" width="7.7109375" style="1" customWidth="1"/>
    <col min="10246" max="10246" width="9.28515625" style="1" customWidth="1"/>
    <col min="10247" max="10247" width="9.7109375" style="1" customWidth="1"/>
    <col min="10248" max="10248" width="8" style="1" customWidth="1"/>
    <col min="10249" max="10249" width="11.5703125" style="1" customWidth="1"/>
    <col min="10250" max="10250" width="12" style="1" customWidth="1"/>
    <col min="10251" max="10251" width="11" style="1" customWidth="1"/>
    <col min="10252" max="10252" width="8.28515625" style="1" customWidth="1"/>
    <col min="10253" max="10253" width="7.7109375" style="1" customWidth="1"/>
    <col min="10254" max="10254" width="7.85546875" style="1" customWidth="1"/>
    <col min="10255" max="10255" width="7.7109375" style="1" customWidth="1"/>
    <col min="10256" max="10256" width="9.28515625" style="1" customWidth="1"/>
    <col min="10257" max="10257" width="9.7109375" style="1" customWidth="1"/>
    <col min="10258" max="10258" width="8" style="1" customWidth="1"/>
    <col min="10259" max="10259" width="11.5703125" style="1" customWidth="1"/>
    <col min="10260" max="10260" width="12" style="1" customWidth="1"/>
    <col min="10261" max="10261" width="11" style="1" customWidth="1"/>
    <col min="10262" max="10262" width="8.28515625" style="1" customWidth="1"/>
    <col min="10263" max="10456" width="9.140625" style="1"/>
    <col min="10457" max="10457" width="6.28515625" style="1" customWidth="1"/>
    <col min="10458" max="10458" width="71.85546875" style="1" customWidth="1"/>
    <col min="10459" max="10459" width="7.5703125" style="1" customWidth="1"/>
    <col min="10460" max="10460" width="7" style="1" customWidth="1"/>
    <col min="10461" max="10461" width="7.7109375" style="1" customWidth="1"/>
    <col min="10462" max="10462" width="9.28515625" style="1" customWidth="1"/>
    <col min="10463" max="10463" width="9.7109375" style="1" customWidth="1"/>
    <col min="10464" max="10464" width="8" style="1" customWidth="1"/>
    <col min="10465" max="10465" width="11.5703125" style="1" customWidth="1"/>
    <col min="10466" max="10466" width="12" style="1" customWidth="1"/>
    <col min="10467" max="10467" width="11" style="1" customWidth="1"/>
    <col min="10468" max="10468" width="8.28515625" style="1" customWidth="1"/>
    <col min="10469" max="10469" width="7.7109375" style="1" customWidth="1"/>
    <col min="10470" max="10470" width="7" style="1" customWidth="1"/>
    <col min="10471" max="10471" width="7.7109375" style="1" customWidth="1"/>
    <col min="10472" max="10472" width="9.28515625" style="1" customWidth="1"/>
    <col min="10473" max="10473" width="9.7109375" style="1" customWidth="1"/>
    <col min="10474" max="10474" width="8" style="1" customWidth="1"/>
    <col min="10475" max="10475" width="11.5703125" style="1" customWidth="1"/>
    <col min="10476" max="10476" width="12" style="1" customWidth="1"/>
    <col min="10477" max="10477" width="11" style="1" customWidth="1"/>
    <col min="10478" max="10478" width="8.28515625" style="1" customWidth="1"/>
    <col min="10479" max="10479" width="7.7109375" style="1" customWidth="1"/>
    <col min="10480" max="10480" width="7" style="1" customWidth="1"/>
    <col min="10481" max="10481" width="7.7109375" style="1" customWidth="1"/>
    <col min="10482" max="10482" width="9.28515625" style="1" customWidth="1"/>
    <col min="10483" max="10483" width="9.7109375" style="1" customWidth="1"/>
    <col min="10484" max="10484" width="8" style="1" customWidth="1"/>
    <col min="10485" max="10485" width="11.5703125" style="1" customWidth="1"/>
    <col min="10486" max="10486" width="12" style="1" customWidth="1"/>
    <col min="10487" max="10487" width="11" style="1" customWidth="1"/>
    <col min="10488" max="10488" width="8.28515625" style="1" customWidth="1"/>
    <col min="10489" max="10489" width="7.7109375" style="1" customWidth="1"/>
    <col min="10490" max="10490" width="7" style="1" customWidth="1"/>
    <col min="10491" max="10491" width="7.7109375" style="1" customWidth="1"/>
    <col min="10492" max="10492" width="9.28515625" style="1" customWidth="1"/>
    <col min="10493" max="10493" width="9.7109375" style="1" customWidth="1"/>
    <col min="10494" max="10494" width="8" style="1" customWidth="1"/>
    <col min="10495" max="10495" width="11.5703125" style="1" customWidth="1"/>
    <col min="10496" max="10496" width="12" style="1" customWidth="1"/>
    <col min="10497" max="10497" width="11" style="1" customWidth="1"/>
    <col min="10498" max="10498" width="8.28515625" style="1" customWidth="1"/>
    <col min="10499" max="10499" width="7.7109375" style="1" customWidth="1"/>
    <col min="10500" max="10500" width="7" style="1" customWidth="1"/>
    <col min="10501" max="10501" width="7.7109375" style="1" customWidth="1"/>
    <col min="10502" max="10502" width="9.28515625" style="1" customWidth="1"/>
    <col min="10503" max="10503" width="9.7109375" style="1" customWidth="1"/>
    <col min="10504" max="10504" width="8" style="1" customWidth="1"/>
    <col min="10505" max="10505" width="11.5703125" style="1" customWidth="1"/>
    <col min="10506" max="10506" width="12" style="1" customWidth="1"/>
    <col min="10507" max="10507" width="11" style="1" customWidth="1"/>
    <col min="10508" max="10508" width="8.28515625" style="1" customWidth="1"/>
    <col min="10509" max="10509" width="7.7109375" style="1" customWidth="1"/>
    <col min="10510" max="10510" width="7.85546875" style="1" customWidth="1"/>
    <col min="10511" max="10511" width="7.7109375" style="1" customWidth="1"/>
    <col min="10512" max="10512" width="9.28515625" style="1" customWidth="1"/>
    <col min="10513" max="10513" width="9.7109375" style="1" customWidth="1"/>
    <col min="10514" max="10514" width="8" style="1" customWidth="1"/>
    <col min="10515" max="10515" width="11.5703125" style="1" customWidth="1"/>
    <col min="10516" max="10516" width="12" style="1" customWidth="1"/>
    <col min="10517" max="10517" width="11" style="1" customWidth="1"/>
    <col min="10518" max="10518" width="8.28515625" style="1" customWidth="1"/>
    <col min="10519" max="10712" width="9.140625" style="1"/>
    <col min="10713" max="10713" width="6.28515625" style="1" customWidth="1"/>
    <col min="10714" max="10714" width="71.85546875" style="1" customWidth="1"/>
    <col min="10715" max="10715" width="7.5703125" style="1" customWidth="1"/>
    <col min="10716" max="10716" width="7" style="1" customWidth="1"/>
    <col min="10717" max="10717" width="7.7109375" style="1" customWidth="1"/>
    <col min="10718" max="10718" width="9.28515625" style="1" customWidth="1"/>
    <col min="10719" max="10719" width="9.7109375" style="1" customWidth="1"/>
    <col min="10720" max="10720" width="8" style="1" customWidth="1"/>
    <col min="10721" max="10721" width="11.5703125" style="1" customWidth="1"/>
    <col min="10722" max="10722" width="12" style="1" customWidth="1"/>
    <col min="10723" max="10723" width="11" style="1" customWidth="1"/>
    <col min="10724" max="10724" width="8.28515625" style="1" customWidth="1"/>
    <col min="10725" max="10725" width="7.7109375" style="1" customWidth="1"/>
    <col min="10726" max="10726" width="7" style="1" customWidth="1"/>
    <col min="10727" max="10727" width="7.7109375" style="1" customWidth="1"/>
    <col min="10728" max="10728" width="9.28515625" style="1" customWidth="1"/>
    <col min="10729" max="10729" width="9.7109375" style="1" customWidth="1"/>
    <col min="10730" max="10730" width="8" style="1" customWidth="1"/>
    <col min="10731" max="10731" width="11.5703125" style="1" customWidth="1"/>
    <col min="10732" max="10732" width="12" style="1" customWidth="1"/>
    <col min="10733" max="10733" width="11" style="1" customWidth="1"/>
    <col min="10734" max="10734" width="8.28515625" style="1" customWidth="1"/>
    <col min="10735" max="10735" width="7.7109375" style="1" customWidth="1"/>
    <col min="10736" max="10736" width="7" style="1" customWidth="1"/>
    <col min="10737" max="10737" width="7.7109375" style="1" customWidth="1"/>
    <col min="10738" max="10738" width="9.28515625" style="1" customWidth="1"/>
    <col min="10739" max="10739" width="9.7109375" style="1" customWidth="1"/>
    <col min="10740" max="10740" width="8" style="1" customWidth="1"/>
    <col min="10741" max="10741" width="11.5703125" style="1" customWidth="1"/>
    <col min="10742" max="10742" width="12" style="1" customWidth="1"/>
    <col min="10743" max="10743" width="11" style="1" customWidth="1"/>
    <col min="10744" max="10744" width="8.28515625" style="1" customWidth="1"/>
    <col min="10745" max="10745" width="7.7109375" style="1" customWidth="1"/>
    <col min="10746" max="10746" width="7" style="1" customWidth="1"/>
    <col min="10747" max="10747" width="7.7109375" style="1" customWidth="1"/>
    <col min="10748" max="10748" width="9.28515625" style="1" customWidth="1"/>
    <col min="10749" max="10749" width="9.7109375" style="1" customWidth="1"/>
    <col min="10750" max="10750" width="8" style="1" customWidth="1"/>
    <col min="10751" max="10751" width="11.5703125" style="1" customWidth="1"/>
    <col min="10752" max="10752" width="12" style="1" customWidth="1"/>
    <col min="10753" max="10753" width="11" style="1" customWidth="1"/>
    <col min="10754" max="10754" width="8.28515625" style="1" customWidth="1"/>
    <col min="10755" max="10755" width="7.7109375" style="1" customWidth="1"/>
    <col min="10756" max="10756" width="7" style="1" customWidth="1"/>
    <col min="10757" max="10757" width="7.7109375" style="1" customWidth="1"/>
    <col min="10758" max="10758" width="9.28515625" style="1" customWidth="1"/>
    <col min="10759" max="10759" width="9.7109375" style="1" customWidth="1"/>
    <col min="10760" max="10760" width="8" style="1" customWidth="1"/>
    <col min="10761" max="10761" width="11.5703125" style="1" customWidth="1"/>
    <col min="10762" max="10762" width="12" style="1" customWidth="1"/>
    <col min="10763" max="10763" width="11" style="1" customWidth="1"/>
    <col min="10764" max="10764" width="8.28515625" style="1" customWidth="1"/>
    <col min="10765" max="10765" width="7.7109375" style="1" customWidth="1"/>
    <col min="10766" max="10766" width="7.85546875" style="1" customWidth="1"/>
    <col min="10767" max="10767" width="7.7109375" style="1" customWidth="1"/>
    <col min="10768" max="10768" width="9.28515625" style="1" customWidth="1"/>
    <col min="10769" max="10769" width="9.7109375" style="1" customWidth="1"/>
    <col min="10770" max="10770" width="8" style="1" customWidth="1"/>
    <col min="10771" max="10771" width="11.5703125" style="1" customWidth="1"/>
    <col min="10772" max="10772" width="12" style="1" customWidth="1"/>
    <col min="10773" max="10773" width="11" style="1" customWidth="1"/>
    <col min="10774" max="10774" width="8.28515625" style="1" customWidth="1"/>
    <col min="10775" max="10968" width="9.140625" style="1"/>
    <col min="10969" max="10969" width="6.28515625" style="1" customWidth="1"/>
    <col min="10970" max="10970" width="71.85546875" style="1" customWidth="1"/>
    <col min="10971" max="10971" width="7.5703125" style="1" customWidth="1"/>
    <col min="10972" max="10972" width="7" style="1" customWidth="1"/>
    <col min="10973" max="10973" width="7.7109375" style="1" customWidth="1"/>
    <col min="10974" max="10974" width="9.28515625" style="1" customWidth="1"/>
    <col min="10975" max="10975" width="9.7109375" style="1" customWidth="1"/>
    <col min="10976" max="10976" width="8" style="1" customWidth="1"/>
    <col min="10977" max="10977" width="11.5703125" style="1" customWidth="1"/>
    <col min="10978" max="10978" width="12" style="1" customWidth="1"/>
    <col min="10979" max="10979" width="11" style="1" customWidth="1"/>
    <col min="10980" max="10980" width="8.28515625" style="1" customWidth="1"/>
    <col min="10981" max="10981" width="7.7109375" style="1" customWidth="1"/>
    <col min="10982" max="10982" width="7" style="1" customWidth="1"/>
    <col min="10983" max="10983" width="7.7109375" style="1" customWidth="1"/>
    <col min="10984" max="10984" width="9.28515625" style="1" customWidth="1"/>
    <col min="10985" max="10985" width="9.7109375" style="1" customWidth="1"/>
    <col min="10986" max="10986" width="8" style="1" customWidth="1"/>
    <col min="10987" max="10987" width="11.5703125" style="1" customWidth="1"/>
    <col min="10988" max="10988" width="12" style="1" customWidth="1"/>
    <col min="10989" max="10989" width="11" style="1" customWidth="1"/>
    <col min="10990" max="10990" width="8.28515625" style="1" customWidth="1"/>
    <col min="10991" max="10991" width="7.7109375" style="1" customWidth="1"/>
    <col min="10992" max="10992" width="7" style="1" customWidth="1"/>
    <col min="10993" max="10993" width="7.7109375" style="1" customWidth="1"/>
    <col min="10994" max="10994" width="9.28515625" style="1" customWidth="1"/>
    <col min="10995" max="10995" width="9.7109375" style="1" customWidth="1"/>
    <col min="10996" max="10996" width="8" style="1" customWidth="1"/>
    <col min="10997" max="10997" width="11.5703125" style="1" customWidth="1"/>
    <col min="10998" max="10998" width="12" style="1" customWidth="1"/>
    <col min="10999" max="10999" width="11" style="1" customWidth="1"/>
    <col min="11000" max="11000" width="8.28515625" style="1" customWidth="1"/>
    <col min="11001" max="11001" width="7.7109375" style="1" customWidth="1"/>
    <col min="11002" max="11002" width="7" style="1" customWidth="1"/>
    <col min="11003" max="11003" width="7.7109375" style="1" customWidth="1"/>
    <col min="11004" max="11004" width="9.28515625" style="1" customWidth="1"/>
    <col min="11005" max="11005" width="9.7109375" style="1" customWidth="1"/>
    <col min="11006" max="11006" width="8" style="1" customWidth="1"/>
    <col min="11007" max="11007" width="11.5703125" style="1" customWidth="1"/>
    <col min="11008" max="11008" width="12" style="1" customWidth="1"/>
    <col min="11009" max="11009" width="11" style="1" customWidth="1"/>
    <col min="11010" max="11010" width="8.28515625" style="1" customWidth="1"/>
    <col min="11011" max="11011" width="7.7109375" style="1" customWidth="1"/>
    <col min="11012" max="11012" width="7" style="1" customWidth="1"/>
    <col min="11013" max="11013" width="7.7109375" style="1" customWidth="1"/>
    <col min="11014" max="11014" width="9.28515625" style="1" customWidth="1"/>
    <col min="11015" max="11015" width="9.7109375" style="1" customWidth="1"/>
    <col min="11016" max="11016" width="8" style="1" customWidth="1"/>
    <col min="11017" max="11017" width="11.5703125" style="1" customWidth="1"/>
    <col min="11018" max="11018" width="12" style="1" customWidth="1"/>
    <col min="11019" max="11019" width="11" style="1" customWidth="1"/>
    <col min="11020" max="11020" width="8.28515625" style="1" customWidth="1"/>
    <col min="11021" max="11021" width="7.7109375" style="1" customWidth="1"/>
    <col min="11022" max="11022" width="7.85546875" style="1" customWidth="1"/>
    <col min="11023" max="11023" width="7.7109375" style="1" customWidth="1"/>
    <col min="11024" max="11024" width="9.28515625" style="1" customWidth="1"/>
    <col min="11025" max="11025" width="9.7109375" style="1" customWidth="1"/>
    <col min="11026" max="11026" width="8" style="1" customWidth="1"/>
    <col min="11027" max="11027" width="11.5703125" style="1" customWidth="1"/>
    <col min="11028" max="11028" width="12" style="1" customWidth="1"/>
    <col min="11029" max="11029" width="11" style="1" customWidth="1"/>
    <col min="11030" max="11030" width="8.28515625" style="1" customWidth="1"/>
    <col min="11031" max="11224" width="9.140625" style="1"/>
    <col min="11225" max="11225" width="6.28515625" style="1" customWidth="1"/>
    <col min="11226" max="11226" width="71.85546875" style="1" customWidth="1"/>
    <col min="11227" max="11227" width="7.5703125" style="1" customWidth="1"/>
    <col min="11228" max="11228" width="7" style="1" customWidth="1"/>
    <col min="11229" max="11229" width="7.7109375" style="1" customWidth="1"/>
    <col min="11230" max="11230" width="9.28515625" style="1" customWidth="1"/>
    <col min="11231" max="11231" width="9.7109375" style="1" customWidth="1"/>
    <col min="11232" max="11232" width="8" style="1" customWidth="1"/>
    <col min="11233" max="11233" width="11.5703125" style="1" customWidth="1"/>
    <col min="11234" max="11234" width="12" style="1" customWidth="1"/>
    <col min="11235" max="11235" width="11" style="1" customWidth="1"/>
    <col min="11236" max="11236" width="8.28515625" style="1" customWidth="1"/>
    <col min="11237" max="11237" width="7.7109375" style="1" customWidth="1"/>
    <col min="11238" max="11238" width="7" style="1" customWidth="1"/>
    <col min="11239" max="11239" width="7.7109375" style="1" customWidth="1"/>
    <col min="11240" max="11240" width="9.28515625" style="1" customWidth="1"/>
    <col min="11241" max="11241" width="9.7109375" style="1" customWidth="1"/>
    <col min="11242" max="11242" width="8" style="1" customWidth="1"/>
    <col min="11243" max="11243" width="11.5703125" style="1" customWidth="1"/>
    <col min="11244" max="11244" width="12" style="1" customWidth="1"/>
    <col min="11245" max="11245" width="11" style="1" customWidth="1"/>
    <col min="11246" max="11246" width="8.28515625" style="1" customWidth="1"/>
    <col min="11247" max="11247" width="7.7109375" style="1" customWidth="1"/>
    <col min="11248" max="11248" width="7" style="1" customWidth="1"/>
    <col min="11249" max="11249" width="7.7109375" style="1" customWidth="1"/>
    <col min="11250" max="11250" width="9.28515625" style="1" customWidth="1"/>
    <col min="11251" max="11251" width="9.7109375" style="1" customWidth="1"/>
    <col min="11252" max="11252" width="8" style="1" customWidth="1"/>
    <col min="11253" max="11253" width="11.5703125" style="1" customWidth="1"/>
    <col min="11254" max="11254" width="12" style="1" customWidth="1"/>
    <col min="11255" max="11255" width="11" style="1" customWidth="1"/>
    <col min="11256" max="11256" width="8.28515625" style="1" customWidth="1"/>
    <col min="11257" max="11257" width="7.7109375" style="1" customWidth="1"/>
    <col min="11258" max="11258" width="7" style="1" customWidth="1"/>
    <col min="11259" max="11259" width="7.7109375" style="1" customWidth="1"/>
    <col min="11260" max="11260" width="9.28515625" style="1" customWidth="1"/>
    <col min="11261" max="11261" width="9.7109375" style="1" customWidth="1"/>
    <col min="11262" max="11262" width="8" style="1" customWidth="1"/>
    <col min="11263" max="11263" width="11.5703125" style="1" customWidth="1"/>
    <col min="11264" max="11264" width="12" style="1" customWidth="1"/>
    <col min="11265" max="11265" width="11" style="1" customWidth="1"/>
    <col min="11266" max="11266" width="8.28515625" style="1" customWidth="1"/>
    <col min="11267" max="11267" width="7.7109375" style="1" customWidth="1"/>
    <col min="11268" max="11268" width="7" style="1" customWidth="1"/>
    <col min="11269" max="11269" width="7.7109375" style="1" customWidth="1"/>
    <col min="11270" max="11270" width="9.28515625" style="1" customWidth="1"/>
    <col min="11271" max="11271" width="9.7109375" style="1" customWidth="1"/>
    <col min="11272" max="11272" width="8" style="1" customWidth="1"/>
    <col min="11273" max="11273" width="11.5703125" style="1" customWidth="1"/>
    <col min="11274" max="11274" width="12" style="1" customWidth="1"/>
    <col min="11275" max="11275" width="11" style="1" customWidth="1"/>
    <col min="11276" max="11276" width="8.28515625" style="1" customWidth="1"/>
    <col min="11277" max="11277" width="7.7109375" style="1" customWidth="1"/>
    <col min="11278" max="11278" width="7.85546875" style="1" customWidth="1"/>
    <col min="11279" max="11279" width="7.7109375" style="1" customWidth="1"/>
    <col min="11280" max="11280" width="9.28515625" style="1" customWidth="1"/>
    <col min="11281" max="11281" width="9.7109375" style="1" customWidth="1"/>
    <col min="11282" max="11282" width="8" style="1" customWidth="1"/>
    <col min="11283" max="11283" width="11.5703125" style="1" customWidth="1"/>
    <col min="11284" max="11284" width="12" style="1" customWidth="1"/>
    <col min="11285" max="11285" width="11" style="1" customWidth="1"/>
    <col min="11286" max="11286" width="8.28515625" style="1" customWidth="1"/>
    <col min="11287" max="11480" width="9.140625" style="1"/>
    <col min="11481" max="11481" width="6.28515625" style="1" customWidth="1"/>
    <col min="11482" max="11482" width="71.85546875" style="1" customWidth="1"/>
    <col min="11483" max="11483" width="7.5703125" style="1" customWidth="1"/>
    <col min="11484" max="11484" width="7" style="1" customWidth="1"/>
    <col min="11485" max="11485" width="7.7109375" style="1" customWidth="1"/>
    <col min="11486" max="11486" width="9.28515625" style="1" customWidth="1"/>
    <col min="11487" max="11487" width="9.7109375" style="1" customWidth="1"/>
    <col min="11488" max="11488" width="8" style="1" customWidth="1"/>
    <col min="11489" max="11489" width="11.5703125" style="1" customWidth="1"/>
    <col min="11490" max="11490" width="12" style="1" customWidth="1"/>
    <col min="11491" max="11491" width="11" style="1" customWidth="1"/>
    <col min="11492" max="11492" width="8.28515625" style="1" customWidth="1"/>
    <col min="11493" max="11493" width="7.7109375" style="1" customWidth="1"/>
    <col min="11494" max="11494" width="7" style="1" customWidth="1"/>
    <col min="11495" max="11495" width="7.7109375" style="1" customWidth="1"/>
    <col min="11496" max="11496" width="9.28515625" style="1" customWidth="1"/>
    <col min="11497" max="11497" width="9.7109375" style="1" customWidth="1"/>
    <col min="11498" max="11498" width="8" style="1" customWidth="1"/>
    <col min="11499" max="11499" width="11.5703125" style="1" customWidth="1"/>
    <col min="11500" max="11500" width="12" style="1" customWidth="1"/>
    <col min="11501" max="11501" width="11" style="1" customWidth="1"/>
    <col min="11502" max="11502" width="8.28515625" style="1" customWidth="1"/>
    <col min="11503" max="11503" width="7.7109375" style="1" customWidth="1"/>
    <col min="11504" max="11504" width="7" style="1" customWidth="1"/>
    <col min="11505" max="11505" width="7.7109375" style="1" customWidth="1"/>
    <col min="11506" max="11506" width="9.28515625" style="1" customWidth="1"/>
    <col min="11507" max="11507" width="9.7109375" style="1" customWidth="1"/>
    <col min="11508" max="11508" width="8" style="1" customWidth="1"/>
    <col min="11509" max="11509" width="11.5703125" style="1" customWidth="1"/>
    <col min="11510" max="11510" width="12" style="1" customWidth="1"/>
    <col min="11511" max="11511" width="11" style="1" customWidth="1"/>
    <col min="11512" max="11512" width="8.28515625" style="1" customWidth="1"/>
    <col min="11513" max="11513" width="7.7109375" style="1" customWidth="1"/>
    <col min="11514" max="11514" width="7" style="1" customWidth="1"/>
    <col min="11515" max="11515" width="7.7109375" style="1" customWidth="1"/>
    <col min="11516" max="11516" width="9.28515625" style="1" customWidth="1"/>
    <col min="11517" max="11517" width="9.7109375" style="1" customWidth="1"/>
    <col min="11518" max="11518" width="8" style="1" customWidth="1"/>
    <col min="11519" max="11519" width="11.5703125" style="1" customWidth="1"/>
    <col min="11520" max="11520" width="12" style="1" customWidth="1"/>
    <col min="11521" max="11521" width="11" style="1" customWidth="1"/>
    <col min="11522" max="11522" width="8.28515625" style="1" customWidth="1"/>
    <col min="11523" max="11523" width="7.7109375" style="1" customWidth="1"/>
    <col min="11524" max="11524" width="7" style="1" customWidth="1"/>
    <col min="11525" max="11525" width="7.7109375" style="1" customWidth="1"/>
    <col min="11526" max="11526" width="9.28515625" style="1" customWidth="1"/>
    <col min="11527" max="11527" width="9.7109375" style="1" customWidth="1"/>
    <col min="11528" max="11528" width="8" style="1" customWidth="1"/>
    <col min="11529" max="11529" width="11.5703125" style="1" customWidth="1"/>
    <col min="11530" max="11530" width="12" style="1" customWidth="1"/>
    <col min="11531" max="11531" width="11" style="1" customWidth="1"/>
    <col min="11532" max="11532" width="8.28515625" style="1" customWidth="1"/>
    <col min="11533" max="11533" width="7.7109375" style="1" customWidth="1"/>
    <col min="11534" max="11534" width="7.85546875" style="1" customWidth="1"/>
    <col min="11535" max="11535" width="7.7109375" style="1" customWidth="1"/>
    <col min="11536" max="11536" width="9.28515625" style="1" customWidth="1"/>
    <col min="11537" max="11537" width="9.7109375" style="1" customWidth="1"/>
    <col min="11538" max="11538" width="8" style="1" customWidth="1"/>
    <col min="11539" max="11539" width="11.5703125" style="1" customWidth="1"/>
    <col min="11540" max="11540" width="12" style="1" customWidth="1"/>
    <col min="11541" max="11541" width="11" style="1" customWidth="1"/>
    <col min="11542" max="11542" width="8.28515625" style="1" customWidth="1"/>
    <col min="11543" max="11736" width="9.140625" style="1"/>
    <col min="11737" max="11737" width="6.28515625" style="1" customWidth="1"/>
    <col min="11738" max="11738" width="71.85546875" style="1" customWidth="1"/>
    <col min="11739" max="11739" width="7.5703125" style="1" customWidth="1"/>
    <col min="11740" max="11740" width="7" style="1" customWidth="1"/>
    <col min="11741" max="11741" width="7.7109375" style="1" customWidth="1"/>
    <col min="11742" max="11742" width="9.28515625" style="1" customWidth="1"/>
    <col min="11743" max="11743" width="9.7109375" style="1" customWidth="1"/>
    <col min="11744" max="11744" width="8" style="1" customWidth="1"/>
    <col min="11745" max="11745" width="11.5703125" style="1" customWidth="1"/>
    <col min="11746" max="11746" width="12" style="1" customWidth="1"/>
    <col min="11747" max="11747" width="11" style="1" customWidth="1"/>
    <col min="11748" max="11748" width="8.28515625" style="1" customWidth="1"/>
    <col min="11749" max="11749" width="7.7109375" style="1" customWidth="1"/>
    <col min="11750" max="11750" width="7" style="1" customWidth="1"/>
    <col min="11751" max="11751" width="7.7109375" style="1" customWidth="1"/>
    <col min="11752" max="11752" width="9.28515625" style="1" customWidth="1"/>
    <col min="11753" max="11753" width="9.7109375" style="1" customWidth="1"/>
    <col min="11754" max="11754" width="8" style="1" customWidth="1"/>
    <col min="11755" max="11755" width="11.5703125" style="1" customWidth="1"/>
    <col min="11756" max="11756" width="12" style="1" customWidth="1"/>
    <col min="11757" max="11757" width="11" style="1" customWidth="1"/>
    <col min="11758" max="11758" width="8.28515625" style="1" customWidth="1"/>
    <col min="11759" max="11759" width="7.7109375" style="1" customWidth="1"/>
    <col min="11760" max="11760" width="7" style="1" customWidth="1"/>
    <col min="11761" max="11761" width="7.7109375" style="1" customWidth="1"/>
    <col min="11762" max="11762" width="9.28515625" style="1" customWidth="1"/>
    <col min="11763" max="11763" width="9.7109375" style="1" customWidth="1"/>
    <col min="11764" max="11764" width="8" style="1" customWidth="1"/>
    <col min="11765" max="11765" width="11.5703125" style="1" customWidth="1"/>
    <col min="11766" max="11766" width="12" style="1" customWidth="1"/>
    <col min="11767" max="11767" width="11" style="1" customWidth="1"/>
    <col min="11768" max="11768" width="8.28515625" style="1" customWidth="1"/>
    <col min="11769" max="11769" width="7.7109375" style="1" customWidth="1"/>
    <col min="11770" max="11770" width="7" style="1" customWidth="1"/>
    <col min="11771" max="11771" width="7.7109375" style="1" customWidth="1"/>
    <col min="11772" max="11772" width="9.28515625" style="1" customWidth="1"/>
    <col min="11773" max="11773" width="9.7109375" style="1" customWidth="1"/>
    <col min="11774" max="11774" width="8" style="1" customWidth="1"/>
    <col min="11775" max="11775" width="11.5703125" style="1" customWidth="1"/>
    <col min="11776" max="11776" width="12" style="1" customWidth="1"/>
    <col min="11777" max="11777" width="11" style="1" customWidth="1"/>
    <col min="11778" max="11778" width="8.28515625" style="1" customWidth="1"/>
    <col min="11779" max="11779" width="7.7109375" style="1" customWidth="1"/>
    <col min="11780" max="11780" width="7" style="1" customWidth="1"/>
    <col min="11781" max="11781" width="7.7109375" style="1" customWidth="1"/>
    <col min="11782" max="11782" width="9.28515625" style="1" customWidth="1"/>
    <col min="11783" max="11783" width="9.7109375" style="1" customWidth="1"/>
    <col min="11784" max="11784" width="8" style="1" customWidth="1"/>
    <col min="11785" max="11785" width="11.5703125" style="1" customWidth="1"/>
    <col min="11786" max="11786" width="12" style="1" customWidth="1"/>
    <col min="11787" max="11787" width="11" style="1" customWidth="1"/>
    <col min="11788" max="11788" width="8.28515625" style="1" customWidth="1"/>
    <col min="11789" max="11789" width="7.7109375" style="1" customWidth="1"/>
    <col min="11790" max="11790" width="7.85546875" style="1" customWidth="1"/>
    <col min="11791" max="11791" width="7.7109375" style="1" customWidth="1"/>
    <col min="11792" max="11792" width="9.28515625" style="1" customWidth="1"/>
    <col min="11793" max="11793" width="9.7109375" style="1" customWidth="1"/>
    <col min="11794" max="11794" width="8" style="1" customWidth="1"/>
    <col min="11795" max="11795" width="11.5703125" style="1" customWidth="1"/>
    <col min="11796" max="11796" width="12" style="1" customWidth="1"/>
    <col min="11797" max="11797" width="11" style="1" customWidth="1"/>
    <col min="11798" max="11798" width="8.28515625" style="1" customWidth="1"/>
    <col min="11799" max="11992" width="9.140625" style="1"/>
    <col min="11993" max="11993" width="6.28515625" style="1" customWidth="1"/>
    <col min="11994" max="11994" width="71.85546875" style="1" customWidth="1"/>
    <col min="11995" max="11995" width="7.5703125" style="1" customWidth="1"/>
    <col min="11996" max="11996" width="7" style="1" customWidth="1"/>
    <col min="11997" max="11997" width="7.7109375" style="1" customWidth="1"/>
    <col min="11998" max="11998" width="9.28515625" style="1" customWidth="1"/>
    <col min="11999" max="11999" width="9.7109375" style="1" customWidth="1"/>
    <col min="12000" max="12000" width="8" style="1" customWidth="1"/>
    <col min="12001" max="12001" width="11.5703125" style="1" customWidth="1"/>
    <col min="12002" max="12002" width="12" style="1" customWidth="1"/>
    <col min="12003" max="12003" width="11" style="1" customWidth="1"/>
    <col min="12004" max="12004" width="8.28515625" style="1" customWidth="1"/>
    <col min="12005" max="12005" width="7.7109375" style="1" customWidth="1"/>
    <col min="12006" max="12006" width="7" style="1" customWidth="1"/>
    <col min="12007" max="12007" width="7.7109375" style="1" customWidth="1"/>
    <col min="12008" max="12008" width="9.28515625" style="1" customWidth="1"/>
    <col min="12009" max="12009" width="9.7109375" style="1" customWidth="1"/>
    <col min="12010" max="12010" width="8" style="1" customWidth="1"/>
    <col min="12011" max="12011" width="11.5703125" style="1" customWidth="1"/>
    <col min="12012" max="12012" width="12" style="1" customWidth="1"/>
    <col min="12013" max="12013" width="11" style="1" customWidth="1"/>
    <col min="12014" max="12014" width="8.28515625" style="1" customWidth="1"/>
    <col min="12015" max="12015" width="7.7109375" style="1" customWidth="1"/>
    <col min="12016" max="12016" width="7" style="1" customWidth="1"/>
    <col min="12017" max="12017" width="7.7109375" style="1" customWidth="1"/>
    <col min="12018" max="12018" width="9.28515625" style="1" customWidth="1"/>
    <col min="12019" max="12019" width="9.7109375" style="1" customWidth="1"/>
    <col min="12020" max="12020" width="8" style="1" customWidth="1"/>
    <col min="12021" max="12021" width="11.5703125" style="1" customWidth="1"/>
    <col min="12022" max="12022" width="12" style="1" customWidth="1"/>
    <col min="12023" max="12023" width="11" style="1" customWidth="1"/>
    <col min="12024" max="12024" width="8.28515625" style="1" customWidth="1"/>
    <col min="12025" max="12025" width="7.7109375" style="1" customWidth="1"/>
    <col min="12026" max="12026" width="7" style="1" customWidth="1"/>
    <col min="12027" max="12027" width="7.7109375" style="1" customWidth="1"/>
    <col min="12028" max="12028" width="9.28515625" style="1" customWidth="1"/>
    <col min="12029" max="12029" width="9.7109375" style="1" customWidth="1"/>
    <col min="12030" max="12030" width="8" style="1" customWidth="1"/>
    <col min="12031" max="12031" width="11.5703125" style="1" customWidth="1"/>
    <col min="12032" max="12032" width="12" style="1" customWidth="1"/>
    <col min="12033" max="12033" width="11" style="1" customWidth="1"/>
    <col min="12034" max="12034" width="8.28515625" style="1" customWidth="1"/>
    <col min="12035" max="12035" width="7.7109375" style="1" customWidth="1"/>
    <col min="12036" max="12036" width="7" style="1" customWidth="1"/>
    <col min="12037" max="12037" width="7.7109375" style="1" customWidth="1"/>
    <col min="12038" max="12038" width="9.28515625" style="1" customWidth="1"/>
    <col min="12039" max="12039" width="9.7109375" style="1" customWidth="1"/>
    <col min="12040" max="12040" width="8" style="1" customWidth="1"/>
    <col min="12041" max="12041" width="11.5703125" style="1" customWidth="1"/>
    <col min="12042" max="12042" width="12" style="1" customWidth="1"/>
    <col min="12043" max="12043" width="11" style="1" customWidth="1"/>
    <col min="12044" max="12044" width="8.28515625" style="1" customWidth="1"/>
    <col min="12045" max="12045" width="7.7109375" style="1" customWidth="1"/>
    <col min="12046" max="12046" width="7.85546875" style="1" customWidth="1"/>
    <col min="12047" max="12047" width="7.7109375" style="1" customWidth="1"/>
    <col min="12048" max="12048" width="9.28515625" style="1" customWidth="1"/>
    <col min="12049" max="12049" width="9.7109375" style="1" customWidth="1"/>
    <col min="12050" max="12050" width="8" style="1" customWidth="1"/>
    <col min="12051" max="12051" width="11.5703125" style="1" customWidth="1"/>
    <col min="12052" max="12052" width="12" style="1" customWidth="1"/>
    <col min="12053" max="12053" width="11" style="1" customWidth="1"/>
    <col min="12054" max="12054" width="8.28515625" style="1" customWidth="1"/>
    <col min="12055" max="12248" width="9.140625" style="1"/>
    <col min="12249" max="12249" width="6.28515625" style="1" customWidth="1"/>
    <col min="12250" max="12250" width="71.85546875" style="1" customWidth="1"/>
    <col min="12251" max="12251" width="7.5703125" style="1" customWidth="1"/>
    <col min="12252" max="12252" width="7" style="1" customWidth="1"/>
    <col min="12253" max="12253" width="7.7109375" style="1" customWidth="1"/>
    <col min="12254" max="12254" width="9.28515625" style="1" customWidth="1"/>
    <col min="12255" max="12255" width="9.7109375" style="1" customWidth="1"/>
    <col min="12256" max="12256" width="8" style="1" customWidth="1"/>
    <col min="12257" max="12257" width="11.5703125" style="1" customWidth="1"/>
    <col min="12258" max="12258" width="12" style="1" customWidth="1"/>
    <col min="12259" max="12259" width="11" style="1" customWidth="1"/>
    <col min="12260" max="12260" width="8.28515625" style="1" customWidth="1"/>
    <col min="12261" max="12261" width="7.7109375" style="1" customWidth="1"/>
    <col min="12262" max="12262" width="7" style="1" customWidth="1"/>
    <col min="12263" max="12263" width="7.7109375" style="1" customWidth="1"/>
    <col min="12264" max="12264" width="9.28515625" style="1" customWidth="1"/>
    <col min="12265" max="12265" width="9.7109375" style="1" customWidth="1"/>
    <col min="12266" max="12266" width="8" style="1" customWidth="1"/>
    <col min="12267" max="12267" width="11.5703125" style="1" customWidth="1"/>
    <col min="12268" max="12268" width="12" style="1" customWidth="1"/>
    <col min="12269" max="12269" width="11" style="1" customWidth="1"/>
    <col min="12270" max="12270" width="8.28515625" style="1" customWidth="1"/>
    <col min="12271" max="12271" width="7.7109375" style="1" customWidth="1"/>
    <col min="12272" max="12272" width="7" style="1" customWidth="1"/>
    <col min="12273" max="12273" width="7.7109375" style="1" customWidth="1"/>
    <col min="12274" max="12274" width="9.28515625" style="1" customWidth="1"/>
    <col min="12275" max="12275" width="9.7109375" style="1" customWidth="1"/>
    <col min="12276" max="12276" width="8" style="1" customWidth="1"/>
    <col min="12277" max="12277" width="11.5703125" style="1" customWidth="1"/>
    <col min="12278" max="12278" width="12" style="1" customWidth="1"/>
    <col min="12279" max="12279" width="11" style="1" customWidth="1"/>
    <col min="12280" max="12280" width="8.28515625" style="1" customWidth="1"/>
    <col min="12281" max="12281" width="7.7109375" style="1" customWidth="1"/>
    <col min="12282" max="12282" width="7" style="1" customWidth="1"/>
    <col min="12283" max="12283" width="7.7109375" style="1" customWidth="1"/>
    <col min="12284" max="12284" width="9.28515625" style="1" customWidth="1"/>
    <col min="12285" max="12285" width="9.7109375" style="1" customWidth="1"/>
    <col min="12286" max="12286" width="8" style="1" customWidth="1"/>
    <col min="12287" max="12287" width="11.5703125" style="1" customWidth="1"/>
    <col min="12288" max="12288" width="12" style="1" customWidth="1"/>
    <col min="12289" max="12289" width="11" style="1" customWidth="1"/>
    <col min="12290" max="12290" width="8.28515625" style="1" customWidth="1"/>
    <col min="12291" max="12291" width="7.7109375" style="1" customWidth="1"/>
    <col min="12292" max="12292" width="7" style="1" customWidth="1"/>
    <col min="12293" max="12293" width="7.7109375" style="1" customWidth="1"/>
    <col min="12294" max="12294" width="9.28515625" style="1" customWidth="1"/>
    <col min="12295" max="12295" width="9.7109375" style="1" customWidth="1"/>
    <col min="12296" max="12296" width="8" style="1" customWidth="1"/>
    <col min="12297" max="12297" width="11.5703125" style="1" customWidth="1"/>
    <col min="12298" max="12298" width="12" style="1" customWidth="1"/>
    <col min="12299" max="12299" width="11" style="1" customWidth="1"/>
    <col min="12300" max="12300" width="8.28515625" style="1" customWidth="1"/>
    <col min="12301" max="12301" width="7.7109375" style="1" customWidth="1"/>
    <col min="12302" max="12302" width="7.85546875" style="1" customWidth="1"/>
    <col min="12303" max="12303" width="7.7109375" style="1" customWidth="1"/>
    <col min="12304" max="12304" width="9.28515625" style="1" customWidth="1"/>
    <col min="12305" max="12305" width="9.7109375" style="1" customWidth="1"/>
    <col min="12306" max="12306" width="8" style="1" customWidth="1"/>
    <col min="12307" max="12307" width="11.5703125" style="1" customWidth="1"/>
    <col min="12308" max="12308" width="12" style="1" customWidth="1"/>
    <col min="12309" max="12309" width="11" style="1" customWidth="1"/>
    <col min="12310" max="12310" width="8.28515625" style="1" customWidth="1"/>
    <col min="12311" max="12504" width="9.140625" style="1"/>
    <col min="12505" max="12505" width="6.28515625" style="1" customWidth="1"/>
    <col min="12506" max="12506" width="71.85546875" style="1" customWidth="1"/>
    <col min="12507" max="12507" width="7.5703125" style="1" customWidth="1"/>
    <col min="12508" max="12508" width="7" style="1" customWidth="1"/>
    <col min="12509" max="12509" width="7.7109375" style="1" customWidth="1"/>
    <col min="12510" max="12510" width="9.28515625" style="1" customWidth="1"/>
    <col min="12511" max="12511" width="9.7109375" style="1" customWidth="1"/>
    <col min="12512" max="12512" width="8" style="1" customWidth="1"/>
    <col min="12513" max="12513" width="11.5703125" style="1" customWidth="1"/>
    <col min="12514" max="12514" width="12" style="1" customWidth="1"/>
    <col min="12515" max="12515" width="11" style="1" customWidth="1"/>
    <col min="12516" max="12516" width="8.28515625" style="1" customWidth="1"/>
    <col min="12517" max="12517" width="7.7109375" style="1" customWidth="1"/>
    <col min="12518" max="12518" width="7" style="1" customWidth="1"/>
    <col min="12519" max="12519" width="7.7109375" style="1" customWidth="1"/>
    <col min="12520" max="12520" width="9.28515625" style="1" customWidth="1"/>
    <col min="12521" max="12521" width="9.7109375" style="1" customWidth="1"/>
    <col min="12522" max="12522" width="8" style="1" customWidth="1"/>
    <col min="12523" max="12523" width="11.5703125" style="1" customWidth="1"/>
    <col min="12524" max="12524" width="12" style="1" customWidth="1"/>
    <col min="12525" max="12525" width="11" style="1" customWidth="1"/>
    <col min="12526" max="12526" width="8.28515625" style="1" customWidth="1"/>
    <col min="12527" max="12527" width="7.7109375" style="1" customWidth="1"/>
    <col min="12528" max="12528" width="7" style="1" customWidth="1"/>
    <col min="12529" max="12529" width="7.7109375" style="1" customWidth="1"/>
    <col min="12530" max="12530" width="9.28515625" style="1" customWidth="1"/>
    <col min="12531" max="12531" width="9.7109375" style="1" customWidth="1"/>
    <col min="12532" max="12532" width="8" style="1" customWidth="1"/>
    <col min="12533" max="12533" width="11.5703125" style="1" customWidth="1"/>
    <col min="12534" max="12534" width="12" style="1" customWidth="1"/>
    <col min="12535" max="12535" width="11" style="1" customWidth="1"/>
    <col min="12536" max="12536" width="8.28515625" style="1" customWidth="1"/>
    <col min="12537" max="12537" width="7.7109375" style="1" customWidth="1"/>
    <col min="12538" max="12538" width="7" style="1" customWidth="1"/>
    <col min="12539" max="12539" width="7.7109375" style="1" customWidth="1"/>
    <col min="12540" max="12540" width="9.28515625" style="1" customWidth="1"/>
    <col min="12541" max="12541" width="9.7109375" style="1" customWidth="1"/>
    <col min="12542" max="12542" width="8" style="1" customWidth="1"/>
    <col min="12543" max="12543" width="11.5703125" style="1" customWidth="1"/>
    <col min="12544" max="12544" width="12" style="1" customWidth="1"/>
    <col min="12545" max="12545" width="11" style="1" customWidth="1"/>
    <col min="12546" max="12546" width="8.28515625" style="1" customWidth="1"/>
    <col min="12547" max="12547" width="7.7109375" style="1" customWidth="1"/>
    <col min="12548" max="12548" width="7" style="1" customWidth="1"/>
    <col min="12549" max="12549" width="7.7109375" style="1" customWidth="1"/>
    <col min="12550" max="12550" width="9.28515625" style="1" customWidth="1"/>
    <col min="12551" max="12551" width="9.7109375" style="1" customWidth="1"/>
    <col min="12552" max="12552" width="8" style="1" customWidth="1"/>
    <col min="12553" max="12553" width="11.5703125" style="1" customWidth="1"/>
    <col min="12554" max="12554" width="12" style="1" customWidth="1"/>
    <col min="12555" max="12555" width="11" style="1" customWidth="1"/>
    <col min="12556" max="12556" width="8.28515625" style="1" customWidth="1"/>
    <col min="12557" max="12557" width="7.7109375" style="1" customWidth="1"/>
    <col min="12558" max="12558" width="7.85546875" style="1" customWidth="1"/>
    <col min="12559" max="12559" width="7.7109375" style="1" customWidth="1"/>
    <col min="12560" max="12560" width="9.28515625" style="1" customWidth="1"/>
    <col min="12561" max="12561" width="9.7109375" style="1" customWidth="1"/>
    <col min="12562" max="12562" width="8" style="1" customWidth="1"/>
    <col min="12563" max="12563" width="11.5703125" style="1" customWidth="1"/>
    <col min="12564" max="12564" width="12" style="1" customWidth="1"/>
    <col min="12565" max="12565" width="11" style="1" customWidth="1"/>
    <col min="12566" max="12566" width="8.28515625" style="1" customWidth="1"/>
    <col min="12567" max="12760" width="9.140625" style="1"/>
    <col min="12761" max="12761" width="6.28515625" style="1" customWidth="1"/>
    <col min="12762" max="12762" width="71.85546875" style="1" customWidth="1"/>
    <col min="12763" max="12763" width="7.5703125" style="1" customWidth="1"/>
    <col min="12764" max="12764" width="7" style="1" customWidth="1"/>
    <col min="12765" max="12765" width="7.7109375" style="1" customWidth="1"/>
    <col min="12766" max="12766" width="9.28515625" style="1" customWidth="1"/>
    <col min="12767" max="12767" width="9.7109375" style="1" customWidth="1"/>
    <col min="12768" max="12768" width="8" style="1" customWidth="1"/>
    <col min="12769" max="12769" width="11.5703125" style="1" customWidth="1"/>
    <col min="12770" max="12770" width="12" style="1" customWidth="1"/>
    <col min="12771" max="12771" width="11" style="1" customWidth="1"/>
    <col min="12772" max="12772" width="8.28515625" style="1" customWidth="1"/>
    <col min="12773" max="12773" width="7.7109375" style="1" customWidth="1"/>
    <col min="12774" max="12774" width="7" style="1" customWidth="1"/>
    <col min="12775" max="12775" width="7.7109375" style="1" customWidth="1"/>
    <col min="12776" max="12776" width="9.28515625" style="1" customWidth="1"/>
    <col min="12777" max="12777" width="9.7109375" style="1" customWidth="1"/>
    <col min="12778" max="12778" width="8" style="1" customWidth="1"/>
    <col min="12779" max="12779" width="11.5703125" style="1" customWidth="1"/>
    <col min="12780" max="12780" width="12" style="1" customWidth="1"/>
    <col min="12781" max="12781" width="11" style="1" customWidth="1"/>
    <col min="12782" max="12782" width="8.28515625" style="1" customWidth="1"/>
    <col min="12783" max="12783" width="7.7109375" style="1" customWidth="1"/>
    <col min="12784" max="12784" width="7" style="1" customWidth="1"/>
    <col min="12785" max="12785" width="7.7109375" style="1" customWidth="1"/>
    <col min="12786" max="12786" width="9.28515625" style="1" customWidth="1"/>
    <col min="12787" max="12787" width="9.7109375" style="1" customWidth="1"/>
    <col min="12788" max="12788" width="8" style="1" customWidth="1"/>
    <col min="12789" max="12789" width="11.5703125" style="1" customWidth="1"/>
    <col min="12790" max="12790" width="12" style="1" customWidth="1"/>
    <col min="12791" max="12791" width="11" style="1" customWidth="1"/>
    <col min="12792" max="12792" width="8.28515625" style="1" customWidth="1"/>
    <col min="12793" max="12793" width="7.7109375" style="1" customWidth="1"/>
    <col min="12794" max="12794" width="7" style="1" customWidth="1"/>
    <col min="12795" max="12795" width="7.7109375" style="1" customWidth="1"/>
    <col min="12796" max="12796" width="9.28515625" style="1" customWidth="1"/>
    <col min="12797" max="12797" width="9.7109375" style="1" customWidth="1"/>
    <col min="12798" max="12798" width="8" style="1" customWidth="1"/>
    <col min="12799" max="12799" width="11.5703125" style="1" customWidth="1"/>
    <col min="12800" max="12800" width="12" style="1" customWidth="1"/>
    <col min="12801" max="12801" width="11" style="1" customWidth="1"/>
    <col min="12802" max="12802" width="8.28515625" style="1" customWidth="1"/>
    <col min="12803" max="12803" width="7.7109375" style="1" customWidth="1"/>
    <col min="12804" max="12804" width="7" style="1" customWidth="1"/>
    <col min="12805" max="12805" width="7.7109375" style="1" customWidth="1"/>
    <col min="12806" max="12806" width="9.28515625" style="1" customWidth="1"/>
    <col min="12807" max="12807" width="9.7109375" style="1" customWidth="1"/>
    <col min="12808" max="12808" width="8" style="1" customWidth="1"/>
    <col min="12809" max="12809" width="11.5703125" style="1" customWidth="1"/>
    <col min="12810" max="12810" width="12" style="1" customWidth="1"/>
    <col min="12811" max="12811" width="11" style="1" customWidth="1"/>
    <col min="12812" max="12812" width="8.28515625" style="1" customWidth="1"/>
    <col min="12813" max="12813" width="7.7109375" style="1" customWidth="1"/>
    <col min="12814" max="12814" width="7.85546875" style="1" customWidth="1"/>
    <col min="12815" max="12815" width="7.7109375" style="1" customWidth="1"/>
    <col min="12816" max="12816" width="9.28515625" style="1" customWidth="1"/>
    <col min="12817" max="12817" width="9.7109375" style="1" customWidth="1"/>
    <col min="12818" max="12818" width="8" style="1" customWidth="1"/>
    <col min="12819" max="12819" width="11.5703125" style="1" customWidth="1"/>
    <col min="12820" max="12820" width="12" style="1" customWidth="1"/>
    <col min="12821" max="12821" width="11" style="1" customWidth="1"/>
    <col min="12822" max="12822" width="8.28515625" style="1" customWidth="1"/>
    <col min="12823" max="13016" width="9.140625" style="1"/>
    <col min="13017" max="13017" width="6.28515625" style="1" customWidth="1"/>
    <col min="13018" max="13018" width="71.85546875" style="1" customWidth="1"/>
    <col min="13019" max="13019" width="7.5703125" style="1" customWidth="1"/>
    <col min="13020" max="13020" width="7" style="1" customWidth="1"/>
    <col min="13021" max="13021" width="7.7109375" style="1" customWidth="1"/>
    <col min="13022" max="13022" width="9.28515625" style="1" customWidth="1"/>
    <col min="13023" max="13023" width="9.7109375" style="1" customWidth="1"/>
    <col min="13024" max="13024" width="8" style="1" customWidth="1"/>
    <col min="13025" max="13025" width="11.5703125" style="1" customWidth="1"/>
    <col min="13026" max="13026" width="12" style="1" customWidth="1"/>
    <col min="13027" max="13027" width="11" style="1" customWidth="1"/>
    <col min="13028" max="13028" width="8.28515625" style="1" customWidth="1"/>
    <col min="13029" max="13029" width="7.7109375" style="1" customWidth="1"/>
    <col min="13030" max="13030" width="7" style="1" customWidth="1"/>
    <col min="13031" max="13031" width="7.7109375" style="1" customWidth="1"/>
    <col min="13032" max="13032" width="9.28515625" style="1" customWidth="1"/>
    <col min="13033" max="13033" width="9.7109375" style="1" customWidth="1"/>
    <col min="13034" max="13034" width="8" style="1" customWidth="1"/>
    <col min="13035" max="13035" width="11.5703125" style="1" customWidth="1"/>
    <col min="13036" max="13036" width="12" style="1" customWidth="1"/>
    <col min="13037" max="13037" width="11" style="1" customWidth="1"/>
    <col min="13038" max="13038" width="8.28515625" style="1" customWidth="1"/>
    <col min="13039" max="13039" width="7.7109375" style="1" customWidth="1"/>
    <col min="13040" max="13040" width="7" style="1" customWidth="1"/>
    <col min="13041" max="13041" width="7.7109375" style="1" customWidth="1"/>
    <col min="13042" max="13042" width="9.28515625" style="1" customWidth="1"/>
    <col min="13043" max="13043" width="9.7109375" style="1" customWidth="1"/>
    <col min="13044" max="13044" width="8" style="1" customWidth="1"/>
    <col min="13045" max="13045" width="11.5703125" style="1" customWidth="1"/>
    <col min="13046" max="13046" width="12" style="1" customWidth="1"/>
    <col min="13047" max="13047" width="11" style="1" customWidth="1"/>
    <col min="13048" max="13048" width="8.28515625" style="1" customWidth="1"/>
    <col min="13049" max="13049" width="7.7109375" style="1" customWidth="1"/>
    <col min="13050" max="13050" width="7" style="1" customWidth="1"/>
    <col min="13051" max="13051" width="7.7109375" style="1" customWidth="1"/>
    <col min="13052" max="13052" width="9.28515625" style="1" customWidth="1"/>
    <col min="13053" max="13053" width="9.7109375" style="1" customWidth="1"/>
    <col min="13054" max="13054" width="8" style="1" customWidth="1"/>
    <col min="13055" max="13055" width="11.5703125" style="1" customWidth="1"/>
    <col min="13056" max="13056" width="12" style="1" customWidth="1"/>
    <col min="13057" max="13057" width="11" style="1" customWidth="1"/>
    <col min="13058" max="13058" width="8.28515625" style="1" customWidth="1"/>
    <col min="13059" max="13059" width="7.7109375" style="1" customWidth="1"/>
    <col min="13060" max="13060" width="7" style="1" customWidth="1"/>
    <col min="13061" max="13061" width="7.7109375" style="1" customWidth="1"/>
    <col min="13062" max="13062" width="9.28515625" style="1" customWidth="1"/>
    <col min="13063" max="13063" width="9.7109375" style="1" customWidth="1"/>
    <col min="13064" max="13064" width="8" style="1" customWidth="1"/>
    <col min="13065" max="13065" width="11.5703125" style="1" customWidth="1"/>
    <col min="13066" max="13066" width="12" style="1" customWidth="1"/>
    <col min="13067" max="13067" width="11" style="1" customWidth="1"/>
    <col min="13068" max="13068" width="8.28515625" style="1" customWidth="1"/>
    <col min="13069" max="13069" width="7.7109375" style="1" customWidth="1"/>
    <col min="13070" max="13070" width="7.85546875" style="1" customWidth="1"/>
    <col min="13071" max="13071" width="7.7109375" style="1" customWidth="1"/>
    <col min="13072" max="13072" width="9.28515625" style="1" customWidth="1"/>
    <col min="13073" max="13073" width="9.7109375" style="1" customWidth="1"/>
    <col min="13074" max="13074" width="8" style="1" customWidth="1"/>
    <col min="13075" max="13075" width="11.5703125" style="1" customWidth="1"/>
    <col min="13076" max="13076" width="12" style="1" customWidth="1"/>
    <col min="13077" max="13077" width="11" style="1" customWidth="1"/>
    <col min="13078" max="13078" width="8.28515625" style="1" customWidth="1"/>
    <col min="13079" max="13272" width="9.140625" style="1"/>
    <col min="13273" max="13273" width="6.28515625" style="1" customWidth="1"/>
    <col min="13274" max="13274" width="71.85546875" style="1" customWidth="1"/>
    <col min="13275" max="13275" width="7.5703125" style="1" customWidth="1"/>
    <col min="13276" max="13276" width="7" style="1" customWidth="1"/>
    <col min="13277" max="13277" width="7.7109375" style="1" customWidth="1"/>
    <col min="13278" max="13278" width="9.28515625" style="1" customWidth="1"/>
    <col min="13279" max="13279" width="9.7109375" style="1" customWidth="1"/>
    <col min="13280" max="13280" width="8" style="1" customWidth="1"/>
    <col min="13281" max="13281" width="11.5703125" style="1" customWidth="1"/>
    <col min="13282" max="13282" width="12" style="1" customWidth="1"/>
    <col min="13283" max="13283" width="11" style="1" customWidth="1"/>
    <col min="13284" max="13284" width="8.28515625" style="1" customWidth="1"/>
    <col min="13285" max="13285" width="7.7109375" style="1" customWidth="1"/>
    <col min="13286" max="13286" width="7" style="1" customWidth="1"/>
    <col min="13287" max="13287" width="7.7109375" style="1" customWidth="1"/>
    <col min="13288" max="13288" width="9.28515625" style="1" customWidth="1"/>
    <col min="13289" max="13289" width="9.7109375" style="1" customWidth="1"/>
    <col min="13290" max="13290" width="8" style="1" customWidth="1"/>
    <col min="13291" max="13291" width="11.5703125" style="1" customWidth="1"/>
    <col min="13292" max="13292" width="12" style="1" customWidth="1"/>
    <col min="13293" max="13293" width="11" style="1" customWidth="1"/>
    <col min="13294" max="13294" width="8.28515625" style="1" customWidth="1"/>
    <col min="13295" max="13295" width="7.7109375" style="1" customWidth="1"/>
    <col min="13296" max="13296" width="7" style="1" customWidth="1"/>
    <col min="13297" max="13297" width="7.7109375" style="1" customWidth="1"/>
    <col min="13298" max="13298" width="9.28515625" style="1" customWidth="1"/>
    <col min="13299" max="13299" width="9.7109375" style="1" customWidth="1"/>
    <col min="13300" max="13300" width="8" style="1" customWidth="1"/>
    <col min="13301" max="13301" width="11.5703125" style="1" customWidth="1"/>
    <col min="13302" max="13302" width="12" style="1" customWidth="1"/>
    <col min="13303" max="13303" width="11" style="1" customWidth="1"/>
    <col min="13304" max="13304" width="8.28515625" style="1" customWidth="1"/>
    <col min="13305" max="13305" width="7.7109375" style="1" customWidth="1"/>
    <col min="13306" max="13306" width="7" style="1" customWidth="1"/>
    <col min="13307" max="13307" width="7.7109375" style="1" customWidth="1"/>
    <col min="13308" max="13308" width="9.28515625" style="1" customWidth="1"/>
    <col min="13309" max="13309" width="9.7109375" style="1" customWidth="1"/>
    <col min="13310" max="13310" width="8" style="1" customWidth="1"/>
    <col min="13311" max="13311" width="11.5703125" style="1" customWidth="1"/>
    <col min="13312" max="13312" width="12" style="1" customWidth="1"/>
    <col min="13313" max="13313" width="11" style="1" customWidth="1"/>
    <col min="13314" max="13314" width="8.28515625" style="1" customWidth="1"/>
    <col min="13315" max="13315" width="7.7109375" style="1" customWidth="1"/>
    <col min="13316" max="13316" width="7" style="1" customWidth="1"/>
    <col min="13317" max="13317" width="7.7109375" style="1" customWidth="1"/>
    <col min="13318" max="13318" width="9.28515625" style="1" customWidth="1"/>
    <col min="13319" max="13319" width="9.7109375" style="1" customWidth="1"/>
    <col min="13320" max="13320" width="8" style="1" customWidth="1"/>
    <col min="13321" max="13321" width="11.5703125" style="1" customWidth="1"/>
    <col min="13322" max="13322" width="12" style="1" customWidth="1"/>
    <col min="13323" max="13323" width="11" style="1" customWidth="1"/>
    <col min="13324" max="13324" width="8.28515625" style="1" customWidth="1"/>
    <col min="13325" max="13325" width="7.7109375" style="1" customWidth="1"/>
    <col min="13326" max="13326" width="7.85546875" style="1" customWidth="1"/>
    <col min="13327" max="13327" width="7.7109375" style="1" customWidth="1"/>
    <col min="13328" max="13328" width="9.28515625" style="1" customWidth="1"/>
    <col min="13329" max="13329" width="9.7109375" style="1" customWidth="1"/>
    <col min="13330" max="13330" width="8" style="1" customWidth="1"/>
    <col min="13331" max="13331" width="11.5703125" style="1" customWidth="1"/>
    <col min="13332" max="13332" width="12" style="1" customWidth="1"/>
    <col min="13333" max="13333" width="11" style="1" customWidth="1"/>
    <col min="13334" max="13334" width="8.28515625" style="1" customWidth="1"/>
    <col min="13335" max="13528" width="9.140625" style="1"/>
    <col min="13529" max="13529" width="6.28515625" style="1" customWidth="1"/>
    <col min="13530" max="13530" width="71.85546875" style="1" customWidth="1"/>
    <col min="13531" max="13531" width="7.5703125" style="1" customWidth="1"/>
    <col min="13532" max="13532" width="7" style="1" customWidth="1"/>
    <col min="13533" max="13533" width="7.7109375" style="1" customWidth="1"/>
    <col min="13534" max="13534" width="9.28515625" style="1" customWidth="1"/>
    <col min="13535" max="13535" width="9.7109375" style="1" customWidth="1"/>
    <col min="13536" max="13536" width="8" style="1" customWidth="1"/>
    <col min="13537" max="13537" width="11.5703125" style="1" customWidth="1"/>
    <col min="13538" max="13538" width="12" style="1" customWidth="1"/>
    <col min="13539" max="13539" width="11" style="1" customWidth="1"/>
    <col min="13540" max="13540" width="8.28515625" style="1" customWidth="1"/>
    <col min="13541" max="13541" width="7.7109375" style="1" customWidth="1"/>
    <col min="13542" max="13542" width="7" style="1" customWidth="1"/>
    <col min="13543" max="13543" width="7.7109375" style="1" customWidth="1"/>
    <col min="13544" max="13544" width="9.28515625" style="1" customWidth="1"/>
    <col min="13545" max="13545" width="9.7109375" style="1" customWidth="1"/>
    <col min="13546" max="13546" width="8" style="1" customWidth="1"/>
    <col min="13547" max="13547" width="11.5703125" style="1" customWidth="1"/>
    <col min="13548" max="13548" width="12" style="1" customWidth="1"/>
    <col min="13549" max="13549" width="11" style="1" customWidth="1"/>
    <col min="13550" max="13550" width="8.28515625" style="1" customWidth="1"/>
    <col min="13551" max="13551" width="7.7109375" style="1" customWidth="1"/>
    <col min="13552" max="13552" width="7" style="1" customWidth="1"/>
    <col min="13553" max="13553" width="7.7109375" style="1" customWidth="1"/>
    <col min="13554" max="13554" width="9.28515625" style="1" customWidth="1"/>
    <col min="13555" max="13555" width="9.7109375" style="1" customWidth="1"/>
    <col min="13556" max="13556" width="8" style="1" customWidth="1"/>
    <col min="13557" max="13557" width="11.5703125" style="1" customWidth="1"/>
    <col min="13558" max="13558" width="12" style="1" customWidth="1"/>
    <col min="13559" max="13559" width="11" style="1" customWidth="1"/>
    <col min="13560" max="13560" width="8.28515625" style="1" customWidth="1"/>
    <col min="13561" max="13561" width="7.7109375" style="1" customWidth="1"/>
    <col min="13562" max="13562" width="7" style="1" customWidth="1"/>
    <col min="13563" max="13563" width="7.7109375" style="1" customWidth="1"/>
    <col min="13564" max="13564" width="9.28515625" style="1" customWidth="1"/>
    <col min="13565" max="13565" width="9.7109375" style="1" customWidth="1"/>
    <col min="13566" max="13566" width="8" style="1" customWidth="1"/>
    <col min="13567" max="13567" width="11.5703125" style="1" customWidth="1"/>
    <col min="13568" max="13568" width="12" style="1" customWidth="1"/>
    <col min="13569" max="13569" width="11" style="1" customWidth="1"/>
    <col min="13570" max="13570" width="8.28515625" style="1" customWidth="1"/>
    <col min="13571" max="13571" width="7.7109375" style="1" customWidth="1"/>
    <col min="13572" max="13572" width="7" style="1" customWidth="1"/>
    <col min="13573" max="13573" width="7.7109375" style="1" customWidth="1"/>
    <col min="13574" max="13574" width="9.28515625" style="1" customWidth="1"/>
    <col min="13575" max="13575" width="9.7109375" style="1" customWidth="1"/>
    <col min="13576" max="13576" width="8" style="1" customWidth="1"/>
    <col min="13577" max="13577" width="11.5703125" style="1" customWidth="1"/>
    <col min="13578" max="13578" width="12" style="1" customWidth="1"/>
    <col min="13579" max="13579" width="11" style="1" customWidth="1"/>
    <col min="13580" max="13580" width="8.28515625" style="1" customWidth="1"/>
    <col min="13581" max="13581" width="7.7109375" style="1" customWidth="1"/>
    <col min="13582" max="13582" width="7.85546875" style="1" customWidth="1"/>
    <col min="13583" max="13583" width="7.7109375" style="1" customWidth="1"/>
    <col min="13584" max="13584" width="9.28515625" style="1" customWidth="1"/>
    <col min="13585" max="13585" width="9.7109375" style="1" customWidth="1"/>
    <col min="13586" max="13586" width="8" style="1" customWidth="1"/>
    <col min="13587" max="13587" width="11.5703125" style="1" customWidth="1"/>
    <col min="13588" max="13588" width="12" style="1" customWidth="1"/>
    <col min="13589" max="13589" width="11" style="1" customWidth="1"/>
    <col min="13590" max="13590" width="8.28515625" style="1" customWidth="1"/>
    <col min="13591" max="13784" width="9.140625" style="1"/>
    <col min="13785" max="13785" width="6.28515625" style="1" customWidth="1"/>
    <col min="13786" max="13786" width="71.85546875" style="1" customWidth="1"/>
    <col min="13787" max="13787" width="7.5703125" style="1" customWidth="1"/>
    <col min="13788" max="13788" width="7" style="1" customWidth="1"/>
    <col min="13789" max="13789" width="7.7109375" style="1" customWidth="1"/>
    <col min="13790" max="13790" width="9.28515625" style="1" customWidth="1"/>
    <col min="13791" max="13791" width="9.7109375" style="1" customWidth="1"/>
    <col min="13792" max="13792" width="8" style="1" customWidth="1"/>
    <col min="13793" max="13793" width="11.5703125" style="1" customWidth="1"/>
    <col min="13794" max="13794" width="12" style="1" customWidth="1"/>
    <col min="13795" max="13795" width="11" style="1" customWidth="1"/>
    <col min="13796" max="13796" width="8.28515625" style="1" customWidth="1"/>
    <col min="13797" max="13797" width="7.7109375" style="1" customWidth="1"/>
    <col min="13798" max="13798" width="7" style="1" customWidth="1"/>
    <col min="13799" max="13799" width="7.7109375" style="1" customWidth="1"/>
    <col min="13800" max="13800" width="9.28515625" style="1" customWidth="1"/>
    <col min="13801" max="13801" width="9.7109375" style="1" customWidth="1"/>
    <col min="13802" max="13802" width="8" style="1" customWidth="1"/>
    <col min="13803" max="13803" width="11.5703125" style="1" customWidth="1"/>
    <col min="13804" max="13804" width="12" style="1" customWidth="1"/>
    <col min="13805" max="13805" width="11" style="1" customWidth="1"/>
    <col min="13806" max="13806" width="8.28515625" style="1" customWidth="1"/>
    <col min="13807" max="13807" width="7.7109375" style="1" customWidth="1"/>
    <col min="13808" max="13808" width="7" style="1" customWidth="1"/>
    <col min="13809" max="13809" width="7.7109375" style="1" customWidth="1"/>
    <col min="13810" max="13810" width="9.28515625" style="1" customWidth="1"/>
    <col min="13811" max="13811" width="9.7109375" style="1" customWidth="1"/>
    <col min="13812" max="13812" width="8" style="1" customWidth="1"/>
    <col min="13813" max="13813" width="11.5703125" style="1" customWidth="1"/>
    <col min="13814" max="13814" width="12" style="1" customWidth="1"/>
    <col min="13815" max="13815" width="11" style="1" customWidth="1"/>
    <col min="13816" max="13816" width="8.28515625" style="1" customWidth="1"/>
    <col min="13817" max="13817" width="7.7109375" style="1" customWidth="1"/>
    <col min="13818" max="13818" width="7" style="1" customWidth="1"/>
    <col min="13819" max="13819" width="7.7109375" style="1" customWidth="1"/>
    <col min="13820" max="13820" width="9.28515625" style="1" customWidth="1"/>
    <col min="13821" max="13821" width="9.7109375" style="1" customWidth="1"/>
    <col min="13822" max="13822" width="8" style="1" customWidth="1"/>
    <col min="13823" max="13823" width="11.5703125" style="1" customWidth="1"/>
    <col min="13824" max="13824" width="12" style="1" customWidth="1"/>
    <col min="13825" max="13825" width="11" style="1" customWidth="1"/>
    <col min="13826" max="13826" width="8.28515625" style="1" customWidth="1"/>
    <col min="13827" max="13827" width="7.7109375" style="1" customWidth="1"/>
    <col min="13828" max="13828" width="7" style="1" customWidth="1"/>
    <col min="13829" max="13829" width="7.7109375" style="1" customWidth="1"/>
    <col min="13830" max="13830" width="9.28515625" style="1" customWidth="1"/>
    <col min="13831" max="13831" width="9.7109375" style="1" customWidth="1"/>
    <col min="13832" max="13832" width="8" style="1" customWidth="1"/>
    <col min="13833" max="13833" width="11.5703125" style="1" customWidth="1"/>
    <col min="13834" max="13834" width="12" style="1" customWidth="1"/>
    <col min="13835" max="13835" width="11" style="1" customWidth="1"/>
    <col min="13836" max="13836" width="8.28515625" style="1" customWidth="1"/>
    <col min="13837" max="13837" width="7.7109375" style="1" customWidth="1"/>
    <col min="13838" max="13838" width="7.85546875" style="1" customWidth="1"/>
    <col min="13839" max="13839" width="7.7109375" style="1" customWidth="1"/>
    <col min="13840" max="13840" width="9.28515625" style="1" customWidth="1"/>
    <col min="13841" max="13841" width="9.7109375" style="1" customWidth="1"/>
    <col min="13842" max="13842" width="8" style="1" customWidth="1"/>
    <col min="13843" max="13843" width="11.5703125" style="1" customWidth="1"/>
    <col min="13844" max="13844" width="12" style="1" customWidth="1"/>
    <col min="13845" max="13845" width="11" style="1" customWidth="1"/>
    <col min="13846" max="13846" width="8.28515625" style="1" customWidth="1"/>
    <col min="13847" max="14040" width="9.140625" style="1"/>
    <col min="14041" max="14041" width="6.28515625" style="1" customWidth="1"/>
    <col min="14042" max="14042" width="71.85546875" style="1" customWidth="1"/>
    <col min="14043" max="14043" width="7.5703125" style="1" customWidth="1"/>
    <col min="14044" max="14044" width="7" style="1" customWidth="1"/>
    <col min="14045" max="14045" width="7.7109375" style="1" customWidth="1"/>
    <col min="14046" max="14046" width="9.28515625" style="1" customWidth="1"/>
    <col min="14047" max="14047" width="9.7109375" style="1" customWidth="1"/>
    <col min="14048" max="14048" width="8" style="1" customWidth="1"/>
    <col min="14049" max="14049" width="11.5703125" style="1" customWidth="1"/>
    <col min="14050" max="14050" width="12" style="1" customWidth="1"/>
    <col min="14051" max="14051" width="11" style="1" customWidth="1"/>
    <col min="14052" max="14052" width="8.28515625" style="1" customWidth="1"/>
    <col min="14053" max="14053" width="7.7109375" style="1" customWidth="1"/>
    <col min="14054" max="14054" width="7" style="1" customWidth="1"/>
    <col min="14055" max="14055" width="7.7109375" style="1" customWidth="1"/>
    <col min="14056" max="14056" width="9.28515625" style="1" customWidth="1"/>
    <col min="14057" max="14057" width="9.7109375" style="1" customWidth="1"/>
    <col min="14058" max="14058" width="8" style="1" customWidth="1"/>
    <col min="14059" max="14059" width="11.5703125" style="1" customWidth="1"/>
    <col min="14060" max="14060" width="12" style="1" customWidth="1"/>
    <col min="14061" max="14061" width="11" style="1" customWidth="1"/>
    <col min="14062" max="14062" width="8.28515625" style="1" customWidth="1"/>
    <col min="14063" max="14063" width="7.7109375" style="1" customWidth="1"/>
    <col min="14064" max="14064" width="7" style="1" customWidth="1"/>
    <col min="14065" max="14065" width="7.7109375" style="1" customWidth="1"/>
    <col min="14066" max="14066" width="9.28515625" style="1" customWidth="1"/>
    <col min="14067" max="14067" width="9.7109375" style="1" customWidth="1"/>
    <col min="14068" max="14068" width="8" style="1" customWidth="1"/>
    <col min="14069" max="14069" width="11.5703125" style="1" customWidth="1"/>
    <col min="14070" max="14070" width="12" style="1" customWidth="1"/>
    <col min="14071" max="14071" width="11" style="1" customWidth="1"/>
    <col min="14072" max="14072" width="8.28515625" style="1" customWidth="1"/>
    <col min="14073" max="14073" width="7.7109375" style="1" customWidth="1"/>
    <col min="14074" max="14074" width="7" style="1" customWidth="1"/>
    <col min="14075" max="14075" width="7.7109375" style="1" customWidth="1"/>
    <col min="14076" max="14076" width="9.28515625" style="1" customWidth="1"/>
    <col min="14077" max="14077" width="9.7109375" style="1" customWidth="1"/>
    <col min="14078" max="14078" width="8" style="1" customWidth="1"/>
    <col min="14079" max="14079" width="11.5703125" style="1" customWidth="1"/>
    <col min="14080" max="14080" width="12" style="1" customWidth="1"/>
    <col min="14081" max="14081" width="11" style="1" customWidth="1"/>
    <col min="14082" max="14082" width="8.28515625" style="1" customWidth="1"/>
    <col min="14083" max="14083" width="7.7109375" style="1" customWidth="1"/>
    <col min="14084" max="14084" width="7" style="1" customWidth="1"/>
    <col min="14085" max="14085" width="7.7109375" style="1" customWidth="1"/>
    <col min="14086" max="14086" width="9.28515625" style="1" customWidth="1"/>
    <col min="14087" max="14087" width="9.7109375" style="1" customWidth="1"/>
    <col min="14088" max="14088" width="8" style="1" customWidth="1"/>
    <col min="14089" max="14089" width="11.5703125" style="1" customWidth="1"/>
    <col min="14090" max="14090" width="12" style="1" customWidth="1"/>
    <col min="14091" max="14091" width="11" style="1" customWidth="1"/>
    <col min="14092" max="14092" width="8.28515625" style="1" customWidth="1"/>
    <col min="14093" max="14093" width="7.7109375" style="1" customWidth="1"/>
    <col min="14094" max="14094" width="7.85546875" style="1" customWidth="1"/>
    <col min="14095" max="14095" width="7.7109375" style="1" customWidth="1"/>
    <col min="14096" max="14096" width="9.28515625" style="1" customWidth="1"/>
    <col min="14097" max="14097" width="9.7109375" style="1" customWidth="1"/>
    <col min="14098" max="14098" width="8" style="1" customWidth="1"/>
    <col min="14099" max="14099" width="11.5703125" style="1" customWidth="1"/>
    <col min="14100" max="14100" width="12" style="1" customWidth="1"/>
    <col min="14101" max="14101" width="11" style="1" customWidth="1"/>
    <col min="14102" max="14102" width="8.28515625" style="1" customWidth="1"/>
    <col min="14103" max="14296" width="9.140625" style="1"/>
    <col min="14297" max="14297" width="6.28515625" style="1" customWidth="1"/>
    <col min="14298" max="14298" width="71.85546875" style="1" customWidth="1"/>
    <col min="14299" max="14299" width="7.5703125" style="1" customWidth="1"/>
    <col min="14300" max="14300" width="7" style="1" customWidth="1"/>
    <col min="14301" max="14301" width="7.7109375" style="1" customWidth="1"/>
    <col min="14302" max="14302" width="9.28515625" style="1" customWidth="1"/>
    <col min="14303" max="14303" width="9.7109375" style="1" customWidth="1"/>
    <col min="14304" max="14304" width="8" style="1" customWidth="1"/>
    <col min="14305" max="14305" width="11.5703125" style="1" customWidth="1"/>
    <col min="14306" max="14306" width="12" style="1" customWidth="1"/>
    <col min="14307" max="14307" width="11" style="1" customWidth="1"/>
    <col min="14308" max="14308" width="8.28515625" style="1" customWidth="1"/>
    <col min="14309" max="14309" width="7.7109375" style="1" customWidth="1"/>
    <col min="14310" max="14310" width="7" style="1" customWidth="1"/>
    <col min="14311" max="14311" width="7.7109375" style="1" customWidth="1"/>
    <col min="14312" max="14312" width="9.28515625" style="1" customWidth="1"/>
    <col min="14313" max="14313" width="9.7109375" style="1" customWidth="1"/>
    <col min="14314" max="14314" width="8" style="1" customWidth="1"/>
    <col min="14315" max="14315" width="11.5703125" style="1" customWidth="1"/>
    <col min="14316" max="14316" width="12" style="1" customWidth="1"/>
    <col min="14317" max="14317" width="11" style="1" customWidth="1"/>
    <col min="14318" max="14318" width="8.28515625" style="1" customWidth="1"/>
    <col min="14319" max="14319" width="7.7109375" style="1" customWidth="1"/>
    <col min="14320" max="14320" width="7" style="1" customWidth="1"/>
    <col min="14321" max="14321" width="7.7109375" style="1" customWidth="1"/>
    <col min="14322" max="14322" width="9.28515625" style="1" customWidth="1"/>
    <col min="14323" max="14323" width="9.7109375" style="1" customWidth="1"/>
    <col min="14324" max="14324" width="8" style="1" customWidth="1"/>
    <col min="14325" max="14325" width="11.5703125" style="1" customWidth="1"/>
    <col min="14326" max="14326" width="12" style="1" customWidth="1"/>
    <col min="14327" max="14327" width="11" style="1" customWidth="1"/>
    <col min="14328" max="14328" width="8.28515625" style="1" customWidth="1"/>
    <col min="14329" max="14329" width="7.7109375" style="1" customWidth="1"/>
    <col min="14330" max="14330" width="7" style="1" customWidth="1"/>
    <col min="14331" max="14331" width="7.7109375" style="1" customWidth="1"/>
    <col min="14332" max="14332" width="9.28515625" style="1" customWidth="1"/>
    <col min="14333" max="14333" width="9.7109375" style="1" customWidth="1"/>
    <col min="14334" max="14334" width="8" style="1" customWidth="1"/>
    <col min="14335" max="14335" width="11.5703125" style="1" customWidth="1"/>
    <col min="14336" max="14336" width="12" style="1" customWidth="1"/>
    <col min="14337" max="14337" width="11" style="1" customWidth="1"/>
    <col min="14338" max="14338" width="8.28515625" style="1" customWidth="1"/>
    <col min="14339" max="14339" width="7.7109375" style="1" customWidth="1"/>
    <col min="14340" max="14340" width="7" style="1" customWidth="1"/>
    <col min="14341" max="14341" width="7.7109375" style="1" customWidth="1"/>
    <col min="14342" max="14342" width="9.28515625" style="1" customWidth="1"/>
    <col min="14343" max="14343" width="9.7109375" style="1" customWidth="1"/>
    <col min="14344" max="14344" width="8" style="1" customWidth="1"/>
    <col min="14345" max="14345" width="11.5703125" style="1" customWidth="1"/>
    <col min="14346" max="14346" width="12" style="1" customWidth="1"/>
    <col min="14347" max="14347" width="11" style="1" customWidth="1"/>
    <col min="14348" max="14348" width="8.28515625" style="1" customWidth="1"/>
    <col min="14349" max="14349" width="7.7109375" style="1" customWidth="1"/>
    <col min="14350" max="14350" width="7.85546875" style="1" customWidth="1"/>
    <col min="14351" max="14351" width="7.7109375" style="1" customWidth="1"/>
    <col min="14352" max="14352" width="9.28515625" style="1" customWidth="1"/>
    <col min="14353" max="14353" width="9.7109375" style="1" customWidth="1"/>
    <col min="14354" max="14354" width="8" style="1" customWidth="1"/>
    <col min="14355" max="14355" width="11.5703125" style="1" customWidth="1"/>
    <col min="14356" max="14356" width="12" style="1" customWidth="1"/>
    <col min="14357" max="14357" width="11" style="1" customWidth="1"/>
    <col min="14358" max="14358" width="8.28515625" style="1" customWidth="1"/>
    <col min="14359" max="14552" width="9.140625" style="1"/>
    <col min="14553" max="14553" width="6.28515625" style="1" customWidth="1"/>
    <col min="14554" max="14554" width="71.85546875" style="1" customWidth="1"/>
    <col min="14555" max="14555" width="7.5703125" style="1" customWidth="1"/>
    <col min="14556" max="14556" width="7" style="1" customWidth="1"/>
    <col min="14557" max="14557" width="7.7109375" style="1" customWidth="1"/>
    <col min="14558" max="14558" width="9.28515625" style="1" customWidth="1"/>
    <col min="14559" max="14559" width="9.7109375" style="1" customWidth="1"/>
    <col min="14560" max="14560" width="8" style="1" customWidth="1"/>
    <col min="14561" max="14561" width="11.5703125" style="1" customWidth="1"/>
    <col min="14562" max="14562" width="12" style="1" customWidth="1"/>
    <col min="14563" max="14563" width="11" style="1" customWidth="1"/>
    <col min="14564" max="14564" width="8.28515625" style="1" customWidth="1"/>
    <col min="14565" max="14565" width="7.7109375" style="1" customWidth="1"/>
    <col min="14566" max="14566" width="7" style="1" customWidth="1"/>
    <col min="14567" max="14567" width="7.7109375" style="1" customWidth="1"/>
    <col min="14568" max="14568" width="9.28515625" style="1" customWidth="1"/>
    <col min="14569" max="14569" width="9.7109375" style="1" customWidth="1"/>
    <col min="14570" max="14570" width="8" style="1" customWidth="1"/>
    <col min="14571" max="14571" width="11.5703125" style="1" customWidth="1"/>
    <col min="14572" max="14572" width="12" style="1" customWidth="1"/>
    <col min="14573" max="14573" width="11" style="1" customWidth="1"/>
    <col min="14574" max="14574" width="8.28515625" style="1" customWidth="1"/>
    <col min="14575" max="14575" width="7.7109375" style="1" customWidth="1"/>
    <col min="14576" max="14576" width="7" style="1" customWidth="1"/>
    <col min="14577" max="14577" width="7.7109375" style="1" customWidth="1"/>
    <col min="14578" max="14578" width="9.28515625" style="1" customWidth="1"/>
    <col min="14579" max="14579" width="9.7109375" style="1" customWidth="1"/>
    <col min="14580" max="14580" width="8" style="1" customWidth="1"/>
    <col min="14581" max="14581" width="11.5703125" style="1" customWidth="1"/>
    <col min="14582" max="14582" width="12" style="1" customWidth="1"/>
    <col min="14583" max="14583" width="11" style="1" customWidth="1"/>
    <col min="14584" max="14584" width="8.28515625" style="1" customWidth="1"/>
    <col min="14585" max="14585" width="7.7109375" style="1" customWidth="1"/>
    <col min="14586" max="14586" width="7" style="1" customWidth="1"/>
    <col min="14587" max="14587" width="7.7109375" style="1" customWidth="1"/>
    <col min="14588" max="14588" width="9.28515625" style="1" customWidth="1"/>
    <col min="14589" max="14589" width="9.7109375" style="1" customWidth="1"/>
    <col min="14590" max="14590" width="8" style="1" customWidth="1"/>
    <col min="14591" max="14591" width="11.5703125" style="1" customWidth="1"/>
    <col min="14592" max="14592" width="12" style="1" customWidth="1"/>
    <col min="14593" max="14593" width="11" style="1" customWidth="1"/>
    <col min="14594" max="14594" width="8.28515625" style="1" customWidth="1"/>
    <col min="14595" max="14595" width="7.7109375" style="1" customWidth="1"/>
    <col min="14596" max="14596" width="7" style="1" customWidth="1"/>
    <col min="14597" max="14597" width="7.7109375" style="1" customWidth="1"/>
    <col min="14598" max="14598" width="9.28515625" style="1" customWidth="1"/>
    <col min="14599" max="14599" width="9.7109375" style="1" customWidth="1"/>
    <col min="14600" max="14600" width="8" style="1" customWidth="1"/>
    <col min="14601" max="14601" width="11.5703125" style="1" customWidth="1"/>
    <col min="14602" max="14602" width="12" style="1" customWidth="1"/>
    <col min="14603" max="14603" width="11" style="1" customWidth="1"/>
    <col min="14604" max="14604" width="8.28515625" style="1" customWidth="1"/>
    <col min="14605" max="14605" width="7.7109375" style="1" customWidth="1"/>
    <col min="14606" max="14606" width="7.85546875" style="1" customWidth="1"/>
    <col min="14607" max="14607" width="7.7109375" style="1" customWidth="1"/>
    <col min="14608" max="14608" width="9.28515625" style="1" customWidth="1"/>
    <col min="14609" max="14609" width="9.7109375" style="1" customWidth="1"/>
    <col min="14610" max="14610" width="8" style="1" customWidth="1"/>
    <col min="14611" max="14611" width="11.5703125" style="1" customWidth="1"/>
    <col min="14612" max="14612" width="12" style="1" customWidth="1"/>
    <col min="14613" max="14613" width="11" style="1" customWidth="1"/>
    <col min="14614" max="14614" width="8.28515625" style="1" customWidth="1"/>
    <col min="14615" max="14808" width="9.140625" style="1"/>
    <col min="14809" max="14809" width="6.28515625" style="1" customWidth="1"/>
    <col min="14810" max="14810" width="71.85546875" style="1" customWidth="1"/>
    <col min="14811" max="14811" width="7.5703125" style="1" customWidth="1"/>
    <col min="14812" max="14812" width="7" style="1" customWidth="1"/>
    <col min="14813" max="14813" width="7.7109375" style="1" customWidth="1"/>
    <col min="14814" max="14814" width="9.28515625" style="1" customWidth="1"/>
    <col min="14815" max="14815" width="9.7109375" style="1" customWidth="1"/>
    <col min="14816" max="14816" width="8" style="1" customWidth="1"/>
    <col min="14817" max="14817" width="11.5703125" style="1" customWidth="1"/>
    <col min="14818" max="14818" width="12" style="1" customWidth="1"/>
    <col min="14819" max="14819" width="11" style="1" customWidth="1"/>
    <col min="14820" max="14820" width="8.28515625" style="1" customWidth="1"/>
    <col min="14821" max="14821" width="7.7109375" style="1" customWidth="1"/>
    <col min="14822" max="14822" width="7" style="1" customWidth="1"/>
    <col min="14823" max="14823" width="7.7109375" style="1" customWidth="1"/>
    <col min="14824" max="14824" width="9.28515625" style="1" customWidth="1"/>
    <col min="14825" max="14825" width="9.7109375" style="1" customWidth="1"/>
    <col min="14826" max="14826" width="8" style="1" customWidth="1"/>
    <col min="14827" max="14827" width="11.5703125" style="1" customWidth="1"/>
    <col min="14828" max="14828" width="12" style="1" customWidth="1"/>
    <col min="14829" max="14829" width="11" style="1" customWidth="1"/>
    <col min="14830" max="14830" width="8.28515625" style="1" customWidth="1"/>
    <col min="14831" max="14831" width="7.7109375" style="1" customWidth="1"/>
    <col min="14832" max="14832" width="7" style="1" customWidth="1"/>
    <col min="14833" max="14833" width="7.7109375" style="1" customWidth="1"/>
    <col min="14834" max="14834" width="9.28515625" style="1" customWidth="1"/>
    <col min="14835" max="14835" width="9.7109375" style="1" customWidth="1"/>
    <col min="14836" max="14836" width="8" style="1" customWidth="1"/>
    <col min="14837" max="14837" width="11.5703125" style="1" customWidth="1"/>
    <col min="14838" max="14838" width="12" style="1" customWidth="1"/>
    <col min="14839" max="14839" width="11" style="1" customWidth="1"/>
    <col min="14840" max="14840" width="8.28515625" style="1" customWidth="1"/>
    <col min="14841" max="14841" width="7.7109375" style="1" customWidth="1"/>
    <col min="14842" max="14842" width="7" style="1" customWidth="1"/>
    <col min="14843" max="14843" width="7.7109375" style="1" customWidth="1"/>
    <col min="14844" max="14844" width="9.28515625" style="1" customWidth="1"/>
    <col min="14845" max="14845" width="9.7109375" style="1" customWidth="1"/>
    <col min="14846" max="14846" width="8" style="1" customWidth="1"/>
    <col min="14847" max="14847" width="11.5703125" style="1" customWidth="1"/>
    <col min="14848" max="14848" width="12" style="1" customWidth="1"/>
    <col min="14849" max="14849" width="11" style="1" customWidth="1"/>
    <col min="14850" max="14850" width="8.28515625" style="1" customWidth="1"/>
    <col min="14851" max="14851" width="7.7109375" style="1" customWidth="1"/>
    <col min="14852" max="14852" width="7" style="1" customWidth="1"/>
    <col min="14853" max="14853" width="7.7109375" style="1" customWidth="1"/>
    <col min="14854" max="14854" width="9.28515625" style="1" customWidth="1"/>
    <col min="14855" max="14855" width="9.7109375" style="1" customWidth="1"/>
    <col min="14856" max="14856" width="8" style="1" customWidth="1"/>
    <col min="14857" max="14857" width="11.5703125" style="1" customWidth="1"/>
    <col min="14858" max="14858" width="12" style="1" customWidth="1"/>
    <col min="14859" max="14859" width="11" style="1" customWidth="1"/>
    <col min="14860" max="14860" width="8.28515625" style="1" customWidth="1"/>
    <col min="14861" max="14861" width="7.7109375" style="1" customWidth="1"/>
    <col min="14862" max="14862" width="7.85546875" style="1" customWidth="1"/>
    <col min="14863" max="14863" width="7.7109375" style="1" customWidth="1"/>
    <col min="14864" max="14864" width="9.28515625" style="1" customWidth="1"/>
    <col min="14865" max="14865" width="9.7109375" style="1" customWidth="1"/>
    <col min="14866" max="14866" width="8" style="1" customWidth="1"/>
    <col min="14867" max="14867" width="11.5703125" style="1" customWidth="1"/>
    <col min="14868" max="14868" width="12" style="1" customWidth="1"/>
    <col min="14869" max="14869" width="11" style="1" customWidth="1"/>
    <col min="14870" max="14870" width="8.28515625" style="1" customWidth="1"/>
    <col min="14871" max="15064" width="9.140625" style="1"/>
    <col min="15065" max="15065" width="6.28515625" style="1" customWidth="1"/>
    <col min="15066" max="15066" width="71.85546875" style="1" customWidth="1"/>
    <col min="15067" max="15067" width="7.5703125" style="1" customWidth="1"/>
    <col min="15068" max="15068" width="7" style="1" customWidth="1"/>
    <col min="15069" max="15069" width="7.7109375" style="1" customWidth="1"/>
    <col min="15070" max="15070" width="9.28515625" style="1" customWidth="1"/>
    <col min="15071" max="15071" width="9.7109375" style="1" customWidth="1"/>
    <col min="15072" max="15072" width="8" style="1" customWidth="1"/>
    <col min="15073" max="15073" width="11.5703125" style="1" customWidth="1"/>
    <col min="15074" max="15074" width="12" style="1" customWidth="1"/>
    <col min="15075" max="15075" width="11" style="1" customWidth="1"/>
    <col min="15076" max="15076" width="8.28515625" style="1" customWidth="1"/>
    <col min="15077" max="15077" width="7.7109375" style="1" customWidth="1"/>
    <col min="15078" max="15078" width="7" style="1" customWidth="1"/>
    <col min="15079" max="15079" width="7.7109375" style="1" customWidth="1"/>
    <col min="15080" max="15080" width="9.28515625" style="1" customWidth="1"/>
    <col min="15081" max="15081" width="9.7109375" style="1" customWidth="1"/>
    <col min="15082" max="15082" width="8" style="1" customWidth="1"/>
    <col min="15083" max="15083" width="11.5703125" style="1" customWidth="1"/>
    <col min="15084" max="15084" width="12" style="1" customWidth="1"/>
    <col min="15085" max="15085" width="11" style="1" customWidth="1"/>
    <col min="15086" max="15086" width="8.28515625" style="1" customWidth="1"/>
    <col min="15087" max="15087" width="7.7109375" style="1" customWidth="1"/>
    <col min="15088" max="15088" width="7" style="1" customWidth="1"/>
    <col min="15089" max="15089" width="7.7109375" style="1" customWidth="1"/>
    <col min="15090" max="15090" width="9.28515625" style="1" customWidth="1"/>
    <col min="15091" max="15091" width="9.7109375" style="1" customWidth="1"/>
    <col min="15092" max="15092" width="8" style="1" customWidth="1"/>
    <col min="15093" max="15093" width="11.5703125" style="1" customWidth="1"/>
    <col min="15094" max="15094" width="12" style="1" customWidth="1"/>
    <col min="15095" max="15095" width="11" style="1" customWidth="1"/>
    <col min="15096" max="15096" width="8.28515625" style="1" customWidth="1"/>
    <col min="15097" max="15097" width="7.7109375" style="1" customWidth="1"/>
    <col min="15098" max="15098" width="7" style="1" customWidth="1"/>
    <col min="15099" max="15099" width="7.7109375" style="1" customWidth="1"/>
    <col min="15100" max="15100" width="9.28515625" style="1" customWidth="1"/>
    <col min="15101" max="15101" width="9.7109375" style="1" customWidth="1"/>
    <col min="15102" max="15102" width="8" style="1" customWidth="1"/>
    <col min="15103" max="15103" width="11.5703125" style="1" customWidth="1"/>
    <col min="15104" max="15104" width="12" style="1" customWidth="1"/>
    <col min="15105" max="15105" width="11" style="1" customWidth="1"/>
    <col min="15106" max="15106" width="8.28515625" style="1" customWidth="1"/>
    <col min="15107" max="15107" width="7.7109375" style="1" customWidth="1"/>
    <col min="15108" max="15108" width="7" style="1" customWidth="1"/>
    <col min="15109" max="15109" width="7.7109375" style="1" customWidth="1"/>
    <col min="15110" max="15110" width="9.28515625" style="1" customWidth="1"/>
    <col min="15111" max="15111" width="9.7109375" style="1" customWidth="1"/>
    <col min="15112" max="15112" width="8" style="1" customWidth="1"/>
    <col min="15113" max="15113" width="11.5703125" style="1" customWidth="1"/>
    <col min="15114" max="15114" width="12" style="1" customWidth="1"/>
    <col min="15115" max="15115" width="11" style="1" customWidth="1"/>
    <col min="15116" max="15116" width="8.28515625" style="1" customWidth="1"/>
    <col min="15117" max="15117" width="7.7109375" style="1" customWidth="1"/>
    <col min="15118" max="15118" width="7.85546875" style="1" customWidth="1"/>
    <col min="15119" max="15119" width="7.7109375" style="1" customWidth="1"/>
    <col min="15120" max="15120" width="9.28515625" style="1" customWidth="1"/>
    <col min="15121" max="15121" width="9.7109375" style="1" customWidth="1"/>
    <col min="15122" max="15122" width="8" style="1" customWidth="1"/>
    <col min="15123" max="15123" width="11.5703125" style="1" customWidth="1"/>
    <col min="15124" max="15124" width="12" style="1" customWidth="1"/>
    <col min="15125" max="15125" width="11" style="1" customWidth="1"/>
    <col min="15126" max="15126" width="8.28515625" style="1" customWidth="1"/>
    <col min="15127" max="15320" width="9.140625" style="1"/>
    <col min="15321" max="15321" width="6.28515625" style="1" customWidth="1"/>
    <col min="15322" max="15322" width="71.85546875" style="1" customWidth="1"/>
    <col min="15323" max="15323" width="7.5703125" style="1" customWidth="1"/>
    <col min="15324" max="15324" width="7" style="1" customWidth="1"/>
    <col min="15325" max="15325" width="7.7109375" style="1" customWidth="1"/>
    <col min="15326" max="15326" width="9.28515625" style="1" customWidth="1"/>
    <col min="15327" max="15327" width="9.7109375" style="1" customWidth="1"/>
    <col min="15328" max="15328" width="8" style="1" customWidth="1"/>
    <col min="15329" max="15329" width="11.5703125" style="1" customWidth="1"/>
    <col min="15330" max="15330" width="12" style="1" customWidth="1"/>
    <col min="15331" max="15331" width="11" style="1" customWidth="1"/>
    <col min="15332" max="15332" width="8.28515625" style="1" customWidth="1"/>
    <col min="15333" max="15333" width="7.7109375" style="1" customWidth="1"/>
    <col min="15334" max="15334" width="7" style="1" customWidth="1"/>
    <col min="15335" max="15335" width="7.7109375" style="1" customWidth="1"/>
    <col min="15336" max="15336" width="9.28515625" style="1" customWidth="1"/>
    <col min="15337" max="15337" width="9.7109375" style="1" customWidth="1"/>
    <col min="15338" max="15338" width="8" style="1" customWidth="1"/>
    <col min="15339" max="15339" width="11.5703125" style="1" customWidth="1"/>
    <col min="15340" max="15340" width="12" style="1" customWidth="1"/>
    <col min="15341" max="15341" width="11" style="1" customWidth="1"/>
    <col min="15342" max="15342" width="8.28515625" style="1" customWidth="1"/>
    <col min="15343" max="15343" width="7.7109375" style="1" customWidth="1"/>
    <col min="15344" max="15344" width="7" style="1" customWidth="1"/>
    <col min="15345" max="15345" width="7.7109375" style="1" customWidth="1"/>
    <col min="15346" max="15346" width="9.28515625" style="1" customWidth="1"/>
    <col min="15347" max="15347" width="9.7109375" style="1" customWidth="1"/>
    <col min="15348" max="15348" width="8" style="1" customWidth="1"/>
    <col min="15349" max="15349" width="11.5703125" style="1" customWidth="1"/>
    <col min="15350" max="15350" width="12" style="1" customWidth="1"/>
    <col min="15351" max="15351" width="11" style="1" customWidth="1"/>
    <col min="15352" max="15352" width="8.28515625" style="1" customWidth="1"/>
    <col min="15353" max="15353" width="7.7109375" style="1" customWidth="1"/>
    <col min="15354" max="15354" width="7" style="1" customWidth="1"/>
    <col min="15355" max="15355" width="7.7109375" style="1" customWidth="1"/>
    <col min="15356" max="15356" width="9.28515625" style="1" customWidth="1"/>
    <col min="15357" max="15357" width="9.7109375" style="1" customWidth="1"/>
    <col min="15358" max="15358" width="8" style="1" customWidth="1"/>
    <col min="15359" max="15359" width="11.5703125" style="1" customWidth="1"/>
    <col min="15360" max="15360" width="12" style="1" customWidth="1"/>
    <col min="15361" max="15361" width="11" style="1" customWidth="1"/>
    <col min="15362" max="15362" width="8.28515625" style="1" customWidth="1"/>
    <col min="15363" max="15363" width="7.7109375" style="1" customWidth="1"/>
    <col min="15364" max="15364" width="7" style="1" customWidth="1"/>
    <col min="15365" max="15365" width="7.7109375" style="1" customWidth="1"/>
    <col min="15366" max="15366" width="9.28515625" style="1" customWidth="1"/>
    <col min="15367" max="15367" width="9.7109375" style="1" customWidth="1"/>
    <col min="15368" max="15368" width="8" style="1" customWidth="1"/>
    <col min="15369" max="15369" width="11.5703125" style="1" customWidth="1"/>
    <col min="15370" max="15370" width="12" style="1" customWidth="1"/>
    <col min="15371" max="15371" width="11" style="1" customWidth="1"/>
    <col min="15372" max="15372" width="8.28515625" style="1" customWidth="1"/>
    <col min="15373" max="15373" width="7.7109375" style="1" customWidth="1"/>
    <col min="15374" max="15374" width="7.85546875" style="1" customWidth="1"/>
    <col min="15375" max="15375" width="7.7109375" style="1" customWidth="1"/>
    <col min="15376" max="15376" width="9.28515625" style="1" customWidth="1"/>
    <col min="15377" max="15377" width="9.7109375" style="1" customWidth="1"/>
    <col min="15378" max="15378" width="8" style="1" customWidth="1"/>
    <col min="15379" max="15379" width="11.5703125" style="1" customWidth="1"/>
    <col min="15380" max="15380" width="12" style="1" customWidth="1"/>
    <col min="15381" max="15381" width="11" style="1" customWidth="1"/>
    <col min="15382" max="15382" width="8.28515625" style="1" customWidth="1"/>
    <col min="15383" max="15576" width="9.140625" style="1"/>
    <col min="15577" max="15577" width="6.28515625" style="1" customWidth="1"/>
    <col min="15578" max="15578" width="71.85546875" style="1" customWidth="1"/>
    <col min="15579" max="15579" width="7.5703125" style="1" customWidth="1"/>
    <col min="15580" max="15580" width="7" style="1" customWidth="1"/>
    <col min="15581" max="15581" width="7.7109375" style="1" customWidth="1"/>
    <col min="15582" max="15582" width="9.28515625" style="1" customWidth="1"/>
    <col min="15583" max="15583" width="9.7109375" style="1" customWidth="1"/>
    <col min="15584" max="15584" width="8" style="1" customWidth="1"/>
    <col min="15585" max="15585" width="11.5703125" style="1" customWidth="1"/>
    <col min="15586" max="15586" width="12" style="1" customWidth="1"/>
    <col min="15587" max="15587" width="11" style="1" customWidth="1"/>
    <col min="15588" max="15588" width="8.28515625" style="1" customWidth="1"/>
    <col min="15589" max="15589" width="7.7109375" style="1" customWidth="1"/>
    <col min="15590" max="15590" width="7" style="1" customWidth="1"/>
    <col min="15591" max="15591" width="7.7109375" style="1" customWidth="1"/>
    <col min="15592" max="15592" width="9.28515625" style="1" customWidth="1"/>
    <col min="15593" max="15593" width="9.7109375" style="1" customWidth="1"/>
    <col min="15594" max="15594" width="8" style="1" customWidth="1"/>
    <col min="15595" max="15595" width="11.5703125" style="1" customWidth="1"/>
    <col min="15596" max="15596" width="12" style="1" customWidth="1"/>
    <col min="15597" max="15597" width="11" style="1" customWidth="1"/>
    <col min="15598" max="15598" width="8.28515625" style="1" customWidth="1"/>
    <col min="15599" max="15599" width="7.7109375" style="1" customWidth="1"/>
    <col min="15600" max="15600" width="7" style="1" customWidth="1"/>
    <col min="15601" max="15601" width="7.7109375" style="1" customWidth="1"/>
    <col min="15602" max="15602" width="9.28515625" style="1" customWidth="1"/>
    <col min="15603" max="15603" width="9.7109375" style="1" customWidth="1"/>
    <col min="15604" max="15604" width="8" style="1" customWidth="1"/>
    <col min="15605" max="15605" width="11.5703125" style="1" customWidth="1"/>
    <col min="15606" max="15606" width="12" style="1" customWidth="1"/>
    <col min="15607" max="15607" width="11" style="1" customWidth="1"/>
    <col min="15608" max="15608" width="8.28515625" style="1" customWidth="1"/>
    <col min="15609" max="15609" width="7.7109375" style="1" customWidth="1"/>
    <col min="15610" max="15610" width="7" style="1" customWidth="1"/>
    <col min="15611" max="15611" width="7.7109375" style="1" customWidth="1"/>
    <col min="15612" max="15612" width="9.28515625" style="1" customWidth="1"/>
    <col min="15613" max="15613" width="9.7109375" style="1" customWidth="1"/>
    <col min="15614" max="15614" width="8" style="1" customWidth="1"/>
    <col min="15615" max="15615" width="11.5703125" style="1" customWidth="1"/>
    <col min="15616" max="15616" width="12" style="1" customWidth="1"/>
    <col min="15617" max="15617" width="11" style="1" customWidth="1"/>
    <col min="15618" max="15618" width="8.28515625" style="1" customWidth="1"/>
    <col min="15619" max="15619" width="7.7109375" style="1" customWidth="1"/>
    <col min="15620" max="15620" width="7" style="1" customWidth="1"/>
    <col min="15621" max="15621" width="7.7109375" style="1" customWidth="1"/>
    <col min="15622" max="15622" width="9.28515625" style="1" customWidth="1"/>
    <col min="15623" max="15623" width="9.7109375" style="1" customWidth="1"/>
    <col min="15624" max="15624" width="8" style="1" customWidth="1"/>
    <col min="15625" max="15625" width="11.5703125" style="1" customWidth="1"/>
    <col min="15626" max="15626" width="12" style="1" customWidth="1"/>
    <col min="15627" max="15627" width="11" style="1" customWidth="1"/>
    <col min="15628" max="15628" width="8.28515625" style="1" customWidth="1"/>
    <col min="15629" max="15629" width="7.7109375" style="1" customWidth="1"/>
    <col min="15630" max="15630" width="7.85546875" style="1" customWidth="1"/>
    <col min="15631" max="15631" width="7.7109375" style="1" customWidth="1"/>
    <col min="15632" max="15632" width="9.28515625" style="1" customWidth="1"/>
    <col min="15633" max="15633" width="9.7109375" style="1" customWidth="1"/>
    <col min="15634" max="15634" width="8" style="1" customWidth="1"/>
    <col min="15635" max="15635" width="11.5703125" style="1" customWidth="1"/>
    <col min="15636" max="15636" width="12" style="1" customWidth="1"/>
    <col min="15637" max="15637" width="11" style="1" customWidth="1"/>
    <col min="15638" max="15638" width="8.28515625" style="1" customWidth="1"/>
    <col min="15639" max="15832" width="9.140625" style="1"/>
    <col min="15833" max="15833" width="6.28515625" style="1" customWidth="1"/>
    <col min="15834" max="15834" width="71.85546875" style="1" customWidth="1"/>
    <col min="15835" max="15835" width="7.5703125" style="1" customWidth="1"/>
    <col min="15836" max="15836" width="7" style="1" customWidth="1"/>
    <col min="15837" max="15837" width="7.7109375" style="1" customWidth="1"/>
    <col min="15838" max="15838" width="9.28515625" style="1" customWidth="1"/>
    <col min="15839" max="15839" width="9.7109375" style="1" customWidth="1"/>
    <col min="15840" max="15840" width="8" style="1" customWidth="1"/>
    <col min="15841" max="15841" width="11.5703125" style="1" customWidth="1"/>
    <col min="15842" max="15842" width="12" style="1" customWidth="1"/>
    <col min="15843" max="15843" width="11" style="1" customWidth="1"/>
    <col min="15844" max="15844" width="8.28515625" style="1" customWidth="1"/>
    <col min="15845" max="15845" width="7.7109375" style="1" customWidth="1"/>
    <col min="15846" max="15846" width="7" style="1" customWidth="1"/>
    <col min="15847" max="15847" width="7.7109375" style="1" customWidth="1"/>
    <col min="15848" max="15848" width="9.28515625" style="1" customWidth="1"/>
    <col min="15849" max="15849" width="9.7109375" style="1" customWidth="1"/>
    <col min="15850" max="15850" width="8" style="1" customWidth="1"/>
    <col min="15851" max="15851" width="11.5703125" style="1" customWidth="1"/>
    <col min="15852" max="15852" width="12" style="1" customWidth="1"/>
    <col min="15853" max="15853" width="11" style="1" customWidth="1"/>
    <col min="15854" max="15854" width="8.28515625" style="1" customWidth="1"/>
    <col min="15855" max="15855" width="7.7109375" style="1" customWidth="1"/>
    <col min="15856" max="15856" width="7" style="1" customWidth="1"/>
    <col min="15857" max="15857" width="7.7109375" style="1" customWidth="1"/>
    <col min="15858" max="15858" width="9.28515625" style="1" customWidth="1"/>
    <col min="15859" max="15859" width="9.7109375" style="1" customWidth="1"/>
    <col min="15860" max="15860" width="8" style="1" customWidth="1"/>
    <col min="15861" max="15861" width="11.5703125" style="1" customWidth="1"/>
    <col min="15862" max="15862" width="12" style="1" customWidth="1"/>
    <col min="15863" max="15863" width="11" style="1" customWidth="1"/>
    <col min="15864" max="15864" width="8.28515625" style="1" customWidth="1"/>
    <col min="15865" max="15865" width="7.7109375" style="1" customWidth="1"/>
    <col min="15866" max="15866" width="7" style="1" customWidth="1"/>
    <col min="15867" max="15867" width="7.7109375" style="1" customWidth="1"/>
    <col min="15868" max="15868" width="9.28515625" style="1" customWidth="1"/>
    <col min="15869" max="15869" width="9.7109375" style="1" customWidth="1"/>
    <col min="15870" max="15870" width="8" style="1" customWidth="1"/>
    <col min="15871" max="15871" width="11.5703125" style="1" customWidth="1"/>
    <col min="15872" max="15872" width="12" style="1" customWidth="1"/>
    <col min="15873" max="15873" width="11" style="1" customWidth="1"/>
    <col min="15874" max="15874" width="8.28515625" style="1" customWidth="1"/>
    <col min="15875" max="15875" width="7.7109375" style="1" customWidth="1"/>
    <col min="15876" max="15876" width="7" style="1" customWidth="1"/>
    <col min="15877" max="15877" width="7.7109375" style="1" customWidth="1"/>
    <col min="15878" max="15878" width="9.28515625" style="1" customWidth="1"/>
    <col min="15879" max="15879" width="9.7109375" style="1" customWidth="1"/>
    <col min="15880" max="15880" width="8" style="1" customWidth="1"/>
    <col min="15881" max="15881" width="11.5703125" style="1" customWidth="1"/>
    <col min="15882" max="15882" width="12" style="1" customWidth="1"/>
    <col min="15883" max="15883" width="11" style="1" customWidth="1"/>
    <col min="15884" max="15884" width="8.28515625" style="1" customWidth="1"/>
    <col min="15885" max="15885" width="7.7109375" style="1" customWidth="1"/>
    <col min="15886" max="15886" width="7.85546875" style="1" customWidth="1"/>
    <col min="15887" max="15887" width="7.7109375" style="1" customWidth="1"/>
    <col min="15888" max="15888" width="9.28515625" style="1" customWidth="1"/>
    <col min="15889" max="15889" width="9.7109375" style="1" customWidth="1"/>
    <col min="15890" max="15890" width="8" style="1" customWidth="1"/>
    <col min="15891" max="15891" width="11.5703125" style="1" customWidth="1"/>
    <col min="15892" max="15892" width="12" style="1" customWidth="1"/>
    <col min="15893" max="15893" width="11" style="1" customWidth="1"/>
    <col min="15894" max="15894" width="8.28515625" style="1" customWidth="1"/>
    <col min="15895" max="16384" width="9.140625" style="1"/>
  </cols>
  <sheetData>
    <row r="1" spans="1:324" x14ac:dyDescent="0.25">
      <c r="LJ1" s="1" t="s">
        <v>872</v>
      </c>
    </row>
    <row r="2" spans="1:324" x14ac:dyDescent="0.25">
      <c r="A2" s="1410" t="s">
        <v>454</v>
      </c>
      <c r="B2" s="1410"/>
      <c r="C2" s="1410"/>
      <c r="D2" s="1410"/>
      <c r="E2" s="1410"/>
    </row>
    <row r="3" spans="1:324" ht="15" customHeight="1" x14ac:dyDescent="0.25">
      <c r="A3" s="1327" t="s">
        <v>455</v>
      </c>
      <c r="B3" s="1327"/>
      <c r="C3" s="1327"/>
      <c r="D3" s="1327"/>
      <c r="E3" s="1327"/>
    </row>
    <row r="4" spans="1:324" x14ac:dyDescent="0.25">
      <c r="A4" s="1411" t="s">
        <v>219</v>
      </c>
      <c r="B4" s="1411"/>
      <c r="C4" s="1411"/>
      <c r="D4" s="1411"/>
      <c r="E4" s="1411"/>
    </row>
    <row r="5" spans="1:324" ht="15" customHeight="1" x14ac:dyDescent="0.25">
      <c r="A5" s="1328" t="s">
        <v>721</v>
      </c>
      <c r="B5" s="1328"/>
      <c r="C5" s="1328"/>
      <c r="D5" s="1328"/>
      <c r="E5" s="1328"/>
      <c r="LD5" s="1514" t="s">
        <v>1696</v>
      </c>
      <c r="LE5" s="1514"/>
      <c r="LF5" s="1514"/>
      <c r="LG5" s="1514"/>
      <c r="LH5" s="1514"/>
      <c r="LI5" s="1514"/>
      <c r="LJ5" s="1514"/>
      <c r="LK5" s="1514"/>
      <c r="LL5" s="1514"/>
    </row>
    <row r="6" spans="1:324" ht="18" customHeight="1" x14ac:dyDescent="0.25">
      <c r="A6" s="35" t="s">
        <v>2</v>
      </c>
      <c r="B6" s="196" t="s">
        <v>3</v>
      </c>
      <c r="C6" s="196"/>
      <c r="D6" s="196"/>
      <c r="E6" s="230" t="s">
        <v>461</v>
      </c>
      <c r="F6" s="1511" t="s">
        <v>732</v>
      </c>
      <c r="G6" s="1512"/>
      <c r="H6" s="1512"/>
      <c r="I6" s="1512"/>
      <c r="J6" s="1512"/>
      <c r="K6" s="1512"/>
      <c r="L6" s="1512"/>
      <c r="M6" s="1512"/>
      <c r="N6" s="1512"/>
      <c r="O6" s="1513"/>
      <c r="P6" s="1511" t="s">
        <v>733</v>
      </c>
      <c r="Q6" s="1512"/>
      <c r="R6" s="1512"/>
      <c r="S6" s="1512"/>
      <c r="T6" s="1512"/>
      <c r="U6" s="1512"/>
      <c r="V6" s="1512"/>
      <c r="W6" s="1512"/>
      <c r="X6" s="1512"/>
      <c r="Y6" s="1513"/>
      <c r="Z6" s="1511" t="s">
        <v>734</v>
      </c>
      <c r="AA6" s="1512"/>
      <c r="AB6" s="1512"/>
      <c r="AC6" s="1512"/>
      <c r="AD6" s="1512"/>
      <c r="AE6" s="1512"/>
      <c r="AF6" s="1512"/>
      <c r="AG6" s="1512"/>
      <c r="AH6" s="1512"/>
      <c r="AI6" s="1513"/>
      <c r="AJ6" s="1511" t="s">
        <v>735</v>
      </c>
      <c r="AK6" s="1512"/>
      <c r="AL6" s="1512"/>
      <c r="AM6" s="1512"/>
      <c r="AN6" s="1512"/>
      <c r="AO6" s="1512"/>
      <c r="AP6" s="1512"/>
      <c r="AQ6" s="1512"/>
      <c r="AR6" s="1512"/>
      <c r="AS6" s="1513"/>
      <c r="AT6" s="1511" t="s">
        <v>736</v>
      </c>
      <c r="AU6" s="1512"/>
      <c r="AV6" s="1512"/>
      <c r="AW6" s="1512"/>
      <c r="AX6" s="1512"/>
      <c r="AY6" s="1512"/>
      <c r="AZ6" s="1512"/>
      <c r="BA6" s="1512"/>
      <c r="BB6" s="1512"/>
      <c r="BC6" s="1513"/>
      <c r="BD6" s="1511" t="s">
        <v>737</v>
      </c>
      <c r="BE6" s="1512"/>
      <c r="BF6" s="1512"/>
      <c r="BG6" s="1512"/>
      <c r="BH6" s="1512"/>
      <c r="BI6" s="1512"/>
      <c r="BJ6" s="1512"/>
      <c r="BK6" s="1512"/>
      <c r="BL6" s="1512"/>
      <c r="BM6" s="1513"/>
      <c r="BN6" s="1511" t="s">
        <v>738</v>
      </c>
      <c r="BO6" s="1512"/>
      <c r="BP6" s="1512"/>
      <c r="BQ6" s="1512"/>
      <c r="BR6" s="1512"/>
      <c r="BS6" s="1512"/>
      <c r="BT6" s="1512"/>
      <c r="BU6" s="1512"/>
      <c r="BV6" s="1512"/>
      <c r="BW6" s="1513"/>
      <c r="BX6" s="1511" t="s">
        <v>739</v>
      </c>
      <c r="BY6" s="1512"/>
      <c r="BZ6" s="1512"/>
      <c r="CA6" s="1512"/>
      <c r="CB6" s="1512"/>
      <c r="CC6" s="1512"/>
      <c r="CD6" s="1512"/>
      <c r="CE6" s="1512"/>
      <c r="CF6" s="1512"/>
      <c r="CG6" s="1513"/>
      <c r="CH6" s="1511" t="s">
        <v>740</v>
      </c>
      <c r="CI6" s="1512"/>
      <c r="CJ6" s="1512"/>
      <c r="CK6" s="1512"/>
      <c r="CL6" s="1512"/>
      <c r="CM6" s="1512"/>
      <c r="CN6" s="1512"/>
      <c r="CO6" s="1512"/>
      <c r="CP6" s="1512"/>
      <c r="CQ6" s="1513"/>
      <c r="CR6" s="1511" t="s">
        <v>741</v>
      </c>
      <c r="CS6" s="1512"/>
      <c r="CT6" s="1512"/>
      <c r="CU6" s="1512"/>
      <c r="CV6" s="1512"/>
      <c r="CW6" s="1512"/>
      <c r="CX6" s="1512"/>
      <c r="CY6" s="1512"/>
      <c r="CZ6" s="1512"/>
      <c r="DA6" s="1513"/>
      <c r="DB6" s="1511" t="s">
        <v>742</v>
      </c>
      <c r="DC6" s="1512"/>
      <c r="DD6" s="1512"/>
      <c r="DE6" s="1512"/>
      <c r="DF6" s="1512"/>
      <c r="DG6" s="1512"/>
      <c r="DH6" s="1512"/>
      <c r="DI6" s="1512"/>
      <c r="DJ6" s="1512"/>
      <c r="DK6" s="1513"/>
      <c r="DL6" s="1511" t="s">
        <v>743</v>
      </c>
      <c r="DM6" s="1512"/>
      <c r="DN6" s="1512"/>
      <c r="DO6" s="1512"/>
      <c r="DP6" s="1512"/>
      <c r="DQ6" s="1512"/>
      <c r="DR6" s="1512"/>
      <c r="DS6" s="1512"/>
      <c r="DT6" s="1512"/>
      <c r="DU6" s="1513"/>
      <c r="DV6" s="1511" t="s">
        <v>744</v>
      </c>
      <c r="DW6" s="1512"/>
      <c r="DX6" s="1512"/>
      <c r="DY6" s="1512"/>
      <c r="DZ6" s="1512"/>
      <c r="EA6" s="1512"/>
      <c r="EB6" s="1512"/>
      <c r="EC6" s="1512"/>
      <c r="ED6" s="1512"/>
      <c r="EE6" s="1513"/>
      <c r="EF6" s="1511" t="s">
        <v>745</v>
      </c>
      <c r="EG6" s="1512"/>
      <c r="EH6" s="1512"/>
      <c r="EI6" s="1512"/>
      <c r="EJ6" s="1512"/>
      <c r="EK6" s="1512"/>
      <c r="EL6" s="1512"/>
      <c r="EM6" s="1512"/>
      <c r="EN6" s="1512"/>
      <c r="EO6" s="1513"/>
      <c r="EP6" s="1511" t="s">
        <v>748</v>
      </c>
      <c r="EQ6" s="1512"/>
      <c r="ER6" s="1512"/>
      <c r="ES6" s="1512"/>
      <c r="ET6" s="1512"/>
      <c r="EU6" s="1512"/>
      <c r="EV6" s="1512"/>
      <c r="EW6" s="1512"/>
      <c r="EX6" s="1512"/>
      <c r="EY6" s="1513"/>
      <c r="EZ6" s="1511" t="s">
        <v>746</v>
      </c>
      <c r="FA6" s="1512"/>
      <c r="FB6" s="1512"/>
      <c r="FC6" s="1512"/>
      <c r="FD6" s="1512"/>
      <c r="FE6" s="1512"/>
      <c r="FF6" s="1512"/>
      <c r="FG6" s="1512"/>
      <c r="FH6" s="1512"/>
      <c r="FI6" s="1513"/>
      <c r="FJ6" s="1511" t="s">
        <v>747</v>
      </c>
      <c r="FK6" s="1512"/>
      <c r="FL6" s="1512"/>
      <c r="FM6" s="1512"/>
      <c r="FN6" s="1512"/>
      <c r="FO6" s="1512"/>
      <c r="FP6" s="1512"/>
      <c r="FQ6" s="1512"/>
      <c r="FR6" s="1512"/>
      <c r="FS6" s="1513"/>
      <c r="FT6" s="1511" t="s">
        <v>749</v>
      </c>
      <c r="FU6" s="1512"/>
      <c r="FV6" s="1512"/>
      <c r="FW6" s="1512"/>
      <c r="FX6" s="1512"/>
      <c r="FY6" s="1512"/>
      <c r="FZ6" s="1512"/>
      <c r="GA6" s="1512"/>
      <c r="GB6" s="1512"/>
      <c r="GC6" s="1513"/>
      <c r="GD6" s="1511" t="s">
        <v>750</v>
      </c>
      <c r="GE6" s="1512"/>
      <c r="GF6" s="1512"/>
      <c r="GG6" s="1512"/>
      <c r="GH6" s="1512"/>
      <c r="GI6" s="1512"/>
      <c r="GJ6" s="1512"/>
      <c r="GK6" s="1512"/>
      <c r="GL6" s="1512"/>
      <c r="GM6" s="1513"/>
      <c r="GN6" s="1511" t="s">
        <v>751</v>
      </c>
      <c r="GO6" s="1512"/>
      <c r="GP6" s="1512"/>
      <c r="GQ6" s="1512"/>
      <c r="GR6" s="1512"/>
      <c r="GS6" s="1512"/>
      <c r="GT6" s="1512"/>
      <c r="GU6" s="1512"/>
      <c r="GV6" s="1512"/>
      <c r="GW6" s="1513"/>
      <c r="GX6" s="1511" t="s">
        <v>752</v>
      </c>
      <c r="GY6" s="1512"/>
      <c r="GZ6" s="1512"/>
      <c r="HA6" s="1512"/>
      <c r="HB6" s="1512"/>
      <c r="HC6" s="1512"/>
      <c r="HD6" s="1512"/>
      <c r="HE6" s="1512"/>
      <c r="HF6" s="1512"/>
      <c r="HG6" s="1513"/>
      <c r="HH6" s="1511" t="s">
        <v>753</v>
      </c>
      <c r="HI6" s="1512"/>
      <c r="HJ6" s="1512"/>
      <c r="HK6" s="1512"/>
      <c r="HL6" s="1512"/>
      <c r="HM6" s="1512"/>
      <c r="HN6" s="1512"/>
      <c r="HO6" s="1512"/>
      <c r="HP6" s="1512"/>
      <c r="HQ6" s="1513"/>
      <c r="HR6" s="1511" t="s">
        <v>754</v>
      </c>
      <c r="HS6" s="1512"/>
      <c r="HT6" s="1512"/>
      <c r="HU6" s="1512"/>
      <c r="HV6" s="1512"/>
      <c r="HW6" s="1512"/>
      <c r="HX6" s="1512"/>
      <c r="HY6" s="1512"/>
      <c r="HZ6" s="1512"/>
      <c r="IA6" s="1513"/>
      <c r="IB6" s="1511" t="s">
        <v>755</v>
      </c>
      <c r="IC6" s="1512"/>
      <c r="ID6" s="1512"/>
      <c r="IE6" s="1512"/>
      <c r="IF6" s="1512"/>
      <c r="IG6" s="1512"/>
      <c r="IH6" s="1512"/>
      <c r="II6" s="1512"/>
      <c r="IJ6" s="1512"/>
      <c r="IK6" s="1513"/>
      <c r="IL6" s="1511" t="s">
        <v>756</v>
      </c>
      <c r="IM6" s="1512"/>
      <c r="IN6" s="1512"/>
      <c r="IO6" s="1512"/>
      <c r="IP6" s="1512"/>
      <c r="IQ6" s="1512"/>
      <c r="IR6" s="1512"/>
      <c r="IS6" s="1512"/>
      <c r="IT6" s="1512"/>
      <c r="IU6" s="1513"/>
      <c r="IV6" s="1511" t="s">
        <v>757</v>
      </c>
      <c r="IW6" s="1512"/>
      <c r="IX6" s="1512"/>
      <c r="IY6" s="1512"/>
      <c r="IZ6" s="1512"/>
      <c r="JA6" s="1512"/>
      <c r="JB6" s="1512"/>
      <c r="JC6" s="1512"/>
      <c r="JD6" s="1512"/>
      <c r="JE6" s="1513"/>
      <c r="JF6" s="1511" t="s">
        <v>758</v>
      </c>
      <c r="JG6" s="1512"/>
      <c r="JH6" s="1512"/>
      <c r="JI6" s="1512"/>
      <c r="JJ6" s="1512"/>
      <c r="JK6" s="1512"/>
      <c r="JL6" s="1512"/>
      <c r="JM6" s="1512"/>
      <c r="JN6" s="1512"/>
      <c r="JO6" s="1513"/>
      <c r="JP6" s="1511" t="s">
        <v>759</v>
      </c>
      <c r="JQ6" s="1512"/>
      <c r="JR6" s="1512"/>
      <c r="JS6" s="1512"/>
      <c r="JT6" s="1512"/>
      <c r="JU6" s="1512"/>
      <c r="JV6" s="1512"/>
      <c r="JW6" s="1512"/>
      <c r="JX6" s="1512"/>
      <c r="JY6" s="1513"/>
      <c r="JZ6" s="1511" t="s">
        <v>760</v>
      </c>
      <c r="KA6" s="1512"/>
      <c r="KB6" s="1512"/>
      <c r="KC6" s="1512"/>
      <c r="KD6" s="1512"/>
      <c r="KE6" s="1512"/>
      <c r="KF6" s="1512"/>
      <c r="KG6" s="1512"/>
      <c r="KH6" s="1512"/>
      <c r="KI6" s="1513"/>
      <c r="KJ6" s="1511" t="s">
        <v>761</v>
      </c>
      <c r="KK6" s="1512"/>
      <c r="KL6" s="1512"/>
      <c r="KM6" s="1512"/>
      <c r="KN6" s="1512"/>
      <c r="KO6" s="1512"/>
      <c r="KP6" s="1512"/>
      <c r="KQ6" s="1512"/>
      <c r="KR6" s="1512"/>
      <c r="KS6" s="1513"/>
      <c r="KT6" s="1511" t="s">
        <v>941</v>
      </c>
      <c r="KU6" s="1512"/>
      <c r="KV6" s="1512"/>
      <c r="KW6" s="1512"/>
      <c r="KX6" s="1512"/>
      <c r="KY6" s="1512"/>
      <c r="KZ6" s="1512"/>
      <c r="LA6" s="1512"/>
      <c r="LB6" s="1512"/>
      <c r="LC6" s="1513"/>
      <c r="LD6" s="1515" t="s">
        <v>462</v>
      </c>
      <c r="LE6" s="1516"/>
      <c r="LF6" s="1516"/>
      <c r="LG6" s="1516"/>
      <c r="LH6" s="1516"/>
      <c r="LI6" s="1516"/>
      <c r="LJ6" s="1516"/>
      <c r="LK6" s="1516"/>
      <c r="LL6" s="1517"/>
    </row>
    <row r="7" spans="1:324" ht="36" customHeight="1" x14ac:dyDescent="0.25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463</v>
      </c>
      <c r="J7" s="3">
        <v>8</v>
      </c>
      <c r="K7" s="3" t="s">
        <v>464</v>
      </c>
      <c r="L7" s="3" t="s">
        <v>465</v>
      </c>
      <c r="M7" s="3" t="s">
        <v>466</v>
      </c>
      <c r="N7" s="134" t="s">
        <v>467</v>
      </c>
      <c r="O7" s="3" t="s">
        <v>468</v>
      </c>
      <c r="P7" s="3">
        <v>4</v>
      </c>
      <c r="Q7" s="3">
        <v>5</v>
      </c>
      <c r="R7" s="3">
        <v>6</v>
      </c>
      <c r="S7" s="3" t="s">
        <v>463</v>
      </c>
      <c r="T7" s="3">
        <v>8</v>
      </c>
      <c r="U7" s="3" t="s">
        <v>464</v>
      </c>
      <c r="V7" s="3" t="s">
        <v>465</v>
      </c>
      <c r="W7" s="3" t="s">
        <v>466</v>
      </c>
      <c r="X7" s="134" t="s">
        <v>467</v>
      </c>
      <c r="Y7" s="3" t="s">
        <v>468</v>
      </c>
      <c r="Z7" s="3">
        <v>4</v>
      </c>
      <c r="AA7" s="3">
        <v>5</v>
      </c>
      <c r="AB7" s="3">
        <v>6</v>
      </c>
      <c r="AC7" s="3" t="s">
        <v>463</v>
      </c>
      <c r="AD7" s="3">
        <v>8</v>
      </c>
      <c r="AE7" s="3" t="s">
        <v>464</v>
      </c>
      <c r="AF7" s="3" t="s">
        <v>465</v>
      </c>
      <c r="AG7" s="3" t="s">
        <v>466</v>
      </c>
      <c r="AH7" s="134" t="s">
        <v>467</v>
      </c>
      <c r="AI7" s="3" t="s">
        <v>468</v>
      </c>
      <c r="AJ7" s="3">
        <v>4</v>
      </c>
      <c r="AK7" s="3">
        <v>5</v>
      </c>
      <c r="AL7" s="3">
        <v>6</v>
      </c>
      <c r="AM7" s="3" t="s">
        <v>463</v>
      </c>
      <c r="AN7" s="3">
        <v>8</v>
      </c>
      <c r="AO7" s="3" t="s">
        <v>464</v>
      </c>
      <c r="AP7" s="3" t="s">
        <v>465</v>
      </c>
      <c r="AQ7" s="3" t="s">
        <v>466</v>
      </c>
      <c r="AR7" s="134" t="s">
        <v>467</v>
      </c>
      <c r="AS7" s="3" t="s">
        <v>468</v>
      </c>
      <c r="AT7" s="3">
        <v>4</v>
      </c>
      <c r="AU7" s="3">
        <v>5</v>
      </c>
      <c r="AV7" s="3">
        <v>6</v>
      </c>
      <c r="AW7" s="3" t="s">
        <v>463</v>
      </c>
      <c r="AX7" s="3">
        <v>8</v>
      </c>
      <c r="AY7" s="3" t="s">
        <v>464</v>
      </c>
      <c r="AZ7" s="3" t="s">
        <v>465</v>
      </c>
      <c r="BA7" s="3" t="s">
        <v>466</v>
      </c>
      <c r="BB7" s="134" t="s">
        <v>467</v>
      </c>
      <c r="BC7" s="3" t="s">
        <v>468</v>
      </c>
      <c r="BD7" s="3">
        <v>4</v>
      </c>
      <c r="BE7" s="3">
        <v>5</v>
      </c>
      <c r="BF7" s="3">
        <v>6</v>
      </c>
      <c r="BG7" s="3" t="s">
        <v>463</v>
      </c>
      <c r="BH7" s="3">
        <v>8</v>
      </c>
      <c r="BI7" s="3" t="s">
        <v>464</v>
      </c>
      <c r="BJ7" s="3" t="s">
        <v>465</v>
      </c>
      <c r="BK7" s="3" t="s">
        <v>466</v>
      </c>
      <c r="BL7" s="134" t="s">
        <v>467</v>
      </c>
      <c r="BM7" s="3" t="s">
        <v>468</v>
      </c>
      <c r="BN7" s="3">
        <v>4</v>
      </c>
      <c r="BO7" s="3">
        <v>5</v>
      </c>
      <c r="BP7" s="3">
        <v>6</v>
      </c>
      <c r="BQ7" s="3" t="s">
        <v>463</v>
      </c>
      <c r="BR7" s="3">
        <v>8</v>
      </c>
      <c r="BS7" s="3" t="s">
        <v>464</v>
      </c>
      <c r="BT7" s="3" t="s">
        <v>465</v>
      </c>
      <c r="BU7" s="3" t="s">
        <v>466</v>
      </c>
      <c r="BV7" s="134" t="s">
        <v>467</v>
      </c>
      <c r="BW7" s="3" t="s">
        <v>468</v>
      </c>
      <c r="BX7" s="3">
        <v>4</v>
      </c>
      <c r="BY7" s="3">
        <v>5</v>
      </c>
      <c r="BZ7" s="3">
        <v>6</v>
      </c>
      <c r="CA7" s="3" t="s">
        <v>463</v>
      </c>
      <c r="CB7" s="3">
        <v>8</v>
      </c>
      <c r="CC7" s="3" t="s">
        <v>464</v>
      </c>
      <c r="CD7" s="3" t="s">
        <v>465</v>
      </c>
      <c r="CE7" s="3" t="s">
        <v>466</v>
      </c>
      <c r="CF7" s="134" t="s">
        <v>467</v>
      </c>
      <c r="CG7" s="3" t="s">
        <v>468</v>
      </c>
      <c r="CH7" s="3">
        <v>4</v>
      </c>
      <c r="CI7" s="3">
        <v>5</v>
      </c>
      <c r="CJ7" s="3">
        <v>6</v>
      </c>
      <c r="CK7" s="3" t="s">
        <v>463</v>
      </c>
      <c r="CL7" s="3">
        <v>8</v>
      </c>
      <c r="CM7" s="3" t="s">
        <v>464</v>
      </c>
      <c r="CN7" s="3" t="s">
        <v>465</v>
      </c>
      <c r="CO7" s="3" t="s">
        <v>466</v>
      </c>
      <c r="CP7" s="134" t="s">
        <v>467</v>
      </c>
      <c r="CQ7" s="3" t="s">
        <v>468</v>
      </c>
      <c r="CR7" s="3">
        <v>4</v>
      </c>
      <c r="CS7" s="3">
        <v>5</v>
      </c>
      <c r="CT7" s="3">
        <v>6</v>
      </c>
      <c r="CU7" s="3" t="s">
        <v>463</v>
      </c>
      <c r="CV7" s="3">
        <v>8</v>
      </c>
      <c r="CW7" s="3" t="s">
        <v>464</v>
      </c>
      <c r="CX7" s="3" t="s">
        <v>465</v>
      </c>
      <c r="CY7" s="3" t="s">
        <v>466</v>
      </c>
      <c r="CZ7" s="134" t="s">
        <v>467</v>
      </c>
      <c r="DA7" s="3" t="s">
        <v>468</v>
      </c>
      <c r="DB7" s="3">
        <v>4</v>
      </c>
      <c r="DC7" s="3">
        <v>5</v>
      </c>
      <c r="DD7" s="3">
        <v>6</v>
      </c>
      <c r="DE7" s="3" t="s">
        <v>463</v>
      </c>
      <c r="DF7" s="3">
        <v>8</v>
      </c>
      <c r="DG7" s="3" t="s">
        <v>464</v>
      </c>
      <c r="DH7" s="3" t="s">
        <v>465</v>
      </c>
      <c r="DI7" s="3" t="s">
        <v>466</v>
      </c>
      <c r="DJ7" s="134" t="s">
        <v>467</v>
      </c>
      <c r="DK7" s="3" t="s">
        <v>468</v>
      </c>
      <c r="DL7" s="3">
        <v>4</v>
      </c>
      <c r="DM7" s="3">
        <v>5</v>
      </c>
      <c r="DN7" s="3">
        <v>6</v>
      </c>
      <c r="DO7" s="3" t="s">
        <v>463</v>
      </c>
      <c r="DP7" s="3">
        <v>8</v>
      </c>
      <c r="DQ7" s="3" t="s">
        <v>464</v>
      </c>
      <c r="DR7" s="3" t="s">
        <v>465</v>
      </c>
      <c r="DS7" s="3" t="s">
        <v>466</v>
      </c>
      <c r="DT7" s="134" t="s">
        <v>467</v>
      </c>
      <c r="DU7" s="3" t="s">
        <v>468</v>
      </c>
      <c r="DV7" s="3">
        <v>4</v>
      </c>
      <c r="DW7" s="3">
        <v>5</v>
      </c>
      <c r="DX7" s="3">
        <v>6</v>
      </c>
      <c r="DY7" s="3" t="s">
        <v>463</v>
      </c>
      <c r="DZ7" s="3">
        <v>8</v>
      </c>
      <c r="EA7" s="3" t="s">
        <v>464</v>
      </c>
      <c r="EB7" s="3" t="s">
        <v>465</v>
      </c>
      <c r="EC7" s="3" t="s">
        <v>466</v>
      </c>
      <c r="ED7" s="134" t="s">
        <v>467</v>
      </c>
      <c r="EE7" s="3" t="s">
        <v>468</v>
      </c>
      <c r="EF7" s="3">
        <v>4</v>
      </c>
      <c r="EG7" s="3">
        <v>5</v>
      </c>
      <c r="EH7" s="3">
        <v>6</v>
      </c>
      <c r="EI7" s="3" t="s">
        <v>463</v>
      </c>
      <c r="EJ7" s="3">
        <v>8</v>
      </c>
      <c r="EK7" s="3" t="s">
        <v>464</v>
      </c>
      <c r="EL7" s="3" t="s">
        <v>465</v>
      </c>
      <c r="EM7" s="3" t="s">
        <v>466</v>
      </c>
      <c r="EN7" s="134" t="s">
        <v>467</v>
      </c>
      <c r="EO7" s="3" t="s">
        <v>468</v>
      </c>
      <c r="EP7" s="3">
        <v>4</v>
      </c>
      <c r="EQ7" s="3">
        <v>5</v>
      </c>
      <c r="ER7" s="3">
        <v>6</v>
      </c>
      <c r="ES7" s="3" t="s">
        <v>463</v>
      </c>
      <c r="ET7" s="3">
        <v>8</v>
      </c>
      <c r="EU7" s="3" t="s">
        <v>464</v>
      </c>
      <c r="EV7" s="3" t="s">
        <v>465</v>
      </c>
      <c r="EW7" s="3" t="s">
        <v>466</v>
      </c>
      <c r="EX7" s="134" t="s">
        <v>467</v>
      </c>
      <c r="EY7" s="3" t="s">
        <v>468</v>
      </c>
      <c r="EZ7" s="3">
        <v>4</v>
      </c>
      <c r="FA7" s="3">
        <v>5</v>
      </c>
      <c r="FB7" s="3">
        <v>6</v>
      </c>
      <c r="FC7" s="3" t="s">
        <v>463</v>
      </c>
      <c r="FD7" s="3">
        <v>8</v>
      </c>
      <c r="FE7" s="3" t="s">
        <v>464</v>
      </c>
      <c r="FF7" s="3" t="s">
        <v>465</v>
      </c>
      <c r="FG7" s="3" t="s">
        <v>466</v>
      </c>
      <c r="FH7" s="134" t="s">
        <v>467</v>
      </c>
      <c r="FI7" s="3" t="s">
        <v>468</v>
      </c>
      <c r="FJ7" s="3">
        <v>4</v>
      </c>
      <c r="FK7" s="3">
        <v>5</v>
      </c>
      <c r="FL7" s="3">
        <v>6</v>
      </c>
      <c r="FM7" s="3" t="s">
        <v>463</v>
      </c>
      <c r="FN7" s="3">
        <v>8</v>
      </c>
      <c r="FO7" s="3" t="s">
        <v>464</v>
      </c>
      <c r="FP7" s="3" t="s">
        <v>465</v>
      </c>
      <c r="FQ7" s="3" t="s">
        <v>466</v>
      </c>
      <c r="FR7" s="134" t="s">
        <v>467</v>
      </c>
      <c r="FS7" s="3" t="s">
        <v>468</v>
      </c>
      <c r="FT7" s="3">
        <v>4</v>
      </c>
      <c r="FU7" s="3">
        <v>5</v>
      </c>
      <c r="FV7" s="3">
        <v>6</v>
      </c>
      <c r="FW7" s="3" t="s">
        <v>463</v>
      </c>
      <c r="FX7" s="3">
        <v>8</v>
      </c>
      <c r="FY7" s="3" t="s">
        <v>464</v>
      </c>
      <c r="FZ7" s="3" t="s">
        <v>465</v>
      </c>
      <c r="GA7" s="3" t="s">
        <v>466</v>
      </c>
      <c r="GB7" s="134" t="s">
        <v>467</v>
      </c>
      <c r="GC7" s="3" t="s">
        <v>468</v>
      </c>
      <c r="GD7" s="3">
        <v>4</v>
      </c>
      <c r="GE7" s="3">
        <v>5</v>
      </c>
      <c r="GF7" s="3">
        <v>6</v>
      </c>
      <c r="GG7" s="3" t="s">
        <v>463</v>
      </c>
      <c r="GH7" s="3">
        <v>8</v>
      </c>
      <c r="GI7" s="3" t="s">
        <v>464</v>
      </c>
      <c r="GJ7" s="3" t="s">
        <v>465</v>
      </c>
      <c r="GK7" s="3" t="s">
        <v>466</v>
      </c>
      <c r="GL7" s="134" t="s">
        <v>467</v>
      </c>
      <c r="GM7" s="3" t="s">
        <v>468</v>
      </c>
      <c r="GN7" s="3">
        <v>4</v>
      </c>
      <c r="GO7" s="3">
        <v>5</v>
      </c>
      <c r="GP7" s="3">
        <v>6</v>
      </c>
      <c r="GQ7" s="3" t="s">
        <v>463</v>
      </c>
      <c r="GR7" s="3">
        <v>8</v>
      </c>
      <c r="GS7" s="3" t="s">
        <v>464</v>
      </c>
      <c r="GT7" s="3" t="s">
        <v>465</v>
      </c>
      <c r="GU7" s="3" t="s">
        <v>466</v>
      </c>
      <c r="GV7" s="134" t="s">
        <v>467</v>
      </c>
      <c r="GW7" s="3" t="s">
        <v>468</v>
      </c>
      <c r="GX7" s="3">
        <v>4</v>
      </c>
      <c r="GY7" s="3">
        <v>5</v>
      </c>
      <c r="GZ7" s="3">
        <v>6</v>
      </c>
      <c r="HA7" s="3" t="s">
        <v>463</v>
      </c>
      <c r="HB7" s="3">
        <v>8</v>
      </c>
      <c r="HC7" s="3" t="s">
        <v>464</v>
      </c>
      <c r="HD7" s="3" t="s">
        <v>465</v>
      </c>
      <c r="HE7" s="3" t="s">
        <v>466</v>
      </c>
      <c r="HF7" s="134" t="s">
        <v>467</v>
      </c>
      <c r="HG7" s="3" t="s">
        <v>468</v>
      </c>
      <c r="HH7" s="3">
        <v>4</v>
      </c>
      <c r="HI7" s="3">
        <v>5</v>
      </c>
      <c r="HJ7" s="3">
        <v>6</v>
      </c>
      <c r="HK7" s="3" t="s">
        <v>463</v>
      </c>
      <c r="HL7" s="3">
        <v>8</v>
      </c>
      <c r="HM7" s="3" t="s">
        <v>464</v>
      </c>
      <c r="HN7" s="3" t="s">
        <v>465</v>
      </c>
      <c r="HO7" s="3" t="s">
        <v>466</v>
      </c>
      <c r="HP7" s="134" t="s">
        <v>467</v>
      </c>
      <c r="HQ7" s="3" t="s">
        <v>468</v>
      </c>
      <c r="HR7" s="3">
        <v>4</v>
      </c>
      <c r="HS7" s="3">
        <v>5</v>
      </c>
      <c r="HT7" s="3">
        <v>6</v>
      </c>
      <c r="HU7" s="3" t="s">
        <v>463</v>
      </c>
      <c r="HV7" s="3">
        <v>8</v>
      </c>
      <c r="HW7" s="3" t="s">
        <v>464</v>
      </c>
      <c r="HX7" s="3" t="s">
        <v>465</v>
      </c>
      <c r="HY7" s="3" t="s">
        <v>466</v>
      </c>
      <c r="HZ7" s="134" t="s">
        <v>467</v>
      </c>
      <c r="IA7" s="3" t="s">
        <v>468</v>
      </c>
      <c r="IB7" s="3">
        <v>4</v>
      </c>
      <c r="IC7" s="3">
        <v>5</v>
      </c>
      <c r="ID7" s="3">
        <v>6</v>
      </c>
      <c r="IE7" s="3" t="s">
        <v>463</v>
      </c>
      <c r="IF7" s="3">
        <v>8</v>
      </c>
      <c r="IG7" s="3" t="s">
        <v>464</v>
      </c>
      <c r="IH7" s="3" t="s">
        <v>465</v>
      </c>
      <c r="II7" s="3" t="s">
        <v>466</v>
      </c>
      <c r="IJ7" s="134" t="s">
        <v>467</v>
      </c>
      <c r="IK7" s="3" t="s">
        <v>468</v>
      </c>
      <c r="IL7" s="3">
        <v>4</v>
      </c>
      <c r="IM7" s="3">
        <v>5</v>
      </c>
      <c r="IN7" s="3">
        <v>6</v>
      </c>
      <c r="IO7" s="3" t="s">
        <v>463</v>
      </c>
      <c r="IP7" s="3">
        <v>8</v>
      </c>
      <c r="IQ7" s="3" t="s">
        <v>464</v>
      </c>
      <c r="IR7" s="3" t="s">
        <v>465</v>
      </c>
      <c r="IS7" s="3" t="s">
        <v>466</v>
      </c>
      <c r="IT7" s="134" t="s">
        <v>467</v>
      </c>
      <c r="IU7" s="3" t="s">
        <v>468</v>
      </c>
      <c r="IV7" s="3">
        <v>4</v>
      </c>
      <c r="IW7" s="3">
        <v>5</v>
      </c>
      <c r="IX7" s="3">
        <v>6</v>
      </c>
      <c r="IY7" s="3" t="s">
        <v>463</v>
      </c>
      <c r="IZ7" s="3">
        <v>8</v>
      </c>
      <c r="JA7" s="3" t="s">
        <v>464</v>
      </c>
      <c r="JB7" s="3" t="s">
        <v>465</v>
      </c>
      <c r="JC7" s="3" t="s">
        <v>466</v>
      </c>
      <c r="JD7" s="134" t="s">
        <v>467</v>
      </c>
      <c r="JE7" s="3" t="s">
        <v>468</v>
      </c>
      <c r="JF7" s="3">
        <v>4</v>
      </c>
      <c r="JG7" s="3">
        <v>5</v>
      </c>
      <c r="JH7" s="3">
        <v>6</v>
      </c>
      <c r="JI7" s="3" t="s">
        <v>463</v>
      </c>
      <c r="JJ7" s="3">
        <v>8</v>
      </c>
      <c r="JK7" s="3" t="s">
        <v>464</v>
      </c>
      <c r="JL7" s="3" t="s">
        <v>465</v>
      </c>
      <c r="JM7" s="3" t="s">
        <v>466</v>
      </c>
      <c r="JN7" s="134" t="s">
        <v>467</v>
      </c>
      <c r="JO7" s="3" t="s">
        <v>468</v>
      </c>
      <c r="JP7" s="3">
        <v>4</v>
      </c>
      <c r="JQ7" s="3">
        <v>5</v>
      </c>
      <c r="JR7" s="3">
        <v>6</v>
      </c>
      <c r="JS7" s="3" t="s">
        <v>463</v>
      </c>
      <c r="JT7" s="3">
        <v>8</v>
      </c>
      <c r="JU7" s="3" t="s">
        <v>464</v>
      </c>
      <c r="JV7" s="3" t="s">
        <v>465</v>
      </c>
      <c r="JW7" s="3" t="s">
        <v>466</v>
      </c>
      <c r="JX7" s="134" t="s">
        <v>467</v>
      </c>
      <c r="JY7" s="3" t="s">
        <v>468</v>
      </c>
      <c r="JZ7" s="3">
        <v>4</v>
      </c>
      <c r="KA7" s="3">
        <v>5</v>
      </c>
      <c r="KB7" s="3">
        <v>6</v>
      </c>
      <c r="KC7" s="3" t="s">
        <v>463</v>
      </c>
      <c r="KD7" s="3">
        <v>8</v>
      </c>
      <c r="KE7" s="3" t="s">
        <v>464</v>
      </c>
      <c r="KF7" s="3" t="s">
        <v>465</v>
      </c>
      <c r="KG7" s="3" t="s">
        <v>466</v>
      </c>
      <c r="KH7" s="134" t="s">
        <v>467</v>
      </c>
      <c r="KI7" s="3" t="s">
        <v>468</v>
      </c>
      <c r="KJ7" s="3">
        <v>4</v>
      </c>
      <c r="KK7" s="3">
        <v>5</v>
      </c>
      <c r="KL7" s="3">
        <v>6</v>
      </c>
      <c r="KM7" s="3" t="s">
        <v>463</v>
      </c>
      <c r="KN7" s="3">
        <v>8</v>
      </c>
      <c r="KO7" s="3" t="s">
        <v>464</v>
      </c>
      <c r="KP7" s="3" t="s">
        <v>465</v>
      </c>
      <c r="KQ7" s="3" t="s">
        <v>466</v>
      </c>
      <c r="KR7" s="134" t="s">
        <v>467</v>
      </c>
      <c r="KS7" s="3" t="s">
        <v>468</v>
      </c>
      <c r="KT7" s="3">
        <v>4</v>
      </c>
      <c r="KU7" s="3">
        <v>5</v>
      </c>
      <c r="KV7" s="3">
        <v>6</v>
      </c>
      <c r="KW7" s="3" t="s">
        <v>463</v>
      </c>
      <c r="KX7" s="3">
        <v>8</v>
      </c>
      <c r="KY7" s="3" t="s">
        <v>464</v>
      </c>
      <c r="KZ7" s="3" t="s">
        <v>465</v>
      </c>
      <c r="LA7" s="3" t="s">
        <v>466</v>
      </c>
      <c r="LB7" s="134" t="s">
        <v>467</v>
      </c>
      <c r="LC7" s="3" t="s">
        <v>468</v>
      </c>
      <c r="LD7" s="3">
        <v>4</v>
      </c>
      <c r="LE7" s="3">
        <v>5</v>
      </c>
      <c r="LF7" s="3">
        <v>6</v>
      </c>
      <c r="LG7" s="3" t="s">
        <v>463</v>
      </c>
      <c r="LH7" s="3">
        <v>8</v>
      </c>
      <c r="LI7" s="3" t="s">
        <v>464</v>
      </c>
      <c r="LJ7" s="3" t="s">
        <v>465</v>
      </c>
      <c r="LK7" s="3" t="s">
        <v>466</v>
      </c>
      <c r="LL7" s="134" t="s">
        <v>467</v>
      </c>
    </row>
    <row r="8" spans="1:324" x14ac:dyDescent="0.25">
      <c r="A8" s="15" t="s">
        <v>11</v>
      </c>
      <c r="B8" s="16" t="s">
        <v>163</v>
      </c>
      <c r="C8" s="16"/>
      <c r="D8" s="16"/>
      <c r="E8" s="7"/>
      <c r="F8" s="7"/>
      <c r="G8" s="7"/>
      <c r="H8" s="7"/>
      <c r="I8" s="7"/>
      <c r="J8" s="7"/>
      <c r="K8" s="8"/>
      <c r="L8" s="8"/>
      <c r="M8" s="8"/>
      <c r="N8" s="135"/>
      <c r="O8" s="7"/>
      <c r="P8" s="7"/>
      <c r="Q8" s="7"/>
      <c r="R8" s="7"/>
      <c r="S8" s="7"/>
      <c r="T8" s="7"/>
      <c r="U8" s="8"/>
      <c r="V8" s="8"/>
      <c r="W8" s="8"/>
      <c r="X8" s="135"/>
      <c r="Y8" s="7"/>
      <c r="Z8" s="7"/>
      <c r="AA8" s="7"/>
      <c r="AB8" s="7"/>
      <c r="AC8" s="7"/>
      <c r="AD8" s="7"/>
      <c r="AE8" s="8"/>
      <c r="AF8" s="8"/>
      <c r="AG8" s="8"/>
      <c r="AH8" s="135"/>
      <c r="AI8" s="7"/>
      <c r="AJ8" s="7"/>
      <c r="AK8" s="7"/>
      <c r="AL8" s="7"/>
      <c r="AM8" s="7"/>
      <c r="AN8" s="7"/>
      <c r="AO8" s="8"/>
      <c r="AP8" s="8"/>
      <c r="AQ8" s="8"/>
      <c r="AR8" s="135"/>
      <c r="AS8" s="7"/>
      <c r="AT8" s="7"/>
      <c r="AU8" s="7"/>
      <c r="AV8" s="7"/>
      <c r="AW8" s="7"/>
      <c r="AX8" s="7"/>
      <c r="AY8" s="8"/>
      <c r="AZ8" s="8"/>
      <c r="BA8" s="8"/>
      <c r="BB8" s="135"/>
      <c r="BC8" s="7"/>
      <c r="BD8" s="7"/>
      <c r="BE8" s="7"/>
      <c r="BF8" s="7"/>
      <c r="BG8" s="7"/>
      <c r="BH8" s="7"/>
      <c r="BI8" s="8"/>
      <c r="BJ8" s="8"/>
      <c r="BK8" s="8"/>
      <c r="BL8" s="135"/>
      <c r="BM8" s="7"/>
      <c r="BN8" s="7"/>
      <c r="BO8" s="7"/>
      <c r="BP8" s="7"/>
      <c r="BQ8" s="7"/>
      <c r="BR8" s="7"/>
      <c r="BS8" s="8"/>
      <c r="BT8" s="8"/>
      <c r="BU8" s="8"/>
      <c r="BV8" s="135"/>
      <c r="BW8" s="7"/>
      <c r="BX8" s="7"/>
      <c r="BY8" s="7"/>
      <c r="BZ8" s="7"/>
      <c r="CA8" s="7"/>
      <c r="CB8" s="7"/>
      <c r="CC8" s="8"/>
      <c r="CD8" s="8"/>
      <c r="CE8" s="8"/>
      <c r="CF8" s="135"/>
      <c r="CG8" s="7"/>
      <c r="CH8" s="7"/>
      <c r="CI8" s="7"/>
      <c r="CJ8" s="7"/>
      <c r="CK8" s="7"/>
      <c r="CL8" s="7"/>
      <c r="CM8" s="8"/>
      <c r="CN8" s="8"/>
      <c r="CO8" s="8"/>
      <c r="CP8" s="135"/>
      <c r="CQ8" s="7"/>
      <c r="CR8" s="7"/>
      <c r="CS8" s="7"/>
      <c r="CT8" s="7"/>
      <c r="CU8" s="7"/>
      <c r="CV8" s="7"/>
      <c r="CW8" s="8"/>
      <c r="CX8" s="8"/>
      <c r="CY8" s="8"/>
      <c r="CZ8" s="135"/>
      <c r="DA8" s="7"/>
      <c r="DB8" s="7"/>
      <c r="DC8" s="7"/>
      <c r="DD8" s="7"/>
      <c r="DE8" s="7"/>
      <c r="DF8" s="7"/>
      <c r="DG8" s="8"/>
      <c r="DH8" s="8"/>
      <c r="DI8" s="8"/>
      <c r="DJ8" s="135"/>
      <c r="DK8" s="7"/>
      <c r="DL8" s="7"/>
      <c r="DM8" s="7"/>
      <c r="DN8" s="7"/>
      <c r="DO8" s="7"/>
      <c r="DP8" s="7"/>
      <c r="DQ8" s="8"/>
      <c r="DR8" s="8"/>
      <c r="DS8" s="8"/>
      <c r="DT8" s="135"/>
      <c r="DU8" s="7"/>
      <c r="DV8" s="7"/>
      <c r="DW8" s="7"/>
      <c r="DX8" s="7"/>
      <c r="DY8" s="7"/>
      <c r="DZ8" s="7"/>
      <c r="EA8" s="8"/>
      <c r="EB8" s="8"/>
      <c r="EC8" s="8"/>
      <c r="ED8" s="135"/>
      <c r="EE8" s="7"/>
      <c r="EF8" s="7"/>
      <c r="EG8" s="7"/>
      <c r="EH8" s="7"/>
      <c r="EI8" s="7"/>
      <c r="EJ8" s="7"/>
      <c r="EK8" s="8"/>
      <c r="EL8" s="8"/>
      <c r="EM8" s="8"/>
      <c r="EN8" s="135"/>
      <c r="EO8" s="7"/>
      <c r="EP8" s="7"/>
      <c r="EQ8" s="7"/>
      <c r="ER8" s="7"/>
      <c r="ES8" s="7"/>
      <c r="ET8" s="7"/>
      <c r="EU8" s="8"/>
      <c r="EV8" s="8"/>
      <c r="EW8" s="8"/>
      <c r="EX8" s="135"/>
      <c r="EY8" s="7"/>
      <c r="EZ8" s="7"/>
      <c r="FA8" s="7"/>
      <c r="FB8" s="7"/>
      <c r="FC8" s="7"/>
      <c r="FD8" s="7"/>
      <c r="FE8" s="8"/>
      <c r="FF8" s="8"/>
      <c r="FG8" s="8"/>
      <c r="FH8" s="135"/>
      <c r="FI8" s="7"/>
      <c r="FJ8" s="7"/>
      <c r="FK8" s="7"/>
      <c r="FL8" s="7"/>
      <c r="FM8" s="7"/>
      <c r="FN8" s="7"/>
      <c r="FO8" s="8"/>
      <c r="FP8" s="8"/>
      <c r="FQ8" s="8"/>
      <c r="FR8" s="135"/>
      <c r="FS8" s="7"/>
      <c r="FT8" s="7"/>
      <c r="FU8" s="7"/>
      <c r="FV8" s="7"/>
      <c r="FW8" s="7"/>
      <c r="FX8" s="7"/>
      <c r="FY8" s="8"/>
      <c r="FZ8" s="8"/>
      <c r="GA8" s="8"/>
      <c r="GB8" s="135"/>
      <c r="GC8" s="7"/>
      <c r="GD8" s="7"/>
      <c r="GE8" s="7"/>
      <c r="GF8" s="7"/>
      <c r="GG8" s="7"/>
      <c r="GH8" s="7"/>
      <c r="GI8" s="8"/>
      <c r="GJ8" s="8"/>
      <c r="GK8" s="8"/>
      <c r="GL8" s="135"/>
      <c r="GM8" s="7"/>
      <c r="GN8" s="7"/>
      <c r="GO8" s="7"/>
      <c r="GP8" s="7"/>
      <c r="GQ8" s="7"/>
      <c r="GR8" s="7"/>
      <c r="GS8" s="8"/>
      <c r="GT8" s="8"/>
      <c r="GU8" s="8"/>
      <c r="GV8" s="135"/>
      <c r="GW8" s="7"/>
      <c r="GX8" s="7"/>
      <c r="GY8" s="7"/>
      <c r="GZ8" s="7"/>
      <c r="HA8" s="7"/>
      <c r="HB8" s="7"/>
      <c r="HC8" s="8"/>
      <c r="HD8" s="8"/>
      <c r="HE8" s="8"/>
      <c r="HF8" s="135"/>
      <c r="HG8" s="7"/>
      <c r="HH8" s="7"/>
      <c r="HI8" s="7"/>
      <c r="HJ8" s="7"/>
      <c r="HK8" s="7"/>
      <c r="HL8" s="7"/>
      <c r="HM8" s="8"/>
      <c r="HN8" s="8"/>
      <c r="HO8" s="8"/>
      <c r="HP8" s="135"/>
      <c r="HQ8" s="7"/>
      <c r="HR8" s="7"/>
      <c r="HS8" s="7"/>
      <c r="HT8" s="7"/>
      <c r="HU8" s="7"/>
      <c r="HV8" s="7"/>
      <c r="HW8" s="8"/>
      <c r="HX8" s="8"/>
      <c r="HY8" s="8"/>
      <c r="HZ8" s="135"/>
      <c r="IA8" s="7"/>
      <c r="IB8" s="7"/>
      <c r="IC8" s="7"/>
      <c r="ID8" s="7"/>
      <c r="IE8" s="7"/>
      <c r="IF8" s="7"/>
      <c r="IG8" s="8"/>
      <c r="IH8" s="8"/>
      <c r="II8" s="8"/>
      <c r="IJ8" s="135"/>
      <c r="IK8" s="7"/>
      <c r="IL8" s="7"/>
      <c r="IM8" s="7"/>
      <c r="IN8" s="7"/>
      <c r="IO8" s="7"/>
      <c r="IP8" s="7"/>
      <c r="IQ8" s="8"/>
      <c r="IR8" s="8"/>
      <c r="IS8" s="8"/>
      <c r="IT8" s="135"/>
      <c r="IU8" s="7"/>
      <c r="IV8" s="7"/>
      <c r="IW8" s="7"/>
      <c r="IX8" s="7"/>
      <c r="IY8" s="7"/>
      <c r="IZ8" s="7"/>
      <c r="JA8" s="8"/>
      <c r="JB8" s="8"/>
      <c r="JC8" s="8"/>
      <c r="JD8" s="135"/>
      <c r="JE8" s="7"/>
      <c r="JF8" s="7"/>
      <c r="JG8" s="7"/>
      <c r="JH8" s="7"/>
      <c r="JI8" s="7"/>
      <c r="JJ8" s="7"/>
      <c r="JK8" s="8"/>
      <c r="JL8" s="8"/>
      <c r="JM8" s="8"/>
      <c r="JN8" s="135"/>
      <c r="JO8" s="7"/>
      <c r="JP8" s="7"/>
      <c r="JQ8" s="7"/>
      <c r="JR8" s="7"/>
      <c r="JS8" s="7"/>
      <c r="JT8" s="7"/>
      <c r="JU8" s="8"/>
      <c r="JV8" s="8"/>
      <c r="JW8" s="8"/>
      <c r="JX8" s="135"/>
      <c r="JY8" s="7"/>
      <c r="JZ8" s="7"/>
      <c r="KA8" s="7"/>
      <c r="KB8" s="7"/>
      <c r="KC8" s="7"/>
      <c r="KD8" s="7"/>
      <c r="KE8" s="8"/>
      <c r="KF8" s="8"/>
      <c r="KG8" s="8"/>
      <c r="KH8" s="135"/>
      <c r="KI8" s="7"/>
      <c r="KJ8" s="7"/>
      <c r="KK8" s="7"/>
      <c r="KL8" s="7"/>
      <c r="KM8" s="7"/>
      <c r="KN8" s="7"/>
      <c r="KO8" s="8"/>
      <c r="KP8" s="8"/>
      <c r="KQ8" s="8"/>
      <c r="KR8" s="135"/>
      <c r="KS8" s="7"/>
      <c r="KT8" s="7"/>
      <c r="KU8" s="7"/>
      <c r="KV8" s="7"/>
      <c r="KW8" s="7"/>
      <c r="KX8" s="7"/>
      <c r="KY8" s="8"/>
      <c r="KZ8" s="8"/>
      <c r="LA8" s="8"/>
      <c r="LB8" s="135"/>
      <c r="LC8" s="7"/>
      <c r="LD8" s="7"/>
      <c r="LE8" s="7"/>
      <c r="LF8" s="7"/>
      <c r="LG8" s="7"/>
      <c r="LH8" s="7"/>
      <c r="LI8" s="8"/>
      <c r="LJ8" s="8"/>
      <c r="LK8" s="8"/>
      <c r="LL8" s="135"/>
    </row>
    <row r="9" spans="1:324" ht="82.5" customHeight="1" x14ac:dyDescent="0.25">
      <c r="A9" s="15" t="s">
        <v>13</v>
      </c>
      <c r="B9" s="16" t="s">
        <v>14</v>
      </c>
      <c r="C9" s="16"/>
      <c r="D9" s="16"/>
      <c r="E9" s="7"/>
      <c r="F9" s="71" t="s">
        <v>722</v>
      </c>
      <c r="G9" s="71" t="s">
        <v>723</v>
      </c>
      <c r="H9" s="71" t="s">
        <v>469</v>
      </c>
      <c r="I9" s="64" t="s">
        <v>724</v>
      </c>
      <c r="J9" s="71" t="s">
        <v>36</v>
      </c>
      <c r="K9" s="64" t="s">
        <v>725</v>
      </c>
      <c r="L9" s="71" t="s">
        <v>726</v>
      </c>
      <c r="M9" s="71" t="s">
        <v>1697</v>
      </c>
      <c r="N9" s="136"/>
      <c r="O9" s="71" t="s">
        <v>470</v>
      </c>
      <c r="P9" s="71" t="s">
        <v>722</v>
      </c>
      <c r="Q9" s="71" t="s">
        <v>723</v>
      </c>
      <c r="R9" s="71" t="s">
        <v>469</v>
      </c>
      <c r="S9" s="64" t="s">
        <v>724</v>
      </c>
      <c r="T9" s="71" t="s">
        <v>36</v>
      </c>
      <c r="U9" s="64" t="s">
        <v>725</v>
      </c>
      <c r="V9" s="71" t="s">
        <v>726</v>
      </c>
      <c r="W9" s="71" t="s">
        <v>1697</v>
      </c>
      <c r="X9" s="136"/>
      <c r="Y9" s="71" t="s">
        <v>470</v>
      </c>
      <c r="Z9" s="71" t="s">
        <v>722</v>
      </c>
      <c r="AA9" s="71" t="s">
        <v>723</v>
      </c>
      <c r="AB9" s="71" t="s">
        <v>469</v>
      </c>
      <c r="AC9" s="64" t="s">
        <v>724</v>
      </c>
      <c r="AD9" s="71" t="s">
        <v>36</v>
      </c>
      <c r="AE9" s="64" t="s">
        <v>725</v>
      </c>
      <c r="AF9" s="71" t="s">
        <v>726</v>
      </c>
      <c r="AG9" s="71" t="s">
        <v>1697</v>
      </c>
      <c r="AH9" s="136"/>
      <c r="AI9" s="71" t="s">
        <v>470</v>
      </c>
      <c r="AJ9" s="71" t="s">
        <v>722</v>
      </c>
      <c r="AK9" s="71" t="s">
        <v>723</v>
      </c>
      <c r="AL9" s="71" t="s">
        <v>469</v>
      </c>
      <c r="AM9" s="64" t="s">
        <v>724</v>
      </c>
      <c r="AN9" s="71" t="s">
        <v>36</v>
      </c>
      <c r="AO9" s="64" t="s">
        <v>725</v>
      </c>
      <c r="AP9" s="71" t="s">
        <v>726</v>
      </c>
      <c r="AQ9" s="71" t="s">
        <v>1697</v>
      </c>
      <c r="AR9" s="136"/>
      <c r="AS9" s="71" t="s">
        <v>470</v>
      </c>
      <c r="AT9" s="71" t="s">
        <v>722</v>
      </c>
      <c r="AU9" s="71" t="s">
        <v>723</v>
      </c>
      <c r="AV9" s="71" t="s">
        <v>469</v>
      </c>
      <c r="AW9" s="64" t="s">
        <v>724</v>
      </c>
      <c r="AX9" s="71" t="s">
        <v>36</v>
      </c>
      <c r="AY9" s="64" t="s">
        <v>725</v>
      </c>
      <c r="AZ9" s="71" t="s">
        <v>726</v>
      </c>
      <c r="BA9" s="71" t="s">
        <v>1697</v>
      </c>
      <c r="BB9" s="136"/>
      <c r="BC9" s="71" t="s">
        <v>470</v>
      </c>
      <c r="BD9" s="71" t="s">
        <v>722</v>
      </c>
      <c r="BE9" s="71" t="s">
        <v>723</v>
      </c>
      <c r="BF9" s="71" t="s">
        <v>469</v>
      </c>
      <c r="BG9" s="64" t="s">
        <v>724</v>
      </c>
      <c r="BH9" s="71" t="s">
        <v>36</v>
      </c>
      <c r="BI9" s="64" t="s">
        <v>725</v>
      </c>
      <c r="BJ9" s="71" t="s">
        <v>726</v>
      </c>
      <c r="BK9" s="71" t="s">
        <v>1697</v>
      </c>
      <c r="BL9" s="136"/>
      <c r="BM9" s="71" t="s">
        <v>470</v>
      </c>
      <c r="BN9" s="71" t="s">
        <v>722</v>
      </c>
      <c r="BO9" s="71" t="s">
        <v>723</v>
      </c>
      <c r="BP9" s="71" t="s">
        <v>469</v>
      </c>
      <c r="BQ9" s="64" t="s">
        <v>724</v>
      </c>
      <c r="BR9" s="71" t="s">
        <v>36</v>
      </c>
      <c r="BS9" s="64" t="s">
        <v>725</v>
      </c>
      <c r="BT9" s="71" t="s">
        <v>726</v>
      </c>
      <c r="BU9" s="71" t="s">
        <v>1697</v>
      </c>
      <c r="BV9" s="136"/>
      <c r="BW9" s="71" t="s">
        <v>470</v>
      </c>
      <c r="BX9" s="71" t="s">
        <v>722</v>
      </c>
      <c r="BY9" s="71" t="s">
        <v>723</v>
      </c>
      <c r="BZ9" s="71" t="s">
        <v>469</v>
      </c>
      <c r="CA9" s="64" t="s">
        <v>724</v>
      </c>
      <c r="CB9" s="71" t="s">
        <v>36</v>
      </c>
      <c r="CC9" s="64" t="s">
        <v>725</v>
      </c>
      <c r="CD9" s="71" t="s">
        <v>726</v>
      </c>
      <c r="CE9" s="71" t="s">
        <v>1697</v>
      </c>
      <c r="CF9" s="136"/>
      <c r="CG9" s="71" t="s">
        <v>470</v>
      </c>
      <c r="CH9" s="71" t="s">
        <v>722</v>
      </c>
      <c r="CI9" s="71" t="s">
        <v>723</v>
      </c>
      <c r="CJ9" s="71" t="s">
        <v>469</v>
      </c>
      <c r="CK9" s="64" t="s">
        <v>724</v>
      </c>
      <c r="CL9" s="71" t="s">
        <v>36</v>
      </c>
      <c r="CM9" s="64" t="s">
        <v>725</v>
      </c>
      <c r="CN9" s="71" t="s">
        <v>726</v>
      </c>
      <c r="CO9" s="71" t="s">
        <v>1697</v>
      </c>
      <c r="CP9" s="136"/>
      <c r="CQ9" s="71" t="s">
        <v>470</v>
      </c>
      <c r="CR9" s="71" t="s">
        <v>722</v>
      </c>
      <c r="CS9" s="71" t="s">
        <v>723</v>
      </c>
      <c r="CT9" s="71" t="s">
        <v>469</v>
      </c>
      <c r="CU9" s="64" t="s">
        <v>724</v>
      </c>
      <c r="CV9" s="71" t="s">
        <v>36</v>
      </c>
      <c r="CW9" s="64" t="s">
        <v>725</v>
      </c>
      <c r="CX9" s="71" t="s">
        <v>726</v>
      </c>
      <c r="CY9" s="71" t="s">
        <v>1697</v>
      </c>
      <c r="CZ9" s="136"/>
      <c r="DA9" s="71" t="s">
        <v>470</v>
      </c>
      <c r="DB9" s="71" t="s">
        <v>722</v>
      </c>
      <c r="DC9" s="71" t="s">
        <v>723</v>
      </c>
      <c r="DD9" s="71" t="s">
        <v>469</v>
      </c>
      <c r="DE9" s="64" t="s">
        <v>724</v>
      </c>
      <c r="DF9" s="71" t="s">
        <v>36</v>
      </c>
      <c r="DG9" s="64" t="s">
        <v>725</v>
      </c>
      <c r="DH9" s="71" t="s">
        <v>726</v>
      </c>
      <c r="DI9" s="71" t="s">
        <v>1697</v>
      </c>
      <c r="DJ9" s="136"/>
      <c r="DK9" s="71" t="s">
        <v>470</v>
      </c>
      <c r="DL9" s="71" t="s">
        <v>722</v>
      </c>
      <c r="DM9" s="71" t="s">
        <v>723</v>
      </c>
      <c r="DN9" s="71" t="s">
        <v>469</v>
      </c>
      <c r="DO9" s="64" t="s">
        <v>724</v>
      </c>
      <c r="DP9" s="71" t="s">
        <v>36</v>
      </c>
      <c r="DQ9" s="64" t="s">
        <v>725</v>
      </c>
      <c r="DR9" s="71" t="s">
        <v>726</v>
      </c>
      <c r="DS9" s="71" t="s">
        <v>1697</v>
      </c>
      <c r="DT9" s="136"/>
      <c r="DU9" s="71" t="s">
        <v>470</v>
      </c>
      <c r="DV9" s="71" t="s">
        <v>722</v>
      </c>
      <c r="DW9" s="71" t="s">
        <v>723</v>
      </c>
      <c r="DX9" s="71" t="s">
        <v>469</v>
      </c>
      <c r="DY9" s="64" t="s">
        <v>724</v>
      </c>
      <c r="DZ9" s="71" t="s">
        <v>36</v>
      </c>
      <c r="EA9" s="64" t="s">
        <v>725</v>
      </c>
      <c r="EB9" s="71" t="s">
        <v>726</v>
      </c>
      <c r="EC9" s="71" t="s">
        <v>1697</v>
      </c>
      <c r="ED9" s="136"/>
      <c r="EE9" s="71" t="s">
        <v>470</v>
      </c>
      <c r="EF9" s="71" t="s">
        <v>722</v>
      </c>
      <c r="EG9" s="71" t="s">
        <v>723</v>
      </c>
      <c r="EH9" s="71" t="s">
        <v>469</v>
      </c>
      <c r="EI9" s="64" t="s">
        <v>724</v>
      </c>
      <c r="EJ9" s="71" t="s">
        <v>36</v>
      </c>
      <c r="EK9" s="64" t="s">
        <v>725</v>
      </c>
      <c r="EL9" s="71" t="s">
        <v>726</v>
      </c>
      <c r="EM9" s="71" t="s">
        <v>1697</v>
      </c>
      <c r="EN9" s="136"/>
      <c r="EO9" s="71" t="s">
        <v>470</v>
      </c>
      <c r="EP9" s="71" t="s">
        <v>722</v>
      </c>
      <c r="EQ9" s="71" t="s">
        <v>723</v>
      </c>
      <c r="ER9" s="71" t="s">
        <v>469</v>
      </c>
      <c r="ES9" s="64" t="s">
        <v>724</v>
      </c>
      <c r="ET9" s="71" t="s">
        <v>36</v>
      </c>
      <c r="EU9" s="64" t="s">
        <v>725</v>
      </c>
      <c r="EV9" s="71" t="s">
        <v>726</v>
      </c>
      <c r="EW9" s="71" t="s">
        <v>1697</v>
      </c>
      <c r="EX9" s="136"/>
      <c r="EY9" s="71" t="s">
        <v>470</v>
      </c>
      <c r="EZ9" s="71" t="s">
        <v>722</v>
      </c>
      <c r="FA9" s="71" t="s">
        <v>723</v>
      </c>
      <c r="FB9" s="71" t="s">
        <v>469</v>
      </c>
      <c r="FC9" s="64" t="s">
        <v>724</v>
      </c>
      <c r="FD9" s="71" t="s">
        <v>36</v>
      </c>
      <c r="FE9" s="64" t="s">
        <v>725</v>
      </c>
      <c r="FF9" s="71" t="s">
        <v>726</v>
      </c>
      <c r="FG9" s="71" t="s">
        <v>1697</v>
      </c>
      <c r="FH9" s="136"/>
      <c r="FI9" s="71" t="s">
        <v>470</v>
      </c>
      <c r="FJ9" s="71" t="s">
        <v>722</v>
      </c>
      <c r="FK9" s="71" t="s">
        <v>723</v>
      </c>
      <c r="FL9" s="71" t="s">
        <v>469</v>
      </c>
      <c r="FM9" s="64" t="s">
        <v>724</v>
      </c>
      <c r="FN9" s="71" t="s">
        <v>36</v>
      </c>
      <c r="FO9" s="64" t="s">
        <v>725</v>
      </c>
      <c r="FP9" s="71" t="s">
        <v>726</v>
      </c>
      <c r="FQ9" s="71" t="s">
        <v>1697</v>
      </c>
      <c r="FR9" s="136"/>
      <c r="FS9" s="71" t="s">
        <v>470</v>
      </c>
      <c r="FT9" s="71" t="s">
        <v>722</v>
      </c>
      <c r="FU9" s="71" t="s">
        <v>723</v>
      </c>
      <c r="FV9" s="71" t="s">
        <v>469</v>
      </c>
      <c r="FW9" s="64" t="s">
        <v>724</v>
      </c>
      <c r="FX9" s="71" t="s">
        <v>36</v>
      </c>
      <c r="FY9" s="64" t="s">
        <v>725</v>
      </c>
      <c r="FZ9" s="71" t="s">
        <v>726</v>
      </c>
      <c r="GA9" s="71" t="s">
        <v>1697</v>
      </c>
      <c r="GB9" s="136"/>
      <c r="GC9" s="71" t="s">
        <v>470</v>
      </c>
      <c r="GD9" s="71" t="s">
        <v>722</v>
      </c>
      <c r="GE9" s="71" t="s">
        <v>723</v>
      </c>
      <c r="GF9" s="71" t="s">
        <v>469</v>
      </c>
      <c r="GG9" s="64" t="s">
        <v>724</v>
      </c>
      <c r="GH9" s="71" t="s">
        <v>36</v>
      </c>
      <c r="GI9" s="64" t="s">
        <v>725</v>
      </c>
      <c r="GJ9" s="71" t="s">
        <v>726</v>
      </c>
      <c r="GK9" s="71" t="s">
        <v>1697</v>
      </c>
      <c r="GL9" s="136"/>
      <c r="GM9" s="71" t="s">
        <v>470</v>
      </c>
      <c r="GN9" s="71" t="s">
        <v>722</v>
      </c>
      <c r="GO9" s="71" t="s">
        <v>723</v>
      </c>
      <c r="GP9" s="71" t="s">
        <v>469</v>
      </c>
      <c r="GQ9" s="64" t="s">
        <v>724</v>
      </c>
      <c r="GR9" s="71" t="s">
        <v>36</v>
      </c>
      <c r="GS9" s="64" t="s">
        <v>725</v>
      </c>
      <c r="GT9" s="71" t="s">
        <v>726</v>
      </c>
      <c r="GU9" s="71" t="s">
        <v>1697</v>
      </c>
      <c r="GV9" s="136"/>
      <c r="GW9" s="71" t="s">
        <v>470</v>
      </c>
      <c r="GX9" s="71" t="s">
        <v>722</v>
      </c>
      <c r="GY9" s="71" t="s">
        <v>723</v>
      </c>
      <c r="GZ9" s="71" t="s">
        <v>469</v>
      </c>
      <c r="HA9" s="64" t="s">
        <v>724</v>
      </c>
      <c r="HB9" s="71" t="s">
        <v>36</v>
      </c>
      <c r="HC9" s="64" t="s">
        <v>725</v>
      </c>
      <c r="HD9" s="71" t="s">
        <v>726</v>
      </c>
      <c r="HE9" s="71" t="s">
        <v>1697</v>
      </c>
      <c r="HF9" s="136"/>
      <c r="HG9" s="71" t="s">
        <v>470</v>
      </c>
      <c r="HH9" s="71" t="s">
        <v>722</v>
      </c>
      <c r="HI9" s="71" t="s">
        <v>723</v>
      </c>
      <c r="HJ9" s="71" t="s">
        <v>469</v>
      </c>
      <c r="HK9" s="64" t="s">
        <v>724</v>
      </c>
      <c r="HL9" s="71" t="s">
        <v>36</v>
      </c>
      <c r="HM9" s="64" t="s">
        <v>725</v>
      </c>
      <c r="HN9" s="71" t="s">
        <v>726</v>
      </c>
      <c r="HO9" s="71" t="s">
        <v>1697</v>
      </c>
      <c r="HP9" s="136"/>
      <c r="HQ9" s="71" t="s">
        <v>470</v>
      </c>
      <c r="HR9" s="71" t="s">
        <v>722</v>
      </c>
      <c r="HS9" s="71" t="s">
        <v>723</v>
      </c>
      <c r="HT9" s="71" t="s">
        <v>469</v>
      </c>
      <c r="HU9" s="64" t="s">
        <v>724</v>
      </c>
      <c r="HV9" s="71" t="s">
        <v>36</v>
      </c>
      <c r="HW9" s="64" t="s">
        <v>725</v>
      </c>
      <c r="HX9" s="71" t="s">
        <v>726</v>
      </c>
      <c r="HY9" s="71" t="s">
        <v>1697</v>
      </c>
      <c r="HZ9" s="136"/>
      <c r="IA9" s="71" t="s">
        <v>470</v>
      </c>
      <c r="IB9" s="71" t="s">
        <v>722</v>
      </c>
      <c r="IC9" s="71" t="s">
        <v>723</v>
      </c>
      <c r="ID9" s="71" t="s">
        <v>469</v>
      </c>
      <c r="IE9" s="64" t="s">
        <v>724</v>
      </c>
      <c r="IF9" s="71" t="s">
        <v>36</v>
      </c>
      <c r="IG9" s="64" t="s">
        <v>725</v>
      </c>
      <c r="IH9" s="71" t="s">
        <v>726</v>
      </c>
      <c r="II9" s="71" t="s">
        <v>1697</v>
      </c>
      <c r="IJ9" s="136"/>
      <c r="IK9" s="71" t="s">
        <v>470</v>
      </c>
      <c r="IL9" s="71" t="s">
        <v>722</v>
      </c>
      <c r="IM9" s="71" t="s">
        <v>723</v>
      </c>
      <c r="IN9" s="71" t="s">
        <v>469</v>
      </c>
      <c r="IO9" s="64" t="s">
        <v>724</v>
      </c>
      <c r="IP9" s="71" t="s">
        <v>36</v>
      </c>
      <c r="IQ9" s="64" t="s">
        <v>725</v>
      </c>
      <c r="IR9" s="71" t="s">
        <v>726</v>
      </c>
      <c r="IS9" s="71" t="s">
        <v>1697</v>
      </c>
      <c r="IT9" s="136"/>
      <c r="IU9" s="71" t="s">
        <v>470</v>
      </c>
      <c r="IV9" s="71" t="s">
        <v>722</v>
      </c>
      <c r="IW9" s="71" t="s">
        <v>723</v>
      </c>
      <c r="IX9" s="71" t="s">
        <v>469</v>
      </c>
      <c r="IY9" s="64" t="s">
        <v>724</v>
      </c>
      <c r="IZ9" s="71" t="s">
        <v>36</v>
      </c>
      <c r="JA9" s="64" t="s">
        <v>725</v>
      </c>
      <c r="JB9" s="71" t="s">
        <v>726</v>
      </c>
      <c r="JC9" s="71" t="s">
        <v>1697</v>
      </c>
      <c r="JD9" s="136"/>
      <c r="JE9" s="71" t="s">
        <v>470</v>
      </c>
      <c r="JF9" s="71" t="s">
        <v>722</v>
      </c>
      <c r="JG9" s="71" t="s">
        <v>723</v>
      </c>
      <c r="JH9" s="71" t="s">
        <v>469</v>
      </c>
      <c r="JI9" s="64" t="s">
        <v>724</v>
      </c>
      <c r="JJ9" s="71" t="s">
        <v>36</v>
      </c>
      <c r="JK9" s="64" t="s">
        <v>725</v>
      </c>
      <c r="JL9" s="71" t="s">
        <v>726</v>
      </c>
      <c r="JM9" s="71" t="s">
        <v>1697</v>
      </c>
      <c r="JN9" s="136"/>
      <c r="JO9" s="71" t="s">
        <v>470</v>
      </c>
      <c r="JP9" s="71" t="s">
        <v>722</v>
      </c>
      <c r="JQ9" s="71" t="s">
        <v>723</v>
      </c>
      <c r="JR9" s="71" t="s">
        <v>469</v>
      </c>
      <c r="JS9" s="64" t="s">
        <v>724</v>
      </c>
      <c r="JT9" s="71" t="s">
        <v>36</v>
      </c>
      <c r="JU9" s="64" t="s">
        <v>725</v>
      </c>
      <c r="JV9" s="71" t="s">
        <v>726</v>
      </c>
      <c r="JW9" s="71" t="s">
        <v>1697</v>
      </c>
      <c r="JX9" s="136"/>
      <c r="JY9" s="71" t="s">
        <v>470</v>
      </c>
      <c r="JZ9" s="71" t="s">
        <v>722</v>
      </c>
      <c r="KA9" s="71" t="s">
        <v>723</v>
      </c>
      <c r="KB9" s="71" t="s">
        <v>469</v>
      </c>
      <c r="KC9" s="64" t="s">
        <v>724</v>
      </c>
      <c r="KD9" s="71" t="s">
        <v>36</v>
      </c>
      <c r="KE9" s="64" t="s">
        <v>725</v>
      </c>
      <c r="KF9" s="71" t="s">
        <v>726</v>
      </c>
      <c r="KG9" s="71" t="s">
        <v>1697</v>
      </c>
      <c r="KH9" s="136"/>
      <c r="KI9" s="71" t="s">
        <v>470</v>
      </c>
      <c r="KJ9" s="71" t="s">
        <v>722</v>
      </c>
      <c r="KK9" s="71" t="s">
        <v>723</v>
      </c>
      <c r="KL9" s="71" t="s">
        <v>469</v>
      </c>
      <c r="KM9" s="64" t="s">
        <v>724</v>
      </c>
      <c r="KN9" s="71" t="s">
        <v>36</v>
      </c>
      <c r="KO9" s="64" t="s">
        <v>725</v>
      </c>
      <c r="KP9" s="71" t="s">
        <v>726</v>
      </c>
      <c r="KQ9" s="71" t="s">
        <v>1697</v>
      </c>
      <c r="KR9" s="136"/>
      <c r="KS9" s="71" t="s">
        <v>470</v>
      </c>
      <c r="KT9" s="71" t="s">
        <v>722</v>
      </c>
      <c r="KU9" s="71" t="s">
        <v>723</v>
      </c>
      <c r="KV9" s="71" t="s">
        <v>469</v>
      </c>
      <c r="KW9" s="64" t="s">
        <v>724</v>
      </c>
      <c r="KX9" s="71" t="s">
        <v>36</v>
      </c>
      <c r="KY9" s="64" t="s">
        <v>725</v>
      </c>
      <c r="KZ9" s="71" t="s">
        <v>726</v>
      </c>
      <c r="LA9" s="71" t="s">
        <v>1697</v>
      </c>
      <c r="LB9" s="136"/>
      <c r="LC9" s="71" t="s">
        <v>470</v>
      </c>
      <c r="LD9" s="71" t="s">
        <v>722</v>
      </c>
      <c r="LE9" s="71" t="s">
        <v>723</v>
      </c>
      <c r="LF9" s="71" t="s">
        <v>469</v>
      </c>
      <c r="LG9" s="64" t="s">
        <v>724</v>
      </c>
      <c r="LH9" s="71" t="s">
        <v>36</v>
      </c>
      <c r="LI9" s="64" t="s">
        <v>725</v>
      </c>
      <c r="LJ9" s="71" t="s">
        <v>726</v>
      </c>
      <c r="LK9" s="71" t="s">
        <v>1697</v>
      </c>
      <c r="LL9" s="136"/>
    </row>
    <row r="10" spans="1:324" x14ac:dyDescent="0.25">
      <c r="A10" s="248" t="s">
        <v>37</v>
      </c>
      <c r="B10" s="249" t="s">
        <v>38</v>
      </c>
      <c r="C10" s="14"/>
      <c r="D10" s="14"/>
      <c r="E10" s="4" t="s">
        <v>32</v>
      </c>
      <c r="F10" s="18">
        <f>SUM(F13:F38)</f>
        <v>602</v>
      </c>
      <c r="G10" s="4"/>
      <c r="H10" s="102"/>
      <c r="I10" s="137">
        <f>IF(F10&gt;0,H10/F10,0)</f>
        <v>0</v>
      </c>
      <c r="J10" s="110">
        <f>IF(M10&gt;0,M10/H10,0)</f>
        <v>0</v>
      </c>
      <c r="K10" s="138">
        <f>I10*J10</f>
        <v>0</v>
      </c>
      <c r="L10" s="110">
        <f>K10*F10</f>
        <v>0</v>
      </c>
      <c r="M10" s="102"/>
      <c r="N10" s="139">
        <f>M10-L10</f>
        <v>0</v>
      </c>
      <c r="O10" s="140">
        <f>K10/$LI10</f>
        <v>0</v>
      </c>
      <c r="P10" s="18">
        <f t="shared" ref="P10" si="0">SUM(P13:P38)</f>
        <v>1096</v>
      </c>
      <c r="Q10" s="4"/>
      <c r="R10" s="102"/>
      <c r="S10" s="137">
        <f t="shared" ref="S10" si="1">IF(P10&gt;0,R10/P10,0)</f>
        <v>0</v>
      </c>
      <c r="T10" s="110">
        <f t="shared" ref="T10" si="2">IF(W10&gt;0,W10/R10,0)</f>
        <v>0</v>
      </c>
      <c r="U10" s="138">
        <f t="shared" ref="U10" si="3">S10*T10</f>
        <v>0</v>
      </c>
      <c r="V10" s="110">
        <f t="shared" ref="V10" si="4">U10*P10</f>
        <v>0</v>
      </c>
      <c r="W10" s="102"/>
      <c r="X10" s="139">
        <f t="shared" ref="X10" si="5">W10-V10</f>
        <v>0</v>
      </c>
      <c r="Y10" s="140">
        <f t="shared" ref="Y10" si="6">U10/$LI10</f>
        <v>0</v>
      </c>
      <c r="Z10" s="18">
        <f t="shared" ref="Z10" si="7">SUM(Z13:Z38)</f>
        <v>864</v>
      </c>
      <c r="AA10" s="4"/>
      <c r="AB10" s="102"/>
      <c r="AC10" s="137">
        <f t="shared" ref="AC10" si="8">IF(Z10&gt;0,AB10/Z10,0)</f>
        <v>0</v>
      </c>
      <c r="AD10" s="110">
        <f t="shared" ref="AD10" si="9">IF(AG10&gt;0,AG10/AB10,0)</f>
        <v>0</v>
      </c>
      <c r="AE10" s="138">
        <f t="shared" ref="AE10" si="10">AC10*AD10</f>
        <v>0</v>
      </c>
      <c r="AF10" s="110">
        <f t="shared" ref="AF10" si="11">AE10*Z10</f>
        <v>0</v>
      </c>
      <c r="AG10" s="102"/>
      <c r="AH10" s="139">
        <f t="shared" ref="AH10" si="12">AG10-AF10</f>
        <v>0</v>
      </c>
      <c r="AI10" s="140">
        <f t="shared" ref="AI10" si="13">AE10/$LI10</f>
        <v>0</v>
      </c>
      <c r="AJ10" s="18">
        <f t="shared" ref="AJ10" si="14">SUM(AJ13:AJ38)</f>
        <v>665</v>
      </c>
      <c r="AK10" s="4"/>
      <c r="AL10" s="102"/>
      <c r="AM10" s="137">
        <f t="shared" ref="AM10" si="15">IF(AJ10&gt;0,AL10/AJ10,0)</f>
        <v>0</v>
      </c>
      <c r="AN10" s="110">
        <f t="shared" ref="AN10" si="16">IF(AQ10&gt;0,AQ10/AL10,0)</f>
        <v>0</v>
      </c>
      <c r="AO10" s="138">
        <f t="shared" ref="AO10" si="17">AM10*AN10</f>
        <v>0</v>
      </c>
      <c r="AP10" s="110">
        <f t="shared" ref="AP10" si="18">AO10*AJ10</f>
        <v>0</v>
      </c>
      <c r="AQ10" s="102"/>
      <c r="AR10" s="139">
        <f t="shared" ref="AR10" si="19">AQ10-AP10</f>
        <v>0</v>
      </c>
      <c r="AS10" s="140">
        <f t="shared" ref="AS10" si="20">AO10/$LI10</f>
        <v>0</v>
      </c>
      <c r="AT10" s="18">
        <f t="shared" ref="AT10" si="21">SUM(AT13:AT38)</f>
        <v>951</v>
      </c>
      <c r="AU10" s="4"/>
      <c r="AV10" s="102"/>
      <c r="AW10" s="137">
        <f t="shared" ref="AW10" si="22">IF(AT10&gt;0,AV10/AT10,0)</f>
        <v>0</v>
      </c>
      <c r="AX10" s="110">
        <f t="shared" ref="AX10" si="23">IF(BA10&gt;0,BA10/AV10,0)</f>
        <v>0</v>
      </c>
      <c r="AY10" s="138">
        <f t="shared" ref="AY10" si="24">AW10*AX10</f>
        <v>0</v>
      </c>
      <c r="AZ10" s="110">
        <f t="shared" ref="AZ10" si="25">AY10*AT10</f>
        <v>0</v>
      </c>
      <c r="BA10" s="102"/>
      <c r="BB10" s="139">
        <f t="shared" ref="BB10" si="26">BA10-AZ10</f>
        <v>0</v>
      </c>
      <c r="BC10" s="140">
        <f t="shared" ref="BC10" si="27">AY10/$LI10</f>
        <v>0</v>
      </c>
      <c r="BD10" s="18">
        <f t="shared" ref="BD10" si="28">SUM(BD13:BD38)</f>
        <v>744</v>
      </c>
      <c r="BE10" s="4"/>
      <c r="BF10" s="102"/>
      <c r="BG10" s="137">
        <f t="shared" ref="BG10" si="29">IF(BD10&gt;0,BF10/BD10,0)</f>
        <v>0</v>
      </c>
      <c r="BH10" s="110">
        <f t="shared" ref="BH10" si="30">IF(BK10&gt;0,BK10/BF10,0)</f>
        <v>0</v>
      </c>
      <c r="BI10" s="138">
        <f t="shared" ref="BI10" si="31">BG10*BH10</f>
        <v>0</v>
      </c>
      <c r="BJ10" s="110">
        <f t="shared" ref="BJ10" si="32">BI10*BD10</f>
        <v>0</v>
      </c>
      <c r="BK10" s="102"/>
      <c r="BL10" s="139">
        <f t="shared" ref="BL10" si="33">BK10-BJ10</f>
        <v>0</v>
      </c>
      <c r="BM10" s="140">
        <f t="shared" ref="BM10" si="34">BI10/$LI10</f>
        <v>0</v>
      </c>
      <c r="BN10" s="18">
        <f t="shared" ref="BN10" si="35">SUM(BN13:BN38)</f>
        <v>617</v>
      </c>
      <c r="BO10" s="4"/>
      <c r="BP10" s="102"/>
      <c r="BQ10" s="137">
        <f t="shared" ref="BQ10" si="36">IF(BN10&gt;0,BP10/BN10,0)</f>
        <v>0</v>
      </c>
      <c r="BR10" s="110">
        <f t="shared" ref="BR10" si="37">IF(BU10&gt;0,BU10/BP10,0)</f>
        <v>0</v>
      </c>
      <c r="BS10" s="138">
        <f t="shared" ref="BS10" si="38">BQ10*BR10</f>
        <v>0</v>
      </c>
      <c r="BT10" s="110">
        <f t="shared" ref="BT10" si="39">BS10*BN10</f>
        <v>0</v>
      </c>
      <c r="BU10" s="102"/>
      <c r="BV10" s="139">
        <f t="shared" ref="BV10" si="40">BU10-BT10</f>
        <v>0</v>
      </c>
      <c r="BW10" s="140">
        <f t="shared" ref="BW10" si="41">BS10/$LI10</f>
        <v>0</v>
      </c>
      <c r="BX10" s="18">
        <f t="shared" ref="BX10" si="42">SUM(BX13:BX38)</f>
        <v>788</v>
      </c>
      <c r="BY10" s="4"/>
      <c r="BZ10" s="102"/>
      <c r="CA10" s="137">
        <f t="shared" ref="CA10" si="43">IF(BX10&gt;0,BZ10/BX10,0)</f>
        <v>0</v>
      </c>
      <c r="CB10" s="110">
        <f t="shared" ref="CB10" si="44">IF(CE10&gt;0,CE10/BZ10,0)</f>
        <v>0</v>
      </c>
      <c r="CC10" s="138">
        <f t="shared" ref="CC10" si="45">CA10*CB10</f>
        <v>0</v>
      </c>
      <c r="CD10" s="110">
        <f t="shared" ref="CD10" si="46">CC10*BX10</f>
        <v>0</v>
      </c>
      <c r="CE10" s="102"/>
      <c r="CF10" s="139">
        <f t="shared" ref="CF10" si="47">CE10-CD10</f>
        <v>0</v>
      </c>
      <c r="CG10" s="140">
        <f t="shared" ref="CG10" si="48">CC10/$LI10</f>
        <v>0</v>
      </c>
      <c r="CH10" s="18">
        <f t="shared" ref="CH10" si="49">SUM(CH13:CH38)</f>
        <v>924</v>
      </c>
      <c r="CI10" s="4"/>
      <c r="CJ10" s="102"/>
      <c r="CK10" s="137">
        <f t="shared" ref="CK10" si="50">IF(CH10&gt;0,CJ10/CH10,0)</f>
        <v>0</v>
      </c>
      <c r="CL10" s="110">
        <f t="shared" ref="CL10" si="51">IF(CO10&gt;0,CO10/CJ10,0)</f>
        <v>0</v>
      </c>
      <c r="CM10" s="138">
        <f t="shared" ref="CM10" si="52">CK10*CL10</f>
        <v>0</v>
      </c>
      <c r="CN10" s="110">
        <f t="shared" ref="CN10" si="53">CM10*CH10</f>
        <v>0</v>
      </c>
      <c r="CO10" s="102"/>
      <c r="CP10" s="139">
        <f t="shared" ref="CP10" si="54">CO10-CN10</f>
        <v>0</v>
      </c>
      <c r="CQ10" s="140">
        <f t="shared" ref="CQ10" si="55">CM10/$LI10</f>
        <v>0</v>
      </c>
      <c r="CR10" s="18">
        <f t="shared" ref="CR10" si="56">SUM(CR13:CR38)</f>
        <v>744</v>
      </c>
      <c r="CS10" s="4"/>
      <c r="CT10" s="102"/>
      <c r="CU10" s="137">
        <f t="shared" ref="CU10" si="57">IF(CR10&gt;0,CT10/CR10,0)</f>
        <v>0</v>
      </c>
      <c r="CV10" s="110">
        <f t="shared" ref="CV10" si="58">IF(CY10&gt;0,CY10/CT10,0)</f>
        <v>0</v>
      </c>
      <c r="CW10" s="138">
        <f t="shared" ref="CW10" si="59">CU10*CV10</f>
        <v>0</v>
      </c>
      <c r="CX10" s="110">
        <f t="shared" ref="CX10" si="60">CW10*CR10</f>
        <v>0</v>
      </c>
      <c r="CY10" s="102"/>
      <c r="CZ10" s="139">
        <f t="shared" ref="CZ10" si="61">CY10-CX10</f>
        <v>0</v>
      </c>
      <c r="DA10" s="140">
        <f t="shared" ref="DA10" si="62">CW10/$LI10</f>
        <v>0</v>
      </c>
      <c r="DB10" s="18">
        <f t="shared" ref="DB10" si="63">SUM(DB13:DB38)</f>
        <v>825</v>
      </c>
      <c r="DC10" s="4"/>
      <c r="DD10" s="102"/>
      <c r="DE10" s="137">
        <f t="shared" ref="DE10" si="64">IF(DB10&gt;0,DD10/DB10,0)</f>
        <v>0</v>
      </c>
      <c r="DF10" s="110">
        <f t="shared" ref="DF10" si="65">IF(DI10&gt;0,DI10/DD10,0)</f>
        <v>0</v>
      </c>
      <c r="DG10" s="138">
        <f t="shared" ref="DG10" si="66">DE10*DF10</f>
        <v>0</v>
      </c>
      <c r="DH10" s="110">
        <f t="shared" ref="DH10" si="67">DG10*DB10</f>
        <v>0</v>
      </c>
      <c r="DI10" s="102"/>
      <c r="DJ10" s="139">
        <f t="shared" ref="DJ10" si="68">DI10-DH10</f>
        <v>0</v>
      </c>
      <c r="DK10" s="140">
        <f t="shared" ref="DK10" si="69">DG10/$LI10</f>
        <v>0</v>
      </c>
      <c r="DL10" s="18">
        <f t="shared" ref="DL10" si="70">SUM(DL13:DL38)</f>
        <v>283</v>
      </c>
      <c r="DM10" s="4"/>
      <c r="DN10" s="102"/>
      <c r="DO10" s="137">
        <f t="shared" ref="DO10" si="71">IF(DL10&gt;0,DN10/DL10,0)</f>
        <v>0</v>
      </c>
      <c r="DP10" s="110">
        <f t="shared" ref="DP10" si="72">IF(DS10&gt;0,DS10/DN10,0)</f>
        <v>0</v>
      </c>
      <c r="DQ10" s="138">
        <f t="shared" ref="DQ10" si="73">DO10*DP10</f>
        <v>0</v>
      </c>
      <c r="DR10" s="110">
        <f t="shared" ref="DR10" si="74">DQ10*DL10</f>
        <v>0</v>
      </c>
      <c r="DS10" s="102"/>
      <c r="DT10" s="139">
        <f t="shared" ref="DT10" si="75">DS10-DR10</f>
        <v>0</v>
      </c>
      <c r="DU10" s="140">
        <f t="shared" ref="DU10" si="76">DQ10/$LI10</f>
        <v>0</v>
      </c>
      <c r="DV10" s="18">
        <f t="shared" ref="DV10" si="77">SUM(DV13:DV38)</f>
        <v>878</v>
      </c>
      <c r="DW10" s="4"/>
      <c r="DX10" s="102"/>
      <c r="DY10" s="137">
        <f t="shared" ref="DY10" si="78">IF(DV10&gt;0,DX10/DV10,0)</f>
        <v>0</v>
      </c>
      <c r="DZ10" s="110">
        <f t="shared" ref="DZ10" si="79">IF(EC10&gt;0,EC10/DX10,0)</f>
        <v>0</v>
      </c>
      <c r="EA10" s="138">
        <f t="shared" ref="EA10" si="80">DY10*DZ10</f>
        <v>0</v>
      </c>
      <c r="EB10" s="110">
        <f t="shared" ref="EB10" si="81">EA10*DV10</f>
        <v>0</v>
      </c>
      <c r="EC10" s="102"/>
      <c r="ED10" s="139">
        <f t="shared" ref="ED10" si="82">EC10-EB10</f>
        <v>0</v>
      </c>
      <c r="EE10" s="140">
        <f t="shared" ref="EE10" si="83">EA10/$LI10</f>
        <v>0</v>
      </c>
      <c r="EF10" s="18">
        <f t="shared" ref="EF10" si="84">SUM(EF13:EF38)</f>
        <v>939</v>
      </c>
      <c r="EG10" s="4"/>
      <c r="EH10" s="102"/>
      <c r="EI10" s="137">
        <f t="shared" ref="EI10" si="85">IF(EF10&gt;0,EH10/EF10,0)</f>
        <v>0</v>
      </c>
      <c r="EJ10" s="110">
        <f t="shared" ref="EJ10" si="86">IF(EM10&gt;0,EM10/EH10,0)</f>
        <v>0</v>
      </c>
      <c r="EK10" s="138">
        <f t="shared" ref="EK10" si="87">EI10*EJ10</f>
        <v>0</v>
      </c>
      <c r="EL10" s="110">
        <f t="shared" ref="EL10" si="88">EK10*EF10</f>
        <v>0</v>
      </c>
      <c r="EM10" s="102"/>
      <c r="EN10" s="139">
        <f t="shared" ref="EN10" si="89">EM10-EL10</f>
        <v>0</v>
      </c>
      <c r="EO10" s="140">
        <f t="shared" ref="EO10" si="90">EK10/$LI10</f>
        <v>0</v>
      </c>
      <c r="EP10" s="18">
        <f t="shared" ref="EP10" si="91">SUM(EP13:EP38)</f>
        <v>943</v>
      </c>
      <c r="EQ10" s="4"/>
      <c r="ER10" s="102"/>
      <c r="ES10" s="137">
        <f t="shared" ref="ES10" si="92">IF(EP10&gt;0,ER10/EP10,0)</f>
        <v>0</v>
      </c>
      <c r="ET10" s="110">
        <f t="shared" ref="ET10" si="93">IF(EW10&gt;0,EW10/ER10,0)</f>
        <v>0</v>
      </c>
      <c r="EU10" s="138">
        <f t="shared" ref="EU10" si="94">ES10*ET10</f>
        <v>0</v>
      </c>
      <c r="EV10" s="110">
        <f t="shared" ref="EV10" si="95">EU10*EP10</f>
        <v>0</v>
      </c>
      <c r="EW10" s="102"/>
      <c r="EX10" s="139">
        <f t="shared" ref="EX10" si="96">EW10-EV10</f>
        <v>0</v>
      </c>
      <c r="EY10" s="140">
        <f t="shared" ref="EY10" si="97">EU10/$LI10</f>
        <v>0</v>
      </c>
      <c r="EZ10" s="18">
        <f t="shared" ref="EZ10" si="98">SUM(EZ13:EZ38)</f>
        <v>1117</v>
      </c>
      <c r="FA10" s="4"/>
      <c r="FB10" s="102">
        <v>64700</v>
      </c>
      <c r="FC10" s="137">
        <f t="shared" ref="FC10" si="99">IF(EZ10&gt;0,FB10/EZ10,0)</f>
        <v>57.923008060000001</v>
      </c>
      <c r="FD10" s="110">
        <f t="shared" ref="FD10" si="100">IF(FG10&gt;0,FG10/FB10,0)</f>
        <v>9.92</v>
      </c>
      <c r="FE10" s="138">
        <f t="shared" ref="FE10" si="101">FC10*FD10</f>
        <v>574.59623999999997</v>
      </c>
      <c r="FF10" s="110">
        <f t="shared" ref="FF10" si="102">FE10*EZ10</f>
        <v>641824</v>
      </c>
      <c r="FG10" s="102">
        <v>641824</v>
      </c>
      <c r="FH10" s="139">
        <f t="shared" ref="FH10" si="103">FG10-FF10</f>
        <v>0</v>
      </c>
      <c r="FI10" s="140">
        <f t="shared" ref="FI10" si="104">FE10/$LI10</f>
        <v>6.9968399999999997</v>
      </c>
      <c r="FJ10" s="18">
        <f t="shared" ref="FJ10" si="105">SUM(FJ13:FJ38)</f>
        <v>1022</v>
      </c>
      <c r="FK10" s="4"/>
      <c r="FL10" s="102"/>
      <c r="FM10" s="137">
        <f t="shared" ref="FM10" si="106">IF(FJ10&gt;0,FL10/FJ10,0)</f>
        <v>0</v>
      </c>
      <c r="FN10" s="110">
        <f t="shared" ref="FN10" si="107">IF(FQ10&gt;0,FQ10/FL10,0)</f>
        <v>0</v>
      </c>
      <c r="FO10" s="138">
        <f t="shared" ref="FO10" si="108">FM10*FN10</f>
        <v>0</v>
      </c>
      <c r="FP10" s="110">
        <f t="shared" ref="FP10" si="109">FO10*FJ10</f>
        <v>0</v>
      </c>
      <c r="FQ10" s="102"/>
      <c r="FR10" s="139">
        <f t="shared" ref="FR10" si="110">FQ10-FP10</f>
        <v>0</v>
      </c>
      <c r="FS10" s="140">
        <f t="shared" ref="FS10" si="111">FO10/$LI10</f>
        <v>0</v>
      </c>
      <c r="FT10" s="18">
        <f t="shared" ref="FT10" si="112">SUM(FT13:FT38)</f>
        <v>803</v>
      </c>
      <c r="FU10" s="4"/>
      <c r="FV10" s="102"/>
      <c r="FW10" s="137">
        <f t="shared" ref="FW10" si="113">IF(FT10&gt;0,FV10/FT10,0)</f>
        <v>0</v>
      </c>
      <c r="FX10" s="110">
        <f t="shared" ref="FX10" si="114">IF(GA10&gt;0,GA10/FV10,0)</f>
        <v>0</v>
      </c>
      <c r="FY10" s="138">
        <f t="shared" ref="FY10" si="115">FW10*FX10</f>
        <v>0</v>
      </c>
      <c r="FZ10" s="110">
        <f t="shared" ref="FZ10" si="116">FY10*FT10</f>
        <v>0</v>
      </c>
      <c r="GA10" s="102"/>
      <c r="GB10" s="139">
        <f t="shared" ref="GB10" si="117">GA10-FZ10</f>
        <v>0</v>
      </c>
      <c r="GC10" s="140">
        <f t="shared" ref="GC10" si="118">FY10/$LI10</f>
        <v>0</v>
      </c>
      <c r="GD10" s="18">
        <f t="shared" ref="GD10" si="119">SUM(GD13:GD38)</f>
        <v>512</v>
      </c>
      <c r="GE10" s="4"/>
      <c r="GF10" s="102">
        <v>63400</v>
      </c>
      <c r="GG10" s="137">
        <f t="shared" ref="GG10" si="120">IF(GD10&gt;0,GF10/GD10,0)</f>
        <v>123.828125</v>
      </c>
      <c r="GH10" s="110">
        <f t="shared" ref="GH10" si="121">IF(GK10&gt;0,GK10/GF10,0)</f>
        <v>9.92</v>
      </c>
      <c r="GI10" s="138">
        <f t="shared" ref="GI10" si="122">GG10*GH10</f>
        <v>1228.375</v>
      </c>
      <c r="GJ10" s="110">
        <f t="shared" ref="GJ10" si="123">GI10*GD10</f>
        <v>628928</v>
      </c>
      <c r="GK10" s="102">
        <v>628928</v>
      </c>
      <c r="GL10" s="139">
        <f t="shared" ref="GL10" si="124">GK10-GJ10</f>
        <v>0</v>
      </c>
      <c r="GM10" s="140">
        <f t="shared" ref="GM10" si="125">GI10/$LI10</f>
        <v>14.957890000000001</v>
      </c>
      <c r="GN10" s="18">
        <f t="shared" ref="GN10" si="126">SUM(GN13:GN38)</f>
        <v>864</v>
      </c>
      <c r="GO10" s="4"/>
      <c r="GP10" s="102"/>
      <c r="GQ10" s="137">
        <f t="shared" ref="GQ10" si="127">IF(GN10&gt;0,GP10/GN10,0)</f>
        <v>0</v>
      </c>
      <c r="GR10" s="110">
        <f t="shared" ref="GR10" si="128">IF(GU10&gt;0,GU10/GP10,0)</f>
        <v>0</v>
      </c>
      <c r="GS10" s="138">
        <f t="shared" ref="GS10" si="129">GQ10*GR10</f>
        <v>0</v>
      </c>
      <c r="GT10" s="110">
        <f t="shared" ref="GT10" si="130">GS10*GN10</f>
        <v>0</v>
      </c>
      <c r="GU10" s="102"/>
      <c r="GV10" s="139">
        <f t="shared" ref="GV10" si="131">GU10-GT10</f>
        <v>0</v>
      </c>
      <c r="GW10" s="140">
        <f t="shared" ref="GW10" si="132">GS10/$LI10</f>
        <v>0</v>
      </c>
      <c r="GX10" s="18">
        <f t="shared" ref="GX10" si="133">SUM(GX13:GX38)</f>
        <v>1621</v>
      </c>
      <c r="GY10" s="4"/>
      <c r="GZ10" s="102">
        <v>108200</v>
      </c>
      <c r="HA10" s="137">
        <f t="shared" ref="HA10" si="134">IF(GX10&gt;0,GZ10/GX10,0)</f>
        <v>66.748920420000005</v>
      </c>
      <c r="HB10" s="110">
        <f t="shared" ref="HB10" si="135">IF(HE10&gt;0,HE10/GZ10,0)</f>
        <v>9.92</v>
      </c>
      <c r="HC10" s="138">
        <f t="shared" ref="HC10" si="136">HA10*HB10</f>
        <v>662.14928999999995</v>
      </c>
      <c r="HD10" s="110">
        <f t="shared" ref="HD10" si="137">HC10*GX10</f>
        <v>1073344</v>
      </c>
      <c r="HE10" s="102">
        <v>1073344</v>
      </c>
      <c r="HF10" s="139">
        <f t="shared" ref="HF10" si="138">HE10-HD10</f>
        <v>0</v>
      </c>
      <c r="HG10" s="140">
        <f t="shared" ref="HG10" si="139">HC10/$LI10</f>
        <v>8.0629799999999996</v>
      </c>
      <c r="HH10" s="18">
        <f t="shared" ref="HH10" si="140">SUM(HH13:HH38)</f>
        <v>1152</v>
      </c>
      <c r="HI10" s="4"/>
      <c r="HJ10" s="102"/>
      <c r="HK10" s="137">
        <f t="shared" ref="HK10" si="141">IF(HH10&gt;0,HJ10/HH10,0)</f>
        <v>0</v>
      </c>
      <c r="HL10" s="110">
        <f t="shared" ref="HL10" si="142">IF(HO10&gt;0,HO10/HJ10,0)</f>
        <v>0</v>
      </c>
      <c r="HM10" s="138">
        <f t="shared" ref="HM10" si="143">HK10*HL10</f>
        <v>0</v>
      </c>
      <c r="HN10" s="110">
        <f t="shared" ref="HN10" si="144">HM10*HH10</f>
        <v>0</v>
      </c>
      <c r="HO10" s="102"/>
      <c r="HP10" s="139">
        <f t="shared" ref="HP10" si="145">HO10-HN10</f>
        <v>0</v>
      </c>
      <c r="HQ10" s="140">
        <f t="shared" ref="HQ10" si="146">HM10/$LI10</f>
        <v>0</v>
      </c>
      <c r="HR10" s="18">
        <f t="shared" ref="HR10" si="147">SUM(HR13:HR38)</f>
        <v>788</v>
      </c>
      <c r="HS10" s="4"/>
      <c r="HT10" s="102"/>
      <c r="HU10" s="137">
        <f t="shared" ref="HU10" si="148">IF(HR10&gt;0,HT10/HR10,0)</f>
        <v>0</v>
      </c>
      <c r="HV10" s="110">
        <f t="shared" ref="HV10" si="149">IF(HY10&gt;0,HY10/HT10,0)</f>
        <v>0</v>
      </c>
      <c r="HW10" s="138">
        <f t="shared" ref="HW10" si="150">HU10*HV10</f>
        <v>0</v>
      </c>
      <c r="HX10" s="110">
        <f t="shared" ref="HX10" si="151">HW10*HR10</f>
        <v>0</v>
      </c>
      <c r="HY10" s="102"/>
      <c r="HZ10" s="139">
        <f t="shared" ref="HZ10" si="152">HY10-HX10</f>
        <v>0</v>
      </c>
      <c r="IA10" s="140">
        <f t="shared" ref="IA10" si="153">HW10/$LI10</f>
        <v>0</v>
      </c>
      <c r="IB10" s="18">
        <f t="shared" ref="IB10" si="154">SUM(IB13:IB38)</f>
        <v>548</v>
      </c>
      <c r="IC10" s="4"/>
      <c r="ID10" s="102"/>
      <c r="IE10" s="137">
        <f t="shared" ref="IE10" si="155">IF(IB10&gt;0,ID10/IB10,0)</f>
        <v>0</v>
      </c>
      <c r="IF10" s="110">
        <f t="shared" ref="IF10" si="156">IF(II10&gt;0,II10/ID10,0)</f>
        <v>0</v>
      </c>
      <c r="IG10" s="138">
        <f t="shared" ref="IG10" si="157">IE10*IF10</f>
        <v>0</v>
      </c>
      <c r="IH10" s="110">
        <f t="shared" ref="IH10" si="158">IG10*IB10</f>
        <v>0</v>
      </c>
      <c r="II10" s="102"/>
      <c r="IJ10" s="139">
        <f t="shared" ref="IJ10" si="159">II10-IH10</f>
        <v>0</v>
      </c>
      <c r="IK10" s="140">
        <f t="shared" ref="IK10" si="160">IG10/$LI10</f>
        <v>0</v>
      </c>
      <c r="IL10" s="18">
        <f t="shared" ref="IL10" si="161">SUM(IL13:IL38)</f>
        <v>1265</v>
      </c>
      <c r="IM10" s="4"/>
      <c r="IN10" s="102"/>
      <c r="IO10" s="137">
        <f t="shared" ref="IO10" si="162">IF(IL10&gt;0,IN10/IL10,0)</f>
        <v>0</v>
      </c>
      <c r="IP10" s="110">
        <f t="shared" ref="IP10" si="163">IF(IS10&gt;0,IS10/IN10,0)</f>
        <v>0</v>
      </c>
      <c r="IQ10" s="138">
        <f t="shared" ref="IQ10" si="164">IO10*IP10</f>
        <v>0</v>
      </c>
      <c r="IR10" s="110">
        <f t="shared" ref="IR10" si="165">IQ10*IL10</f>
        <v>0</v>
      </c>
      <c r="IS10" s="102"/>
      <c r="IT10" s="139">
        <f t="shared" ref="IT10" si="166">IS10-IR10</f>
        <v>0</v>
      </c>
      <c r="IU10" s="140">
        <f t="shared" ref="IU10" si="167">IQ10/$LI10</f>
        <v>0</v>
      </c>
      <c r="IV10" s="18">
        <f t="shared" ref="IV10" si="168">SUM(IV13:IV38)</f>
        <v>771</v>
      </c>
      <c r="IW10" s="4"/>
      <c r="IX10" s="102"/>
      <c r="IY10" s="137">
        <f t="shared" ref="IY10" si="169">IF(IV10&gt;0,IX10/IV10,0)</f>
        <v>0</v>
      </c>
      <c r="IZ10" s="110">
        <f t="shared" ref="IZ10" si="170">IF(JC10&gt;0,JC10/IX10,0)</f>
        <v>0</v>
      </c>
      <c r="JA10" s="138">
        <f t="shared" ref="JA10" si="171">IY10*IZ10</f>
        <v>0</v>
      </c>
      <c r="JB10" s="110">
        <f t="shared" ref="JB10" si="172">JA10*IV10</f>
        <v>0</v>
      </c>
      <c r="JC10" s="102"/>
      <c r="JD10" s="139">
        <f t="shared" ref="JD10" si="173">JC10-JB10</f>
        <v>0</v>
      </c>
      <c r="JE10" s="140">
        <f t="shared" ref="JE10" si="174">JA10/$LI10</f>
        <v>0</v>
      </c>
      <c r="JF10" s="18">
        <f t="shared" ref="JF10" si="175">SUM(JF13:JF38)</f>
        <v>1341</v>
      </c>
      <c r="JG10" s="4"/>
      <c r="JH10" s="102"/>
      <c r="JI10" s="137">
        <f t="shared" ref="JI10" si="176">IF(JF10&gt;0,JH10/JF10,0)</f>
        <v>0</v>
      </c>
      <c r="JJ10" s="110">
        <f t="shared" ref="JJ10" si="177">IF(JM10&gt;0,JM10/JH10,0)</f>
        <v>0</v>
      </c>
      <c r="JK10" s="138">
        <f t="shared" ref="JK10" si="178">JI10*JJ10</f>
        <v>0</v>
      </c>
      <c r="JL10" s="110">
        <f t="shared" ref="JL10" si="179">JK10*JF10</f>
        <v>0</v>
      </c>
      <c r="JM10" s="102"/>
      <c r="JN10" s="139">
        <f t="shared" ref="JN10" si="180">JM10-JL10</f>
        <v>0</v>
      </c>
      <c r="JO10" s="140">
        <f t="shared" ref="JO10" si="181">JK10/$LI10</f>
        <v>0</v>
      </c>
      <c r="JP10" s="18">
        <f t="shared" ref="JP10" si="182">SUM(JP13:JP38)</f>
        <v>1249</v>
      </c>
      <c r="JQ10" s="4"/>
      <c r="JR10" s="102"/>
      <c r="JS10" s="137">
        <f t="shared" ref="JS10" si="183">IF(JP10&gt;0,JR10/JP10,0)</f>
        <v>0</v>
      </c>
      <c r="JT10" s="110">
        <f t="shared" ref="JT10" si="184">IF(JW10&gt;0,JW10/JR10,0)</f>
        <v>0</v>
      </c>
      <c r="JU10" s="138">
        <f t="shared" ref="JU10" si="185">JS10*JT10</f>
        <v>0</v>
      </c>
      <c r="JV10" s="110">
        <f t="shared" ref="JV10" si="186">JU10*JP10</f>
        <v>0</v>
      </c>
      <c r="JW10" s="102"/>
      <c r="JX10" s="139">
        <f t="shared" ref="JX10" si="187">JW10-JV10</f>
        <v>0</v>
      </c>
      <c r="JY10" s="140">
        <f t="shared" ref="JY10" si="188">JU10/$LI10</f>
        <v>0</v>
      </c>
      <c r="JZ10" s="18">
        <f t="shared" ref="JZ10" si="189">SUM(JZ13:JZ38)</f>
        <v>1163</v>
      </c>
      <c r="KA10" s="4"/>
      <c r="KB10" s="102"/>
      <c r="KC10" s="137">
        <f t="shared" ref="KC10" si="190">IF(JZ10&gt;0,KB10/JZ10,0)</f>
        <v>0</v>
      </c>
      <c r="KD10" s="110">
        <f t="shared" ref="KD10" si="191">IF(KG10&gt;0,KG10/KB10,0)</f>
        <v>0</v>
      </c>
      <c r="KE10" s="138">
        <f t="shared" ref="KE10" si="192">KC10*KD10</f>
        <v>0</v>
      </c>
      <c r="KF10" s="110">
        <f t="shared" ref="KF10" si="193">KE10*JZ10</f>
        <v>0</v>
      </c>
      <c r="KG10" s="102"/>
      <c r="KH10" s="139">
        <f t="shared" ref="KH10" si="194">KG10-KF10</f>
        <v>0</v>
      </c>
      <c r="KI10" s="140">
        <f t="shared" ref="KI10" si="195">KE10/$LI10</f>
        <v>0</v>
      </c>
      <c r="KJ10" s="18">
        <f t="shared" ref="KJ10" si="196">SUM(KJ13:KJ38)</f>
        <v>1341</v>
      </c>
      <c r="KK10" s="4"/>
      <c r="KL10" s="102"/>
      <c r="KM10" s="137">
        <f t="shared" ref="KM10" si="197">IF(KJ10&gt;0,KL10/KJ10,0)</f>
        <v>0</v>
      </c>
      <c r="KN10" s="110">
        <f t="shared" ref="KN10" si="198">IF(KQ10&gt;0,KQ10/KL10,0)</f>
        <v>0</v>
      </c>
      <c r="KO10" s="138">
        <f t="shared" ref="KO10" si="199">KM10*KN10</f>
        <v>0</v>
      </c>
      <c r="KP10" s="110">
        <f t="shared" ref="KP10" si="200">KO10*KJ10</f>
        <v>0</v>
      </c>
      <c r="KQ10" s="102"/>
      <c r="KR10" s="139">
        <f t="shared" ref="KR10" si="201">KQ10-KP10</f>
        <v>0</v>
      </c>
      <c r="KS10" s="140">
        <f t="shared" ref="KS10" si="202">KO10/$LI10</f>
        <v>0</v>
      </c>
      <c r="KT10" s="18">
        <f t="shared" ref="KT10" si="203">SUM(KT13:KT38)</f>
        <v>1124</v>
      </c>
      <c r="KU10" s="4"/>
      <c r="KV10" s="102"/>
      <c r="KW10" s="137">
        <f t="shared" ref="KW10" si="204">IF(KT10&gt;0,KV10/KT10,0)</f>
        <v>0</v>
      </c>
      <c r="KX10" s="110">
        <f t="shared" ref="KX10" si="205">IF(LA10&gt;0,LA10/KV10,0)</f>
        <v>0</v>
      </c>
      <c r="KY10" s="138">
        <f t="shared" ref="KY10" si="206">KW10*KX10</f>
        <v>0</v>
      </c>
      <c r="KZ10" s="110">
        <f t="shared" ref="KZ10" si="207">KY10*KT10</f>
        <v>0</v>
      </c>
      <c r="LA10" s="102"/>
      <c r="LB10" s="139">
        <f t="shared" ref="LB10" si="208">LA10-KZ10</f>
        <v>0</v>
      </c>
      <c r="LC10" s="140">
        <f t="shared" ref="LC10" si="209">KY10/$LI10</f>
        <v>0</v>
      </c>
      <c r="LD10" s="18">
        <f>SUM(LD13:LD38)</f>
        <v>28544</v>
      </c>
      <c r="LE10" s="4"/>
      <c r="LF10" s="145">
        <f>H10+R10+AB10+AL10+AV10+BF10+BP10+BZ10+CJ10+CT10+DD10+DN10+DX10+EH10+ER10+FB10+FL10+FV10+GF10+GP10+GZ10+HJ10+HT10+ID10+IN10+IX10+JH10+JR10+KB10+KL10+KV10</f>
        <v>236300</v>
      </c>
      <c r="LG10" s="137">
        <f>IF(LD10&gt;0,LF10/LD10,0)</f>
        <v>8.2784473100000007</v>
      </c>
      <c r="LH10" s="110">
        <f>IF(LK10&gt;0,LK10/LF10,0)</f>
        <v>9.92</v>
      </c>
      <c r="LI10" s="138">
        <f>LG10*LH10</f>
        <v>82.122200000000007</v>
      </c>
      <c r="LJ10" s="110">
        <f>LI10*LD10</f>
        <v>2344096.08</v>
      </c>
      <c r="LK10" s="145">
        <f>M10+W10+AG10+AQ10+BA10+BK10+BU10+CE10+CO10+CY10+DI10+DS10+EC10+EM10+EW10+FG10+FQ10+GA10+GK10+GU10+HE10+HO10+HY10+II10+IS10+JC10+JM10+JW10+KG10+KQ10+LA10</f>
        <v>2344096</v>
      </c>
      <c r="LL10" s="139">
        <f>LK10-LJ10</f>
        <v>-0.08</v>
      </c>
    </row>
    <row r="11" spans="1:324" s="132" customFormat="1" x14ac:dyDescent="0.25">
      <c r="A11" s="130"/>
      <c r="B11" s="131" t="s">
        <v>467</v>
      </c>
      <c r="C11" s="131"/>
      <c r="D11" s="131"/>
      <c r="E11" s="131"/>
      <c r="F11" s="141"/>
      <c r="G11" s="131"/>
      <c r="H11" s="139">
        <f>H10-(SUM(H13:H38))</f>
        <v>0</v>
      </c>
      <c r="I11" s="142"/>
      <c r="J11" s="139"/>
      <c r="K11" s="143"/>
      <c r="L11" s="139">
        <f>L10-(SUM(L13:L38))</f>
        <v>0</v>
      </c>
      <c r="M11" s="139"/>
      <c r="N11" s="139"/>
      <c r="O11" s="131"/>
      <c r="P11" s="141"/>
      <c r="Q11" s="131"/>
      <c r="R11" s="139">
        <f t="shared" ref="R11" si="210">R10-(SUM(R13:R38))</f>
        <v>0</v>
      </c>
      <c r="S11" s="142"/>
      <c r="T11" s="139"/>
      <c r="U11" s="143"/>
      <c r="V11" s="139">
        <f t="shared" ref="V11" si="211">V10-(SUM(V13:V38))</f>
        <v>0</v>
      </c>
      <c r="W11" s="139"/>
      <c r="X11" s="139"/>
      <c r="Y11" s="131"/>
      <c r="Z11" s="141"/>
      <c r="AA11" s="131"/>
      <c r="AB11" s="139">
        <f t="shared" ref="AB11" si="212">AB10-(SUM(AB13:AB38))</f>
        <v>0</v>
      </c>
      <c r="AC11" s="142"/>
      <c r="AD11" s="139"/>
      <c r="AE11" s="143"/>
      <c r="AF11" s="139">
        <f t="shared" ref="AF11" si="213">AF10-(SUM(AF13:AF38))</f>
        <v>0</v>
      </c>
      <c r="AG11" s="139"/>
      <c r="AH11" s="139"/>
      <c r="AI11" s="131"/>
      <c r="AJ11" s="141"/>
      <c r="AK11" s="131"/>
      <c r="AL11" s="139">
        <f t="shared" ref="AL11" si="214">AL10-(SUM(AL13:AL38))</f>
        <v>0</v>
      </c>
      <c r="AM11" s="142"/>
      <c r="AN11" s="139"/>
      <c r="AO11" s="143"/>
      <c r="AP11" s="139">
        <f t="shared" ref="AP11" si="215">AP10-(SUM(AP13:AP38))</f>
        <v>0</v>
      </c>
      <c r="AQ11" s="139"/>
      <c r="AR11" s="139"/>
      <c r="AS11" s="131"/>
      <c r="AT11" s="141"/>
      <c r="AU11" s="131"/>
      <c r="AV11" s="139">
        <f t="shared" ref="AV11" si="216">AV10-(SUM(AV13:AV38))</f>
        <v>0</v>
      </c>
      <c r="AW11" s="142"/>
      <c r="AX11" s="139"/>
      <c r="AY11" s="143"/>
      <c r="AZ11" s="139">
        <f t="shared" ref="AZ11" si="217">AZ10-(SUM(AZ13:AZ38))</f>
        <v>0</v>
      </c>
      <c r="BA11" s="139"/>
      <c r="BB11" s="139"/>
      <c r="BC11" s="131"/>
      <c r="BD11" s="141"/>
      <c r="BE11" s="131"/>
      <c r="BF11" s="139">
        <f t="shared" ref="BF11" si="218">BF10-(SUM(BF13:BF38))</f>
        <v>0</v>
      </c>
      <c r="BG11" s="142"/>
      <c r="BH11" s="139"/>
      <c r="BI11" s="143"/>
      <c r="BJ11" s="139">
        <f t="shared" ref="BJ11" si="219">BJ10-(SUM(BJ13:BJ38))</f>
        <v>0</v>
      </c>
      <c r="BK11" s="139"/>
      <c r="BL11" s="139"/>
      <c r="BM11" s="131"/>
      <c r="BN11" s="141"/>
      <c r="BO11" s="131"/>
      <c r="BP11" s="139">
        <f t="shared" ref="BP11" si="220">BP10-(SUM(BP13:BP38))</f>
        <v>0</v>
      </c>
      <c r="BQ11" s="142"/>
      <c r="BR11" s="139"/>
      <c r="BS11" s="143"/>
      <c r="BT11" s="139">
        <f t="shared" ref="BT11" si="221">BT10-(SUM(BT13:BT38))</f>
        <v>0</v>
      </c>
      <c r="BU11" s="139"/>
      <c r="BV11" s="139"/>
      <c r="BW11" s="131"/>
      <c r="BX11" s="141"/>
      <c r="BY11" s="131"/>
      <c r="BZ11" s="139">
        <f t="shared" ref="BZ11" si="222">BZ10-(SUM(BZ13:BZ38))</f>
        <v>0</v>
      </c>
      <c r="CA11" s="142"/>
      <c r="CB11" s="139"/>
      <c r="CC11" s="143"/>
      <c r="CD11" s="139">
        <f t="shared" ref="CD11" si="223">CD10-(SUM(CD13:CD38))</f>
        <v>0</v>
      </c>
      <c r="CE11" s="139"/>
      <c r="CF11" s="139"/>
      <c r="CG11" s="131"/>
      <c r="CH11" s="141"/>
      <c r="CI11" s="131"/>
      <c r="CJ11" s="139">
        <f t="shared" ref="CJ11" si="224">CJ10-(SUM(CJ13:CJ38))</f>
        <v>0</v>
      </c>
      <c r="CK11" s="142"/>
      <c r="CL11" s="139"/>
      <c r="CM11" s="143"/>
      <c r="CN11" s="139">
        <f t="shared" ref="CN11" si="225">CN10-(SUM(CN13:CN38))</f>
        <v>0</v>
      </c>
      <c r="CO11" s="139"/>
      <c r="CP11" s="139"/>
      <c r="CQ11" s="131"/>
      <c r="CR11" s="141"/>
      <c r="CS11" s="131"/>
      <c r="CT11" s="139">
        <f t="shared" ref="CT11" si="226">CT10-(SUM(CT13:CT38))</f>
        <v>0</v>
      </c>
      <c r="CU11" s="142"/>
      <c r="CV11" s="139"/>
      <c r="CW11" s="143"/>
      <c r="CX11" s="139">
        <f t="shared" ref="CX11" si="227">CX10-(SUM(CX13:CX38))</f>
        <v>0</v>
      </c>
      <c r="CY11" s="139"/>
      <c r="CZ11" s="139"/>
      <c r="DA11" s="131"/>
      <c r="DB11" s="141"/>
      <c r="DC11" s="131"/>
      <c r="DD11" s="139">
        <f t="shared" ref="DD11" si="228">DD10-(SUM(DD13:DD38))</f>
        <v>0</v>
      </c>
      <c r="DE11" s="142"/>
      <c r="DF11" s="139"/>
      <c r="DG11" s="143"/>
      <c r="DH11" s="139">
        <f t="shared" ref="DH11" si="229">DH10-(SUM(DH13:DH38))</f>
        <v>0</v>
      </c>
      <c r="DI11" s="139"/>
      <c r="DJ11" s="139"/>
      <c r="DK11" s="131"/>
      <c r="DL11" s="141"/>
      <c r="DM11" s="131"/>
      <c r="DN11" s="139">
        <f t="shared" ref="DN11" si="230">DN10-(SUM(DN13:DN38))</f>
        <v>0</v>
      </c>
      <c r="DO11" s="142"/>
      <c r="DP11" s="139"/>
      <c r="DQ11" s="143"/>
      <c r="DR11" s="139">
        <f t="shared" ref="DR11" si="231">DR10-(SUM(DR13:DR38))</f>
        <v>0</v>
      </c>
      <c r="DS11" s="139"/>
      <c r="DT11" s="139"/>
      <c r="DU11" s="131"/>
      <c r="DV11" s="141"/>
      <c r="DW11" s="131"/>
      <c r="DX11" s="139">
        <f t="shared" ref="DX11" si="232">DX10-(SUM(DX13:DX38))</f>
        <v>0</v>
      </c>
      <c r="DY11" s="142"/>
      <c r="DZ11" s="139"/>
      <c r="EA11" s="143"/>
      <c r="EB11" s="139">
        <f t="shared" ref="EB11" si="233">EB10-(SUM(EB13:EB38))</f>
        <v>0</v>
      </c>
      <c r="EC11" s="139"/>
      <c r="ED11" s="139"/>
      <c r="EE11" s="131"/>
      <c r="EF11" s="141"/>
      <c r="EG11" s="131"/>
      <c r="EH11" s="139">
        <f t="shared" ref="EH11" si="234">EH10-(SUM(EH13:EH38))</f>
        <v>0</v>
      </c>
      <c r="EI11" s="142"/>
      <c r="EJ11" s="139"/>
      <c r="EK11" s="143"/>
      <c r="EL11" s="139">
        <f t="shared" ref="EL11" si="235">EL10-(SUM(EL13:EL38))</f>
        <v>0</v>
      </c>
      <c r="EM11" s="139"/>
      <c r="EN11" s="139"/>
      <c r="EO11" s="131"/>
      <c r="EP11" s="141"/>
      <c r="EQ11" s="131"/>
      <c r="ER11" s="139">
        <f t="shared" ref="ER11" si="236">ER10-(SUM(ER13:ER38))</f>
        <v>0</v>
      </c>
      <c r="ES11" s="142"/>
      <c r="ET11" s="139"/>
      <c r="EU11" s="143"/>
      <c r="EV11" s="139">
        <f t="shared" ref="EV11" si="237">EV10-(SUM(EV13:EV38))</f>
        <v>0</v>
      </c>
      <c r="EW11" s="139"/>
      <c r="EX11" s="139"/>
      <c r="EY11" s="131"/>
      <c r="EZ11" s="141"/>
      <c r="FA11" s="131"/>
      <c r="FB11" s="139">
        <f t="shared" ref="FB11" si="238">FB10-(SUM(FB13:FB38))</f>
        <v>-1.3</v>
      </c>
      <c r="FC11" s="142"/>
      <c r="FD11" s="139"/>
      <c r="FE11" s="143"/>
      <c r="FF11" s="139">
        <f t="shared" ref="FF11" si="239">FF10-(SUM(FF13:FF38))</f>
        <v>-12.9</v>
      </c>
      <c r="FG11" s="139"/>
      <c r="FH11" s="139"/>
      <c r="FI11" s="131"/>
      <c r="FJ11" s="141"/>
      <c r="FK11" s="131"/>
      <c r="FL11" s="139">
        <f t="shared" ref="FL11" si="240">FL10-(SUM(FL13:FL38))</f>
        <v>0</v>
      </c>
      <c r="FM11" s="142"/>
      <c r="FN11" s="139"/>
      <c r="FO11" s="143"/>
      <c r="FP11" s="139">
        <f t="shared" ref="FP11" si="241">FP10-(SUM(FP13:FP38))</f>
        <v>0</v>
      </c>
      <c r="FQ11" s="139"/>
      <c r="FR11" s="139"/>
      <c r="FS11" s="131"/>
      <c r="FT11" s="141"/>
      <c r="FU11" s="131"/>
      <c r="FV11" s="139">
        <f t="shared" ref="FV11" si="242">FV10-(SUM(FV13:FV38))</f>
        <v>0</v>
      </c>
      <c r="FW11" s="142"/>
      <c r="FX11" s="139"/>
      <c r="FY11" s="143"/>
      <c r="FZ11" s="139">
        <f t="shared" ref="FZ11" si="243">FZ10-(SUM(FZ13:FZ38))</f>
        <v>0</v>
      </c>
      <c r="GA11" s="139"/>
      <c r="GB11" s="139"/>
      <c r="GC11" s="131"/>
      <c r="GD11" s="141"/>
      <c r="GE11" s="131"/>
      <c r="GF11" s="139">
        <f t="shared" ref="GF11" si="244">GF10-(SUM(GF13:GF38))</f>
        <v>0.02</v>
      </c>
      <c r="GG11" s="142"/>
      <c r="GH11" s="139"/>
      <c r="GI11" s="143"/>
      <c r="GJ11" s="139">
        <f t="shared" ref="GJ11" si="245">GJ10-(SUM(GJ13:GJ38))</f>
        <v>0.19</v>
      </c>
      <c r="GK11" s="139"/>
      <c r="GL11" s="139"/>
      <c r="GM11" s="131"/>
      <c r="GN11" s="141"/>
      <c r="GO11" s="131"/>
      <c r="GP11" s="139">
        <f t="shared" ref="GP11" si="246">GP10-(SUM(GP13:GP38))</f>
        <v>0</v>
      </c>
      <c r="GQ11" s="142"/>
      <c r="GR11" s="139"/>
      <c r="GS11" s="143"/>
      <c r="GT11" s="139">
        <f t="shared" ref="GT11" si="247">GT10-(SUM(GT13:GT38))</f>
        <v>0</v>
      </c>
      <c r="GU11" s="139"/>
      <c r="GV11" s="139"/>
      <c r="GW11" s="131"/>
      <c r="GX11" s="141"/>
      <c r="GY11" s="131"/>
      <c r="GZ11" s="139">
        <f t="shared" ref="GZ11" si="248">GZ10-(SUM(GZ13:GZ38))</f>
        <v>0</v>
      </c>
      <c r="HA11" s="142"/>
      <c r="HB11" s="139"/>
      <c r="HC11" s="143"/>
      <c r="HD11" s="139">
        <f t="shared" ref="HD11" si="249">HD10-(SUM(HD13:HD38))</f>
        <v>0.01</v>
      </c>
      <c r="HE11" s="139"/>
      <c r="HF11" s="139"/>
      <c r="HG11" s="131"/>
      <c r="HH11" s="141"/>
      <c r="HI11" s="131"/>
      <c r="HJ11" s="139">
        <f t="shared" ref="HJ11" si="250">HJ10-(SUM(HJ13:HJ38))</f>
        <v>0</v>
      </c>
      <c r="HK11" s="142"/>
      <c r="HL11" s="139"/>
      <c r="HM11" s="143"/>
      <c r="HN11" s="139">
        <f t="shared" ref="HN11" si="251">HN10-(SUM(HN13:HN38))</f>
        <v>0</v>
      </c>
      <c r="HO11" s="139"/>
      <c r="HP11" s="139"/>
      <c r="HQ11" s="131"/>
      <c r="HR11" s="141"/>
      <c r="HS11" s="131"/>
      <c r="HT11" s="139">
        <f t="shared" ref="HT11" si="252">HT10-(SUM(HT13:HT38))</f>
        <v>0</v>
      </c>
      <c r="HU11" s="142"/>
      <c r="HV11" s="139"/>
      <c r="HW11" s="143"/>
      <c r="HX11" s="139">
        <f t="shared" ref="HX11" si="253">HX10-(SUM(HX13:HX38))</f>
        <v>0</v>
      </c>
      <c r="HY11" s="139"/>
      <c r="HZ11" s="139"/>
      <c r="IA11" s="131"/>
      <c r="IB11" s="141"/>
      <c r="IC11" s="131"/>
      <c r="ID11" s="139">
        <f t="shared" ref="ID11" si="254">ID10-(SUM(ID13:ID38))</f>
        <v>0</v>
      </c>
      <c r="IE11" s="142"/>
      <c r="IF11" s="139"/>
      <c r="IG11" s="143"/>
      <c r="IH11" s="139">
        <f t="shared" ref="IH11" si="255">IH10-(SUM(IH13:IH38))</f>
        <v>0</v>
      </c>
      <c r="II11" s="139"/>
      <c r="IJ11" s="139"/>
      <c r="IK11" s="131"/>
      <c r="IL11" s="141"/>
      <c r="IM11" s="131"/>
      <c r="IN11" s="139">
        <f t="shared" ref="IN11" si="256">IN10-(SUM(IN13:IN38))</f>
        <v>0</v>
      </c>
      <c r="IO11" s="142"/>
      <c r="IP11" s="139"/>
      <c r="IQ11" s="143"/>
      <c r="IR11" s="139">
        <f t="shared" ref="IR11" si="257">IR10-(SUM(IR13:IR38))</f>
        <v>0</v>
      </c>
      <c r="IS11" s="139"/>
      <c r="IT11" s="139"/>
      <c r="IU11" s="131"/>
      <c r="IV11" s="141"/>
      <c r="IW11" s="131"/>
      <c r="IX11" s="139">
        <f t="shared" ref="IX11" si="258">IX10-(SUM(IX13:IX38))</f>
        <v>0</v>
      </c>
      <c r="IY11" s="142"/>
      <c r="IZ11" s="139"/>
      <c r="JA11" s="143"/>
      <c r="JB11" s="139">
        <f t="shared" ref="JB11" si="259">JB10-(SUM(JB13:JB38))</f>
        <v>0</v>
      </c>
      <c r="JC11" s="139"/>
      <c r="JD11" s="139"/>
      <c r="JE11" s="131"/>
      <c r="JF11" s="141"/>
      <c r="JG11" s="131"/>
      <c r="JH11" s="139">
        <f t="shared" ref="JH11" si="260">JH10-(SUM(JH13:JH38))</f>
        <v>0</v>
      </c>
      <c r="JI11" s="142"/>
      <c r="JJ11" s="139"/>
      <c r="JK11" s="143"/>
      <c r="JL11" s="139">
        <f t="shared" ref="JL11" si="261">JL10-(SUM(JL13:JL38))</f>
        <v>0</v>
      </c>
      <c r="JM11" s="139"/>
      <c r="JN11" s="139"/>
      <c r="JO11" s="131"/>
      <c r="JP11" s="141"/>
      <c r="JQ11" s="131"/>
      <c r="JR11" s="139">
        <f t="shared" ref="JR11" si="262">JR10-(SUM(JR13:JR38))</f>
        <v>0</v>
      </c>
      <c r="JS11" s="142"/>
      <c r="JT11" s="139"/>
      <c r="JU11" s="143"/>
      <c r="JV11" s="139">
        <f t="shared" ref="JV11" si="263">JV10-(SUM(JV13:JV38))</f>
        <v>0</v>
      </c>
      <c r="JW11" s="139"/>
      <c r="JX11" s="139"/>
      <c r="JY11" s="131"/>
      <c r="JZ11" s="141"/>
      <c r="KA11" s="131"/>
      <c r="KB11" s="139">
        <f t="shared" ref="KB11" si="264">KB10-(SUM(KB13:KB38))</f>
        <v>0</v>
      </c>
      <c r="KC11" s="142"/>
      <c r="KD11" s="139"/>
      <c r="KE11" s="143"/>
      <c r="KF11" s="139">
        <f t="shared" ref="KF11" si="265">KF10-(SUM(KF13:KF38))</f>
        <v>0</v>
      </c>
      <c r="KG11" s="139"/>
      <c r="KH11" s="139"/>
      <c r="KI11" s="131"/>
      <c r="KJ11" s="141"/>
      <c r="KK11" s="131"/>
      <c r="KL11" s="139">
        <f t="shared" ref="KL11" si="266">KL10-(SUM(KL13:KL38))</f>
        <v>0</v>
      </c>
      <c r="KM11" s="142"/>
      <c r="KN11" s="139"/>
      <c r="KO11" s="143"/>
      <c r="KP11" s="139">
        <f t="shared" ref="KP11" si="267">KP10-(SUM(KP13:KP38))</f>
        <v>0</v>
      </c>
      <c r="KQ11" s="139"/>
      <c r="KR11" s="139"/>
      <c r="KS11" s="131"/>
      <c r="KT11" s="141"/>
      <c r="KU11" s="131"/>
      <c r="KV11" s="139">
        <f t="shared" ref="KV11" si="268">KV10-(SUM(KV13:KV38))</f>
        <v>0</v>
      </c>
      <c r="KW11" s="142"/>
      <c r="KX11" s="139"/>
      <c r="KY11" s="143"/>
      <c r="KZ11" s="139">
        <f t="shared" ref="KZ11" si="269">KZ10-(SUM(KZ13:KZ38))</f>
        <v>0</v>
      </c>
      <c r="LA11" s="139"/>
      <c r="LB11" s="139"/>
      <c r="LC11" s="131"/>
      <c r="LD11" s="141"/>
      <c r="LE11" s="131"/>
      <c r="LF11" s="139">
        <f>LF10-(SUM(LF13:LF38))</f>
        <v>-2.36</v>
      </c>
      <c r="LG11" s="142"/>
      <c r="LH11" s="139"/>
      <c r="LI11" s="143"/>
      <c r="LJ11" s="139">
        <f>LJ10-(SUM(LJ13:LJ38))</f>
        <v>-23.29</v>
      </c>
      <c r="LK11" s="139"/>
      <c r="LL11" s="139"/>
    </row>
    <row r="12" spans="1:324" s="132" customFormat="1" ht="15" customHeight="1" x14ac:dyDescent="0.25">
      <c r="A12" s="244"/>
      <c r="B12" s="244" t="s">
        <v>853</v>
      </c>
      <c r="C12" s="131"/>
      <c r="D12" s="131"/>
      <c r="E12" s="131"/>
      <c r="F12" s="141"/>
      <c r="G12" s="131"/>
      <c r="H12" s="139"/>
      <c r="I12" s="142"/>
      <c r="J12" s="139"/>
      <c r="K12" s="143"/>
      <c r="L12" s="139"/>
      <c r="M12" s="139"/>
      <c r="N12" s="139"/>
      <c r="O12" s="131"/>
      <c r="P12" s="141"/>
      <c r="Q12" s="131"/>
      <c r="R12" s="139"/>
      <c r="S12" s="142"/>
      <c r="T12" s="139"/>
      <c r="U12" s="143"/>
      <c r="V12" s="139"/>
      <c r="W12" s="139"/>
      <c r="X12" s="139"/>
      <c r="Y12" s="131"/>
      <c r="Z12" s="141"/>
      <c r="AA12" s="131"/>
      <c r="AB12" s="139"/>
      <c r="AC12" s="142"/>
      <c r="AD12" s="139"/>
      <c r="AE12" s="143"/>
      <c r="AF12" s="139"/>
      <c r="AG12" s="139"/>
      <c r="AH12" s="139"/>
      <c r="AI12" s="131"/>
      <c r="AJ12" s="141"/>
      <c r="AK12" s="131"/>
      <c r="AL12" s="139"/>
      <c r="AM12" s="142"/>
      <c r="AN12" s="139"/>
      <c r="AO12" s="143"/>
      <c r="AP12" s="139"/>
      <c r="AQ12" s="139"/>
      <c r="AR12" s="139"/>
      <c r="AS12" s="131"/>
      <c r="AT12" s="141"/>
      <c r="AU12" s="131"/>
      <c r="AV12" s="139"/>
      <c r="AW12" s="142"/>
      <c r="AX12" s="139"/>
      <c r="AY12" s="143"/>
      <c r="AZ12" s="139"/>
      <c r="BA12" s="139"/>
      <c r="BB12" s="139"/>
      <c r="BC12" s="131"/>
      <c r="BD12" s="141"/>
      <c r="BE12" s="131"/>
      <c r="BF12" s="139"/>
      <c r="BG12" s="142"/>
      <c r="BH12" s="139"/>
      <c r="BI12" s="143"/>
      <c r="BJ12" s="139"/>
      <c r="BK12" s="139"/>
      <c r="BL12" s="139"/>
      <c r="BM12" s="131"/>
      <c r="BN12" s="141"/>
      <c r="BO12" s="131"/>
      <c r="BP12" s="139"/>
      <c r="BQ12" s="142"/>
      <c r="BR12" s="139"/>
      <c r="BS12" s="143"/>
      <c r="BT12" s="139"/>
      <c r="BU12" s="139"/>
      <c r="BV12" s="139"/>
      <c r="BW12" s="131"/>
      <c r="BX12" s="141"/>
      <c r="BY12" s="131"/>
      <c r="BZ12" s="139"/>
      <c r="CA12" s="142"/>
      <c r="CB12" s="139"/>
      <c r="CC12" s="143"/>
      <c r="CD12" s="139"/>
      <c r="CE12" s="139"/>
      <c r="CF12" s="139"/>
      <c r="CG12" s="131"/>
      <c r="CH12" s="141"/>
      <c r="CI12" s="131"/>
      <c r="CJ12" s="139"/>
      <c r="CK12" s="142"/>
      <c r="CL12" s="139"/>
      <c r="CM12" s="143"/>
      <c r="CN12" s="139"/>
      <c r="CO12" s="139"/>
      <c r="CP12" s="139"/>
      <c r="CQ12" s="131"/>
      <c r="CR12" s="141"/>
      <c r="CS12" s="131"/>
      <c r="CT12" s="139"/>
      <c r="CU12" s="142"/>
      <c r="CV12" s="139"/>
      <c r="CW12" s="143"/>
      <c r="CX12" s="139"/>
      <c r="CY12" s="139"/>
      <c r="CZ12" s="139"/>
      <c r="DA12" s="131"/>
      <c r="DB12" s="141"/>
      <c r="DC12" s="131"/>
      <c r="DD12" s="139"/>
      <c r="DE12" s="142"/>
      <c r="DF12" s="139"/>
      <c r="DG12" s="143"/>
      <c r="DH12" s="139"/>
      <c r="DI12" s="139"/>
      <c r="DJ12" s="139"/>
      <c r="DK12" s="131"/>
      <c r="DL12" s="141"/>
      <c r="DM12" s="131"/>
      <c r="DN12" s="139"/>
      <c r="DO12" s="142"/>
      <c r="DP12" s="139"/>
      <c r="DQ12" s="143"/>
      <c r="DR12" s="139"/>
      <c r="DS12" s="139"/>
      <c r="DT12" s="139"/>
      <c r="DU12" s="131"/>
      <c r="DV12" s="141"/>
      <c r="DW12" s="131"/>
      <c r="DX12" s="139"/>
      <c r="DY12" s="142"/>
      <c r="DZ12" s="139"/>
      <c r="EA12" s="143"/>
      <c r="EB12" s="139"/>
      <c r="EC12" s="139"/>
      <c r="ED12" s="139"/>
      <c r="EE12" s="131"/>
      <c r="EF12" s="141"/>
      <c r="EG12" s="131"/>
      <c r="EH12" s="139"/>
      <c r="EI12" s="142"/>
      <c r="EJ12" s="139"/>
      <c r="EK12" s="143"/>
      <c r="EL12" s="139"/>
      <c r="EM12" s="139"/>
      <c r="EN12" s="139"/>
      <c r="EO12" s="131"/>
      <c r="EP12" s="141"/>
      <c r="EQ12" s="131"/>
      <c r="ER12" s="139"/>
      <c r="ES12" s="142"/>
      <c r="ET12" s="139"/>
      <c r="EU12" s="143"/>
      <c r="EV12" s="139"/>
      <c r="EW12" s="139"/>
      <c r="EX12" s="139"/>
      <c r="EY12" s="131"/>
      <c r="EZ12" s="141"/>
      <c r="FA12" s="131"/>
      <c r="FB12" s="139"/>
      <c r="FC12" s="142"/>
      <c r="FD12" s="139"/>
      <c r="FE12" s="143"/>
      <c r="FF12" s="139"/>
      <c r="FG12" s="139"/>
      <c r="FH12" s="139"/>
      <c r="FI12" s="131"/>
      <c r="FJ12" s="141"/>
      <c r="FK12" s="131"/>
      <c r="FL12" s="139"/>
      <c r="FM12" s="142"/>
      <c r="FN12" s="139"/>
      <c r="FO12" s="143"/>
      <c r="FP12" s="139"/>
      <c r="FQ12" s="139"/>
      <c r="FR12" s="139"/>
      <c r="FS12" s="131"/>
      <c r="FT12" s="141"/>
      <c r="FU12" s="131"/>
      <c r="FV12" s="139"/>
      <c r="FW12" s="142"/>
      <c r="FX12" s="139"/>
      <c r="FY12" s="143"/>
      <c r="FZ12" s="139"/>
      <c r="GA12" s="139"/>
      <c r="GB12" s="139"/>
      <c r="GC12" s="131"/>
      <c r="GD12" s="141"/>
      <c r="GE12" s="131"/>
      <c r="GF12" s="139"/>
      <c r="GG12" s="142"/>
      <c r="GH12" s="139"/>
      <c r="GI12" s="143"/>
      <c r="GJ12" s="139"/>
      <c r="GK12" s="139"/>
      <c r="GL12" s="139"/>
      <c r="GM12" s="131"/>
      <c r="GN12" s="141"/>
      <c r="GO12" s="131"/>
      <c r="GP12" s="139"/>
      <c r="GQ12" s="142"/>
      <c r="GR12" s="139"/>
      <c r="GS12" s="143"/>
      <c r="GT12" s="139"/>
      <c r="GU12" s="139"/>
      <c r="GV12" s="139"/>
      <c r="GW12" s="131"/>
      <c r="GX12" s="141"/>
      <c r="GY12" s="131"/>
      <c r="GZ12" s="139"/>
      <c r="HA12" s="142"/>
      <c r="HB12" s="139"/>
      <c r="HC12" s="143"/>
      <c r="HD12" s="139"/>
      <c r="HE12" s="139"/>
      <c r="HF12" s="139"/>
      <c r="HG12" s="131"/>
      <c r="HH12" s="141"/>
      <c r="HI12" s="131"/>
      <c r="HJ12" s="139"/>
      <c r="HK12" s="142"/>
      <c r="HL12" s="139"/>
      <c r="HM12" s="143"/>
      <c r="HN12" s="139"/>
      <c r="HO12" s="139"/>
      <c r="HP12" s="139"/>
      <c r="HQ12" s="131"/>
      <c r="HR12" s="141"/>
      <c r="HS12" s="131"/>
      <c r="HT12" s="139"/>
      <c r="HU12" s="142"/>
      <c r="HV12" s="139"/>
      <c r="HW12" s="143"/>
      <c r="HX12" s="139"/>
      <c r="HY12" s="139"/>
      <c r="HZ12" s="139"/>
      <c r="IA12" s="131"/>
      <c r="IB12" s="141"/>
      <c r="IC12" s="131"/>
      <c r="ID12" s="139"/>
      <c r="IE12" s="142"/>
      <c r="IF12" s="139"/>
      <c r="IG12" s="143"/>
      <c r="IH12" s="139"/>
      <c r="II12" s="139"/>
      <c r="IJ12" s="139"/>
      <c r="IK12" s="131"/>
      <c r="IL12" s="141"/>
      <c r="IM12" s="131"/>
      <c r="IN12" s="139"/>
      <c r="IO12" s="142"/>
      <c r="IP12" s="139"/>
      <c r="IQ12" s="143"/>
      <c r="IR12" s="139"/>
      <c r="IS12" s="139"/>
      <c r="IT12" s="139"/>
      <c r="IU12" s="131"/>
      <c r="IV12" s="141"/>
      <c r="IW12" s="131"/>
      <c r="IX12" s="139"/>
      <c r="IY12" s="142"/>
      <c r="IZ12" s="139"/>
      <c r="JA12" s="143"/>
      <c r="JB12" s="139"/>
      <c r="JC12" s="139"/>
      <c r="JD12" s="139"/>
      <c r="JE12" s="131"/>
      <c r="JF12" s="141"/>
      <c r="JG12" s="131"/>
      <c r="JH12" s="139"/>
      <c r="JI12" s="142"/>
      <c r="JJ12" s="139"/>
      <c r="JK12" s="143"/>
      <c r="JL12" s="139"/>
      <c r="JM12" s="139"/>
      <c r="JN12" s="139"/>
      <c r="JO12" s="131"/>
      <c r="JP12" s="141"/>
      <c r="JQ12" s="131"/>
      <c r="JR12" s="139"/>
      <c r="JS12" s="142"/>
      <c r="JT12" s="139"/>
      <c r="JU12" s="143"/>
      <c r="JV12" s="139"/>
      <c r="JW12" s="139"/>
      <c r="JX12" s="139"/>
      <c r="JY12" s="131"/>
      <c r="JZ12" s="141"/>
      <c r="KA12" s="131"/>
      <c r="KB12" s="139"/>
      <c r="KC12" s="142"/>
      <c r="KD12" s="139"/>
      <c r="KE12" s="143"/>
      <c r="KF12" s="139"/>
      <c r="KG12" s="139"/>
      <c r="KH12" s="139"/>
      <c r="KI12" s="131"/>
      <c r="KJ12" s="141"/>
      <c r="KK12" s="131"/>
      <c r="KL12" s="139"/>
      <c r="KM12" s="142"/>
      <c r="KN12" s="139"/>
      <c r="KO12" s="143"/>
      <c r="KP12" s="139"/>
      <c r="KQ12" s="139"/>
      <c r="KR12" s="139"/>
      <c r="KS12" s="131"/>
      <c r="KT12" s="141"/>
      <c r="KU12" s="131"/>
      <c r="KV12" s="139"/>
      <c r="KW12" s="142"/>
      <c r="KX12" s="139"/>
      <c r="KY12" s="143"/>
      <c r="KZ12" s="139"/>
      <c r="LA12" s="139"/>
      <c r="LB12" s="139"/>
      <c r="LC12" s="131"/>
      <c r="LD12" s="141"/>
      <c r="LE12" s="131"/>
      <c r="LF12" s="139"/>
      <c r="LG12" s="142"/>
      <c r="LH12" s="139"/>
      <c r="LI12" s="143"/>
      <c r="LJ12" s="139"/>
      <c r="LK12" s="139"/>
      <c r="LL12" s="139"/>
    </row>
    <row r="13" spans="1:324" ht="18" customHeight="1" x14ac:dyDescent="0.25">
      <c r="A13" s="245"/>
      <c r="B13" s="12" t="s">
        <v>609</v>
      </c>
      <c r="C13" s="12" t="s">
        <v>727</v>
      </c>
      <c r="D13" s="12" t="s">
        <v>427</v>
      </c>
      <c r="E13" s="4" t="s">
        <v>32</v>
      </c>
      <c r="F13" s="144">
        <f>'прил № 3 (01.01.23)'!L1319</f>
        <v>226</v>
      </c>
      <c r="G13" s="225">
        <f>F13/F$10</f>
        <v>0.37541999999999998</v>
      </c>
      <c r="H13" s="226">
        <f>H$10*G13</f>
        <v>0</v>
      </c>
      <c r="I13" s="137">
        <f t="shared" ref="I13:I38" si="270">IF(F13&gt;0,H13/F13,0)</f>
        <v>0</v>
      </c>
      <c r="J13" s="227">
        <f>J$10</f>
        <v>0</v>
      </c>
      <c r="K13" s="138">
        <f t="shared" ref="K13:K38" si="271">I13*J13</f>
        <v>0</v>
      </c>
      <c r="L13" s="110">
        <f t="shared" ref="L13:L38" si="272">K13*F13</f>
        <v>0</v>
      </c>
      <c r="M13" s="110"/>
      <c r="N13" s="139"/>
      <c r="O13" s="140">
        <f t="shared" ref="O13:O37" si="273">K13/$LI13</f>
        <v>0</v>
      </c>
      <c r="P13" s="144">
        <f>'прил № 3 (01.01.23)'!AG1319</f>
        <v>488</v>
      </c>
      <c r="Q13" s="225">
        <f t="shared" ref="Q13:Q20" si="274">P13/P$10</f>
        <v>0.44525999999999999</v>
      </c>
      <c r="R13" s="226">
        <f t="shared" ref="R13:R20" si="275">R$10*Q13</f>
        <v>0</v>
      </c>
      <c r="S13" s="137">
        <f t="shared" ref="S13:S20" si="276">IF(P13&gt;0,R13/P13,0)</f>
        <v>0</v>
      </c>
      <c r="T13" s="227">
        <f t="shared" ref="T13:CB20" si="277">T$10</f>
        <v>0</v>
      </c>
      <c r="U13" s="138">
        <f t="shared" ref="U13:U20" si="278">S13*T13</f>
        <v>0</v>
      </c>
      <c r="V13" s="110">
        <f t="shared" ref="V13:V20" si="279">U13*P13</f>
        <v>0</v>
      </c>
      <c r="W13" s="110"/>
      <c r="X13" s="139"/>
      <c r="Y13" s="140">
        <f t="shared" ref="Y13:Y20" si="280">U13/$LI13</f>
        <v>0</v>
      </c>
      <c r="Z13" s="144">
        <f>'прил № 3 (01.01.23)'!BB1319</f>
        <v>235</v>
      </c>
      <c r="AA13" s="225">
        <f t="shared" ref="AA13:AA20" si="281">Z13/Z$10</f>
        <v>0.27199000000000001</v>
      </c>
      <c r="AB13" s="226">
        <f t="shared" ref="AB13:AB20" si="282">AB$10*AA13</f>
        <v>0</v>
      </c>
      <c r="AC13" s="137">
        <f t="shared" ref="AC13:AC20" si="283">IF(Z13&gt;0,AB13/Z13,0)</f>
        <v>0</v>
      </c>
      <c r="AD13" s="227">
        <f t="shared" ref="AD13" si="284">AD$10</f>
        <v>0</v>
      </c>
      <c r="AE13" s="138">
        <f t="shared" ref="AE13:AE20" si="285">AC13*AD13</f>
        <v>0</v>
      </c>
      <c r="AF13" s="110">
        <f t="shared" ref="AF13:AF20" si="286">AE13*Z13</f>
        <v>0</v>
      </c>
      <c r="AG13" s="110"/>
      <c r="AH13" s="139"/>
      <c r="AI13" s="140">
        <f t="shared" ref="AI13:AI20" si="287">AE13/$LI13</f>
        <v>0</v>
      </c>
      <c r="AJ13" s="144">
        <f>'прил № 3 (01.01.23)'!BW1319</f>
        <v>281</v>
      </c>
      <c r="AK13" s="225">
        <f t="shared" ref="AK13:AK20" si="288">AJ13/AJ$10</f>
        <v>0.42255999999999999</v>
      </c>
      <c r="AL13" s="226">
        <f t="shared" ref="AL13:AL20" si="289">AL$10*AK13</f>
        <v>0</v>
      </c>
      <c r="AM13" s="137">
        <f t="shared" ref="AM13:AM20" si="290">IF(AJ13&gt;0,AL13/AJ13,0)</f>
        <v>0</v>
      </c>
      <c r="AN13" s="227">
        <f t="shared" ref="AN13" si="291">AN$10</f>
        <v>0</v>
      </c>
      <c r="AO13" s="138">
        <f t="shared" ref="AO13:AO20" si="292">AM13*AN13</f>
        <v>0</v>
      </c>
      <c r="AP13" s="110">
        <f t="shared" ref="AP13:AP20" si="293">AO13*AJ13</f>
        <v>0</v>
      </c>
      <c r="AQ13" s="110"/>
      <c r="AR13" s="139"/>
      <c r="AS13" s="140">
        <f t="shared" ref="AS13:AS20" si="294">AO13/$LI13</f>
        <v>0</v>
      </c>
      <c r="AT13" s="144">
        <f>'прил № 3 (01.01.23)'!CR1319</f>
        <v>439</v>
      </c>
      <c r="AU13" s="225">
        <f t="shared" ref="AU13:AU20" si="295">AT13/AT$10</f>
        <v>0.46161999999999997</v>
      </c>
      <c r="AV13" s="226">
        <f t="shared" ref="AV13:AV20" si="296">AV$10*AU13</f>
        <v>0</v>
      </c>
      <c r="AW13" s="137">
        <f t="shared" ref="AW13:AW20" si="297">IF(AT13&gt;0,AV13/AT13,0)</f>
        <v>0</v>
      </c>
      <c r="AX13" s="227">
        <f t="shared" ref="AX13" si="298">AX$10</f>
        <v>0</v>
      </c>
      <c r="AY13" s="138">
        <f t="shared" ref="AY13:AY20" si="299">AW13*AX13</f>
        <v>0</v>
      </c>
      <c r="AZ13" s="110">
        <f t="shared" ref="AZ13:AZ20" si="300">AY13*AT13</f>
        <v>0</v>
      </c>
      <c r="BA13" s="110"/>
      <c r="BB13" s="139"/>
      <c r="BC13" s="140">
        <f t="shared" ref="BC13:BC20" si="301">AY13/$LI13</f>
        <v>0</v>
      </c>
      <c r="BD13" s="144">
        <f>'прил № 3 (01.01.23)'!DM1319</f>
        <v>347</v>
      </c>
      <c r="BE13" s="225">
        <f t="shared" ref="BE13:BE20" si="302">BD13/BD$10</f>
        <v>0.46639999999999998</v>
      </c>
      <c r="BF13" s="226">
        <f t="shared" ref="BF13:BF20" si="303">BF$10*BE13</f>
        <v>0</v>
      </c>
      <c r="BG13" s="137">
        <f t="shared" ref="BG13:BG20" si="304">IF(BD13&gt;0,BF13/BD13,0)</f>
        <v>0</v>
      </c>
      <c r="BH13" s="227">
        <f t="shared" ref="BH13" si="305">BH$10</f>
        <v>0</v>
      </c>
      <c r="BI13" s="138">
        <f t="shared" ref="BI13:BI20" si="306">BG13*BH13</f>
        <v>0</v>
      </c>
      <c r="BJ13" s="110">
        <f t="shared" ref="BJ13:BJ20" si="307">BI13*BD13</f>
        <v>0</v>
      </c>
      <c r="BK13" s="110"/>
      <c r="BL13" s="139"/>
      <c r="BM13" s="140">
        <f t="shared" ref="BM13:BM20" si="308">BI13/$LI13</f>
        <v>0</v>
      </c>
      <c r="BN13" s="144">
        <f>'прил № 3 (01.01.23)'!EH1319</f>
        <v>254</v>
      </c>
      <c r="BO13" s="225">
        <f t="shared" ref="BO13:BO20" si="309">BN13/BN$10</f>
        <v>0.41166999999999998</v>
      </c>
      <c r="BP13" s="226">
        <f t="shared" ref="BP13:BP20" si="310">BP$10*BO13</f>
        <v>0</v>
      </c>
      <c r="BQ13" s="137">
        <f t="shared" ref="BQ13:BQ20" si="311">IF(BN13&gt;0,BP13/BN13,0)</f>
        <v>0</v>
      </c>
      <c r="BR13" s="227">
        <f t="shared" ref="BR13" si="312">BR$10</f>
        <v>0</v>
      </c>
      <c r="BS13" s="138">
        <f t="shared" ref="BS13:BS20" si="313">BQ13*BR13</f>
        <v>0</v>
      </c>
      <c r="BT13" s="110">
        <f t="shared" ref="BT13:BT20" si="314">BS13*BN13</f>
        <v>0</v>
      </c>
      <c r="BU13" s="110"/>
      <c r="BV13" s="139"/>
      <c r="BW13" s="140">
        <f t="shared" ref="BW13:BW20" si="315">BS13/$LI13</f>
        <v>0</v>
      </c>
      <c r="BX13" s="144">
        <f>'прил № 3 (01.01.23)'!FC1319</f>
        <v>310</v>
      </c>
      <c r="BY13" s="225">
        <f t="shared" ref="BY13:BY20" si="316">BX13/BX$10</f>
        <v>0.39340000000000003</v>
      </c>
      <c r="BZ13" s="226">
        <f t="shared" ref="BZ13:BZ20" si="317">BZ$10*BY13</f>
        <v>0</v>
      </c>
      <c r="CA13" s="137">
        <f t="shared" ref="CA13:CA20" si="318">IF(BX13&gt;0,BZ13/BX13,0)</f>
        <v>0</v>
      </c>
      <c r="CB13" s="227">
        <f t="shared" ref="CB13" si="319">CB$10</f>
        <v>0</v>
      </c>
      <c r="CC13" s="138">
        <f t="shared" ref="CC13:CC20" si="320">CA13*CB13</f>
        <v>0</v>
      </c>
      <c r="CD13" s="110">
        <f t="shared" ref="CD13:CD20" si="321">CC13*BX13</f>
        <v>0</v>
      </c>
      <c r="CE13" s="110"/>
      <c r="CF13" s="139"/>
      <c r="CG13" s="140">
        <f t="shared" ref="CG13:CG20" si="322">CC13/$LI13</f>
        <v>0</v>
      </c>
      <c r="CH13" s="144">
        <f>'прил № 3 (01.01.23)'!FX1319</f>
        <v>382</v>
      </c>
      <c r="CI13" s="225">
        <f t="shared" ref="CI13:CI20" si="323">CH13/CH$10</f>
        <v>0.41342000000000001</v>
      </c>
      <c r="CJ13" s="226">
        <f t="shared" ref="CJ13:CJ20" si="324">CJ$10*CI13</f>
        <v>0</v>
      </c>
      <c r="CK13" s="137">
        <f t="shared" ref="CK13:CK20" si="325">IF(CH13&gt;0,CJ13/CH13,0)</f>
        <v>0</v>
      </c>
      <c r="CL13" s="227">
        <f t="shared" ref="CL13:ET20" si="326">CL$10</f>
        <v>0</v>
      </c>
      <c r="CM13" s="138">
        <f t="shared" ref="CM13:CM20" si="327">CK13*CL13</f>
        <v>0</v>
      </c>
      <c r="CN13" s="110">
        <f t="shared" ref="CN13:CN20" si="328">CM13*CH13</f>
        <v>0</v>
      </c>
      <c r="CO13" s="110"/>
      <c r="CP13" s="139"/>
      <c r="CQ13" s="140">
        <f t="shared" ref="CQ13:CQ20" si="329">CM13/$LI13</f>
        <v>0</v>
      </c>
      <c r="CR13" s="144">
        <f>'прил № 3 (01.01.23)'!GS1319</f>
        <v>310</v>
      </c>
      <c r="CS13" s="225">
        <f t="shared" ref="CS13:CS20" si="330">CR13/CR$10</f>
        <v>0.41666999999999998</v>
      </c>
      <c r="CT13" s="226">
        <f t="shared" ref="CT13:CT20" si="331">CT$10*CS13</f>
        <v>0</v>
      </c>
      <c r="CU13" s="137">
        <f t="shared" ref="CU13:CU20" si="332">IF(CR13&gt;0,CT13/CR13,0)</f>
        <v>0</v>
      </c>
      <c r="CV13" s="227">
        <f t="shared" ref="CV13" si="333">CV$10</f>
        <v>0</v>
      </c>
      <c r="CW13" s="138">
        <f t="shared" ref="CW13:CW20" si="334">CU13*CV13</f>
        <v>0</v>
      </c>
      <c r="CX13" s="110">
        <f t="shared" ref="CX13:CX20" si="335">CW13*CR13</f>
        <v>0</v>
      </c>
      <c r="CY13" s="110"/>
      <c r="CZ13" s="139"/>
      <c r="DA13" s="140">
        <f t="shared" ref="DA13:DA20" si="336">CW13/$LI13</f>
        <v>0</v>
      </c>
      <c r="DB13" s="144">
        <f>'прил № 3 (01.01.23)'!HN1319</f>
        <v>357</v>
      </c>
      <c r="DC13" s="225">
        <f t="shared" ref="DC13:DC20" si="337">DB13/DB$10</f>
        <v>0.43273</v>
      </c>
      <c r="DD13" s="226">
        <f t="shared" ref="DD13:DD20" si="338">DD$10*DC13</f>
        <v>0</v>
      </c>
      <c r="DE13" s="137">
        <f t="shared" ref="DE13:DE20" si="339">IF(DB13&gt;0,DD13/DB13,0)</f>
        <v>0</v>
      </c>
      <c r="DF13" s="227">
        <f t="shared" ref="DF13" si="340">DF$10</f>
        <v>0</v>
      </c>
      <c r="DG13" s="138">
        <f t="shared" ref="DG13:DG20" si="341">DE13*DF13</f>
        <v>0</v>
      </c>
      <c r="DH13" s="110">
        <f t="shared" ref="DH13:DH20" si="342">DG13*DB13</f>
        <v>0</v>
      </c>
      <c r="DI13" s="110"/>
      <c r="DJ13" s="139"/>
      <c r="DK13" s="140">
        <f t="shared" ref="DK13:DK20" si="343">DG13/$LI13</f>
        <v>0</v>
      </c>
      <c r="DL13" s="144">
        <f>'прил № 3 (01.01.23)'!II1319</f>
        <v>0</v>
      </c>
      <c r="DM13" s="225">
        <f t="shared" ref="DM13:DM20" si="344">DL13/DL$10</f>
        <v>0</v>
      </c>
      <c r="DN13" s="226">
        <f t="shared" ref="DN13:DN20" si="345">DN$10*DM13</f>
        <v>0</v>
      </c>
      <c r="DO13" s="137">
        <f t="shared" ref="DO13:DO20" si="346">IF(DL13&gt;0,DN13/DL13,0)</f>
        <v>0</v>
      </c>
      <c r="DP13" s="227">
        <f t="shared" ref="DP13" si="347">DP$10</f>
        <v>0</v>
      </c>
      <c r="DQ13" s="138">
        <f t="shared" ref="DQ13:DQ20" si="348">DO13*DP13</f>
        <v>0</v>
      </c>
      <c r="DR13" s="110">
        <f t="shared" ref="DR13:DR20" si="349">DQ13*DL13</f>
        <v>0</v>
      </c>
      <c r="DS13" s="110"/>
      <c r="DT13" s="139"/>
      <c r="DU13" s="140">
        <f t="shared" ref="DU13:DU20" si="350">DQ13/$LI13</f>
        <v>0</v>
      </c>
      <c r="DV13" s="144">
        <f>'прил № 3 (01.01.23)'!JD1319</f>
        <v>361</v>
      </c>
      <c r="DW13" s="225">
        <f t="shared" ref="DW13:DW20" si="351">DV13/DV$10</f>
        <v>0.41116000000000003</v>
      </c>
      <c r="DX13" s="226">
        <f t="shared" ref="DX13:DX20" si="352">DX$10*DW13</f>
        <v>0</v>
      </c>
      <c r="DY13" s="137">
        <f t="shared" ref="DY13:DY20" si="353">IF(DV13&gt;0,DX13/DV13,0)</f>
        <v>0</v>
      </c>
      <c r="DZ13" s="227">
        <f t="shared" ref="DZ13" si="354">DZ$10</f>
        <v>0</v>
      </c>
      <c r="EA13" s="138">
        <f t="shared" ref="EA13:EA20" si="355">DY13*DZ13</f>
        <v>0</v>
      </c>
      <c r="EB13" s="110">
        <f t="shared" ref="EB13:EB20" si="356">EA13*DV13</f>
        <v>0</v>
      </c>
      <c r="EC13" s="110"/>
      <c r="ED13" s="139"/>
      <c r="EE13" s="140">
        <f t="shared" ref="EE13:EE20" si="357">EA13/$LI13</f>
        <v>0</v>
      </c>
      <c r="EF13" s="144">
        <f>'прил № 3 (01.01.23)'!JY1319</f>
        <v>363</v>
      </c>
      <c r="EG13" s="225">
        <f t="shared" ref="EG13:EG20" si="358">EF13/EF$10</f>
        <v>0.38657999999999998</v>
      </c>
      <c r="EH13" s="226">
        <f t="shared" ref="EH13:EH20" si="359">EH$10*EG13</f>
        <v>0</v>
      </c>
      <c r="EI13" s="137">
        <f t="shared" ref="EI13:EI20" si="360">IF(EF13&gt;0,EH13/EF13,0)</f>
        <v>0</v>
      </c>
      <c r="EJ13" s="227">
        <f t="shared" ref="EJ13" si="361">EJ$10</f>
        <v>0</v>
      </c>
      <c r="EK13" s="138">
        <f t="shared" ref="EK13:EK20" si="362">EI13*EJ13</f>
        <v>0</v>
      </c>
      <c r="EL13" s="110">
        <f t="shared" ref="EL13:EL20" si="363">EK13*EF13</f>
        <v>0</v>
      </c>
      <c r="EM13" s="110"/>
      <c r="EN13" s="139"/>
      <c r="EO13" s="140">
        <f t="shared" ref="EO13:EO20" si="364">EK13/$LI13</f>
        <v>0</v>
      </c>
      <c r="EP13" s="144">
        <f>'прил № 3 (01.01.23)'!KT1319</f>
        <v>400</v>
      </c>
      <c r="EQ13" s="225">
        <f t="shared" ref="EQ13:EQ20" si="365">EP13/EP$10</f>
        <v>0.42418</v>
      </c>
      <c r="ER13" s="226">
        <f t="shared" ref="ER13:ER20" si="366">ER$10*EQ13</f>
        <v>0</v>
      </c>
      <c r="ES13" s="137">
        <f t="shared" ref="ES13:ES20" si="367">IF(EP13&gt;0,ER13/EP13,0)</f>
        <v>0</v>
      </c>
      <c r="ET13" s="227">
        <f t="shared" ref="ET13" si="368">ET$10</f>
        <v>0</v>
      </c>
      <c r="EU13" s="138">
        <f t="shared" ref="EU13:EU20" si="369">ES13*ET13</f>
        <v>0</v>
      </c>
      <c r="EV13" s="110">
        <f t="shared" ref="EV13:EV20" si="370">EU13*EP13</f>
        <v>0</v>
      </c>
      <c r="EW13" s="110"/>
      <c r="EX13" s="139"/>
      <c r="EY13" s="140">
        <f t="shared" ref="EY13:EY20" si="371">EU13/$LI13</f>
        <v>0</v>
      </c>
      <c r="EZ13" s="144">
        <f>'прил № 3 (01.01.23)'!LO1319</f>
        <v>576</v>
      </c>
      <c r="FA13" s="225">
        <f t="shared" ref="FA13:FA20" si="372">EZ13/EZ$10</f>
        <v>0.51566999999999996</v>
      </c>
      <c r="FB13" s="226">
        <f t="shared" ref="FB13:FB20" si="373">FB$10*FA13</f>
        <v>33363.85</v>
      </c>
      <c r="FC13" s="137">
        <f t="shared" ref="FC13:FC20" si="374">IF(EZ13&gt;0,FB13/EZ13,0)</f>
        <v>57.923350689999999</v>
      </c>
      <c r="FD13" s="227">
        <f t="shared" ref="FD13:GH20" si="375">FD$10</f>
        <v>9.92</v>
      </c>
      <c r="FE13" s="138">
        <f t="shared" ref="FE13:FE20" si="376">FC13*FD13</f>
        <v>574.59964000000002</v>
      </c>
      <c r="FF13" s="110">
        <f t="shared" ref="FF13:FF20" si="377">FE13*EZ13</f>
        <v>330969.39</v>
      </c>
      <c r="FG13" s="110"/>
      <c r="FH13" s="139"/>
      <c r="FI13" s="140">
        <f t="shared" ref="FI13:FI20" si="378">FE13/$LI13</f>
        <v>6.9969200000000003</v>
      </c>
      <c r="FJ13" s="144">
        <f>'прил № 3 (01.01.23)'!MJ1319</f>
        <v>408</v>
      </c>
      <c r="FK13" s="225">
        <f t="shared" ref="FK13:FK20" si="379">FJ13/FJ$10</f>
        <v>0.39922000000000002</v>
      </c>
      <c r="FL13" s="226">
        <f t="shared" ref="FL13:FL20" si="380">FL$10*FK13</f>
        <v>0</v>
      </c>
      <c r="FM13" s="137">
        <f t="shared" ref="FM13:FM20" si="381">IF(FJ13&gt;0,FL13/FJ13,0)</f>
        <v>0</v>
      </c>
      <c r="FN13" s="227">
        <f t="shared" ref="FN13" si="382">FN$10</f>
        <v>0</v>
      </c>
      <c r="FO13" s="138">
        <f t="shared" ref="FO13:FO20" si="383">FM13*FN13</f>
        <v>0</v>
      </c>
      <c r="FP13" s="110">
        <f t="shared" ref="FP13:FP20" si="384">FO13*FJ13</f>
        <v>0</v>
      </c>
      <c r="FQ13" s="110"/>
      <c r="FR13" s="139"/>
      <c r="FS13" s="140">
        <f t="shared" ref="FS13:FS20" si="385">FO13/$LI13</f>
        <v>0</v>
      </c>
      <c r="FT13" s="144">
        <f>'прил № 3 (01.01.23)'!NE1319</f>
        <v>342</v>
      </c>
      <c r="FU13" s="225">
        <f t="shared" ref="FU13:FU20" si="386">FT13/FT$10</f>
        <v>0.4259</v>
      </c>
      <c r="FV13" s="226">
        <f t="shared" ref="FV13:FV20" si="387">FV$10*FU13</f>
        <v>0</v>
      </c>
      <c r="FW13" s="137">
        <f t="shared" ref="FW13:FW20" si="388">IF(FT13&gt;0,FV13/FT13,0)</f>
        <v>0</v>
      </c>
      <c r="FX13" s="227">
        <f t="shared" ref="FX13" si="389">FX$10</f>
        <v>0</v>
      </c>
      <c r="FY13" s="138">
        <f t="shared" ref="FY13:FY20" si="390">FW13*FX13</f>
        <v>0</v>
      </c>
      <c r="FZ13" s="110">
        <f t="shared" ref="FZ13:FZ20" si="391">FY13*FT13</f>
        <v>0</v>
      </c>
      <c r="GA13" s="110"/>
      <c r="GB13" s="139"/>
      <c r="GC13" s="140">
        <f t="shared" ref="GC13:GC20" si="392">FY13/$LI13</f>
        <v>0</v>
      </c>
      <c r="GD13" s="144">
        <f>'прил № 3 (01.01.23)'!NZ1319</f>
        <v>164</v>
      </c>
      <c r="GE13" s="225">
        <f t="shared" ref="GE13:GE20" si="393">GD13/GD$10</f>
        <v>0.32030999999999998</v>
      </c>
      <c r="GF13" s="226">
        <f t="shared" ref="GF13:GF20" si="394">GF$10*GE13</f>
        <v>20307.650000000001</v>
      </c>
      <c r="GG13" s="137">
        <f t="shared" ref="GG13:GG20" si="395">IF(GD13&gt;0,GF13/GD13,0)</f>
        <v>123.82713415000001</v>
      </c>
      <c r="GH13" s="227">
        <f t="shared" ref="GH13" si="396">GH$10</f>
        <v>9.92</v>
      </c>
      <c r="GI13" s="138">
        <f t="shared" ref="GI13:GI20" si="397">GG13*GH13</f>
        <v>1228.36517</v>
      </c>
      <c r="GJ13" s="110">
        <f t="shared" ref="GJ13:GJ20" si="398">GI13*GD13</f>
        <v>201451.89</v>
      </c>
      <c r="GK13" s="110"/>
      <c r="GL13" s="139"/>
      <c r="GM13" s="140">
        <f t="shared" ref="GM13:GM20" si="399">GI13/$LI13</f>
        <v>14.957839999999999</v>
      </c>
      <c r="GN13" s="144">
        <f>'прил № 3 (01.01.23)'!OU1319</f>
        <v>353</v>
      </c>
      <c r="GO13" s="225">
        <f t="shared" ref="GO13:GO20" si="400">GN13/GN$10</f>
        <v>0.40855999999999998</v>
      </c>
      <c r="GP13" s="226">
        <f t="shared" ref="GP13:GP20" si="401">GP$10*GO13</f>
        <v>0</v>
      </c>
      <c r="GQ13" s="137">
        <f t="shared" ref="GQ13:GQ20" si="402">IF(GN13&gt;0,GP13/GN13,0)</f>
        <v>0</v>
      </c>
      <c r="GR13" s="227">
        <f t="shared" ref="GR13:HV20" si="403">GR$10</f>
        <v>0</v>
      </c>
      <c r="GS13" s="138">
        <f t="shared" ref="GS13:GS20" si="404">GQ13*GR13</f>
        <v>0</v>
      </c>
      <c r="GT13" s="110">
        <f t="shared" ref="GT13:GT20" si="405">GS13*GN13</f>
        <v>0</v>
      </c>
      <c r="GU13" s="110"/>
      <c r="GV13" s="139"/>
      <c r="GW13" s="140">
        <f t="shared" ref="GW13:GW20" si="406">GS13/$LI13</f>
        <v>0</v>
      </c>
      <c r="GX13" s="144">
        <f>'прил № 3 (01.01.23)'!PP1319</f>
        <v>712</v>
      </c>
      <c r="GY13" s="225">
        <f t="shared" ref="GY13:GY20" si="407">GX13/GX$10</f>
        <v>0.43924000000000002</v>
      </c>
      <c r="GZ13" s="226">
        <f t="shared" ref="GZ13:GZ20" si="408">GZ$10*GY13</f>
        <v>47525.77</v>
      </c>
      <c r="HA13" s="137">
        <f t="shared" ref="HA13:HA20" si="409">IF(GX13&gt;0,GZ13/GX13,0)</f>
        <v>66.749676969999996</v>
      </c>
      <c r="HB13" s="227">
        <f t="shared" ref="HB13" si="410">HB$10</f>
        <v>9.92</v>
      </c>
      <c r="HC13" s="138">
        <f t="shared" ref="HC13:HC20" si="411">HA13*HB13</f>
        <v>662.15679999999998</v>
      </c>
      <c r="HD13" s="110">
        <f t="shared" ref="HD13:HD20" si="412">HC13*GX13</f>
        <v>471455.64</v>
      </c>
      <c r="HE13" s="110"/>
      <c r="HF13" s="139"/>
      <c r="HG13" s="140">
        <f t="shared" ref="HG13:HG20" si="413">HC13/$LI13</f>
        <v>8.06311</v>
      </c>
      <c r="HH13" s="144">
        <f>'прил № 3 (01.01.23)'!QK1319</f>
        <v>508</v>
      </c>
      <c r="HI13" s="225">
        <f t="shared" ref="HI13:HI20" si="414">HH13/HH$10</f>
        <v>0.44096999999999997</v>
      </c>
      <c r="HJ13" s="226">
        <f t="shared" ref="HJ13:HJ20" si="415">HJ$10*HI13</f>
        <v>0</v>
      </c>
      <c r="HK13" s="137">
        <f t="shared" ref="HK13:HK20" si="416">IF(HH13&gt;0,HJ13/HH13,0)</f>
        <v>0</v>
      </c>
      <c r="HL13" s="227">
        <f t="shared" ref="HL13" si="417">HL$10</f>
        <v>0</v>
      </c>
      <c r="HM13" s="138">
        <f t="shared" ref="HM13:HM20" si="418">HK13*HL13</f>
        <v>0</v>
      </c>
      <c r="HN13" s="110">
        <f t="shared" ref="HN13:HN20" si="419">HM13*HH13</f>
        <v>0</v>
      </c>
      <c r="HO13" s="110"/>
      <c r="HP13" s="139"/>
      <c r="HQ13" s="140">
        <f t="shared" ref="HQ13:HQ20" si="420">HM13/$LI13</f>
        <v>0</v>
      </c>
      <c r="HR13" s="144">
        <f>'прил № 3 (01.01.23)'!RF1319</f>
        <v>331</v>
      </c>
      <c r="HS13" s="225">
        <f t="shared" ref="HS13:HS20" si="421">HR13/HR$10</f>
        <v>0.42004999999999998</v>
      </c>
      <c r="HT13" s="226">
        <f t="shared" ref="HT13:HT20" si="422">HT$10*HS13</f>
        <v>0</v>
      </c>
      <c r="HU13" s="137">
        <f t="shared" ref="HU13:HU20" si="423">IF(HR13&gt;0,HT13/HR13,0)</f>
        <v>0</v>
      </c>
      <c r="HV13" s="227">
        <f t="shared" ref="HV13" si="424">HV$10</f>
        <v>0</v>
      </c>
      <c r="HW13" s="138">
        <f t="shared" ref="HW13:HW20" si="425">HU13*HV13</f>
        <v>0</v>
      </c>
      <c r="HX13" s="110">
        <f t="shared" ref="HX13:HX20" si="426">HW13*HR13</f>
        <v>0</v>
      </c>
      <c r="HY13" s="110"/>
      <c r="HZ13" s="139"/>
      <c r="IA13" s="140">
        <f t="shared" ref="IA13:IA20" si="427">HW13/$LI13</f>
        <v>0</v>
      </c>
      <c r="IB13" s="144">
        <f>'прил № 3 (01.01.23)'!SA1319</f>
        <v>208</v>
      </c>
      <c r="IC13" s="225">
        <f t="shared" ref="IC13:IC20" si="428">IB13/IB$10</f>
        <v>0.37956000000000001</v>
      </c>
      <c r="ID13" s="226">
        <f t="shared" ref="ID13:ID20" si="429">ID$10*IC13</f>
        <v>0</v>
      </c>
      <c r="IE13" s="137">
        <f t="shared" ref="IE13:IE20" si="430">IF(IB13&gt;0,ID13/IB13,0)</f>
        <v>0</v>
      </c>
      <c r="IF13" s="227">
        <f t="shared" ref="IF13:JJ20" si="431">IF$10</f>
        <v>0</v>
      </c>
      <c r="IG13" s="138">
        <f t="shared" ref="IG13:IG20" si="432">IE13*IF13</f>
        <v>0</v>
      </c>
      <c r="IH13" s="110">
        <f t="shared" ref="IH13:IH20" si="433">IG13*IB13</f>
        <v>0</v>
      </c>
      <c r="II13" s="110"/>
      <c r="IJ13" s="139"/>
      <c r="IK13" s="140">
        <f t="shared" ref="IK13:IK20" si="434">IG13/$LI13</f>
        <v>0</v>
      </c>
      <c r="IL13" s="144">
        <f>'прил № 3 (01.01.23)'!SV1319</f>
        <v>599</v>
      </c>
      <c r="IM13" s="225">
        <f t="shared" ref="IM13:IM20" si="435">IL13/IL$10</f>
        <v>0.47352</v>
      </c>
      <c r="IN13" s="226">
        <f t="shared" ref="IN13:IN20" si="436">IN$10*IM13</f>
        <v>0</v>
      </c>
      <c r="IO13" s="137">
        <f t="shared" ref="IO13:IO20" si="437">IF(IL13&gt;0,IN13/IL13,0)</f>
        <v>0</v>
      </c>
      <c r="IP13" s="227">
        <f t="shared" ref="IP13" si="438">IP$10</f>
        <v>0</v>
      </c>
      <c r="IQ13" s="138">
        <f t="shared" ref="IQ13:IQ20" si="439">IO13*IP13</f>
        <v>0</v>
      </c>
      <c r="IR13" s="110">
        <f t="shared" ref="IR13:IR20" si="440">IQ13*IL13</f>
        <v>0</v>
      </c>
      <c r="IS13" s="110"/>
      <c r="IT13" s="139"/>
      <c r="IU13" s="140">
        <f t="shared" ref="IU13:IU20" si="441">IQ13/$LI13</f>
        <v>0</v>
      </c>
      <c r="IV13" s="144">
        <f>'прил № 3 (01.01.23)'!TQ1319</f>
        <v>297</v>
      </c>
      <c r="IW13" s="225">
        <f t="shared" ref="IW13:IW20" si="442">IV13/IV$10</f>
        <v>0.38521</v>
      </c>
      <c r="IX13" s="226">
        <f t="shared" ref="IX13:IX20" si="443">IX$10*IW13</f>
        <v>0</v>
      </c>
      <c r="IY13" s="137">
        <f t="shared" ref="IY13:IY20" si="444">IF(IV13&gt;0,IX13/IV13,0)</f>
        <v>0</v>
      </c>
      <c r="IZ13" s="227">
        <f t="shared" ref="IZ13" si="445">IZ$10</f>
        <v>0</v>
      </c>
      <c r="JA13" s="138">
        <f t="shared" ref="JA13:JA20" si="446">IY13*IZ13</f>
        <v>0</v>
      </c>
      <c r="JB13" s="110">
        <f t="shared" ref="JB13:JB20" si="447">JA13*IV13</f>
        <v>0</v>
      </c>
      <c r="JC13" s="110"/>
      <c r="JD13" s="139"/>
      <c r="JE13" s="140">
        <f t="shared" ref="JE13:JE20" si="448">JA13/$LI13</f>
        <v>0</v>
      </c>
      <c r="JF13" s="144">
        <f>'прил № 3 (01.01.23)'!UL1319</f>
        <v>607</v>
      </c>
      <c r="JG13" s="225">
        <f t="shared" ref="JG13:JG20" si="449">JF13/JF$10</f>
        <v>0.45265</v>
      </c>
      <c r="JH13" s="226">
        <f t="shared" ref="JH13:JH20" si="450">JH$10*JG13</f>
        <v>0</v>
      </c>
      <c r="JI13" s="137">
        <f t="shared" ref="JI13:JI20" si="451">IF(JF13&gt;0,JH13/JF13,0)</f>
        <v>0</v>
      </c>
      <c r="JJ13" s="227">
        <f t="shared" ref="JJ13" si="452">JJ$10</f>
        <v>0</v>
      </c>
      <c r="JK13" s="138">
        <f t="shared" ref="JK13:JK20" si="453">JI13*JJ13</f>
        <v>0</v>
      </c>
      <c r="JL13" s="110">
        <f t="shared" ref="JL13:JL20" si="454">JK13*JF13</f>
        <v>0</v>
      </c>
      <c r="JM13" s="110"/>
      <c r="JN13" s="139"/>
      <c r="JO13" s="140">
        <f t="shared" ref="JO13:JO20" si="455">JK13/$LI13</f>
        <v>0</v>
      </c>
      <c r="JP13" s="144">
        <f>'прил № 3 (01.01.23)'!VG1319</f>
        <v>567</v>
      </c>
      <c r="JQ13" s="225">
        <f t="shared" ref="JQ13:JQ20" si="456">JP13/JP$10</f>
        <v>0.45395999999999997</v>
      </c>
      <c r="JR13" s="226">
        <f t="shared" ref="JR13:JR20" si="457">JR$10*JQ13</f>
        <v>0</v>
      </c>
      <c r="JS13" s="137">
        <f t="shared" ref="JS13:JS20" si="458">IF(JP13&gt;0,JR13/JP13,0)</f>
        <v>0</v>
      </c>
      <c r="JT13" s="227">
        <f t="shared" ref="JT13:KX20" si="459">JT$10</f>
        <v>0</v>
      </c>
      <c r="JU13" s="138">
        <f t="shared" ref="JU13:JU20" si="460">JS13*JT13</f>
        <v>0</v>
      </c>
      <c r="JV13" s="110">
        <f t="shared" ref="JV13:JV20" si="461">JU13*JP13</f>
        <v>0</v>
      </c>
      <c r="JW13" s="110"/>
      <c r="JX13" s="139"/>
      <c r="JY13" s="140">
        <f t="shared" ref="JY13:JY20" si="462">JU13/$LI13</f>
        <v>0</v>
      </c>
      <c r="JZ13" s="144">
        <f>'прил № 3 (01.01.23)'!WB1319</f>
        <v>523</v>
      </c>
      <c r="KA13" s="225">
        <f t="shared" ref="KA13:KA20" si="463">JZ13/JZ$10</f>
        <v>0.44969999999999999</v>
      </c>
      <c r="KB13" s="226">
        <f t="shared" ref="KB13:KB20" si="464">KB$10*KA13</f>
        <v>0</v>
      </c>
      <c r="KC13" s="137">
        <f t="shared" ref="KC13:KC20" si="465">IF(JZ13&gt;0,KB13/JZ13,0)</f>
        <v>0</v>
      </c>
      <c r="KD13" s="227">
        <f t="shared" ref="KD13" si="466">KD$10</f>
        <v>0</v>
      </c>
      <c r="KE13" s="138">
        <f t="shared" ref="KE13:KE20" si="467">KC13*KD13</f>
        <v>0</v>
      </c>
      <c r="KF13" s="110">
        <f t="shared" ref="KF13:KF20" si="468">KE13*JZ13</f>
        <v>0</v>
      </c>
      <c r="KG13" s="110"/>
      <c r="KH13" s="139"/>
      <c r="KI13" s="140">
        <f t="shared" ref="KI13:KI20" si="469">KE13/$LI13</f>
        <v>0</v>
      </c>
      <c r="KJ13" s="144">
        <f>'прил № 3 (01.01.23)'!WW1319</f>
        <v>600</v>
      </c>
      <c r="KK13" s="225">
        <f t="shared" ref="KK13:KK20" si="470">KJ13/KJ$10</f>
        <v>0.44742999999999999</v>
      </c>
      <c r="KL13" s="226">
        <f t="shared" ref="KL13:KL20" si="471">KL$10*KK13</f>
        <v>0</v>
      </c>
      <c r="KM13" s="137">
        <f t="shared" ref="KM13:KM20" si="472">IF(KJ13&gt;0,KL13/KJ13,0)</f>
        <v>0</v>
      </c>
      <c r="KN13" s="227">
        <f t="shared" ref="KN13" si="473">KN$10</f>
        <v>0</v>
      </c>
      <c r="KO13" s="138">
        <f t="shared" ref="KO13:KO20" si="474">KM13*KN13</f>
        <v>0</v>
      </c>
      <c r="KP13" s="110">
        <f t="shared" ref="KP13:KP20" si="475">KO13*KJ13</f>
        <v>0</v>
      </c>
      <c r="KQ13" s="110"/>
      <c r="KR13" s="139"/>
      <c r="KS13" s="140">
        <f t="shared" ref="KS13:KS20" si="476">KO13/$LI13</f>
        <v>0</v>
      </c>
      <c r="KT13" s="144">
        <f>'прил № 3 (01.01.23)'!XR1319</f>
        <v>553</v>
      </c>
      <c r="KU13" s="225">
        <f t="shared" ref="KU13:KU20" si="477">KT13/KT$10</f>
        <v>0.49198999999999998</v>
      </c>
      <c r="KV13" s="226">
        <f t="shared" ref="KV13:KV20" si="478">KV$10*KU13</f>
        <v>0</v>
      </c>
      <c r="KW13" s="137">
        <f t="shared" ref="KW13:KW20" si="479">IF(KT13&gt;0,KV13/KT13,0)</f>
        <v>0</v>
      </c>
      <c r="KX13" s="227">
        <f t="shared" ref="KX13" si="480">KX$10</f>
        <v>0</v>
      </c>
      <c r="KY13" s="138">
        <f t="shared" ref="KY13:KY20" si="481">KW13*KX13</f>
        <v>0</v>
      </c>
      <c r="KZ13" s="110">
        <f t="shared" ref="KZ13:KZ20" si="482">KY13*KT13</f>
        <v>0</v>
      </c>
      <c r="LA13" s="110"/>
      <c r="LB13" s="139"/>
      <c r="LC13" s="140">
        <f t="shared" ref="LC13:LC20" si="483">KY13/$LI13</f>
        <v>0</v>
      </c>
      <c r="LD13" s="197">
        <f t="shared" ref="LD13:LD38" si="484">F13+P13+Z13+AJ13+AT13+BD13+BN13+BX13+CH13+CR13+DB13+DL13+DV13+EF13+EP13+EZ13+FJ13+FT13+GD13+GN13+GX13+HH13+HR13+IB13+IL13+IV13+JF13+JP13+JZ13+KJ13+KT13</f>
        <v>12101</v>
      </c>
      <c r="LE13" s="225">
        <f t="shared" ref="LE13:LE29" si="485">LD13/LD$10</f>
        <v>0.42393999999999998</v>
      </c>
      <c r="LF13" s="226">
        <f t="shared" ref="LF13:LF38" si="486">LF$10*LE13</f>
        <v>100177.02</v>
      </c>
      <c r="LG13" s="137">
        <f t="shared" ref="LG13:LG38" si="487">IF(LD13&gt;0,LF13/LD13,0)</f>
        <v>8.2784084</v>
      </c>
      <c r="LH13" s="227">
        <f t="shared" ref="LH13:LH38" si="488">LH$10</f>
        <v>9.92</v>
      </c>
      <c r="LI13" s="138">
        <f t="shared" ref="LI13:LI38" si="489">LG13*LH13</f>
        <v>82.121809999999996</v>
      </c>
      <c r="LJ13" s="110">
        <f t="shared" ref="LJ13:LJ38" si="490">LI13*LD13</f>
        <v>993756.02</v>
      </c>
      <c r="LK13" s="110"/>
      <c r="LL13" s="139"/>
    </row>
    <row r="14" spans="1:324" ht="27.75" hidden="1" customHeight="1" x14ac:dyDescent="0.25">
      <c r="A14" s="246"/>
      <c r="B14" s="92" t="s">
        <v>610</v>
      </c>
      <c r="C14" s="12" t="s">
        <v>728</v>
      </c>
      <c r="D14" s="12" t="s">
        <v>430</v>
      </c>
      <c r="E14" s="4" t="s">
        <v>32</v>
      </c>
      <c r="F14" s="144">
        <f>'прил № 3 (01.01.23)'!L1320</f>
        <v>0</v>
      </c>
      <c r="G14" s="225">
        <f t="shared" ref="G14:G38" si="491">F14/F$10</f>
        <v>0</v>
      </c>
      <c r="H14" s="226">
        <f t="shared" ref="H14:H38" si="492">H$10*G14</f>
        <v>0</v>
      </c>
      <c r="I14" s="137">
        <f t="shared" si="270"/>
        <v>0</v>
      </c>
      <c r="J14" s="227">
        <f t="shared" ref="J14:J38" si="493">J$10</f>
        <v>0</v>
      </c>
      <c r="K14" s="138">
        <f t="shared" si="271"/>
        <v>0</v>
      </c>
      <c r="L14" s="110">
        <f t="shared" si="272"/>
        <v>0</v>
      </c>
      <c r="M14" s="110"/>
      <c r="N14" s="139"/>
      <c r="O14" s="140" t="e">
        <f t="shared" si="273"/>
        <v>#DIV/0!</v>
      </c>
      <c r="P14" s="144">
        <f>'прил № 3 (01.01.23)'!AG1320</f>
        <v>0</v>
      </c>
      <c r="Q14" s="225">
        <f t="shared" si="274"/>
        <v>0</v>
      </c>
      <c r="R14" s="226">
        <f t="shared" si="275"/>
        <v>0</v>
      </c>
      <c r="S14" s="137">
        <f t="shared" si="276"/>
        <v>0</v>
      </c>
      <c r="T14" s="227">
        <f t="shared" si="277"/>
        <v>0</v>
      </c>
      <c r="U14" s="138">
        <f t="shared" si="278"/>
        <v>0</v>
      </c>
      <c r="V14" s="110">
        <f t="shared" si="279"/>
        <v>0</v>
      </c>
      <c r="W14" s="110"/>
      <c r="X14" s="139"/>
      <c r="Y14" s="140" t="e">
        <f t="shared" si="280"/>
        <v>#DIV/0!</v>
      </c>
      <c r="Z14" s="144">
        <f>'прил № 3 (01.01.23)'!BB1320</f>
        <v>0</v>
      </c>
      <c r="AA14" s="225">
        <f t="shared" si="281"/>
        <v>0</v>
      </c>
      <c r="AB14" s="226">
        <f t="shared" si="282"/>
        <v>0</v>
      </c>
      <c r="AC14" s="137">
        <f t="shared" si="283"/>
        <v>0</v>
      </c>
      <c r="AD14" s="227">
        <f t="shared" si="277"/>
        <v>0</v>
      </c>
      <c r="AE14" s="138">
        <f t="shared" si="285"/>
        <v>0</v>
      </c>
      <c r="AF14" s="110">
        <f t="shared" si="286"/>
        <v>0</v>
      </c>
      <c r="AG14" s="110"/>
      <c r="AH14" s="139"/>
      <c r="AI14" s="140" t="e">
        <f t="shared" si="287"/>
        <v>#DIV/0!</v>
      </c>
      <c r="AJ14" s="144">
        <f>'прил № 3 (01.01.23)'!BW1320</f>
        <v>0</v>
      </c>
      <c r="AK14" s="225">
        <f t="shared" si="288"/>
        <v>0</v>
      </c>
      <c r="AL14" s="226">
        <f t="shared" si="289"/>
        <v>0</v>
      </c>
      <c r="AM14" s="137">
        <f t="shared" si="290"/>
        <v>0</v>
      </c>
      <c r="AN14" s="227">
        <f t="shared" si="277"/>
        <v>0</v>
      </c>
      <c r="AO14" s="138">
        <f t="shared" si="292"/>
        <v>0</v>
      </c>
      <c r="AP14" s="110">
        <f t="shared" si="293"/>
        <v>0</v>
      </c>
      <c r="AQ14" s="110"/>
      <c r="AR14" s="139"/>
      <c r="AS14" s="140" t="e">
        <f t="shared" si="294"/>
        <v>#DIV/0!</v>
      </c>
      <c r="AT14" s="144">
        <f>'прил № 3 (01.01.23)'!CR1320</f>
        <v>0</v>
      </c>
      <c r="AU14" s="225">
        <f t="shared" si="295"/>
        <v>0</v>
      </c>
      <c r="AV14" s="226">
        <f t="shared" si="296"/>
        <v>0</v>
      </c>
      <c r="AW14" s="137">
        <f t="shared" si="297"/>
        <v>0</v>
      </c>
      <c r="AX14" s="227">
        <f t="shared" si="277"/>
        <v>0</v>
      </c>
      <c r="AY14" s="138">
        <f t="shared" si="299"/>
        <v>0</v>
      </c>
      <c r="AZ14" s="110">
        <f t="shared" si="300"/>
        <v>0</v>
      </c>
      <c r="BA14" s="110"/>
      <c r="BB14" s="139"/>
      <c r="BC14" s="140" t="e">
        <f t="shared" si="301"/>
        <v>#DIV/0!</v>
      </c>
      <c r="BD14" s="144">
        <f>'прил № 3 (01.01.23)'!DM1320</f>
        <v>0</v>
      </c>
      <c r="BE14" s="225">
        <f t="shared" si="302"/>
        <v>0</v>
      </c>
      <c r="BF14" s="226">
        <f t="shared" si="303"/>
        <v>0</v>
      </c>
      <c r="BG14" s="137">
        <f t="shared" si="304"/>
        <v>0</v>
      </c>
      <c r="BH14" s="227">
        <f t="shared" si="277"/>
        <v>0</v>
      </c>
      <c r="BI14" s="138">
        <f t="shared" si="306"/>
        <v>0</v>
      </c>
      <c r="BJ14" s="110">
        <f t="shared" si="307"/>
        <v>0</v>
      </c>
      <c r="BK14" s="110"/>
      <c r="BL14" s="139"/>
      <c r="BM14" s="140" t="e">
        <f t="shared" si="308"/>
        <v>#DIV/0!</v>
      </c>
      <c r="BN14" s="144">
        <f>'прил № 3 (01.01.23)'!EH1320</f>
        <v>0</v>
      </c>
      <c r="BO14" s="225">
        <f t="shared" si="309"/>
        <v>0</v>
      </c>
      <c r="BP14" s="226">
        <f t="shared" si="310"/>
        <v>0</v>
      </c>
      <c r="BQ14" s="137">
        <f t="shared" si="311"/>
        <v>0</v>
      </c>
      <c r="BR14" s="227">
        <f t="shared" si="277"/>
        <v>0</v>
      </c>
      <c r="BS14" s="138">
        <f t="shared" si="313"/>
        <v>0</v>
      </c>
      <c r="BT14" s="110">
        <f t="shared" si="314"/>
        <v>0</v>
      </c>
      <c r="BU14" s="110"/>
      <c r="BV14" s="139"/>
      <c r="BW14" s="140" t="e">
        <f t="shared" si="315"/>
        <v>#DIV/0!</v>
      </c>
      <c r="BX14" s="144">
        <f>'прил № 3 (01.01.23)'!FC1320</f>
        <v>0</v>
      </c>
      <c r="BY14" s="225">
        <f t="shared" si="316"/>
        <v>0</v>
      </c>
      <c r="BZ14" s="226">
        <f t="shared" si="317"/>
        <v>0</v>
      </c>
      <c r="CA14" s="137">
        <f t="shared" si="318"/>
        <v>0</v>
      </c>
      <c r="CB14" s="227">
        <f t="shared" si="277"/>
        <v>0</v>
      </c>
      <c r="CC14" s="138">
        <f t="shared" si="320"/>
        <v>0</v>
      </c>
      <c r="CD14" s="110">
        <f t="shared" si="321"/>
        <v>0</v>
      </c>
      <c r="CE14" s="110"/>
      <c r="CF14" s="139"/>
      <c r="CG14" s="140" t="e">
        <f t="shared" si="322"/>
        <v>#DIV/0!</v>
      </c>
      <c r="CH14" s="144">
        <f>'прил № 3 (01.01.23)'!FX1320</f>
        <v>0</v>
      </c>
      <c r="CI14" s="225">
        <f t="shared" si="323"/>
        <v>0</v>
      </c>
      <c r="CJ14" s="226">
        <f t="shared" si="324"/>
        <v>0</v>
      </c>
      <c r="CK14" s="137">
        <f t="shared" si="325"/>
        <v>0</v>
      </c>
      <c r="CL14" s="227">
        <f t="shared" si="326"/>
        <v>0</v>
      </c>
      <c r="CM14" s="138">
        <f t="shared" si="327"/>
        <v>0</v>
      </c>
      <c r="CN14" s="110">
        <f t="shared" si="328"/>
        <v>0</v>
      </c>
      <c r="CO14" s="110"/>
      <c r="CP14" s="139"/>
      <c r="CQ14" s="140" t="e">
        <f t="shared" si="329"/>
        <v>#DIV/0!</v>
      </c>
      <c r="CR14" s="144">
        <f>'прил № 3 (01.01.23)'!GS1320</f>
        <v>0</v>
      </c>
      <c r="CS14" s="225">
        <f t="shared" si="330"/>
        <v>0</v>
      </c>
      <c r="CT14" s="226">
        <f t="shared" si="331"/>
        <v>0</v>
      </c>
      <c r="CU14" s="137">
        <f t="shared" si="332"/>
        <v>0</v>
      </c>
      <c r="CV14" s="227">
        <f t="shared" si="326"/>
        <v>0</v>
      </c>
      <c r="CW14" s="138">
        <f t="shared" si="334"/>
        <v>0</v>
      </c>
      <c r="CX14" s="110">
        <f t="shared" si="335"/>
        <v>0</v>
      </c>
      <c r="CY14" s="110"/>
      <c r="CZ14" s="139"/>
      <c r="DA14" s="140" t="e">
        <f t="shared" si="336"/>
        <v>#DIV/0!</v>
      </c>
      <c r="DB14" s="144">
        <f>'прил № 3 (01.01.23)'!HN1320</f>
        <v>0</v>
      </c>
      <c r="DC14" s="225">
        <f t="shared" si="337"/>
        <v>0</v>
      </c>
      <c r="DD14" s="226">
        <f t="shared" si="338"/>
        <v>0</v>
      </c>
      <c r="DE14" s="137">
        <f t="shared" si="339"/>
        <v>0</v>
      </c>
      <c r="DF14" s="227">
        <f t="shared" si="326"/>
        <v>0</v>
      </c>
      <c r="DG14" s="138">
        <f t="shared" si="341"/>
        <v>0</v>
      </c>
      <c r="DH14" s="110">
        <f t="shared" si="342"/>
        <v>0</v>
      </c>
      <c r="DI14" s="110"/>
      <c r="DJ14" s="139"/>
      <c r="DK14" s="140" t="e">
        <f t="shared" si="343"/>
        <v>#DIV/0!</v>
      </c>
      <c r="DL14" s="144">
        <f>'прил № 3 (01.01.23)'!II1320</f>
        <v>0</v>
      </c>
      <c r="DM14" s="225">
        <f t="shared" si="344"/>
        <v>0</v>
      </c>
      <c r="DN14" s="226">
        <f t="shared" si="345"/>
        <v>0</v>
      </c>
      <c r="DO14" s="137">
        <f t="shared" si="346"/>
        <v>0</v>
      </c>
      <c r="DP14" s="227">
        <f t="shared" si="326"/>
        <v>0</v>
      </c>
      <c r="DQ14" s="138">
        <f t="shared" si="348"/>
        <v>0</v>
      </c>
      <c r="DR14" s="110">
        <f t="shared" si="349"/>
        <v>0</v>
      </c>
      <c r="DS14" s="110"/>
      <c r="DT14" s="139"/>
      <c r="DU14" s="140" t="e">
        <f t="shared" si="350"/>
        <v>#DIV/0!</v>
      </c>
      <c r="DV14" s="144">
        <f>'прил № 3 (01.01.23)'!JD1320</f>
        <v>0</v>
      </c>
      <c r="DW14" s="225">
        <f t="shared" si="351"/>
        <v>0</v>
      </c>
      <c r="DX14" s="226">
        <f t="shared" si="352"/>
        <v>0</v>
      </c>
      <c r="DY14" s="137">
        <f t="shared" si="353"/>
        <v>0</v>
      </c>
      <c r="DZ14" s="227">
        <f t="shared" si="326"/>
        <v>0</v>
      </c>
      <c r="EA14" s="138">
        <f t="shared" si="355"/>
        <v>0</v>
      </c>
      <c r="EB14" s="110">
        <f t="shared" si="356"/>
        <v>0</v>
      </c>
      <c r="EC14" s="110"/>
      <c r="ED14" s="139"/>
      <c r="EE14" s="140" t="e">
        <f t="shared" si="357"/>
        <v>#DIV/0!</v>
      </c>
      <c r="EF14" s="144">
        <f>'прил № 3 (01.01.23)'!JY1320</f>
        <v>0</v>
      </c>
      <c r="EG14" s="225">
        <f t="shared" si="358"/>
        <v>0</v>
      </c>
      <c r="EH14" s="226">
        <f t="shared" si="359"/>
        <v>0</v>
      </c>
      <c r="EI14" s="137">
        <f t="shared" si="360"/>
        <v>0</v>
      </c>
      <c r="EJ14" s="227">
        <f t="shared" si="326"/>
        <v>0</v>
      </c>
      <c r="EK14" s="138">
        <f t="shared" si="362"/>
        <v>0</v>
      </c>
      <c r="EL14" s="110">
        <f t="shared" si="363"/>
        <v>0</v>
      </c>
      <c r="EM14" s="110"/>
      <c r="EN14" s="139"/>
      <c r="EO14" s="140" t="e">
        <f t="shared" si="364"/>
        <v>#DIV/0!</v>
      </c>
      <c r="EP14" s="144">
        <f>'прил № 3 (01.01.23)'!KT1320</f>
        <v>0</v>
      </c>
      <c r="EQ14" s="225">
        <f t="shared" si="365"/>
        <v>0</v>
      </c>
      <c r="ER14" s="226">
        <f t="shared" si="366"/>
        <v>0</v>
      </c>
      <c r="ES14" s="137">
        <f t="shared" si="367"/>
        <v>0</v>
      </c>
      <c r="ET14" s="227">
        <f t="shared" si="326"/>
        <v>0</v>
      </c>
      <c r="EU14" s="138">
        <f t="shared" si="369"/>
        <v>0</v>
      </c>
      <c r="EV14" s="110">
        <f t="shared" si="370"/>
        <v>0</v>
      </c>
      <c r="EW14" s="110"/>
      <c r="EX14" s="139"/>
      <c r="EY14" s="140" t="e">
        <f t="shared" si="371"/>
        <v>#DIV/0!</v>
      </c>
      <c r="EZ14" s="144">
        <f>'прил № 3 (01.01.23)'!LO1320</f>
        <v>0</v>
      </c>
      <c r="FA14" s="225">
        <f t="shared" si="372"/>
        <v>0</v>
      </c>
      <c r="FB14" s="226">
        <f t="shared" si="373"/>
        <v>0</v>
      </c>
      <c r="FC14" s="137">
        <f t="shared" si="374"/>
        <v>0</v>
      </c>
      <c r="FD14" s="227">
        <f t="shared" si="375"/>
        <v>9.92</v>
      </c>
      <c r="FE14" s="138">
        <f t="shared" si="376"/>
        <v>0</v>
      </c>
      <c r="FF14" s="110">
        <f t="shared" si="377"/>
        <v>0</v>
      </c>
      <c r="FG14" s="110"/>
      <c r="FH14" s="139"/>
      <c r="FI14" s="140" t="e">
        <f t="shared" si="378"/>
        <v>#DIV/0!</v>
      </c>
      <c r="FJ14" s="144">
        <f>'прил № 3 (01.01.23)'!MJ1320</f>
        <v>0</v>
      </c>
      <c r="FK14" s="225">
        <f t="shared" si="379"/>
        <v>0</v>
      </c>
      <c r="FL14" s="226">
        <f t="shared" si="380"/>
        <v>0</v>
      </c>
      <c r="FM14" s="137">
        <f t="shared" si="381"/>
        <v>0</v>
      </c>
      <c r="FN14" s="227">
        <f t="shared" si="375"/>
        <v>0</v>
      </c>
      <c r="FO14" s="138">
        <f t="shared" si="383"/>
        <v>0</v>
      </c>
      <c r="FP14" s="110">
        <f t="shared" si="384"/>
        <v>0</v>
      </c>
      <c r="FQ14" s="110"/>
      <c r="FR14" s="139"/>
      <c r="FS14" s="140" t="e">
        <f t="shared" si="385"/>
        <v>#DIV/0!</v>
      </c>
      <c r="FT14" s="144">
        <f>'прил № 3 (01.01.23)'!NE1320</f>
        <v>0</v>
      </c>
      <c r="FU14" s="225">
        <f t="shared" si="386"/>
        <v>0</v>
      </c>
      <c r="FV14" s="226">
        <f t="shared" si="387"/>
        <v>0</v>
      </c>
      <c r="FW14" s="137">
        <f t="shared" si="388"/>
        <v>0</v>
      </c>
      <c r="FX14" s="227">
        <f t="shared" si="375"/>
        <v>0</v>
      </c>
      <c r="FY14" s="138">
        <f t="shared" si="390"/>
        <v>0</v>
      </c>
      <c r="FZ14" s="110">
        <f t="shared" si="391"/>
        <v>0</v>
      </c>
      <c r="GA14" s="110"/>
      <c r="GB14" s="139"/>
      <c r="GC14" s="140" t="e">
        <f t="shared" si="392"/>
        <v>#DIV/0!</v>
      </c>
      <c r="GD14" s="144">
        <f>'прил № 3 (01.01.23)'!NZ1320</f>
        <v>0</v>
      </c>
      <c r="GE14" s="225">
        <f t="shared" si="393"/>
        <v>0</v>
      </c>
      <c r="GF14" s="226">
        <f t="shared" si="394"/>
        <v>0</v>
      </c>
      <c r="GG14" s="137">
        <f t="shared" si="395"/>
        <v>0</v>
      </c>
      <c r="GH14" s="227">
        <f t="shared" si="375"/>
        <v>9.92</v>
      </c>
      <c r="GI14" s="138">
        <f t="shared" si="397"/>
        <v>0</v>
      </c>
      <c r="GJ14" s="110">
        <f t="shared" si="398"/>
        <v>0</v>
      </c>
      <c r="GK14" s="110"/>
      <c r="GL14" s="139"/>
      <c r="GM14" s="140" t="e">
        <f t="shared" si="399"/>
        <v>#DIV/0!</v>
      </c>
      <c r="GN14" s="144">
        <f>'прил № 3 (01.01.23)'!OU1320</f>
        <v>0</v>
      </c>
      <c r="GO14" s="225">
        <f t="shared" si="400"/>
        <v>0</v>
      </c>
      <c r="GP14" s="226">
        <f t="shared" si="401"/>
        <v>0</v>
      </c>
      <c r="GQ14" s="137">
        <f t="shared" si="402"/>
        <v>0</v>
      </c>
      <c r="GR14" s="227">
        <f t="shared" si="403"/>
        <v>0</v>
      </c>
      <c r="GS14" s="138">
        <f t="shared" si="404"/>
        <v>0</v>
      </c>
      <c r="GT14" s="110">
        <f t="shared" si="405"/>
        <v>0</v>
      </c>
      <c r="GU14" s="110"/>
      <c r="GV14" s="139"/>
      <c r="GW14" s="140" t="e">
        <f t="shared" si="406"/>
        <v>#DIV/0!</v>
      </c>
      <c r="GX14" s="144">
        <f>'прил № 3 (01.01.23)'!PP1320</f>
        <v>0</v>
      </c>
      <c r="GY14" s="225">
        <f t="shared" si="407"/>
        <v>0</v>
      </c>
      <c r="GZ14" s="226">
        <f t="shared" si="408"/>
        <v>0</v>
      </c>
      <c r="HA14" s="137">
        <f t="shared" si="409"/>
        <v>0</v>
      </c>
      <c r="HB14" s="227">
        <f t="shared" si="403"/>
        <v>9.92</v>
      </c>
      <c r="HC14" s="138">
        <f t="shared" si="411"/>
        <v>0</v>
      </c>
      <c r="HD14" s="110">
        <f t="shared" si="412"/>
        <v>0</v>
      </c>
      <c r="HE14" s="110"/>
      <c r="HF14" s="139"/>
      <c r="HG14" s="140" t="e">
        <f t="shared" si="413"/>
        <v>#DIV/0!</v>
      </c>
      <c r="HH14" s="144">
        <f>'прил № 3 (01.01.23)'!QK1320</f>
        <v>0</v>
      </c>
      <c r="HI14" s="225">
        <f t="shared" si="414"/>
        <v>0</v>
      </c>
      <c r="HJ14" s="226">
        <f t="shared" si="415"/>
        <v>0</v>
      </c>
      <c r="HK14" s="137">
        <f t="shared" si="416"/>
        <v>0</v>
      </c>
      <c r="HL14" s="227">
        <f t="shared" si="403"/>
        <v>0</v>
      </c>
      <c r="HM14" s="138">
        <f t="shared" si="418"/>
        <v>0</v>
      </c>
      <c r="HN14" s="110">
        <f t="shared" si="419"/>
        <v>0</v>
      </c>
      <c r="HO14" s="110"/>
      <c r="HP14" s="139"/>
      <c r="HQ14" s="140" t="e">
        <f t="shared" si="420"/>
        <v>#DIV/0!</v>
      </c>
      <c r="HR14" s="144">
        <f>'прил № 3 (01.01.23)'!RF1320</f>
        <v>0</v>
      </c>
      <c r="HS14" s="225">
        <f t="shared" si="421"/>
        <v>0</v>
      </c>
      <c r="HT14" s="226">
        <f t="shared" si="422"/>
        <v>0</v>
      </c>
      <c r="HU14" s="137">
        <f t="shared" si="423"/>
        <v>0</v>
      </c>
      <c r="HV14" s="227">
        <f t="shared" si="403"/>
        <v>0</v>
      </c>
      <c r="HW14" s="138">
        <f t="shared" si="425"/>
        <v>0</v>
      </c>
      <c r="HX14" s="110">
        <f t="shared" si="426"/>
        <v>0</v>
      </c>
      <c r="HY14" s="110"/>
      <c r="HZ14" s="139"/>
      <c r="IA14" s="140" t="e">
        <f t="shared" si="427"/>
        <v>#DIV/0!</v>
      </c>
      <c r="IB14" s="144">
        <f>'прил № 3 (01.01.23)'!SA1320</f>
        <v>0</v>
      </c>
      <c r="IC14" s="225">
        <f t="shared" si="428"/>
        <v>0</v>
      </c>
      <c r="ID14" s="226">
        <f t="shared" si="429"/>
        <v>0</v>
      </c>
      <c r="IE14" s="137">
        <f t="shared" si="430"/>
        <v>0</v>
      </c>
      <c r="IF14" s="227">
        <f t="shared" si="431"/>
        <v>0</v>
      </c>
      <c r="IG14" s="138">
        <f t="shared" si="432"/>
        <v>0</v>
      </c>
      <c r="IH14" s="110">
        <f t="shared" si="433"/>
        <v>0</v>
      </c>
      <c r="II14" s="110"/>
      <c r="IJ14" s="139"/>
      <c r="IK14" s="140" t="e">
        <f t="shared" si="434"/>
        <v>#DIV/0!</v>
      </c>
      <c r="IL14" s="144">
        <f>'прил № 3 (01.01.23)'!SV1320</f>
        <v>0</v>
      </c>
      <c r="IM14" s="225">
        <f t="shared" si="435"/>
        <v>0</v>
      </c>
      <c r="IN14" s="226">
        <f t="shared" si="436"/>
        <v>0</v>
      </c>
      <c r="IO14" s="137">
        <f t="shared" si="437"/>
        <v>0</v>
      </c>
      <c r="IP14" s="227">
        <f t="shared" si="431"/>
        <v>0</v>
      </c>
      <c r="IQ14" s="138">
        <f t="shared" si="439"/>
        <v>0</v>
      </c>
      <c r="IR14" s="110">
        <f t="shared" si="440"/>
        <v>0</v>
      </c>
      <c r="IS14" s="110"/>
      <c r="IT14" s="139"/>
      <c r="IU14" s="140" t="e">
        <f t="shared" si="441"/>
        <v>#DIV/0!</v>
      </c>
      <c r="IV14" s="144">
        <f>'прил № 3 (01.01.23)'!TQ1320</f>
        <v>0</v>
      </c>
      <c r="IW14" s="225">
        <f t="shared" si="442"/>
        <v>0</v>
      </c>
      <c r="IX14" s="226">
        <f t="shared" si="443"/>
        <v>0</v>
      </c>
      <c r="IY14" s="137">
        <f t="shared" si="444"/>
        <v>0</v>
      </c>
      <c r="IZ14" s="227">
        <f t="shared" si="431"/>
        <v>0</v>
      </c>
      <c r="JA14" s="138">
        <f t="shared" si="446"/>
        <v>0</v>
      </c>
      <c r="JB14" s="110">
        <f t="shared" si="447"/>
        <v>0</v>
      </c>
      <c r="JC14" s="110"/>
      <c r="JD14" s="139"/>
      <c r="JE14" s="140" t="e">
        <f t="shared" si="448"/>
        <v>#DIV/0!</v>
      </c>
      <c r="JF14" s="144">
        <f>'прил № 3 (01.01.23)'!UL1320</f>
        <v>0</v>
      </c>
      <c r="JG14" s="225">
        <f t="shared" si="449"/>
        <v>0</v>
      </c>
      <c r="JH14" s="226">
        <f t="shared" si="450"/>
        <v>0</v>
      </c>
      <c r="JI14" s="137">
        <f t="shared" si="451"/>
        <v>0</v>
      </c>
      <c r="JJ14" s="227">
        <f t="shared" si="431"/>
        <v>0</v>
      </c>
      <c r="JK14" s="138">
        <f t="shared" si="453"/>
        <v>0</v>
      </c>
      <c r="JL14" s="110">
        <f t="shared" si="454"/>
        <v>0</v>
      </c>
      <c r="JM14" s="110"/>
      <c r="JN14" s="139"/>
      <c r="JO14" s="140" t="e">
        <f t="shared" si="455"/>
        <v>#DIV/0!</v>
      </c>
      <c r="JP14" s="144">
        <f>'прил № 3 (01.01.23)'!VG1320</f>
        <v>0</v>
      </c>
      <c r="JQ14" s="225">
        <f t="shared" si="456"/>
        <v>0</v>
      </c>
      <c r="JR14" s="226">
        <f t="shared" si="457"/>
        <v>0</v>
      </c>
      <c r="JS14" s="137">
        <f t="shared" si="458"/>
        <v>0</v>
      </c>
      <c r="JT14" s="227">
        <f t="shared" si="459"/>
        <v>0</v>
      </c>
      <c r="JU14" s="138">
        <f t="shared" si="460"/>
        <v>0</v>
      </c>
      <c r="JV14" s="110">
        <f t="shared" si="461"/>
        <v>0</v>
      </c>
      <c r="JW14" s="110"/>
      <c r="JX14" s="139"/>
      <c r="JY14" s="140" t="e">
        <f t="shared" si="462"/>
        <v>#DIV/0!</v>
      </c>
      <c r="JZ14" s="144">
        <f>'прил № 3 (01.01.23)'!WB1320</f>
        <v>0</v>
      </c>
      <c r="KA14" s="225">
        <f t="shared" si="463"/>
        <v>0</v>
      </c>
      <c r="KB14" s="226">
        <f t="shared" si="464"/>
        <v>0</v>
      </c>
      <c r="KC14" s="137">
        <f t="shared" si="465"/>
        <v>0</v>
      </c>
      <c r="KD14" s="227">
        <f t="shared" si="459"/>
        <v>0</v>
      </c>
      <c r="KE14" s="138">
        <f t="shared" si="467"/>
        <v>0</v>
      </c>
      <c r="KF14" s="110">
        <f t="shared" si="468"/>
        <v>0</v>
      </c>
      <c r="KG14" s="110"/>
      <c r="KH14" s="139"/>
      <c r="KI14" s="140" t="e">
        <f t="shared" si="469"/>
        <v>#DIV/0!</v>
      </c>
      <c r="KJ14" s="144">
        <f>'прил № 3 (01.01.23)'!WW1320</f>
        <v>0</v>
      </c>
      <c r="KK14" s="225">
        <f t="shared" si="470"/>
        <v>0</v>
      </c>
      <c r="KL14" s="226">
        <f t="shared" si="471"/>
        <v>0</v>
      </c>
      <c r="KM14" s="137">
        <f t="shared" si="472"/>
        <v>0</v>
      </c>
      <c r="KN14" s="227">
        <f t="shared" si="459"/>
        <v>0</v>
      </c>
      <c r="KO14" s="138">
        <f t="shared" si="474"/>
        <v>0</v>
      </c>
      <c r="KP14" s="110">
        <f t="shared" si="475"/>
        <v>0</v>
      </c>
      <c r="KQ14" s="110"/>
      <c r="KR14" s="139"/>
      <c r="KS14" s="140" t="e">
        <f t="shared" si="476"/>
        <v>#DIV/0!</v>
      </c>
      <c r="KT14" s="144">
        <f>'прил № 3 (01.01.23)'!XR1320</f>
        <v>0</v>
      </c>
      <c r="KU14" s="225">
        <f t="shared" si="477"/>
        <v>0</v>
      </c>
      <c r="KV14" s="226">
        <f t="shared" si="478"/>
        <v>0</v>
      </c>
      <c r="KW14" s="137">
        <f t="shared" si="479"/>
        <v>0</v>
      </c>
      <c r="KX14" s="227">
        <f t="shared" si="459"/>
        <v>0</v>
      </c>
      <c r="KY14" s="138">
        <f t="shared" si="481"/>
        <v>0</v>
      </c>
      <c r="KZ14" s="110">
        <f t="shared" si="482"/>
        <v>0</v>
      </c>
      <c r="LA14" s="110"/>
      <c r="LB14" s="139"/>
      <c r="LC14" s="140" t="e">
        <f t="shared" si="483"/>
        <v>#DIV/0!</v>
      </c>
      <c r="LD14" s="197">
        <f t="shared" si="484"/>
        <v>0</v>
      </c>
      <c r="LE14" s="225">
        <f t="shared" si="485"/>
        <v>0</v>
      </c>
      <c r="LF14" s="226">
        <f t="shared" si="486"/>
        <v>0</v>
      </c>
      <c r="LG14" s="137">
        <f t="shared" si="487"/>
        <v>0</v>
      </c>
      <c r="LH14" s="227">
        <f t="shared" si="488"/>
        <v>9.92</v>
      </c>
      <c r="LI14" s="138">
        <f t="shared" si="489"/>
        <v>0</v>
      </c>
      <c r="LJ14" s="110">
        <f t="shared" si="490"/>
        <v>0</v>
      </c>
      <c r="LK14" s="110"/>
      <c r="LL14" s="139"/>
    </row>
    <row r="15" spans="1:324" ht="24" x14ac:dyDescent="0.25">
      <c r="A15" s="246"/>
      <c r="B15" s="12" t="s">
        <v>625</v>
      </c>
      <c r="C15" s="12" t="s">
        <v>727</v>
      </c>
      <c r="D15" s="12" t="s">
        <v>427</v>
      </c>
      <c r="E15" s="4" t="s">
        <v>32</v>
      </c>
      <c r="F15" s="144">
        <f>'прил № 3 (01.01.23)'!L1321</f>
        <v>0</v>
      </c>
      <c r="G15" s="225">
        <f t="shared" si="491"/>
        <v>0</v>
      </c>
      <c r="H15" s="226">
        <f t="shared" si="492"/>
        <v>0</v>
      </c>
      <c r="I15" s="137">
        <f t="shared" si="270"/>
        <v>0</v>
      </c>
      <c r="J15" s="227">
        <f t="shared" si="493"/>
        <v>0</v>
      </c>
      <c r="K15" s="138">
        <f t="shared" si="271"/>
        <v>0</v>
      </c>
      <c r="L15" s="110">
        <f t="shared" si="272"/>
        <v>0</v>
      </c>
      <c r="M15" s="110"/>
      <c r="N15" s="139"/>
      <c r="O15" s="140">
        <f t="shared" si="273"/>
        <v>0</v>
      </c>
      <c r="P15" s="144">
        <f>'прил № 3 (01.01.23)'!AG1321</f>
        <v>0</v>
      </c>
      <c r="Q15" s="225">
        <f t="shared" si="274"/>
        <v>0</v>
      </c>
      <c r="R15" s="226">
        <f t="shared" si="275"/>
        <v>0</v>
      </c>
      <c r="S15" s="137">
        <f t="shared" si="276"/>
        <v>0</v>
      </c>
      <c r="T15" s="227">
        <f t="shared" si="277"/>
        <v>0</v>
      </c>
      <c r="U15" s="138">
        <f t="shared" si="278"/>
        <v>0</v>
      </c>
      <c r="V15" s="110">
        <f t="shared" si="279"/>
        <v>0</v>
      </c>
      <c r="W15" s="110"/>
      <c r="X15" s="139"/>
      <c r="Y15" s="140">
        <f t="shared" si="280"/>
        <v>0</v>
      </c>
      <c r="Z15" s="144">
        <f>'прил № 3 (01.01.23)'!BB1321</f>
        <v>0</v>
      </c>
      <c r="AA15" s="225">
        <f t="shared" si="281"/>
        <v>0</v>
      </c>
      <c r="AB15" s="226">
        <f t="shared" si="282"/>
        <v>0</v>
      </c>
      <c r="AC15" s="137">
        <f t="shared" si="283"/>
        <v>0</v>
      </c>
      <c r="AD15" s="227">
        <f t="shared" si="277"/>
        <v>0</v>
      </c>
      <c r="AE15" s="138">
        <f t="shared" si="285"/>
        <v>0</v>
      </c>
      <c r="AF15" s="110">
        <f t="shared" si="286"/>
        <v>0</v>
      </c>
      <c r="AG15" s="110"/>
      <c r="AH15" s="139"/>
      <c r="AI15" s="140">
        <f t="shared" si="287"/>
        <v>0</v>
      </c>
      <c r="AJ15" s="144">
        <f>'прил № 3 (01.01.23)'!BW1321</f>
        <v>25</v>
      </c>
      <c r="AK15" s="225">
        <f t="shared" si="288"/>
        <v>3.7589999999999998E-2</v>
      </c>
      <c r="AL15" s="226">
        <f t="shared" si="289"/>
        <v>0</v>
      </c>
      <c r="AM15" s="137">
        <f t="shared" si="290"/>
        <v>0</v>
      </c>
      <c r="AN15" s="227">
        <f t="shared" si="277"/>
        <v>0</v>
      </c>
      <c r="AO15" s="138">
        <f t="shared" si="292"/>
        <v>0</v>
      </c>
      <c r="AP15" s="110">
        <f t="shared" si="293"/>
        <v>0</v>
      </c>
      <c r="AQ15" s="110"/>
      <c r="AR15" s="139"/>
      <c r="AS15" s="140">
        <f t="shared" si="294"/>
        <v>0</v>
      </c>
      <c r="AT15" s="144">
        <f>'прил № 3 (01.01.23)'!CR1321</f>
        <v>0</v>
      </c>
      <c r="AU15" s="225">
        <f t="shared" si="295"/>
        <v>0</v>
      </c>
      <c r="AV15" s="226">
        <f t="shared" si="296"/>
        <v>0</v>
      </c>
      <c r="AW15" s="137">
        <f t="shared" si="297"/>
        <v>0</v>
      </c>
      <c r="AX15" s="227">
        <f t="shared" si="277"/>
        <v>0</v>
      </c>
      <c r="AY15" s="138">
        <f t="shared" si="299"/>
        <v>0</v>
      </c>
      <c r="AZ15" s="110">
        <f t="shared" si="300"/>
        <v>0</v>
      </c>
      <c r="BA15" s="110"/>
      <c r="BB15" s="139"/>
      <c r="BC15" s="140">
        <f t="shared" si="301"/>
        <v>0</v>
      </c>
      <c r="BD15" s="144">
        <f>'прил № 3 (01.01.23)'!DM1321</f>
        <v>0</v>
      </c>
      <c r="BE15" s="225">
        <f t="shared" si="302"/>
        <v>0</v>
      </c>
      <c r="BF15" s="226">
        <f t="shared" si="303"/>
        <v>0</v>
      </c>
      <c r="BG15" s="137">
        <f t="shared" si="304"/>
        <v>0</v>
      </c>
      <c r="BH15" s="227">
        <f t="shared" si="277"/>
        <v>0</v>
      </c>
      <c r="BI15" s="138">
        <f t="shared" si="306"/>
        <v>0</v>
      </c>
      <c r="BJ15" s="110">
        <f t="shared" si="307"/>
        <v>0</v>
      </c>
      <c r="BK15" s="110"/>
      <c r="BL15" s="139"/>
      <c r="BM15" s="140">
        <f t="shared" si="308"/>
        <v>0</v>
      </c>
      <c r="BN15" s="144">
        <f>'прил № 3 (01.01.23)'!EH1321</f>
        <v>0</v>
      </c>
      <c r="BO15" s="225">
        <f t="shared" si="309"/>
        <v>0</v>
      </c>
      <c r="BP15" s="226">
        <f t="shared" si="310"/>
        <v>0</v>
      </c>
      <c r="BQ15" s="137">
        <f t="shared" si="311"/>
        <v>0</v>
      </c>
      <c r="BR15" s="227">
        <f t="shared" si="277"/>
        <v>0</v>
      </c>
      <c r="BS15" s="138">
        <f t="shared" si="313"/>
        <v>0</v>
      </c>
      <c r="BT15" s="110">
        <f t="shared" si="314"/>
        <v>0</v>
      </c>
      <c r="BU15" s="110"/>
      <c r="BV15" s="139"/>
      <c r="BW15" s="140">
        <f t="shared" si="315"/>
        <v>0</v>
      </c>
      <c r="BX15" s="144">
        <f>'прил № 3 (01.01.23)'!FC1321</f>
        <v>0</v>
      </c>
      <c r="BY15" s="225">
        <f t="shared" si="316"/>
        <v>0</v>
      </c>
      <c r="BZ15" s="226">
        <f t="shared" si="317"/>
        <v>0</v>
      </c>
      <c r="CA15" s="137">
        <f t="shared" si="318"/>
        <v>0</v>
      </c>
      <c r="CB15" s="227">
        <f t="shared" si="277"/>
        <v>0</v>
      </c>
      <c r="CC15" s="138">
        <f t="shared" si="320"/>
        <v>0</v>
      </c>
      <c r="CD15" s="110">
        <f t="shared" si="321"/>
        <v>0</v>
      </c>
      <c r="CE15" s="110"/>
      <c r="CF15" s="139"/>
      <c r="CG15" s="140">
        <f t="shared" si="322"/>
        <v>0</v>
      </c>
      <c r="CH15" s="144">
        <f>'прил № 3 (01.01.23)'!FX1321</f>
        <v>0</v>
      </c>
      <c r="CI15" s="225">
        <f t="shared" si="323"/>
        <v>0</v>
      </c>
      <c r="CJ15" s="226">
        <f t="shared" si="324"/>
        <v>0</v>
      </c>
      <c r="CK15" s="137">
        <f t="shared" si="325"/>
        <v>0</v>
      </c>
      <c r="CL15" s="227">
        <f t="shared" si="326"/>
        <v>0</v>
      </c>
      <c r="CM15" s="138">
        <f t="shared" si="327"/>
        <v>0</v>
      </c>
      <c r="CN15" s="110">
        <f t="shared" si="328"/>
        <v>0</v>
      </c>
      <c r="CO15" s="110"/>
      <c r="CP15" s="139"/>
      <c r="CQ15" s="140">
        <f t="shared" si="329"/>
        <v>0</v>
      </c>
      <c r="CR15" s="144">
        <f>'прил № 3 (01.01.23)'!GS1321</f>
        <v>8</v>
      </c>
      <c r="CS15" s="225">
        <f t="shared" si="330"/>
        <v>1.0749999999999999E-2</v>
      </c>
      <c r="CT15" s="226">
        <f t="shared" si="331"/>
        <v>0</v>
      </c>
      <c r="CU15" s="137">
        <f t="shared" si="332"/>
        <v>0</v>
      </c>
      <c r="CV15" s="227">
        <f t="shared" si="326"/>
        <v>0</v>
      </c>
      <c r="CW15" s="138">
        <f t="shared" si="334"/>
        <v>0</v>
      </c>
      <c r="CX15" s="110">
        <f t="shared" si="335"/>
        <v>0</v>
      </c>
      <c r="CY15" s="110"/>
      <c r="CZ15" s="139"/>
      <c r="DA15" s="140">
        <f t="shared" si="336"/>
        <v>0</v>
      </c>
      <c r="DB15" s="144">
        <f>'прил № 3 (01.01.23)'!HN1321</f>
        <v>0</v>
      </c>
      <c r="DC15" s="225">
        <f t="shared" si="337"/>
        <v>0</v>
      </c>
      <c r="DD15" s="226">
        <f t="shared" si="338"/>
        <v>0</v>
      </c>
      <c r="DE15" s="137">
        <f t="shared" si="339"/>
        <v>0</v>
      </c>
      <c r="DF15" s="227">
        <f t="shared" si="326"/>
        <v>0</v>
      </c>
      <c r="DG15" s="138">
        <f t="shared" si="341"/>
        <v>0</v>
      </c>
      <c r="DH15" s="110">
        <f t="shared" si="342"/>
        <v>0</v>
      </c>
      <c r="DI15" s="110"/>
      <c r="DJ15" s="139"/>
      <c r="DK15" s="140">
        <f t="shared" si="343"/>
        <v>0</v>
      </c>
      <c r="DL15" s="144">
        <f>'прил № 3 (01.01.23)'!II1321</f>
        <v>0</v>
      </c>
      <c r="DM15" s="225">
        <f t="shared" si="344"/>
        <v>0</v>
      </c>
      <c r="DN15" s="226">
        <f t="shared" si="345"/>
        <v>0</v>
      </c>
      <c r="DO15" s="137">
        <f t="shared" si="346"/>
        <v>0</v>
      </c>
      <c r="DP15" s="227">
        <f t="shared" si="326"/>
        <v>0</v>
      </c>
      <c r="DQ15" s="138">
        <f t="shared" si="348"/>
        <v>0</v>
      </c>
      <c r="DR15" s="110">
        <f t="shared" si="349"/>
        <v>0</v>
      </c>
      <c r="DS15" s="110"/>
      <c r="DT15" s="139"/>
      <c r="DU15" s="140">
        <f t="shared" si="350"/>
        <v>0</v>
      </c>
      <c r="DV15" s="144">
        <f>'прил № 3 (01.01.23)'!JD1321</f>
        <v>20</v>
      </c>
      <c r="DW15" s="225">
        <f t="shared" si="351"/>
        <v>2.2780000000000002E-2</v>
      </c>
      <c r="DX15" s="226">
        <f t="shared" si="352"/>
        <v>0</v>
      </c>
      <c r="DY15" s="137">
        <f t="shared" si="353"/>
        <v>0</v>
      </c>
      <c r="DZ15" s="227">
        <f t="shared" si="326"/>
        <v>0</v>
      </c>
      <c r="EA15" s="138">
        <f t="shared" si="355"/>
        <v>0</v>
      </c>
      <c r="EB15" s="110">
        <f t="shared" si="356"/>
        <v>0</v>
      </c>
      <c r="EC15" s="110"/>
      <c r="ED15" s="139"/>
      <c r="EE15" s="140">
        <f t="shared" si="357"/>
        <v>0</v>
      </c>
      <c r="EF15" s="144">
        <f>'прил № 3 (01.01.23)'!JY1321</f>
        <v>13</v>
      </c>
      <c r="EG15" s="225">
        <f t="shared" si="358"/>
        <v>1.384E-2</v>
      </c>
      <c r="EH15" s="226">
        <f t="shared" si="359"/>
        <v>0</v>
      </c>
      <c r="EI15" s="137">
        <f t="shared" si="360"/>
        <v>0</v>
      </c>
      <c r="EJ15" s="227">
        <f t="shared" si="326"/>
        <v>0</v>
      </c>
      <c r="EK15" s="138">
        <f t="shared" si="362"/>
        <v>0</v>
      </c>
      <c r="EL15" s="110">
        <f t="shared" si="363"/>
        <v>0</v>
      </c>
      <c r="EM15" s="110"/>
      <c r="EN15" s="139"/>
      <c r="EO15" s="140">
        <f t="shared" si="364"/>
        <v>0</v>
      </c>
      <c r="EP15" s="144">
        <f>'прил № 3 (01.01.23)'!KT1321</f>
        <v>11</v>
      </c>
      <c r="EQ15" s="225">
        <f t="shared" si="365"/>
        <v>1.166E-2</v>
      </c>
      <c r="ER15" s="226">
        <f t="shared" si="366"/>
        <v>0</v>
      </c>
      <c r="ES15" s="137">
        <f t="shared" si="367"/>
        <v>0</v>
      </c>
      <c r="ET15" s="227">
        <f t="shared" si="326"/>
        <v>0</v>
      </c>
      <c r="EU15" s="138">
        <f t="shared" si="369"/>
        <v>0</v>
      </c>
      <c r="EV15" s="110">
        <f t="shared" si="370"/>
        <v>0</v>
      </c>
      <c r="EW15" s="110"/>
      <c r="EX15" s="139"/>
      <c r="EY15" s="140">
        <f t="shared" si="371"/>
        <v>0</v>
      </c>
      <c r="EZ15" s="144">
        <f>'прил № 3 (01.01.23)'!LO1321</f>
        <v>31</v>
      </c>
      <c r="FA15" s="225">
        <f t="shared" si="372"/>
        <v>2.775E-2</v>
      </c>
      <c r="FB15" s="226">
        <f t="shared" si="373"/>
        <v>1795.43</v>
      </c>
      <c r="FC15" s="137">
        <f t="shared" si="374"/>
        <v>57.917096770000001</v>
      </c>
      <c r="FD15" s="227">
        <f t="shared" si="375"/>
        <v>9.92</v>
      </c>
      <c r="FE15" s="138">
        <f t="shared" si="376"/>
        <v>574.5376</v>
      </c>
      <c r="FF15" s="110">
        <f t="shared" si="377"/>
        <v>17810.669999999998</v>
      </c>
      <c r="FG15" s="110"/>
      <c r="FH15" s="139"/>
      <c r="FI15" s="140">
        <f t="shared" si="378"/>
        <v>6.9976599999999998</v>
      </c>
      <c r="FJ15" s="144">
        <f>'прил № 3 (01.01.23)'!MJ1321</f>
        <v>0</v>
      </c>
      <c r="FK15" s="225">
        <f t="shared" si="379"/>
        <v>0</v>
      </c>
      <c r="FL15" s="226">
        <f t="shared" si="380"/>
        <v>0</v>
      </c>
      <c r="FM15" s="137">
        <f t="shared" si="381"/>
        <v>0</v>
      </c>
      <c r="FN15" s="227">
        <f t="shared" si="375"/>
        <v>0</v>
      </c>
      <c r="FO15" s="138">
        <f t="shared" si="383"/>
        <v>0</v>
      </c>
      <c r="FP15" s="110">
        <f t="shared" si="384"/>
        <v>0</v>
      </c>
      <c r="FQ15" s="110"/>
      <c r="FR15" s="139"/>
      <c r="FS15" s="140">
        <f t="shared" si="385"/>
        <v>0</v>
      </c>
      <c r="FT15" s="144">
        <f>'прил № 3 (01.01.23)'!NE1321</f>
        <v>15</v>
      </c>
      <c r="FU15" s="225">
        <f t="shared" si="386"/>
        <v>1.8679999999999999E-2</v>
      </c>
      <c r="FV15" s="226">
        <f t="shared" si="387"/>
        <v>0</v>
      </c>
      <c r="FW15" s="137">
        <f t="shared" si="388"/>
        <v>0</v>
      </c>
      <c r="FX15" s="227">
        <f t="shared" si="375"/>
        <v>0</v>
      </c>
      <c r="FY15" s="138">
        <f t="shared" si="390"/>
        <v>0</v>
      </c>
      <c r="FZ15" s="110">
        <f t="shared" si="391"/>
        <v>0</v>
      </c>
      <c r="GA15" s="110"/>
      <c r="GB15" s="139"/>
      <c r="GC15" s="140">
        <f t="shared" si="392"/>
        <v>0</v>
      </c>
      <c r="GD15" s="144">
        <f>'прил № 3 (01.01.23)'!NZ1321</f>
        <v>32</v>
      </c>
      <c r="GE15" s="225">
        <f t="shared" si="393"/>
        <v>6.25E-2</v>
      </c>
      <c r="GF15" s="226">
        <f t="shared" si="394"/>
        <v>3962.5</v>
      </c>
      <c r="GG15" s="137">
        <f t="shared" si="395"/>
        <v>123.828125</v>
      </c>
      <c r="GH15" s="227">
        <f t="shared" si="375"/>
        <v>9.92</v>
      </c>
      <c r="GI15" s="138">
        <f t="shared" si="397"/>
        <v>1228.375</v>
      </c>
      <c r="GJ15" s="110">
        <f t="shared" si="398"/>
        <v>39308</v>
      </c>
      <c r="GK15" s="110"/>
      <c r="GL15" s="139"/>
      <c r="GM15" s="140">
        <f t="shared" si="399"/>
        <v>14.961169999999999</v>
      </c>
      <c r="GN15" s="144">
        <f>'прил № 3 (01.01.23)'!OU1321</f>
        <v>0</v>
      </c>
      <c r="GO15" s="225">
        <f t="shared" si="400"/>
        <v>0</v>
      </c>
      <c r="GP15" s="226">
        <f t="shared" si="401"/>
        <v>0</v>
      </c>
      <c r="GQ15" s="137">
        <f t="shared" si="402"/>
        <v>0</v>
      </c>
      <c r="GR15" s="227">
        <f t="shared" si="403"/>
        <v>0</v>
      </c>
      <c r="GS15" s="138">
        <f t="shared" si="404"/>
        <v>0</v>
      </c>
      <c r="GT15" s="110">
        <f t="shared" si="405"/>
        <v>0</v>
      </c>
      <c r="GU15" s="110"/>
      <c r="GV15" s="139"/>
      <c r="GW15" s="140">
        <f t="shared" si="406"/>
        <v>0</v>
      </c>
      <c r="GX15" s="144">
        <f>'прил № 3 (01.01.23)'!PP1321</f>
        <v>0</v>
      </c>
      <c r="GY15" s="225">
        <f t="shared" si="407"/>
        <v>0</v>
      </c>
      <c r="GZ15" s="226">
        <f t="shared" si="408"/>
        <v>0</v>
      </c>
      <c r="HA15" s="137">
        <f t="shared" si="409"/>
        <v>0</v>
      </c>
      <c r="HB15" s="227">
        <f t="shared" si="403"/>
        <v>9.92</v>
      </c>
      <c r="HC15" s="138">
        <f t="shared" si="411"/>
        <v>0</v>
      </c>
      <c r="HD15" s="110">
        <f t="shared" si="412"/>
        <v>0</v>
      </c>
      <c r="HE15" s="110"/>
      <c r="HF15" s="139"/>
      <c r="HG15" s="140">
        <f t="shared" si="413"/>
        <v>0</v>
      </c>
      <c r="HH15" s="144">
        <f>'прил № 3 (01.01.23)'!QK1321</f>
        <v>6</v>
      </c>
      <c r="HI15" s="225">
        <f t="shared" si="414"/>
        <v>5.2100000000000002E-3</v>
      </c>
      <c r="HJ15" s="226">
        <f t="shared" si="415"/>
        <v>0</v>
      </c>
      <c r="HK15" s="137">
        <f t="shared" si="416"/>
        <v>0</v>
      </c>
      <c r="HL15" s="227">
        <f t="shared" si="403"/>
        <v>0</v>
      </c>
      <c r="HM15" s="138">
        <f t="shared" si="418"/>
        <v>0</v>
      </c>
      <c r="HN15" s="110">
        <f t="shared" si="419"/>
        <v>0</v>
      </c>
      <c r="HO15" s="110"/>
      <c r="HP15" s="139"/>
      <c r="HQ15" s="140">
        <f t="shared" si="420"/>
        <v>0</v>
      </c>
      <c r="HR15" s="144">
        <f>'прил № 3 (01.01.23)'!RF1321</f>
        <v>0</v>
      </c>
      <c r="HS15" s="225">
        <f t="shared" si="421"/>
        <v>0</v>
      </c>
      <c r="HT15" s="226">
        <f t="shared" si="422"/>
        <v>0</v>
      </c>
      <c r="HU15" s="137">
        <f t="shared" si="423"/>
        <v>0</v>
      </c>
      <c r="HV15" s="227">
        <f t="shared" si="403"/>
        <v>0</v>
      </c>
      <c r="HW15" s="138">
        <f t="shared" si="425"/>
        <v>0</v>
      </c>
      <c r="HX15" s="110">
        <f t="shared" si="426"/>
        <v>0</v>
      </c>
      <c r="HY15" s="110"/>
      <c r="HZ15" s="139"/>
      <c r="IA15" s="140">
        <f t="shared" si="427"/>
        <v>0</v>
      </c>
      <c r="IB15" s="144">
        <f>'прил № 3 (01.01.23)'!SA1321</f>
        <v>22</v>
      </c>
      <c r="IC15" s="225">
        <f t="shared" si="428"/>
        <v>4.0149999999999998E-2</v>
      </c>
      <c r="ID15" s="226">
        <f t="shared" si="429"/>
        <v>0</v>
      </c>
      <c r="IE15" s="137">
        <f t="shared" si="430"/>
        <v>0</v>
      </c>
      <c r="IF15" s="227">
        <f t="shared" si="431"/>
        <v>0</v>
      </c>
      <c r="IG15" s="138">
        <f t="shared" si="432"/>
        <v>0</v>
      </c>
      <c r="IH15" s="110">
        <f t="shared" si="433"/>
        <v>0</v>
      </c>
      <c r="II15" s="110"/>
      <c r="IJ15" s="139"/>
      <c r="IK15" s="140">
        <f t="shared" si="434"/>
        <v>0</v>
      </c>
      <c r="IL15" s="144">
        <f>'прил № 3 (01.01.23)'!SV1321</f>
        <v>0</v>
      </c>
      <c r="IM15" s="225">
        <f t="shared" si="435"/>
        <v>0</v>
      </c>
      <c r="IN15" s="226">
        <f t="shared" si="436"/>
        <v>0</v>
      </c>
      <c r="IO15" s="137">
        <f t="shared" si="437"/>
        <v>0</v>
      </c>
      <c r="IP15" s="227">
        <f t="shared" si="431"/>
        <v>0</v>
      </c>
      <c r="IQ15" s="138">
        <f t="shared" si="439"/>
        <v>0</v>
      </c>
      <c r="IR15" s="110">
        <f t="shared" si="440"/>
        <v>0</v>
      </c>
      <c r="IS15" s="110"/>
      <c r="IT15" s="139"/>
      <c r="IU15" s="140">
        <f t="shared" si="441"/>
        <v>0</v>
      </c>
      <c r="IV15" s="144">
        <f>'прил № 3 (01.01.23)'!TQ1321</f>
        <v>0</v>
      </c>
      <c r="IW15" s="225">
        <f t="shared" si="442"/>
        <v>0</v>
      </c>
      <c r="IX15" s="226">
        <f t="shared" si="443"/>
        <v>0</v>
      </c>
      <c r="IY15" s="137">
        <f t="shared" si="444"/>
        <v>0</v>
      </c>
      <c r="IZ15" s="227">
        <f t="shared" si="431"/>
        <v>0</v>
      </c>
      <c r="JA15" s="138">
        <f t="shared" si="446"/>
        <v>0</v>
      </c>
      <c r="JB15" s="110">
        <f t="shared" si="447"/>
        <v>0</v>
      </c>
      <c r="JC15" s="110"/>
      <c r="JD15" s="139"/>
      <c r="JE15" s="140">
        <f t="shared" si="448"/>
        <v>0</v>
      </c>
      <c r="JF15" s="144">
        <f>'прил № 3 (01.01.23)'!UL1321</f>
        <v>0</v>
      </c>
      <c r="JG15" s="225">
        <f t="shared" si="449"/>
        <v>0</v>
      </c>
      <c r="JH15" s="226">
        <f t="shared" si="450"/>
        <v>0</v>
      </c>
      <c r="JI15" s="137">
        <f t="shared" si="451"/>
        <v>0</v>
      </c>
      <c r="JJ15" s="227">
        <f t="shared" si="431"/>
        <v>0</v>
      </c>
      <c r="JK15" s="138">
        <f t="shared" si="453"/>
        <v>0</v>
      </c>
      <c r="JL15" s="110">
        <f t="shared" si="454"/>
        <v>0</v>
      </c>
      <c r="JM15" s="110"/>
      <c r="JN15" s="139"/>
      <c r="JO15" s="140">
        <f t="shared" si="455"/>
        <v>0</v>
      </c>
      <c r="JP15" s="144">
        <f>'прил № 3 (01.01.23)'!VG1321</f>
        <v>10</v>
      </c>
      <c r="JQ15" s="225">
        <f t="shared" si="456"/>
        <v>8.0099999999999998E-3</v>
      </c>
      <c r="JR15" s="226">
        <f t="shared" si="457"/>
        <v>0</v>
      </c>
      <c r="JS15" s="137">
        <f t="shared" si="458"/>
        <v>0</v>
      </c>
      <c r="JT15" s="227">
        <f t="shared" si="459"/>
        <v>0</v>
      </c>
      <c r="JU15" s="138">
        <f t="shared" si="460"/>
        <v>0</v>
      </c>
      <c r="JV15" s="110">
        <f t="shared" si="461"/>
        <v>0</v>
      </c>
      <c r="JW15" s="110"/>
      <c r="JX15" s="139"/>
      <c r="JY15" s="140">
        <f t="shared" si="462"/>
        <v>0</v>
      </c>
      <c r="JZ15" s="144">
        <f>'прил № 3 (01.01.23)'!WB1321</f>
        <v>0</v>
      </c>
      <c r="KA15" s="225">
        <f t="shared" si="463"/>
        <v>0</v>
      </c>
      <c r="KB15" s="226">
        <f t="shared" si="464"/>
        <v>0</v>
      </c>
      <c r="KC15" s="137">
        <f t="shared" si="465"/>
        <v>0</v>
      </c>
      <c r="KD15" s="227">
        <f t="shared" si="459"/>
        <v>0</v>
      </c>
      <c r="KE15" s="138">
        <f t="shared" si="467"/>
        <v>0</v>
      </c>
      <c r="KF15" s="110">
        <f t="shared" si="468"/>
        <v>0</v>
      </c>
      <c r="KG15" s="110"/>
      <c r="KH15" s="139"/>
      <c r="KI15" s="140">
        <f t="shared" si="469"/>
        <v>0</v>
      </c>
      <c r="KJ15" s="144">
        <f>'прил № 3 (01.01.23)'!WW1321</f>
        <v>0</v>
      </c>
      <c r="KK15" s="225">
        <f t="shared" si="470"/>
        <v>0</v>
      </c>
      <c r="KL15" s="226">
        <f t="shared" si="471"/>
        <v>0</v>
      </c>
      <c r="KM15" s="137">
        <f t="shared" si="472"/>
        <v>0</v>
      </c>
      <c r="KN15" s="227">
        <f t="shared" si="459"/>
        <v>0</v>
      </c>
      <c r="KO15" s="138">
        <f t="shared" si="474"/>
        <v>0</v>
      </c>
      <c r="KP15" s="110">
        <f t="shared" si="475"/>
        <v>0</v>
      </c>
      <c r="KQ15" s="110"/>
      <c r="KR15" s="139"/>
      <c r="KS15" s="140">
        <f t="shared" si="476"/>
        <v>0</v>
      </c>
      <c r="KT15" s="144">
        <f>'прил № 3 (01.01.23)'!XR1321</f>
        <v>0</v>
      </c>
      <c r="KU15" s="225">
        <f t="shared" si="477"/>
        <v>0</v>
      </c>
      <c r="KV15" s="226">
        <f t="shared" si="478"/>
        <v>0</v>
      </c>
      <c r="KW15" s="137">
        <f t="shared" si="479"/>
        <v>0</v>
      </c>
      <c r="KX15" s="227">
        <f t="shared" si="459"/>
        <v>0</v>
      </c>
      <c r="KY15" s="138">
        <f t="shared" si="481"/>
        <v>0</v>
      </c>
      <c r="KZ15" s="110">
        <f t="shared" si="482"/>
        <v>0</v>
      </c>
      <c r="LA15" s="110"/>
      <c r="LB15" s="139"/>
      <c r="LC15" s="140">
        <f t="shared" si="483"/>
        <v>0</v>
      </c>
      <c r="LD15" s="197">
        <f t="shared" si="484"/>
        <v>193</v>
      </c>
      <c r="LE15" s="225">
        <f t="shared" si="485"/>
        <v>6.7600000000000004E-3</v>
      </c>
      <c r="LF15" s="226">
        <f t="shared" si="486"/>
        <v>1597.39</v>
      </c>
      <c r="LG15" s="137">
        <f t="shared" si="487"/>
        <v>8.2766321200000004</v>
      </c>
      <c r="LH15" s="227">
        <f t="shared" si="488"/>
        <v>9.92</v>
      </c>
      <c r="LI15" s="138">
        <f t="shared" si="489"/>
        <v>82.104190000000003</v>
      </c>
      <c r="LJ15" s="110">
        <f t="shared" si="490"/>
        <v>15846.11</v>
      </c>
      <c r="LK15" s="110"/>
      <c r="LL15" s="139"/>
    </row>
    <row r="16" spans="1:324" ht="24" customHeight="1" x14ac:dyDescent="0.25">
      <c r="A16" s="246"/>
      <c r="B16" s="12" t="s">
        <v>626</v>
      </c>
      <c r="C16" s="12" t="s">
        <v>728</v>
      </c>
      <c r="D16" s="12" t="s">
        <v>430</v>
      </c>
      <c r="E16" s="4" t="s">
        <v>32</v>
      </c>
      <c r="F16" s="144">
        <f>'прил № 3 (01.01.23)'!L1322</f>
        <v>1</v>
      </c>
      <c r="G16" s="225">
        <f t="shared" si="491"/>
        <v>1.66E-3</v>
      </c>
      <c r="H16" s="226">
        <f t="shared" si="492"/>
        <v>0</v>
      </c>
      <c r="I16" s="137">
        <f t="shared" si="270"/>
        <v>0</v>
      </c>
      <c r="J16" s="227">
        <f t="shared" si="493"/>
        <v>0</v>
      </c>
      <c r="K16" s="138">
        <f t="shared" si="271"/>
        <v>0</v>
      </c>
      <c r="L16" s="110">
        <f t="shared" si="272"/>
        <v>0</v>
      </c>
      <c r="M16" s="110"/>
      <c r="N16" s="139"/>
      <c r="O16" s="140">
        <f t="shared" si="273"/>
        <v>0</v>
      </c>
      <c r="P16" s="144">
        <f>'прил № 3 (01.01.23)'!AG1322</f>
        <v>3</v>
      </c>
      <c r="Q16" s="225">
        <f t="shared" si="274"/>
        <v>2.7399999999999998E-3</v>
      </c>
      <c r="R16" s="226">
        <f t="shared" si="275"/>
        <v>0</v>
      </c>
      <c r="S16" s="137">
        <f t="shared" si="276"/>
        <v>0</v>
      </c>
      <c r="T16" s="227">
        <f t="shared" si="277"/>
        <v>0</v>
      </c>
      <c r="U16" s="138">
        <f t="shared" si="278"/>
        <v>0</v>
      </c>
      <c r="V16" s="110">
        <f t="shared" si="279"/>
        <v>0</v>
      </c>
      <c r="W16" s="110"/>
      <c r="X16" s="139"/>
      <c r="Y16" s="140">
        <f t="shared" si="280"/>
        <v>0</v>
      </c>
      <c r="Z16" s="144">
        <f>'прил № 3 (01.01.23)'!BB1322</f>
        <v>2</v>
      </c>
      <c r="AA16" s="225">
        <f t="shared" si="281"/>
        <v>2.31E-3</v>
      </c>
      <c r="AB16" s="226">
        <f t="shared" si="282"/>
        <v>0</v>
      </c>
      <c r="AC16" s="137">
        <f t="shared" si="283"/>
        <v>0</v>
      </c>
      <c r="AD16" s="227">
        <f t="shared" si="277"/>
        <v>0</v>
      </c>
      <c r="AE16" s="138">
        <f t="shared" si="285"/>
        <v>0</v>
      </c>
      <c r="AF16" s="110">
        <f t="shared" si="286"/>
        <v>0</v>
      </c>
      <c r="AG16" s="110"/>
      <c r="AH16" s="139"/>
      <c r="AI16" s="140">
        <f t="shared" si="287"/>
        <v>0</v>
      </c>
      <c r="AJ16" s="144">
        <f>'прил № 3 (01.01.23)'!BW1322</f>
        <v>0</v>
      </c>
      <c r="AK16" s="225">
        <f t="shared" si="288"/>
        <v>0</v>
      </c>
      <c r="AL16" s="226">
        <f t="shared" si="289"/>
        <v>0</v>
      </c>
      <c r="AM16" s="137">
        <f t="shared" si="290"/>
        <v>0</v>
      </c>
      <c r="AN16" s="227">
        <f t="shared" si="277"/>
        <v>0</v>
      </c>
      <c r="AO16" s="138">
        <f t="shared" si="292"/>
        <v>0</v>
      </c>
      <c r="AP16" s="110">
        <f t="shared" si="293"/>
        <v>0</v>
      </c>
      <c r="AQ16" s="110"/>
      <c r="AR16" s="139"/>
      <c r="AS16" s="140">
        <f t="shared" si="294"/>
        <v>0</v>
      </c>
      <c r="AT16" s="144">
        <f>'прил № 3 (01.01.23)'!CR1322</f>
        <v>2</v>
      </c>
      <c r="AU16" s="225">
        <f t="shared" si="295"/>
        <v>2.0999999999999999E-3</v>
      </c>
      <c r="AV16" s="226">
        <f t="shared" si="296"/>
        <v>0</v>
      </c>
      <c r="AW16" s="137">
        <f t="shared" si="297"/>
        <v>0</v>
      </c>
      <c r="AX16" s="227">
        <f t="shared" si="277"/>
        <v>0</v>
      </c>
      <c r="AY16" s="138">
        <f t="shared" si="299"/>
        <v>0</v>
      </c>
      <c r="AZ16" s="110">
        <f t="shared" si="300"/>
        <v>0</v>
      </c>
      <c r="BA16" s="110"/>
      <c r="BB16" s="139"/>
      <c r="BC16" s="140">
        <f t="shared" si="301"/>
        <v>0</v>
      </c>
      <c r="BD16" s="144">
        <f>'прил № 3 (01.01.23)'!DM1322</f>
        <v>0</v>
      </c>
      <c r="BE16" s="225">
        <f t="shared" si="302"/>
        <v>0</v>
      </c>
      <c r="BF16" s="226">
        <f t="shared" si="303"/>
        <v>0</v>
      </c>
      <c r="BG16" s="137">
        <f t="shared" si="304"/>
        <v>0</v>
      </c>
      <c r="BH16" s="227">
        <f t="shared" si="277"/>
        <v>0</v>
      </c>
      <c r="BI16" s="138">
        <f t="shared" si="306"/>
        <v>0</v>
      </c>
      <c r="BJ16" s="110">
        <f t="shared" si="307"/>
        <v>0</v>
      </c>
      <c r="BK16" s="110"/>
      <c r="BL16" s="139"/>
      <c r="BM16" s="140">
        <f t="shared" si="308"/>
        <v>0</v>
      </c>
      <c r="BN16" s="144">
        <f>'прил № 3 (01.01.23)'!EH1322</f>
        <v>4</v>
      </c>
      <c r="BO16" s="225">
        <f t="shared" si="309"/>
        <v>6.4799999999999996E-3</v>
      </c>
      <c r="BP16" s="226">
        <f t="shared" si="310"/>
        <v>0</v>
      </c>
      <c r="BQ16" s="137">
        <f t="shared" si="311"/>
        <v>0</v>
      </c>
      <c r="BR16" s="227">
        <f t="shared" si="277"/>
        <v>0</v>
      </c>
      <c r="BS16" s="138">
        <f t="shared" si="313"/>
        <v>0</v>
      </c>
      <c r="BT16" s="110">
        <f t="shared" si="314"/>
        <v>0</v>
      </c>
      <c r="BU16" s="110"/>
      <c r="BV16" s="139"/>
      <c r="BW16" s="140">
        <f t="shared" si="315"/>
        <v>0</v>
      </c>
      <c r="BX16" s="144">
        <f>'прил № 3 (01.01.23)'!FC1322</f>
        <v>1</v>
      </c>
      <c r="BY16" s="225">
        <f t="shared" si="316"/>
        <v>1.2700000000000001E-3</v>
      </c>
      <c r="BZ16" s="226">
        <f t="shared" si="317"/>
        <v>0</v>
      </c>
      <c r="CA16" s="137">
        <f t="shared" si="318"/>
        <v>0</v>
      </c>
      <c r="CB16" s="227">
        <f t="shared" si="277"/>
        <v>0</v>
      </c>
      <c r="CC16" s="138">
        <f t="shared" si="320"/>
        <v>0</v>
      </c>
      <c r="CD16" s="110">
        <f t="shared" si="321"/>
        <v>0</v>
      </c>
      <c r="CE16" s="110"/>
      <c r="CF16" s="139"/>
      <c r="CG16" s="140">
        <f t="shared" si="322"/>
        <v>0</v>
      </c>
      <c r="CH16" s="144">
        <f>'прил № 3 (01.01.23)'!FX1322</f>
        <v>0</v>
      </c>
      <c r="CI16" s="225">
        <f t="shared" si="323"/>
        <v>0</v>
      </c>
      <c r="CJ16" s="226">
        <f t="shared" si="324"/>
        <v>0</v>
      </c>
      <c r="CK16" s="137">
        <f t="shared" si="325"/>
        <v>0</v>
      </c>
      <c r="CL16" s="227">
        <f t="shared" si="326"/>
        <v>0</v>
      </c>
      <c r="CM16" s="138">
        <f t="shared" si="327"/>
        <v>0</v>
      </c>
      <c r="CN16" s="110">
        <f t="shared" si="328"/>
        <v>0</v>
      </c>
      <c r="CO16" s="110"/>
      <c r="CP16" s="139"/>
      <c r="CQ16" s="140">
        <f t="shared" si="329"/>
        <v>0</v>
      </c>
      <c r="CR16" s="144">
        <f>'прил № 3 (01.01.23)'!GS1322</f>
        <v>5</v>
      </c>
      <c r="CS16" s="225">
        <f t="shared" si="330"/>
        <v>6.7200000000000003E-3</v>
      </c>
      <c r="CT16" s="226">
        <f t="shared" si="331"/>
        <v>0</v>
      </c>
      <c r="CU16" s="137">
        <f t="shared" si="332"/>
        <v>0</v>
      </c>
      <c r="CV16" s="227">
        <f t="shared" si="326"/>
        <v>0</v>
      </c>
      <c r="CW16" s="138">
        <f t="shared" si="334"/>
        <v>0</v>
      </c>
      <c r="CX16" s="110">
        <f t="shared" si="335"/>
        <v>0</v>
      </c>
      <c r="CY16" s="110"/>
      <c r="CZ16" s="139"/>
      <c r="DA16" s="140">
        <f t="shared" si="336"/>
        <v>0</v>
      </c>
      <c r="DB16" s="144">
        <f>'прил № 3 (01.01.23)'!HN1322</f>
        <v>1</v>
      </c>
      <c r="DC16" s="225">
        <f t="shared" si="337"/>
        <v>1.2099999999999999E-3</v>
      </c>
      <c r="DD16" s="226">
        <f t="shared" si="338"/>
        <v>0</v>
      </c>
      <c r="DE16" s="137">
        <f t="shared" si="339"/>
        <v>0</v>
      </c>
      <c r="DF16" s="227">
        <f t="shared" si="326"/>
        <v>0</v>
      </c>
      <c r="DG16" s="138">
        <f t="shared" si="341"/>
        <v>0</v>
      </c>
      <c r="DH16" s="110">
        <f t="shared" si="342"/>
        <v>0</v>
      </c>
      <c r="DI16" s="110"/>
      <c r="DJ16" s="139"/>
      <c r="DK16" s="140">
        <f t="shared" si="343"/>
        <v>0</v>
      </c>
      <c r="DL16" s="144">
        <f>'прил № 3 (01.01.23)'!II1322</f>
        <v>0</v>
      </c>
      <c r="DM16" s="225">
        <f t="shared" si="344"/>
        <v>0</v>
      </c>
      <c r="DN16" s="226">
        <f t="shared" si="345"/>
        <v>0</v>
      </c>
      <c r="DO16" s="137">
        <f t="shared" si="346"/>
        <v>0</v>
      </c>
      <c r="DP16" s="227">
        <f t="shared" si="326"/>
        <v>0</v>
      </c>
      <c r="DQ16" s="138">
        <f t="shared" si="348"/>
        <v>0</v>
      </c>
      <c r="DR16" s="110">
        <f t="shared" si="349"/>
        <v>0</v>
      </c>
      <c r="DS16" s="110"/>
      <c r="DT16" s="139"/>
      <c r="DU16" s="140">
        <f t="shared" si="350"/>
        <v>0</v>
      </c>
      <c r="DV16" s="144">
        <f>'прил № 3 (01.01.23)'!JD1322</f>
        <v>2</v>
      </c>
      <c r="DW16" s="225">
        <f t="shared" si="351"/>
        <v>2.2799999999999999E-3</v>
      </c>
      <c r="DX16" s="226">
        <f t="shared" si="352"/>
        <v>0</v>
      </c>
      <c r="DY16" s="137">
        <f t="shared" si="353"/>
        <v>0</v>
      </c>
      <c r="DZ16" s="227">
        <f t="shared" si="326"/>
        <v>0</v>
      </c>
      <c r="EA16" s="138">
        <f t="shared" si="355"/>
        <v>0</v>
      </c>
      <c r="EB16" s="110">
        <f t="shared" si="356"/>
        <v>0</v>
      </c>
      <c r="EC16" s="110"/>
      <c r="ED16" s="139"/>
      <c r="EE16" s="140">
        <f t="shared" si="357"/>
        <v>0</v>
      </c>
      <c r="EF16" s="144">
        <f>'прил № 3 (01.01.23)'!JY1322</f>
        <v>6</v>
      </c>
      <c r="EG16" s="225">
        <f t="shared" si="358"/>
        <v>6.3899999999999998E-3</v>
      </c>
      <c r="EH16" s="226">
        <f t="shared" si="359"/>
        <v>0</v>
      </c>
      <c r="EI16" s="137">
        <f t="shared" si="360"/>
        <v>0</v>
      </c>
      <c r="EJ16" s="227">
        <f t="shared" si="326"/>
        <v>0</v>
      </c>
      <c r="EK16" s="138">
        <f t="shared" si="362"/>
        <v>0</v>
      </c>
      <c r="EL16" s="110">
        <f t="shared" si="363"/>
        <v>0</v>
      </c>
      <c r="EM16" s="110"/>
      <c r="EN16" s="139"/>
      <c r="EO16" s="140">
        <f t="shared" si="364"/>
        <v>0</v>
      </c>
      <c r="EP16" s="144">
        <f>'прил № 3 (01.01.23)'!KT1322</f>
        <v>2</v>
      </c>
      <c r="EQ16" s="225">
        <f t="shared" si="365"/>
        <v>2.1199999999999999E-3</v>
      </c>
      <c r="ER16" s="226">
        <f t="shared" si="366"/>
        <v>0</v>
      </c>
      <c r="ES16" s="137">
        <f t="shared" si="367"/>
        <v>0</v>
      </c>
      <c r="ET16" s="227">
        <f t="shared" si="326"/>
        <v>0</v>
      </c>
      <c r="EU16" s="138">
        <f t="shared" si="369"/>
        <v>0</v>
      </c>
      <c r="EV16" s="110">
        <f t="shared" si="370"/>
        <v>0</v>
      </c>
      <c r="EW16" s="110"/>
      <c r="EX16" s="139"/>
      <c r="EY16" s="140">
        <f t="shared" si="371"/>
        <v>0</v>
      </c>
      <c r="EZ16" s="144">
        <f>'прил № 3 (01.01.23)'!LO1322</f>
        <v>7</v>
      </c>
      <c r="FA16" s="225">
        <f t="shared" si="372"/>
        <v>6.2700000000000004E-3</v>
      </c>
      <c r="FB16" s="226">
        <f t="shared" si="373"/>
        <v>405.67</v>
      </c>
      <c r="FC16" s="137">
        <f t="shared" si="374"/>
        <v>57.952857139999999</v>
      </c>
      <c r="FD16" s="227">
        <f t="shared" si="375"/>
        <v>9.92</v>
      </c>
      <c r="FE16" s="138">
        <f t="shared" si="376"/>
        <v>574.89233999999999</v>
      </c>
      <c r="FF16" s="110">
        <f t="shared" si="377"/>
        <v>4024.25</v>
      </c>
      <c r="FG16" s="110"/>
      <c r="FH16" s="139"/>
      <c r="FI16" s="140">
        <f t="shared" si="378"/>
        <v>7.0071399999999997</v>
      </c>
      <c r="FJ16" s="144">
        <f>'прил № 3 (01.01.23)'!MJ1322</f>
        <v>1</v>
      </c>
      <c r="FK16" s="225">
        <f t="shared" si="379"/>
        <v>9.7999999999999997E-4</v>
      </c>
      <c r="FL16" s="226">
        <f t="shared" si="380"/>
        <v>0</v>
      </c>
      <c r="FM16" s="137">
        <f t="shared" si="381"/>
        <v>0</v>
      </c>
      <c r="FN16" s="227">
        <f t="shared" si="375"/>
        <v>0</v>
      </c>
      <c r="FO16" s="138">
        <f t="shared" si="383"/>
        <v>0</v>
      </c>
      <c r="FP16" s="110">
        <f t="shared" si="384"/>
        <v>0</v>
      </c>
      <c r="FQ16" s="110"/>
      <c r="FR16" s="139"/>
      <c r="FS16" s="140">
        <f t="shared" si="385"/>
        <v>0</v>
      </c>
      <c r="FT16" s="144">
        <f>'прил № 3 (01.01.23)'!NE1322</f>
        <v>4</v>
      </c>
      <c r="FU16" s="225">
        <f t="shared" si="386"/>
        <v>4.9800000000000001E-3</v>
      </c>
      <c r="FV16" s="226">
        <f t="shared" si="387"/>
        <v>0</v>
      </c>
      <c r="FW16" s="137">
        <f t="shared" si="388"/>
        <v>0</v>
      </c>
      <c r="FX16" s="227">
        <f t="shared" si="375"/>
        <v>0</v>
      </c>
      <c r="FY16" s="138">
        <f t="shared" si="390"/>
        <v>0</v>
      </c>
      <c r="FZ16" s="110">
        <f t="shared" si="391"/>
        <v>0</v>
      </c>
      <c r="GA16" s="110"/>
      <c r="GB16" s="139"/>
      <c r="GC16" s="140">
        <f t="shared" si="392"/>
        <v>0</v>
      </c>
      <c r="GD16" s="144">
        <f>'прил № 3 (01.01.23)'!NZ1322</f>
        <v>6</v>
      </c>
      <c r="GE16" s="225">
        <f t="shared" si="393"/>
        <v>1.172E-2</v>
      </c>
      <c r="GF16" s="226">
        <f t="shared" si="394"/>
        <v>743.05</v>
      </c>
      <c r="GG16" s="137">
        <f t="shared" si="395"/>
        <v>123.84166667</v>
      </c>
      <c r="GH16" s="227">
        <f t="shared" si="375"/>
        <v>9.92</v>
      </c>
      <c r="GI16" s="138">
        <f t="shared" si="397"/>
        <v>1228.5093300000001</v>
      </c>
      <c r="GJ16" s="110">
        <f t="shared" si="398"/>
        <v>7371.06</v>
      </c>
      <c r="GK16" s="110"/>
      <c r="GL16" s="139"/>
      <c r="GM16" s="140">
        <f t="shared" si="399"/>
        <v>14.97383</v>
      </c>
      <c r="GN16" s="144">
        <f>'прил № 3 (01.01.23)'!OU1322</f>
        <v>2</v>
      </c>
      <c r="GO16" s="225">
        <f t="shared" si="400"/>
        <v>2.31E-3</v>
      </c>
      <c r="GP16" s="226">
        <f t="shared" si="401"/>
        <v>0</v>
      </c>
      <c r="GQ16" s="137">
        <f t="shared" si="402"/>
        <v>0</v>
      </c>
      <c r="GR16" s="227">
        <f t="shared" si="403"/>
        <v>0</v>
      </c>
      <c r="GS16" s="138">
        <f t="shared" si="404"/>
        <v>0</v>
      </c>
      <c r="GT16" s="110">
        <f t="shared" si="405"/>
        <v>0</v>
      </c>
      <c r="GU16" s="110"/>
      <c r="GV16" s="139"/>
      <c r="GW16" s="140">
        <f t="shared" si="406"/>
        <v>0</v>
      </c>
      <c r="GX16" s="144">
        <f>'прил № 3 (01.01.23)'!PP1322</f>
        <v>2</v>
      </c>
      <c r="GY16" s="225">
        <f t="shared" si="407"/>
        <v>1.23E-3</v>
      </c>
      <c r="GZ16" s="226">
        <f t="shared" si="408"/>
        <v>133.09</v>
      </c>
      <c r="HA16" s="137">
        <f t="shared" si="409"/>
        <v>66.545000000000002</v>
      </c>
      <c r="HB16" s="227">
        <f t="shared" si="403"/>
        <v>9.92</v>
      </c>
      <c r="HC16" s="138">
        <f t="shared" si="411"/>
        <v>660.12639999999999</v>
      </c>
      <c r="HD16" s="110">
        <f t="shared" si="412"/>
        <v>1320.25</v>
      </c>
      <c r="HE16" s="110"/>
      <c r="HF16" s="139"/>
      <c r="HG16" s="140">
        <f t="shared" si="413"/>
        <v>8.04603</v>
      </c>
      <c r="HH16" s="144">
        <f>'прил № 3 (01.01.23)'!QK1322</f>
        <v>3</v>
      </c>
      <c r="HI16" s="225">
        <f t="shared" si="414"/>
        <v>2.5999999999999999E-3</v>
      </c>
      <c r="HJ16" s="226">
        <f t="shared" si="415"/>
        <v>0</v>
      </c>
      <c r="HK16" s="137">
        <f t="shared" si="416"/>
        <v>0</v>
      </c>
      <c r="HL16" s="227">
        <f t="shared" si="403"/>
        <v>0</v>
      </c>
      <c r="HM16" s="138">
        <f t="shared" si="418"/>
        <v>0</v>
      </c>
      <c r="HN16" s="110">
        <f t="shared" si="419"/>
        <v>0</v>
      </c>
      <c r="HO16" s="110"/>
      <c r="HP16" s="139"/>
      <c r="HQ16" s="140">
        <f t="shared" si="420"/>
        <v>0</v>
      </c>
      <c r="HR16" s="144">
        <f>'прил № 3 (01.01.23)'!RF1322</f>
        <v>2</v>
      </c>
      <c r="HS16" s="225">
        <f t="shared" si="421"/>
        <v>2.5400000000000002E-3</v>
      </c>
      <c r="HT16" s="226">
        <f t="shared" si="422"/>
        <v>0</v>
      </c>
      <c r="HU16" s="137">
        <f t="shared" si="423"/>
        <v>0</v>
      </c>
      <c r="HV16" s="227">
        <f t="shared" si="403"/>
        <v>0</v>
      </c>
      <c r="HW16" s="138">
        <f t="shared" si="425"/>
        <v>0</v>
      </c>
      <c r="HX16" s="110">
        <f t="shared" si="426"/>
        <v>0</v>
      </c>
      <c r="HY16" s="110"/>
      <c r="HZ16" s="139"/>
      <c r="IA16" s="140">
        <f t="shared" si="427"/>
        <v>0</v>
      </c>
      <c r="IB16" s="144">
        <f>'прил № 3 (01.01.23)'!SA1322</f>
        <v>2</v>
      </c>
      <c r="IC16" s="225">
        <f t="shared" si="428"/>
        <v>3.65E-3</v>
      </c>
      <c r="ID16" s="226">
        <f t="shared" si="429"/>
        <v>0</v>
      </c>
      <c r="IE16" s="137">
        <f t="shared" si="430"/>
        <v>0</v>
      </c>
      <c r="IF16" s="227">
        <f t="shared" si="431"/>
        <v>0</v>
      </c>
      <c r="IG16" s="138">
        <f t="shared" si="432"/>
        <v>0</v>
      </c>
      <c r="IH16" s="110">
        <f t="shared" si="433"/>
        <v>0</v>
      </c>
      <c r="II16" s="110"/>
      <c r="IJ16" s="139"/>
      <c r="IK16" s="140">
        <f t="shared" si="434"/>
        <v>0</v>
      </c>
      <c r="IL16" s="144">
        <f>'прил № 3 (01.01.23)'!SV1322</f>
        <v>4</v>
      </c>
      <c r="IM16" s="225">
        <f t="shared" si="435"/>
        <v>3.16E-3</v>
      </c>
      <c r="IN16" s="226">
        <f t="shared" si="436"/>
        <v>0</v>
      </c>
      <c r="IO16" s="137">
        <f t="shared" si="437"/>
        <v>0</v>
      </c>
      <c r="IP16" s="227">
        <f t="shared" si="431"/>
        <v>0</v>
      </c>
      <c r="IQ16" s="138">
        <f t="shared" si="439"/>
        <v>0</v>
      </c>
      <c r="IR16" s="110">
        <f t="shared" si="440"/>
        <v>0</v>
      </c>
      <c r="IS16" s="110"/>
      <c r="IT16" s="139"/>
      <c r="IU16" s="140">
        <f t="shared" si="441"/>
        <v>0</v>
      </c>
      <c r="IV16" s="144">
        <f>'прил № 3 (01.01.23)'!TQ1322</f>
        <v>2</v>
      </c>
      <c r="IW16" s="225">
        <f t="shared" si="442"/>
        <v>2.5899999999999999E-3</v>
      </c>
      <c r="IX16" s="226">
        <f t="shared" si="443"/>
        <v>0</v>
      </c>
      <c r="IY16" s="137">
        <f t="shared" si="444"/>
        <v>0</v>
      </c>
      <c r="IZ16" s="227">
        <f t="shared" si="431"/>
        <v>0</v>
      </c>
      <c r="JA16" s="138">
        <f t="shared" si="446"/>
        <v>0</v>
      </c>
      <c r="JB16" s="110">
        <f t="shared" si="447"/>
        <v>0</v>
      </c>
      <c r="JC16" s="110"/>
      <c r="JD16" s="139"/>
      <c r="JE16" s="140">
        <f t="shared" si="448"/>
        <v>0</v>
      </c>
      <c r="JF16" s="144">
        <f>'прил № 3 (01.01.23)'!UL1322</f>
        <v>1</v>
      </c>
      <c r="JG16" s="225">
        <f t="shared" si="449"/>
        <v>7.5000000000000002E-4</v>
      </c>
      <c r="JH16" s="226">
        <f t="shared" si="450"/>
        <v>0</v>
      </c>
      <c r="JI16" s="137">
        <f t="shared" si="451"/>
        <v>0</v>
      </c>
      <c r="JJ16" s="227">
        <f t="shared" si="431"/>
        <v>0</v>
      </c>
      <c r="JK16" s="138">
        <f t="shared" si="453"/>
        <v>0</v>
      </c>
      <c r="JL16" s="110">
        <f t="shared" si="454"/>
        <v>0</v>
      </c>
      <c r="JM16" s="110"/>
      <c r="JN16" s="139"/>
      <c r="JO16" s="140">
        <f t="shared" si="455"/>
        <v>0</v>
      </c>
      <c r="JP16" s="144">
        <f>'прил № 3 (01.01.23)'!VG1322</f>
        <v>5</v>
      </c>
      <c r="JQ16" s="225">
        <f t="shared" si="456"/>
        <v>4.0000000000000001E-3</v>
      </c>
      <c r="JR16" s="226">
        <f t="shared" si="457"/>
        <v>0</v>
      </c>
      <c r="JS16" s="137">
        <f t="shared" si="458"/>
        <v>0</v>
      </c>
      <c r="JT16" s="227">
        <f t="shared" si="459"/>
        <v>0</v>
      </c>
      <c r="JU16" s="138">
        <f t="shared" si="460"/>
        <v>0</v>
      </c>
      <c r="JV16" s="110">
        <f t="shared" si="461"/>
        <v>0</v>
      </c>
      <c r="JW16" s="110"/>
      <c r="JX16" s="139"/>
      <c r="JY16" s="140">
        <f t="shared" si="462"/>
        <v>0</v>
      </c>
      <c r="JZ16" s="144">
        <f>'прил № 3 (01.01.23)'!WB1322</f>
        <v>0</v>
      </c>
      <c r="KA16" s="225">
        <f t="shared" si="463"/>
        <v>0</v>
      </c>
      <c r="KB16" s="226">
        <f t="shared" si="464"/>
        <v>0</v>
      </c>
      <c r="KC16" s="137">
        <f t="shared" si="465"/>
        <v>0</v>
      </c>
      <c r="KD16" s="227">
        <f t="shared" si="459"/>
        <v>0</v>
      </c>
      <c r="KE16" s="138">
        <f t="shared" si="467"/>
        <v>0</v>
      </c>
      <c r="KF16" s="110">
        <f t="shared" si="468"/>
        <v>0</v>
      </c>
      <c r="KG16" s="110"/>
      <c r="KH16" s="139"/>
      <c r="KI16" s="140">
        <f t="shared" si="469"/>
        <v>0</v>
      </c>
      <c r="KJ16" s="144">
        <f>'прил № 3 (01.01.23)'!WW1322</f>
        <v>1</v>
      </c>
      <c r="KK16" s="225">
        <f t="shared" si="470"/>
        <v>7.5000000000000002E-4</v>
      </c>
      <c r="KL16" s="226">
        <f t="shared" si="471"/>
        <v>0</v>
      </c>
      <c r="KM16" s="137">
        <f t="shared" si="472"/>
        <v>0</v>
      </c>
      <c r="KN16" s="227">
        <f t="shared" si="459"/>
        <v>0</v>
      </c>
      <c r="KO16" s="138">
        <f t="shared" si="474"/>
        <v>0</v>
      </c>
      <c r="KP16" s="110">
        <f t="shared" si="475"/>
        <v>0</v>
      </c>
      <c r="KQ16" s="110"/>
      <c r="KR16" s="139"/>
      <c r="KS16" s="140">
        <f t="shared" si="476"/>
        <v>0</v>
      </c>
      <c r="KT16" s="144">
        <f>'прил № 3 (01.01.23)'!XR1322</f>
        <v>3</v>
      </c>
      <c r="KU16" s="225">
        <f t="shared" si="477"/>
        <v>2.6700000000000001E-3</v>
      </c>
      <c r="KV16" s="226">
        <f t="shared" si="478"/>
        <v>0</v>
      </c>
      <c r="KW16" s="137">
        <f t="shared" si="479"/>
        <v>0</v>
      </c>
      <c r="KX16" s="227">
        <f t="shared" si="459"/>
        <v>0</v>
      </c>
      <c r="KY16" s="138">
        <f t="shared" si="481"/>
        <v>0</v>
      </c>
      <c r="KZ16" s="110">
        <f t="shared" si="482"/>
        <v>0</v>
      </c>
      <c r="LA16" s="110"/>
      <c r="LB16" s="139"/>
      <c r="LC16" s="140">
        <f t="shared" si="483"/>
        <v>0</v>
      </c>
      <c r="LD16" s="197">
        <f t="shared" si="484"/>
        <v>74</v>
      </c>
      <c r="LE16" s="225">
        <f t="shared" si="485"/>
        <v>2.5899999999999999E-3</v>
      </c>
      <c r="LF16" s="226">
        <f t="shared" si="486"/>
        <v>612.02</v>
      </c>
      <c r="LG16" s="137">
        <f t="shared" si="487"/>
        <v>8.2705405400000007</v>
      </c>
      <c r="LH16" s="227">
        <f t="shared" si="488"/>
        <v>9.92</v>
      </c>
      <c r="LI16" s="138">
        <f t="shared" si="489"/>
        <v>82.043760000000006</v>
      </c>
      <c r="LJ16" s="110">
        <f t="shared" si="490"/>
        <v>6071.24</v>
      </c>
      <c r="LK16" s="110"/>
      <c r="LL16" s="139"/>
    </row>
    <row r="17" spans="1:324" ht="26.25" hidden="1" customHeight="1" x14ac:dyDescent="0.25">
      <c r="A17" s="246"/>
      <c r="B17" s="92" t="s">
        <v>639</v>
      </c>
      <c r="C17" s="12" t="s">
        <v>728</v>
      </c>
      <c r="D17" s="12" t="s">
        <v>430</v>
      </c>
      <c r="E17" s="4" t="s">
        <v>32</v>
      </c>
      <c r="F17" s="144">
        <f>'прил № 3 (01.01.23)'!L1323</f>
        <v>0</v>
      </c>
      <c r="G17" s="225">
        <f t="shared" si="491"/>
        <v>0</v>
      </c>
      <c r="H17" s="226">
        <f t="shared" si="492"/>
        <v>0</v>
      </c>
      <c r="I17" s="137">
        <f t="shared" si="270"/>
        <v>0</v>
      </c>
      <c r="J17" s="227">
        <f t="shared" si="493"/>
        <v>0</v>
      </c>
      <c r="K17" s="138">
        <f t="shared" si="271"/>
        <v>0</v>
      </c>
      <c r="L17" s="110">
        <f t="shared" si="272"/>
        <v>0</v>
      </c>
      <c r="M17" s="110"/>
      <c r="N17" s="139"/>
      <c r="O17" s="140" t="e">
        <f t="shared" si="273"/>
        <v>#DIV/0!</v>
      </c>
      <c r="P17" s="144">
        <f>'прил № 3 (01.01.23)'!AG1323</f>
        <v>0</v>
      </c>
      <c r="Q17" s="225">
        <f t="shared" si="274"/>
        <v>0</v>
      </c>
      <c r="R17" s="226">
        <f t="shared" si="275"/>
        <v>0</v>
      </c>
      <c r="S17" s="137">
        <f t="shared" si="276"/>
        <v>0</v>
      </c>
      <c r="T17" s="227">
        <f t="shared" si="277"/>
        <v>0</v>
      </c>
      <c r="U17" s="138">
        <f t="shared" si="278"/>
        <v>0</v>
      </c>
      <c r="V17" s="110">
        <f t="shared" si="279"/>
        <v>0</v>
      </c>
      <c r="W17" s="110"/>
      <c r="X17" s="139"/>
      <c r="Y17" s="140" t="e">
        <f t="shared" si="280"/>
        <v>#DIV/0!</v>
      </c>
      <c r="Z17" s="144">
        <f>'прил № 3 (01.01.23)'!BB1323</f>
        <v>0</v>
      </c>
      <c r="AA17" s="225">
        <f t="shared" si="281"/>
        <v>0</v>
      </c>
      <c r="AB17" s="226">
        <f t="shared" si="282"/>
        <v>0</v>
      </c>
      <c r="AC17" s="137">
        <f t="shared" si="283"/>
        <v>0</v>
      </c>
      <c r="AD17" s="227">
        <f t="shared" si="277"/>
        <v>0</v>
      </c>
      <c r="AE17" s="138">
        <f t="shared" si="285"/>
        <v>0</v>
      </c>
      <c r="AF17" s="110">
        <f t="shared" si="286"/>
        <v>0</v>
      </c>
      <c r="AG17" s="110"/>
      <c r="AH17" s="139"/>
      <c r="AI17" s="140" t="e">
        <f t="shared" si="287"/>
        <v>#DIV/0!</v>
      </c>
      <c r="AJ17" s="144">
        <f>'прил № 3 (01.01.23)'!BW1323</f>
        <v>0</v>
      </c>
      <c r="AK17" s="225">
        <f t="shared" si="288"/>
        <v>0</v>
      </c>
      <c r="AL17" s="226">
        <f t="shared" si="289"/>
        <v>0</v>
      </c>
      <c r="AM17" s="137">
        <f t="shared" si="290"/>
        <v>0</v>
      </c>
      <c r="AN17" s="227">
        <f t="shared" si="277"/>
        <v>0</v>
      </c>
      <c r="AO17" s="138">
        <f t="shared" si="292"/>
        <v>0</v>
      </c>
      <c r="AP17" s="110">
        <f t="shared" si="293"/>
        <v>0</v>
      </c>
      <c r="AQ17" s="110"/>
      <c r="AR17" s="139"/>
      <c r="AS17" s="140" t="e">
        <f t="shared" si="294"/>
        <v>#DIV/0!</v>
      </c>
      <c r="AT17" s="144">
        <f>'прил № 3 (01.01.23)'!CR1323</f>
        <v>0</v>
      </c>
      <c r="AU17" s="225">
        <f t="shared" si="295"/>
        <v>0</v>
      </c>
      <c r="AV17" s="226">
        <f t="shared" si="296"/>
        <v>0</v>
      </c>
      <c r="AW17" s="137">
        <f t="shared" si="297"/>
        <v>0</v>
      </c>
      <c r="AX17" s="227">
        <f t="shared" si="277"/>
        <v>0</v>
      </c>
      <c r="AY17" s="138">
        <f t="shared" si="299"/>
        <v>0</v>
      </c>
      <c r="AZ17" s="110">
        <f t="shared" si="300"/>
        <v>0</v>
      </c>
      <c r="BA17" s="110"/>
      <c r="BB17" s="139"/>
      <c r="BC17" s="140" t="e">
        <f t="shared" si="301"/>
        <v>#DIV/0!</v>
      </c>
      <c r="BD17" s="144">
        <f>'прил № 3 (01.01.23)'!DM1323</f>
        <v>0</v>
      </c>
      <c r="BE17" s="225">
        <f t="shared" si="302"/>
        <v>0</v>
      </c>
      <c r="BF17" s="226">
        <f t="shared" si="303"/>
        <v>0</v>
      </c>
      <c r="BG17" s="137">
        <f t="shared" si="304"/>
        <v>0</v>
      </c>
      <c r="BH17" s="227">
        <f t="shared" si="277"/>
        <v>0</v>
      </c>
      <c r="BI17" s="138">
        <f t="shared" si="306"/>
        <v>0</v>
      </c>
      <c r="BJ17" s="110">
        <f t="shared" si="307"/>
        <v>0</v>
      </c>
      <c r="BK17" s="110"/>
      <c r="BL17" s="139"/>
      <c r="BM17" s="140" t="e">
        <f t="shared" si="308"/>
        <v>#DIV/0!</v>
      </c>
      <c r="BN17" s="144">
        <f>'прил № 3 (01.01.23)'!EH1323</f>
        <v>0</v>
      </c>
      <c r="BO17" s="225">
        <f t="shared" si="309"/>
        <v>0</v>
      </c>
      <c r="BP17" s="226">
        <f t="shared" si="310"/>
        <v>0</v>
      </c>
      <c r="BQ17" s="137">
        <f t="shared" si="311"/>
        <v>0</v>
      </c>
      <c r="BR17" s="227">
        <f t="shared" si="277"/>
        <v>0</v>
      </c>
      <c r="BS17" s="138">
        <f t="shared" si="313"/>
        <v>0</v>
      </c>
      <c r="BT17" s="110">
        <f t="shared" si="314"/>
        <v>0</v>
      </c>
      <c r="BU17" s="110"/>
      <c r="BV17" s="139"/>
      <c r="BW17" s="140" t="e">
        <f t="shared" si="315"/>
        <v>#DIV/0!</v>
      </c>
      <c r="BX17" s="144">
        <f>'прил № 3 (01.01.23)'!FC1323</f>
        <v>0</v>
      </c>
      <c r="BY17" s="225">
        <f t="shared" si="316"/>
        <v>0</v>
      </c>
      <c r="BZ17" s="226">
        <f t="shared" si="317"/>
        <v>0</v>
      </c>
      <c r="CA17" s="137">
        <f t="shared" si="318"/>
        <v>0</v>
      </c>
      <c r="CB17" s="227">
        <f t="shared" si="277"/>
        <v>0</v>
      </c>
      <c r="CC17" s="138">
        <f t="shared" si="320"/>
        <v>0</v>
      </c>
      <c r="CD17" s="110">
        <f t="shared" si="321"/>
        <v>0</v>
      </c>
      <c r="CE17" s="110"/>
      <c r="CF17" s="139"/>
      <c r="CG17" s="140" t="e">
        <f t="shared" si="322"/>
        <v>#DIV/0!</v>
      </c>
      <c r="CH17" s="144">
        <f>'прил № 3 (01.01.23)'!FX1323</f>
        <v>0</v>
      </c>
      <c r="CI17" s="225">
        <f t="shared" si="323"/>
        <v>0</v>
      </c>
      <c r="CJ17" s="226">
        <f t="shared" si="324"/>
        <v>0</v>
      </c>
      <c r="CK17" s="137">
        <f t="shared" si="325"/>
        <v>0</v>
      </c>
      <c r="CL17" s="227">
        <f t="shared" si="326"/>
        <v>0</v>
      </c>
      <c r="CM17" s="138">
        <f t="shared" si="327"/>
        <v>0</v>
      </c>
      <c r="CN17" s="110">
        <f t="shared" si="328"/>
        <v>0</v>
      </c>
      <c r="CO17" s="110"/>
      <c r="CP17" s="139"/>
      <c r="CQ17" s="140" t="e">
        <f t="shared" si="329"/>
        <v>#DIV/0!</v>
      </c>
      <c r="CR17" s="144">
        <f>'прил № 3 (01.01.23)'!GS1323</f>
        <v>0</v>
      </c>
      <c r="CS17" s="225">
        <f t="shared" si="330"/>
        <v>0</v>
      </c>
      <c r="CT17" s="226">
        <f t="shared" si="331"/>
        <v>0</v>
      </c>
      <c r="CU17" s="137">
        <f t="shared" si="332"/>
        <v>0</v>
      </c>
      <c r="CV17" s="227">
        <f t="shared" si="326"/>
        <v>0</v>
      </c>
      <c r="CW17" s="138">
        <f t="shared" si="334"/>
        <v>0</v>
      </c>
      <c r="CX17" s="110">
        <f t="shared" si="335"/>
        <v>0</v>
      </c>
      <c r="CY17" s="110"/>
      <c r="CZ17" s="139"/>
      <c r="DA17" s="140" t="e">
        <f t="shared" si="336"/>
        <v>#DIV/0!</v>
      </c>
      <c r="DB17" s="144">
        <f>'прил № 3 (01.01.23)'!HN1323</f>
        <v>0</v>
      </c>
      <c r="DC17" s="225">
        <f t="shared" si="337"/>
        <v>0</v>
      </c>
      <c r="DD17" s="226">
        <f t="shared" si="338"/>
        <v>0</v>
      </c>
      <c r="DE17" s="137">
        <f t="shared" si="339"/>
        <v>0</v>
      </c>
      <c r="DF17" s="227">
        <f t="shared" si="326"/>
        <v>0</v>
      </c>
      <c r="DG17" s="138">
        <f t="shared" si="341"/>
        <v>0</v>
      </c>
      <c r="DH17" s="110">
        <f t="shared" si="342"/>
        <v>0</v>
      </c>
      <c r="DI17" s="110"/>
      <c r="DJ17" s="139"/>
      <c r="DK17" s="140" t="e">
        <f t="shared" si="343"/>
        <v>#DIV/0!</v>
      </c>
      <c r="DL17" s="144">
        <f>'прил № 3 (01.01.23)'!II1323</f>
        <v>0</v>
      </c>
      <c r="DM17" s="225">
        <f t="shared" si="344"/>
        <v>0</v>
      </c>
      <c r="DN17" s="226">
        <f t="shared" si="345"/>
        <v>0</v>
      </c>
      <c r="DO17" s="137">
        <f t="shared" si="346"/>
        <v>0</v>
      </c>
      <c r="DP17" s="227">
        <f t="shared" si="326"/>
        <v>0</v>
      </c>
      <c r="DQ17" s="138">
        <f t="shared" si="348"/>
        <v>0</v>
      </c>
      <c r="DR17" s="110">
        <f t="shared" si="349"/>
        <v>0</v>
      </c>
      <c r="DS17" s="110"/>
      <c r="DT17" s="139"/>
      <c r="DU17" s="140" t="e">
        <f t="shared" si="350"/>
        <v>#DIV/0!</v>
      </c>
      <c r="DV17" s="144">
        <f>'прил № 3 (01.01.23)'!JD1323</f>
        <v>0</v>
      </c>
      <c r="DW17" s="225">
        <f t="shared" si="351"/>
        <v>0</v>
      </c>
      <c r="DX17" s="226">
        <f t="shared" si="352"/>
        <v>0</v>
      </c>
      <c r="DY17" s="137">
        <f t="shared" si="353"/>
        <v>0</v>
      </c>
      <c r="DZ17" s="227">
        <f t="shared" si="326"/>
        <v>0</v>
      </c>
      <c r="EA17" s="138">
        <f t="shared" si="355"/>
        <v>0</v>
      </c>
      <c r="EB17" s="110">
        <f t="shared" si="356"/>
        <v>0</v>
      </c>
      <c r="EC17" s="110"/>
      <c r="ED17" s="139"/>
      <c r="EE17" s="140" t="e">
        <f t="shared" si="357"/>
        <v>#DIV/0!</v>
      </c>
      <c r="EF17" s="144">
        <f>'прил № 3 (01.01.23)'!JY1323</f>
        <v>0</v>
      </c>
      <c r="EG17" s="225">
        <f t="shared" si="358"/>
        <v>0</v>
      </c>
      <c r="EH17" s="226">
        <f t="shared" si="359"/>
        <v>0</v>
      </c>
      <c r="EI17" s="137">
        <f t="shared" si="360"/>
        <v>0</v>
      </c>
      <c r="EJ17" s="227">
        <f t="shared" si="326"/>
        <v>0</v>
      </c>
      <c r="EK17" s="138">
        <f t="shared" si="362"/>
        <v>0</v>
      </c>
      <c r="EL17" s="110">
        <f t="shared" si="363"/>
        <v>0</v>
      </c>
      <c r="EM17" s="110"/>
      <c r="EN17" s="139"/>
      <c r="EO17" s="140" t="e">
        <f t="shared" si="364"/>
        <v>#DIV/0!</v>
      </c>
      <c r="EP17" s="144">
        <f>'прил № 3 (01.01.23)'!KT1323</f>
        <v>0</v>
      </c>
      <c r="EQ17" s="225">
        <f t="shared" si="365"/>
        <v>0</v>
      </c>
      <c r="ER17" s="226">
        <f t="shared" si="366"/>
        <v>0</v>
      </c>
      <c r="ES17" s="137">
        <f t="shared" si="367"/>
        <v>0</v>
      </c>
      <c r="ET17" s="227">
        <f t="shared" si="326"/>
        <v>0</v>
      </c>
      <c r="EU17" s="138">
        <f t="shared" si="369"/>
        <v>0</v>
      </c>
      <c r="EV17" s="110">
        <f t="shared" si="370"/>
        <v>0</v>
      </c>
      <c r="EW17" s="110"/>
      <c r="EX17" s="139"/>
      <c r="EY17" s="140" t="e">
        <f t="shared" si="371"/>
        <v>#DIV/0!</v>
      </c>
      <c r="EZ17" s="144">
        <f>'прил № 3 (01.01.23)'!LO1323</f>
        <v>0</v>
      </c>
      <c r="FA17" s="225">
        <f t="shared" si="372"/>
        <v>0</v>
      </c>
      <c r="FB17" s="226">
        <f t="shared" si="373"/>
        <v>0</v>
      </c>
      <c r="FC17" s="137">
        <f t="shared" si="374"/>
        <v>0</v>
      </c>
      <c r="FD17" s="227">
        <f t="shared" si="375"/>
        <v>9.92</v>
      </c>
      <c r="FE17" s="138">
        <f t="shared" si="376"/>
        <v>0</v>
      </c>
      <c r="FF17" s="110">
        <f t="shared" si="377"/>
        <v>0</v>
      </c>
      <c r="FG17" s="110"/>
      <c r="FH17" s="139"/>
      <c r="FI17" s="140" t="e">
        <f t="shared" si="378"/>
        <v>#DIV/0!</v>
      </c>
      <c r="FJ17" s="144">
        <f>'прил № 3 (01.01.23)'!MJ1323</f>
        <v>0</v>
      </c>
      <c r="FK17" s="225">
        <f t="shared" si="379"/>
        <v>0</v>
      </c>
      <c r="FL17" s="226">
        <f t="shared" si="380"/>
        <v>0</v>
      </c>
      <c r="FM17" s="137">
        <f t="shared" si="381"/>
        <v>0</v>
      </c>
      <c r="FN17" s="227">
        <f t="shared" si="375"/>
        <v>0</v>
      </c>
      <c r="FO17" s="138">
        <f t="shared" si="383"/>
        <v>0</v>
      </c>
      <c r="FP17" s="110">
        <f t="shared" si="384"/>
        <v>0</v>
      </c>
      <c r="FQ17" s="110"/>
      <c r="FR17" s="139"/>
      <c r="FS17" s="140" t="e">
        <f t="shared" si="385"/>
        <v>#DIV/0!</v>
      </c>
      <c r="FT17" s="144">
        <f>'прил № 3 (01.01.23)'!NE1323</f>
        <v>0</v>
      </c>
      <c r="FU17" s="225">
        <f t="shared" si="386"/>
        <v>0</v>
      </c>
      <c r="FV17" s="226">
        <f t="shared" si="387"/>
        <v>0</v>
      </c>
      <c r="FW17" s="137">
        <f t="shared" si="388"/>
        <v>0</v>
      </c>
      <c r="FX17" s="227">
        <f t="shared" si="375"/>
        <v>0</v>
      </c>
      <c r="FY17" s="138">
        <f t="shared" si="390"/>
        <v>0</v>
      </c>
      <c r="FZ17" s="110">
        <f t="shared" si="391"/>
        <v>0</v>
      </c>
      <c r="GA17" s="110"/>
      <c r="GB17" s="139"/>
      <c r="GC17" s="140" t="e">
        <f t="shared" si="392"/>
        <v>#DIV/0!</v>
      </c>
      <c r="GD17" s="144">
        <f>'прил № 3 (01.01.23)'!NZ1323</f>
        <v>0</v>
      </c>
      <c r="GE17" s="225">
        <f t="shared" si="393"/>
        <v>0</v>
      </c>
      <c r="GF17" s="226">
        <f t="shared" si="394"/>
        <v>0</v>
      </c>
      <c r="GG17" s="137">
        <f t="shared" si="395"/>
        <v>0</v>
      </c>
      <c r="GH17" s="227">
        <f t="shared" si="375"/>
        <v>9.92</v>
      </c>
      <c r="GI17" s="138">
        <f t="shared" si="397"/>
        <v>0</v>
      </c>
      <c r="GJ17" s="110">
        <f t="shared" si="398"/>
        <v>0</v>
      </c>
      <c r="GK17" s="110"/>
      <c r="GL17" s="139"/>
      <c r="GM17" s="140" t="e">
        <f t="shared" si="399"/>
        <v>#DIV/0!</v>
      </c>
      <c r="GN17" s="144">
        <f>'прил № 3 (01.01.23)'!OU1323</f>
        <v>0</v>
      </c>
      <c r="GO17" s="225">
        <f t="shared" si="400"/>
        <v>0</v>
      </c>
      <c r="GP17" s="226">
        <f t="shared" si="401"/>
        <v>0</v>
      </c>
      <c r="GQ17" s="137">
        <f t="shared" si="402"/>
        <v>0</v>
      </c>
      <c r="GR17" s="227">
        <f t="shared" si="403"/>
        <v>0</v>
      </c>
      <c r="GS17" s="138">
        <f t="shared" si="404"/>
        <v>0</v>
      </c>
      <c r="GT17" s="110">
        <f t="shared" si="405"/>
        <v>0</v>
      </c>
      <c r="GU17" s="110"/>
      <c r="GV17" s="139"/>
      <c r="GW17" s="140" t="e">
        <f t="shared" si="406"/>
        <v>#DIV/0!</v>
      </c>
      <c r="GX17" s="144">
        <f>'прил № 3 (01.01.23)'!PP1323</f>
        <v>0</v>
      </c>
      <c r="GY17" s="225">
        <f t="shared" si="407"/>
        <v>0</v>
      </c>
      <c r="GZ17" s="226">
        <f t="shared" si="408"/>
        <v>0</v>
      </c>
      <c r="HA17" s="137">
        <f t="shared" si="409"/>
        <v>0</v>
      </c>
      <c r="HB17" s="227">
        <f t="shared" si="403"/>
        <v>9.92</v>
      </c>
      <c r="HC17" s="138">
        <f t="shared" si="411"/>
        <v>0</v>
      </c>
      <c r="HD17" s="110">
        <f t="shared" si="412"/>
        <v>0</v>
      </c>
      <c r="HE17" s="110"/>
      <c r="HF17" s="139"/>
      <c r="HG17" s="140" t="e">
        <f t="shared" si="413"/>
        <v>#DIV/0!</v>
      </c>
      <c r="HH17" s="144">
        <f>'прил № 3 (01.01.23)'!QK1323</f>
        <v>0</v>
      </c>
      <c r="HI17" s="225">
        <f t="shared" si="414"/>
        <v>0</v>
      </c>
      <c r="HJ17" s="226">
        <f t="shared" si="415"/>
        <v>0</v>
      </c>
      <c r="HK17" s="137">
        <f t="shared" si="416"/>
        <v>0</v>
      </c>
      <c r="HL17" s="227">
        <f t="shared" si="403"/>
        <v>0</v>
      </c>
      <c r="HM17" s="138">
        <f t="shared" si="418"/>
        <v>0</v>
      </c>
      <c r="HN17" s="110">
        <f t="shared" si="419"/>
        <v>0</v>
      </c>
      <c r="HO17" s="110"/>
      <c r="HP17" s="139"/>
      <c r="HQ17" s="140" t="e">
        <f t="shared" si="420"/>
        <v>#DIV/0!</v>
      </c>
      <c r="HR17" s="144">
        <f>'прил № 3 (01.01.23)'!RF1323</f>
        <v>0</v>
      </c>
      <c r="HS17" s="225">
        <f t="shared" si="421"/>
        <v>0</v>
      </c>
      <c r="HT17" s="226">
        <f t="shared" si="422"/>
        <v>0</v>
      </c>
      <c r="HU17" s="137">
        <f t="shared" si="423"/>
        <v>0</v>
      </c>
      <c r="HV17" s="227">
        <f t="shared" si="403"/>
        <v>0</v>
      </c>
      <c r="HW17" s="138">
        <f t="shared" si="425"/>
        <v>0</v>
      </c>
      <c r="HX17" s="110">
        <f t="shared" si="426"/>
        <v>0</v>
      </c>
      <c r="HY17" s="110"/>
      <c r="HZ17" s="139"/>
      <c r="IA17" s="140" t="e">
        <f t="shared" si="427"/>
        <v>#DIV/0!</v>
      </c>
      <c r="IB17" s="144">
        <f>'прил № 3 (01.01.23)'!SA1323</f>
        <v>0</v>
      </c>
      <c r="IC17" s="225">
        <f t="shared" si="428"/>
        <v>0</v>
      </c>
      <c r="ID17" s="226">
        <f t="shared" si="429"/>
        <v>0</v>
      </c>
      <c r="IE17" s="137">
        <f t="shared" si="430"/>
        <v>0</v>
      </c>
      <c r="IF17" s="227">
        <f t="shared" si="431"/>
        <v>0</v>
      </c>
      <c r="IG17" s="138">
        <f t="shared" si="432"/>
        <v>0</v>
      </c>
      <c r="IH17" s="110">
        <f t="shared" si="433"/>
        <v>0</v>
      </c>
      <c r="II17" s="110"/>
      <c r="IJ17" s="139"/>
      <c r="IK17" s="140" t="e">
        <f t="shared" si="434"/>
        <v>#DIV/0!</v>
      </c>
      <c r="IL17" s="144">
        <f>'прил № 3 (01.01.23)'!SV1323</f>
        <v>0</v>
      </c>
      <c r="IM17" s="225">
        <f t="shared" si="435"/>
        <v>0</v>
      </c>
      <c r="IN17" s="226">
        <f t="shared" si="436"/>
        <v>0</v>
      </c>
      <c r="IO17" s="137">
        <f t="shared" si="437"/>
        <v>0</v>
      </c>
      <c r="IP17" s="227">
        <f t="shared" si="431"/>
        <v>0</v>
      </c>
      <c r="IQ17" s="138">
        <f t="shared" si="439"/>
        <v>0</v>
      </c>
      <c r="IR17" s="110">
        <f t="shared" si="440"/>
        <v>0</v>
      </c>
      <c r="IS17" s="110"/>
      <c r="IT17" s="139"/>
      <c r="IU17" s="140" t="e">
        <f t="shared" si="441"/>
        <v>#DIV/0!</v>
      </c>
      <c r="IV17" s="144">
        <f>'прил № 3 (01.01.23)'!TQ1323</f>
        <v>0</v>
      </c>
      <c r="IW17" s="225">
        <f t="shared" si="442"/>
        <v>0</v>
      </c>
      <c r="IX17" s="226">
        <f t="shared" si="443"/>
        <v>0</v>
      </c>
      <c r="IY17" s="137">
        <f t="shared" si="444"/>
        <v>0</v>
      </c>
      <c r="IZ17" s="227">
        <f t="shared" si="431"/>
        <v>0</v>
      </c>
      <c r="JA17" s="138">
        <f t="shared" si="446"/>
        <v>0</v>
      </c>
      <c r="JB17" s="110">
        <f t="shared" si="447"/>
        <v>0</v>
      </c>
      <c r="JC17" s="110"/>
      <c r="JD17" s="139"/>
      <c r="JE17" s="140" t="e">
        <f t="shared" si="448"/>
        <v>#DIV/0!</v>
      </c>
      <c r="JF17" s="144">
        <f>'прил № 3 (01.01.23)'!UL1323</f>
        <v>0</v>
      </c>
      <c r="JG17" s="225">
        <f t="shared" si="449"/>
        <v>0</v>
      </c>
      <c r="JH17" s="226">
        <f t="shared" si="450"/>
        <v>0</v>
      </c>
      <c r="JI17" s="137">
        <f t="shared" si="451"/>
        <v>0</v>
      </c>
      <c r="JJ17" s="227">
        <f t="shared" si="431"/>
        <v>0</v>
      </c>
      <c r="JK17" s="138">
        <f t="shared" si="453"/>
        <v>0</v>
      </c>
      <c r="JL17" s="110">
        <f t="shared" si="454"/>
        <v>0</v>
      </c>
      <c r="JM17" s="110"/>
      <c r="JN17" s="139"/>
      <c r="JO17" s="140" t="e">
        <f t="shared" si="455"/>
        <v>#DIV/0!</v>
      </c>
      <c r="JP17" s="144">
        <f>'прил № 3 (01.01.23)'!VG1323</f>
        <v>0</v>
      </c>
      <c r="JQ17" s="225">
        <f t="shared" si="456"/>
        <v>0</v>
      </c>
      <c r="JR17" s="226">
        <f t="shared" si="457"/>
        <v>0</v>
      </c>
      <c r="JS17" s="137">
        <f t="shared" si="458"/>
        <v>0</v>
      </c>
      <c r="JT17" s="227">
        <f t="shared" si="459"/>
        <v>0</v>
      </c>
      <c r="JU17" s="138">
        <f t="shared" si="460"/>
        <v>0</v>
      </c>
      <c r="JV17" s="110">
        <f t="shared" si="461"/>
        <v>0</v>
      </c>
      <c r="JW17" s="110"/>
      <c r="JX17" s="139"/>
      <c r="JY17" s="140" t="e">
        <f t="shared" si="462"/>
        <v>#DIV/0!</v>
      </c>
      <c r="JZ17" s="144">
        <f>'прил № 3 (01.01.23)'!WB1323</f>
        <v>0</v>
      </c>
      <c r="KA17" s="225">
        <f t="shared" si="463"/>
        <v>0</v>
      </c>
      <c r="KB17" s="226">
        <f t="shared" si="464"/>
        <v>0</v>
      </c>
      <c r="KC17" s="137">
        <f t="shared" si="465"/>
        <v>0</v>
      </c>
      <c r="KD17" s="227">
        <f t="shared" si="459"/>
        <v>0</v>
      </c>
      <c r="KE17" s="138">
        <f t="shared" si="467"/>
        <v>0</v>
      </c>
      <c r="KF17" s="110">
        <f t="shared" si="468"/>
        <v>0</v>
      </c>
      <c r="KG17" s="110"/>
      <c r="KH17" s="139"/>
      <c r="KI17" s="140" t="e">
        <f t="shared" si="469"/>
        <v>#DIV/0!</v>
      </c>
      <c r="KJ17" s="144">
        <f>'прил № 3 (01.01.23)'!WW1323</f>
        <v>0</v>
      </c>
      <c r="KK17" s="225">
        <f t="shared" si="470"/>
        <v>0</v>
      </c>
      <c r="KL17" s="226">
        <f t="shared" si="471"/>
        <v>0</v>
      </c>
      <c r="KM17" s="137">
        <f t="shared" si="472"/>
        <v>0</v>
      </c>
      <c r="KN17" s="227">
        <f t="shared" si="459"/>
        <v>0</v>
      </c>
      <c r="KO17" s="138">
        <f t="shared" si="474"/>
        <v>0</v>
      </c>
      <c r="KP17" s="110">
        <f t="shared" si="475"/>
        <v>0</v>
      </c>
      <c r="KQ17" s="110"/>
      <c r="KR17" s="139"/>
      <c r="KS17" s="140" t="e">
        <f t="shared" si="476"/>
        <v>#DIV/0!</v>
      </c>
      <c r="KT17" s="144">
        <f>'прил № 3 (01.01.23)'!XR1323</f>
        <v>0</v>
      </c>
      <c r="KU17" s="225">
        <f t="shared" si="477"/>
        <v>0</v>
      </c>
      <c r="KV17" s="226">
        <f t="shared" si="478"/>
        <v>0</v>
      </c>
      <c r="KW17" s="137">
        <f t="shared" si="479"/>
        <v>0</v>
      </c>
      <c r="KX17" s="227">
        <f t="shared" si="459"/>
        <v>0</v>
      </c>
      <c r="KY17" s="138">
        <f t="shared" si="481"/>
        <v>0</v>
      </c>
      <c r="KZ17" s="110">
        <f t="shared" si="482"/>
        <v>0</v>
      </c>
      <c r="LA17" s="110"/>
      <c r="LB17" s="139"/>
      <c r="LC17" s="140" t="e">
        <f t="shared" si="483"/>
        <v>#DIV/0!</v>
      </c>
      <c r="LD17" s="197">
        <f t="shared" si="484"/>
        <v>0</v>
      </c>
      <c r="LE17" s="225">
        <f t="shared" si="485"/>
        <v>0</v>
      </c>
      <c r="LF17" s="226">
        <f t="shared" si="486"/>
        <v>0</v>
      </c>
      <c r="LG17" s="137">
        <f t="shared" si="487"/>
        <v>0</v>
      </c>
      <c r="LH17" s="227">
        <f t="shared" si="488"/>
        <v>9.92</v>
      </c>
      <c r="LI17" s="138">
        <f t="shared" si="489"/>
        <v>0</v>
      </c>
      <c r="LJ17" s="110">
        <f t="shared" si="490"/>
        <v>0</v>
      </c>
      <c r="LK17" s="110"/>
      <c r="LL17" s="139"/>
    </row>
    <row r="18" spans="1:324" ht="24" x14ac:dyDescent="0.25">
      <c r="A18" s="246"/>
      <c r="B18" s="12" t="s">
        <v>627</v>
      </c>
      <c r="C18" s="12" t="s">
        <v>729</v>
      </c>
      <c r="D18" s="12" t="s">
        <v>429</v>
      </c>
      <c r="E18" s="4" t="s">
        <v>32</v>
      </c>
      <c r="F18" s="144">
        <f>'прил № 3 (01.01.23)'!L1324</f>
        <v>0</v>
      </c>
      <c r="G18" s="225">
        <f t="shared" si="491"/>
        <v>0</v>
      </c>
      <c r="H18" s="226">
        <f t="shared" si="492"/>
        <v>0</v>
      </c>
      <c r="I18" s="137">
        <f t="shared" si="270"/>
        <v>0</v>
      </c>
      <c r="J18" s="227">
        <f t="shared" si="493"/>
        <v>0</v>
      </c>
      <c r="K18" s="138">
        <f t="shared" si="271"/>
        <v>0</v>
      </c>
      <c r="L18" s="110">
        <f t="shared" si="272"/>
        <v>0</v>
      </c>
      <c r="M18" s="110"/>
      <c r="N18" s="139"/>
      <c r="O18" s="140">
        <f t="shared" si="273"/>
        <v>0</v>
      </c>
      <c r="P18" s="144">
        <f>'прил № 3 (01.01.23)'!AG1324</f>
        <v>0</v>
      </c>
      <c r="Q18" s="225">
        <f t="shared" si="274"/>
        <v>0</v>
      </c>
      <c r="R18" s="226">
        <f t="shared" si="275"/>
        <v>0</v>
      </c>
      <c r="S18" s="137">
        <f t="shared" si="276"/>
        <v>0</v>
      </c>
      <c r="T18" s="227">
        <f t="shared" si="277"/>
        <v>0</v>
      </c>
      <c r="U18" s="138">
        <f t="shared" si="278"/>
        <v>0</v>
      </c>
      <c r="V18" s="110">
        <f t="shared" si="279"/>
        <v>0</v>
      </c>
      <c r="W18" s="110"/>
      <c r="X18" s="139"/>
      <c r="Y18" s="140">
        <f t="shared" si="280"/>
        <v>0</v>
      </c>
      <c r="Z18" s="144">
        <f>'прил № 3 (01.01.23)'!BB1324</f>
        <v>0</v>
      </c>
      <c r="AA18" s="225">
        <f t="shared" si="281"/>
        <v>0</v>
      </c>
      <c r="AB18" s="226">
        <f t="shared" si="282"/>
        <v>0</v>
      </c>
      <c r="AC18" s="137">
        <f t="shared" si="283"/>
        <v>0</v>
      </c>
      <c r="AD18" s="227">
        <f t="shared" si="277"/>
        <v>0</v>
      </c>
      <c r="AE18" s="138">
        <f t="shared" si="285"/>
        <v>0</v>
      </c>
      <c r="AF18" s="110">
        <f t="shared" si="286"/>
        <v>0</v>
      </c>
      <c r="AG18" s="110"/>
      <c r="AH18" s="139"/>
      <c r="AI18" s="140">
        <f t="shared" si="287"/>
        <v>0</v>
      </c>
      <c r="AJ18" s="144">
        <f>'прил № 3 (01.01.23)'!BW1324</f>
        <v>3</v>
      </c>
      <c r="AK18" s="225">
        <f t="shared" si="288"/>
        <v>4.5100000000000001E-3</v>
      </c>
      <c r="AL18" s="226">
        <f t="shared" si="289"/>
        <v>0</v>
      </c>
      <c r="AM18" s="137">
        <f t="shared" si="290"/>
        <v>0</v>
      </c>
      <c r="AN18" s="227">
        <f t="shared" si="277"/>
        <v>0</v>
      </c>
      <c r="AO18" s="138">
        <f t="shared" si="292"/>
        <v>0</v>
      </c>
      <c r="AP18" s="110">
        <f t="shared" si="293"/>
        <v>0</v>
      </c>
      <c r="AQ18" s="110"/>
      <c r="AR18" s="139"/>
      <c r="AS18" s="140">
        <f t="shared" si="294"/>
        <v>0</v>
      </c>
      <c r="AT18" s="144">
        <f>'прил № 3 (01.01.23)'!CR1324</f>
        <v>0</v>
      </c>
      <c r="AU18" s="225">
        <f t="shared" si="295"/>
        <v>0</v>
      </c>
      <c r="AV18" s="226">
        <f t="shared" si="296"/>
        <v>0</v>
      </c>
      <c r="AW18" s="137">
        <f t="shared" si="297"/>
        <v>0</v>
      </c>
      <c r="AX18" s="227">
        <f t="shared" si="277"/>
        <v>0</v>
      </c>
      <c r="AY18" s="138">
        <f t="shared" si="299"/>
        <v>0</v>
      </c>
      <c r="AZ18" s="110">
        <f t="shared" si="300"/>
        <v>0</v>
      </c>
      <c r="BA18" s="110"/>
      <c r="BB18" s="139"/>
      <c r="BC18" s="140">
        <f t="shared" si="301"/>
        <v>0</v>
      </c>
      <c r="BD18" s="144">
        <f>'прил № 3 (01.01.23)'!DM1324</f>
        <v>0</v>
      </c>
      <c r="BE18" s="225">
        <f t="shared" si="302"/>
        <v>0</v>
      </c>
      <c r="BF18" s="226">
        <f t="shared" si="303"/>
        <v>0</v>
      </c>
      <c r="BG18" s="137">
        <f t="shared" si="304"/>
        <v>0</v>
      </c>
      <c r="BH18" s="227">
        <f t="shared" si="277"/>
        <v>0</v>
      </c>
      <c r="BI18" s="138">
        <f t="shared" si="306"/>
        <v>0</v>
      </c>
      <c r="BJ18" s="110">
        <f t="shared" si="307"/>
        <v>0</v>
      </c>
      <c r="BK18" s="110"/>
      <c r="BL18" s="139"/>
      <c r="BM18" s="140">
        <f t="shared" si="308"/>
        <v>0</v>
      </c>
      <c r="BN18" s="144">
        <f>'прил № 3 (01.01.23)'!EH1324</f>
        <v>0</v>
      </c>
      <c r="BO18" s="225">
        <f t="shared" si="309"/>
        <v>0</v>
      </c>
      <c r="BP18" s="226">
        <f t="shared" si="310"/>
        <v>0</v>
      </c>
      <c r="BQ18" s="137">
        <f t="shared" si="311"/>
        <v>0</v>
      </c>
      <c r="BR18" s="227">
        <f t="shared" si="277"/>
        <v>0</v>
      </c>
      <c r="BS18" s="138">
        <f t="shared" si="313"/>
        <v>0</v>
      </c>
      <c r="BT18" s="110">
        <f t="shared" si="314"/>
        <v>0</v>
      </c>
      <c r="BU18" s="110"/>
      <c r="BV18" s="139"/>
      <c r="BW18" s="140">
        <f t="shared" si="315"/>
        <v>0</v>
      </c>
      <c r="BX18" s="144">
        <f>'прил № 3 (01.01.23)'!FC1324</f>
        <v>0</v>
      </c>
      <c r="BY18" s="225">
        <f t="shared" si="316"/>
        <v>0</v>
      </c>
      <c r="BZ18" s="226">
        <f t="shared" si="317"/>
        <v>0</v>
      </c>
      <c r="CA18" s="137">
        <f t="shared" si="318"/>
        <v>0</v>
      </c>
      <c r="CB18" s="227">
        <f t="shared" si="277"/>
        <v>0</v>
      </c>
      <c r="CC18" s="138">
        <f t="shared" si="320"/>
        <v>0</v>
      </c>
      <c r="CD18" s="110">
        <f t="shared" si="321"/>
        <v>0</v>
      </c>
      <c r="CE18" s="110"/>
      <c r="CF18" s="139"/>
      <c r="CG18" s="140">
        <f t="shared" si="322"/>
        <v>0</v>
      </c>
      <c r="CH18" s="144">
        <f>'прил № 3 (01.01.23)'!FX1324</f>
        <v>0</v>
      </c>
      <c r="CI18" s="225">
        <f t="shared" si="323"/>
        <v>0</v>
      </c>
      <c r="CJ18" s="226">
        <f t="shared" si="324"/>
        <v>0</v>
      </c>
      <c r="CK18" s="137">
        <f t="shared" si="325"/>
        <v>0</v>
      </c>
      <c r="CL18" s="227">
        <f t="shared" si="326"/>
        <v>0</v>
      </c>
      <c r="CM18" s="138">
        <f t="shared" si="327"/>
        <v>0</v>
      </c>
      <c r="CN18" s="110">
        <f t="shared" si="328"/>
        <v>0</v>
      </c>
      <c r="CO18" s="110"/>
      <c r="CP18" s="139"/>
      <c r="CQ18" s="140">
        <f t="shared" si="329"/>
        <v>0</v>
      </c>
      <c r="CR18" s="144">
        <f>'прил № 3 (01.01.23)'!GS1324</f>
        <v>2</v>
      </c>
      <c r="CS18" s="225">
        <f t="shared" si="330"/>
        <v>2.6900000000000001E-3</v>
      </c>
      <c r="CT18" s="226">
        <f t="shared" si="331"/>
        <v>0</v>
      </c>
      <c r="CU18" s="137">
        <f t="shared" si="332"/>
        <v>0</v>
      </c>
      <c r="CV18" s="227">
        <f t="shared" si="326"/>
        <v>0</v>
      </c>
      <c r="CW18" s="138">
        <f t="shared" si="334"/>
        <v>0</v>
      </c>
      <c r="CX18" s="110">
        <f t="shared" si="335"/>
        <v>0</v>
      </c>
      <c r="CY18" s="110"/>
      <c r="CZ18" s="139"/>
      <c r="DA18" s="140">
        <f t="shared" si="336"/>
        <v>0</v>
      </c>
      <c r="DB18" s="144">
        <f>'прил № 3 (01.01.23)'!HN1324</f>
        <v>0</v>
      </c>
      <c r="DC18" s="225">
        <f t="shared" si="337"/>
        <v>0</v>
      </c>
      <c r="DD18" s="226">
        <f t="shared" si="338"/>
        <v>0</v>
      </c>
      <c r="DE18" s="137">
        <f t="shared" si="339"/>
        <v>0</v>
      </c>
      <c r="DF18" s="227">
        <f t="shared" si="326"/>
        <v>0</v>
      </c>
      <c r="DG18" s="138">
        <f t="shared" si="341"/>
        <v>0</v>
      </c>
      <c r="DH18" s="110">
        <f t="shared" si="342"/>
        <v>0</v>
      </c>
      <c r="DI18" s="110"/>
      <c r="DJ18" s="139"/>
      <c r="DK18" s="140">
        <f t="shared" si="343"/>
        <v>0</v>
      </c>
      <c r="DL18" s="144">
        <f>'прил № 3 (01.01.23)'!II1324</f>
        <v>0</v>
      </c>
      <c r="DM18" s="225">
        <f t="shared" si="344"/>
        <v>0</v>
      </c>
      <c r="DN18" s="226">
        <f t="shared" si="345"/>
        <v>0</v>
      </c>
      <c r="DO18" s="137">
        <f t="shared" si="346"/>
        <v>0</v>
      </c>
      <c r="DP18" s="227">
        <f t="shared" si="326"/>
        <v>0</v>
      </c>
      <c r="DQ18" s="138">
        <f t="shared" si="348"/>
        <v>0</v>
      </c>
      <c r="DR18" s="110">
        <f t="shared" si="349"/>
        <v>0</v>
      </c>
      <c r="DS18" s="110"/>
      <c r="DT18" s="139"/>
      <c r="DU18" s="140">
        <f t="shared" si="350"/>
        <v>0</v>
      </c>
      <c r="DV18" s="144">
        <f>'прил № 3 (01.01.23)'!JD1324</f>
        <v>0</v>
      </c>
      <c r="DW18" s="225">
        <f t="shared" si="351"/>
        <v>0</v>
      </c>
      <c r="DX18" s="226">
        <f t="shared" si="352"/>
        <v>0</v>
      </c>
      <c r="DY18" s="137">
        <f t="shared" si="353"/>
        <v>0</v>
      </c>
      <c r="DZ18" s="227">
        <f t="shared" si="326"/>
        <v>0</v>
      </c>
      <c r="EA18" s="138">
        <f t="shared" si="355"/>
        <v>0</v>
      </c>
      <c r="EB18" s="110">
        <f t="shared" si="356"/>
        <v>0</v>
      </c>
      <c r="EC18" s="110"/>
      <c r="ED18" s="139"/>
      <c r="EE18" s="140">
        <f t="shared" si="357"/>
        <v>0</v>
      </c>
      <c r="EF18" s="144">
        <f>'прил № 3 (01.01.23)'!JY1324</f>
        <v>2</v>
      </c>
      <c r="EG18" s="225">
        <f t="shared" si="358"/>
        <v>2.1299999999999999E-3</v>
      </c>
      <c r="EH18" s="226">
        <f t="shared" si="359"/>
        <v>0</v>
      </c>
      <c r="EI18" s="137">
        <f t="shared" si="360"/>
        <v>0</v>
      </c>
      <c r="EJ18" s="227">
        <f t="shared" si="326"/>
        <v>0</v>
      </c>
      <c r="EK18" s="138">
        <f t="shared" si="362"/>
        <v>0</v>
      </c>
      <c r="EL18" s="110">
        <f t="shared" si="363"/>
        <v>0</v>
      </c>
      <c r="EM18" s="110"/>
      <c r="EN18" s="139"/>
      <c r="EO18" s="140">
        <f t="shared" si="364"/>
        <v>0</v>
      </c>
      <c r="EP18" s="144">
        <f>'прил № 3 (01.01.23)'!KT1324</f>
        <v>2</v>
      </c>
      <c r="EQ18" s="225">
        <f t="shared" si="365"/>
        <v>2.1199999999999999E-3</v>
      </c>
      <c r="ER18" s="226">
        <f t="shared" si="366"/>
        <v>0</v>
      </c>
      <c r="ES18" s="137">
        <f t="shared" si="367"/>
        <v>0</v>
      </c>
      <c r="ET18" s="227">
        <f t="shared" si="326"/>
        <v>0</v>
      </c>
      <c r="EU18" s="138">
        <f t="shared" si="369"/>
        <v>0</v>
      </c>
      <c r="EV18" s="110">
        <f t="shared" si="370"/>
        <v>0</v>
      </c>
      <c r="EW18" s="110"/>
      <c r="EX18" s="139"/>
      <c r="EY18" s="140">
        <f t="shared" si="371"/>
        <v>0</v>
      </c>
      <c r="EZ18" s="144">
        <f>'прил № 3 (01.01.23)'!LO1324</f>
        <v>1</v>
      </c>
      <c r="FA18" s="225">
        <f t="shared" si="372"/>
        <v>8.9999999999999998E-4</v>
      </c>
      <c r="FB18" s="226">
        <f t="shared" si="373"/>
        <v>58.23</v>
      </c>
      <c r="FC18" s="137">
        <f t="shared" si="374"/>
        <v>58.23</v>
      </c>
      <c r="FD18" s="227">
        <f t="shared" si="375"/>
        <v>9.92</v>
      </c>
      <c r="FE18" s="138">
        <f t="shared" si="376"/>
        <v>577.64160000000004</v>
      </c>
      <c r="FF18" s="110">
        <f t="shared" si="377"/>
        <v>577.64</v>
      </c>
      <c r="FG18" s="110"/>
      <c r="FH18" s="139"/>
      <c r="FI18" s="140">
        <f t="shared" si="378"/>
        <v>7.0406899999999997</v>
      </c>
      <c r="FJ18" s="144">
        <f>'прил № 3 (01.01.23)'!MJ1324</f>
        <v>1</v>
      </c>
      <c r="FK18" s="225">
        <f t="shared" si="379"/>
        <v>9.7999999999999997E-4</v>
      </c>
      <c r="FL18" s="226">
        <f t="shared" si="380"/>
        <v>0</v>
      </c>
      <c r="FM18" s="137">
        <f t="shared" si="381"/>
        <v>0</v>
      </c>
      <c r="FN18" s="227">
        <f t="shared" si="375"/>
        <v>0</v>
      </c>
      <c r="FO18" s="138">
        <f t="shared" si="383"/>
        <v>0</v>
      </c>
      <c r="FP18" s="110">
        <f t="shared" si="384"/>
        <v>0</v>
      </c>
      <c r="FQ18" s="110"/>
      <c r="FR18" s="139"/>
      <c r="FS18" s="140">
        <f t="shared" si="385"/>
        <v>0</v>
      </c>
      <c r="FT18" s="144">
        <f>'прил № 3 (01.01.23)'!NE1324</f>
        <v>1</v>
      </c>
      <c r="FU18" s="225">
        <f t="shared" si="386"/>
        <v>1.25E-3</v>
      </c>
      <c r="FV18" s="226">
        <f t="shared" si="387"/>
        <v>0</v>
      </c>
      <c r="FW18" s="137">
        <f t="shared" si="388"/>
        <v>0</v>
      </c>
      <c r="FX18" s="227">
        <f t="shared" si="375"/>
        <v>0</v>
      </c>
      <c r="FY18" s="138">
        <f t="shared" si="390"/>
        <v>0</v>
      </c>
      <c r="FZ18" s="110">
        <f t="shared" si="391"/>
        <v>0</v>
      </c>
      <c r="GA18" s="110"/>
      <c r="GB18" s="139"/>
      <c r="GC18" s="140">
        <f t="shared" si="392"/>
        <v>0</v>
      </c>
      <c r="GD18" s="144">
        <f>'прил № 3 (01.01.23)'!NZ1324</f>
        <v>2</v>
      </c>
      <c r="GE18" s="225">
        <f t="shared" si="393"/>
        <v>3.9100000000000003E-3</v>
      </c>
      <c r="GF18" s="226">
        <f t="shared" si="394"/>
        <v>247.89</v>
      </c>
      <c r="GG18" s="137">
        <f t="shared" si="395"/>
        <v>123.94499999999999</v>
      </c>
      <c r="GH18" s="227">
        <f t="shared" si="375"/>
        <v>9.92</v>
      </c>
      <c r="GI18" s="138">
        <f t="shared" si="397"/>
        <v>1229.5344</v>
      </c>
      <c r="GJ18" s="110">
        <f t="shared" si="398"/>
        <v>2459.0700000000002</v>
      </c>
      <c r="GK18" s="110"/>
      <c r="GL18" s="139"/>
      <c r="GM18" s="140">
        <f t="shared" si="399"/>
        <v>14.9864</v>
      </c>
      <c r="GN18" s="144">
        <f>'прил № 3 (01.01.23)'!OU1324</f>
        <v>0</v>
      </c>
      <c r="GO18" s="225">
        <f t="shared" si="400"/>
        <v>0</v>
      </c>
      <c r="GP18" s="226">
        <f t="shared" si="401"/>
        <v>0</v>
      </c>
      <c r="GQ18" s="137">
        <f t="shared" si="402"/>
        <v>0</v>
      </c>
      <c r="GR18" s="227">
        <f t="shared" si="403"/>
        <v>0</v>
      </c>
      <c r="GS18" s="138">
        <f t="shared" si="404"/>
        <v>0</v>
      </c>
      <c r="GT18" s="110">
        <f t="shared" si="405"/>
        <v>0</v>
      </c>
      <c r="GU18" s="110"/>
      <c r="GV18" s="139"/>
      <c r="GW18" s="140">
        <f t="shared" si="406"/>
        <v>0</v>
      </c>
      <c r="GX18" s="144">
        <f>'прил № 3 (01.01.23)'!PP1324</f>
        <v>0</v>
      </c>
      <c r="GY18" s="225">
        <f t="shared" si="407"/>
        <v>0</v>
      </c>
      <c r="GZ18" s="226">
        <f t="shared" si="408"/>
        <v>0</v>
      </c>
      <c r="HA18" s="137">
        <f t="shared" si="409"/>
        <v>0</v>
      </c>
      <c r="HB18" s="227">
        <f t="shared" si="403"/>
        <v>9.92</v>
      </c>
      <c r="HC18" s="138">
        <f t="shared" si="411"/>
        <v>0</v>
      </c>
      <c r="HD18" s="110">
        <f t="shared" si="412"/>
        <v>0</v>
      </c>
      <c r="HE18" s="110"/>
      <c r="HF18" s="139"/>
      <c r="HG18" s="140">
        <f t="shared" si="413"/>
        <v>0</v>
      </c>
      <c r="HH18" s="144">
        <f>'прил № 3 (01.01.23)'!QK1324</f>
        <v>0</v>
      </c>
      <c r="HI18" s="225">
        <f t="shared" si="414"/>
        <v>0</v>
      </c>
      <c r="HJ18" s="226">
        <f t="shared" si="415"/>
        <v>0</v>
      </c>
      <c r="HK18" s="137">
        <f t="shared" si="416"/>
        <v>0</v>
      </c>
      <c r="HL18" s="227">
        <f t="shared" si="403"/>
        <v>0</v>
      </c>
      <c r="HM18" s="138">
        <f t="shared" si="418"/>
        <v>0</v>
      </c>
      <c r="HN18" s="110">
        <f t="shared" si="419"/>
        <v>0</v>
      </c>
      <c r="HO18" s="110"/>
      <c r="HP18" s="139"/>
      <c r="HQ18" s="140">
        <f t="shared" si="420"/>
        <v>0</v>
      </c>
      <c r="HR18" s="144">
        <f>'прил № 3 (01.01.23)'!RF1324</f>
        <v>3</v>
      </c>
      <c r="HS18" s="225">
        <f t="shared" si="421"/>
        <v>3.81E-3</v>
      </c>
      <c r="HT18" s="226">
        <f t="shared" si="422"/>
        <v>0</v>
      </c>
      <c r="HU18" s="137">
        <f t="shared" si="423"/>
        <v>0</v>
      </c>
      <c r="HV18" s="227">
        <f t="shared" si="403"/>
        <v>0</v>
      </c>
      <c r="HW18" s="138">
        <f t="shared" si="425"/>
        <v>0</v>
      </c>
      <c r="HX18" s="110">
        <f t="shared" si="426"/>
        <v>0</v>
      </c>
      <c r="HY18" s="110"/>
      <c r="HZ18" s="139"/>
      <c r="IA18" s="140">
        <f t="shared" si="427"/>
        <v>0</v>
      </c>
      <c r="IB18" s="144">
        <f>'прил № 3 (01.01.23)'!SA1324</f>
        <v>2</v>
      </c>
      <c r="IC18" s="225">
        <f t="shared" si="428"/>
        <v>3.65E-3</v>
      </c>
      <c r="ID18" s="226">
        <f t="shared" si="429"/>
        <v>0</v>
      </c>
      <c r="IE18" s="137">
        <f t="shared" si="430"/>
        <v>0</v>
      </c>
      <c r="IF18" s="227">
        <f t="shared" si="431"/>
        <v>0</v>
      </c>
      <c r="IG18" s="138">
        <f t="shared" si="432"/>
        <v>0</v>
      </c>
      <c r="IH18" s="110">
        <f t="shared" si="433"/>
        <v>0</v>
      </c>
      <c r="II18" s="110"/>
      <c r="IJ18" s="139"/>
      <c r="IK18" s="140">
        <f t="shared" si="434"/>
        <v>0</v>
      </c>
      <c r="IL18" s="144">
        <f>'прил № 3 (01.01.23)'!SV1324</f>
        <v>0</v>
      </c>
      <c r="IM18" s="225">
        <f t="shared" si="435"/>
        <v>0</v>
      </c>
      <c r="IN18" s="226">
        <f t="shared" si="436"/>
        <v>0</v>
      </c>
      <c r="IO18" s="137">
        <f t="shared" si="437"/>
        <v>0</v>
      </c>
      <c r="IP18" s="227">
        <f t="shared" si="431"/>
        <v>0</v>
      </c>
      <c r="IQ18" s="138">
        <f t="shared" si="439"/>
        <v>0</v>
      </c>
      <c r="IR18" s="110">
        <f t="shared" si="440"/>
        <v>0</v>
      </c>
      <c r="IS18" s="110"/>
      <c r="IT18" s="139"/>
      <c r="IU18" s="140">
        <f t="shared" si="441"/>
        <v>0</v>
      </c>
      <c r="IV18" s="144">
        <f>'прил № 3 (01.01.23)'!TQ1324</f>
        <v>14</v>
      </c>
      <c r="IW18" s="225">
        <f t="shared" si="442"/>
        <v>1.8159999999999999E-2</v>
      </c>
      <c r="IX18" s="226">
        <f t="shared" si="443"/>
        <v>0</v>
      </c>
      <c r="IY18" s="137">
        <f t="shared" si="444"/>
        <v>0</v>
      </c>
      <c r="IZ18" s="227">
        <f t="shared" si="431"/>
        <v>0</v>
      </c>
      <c r="JA18" s="138">
        <f t="shared" si="446"/>
        <v>0</v>
      </c>
      <c r="JB18" s="110">
        <f t="shared" si="447"/>
        <v>0</v>
      </c>
      <c r="JC18" s="110"/>
      <c r="JD18" s="139"/>
      <c r="JE18" s="140">
        <f t="shared" si="448"/>
        <v>0</v>
      </c>
      <c r="JF18" s="144">
        <f>'прил № 3 (01.01.23)'!UL1324</f>
        <v>3</v>
      </c>
      <c r="JG18" s="225">
        <f t="shared" si="449"/>
        <v>2.2399999999999998E-3</v>
      </c>
      <c r="JH18" s="226">
        <f t="shared" si="450"/>
        <v>0</v>
      </c>
      <c r="JI18" s="137">
        <f t="shared" si="451"/>
        <v>0</v>
      </c>
      <c r="JJ18" s="227">
        <f t="shared" si="431"/>
        <v>0</v>
      </c>
      <c r="JK18" s="138">
        <f t="shared" si="453"/>
        <v>0</v>
      </c>
      <c r="JL18" s="110">
        <f t="shared" si="454"/>
        <v>0</v>
      </c>
      <c r="JM18" s="110"/>
      <c r="JN18" s="139"/>
      <c r="JO18" s="140">
        <f t="shared" si="455"/>
        <v>0</v>
      </c>
      <c r="JP18" s="144">
        <f>'прил № 3 (01.01.23)'!VG1324</f>
        <v>2</v>
      </c>
      <c r="JQ18" s="225">
        <f t="shared" si="456"/>
        <v>1.6000000000000001E-3</v>
      </c>
      <c r="JR18" s="226">
        <f t="shared" si="457"/>
        <v>0</v>
      </c>
      <c r="JS18" s="137">
        <f t="shared" si="458"/>
        <v>0</v>
      </c>
      <c r="JT18" s="227">
        <f t="shared" si="459"/>
        <v>0</v>
      </c>
      <c r="JU18" s="138">
        <f t="shared" si="460"/>
        <v>0</v>
      </c>
      <c r="JV18" s="110">
        <f t="shared" si="461"/>
        <v>0</v>
      </c>
      <c r="JW18" s="110"/>
      <c r="JX18" s="139"/>
      <c r="JY18" s="140">
        <f t="shared" si="462"/>
        <v>0</v>
      </c>
      <c r="JZ18" s="144">
        <f>'прил № 3 (01.01.23)'!WB1324</f>
        <v>0</v>
      </c>
      <c r="KA18" s="225">
        <f t="shared" si="463"/>
        <v>0</v>
      </c>
      <c r="KB18" s="226">
        <f t="shared" si="464"/>
        <v>0</v>
      </c>
      <c r="KC18" s="137">
        <f t="shared" si="465"/>
        <v>0</v>
      </c>
      <c r="KD18" s="227">
        <f t="shared" si="459"/>
        <v>0</v>
      </c>
      <c r="KE18" s="138">
        <f t="shared" si="467"/>
        <v>0</v>
      </c>
      <c r="KF18" s="110">
        <f t="shared" si="468"/>
        <v>0</v>
      </c>
      <c r="KG18" s="110"/>
      <c r="KH18" s="139"/>
      <c r="KI18" s="140">
        <f t="shared" si="469"/>
        <v>0</v>
      </c>
      <c r="KJ18" s="144">
        <f>'прил № 3 (01.01.23)'!WW1324</f>
        <v>0</v>
      </c>
      <c r="KK18" s="225">
        <f t="shared" si="470"/>
        <v>0</v>
      </c>
      <c r="KL18" s="226">
        <f t="shared" si="471"/>
        <v>0</v>
      </c>
      <c r="KM18" s="137">
        <f t="shared" si="472"/>
        <v>0</v>
      </c>
      <c r="KN18" s="227">
        <f t="shared" si="459"/>
        <v>0</v>
      </c>
      <c r="KO18" s="138">
        <f t="shared" si="474"/>
        <v>0</v>
      </c>
      <c r="KP18" s="110">
        <f t="shared" si="475"/>
        <v>0</v>
      </c>
      <c r="KQ18" s="110"/>
      <c r="KR18" s="139"/>
      <c r="KS18" s="140">
        <f t="shared" si="476"/>
        <v>0</v>
      </c>
      <c r="KT18" s="144">
        <f>'прил № 3 (01.01.23)'!XR1324</f>
        <v>2</v>
      </c>
      <c r="KU18" s="225">
        <f t="shared" si="477"/>
        <v>1.7799999999999999E-3</v>
      </c>
      <c r="KV18" s="226">
        <f t="shared" si="478"/>
        <v>0</v>
      </c>
      <c r="KW18" s="137">
        <f t="shared" si="479"/>
        <v>0</v>
      </c>
      <c r="KX18" s="227">
        <f t="shared" si="459"/>
        <v>0</v>
      </c>
      <c r="KY18" s="138">
        <f t="shared" si="481"/>
        <v>0</v>
      </c>
      <c r="KZ18" s="110">
        <f t="shared" si="482"/>
        <v>0</v>
      </c>
      <c r="LA18" s="110"/>
      <c r="LB18" s="139"/>
      <c r="LC18" s="140">
        <f t="shared" si="483"/>
        <v>0</v>
      </c>
      <c r="LD18" s="197">
        <f t="shared" si="484"/>
        <v>40</v>
      </c>
      <c r="LE18" s="225">
        <f t="shared" si="485"/>
        <v>1.4E-3</v>
      </c>
      <c r="LF18" s="226">
        <f t="shared" si="486"/>
        <v>330.82</v>
      </c>
      <c r="LG18" s="137">
        <f t="shared" si="487"/>
        <v>8.2705000000000002</v>
      </c>
      <c r="LH18" s="227">
        <f t="shared" si="488"/>
        <v>9.92</v>
      </c>
      <c r="LI18" s="138">
        <f t="shared" si="489"/>
        <v>82.043360000000007</v>
      </c>
      <c r="LJ18" s="110">
        <f t="shared" si="490"/>
        <v>3281.73</v>
      </c>
      <c r="LK18" s="110"/>
      <c r="LL18" s="139"/>
    </row>
    <row r="19" spans="1:324" ht="24" hidden="1" x14ac:dyDescent="0.25">
      <c r="A19" s="246"/>
      <c r="B19" s="92" t="s">
        <v>608</v>
      </c>
      <c r="C19" s="12" t="s">
        <v>729</v>
      </c>
      <c r="D19" s="12" t="s">
        <v>429</v>
      </c>
      <c r="E19" s="4" t="s">
        <v>32</v>
      </c>
      <c r="F19" s="144">
        <f>'прил № 3 (01.01.23)'!L1325</f>
        <v>0</v>
      </c>
      <c r="G19" s="225">
        <f t="shared" si="491"/>
        <v>0</v>
      </c>
      <c r="H19" s="226">
        <f t="shared" si="492"/>
        <v>0</v>
      </c>
      <c r="I19" s="137">
        <f t="shared" si="270"/>
        <v>0</v>
      </c>
      <c r="J19" s="227">
        <f t="shared" si="493"/>
        <v>0</v>
      </c>
      <c r="K19" s="138">
        <f t="shared" si="271"/>
        <v>0</v>
      </c>
      <c r="L19" s="110">
        <f t="shared" si="272"/>
        <v>0</v>
      </c>
      <c r="M19" s="110"/>
      <c r="N19" s="139"/>
      <c r="O19" s="140" t="e">
        <f t="shared" si="273"/>
        <v>#DIV/0!</v>
      </c>
      <c r="P19" s="144">
        <f>'прил № 3 (01.01.23)'!AG1325</f>
        <v>0</v>
      </c>
      <c r="Q19" s="225">
        <f t="shared" si="274"/>
        <v>0</v>
      </c>
      <c r="R19" s="226">
        <f t="shared" si="275"/>
        <v>0</v>
      </c>
      <c r="S19" s="137">
        <f t="shared" si="276"/>
        <v>0</v>
      </c>
      <c r="T19" s="227">
        <f t="shared" si="277"/>
        <v>0</v>
      </c>
      <c r="U19" s="138">
        <f t="shared" si="278"/>
        <v>0</v>
      </c>
      <c r="V19" s="110">
        <f t="shared" si="279"/>
        <v>0</v>
      </c>
      <c r="W19" s="110"/>
      <c r="X19" s="139"/>
      <c r="Y19" s="140" t="e">
        <f t="shared" si="280"/>
        <v>#DIV/0!</v>
      </c>
      <c r="Z19" s="144">
        <f>'прил № 3 (01.01.23)'!BB1325</f>
        <v>0</v>
      </c>
      <c r="AA19" s="225">
        <f t="shared" si="281"/>
        <v>0</v>
      </c>
      <c r="AB19" s="226">
        <f t="shared" si="282"/>
        <v>0</v>
      </c>
      <c r="AC19" s="137">
        <f t="shared" si="283"/>
        <v>0</v>
      </c>
      <c r="AD19" s="227">
        <f t="shared" si="277"/>
        <v>0</v>
      </c>
      <c r="AE19" s="138">
        <f t="shared" si="285"/>
        <v>0</v>
      </c>
      <c r="AF19" s="110">
        <f t="shared" si="286"/>
        <v>0</v>
      </c>
      <c r="AG19" s="110"/>
      <c r="AH19" s="139"/>
      <c r="AI19" s="140" t="e">
        <f t="shared" si="287"/>
        <v>#DIV/0!</v>
      </c>
      <c r="AJ19" s="144">
        <f>'прил № 3 (01.01.23)'!BW1325</f>
        <v>0</v>
      </c>
      <c r="AK19" s="225">
        <f t="shared" si="288"/>
        <v>0</v>
      </c>
      <c r="AL19" s="226">
        <f t="shared" si="289"/>
        <v>0</v>
      </c>
      <c r="AM19" s="137">
        <f t="shared" si="290"/>
        <v>0</v>
      </c>
      <c r="AN19" s="227">
        <f t="shared" si="277"/>
        <v>0</v>
      </c>
      <c r="AO19" s="138">
        <f t="shared" si="292"/>
        <v>0</v>
      </c>
      <c r="AP19" s="110">
        <f t="shared" si="293"/>
        <v>0</v>
      </c>
      <c r="AQ19" s="110"/>
      <c r="AR19" s="139"/>
      <c r="AS19" s="140" t="e">
        <f t="shared" si="294"/>
        <v>#DIV/0!</v>
      </c>
      <c r="AT19" s="144">
        <f>'прил № 3 (01.01.23)'!CR1325</f>
        <v>0</v>
      </c>
      <c r="AU19" s="225">
        <f t="shared" si="295"/>
        <v>0</v>
      </c>
      <c r="AV19" s="226">
        <f t="shared" si="296"/>
        <v>0</v>
      </c>
      <c r="AW19" s="137">
        <f t="shared" si="297"/>
        <v>0</v>
      </c>
      <c r="AX19" s="227">
        <f t="shared" si="277"/>
        <v>0</v>
      </c>
      <c r="AY19" s="138">
        <f t="shared" si="299"/>
        <v>0</v>
      </c>
      <c r="AZ19" s="110">
        <f t="shared" si="300"/>
        <v>0</v>
      </c>
      <c r="BA19" s="110"/>
      <c r="BB19" s="139"/>
      <c r="BC19" s="140" t="e">
        <f t="shared" si="301"/>
        <v>#DIV/0!</v>
      </c>
      <c r="BD19" s="144">
        <f>'прил № 3 (01.01.23)'!DM1325</f>
        <v>0</v>
      </c>
      <c r="BE19" s="225">
        <f t="shared" si="302"/>
        <v>0</v>
      </c>
      <c r="BF19" s="226">
        <f t="shared" si="303"/>
        <v>0</v>
      </c>
      <c r="BG19" s="137">
        <f t="shared" si="304"/>
        <v>0</v>
      </c>
      <c r="BH19" s="227">
        <f t="shared" si="277"/>
        <v>0</v>
      </c>
      <c r="BI19" s="138">
        <f t="shared" si="306"/>
        <v>0</v>
      </c>
      <c r="BJ19" s="110">
        <f t="shared" si="307"/>
        <v>0</v>
      </c>
      <c r="BK19" s="110"/>
      <c r="BL19" s="139"/>
      <c r="BM19" s="140" t="e">
        <f t="shared" si="308"/>
        <v>#DIV/0!</v>
      </c>
      <c r="BN19" s="144">
        <f>'прил № 3 (01.01.23)'!EH1325</f>
        <v>0</v>
      </c>
      <c r="BO19" s="225">
        <f t="shared" si="309"/>
        <v>0</v>
      </c>
      <c r="BP19" s="226">
        <f t="shared" si="310"/>
        <v>0</v>
      </c>
      <c r="BQ19" s="137">
        <f t="shared" si="311"/>
        <v>0</v>
      </c>
      <c r="BR19" s="227">
        <f t="shared" si="277"/>
        <v>0</v>
      </c>
      <c r="BS19" s="138">
        <f t="shared" si="313"/>
        <v>0</v>
      </c>
      <c r="BT19" s="110">
        <f t="shared" si="314"/>
        <v>0</v>
      </c>
      <c r="BU19" s="110"/>
      <c r="BV19" s="139"/>
      <c r="BW19" s="140" t="e">
        <f t="shared" si="315"/>
        <v>#DIV/0!</v>
      </c>
      <c r="BX19" s="144">
        <f>'прил № 3 (01.01.23)'!FC1325</f>
        <v>0</v>
      </c>
      <c r="BY19" s="225">
        <f t="shared" si="316"/>
        <v>0</v>
      </c>
      <c r="BZ19" s="226">
        <f t="shared" si="317"/>
        <v>0</v>
      </c>
      <c r="CA19" s="137">
        <f t="shared" si="318"/>
        <v>0</v>
      </c>
      <c r="CB19" s="227">
        <f t="shared" si="277"/>
        <v>0</v>
      </c>
      <c r="CC19" s="138">
        <f t="shared" si="320"/>
        <v>0</v>
      </c>
      <c r="CD19" s="110">
        <f t="shared" si="321"/>
        <v>0</v>
      </c>
      <c r="CE19" s="110"/>
      <c r="CF19" s="139"/>
      <c r="CG19" s="140" t="e">
        <f t="shared" si="322"/>
        <v>#DIV/0!</v>
      </c>
      <c r="CH19" s="144">
        <f>'прил № 3 (01.01.23)'!FX1325</f>
        <v>0</v>
      </c>
      <c r="CI19" s="225">
        <f t="shared" si="323"/>
        <v>0</v>
      </c>
      <c r="CJ19" s="226">
        <f t="shared" si="324"/>
        <v>0</v>
      </c>
      <c r="CK19" s="137">
        <f t="shared" si="325"/>
        <v>0</v>
      </c>
      <c r="CL19" s="227">
        <f t="shared" si="326"/>
        <v>0</v>
      </c>
      <c r="CM19" s="138">
        <f t="shared" si="327"/>
        <v>0</v>
      </c>
      <c r="CN19" s="110">
        <f t="shared" si="328"/>
        <v>0</v>
      </c>
      <c r="CO19" s="110"/>
      <c r="CP19" s="139"/>
      <c r="CQ19" s="140" t="e">
        <f t="shared" si="329"/>
        <v>#DIV/0!</v>
      </c>
      <c r="CR19" s="144">
        <f>'прил № 3 (01.01.23)'!GS1325</f>
        <v>0</v>
      </c>
      <c r="CS19" s="225">
        <f t="shared" si="330"/>
        <v>0</v>
      </c>
      <c r="CT19" s="226">
        <f t="shared" si="331"/>
        <v>0</v>
      </c>
      <c r="CU19" s="137">
        <f t="shared" si="332"/>
        <v>0</v>
      </c>
      <c r="CV19" s="227">
        <f t="shared" si="326"/>
        <v>0</v>
      </c>
      <c r="CW19" s="138">
        <f t="shared" si="334"/>
        <v>0</v>
      </c>
      <c r="CX19" s="110">
        <f t="shared" si="335"/>
        <v>0</v>
      </c>
      <c r="CY19" s="110"/>
      <c r="CZ19" s="139"/>
      <c r="DA19" s="140" t="e">
        <f t="shared" si="336"/>
        <v>#DIV/0!</v>
      </c>
      <c r="DB19" s="144">
        <f>'прил № 3 (01.01.23)'!HN1325</f>
        <v>0</v>
      </c>
      <c r="DC19" s="225">
        <f t="shared" si="337"/>
        <v>0</v>
      </c>
      <c r="DD19" s="226">
        <f t="shared" si="338"/>
        <v>0</v>
      </c>
      <c r="DE19" s="137">
        <f t="shared" si="339"/>
        <v>0</v>
      </c>
      <c r="DF19" s="227">
        <f t="shared" si="326"/>
        <v>0</v>
      </c>
      <c r="DG19" s="138">
        <f t="shared" si="341"/>
        <v>0</v>
      </c>
      <c r="DH19" s="110">
        <f t="shared" si="342"/>
        <v>0</v>
      </c>
      <c r="DI19" s="110"/>
      <c r="DJ19" s="139"/>
      <c r="DK19" s="140" t="e">
        <f t="shared" si="343"/>
        <v>#DIV/0!</v>
      </c>
      <c r="DL19" s="144">
        <f>'прил № 3 (01.01.23)'!II1325</f>
        <v>0</v>
      </c>
      <c r="DM19" s="225">
        <f t="shared" si="344"/>
        <v>0</v>
      </c>
      <c r="DN19" s="226">
        <f t="shared" si="345"/>
        <v>0</v>
      </c>
      <c r="DO19" s="137">
        <f t="shared" si="346"/>
        <v>0</v>
      </c>
      <c r="DP19" s="227">
        <f t="shared" si="326"/>
        <v>0</v>
      </c>
      <c r="DQ19" s="138">
        <f t="shared" si="348"/>
        <v>0</v>
      </c>
      <c r="DR19" s="110">
        <f t="shared" si="349"/>
        <v>0</v>
      </c>
      <c r="DS19" s="110"/>
      <c r="DT19" s="139"/>
      <c r="DU19" s="140" t="e">
        <f t="shared" si="350"/>
        <v>#DIV/0!</v>
      </c>
      <c r="DV19" s="144">
        <f>'прил № 3 (01.01.23)'!JD1325</f>
        <v>0</v>
      </c>
      <c r="DW19" s="225">
        <f t="shared" si="351"/>
        <v>0</v>
      </c>
      <c r="DX19" s="226">
        <f t="shared" si="352"/>
        <v>0</v>
      </c>
      <c r="DY19" s="137">
        <f t="shared" si="353"/>
        <v>0</v>
      </c>
      <c r="DZ19" s="227">
        <f t="shared" si="326"/>
        <v>0</v>
      </c>
      <c r="EA19" s="138">
        <f t="shared" si="355"/>
        <v>0</v>
      </c>
      <c r="EB19" s="110">
        <f t="shared" si="356"/>
        <v>0</v>
      </c>
      <c r="EC19" s="110"/>
      <c r="ED19" s="139"/>
      <c r="EE19" s="140" t="e">
        <f t="shared" si="357"/>
        <v>#DIV/0!</v>
      </c>
      <c r="EF19" s="144">
        <f>'прил № 3 (01.01.23)'!JY1325</f>
        <v>0</v>
      </c>
      <c r="EG19" s="225">
        <f t="shared" si="358"/>
        <v>0</v>
      </c>
      <c r="EH19" s="226">
        <f t="shared" si="359"/>
        <v>0</v>
      </c>
      <c r="EI19" s="137">
        <f t="shared" si="360"/>
        <v>0</v>
      </c>
      <c r="EJ19" s="227">
        <f t="shared" si="326"/>
        <v>0</v>
      </c>
      <c r="EK19" s="138">
        <f t="shared" si="362"/>
        <v>0</v>
      </c>
      <c r="EL19" s="110">
        <f t="shared" si="363"/>
        <v>0</v>
      </c>
      <c r="EM19" s="110"/>
      <c r="EN19" s="139"/>
      <c r="EO19" s="140" t="e">
        <f t="shared" si="364"/>
        <v>#DIV/0!</v>
      </c>
      <c r="EP19" s="144">
        <f>'прил № 3 (01.01.23)'!KT1325</f>
        <v>0</v>
      </c>
      <c r="EQ19" s="225">
        <f t="shared" si="365"/>
        <v>0</v>
      </c>
      <c r="ER19" s="226">
        <f t="shared" si="366"/>
        <v>0</v>
      </c>
      <c r="ES19" s="137">
        <f t="shared" si="367"/>
        <v>0</v>
      </c>
      <c r="ET19" s="227">
        <f t="shared" si="326"/>
        <v>0</v>
      </c>
      <c r="EU19" s="138">
        <f t="shared" si="369"/>
        <v>0</v>
      </c>
      <c r="EV19" s="110">
        <f t="shared" si="370"/>
        <v>0</v>
      </c>
      <c r="EW19" s="110"/>
      <c r="EX19" s="139"/>
      <c r="EY19" s="140" t="e">
        <f t="shared" si="371"/>
        <v>#DIV/0!</v>
      </c>
      <c r="EZ19" s="144">
        <f>'прил № 3 (01.01.23)'!LO1325</f>
        <v>0</v>
      </c>
      <c r="FA19" s="225">
        <f t="shared" si="372"/>
        <v>0</v>
      </c>
      <c r="FB19" s="226">
        <f t="shared" si="373"/>
        <v>0</v>
      </c>
      <c r="FC19" s="137">
        <f t="shared" si="374"/>
        <v>0</v>
      </c>
      <c r="FD19" s="227">
        <f t="shared" si="375"/>
        <v>9.92</v>
      </c>
      <c r="FE19" s="138">
        <f t="shared" si="376"/>
        <v>0</v>
      </c>
      <c r="FF19" s="110">
        <f t="shared" si="377"/>
        <v>0</v>
      </c>
      <c r="FG19" s="110"/>
      <c r="FH19" s="139"/>
      <c r="FI19" s="140" t="e">
        <f t="shared" si="378"/>
        <v>#DIV/0!</v>
      </c>
      <c r="FJ19" s="144">
        <f>'прил № 3 (01.01.23)'!MJ1325</f>
        <v>0</v>
      </c>
      <c r="FK19" s="225">
        <f t="shared" si="379"/>
        <v>0</v>
      </c>
      <c r="FL19" s="226">
        <f t="shared" si="380"/>
        <v>0</v>
      </c>
      <c r="FM19" s="137">
        <f t="shared" si="381"/>
        <v>0</v>
      </c>
      <c r="FN19" s="227">
        <f t="shared" si="375"/>
        <v>0</v>
      </c>
      <c r="FO19" s="138">
        <f t="shared" si="383"/>
        <v>0</v>
      </c>
      <c r="FP19" s="110">
        <f t="shared" si="384"/>
        <v>0</v>
      </c>
      <c r="FQ19" s="110"/>
      <c r="FR19" s="139"/>
      <c r="FS19" s="140" t="e">
        <f t="shared" si="385"/>
        <v>#DIV/0!</v>
      </c>
      <c r="FT19" s="144">
        <f>'прил № 3 (01.01.23)'!NE1325</f>
        <v>0</v>
      </c>
      <c r="FU19" s="225">
        <f t="shared" si="386"/>
        <v>0</v>
      </c>
      <c r="FV19" s="226">
        <f t="shared" si="387"/>
        <v>0</v>
      </c>
      <c r="FW19" s="137">
        <f t="shared" si="388"/>
        <v>0</v>
      </c>
      <c r="FX19" s="227">
        <f t="shared" si="375"/>
        <v>0</v>
      </c>
      <c r="FY19" s="138">
        <f t="shared" si="390"/>
        <v>0</v>
      </c>
      <c r="FZ19" s="110">
        <f t="shared" si="391"/>
        <v>0</v>
      </c>
      <c r="GA19" s="110"/>
      <c r="GB19" s="139"/>
      <c r="GC19" s="140" t="e">
        <f t="shared" si="392"/>
        <v>#DIV/0!</v>
      </c>
      <c r="GD19" s="144">
        <f>'прил № 3 (01.01.23)'!NZ1325</f>
        <v>0</v>
      </c>
      <c r="GE19" s="225">
        <f t="shared" si="393"/>
        <v>0</v>
      </c>
      <c r="GF19" s="226">
        <f t="shared" si="394"/>
        <v>0</v>
      </c>
      <c r="GG19" s="137">
        <f t="shared" si="395"/>
        <v>0</v>
      </c>
      <c r="GH19" s="227">
        <f t="shared" si="375"/>
        <v>9.92</v>
      </c>
      <c r="GI19" s="138">
        <f t="shared" si="397"/>
        <v>0</v>
      </c>
      <c r="GJ19" s="110">
        <f t="shared" si="398"/>
        <v>0</v>
      </c>
      <c r="GK19" s="110"/>
      <c r="GL19" s="139"/>
      <c r="GM19" s="140" t="e">
        <f t="shared" si="399"/>
        <v>#DIV/0!</v>
      </c>
      <c r="GN19" s="144">
        <f>'прил № 3 (01.01.23)'!OU1325</f>
        <v>0</v>
      </c>
      <c r="GO19" s="225">
        <f t="shared" si="400"/>
        <v>0</v>
      </c>
      <c r="GP19" s="226">
        <f t="shared" si="401"/>
        <v>0</v>
      </c>
      <c r="GQ19" s="137">
        <f t="shared" si="402"/>
        <v>0</v>
      </c>
      <c r="GR19" s="227">
        <f t="shared" si="403"/>
        <v>0</v>
      </c>
      <c r="GS19" s="138">
        <f t="shared" si="404"/>
        <v>0</v>
      </c>
      <c r="GT19" s="110">
        <f t="shared" si="405"/>
        <v>0</v>
      </c>
      <c r="GU19" s="110"/>
      <c r="GV19" s="139"/>
      <c r="GW19" s="140" t="e">
        <f t="shared" si="406"/>
        <v>#DIV/0!</v>
      </c>
      <c r="GX19" s="144">
        <f>'прил № 3 (01.01.23)'!PP1325</f>
        <v>0</v>
      </c>
      <c r="GY19" s="225">
        <f t="shared" si="407"/>
        <v>0</v>
      </c>
      <c r="GZ19" s="226">
        <f t="shared" si="408"/>
        <v>0</v>
      </c>
      <c r="HA19" s="137">
        <f t="shared" si="409"/>
        <v>0</v>
      </c>
      <c r="HB19" s="227">
        <f t="shared" si="403"/>
        <v>9.92</v>
      </c>
      <c r="HC19" s="138">
        <f t="shared" si="411"/>
        <v>0</v>
      </c>
      <c r="HD19" s="110">
        <f t="shared" si="412"/>
        <v>0</v>
      </c>
      <c r="HE19" s="110"/>
      <c r="HF19" s="139"/>
      <c r="HG19" s="140" t="e">
        <f t="shared" si="413"/>
        <v>#DIV/0!</v>
      </c>
      <c r="HH19" s="144">
        <f>'прил № 3 (01.01.23)'!QK1325</f>
        <v>0</v>
      </c>
      <c r="HI19" s="225">
        <f t="shared" si="414"/>
        <v>0</v>
      </c>
      <c r="HJ19" s="226">
        <f t="shared" si="415"/>
        <v>0</v>
      </c>
      <c r="HK19" s="137">
        <f t="shared" si="416"/>
        <v>0</v>
      </c>
      <c r="HL19" s="227">
        <f t="shared" si="403"/>
        <v>0</v>
      </c>
      <c r="HM19" s="138">
        <f t="shared" si="418"/>
        <v>0</v>
      </c>
      <c r="HN19" s="110">
        <f t="shared" si="419"/>
        <v>0</v>
      </c>
      <c r="HO19" s="110"/>
      <c r="HP19" s="139"/>
      <c r="HQ19" s="140" t="e">
        <f t="shared" si="420"/>
        <v>#DIV/0!</v>
      </c>
      <c r="HR19" s="144">
        <f>'прил № 3 (01.01.23)'!RF1325</f>
        <v>0</v>
      </c>
      <c r="HS19" s="225">
        <f t="shared" si="421"/>
        <v>0</v>
      </c>
      <c r="HT19" s="226">
        <f t="shared" si="422"/>
        <v>0</v>
      </c>
      <c r="HU19" s="137">
        <f t="shared" si="423"/>
        <v>0</v>
      </c>
      <c r="HV19" s="227">
        <f t="shared" si="403"/>
        <v>0</v>
      </c>
      <c r="HW19" s="138">
        <f t="shared" si="425"/>
        <v>0</v>
      </c>
      <c r="HX19" s="110">
        <f t="shared" si="426"/>
        <v>0</v>
      </c>
      <c r="HY19" s="110"/>
      <c r="HZ19" s="139"/>
      <c r="IA19" s="140" t="e">
        <f t="shared" si="427"/>
        <v>#DIV/0!</v>
      </c>
      <c r="IB19" s="144">
        <f>'прил № 3 (01.01.23)'!SA1325</f>
        <v>0</v>
      </c>
      <c r="IC19" s="225">
        <f t="shared" si="428"/>
        <v>0</v>
      </c>
      <c r="ID19" s="226">
        <f t="shared" si="429"/>
        <v>0</v>
      </c>
      <c r="IE19" s="137">
        <f t="shared" si="430"/>
        <v>0</v>
      </c>
      <c r="IF19" s="227">
        <f t="shared" si="431"/>
        <v>0</v>
      </c>
      <c r="IG19" s="138">
        <f t="shared" si="432"/>
        <v>0</v>
      </c>
      <c r="IH19" s="110">
        <f t="shared" si="433"/>
        <v>0</v>
      </c>
      <c r="II19" s="110"/>
      <c r="IJ19" s="139"/>
      <c r="IK19" s="140" t="e">
        <f t="shared" si="434"/>
        <v>#DIV/0!</v>
      </c>
      <c r="IL19" s="144">
        <f>'прил № 3 (01.01.23)'!SV1325</f>
        <v>0</v>
      </c>
      <c r="IM19" s="225">
        <f t="shared" si="435"/>
        <v>0</v>
      </c>
      <c r="IN19" s="226">
        <f t="shared" si="436"/>
        <v>0</v>
      </c>
      <c r="IO19" s="137">
        <f t="shared" si="437"/>
        <v>0</v>
      </c>
      <c r="IP19" s="227">
        <f t="shared" si="431"/>
        <v>0</v>
      </c>
      <c r="IQ19" s="138">
        <f t="shared" si="439"/>
        <v>0</v>
      </c>
      <c r="IR19" s="110">
        <f t="shared" si="440"/>
        <v>0</v>
      </c>
      <c r="IS19" s="110"/>
      <c r="IT19" s="139"/>
      <c r="IU19" s="140" t="e">
        <f t="shared" si="441"/>
        <v>#DIV/0!</v>
      </c>
      <c r="IV19" s="144">
        <f>'прил № 3 (01.01.23)'!TQ1325</f>
        <v>0</v>
      </c>
      <c r="IW19" s="225">
        <f t="shared" si="442"/>
        <v>0</v>
      </c>
      <c r="IX19" s="226">
        <f t="shared" si="443"/>
        <v>0</v>
      </c>
      <c r="IY19" s="137">
        <f t="shared" si="444"/>
        <v>0</v>
      </c>
      <c r="IZ19" s="227">
        <f t="shared" si="431"/>
        <v>0</v>
      </c>
      <c r="JA19" s="138">
        <f t="shared" si="446"/>
        <v>0</v>
      </c>
      <c r="JB19" s="110">
        <f t="shared" si="447"/>
        <v>0</v>
      </c>
      <c r="JC19" s="110"/>
      <c r="JD19" s="139"/>
      <c r="JE19" s="140" t="e">
        <f t="shared" si="448"/>
        <v>#DIV/0!</v>
      </c>
      <c r="JF19" s="144">
        <f>'прил № 3 (01.01.23)'!UL1325</f>
        <v>0</v>
      </c>
      <c r="JG19" s="225">
        <f t="shared" si="449"/>
        <v>0</v>
      </c>
      <c r="JH19" s="226">
        <f t="shared" si="450"/>
        <v>0</v>
      </c>
      <c r="JI19" s="137">
        <f t="shared" si="451"/>
        <v>0</v>
      </c>
      <c r="JJ19" s="227">
        <f t="shared" si="431"/>
        <v>0</v>
      </c>
      <c r="JK19" s="138">
        <f t="shared" si="453"/>
        <v>0</v>
      </c>
      <c r="JL19" s="110">
        <f t="shared" si="454"/>
        <v>0</v>
      </c>
      <c r="JM19" s="110"/>
      <c r="JN19" s="139"/>
      <c r="JO19" s="140" t="e">
        <f t="shared" si="455"/>
        <v>#DIV/0!</v>
      </c>
      <c r="JP19" s="144">
        <f>'прил № 3 (01.01.23)'!VG1325</f>
        <v>0</v>
      </c>
      <c r="JQ19" s="225">
        <f t="shared" si="456"/>
        <v>0</v>
      </c>
      <c r="JR19" s="226">
        <f t="shared" si="457"/>
        <v>0</v>
      </c>
      <c r="JS19" s="137">
        <f t="shared" si="458"/>
        <v>0</v>
      </c>
      <c r="JT19" s="227">
        <f t="shared" si="459"/>
        <v>0</v>
      </c>
      <c r="JU19" s="138">
        <f t="shared" si="460"/>
        <v>0</v>
      </c>
      <c r="JV19" s="110">
        <f t="shared" si="461"/>
        <v>0</v>
      </c>
      <c r="JW19" s="110"/>
      <c r="JX19" s="139"/>
      <c r="JY19" s="140" t="e">
        <f t="shared" si="462"/>
        <v>#DIV/0!</v>
      </c>
      <c r="JZ19" s="144">
        <f>'прил № 3 (01.01.23)'!WB1325</f>
        <v>0</v>
      </c>
      <c r="KA19" s="225">
        <f t="shared" si="463"/>
        <v>0</v>
      </c>
      <c r="KB19" s="226">
        <f t="shared" si="464"/>
        <v>0</v>
      </c>
      <c r="KC19" s="137">
        <f t="shared" si="465"/>
        <v>0</v>
      </c>
      <c r="KD19" s="227">
        <f t="shared" si="459"/>
        <v>0</v>
      </c>
      <c r="KE19" s="138">
        <f t="shared" si="467"/>
        <v>0</v>
      </c>
      <c r="KF19" s="110">
        <f t="shared" si="468"/>
        <v>0</v>
      </c>
      <c r="KG19" s="110"/>
      <c r="KH19" s="139"/>
      <c r="KI19" s="140" t="e">
        <f t="shared" si="469"/>
        <v>#DIV/0!</v>
      </c>
      <c r="KJ19" s="144">
        <f>'прил № 3 (01.01.23)'!WW1325</f>
        <v>0</v>
      </c>
      <c r="KK19" s="225">
        <f t="shared" si="470"/>
        <v>0</v>
      </c>
      <c r="KL19" s="226">
        <f t="shared" si="471"/>
        <v>0</v>
      </c>
      <c r="KM19" s="137">
        <f t="shared" si="472"/>
        <v>0</v>
      </c>
      <c r="KN19" s="227">
        <f t="shared" si="459"/>
        <v>0</v>
      </c>
      <c r="KO19" s="138">
        <f t="shared" si="474"/>
        <v>0</v>
      </c>
      <c r="KP19" s="110">
        <f t="shared" si="475"/>
        <v>0</v>
      </c>
      <c r="KQ19" s="110"/>
      <c r="KR19" s="139"/>
      <c r="KS19" s="140" t="e">
        <f t="shared" si="476"/>
        <v>#DIV/0!</v>
      </c>
      <c r="KT19" s="144">
        <f>'прил № 3 (01.01.23)'!XR1325</f>
        <v>0</v>
      </c>
      <c r="KU19" s="225">
        <f t="shared" si="477"/>
        <v>0</v>
      </c>
      <c r="KV19" s="226">
        <f t="shared" si="478"/>
        <v>0</v>
      </c>
      <c r="KW19" s="137">
        <f t="shared" si="479"/>
        <v>0</v>
      </c>
      <c r="KX19" s="227">
        <f t="shared" si="459"/>
        <v>0</v>
      </c>
      <c r="KY19" s="138">
        <f t="shared" si="481"/>
        <v>0</v>
      </c>
      <c r="KZ19" s="110">
        <f t="shared" si="482"/>
        <v>0</v>
      </c>
      <c r="LA19" s="110"/>
      <c r="LB19" s="139"/>
      <c r="LC19" s="140" t="e">
        <f t="shared" si="483"/>
        <v>#DIV/0!</v>
      </c>
      <c r="LD19" s="197">
        <f t="shared" si="484"/>
        <v>0</v>
      </c>
      <c r="LE19" s="225">
        <f t="shared" si="485"/>
        <v>0</v>
      </c>
      <c r="LF19" s="226">
        <f t="shared" si="486"/>
        <v>0</v>
      </c>
      <c r="LG19" s="137">
        <f t="shared" si="487"/>
        <v>0</v>
      </c>
      <c r="LH19" s="227">
        <f t="shared" si="488"/>
        <v>9.92</v>
      </c>
      <c r="LI19" s="138">
        <f t="shared" si="489"/>
        <v>0</v>
      </c>
      <c r="LJ19" s="110">
        <f t="shared" si="490"/>
        <v>0</v>
      </c>
      <c r="LK19" s="110"/>
      <c r="LL19" s="139"/>
    </row>
    <row r="20" spans="1:324" ht="24" hidden="1" x14ac:dyDescent="0.25">
      <c r="A20" s="247"/>
      <c r="B20" s="92" t="s">
        <v>611</v>
      </c>
      <c r="C20" s="12" t="s">
        <v>730</v>
      </c>
      <c r="D20" s="12" t="s">
        <v>428</v>
      </c>
      <c r="E20" s="4" t="s">
        <v>32</v>
      </c>
      <c r="F20" s="144">
        <f>'прил № 3 (01.01.23)'!L1326</f>
        <v>0</v>
      </c>
      <c r="G20" s="225">
        <f t="shared" si="491"/>
        <v>0</v>
      </c>
      <c r="H20" s="226">
        <f t="shared" si="492"/>
        <v>0</v>
      </c>
      <c r="I20" s="137">
        <f t="shared" si="270"/>
        <v>0</v>
      </c>
      <c r="J20" s="227">
        <f t="shared" si="493"/>
        <v>0</v>
      </c>
      <c r="K20" s="138">
        <f t="shared" si="271"/>
        <v>0</v>
      </c>
      <c r="L20" s="110">
        <f t="shared" si="272"/>
        <v>0</v>
      </c>
      <c r="M20" s="110"/>
      <c r="N20" s="139"/>
      <c r="O20" s="140" t="e">
        <f t="shared" si="273"/>
        <v>#DIV/0!</v>
      </c>
      <c r="P20" s="144">
        <f>'прил № 3 (01.01.23)'!AG1326</f>
        <v>0</v>
      </c>
      <c r="Q20" s="225">
        <f t="shared" si="274"/>
        <v>0</v>
      </c>
      <c r="R20" s="226">
        <f t="shared" si="275"/>
        <v>0</v>
      </c>
      <c r="S20" s="137">
        <f t="shared" si="276"/>
        <v>0</v>
      </c>
      <c r="T20" s="227">
        <f t="shared" si="277"/>
        <v>0</v>
      </c>
      <c r="U20" s="138">
        <f t="shared" si="278"/>
        <v>0</v>
      </c>
      <c r="V20" s="110">
        <f t="shared" si="279"/>
        <v>0</v>
      </c>
      <c r="W20" s="110"/>
      <c r="X20" s="139"/>
      <c r="Y20" s="140" t="e">
        <f t="shared" si="280"/>
        <v>#DIV/0!</v>
      </c>
      <c r="Z20" s="144">
        <f>'прил № 3 (01.01.23)'!BB1326</f>
        <v>0</v>
      </c>
      <c r="AA20" s="225">
        <f t="shared" si="281"/>
        <v>0</v>
      </c>
      <c r="AB20" s="226">
        <f t="shared" si="282"/>
        <v>0</v>
      </c>
      <c r="AC20" s="137">
        <f t="shared" si="283"/>
        <v>0</v>
      </c>
      <c r="AD20" s="227">
        <f t="shared" si="277"/>
        <v>0</v>
      </c>
      <c r="AE20" s="138">
        <f t="shared" si="285"/>
        <v>0</v>
      </c>
      <c r="AF20" s="110">
        <f t="shared" si="286"/>
        <v>0</v>
      </c>
      <c r="AG20" s="110"/>
      <c r="AH20" s="139"/>
      <c r="AI20" s="140" t="e">
        <f t="shared" si="287"/>
        <v>#DIV/0!</v>
      </c>
      <c r="AJ20" s="144">
        <f>'прил № 3 (01.01.23)'!BW1326</f>
        <v>0</v>
      </c>
      <c r="AK20" s="225">
        <f t="shared" si="288"/>
        <v>0</v>
      </c>
      <c r="AL20" s="226">
        <f t="shared" si="289"/>
        <v>0</v>
      </c>
      <c r="AM20" s="137">
        <f t="shared" si="290"/>
        <v>0</v>
      </c>
      <c r="AN20" s="227">
        <f t="shared" si="277"/>
        <v>0</v>
      </c>
      <c r="AO20" s="138">
        <f t="shared" si="292"/>
        <v>0</v>
      </c>
      <c r="AP20" s="110">
        <f t="shared" si="293"/>
        <v>0</v>
      </c>
      <c r="AQ20" s="110"/>
      <c r="AR20" s="139"/>
      <c r="AS20" s="140" t="e">
        <f t="shared" si="294"/>
        <v>#DIV/0!</v>
      </c>
      <c r="AT20" s="144">
        <f>'прил № 3 (01.01.23)'!CR1326</f>
        <v>0</v>
      </c>
      <c r="AU20" s="225">
        <f t="shared" si="295"/>
        <v>0</v>
      </c>
      <c r="AV20" s="226">
        <f t="shared" si="296"/>
        <v>0</v>
      </c>
      <c r="AW20" s="137">
        <f t="shared" si="297"/>
        <v>0</v>
      </c>
      <c r="AX20" s="227">
        <f t="shared" si="277"/>
        <v>0</v>
      </c>
      <c r="AY20" s="138">
        <f t="shared" si="299"/>
        <v>0</v>
      </c>
      <c r="AZ20" s="110">
        <f t="shared" si="300"/>
        <v>0</v>
      </c>
      <c r="BA20" s="110"/>
      <c r="BB20" s="139"/>
      <c r="BC20" s="140" t="e">
        <f t="shared" si="301"/>
        <v>#DIV/0!</v>
      </c>
      <c r="BD20" s="144">
        <f>'прил № 3 (01.01.23)'!DM1326</f>
        <v>0</v>
      </c>
      <c r="BE20" s="225">
        <f t="shared" si="302"/>
        <v>0</v>
      </c>
      <c r="BF20" s="226">
        <f t="shared" si="303"/>
        <v>0</v>
      </c>
      <c r="BG20" s="137">
        <f t="shared" si="304"/>
        <v>0</v>
      </c>
      <c r="BH20" s="227">
        <f t="shared" si="277"/>
        <v>0</v>
      </c>
      <c r="BI20" s="138">
        <f t="shared" si="306"/>
        <v>0</v>
      </c>
      <c r="BJ20" s="110">
        <f t="shared" si="307"/>
        <v>0</v>
      </c>
      <c r="BK20" s="110"/>
      <c r="BL20" s="139"/>
      <c r="BM20" s="140" t="e">
        <f t="shared" si="308"/>
        <v>#DIV/0!</v>
      </c>
      <c r="BN20" s="144">
        <f>'прил № 3 (01.01.23)'!EH1326</f>
        <v>0</v>
      </c>
      <c r="BO20" s="225">
        <f t="shared" si="309"/>
        <v>0</v>
      </c>
      <c r="BP20" s="226">
        <f t="shared" si="310"/>
        <v>0</v>
      </c>
      <c r="BQ20" s="137">
        <f t="shared" si="311"/>
        <v>0</v>
      </c>
      <c r="BR20" s="227">
        <f t="shared" si="277"/>
        <v>0</v>
      </c>
      <c r="BS20" s="138">
        <f t="shared" si="313"/>
        <v>0</v>
      </c>
      <c r="BT20" s="110">
        <f t="shared" si="314"/>
        <v>0</v>
      </c>
      <c r="BU20" s="110"/>
      <c r="BV20" s="139"/>
      <c r="BW20" s="140" t="e">
        <f t="shared" si="315"/>
        <v>#DIV/0!</v>
      </c>
      <c r="BX20" s="144">
        <f>'прил № 3 (01.01.23)'!FC1326</f>
        <v>0</v>
      </c>
      <c r="BY20" s="225">
        <f t="shared" si="316"/>
        <v>0</v>
      </c>
      <c r="BZ20" s="226">
        <f t="shared" si="317"/>
        <v>0</v>
      </c>
      <c r="CA20" s="137">
        <f t="shared" si="318"/>
        <v>0</v>
      </c>
      <c r="CB20" s="227">
        <f t="shared" si="277"/>
        <v>0</v>
      </c>
      <c r="CC20" s="138">
        <f t="shared" si="320"/>
        <v>0</v>
      </c>
      <c r="CD20" s="110">
        <f t="shared" si="321"/>
        <v>0</v>
      </c>
      <c r="CE20" s="110"/>
      <c r="CF20" s="139"/>
      <c r="CG20" s="140" t="e">
        <f t="shared" si="322"/>
        <v>#DIV/0!</v>
      </c>
      <c r="CH20" s="144">
        <f>'прил № 3 (01.01.23)'!FX1326</f>
        <v>0</v>
      </c>
      <c r="CI20" s="225">
        <f t="shared" si="323"/>
        <v>0</v>
      </c>
      <c r="CJ20" s="226">
        <f t="shared" si="324"/>
        <v>0</v>
      </c>
      <c r="CK20" s="137">
        <f t="shared" si="325"/>
        <v>0</v>
      </c>
      <c r="CL20" s="227">
        <f t="shared" si="326"/>
        <v>0</v>
      </c>
      <c r="CM20" s="138">
        <f t="shared" si="327"/>
        <v>0</v>
      </c>
      <c r="CN20" s="110">
        <f t="shared" si="328"/>
        <v>0</v>
      </c>
      <c r="CO20" s="110"/>
      <c r="CP20" s="139"/>
      <c r="CQ20" s="140" t="e">
        <f t="shared" si="329"/>
        <v>#DIV/0!</v>
      </c>
      <c r="CR20" s="144">
        <f>'прил № 3 (01.01.23)'!GS1326</f>
        <v>0</v>
      </c>
      <c r="CS20" s="225">
        <f t="shared" si="330"/>
        <v>0</v>
      </c>
      <c r="CT20" s="226">
        <f t="shared" si="331"/>
        <v>0</v>
      </c>
      <c r="CU20" s="137">
        <f t="shared" si="332"/>
        <v>0</v>
      </c>
      <c r="CV20" s="227">
        <f t="shared" si="326"/>
        <v>0</v>
      </c>
      <c r="CW20" s="138">
        <f t="shared" si="334"/>
        <v>0</v>
      </c>
      <c r="CX20" s="110">
        <f t="shared" si="335"/>
        <v>0</v>
      </c>
      <c r="CY20" s="110"/>
      <c r="CZ20" s="139"/>
      <c r="DA20" s="140" t="e">
        <f t="shared" si="336"/>
        <v>#DIV/0!</v>
      </c>
      <c r="DB20" s="144">
        <f>'прил № 3 (01.01.23)'!HN1326</f>
        <v>0</v>
      </c>
      <c r="DC20" s="225">
        <f t="shared" si="337"/>
        <v>0</v>
      </c>
      <c r="DD20" s="226">
        <f t="shared" si="338"/>
        <v>0</v>
      </c>
      <c r="DE20" s="137">
        <f t="shared" si="339"/>
        <v>0</v>
      </c>
      <c r="DF20" s="227">
        <f t="shared" si="326"/>
        <v>0</v>
      </c>
      <c r="DG20" s="138">
        <f t="shared" si="341"/>
        <v>0</v>
      </c>
      <c r="DH20" s="110">
        <f t="shared" si="342"/>
        <v>0</v>
      </c>
      <c r="DI20" s="110"/>
      <c r="DJ20" s="139"/>
      <c r="DK20" s="140" t="e">
        <f t="shared" si="343"/>
        <v>#DIV/0!</v>
      </c>
      <c r="DL20" s="144">
        <f>'прил № 3 (01.01.23)'!II1326</f>
        <v>0</v>
      </c>
      <c r="DM20" s="225">
        <f t="shared" si="344"/>
        <v>0</v>
      </c>
      <c r="DN20" s="226">
        <f t="shared" si="345"/>
        <v>0</v>
      </c>
      <c r="DO20" s="137">
        <f t="shared" si="346"/>
        <v>0</v>
      </c>
      <c r="DP20" s="227">
        <f t="shared" si="326"/>
        <v>0</v>
      </c>
      <c r="DQ20" s="138">
        <f t="shared" si="348"/>
        <v>0</v>
      </c>
      <c r="DR20" s="110">
        <f t="shared" si="349"/>
        <v>0</v>
      </c>
      <c r="DS20" s="110"/>
      <c r="DT20" s="139"/>
      <c r="DU20" s="140" t="e">
        <f t="shared" si="350"/>
        <v>#DIV/0!</v>
      </c>
      <c r="DV20" s="144">
        <f>'прил № 3 (01.01.23)'!JD1326</f>
        <v>0</v>
      </c>
      <c r="DW20" s="225">
        <f t="shared" si="351"/>
        <v>0</v>
      </c>
      <c r="DX20" s="226">
        <f t="shared" si="352"/>
        <v>0</v>
      </c>
      <c r="DY20" s="137">
        <f t="shared" si="353"/>
        <v>0</v>
      </c>
      <c r="DZ20" s="227">
        <f t="shared" si="326"/>
        <v>0</v>
      </c>
      <c r="EA20" s="138">
        <f t="shared" si="355"/>
        <v>0</v>
      </c>
      <c r="EB20" s="110">
        <f t="shared" si="356"/>
        <v>0</v>
      </c>
      <c r="EC20" s="110"/>
      <c r="ED20" s="139"/>
      <c r="EE20" s="140" t="e">
        <f t="shared" si="357"/>
        <v>#DIV/0!</v>
      </c>
      <c r="EF20" s="144">
        <f>'прил № 3 (01.01.23)'!JY1326</f>
        <v>0</v>
      </c>
      <c r="EG20" s="225">
        <f t="shared" si="358"/>
        <v>0</v>
      </c>
      <c r="EH20" s="226">
        <f t="shared" si="359"/>
        <v>0</v>
      </c>
      <c r="EI20" s="137">
        <f t="shared" si="360"/>
        <v>0</v>
      </c>
      <c r="EJ20" s="227">
        <f t="shared" si="326"/>
        <v>0</v>
      </c>
      <c r="EK20" s="138">
        <f t="shared" si="362"/>
        <v>0</v>
      </c>
      <c r="EL20" s="110">
        <f t="shared" si="363"/>
        <v>0</v>
      </c>
      <c r="EM20" s="110"/>
      <c r="EN20" s="139"/>
      <c r="EO20" s="140" t="e">
        <f t="shared" si="364"/>
        <v>#DIV/0!</v>
      </c>
      <c r="EP20" s="144">
        <f>'прил № 3 (01.01.23)'!KT1326</f>
        <v>0</v>
      </c>
      <c r="EQ20" s="225">
        <f t="shared" si="365"/>
        <v>0</v>
      </c>
      <c r="ER20" s="226">
        <f t="shared" si="366"/>
        <v>0</v>
      </c>
      <c r="ES20" s="137">
        <f t="shared" si="367"/>
        <v>0</v>
      </c>
      <c r="ET20" s="227">
        <f t="shared" si="326"/>
        <v>0</v>
      </c>
      <c r="EU20" s="138">
        <f t="shared" si="369"/>
        <v>0</v>
      </c>
      <c r="EV20" s="110">
        <f t="shared" si="370"/>
        <v>0</v>
      </c>
      <c r="EW20" s="110"/>
      <c r="EX20" s="139"/>
      <c r="EY20" s="140" t="e">
        <f t="shared" si="371"/>
        <v>#DIV/0!</v>
      </c>
      <c r="EZ20" s="144">
        <f>'прил № 3 (01.01.23)'!LO1326</f>
        <v>0</v>
      </c>
      <c r="FA20" s="225">
        <f t="shared" si="372"/>
        <v>0</v>
      </c>
      <c r="FB20" s="226">
        <f t="shared" si="373"/>
        <v>0</v>
      </c>
      <c r="FC20" s="137">
        <f t="shared" si="374"/>
        <v>0</v>
      </c>
      <c r="FD20" s="227">
        <f t="shared" si="375"/>
        <v>9.92</v>
      </c>
      <c r="FE20" s="138">
        <f t="shared" si="376"/>
        <v>0</v>
      </c>
      <c r="FF20" s="110">
        <f t="shared" si="377"/>
        <v>0</v>
      </c>
      <c r="FG20" s="110"/>
      <c r="FH20" s="139"/>
      <c r="FI20" s="140" t="e">
        <f t="shared" si="378"/>
        <v>#DIV/0!</v>
      </c>
      <c r="FJ20" s="144">
        <f>'прил № 3 (01.01.23)'!MJ1326</f>
        <v>0</v>
      </c>
      <c r="FK20" s="225">
        <f t="shared" si="379"/>
        <v>0</v>
      </c>
      <c r="FL20" s="226">
        <f t="shared" si="380"/>
        <v>0</v>
      </c>
      <c r="FM20" s="137">
        <f t="shared" si="381"/>
        <v>0</v>
      </c>
      <c r="FN20" s="227">
        <f t="shared" si="375"/>
        <v>0</v>
      </c>
      <c r="FO20" s="138">
        <f t="shared" si="383"/>
        <v>0</v>
      </c>
      <c r="FP20" s="110">
        <f t="shared" si="384"/>
        <v>0</v>
      </c>
      <c r="FQ20" s="110"/>
      <c r="FR20" s="139"/>
      <c r="FS20" s="140" t="e">
        <f t="shared" si="385"/>
        <v>#DIV/0!</v>
      </c>
      <c r="FT20" s="144">
        <f>'прил № 3 (01.01.23)'!NE1326</f>
        <v>0</v>
      </c>
      <c r="FU20" s="225">
        <f t="shared" si="386"/>
        <v>0</v>
      </c>
      <c r="FV20" s="226">
        <f t="shared" si="387"/>
        <v>0</v>
      </c>
      <c r="FW20" s="137">
        <f t="shared" si="388"/>
        <v>0</v>
      </c>
      <c r="FX20" s="227">
        <f t="shared" si="375"/>
        <v>0</v>
      </c>
      <c r="FY20" s="138">
        <f t="shared" si="390"/>
        <v>0</v>
      </c>
      <c r="FZ20" s="110">
        <f t="shared" si="391"/>
        <v>0</v>
      </c>
      <c r="GA20" s="110"/>
      <c r="GB20" s="139"/>
      <c r="GC20" s="140" t="e">
        <f t="shared" si="392"/>
        <v>#DIV/0!</v>
      </c>
      <c r="GD20" s="144">
        <f>'прил № 3 (01.01.23)'!NZ1326</f>
        <v>0</v>
      </c>
      <c r="GE20" s="225">
        <f t="shared" si="393"/>
        <v>0</v>
      </c>
      <c r="GF20" s="226">
        <f t="shared" si="394"/>
        <v>0</v>
      </c>
      <c r="GG20" s="137">
        <f t="shared" si="395"/>
        <v>0</v>
      </c>
      <c r="GH20" s="227">
        <f t="shared" si="375"/>
        <v>9.92</v>
      </c>
      <c r="GI20" s="138">
        <f t="shared" si="397"/>
        <v>0</v>
      </c>
      <c r="GJ20" s="110">
        <f t="shared" si="398"/>
        <v>0</v>
      </c>
      <c r="GK20" s="110"/>
      <c r="GL20" s="139"/>
      <c r="GM20" s="140" t="e">
        <f t="shared" si="399"/>
        <v>#DIV/0!</v>
      </c>
      <c r="GN20" s="144">
        <f>'прил № 3 (01.01.23)'!OU1326</f>
        <v>0</v>
      </c>
      <c r="GO20" s="225">
        <f t="shared" si="400"/>
        <v>0</v>
      </c>
      <c r="GP20" s="226">
        <f t="shared" si="401"/>
        <v>0</v>
      </c>
      <c r="GQ20" s="137">
        <f t="shared" si="402"/>
        <v>0</v>
      </c>
      <c r="GR20" s="227">
        <f t="shared" si="403"/>
        <v>0</v>
      </c>
      <c r="GS20" s="138">
        <f t="shared" si="404"/>
        <v>0</v>
      </c>
      <c r="GT20" s="110">
        <f t="shared" si="405"/>
        <v>0</v>
      </c>
      <c r="GU20" s="110"/>
      <c r="GV20" s="139"/>
      <c r="GW20" s="140" t="e">
        <f t="shared" si="406"/>
        <v>#DIV/0!</v>
      </c>
      <c r="GX20" s="144">
        <f>'прил № 3 (01.01.23)'!PP1326</f>
        <v>0</v>
      </c>
      <c r="GY20" s="225">
        <f t="shared" si="407"/>
        <v>0</v>
      </c>
      <c r="GZ20" s="226">
        <f t="shared" si="408"/>
        <v>0</v>
      </c>
      <c r="HA20" s="137">
        <f t="shared" si="409"/>
        <v>0</v>
      </c>
      <c r="HB20" s="227">
        <f t="shared" si="403"/>
        <v>9.92</v>
      </c>
      <c r="HC20" s="138">
        <f t="shared" si="411"/>
        <v>0</v>
      </c>
      <c r="HD20" s="110">
        <f t="shared" si="412"/>
        <v>0</v>
      </c>
      <c r="HE20" s="110"/>
      <c r="HF20" s="139"/>
      <c r="HG20" s="140" t="e">
        <f t="shared" si="413"/>
        <v>#DIV/0!</v>
      </c>
      <c r="HH20" s="144">
        <f>'прил № 3 (01.01.23)'!QK1326</f>
        <v>0</v>
      </c>
      <c r="HI20" s="225">
        <f t="shared" si="414"/>
        <v>0</v>
      </c>
      <c r="HJ20" s="226">
        <f t="shared" si="415"/>
        <v>0</v>
      </c>
      <c r="HK20" s="137">
        <f t="shared" si="416"/>
        <v>0</v>
      </c>
      <c r="HL20" s="227">
        <f t="shared" si="403"/>
        <v>0</v>
      </c>
      <c r="HM20" s="138">
        <f t="shared" si="418"/>
        <v>0</v>
      </c>
      <c r="HN20" s="110">
        <f t="shared" si="419"/>
        <v>0</v>
      </c>
      <c r="HO20" s="110"/>
      <c r="HP20" s="139"/>
      <c r="HQ20" s="140" t="e">
        <f t="shared" si="420"/>
        <v>#DIV/0!</v>
      </c>
      <c r="HR20" s="144">
        <f>'прил № 3 (01.01.23)'!RF1326</f>
        <v>0</v>
      </c>
      <c r="HS20" s="225">
        <f t="shared" si="421"/>
        <v>0</v>
      </c>
      <c r="HT20" s="226">
        <f t="shared" si="422"/>
        <v>0</v>
      </c>
      <c r="HU20" s="137">
        <f t="shared" si="423"/>
        <v>0</v>
      </c>
      <c r="HV20" s="227">
        <f t="shared" si="403"/>
        <v>0</v>
      </c>
      <c r="HW20" s="138">
        <f t="shared" si="425"/>
        <v>0</v>
      </c>
      <c r="HX20" s="110">
        <f t="shared" si="426"/>
        <v>0</v>
      </c>
      <c r="HY20" s="110"/>
      <c r="HZ20" s="139"/>
      <c r="IA20" s="140" t="e">
        <f t="shared" si="427"/>
        <v>#DIV/0!</v>
      </c>
      <c r="IB20" s="144">
        <f>'прил № 3 (01.01.23)'!SA1326</f>
        <v>0</v>
      </c>
      <c r="IC20" s="225">
        <f t="shared" si="428"/>
        <v>0</v>
      </c>
      <c r="ID20" s="226">
        <f t="shared" si="429"/>
        <v>0</v>
      </c>
      <c r="IE20" s="137">
        <f t="shared" si="430"/>
        <v>0</v>
      </c>
      <c r="IF20" s="227">
        <f t="shared" si="431"/>
        <v>0</v>
      </c>
      <c r="IG20" s="138">
        <f t="shared" si="432"/>
        <v>0</v>
      </c>
      <c r="IH20" s="110">
        <f t="shared" si="433"/>
        <v>0</v>
      </c>
      <c r="II20" s="110"/>
      <c r="IJ20" s="139"/>
      <c r="IK20" s="140" t="e">
        <f t="shared" si="434"/>
        <v>#DIV/0!</v>
      </c>
      <c r="IL20" s="144">
        <f>'прил № 3 (01.01.23)'!SV1326</f>
        <v>0</v>
      </c>
      <c r="IM20" s="225">
        <f t="shared" si="435"/>
        <v>0</v>
      </c>
      <c r="IN20" s="226">
        <f t="shared" si="436"/>
        <v>0</v>
      </c>
      <c r="IO20" s="137">
        <f t="shared" si="437"/>
        <v>0</v>
      </c>
      <c r="IP20" s="227">
        <f t="shared" si="431"/>
        <v>0</v>
      </c>
      <c r="IQ20" s="138">
        <f t="shared" si="439"/>
        <v>0</v>
      </c>
      <c r="IR20" s="110">
        <f t="shared" si="440"/>
        <v>0</v>
      </c>
      <c r="IS20" s="110"/>
      <c r="IT20" s="139"/>
      <c r="IU20" s="140" t="e">
        <f t="shared" si="441"/>
        <v>#DIV/0!</v>
      </c>
      <c r="IV20" s="144">
        <f>'прил № 3 (01.01.23)'!TQ1326</f>
        <v>0</v>
      </c>
      <c r="IW20" s="225">
        <f t="shared" si="442"/>
        <v>0</v>
      </c>
      <c r="IX20" s="226">
        <f t="shared" si="443"/>
        <v>0</v>
      </c>
      <c r="IY20" s="137">
        <f t="shared" si="444"/>
        <v>0</v>
      </c>
      <c r="IZ20" s="227">
        <f t="shared" si="431"/>
        <v>0</v>
      </c>
      <c r="JA20" s="138">
        <f t="shared" si="446"/>
        <v>0</v>
      </c>
      <c r="JB20" s="110">
        <f t="shared" si="447"/>
        <v>0</v>
      </c>
      <c r="JC20" s="110"/>
      <c r="JD20" s="139"/>
      <c r="JE20" s="140" t="e">
        <f t="shared" si="448"/>
        <v>#DIV/0!</v>
      </c>
      <c r="JF20" s="144">
        <f>'прил № 3 (01.01.23)'!UL1326</f>
        <v>0</v>
      </c>
      <c r="JG20" s="225">
        <f t="shared" si="449"/>
        <v>0</v>
      </c>
      <c r="JH20" s="226">
        <f t="shared" si="450"/>
        <v>0</v>
      </c>
      <c r="JI20" s="137">
        <f t="shared" si="451"/>
        <v>0</v>
      </c>
      <c r="JJ20" s="227">
        <f t="shared" si="431"/>
        <v>0</v>
      </c>
      <c r="JK20" s="138">
        <f t="shared" si="453"/>
        <v>0</v>
      </c>
      <c r="JL20" s="110">
        <f t="shared" si="454"/>
        <v>0</v>
      </c>
      <c r="JM20" s="110"/>
      <c r="JN20" s="139"/>
      <c r="JO20" s="140" t="e">
        <f t="shared" si="455"/>
        <v>#DIV/0!</v>
      </c>
      <c r="JP20" s="144">
        <f>'прил № 3 (01.01.23)'!VG1326</f>
        <v>0</v>
      </c>
      <c r="JQ20" s="225">
        <f t="shared" si="456"/>
        <v>0</v>
      </c>
      <c r="JR20" s="226">
        <f t="shared" si="457"/>
        <v>0</v>
      </c>
      <c r="JS20" s="137">
        <f t="shared" si="458"/>
        <v>0</v>
      </c>
      <c r="JT20" s="227">
        <f t="shared" si="459"/>
        <v>0</v>
      </c>
      <c r="JU20" s="138">
        <f t="shared" si="460"/>
        <v>0</v>
      </c>
      <c r="JV20" s="110">
        <f t="shared" si="461"/>
        <v>0</v>
      </c>
      <c r="JW20" s="110"/>
      <c r="JX20" s="139"/>
      <c r="JY20" s="140" t="e">
        <f t="shared" si="462"/>
        <v>#DIV/0!</v>
      </c>
      <c r="JZ20" s="144">
        <f>'прил № 3 (01.01.23)'!WB1326</f>
        <v>0</v>
      </c>
      <c r="KA20" s="225">
        <f t="shared" si="463"/>
        <v>0</v>
      </c>
      <c r="KB20" s="226">
        <f t="shared" si="464"/>
        <v>0</v>
      </c>
      <c r="KC20" s="137">
        <f t="shared" si="465"/>
        <v>0</v>
      </c>
      <c r="KD20" s="227">
        <f t="shared" si="459"/>
        <v>0</v>
      </c>
      <c r="KE20" s="138">
        <f t="shared" si="467"/>
        <v>0</v>
      </c>
      <c r="KF20" s="110">
        <f t="shared" si="468"/>
        <v>0</v>
      </c>
      <c r="KG20" s="110"/>
      <c r="KH20" s="139"/>
      <c r="KI20" s="140" t="e">
        <f t="shared" si="469"/>
        <v>#DIV/0!</v>
      </c>
      <c r="KJ20" s="144">
        <f>'прил № 3 (01.01.23)'!WW1326</f>
        <v>0</v>
      </c>
      <c r="KK20" s="225">
        <f t="shared" si="470"/>
        <v>0</v>
      </c>
      <c r="KL20" s="226">
        <f t="shared" si="471"/>
        <v>0</v>
      </c>
      <c r="KM20" s="137">
        <f t="shared" si="472"/>
        <v>0</v>
      </c>
      <c r="KN20" s="227">
        <f t="shared" si="459"/>
        <v>0</v>
      </c>
      <c r="KO20" s="138">
        <f t="shared" si="474"/>
        <v>0</v>
      </c>
      <c r="KP20" s="110">
        <f t="shared" si="475"/>
        <v>0</v>
      </c>
      <c r="KQ20" s="110"/>
      <c r="KR20" s="139"/>
      <c r="KS20" s="140" t="e">
        <f t="shared" si="476"/>
        <v>#DIV/0!</v>
      </c>
      <c r="KT20" s="144">
        <f>'прил № 3 (01.01.23)'!XR1326</f>
        <v>0</v>
      </c>
      <c r="KU20" s="225">
        <f t="shared" si="477"/>
        <v>0</v>
      </c>
      <c r="KV20" s="226">
        <f t="shared" si="478"/>
        <v>0</v>
      </c>
      <c r="KW20" s="137">
        <f t="shared" si="479"/>
        <v>0</v>
      </c>
      <c r="KX20" s="227">
        <f t="shared" si="459"/>
        <v>0</v>
      </c>
      <c r="KY20" s="138">
        <f t="shared" si="481"/>
        <v>0</v>
      </c>
      <c r="KZ20" s="110">
        <f t="shared" si="482"/>
        <v>0</v>
      </c>
      <c r="LA20" s="110"/>
      <c r="LB20" s="139"/>
      <c r="LC20" s="140" t="e">
        <f t="shared" si="483"/>
        <v>#DIV/0!</v>
      </c>
      <c r="LD20" s="197">
        <f t="shared" si="484"/>
        <v>0</v>
      </c>
      <c r="LE20" s="225">
        <f t="shared" si="485"/>
        <v>0</v>
      </c>
      <c r="LF20" s="226">
        <f t="shared" si="486"/>
        <v>0</v>
      </c>
      <c r="LG20" s="137">
        <f t="shared" si="487"/>
        <v>0</v>
      </c>
      <c r="LH20" s="227">
        <f t="shared" si="488"/>
        <v>9.92</v>
      </c>
      <c r="LI20" s="138">
        <f t="shared" si="489"/>
        <v>0</v>
      </c>
      <c r="LJ20" s="110">
        <f t="shared" si="490"/>
        <v>0</v>
      </c>
      <c r="LK20" s="110"/>
      <c r="LL20" s="139"/>
    </row>
    <row r="21" spans="1:324" s="271" customFormat="1" x14ac:dyDescent="0.25">
      <c r="A21" s="288"/>
      <c r="B21" s="250" t="s">
        <v>854</v>
      </c>
      <c r="C21" s="12"/>
      <c r="D21" s="12"/>
      <c r="E21" s="12"/>
      <c r="F21" s="289"/>
      <c r="G21" s="290"/>
      <c r="H21" s="227"/>
      <c r="I21" s="291"/>
      <c r="J21" s="227"/>
      <c r="K21" s="292"/>
      <c r="L21" s="97"/>
      <c r="M21" s="97"/>
      <c r="N21" s="293"/>
      <c r="O21" s="294"/>
      <c r="P21" s="289"/>
      <c r="Q21" s="290"/>
      <c r="R21" s="227"/>
      <c r="S21" s="291"/>
      <c r="T21" s="227"/>
      <c r="U21" s="292"/>
      <c r="V21" s="97"/>
      <c r="W21" s="97"/>
      <c r="X21" s="293"/>
      <c r="Y21" s="294"/>
      <c r="Z21" s="289"/>
      <c r="AA21" s="290"/>
      <c r="AB21" s="227"/>
      <c r="AC21" s="291"/>
      <c r="AD21" s="227"/>
      <c r="AE21" s="292"/>
      <c r="AF21" s="97"/>
      <c r="AG21" s="97"/>
      <c r="AH21" s="293"/>
      <c r="AI21" s="294"/>
      <c r="AJ21" s="289"/>
      <c r="AK21" s="290"/>
      <c r="AL21" s="227"/>
      <c r="AM21" s="291"/>
      <c r="AN21" s="227"/>
      <c r="AO21" s="292"/>
      <c r="AP21" s="97"/>
      <c r="AQ21" s="97"/>
      <c r="AR21" s="293"/>
      <c r="AS21" s="294"/>
      <c r="AT21" s="289"/>
      <c r="AU21" s="290"/>
      <c r="AV21" s="227"/>
      <c r="AW21" s="291"/>
      <c r="AX21" s="227"/>
      <c r="AY21" s="292"/>
      <c r="AZ21" s="97"/>
      <c r="BA21" s="97"/>
      <c r="BB21" s="293"/>
      <c r="BC21" s="294"/>
      <c r="BD21" s="289"/>
      <c r="BE21" s="290"/>
      <c r="BF21" s="227"/>
      <c r="BG21" s="291"/>
      <c r="BH21" s="227"/>
      <c r="BI21" s="292"/>
      <c r="BJ21" s="97"/>
      <c r="BK21" s="97"/>
      <c r="BL21" s="293"/>
      <c r="BM21" s="294"/>
      <c r="BN21" s="289"/>
      <c r="BO21" s="290"/>
      <c r="BP21" s="227"/>
      <c r="BQ21" s="291"/>
      <c r="BR21" s="227"/>
      <c r="BS21" s="292"/>
      <c r="BT21" s="97"/>
      <c r="BU21" s="97"/>
      <c r="BV21" s="293"/>
      <c r="BW21" s="294"/>
      <c r="BX21" s="289"/>
      <c r="BY21" s="290"/>
      <c r="BZ21" s="227"/>
      <c r="CA21" s="291"/>
      <c r="CB21" s="227"/>
      <c r="CC21" s="292"/>
      <c r="CD21" s="97"/>
      <c r="CE21" s="97"/>
      <c r="CF21" s="293"/>
      <c r="CG21" s="294"/>
      <c r="CH21" s="289"/>
      <c r="CI21" s="290"/>
      <c r="CJ21" s="227"/>
      <c r="CK21" s="291"/>
      <c r="CL21" s="227"/>
      <c r="CM21" s="292"/>
      <c r="CN21" s="97"/>
      <c r="CO21" s="97"/>
      <c r="CP21" s="293"/>
      <c r="CQ21" s="294"/>
      <c r="CR21" s="289"/>
      <c r="CS21" s="290"/>
      <c r="CT21" s="227"/>
      <c r="CU21" s="291"/>
      <c r="CV21" s="227"/>
      <c r="CW21" s="292"/>
      <c r="CX21" s="97"/>
      <c r="CY21" s="97"/>
      <c r="CZ21" s="293"/>
      <c r="DA21" s="294"/>
      <c r="DB21" s="289"/>
      <c r="DC21" s="290"/>
      <c r="DD21" s="227"/>
      <c r="DE21" s="291"/>
      <c r="DF21" s="227"/>
      <c r="DG21" s="292"/>
      <c r="DH21" s="97"/>
      <c r="DI21" s="97"/>
      <c r="DJ21" s="293"/>
      <c r="DK21" s="294"/>
      <c r="DL21" s="289"/>
      <c r="DM21" s="290"/>
      <c r="DN21" s="227"/>
      <c r="DO21" s="291"/>
      <c r="DP21" s="227"/>
      <c r="DQ21" s="292"/>
      <c r="DR21" s="97"/>
      <c r="DS21" s="97"/>
      <c r="DT21" s="293"/>
      <c r="DU21" s="294"/>
      <c r="DV21" s="289"/>
      <c r="DW21" s="290"/>
      <c r="DX21" s="227"/>
      <c r="DY21" s="291"/>
      <c r="DZ21" s="227"/>
      <c r="EA21" s="292"/>
      <c r="EB21" s="97"/>
      <c r="EC21" s="97"/>
      <c r="ED21" s="293"/>
      <c r="EE21" s="294"/>
      <c r="EF21" s="289"/>
      <c r="EG21" s="290"/>
      <c r="EH21" s="227"/>
      <c r="EI21" s="291"/>
      <c r="EJ21" s="227"/>
      <c r="EK21" s="292"/>
      <c r="EL21" s="97"/>
      <c r="EM21" s="97"/>
      <c r="EN21" s="293"/>
      <c r="EO21" s="294"/>
      <c r="EP21" s="289"/>
      <c r="EQ21" s="290"/>
      <c r="ER21" s="227"/>
      <c r="ES21" s="291"/>
      <c r="ET21" s="227"/>
      <c r="EU21" s="292"/>
      <c r="EV21" s="97"/>
      <c r="EW21" s="97"/>
      <c r="EX21" s="293"/>
      <c r="EY21" s="294"/>
      <c r="EZ21" s="289"/>
      <c r="FA21" s="290"/>
      <c r="FB21" s="227"/>
      <c r="FC21" s="291"/>
      <c r="FD21" s="227"/>
      <c r="FE21" s="292"/>
      <c r="FF21" s="97"/>
      <c r="FG21" s="97"/>
      <c r="FH21" s="293"/>
      <c r="FI21" s="294"/>
      <c r="FJ21" s="289"/>
      <c r="FK21" s="290"/>
      <c r="FL21" s="227"/>
      <c r="FM21" s="291"/>
      <c r="FN21" s="227"/>
      <c r="FO21" s="292"/>
      <c r="FP21" s="97"/>
      <c r="FQ21" s="97"/>
      <c r="FR21" s="293"/>
      <c r="FS21" s="294"/>
      <c r="FT21" s="289"/>
      <c r="FU21" s="290"/>
      <c r="FV21" s="227"/>
      <c r="FW21" s="291"/>
      <c r="FX21" s="227"/>
      <c r="FY21" s="292"/>
      <c r="FZ21" s="97"/>
      <c r="GA21" s="97"/>
      <c r="GB21" s="293"/>
      <c r="GC21" s="294"/>
      <c r="GD21" s="289"/>
      <c r="GE21" s="290"/>
      <c r="GF21" s="227"/>
      <c r="GG21" s="291"/>
      <c r="GH21" s="227"/>
      <c r="GI21" s="292"/>
      <c r="GJ21" s="97"/>
      <c r="GK21" s="97"/>
      <c r="GL21" s="293"/>
      <c r="GM21" s="294"/>
      <c r="GN21" s="289"/>
      <c r="GO21" s="290"/>
      <c r="GP21" s="227"/>
      <c r="GQ21" s="291"/>
      <c r="GR21" s="227"/>
      <c r="GS21" s="292"/>
      <c r="GT21" s="97"/>
      <c r="GU21" s="97"/>
      <c r="GV21" s="293"/>
      <c r="GW21" s="294"/>
      <c r="GX21" s="289"/>
      <c r="GY21" s="290"/>
      <c r="GZ21" s="227"/>
      <c r="HA21" s="291"/>
      <c r="HB21" s="227"/>
      <c r="HC21" s="292"/>
      <c r="HD21" s="97"/>
      <c r="HE21" s="97"/>
      <c r="HF21" s="293"/>
      <c r="HG21" s="294"/>
      <c r="HH21" s="289"/>
      <c r="HI21" s="290"/>
      <c r="HJ21" s="227"/>
      <c r="HK21" s="291"/>
      <c r="HL21" s="227"/>
      <c r="HM21" s="292"/>
      <c r="HN21" s="97"/>
      <c r="HO21" s="97"/>
      <c r="HP21" s="293"/>
      <c r="HQ21" s="294"/>
      <c r="HR21" s="289"/>
      <c r="HS21" s="290"/>
      <c r="HT21" s="227"/>
      <c r="HU21" s="291"/>
      <c r="HV21" s="227"/>
      <c r="HW21" s="292"/>
      <c r="HX21" s="97"/>
      <c r="HY21" s="97"/>
      <c r="HZ21" s="293"/>
      <c r="IA21" s="294"/>
      <c r="IB21" s="289"/>
      <c r="IC21" s="290"/>
      <c r="ID21" s="227"/>
      <c r="IE21" s="291"/>
      <c r="IF21" s="227"/>
      <c r="IG21" s="292"/>
      <c r="IH21" s="97"/>
      <c r="II21" s="97"/>
      <c r="IJ21" s="293"/>
      <c r="IK21" s="294"/>
      <c r="IL21" s="289"/>
      <c r="IM21" s="290"/>
      <c r="IN21" s="227"/>
      <c r="IO21" s="291"/>
      <c r="IP21" s="227"/>
      <c r="IQ21" s="292"/>
      <c r="IR21" s="97"/>
      <c r="IS21" s="97"/>
      <c r="IT21" s="293"/>
      <c r="IU21" s="294"/>
      <c r="IV21" s="289"/>
      <c r="IW21" s="290"/>
      <c r="IX21" s="227"/>
      <c r="IY21" s="291"/>
      <c r="IZ21" s="227"/>
      <c r="JA21" s="292"/>
      <c r="JB21" s="97"/>
      <c r="JC21" s="97"/>
      <c r="JD21" s="293"/>
      <c r="JE21" s="294"/>
      <c r="JF21" s="289"/>
      <c r="JG21" s="290"/>
      <c r="JH21" s="227"/>
      <c r="JI21" s="291"/>
      <c r="JJ21" s="227"/>
      <c r="JK21" s="292"/>
      <c r="JL21" s="97"/>
      <c r="JM21" s="97"/>
      <c r="JN21" s="293"/>
      <c r="JO21" s="294"/>
      <c r="JP21" s="289"/>
      <c r="JQ21" s="290"/>
      <c r="JR21" s="227"/>
      <c r="JS21" s="291"/>
      <c r="JT21" s="227"/>
      <c r="JU21" s="292"/>
      <c r="JV21" s="97"/>
      <c r="JW21" s="97"/>
      <c r="JX21" s="293"/>
      <c r="JY21" s="294"/>
      <c r="JZ21" s="289"/>
      <c r="KA21" s="290"/>
      <c r="KB21" s="227"/>
      <c r="KC21" s="291"/>
      <c r="KD21" s="227"/>
      <c r="KE21" s="292"/>
      <c r="KF21" s="97"/>
      <c r="KG21" s="97"/>
      <c r="KH21" s="293"/>
      <c r="KI21" s="294"/>
      <c r="KJ21" s="289"/>
      <c r="KK21" s="290"/>
      <c r="KL21" s="227"/>
      <c r="KM21" s="291"/>
      <c r="KN21" s="227"/>
      <c r="KO21" s="292"/>
      <c r="KP21" s="97"/>
      <c r="KQ21" s="97"/>
      <c r="KR21" s="293"/>
      <c r="KS21" s="294"/>
      <c r="KT21" s="289"/>
      <c r="KU21" s="290"/>
      <c r="KV21" s="227"/>
      <c r="KW21" s="291"/>
      <c r="KX21" s="227"/>
      <c r="KY21" s="292"/>
      <c r="KZ21" s="97"/>
      <c r="LA21" s="97"/>
      <c r="LB21" s="293"/>
      <c r="LC21" s="294"/>
      <c r="LD21" s="295"/>
      <c r="LE21" s="290"/>
      <c r="LF21" s="227"/>
      <c r="LG21" s="291"/>
      <c r="LH21" s="227"/>
      <c r="LI21" s="292"/>
      <c r="LJ21" s="97"/>
      <c r="LK21" s="97"/>
      <c r="LL21" s="293"/>
    </row>
    <row r="22" spans="1:324" ht="24" x14ac:dyDescent="0.25">
      <c r="A22" s="245"/>
      <c r="B22" s="70" t="s">
        <v>609</v>
      </c>
      <c r="C22" s="12" t="s">
        <v>729</v>
      </c>
      <c r="D22" s="12" t="s">
        <v>429</v>
      </c>
      <c r="E22" s="4" t="s">
        <v>32</v>
      </c>
      <c r="F22" s="144">
        <f>'прил № 3 (01.01.23)'!L1329</f>
        <v>313</v>
      </c>
      <c r="G22" s="225">
        <f t="shared" si="491"/>
        <v>0.51993</v>
      </c>
      <c r="H22" s="226">
        <f t="shared" si="492"/>
        <v>0</v>
      </c>
      <c r="I22" s="137">
        <f t="shared" si="270"/>
        <v>0</v>
      </c>
      <c r="J22" s="227">
        <f t="shared" si="493"/>
        <v>0</v>
      </c>
      <c r="K22" s="138">
        <f t="shared" si="271"/>
        <v>0</v>
      </c>
      <c r="L22" s="110">
        <f t="shared" si="272"/>
        <v>0</v>
      </c>
      <c r="M22" s="110"/>
      <c r="N22" s="139"/>
      <c r="O22" s="140">
        <f t="shared" si="273"/>
        <v>0</v>
      </c>
      <c r="P22" s="144">
        <f>'прил № 3 (01.01.23)'!AG1329</f>
        <v>523</v>
      </c>
      <c r="Q22" s="225">
        <f t="shared" ref="Q22:Q29" si="494">P22/P$10</f>
        <v>0.47719</v>
      </c>
      <c r="R22" s="226">
        <f t="shared" ref="R22:R29" si="495">R$10*Q22</f>
        <v>0</v>
      </c>
      <c r="S22" s="137">
        <f t="shared" ref="S22:S29" si="496">IF(P22&gt;0,R22/P22,0)</f>
        <v>0</v>
      </c>
      <c r="T22" s="227">
        <f t="shared" ref="T22:CB29" si="497">T$10</f>
        <v>0</v>
      </c>
      <c r="U22" s="138">
        <f t="shared" ref="U22:U29" si="498">S22*T22</f>
        <v>0</v>
      </c>
      <c r="V22" s="110">
        <f t="shared" ref="V22:V29" si="499">U22*P22</f>
        <v>0</v>
      </c>
      <c r="W22" s="110"/>
      <c r="X22" s="139"/>
      <c r="Y22" s="140">
        <f t="shared" ref="Y22:Y29" si="500">U22/$LI22</f>
        <v>0</v>
      </c>
      <c r="Z22" s="144">
        <f>'прил № 3 (01.01.23)'!BB1329</f>
        <v>412</v>
      </c>
      <c r="AA22" s="225">
        <f t="shared" ref="AA22:AA29" si="501">Z22/Z$10</f>
        <v>0.47685</v>
      </c>
      <c r="AB22" s="226">
        <f t="shared" ref="AB22:AB29" si="502">AB$10*AA22</f>
        <v>0</v>
      </c>
      <c r="AC22" s="137">
        <f t="shared" ref="AC22:AC29" si="503">IF(Z22&gt;0,AB22/Z22,0)</f>
        <v>0</v>
      </c>
      <c r="AD22" s="227">
        <f t="shared" si="497"/>
        <v>0</v>
      </c>
      <c r="AE22" s="138">
        <f t="shared" ref="AE22:AE29" si="504">AC22*AD22</f>
        <v>0</v>
      </c>
      <c r="AF22" s="110">
        <f t="shared" ref="AF22:AF29" si="505">AE22*Z22</f>
        <v>0</v>
      </c>
      <c r="AG22" s="110"/>
      <c r="AH22" s="139"/>
      <c r="AI22" s="140">
        <f t="shared" ref="AI22:AI29" si="506">AE22/$LI22</f>
        <v>0</v>
      </c>
      <c r="AJ22" s="144">
        <f>'прил № 3 (01.01.23)'!BW1329</f>
        <v>311</v>
      </c>
      <c r="AK22" s="225">
        <f t="shared" ref="AK22:AK29" si="507">AJ22/AJ$10</f>
        <v>0.46766999999999997</v>
      </c>
      <c r="AL22" s="226">
        <f t="shared" ref="AL22:AL29" si="508">AL$10*AK22</f>
        <v>0</v>
      </c>
      <c r="AM22" s="137">
        <f t="shared" ref="AM22:AM29" si="509">IF(AJ22&gt;0,AL22/AJ22,0)</f>
        <v>0</v>
      </c>
      <c r="AN22" s="227">
        <f t="shared" si="497"/>
        <v>0</v>
      </c>
      <c r="AO22" s="138">
        <f t="shared" ref="AO22:AO29" si="510">AM22*AN22</f>
        <v>0</v>
      </c>
      <c r="AP22" s="110">
        <f t="shared" ref="AP22:AP29" si="511">AO22*AJ22</f>
        <v>0</v>
      </c>
      <c r="AQ22" s="110"/>
      <c r="AR22" s="139"/>
      <c r="AS22" s="140">
        <f t="shared" ref="AS22:AS29" si="512">AO22/$LI22</f>
        <v>0</v>
      </c>
      <c r="AT22" s="144">
        <f>'прил № 3 (01.01.23)'!CR1329</f>
        <v>428</v>
      </c>
      <c r="AU22" s="225">
        <f t="shared" ref="AU22:AU29" si="513">AT22/AT$10</f>
        <v>0.45005000000000001</v>
      </c>
      <c r="AV22" s="226">
        <f t="shared" ref="AV22:AV29" si="514">AV$10*AU22</f>
        <v>0</v>
      </c>
      <c r="AW22" s="137">
        <f t="shared" ref="AW22:AW29" si="515">IF(AT22&gt;0,AV22/AT22,0)</f>
        <v>0</v>
      </c>
      <c r="AX22" s="227">
        <f t="shared" si="497"/>
        <v>0</v>
      </c>
      <c r="AY22" s="138">
        <f t="shared" ref="AY22:AY29" si="516">AW22*AX22</f>
        <v>0</v>
      </c>
      <c r="AZ22" s="110">
        <f t="shared" ref="AZ22:AZ29" si="517">AY22*AT22</f>
        <v>0</v>
      </c>
      <c r="BA22" s="110"/>
      <c r="BB22" s="139"/>
      <c r="BC22" s="140">
        <f t="shared" ref="BC22:BC29" si="518">AY22/$LI22</f>
        <v>0</v>
      </c>
      <c r="BD22" s="144">
        <f>'прил № 3 (01.01.23)'!DM1329</f>
        <v>358</v>
      </c>
      <c r="BE22" s="225">
        <f t="shared" ref="BE22:BE29" si="519">BD22/BD$10</f>
        <v>0.48118</v>
      </c>
      <c r="BF22" s="226">
        <f t="shared" ref="BF22:BF29" si="520">BF$10*BE22</f>
        <v>0</v>
      </c>
      <c r="BG22" s="137">
        <f t="shared" ref="BG22:BG29" si="521">IF(BD22&gt;0,BF22/BD22,0)</f>
        <v>0</v>
      </c>
      <c r="BH22" s="227">
        <f t="shared" si="497"/>
        <v>0</v>
      </c>
      <c r="BI22" s="138">
        <f t="shared" ref="BI22:BI29" si="522">BG22*BH22</f>
        <v>0</v>
      </c>
      <c r="BJ22" s="110">
        <f t="shared" ref="BJ22:BJ29" si="523">BI22*BD22</f>
        <v>0</v>
      </c>
      <c r="BK22" s="110"/>
      <c r="BL22" s="139"/>
      <c r="BM22" s="140">
        <f t="shared" ref="BM22:BM29" si="524">BI22/$LI22</f>
        <v>0</v>
      </c>
      <c r="BN22" s="144">
        <f>'прил № 3 (01.01.23)'!EH1329</f>
        <v>305</v>
      </c>
      <c r="BO22" s="225">
        <f t="shared" ref="BO22:BO29" si="525">BN22/BN$10</f>
        <v>0.49432999999999999</v>
      </c>
      <c r="BP22" s="226">
        <f t="shared" ref="BP22:BP29" si="526">BP$10*BO22</f>
        <v>0</v>
      </c>
      <c r="BQ22" s="137">
        <f t="shared" ref="BQ22:BQ29" si="527">IF(BN22&gt;0,BP22/BN22,0)</f>
        <v>0</v>
      </c>
      <c r="BR22" s="227">
        <f t="shared" si="497"/>
        <v>0</v>
      </c>
      <c r="BS22" s="138">
        <f t="shared" ref="BS22:BS29" si="528">BQ22*BR22</f>
        <v>0</v>
      </c>
      <c r="BT22" s="110">
        <f t="shared" ref="BT22:BT29" si="529">BS22*BN22</f>
        <v>0</v>
      </c>
      <c r="BU22" s="110"/>
      <c r="BV22" s="139"/>
      <c r="BW22" s="140">
        <f t="shared" ref="BW22:BW29" si="530">BS22/$LI22</f>
        <v>0</v>
      </c>
      <c r="BX22" s="144">
        <f>'прил № 3 (01.01.23)'!FC1329</f>
        <v>401</v>
      </c>
      <c r="BY22" s="225">
        <f t="shared" ref="BY22:BY29" si="531">BX22/BX$10</f>
        <v>0.50888</v>
      </c>
      <c r="BZ22" s="226">
        <f t="shared" ref="BZ22:BZ29" si="532">BZ$10*BY22</f>
        <v>0</v>
      </c>
      <c r="CA22" s="137">
        <f t="shared" ref="CA22:CA29" si="533">IF(BX22&gt;0,BZ22/BX22,0)</f>
        <v>0</v>
      </c>
      <c r="CB22" s="227">
        <f t="shared" si="497"/>
        <v>0</v>
      </c>
      <c r="CC22" s="138">
        <f t="shared" ref="CC22:CC29" si="534">CA22*CB22</f>
        <v>0</v>
      </c>
      <c r="CD22" s="110">
        <f t="shared" ref="CD22:CD29" si="535">CC22*BX22</f>
        <v>0</v>
      </c>
      <c r="CE22" s="110"/>
      <c r="CF22" s="139"/>
      <c r="CG22" s="140">
        <f t="shared" ref="CG22:CG29" si="536">CC22/$LI22</f>
        <v>0</v>
      </c>
      <c r="CH22" s="144">
        <f>'прил № 3 (01.01.23)'!FX1329</f>
        <v>428</v>
      </c>
      <c r="CI22" s="225">
        <f t="shared" ref="CI22:CI29" si="537">CH22/CH$10</f>
        <v>0.4632</v>
      </c>
      <c r="CJ22" s="226">
        <f t="shared" ref="CJ22:CJ29" si="538">CJ$10*CI22</f>
        <v>0</v>
      </c>
      <c r="CK22" s="137">
        <f t="shared" ref="CK22:CK29" si="539">IF(CH22&gt;0,CJ22/CH22,0)</f>
        <v>0</v>
      </c>
      <c r="CL22" s="227">
        <f t="shared" ref="CL22:ET29" si="540">CL$10</f>
        <v>0</v>
      </c>
      <c r="CM22" s="138">
        <f t="shared" ref="CM22:CM29" si="541">CK22*CL22</f>
        <v>0</v>
      </c>
      <c r="CN22" s="110">
        <f t="shared" ref="CN22:CN29" si="542">CM22*CH22</f>
        <v>0</v>
      </c>
      <c r="CO22" s="110"/>
      <c r="CP22" s="139"/>
      <c r="CQ22" s="140">
        <f t="shared" ref="CQ22:CQ29" si="543">CM22/$LI22</f>
        <v>0</v>
      </c>
      <c r="CR22" s="144">
        <f>'прил № 3 (01.01.23)'!GS1329</f>
        <v>362</v>
      </c>
      <c r="CS22" s="225">
        <f t="shared" ref="CS22:CS29" si="544">CR22/CR$10</f>
        <v>0.48655999999999999</v>
      </c>
      <c r="CT22" s="226">
        <f t="shared" ref="CT22:CT29" si="545">CT$10*CS22</f>
        <v>0</v>
      </c>
      <c r="CU22" s="137">
        <f t="shared" ref="CU22:CU29" si="546">IF(CR22&gt;0,CT22/CR22,0)</f>
        <v>0</v>
      </c>
      <c r="CV22" s="227">
        <f t="shared" si="540"/>
        <v>0</v>
      </c>
      <c r="CW22" s="138">
        <f t="shared" ref="CW22:CW29" si="547">CU22*CV22</f>
        <v>0</v>
      </c>
      <c r="CX22" s="110">
        <f t="shared" ref="CX22:CX29" si="548">CW22*CR22</f>
        <v>0</v>
      </c>
      <c r="CY22" s="110"/>
      <c r="CZ22" s="139"/>
      <c r="DA22" s="140">
        <f t="shared" ref="DA22:DA29" si="549">CW22/$LI22</f>
        <v>0</v>
      </c>
      <c r="DB22" s="144">
        <f>'прил № 3 (01.01.23)'!HN1329</f>
        <v>380</v>
      </c>
      <c r="DC22" s="225">
        <f t="shared" ref="DC22:DC29" si="550">DB22/DB$10</f>
        <v>0.46061000000000002</v>
      </c>
      <c r="DD22" s="226">
        <f t="shared" ref="DD22:DD29" si="551">DD$10*DC22</f>
        <v>0</v>
      </c>
      <c r="DE22" s="137">
        <f t="shared" ref="DE22:DE29" si="552">IF(DB22&gt;0,DD22/DB22,0)</f>
        <v>0</v>
      </c>
      <c r="DF22" s="227">
        <f t="shared" si="540"/>
        <v>0</v>
      </c>
      <c r="DG22" s="138">
        <f t="shared" ref="DG22:DG29" si="553">DE22*DF22</f>
        <v>0</v>
      </c>
      <c r="DH22" s="110">
        <f t="shared" ref="DH22:DH29" si="554">DG22*DB22</f>
        <v>0</v>
      </c>
      <c r="DI22" s="110"/>
      <c r="DJ22" s="139"/>
      <c r="DK22" s="140">
        <f t="shared" ref="DK22:DK29" si="555">DG22/$LI22</f>
        <v>0</v>
      </c>
      <c r="DL22" s="144">
        <f>'прил № 3 (01.01.23)'!II1329</f>
        <v>0</v>
      </c>
      <c r="DM22" s="225">
        <f t="shared" ref="DM22:DM29" si="556">DL22/DL$10</f>
        <v>0</v>
      </c>
      <c r="DN22" s="226">
        <f t="shared" ref="DN22:DN29" si="557">DN$10*DM22</f>
        <v>0</v>
      </c>
      <c r="DO22" s="137">
        <f t="shared" ref="DO22:DO29" si="558">IF(DL22&gt;0,DN22/DL22,0)</f>
        <v>0</v>
      </c>
      <c r="DP22" s="227">
        <f t="shared" si="540"/>
        <v>0</v>
      </c>
      <c r="DQ22" s="138">
        <f t="shared" ref="DQ22:DQ29" si="559">DO22*DP22</f>
        <v>0</v>
      </c>
      <c r="DR22" s="110">
        <f t="shared" ref="DR22:DR29" si="560">DQ22*DL22</f>
        <v>0</v>
      </c>
      <c r="DS22" s="110"/>
      <c r="DT22" s="139"/>
      <c r="DU22" s="140">
        <f t="shared" ref="DU22:DU29" si="561">DQ22/$LI22</f>
        <v>0</v>
      </c>
      <c r="DV22" s="144">
        <f>'прил № 3 (01.01.23)'!JD1329</f>
        <v>427</v>
      </c>
      <c r="DW22" s="225">
        <f t="shared" ref="DW22:DW29" si="562">DV22/DV$10</f>
        <v>0.48632999999999998</v>
      </c>
      <c r="DX22" s="226">
        <f t="shared" ref="DX22:DX29" si="563">DX$10*DW22</f>
        <v>0</v>
      </c>
      <c r="DY22" s="137">
        <f t="shared" ref="DY22:DY29" si="564">IF(DV22&gt;0,DX22/DV22,0)</f>
        <v>0</v>
      </c>
      <c r="DZ22" s="227">
        <f t="shared" si="540"/>
        <v>0</v>
      </c>
      <c r="EA22" s="138">
        <f t="shared" ref="EA22:EA29" si="565">DY22*DZ22</f>
        <v>0</v>
      </c>
      <c r="EB22" s="110">
        <f t="shared" ref="EB22:EB29" si="566">EA22*DV22</f>
        <v>0</v>
      </c>
      <c r="EC22" s="110"/>
      <c r="ED22" s="139"/>
      <c r="EE22" s="140">
        <f t="shared" ref="EE22:EE29" si="567">EA22/$LI22</f>
        <v>0</v>
      </c>
      <c r="EF22" s="144">
        <f>'прил № 3 (01.01.23)'!JY1329</f>
        <v>472</v>
      </c>
      <c r="EG22" s="225">
        <f t="shared" ref="EG22:EG29" si="568">EF22/EF$10</f>
        <v>0.50266</v>
      </c>
      <c r="EH22" s="226">
        <f t="shared" ref="EH22:EH29" si="569">EH$10*EG22</f>
        <v>0</v>
      </c>
      <c r="EI22" s="137">
        <f t="shared" ref="EI22:EI29" si="570">IF(EF22&gt;0,EH22/EF22,0)</f>
        <v>0</v>
      </c>
      <c r="EJ22" s="227">
        <f t="shared" si="540"/>
        <v>0</v>
      </c>
      <c r="EK22" s="138">
        <f t="shared" ref="EK22:EK29" si="571">EI22*EJ22</f>
        <v>0</v>
      </c>
      <c r="EL22" s="110">
        <f t="shared" ref="EL22:EL29" si="572">EK22*EF22</f>
        <v>0</v>
      </c>
      <c r="EM22" s="110"/>
      <c r="EN22" s="139"/>
      <c r="EO22" s="140">
        <f t="shared" ref="EO22:EO29" si="573">EK22/$LI22</f>
        <v>0</v>
      </c>
      <c r="EP22" s="144">
        <f>'прил № 3 (01.01.23)'!KT1329</f>
        <v>448</v>
      </c>
      <c r="EQ22" s="225">
        <f t="shared" ref="EQ22:EQ29" si="574">EP22/EP$10</f>
        <v>0.47508</v>
      </c>
      <c r="ER22" s="226">
        <f t="shared" ref="ER22:ER29" si="575">ER$10*EQ22</f>
        <v>0</v>
      </c>
      <c r="ES22" s="137">
        <f t="shared" ref="ES22:ES29" si="576">IF(EP22&gt;0,ER22/EP22,0)</f>
        <v>0</v>
      </c>
      <c r="ET22" s="227">
        <f t="shared" si="540"/>
        <v>0</v>
      </c>
      <c r="EU22" s="138">
        <f t="shared" ref="EU22:EU29" si="577">ES22*ET22</f>
        <v>0</v>
      </c>
      <c r="EV22" s="110">
        <f t="shared" ref="EV22:EV29" si="578">EU22*EP22</f>
        <v>0</v>
      </c>
      <c r="EW22" s="110"/>
      <c r="EX22" s="139"/>
      <c r="EY22" s="140">
        <f t="shared" ref="EY22:EY29" si="579">EU22/$LI22</f>
        <v>0</v>
      </c>
      <c r="EZ22" s="144">
        <f>'прил № 3 (01.01.23)'!LO1329</f>
        <v>443</v>
      </c>
      <c r="FA22" s="225">
        <f t="shared" ref="FA22:FA29" si="580">EZ22/EZ$10</f>
        <v>0.39660000000000001</v>
      </c>
      <c r="FB22" s="226">
        <f t="shared" ref="FB22:FB29" si="581">FB$10*FA22</f>
        <v>25660.02</v>
      </c>
      <c r="FC22" s="137">
        <f t="shared" ref="FC22:FC29" si="582">IF(EZ22&gt;0,FB22/EZ22,0)</f>
        <v>57.923295709999998</v>
      </c>
      <c r="FD22" s="227">
        <f t="shared" ref="FD22:HL29" si="583">FD$10</f>
        <v>9.92</v>
      </c>
      <c r="FE22" s="138">
        <f t="shared" ref="FE22:FE29" si="584">FC22*FD22</f>
        <v>574.59909000000005</v>
      </c>
      <c r="FF22" s="110">
        <f t="shared" ref="FF22:FF29" si="585">FE22*EZ22</f>
        <v>254547.4</v>
      </c>
      <c r="FG22" s="110"/>
      <c r="FH22" s="139"/>
      <c r="FI22" s="140">
        <f t="shared" ref="FI22:FI29" si="586">FE22/$LI22</f>
        <v>6.9969000000000001</v>
      </c>
      <c r="FJ22" s="144">
        <f>'прил № 3 (01.01.23)'!MJ1329</f>
        <v>508</v>
      </c>
      <c r="FK22" s="225">
        <f t="shared" ref="FK22:FK29" si="587">FJ22/FJ$10</f>
        <v>0.49706</v>
      </c>
      <c r="FL22" s="226">
        <f t="shared" ref="FL22:FL29" si="588">FL$10*FK22</f>
        <v>0</v>
      </c>
      <c r="FM22" s="137">
        <f t="shared" ref="FM22:FM29" si="589">IF(FJ22&gt;0,FL22/FJ22,0)</f>
        <v>0</v>
      </c>
      <c r="FN22" s="227">
        <f t="shared" si="583"/>
        <v>0</v>
      </c>
      <c r="FO22" s="138">
        <f t="shared" ref="FO22:FO29" si="590">FM22*FN22</f>
        <v>0</v>
      </c>
      <c r="FP22" s="110">
        <f t="shared" ref="FP22:FP29" si="591">FO22*FJ22</f>
        <v>0</v>
      </c>
      <c r="FQ22" s="110"/>
      <c r="FR22" s="139"/>
      <c r="FS22" s="140">
        <f t="shared" ref="FS22:FS29" si="592">FO22/$LI22</f>
        <v>0</v>
      </c>
      <c r="FT22" s="144">
        <f>'прил № 3 (01.01.23)'!NE1329</f>
        <v>377</v>
      </c>
      <c r="FU22" s="225">
        <f t="shared" ref="FU22:FU29" si="593">FT22/FT$10</f>
        <v>0.46949000000000002</v>
      </c>
      <c r="FV22" s="226">
        <f t="shared" ref="FV22:FV29" si="594">FV$10*FU22</f>
        <v>0</v>
      </c>
      <c r="FW22" s="137">
        <f t="shared" ref="FW22:FW29" si="595">IF(FT22&gt;0,FV22/FT22,0)</f>
        <v>0</v>
      </c>
      <c r="FX22" s="227">
        <f t="shared" si="583"/>
        <v>0</v>
      </c>
      <c r="FY22" s="138">
        <f t="shared" ref="FY22:FY29" si="596">FW22*FX22</f>
        <v>0</v>
      </c>
      <c r="FZ22" s="110">
        <f t="shared" ref="FZ22:FZ29" si="597">FY22*FT22</f>
        <v>0</v>
      </c>
      <c r="GA22" s="110"/>
      <c r="GB22" s="139"/>
      <c r="GC22" s="140">
        <f t="shared" ref="GC22:GC29" si="598">FY22/$LI22</f>
        <v>0</v>
      </c>
      <c r="GD22" s="144">
        <f>'прил № 3 (01.01.23)'!NZ1329</f>
        <v>244</v>
      </c>
      <c r="GE22" s="225">
        <f t="shared" ref="GE22:GE29" si="599">GD22/GD$10</f>
        <v>0.47655999999999998</v>
      </c>
      <c r="GF22" s="226">
        <f t="shared" ref="GF22:GF29" si="600">GF$10*GE22</f>
        <v>30213.9</v>
      </c>
      <c r="GG22" s="137">
        <f t="shared" ref="GG22:GG29" si="601">IF(GD22&gt;0,GF22/GD22,0)</f>
        <v>123.82745902000001</v>
      </c>
      <c r="GH22" s="227">
        <f t="shared" si="583"/>
        <v>9.92</v>
      </c>
      <c r="GI22" s="138">
        <f t="shared" ref="GI22:GI29" si="602">GG22*GH22</f>
        <v>1228.3683900000001</v>
      </c>
      <c r="GJ22" s="110">
        <f t="shared" ref="GJ22:GJ29" si="603">GI22*GD22</f>
        <v>299721.89</v>
      </c>
      <c r="GK22" s="110"/>
      <c r="GL22" s="139"/>
      <c r="GM22" s="140">
        <f t="shared" ref="GM22:GM29" si="604">GI22/$LI22</f>
        <v>14.95786</v>
      </c>
      <c r="GN22" s="144">
        <f>'прил № 3 (01.01.23)'!OU1329</f>
        <v>413</v>
      </c>
      <c r="GO22" s="225">
        <f t="shared" ref="GO22:GO29" si="605">GN22/GN$10</f>
        <v>0.47800999999999999</v>
      </c>
      <c r="GP22" s="226">
        <f t="shared" ref="GP22:GP29" si="606">GP$10*GO22</f>
        <v>0</v>
      </c>
      <c r="GQ22" s="137">
        <f t="shared" ref="GQ22:GQ29" si="607">IF(GN22&gt;0,GP22/GN22,0)</f>
        <v>0</v>
      </c>
      <c r="GR22" s="227">
        <f t="shared" si="583"/>
        <v>0</v>
      </c>
      <c r="GS22" s="138">
        <f t="shared" ref="GS22:GS29" si="608">GQ22*GR22</f>
        <v>0</v>
      </c>
      <c r="GT22" s="110">
        <f t="shared" ref="GT22:GT29" si="609">GS22*GN22</f>
        <v>0</v>
      </c>
      <c r="GU22" s="110"/>
      <c r="GV22" s="139"/>
      <c r="GW22" s="140">
        <f t="shared" ref="GW22:GW29" si="610">GS22/$LI22</f>
        <v>0</v>
      </c>
      <c r="GX22" s="144">
        <f>'прил № 3 (01.01.23)'!PP1329</f>
        <v>742</v>
      </c>
      <c r="GY22" s="225">
        <f t="shared" ref="GY22:GY29" si="611">GX22/GX$10</f>
        <v>0.45773999999999998</v>
      </c>
      <c r="GZ22" s="226">
        <f t="shared" ref="GZ22:GZ29" si="612">GZ$10*GY22</f>
        <v>49527.47</v>
      </c>
      <c r="HA22" s="137">
        <f t="shared" ref="HA22:HA29" si="613">IF(GX22&gt;0,GZ22/GX22,0)</f>
        <v>66.748611859999997</v>
      </c>
      <c r="HB22" s="227">
        <f t="shared" si="583"/>
        <v>9.92</v>
      </c>
      <c r="HC22" s="138">
        <f t="shared" ref="HC22:HC29" si="614">HA22*HB22</f>
        <v>662.14622999999995</v>
      </c>
      <c r="HD22" s="110">
        <f t="shared" ref="HD22:HD29" si="615">HC22*GX22</f>
        <v>491312.5</v>
      </c>
      <c r="HE22" s="110"/>
      <c r="HF22" s="139"/>
      <c r="HG22" s="140">
        <f t="shared" ref="HG22:HG29" si="616">HC22/$LI22</f>
        <v>8.06297</v>
      </c>
      <c r="HH22" s="144">
        <f>'прил № 3 (01.01.23)'!QK1329</f>
        <v>536</v>
      </c>
      <c r="HI22" s="225">
        <f t="shared" ref="HI22:HI29" si="617">HH22/HH$10</f>
        <v>0.46528000000000003</v>
      </c>
      <c r="HJ22" s="226">
        <f t="shared" ref="HJ22:HJ29" si="618">HJ$10*HI22</f>
        <v>0</v>
      </c>
      <c r="HK22" s="137">
        <f t="shared" ref="HK22:HK29" si="619">IF(HH22&gt;0,HJ22/HH22,0)</f>
        <v>0</v>
      </c>
      <c r="HL22" s="227">
        <f t="shared" si="583"/>
        <v>0</v>
      </c>
      <c r="HM22" s="138">
        <f t="shared" ref="HM22:HM29" si="620">HK22*HL22</f>
        <v>0</v>
      </c>
      <c r="HN22" s="110">
        <f t="shared" ref="HN22:HN29" si="621">HM22*HH22</f>
        <v>0</v>
      </c>
      <c r="HO22" s="110"/>
      <c r="HP22" s="139"/>
      <c r="HQ22" s="140">
        <f t="shared" ref="HQ22:HQ29" si="622">HM22/$LI22</f>
        <v>0</v>
      </c>
      <c r="HR22" s="144">
        <f>'прил № 3 (01.01.23)'!RF1329</f>
        <v>396</v>
      </c>
      <c r="HS22" s="225">
        <f t="shared" ref="HS22:HS29" si="623">HR22/HR$10</f>
        <v>0.50253999999999999</v>
      </c>
      <c r="HT22" s="226">
        <f t="shared" ref="HT22:HT29" si="624">HT$10*HS22</f>
        <v>0</v>
      </c>
      <c r="HU22" s="137">
        <f t="shared" ref="HU22:HU29" si="625">IF(HR22&gt;0,HT22/HR22,0)</f>
        <v>0</v>
      </c>
      <c r="HV22" s="227">
        <f t="shared" ref="HV22:KD29" si="626">HV$10</f>
        <v>0</v>
      </c>
      <c r="HW22" s="138">
        <f t="shared" ref="HW22:HW29" si="627">HU22*HV22</f>
        <v>0</v>
      </c>
      <c r="HX22" s="110">
        <f t="shared" ref="HX22:HX29" si="628">HW22*HR22</f>
        <v>0</v>
      </c>
      <c r="HY22" s="110"/>
      <c r="HZ22" s="139"/>
      <c r="IA22" s="140">
        <f t="shared" ref="IA22:IA29" si="629">HW22/$LI22</f>
        <v>0</v>
      </c>
      <c r="IB22" s="144">
        <f>'прил № 3 (01.01.23)'!SA1329</f>
        <v>242</v>
      </c>
      <c r="IC22" s="225">
        <f t="shared" ref="IC22:IC29" si="630">IB22/IB$10</f>
        <v>0.44161</v>
      </c>
      <c r="ID22" s="226">
        <f t="shared" ref="ID22:ID29" si="631">ID$10*IC22</f>
        <v>0</v>
      </c>
      <c r="IE22" s="137">
        <f t="shared" ref="IE22:IE29" si="632">IF(IB22&gt;0,ID22/IB22,0)</f>
        <v>0</v>
      </c>
      <c r="IF22" s="227">
        <f t="shared" si="626"/>
        <v>0</v>
      </c>
      <c r="IG22" s="138">
        <f t="shared" ref="IG22:IG29" si="633">IE22*IF22</f>
        <v>0</v>
      </c>
      <c r="IH22" s="110">
        <f t="shared" ref="IH22:IH29" si="634">IG22*IB22</f>
        <v>0</v>
      </c>
      <c r="II22" s="110"/>
      <c r="IJ22" s="139"/>
      <c r="IK22" s="140">
        <f t="shared" ref="IK22:IK29" si="635">IG22/$LI22</f>
        <v>0</v>
      </c>
      <c r="IL22" s="144">
        <f>'прил № 3 (01.01.23)'!SV1329</f>
        <v>584</v>
      </c>
      <c r="IM22" s="225">
        <f t="shared" ref="IM22:IM29" si="636">IL22/IL$10</f>
        <v>0.46166000000000001</v>
      </c>
      <c r="IN22" s="226">
        <f t="shared" ref="IN22:IN29" si="637">IN$10*IM22</f>
        <v>0</v>
      </c>
      <c r="IO22" s="137">
        <f t="shared" ref="IO22:IO29" si="638">IF(IL22&gt;0,IN22/IL22,0)</f>
        <v>0</v>
      </c>
      <c r="IP22" s="227">
        <f t="shared" si="626"/>
        <v>0</v>
      </c>
      <c r="IQ22" s="138">
        <f t="shared" ref="IQ22:IQ29" si="639">IO22*IP22</f>
        <v>0</v>
      </c>
      <c r="IR22" s="110">
        <f t="shared" ref="IR22:IR29" si="640">IQ22*IL22</f>
        <v>0</v>
      </c>
      <c r="IS22" s="110"/>
      <c r="IT22" s="139"/>
      <c r="IU22" s="140">
        <f t="shared" ref="IU22:IU29" si="641">IQ22/$LI22</f>
        <v>0</v>
      </c>
      <c r="IV22" s="144">
        <f>'прил № 3 (01.01.23)'!TQ1329</f>
        <v>404</v>
      </c>
      <c r="IW22" s="225">
        <f t="shared" ref="IW22:IW29" si="642">IV22/IV$10</f>
        <v>0.52398999999999996</v>
      </c>
      <c r="IX22" s="226">
        <f t="shared" ref="IX22:IX29" si="643">IX$10*IW22</f>
        <v>0</v>
      </c>
      <c r="IY22" s="137">
        <f t="shared" ref="IY22:IY29" si="644">IF(IV22&gt;0,IX22/IV22,0)</f>
        <v>0</v>
      </c>
      <c r="IZ22" s="227">
        <f t="shared" si="626"/>
        <v>0</v>
      </c>
      <c r="JA22" s="138">
        <f t="shared" ref="JA22:JA29" si="645">IY22*IZ22</f>
        <v>0</v>
      </c>
      <c r="JB22" s="110">
        <f t="shared" ref="JB22:JB29" si="646">JA22*IV22</f>
        <v>0</v>
      </c>
      <c r="JC22" s="110"/>
      <c r="JD22" s="139"/>
      <c r="JE22" s="140">
        <f t="shared" ref="JE22:JE29" si="647">JA22/$LI22</f>
        <v>0</v>
      </c>
      <c r="JF22" s="144">
        <f>'прил № 3 (01.01.23)'!UL1329</f>
        <v>617</v>
      </c>
      <c r="JG22" s="225">
        <f t="shared" ref="JG22:JG29" si="648">JF22/JF$10</f>
        <v>0.46010000000000001</v>
      </c>
      <c r="JH22" s="226">
        <f t="shared" ref="JH22:JH29" si="649">JH$10*JG22</f>
        <v>0</v>
      </c>
      <c r="JI22" s="137">
        <f t="shared" ref="JI22:JI29" si="650">IF(JF22&gt;0,JH22/JF22,0)</f>
        <v>0</v>
      </c>
      <c r="JJ22" s="227">
        <f t="shared" si="626"/>
        <v>0</v>
      </c>
      <c r="JK22" s="138">
        <f t="shared" ref="JK22:JK29" si="651">JI22*JJ22</f>
        <v>0</v>
      </c>
      <c r="JL22" s="110">
        <f t="shared" ref="JL22:JL29" si="652">JK22*JF22</f>
        <v>0</v>
      </c>
      <c r="JM22" s="110"/>
      <c r="JN22" s="139"/>
      <c r="JO22" s="140">
        <f t="shared" ref="JO22:JO29" si="653">JK22/$LI22</f>
        <v>0</v>
      </c>
      <c r="JP22" s="144">
        <f>'прил № 3 (01.01.23)'!VG1329</f>
        <v>581</v>
      </c>
      <c r="JQ22" s="225">
        <f t="shared" ref="JQ22:JQ29" si="654">JP22/JP$10</f>
        <v>0.46516999999999997</v>
      </c>
      <c r="JR22" s="226">
        <f t="shared" ref="JR22:JR29" si="655">JR$10*JQ22</f>
        <v>0</v>
      </c>
      <c r="JS22" s="137">
        <f t="shared" ref="JS22:JS29" si="656">IF(JP22&gt;0,JR22/JP22,0)</f>
        <v>0</v>
      </c>
      <c r="JT22" s="227">
        <f t="shared" si="626"/>
        <v>0</v>
      </c>
      <c r="JU22" s="138">
        <f t="shared" ref="JU22:JU29" si="657">JS22*JT22</f>
        <v>0</v>
      </c>
      <c r="JV22" s="110">
        <f t="shared" ref="JV22:JV29" si="658">JU22*JP22</f>
        <v>0</v>
      </c>
      <c r="JW22" s="110"/>
      <c r="JX22" s="139"/>
      <c r="JY22" s="140">
        <f t="shared" ref="JY22:JY29" si="659">JU22/$LI22</f>
        <v>0</v>
      </c>
      <c r="JZ22" s="144">
        <f>'прил № 3 (01.01.23)'!WB1329</f>
        <v>520</v>
      </c>
      <c r="KA22" s="225">
        <f t="shared" ref="KA22:KA29" si="660">JZ22/JZ$10</f>
        <v>0.44712000000000002</v>
      </c>
      <c r="KB22" s="226">
        <f t="shared" ref="KB22:KB29" si="661">KB$10*KA22</f>
        <v>0</v>
      </c>
      <c r="KC22" s="137">
        <f t="shared" ref="KC22:KC29" si="662">IF(JZ22&gt;0,KB22/JZ22,0)</f>
        <v>0</v>
      </c>
      <c r="KD22" s="227">
        <f t="shared" si="626"/>
        <v>0</v>
      </c>
      <c r="KE22" s="138">
        <f t="shared" ref="KE22:KE29" si="663">KC22*KD22</f>
        <v>0</v>
      </c>
      <c r="KF22" s="110">
        <f t="shared" ref="KF22:KF29" si="664">KE22*JZ22</f>
        <v>0</v>
      </c>
      <c r="KG22" s="110"/>
      <c r="KH22" s="139"/>
      <c r="KI22" s="140">
        <f t="shared" ref="KI22:KI29" si="665">KE22/$LI22</f>
        <v>0</v>
      </c>
      <c r="KJ22" s="144">
        <f>'прил № 3 (01.01.23)'!WW1329</f>
        <v>595</v>
      </c>
      <c r="KK22" s="225">
        <f t="shared" ref="KK22:KK29" si="666">KJ22/KJ$10</f>
        <v>0.44369999999999998</v>
      </c>
      <c r="KL22" s="226">
        <f t="shared" ref="KL22:KL29" si="667">KL$10*KK22</f>
        <v>0</v>
      </c>
      <c r="KM22" s="137">
        <f t="shared" ref="KM22:KM29" si="668">IF(KJ22&gt;0,KL22/KJ22,0)</f>
        <v>0</v>
      </c>
      <c r="KN22" s="227">
        <f t="shared" ref="KN22:KX29" si="669">KN$10</f>
        <v>0</v>
      </c>
      <c r="KO22" s="138">
        <f t="shared" ref="KO22:KO29" si="670">KM22*KN22</f>
        <v>0</v>
      </c>
      <c r="KP22" s="110">
        <f t="shared" ref="KP22:KP29" si="671">KO22*KJ22</f>
        <v>0</v>
      </c>
      <c r="KQ22" s="110"/>
      <c r="KR22" s="139"/>
      <c r="KS22" s="140">
        <f t="shared" ref="KS22:KS29" si="672">KO22/$LI22</f>
        <v>0</v>
      </c>
      <c r="KT22" s="144">
        <f>'прил № 3 (01.01.23)'!XR1329</f>
        <v>509</v>
      </c>
      <c r="KU22" s="225">
        <f t="shared" ref="KU22:KU29" si="673">KT22/KT$10</f>
        <v>0.45284999999999997</v>
      </c>
      <c r="KV22" s="226">
        <f t="shared" ref="KV22:KV29" si="674">KV$10*KU22</f>
        <v>0</v>
      </c>
      <c r="KW22" s="137">
        <f t="shared" ref="KW22:KW29" si="675">IF(KT22&gt;0,KV22/KT22,0)</f>
        <v>0</v>
      </c>
      <c r="KX22" s="227">
        <f t="shared" si="669"/>
        <v>0</v>
      </c>
      <c r="KY22" s="138">
        <f t="shared" ref="KY22:KY29" si="676">KW22*KX22</f>
        <v>0</v>
      </c>
      <c r="KZ22" s="110">
        <f t="shared" ref="KZ22:KZ29" si="677">KY22*KT22</f>
        <v>0</v>
      </c>
      <c r="LA22" s="110"/>
      <c r="LB22" s="139"/>
      <c r="LC22" s="140">
        <f t="shared" ref="LC22:LC29" si="678">KY22/$LI22</f>
        <v>0</v>
      </c>
      <c r="LD22" s="197">
        <f t="shared" si="484"/>
        <v>13279</v>
      </c>
      <c r="LE22" s="225">
        <f t="shared" si="485"/>
        <v>0.46521000000000001</v>
      </c>
      <c r="LF22" s="226">
        <f t="shared" si="486"/>
        <v>109929.12</v>
      </c>
      <c r="LG22" s="137">
        <f t="shared" si="487"/>
        <v>8.2784185600000004</v>
      </c>
      <c r="LH22" s="227">
        <f t="shared" si="488"/>
        <v>9.92</v>
      </c>
      <c r="LI22" s="138">
        <f t="shared" si="489"/>
        <v>82.12191</v>
      </c>
      <c r="LJ22" s="110">
        <f t="shared" si="490"/>
        <v>1090496.8400000001</v>
      </c>
      <c r="LK22" s="110"/>
      <c r="LL22" s="139"/>
    </row>
    <row r="23" spans="1:324" ht="16.5" hidden="1" customHeight="1" x14ac:dyDescent="0.25">
      <c r="A23" s="246"/>
      <c r="B23" s="93" t="s">
        <v>610</v>
      </c>
      <c r="C23" s="12" t="s">
        <v>727</v>
      </c>
      <c r="D23" s="12" t="s">
        <v>427</v>
      </c>
      <c r="E23" s="4" t="s">
        <v>32</v>
      </c>
      <c r="F23" s="144">
        <f>'прил № 3 (01.01.23)'!L1330</f>
        <v>0</v>
      </c>
      <c r="G23" s="225">
        <f t="shared" si="491"/>
        <v>0</v>
      </c>
      <c r="H23" s="226">
        <f t="shared" si="492"/>
        <v>0</v>
      </c>
      <c r="I23" s="137">
        <f t="shared" si="270"/>
        <v>0</v>
      </c>
      <c r="J23" s="227">
        <f t="shared" si="493"/>
        <v>0</v>
      </c>
      <c r="K23" s="138">
        <f t="shared" si="271"/>
        <v>0</v>
      </c>
      <c r="L23" s="110">
        <f t="shared" si="272"/>
        <v>0</v>
      </c>
      <c r="M23" s="110"/>
      <c r="N23" s="139"/>
      <c r="O23" s="140" t="e">
        <f t="shared" si="273"/>
        <v>#DIV/0!</v>
      </c>
      <c r="P23" s="144">
        <f>'прил № 3 (01.01.23)'!AG1330</f>
        <v>0</v>
      </c>
      <c r="Q23" s="225">
        <f t="shared" si="494"/>
        <v>0</v>
      </c>
      <c r="R23" s="226">
        <f t="shared" si="495"/>
        <v>0</v>
      </c>
      <c r="S23" s="137">
        <f t="shared" si="496"/>
        <v>0</v>
      </c>
      <c r="T23" s="227">
        <f t="shared" si="497"/>
        <v>0</v>
      </c>
      <c r="U23" s="138">
        <f t="shared" si="498"/>
        <v>0</v>
      </c>
      <c r="V23" s="110">
        <f t="shared" si="499"/>
        <v>0</v>
      </c>
      <c r="W23" s="110"/>
      <c r="X23" s="139"/>
      <c r="Y23" s="140" t="e">
        <f t="shared" si="500"/>
        <v>#DIV/0!</v>
      </c>
      <c r="Z23" s="144">
        <f>'прил № 3 (01.01.23)'!BB1330</f>
        <v>0</v>
      </c>
      <c r="AA23" s="225">
        <f t="shared" si="501"/>
        <v>0</v>
      </c>
      <c r="AB23" s="226">
        <f t="shared" si="502"/>
        <v>0</v>
      </c>
      <c r="AC23" s="137">
        <f t="shared" si="503"/>
        <v>0</v>
      </c>
      <c r="AD23" s="227">
        <f t="shared" si="497"/>
        <v>0</v>
      </c>
      <c r="AE23" s="138">
        <f t="shared" si="504"/>
        <v>0</v>
      </c>
      <c r="AF23" s="110">
        <f t="shared" si="505"/>
        <v>0</v>
      </c>
      <c r="AG23" s="110"/>
      <c r="AH23" s="139"/>
      <c r="AI23" s="140" t="e">
        <f t="shared" si="506"/>
        <v>#DIV/0!</v>
      </c>
      <c r="AJ23" s="144">
        <f>'прил № 3 (01.01.23)'!BW1330</f>
        <v>0</v>
      </c>
      <c r="AK23" s="225">
        <f t="shared" si="507"/>
        <v>0</v>
      </c>
      <c r="AL23" s="226">
        <f t="shared" si="508"/>
        <v>0</v>
      </c>
      <c r="AM23" s="137">
        <f t="shared" si="509"/>
        <v>0</v>
      </c>
      <c r="AN23" s="227">
        <f t="shared" si="497"/>
        <v>0</v>
      </c>
      <c r="AO23" s="138">
        <f t="shared" si="510"/>
        <v>0</v>
      </c>
      <c r="AP23" s="110">
        <f t="shared" si="511"/>
        <v>0</v>
      </c>
      <c r="AQ23" s="110"/>
      <c r="AR23" s="139"/>
      <c r="AS23" s="140" t="e">
        <f t="shared" si="512"/>
        <v>#DIV/0!</v>
      </c>
      <c r="AT23" s="144">
        <f>'прил № 3 (01.01.23)'!CR1330</f>
        <v>0</v>
      </c>
      <c r="AU23" s="225">
        <f t="shared" si="513"/>
        <v>0</v>
      </c>
      <c r="AV23" s="226">
        <f t="shared" si="514"/>
        <v>0</v>
      </c>
      <c r="AW23" s="137">
        <f t="shared" si="515"/>
        <v>0</v>
      </c>
      <c r="AX23" s="227">
        <f t="shared" si="497"/>
        <v>0</v>
      </c>
      <c r="AY23" s="138">
        <f t="shared" si="516"/>
        <v>0</v>
      </c>
      <c r="AZ23" s="110">
        <f t="shared" si="517"/>
        <v>0</v>
      </c>
      <c r="BA23" s="110"/>
      <c r="BB23" s="139"/>
      <c r="BC23" s="140" t="e">
        <f t="shared" si="518"/>
        <v>#DIV/0!</v>
      </c>
      <c r="BD23" s="144">
        <f>'прил № 3 (01.01.23)'!DM1330</f>
        <v>0</v>
      </c>
      <c r="BE23" s="225">
        <f t="shared" si="519"/>
        <v>0</v>
      </c>
      <c r="BF23" s="226">
        <f t="shared" si="520"/>
        <v>0</v>
      </c>
      <c r="BG23" s="137">
        <f t="shared" si="521"/>
        <v>0</v>
      </c>
      <c r="BH23" s="227">
        <f t="shared" si="497"/>
        <v>0</v>
      </c>
      <c r="BI23" s="138">
        <f t="shared" si="522"/>
        <v>0</v>
      </c>
      <c r="BJ23" s="110">
        <f t="shared" si="523"/>
        <v>0</v>
      </c>
      <c r="BK23" s="110"/>
      <c r="BL23" s="139"/>
      <c r="BM23" s="140" t="e">
        <f t="shared" si="524"/>
        <v>#DIV/0!</v>
      </c>
      <c r="BN23" s="144">
        <f>'прил № 3 (01.01.23)'!EH1330</f>
        <v>0</v>
      </c>
      <c r="BO23" s="225">
        <f t="shared" si="525"/>
        <v>0</v>
      </c>
      <c r="BP23" s="226">
        <f t="shared" si="526"/>
        <v>0</v>
      </c>
      <c r="BQ23" s="137">
        <f t="shared" si="527"/>
        <v>0</v>
      </c>
      <c r="BR23" s="227">
        <f t="shared" si="497"/>
        <v>0</v>
      </c>
      <c r="BS23" s="138">
        <f t="shared" si="528"/>
        <v>0</v>
      </c>
      <c r="BT23" s="110">
        <f t="shared" si="529"/>
        <v>0</v>
      </c>
      <c r="BU23" s="110"/>
      <c r="BV23" s="139"/>
      <c r="BW23" s="140" t="e">
        <f t="shared" si="530"/>
        <v>#DIV/0!</v>
      </c>
      <c r="BX23" s="144">
        <f>'прил № 3 (01.01.23)'!FC1330</f>
        <v>0</v>
      </c>
      <c r="BY23" s="225">
        <f t="shared" si="531"/>
        <v>0</v>
      </c>
      <c r="BZ23" s="226">
        <f t="shared" si="532"/>
        <v>0</v>
      </c>
      <c r="CA23" s="137">
        <f t="shared" si="533"/>
        <v>0</v>
      </c>
      <c r="CB23" s="227">
        <f t="shared" si="497"/>
        <v>0</v>
      </c>
      <c r="CC23" s="138">
        <f t="shared" si="534"/>
        <v>0</v>
      </c>
      <c r="CD23" s="110">
        <f t="shared" si="535"/>
        <v>0</v>
      </c>
      <c r="CE23" s="110"/>
      <c r="CF23" s="139"/>
      <c r="CG23" s="140" t="e">
        <f t="shared" si="536"/>
        <v>#DIV/0!</v>
      </c>
      <c r="CH23" s="144">
        <f>'прил № 3 (01.01.23)'!FX1330</f>
        <v>0</v>
      </c>
      <c r="CI23" s="225">
        <f t="shared" si="537"/>
        <v>0</v>
      </c>
      <c r="CJ23" s="226">
        <f t="shared" si="538"/>
        <v>0</v>
      </c>
      <c r="CK23" s="137">
        <f t="shared" si="539"/>
        <v>0</v>
      </c>
      <c r="CL23" s="227">
        <f t="shared" si="540"/>
        <v>0</v>
      </c>
      <c r="CM23" s="138">
        <f t="shared" si="541"/>
        <v>0</v>
      </c>
      <c r="CN23" s="110">
        <f t="shared" si="542"/>
        <v>0</v>
      </c>
      <c r="CO23" s="110"/>
      <c r="CP23" s="139"/>
      <c r="CQ23" s="140" t="e">
        <f t="shared" si="543"/>
        <v>#DIV/0!</v>
      </c>
      <c r="CR23" s="144">
        <f>'прил № 3 (01.01.23)'!GS1330</f>
        <v>0</v>
      </c>
      <c r="CS23" s="225">
        <f t="shared" si="544"/>
        <v>0</v>
      </c>
      <c r="CT23" s="226">
        <f t="shared" si="545"/>
        <v>0</v>
      </c>
      <c r="CU23" s="137">
        <f t="shared" si="546"/>
        <v>0</v>
      </c>
      <c r="CV23" s="227">
        <f t="shared" si="540"/>
        <v>0</v>
      </c>
      <c r="CW23" s="138">
        <f t="shared" si="547"/>
        <v>0</v>
      </c>
      <c r="CX23" s="110">
        <f t="shared" si="548"/>
        <v>0</v>
      </c>
      <c r="CY23" s="110"/>
      <c r="CZ23" s="139"/>
      <c r="DA23" s="140" t="e">
        <f t="shared" si="549"/>
        <v>#DIV/0!</v>
      </c>
      <c r="DB23" s="144">
        <f>'прил № 3 (01.01.23)'!HN1330</f>
        <v>0</v>
      </c>
      <c r="DC23" s="225">
        <f t="shared" si="550"/>
        <v>0</v>
      </c>
      <c r="DD23" s="226">
        <f t="shared" si="551"/>
        <v>0</v>
      </c>
      <c r="DE23" s="137">
        <f t="shared" si="552"/>
        <v>0</v>
      </c>
      <c r="DF23" s="227">
        <f t="shared" si="540"/>
        <v>0</v>
      </c>
      <c r="DG23" s="138">
        <f t="shared" si="553"/>
        <v>0</v>
      </c>
      <c r="DH23" s="110">
        <f t="shared" si="554"/>
        <v>0</v>
      </c>
      <c r="DI23" s="110"/>
      <c r="DJ23" s="139"/>
      <c r="DK23" s="140" t="e">
        <f t="shared" si="555"/>
        <v>#DIV/0!</v>
      </c>
      <c r="DL23" s="144">
        <f>'прил № 3 (01.01.23)'!II1330</f>
        <v>0</v>
      </c>
      <c r="DM23" s="225">
        <f t="shared" si="556"/>
        <v>0</v>
      </c>
      <c r="DN23" s="226">
        <f t="shared" si="557"/>
        <v>0</v>
      </c>
      <c r="DO23" s="137">
        <f t="shared" si="558"/>
        <v>0</v>
      </c>
      <c r="DP23" s="227">
        <f t="shared" si="540"/>
        <v>0</v>
      </c>
      <c r="DQ23" s="138">
        <f t="shared" si="559"/>
        <v>0</v>
      </c>
      <c r="DR23" s="110">
        <f t="shared" si="560"/>
        <v>0</v>
      </c>
      <c r="DS23" s="110"/>
      <c r="DT23" s="139"/>
      <c r="DU23" s="140" t="e">
        <f t="shared" si="561"/>
        <v>#DIV/0!</v>
      </c>
      <c r="DV23" s="144">
        <f>'прил № 3 (01.01.23)'!JD1330</f>
        <v>0</v>
      </c>
      <c r="DW23" s="225">
        <f t="shared" si="562"/>
        <v>0</v>
      </c>
      <c r="DX23" s="226">
        <f t="shared" si="563"/>
        <v>0</v>
      </c>
      <c r="DY23" s="137">
        <f t="shared" si="564"/>
        <v>0</v>
      </c>
      <c r="DZ23" s="227">
        <f t="shared" si="540"/>
        <v>0</v>
      </c>
      <c r="EA23" s="138">
        <f t="shared" si="565"/>
        <v>0</v>
      </c>
      <c r="EB23" s="110">
        <f t="shared" si="566"/>
        <v>0</v>
      </c>
      <c r="EC23" s="110"/>
      <c r="ED23" s="139"/>
      <c r="EE23" s="140" t="e">
        <f t="shared" si="567"/>
        <v>#DIV/0!</v>
      </c>
      <c r="EF23" s="144">
        <f>'прил № 3 (01.01.23)'!JY1330</f>
        <v>0</v>
      </c>
      <c r="EG23" s="225">
        <f t="shared" si="568"/>
        <v>0</v>
      </c>
      <c r="EH23" s="226">
        <f t="shared" si="569"/>
        <v>0</v>
      </c>
      <c r="EI23" s="137">
        <f t="shared" si="570"/>
        <v>0</v>
      </c>
      <c r="EJ23" s="227">
        <f t="shared" si="540"/>
        <v>0</v>
      </c>
      <c r="EK23" s="138">
        <f t="shared" si="571"/>
        <v>0</v>
      </c>
      <c r="EL23" s="110">
        <f t="shared" si="572"/>
        <v>0</v>
      </c>
      <c r="EM23" s="110"/>
      <c r="EN23" s="139"/>
      <c r="EO23" s="140" t="e">
        <f t="shared" si="573"/>
        <v>#DIV/0!</v>
      </c>
      <c r="EP23" s="144">
        <f>'прил № 3 (01.01.23)'!KT1330</f>
        <v>0</v>
      </c>
      <c r="EQ23" s="225">
        <f t="shared" si="574"/>
        <v>0</v>
      </c>
      <c r="ER23" s="226">
        <f t="shared" si="575"/>
        <v>0</v>
      </c>
      <c r="ES23" s="137">
        <f t="shared" si="576"/>
        <v>0</v>
      </c>
      <c r="ET23" s="227">
        <f t="shared" si="540"/>
        <v>0</v>
      </c>
      <c r="EU23" s="138">
        <f t="shared" si="577"/>
        <v>0</v>
      </c>
      <c r="EV23" s="110">
        <f t="shared" si="578"/>
        <v>0</v>
      </c>
      <c r="EW23" s="110"/>
      <c r="EX23" s="139"/>
      <c r="EY23" s="140" t="e">
        <f t="shared" si="579"/>
        <v>#DIV/0!</v>
      </c>
      <c r="EZ23" s="144">
        <f>'прил № 3 (01.01.23)'!LO1330</f>
        <v>0</v>
      </c>
      <c r="FA23" s="225">
        <f t="shared" si="580"/>
        <v>0</v>
      </c>
      <c r="FB23" s="226">
        <f t="shared" si="581"/>
        <v>0</v>
      </c>
      <c r="FC23" s="137">
        <f t="shared" si="582"/>
        <v>0</v>
      </c>
      <c r="FD23" s="227">
        <f t="shared" si="583"/>
        <v>9.92</v>
      </c>
      <c r="FE23" s="138">
        <f t="shared" si="584"/>
        <v>0</v>
      </c>
      <c r="FF23" s="110">
        <f t="shared" si="585"/>
        <v>0</v>
      </c>
      <c r="FG23" s="110"/>
      <c r="FH23" s="139"/>
      <c r="FI23" s="140" t="e">
        <f t="shared" si="586"/>
        <v>#DIV/0!</v>
      </c>
      <c r="FJ23" s="144">
        <f>'прил № 3 (01.01.23)'!MJ1330</f>
        <v>0</v>
      </c>
      <c r="FK23" s="225">
        <f t="shared" si="587"/>
        <v>0</v>
      </c>
      <c r="FL23" s="226">
        <f t="shared" si="588"/>
        <v>0</v>
      </c>
      <c r="FM23" s="137">
        <f t="shared" si="589"/>
        <v>0</v>
      </c>
      <c r="FN23" s="227">
        <f t="shared" si="583"/>
        <v>0</v>
      </c>
      <c r="FO23" s="138">
        <f t="shared" si="590"/>
        <v>0</v>
      </c>
      <c r="FP23" s="110">
        <f t="shared" si="591"/>
        <v>0</v>
      </c>
      <c r="FQ23" s="110"/>
      <c r="FR23" s="139"/>
      <c r="FS23" s="140" t="e">
        <f t="shared" si="592"/>
        <v>#DIV/0!</v>
      </c>
      <c r="FT23" s="144">
        <f>'прил № 3 (01.01.23)'!NE1330</f>
        <v>0</v>
      </c>
      <c r="FU23" s="225">
        <f t="shared" si="593"/>
        <v>0</v>
      </c>
      <c r="FV23" s="226">
        <f t="shared" si="594"/>
        <v>0</v>
      </c>
      <c r="FW23" s="137">
        <f t="shared" si="595"/>
        <v>0</v>
      </c>
      <c r="FX23" s="227">
        <f t="shared" si="583"/>
        <v>0</v>
      </c>
      <c r="FY23" s="138">
        <f t="shared" si="596"/>
        <v>0</v>
      </c>
      <c r="FZ23" s="110">
        <f t="shared" si="597"/>
        <v>0</v>
      </c>
      <c r="GA23" s="110"/>
      <c r="GB23" s="139"/>
      <c r="GC23" s="140" t="e">
        <f t="shared" si="598"/>
        <v>#DIV/0!</v>
      </c>
      <c r="GD23" s="144">
        <f>'прил № 3 (01.01.23)'!NZ1330</f>
        <v>0</v>
      </c>
      <c r="GE23" s="225">
        <f t="shared" si="599"/>
        <v>0</v>
      </c>
      <c r="GF23" s="226">
        <f t="shared" si="600"/>
        <v>0</v>
      </c>
      <c r="GG23" s="137">
        <f t="shared" si="601"/>
        <v>0</v>
      </c>
      <c r="GH23" s="227">
        <f t="shared" si="583"/>
        <v>9.92</v>
      </c>
      <c r="GI23" s="138">
        <f t="shared" si="602"/>
        <v>0</v>
      </c>
      <c r="GJ23" s="110">
        <f t="shared" si="603"/>
        <v>0</v>
      </c>
      <c r="GK23" s="110"/>
      <c r="GL23" s="139"/>
      <c r="GM23" s="140" t="e">
        <f t="shared" si="604"/>
        <v>#DIV/0!</v>
      </c>
      <c r="GN23" s="144">
        <f>'прил № 3 (01.01.23)'!OU1330</f>
        <v>0</v>
      </c>
      <c r="GO23" s="225">
        <f t="shared" si="605"/>
        <v>0</v>
      </c>
      <c r="GP23" s="226">
        <f t="shared" si="606"/>
        <v>0</v>
      </c>
      <c r="GQ23" s="137">
        <f t="shared" si="607"/>
        <v>0</v>
      </c>
      <c r="GR23" s="227">
        <f t="shared" si="583"/>
        <v>0</v>
      </c>
      <c r="GS23" s="138">
        <f t="shared" si="608"/>
        <v>0</v>
      </c>
      <c r="GT23" s="110">
        <f t="shared" si="609"/>
        <v>0</v>
      </c>
      <c r="GU23" s="110"/>
      <c r="GV23" s="139"/>
      <c r="GW23" s="140" t="e">
        <f t="shared" si="610"/>
        <v>#DIV/0!</v>
      </c>
      <c r="GX23" s="144">
        <f>'прил № 3 (01.01.23)'!PP1330</f>
        <v>0</v>
      </c>
      <c r="GY23" s="225">
        <f t="shared" si="611"/>
        <v>0</v>
      </c>
      <c r="GZ23" s="226">
        <f t="shared" si="612"/>
        <v>0</v>
      </c>
      <c r="HA23" s="137">
        <f t="shared" si="613"/>
        <v>0</v>
      </c>
      <c r="HB23" s="227">
        <f t="shared" si="583"/>
        <v>9.92</v>
      </c>
      <c r="HC23" s="138">
        <f t="shared" si="614"/>
        <v>0</v>
      </c>
      <c r="HD23" s="110">
        <f t="shared" si="615"/>
        <v>0</v>
      </c>
      <c r="HE23" s="110"/>
      <c r="HF23" s="139"/>
      <c r="HG23" s="140" t="e">
        <f t="shared" si="616"/>
        <v>#DIV/0!</v>
      </c>
      <c r="HH23" s="144">
        <f>'прил № 3 (01.01.23)'!QK1330</f>
        <v>0</v>
      </c>
      <c r="HI23" s="225">
        <f t="shared" si="617"/>
        <v>0</v>
      </c>
      <c r="HJ23" s="226">
        <f t="shared" si="618"/>
        <v>0</v>
      </c>
      <c r="HK23" s="137">
        <f t="shared" si="619"/>
        <v>0</v>
      </c>
      <c r="HL23" s="227">
        <f t="shared" si="583"/>
        <v>0</v>
      </c>
      <c r="HM23" s="138">
        <f t="shared" si="620"/>
        <v>0</v>
      </c>
      <c r="HN23" s="110">
        <f t="shared" si="621"/>
        <v>0</v>
      </c>
      <c r="HO23" s="110"/>
      <c r="HP23" s="139"/>
      <c r="HQ23" s="140" t="e">
        <f t="shared" si="622"/>
        <v>#DIV/0!</v>
      </c>
      <c r="HR23" s="144">
        <f>'прил № 3 (01.01.23)'!RF1330</f>
        <v>0</v>
      </c>
      <c r="HS23" s="225">
        <f t="shared" si="623"/>
        <v>0</v>
      </c>
      <c r="HT23" s="226">
        <f t="shared" si="624"/>
        <v>0</v>
      </c>
      <c r="HU23" s="137">
        <f t="shared" si="625"/>
        <v>0</v>
      </c>
      <c r="HV23" s="227">
        <f t="shared" si="626"/>
        <v>0</v>
      </c>
      <c r="HW23" s="138">
        <f t="shared" si="627"/>
        <v>0</v>
      </c>
      <c r="HX23" s="110">
        <f t="shared" si="628"/>
        <v>0</v>
      </c>
      <c r="HY23" s="110"/>
      <c r="HZ23" s="139"/>
      <c r="IA23" s="140" t="e">
        <f t="shared" si="629"/>
        <v>#DIV/0!</v>
      </c>
      <c r="IB23" s="144">
        <f>'прил № 3 (01.01.23)'!SA1330</f>
        <v>0</v>
      </c>
      <c r="IC23" s="225">
        <f t="shared" si="630"/>
        <v>0</v>
      </c>
      <c r="ID23" s="226">
        <f t="shared" si="631"/>
        <v>0</v>
      </c>
      <c r="IE23" s="137">
        <f t="shared" si="632"/>
        <v>0</v>
      </c>
      <c r="IF23" s="227">
        <f t="shared" si="626"/>
        <v>0</v>
      </c>
      <c r="IG23" s="138">
        <f t="shared" si="633"/>
        <v>0</v>
      </c>
      <c r="IH23" s="110">
        <f t="shared" si="634"/>
        <v>0</v>
      </c>
      <c r="II23" s="110"/>
      <c r="IJ23" s="139"/>
      <c r="IK23" s="140" t="e">
        <f t="shared" si="635"/>
        <v>#DIV/0!</v>
      </c>
      <c r="IL23" s="144">
        <f>'прил № 3 (01.01.23)'!SV1330</f>
        <v>0</v>
      </c>
      <c r="IM23" s="225">
        <f t="shared" si="636"/>
        <v>0</v>
      </c>
      <c r="IN23" s="226">
        <f t="shared" si="637"/>
        <v>0</v>
      </c>
      <c r="IO23" s="137">
        <f t="shared" si="638"/>
        <v>0</v>
      </c>
      <c r="IP23" s="227">
        <f t="shared" si="626"/>
        <v>0</v>
      </c>
      <c r="IQ23" s="138">
        <f t="shared" si="639"/>
        <v>0</v>
      </c>
      <c r="IR23" s="110">
        <f t="shared" si="640"/>
        <v>0</v>
      </c>
      <c r="IS23" s="110"/>
      <c r="IT23" s="139"/>
      <c r="IU23" s="140" t="e">
        <f t="shared" si="641"/>
        <v>#DIV/0!</v>
      </c>
      <c r="IV23" s="144">
        <f>'прил № 3 (01.01.23)'!TQ1330</f>
        <v>0</v>
      </c>
      <c r="IW23" s="225">
        <f t="shared" si="642"/>
        <v>0</v>
      </c>
      <c r="IX23" s="226">
        <f t="shared" si="643"/>
        <v>0</v>
      </c>
      <c r="IY23" s="137">
        <f t="shared" si="644"/>
        <v>0</v>
      </c>
      <c r="IZ23" s="227">
        <f t="shared" si="626"/>
        <v>0</v>
      </c>
      <c r="JA23" s="138">
        <f t="shared" si="645"/>
        <v>0</v>
      </c>
      <c r="JB23" s="110">
        <f t="shared" si="646"/>
        <v>0</v>
      </c>
      <c r="JC23" s="110"/>
      <c r="JD23" s="139"/>
      <c r="JE23" s="140" t="e">
        <f t="shared" si="647"/>
        <v>#DIV/0!</v>
      </c>
      <c r="JF23" s="144">
        <f>'прил № 3 (01.01.23)'!UL1330</f>
        <v>0</v>
      </c>
      <c r="JG23" s="225">
        <f t="shared" si="648"/>
        <v>0</v>
      </c>
      <c r="JH23" s="226">
        <f t="shared" si="649"/>
        <v>0</v>
      </c>
      <c r="JI23" s="137">
        <f t="shared" si="650"/>
        <v>0</v>
      </c>
      <c r="JJ23" s="227">
        <f t="shared" si="626"/>
        <v>0</v>
      </c>
      <c r="JK23" s="138">
        <f t="shared" si="651"/>
        <v>0</v>
      </c>
      <c r="JL23" s="110">
        <f t="shared" si="652"/>
        <v>0</v>
      </c>
      <c r="JM23" s="110"/>
      <c r="JN23" s="139"/>
      <c r="JO23" s="140" t="e">
        <f t="shared" si="653"/>
        <v>#DIV/0!</v>
      </c>
      <c r="JP23" s="144">
        <f>'прил № 3 (01.01.23)'!VG1330</f>
        <v>0</v>
      </c>
      <c r="JQ23" s="225">
        <f t="shared" si="654"/>
        <v>0</v>
      </c>
      <c r="JR23" s="226">
        <f t="shared" si="655"/>
        <v>0</v>
      </c>
      <c r="JS23" s="137">
        <f t="shared" si="656"/>
        <v>0</v>
      </c>
      <c r="JT23" s="227">
        <f t="shared" si="626"/>
        <v>0</v>
      </c>
      <c r="JU23" s="138">
        <f t="shared" si="657"/>
        <v>0</v>
      </c>
      <c r="JV23" s="110">
        <f t="shared" si="658"/>
        <v>0</v>
      </c>
      <c r="JW23" s="110"/>
      <c r="JX23" s="139"/>
      <c r="JY23" s="140" t="e">
        <f t="shared" si="659"/>
        <v>#DIV/0!</v>
      </c>
      <c r="JZ23" s="144">
        <f>'прил № 3 (01.01.23)'!WB1330</f>
        <v>0</v>
      </c>
      <c r="KA23" s="225">
        <f t="shared" si="660"/>
        <v>0</v>
      </c>
      <c r="KB23" s="226">
        <f t="shared" si="661"/>
        <v>0</v>
      </c>
      <c r="KC23" s="137">
        <f t="shared" si="662"/>
        <v>0</v>
      </c>
      <c r="KD23" s="227">
        <f t="shared" si="626"/>
        <v>0</v>
      </c>
      <c r="KE23" s="138">
        <f t="shared" si="663"/>
        <v>0</v>
      </c>
      <c r="KF23" s="110">
        <f t="shared" si="664"/>
        <v>0</v>
      </c>
      <c r="KG23" s="110"/>
      <c r="KH23" s="139"/>
      <c r="KI23" s="140" t="e">
        <f t="shared" si="665"/>
        <v>#DIV/0!</v>
      </c>
      <c r="KJ23" s="144">
        <f>'прил № 3 (01.01.23)'!WW1330</f>
        <v>0</v>
      </c>
      <c r="KK23" s="225">
        <f t="shared" si="666"/>
        <v>0</v>
      </c>
      <c r="KL23" s="226">
        <f t="shared" si="667"/>
        <v>0</v>
      </c>
      <c r="KM23" s="137">
        <f t="shared" si="668"/>
        <v>0</v>
      </c>
      <c r="KN23" s="227">
        <f t="shared" si="669"/>
        <v>0</v>
      </c>
      <c r="KO23" s="138">
        <f t="shared" si="670"/>
        <v>0</v>
      </c>
      <c r="KP23" s="110">
        <f t="shared" si="671"/>
        <v>0</v>
      </c>
      <c r="KQ23" s="110"/>
      <c r="KR23" s="139"/>
      <c r="KS23" s="140" t="e">
        <f t="shared" si="672"/>
        <v>#DIV/0!</v>
      </c>
      <c r="KT23" s="144">
        <f>'прил № 3 (01.01.23)'!XR1330</f>
        <v>0</v>
      </c>
      <c r="KU23" s="225">
        <f t="shared" si="673"/>
        <v>0</v>
      </c>
      <c r="KV23" s="226">
        <f t="shared" si="674"/>
        <v>0</v>
      </c>
      <c r="KW23" s="137">
        <f t="shared" si="675"/>
        <v>0</v>
      </c>
      <c r="KX23" s="227">
        <f t="shared" si="669"/>
        <v>0</v>
      </c>
      <c r="KY23" s="138">
        <f t="shared" si="676"/>
        <v>0</v>
      </c>
      <c r="KZ23" s="110">
        <f t="shared" si="677"/>
        <v>0</v>
      </c>
      <c r="LA23" s="110"/>
      <c r="LB23" s="139"/>
      <c r="LC23" s="140" t="e">
        <f t="shared" si="678"/>
        <v>#DIV/0!</v>
      </c>
      <c r="LD23" s="197">
        <f t="shared" si="484"/>
        <v>0</v>
      </c>
      <c r="LE23" s="225">
        <f t="shared" si="485"/>
        <v>0</v>
      </c>
      <c r="LF23" s="226">
        <f t="shared" si="486"/>
        <v>0</v>
      </c>
      <c r="LG23" s="137">
        <f t="shared" si="487"/>
        <v>0</v>
      </c>
      <c r="LH23" s="227">
        <f t="shared" si="488"/>
        <v>9.92</v>
      </c>
      <c r="LI23" s="138">
        <f t="shared" si="489"/>
        <v>0</v>
      </c>
      <c r="LJ23" s="110">
        <f t="shared" si="490"/>
        <v>0</v>
      </c>
      <c r="LK23" s="110"/>
      <c r="LL23" s="139"/>
    </row>
    <row r="24" spans="1:324" ht="18" customHeight="1" x14ac:dyDescent="0.25">
      <c r="A24" s="246"/>
      <c r="B24" s="70" t="s">
        <v>625</v>
      </c>
      <c r="C24" s="12" t="s">
        <v>728</v>
      </c>
      <c r="D24" s="12" t="s">
        <v>430</v>
      </c>
      <c r="E24" s="4" t="s">
        <v>32</v>
      </c>
      <c r="F24" s="144">
        <f>'прил № 3 (01.01.23)'!L1331</f>
        <v>12</v>
      </c>
      <c r="G24" s="225">
        <f t="shared" si="491"/>
        <v>1.993E-2</v>
      </c>
      <c r="H24" s="226">
        <f t="shared" si="492"/>
        <v>0</v>
      </c>
      <c r="I24" s="137">
        <f t="shared" si="270"/>
        <v>0</v>
      </c>
      <c r="J24" s="227">
        <f t="shared" si="493"/>
        <v>0</v>
      </c>
      <c r="K24" s="138">
        <f t="shared" si="271"/>
        <v>0</v>
      </c>
      <c r="L24" s="110">
        <f t="shared" si="272"/>
        <v>0</v>
      </c>
      <c r="M24" s="110"/>
      <c r="N24" s="139"/>
      <c r="O24" s="140">
        <f t="shared" si="273"/>
        <v>0</v>
      </c>
      <c r="P24" s="144">
        <f>'прил № 3 (01.01.23)'!AG1331</f>
        <v>0</v>
      </c>
      <c r="Q24" s="225">
        <f t="shared" si="494"/>
        <v>0</v>
      </c>
      <c r="R24" s="226">
        <f t="shared" si="495"/>
        <v>0</v>
      </c>
      <c r="S24" s="137">
        <f t="shared" si="496"/>
        <v>0</v>
      </c>
      <c r="T24" s="227">
        <f t="shared" si="497"/>
        <v>0</v>
      </c>
      <c r="U24" s="138">
        <f t="shared" si="498"/>
        <v>0</v>
      </c>
      <c r="V24" s="110">
        <f t="shared" si="499"/>
        <v>0</v>
      </c>
      <c r="W24" s="110"/>
      <c r="X24" s="139"/>
      <c r="Y24" s="140">
        <f t="shared" si="500"/>
        <v>0</v>
      </c>
      <c r="Z24" s="144">
        <f>'прил № 3 (01.01.23)'!BB1331</f>
        <v>0</v>
      </c>
      <c r="AA24" s="225">
        <f t="shared" si="501"/>
        <v>0</v>
      </c>
      <c r="AB24" s="226">
        <f t="shared" si="502"/>
        <v>0</v>
      </c>
      <c r="AC24" s="137">
        <f t="shared" si="503"/>
        <v>0</v>
      </c>
      <c r="AD24" s="227">
        <f t="shared" si="497"/>
        <v>0</v>
      </c>
      <c r="AE24" s="138">
        <f t="shared" si="504"/>
        <v>0</v>
      </c>
      <c r="AF24" s="110">
        <f t="shared" si="505"/>
        <v>0</v>
      </c>
      <c r="AG24" s="110"/>
      <c r="AH24" s="139"/>
      <c r="AI24" s="140">
        <f t="shared" si="506"/>
        <v>0</v>
      </c>
      <c r="AJ24" s="144">
        <f>'прил № 3 (01.01.23)'!BW1331</f>
        <v>0</v>
      </c>
      <c r="AK24" s="225">
        <f t="shared" si="507"/>
        <v>0</v>
      </c>
      <c r="AL24" s="226">
        <f t="shared" si="508"/>
        <v>0</v>
      </c>
      <c r="AM24" s="137">
        <f t="shared" si="509"/>
        <v>0</v>
      </c>
      <c r="AN24" s="227">
        <f t="shared" si="497"/>
        <v>0</v>
      </c>
      <c r="AO24" s="138">
        <f t="shared" si="510"/>
        <v>0</v>
      </c>
      <c r="AP24" s="110">
        <f t="shared" si="511"/>
        <v>0</v>
      </c>
      <c r="AQ24" s="110"/>
      <c r="AR24" s="139"/>
      <c r="AS24" s="140">
        <f t="shared" si="512"/>
        <v>0</v>
      </c>
      <c r="AT24" s="144">
        <f>'прил № 3 (01.01.23)'!CR1331</f>
        <v>19</v>
      </c>
      <c r="AU24" s="225">
        <f t="shared" si="513"/>
        <v>1.9980000000000001E-2</v>
      </c>
      <c r="AV24" s="226">
        <f t="shared" si="514"/>
        <v>0</v>
      </c>
      <c r="AW24" s="137">
        <f t="shared" si="515"/>
        <v>0</v>
      </c>
      <c r="AX24" s="227">
        <f t="shared" si="497"/>
        <v>0</v>
      </c>
      <c r="AY24" s="138">
        <f t="shared" si="516"/>
        <v>0</v>
      </c>
      <c r="AZ24" s="110">
        <f t="shared" si="517"/>
        <v>0</v>
      </c>
      <c r="BA24" s="110"/>
      <c r="BB24" s="139"/>
      <c r="BC24" s="140">
        <f t="shared" si="518"/>
        <v>0</v>
      </c>
      <c r="BD24" s="144">
        <f>'прил № 3 (01.01.23)'!DM1331</f>
        <v>0</v>
      </c>
      <c r="BE24" s="225">
        <f t="shared" si="519"/>
        <v>0</v>
      </c>
      <c r="BF24" s="226">
        <f t="shared" si="520"/>
        <v>0</v>
      </c>
      <c r="BG24" s="137">
        <f t="shared" si="521"/>
        <v>0</v>
      </c>
      <c r="BH24" s="227">
        <f t="shared" si="497"/>
        <v>0</v>
      </c>
      <c r="BI24" s="138">
        <f t="shared" si="522"/>
        <v>0</v>
      </c>
      <c r="BJ24" s="110">
        <f t="shared" si="523"/>
        <v>0</v>
      </c>
      <c r="BK24" s="110"/>
      <c r="BL24" s="139"/>
      <c r="BM24" s="140">
        <f t="shared" si="524"/>
        <v>0</v>
      </c>
      <c r="BN24" s="144">
        <f>'прил № 3 (01.01.23)'!EH1331</f>
        <v>0</v>
      </c>
      <c r="BO24" s="225">
        <f t="shared" si="525"/>
        <v>0</v>
      </c>
      <c r="BP24" s="226">
        <f t="shared" si="526"/>
        <v>0</v>
      </c>
      <c r="BQ24" s="137">
        <f t="shared" si="527"/>
        <v>0</v>
      </c>
      <c r="BR24" s="227">
        <f t="shared" si="497"/>
        <v>0</v>
      </c>
      <c r="BS24" s="138">
        <f t="shared" si="528"/>
        <v>0</v>
      </c>
      <c r="BT24" s="110">
        <f t="shared" si="529"/>
        <v>0</v>
      </c>
      <c r="BU24" s="110"/>
      <c r="BV24" s="139"/>
      <c r="BW24" s="140">
        <f t="shared" si="530"/>
        <v>0</v>
      </c>
      <c r="BX24" s="144">
        <f>'прил № 3 (01.01.23)'!FC1331</f>
        <v>0</v>
      </c>
      <c r="BY24" s="225">
        <f t="shared" si="531"/>
        <v>0</v>
      </c>
      <c r="BZ24" s="226">
        <f t="shared" si="532"/>
        <v>0</v>
      </c>
      <c r="CA24" s="137">
        <f t="shared" si="533"/>
        <v>0</v>
      </c>
      <c r="CB24" s="227">
        <f t="shared" si="497"/>
        <v>0</v>
      </c>
      <c r="CC24" s="138">
        <f t="shared" si="534"/>
        <v>0</v>
      </c>
      <c r="CD24" s="110">
        <f t="shared" si="535"/>
        <v>0</v>
      </c>
      <c r="CE24" s="110"/>
      <c r="CF24" s="139"/>
      <c r="CG24" s="140">
        <f t="shared" si="536"/>
        <v>0</v>
      </c>
      <c r="CH24" s="144">
        <f>'прил № 3 (01.01.23)'!FX1331</f>
        <v>0</v>
      </c>
      <c r="CI24" s="225">
        <f t="shared" si="537"/>
        <v>0</v>
      </c>
      <c r="CJ24" s="226">
        <f t="shared" si="538"/>
        <v>0</v>
      </c>
      <c r="CK24" s="137">
        <f t="shared" si="539"/>
        <v>0</v>
      </c>
      <c r="CL24" s="227">
        <f t="shared" si="540"/>
        <v>0</v>
      </c>
      <c r="CM24" s="138">
        <f t="shared" si="541"/>
        <v>0</v>
      </c>
      <c r="CN24" s="110">
        <f t="shared" si="542"/>
        <v>0</v>
      </c>
      <c r="CO24" s="110"/>
      <c r="CP24" s="139"/>
      <c r="CQ24" s="140">
        <f t="shared" si="543"/>
        <v>0</v>
      </c>
      <c r="CR24" s="144">
        <f>'прил № 3 (01.01.23)'!GS1331</f>
        <v>15</v>
      </c>
      <c r="CS24" s="225">
        <f t="shared" si="544"/>
        <v>2.0160000000000001E-2</v>
      </c>
      <c r="CT24" s="226">
        <f t="shared" si="545"/>
        <v>0</v>
      </c>
      <c r="CU24" s="137">
        <f t="shared" si="546"/>
        <v>0</v>
      </c>
      <c r="CV24" s="227">
        <f t="shared" si="540"/>
        <v>0</v>
      </c>
      <c r="CW24" s="138">
        <f t="shared" si="547"/>
        <v>0</v>
      </c>
      <c r="CX24" s="110">
        <f t="shared" si="548"/>
        <v>0</v>
      </c>
      <c r="CY24" s="110"/>
      <c r="CZ24" s="139"/>
      <c r="DA24" s="140">
        <f t="shared" si="549"/>
        <v>0</v>
      </c>
      <c r="DB24" s="144">
        <f>'прил № 3 (01.01.23)'!HN1331</f>
        <v>0</v>
      </c>
      <c r="DC24" s="225">
        <f t="shared" si="550"/>
        <v>0</v>
      </c>
      <c r="DD24" s="226">
        <f t="shared" si="551"/>
        <v>0</v>
      </c>
      <c r="DE24" s="137">
        <f t="shared" si="552"/>
        <v>0</v>
      </c>
      <c r="DF24" s="227">
        <f t="shared" si="540"/>
        <v>0</v>
      </c>
      <c r="DG24" s="138">
        <f t="shared" si="553"/>
        <v>0</v>
      </c>
      <c r="DH24" s="110">
        <f t="shared" si="554"/>
        <v>0</v>
      </c>
      <c r="DI24" s="110"/>
      <c r="DJ24" s="139"/>
      <c r="DK24" s="140">
        <f t="shared" si="555"/>
        <v>0</v>
      </c>
      <c r="DL24" s="144">
        <f>'прил № 3 (01.01.23)'!II1331</f>
        <v>118</v>
      </c>
      <c r="DM24" s="225">
        <f t="shared" si="556"/>
        <v>0.41696</v>
      </c>
      <c r="DN24" s="226">
        <f t="shared" si="557"/>
        <v>0</v>
      </c>
      <c r="DO24" s="137">
        <f t="shared" si="558"/>
        <v>0</v>
      </c>
      <c r="DP24" s="227">
        <f t="shared" si="540"/>
        <v>0</v>
      </c>
      <c r="DQ24" s="138">
        <f t="shared" si="559"/>
        <v>0</v>
      </c>
      <c r="DR24" s="110">
        <f t="shared" si="560"/>
        <v>0</v>
      </c>
      <c r="DS24" s="110"/>
      <c r="DT24" s="139"/>
      <c r="DU24" s="140">
        <f t="shared" si="561"/>
        <v>0</v>
      </c>
      <c r="DV24" s="144">
        <f>'прил № 3 (01.01.23)'!JD1331</f>
        <v>9</v>
      </c>
      <c r="DW24" s="225">
        <f t="shared" si="562"/>
        <v>1.025E-2</v>
      </c>
      <c r="DX24" s="226">
        <f t="shared" si="563"/>
        <v>0</v>
      </c>
      <c r="DY24" s="137">
        <f t="shared" si="564"/>
        <v>0</v>
      </c>
      <c r="DZ24" s="227">
        <f t="shared" si="540"/>
        <v>0</v>
      </c>
      <c r="EA24" s="138">
        <f t="shared" si="565"/>
        <v>0</v>
      </c>
      <c r="EB24" s="110">
        <f t="shared" si="566"/>
        <v>0</v>
      </c>
      <c r="EC24" s="110"/>
      <c r="ED24" s="139"/>
      <c r="EE24" s="140">
        <f t="shared" si="567"/>
        <v>0</v>
      </c>
      <c r="EF24" s="144">
        <f>'прил № 3 (01.01.23)'!JY1331</f>
        <v>11</v>
      </c>
      <c r="EG24" s="225">
        <f t="shared" si="568"/>
        <v>1.171E-2</v>
      </c>
      <c r="EH24" s="226">
        <f t="shared" si="569"/>
        <v>0</v>
      </c>
      <c r="EI24" s="137">
        <f t="shared" si="570"/>
        <v>0</v>
      </c>
      <c r="EJ24" s="227">
        <f t="shared" si="540"/>
        <v>0</v>
      </c>
      <c r="EK24" s="138">
        <f t="shared" si="571"/>
        <v>0</v>
      </c>
      <c r="EL24" s="110">
        <f t="shared" si="572"/>
        <v>0</v>
      </c>
      <c r="EM24" s="110"/>
      <c r="EN24" s="139"/>
      <c r="EO24" s="140">
        <f t="shared" si="573"/>
        <v>0</v>
      </c>
      <c r="EP24" s="144">
        <f>'прил № 3 (01.01.23)'!KT1331</f>
        <v>0</v>
      </c>
      <c r="EQ24" s="225">
        <f t="shared" si="574"/>
        <v>0</v>
      </c>
      <c r="ER24" s="226">
        <f t="shared" si="575"/>
        <v>0</v>
      </c>
      <c r="ES24" s="137">
        <f t="shared" si="576"/>
        <v>0</v>
      </c>
      <c r="ET24" s="227">
        <f t="shared" si="540"/>
        <v>0</v>
      </c>
      <c r="EU24" s="138">
        <f t="shared" si="577"/>
        <v>0</v>
      </c>
      <c r="EV24" s="110">
        <f t="shared" si="578"/>
        <v>0</v>
      </c>
      <c r="EW24" s="110"/>
      <c r="EX24" s="139"/>
      <c r="EY24" s="140">
        <f t="shared" si="579"/>
        <v>0</v>
      </c>
      <c r="EZ24" s="144">
        <f>'прил № 3 (01.01.23)'!LO1331</f>
        <v>9</v>
      </c>
      <c r="FA24" s="225">
        <f t="shared" si="580"/>
        <v>8.0599999999999995E-3</v>
      </c>
      <c r="FB24" s="226">
        <f t="shared" si="581"/>
        <v>521.48</v>
      </c>
      <c r="FC24" s="137">
        <f t="shared" si="582"/>
        <v>57.942222219999998</v>
      </c>
      <c r="FD24" s="227">
        <f t="shared" si="583"/>
        <v>9.92</v>
      </c>
      <c r="FE24" s="138">
        <f t="shared" si="584"/>
        <v>574.78683999999998</v>
      </c>
      <c r="FF24" s="110">
        <f t="shared" si="585"/>
        <v>5173.08</v>
      </c>
      <c r="FG24" s="110"/>
      <c r="FH24" s="139"/>
      <c r="FI24" s="140">
        <f t="shared" si="586"/>
        <v>6.9997100000000003</v>
      </c>
      <c r="FJ24" s="144">
        <f>'прил № 3 (01.01.23)'!MJ1331</f>
        <v>0</v>
      </c>
      <c r="FK24" s="225">
        <f t="shared" si="587"/>
        <v>0</v>
      </c>
      <c r="FL24" s="226">
        <f t="shared" si="588"/>
        <v>0</v>
      </c>
      <c r="FM24" s="137">
        <f t="shared" si="589"/>
        <v>0</v>
      </c>
      <c r="FN24" s="227">
        <f t="shared" si="583"/>
        <v>0</v>
      </c>
      <c r="FO24" s="138">
        <f t="shared" si="590"/>
        <v>0</v>
      </c>
      <c r="FP24" s="110">
        <f t="shared" si="591"/>
        <v>0</v>
      </c>
      <c r="FQ24" s="110"/>
      <c r="FR24" s="139"/>
      <c r="FS24" s="140">
        <f t="shared" si="592"/>
        <v>0</v>
      </c>
      <c r="FT24" s="144">
        <f>'прил № 3 (01.01.23)'!NE1331</f>
        <v>0</v>
      </c>
      <c r="FU24" s="225">
        <f t="shared" si="593"/>
        <v>0</v>
      </c>
      <c r="FV24" s="226">
        <f t="shared" si="594"/>
        <v>0</v>
      </c>
      <c r="FW24" s="137">
        <f t="shared" si="595"/>
        <v>0</v>
      </c>
      <c r="FX24" s="227">
        <f t="shared" si="583"/>
        <v>0</v>
      </c>
      <c r="FY24" s="138">
        <f t="shared" si="596"/>
        <v>0</v>
      </c>
      <c r="FZ24" s="110">
        <f t="shared" si="597"/>
        <v>0</v>
      </c>
      <c r="GA24" s="110"/>
      <c r="GB24" s="139"/>
      <c r="GC24" s="140">
        <f t="shared" si="598"/>
        <v>0</v>
      </c>
      <c r="GD24" s="144">
        <f>'прил № 3 (01.01.23)'!NZ1331</f>
        <v>16</v>
      </c>
      <c r="GE24" s="225">
        <f t="shared" si="599"/>
        <v>3.125E-2</v>
      </c>
      <c r="GF24" s="226">
        <f t="shared" si="600"/>
        <v>1981.25</v>
      </c>
      <c r="GG24" s="137">
        <f t="shared" si="601"/>
        <v>123.828125</v>
      </c>
      <c r="GH24" s="227">
        <f t="shared" si="583"/>
        <v>9.92</v>
      </c>
      <c r="GI24" s="138">
        <f t="shared" si="602"/>
        <v>1228.375</v>
      </c>
      <c r="GJ24" s="110">
        <f t="shared" si="603"/>
        <v>19654</v>
      </c>
      <c r="GK24" s="110"/>
      <c r="GL24" s="139"/>
      <c r="GM24" s="140">
        <f t="shared" si="604"/>
        <v>14.95905</v>
      </c>
      <c r="GN24" s="144">
        <f>'прил № 3 (01.01.23)'!OU1331</f>
        <v>7</v>
      </c>
      <c r="GO24" s="225">
        <f t="shared" si="605"/>
        <v>8.0999999999999996E-3</v>
      </c>
      <c r="GP24" s="226">
        <f t="shared" si="606"/>
        <v>0</v>
      </c>
      <c r="GQ24" s="137">
        <f t="shared" si="607"/>
        <v>0</v>
      </c>
      <c r="GR24" s="227">
        <f t="shared" si="583"/>
        <v>0</v>
      </c>
      <c r="GS24" s="138">
        <f t="shared" si="608"/>
        <v>0</v>
      </c>
      <c r="GT24" s="110">
        <f t="shared" si="609"/>
        <v>0</v>
      </c>
      <c r="GU24" s="110"/>
      <c r="GV24" s="139"/>
      <c r="GW24" s="140">
        <f t="shared" si="610"/>
        <v>0</v>
      </c>
      <c r="GX24" s="144">
        <f>'прил № 3 (01.01.23)'!PP1331</f>
        <v>0</v>
      </c>
      <c r="GY24" s="225">
        <f t="shared" si="611"/>
        <v>0</v>
      </c>
      <c r="GZ24" s="226">
        <f t="shared" si="612"/>
        <v>0</v>
      </c>
      <c r="HA24" s="137">
        <f t="shared" si="613"/>
        <v>0</v>
      </c>
      <c r="HB24" s="227">
        <f t="shared" si="583"/>
        <v>9.92</v>
      </c>
      <c r="HC24" s="138">
        <f t="shared" si="614"/>
        <v>0</v>
      </c>
      <c r="HD24" s="110">
        <f t="shared" si="615"/>
        <v>0</v>
      </c>
      <c r="HE24" s="110"/>
      <c r="HF24" s="139"/>
      <c r="HG24" s="140">
        <f t="shared" si="616"/>
        <v>0</v>
      </c>
      <c r="HH24" s="144">
        <f>'прил № 3 (01.01.23)'!QK1331</f>
        <v>39</v>
      </c>
      <c r="HI24" s="225">
        <f t="shared" si="617"/>
        <v>3.3849999999999998E-2</v>
      </c>
      <c r="HJ24" s="226">
        <f t="shared" si="618"/>
        <v>0</v>
      </c>
      <c r="HK24" s="137">
        <f t="shared" si="619"/>
        <v>0</v>
      </c>
      <c r="HL24" s="227">
        <f t="shared" si="583"/>
        <v>0</v>
      </c>
      <c r="HM24" s="138">
        <f t="shared" si="620"/>
        <v>0</v>
      </c>
      <c r="HN24" s="110">
        <f t="shared" si="621"/>
        <v>0</v>
      </c>
      <c r="HO24" s="110"/>
      <c r="HP24" s="139"/>
      <c r="HQ24" s="140">
        <f t="shared" si="622"/>
        <v>0</v>
      </c>
      <c r="HR24" s="144">
        <f>'прил № 3 (01.01.23)'!RF1331</f>
        <v>0</v>
      </c>
      <c r="HS24" s="225">
        <f t="shared" si="623"/>
        <v>0</v>
      </c>
      <c r="HT24" s="226">
        <f t="shared" si="624"/>
        <v>0</v>
      </c>
      <c r="HU24" s="137">
        <f t="shared" si="625"/>
        <v>0</v>
      </c>
      <c r="HV24" s="227">
        <f t="shared" si="626"/>
        <v>0</v>
      </c>
      <c r="HW24" s="138">
        <f t="shared" si="627"/>
        <v>0</v>
      </c>
      <c r="HX24" s="110">
        <f t="shared" si="628"/>
        <v>0</v>
      </c>
      <c r="HY24" s="110"/>
      <c r="HZ24" s="139"/>
      <c r="IA24" s="140">
        <f t="shared" si="629"/>
        <v>0</v>
      </c>
      <c r="IB24" s="144">
        <f>'прил № 3 (01.01.23)'!SA1331</f>
        <v>36</v>
      </c>
      <c r="IC24" s="225">
        <f t="shared" si="630"/>
        <v>6.5689999999999998E-2</v>
      </c>
      <c r="ID24" s="226">
        <f t="shared" si="631"/>
        <v>0</v>
      </c>
      <c r="IE24" s="137">
        <f t="shared" si="632"/>
        <v>0</v>
      </c>
      <c r="IF24" s="227">
        <f t="shared" si="626"/>
        <v>0</v>
      </c>
      <c r="IG24" s="138">
        <f t="shared" si="633"/>
        <v>0</v>
      </c>
      <c r="IH24" s="110">
        <f t="shared" si="634"/>
        <v>0</v>
      </c>
      <c r="II24" s="110"/>
      <c r="IJ24" s="139"/>
      <c r="IK24" s="140">
        <f t="shared" si="635"/>
        <v>0</v>
      </c>
      <c r="IL24" s="144">
        <f>'прил № 3 (01.01.23)'!SV1331</f>
        <v>0</v>
      </c>
      <c r="IM24" s="225">
        <f t="shared" si="636"/>
        <v>0</v>
      </c>
      <c r="IN24" s="226">
        <f t="shared" si="637"/>
        <v>0</v>
      </c>
      <c r="IO24" s="137">
        <f t="shared" si="638"/>
        <v>0</v>
      </c>
      <c r="IP24" s="227">
        <f t="shared" si="626"/>
        <v>0</v>
      </c>
      <c r="IQ24" s="138">
        <f t="shared" si="639"/>
        <v>0</v>
      </c>
      <c r="IR24" s="110">
        <f t="shared" si="640"/>
        <v>0</v>
      </c>
      <c r="IS24" s="110"/>
      <c r="IT24" s="139"/>
      <c r="IU24" s="140">
        <f t="shared" si="641"/>
        <v>0</v>
      </c>
      <c r="IV24" s="144">
        <f>'прил № 3 (01.01.23)'!TQ1331</f>
        <v>0</v>
      </c>
      <c r="IW24" s="225">
        <f t="shared" si="642"/>
        <v>0</v>
      </c>
      <c r="IX24" s="226">
        <f t="shared" si="643"/>
        <v>0</v>
      </c>
      <c r="IY24" s="137">
        <f t="shared" si="644"/>
        <v>0</v>
      </c>
      <c r="IZ24" s="227">
        <f t="shared" si="626"/>
        <v>0</v>
      </c>
      <c r="JA24" s="138">
        <f t="shared" si="645"/>
        <v>0</v>
      </c>
      <c r="JB24" s="110">
        <f t="shared" si="646"/>
        <v>0</v>
      </c>
      <c r="JC24" s="110"/>
      <c r="JD24" s="139"/>
      <c r="JE24" s="140">
        <f t="shared" si="647"/>
        <v>0</v>
      </c>
      <c r="JF24" s="144">
        <f>'прил № 3 (01.01.23)'!UL1331</f>
        <v>0</v>
      </c>
      <c r="JG24" s="225">
        <f t="shared" si="648"/>
        <v>0</v>
      </c>
      <c r="JH24" s="226">
        <f t="shared" si="649"/>
        <v>0</v>
      </c>
      <c r="JI24" s="137">
        <f t="shared" si="650"/>
        <v>0</v>
      </c>
      <c r="JJ24" s="227">
        <f t="shared" si="626"/>
        <v>0</v>
      </c>
      <c r="JK24" s="138">
        <f t="shared" si="651"/>
        <v>0</v>
      </c>
      <c r="JL24" s="110">
        <f t="shared" si="652"/>
        <v>0</v>
      </c>
      <c r="JM24" s="110"/>
      <c r="JN24" s="139"/>
      <c r="JO24" s="140">
        <f t="shared" si="653"/>
        <v>0</v>
      </c>
      <c r="JP24" s="144">
        <f>'прил № 3 (01.01.23)'!VG1331</f>
        <v>33</v>
      </c>
      <c r="JQ24" s="225">
        <f t="shared" si="654"/>
        <v>2.6419999999999999E-2</v>
      </c>
      <c r="JR24" s="226">
        <f t="shared" si="655"/>
        <v>0</v>
      </c>
      <c r="JS24" s="137">
        <f t="shared" si="656"/>
        <v>0</v>
      </c>
      <c r="JT24" s="227">
        <f t="shared" si="626"/>
        <v>0</v>
      </c>
      <c r="JU24" s="138">
        <f t="shared" si="657"/>
        <v>0</v>
      </c>
      <c r="JV24" s="110">
        <f t="shared" si="658"/>
        <v>0</v>
      </c>
      <c r="JW24" s="110"/>
      <c r="JX24" s="139"/>
      <c r="JY24" s="140">
        <f t="shared" si="659"/>
        <v>0</v>
      </c>
      <c r="JZ24" s="144">
        <f>'прил № 3 (01.01.23)'!WB1331</f>
        <v>0</v>
      </c>
      <c r="KA24" s="225">
        <f t="shared" si="660"/>
        <v>0</v>
      </c>
      <c r="KB24" s="226">
        <f t="shared" si="661"/>
        <v>0</v>
      </c>
      <c r="KC24" s="137">
        <f t="shared" si="662"/>
        <v>0</v>
      </c>
      <c r="KD24" s="227">
        <f t="shared" si="626"/>
        <v>0</v>
      </c>
      <c r="KE24" s="138">
        <f t="shared" si="663"/>
        <v>0</v>
      </c>
      <c r="KF24" s="110">
        <f t="shared" si="664"/>
        <v>0</v>
      </c>
      <c r="KG24" s="110"/>
      <c r="KH24" s="139"/>
      <c r="KI24" s="140">
        <f t="shared" si="665"/>
        <v>0</v>
      </c>
      <c r="KJ24" s="144">
        <f>'прил № 3 (01.01.23)'!WW1331</f>
        <v>0</v>
      </c>
      <c r="KK24" s="225">
        <f t="shared" si="666"/>
        <v>0</v>
      </c>
      <c r="KL24" s="226">
        <f t="shared" si="667"/>
        <v>0</v>
      </c>
      <c r="KM24" s="137">
        <f t="shared" si="668"/>
        <v>0</v>
      </c>
      <c r="KN24" s="227">
        <f t="shared" si="669"/>
        <v>0</v>
      </c>
      <c r="KO24" s="138">
        <f t="shared" si="670"/>
        <v>0</v>
      </c>
      <c r="KP24" s="110">
        <f t="shared" si="671"/>
        <v>0</v>
      </c>
      <c r="KQ24" s="110"/>
      <c r="KR24" s="139"/>
      <c r="KS24" s="140">
        <f t="shared" si="672"/>
        <v>0</v>
      </c>
      <c r="KT24" s="144">
        <f>'прил № 3 (01.01.23)'!XR1331</f>
        <v>0</v>
      </c>
      <c r="KU24" s="225">
        <f t="shared" si="673"/>
        <v>0</v>
      </c>
      <c r="KV24" s="226">
        <f t="shared" si="674"/>
        <v>0</v>
      </c>
      <c r="KW24" s="137">
        <f t="shared" si="675"/>
        <v>0</v>
      </c>
      <c r="KX24" s="227">
        <f t="shared" si="669"/>
        <v>0</v>
      </c>
      <c r="KY24" s="138">
        <f t="shared" si="676"/>
        <v>0</v>
      </c>
      <c r="KZ24" s="110">
        <f t="shared" si="677"/>
        <v>0</v>
      </c>
      <c r="LA24" s="110"/>
      <c r="LB24" s="139"/>
      <c r="LC24" s="140">
        <f t="shared" si="678"/>
        <v>0</v>
      </c>
      <c r="LD24" s="197">
        <f t="shared" si="484"/>
        <v>324</v>
      </c>
      <c r="LE24" s="225">
        <f t="shared" si="485"/>
        <v>1.1350000000000001E-2</v>
      </c>
      <c r="LF24" s="226">
        <f t="shared" si="486"/>
        <v>2682.01</v>
      </c>
      <c r="LG24" s="137">
        <f t="shared" si="487"/>
        <v>8.2778086399999999</v>
      </c>
      <c r="LH24" s="227">
        <f t="shared" si="488"/>
        <v>9.92</v>
      </c>
      <c r="LI24" s="138">
        <f t="shared" si="489"/>
        <v>82.115859999999998</v>
      </c>
      <c r="LJ24" s="110">
        <f t="shared" si="490"/>
        <v>26605.54</v>
      </c>
      <c r="LK24" s="110"/>
      <c r="LL24" s="139"/>
    </row>
    <row r="25" spans="1:324" ht="17.25" hidden="1" customHeight="1" x14ac:dyDescent="0.25">
      <c r="A25" s="246"/>
      <c r="B25" s="93" t="s">
        <v>639</v>
      </c>
      <c r="C25" s="12" t="s">
        <v>727</v>
      </c>
      <c r="D25" s="12" t="s">
        <v>427</v>
      </c>
      <c r="E25" s="4" t="s">
        <v>32</v>
      </c>
      <c r="F25" s="144">
        <f>'прил № 3 (01.01.23)'!L1332</f>
        <v>0</v>
      </c>
      <c r="G25" s="225">
        <f t="shared" si="491"/>
        <v>0</v>
      </c>
      <c r="H25" s="226">
        <f t="shared" si="492"/>
        <v>0</v>
      </c>
      <c r="I25" s="137">
        <f t="shared" si="270"/>
        <v>0</v>
      </c>
      <c r="J25" s="227">
        <f t="shared" si="493"/>
        <v>0</v>
      </c>
      <c r="K25" s="138">
        <f t="shared" si="271"/>
        <v>0</v>
      </c>
      <c r="L25" s="110">
        <f t="shared" si="272"/>
        <v>0</v>
      </c>
      <c r="M25" s="110"/>
      <c r="N25" s="139"/>
      <c r="O25" s="140" t="e">
        <f t="shared" si="273"/>
        <v>#DIV/0!</v>
      </c>
      <c r="P25" s="144">
        <f>'прил № 3 (01.01.23)'!AG1332</f>
        <v>0</v>
      </c>
      <c r="Q25" s="225">
        <f t="shared" si="494"/>
        <v>0</v>
      </c>
      <c r="R25" s="226">
        <f t="shared" si="495"/>
        <v>0</v>
      </c>
      <c r="S25" s="137">
        <f t="shared" si="496"/>
        <v>0</v>
      </c>
      <c r="T25" s="227">
        <f t="shared" si="497"/>
        <v>0</v>
      </c>
      <c r="U25" s="138">
        <f t="shared" si="498"/>
        <v>0</v>
      </c>
      <c r="V25" s="110">
        <f t="shared" si="499"/>
        <v>0</v>
      </c>
      <c r="W25" s="110"/>
      <c r="X25" s="139"/>
      <c r="Y25" s="140" t="e">
        <f t="shared" si="500"/>
        <v>#DIV/0!</v>
      </c>
      <c r="Z25" s="144">
        <f>'прил № 3 (01.01.23)'!BB1332</f>
        <v>0</v>
      </c>
      <c r="AA25" s="225">
        <f t="shared" si="501"/>
        <v>0</v>
      </c>
      <c r="AB25" s="226">
        <f t="shared" si="502"/>
        <v>0</v>
      </c>
      <c r="AC25" s="137">
        <f t="shared" si="503"/>
        <v>0</v>
      </c>
      <c r="AD25" s="227">
        <f t="shared" si="497"/>
        <v>0</v>
      </c>
      <c r="AE25" s="138">
        <f t="shared" si="504"/>
        <v>0</v>
      </c>
      <c r="AF25" s="110">
        <f t="shared" si="505"/>
        <v>0</v>
      </c>
      <c r="AG25" s="110"/>
      <c r="AH25" s="139"/>
      <c r="AI25" s="140" t="e">
        <f t="shared" si="506"/>
        <v>#DIV/0!</v>
      </c>
      <c r="AJ25" s="144">
        <f>'прил № 3 (01.01.23)'!BW1332</f>
        <v>0</v>
      </c>
      <c r="AK25" s="225">
        <f t="shared" si="507"/>
        <v>0</v>
      </c>
      <c r="AL25" s="226">
        <f t="shared" si="508"/>
        <v>0</v>
      </c>
      <c r="AM25" s="137">
        <f t="shared" si="509"/>
        <v>0</v>
      </c>
      <c r="AN25" s="227">
        <f t="shared" si="497"/>
        <v>0</v>
      </c>
      <c r="AO25" s="138">
        <f t="shared" si="510"/>
        <v>0</v>
      </c>
      <c r="AP25" s="110">
        <f t="shared" si="511"/>
        <v>0</v>
      </c>
      <c r="AQ25" s="110"/>
      <c r="AR25" s="139"/>
      <c r="AS25" s="140" t="e">
        <f t="shared" si="512"/>
        <v>#DIV/0!</v>
      </c>
      <c r="AT25" s="144">
        <f>'прил № 3 (01.01.23)'!CR1332</f>
        <v>0</v>
      </c>
      <c r="AU25" s="225">
        <f t="shared" si="513"/>
        <v>0</v>
      </c>
      <c r="AV25" s="226">
        <f t="shared" si="514"/>
        <v>0</v>
      </c>
      <c r="AW25" s="137">
        <f t="shared" si="515"/>
        <v>0</v>
      </c>
      <c r="AX25" s="227">
        <f t="shared" si="497"/>
        <v>0</v>
      </c>
      <c r="AY25" s="138">
        <f t="shared" si="516"/>
        <v>0</v>
      </c>
      <c r="AZ25" s="110">
        <f t="shared" si="517"/>
        <v>0</v>
      </c>
      <c r="BA25" s="110"/>
      <c r="BB25" s="139"/>
      <c r="BC25" s="140" t="e">
        <f t="shared" si="518"/>
        <v>#DIV/0!</v>
      </c>
      <c r="BD25" s="144">
        <f>'прил № 3 (01.01.23)'!DM1332</f>
        <v>0</v>
      </c>
      <c r="BE25" s="225">
        <f t="shared" si="519"/>
        <v>0</v>
      </c>
      <c r="BF25" s="226">
        <f t="shared" si="520"/>
        <v>0</v>
      </c>
      <c r="BG25" s="137">
        <f t="shared" si="521"/>
        <v>0</v>
      </c>
      <c r="BH25" s="227">
        <f t="shared" si="497"/>
        <v>0</v>
      </c>
      <c r="BI25" s="138">
        <f t="shared" si="522"/>
        <v>0</v>
      </c>
      <c r="BJ25" s="110">
        <f t="shared" si="523"/>
        <v>0</v>
      </c>
      <c r="BK25" s="110"/>
      <c r="BL25" s="139"/>
      <c r="BM25" s="140" t="e">
        <f t="shared" si="524"/>
        <v>#DIV/0!</v>
      </c>
      <c r="BN25" s="144">
        <f>'прил № 3 (01.01.23)'!EH1332</f>
        <v>0</v>
      </c>
      <c r="BO25" s="225">
        <f t="shared" si="525"/>
        <v>0</v>
      </c>
      <c r="BP25" s="226">
        <f t="shared" si="526"/>
        <v>0</v>
      </c>
      <c r="BQ25" s="137">
        <f t="shared" si="527"/>
        <v>0</v>
      </c>
      <c r="BR25" s="227">
        <f t="shared" si="497"/>
        <v>0</v>
      </c>
      <c r="BS25" s="138">
        <f t="shared" si="528"/>
        <v>0</v>
      </c>
      <c r="BT25" s="110">
        <f t="shared" si="529"/>
        <v>0</v>
      </c>
      <c r="BU25" s="110"/>
      <c r="BV25" s="139"/>
      <c r="BW25" s="140" t="e">
        <f t="shared" si="530"/>
        <v>#DIV/0!</v>
      </c>
      <c r="BX25" s="144">
        <f>'прил № 3 (01.01.23)'!FC1332</f>
        <v>0</v>
      </c>
      <c r="BY25" s="225">
        <f t="shared" si="531"/>
        <v>0</v>
      </c>
      <c r="BZ25" s="226">
        <f t="shared" si="532"/>
        <v>0</v>
      </c>
      <c r="CA25" s="137">
        <f t="shared" si="533"/>
        <v>0</v>
      </c>
      <c r="CB25" s="227">
        <f t="shared" si="497"/>
        <v>0</v>
      </c>
      <c r="CC25" s="138">
        <f t="shared" si="534"/>
        <v>0</v>
      </c>
      <c r="CD25" s="110">
        <f t="shared" si="535"/>
        <v>0</v>
      </c>
      <c r="CE25" s="110"/>
      <c r="CF25" s="139"/>
      <c r="CG25" s="140" t="e">
        <f t="shared" si="536"/>
        <v>#DIV/0!</v>
      </c>
      <c r="CH25" s="144">
        <f>'прил № 3 (01.01.23)'!FX1332</f>
        <v>0</v>
      </c>
      <c r="CI25" s="225">
        <f t="shared" si="537"/>
        <v>0</v>
      </c>
      <c r="CJ25" s="226">
        <f t="shared" si="538"/>
        <v>0</v>
      </c>
      <c r="CK25" s="137">
        <f t="shared" si="539"/>
        <v>0</v>
      </c>
      <c r="CL25" s="227">
        <f t="shared" si="540"/>
        <v>0</v>
      </c>
      <c r="CM25" s="138">
        <f t="shared" si="541"/>
        <v>0</v>
      </c>
      <c r="CN25" s="110">
        <f t="shared" si="542"/>
        <v>0</v>
      </c>
      <c r="CO25" s="110"/>
      <c r="CP25" s="139"/>
      <c r="CQ25" s="140" t="e">
        <f t="shared" si="543"/>
        <v>#DIV/0!</v>
      </c>
      <c r="CR25" s="144">
        <f>'прил № 3 (01.01.23)'!GS1332</f>
        <v>0</v>
      </c>
      <c r="CS25" s="225">
        <f t="shared" si="544"/>
        <v>0</v>
      </c>
      <c r="CT25" s="226">
        <f t="shared" si="545"/>
        <v>0</v>
      </c>
      <c r="CU25" s="137">
        <f t="shared" si="546"/>
        <v>0</v>
      </c>
      <c r="CV25" s="227">
        <f t="shared" si="540"/>
        <v>0</v>
      </c>
      <c r="CW25" s="138">
        <f t="shared" si="547"/>
        <v>0</v>
      </c>
      <c r="CX25" s="110">
        <f t="shared" si="548"/>
        <v>0</v>
      </c>
      <c r="CY25" s="110"/>
      <c r="CZ25" s="139"/>
      <c r="DA25" s="140" t="e">
        <f t="shared" si="549"/>
        <v>#DIV/0!</v>
      </c>
      <c r="DB25" s="144">
        <f>'прил № 3 (01.01.23)'!HN1332</f>
        <v>0</v>
      </c>
      <c r="DC25" s="225">
        <f t="shared" si="550"/>
        <v>0</v>
      </c>
      <c r="DD25" s="226">
        <f t="shared" si="551"/>
        <v>0</v>
      </c>
      <c r="DE25" s="137">
        <f t="shared" si="552"/>
        <v>0</v>
      </c>
      <c r="DF25" s="227">
        <f t="shared" si="540"/>
        <v>0</v>
      </c>
      <c r="DG25" s="138">
        <f t="shared" si="553"/>
        <v>0</v>
      </c>
      <c r="DH25" s="110">
        <f t="shared" si="554"/>
        <v>0</v>
      </c>
      <c r="DI25" s="110"/>
      <c r="DJ25" s="139"/>
      <c r="DK25" s="140" t="e">
        <f t="shared" si="555"/>
        <v>#DIV/0!</v>
      </c>
      <c r="DL25" s="144">
        <f>'прил № 3 (01.01.23)'!II1332</f>
        <v>0</v>
      </c>
      <c r="DM25" s="225">
        <f t="shared" si="556"/>
        <v>0</v>
      </c>
      <c r="DN25" s="226">
        <f t="shared" si="557"/>
        <v>0</v>
      </c>
      <c r="DO25" s="137">
        <f t="shared" si="558"/>
        <v>0</v>
      </c>
      <c r="DP25" s="227">
        <f t="shared" si="540"/>
        <v>0</v>
      </c>
      <c r="DQ25" s="138">
        <f t="shared" si="559"/>
        <v>0</v>
      </c>
      <c r="DR25" s="110">
        <f t="shared" si="560"/>
        <v>0</v>
      </c>
      <c r="DS25" s="110"/>
      <c r="DT25" s="139"/>
      <c r="DU25" s="140" t="e">
        <f t="shared" si="561"/>
        <v>#DIV/0!</v>
      </c>
      <c r="DV25" s="144">
        <f>'прил № 3 (01.01.23)'!JD1332</f>
        <v>0</v>
      </c>
      <c r="DW25" s="225">
        <f t="shared" si="562"/>
        <v>0</v>
      </c>
      <c r="DX25" s="226">
        <f t="shared" si="563"/>
        <v>0</v>
      </c>
      <c r="DY25" s="137">
        <f t="shared" si="564"/>
        <v>0</v>
      </c>
      <c r="DZ25" s="227">
        <f t="shared" si="540"/>
        <v>0</v>
      </c>
      <c r="EA25" s="138">
        <f t="shared" si="565"/>
        <v>0</v>
      </c>
      <c r="EB25" s="110">
        <f t="shared" si="566"/>
        <v>0</v>
      </c>
      <c r="EC25" s="110"/>
      <c r="ED25" s="139"/>
      <c r="EE25" s="140" t="e">
        <f t="shared" si="567"/>
        <v>#DIV/0!</v>
      </c>
      <c r="EF25" s="144">
        <f>'прил № 3 (01.01.23)'!JY1332</f>
        <v>0</v>
      </c>
      <c r="EG25" s="225">
        <f t="shared" si="568"/>
        <v>0</v>
      </c>
      <c r="EH25" s="226">
        <f t="shared" si="569"/>
        <v>0</v>
      </c>
      <c r="EI25" s="137">
        <f t="shared" si="570"/>
        <v>0</v>
      </c>
      <c r="EJ25" s="227">
        <f t="shared" si="540"/>
        <v>0</v>
      </c>
      <c r="EK25" s="138">
        <f t="shared" si="571"/>
        <v>0</v>
      </c>
      <c r="EL25" s="110">
        <f t="shared" si="572"/>
        <v>0</v>
      </c>
      <c r="EM25" s="110"/>
      <c r="EN25" s="139"/>
      <c r="EO25" s="140" t="e">
        <f t="shared" si="573"/>
        <v>#DIV/0!</v>
      </c>
      <c r="EP25" s="144">
        <f>'прил № 3 (01.01.23)'!KT1332</f>
        <v>0</v>
      </c>
      <c r="EQ25" s="225">
        <f t="shared" si="574"/>
        <v>0</v>
      </c>
      <c r="ER25" s="226">
        <f t="shared" si="575"/>
        <v>0</v>
      </c>
      <c r="ES25" s="137">
        <f t="shared" si="576"/>
        <v>0</v>
      </c>
      <c r="ET25" s="227">
        <f t="shared" si="540"/>
        <v>0</v>
      </c>
      <c r="EU25" s="138">
        <f t="shared" si="577"/>
        <v>0</v>
      </c>
      <c r="EV25" s="110">
        <f t="shared" si="578"/>
        <v>0</v>
      </c>
      <c r="EW25" s="110"/>
      <c r="EX25" s="139"/>
      <c r="EY25" s="140" t="e">
        <f t="shared" si="579"/>
        <v>#DIV/0!</v>
      </c>
      <c r="EZ25" s="144">
        <f>'прил № 3 (01.01.23)'!LO1332</f>
        <v>0</v>
      </c>
      <c r="FA25" s="225">
        <f t="shared" si="580"/>
        <v>0</v>
      </c>
      <c r="FB25" s="226">
        <f t="shared" si="581"/>
        <v>0</v>
      </c>
      <c r="FC25" s="137">
        <f t="shared" si="582"/>
        <v>0</v>
      </c>
      <c r="FD25" s="227">
        <f t="shared" si="583"/>
        <v>9.92</v>
      </c>
      <c r="FE25" s="138">
        <f t="shared" si="584"/>
        <v>0</v>
      </c>
      <c r="FF25" s="110">
        <f t="shared" si="585"/>
        <v>0</v>
      </c>
      <c r="FG25" s="110"/>
      <c r="FH25" s="139"/>
      <c r="FI25" s="140" t="e">
        <f t="shared" si="586"/>
        <v>#DIV/0!</v>
      </c>
      <c r="FJ25" s="144">
        <f>'прил № 3 (01.01.23)'!MJ1332</f>
        <v>0</v>
      </c>
      <c r="FK25" s="225">
        <f t="shared" si="587"/>
        <v>0</v>
      </c>
      <c r="FL25" s="226">
        <f t="shared" si="588"/>
        <v>0</v>
      </c>
      <c r="FM25" s="137">
        <f t="shared" si="589"/>
        <v>0</v>
      </c>
      <c r="FN25" s="227">
        <f t="shared" si="583"/>
        <v>0</v>
      </c>
      <c r="FO25" s="138">
        <f t="shared" si="590"/>
        <v>0</v>
      </c>
      <c r="FP25" s="110">
        <f t="shared" si="591"/>
        <v>0</v>
      </c>
      <c r="FQ25" s="110"/>
      <c r="FR25" s="139"/>
      <c r="FS25" s="140" t="e">
        <f t="shared" si="592"/>
        <v>#DIV/0!</v>
      </c>
      <c r="FT25" s="144">
        <f>'прил № 3 (01.01.23)'!NE1332</f>
        <v>0</v>
      </c>
      <c r="FU25" s="225">
        <f t="shared" si="593"/>
        <v>0</v>
      </c>
      <c r="FV25" s="226">
        <f t="shared" si="594"/>
        <v>0</v>
      </c>
      <c r="FW25" s="137">
        <f t="shared" si="595"/>
        <v>0</v>
      </c>
      <c r="FX25" s="227">
        <f t="shared" si="583"/>
        <v>0</v>
      </c>
      <c r="FY25" s="138">
        <f t="shared" si="596"/>
        <v>0</v>
      </c>
      <c r="FZ25" s="110">
        <f t="shared" si="597"/>
        <v>0</v>
      </c>
      <c r="GA25" s="110"/>
      <c r="GB25" s="139"/>
      <c r="GC25" s="140" t="e">
        <f t="shared" si="598"/>
        <v>#DIV/0!</v>
      </c>
      <c r="GD25" s="144">
        <f>'прил № 3 (01.01.23)'!NZ1332</f>
        <v>0</v>
      </c>
      <c r="GE25" s="225">
        <f t="shared" si="599"/>
        <v>0</v>
      </c>
      <c r="GF25" s="226">
        <f t="shared" si="600"/>
        <v>0</v>
      </c>
      <c r="GG25" s="137">
        <f t="shared" si="601"/>
        <v>0</v>
      </c>
      <c r="GH25" s="227">
        <f t="shared" si="583"/>
        <v>9.92</v>
      </c>
      <c r="GI25" s="138">
        <f t="shared" si="602"/>
        <v>0</v>
      </c>
      <c r="GJ25" s="110">
        <f t="shared" si="603"/>
        <v>0</v>
      </c>
      <c r="GK25" s="110"/>
      <c r="GL25" s="139"/>
      <c r="GM25" s="140" t="e">
        <f t="shared" si="604"/>
        <v>#DIV/0!</v>
      </c>
      <c r="GN25" s="144">
        <f>'прил № 3 (01.01.23)'!OU1332</f>
        <v>0</v>
      </c>
      <c r="GO25" s="225">
        <f t="shared" si="605"/>
        <v>0</v>
      </c>
      <c r="GP25" s="226">
        <f t="shared" si="606"/>
        <v>0</v>
      </c>
      <c r="GQ25" s="137">
        <f t="shared" si="607"/>
        <v>0</v>
      </c>
      <c r="GR25" s="227">
        <f t="shared" si="583"/>
        <v>0</v>
      </c>
      <c r="GS25" s="138">
        <f t="shared" si="608"/>
        <v>0</v>
      </c>
      <c r="GT25" s="110">
        <f t="shared" si="609"/>
        <v>0</v>
      </c>
      <c r="GU25" s="110"/>
      <c r="GV25" s="139"/>
      <c r="GW25" s="140" t="e">
        <f t="shared" si="610"/>
        <v>#DIV/0!</v>
      </c>
      <c r="GX25" s="144">
        <f>'прил № 3 (01.01.23)'!PP1332</f>
        <v>0</v>
      </c>
      <c r="GY25" s="225">
        <f t="shared" si="611"/>
        <v>0</v>
      </c>
      <c r="GZ25" s="226">
        <f t="shared" si="612"/>
        <v>0</v>
      </c>
      <c r="HA25" s="137">
        <f t="shared" si="613"/>
        <v>0</v>
      </c>
      <c r="HB25" s="227">
        <f t="shared" si="583"/>
        <v>9.92</v>
      </c>
      <c r="HC25" s="138">
        <f t="shared" si="614"/>
        <v>0</v>
      </c>
      <c r="HD25" s="110">
        <f t="shared" si="615"/>
        <v>0</v>
      </c>
      <c r="HE25" s="110"/>
      <c r="HF25" s="139"/>
      <c r="HG25" s="140" t="e">
        <f t="shared" si="616"/>
        <v>#DIV/0!</v>
      </c>
      <c r="HH25" s="144">
        <f>'прил № 3 (01.01.23)'!QK1332</f>
        <v>0</v>
      </c>
      <c r="HI25" s="225">
        <f t="shared" si="617"/>
        <v>0</v>
      </c>
      <c r="HJ25" s="226">
        <f t="shared" si="618"/>
        <v>0</v>
      </c>
      <c r="HK25" s="137">
        <f t="shared" si="619"/>
        <v>0</v>
      </c>
      <c r="HL25" s="227">
        <f t="shared" si="583"/>
        <v>0</v>
      </c>
      <c r="HM25" s="138">
        <f t="shared" si="620"/>
        <v>0</v>
      </c>
      <c r="HN25" s="110">
        <f t="shared" si="621"/>
        <v>0</v>
      </c>
      <c r="HO25" s="110"/>
      <c r="HP25" s="139"/>
      <c r="HQ25" s="140" t="e">
        <f t="shared" si="622"/>
        <v>#DIV/0!</v>
      </c>
      <c r="HR25" s="144">
        <f>'прил № 3 (01.01.23)'!RF1332</f>
        <v>0</v>
      </c>
      <c r="HS25" s="225">
        <f t="shared" si="623"/>
        <v>0</v>
      </c>
      <c r="HT25" s="226">
        <f t="shared" si="624"/>
        <v>0</v>
      </c>
      <c r="HU25" s="137">
        <f t="shared" si="625"/>
        <v>0</v>
      </c>
      <c r="HV25" s="227">
        <f t="shared" si="626"/>
        <v>0</v>
      </c>
      <c r="HW25" s="138">
        <f t="shared" si="627"/>
        <v>0</v>
      </c>
      <c r="HX25" s="110">
        <f t="shared" si="628"/>
        <v>0</v>
      </c>
      <c r="HY25" s="110"/>
      <c r="HZ25" s="139"/>
      <c r="IA25" s="140" t="e">
        <f t="shared" si="629"/>
        <v>#DIV/0!</v>
      </c>
      <c r="IB25" s="144">
        <f>'прил № 3 (01.01.23)'!SA1332</f>
        <v>0</v>
      </c>
      <c r="IC25" s="225">
        <f t="shared" si="630"/>
        <v>0</v>
      </c>
      <c r="ID25" s="226">
        <f t="shared" si="631"/>
        <v>0</v>
      </c>
      <c r="IE25" s="137">
        <f t="shared" si="632"/>
        <v>0</v>
      </c>
      <c r="IF25" s="227">
        <f t="shared" si="626"/>
        <v>0</v>
      </c>
      <c r="IG25" s="138">
        <f t="shared" si="633"/>
        <v>0</v>
      </c>
      <c r="IH25" s="110">
        <f t="shared" si="634"/>
        <v>0</v>
      </c>
      <c r="II25" s="110"/>
      <c r="IJ25" s="139"/>
      <c r="IK25" s="140" t="e">
        <f t="shared" si="635"/>
        <v>#DIV/0!</v>
      </c>
      <c r="IL25" s="144">
        <f>'прил № 3 (01.01.23)'!SV1332</f>
        <v>0</v>
      </c>
      <c r="IM25" s="225">
        <f t="shared" si="636"/>
        <v>0</v>
      </c>
      <c r="IN25" s="226">
        <f t="shared" si="637"/>
        <v>0</v>
      </c>
      <c r="IO25" s="137">
        <f t="shared" si="638"/>
        <v>0</v>
      </c>
      <c r="IP25" s="227">
        <f t="shared" si="626"/>
        <v>0</v>
      </c>
      <c r="IQ25" s="138">
        <f t="shared" si="639"/>
        <v>0</v>
      </c>
      <c r="IR25" s="110">
        <f t="shared" si="640"/>
        <v>0</v>
      </c>
      <c r="IS25" s="110"/>
      <c r="IT25" s="139"/>
      <c r="IU25" s="140" t="e">
        <f t="shared" si="641"/>
        <v>#DIV/0!</v>
      </c>
      <c r="IV25" s="144">
        <f>'прил № 3 (01.01.23)'!TQ1332</f>
        <v>0</v>
      </c>
      <c r="IW25" s="225">
        <f t="shared" si="642"/>
        <v>0</v>
      </c>
      <c r="IX25" s="226">
        <f t="shared" si="643"/>
        <v>0</v>
      </c>
      <c r="IY25" s="137">
        <f t="shared" si="644"/>
        <v>0</v>
      </c>
      <c r="IZ25" s="227">
        <f t="shared" si="626"/>
        <v>0</v>
      </c>
      <c r="JA25" s="138">
        <f t="shared" si="645"/>
        <v>0</v>
      </c>
      <c r="JB25" s="110">
        <f t="shared" si="646"/>
        <v>0</v>
      </c>
      <c r="JC25" s="110"/>
      <c r="JD25" s="139"/>
      <c r="JE25" s="140" t="e">
        <f t="shared" si="647"/>
        <v>#DIV/0!</v>
      </c>
      <c r="JF25" s="144">
        <f>'прил № 3 (01.01.23)'!UL1332</f>
        <v>0</v>
      </c>
      <c r="JG25" s="225">
        <f t="shared" si="648"/>
        <v>0</v>
      </c>
      <c r="JH25" s="226">
        <f t="shared" si="649"/>
        <v>0</v>
      </c>
      <c r="JI25" s="137">
        <f t="shared" si="650"/>
        <v>0</v>
      </c>
      <c r="JJ25" s="227">
        <f t="shared" si="626"/>
        <v>0</v>
      </c>
      <c r="JK25" s="138">
        <f t="shared" si="651"/>
        <v>0</v>
      </c>
      <c r="JL25" s="110">
        <f t="shared" si="652"/>
        <v>0</v>
      </c>
      <c r="JM25" s="110"/>
      <c r="JN25" s="139"/>
      <c r="JO25" s="140" t="e">
        <f t="shared" si="653"/>
        <v>#DIV/0!</v>
      </c>
      <c r="JP25" s="144">
        <f>'прил № 3 (01.01.23)'!VG1332</f>
        <v>0</v>
      </c>
      <c r="JQ25" s="225">
        <f t="shared" si="654"/>
        <v>0</v>
      </c>
      <c r="JR25" s="226">
        <f t="shared" si="655"/>
        <v>0</v>
      </c>
      <c r="JS25" s="137">
        <f t="shared" si="656"/>
        <v>0</v>
      </c>
      <c r="JT25" s="227">
        <f t="shared" si="626"/>
        <v>0</v>
      </c>
      <c r="JU25" s="138">
        <f t="shared" si="657"/>
        <v>0</v>
      </c>
      <c r="JV25" s="110">
        <f t="shared" si="658"/>
        <v>0</v>
      </c>
      <c r="JW25" s="110"/>
      <c r="JX25" s="139"/>
      <c r="JY25" s="140" t="e">
        <f t="shared" si="659"/>
        <v>#DIV/0!</v>
      </c>
      <c r="JZ25" s="144">
        <f>'прил № 3 (01.01.23)'!WB1332</f>
        <v>0</v>
      </c>
      <c r="KA25" s="225">
        <f t="shared" si="660"/>
        <v>0</v>
      </c>
      <c r="KB25" s="226">
        <f t="shared" si="661"/>
        <v>0</v>
      </c>
      <c r="KC25" s="137">
        <f t="shared" si="662"/>
        <v>0</v>
      </c>
      <c r="KD25" s="227">
        <f t="shared" si="626"/>
        <v>0</v>
      </c>
      <c r="KE25" s="138">
        <f t="shared" si="663"/>
        <v>0</v>
      </c>
      <c r="KF25" s="110">
        <f t="shared" si="664"/>
        <v>0</v>
      </c>
      <c r="KG25" s="110"/>
      <c r="KH25" s="139"/>
      <c r="KI25" s="140" t="e">
        <f t="shared" si="665"/>
        <v>#DIV/0!</v>
      </c>
      <c r="KJ25" s="144">
        <f>'прил № 3 (01.01.23)'!WW1332</f>
        <v>0</v>
      </c>
      <c r="KK25" s="225">
        <f t="shared" si="666"/>
        <v>0</v>
      </c>
      <c r="KL25" s="226">
        <f t="shared" si="667"/>
        <v>0</v>
      </c>
      <c r="KM25" s="137">
        <f t="shared" si="668"/>
        <v>0</v>
      </c>
      <c r="KN25" s="227">
        <f t="shared" si="669"/>
        <v>0</v>
      </c>
      <c r="KO25" s="138">
        <f t="shared" si="670"/>
        <v>0</v>
      </c>
      <c r="KP25" s="110">
        <f t="shared" si="671"/>
        <v>0</v>
      </c>
      <c r="KQ25" s="110"/>
      <c r="KR25" s="139"/>
      <c r="KS25" s="140" t="e">
        <f t="shared" si="672"/>
        <v>#DIV/0!</v>
      </c>
      <c r="KT25" s="144">
        <f>'прил № 3 (01.01.23)'!XR1332</f>
        <v>0</v>
      </c>
      <c r="KU25" s="225">
        <f t="shared" si="673"/>
        <v>0</v>
      </c>
      <c r="KV25" s="226">
        <f t="shared" si="674"/>
        <v>0</v>
      </c>
      <c r="KW25" s="137">
        <f t="shared" si="675"/>
        <v>0</v>
      </c>
      <c r="KX25" s="227">
        <f t="shared" si="669"/>
        <v>0</v>
      </c>
      <c r="KY25" s="138">
        <f t="shared" si="676"/>
        <v>0</v>
      </c>
      <c r="KZ25" s="110">
        <f t="shared" si="677"/>
        <v>0</v>
      </c>
      <c r="LA25" s="110"/>
      <c r="LB25" s="139"/>
      <c r="LC25" s="140" t="e">
        <f t="shared" si="678"/>
        <v>#DIV/0!</v>
      </c>
      <c r="LD25" s="197">
        <f t="shared" si="484"/>
        <v>0</v>
      </c>
      <c r="LE25" s="225">
        <f t="shared" si="485"/>
        <v>0</v>
      </c>
      <c r="LF25" s="226">
        <f t="shared" si="486"/>
        <v>0</v>
      </c>
      <c r="LG25" s="137">
        <f t="shared" si="487"/>
        <v>0</v>
      </c>
      <c r="LH25" s="227">
        <f t="shared" si="488"/>
        <v>9.92</v>
      </c>
      <c r="LI25" s="138">
        <f t="shared" si="489"/>
        <v>0</v>
      </c>
      <c r="LJ25" s="110">
        <f t="shared" si="490"/>
        <v>0</v>
      </c>
      <c r="LK25" s="110"/>
      <c r="LL25" s="139"/>
    </row>
    <row r="26" spans="1:324" ht="15" customHeight="1" x14ac:dyDescent="0.25">
      <c r="A26" s="246"/>
      <c r="B26" s="70" t="s">
        <v>626</v>
      </c>
      <c r="C26" s="12" t="s">
        <v>728</v>
      </c>
      <c r="D26" s="12" t="s">
        <v>430</v>
      </c>
      <c r="E26" s="4" t="s">
        <v>32</v>
      </c>
      <c r="F26" s="144">
        <f>'прил № 3 (01.01.23)'!L1333</f>
        <v>1</v>
      </c>
      <c r="G26" s="225">
        <f t="shared" si="491"/>
        <v>1.66E-3</v>
      </c>
      <c r="H26" s="226">
        <f t="shared" si="492"/>
        <v>0</v>
      </c>
      <c r="I26" s="137">
        <f t="shared" si="270"/>
        <v>0</v>
      </c>
      <c r="J26" s="227">
        <f t="shared" si="493"/>
        <v>0</v>
      </c>
      <c r="K26" s="138">
        <f t="shared" si="271"/>
        <v>0</v>
      </c>
      <c r="L26" s="110">
        <f t="shared" si="272"/>
        <v>0</v>
      </c>
      <c r="M26" s="110"/>
      <c r="N26" s="139"/>
      <c r="O26" s="140">
        <f t="shared" si="273"/>
        <v>0</v>
      </c>
      <c r="P26" s="144">
        <f>'прил № 3 (01.01.23)'!AG1333</f>
        <v>3</v>
      </c>
      <c r="Q26" s="225">
        <f t="shared" si="494"/>
        <v>2.7399999999999998E-3</v>
      </c>
      <c r="R26" s="226">
        <f t="shared" si="495"/>
        <v>0</v>
      </c>
      <c r="S26" s="137">
        <f t="shared" si="496"/>
        <v>0</v>
      </c>
      <c r="T26" s="227">
        <f t="shared" si="497"/>
        <v>0</v>
      </c>
      <c r="U26" s="138">
        <f t="shared" si="498"/>
        <v>0</v>
      </c>
      <c r="V26" s="110">
        <f t="shared" si="499"/>
        <v>0</v>
      </c>
      <c r="W26" s="110"/>
      <c r="X26" s="139"/>
      <c r="Y26" s="140">
        <f t="shared" si="500"/>
        <v>0</v>
      </c>
      <c r="Z26" s="144">
        <f>'прил № 3 (01.01.23)'!BB1333</f>
        <v>1</v>
      </c>
      <c r="AA26" s="225">
        <f t="shared" si="501"/>
        <v>1.16E-3</v>
      </c>
      <c r="AB26" s="226">
        <f t="shared" si="502"/>
        <v>0</v>
      </c>
      <c r="AC26" s="137">
        <f t="shared" si="503"/>
        <v>0</v>
      </c>
      <c r="AD26" s="227">
        <f t="shared" si="497"/>
        <v>0</v>
      </c>
      <c r="AE26" s="138">
        <f t="shared" si="504"/>
        <v>0</v>
      </c>
      <c r="AF26" s="110">
        <f t="shared" si="505"/>
        <v>0</v>
      </c>
      <c r="AG26" s="110"/>
      <c r="AH26" s="139"/>
      <c r="AI26" s="140">
        <f t="shared" si="506"/>
        <v>0</v>
      </c>
      <c r="AJ26" s="144">
        <f>'прил № 3 (01.01.23)'!BW1333</f>
        <v>2</v>
      </c>
      <c r="AK26" s="225">
        <f t="shared" si="507"/>
        <v>3.0100000000000001E-3</v>
      </c>
      <c r="AL26" s="226">
        <f t="shared" si="508"/>
        <v>0</v>
      </c>
      <c r="AM26" s="137">
        <f t="shared" si="509"/>
        <v>0</v>
      </c>
      <c r="AN26" s="227">
        <f t="shared" si="497"/>
        <v>0</v>
      </c>
      <c r="AO26" s="138">
        <f t="shared" si="510"/>
        <v>0</v>
      </c>
      <c r="AP26" s="110">
        <f t="shared" si="511"/>
        <v>0</v>
      </c>
      <c r="AQ26" s="110"/>
      <c r="AR26" s="139"/>
      <c r="AS26" s="140">
        <f t="shared" si="512"/>
        <v>0</v>
      </c>
      <c r="AT26" s="144">
        <f>'прил № 3 (01.01.23)'!CR1333</f>
        <v>4</v>
      </c>
      <c r="AU26" s="225">
        <f t="shared" si="513"/>
        <v>4.2100000000000002E-3</v>
      </c>
      <c r="AV26" s="226">
        <f t="shared" si="514"/>
        <v>0</v>
      </c>
      <c r="AW26" s="137">
        <f t="shared" si="515"/>
        <v>0</v>
      </c>
      <c r="AX26" s="227">
        <f t="shared" si="497"/>
        <v>0</v>
      </c>
      <c r="AY26" s="138">
        <f t="shared" si="516"/>
        <v>0</v>
      </c>
      <c r="AZ26" s="110">
        <f t="shared" si="517"/>
        <v>0</v>
      </c>
      <c r="BA26" s="110"/>
      <c r="BB26" s="139"/>
      <c r="BC26" s="140">
        <f t="shared" si="518"/>
        <v>0</v>
      </c>
      <c r="BD26" s="144">
        <f>'прил № 3 (01.01.23)'!DM1333</f>
        <v>1</v>
      </c>
      <c r="BE26" s="225">
        <f t="shared" si="519"/>
        <v>1.34E-3</v>
      </c>
      <c r="BF26" s="226">
        <f t="shared" si="520"/>
        <v>0</v>
      </c>
      <c r="BG26" s="137">
        <f t="shared" si="521"/>
        <v>0</v>
      </c>
      <c r="BH26" s="227">
        <f t="shared" si="497"/>
        <v>0</v>
      </c>
      <c r="BI26" s="138">
        <f t="shared" si="522"/>
        <v>0</v>
      </c>
      <c r="BJ26" s="110">
        <f t="shared" si="523"/>
        <v>0</v>
      </c>
      <c r="BK26" s="110"/>
      <c r="BL26" s="139"/>
      <c r="BM26" s="140">
        <f t="shared" si="524"/>
        <v>0</v>
      </c>
      <c r="BN26" s="144">
        <f>'прил № 3 (01.01.23)'!EH1333</f>
        <v>3</v>
      </c>
      <c r="BO26" s="225">
        <f t="shared" si="525"/>
        <v>4.8599999999999997E-3</v>
      </c>
      <c r="BP26" s="226">
        <f t="shared" si="526"/>
        <v>0</v>
      </c>
      <c r="BQ26" s="137">
        <f t="shared" si="527"/>
        <v>0</v>
      </c>
      <c r="BR26" s="227">
        <f t="shared" si="497"/>
        <v>0</v>
      </c>
      <c r="BS26" s="138">
        <f t="shared" si="528"/>
        <v>0</v>
      </c>
      <c r="BT26" s="110">
        <f t="shared" si="529"/>
        <v>0</v>
      </c>
      <c r="BU26" s="110"/>
      <c r="BV26" s="139"/>
      <c r="BW26" s="140">
        <f t="shared" si="530"/>
        <v>0</v>
      </c>
      <c r="BX26" s="144">
        <f>'прил № 3 (01.01.23)'!FC1333</f>
        <v>1</v>
      </c>
      <c r="BY26" s="225">
        <f t="shared" si="531"/>
        <v>1.2700000000000001E-3</v>
      </c>
      <c r="BZ26" s="226">
        <f t="shared" si="532"/>
        <v>0</v>
      </c>
      <c r="CA26" s="137">
        <f t="shared" si="533"/>
        <v>0</v>
      </c>
      <c r="CB26" s="227">
        <f t="shared" si="497"/>
        <v>0</v>
      </c>
      <c r="CC26" s="138">
        <f t="shared" si="534"/>
        <v>0</v>
      </c>
      <c r="CD26" s="110">
        <f t="shared" si="535"/>
        <v>0</v>
      </c>
      <c r="CE26" s="110"/>
      <c r="CF26" s="139"/>
      <c r="CG26" s="140">
        <f t="shared" si="536"/>
        <v>0</v>
      </c>
      <c r="CH26" s="144">
        <f>'прил № 3 (01.01.23)'!FX1333</f>
        <v>5</v>
      </c>
      <c r="CI26" s="225">
        <f t="shared" si="537"/>
        <v>5.4099999999999999E-3</v>
      </c>
      <c r="CJ26" s="226">
        <f t="shared" si="538"/>
        <v>0</v>
      </c>
      <c r="CK26" s="137">
        <f t="shared" si="539"/>
        <v>0</v>
      </c>
      <c r="CL26" s="227">
        <f t="shared" si="540"/>
        <v>0</v>
      </c>
      <c r="CM26" s="138">
        <f t="shared" si="541"/>
        <v>0</v>
      </c>
      <c r="CN26" s="110">
        <f t="shared" si="542"/>
        <v>0</v>
      </c>
      <c r="CO26" s="110"/>
      <c r="CP26" s="139"/>
      <c r="CQ26" s="140">
        <f t="shared" si="543"/>
        <v>0</v>
      </c>
      <c r="CR26" s="144">
        <f>'прил № 3 (01.01.23)'!GS1333</f>
        <v>2</v>
      </c>
      <c r="CS26" s="225">
        <f t="shared" si="544"/>
        <v>2.6900000000000001E-3</v>
      </c>
      <c r="CT26" s="226">
        <f t="shared" si="545"/>
        <v>0</v>
      </c>
      <c r="CU26" s="137">
        <f t="shared" si="546"/>
        <v>0</v>
      </c>
      <c r="CV26" s="227">
        <f t="shared" si="540"/>
        <v>0</v>
      </c>
      <c r="CW26" s="138">
        <f t="shared" si="547"/>
        <v>0</v>
      </c>
      <c r="CX26" s="110">
        <f t="shared" si="548"/>
        <v>0</v>
      </c>
      <c r="CY26" s="110"/>
      <c r="CZ26" s="139"/>
      <c r="DA26" s="140">
        <f t="shared" si="549"/>
        <v>0</v>
      </c>
      <c r="DB26" s="144">
        <f>'прил № 3 (01.01.23)'!HN1333</f>
        <v>0</v>
      </c>
      <c r="DC26" s="225">
        <f t="shared" si="550"/>
        <v>0</v>
      </c>
      <c r="DD26" s="226">
        <f t="shared" si="551"/>
        <v>0</v>
      </c>
      <c r="DE26" s="137">
        <f t="shared" si="552"/>
        <v>0</v>
      </c>
      <c r="DF26" s="227">
        <f t="shared" si="540"/>
        <v>0</v>
      </c>
      <c r="DG26" s="138">
        <f t="shared" si="553"/>
        <v>0</v>
      </c>
      <c r="DH26" s="110">
        <f t="shared" si="554"/>
        <v>0</v>
      </c>
      <c r="DI26" s="110"/>
      <c r="DJ26" s="139"/>
      <c r="DK26" s="140">
        <f t="shared" si="555"/>
        <v>0</v>
      </c>
      <c r="DL26" s="144">
        <f>'прил № 3 (01.01.23)'!II1333</f>
        <v>0</v>
      </c>
      <c r="DM26" s="225">
        <f t="shared" si="556"/>
        <v>0</v>
      </c>
      <c r="DN26" s="226">
        <f t="shared" si="557"/>
        <v>0</v>
      </c>
      <c r="DO26" s="137">
        <f t="shared" si="558"/>
        <v>0</v>
      </c>
      <c r="DP26" s="227">
        <f t="shared" si="540"/>
        <v>0</v>
      </c>
      <c r="DQ26" s="138">
        <f t="shared" si="559"/>
        <v>0</v>
      </c>
      <c r="DR26" s="110">
        <f t="shared" si="560"/>
        <v>0</v>
      </c>
      <c r="DS26" s="110"/>
      <c r="DT26" s="139"/>
      <c r="DU26" s="140">
        <f t="shared" si="561"/>
        <v>0</v>
      </c>
      <c r="DV26" s="144">
        <f>'прил № 3 (01.01.23)'!JD1333</f>
        <v>4</v>
      </c>
      <c r="DW26" s="225">
        <f t="shared" si="562"/>
        <v>4.5599999999999998E-3</v>
      </c>
      <c r="DX26" s="226">
        <f t="shared" si="563"/>
        <v>0</v>
      </c>
      <c r="DY26" s="137">
        <f t="shared" si="564"/>
        <v>0</v>
      </c>
      <c r="DZ26" s="227">
        <f t="shared" si="540"/>
        <v>0</v>
      </c>
      <c r="EA26" s="138">
        <f t="shared" si="565"/>
        <v>0</v>
      </c>
      <c r="EB26" s="110">
        <f t="shared" si="566"/>
        <v>0</v>
      </c>
      <c r="EC26" s="110"/>
      <c r="ED26" s="139"/>
      <c r="EE26" s="140">
        <f t="shared" si="567"/>
        <v>0</v>
      </c>
      <c r="EF26" s="144">
        <f>'прил № 3 (01.01.23)'!JY1333</f>
        <v>3</v>
      </c>
      <c r="EG26" s="225">
        <f t="shared" si="568"/>
        <v>3.1900000000000001E-3</v>
      </c>
      <c r="EH26" s="226">
        <f t="shared" si="569"/>
        <v>0</v>
      </c>
      <c r="EI26" s="137">
        <f t="shared" si="570"/>
        <v>0</v>
      </c>
      <c r="EJ26" s="227">
        <f t="shared" si="540"/>
        <v>0</v>
      </c>
      <c r="EK26" s="138">
        <f t="shared" si="571"/>
        <v>0</v>
      </c>
      <c r="EL26" s="110">
        <f t="shared" si="572"/>
        <v>0</v>
      </c>
      <c r="EM26" s="110"/>
      <c r="EN26" s="139"/>
      <c r="EO26" s="140">
        <f t="shared" si="573"/>
        <v>0</v>
      </c>
      <c r="EP26" s="144">
        <f>'прил № 3 (01.01.23)'!KT1333</f>
        <v>2</v>
      </c>
      <c r="EQ26" s="225">
        <f t="shared" si="574"/>
        <v>2.1199999999999999E-3</v>
      </c>
      <c r="ER26" s="226">
        <f t="shared" si="575"/>
        <v>0</v>
      </c>
      <c r="ES26" s="137">
        <f t="shared" si="576"/>
        <v>0</v>
      </c>
      <c r="ET26" s="227">
        <f t="shared" si="540"/>
        <v>0</v>
      </c>
      <c r="EU26" s="138">
        <f t="shared" si="577"/>
        <v>0</v>
      </c>
      <c r="EV26" s="110">
        <f t="shared" si="578"/>
        <v>0</v>
      </c>
      <c r="EW26" s="110"/>
      <c r="EX26" s="139"/>
      <c r="EY26" s="140">
        <f t="shared" si="579"/>
        <v>0</v>
      </c>
      <c r="EZ26" s="144">
        <f>'прил № 3 (01.01.23)'!LO1333</f>
        <v>1</v>
      </c>
      <c r="FA26" s="225">
        <f t="shared" si="580"/>
        <v>8.9999999999999998E-4</v>
      </c>
      <c r="FB26" s="226">
        <f t="shared" si="581"/>
        <v>58.23</v>
      </c>
      <c r="FC26" s="137">
        <f t="shared" si="582"/>
        <v>58.23</v>
      </c>
      <c r="FD26" s="227">
        <f t="shared" si="583"/>
        <v>9.92</v>
      </c>
      <c r="FE26" s="138">
        <f t="shared" si="584"/>
        <v>577.64160000000004</v>
      </c>
      <c r="FF26" s="110">
        <f t="shared" si="585"/>
        <v>577.64</v>
      </c>
      <c r="FG26" s="110"/>
      <c r="FH26" s="139"/>
      <c r="FI26" s="140">
        <f t="shared" si="586"/>
        <v>7.0260899999999999</v>
      </c>
      <c r="FJ26" s="144">
        <f>'прил № 3 (01.01.23)'!MJ1333</f>
        <v>2</v>
      </c>
      <c r="FK26" s="225">
        <f t="shared" si="587"/>
        <v>1.9599999999999999E-3</v>
      </c>
      <c r="FL26" s="226">
        <f t="shared" si="588"/>
        <v>0</v>
      </c>
      <c r="FM26" s="137">
        <f t="shared" si="589"/>
        <v>0</v>
      </c>
      <c r="FN26" s="227">
        <f t="shared" si="583"/>
        <v>0</v>
      </c>
      <c r="FO26" s="138">
        <f t="shared" si="590"/>
        <v>0</v>
      </c>
      <c r="FP26" s="110">
        <f t="shared" si="591"/>
        <v>0</v>
      </c>
      <c r="FQ26" s="110"/>
      <c r="FR26" s="139"/>
      <c r="FS26" s="140">
        <f t="shared" si="592"/>
        <v>0</v>
      </c>
      <c r="FT26" s="144">
        <f>'прил № 3 (01.01.23)'!NE1333</f>
        <v>3</v>
      </c>
      <c r="FU26" s="225">
        <f t="shared" si="593"/>
        <v>3.7399999999999998E-3</v>
      </c>
      <c r="FV26" s="226">
        <f t="shared" si="594"/>
        <v>0</v>
      </c>
      <c r="FW26" s="137">
        <f t="shared" si="595"/>
        <v>0</v>
      </c>
      <c r="FX26" s="227">
        <f t="shared" si="583"/>
        <v>0</v>
      </c>
      <c r="FY26" s="138">
        <f t="shared" si="596"/>
        <v>0</v>
      </c>
      <c r="FZ26" s="110">
        <f t="shared" si="597"/>
        <v>0</v>
      </c>
      <c r="GA26" s="110"/>
      <c r="GB26" s="139"/>
      <c r="GC26" s="140">
        <f t="shared" si="598"/>
        <v>0</v>
      </c>
      <c r="GD26" s="144">
        <f>'прил № 3 (01.01.23)'!NZ1333</f>
        <v>3</v>
      </c>
      <c r="GE26" s="225">
        <f t="shared" si="599"/>
        <v>5.8599999999999998E-3</v>
      </c>
      <c r="GF26" s="226">
        <f t="shared" si="600"/>
        <v>371.52</v>
      </c>
      <c r="GG26" s="137">
        <f t="shared" si="601"/>
        <v>123.84</v>
      </c>
      <c r="GH26" s="227">
        <f t="shared" si="583"/>
        <v>9.92</v>
      </c>
      <c r="GI26" s="138">
        <f t="shared" si="602"/>
        <v>1228.4928</v>
      </c>
      <c r="GJ26" s="110">
        <f t="shared" si="603"/>
        <v>3685.48</v>
      </c>
      <c r="GK26" s="110"/>
      <c r="GL26" s="139"/>
      <c r="GM26" s="140">
        <f t="shared" si="604"/>
        <v>14.94266</v>
      </c>
      <c r="GN26" s="144">
        <f>'прил № 3 (01.01.23)'!OU1333</f>
        <v>2</v>
      </c>
      <c r="GO26" s="225">
        <f t="shared" si="605"/>
        <v>2.31E-3</v>
      </c>
      <c r="GP26" s="226">
        <f t="shared" si="606"/>
        <v>0</v>
      </c>
      <c r="GQ26" s="137">
        <f t="shared" si="607"/>
        <v>0</v>
      </c>
      <c r="GR26" s="227">
        <f t="shared" si="583"/>
        <v>0</v>
      </c>
      <c r="GS26" s="138">
        <f t="shared" si="608"/>
        <v>0</v>
      </c>
      <c r="GT26" s="110">
        <f t="shared" si="609"/>
        <v>0</v>
      </c>
      <c r="GU26" s="110"/>
      <c r="GV26" s="139"/>
      <c r="GW26" s="140">
        <f t="shared" si="610"/>
        <v>0</v>
      </c>
      <c r="GX26" s="144">
        <f>'прил № 3 (01.01.23)'!PP1333</f>
        <v>0</v>
      </c>
      <c r="GY26" s="225">
        <f t="shared" si="611"/>
        <v>0</v>
      </c>
      <c r="GZ26" s="226">
        <f t="shared" si="612"/>
        <v>0</v>
      </c>
      <c r="HA26" s="137">
        <f t="shared" si="613"/>
        <v>0</v>
      </c>
      <c r="HB26" s="227">
        <f t="shared" si="583"/>
        <v>9.92</v>
      </c>
      <c r="HC26" s="138">
        <f t="shared" si="614"/>
        <v>0</v>
      </c>
      <c r="HD26" s="110">
        <f t="shared" si="615"/>
        <v>0</v>
      </c>
      <c r="HE26" s="110"/>
      <c r="HF26" s="139"/>
      <c r="HG26" s="140">
        <f t="shared" si="616"/>
        <v>0</v>
      </c>
      <c r="HH26" s="144">
        <f>'прил № 3 (01.01.23)'!QK1333</f>
        <v>2</v>
      </c>
      <c r="HI26" s="225">
        <f t="shared" si="617"/>
        <v>1.74E-3</v>
      </c>
      <c r="HJ26" s="226">
        <f t="shared" si="618"/>
        <v>0</v>
      </c>
      <c r="HK26" s="137">
        <f t="shared" si="619"/>
        <v>0</v>
      </c>
      <c r="HL26" s="227">
        <f t="shared" si="583"/>
        <v>0</v>
      </c>
      <c r="HM26" s="138">
        <f t="shared" si="620"/>
        <v>0</v>
      </c>
      <c r="HN26" s="110">
        <f t="shared" si="621"/>
        <v>0</v>
      </c>
      <c r="HO26" s="110"/>
      <c r="HP26" s="139"/>
      <c r="HQ26" s="140">
        <f t="shared" si="622"/>
        <v>0</v>
      </c>
      <c r="HR26" s="144">
        <f>'прил № 3 (01.01.23)'!RF1333</f>
        <v>3</v>
      </c>
      <c r="HS26" s="225">
        <f t="shared" si="623"/>
        <v>3.81E-3</v>
      </c>
      <c r="HT26" s="226">
        <f t="shared" si="624"/>
        <v>0</v>
      </c>
      <c r="HU26" s="137">
        <f t="shared" si="625"/>
        <v>0</v>
      </c>
      <c r="HV26" s="227">
        <f t="shared" si="626"/>
        <v>0</v>
      </c>
      <c r="HW26" s="138">
        <f t="shared" si="627"/>
        <v>0</v>
      </c>
      <c r="HX26" s="110">
        <f t="shared" si="628"/>
        <v>0</v>
      </c>
      <c r="HY26" s="110"/>
      <c r="HZ26" s="139"/>
      <c r="IA26" s="140">
        <f t="shared" si="629"/>
        <v>0</v>
      </c>
      <c r="IB26" s="144">
        <f>'прил № 3 (01.01.23)'!SA1333</f>
        <v>4</v>
      </c>
      <c r="IC26" s="225">
        <f t="shared" si="630"/>
        <v>7.3000000000000001E-3</v>
      </c>
      <c r="ID26" s="226">
        <f t="shared" si="631"/>
        <v>0</v>
      </c>
      <c r="IE26" s="137">
        <f t="shared" si="632"/>
        <v>0</v>
      </c>
      <c r="IF26" s="227">
        <f t="shared" si="626"/>
        <v>0</v>
      </c>
      <c r="IG26" s="138">
        <f t="shared" si="633"/>
        <v>0</v>
      </c>
      <c r="IH26" s="110">
        <f t="shared" si="634"/>
        <v>0</v>
      </c>
      <c r="II26" s="110"/>
      <c r="IJ26" s="139"/>
      <c r="IK26" s="140">
        <f t="shared" si="635"/>
        <v>0</v>
      </c>
      <c r="IL26" s="144">
        <f>'прил № 3 (01.01.23)'!SV1333</f>
        <v>4</v>
      </c>
      <c r="IM26" s="225">
        <f t="shared" si="636"/>
        <v>3.16E-3</v>
      </c>
      <c r="IN26" s="226">
        <f t="shared" si="637"/>
        <v>0</v>
      </c>
      <c r="IO26" s="137">
        <f t="shared" si="638"/>
        <v>0</v>
      </c>
      <c r="IP26" s="227">
        <f t="shared" si="626"/>
        <v>0</v>
      </c>
      <c r="IQ26" s="138">
        <f t="shared" si="639"/>
        <v>0</v>
      </c>
      <c r="IR26" s="110">
        <f t="shared" si="640"/>
        <v>0</v>
      </c>
      <c r="IS26" s="110"/>
      <c r="IT26" s="139"/>
      <c r="IU26" s="140">
        <f t="shared" si="641"/>
        <v>0</v>
      </c>
      <c r="IV26" s="144">
        <f>'прил № 3 (01.01.23)'!TQ1333</f>
        <v>5</v>
      </c>
      <c r="IW26" s="225">
        <f t="shared" si="642"/>
        <v>6.4900000000000001E-3</v>
      </c>
      <c r="IX26" s="226">
        <f t="shared" si="643"/>
        <v>0</v>
      </c>
      <c r="IY26" s="137">
        <f t="shared" si="644"/>
        <v>0</v>
      </c>
      <c r="IZ26" s="227">
        <f t="shared" si="626"/>
        <v>0</v>
      </c>
      <c r="JA26" s="138">
        <f t="shared" si="645"/>
        <v>0</v>
      </c>
      <c r="JB26" s="110">
        <f t="shared" si="646"/>
        <v>0</v>
      </c>
      <c r="JC26" s="110"/>
      <c r="JD26" s="139"/>
      <c r="JE26" s="140">
        <f t="shared" si="647"/>
        <v>0</v>
      </c>
      <c r="JF26" s="144">
        <f>'прил № 3 (01.01.23)'!UL1333</f>
        <v>2</v>
      </c>
      <c r="JG26" s="225">
        <f t="shared" si="648"/>
        <v>1.49E-3</v>
      </c>
      <c r="JH26" s="226">
        <f t="shared" si="649"/>
        <v>0</v>
      </c>
      <c r="JI26" s="137">
        <f t="shared" si="650"/>
        <v>0</v>
      </c>
      <c r="JJ26" s="227">
        <f t="shared" si="626"/>
        <v>0</v>
      </c>
      <c r="JK26" s="138">
        <f t="shared" si="651"/>
        <v>0</v>
      </c>
      <c r="JL26" s="110">
        <f t="shared" si="652"/>
        <v>0</v>
      </c>
      <c r="JM26" s="110"/>
      <c r="JN26" s="139"/>
      <c r="JO26" s="140">
        <f t="shared" si="653"/>
        <v>0</v>
      </c>
      <c r="JP26" s="144">
        <f>'прил № 3 (01.01.23)'!VG1333</f>
        <v>4</v>
      </c>
      <c r="JQ26" s="225">
        <f t="shared" si="654"/>
        <v>3.2000000000000002E-3</v>
      </c>
      <c r="JR26" s="226">
        <f t="shared" si="655"/>
        <v>0</v>
      </c>
      <c r="JS26" s="137">
        <f t="shared" si="656"/>
        <v>0</v>
      </c>
      <c r="JT26" s="227">
        <f t="shared" si="626"/>
        <v>0</v>
      </c>
      <c r="JU26" s="138">
        <f t="shared" si="657"/>
        <v>0</v>
      </c>
      <c r="JV26" s="110">
        <f t="shared" si="658"/>
        <v>0</v>
      </c>
      <c r="JW26" s="110"/>
      <c r="JX26" s="139"/>
      <c r="JY26" s="140">
        <f t="shared" si="659"/>
        <v>0</v>
      </c>
      <c r="JZ26" s="144">
        <f>'прил № 3 (01.01.23)'!WB1333</f>
        <v>0</v>
      </c>
      <c r="KA26" s="225">
        <f t="shared" si="660"/>
        <v>0</v>
      </c>
      <c r="KB26" s="226">
        <f t="shared" si="661"/>
        <v>0</v>
      </c>
      <c r="KC26" s="137">
        <f t="shared" si="662"/>
        <v>0</v>
      </c>
      <c r="KD26" s="227">
        <f t="shared" si="626"/>
        <v>0</v>
      </c>
      <c r="KE26" s="138">
        <f t="shared" si="663"/>
        <v>0</v>
      </c>
      <c r="KF26" s="110">
        <f t="shared" si="664"/>
        <v>0</v>
      </c>
      <c r="KG26" s="110"/>
      <c r="KH26" s="139"/>
      <c r="KI26" s="140">
        <f t="shared" si="665"/>
        <v>0</v>
      </c>
      <c r="KJ26" s="144">
        <f>'прил № 3 (01.01.23)'!WW1333</f>
        <v>2</v>
      </c>
      <c r="KK26" s="225">
        <f t="shared" si="666"/>
        <v>1.49E-3</v>
      </c>
      <c r="KL26" s="226">
        <f t="shared" si="667"/>
        <v>0</v>
      </c>
      <c r="KM26" s="137">
        <f t="shared" si="668"/>
        <v>0</v>
      </c>
      <c r="KN26" s="227">
        <f t="shared" si="669"/>
        <v>0</v>
      </c>
      <c r="KO26" s="138">
        <f t="shared" si="670"/>
        <v>0</v>
      </c>
      <c r="KP26" s="110">
        <f t="shared" si="671"/>
        <v>0</v>
      </c>
      <c r="KQ26" s="110"/>
      <c r="KR26" s="139"/>
      <c r="KS26" s="140">
        <f t="shared" si="672"/>
        <v>0</v>
      </c>
      <c r="KT26" s="144">
        <f>'прил № 3 (01.01.23)'!XR1333</f>
        <v>0</v>
      </c>
      <c r="KU26" s="225">
        <f t="shared" si="673"/>
        <v>0</v>
      </c>
      <c r="KV26" s="226">
        <f t="shared" si="674"/>
        <v>0</v>
      </c>
      <c r="KW26" s="137">
        <f t="shared" si="675"/>
        <v>0</v>
      </c>
      <c r="KX26" s="227">
        <f t="shared" si="669"/>
        <v>0</v>
      </c>
      <c r="KY26" s="138">
        <f t="shared" si="676"/>
        <v>0</v>
      </c>
      <c r="KZ26" s="110">
        <f t="shared" si="677"/>
        <v>0</v>
      </c>
      <c r="LA26" s="110"/>
      <c r="LB26" s="139"/>
      <c r="LC26" s="140">
        <f t="shared" si="678"/>
        <v>0</v>
      </c>
      <c r="LD26" s="197">
        <f t="shared" si="484"/>
        <v>69</v>
      </c>
      <c r="LE26" s="225">
        <f t="shared" si="485"/>
        <v>2.4199999999999998E-3</v>
      </c>
      <c r="LF26" s="226">
        <f t="shared" si="486"/>
        <v>571.85</v>
      </c>
      <c r="LG26" s="137">
        <f t="shared" si="487"/>
        <v>8.28768116</v>
      </c>
      <c r="LH26" s="227">
        <f t="shared" si="488"/>
        <v>9.92</v>
      </c>
      <c r="LI26" s="138">
        <f t="shared" si="489"/>
        <v>82.213800000000006</v>
      </c>
      <c r="LJ26" s="110">
        <f t="shared" si="490"/>
        <v>5672.75</v>
      </c>
      <c r="LK26" s="110"/>
      <c r="LL26" s="139"/>
    </row>
    <row r="27" spans="1:324" ht="15" customHeight="1" x14ac:dyDescent="0.25">
      <c r="A27" s="246"/>
      <c r="B27" s="70" t="s">
        <v>627</v>
      </c>
      <c r="C27" s="12" t="s">
        <v>728</v>
      </c>
      <c r="D27" s="12" t="s">
        <v>430</v>
      </c>
      <c r="E27" s="4" t="s">
        <v>32</v>
      </c>
      <c r="F27" s="144">
        <f>'прил № 3 (01.01.23)'!L1334</f>
        <v>0</v>
      </c>
      <c r="G27" s="225">
        <f t="shared" si="491"/>
        <v>0</v>
      </c>
      <c r="H27" s="226">
        <f t="shared" si="492"/>
        <v>0</v>
      </c>
      <c r="I27" s="137">
        <f t="shared" si="270"/>
        <v>0</v>
      </c>
      <c r="J27" s="227">
        <f t="shared" si="493"/>
        <v>0</v>
      </c>
      <c r="K27" s="138">
        <f t="shared" si="271"/>
        <v>0</v>
      </c>
      <c r="L27" s="110">
        <f t="shared" si="272"/>
        <v>0</v>
      </c>
      <c r="M27" s="110"/>
      <c r="N27" s="139"/>
      <c r="O27" s="140">
        <f t="shared" si="273"/>
        <v>0</v>
      </c>
      <c r="P27" s="144">
        <f>'прил № 3 (01.01.23)'!AG1334</f>
        <v>0</v>
      </c>
      <c r="Q27" s="225">
        <f t="shared" si="494"/>
        <v>0</v>
      </c>
      <c r="R27" s="226">
        <f t="shared" si="495"/>
        <v>0</v>
      </c>
      <c r="S27" s="137">
        <f t="shared" si="496"/>
        <v>0</v>
      </c>
      <c r="T27" s="227">
        <f t="shared" si="497"/>
        <v>0</v>
      </c>
      <c r="U27" s="138">
        <f t="shared" si="498"/>
        <v>0</v>
      </c>
      <c r="V27" s="110">
        <f t="shared" si="499"/>
        <v>0</v>
      </c>
      <c r="W27" s="110"/>
      <c r="X27" s="139"/>
      <c r="Y27" s="140">
        <f t="shared" si="500"/>
        <v>0</v>
      </c>
      <c r="Z27" s="144">
        <f>'прил № 3 (01.01.23)'!BB1334</f>
        <v>0</v>
      </c>
      <c r="AA27" s="225">
        <f t="shared" si="501"/>
        <v>0</v>
      </c>
      <c r="AB27" s="226">
        <f t="shared" si="502"/>
        <v>0</v>
      </c>
      <c r="AC27" s="137">
        <f t="shared" si="503"/>
        <v>0</v>
      </c>
      <c r="AD27" s="227">
        <f t="shared" si="497"/>
        <v>0</v>
      </c>
      <c r="AE27" s="138">
        <f t="shared" si="504"/>
        <v>0</v>
      </c>
      <c r="AF27" s="110">
        <f t="shared" si="505"/>
        <v>0</v>
      </c>
      <c r="AG27" s="110"/>
      <c r="AH27" s="139"/>
      <c r="AI27" s="140">
        <f t="shared" si="506"/>
        <v>0</v>
      </c>
      <c r="AJ27" s="144">
        <f>'прил № 3 (01.01.23)'!BW1334</f>
        <v>0</v>
      </c>
      <c r="AK27" s="225">
        <f t="shared" si="507"/>
        <v>0</v>
      </c>
      <c r="AL27" s="226">
        <f t="shared" si="508"/>
        <v>0</v>
      </c>
      <c r="AM27" s="137">
        <f t="shared" si="509"/>
        <v>0</v>
      </c>
      <c r="AN27" s="227">
        <f t="shared" si="497"/>
        <v>0</v>
      </c>
      <c r="AO27" s="138">
        <f t="shared" si="510"/>
        <v>0</v>
      </c>
      <c r="AP27" s="110">
        <f t="shared" si="511"/>
        <v>0</v>
      </c>
      <c r="AQ27" s="110"/>
      <c r="AR27" s="139"/>
      <c r="AS27" s="140">
        <f t="shared" si="512"/>
        <v>0</v>
      </c>
      <c r="AT27" s="144">
        <f>'прил № 3 (01.01.23)'!CR1334</f>
        <v>4</v>
      </c>
      <c r="AU27" s="225">
        <f t="shared" si="513"/>
        <v>4.2100000000000002E-3</v>
      </c>
      <c r="AV27" s="226">
        <f t="shared" si="514"/>
        <v>0</v>
      </c>
      <c r="AW27" s="137">
        <f t="shared" si="515"/>
        <v>0</v>
      </c>
      <c r="AX27" s="227">
        <f t="shared" si="497"/>
        <v>0</v>
      </c>
      <c r="AY27" s="138">
        <f t="shared" si="516"/>
        <v>0</v>
      </c>
      <c r="AZ27" s="110">
        <f t="shared" si="517"/>
        <v>0</v>
      </c>
      <c r="BA27" s="110"/>
      <c r="BB27" s="139"/>
      <c r="BC27" s="140">
        <f t="shared" si="518"/>
        <v>0</v>
      </c>
      <c r="BD27" s="144">
        <f>'прил № 3 (01.01.23)'!DM1334</f>
        <v>0</v>
      </c>
      <c r="BE27" s="225">
        <f t="shared" si="519"/>
        <v>0</v>
      </c>
      <c r="BF27" s="226">
        <f t="shared" si="520"/>
        <v>0</v>
      </c>
      <c r="BG27" s="137">
        <f t="shared" si="521"/>
        <v>0</v>
      </c>
      <c r="BH27" s="227">
        <f t="shared" si="497"/>
        <v>0</v>
      </c>
      <c r="BI27" s="138">
        <f t="shared" si="522"/>
        <v>0</v>
      </c>
      <c r="BJ27" s="110">
        <f t="shared" si="523"/>
        <v>0</v>
      </c>
      <c r="BK27" s="110"/>
      <c r="BL27" s="139"/>
      <c r="BM27" s="140">
        <f t="shared" si="524"/>
        <v>0</v>
      </c>
      <c r="BN27" s="144">
        <f>'прил № 3 (01.01.23)'!EH1334</f>
        <v>0</v>
      </c>
      <c r="BO27" s="225">
        <f t="shared" si="525"/>
        <v>0</v>
      </c>
      <c r="BP27" s="226">
        <f t="shared" si="526"/>
        <v>0</v>
      </c>
      <c r="BQ27" s="137">
        <f t="shared" si="527"/>
        <v>0</v>
      </c>
      <c r="BR27" s="227">
        <f t="shared" si="497"/>
        <v>0</v>
      </c>
      <c r="BS27" s="138">
        <f t="shared" si="528"/>
        <v>0</v>
      </c>
      <c r="BT27" s="110">
        <f t="shared" si="529"/>
        <v>0</v>
      </c>
      <c r="BU27" s="110"/>
      <c r="BV27" s="139"/>
      <c r="BW27" s="140">
        <f t="shared" si="530"/>
        <v>0</v>
      </c>
      <c r="BX27" s="144">
        <f>'прил № 3 (01.01.23)'!FC1334</f>
        <v>3</v>
      </c>
      <c r="BY27" s="225">
        <f t="shared" si="531"/>
        <v>3.81E-3</v>
      </c>
      <c r="BZ27" s="226">
        <f t="shared" si="532"/>
        <v>0</v>
      </c>
      <c r="CA27" s="137">
        <f t="shared" si="533"/>
        <v>0</v>
      </c>
      <c r="CB27" s="227">
        <f t="shared" si="497"/>
        <v>0</v>
      </c>
      <c r="CC27" s="138">
        <f t="shared" si="534"/>
        <v>0</v>
      </c>
      <c r="CD27" s="110">
        <f t="shared" si="535"/>
        <v>0</v>
      </c>
      <c r="CE27" s="110"/>
      <c r="CF27" s="139"/>
      <c r="CG27" s="140">
        <f t="shared" si="536"/>
        <v>0</v>
      </c>
      <c r="CH27" s="144">
        <f>'прил № 3 (01.01.23)'!FX1334</f>
        <v>0</v>
      </c>
      <c r="CI27" s="225">
        <f t="shared" si="537"/>
        <v>0</v>
      </c>
      <c r="CJ27" s="226">
        <f t="shared" si="538"/>
        <v>0</v>
      </c>
      <c r="CK27" s="137">
        <f t="shared" si="539"/>
        <v>0</v>
      </c>
      <c r="CL27" s="227">
        <f t="shared" si="540"/>
        <v>0</v>
      </c>
      <c r="CM27" s="138">
        <f t="shared" si="541"/>
        <v>0</v>
      </c>
      <c r="CN27" s="110">
        <f t="shared" si="542"/>
        <v>0</v>
      </c>
      <c r="CO27" s="110"/>
      <c r="CP27" s="139"/>
      <c r="CQ27" s="140">
        <f t="shared" si="543"/>
        <v>0</v>
      </c>
      <c r="CR27" s="144">
        <f>'прил № 3 (01.01.23)'!GS1334</f>
        <v>1</v>
      </c>
      <c r="CS27" s="225">
        <f t="shared" si="544"/>
        <v>1.34E-3</v>
      </c>
      <c r="CT27" s="226">
        <f t="shared" si="545"/>
        <v>0</v>
      </c>
      <c r="CU27" s="137">
        <f t="shared" si="546"/>
        <v>0</v>
      </c>
      <c r="CV27" s="227">
        <f t="shared" si="540"/>
        <v>0</v>
      </c>
      <c r="CW27" s="138">
        <f t="shared" si="547"/>
        <v>0</v>
      </c>
      <c r="CX27" s="110">
        <f t="shared" si="548"/>
        <v>0</v>
      </c>
      <c r="CY27" s="110"/>
      <c r="CZ27" s="139"/>
      <c r="DA27" s="140">
        <f t="shared" si="549"/>
        <v>0</v>
      </c>
      <c r="DB27" s="144">
        <f>'прил № 3 (01.01.23)'!HN1334</f>
        <v>0</v>
      </c>
      <c r="DC27" s="225">
        <f t="shared" si="550"/>
        <v>0</v>
      </c>
      <c r="DD27" s="226">
        <f t="shared" si="551"/>
        <v>0</v>
      </c>
      <c r="DE27" s="137">
        <f t="shared" si="552"/>
        <v>0</v>
      </c>
      <c r="DF27" s="227">
        <f t="shared" si="540"/>
        <v>0</v>
      </c>
      <c r="DG27" s="138">
        <f t="shared" si="553"/>
        <v>0</v>
      </c>
      <c r="DH27" s="110">
        <f t="shared" si="554"/>
        <v>0</v>
      </c>
      <c r="DI27" s="110"/>
      <c r="DJ27" s="139"/>
      <c r="DK27" s="140">
        <f t="shared" si="555"/>
        <v>0</v>
      </c>
      <c r="DL27" s="144">
        <f>'прил № 3 (01.01.23)'!II1334</f>
        <v>0</v>
      </c>
      <c r="DM27" s="225">
        <f t="shared" si="556"/>
        <v>0</v>
      </c>
      <c r="DN27" s="226">
        <f t="shared" si="557"/>
        <v>0</v>
      </c>
      <c r="DO27" s="137">
        <f t="shared" si="558"/>
        <v>0</v>
      </c>
      <c r="DP27" s="227">
        <f t="shared" si="540"/>
        <v>0</v>
      </c>
      <c r="DQ27" s="138">
        <f t="shared" si="559"/>
        <v>0</v>
      </c>
      <c r="DR27" s="110">
        <f t="shared" si="560"/>
        <v>0</v>
      </c>
      <c r="DS27" s="110"/>
      <c r="DT27" s="139"/>
      <c r="DU27" s="140">
        <f t="shared" si="561"/>
        <v>0</v>
      </c>
      <c r="DV27" s="144">
        <f>'прил № 3 (01.01.23)'!JD1334</f>
        <v>6</v>
      </c>
      <c r="DW27" s="225">
        <f t="shared" si="562"/>
        <v>6.8300000000000001E-3</v>
      </c>
      <c r="DX27" s="226">
        <f t="shared" si="563"/>
        <v>0</v>
      </c>
      <c r="DY27" s="137">
        <f t="shared" si="564"/>
        <v>0</v>
      </c>
      <c r="DZ27" s="227">
        <f t="shared" si="540"/>
        <v>0</v>
      </c>
      <c r="EA27" s="138">
        <f t="shared" si="565"/>
        <v>0</v>
      </c>
      <c r="EB27" s="110">
        <f t="shared" si="566"/>
        <v>0</v>
      </c>
      <c r="EC27" s="110"/>
      <c r="ED27" s="139"/>
      <c r="EE27" s="140">
        <f t="shared" si="567"/>
        <v>0</v>
      </c>
      <c r="EF27" s="144">
        <f>'прил № 3 (01.01.23)'!JY1334</f>
        <v>3</v>
      </c>
      <c r="EG27" s="225">
        <f t="shared" si="568"/>
        <v>3.1900000000000001E-3</v>
      </c>
      <c r="EH27" s="226">
        <f t="shared" si="569"/>
        <v>0</v>
      </c>
      <c r="EI27" s="137">
        <f t="shared" si="570"/>
        <v>0</v>
      </c>
      <c r="EJ27" s="227">
        <f t="shared" si="540"/>
        <v>0</v>
      </c>
      <c r="EK27" s="138">
        <f t="shared" si="571"/>
        <v>0</v>
      </c>
      <c r="EL27" s="110">
        <f t="shared" si="572"/>
        <v>0</v>
      </c>
      <c r="EM27" s="110"/>
      <c r="EN27" s="139"/>
      <c r="EO27" s="140">
        <f t="shared" si="573"/>
        <v>0</v>
      </c>
      <c r="EP27" s="144">
        <f>'прил № 3 (01.01.23)'!KT1334</f>
        <v>6</v>
      </c>
      <c r="EQ27" s="225">
        <f t="shared" si="574"/>
        <v>6.3600000000000002E-3</v>
      </c>
      <c r="ER27" s="226">
        <f t="shared" si="575"/>
        <v>0</v>
      </c>
      <c r="ES27" s="137">
        <f t="shared" si="576"/>
        <v>0</v>
      </c>
      <c r="ET27" s="227">
        <f t="shared" si="540"/>
        <v>0</v>
      </c>
      <c r="EU27" s="138">
        <f t="shared" si="577"/>
        <v>0</v>
      </c>
      <c r="EV27" s="110">
        <f t="shared" si="578"/>
        <v>0</v>
      </c>
      <c r="EW27" s="110"/>
      <c r="EX27" s="139"/>
      <c r="EY27" s="140">
        <f t="shared" si="579"/>
        <v>0</v>
      </c>
      <c r="EZ27" s="144">
        <f>'прил № 3 (01.01.23)'!LO1334</f>
        <v>4</v>
      </c>
      <c r="FA27" s="225">
        <f t="shared" si="580"/>
        <v>3.5799999999999998E-3</v>
      </c>
      <c r="FB27" s="226">
        <f t="shared" si="581"/>
        <v>231.63</v>
      </c>
      <c r="FC27" s="137">
        <f t="shared" si="582"/>
        <v>57.907499999999999</v>
      </c>
      <c r="FD27" s="227">
        <f t="shared" si="583"/>
        <v>9.92</v>
      </c>
      <c r="FE27" s="138">
        <f t="shared" si="584"/>
        <v>574.44240000000002</v>
      </c>
      <c r="FF27" s="110">
        <f t="shared" si="585"/>
        <v>2297.77</v>
      </c>
      <c r="FG27" s="110"/>
      <c r="FH27" s="139"/>
      <c r="FI27" s="140">
        <f t="shared" si="586"/>
        <v>6.9858900000000004</v>
      </c>
      <c r="FJ27" s="144">
        <f>'прил № 3 (01.01.23)'!MJ1334</f>
        <v>0</v>
      </c>
      <c r="FK27" s="225">
        <f t="shared" si="587"/>
        <v>0</v>
      </c>
      <c r="FL27" s="226">
        <f t="shared" si="588"/>
        <v>0</v>
      </c>
      <c r="FM27" s="137">
        <f t="shared" si="589"/>
        <v>0</v>
      </c>
      <c r="FN27" s="227">
        <f t="shared" si="583"/>
        <v>0</v>
      </c>
      <c r="FO27" s="138">
        <f t="shared" si="590"/>
        <v>0</v>
      </c>
      <c r="FP27" s="110">
        <f t="shared" si="591"/>
        <v>0</v>
      </c>
      <c r="FQ27" s="110"/>
      <c r="FR27" s="139"/>
      <c r="FS27" s="140">
        <f t="shared" si="592"/>
        <v>0</v>
      </c>
      <c r="FT27" s="144">
        <f>'прил № 3 (01.01.23)'!NE1334</f>
        <v>1</v>
      </c>
      <c r="FU27" s="225">
        <f t="shared" si="593"/>
        <v>1.25E-3</v>
      </c>
      <c r="FV27" s="226">
        <f t="shared" si="594"/>
        <v>0</v>
      </c>
      <c r="FW27" s="137">
        <f t="shared" si="595"/>
        <v>0</v>
      </c>
      <c r="FX27" s="227">
        <f t="shared" si="583"/>
        <v>0</v>
      </c>
      <c r="FY27" s="138">
        <f t="shared" si="596"/>
        <v>0</v>
      </c>
      <c r="FZ27" s="110">
        <f t="shared" si="597"/>
        <v>0</v>
      </c>
      <c r="GA27" s="110"/>
      <c r="GB27" s="139"/>
      <c r="GC27" s="140">
        <f t="shared" si="598"/>
        <v>0</v>
      </c>
      <c r="GD27" s="144">
        <f>'прил № 3 (01.01.23)'!NZ1334</f>
        <v>11</v>
      </c>
      <c r="GE27" s="225">
        <f t="shared" si="599"/>
        <v>2.1479999999999999E-2</v>
      </c>
      <c r="GF27" s="226">
        <f t="shared" si="600"/>
        <v>1361.83</v>
      </c>
      <c r="GG27" s="137">
        <f t="shared" si="601"/>
        <v>123.80272727000001</v>
      </c>
      <c r="GH27" s="227">
        <f t="shared" si="583"/>
        <v>9.92</v>
      </c>
      <c r="GI27" s="138">
        <f t="shared" si="602"/>
        <v>1228.1230499999999</v>
      </c>
      <c r="GJ27" s="110">
        <f t="shared" si="603"/>
        <v>13509.35</v>
      </c>
      <c r="GK27" s="110"/>
      <c r="GL27" s="139"/>
      <c r="GM27" s="140">
        <f t="shared" si="604"/>
        <v>14.935409999999999</v>
      </c>
      <c r="GN27" s="144">
        <f>'прил № 3 (01.01.23)'!OU1334</f>
        <v>1</v>
      </c>
      <c r="GO27" s="225">
        <f t="shared" si="605"/>
        <v>1.16E-3</v>
      </c>
      <c r="GP27" s="226">
        <f t="shared" si="606"/>
        <v>0</v>
      </c>
      <c r="GQ27" s="137">
        <f t="shared" si="607"/>
        <v>0</v>
      </c>
      <c r="GR27" s="227">
        <f t="shared" si="583"/>
        <v>0</v>
      </c>
      <c r="GS27" s="138">
        <f t="shared" si="608"/>
        <v>0</v>
      </c>
      <c r="GT27" s="110">
        <f t="shared" si="609"/>
        <v>0</v>
      </c>
      <c r="GU27" s="110"/>
      <c r="GV27" s="139"/>
      <c r="GW27" s="140">
        <f t="shared" si="610"/>
        <v>0</v>
      </c>
      <c r="GX27" s="144">
        <f>'прил № 3 (01.01.23)'!PP1334</f>
        <v>0</v>
      </c>
      <c r="GY27" s="225">
        <f t="shared" si="611"/>
        <v>0</v>
      </c>
      <c r="GZ27" s="226">
        <f t="shared" si="612"/>
        <v>0</v>
      </c>
      <c r="HA27" s="137">
        <f t="shared" si="613"/>
        <v>0</v>
      </c>
      <c r="HB27" s="227">
        <f t="shared" si="583"/>
        <v>9.92</v>
      </c>
      <c r="HC27" s="138">
        <f t="shared" si="614"/>
        <v>0</v>
      </c>
      <c r="HD27" s="110">
        <f t="shared" si="615"/>
        <v>0</v>
      </c>
      <c r="HE27" s="110"/>
      <c r="HF27" s="139"/>
      <c r="HG27" s="140">
        <f t="shared" si="616"/>
        <v>0</v>
      </c>
      <c r="HH27" s="144">
        <f>'прил № 3 (01.01.23)'!QK1334</f>
        <v>0</v>
      </c>
      <c r="HI27" s="225">
        <f t="shared" si="617"/>
        <v>0</v>
      </c>
      <c r="HJ27" s="226">
        <f t="shared" si="618"/>
        <v>0</v>
      </c>
      <c r="HK27" s="137">
        <f t="shared" si="619"/>
        <v>0</v>
      </c>
      <c r="HL27" s="227">
        <f t="shared" si="583"/>
        <v>0</v>
      </c>
      <c r="HM27" s="138">
        <f t="shared" si="620"/>
        <v>0</v>
      </c>
      <c r="HN27" s="110">
        <f t="shared" si="621"/>
        <v>0</v>
      </c>
      <c r="HO27" s="110"/>
      <c r="HP27" s="139"/>
      <c r="HQ27" s="140">
        <f t="shared" si="622"/>
        <v>0</v>
      </c>
      <c r="HR27" s="144">
        <f>'прил № 3 (01.01.23)'!RF1334</f>
        <v>3</v>
      </c>
      <c r="HS27" s="225">
        <f t="shared" si="623"/>
        <v>3.81E-3</v>
      </c>
      <c r="HT27" s="226">
        <f t="shared" si="624"/>
        <v>0</v>
      </c>
      <c r="HU27" s="137">
        <f t="shared" si="625"/>
        <v>0</v>
      </c>
      <c r="HV27" s="227">
        <f t="shared" si="626"/>
        <v>0</v>
      </c>
      <c r="HW27" s="138">
        <f t="shared" si="627"/>
        <v>0</v>
      </c>
      <c r="HX27" s="110">
        <f t="shared" si="628"/>
        <v>0</v>
      </c>
      <c r="HY27" s="110"/>
      <c r="HZ27" s="139"/>
      <c r="IA27" s="140">
        <f t="shared" si="629"/>
        <v>0</v>
      </c>
      <c r="IB27" s="144">
        <f>'прил № 3 (01.01.23)'!SA1334</f>
        <v>3</v>
      </c>
      <c r="IC27" s="225">
        <f t="shared" si="630"/>
        <v>5.47E-3</v>
      </c>
      <c r="ID27" s="226">
        <f t="shared" si="631"/>
        <v>0</v>
      </c>
      <c r="IE27" s="137">
        <f t="shared" si="632"/>
        <v>0</v>
      </c>
      <c r="IF27" s="227">
        <f t="shared" si="626"/>
        <v>0</v>
      </c>
      <c r="IG27" s="138">
        <f t="shared" si="633"/>
        <v>0</v>
      </c>
      <c r="IH27" s="110">
        <f t="shared" si="634"/>
        <v>0</v>
      </c>
      <c r="II27" s="110"/>
      <c r="IJ27" s="139"/>
      <c r="IK27" s="140">
        <f t="shared" si="635"/>
        <v>0</v>
      </c>
      <c r="IL27" s="144">
        <f>'прил № 3 (01.01.23)'!SV1334</f>
        <v>1</v>
      </c>
      <c r="IM27" s="225">
        <f t="shared" si="636"/>
        <v>7.9000000000000001E-4</v>
      </c>
      <c r="IN27" s="226">
        <f t="shared" si="637"/>
        <v>0</v>
      </c>
      <c r="IO27" s="137">
        <f t="shared" si="638"/>
        <v>0</v>
      </c>
      <c r="IP27" s="227">
        <f t="shared" si="626"/>
        <v>0</v>
      </c>
      <c r="IQ27" s="138">
        <f t="shared" si="639"/>
        <v>0</v>
      </c>
      <c r="IR27" s="110">
        <f t="shared" si="640"/>
        <v>0</v>
      </c>
      <c r="IS27" s="110"/>
      <c r="IT27" s="139"/>
      <c r="IU27" s="140">
        <f t="shared" si="641"/>
        <v>0</v>
      </c>
      <c r="IV27" s="144">
        <f>'прил № 3 (01.01.23)'!TQ1334</f>
        <v>7</v>
      </c>
      <c r="IW27" s="225">
        <f t="shared" si="642"/>
        <v>9.0799999999999995E-3</v>
      </c>
      <c r="IX27" s="226">
        <f t="shared" si="643"/>
        <v>0</v>
      </c>
      <c r="IY27" s="137">
        <f t="shared" si="644"/>
        <v>0</v>
      </c>
      <c r="IZ27" s="227">
        <f t="shared" si="626"/>
        <v>0</v>
      </c>
      <c r="JA27" s="138">
        <f t="shared" si="645"/>
        <v>0</v>
      </c>
      <c r="JB27" s="110">
        <f t="shared" si="646"/>
        <v>0</v>
      </c>
      <c r="JC27" s="110"/>
      <c r="JD27" s="139"/>
      <c r="JE27" s="140">
        <f t="shared" si="647"/>
        <v>0</v>
      </c>
      <c r="JF27" s="144">
        <f>'прил № 3 (01.01.23)'!UL1334</f>
        <v>6</v>
      </c>
      <c r="JG27" s="225">
        <f t="shared" si="648"/>
        <v>4.47E-3</v>
      </c>
      <c r="JH27" s="226">
        <f t="shared" si="649"/>
        <v>0</v>
      </c>
      <c r="JI27" s="137">
        <f t="shared" si="650"/>
        <v>0</v>
      </c>
      <c r="JJ27" s="227">
        <f t="shared" si="626"/>
        <v>0</v>
      </c>
      <c r="JK27" s="138">
        <f t="shared" si="651"/>
        <v>0</v>
      </c>
      <c r="JL27" s="110">
        <f t="shared" si="652"/>
        <v>0</v>
      </c>
      <c r="JM27" s="110"/>
      <c r="JN27" s="139"/>
      <c r="JO27" s="140">
        <f t="shared" si="653"/>
        <v>0</v>
      </c>
      <c r="JP27" s="144">
        <f>'прил № 3 (01.01.23)'!VG1334</f>
        <v>2</v>
      </c>
      <c r="JQ27" s="225">
        <f t="shared" si="654"/>
        <v>1.6000000000000001E-3</v>
      </c>
      <c r="JR27" s="226">
        <f t="shared" si="655"/>
        <v>0</v>
      </c>
      <c r="JS27" s="137">
        <f t="shared" si="656"/>
        <v>0</v>
      </c>
      <c r="JT27" s="227">
        <f t="shared" si="626"/>
        <v>0</v>
      </c>
      <c r="JU27" s="138">
        <f t="shared" si="657"/>
        <v>0</v>
      </c>
      <c r="JV27" s="110">
        <f t="shared" si="658"/>
        <v>0</v>
      </c>
      <c r="JW27" s="110"/>
      <c r="JX27" s="139"/>
      <c r="JY27" s="140">
        <f t="shared" si="659"/>
        <v>0</v>
      </c>
      <c r="JZ27" s="144">
        <f>'прил № 3 (01.01.23)'!WB1334</f>
        <v>0</v>
      </c>
      <c r="KA27" s="225">
        <f t="shared" si="660"/>
        <v>0</v>
      </c>
      <c r="KB27" s="226">
        <f t="shared" si="661"/>
        <v>0</v>
      </c>
      <c r="KC27" s="137">
        <f t="shared" si="662"/>
        <v>0</v>
      </c>
      <c r="KD27" s="227">
        <f t="shared" si="626"/>
        <v>0</v>
      </c>
      <c r="KE27" s="138">
        <f t="shared" si="663"/>
        <v>0</v>
      </c>
      <c r="KF27" s="110">
        <f t="shared" si="664"/>
        <v>0</v>
      </c>
      <c r="KG27" s="110"/>
      <c r="KH27" s="139"/>
      <c r="KI27" s="140">
        <f t="shared" si="665"/>
        <v>0</v>
      </c>
      <c r="KJ27" s="144">
        <f>'прил № 3 (01.01.23)'!WW1334</f>
        <v>0</v>
      </c>
      <c r="KK27" s="225">
        <f t="shared" si="666"/>
        <v>0</v>
      </c>
      <c r="KL27" s="226">
        <f t="shared" si="667"/>
        <v>0</v>
      </c>
      <c r="KM27" s="137">
        <f t="shared" si="668"/>
        <v>0</v>
      </c>
      <c r="KN27" s="227">
        <f t="shared" si="669"/>
        <v>0</v>
      </c>
      <c r="KO27" s="138">
        <f t="shared" si="670"/>
        <v>0</v>
      </c>
      <c r="KP27" s="110">
        <f t="shared" si="671"/>
        <v>0</v>
      </c>
      <c r="KQ27" s="110"/>
      <c r="KR27" s="139"/>
      <c r="KS27" s="140">
        <f t="shared" si="672"/>
        <v>0</v>
      </c>
      <c r="KT27" s="144">
        <f>'прил № 3 (01.01.23)'!XR1334</f>
        <v>1</v>
      </c>
      <c r="KU27" s="225">
        <f t="shared" si="673"/>
        <v>8.8999999999999995E-4</v>
      </c>
      <c r="KV27" s="226">
        <f t="shared" si="674"/>
        <v>0</v>
      </c>
      <c r="KW27" s="137">
        <f t="shared" si="675"/>
        <v>0</v>
      </c>
      <c r="KX27" s="227">
        <f t="shared" si="669"/>
        <v>0</v>
      </c>
      <c r="KY27" s="138">
        <f t="shared" si="676"/>
        <v>0</v>
      </c>
      <c r="KZ27" s="110">
        <f t="shared" si="677"/>
        <v>0</v>
      </c>
      <c r="LA27" s="110"/>
      <c r="LB27" s="139"/>
      <c r="LC27" s="140">
        <f t="shared" si="678"/>
        <v>0</v>
      </c>
      <c r="LD27" s="197">
        <f t="shared" si="484"/>
        <v>63</v>
      </c>
      <c r="LE27" s="225">
        <f t="shared" si="485"/>
        <v>2.2100000000000002E-3</v>
      </c>
      <c r="LF27" s="226">
        <f t="shared" si="486"/>
        <v>522.22</v>
      </c>
      <c r="LG27" s="137">
        <f t="shared" si="487"/>
        <v>8.2892063500000006</v>
      </c>
      <c r="LH27" s="227">
        <f t="shared" si="488"/>
        <v>9.92</v>
      </c>
      <c r="LI27" s="138">
        <f t="shared" si="489"/>
        <v>82.228930000000005</v>
      </c>
      <c r="LJ27" s="110">
        <f t="shared" si="490"/>
        <v>5180.42</v>
      </c>
      <c r="LK27" s="110"/>
      <c r="LL27" s="139"/>
    </row>
    <row r="28" spans="1:324" ht="15" customHeight="1" x14ac:dyDescent="0.25">
      <c r="A28" s="246"/>
      <c r="B28" s="229" t="s">
        <v>608</v>
      </c>
      <c r="C28" s="12" t="s">
        <v>728</v>
      </c>
      <c r="D28" s="12" t="s">
        <v>430</v>
      </c>
      <c r="E28" s="4" t="s">
        <v>32</v>
      </c>
      <c r="F28" s="144">
        <f>'прил № 3 (01.01.23)'!L1335</f>
        <v>0</v>
      </c>
      <c r="G28" s="225">
        <f t="shared" si="491"/>
        <v>0</v>
      </c>
      <c r="H28" s="226">
        <f t="shared" si="492"/>
        <v>0</v>
      </c>
      <c r="I28" s="137">
        <f t="shared" si="270"/>
        <v>0</v>
      </c>
      <c r="J28" s="227">
        <f t="shared" si="493"/>
        <v>0</v>
      </c>
      <c r="K28" s="138">
        <f t="shared" si="271"/>
        <v>0</v>
      </c>
      <c r="L28" s="110">
        <f t="shared" si="272"/>
        <v>0</v>
      </c>
      <c r="M28" s="110"/>
      <c r="N28" s="139"/>
      <c r="O28" s="140">
        <f t="shared" si="273"/>
        <v>0</v>
      </c>
      <c r="P28" s="144">
        <f>'прил № 3 (01.01.23)'!AG1335</f>
        <v>0</v>
      </c>
      <c r="Q28" s="225">
        <f t="shared" si="494"/>
        <v>0</v>
      </c>
      <c r="R28" s="226">
        <f t="shared" si="495"/>
        <v>0</v>
      </c>
      <c r="S28" s="137">
        <f t="shared" si="496"/>
        <v>0</v>
      </c>
      <c r="T28" s="227">
        <f t="shared" si="497"/>
        <v>0</v>
      </c>
      <c r="U28" s="138">
        <f t="shared" si="498"/>
        <v>0</v>
      </c>
      <c r="V28" s="110">
        <f t="shared" si="499"/>
        <v>0</v>
      </c>
      <c r="W28" s="110"/>
      <c r="X28" s="139"/>
      <c r="Y28" s="140">
        <f t="shared" si="500"/>
        <v>0</v>
      </c>
      <c r="Z28" s="144">
        <f>'прил № 3 (01.01.23)'!BB1335</f>
        <v>0</v>
      </c>
      <c r="AA28" s="225">
        <f t="shared" si="501"/>
        <v>0</v>
      </c>
      <c r="AB28" s="226">
        <f t="shared" si="502"/>
        <v>0</v>
      </c>
      <c r="AC28" s="137">
        <f t="shared" si="503"/>
        <v>0</v>
      </c>
      <c r="AD28" s="227">
        <f t="shared" si="497"/>
        <v>0</v>
      </c>
      <c r="AE28" s="138">
        <f t="shared" si="504"/>
        <v>0</v>
      </c>
      <c r="AF28" s="110">
        <f t="shared" si="505"/>
        <v>0</v>
      </c>
      <c r="AG28" s="110"/>
      <c r="AH28" s="139"/>
      <c r="AI28" s="140">
        <f t="shared" si="506"/>
        <v>0</v>
      </c>
      <c r="AJ28" s="144">
        <f>'прил № 3 (01.01.23)'!BW1335</f>
        <v>0</v>
      </c>
      <c r="AK28" s="225">
        <f t="shared" si="507"/>
        <v>0</v>
      </c>
      <c r="AL28" s="226">
        <f t="shared" si="508"/>
        <v>0</v>
      </c>
      <c r="AM28" s="137">
        <f t="shared" si="509"/>
        <v>0</v>
      </c>
      <c r="AN28" s="227">
        <f t="shared" si="497"/>
        <v>0</v>
      </c>
      <c r="AO28" s="138">
        <f t="shared" si="510"/>
        <v>0</v>
      </c>
      <c r="AP28" s="110">
        <f t="shared" si="511"/>
        <v>0</v>
      </c>
      <c r="AQ28" s="110"/>
      <c r="AR28" s="139"/>
      <c r="AS28" s="140">
        <f t="shared" si="512"/>
        <v>0</v>
      </c>
      <c r="AT28" s="144">
        <f>'прил № 3 (01.01.23)'!CR1335</f>
        <v>0</v>
      </c>
      <c r="AU28" s="225">
        <f t="shared" si="513"/>
        <v>0</v>
      </c>
      <c r="AV28" s="226">
        <f t="shared" si="514"/>
        <v>0</v>
      </c>
      <c r="AW28" s="137">
        <f t="shared" si="515"/>
        <v>0</v>
      </c>
      <c r="AX28" s="227">
        <f t="shared" si="497"/>
        <v>0</v>
      </c>
      <c r="AY28" s="138">
        <f t="shared" si="516"/>
        <v>0</v>
      </c>
      <c r="AZ28" s="110">
        <f t="shared" si="517"/>
        <v>0</v>
      </c>
      <c r="BA28" s="110"/>
      <c r="BB28" s="139"/>
      <c r="BC28" s="140">
        <f t="shared" si="518"/>
        <v>0</v>
      </c>
      <c r="BD28" s="144">
        <f>'прил № 3 (01.01.23)'!DM1335</f>
        <v>0</v>
      </c>
      <c r="BE28" s="225">
        <f t="shared" si="519"/>
        <v>0</v>
      </c>
      <c r="BF28" s="226">
        <f t="shared" si="520"/>
        <v>0</v>
      </c>
      <c r="BG28" s="137">
        <f t="shared" si="521"/>
        <v>0</v>
      </c>
      <c r="BH28" s="227">
        <f t="shared" si="497"/>
        <v>0</v>
      </c>
      <c r="BI28" s="138">
        <f t="shared" si="522"/>
        <v>0</v>
      </c>
      <c r="BJ28" s="110">
        <f t="shared" si="523"/>
        <v>0</v>
      </c>
      <c r="BK28" s="110"/>
      <c r="BL28" s="139"/>
      <c r="BM28" s="140">
        <f t="shared" si="524"/>
        <v>0</v>
      </c>
      <c r="BN28" s="144">
        <f>'прил № 3 (01.01.23)'!EH1335</f>
        <v>0</v>
      </c>
      <c r="BO28" s="225">
        <f t="shared" si="525"/>
        <v>0</v>
      </c>
      <c r="BP28" s="226">
        <f t="shared" si="526"/>
        <v>0</v>
      </c>
      <c r="BQ28" s="137">
        <f t="shared" si="527"/>
        <v>0</v>
      </c>
      <c r="BR28" s="227">
        <f t="shared" si="497"/>
        <v>0</v>
      </c>
      <c r="BS28" s="138">
        <f t="shared" si="528"/>
        <v>0</v>
      </c>
      <c r="BT28" s="110">
        <f t="shared" si="529"/>
        <v>0</v>
      </c>
      <c r="BU28" s="110"/>
      <c r="BV28" s="139"/>
      <c r="BW28" s="140">
        <f t="shared" si="530"/>
        <v>0</v>
      </c>
      <c r="BX28" s="144">
        <f>'прил № 3 (01.01.23)'!FC1335</f>
        <v>0</v>
      </c>
      <c r="BY28" s="225">
        <f t="shared" si="531"/>
        <v>0</v>
      </c>
      <c r="BZ28" s="226">
        <f t="shared" si="532"/>
        <v>0</v>
      </c>
      <c r="CA28" s="137">
        <f t="shared" si="533"/>
        <v>0</v>
      </c>
      <c r="CB28" s="227">
        <f t="shared" si="497"/>
        <v>0</v>
      </c>
      <c r="CC28" s="138">
        <f t="shared" si="534"/>
        <v>0</v>
      </c>
      <c r="CD28" s="110">
        <f t="shared" si="535"/>
        <v>0</v>
      </c>
      <c r="CE28" s="110"/>
      <c r="CF28" s="139"/>
      <c r="CG28" s="140">
        <f t="shared" si="536"/>
        <v>0</v>
      </c>
      <c r="CH28" s="144">
        <f>'прил № 3 (01.01.23)'!FX1335</f>
        <v>0</v>
      </c>
      <c r="CI28" s="225">
        <f t="shared" si="537"/>
        <v>0</v>
      </c>
      <c r="CJ28" s="226">
        <f t="shared" si="538"/>
        <v>0</v>
      </c>
      <c r="CK28" s="137">
        <f t="shared" si="539"/>
        <v>0</v>
      </c>
      <c r="CL28" s="227">
        <f t="shared" si="540"/>
        <v>0</v>
      </c>
      <c r="CM28" s="138">
        <f t="shared" si="541"/>
        <v>0</v>
      </c>
      <c r="CN28" s="110">
        <f t="shared" si="542"/>
        <v>0</v>
      </c>
      <c r="CO28" s="110"/>
      <c r="CP28" s="139"/>
      <c r="CQ28" s="140">
        <f t="shared" si="543"/>
        <v>0</v>
      </c>
      <c r="CR28" s="144">
        <f>'прил № 3 (01.01.23)'!GS1335</f>
        <v>0</v>
      </c>
      <c r="CS28" s="225">
        <f t="shared" si="544"/>
        <v>0</v>
      </c>
      <c r="CT28" s="226">
        <f t="shared" si="545"/>
        <v>0</v>
      </c>
      <c r="CU28" s="137">
        <f t="shared" si="546"/>
        <v>0</v>
      </c>
      <c r="CV28" s="227">
        <f t="shared" si="540"/>
        <v>0</v>
      </c>
      <c r="CW28" s="138">
        <f t="shared" si="547"/>
        <v>0</v>
      </c>
      <c r="CX28" s="110">
        <f t="shared" si="548"/>
        <v>0</v>
      </c>
      <c r="CY28" s="110"/>
      <c r="CZ28" s="139"/>
      <c r="DA28" s="140">
        <f t="shared" si="549"/>
        <v>0</v>
      </c>
      <c r="DB28" s="144">
        <f>'прил № 3 (01.01.23)'!HN1335</f>
        <v>0</v>
      </c>
      <c r="DC28" s="225">
        <f t="shared" si="550"/>
        <v>0</v>
      </c>
      <c r="DD28" s="226">
        <f t="shared" si="551"/>
        <v>0</v>
      </c>
      <c r="DE28" s="137">
        <f t="shared" si="552"/>
        <v>0</v>
      </c>
      <c r="DF28" s="227">
        <f t="shared" si="540"/>
        <v>0</v>
      </c>
      <c r="DG28" s="138">
        <f t="shared" si="553"/>
        <v>0</v>
      </c>
      <c r="DH28" s="110">
        <f t="shared" si="554"/>
        <v>0</v>
      </c>
      <c r="DI28" s="110"/>
      <c r="DJ28" s="139"/>
      <c r="DK28" s="140">
        <f t="shared" si="555"/>
        <v>0</v>
      </c>
      <c r="DL28" s="144">
        <f>'прил № 3 (01.01.23)'!II1335</f>
        <v>119</v>
      </c>
      <c r="DM28" s="225">
        <f t="shared" si="556"/>
        <v>0.42048999999999997</v>
      </c>
      <c r="DN28" s="226">
        <f t="shared" si="557"/>
        <v>0</v>
      </c>
      <c r="DO28" s="137">
        <f t="shared" si="558"/>
        <v>0</v>
      </c>
      <c r="DP28" s="227">
        <f t="shared" si="540"/>
        <v>0</v>
      </c>
      <c r="DQ28" s="138">
        <f t="shared" si="559"/>
        <v>0</v>
      </c>
      <c r="DR28" s="110">
        <f t="shared" si="560"/>
        <v>0</v>
      </c>
      <c r="DS28" s="110"/>
      <c r="DT28" s="139"/>
      <c r="DU28" s="140">
        <f t="shared" si="561"/>
        <v>0</v>
      </c>
      <c r="DV28" s="144">
        <f>'прил № 3 (01.01.23)'!JD1335</f>
        <v>0</v>
      </c>
      <c r="DW28" s="225">
        <f t="shared" si="562"/>
        <v>0</v>
      </c>
      <c r="DX28" s="226">
        <f t="shared" si="563"/>
        <v>0</v>
      </c>
      <c r="DY28" s="137">
        <f t="shared" si="564"/>
        <v>0</v>
      </c>
      <c r="DZ28" s="227">
        <f t="shared" si="540"/>
        <v>0</v>
      </c>
      <c r="EA28" s="138">
        <f t="shared" si="565"/>
        <v>0</v>
      </c>
      <c r="EB28" s="110">
        <f t="shared" si="566"/>
        <v>0</v>
      </c>
      <c r="EC28" s="110"/>
      <c r="ED28" s="139"/>
      <c r="EE28" s="140">
        <f t="shared" si="567"/>
        <v>0</v>
      </c>
      <c r="EF28" s="144">
        <f>'прил № 3 (01.01.23)'!JY1335</f>
        <v>0</v>
      </c>
      <c r="EG28" s="225">
        <f t="shared" si="568"/>
        <v>0</v>
      </c>
      <c r="EH28" s="226">
        <f t="shared" si="569"/>
        <v>0</v>
      </c>
      <c r="EI28" s="137">
        <f t="shared" si="570"/>
        <v>0</v>
      </c>
      <c r="EJ28" s="227">
        <f t="shared" si="540"/>
        <v>0</v>
      </c>
      <c r="EK28" s="138">
        <f t="shared" si="571"/>
        <v>0</v>
      </c>
      <c r="EL28" s="110">
        <f t="shared" si="572"/>
        <v>0</v>
      </c>
      <c r="EM28" s="110"/>
      <c r="EN28" s="139"/>
      <c r="EO28" s="140">
        <f t="shared" si="573"/>
        <v>0</v>
      </c>
      <c r="EP28" s="144">
        <f>'прил № 3 (01.01.23)'!KT1335</f>
        <v>0</v>
      </c>
      <c r="EQ28" s="225">
        <f t="shared" si="574"/>
        <v>0</v>
      </c>
      <c r="ER28" s="226">
        <f t="shared" si="575"/>
        <v>0</v>
      </c>
      <c r="ES28" s="137">
        <f t="shared" si="576"/>
        <v>0</v>
      </c>
      <c r="ET28" s="227">
        <f t="shared" si="540"/>
        <v>0</v>
      </c>
      <c r="EU28" s="138">
        <f t="shared" si="577"/>
        <v>0</v>
      </c>
      <c r="EV28" s="110">
        <f t="shared" si="578"/>
        <v>0</v>
      </c>
      <c r="EW28" s="110"/>
      <c r="EX28" s="139"/>
      <c r="EY28" s="140">
        <f t="shared" si="579"/>
        <v>0</v>
      </c>
      <c r="EZ28" s="144">
        <f>'прил № 3 (01.01.23)'!LO1335</f>
        <v>0</v>
      </c>
      <c r="FA28" s="225">
        <f t="shared" si="580"/>
        <v>0</v>
      </c>
      <c r="FB28" s="226">
        <f t="shared" si="581"/>
        <v>0</v>
      </c>
      <c r="FC28" s="137">
        <f t="shared" si="582"/>
        <v>0</v>
      </c>
      <c r="FD28" s="227">
        <f t="shared" si="583"/>
        <v>9.92</v>
      </c>
      <c r="FE28" s="138">
        <f t="shared" si="584"/>
        <v>0</v>
      </c>
      <c r="FF28" s="110">
        <f t="shared" si="585"/>
        <v>0</v>
      </c>
      <c r="FG28" s="110"/>
      <c r="FH28" s="139"/>
      <c r="FI28" s="140">
        <f t="shared" si="586"/>
        <v>0</v>
      </c>
      <c r="FJ28" s="144">
        <f>'прил № 3 (01.01.23)'!MJ1335</f>
        <v>0</v>
      </c>
      <c r="FK28" s="225">
        <f t="shared" si="587"/>
        <v>0</v>
      </c>
      <c r="FL28" s="226">
        <f t="shared" si="588"/>
        <v>0</v>
      </c>
      <c r="FM28" s="137">
        <f t="shared" si="589"/>
        <v>0</v>
      </c>
      <c r="FN28" s="227">
        <f t="shared" si="583"/>
        <v>0</v>
      </c>
      <c r="FO28" s="138">
        <f t="shared" si="590"/>
        <v>0</v>
      </c>
      <c r="FP28" s="110">
        <f t="shared" si="591"/>
        <v>0</v>
      </c>
      <c r="FQ28" s="110"/>
      <c r="FR28" s="139"/>
      <c r="FS28" s="140">
        <f t="shared" si="592"/>
        <v>0</v>
      </c>
      <c r="FT28" s="144">
        <f>'прил № 3 (01.01.23)'!NE1335</f>
        <v>0</v>
      </c>
      <c r="FU28" s="225">
        <f t="shared" si="593"/>
        <v>0</v>
      </c>
      <c r="FV28" s="226">
        <f t="shared" si="594"/>
        <v>0</v>
      </c>
      <c r="FW28" s="137">
        <f t="shared" si="595"/>
        <v>0</v>
      </c>
      <c r="FX28" s="227">
        <f t="shared" si="583"/>
        <v>0</v>
      </c>
      <c r="FY28" s="138">
        <f t="shared" si="596"/>
        <v>0</v>
      </c>
      <c r="FZ28" s="110">
        <f t="shared" si="597"/>
        <v>0</v>
      </c>
      <c r="GA28" s="110"/>
      <c r="GB28" s="139"/>
      <c r="GC28" s="140">
        <f t="shared" si="598"/>
        <v>0</v>
      </c>
      <c r="GD28" s="144">
        <f>'прил № 3 (01.01.23)'!NZ1335</f>
        <v>0</v>
      </c>
      <c r="GE28" s="225">
        <f t="shared" si="599"/>
        <v>0</v>
      </c>
      <c r="GF28" s="226">
        <f t="shared" si="600"/>
        <v>0</v>
      </c>
      <c r="GG28" s="137">
        <f t="shared" si="601"/>
        <v>0</v>
      </c>
      <c r="GH28" s="227">
        <f t="shared" si="583"/>
        <v>9.92</v>
      </c>
      <c r="GI28" s="138">
        <f t="shared" si="602"/>
        <v>0</v>
      </c>
      <c r="GJ28" s="110">
        <f t="shared" si="603"/>
        <v>0</v>
      </c>
      <c r="GK28" s="110"/>
      <c r="GL28" s="139"/>
      <c r="GM28" s="140">
        <f t="shared" si="604"/>
        <v>0</v>
      </c>
      <c r="GN28" s="144">
        <f>'прил № 3 (01.01.23)'!OU1335</f>
        <v>0</v>
      </c>
      <c r="GO28" s="225">
        <f t="shared" si="605"/>
        <v>0</v>
      </c>
      <c r="GP28" s="226">
        <f t="shared" si="606"/>
        <v>0</v>
      </c>
      <c r="GQ28" s="137">
        <f t="shared" si="607"/>
        <v>0</v>
      </c>
      <c r="GR28" s="227">
        <f t="shared" si="583"/>
        <v>0</v>
      </c>
      <c r="GS28" s="138">
        <f t="shared" si="608"/>
        <v>0</v>
      </c>
      <c r="GT28" s="110">
        <f t="shared" si="609"/>
        <v>0</v>
      </c>
      <c r="GU28" s="110"/>
      <c r="GV28" s="139"/>
      <c r="GW28" s="140">
        <f t="shared" si="610"/>
        <v>0</v>
      </c>
      <c r="GX28" s="144">
        <f>'прил № 3 (01.01.23)'!PP1335</f>
        <v>0</v>
      </c>
      <c r="GY28" s="225">
        <f t="shared" si="611"/>
        <v>0</v>
      </c>
      <c r="GZ28" s="226">
        <f t="shared" si="612"/>
        <v>0</v>
      </c>
      <c r="HA28" s="137">
        <f t="shared" si="613"/>
        <v>0</v>
      </c>
      <c r="HB28" s="227">
        <f t="shared" si="583"/>
        <v>9.92</v>
      </c>
      <c r="HC28" s="138">
        <f t="shared" si="614"/>
        <v>0</v>
      </c>
      <c r="HD28" s="110">
        <f t="shared" si="615"/>
        <v>0</v>
      </c>
      <c r="HE28" s="110"/>
      <c r="HF28" s="139"/>
      <c r="HG28" s="140">
        <f t="shared" si="616"/>
        <v>0</v>
      </c>
      <c r="HH28" s="144">
        <f>'прил № 3 (01.01.23)'!QK1335</f>
        <v>0</v>
      </c>
      <c r="HI28" s="225">
        <f t="shared" si="617"/>
        <v>0</v>
      </c>
      <c r="HJ28" s="226">
        <f t="shared" si="618"/>
        <v>0</v>
      </c>
      <c r="HK28" s="137">
        <f t="shared" si="619"/>
        <v>0</v>
      </c>
      <c r="HL28" s="227">
        <f t="shared" si="583"/>
        <v>0</v>
      </c>
      <c r="HM28" s="138">
        <f t="shared" si="620"/>
        <v>0</v>
      </c>
      <c r="HN28" s="110">
        <f t="shared" si="621"/>
        <v>0</v>
      </c>
      <c r="HO28" s="110"/>
      <c r="HP28" s="139"/>
      <c r="HQ28" s="140">
        <f t="shared" si="622"/>
        <v>0</v>
      </c>
      <c r="HR28" s="144">
        <f>'прил № 3 (01.01.23)'!RF1335</f>
        <v>0</v>
      </c>
      <c r="HS28" s="225">
        <f t="shared" si="623"/>
        <v>0</v>
      </c>
      <c r="HT28" s="226">
        <f t="shared" si="624"/>
        <v>0</v>
      </c>
      <c r="HU28" s="137">
        <f t="shared" si="625"/>
        <v>0</v>
      </c>
      <c r="HV28" s="227">
        <f t="shared" si="626"/>
        <v>0</v>
      </c>
      <c r="HW28" s="138">
        <f t="shared" si="627"/>
        <v>0</v>
      </c>
      <c r="HX28" s="110">
        <f t="shared" si="628"/>
        <v>0</v>
      </c>
      <c r="HY28" s="110"/>
      <c r="HZ28" s="139"/>
      <c r="IA28" s="140">
        <f t="shared" si="629"/>
        <v>0</v>
      </c>
      <c r="IB28" s="144">
        <f>'прил № 3 (01.01.23)'!SA1335</f>
        <v>0</v>
      </c>
      <c r="IC28" s="225">
        <f t="shared" si="630"/>
        <v>0</v>
      </c>
      <c r="ID28" s="226">
        <f t="shared" si="631"/>
        <v>0</v>
      </c>
      <c r="IE28" s="137">
        <f t="shared" si="632"/>
        <v>0</v>
      </c>
      <c r="IF28" s="227">
        <f t="shared" si="626"/>
        <v>0</v>
      </c>
      <c r="IG28" s="138">
        <f t="shared" si="633"/>
        <v>0</v>
      </c>
      <c r="IH28" s="110">
        <f t="shared" si="634"/>
        <v>0</v>
      </c>
      <c r="II28" s="110"/>
      <c r="IJ28" s="139"/>
      <c r="IK28" s="140">
        <f t="shared" si="635"/>
        <v>0</v>
      </c>
      <c r="IL28" s="144">
        <f>'прил № 3 (01.01.23)'!SV1335</f>
        <v>0</v>
      </c>
      <c r="IM28" s="225">
        <f t="shared" si="636"/>
        <v>0</v>
      </c>
      <c r="IN28" s="226">
        <f t="shared" si="637"/>
        <v>0</v>
      </c>
      <c r="IO28" s="137">
        <f t="shared" si="638"/>
        <v>0</v>
      </c>
      <c r="IP28" s="227">
        <f t="shared" si="626"/>
        <v>0</v>
      </c>
      <c r="IQ28" s="138">
        <f t="shared" si="639"/>
        <v>0</v>
      </c>
      <c r="IR28" s="110">
        <f t="shared" si="640"/>
        <v>0</v>
      </c>
      <c r="IS28" s="110"/>
      <c r="IT28" s="139"/>
      <c r="IU28" s="140">
        <f t="shared" si="641"/>
        <v>0</v>
      </c>
      <c r="IV28" s="144">
        <f>'прил № 3 (01.01.23)'!TQ1335</f>
        <v>0</v>
      </c>
      <c r="IW28" s="225">
        <f t="shared" si="642"/>
        <v>0</v>
      </c>
      <c r="IX28" s="226">
        <f t="shared" si="643"/>
        <v>0</v>
      </c>
      <c r="IY28" s="137">
        <f t="shared" si="644"/>
        <v>0</v>
      </c>
      <c r="IZ28" s="227">
        <f t="shared" si="626"/>
        <v>0</v>
      </c>
      <c r="JA28" s="138">
        <f t="shared" si="645"/>
        <v>0</v>
      </c>
      <c r="JB28" s="110">
        <f t="shared" si="646"/>
        <v>0</v>
      </c>
      <c r="JC28" s="110"/>
      <c r="JD28" s="139"/>
      <c r="JE28" s="140">
        <f t="shared" si="647"/>
        <v>0</v>
      </c>
      <c r="JF28" s="144">
        <f>'прил № 3 (01.01.23)'!UL1335</f>
        <v>0</v>
      </c>
      <c r="JG28" s="225">
        <f t="shared" si="648"/>
        <v>0</v>
      </c>
      <c r="JH28" s="226">
        <f t="shared" si="649"/>
        <v>0</v>
      </c>
      <c r="JI28" s="137">
        <f t="shared" si="650"/>
        <v>0</v>
      </c>
      <c r="JJ28" s="227">
        <f t="shared" si="626"/>
        <v>0</v>
      </c>
      <c r="JK28" s="138">
        <f t="shared" si="651"/>
        <v>0</v>
      </c>
      <c r="JL28" s="110">
        <f t="shared" si="652"/>
        <v>0</v>
      </c>
      <c r="JM28" s="110"/>
      <c r="JN28" s="139"/>
      <c r="JO28" s="140">
        <f t="shared" si="653"/>
        <v>0</v>
      </c>
      <c r="JP28" s="144">
        <f>'прил № 3 (01.01.23)'!VG1335</f>
        <v>0</v>
      </c>
      <c r="JQ28" s="225">
        <f t="shared" si="654"/>
        <v>0</v>
      </c>
      <c r="JR28" s="226">
        <f t="shared" si="655"/>
        <v>0</v>
      </c>
      <c r="JS28" s="137">
        <f t="shared" si="656"/>
        <v>0</v>
      </c>
      <c r="JT28" s="227">
        <f t="shared" si="626"/>
        <v>0</v>
      </c>
      <c r="JU28" s="138">
        <f t="shared" si="657"/>
        <v>0</v>
      </c>
      <c r="JV28" s="110">
        <f t="shared" si="658"/>
        <v>0</v>
      </c>
      <c r="JW28" s="110"/>
      <c r="JX28" s="139"/>
      <c r="JY28" s="140">
        <f t="shared" si="659"/>
        <v>0</v>
      </c>
      <c r="JZ28" s="144">
        <f>'прил № 3 (01.01.23)'!WB1335</f>
        <v>0</v>
      </c>
      <c r="KA28" s="225">
        <f t="shared" si="660"/>
        <v>0</v>
      </c>
      <c r="KB28" s="226">
        <f t="shared" si="661"/>
        <v>0</v>
      </c>
      <c r="KC28" s="137">
        <f t="shared" si="662"/>
        <v>0</v>
      </c>
      <c r="KD28" s="227">
        <f t="shared" si="626"/>
        <v>0</v>
      </c>
      <c r="KE28" s="138">
        <f t="shared" si="663"/>
        <v>0</v>
      </c>
      <c r="KF28" s="110">
        <f t="shared" si="664"/>
        <v>0</v>
      </c>
      <c r="KG28" s="110"/>
      <c r="KH28" s="139"/>
      <c r="KI28" s="140">
        <f t="shared" si="665"/>
        <v>0</v>
      </c>
      <c r="KJ28" s="144">
        <f>'прил № 3 (01.01.23)'!WW1335</f>
        <v>0</v>
      </c>
      <c r="KK28" s="225">
        <f t="shared" si="666"/>
        <v>0</v>
      </c>
      <c r="KL28" s="226">
        <f t="shared" si="667"/>
        <v>0</v>
      </c>
      <c r="KM28" s="137">
        <f t="shared" si="668"/>
        <v>0</v>
      </c>
      <c r="KN28" s="227">
        <f t="shared" si="669"/>
        <v>0</v>
      </c>
      <c r="KO28" s="138">
        <f t="shared" si="670"/>
        <v>0</v>
      </c>
      <c r="KP28" s="110">
        <f t="shared" si="671"/>
        <v>0</v>
      </c>
      <c r="KQ28" s="110"/>
      <c r="KR28" s="139"/>
      <c r="KS28" s="140">
        <f t="shared" si="672"/>
        <v>0</v>
      </c>
      <c r="KT28" s="144">
        <f>'прил № 3 (01.01.23)'!XR1335</f>
        <v>0</v>
      </c>
      <c r="KU28" s="225">
        <f t="shared" si="673"/>
        <v>0</v>
      </c>
      <c r="KV28" s="226">
        <f t="shared" si="674"/>
        <v>0</v>
      </c>
      <c r="KW28" s="137">
        <f t="shared" si="675"/>
        <v>0</v>
      </c>
      <c r="KX28" s="227">
        <f t="shared" si="669"/>
        <v>0</v>
      </c>
      <c r="KY28" s="138">
        <f t="shared" si="676"/>
        <v>0</v>
      </c>
      <c r="KZ28" s="110">
        <f t="shared" si="677"/>
        <v>0</v>
      </c>
      <c r="LA28" s="110"/>
      <c r="LB28" s="139"/>
      <c r="LC28" s="140">
        <f t="shared" si="678"/>
        <v>0</v>
      </c>
      <c r="LD28" s="197">
        <f t="shared" si="484"/>
        <v>119</v>
      </c>
      <c r="LE28" s="225">
        <f t="shared" si="485"/>
        <v>4.1700000000000001E-3</v>
      </c>
      <c r="LF28" s="226">
        <f t="shared" si="486"/>
        <v>985.37</v>
      </c>
      <c r="LG28" s="137">
        <f t="shared" si="487"/>
        <v>8.2804201699999993</v>
      </c>
      <c r="LH28" s="227">
        <f t="shared" si="488"/>
        <v>9.92</v>
      </c>
      <c r="LI28" s="138">
        <f t="shared" si="489"/>
        <v>82.141769999999994</v>
      </c>
      <c r="LJ28" s="110">
        <f t="shared" si="490"/>
        <v>9774.8700000000008</v>
      </c>
      <c r="LK28" s="110"/>
      <c r="LL28" s="139"/>
    </row>
    <row r="29" spans="1:324" ht="15" hidden="1" customHeight="1" x14ac:dyDescent="0.25">
      <c r="A29" s="247"/>
      <c r="B29" s="93" t="s">
        <v>611</v>
      </c>
      <c r="C29" s="12" t="s">
        <v>728</v>
      </c>
      <c r="D29" s="12" t="s">
        <v>430</v>
      </c>
      <c r="E29" s="4" t="s">
        <v>32</v>
      </c>
      <c r="F29" s="144">
        <f>'прил № 3 (01.01.23)'!L1336</f>
        <v>0</v>
      </c>
      <c r="G29" s="225">
        <f t="shared" si="491"/>
        <v>0</v>
      </c>
      <c r="H29" s="226">
        <f t="shared" si="492"/>
        <v>0</v>
      </c>
      <c r="I29" s="137">
        <f t="shared" si="270"/>
        <v>0</v>
      </c>
      <c r="J29" s="227">
        <f t="shared" si="493"/>
        <v>0</v>
      </c>
      <c r="K29" s="138">
        <f t="shared" si="271"/>
        <v>0</v>
      </c>
      <c r="L29" s="110">
        <f t="shared" si="272"/>
        <v>0</v>
      </c>
      <c r="M29" s="110"/>
      <c r="N29" s="139"/>
      <c r="O29" s="140">
        <f t="shared" si="273"/>
        <v>0</v>
      </c>
      <c r="P29" s="144">
        <f>'прил № 3 (01.01.23)'!AG1336</f>
        <v>0</v>
      </c>
      <c r="Q29" s="225">
        <f t="shared" si="494"/>
        <v>0</v>
      </c>
      <c r="R29" s="226">
        <f t="shared" si="495"/>
        <v>0</v>
      </c>
      <c r="S29" s="137">
        <f t="shared" si="496"/>
        <v>0</v>
      </c>
      <c r="T29" s="227">
        <f t="shared" si="497"/>
        <v>0</v>
      </c>
      <c r="U29" s="138">
        <f t="shared" si="498"/>
        <v>0</v>
      </c>
      <c r="V29" s="110">
        <f t="shared" si="499"/>
        <v>0</v>
      </c>
      <c r="W29" s="110"/>
      <c r="X29" s="139"/>
      <c r="Y29" s="140">
        <f t="shared" si="500"/>
        <v>0</v>
      </c>
      <c r="Z29" s="144">
        <f>'прил № 3 (01.01.23)'!BB1336</f>
        <v>0</v>
      </c>
      <c r="AA29" s="225">
        <f t="shared" si="501"/>
        <v>0</v>
      </c>
      <c r="AB29" s="226">
        <f t="shared" si="502"/>
        <v>0</v>
      </c>
      <c r="AC29" s="137">
        <f t="shared" si="503"/>
        <v>0</v>
      </c>
      <c r="AD29" s="227">
        <f t="shared" si="497"/>
        <v>0</v>
      </c>
      <c r="AE29" s="138">
        <f t="shared" si="504"/>
        <v>0</v>
      </c>
      <c r="AF29" s="110">
        <f t="shared" si="505"/>
        <v>0</v>
      </c>
      <c r="AG29" s="110"/>
      <c r="AH29" s="139"/>
      <c r="AI29" s="140">
        <f t="shared" si="506"/>
        <v>0</v>
      </c>
      <c r="AJ29" s="144">
        <f>'прил № 3 (01.01.23)'!BW1336</f>
        <v>0</v>
      </c>
      <c r="AK29" s="225">
        <f t="shared" si="507"/>
        <v>0</v>
      </c>
      <c r="AL29" s="226">
        <f t="shared" si="508"/>
        <v>0</v>
      </c>
      <c r="AM29" s="137">
        <f t="shared" si="509"/>
        <v>0</v>
      </c>
      <c r="AN29" s="227">
        <f t="shared" si="497"/>
        <v>0</v>
      </c>
      <c r="AO29" s="138">
        <f t="shared" si="510"/>
        <v>0</v>
      </c>
      <c r="AP29" s="110">
        <f t="shared" si="511"/>
        <v>0</v>
      </c>
      <c r="AQ29" s="110"/>
      <c r="AR29" s="139"/>
      <c r="AS29" s="140">
        <f t="shared" si="512"/>
        <v>0</v>
      </c>
      <c r="AT29" s="144">
        <f>'прил № 3 (01.01.23)'!CR1336</f>
        <v>0</v>
      </c>
      <c r="AU29" s="225">
        <f t="shared" si="513"/>
        <v>0</v>
      </c>
      <c r="AV29" s="226">
        <f t="shared" si="514"/>
        <v>0</v>
      </c>
      <c r="AW29" s="137">
        <f t="shared" si="515"/>
        <v>0</v>
      </c>
      <c r="AX29" s="227">
        <f t="shared" si="497"/>
        <v>0</v>
      </c>
      <c r="AY29" s="138">
        <f t="shared" si="516"/>
        <v>0</v>
      </c>
      <c r="AZ29" s="110">
        <f t="shared" si="517"/>
        <v>0</v>
      </c>
      <c r="BA29" s="110"/>
      <c r="BB29" s="139"/>
      <c r="BC29" s="140">
        <f t="shared" si="518"/>
        <v>0</v>
      </c>
      <c r="BD29" s="144">
        <f>'прил № 3 (01.01.23)'!DM1336</f>
        <v>0</v>
      </c>
      <c r="BE29" s="225">
        <f t="shared" si="519"/>
        <v>0</v>
      </c>
      <c r="BF29" s="226">
        <f t="shared" si="520"/>
        <v>0</v>
      </c>
      <c r="BG29" s="137">
        <f t="shared" si="521"/>
        <v>0</v>
      </c>
      <c r="BH29" s="227">
        <f t="shared" si="497"/>
        <v>0</v>
      </c>
      <c r="BI29" s="138">
        <f t="shared" si="522"/>
        <v>0</v>
      </c>
      <c r="BJ29" s="110">
        <f t="shared" si="523"/>
        <v>0</v>
      </c>
      <c r="BK29" s="110"/>
      <c r="BL29" s="139"/>
      <c r="BM29" s="140">
        <f t="shared" si="524"/>
        <v>0</v>
      </c>
      <c r="BN29" s="144">
        <f>'прил № 3 (01.01.23)'!EH1336</f>
        <v>0</v>
      </c>
      <c r="BO29" s="225">
        <f t="shared" si="525"/>
        <v>0</v>
      </c>
      <c r="BP29" s="226">
        <f t="shared" si="526"/>
        <v>0</v>
      </c>
      <c r="BQ29" s="137">
        <f t="shared" si="527"/>
        <v>0</v>
      </c>
      <c r="BR29" s="227">
        <f t="shared" si="497"/>
        <v>0</v>
      </c>
      <c r="BS29" s="138">
        <f t="shared" si="528"/>
        <v>0</v>
      </c>
      <c r="BT29" s="110">
        <f t="shared" si="529"/>
        <v>0</v>
      </c>
      <c r="BU29" s="110"/>
      <c r="BV29" s="139"/>
      <c r="BW29" s="140">
        <f t="shared" si="530"/>
        <v>0</v>
      </c>
      <c r="BX29" s="144">
        <f>'прил № 3 (01.01.23)'!FC1336</f>
        <v>0</v>
      </c>
      <c r="BY29" s="225">
        <f t="shared" si="531"/>
        <v>0</v>
      </c>
      <c r="BZ29" s="226">
        <f t="shared" si="532"/>
        <v>0</v>
      </c>
      <c r="CA29" s="137">
        <f t="shared" si="533"/>
        <v>0</v>
      </c>
      <c r="CB29" s="227">
        <f t="shared" si="497"/>
        <v>0</v>
      </c>
      <c r="CC29" s="138">
        <f t="shared" si="534"/>
        <v>0</v>
      </c>
      <c r="CD29" s="110">
        <f t="shared" si="535"/>
        <v>0</v>
      </c>
      <c r="CE29" s="110"/>
      <c r="CF29" s="139"/>
      <c r="CG29" s="140">
        <f t="shared" si="536"/>
        <v>0</v>
      </c>
      <c r="CH29" s="144">
        <f>'прил № 3 (01.01.23)'!FX1336</f>
        <v>0</v>
      </c>
      <c r="CI29" s="225">
        <f t="shared" si="537"/>
        <v>0</v>
      </c>
      <c r="CJ29" s="226">
        <f t="shared" si="538"/>
        <v>0</v>
      </c>
      <c r="CK29" s="137">
        <f t="shared" si="539"/>
        <v>0</v>
      </c>
      <c r="CL29" s="227">
        <f t="shared" si="540"/>
        <v>0</v>
      </c>
      <c r="CM29" s="138">
        <f t="shared" si="541"/>
        <v>0</v>
      </c>
      <c r="CN29" s="110">
        <f t="shared" si="542"/>
        <v>0</v>
      </c>
      <c r="CO29" s="110"/>
      <c r="CP29" s="139"/>
      <c r="CQ29" s="140">
        <f t="shared" si="543"/>
        <v>0</v>
      </c>
      <c r="CR29" s="144">
        <f>'прил № 3 (01.01.23)'!GS1336</f>
        <v>0</v>
      </c>
      <c r="CS29" s="225">
        <f t="shared" si="544"/>
        <v>0</v>
      </c>
      <c r="CT29" s="226">
        <f t="shared" si="545"/>
        <v>0</v>
      </c>
      <c r="CU29" s="137">
        <f t="shared" si="546"/>
        <v>0</v>
      </c>
      <c r="CV29" s="227">
        <f t="shared" si="540"/>
        <v>0</v>
      </c>
      <c r="CW29" s="138">
        <f t="shared" si="547"/>
        <v>0</v>
      </c>
      <c r="CX29" s="110">
        <f t="shared" si="548"/>
        <v>0</v>
      </c>
      <c r="CY29" s="110"/>
      <c r="CZ29" s="139"/>
      <c r="DA29" s="140">
        <f t="shared" si="549"/>
        <v>0</v>
      </c>
      <c r="DB29" s="144">
        <f>'прил № 3 (01.01.23)'!HN1336</f>
        <v>0</v>
      </c>
      <c r="DC29" s="225">
        <f t="shared" si="550"/>
        <v>0</v>
      </c>
      <c r="DD29" s="226">
        <f t="shared" si="551"/>
        <v>0</v>
      </c>
      <c r="DE29" s="137">
        <f t="shared" si="552"/>
        <v>0</v>
      </c>
      <c r="DF29" s="227">
        <f t="shared" si="540"/>
        <v>0</v>
      </c>
      <c r="DG29" s="138">
        <f t="shared" si="553"/>
        <v>0</v>
      </c>
      <c r="DH29" s="110">
        <f t="shared" si="554"/>
        <v>0</v>
      </c>
      <c r="DI29" s="110"/>
      <c r="DJ29" s="139"/>
      <c r="DK29" s="140">
        <f t="shared" si="555"/>
        <v>0</v>
      </c>
      <c r="DL29" s="144">
        <f>'прил № 3 (01.01.23)'!II1336</f>
        <v>5</v>
      </c>
      <c r="DM29" s="225">
        <f t="shared" si="556"/>
        <v>1.7670000000000002E-2</v>
      </c>
      <c r="DN29" s="226">
        <f t="shared" si="557"/>
        <v>0</v>
      </c>
      <c r="DO29" s="137">
        <f t="shared" si="558"/>
        <v>0</v>
      </c>
      <c r="DP29" s="227">
        <f t="shared" si="540"/>
        <v>0</v>
      </c>
      <c r="DQ29" s="138">
        <f t="shared" si="559"/>
        <v>0</v>
      </c>
      <c r="DR29" s="110">
        <f t="shared" si="560"/>
        <v>0</v>
      </c>
      <c r="DS29" s="110"/>
      <c r="DT29" s="139"/>
      <c r="DU29" s="140">
        <f t="shared" si="561"/>
        <v>0</v>
      </c>
      <c r="DV29" s="144">
        <f>'прил № 3 (01.01.23)'!JD1336</f>
        <v>0</v>
      </c>
      <c r="DW29" s="225">
        <f t="shared" si="562"/>
        <v>0</v>
      </c>
      <c r="DX29" s="226">
        <f t="shared" si="563"/>
        <v>0</v>
      </c>
      <c r="DY29" s="137">
        <f t="shared" si="564"/>
        <v>0</v>
      </c>
      <c r="DZ29" s="227">
        <f t="shared" si="540"/>
        <v>0</v>
      </c>
      <c r="EA29" s="138">
        <f t="shared" si="565"/>
        <v>0</v>
      </c>
      <c r="EB29" s="110">
        <f t="shared" si="566"/>
        <v>0</v>
      </c>
      <c r="EC29" s="110"/>
      <c r="ED29" s="139"/>
      <c r="EE29" s="140">
        <f t="shared" si="567"/>
        <v>0</v>
      </c>
      <c r="EF29" s="144">
        <f>'прил № 3 (01.01.23)'!JY1336</f>
        <v>0</v>
      </c>
      <c r="EG29" s="225">
        <f t="shared" si="568"/>
        <v>0</v>
      </c>
      <c r="EH29" s="226">
        <f t="shared" si="569"/>
        <v>0</v>
      </c>
      <c r="EI29" s="137">
        <f t="shared" si="570"/>
        <v>0</v>
      </c>
      <c r="EJ29" s="227">
        <f t="shared" si="540"/>
        <v>0</v>
      </c>
      <c r="EK29" s="138">
        <f t="shared" si="571"/>
        <v>0</v>
      </c>
      <c r="EL29" s="110">
        <f t="shared" si="572"/>
        <v>0</v>
      </c>
      <c r="EM29" s="110"/>
      <c r="EN29" s="139"/>
      <c r="EO29" s="140">
        <f t="shared" si="573"/>
        <v>0</v>
      </c>
      <c r="EP29" s="144">
        <f>'прил № 3 (01.01.23)'!KT1336</f>
        <v>0</v>
      </c>
      <c r="EQ29" s="225">
        <f t="shared" si="574"/>
        <v>0</v>
      </c>
      <c r="ER29" s="226">
        <f t="shared" si="575"/>
        <v>0</v>
      </c>
      <c r="ES29" s="137">
        <f t="shared" si="576"/>
        <v>0</v>
      </c>
      <c r="ET29" s="227">
        <f t="shared" si="540"/>
        <v>0</v>
      </c>
      <c r="EU29" s="138">
        <f t="shared" si="577"/>
        <v>0</v>
      </c>
      <c r="EV29" s="110">
        <f t="shared" si="578"/>
        <v>0</v>
      </c>
      <c r="EW29" s="110"/>
      <c r="EX29" s="139"/>
      <c r="EY29" s="140">
        <f t="shared" si="579"/>
        <v>0</v>
      </c>
      <c r="EZ29" s="144">
        <f>'прил № 3 (01.01.23)'!LO1336</f>
        <v>0</v>
      </c>
      <c r="FA29" s="225">
        <f t="shared" si="580"/>
        <v>0</v>
      </c>
      <c r="FB29" s="226">
        <f t="shared" si="581"/>
        <v>0</v>
      </c>
      <c r="FC29" s="137">
        <f t="shared" si="582"/>
        <v>0</v>
      </c>
      <c r="FD29" s="227">
        <f t="shared" si="583"/>
        <v>9.92</v>
      </c>
      <c r="FE29" s="138">
        <f t="shared" si="584"/>
        <v>0</v>
      </c>
      <c r="FF29" s="110">
        <f t="shared" si="585"/>
        <v>0</v>
      </c>
      <c r="FG29" s="110"/>
      <c r="FH29" s="139"/>
      <c r="FI29" s="140">
        <f t="shared" si="586"/>
        <v>0</v>
      </c>
      <c r="FJ29" s="144">
        <f>'прил № 3 (01.01.23)'!MJ1336</f>
        <v>0</v>
      </c>
      <c r="FK29" s="225">
        <f t="shared" si="587"/>
        <v>0</v>
      </c>
      <c r="FL29" s="226">
        <f t="shared" si="588"/>
        <v>0</v>
      </c>
      <c r="FM29" s="137">
        <f t="shared" si="589"/>
        <v>0</v>
      </c>
      <c r="FN29" s="227">
        <f t="shared" si="583"/>
        <v>0</v>
      </c>
      <c r="FO29" s="138">
        <f t="shared" si="590"/>
        <v>0</v>
      </c>
      <c r="FP29" s="110">
        <f t="shared" si="591"/>
        <v>0</v>
      </c>
      <c r="FQ29" s="110"/>
      <c r="FR29" s="139"/>
      <c r="FS29" s="140">
        <f t="shared" si="592"/>
        <v>0</v>
      </c>
      <c r="FT29" s="144">
        <f>'прил № 3 (01.01.23)'!NE1336</f>
        <v>0</v>
      </c>
      <c r="FU29" s="225">
        <f t="shared" si="593"/>
        <v>0</v>
      </c>
      <c r="FV29" s="226">
        <f t="shared" si="594"/>
        <v>0</v>
      </c>
      <c r="FW29" s="137">
        <f t="shared" si="595"/>
        <v>0</v>
      </c>
      <c r="FX29" s="227">
        <f t="shared" si="583"/>
        <v>0</v>
      </c>
      <c r="FY29" s="138">
        <f t="shared" si="596"/>
        <v>0</v>
      </c>
      <c r="FZ29" s="110">
        <f t="shared" si="597"/>
        <v>0</v>
      </c>
      <c r="GA29" s="110"/>
      <c r="GB29" s="139"/>
      <c r="GC29" s="140">
        <f t="shared" si="598"/>
        <v>0</v>
      </c>
      <c r="GD29" s="144">
        <f>'прил № 3 (01.01.23)'!NZ1336</f>
        <v>0</v>
      </c>
      <c r="GE29" s="225">
        <f t="shared" si="599"/>
        <v>0</v>
      </c>
      <c r="GF29" s="226">
        <f t="shared" si="600"/>
        <v>0</v>
      </c>
      <c r="GG29" s="137">
        <f t="shared" si="601"/>
        <v>0</v>
      </c>
      <c r="GH29" s="227">
        <f t="shared" si="583"/>
        <v>9.92</v>
      </c>
      <c r="GI29" s="138">
        <f t="shared" si="602"/>
        <v>0</v>
      </c>
      <c r="GJ29" s="110">
        <f t="shared" si="603"/>
        <v>0</v>
      </c>
      <c r="GK29" s="110"/>
      <c r="GL29" s="139"/>
      <c r="GM29" s="140">
        <f t="shared" si="604"/>
        <v>0</v>
      </c>
      <c r="GN29" s="144">
        <f>'прил № 3 (01.01.23)'!OU1336</f>
        <v>0</v>
      </c>
      <c r="GO29" s="225">
        <f t="shared" si="605"/>
        <v>0</v>
      </c>
      <c r="GP29" s="226">
        <f t="shared" si="606"/>
        <v>0</v>
      </c>
      <c r="GQ29" s="137">
        <f t="shared" si="607"/>
        <v>0</v>
      </c>
      <c r="GR29" s="227">
        <f t="shared" si="583"/>
        <v>0</v>
      </c>
      <c r="GS29" s="138">
        <f t="shared" si="608"/>
        <v>0</v>
      </c>
      <c r="GT29" s="110">
        <f t="shared" si="609"/>
        <v>0</v>
      </c>
      <c r="GU29" s="110"/>
      <c r="GV29" s="139"/>
      <c r="GW29" s="140">
        <f t="shared" si="610"/>
        <v>0</v>
      </c>
      <c r="GX29" s="144">
        <f>'прил № 3 (01.01.23)'!PP1336</f>
        <v>0</v>
      </c>
      <c r="GY29" s="225">
        <f t="shared" si="611"/>
        <v>0</v>
      </c>
      <c r="GZ29" s="226">
        <f t="shared" si="612"/>
        <v>0</v>
      </c>
      <c r="HA29" s="137">
        <f t="shared" si="613"/>
        <v>0</v>
      </c>
      <c r="HB29" s="227">
        <f t="shared" si="583"/>
        <v>9.92</v>
      </c>
      <c r="HC29" s="138">
        <f t="shared" si="614"/>
        <v>0</v>
      </c>
      <c r="HD29" s="110">
        <f t="shared" si="615"/>
        <v>0</v>
      </c>
      <c r="HE29" s="110"/>
      <c r="HF29" s="139"/>
      <c r="HG29" s="140">
        <f t="shared" si="616"/>
        <v>0</v>
      </c>
      <c r="HH29" s="144">
        <f>'прил № 3 (01.01.23)'!QK1336</f>
        <v>0</v>
      </c>
      <c r="HI29" s="225">
        <f t="shared" si="617"/>
        <v>0</v>
      </c>
      <c r="HJ29" s="226">
        <f t="shared" si="618"/>
        <v>0</v>
      </c>
      <c r="HK29" s="137">
        <f t="shared" si="619"/>
        <v>0</v>
      </c>
      <c r="HL29" s="227">
        <f t="shared" si="583"/>
        <v>0</v>
      </c>
      <c r="HM29" s="138">
        <f t="shared" si="620"/>
        <v>0</v>
      </c>
      <c r="HN29" s="110">
        <f t="shared" si="621"/>
        <v>0</v>
      </c>
      <c r="HO29" s="110"/>
      <c r="HP29" s="139"/>
      <c r="HQ29" s="140">
        <f t="shared" si="622"/>
        <v>0</v>
      </c>
      <c r="HR29" s="144">
        <f>'прил № 3 (01.01.23)'!RF1336</f>
        <v>0</v>
      </c>
      <c r="HS29" s="225">
        <f t="shared" si="623"/>
        <v>0</v>
      </c>
      <c r="HT29" s="226">
        <f t="shared" si="624"/>
        <v>0</v>
      </c>
      <c r="HU29" s="137">
        <f t="shared" si="625"/>
        <v>0</v>
      </c>
      <c r="HV29" s="227">
        <f t="shared" si="626"/>
        <v>0</v>
      </c>
      <c r="HW29" s="138">
        <f t="shared" si="627"/>
        <v>0</v>
      </c>
      <c r="HX29" s="110">
        <f t="shared" si="628"/>
        <v>0</v>
      </c>
      <c r="HY29" s="110"/>
      <c r="HZ29" s="139"/>
      <c r="IA29" s="140">
        <f t="shared" si="629"/>
        <v>0</v>
      </c>
      <c r="IB29" s="144">
        <f>'прил № 3 (01.01.23)'!SA1336</f>
        <v>0</v>
      </c>
      <c r="IC29" s="225">
        <f t="shared" si="630"/>
        <v>0</v>
      </c>
      <c r="ID29" s="226">
        <f t="shared" si="631"/>
        <v>0</v>
      </c>
      <c r="IE29" s="137">
        <f t="shared" si="632"/>
        <v>0</v>
      </c>
      <c r="IF29" s="227">
        <f t="shared" si="626"/>
        <v>0</v>
      </c>
      <c r="IG29" s="138">
        <f t="shared" si="633"/>
        <v>0</v>
      </c>
      <c r="IH29" s="110">
        <f t="shared" si="634"/>
        <v>0</v>
      </c>
      <c r="II29" s="110"/>
      <c r="IJ29" s="139"/>
      <c r="IK29" s="140">
        <f t="shared" si="635"/>
        <v>0</v>
      </c>
      <c r="IL29" s="144">
        <f>'прил № 3 (01.01.23)'!SV1336</f>
        <v>0</v>
      </c>
      <c r="IM29" s="225">
        <f t="shared" si="636"/>
        <v>0</v>
      </c>
      <c r="IN29" s="226">
        <f t="shared" si="637"/>
        <v>0</v>
      </c>
      <c r="IO29" s="137">
        <f t="shared" si="638"/>
        <v>0</v>
      </c>
      <c r="IP29" s="227">
        <f t="shared" si="626"/>
        <v>0</v>
      </c>
      <c r="IQ29" s="138">
        <f t="shared" si="639"/>
        <v>0</v>
      </c>
      <c r="IR29" s="110">
        <f t="shared" si="640"/>
        <v>0</v>
      </c>
      <c r="IS29" s="110"/>
      <c r="IT29" s="139"/>
      <c r="IU29" s="140">
        <f t="shared" si="641"/>
        <v>0</v>
      </c>
      <c r="IV29" s="144">
        <f>'прил № 3 (01.01.23)'!TQ1336</f>
        <v>0</v>
      </c>
      <c r="IW29" s="225">
        <f t="shared" si="642"/>
        <v>0</v>
      </c>
      <c r="IX29" s="226">
        <f t="shared" si="643"/>
        <v>0</v>
      </c>
      <c r="IY29" s="137">
        <f t="shared" si="644"/>
        <v>0</v>
      </c>
      <c r="IZ29" s="227">
        <f t="shared" si="626"/>
        <v>0</v>
      </c>
      <c r="JA29" s="138">
        <f t="shared" si="645"/>
        <v>0</v>
      </c>
      <c r="JB29" s="110">
        <f t="shared" si="646"/>
        <v>0</v>
      </c>
      <c r="JC29" s="110"/>
      <c r="JD29" s="139"/>
      <c r="JE29" s="140">
        <f t="shared" si="647"/>
        <v>0</v>
      </c>
      <c r="JF29" s="144">
        <f>'прил № 3 (01.01.23)'!UL1336</f>
        <v>0</v>
      </c>
      <c r="JG29" s="225">
        <f t="shared" si="648"/>
        <v>0</v>
      </c>
      <c r="JH29" s="226">
        <f t="shared" si="649"/>
        <v>0</v>
      </c>
      <c r="JI29" s="137">
        <f t="shared" si="650"/>
        <v>0</v>
      </c>
      <c r="JJ29" s="227">
        <f t="shared" si="626"/>
        <v>0</v>
      </c>
      <c r="JK29" s="138">
        <f t="shared" si="651"/>
        <v>0</v>
      </c>
      <c r="JL29" s="110">
        <f t="shared" si="652"/>
        <v>0</v>
      </c>
      <c r="JM29" s="110"/>
      <c r="JN29" s="139"/>
      <c r="JO29" s="140">
        <f t="shared" si="653"/>
        <v>0</v>
      </c>
      <c r="JP29" s="144">
        <f>'прил № 3 (01.01.23)'!VG1336</f>
        <v>0</v>
      </c>
      <c r="JQ29" s="225">
        <f t="shared" si="654"/>
        <v>0</v>
      </c>
      <c r="JR29" s="226">
        <f t="shared" si="655"/>
        <v>0</v>
      </c>
      <c r="JS29" s="137">
        <f t="shared" si="656"/>
        <v>0</v>
      </c>
      <c r="JT29" s="227">
        <f t="shared" si="626"/>
        <v>0</v>
      </c>
      <c r="JU29" s="138">
        <f t="shared" si="657"/>
        <v>0</v>
      </c>
      <c r="JV29" s="110">
        <f t="shared" si="658"/>
        <v>0</v>
      </c>
      <c r="JW29" s="110"/>
      <c r="JX29" s="139"/>
      <c r="JY29" s="140">
        <f t="shared" si="659"/>
        <v>0</v>
      </c>
      <c r="JZ29" s="144">
        <f>'прил № 3 (01.01.23)'!WB1336</f>
        <v>0</v>
      </c>
      <c r="KA29" s="225">
        <f t="shared" si="660"/>
        <v>0</v>
      </c>
      <c r="KB29" s="226">
        <f t="shared" si="661"/>
        <v>0</v>
      </c>
      <c r="KC29" s="137">
        <f t="shared" si="662"/>
        <v>0</v>
      </c>
      <c r="KD29" s="227">
        <f t="shared" si="626"/>
        <v>0</v>
      </c>
      <c r="KE29" s="138">
        <f t="shared" si="663"/>
        <v>0</v>
      </c>
      <c r="KF29" s="110">
        <f t="shared" si="664"/>
        <v>0</v>
      </c>
      <c r="KG29" s="110"/>
      <c r="KH29" s="139"/>
      <c r="KI29" s="140">
        <f t="shared" si="665"/>
        <v>0</v>
      </c>
      <c r="KJ29" s="144">
        <f>'прил № 3 (01.01.23)'!WW1336</f>
        <v>0</v>
      </c>
      <c r="KK29" s="225">
        <f t="shared" si="666"/>
        <v>0</v>
      </c>
      <c r="KL29" s="226">
        <f t="shared" si="667"/>
        <v>0</v>
      </c>
      <c r="KM29" s="137">
        <f t="shared" si="668"/>
        <v>0</v>
      </c>
      <c r="KN29" s="227">
        <f t="shared" si="669"/>
        <v>0</v>
      </c>
      <c r="KO29" s="138">
        <f t="shared" si="670"/>
        <v>0</v>
      </c>
      <c r="KP29" s="110">
        <f t="shared" si="671"/>
        <v>0</v>
      </c>
      <c r="KQ29" s="110"/>
      <c r="KR29" s="139"/>
      <c r="KS29" s="140">
        <f t="shared" si="672"/>
        <v>0</v>
      </c>
      <c r="KT29" s="144">
        <f>'прил № 3 (01.01.23)'!XR1336</f>
        <v>0</v>
      </c>
      <c r="KU29" s="225">
        <f t="shared" si="673"/>
        <v>0</v>
      </c>
      <c r="KV29" s="226">
        <f t="shared" si="674"/>
        <v>0</v>
      </c>
      <c r="KW29" s="137">
        <f t="shared" si="675"/>
        <v>0</v>
      </c>
      <c r="KX29" s="227">
        <f t="shared" si="669"/>
        <v>0</v>
      </c>
      <c r="KY29" s="138">
        <f t="shared" si="676"/>
        <v>0</v>
      </c>
      <c r="KZ29" s="110">
        <f t="shared" si="677"/>
        <v>0</v>
      </c>
      <c r="LA29" s="110"/>
      <c r="LB29" s="139"/>
      <c r="LC29" s="140">
        <f t="shared" si="678"/>
        <v>0</v>
      </c>
      <c r="LD29" s="197">
        <f t="shared" si="484"/>
        <v>5</v>
      </c>
      <c r="LE29" s="225">
        <f t="shared" si="485"/>
        <v>1.8000000000000001E-4</v>
      </c>
      <c r="LF29" s="226">
        <f t="shared" si="486"/>
        <v>42.53</v>
      </c>
      <c r="LG29" s="137">
        <f t="shared" si="487"/>
        <v>8.5060000000000002</v>
      </c>
      <c r="LH29" s="227">
        <f t="shared" si="488"/>
        <v>9.92</v>
      </c>
      <c r="LI29" s="138">
        <f t="shared" si="489"/>
        <v>84.379519999999999</v>
      </c>
      <c r="LJ29" s="110">
        <f t="shared" si="490"/>
        <v>421.9</v>
      </c>
      <c r="LK29" s="110"/>
      <c r="LL29" s="139"/>
    </row>
    <row r="30" spans="1:324" s="271" customFormat="1" ht="15" customHeight="1" x14ac:dyDescent="0.25">
      <c r="A30" s="288"/>
      <c r="B30" s="288" t="s">
        <v>855</v>
      </c>
      <c r="C30" s="12"/>
      <c r="D30" s="12"/>
      <c r="E30" s="12"/>
      <c r="F30" s="289"/>
      <c r="G30" s="290"/>
      <c r="H30" s="227"/>
      <c r="I30" s="291"/>
      <c r="J30" s="227"/>
      <c r="K30" s="292"/>
      <c r="L30" s="97"/>
      <c r="M30" s="97"/>
      <c r="N30" s="293"/>
      <c r="O30" s="294"/>
      <c r="P30" s="289"/>
      <c r="Q30" s="290"/>
      <c r="R30" s="227"/>
      <c r="S30" s="291"/>
      <c r="T30" s="227"/>
      <c r="U30" s="292"/>
      <c r="V30" s="97"/>
      <c r="W30" s="97"/>
      <c r="X30" s="293"/>
      <c r="Y30" s="294"/>
      <c r="Z30" s="289"/>
      <c r="AA30" s="290"/>
      <c r="AB30" s="227"/>
      <c r="AC30" s="291"/>
      <c r="AD30" s="227"/>
      <c r="AE30" s="292"/>
      <c r="AF30" s="97"/>
      <c r="AG30" s="97"/>
      <c r="AH30" s="293"/>
      <c r="AI30" s="294"/>
      <c r="AJ30" s="289"/>
      <c r="AK30" s="290"/>
      <c r="AL30" s="227"/>
      <c r="AM30" s="291"/>
      <c r="AN30" s="227"/>
      <c r="AO30" s="292"/>
      <c r="AP30" s="97"/>
      <c r="AQ30" s="97"/>
      <c r="AR30" s="293"/>
      <c r="AS30" s="294"/>
      <c r="AT30" s="289"/>
      <c r="AU30" s="290"/>
      <c r="AV30" s="227"/>
      <c r="AW30" s="291"/>
      <c r="AX30" s="227"/>
      <c r="AY30" s="292"/>
      <c r="AZ30" s="97"/>
      <c r="BA30" s="97"/>
      <c r="BB30" s="293"/>
      <c r="BC30" s="294"/>
      <c r="BD30" s="289"/>
      <c r="BE30" s="290"/>
      <c r="BF30" s="227"/>
      <c r="BG30" s="291"/>
      <c r="BH30" s="227"/>
      <c r="BI30" s="292"/>
      <c r="BJ30" s="97"/>
      <c r="BK30" s="97"/>
      <c r="BL30" s="293"/>
      <c r="BM30" s="294"/>
      <c r="BN30" s="289"/>
      <c r="BO30" s="290"/>
      <c r="BP30" s="227"/>
      <c r="BQ30" s="291"/>
      <c r="BR30" s="227"/>
      <c r="BS30" s="292"/>
      <c r="BT30" s="97"/>
      <c r="BU30" s="97"/>
      <c r="BV30" s="293"/>
      <c r="BW30" s="294"/>
      <c r="BX30" s="289"/>
      <c r="BY30" s="290"/>
      <c r="BZ30" s="227"/>
      <c r="CA30" s="291"/>
      <c r="CB30" s="227"/>
      <c r="CC30" s="292"/>
      <c r="CD30" s="97"/>
      <c r="CE30" s="97"/>
      <c r="CF30" s="293"/>
      <c r="CG30" s="294"/>
      <c r="CH30" s="289"/>
      <c r="CI30" s="290"/>
      <c r="CJ30" s="227"/>
      <c r="CK30" s="291"/>
      <c r="CL30" s="227"/>
      <c r="CM30" s="292"/>
      <c r="CN30" s="97"/>
      <c r="CO30" s="97"/>
      <c r="CP30" s="293"/>
      <c r="CQ30" s="294"/>
      <c r="CR30" s="289"/>
      <c r="CS30" s="290"/>
      <c r="CT30" s="227"/>
      <c r="CU30" s="291"/>
      <c r="CV30" s="227"/>
      <c r="CW30" s="292"/>
      <c r="CX30" s="97"/>
      <c r="CY30" s="97"/>
      <c r="CZ30" s="293"/>
      <c r="DA30" s="294"/>
      <c r="DB30" s="289"/>
      <c r="DC30" s="290"/>
      <c r="DD30" s="227"/>
      <c r="DE30" s="291"/>
      <c r="DF30" s="227"/>
      <c r="DG30" s="292"/>
      <c r="DH30" s="97"/>
      <c r="DI30" s="97"/>
      <c r="DJ30" s="293"/>
      <c r="DK30" s="294"/>
      <c r="DL30" s="289"/>
      <c r="DM30" s="290"/>
      <c r="DN30" s="227"/>
      <c r="DO30" s="291"/>
      <c r="DP30" s="227"/>
      <c r="DQ30" s="292"/>
      <c r="DR30" s="97"/>
      <c r="DS30" s="97"/>
      <c r="DT30" s="293"/>
      <c r="DU30" s="294"/>
      <c r="DV30" s="289"/>
      <c r="DW30" s="290"/>
      <c r="DX30" s="227"/>
      <c r="DY30" s="291"/>
      <c r="DZ30" s="227"/>
      <c r="EA30" s="292"/>
      <c r="EB30" s="97"/>
      <c r="EC30" s="97"/>
      <c r="ED30" s="293"/>
      <c r="EE30" s="294"/>
      <c r="EF30" s="289"/>
      <c r="EG30" s="290"/>
      <c r="EH30" s="227"/>
      <c r="EI30" s="291"/>
      <c r="EJ30" s="227"/>
      <c r="EK30" s="292"/>
      <c r="EL30" s="97"/>
      <c r="EM30" s="97"/>
      <c r="EN30" s="293"/>
      <c r="EO30" s="294"/>
      <c r="EP30" s="289"/>
      <c r="EQ30" s="290"/>
      <c r="ER30" s="227"/>
      <c r="ES30" s="291"/>
      <c r="ET30" s="227"/>
      <c r="EU30" s="292"/>
      <c r="EV30" s="97"/>
      <c r="EW30" s="97"/>
      <c r="EX30" s="293"/>
      <c r="EY30" s="294"/>
      <c r="EZ30" s="289"/>
      <c r="FA30" s="290"/>
      <c r="FB30" s="227"/>
      <c r="FC30" s="291"/>
      <c r="FD30" s="227"/>
      <c r="FE30" s="292"/>
      <c r="FF30" s="97"/>
      <c r="FG30" s="97"/>
      <c r="FH30" s="293"/>
      <c r="FI30" s="294"/>
      <c r="FJ30" s="289"/>
      <c r="FK30" s="290"/>
      <c r="FL30" s="227"/>
      <c r="FM30" s="291"/>
      <c r="FN30" s="227"/>
      <c r="FO30" s="292"/>
      <c r="FP30" s="97"/>
      <c r="FQ30" s="97"/>
      <c r="FR30" s="293"/>
      <c r="FS30" s="294"/>
      <c r="FT30" s="289"/>
      <c r="FU30" s="290"/>
      <c r="FV30" s="227"/>
      <c r="FW30" s="291"/>
      <c r="FX30" s="227"/>
      <c r="FY30" s="292"/>
      <c r="FZ30" s="97"/>
      <c r="GA30" s="97"/>
      <c r="GB30" s="293"/>
      <c r="GC30" s="294"/>
      <c r="GD30" s="289"/>
      <c r="GE30" s="290"/>
      <c r="GF30" s="227"/>
      <c r="GG30" s="291"/>
      <c r="GH30" s="227"/>
      <c r="GI30" s="292"/>
      <c r="GJ30" s="97"/>
      <c r="GK30" s="97"/>
      <c r="GL30" s="293"/>
      <c r="GM30" s="294"/>
      <c r="GN30" s="289"/>
      <c r="GO30" s="290"/>
      <c r="GP30" s="227"/>
      <c r="GQ30" s="291"/>
      <c r="GR30" s="227"/>
      <c r="GS30" s="292"/>
      <c r="GT30" s="97"/>
      <c r="GU30" s="97"/>
      <c r="GV30" s="293"/>
      <c r="GW30" s="294"/>
      <c r="GX30" s="289"/>
      <c r="GY30" s="290"/>
      <c r="GZ30" s="227"/>
      <c r="HA30" s="291"/>
      <c r="HB30" s="227"/>
      <c r="HC30" s="292"/>
      <c r="HD30" s="97"/>
      <c r="HE30" s="97"/>
      <c r="HF30" s="293"/>
      <c r="HG30" s="294"/>
      <c r="HH30" s="289"/>
      <c r="HI30" s="290"/>
      <c r="HJ30" s="227"/>
      <c r="HK30" s="291"/>
      <c r="HL30" s="227"/>
      <c r="HM30" s="292"/>
      <c r="HN30" s="97"/>
      <c r="HO30" s="97"/>
      <c r="HP30" s="293"/>
      <c r="HQ30" s="294"/>
      <c r="HR30" s="289"/>
      <c r="HS30" s="290"/>
      <c r="HT30" s="227"/>
      <c r="HU30" s="291"/>
      <c r="HV30" s="227"/>
      <c r="HW30" s="292"/>
      <c r="HX30" s="97"/>
      <c r="HY30" s="97"/>
      <c r="HZ30" s="293"/>
      <c r="IA30" s="294"/>
      <c r="IB30" s="289"/>
      <c r="IC30" s="290"/>
      <c r="ID30" s="227"/>
      <c r="IE30" s="291"/>
      <c r="IF30" s="227"/>
      <c r="IG30" s="292"/>
      <c r="IH30" s="97"/>
      <c r="II30" s="97"/>
      <c r="IJ30" s="293"/>
      <c r="IK30" s="294"/>
      <c r="IL30" s="289"/>
      <c r="IM30" s="290"/>
      <c r="IN30" s="227"/>
      <c r="IO30" s="291"/>
      <c r="IP30" s="227"/>
      <c r="IQ30" s="292"/>
      <c r="IR30" s="97"/>
      <c r="IS30" s="97"/>
      <c r="IT30" s="293"/>
      <c r="IU30" s="294"/>
      <c r="IV30" s="289"/>
      <c r="IW30" s="290"/>
      <c r="IX30" s="227"/>
      <c r="IY30" s="291"/>
      <c r="IZ30" s="227"/>
      <c r="JA30" s="292"/>
      <c r="JB30" s="97"/>
      <c r="JC30" s="97"/>
      <c r="JD30" s="293"/>
      <c r="JE30" s="294"/>
      <c r="JF30" s="289"/>
      <c r="JG30" s="290"/>
      <c r="JH30" s="227"/>
      <c r="JI30" s="291"/>
      <c r="JJ30" s="227"/>
      <c r="JK30" s="292"/>
      <c r="JL30" s="97"/>
      <c r="JM30" s="97"/>
      <c r="JN30" s="293"/>
      <c r="JO30" s="294"/>
      <c r="JP30" s="289"/>
      <c r="JQ30" s="290"/>
      <c r="JR30" s="227"/>
      <c r="JS30" s="291"/>
      <c r="JT30" s="227"/>
      <c r="JU30" s="292"/>
      <c r="JV30" s="97"/>
      <c r="JW30" s="97"/>
      <c r="JX30" s="293"/>
      <c r="JY30" s="294"/>
      <c r="JZ30" s="289"/>
      <c r="KA30" s="290"/>
      <c r="KB30" s="227"/>
      <c r="KC30" s="291"/>
      <c r="KD30" s="227"/>
      <c r="KE30" s="292"/>
      <c r="KF30" s="97"/>
      <c r="KG30" s="97"/>
      <c r="KH30" s="293"/>
      <c r="KI30" s="294"/>
      <c r="KJ30" s="289"/>
      <c r="KK30" s="290"/>
      <c r="KL30" s="227"/>
      <c r="KM30" s="291"/>
      <c r="KN30" s="227"/>
      <c r="KO30" s="292"/>
      <c r="KP30" s="97"/>
      <c r="KQ30" s="97"/>
      <c r="KR30" s="293"/>
      <c r="KS30" s="294"/>
      <c r="KT30" s="289"/>
      <c r="KU30" s="290"/>
      <c r="KV30" s="227"/>
      <c r="KW30" s="291"/>
      <c r="KX30" s="227"/>
      <c r="KY30" s="292"/>
      <c r="KZ30" s="97"/>
      <c r="LA30" s="97"/>
      <c r="LB30" s="293"/>
      <c r="LC30" s="294"/>
      <c r="LD30" s="295"/>
      <c r="LE30" s="290"/>
      <c r="LF30" s="227"/>
      <c r="LG30" s="291"/>
      <c r="LH30" s="227"/>
      <c r="LI30" s="292"/>
      <c r="LJ30" s="97"/>
      <c r="LK30" s="97"/>
      <c r="LL30" s="293"/>
    </row>
    <row r="31" spans="1:324" ht="15" customHeight="1" x14ac:dyDescent="0.25">
      <c r="A31" s="245"/>
      <c r="B31" s="12" t="s">
        <v>609</v>
      </c>
      <c r="C31" s="12" t="s">
        <v>728</v>
      </c>
      <c r="D31" s="12" t="s">
        <v>430</v>
      </c>
      <c r="E31" s="4" t="s">
        <v>32</v>
      </c>
      <c r="F31" s="144">
        <f>'прил № 3 (01.01.23)'!L1339</f>
        <v>49</v>
      </c>
      <c r="G31" s="225">
        <f t="shared" si="491"/>
        <v>8.14E-2</v>
      </c>
      <c r="H31" s="226">
        <f t="shared" si="492"/>
        <v>0</v>
      </c>
      <c r="I31" s="137">
        <f t="shared" si="270"/>
        <v>0</v>
      </c>
      <c r="J31" s="227">
        <f t="shared" si="493"/>
        <v>0</v>
      </c>
      <c r="K31" s="138">
        <f t="shared" si="271"/>
        <v>0</v>
      </c>
      <c r="L31" s="110">
        <f t="shared" si="272"/>
        <v>0</v>
      </c>
      <c r="M31" s="110"/>
      <c r="N31" s="139"/>
      <c r="O31" s="140">
        <f t="shared" si="273"/>
        <v>0</v>
      </c>
      <c r="P31" s="144">
        <f>'прил № 3 (01.01.23)'!AG1339</f>
        <v>79</v>
      </c>
      <c r="Q31" s="225">
        <f t="shared" ref="Q31:Q38" si="679">P31/P$10</f>
        <v>7.2080000000000005E-2</v>
      </c>
      <c r="R31" s="226">
        <f t="shared" ref="R31:R38" si="680">R$10*Q31</f>
        <v>0</v>
      </c>
      <c r="S31" s="137">
        <f t="shared" ref="S31:S39" si="681">IF(P31&gt;0,R31/P31,0)</f>
        <v>0</v>
      </c>
      <c r="T31" s="227">
        <f t="shared" ref="T31:CB38" si="682">T$10</f>
        <v>0</v>
      </c>
      <c r="U31" s="138">
        <f t="shared" ref="U31:U39" si="683">S31*T31</f>
        <v>0</v>
      </c>
      <c r="V31" s="110">
        <f t="shared" ref="V31:V39" si="684">U31*P31</f>
        <v>0</v>
      </c>
      <c r="W31" s="110"/>
      <c r="X31" s="139"/>
      <c r="Y31" s="140">
        <f t="shared" ref="Y31:Y39" si="685">U31/$LI31</f>
        <v>0</v>
      </c>
      <c r="Z31" s="144">
        <f>'прил № 3 (01.01.23)'!BB1339</f>
        <v>214</v>
      </c>
      <c r="AA31" s="225">
        <f t="shared" ref="AA31:AA38" si="686">Z31/Z$10</f>
        <v>0.24768999999999999</v>
      </c>
      <c r="AB31" s="226">
        <f t="shared" ref="AB31:AB38" si="687">AB$10*AA31</f>
        <v>0</v>
      </c>
      <c r="AC31" s="137">
        <f t="shared" ref="AC31:AC39" si="688">IF(Z31&gt;0,AB31/Z31,0)</f>
        <v>0</v>
      </c>
      <c r="AD31" s="227">
        <f t="shared" si="682"/>
        <v>0</v>
      </c>
      <c r="AE31" s="138">
        <f t="shared" ref="AE31:AE39" si="689">AC31*AD31</f>
        <v>0</v>
      </c>
      <c r="AF31" s="110">
        <f t="shared" ref="AF31:AF39" si="690">AE31*Z31</f>
        <v>0</v>
      </c>
      <c r="AG31" s="110"/>
      <c r="AH31" s="139"/>
      <c r="AI31" s="140">
        <f t="shared" ref="AI31:AI39" si="691">AE31/$LI31</f>
        <v>0</v>
      </c>
      <c r="AJ31" s="144">
        <f>'прил № 3 (01.01.23)'!BW1339</f>
        <v>43</v>
      </c>
      <c r="AK31" s="225">
        <f t="shared" ref="AK31:AK38" si="692">AJ31/AJ$10</f>
        <v>6.4659999999999995E-2</v>
      </c>
      <c r="AL31" s="226">
        <f t="shared" ref="AL31:AL38" si="693">AL$10*AK31</f>
        <v>0</v>
      </c>
      <c r="AM31" s="137">
        <f t="shared" ref="AM31:AM39" si="694">IF(AJ31&gt;0,AL31/AJ31,0)</f>
        <v>0</v>
      </c>
      <c r="AN31" s="227">
        <f t="shared" si="682"/>
        <v>0</v>
      </c>
      <c r="AO31" s="138">
        <f t="shared" ref="AO31:AO39" si="695">AM31*AN31</f>
        <v>0</v>
      </c>
      <c r="AP31" s="110">
        <f t="shared" ref="AP31:AP39" si="696">AO31*AJ31</f>
        <v>0</v>
      </c>
      <c r="AQ31" s="110"/>
      <c r="AR31" s="139"/>
      <c r="AS31" s="140">
        <f t="shared" ref="AS31:AS39" si="697">AO31/$LI31</f>
        <v>0</v>
      </c>
      <c r="AT31" s="144">
        <f>'прил № 3 (01.01.23)'!CR1339</f>
        <v>54</v>
      </c>
      <c r="AU31" s="225">
        <f t="shared" ref="AU31:AU38" si="698">AT31/AT$10</f>
        <v>5.6779999999999997E-2</v>
      </c>
      <c r="AV31" s="226">
        <f t="shared" ref="AV31:AV38" si="699">AV$10*AU31</f>
        <v>0</v>
      </c>
      <c r="AW31" s="137">
        <f t="shared" ref="AW31:AW39" si="700">IF(AT31&gt;0,AV31/AT31,0)</f>
        <v>0</v>
      </c>
      <c r="AX31" s="227">
        <f t="shared" si="682"/>
        <v>0</v>
      </c>
      <c r="AY31" s="138">
        <f t="shared" ref="AY31:AY39" si="701">AW31*AX31</f>
        <v>0</v>
      </c>
      <c r="AZ31" s="110">
        <f t="shared" ref="AZ31:AZ39" si="702">AY31*AT31</f>
        <v>0</v>
      </c>
      <c r="BA31" s="110"/>
      <c r="BB31" s="139"/>
      <c r="BC31" s="140">
        <f t="shared" ref="BC31:BC39" si="703">AY31/$LI31</f>
        <v>0</v>
      </c>
      <c r="BD31" s="144">
        <f>'прил № 3 (01.01.23)'!DM1339</f>
        <v>38</v>
      </c>
      <c r="BE31" s="225">
        <f t="shared" ref="BE31:BE38" si="704">BD31/BD$10</f>
        <v>5.108E-2</v>
      </c>
      <c r="BF31" s="226">
        <f t="shared" ref="BF31:BF38" si="705">BF$10*BE31</f>
        <v>0</v>
      </c>
      <c r="BG31" s="137">
        <f t="shared" ref="BG31:BG39" si="706">IF(BD31&gt;0,BF31/BD31,0)</f>
        <v>0</v>
      </c>
      <c r="BH31" s="227">
        <f t="shared" si="682"/>
        <v>0</v>
      </c>
      <c r="BI31" s="138">
        <f t="shared" ref="BI31:BI39" si="707">BG31*BH31</f>
        <v>0</v>
      </c>
      <c r="BJ31" s="110">
        <f t="shared" ref="BJ31:BJ39" si="708">BI31*BD31</f>
        <v>0</v>
      </c>
      <c r="BK31" s="110"/>
      <c r="BL31" s="139"/>
      <c r="BM31" s="140">
        <f t="shared" ref="BM31:BM39" si="709">BI31/$LI31</f>
        <v>0</v>
      </c>
      <c r="BN31" s="144">
        <f>'прил № 3 (01.01.23)'!EH1339</f>
        <v>51</v>
      </c>
      <c r="BO31" s="225">
        <f t="shared" ref="BO31:BO38" si="710">BN31/BN$10</f>
        <v>8.2659999999999997E-2</v>
      </c>
      <c r="BP31" s="226">
        <f t="shared" ref="BP31:BP38" si="711">BP$10*BO31</f>
        <v>0</v>
      </c>
      <c r="BQ31" s="137">
        <f t="shared" ref="BQ31:BQ39" si="712">IF(BN31&gt;0,BP31/BN31,0)</f>
        <v>0</v>
      </c>
      <c r="BR31" s="227">
        <f t="shared" si="682"/>
        <v>0</v>
      </c>
      <c r="BS31" s="138">
        <f t="shared" ref="BS31:BS39" si="713">BQ31*BR31</f>
        <v>0</v>
      </c>
      <c r="BT31" s="110">
        <f t="shared" ref="BT31:BT39" si="714">BS31*BN31</f>
        <v>0</v>
      </c>
      <c r="BU31" s="110"/>
      <c r="BV31" s="139"/>
      <c r="BW31" s="140">
        <f t="shared" ref="BW31:BW39" si="715">BS31/$LI31</f>
        <v>0</v>
      </c>
      <c r="BX31" s="144">
        <f>'прил № 3 (01.01.23)'!FC1339</f>
        <v>72</v>
      </c>
      <c r="BY31" s="225">
        <f t="shared" ref="BY31:BY38" si="716">BX31/BX$10</f>
        <v>9.1370000000000007E-2</v>
      </c>
      <c r="BZ31" s="226">
        <f t="shared" ref="BZ31:BZ38" si="717">BZ$10*BY31</f>
        <v>0</v>
      </c>
      <c r="CA31" s="137">
        <f t="shared" ref="CA31:CA39" si="718">IF(BX31&gt;0,BZ31/BX31,0)</f>
        <v>0</v>
      </c>
      <c r="CB31" s="227">
        <f t="shared" si="682"/>
        <v>0</v>
      </c>
      <c r="CC31" s="138">
        <f t="shared" ref="CC31:CC39" si="719">CA31*CB31</f>
        <v>0</v>
      </c>
      <c r="CD31" s="110">
        <f t="shared" ref="CD31:CD39" si="720">CC31*BX31</f>
        <v>0</v>
      </c>
      <c r="CE31" s="110"/>
      <c r="CF31" s="139"/>
      <c r="CG31" s="140">
        <f t="shared" ref="CG31:CG39" si="721">CC31/$LI31</f>
        <v>0</v>
      </c>
      <c r="CH31" s="144">
        <f>'прил № 3 (01.01.23)'!FX1339</f>
        <v>109</v>
      </c>
      <c r="CI31" s="225">
        <f t="shared" ref="CI31:CI38" si="722">CH31/CH$10</f>
        <v>0.11797000000000001</v>
      </c>
      <c r="CJ31" s="226">
        <f t="shared" ref="CJ31:CJ38" si="723">CJ$10*CI31</f>
        <v>0</v>
      </c>
      <c r="CK31" s="137">
        <f t="shared" ref="CK31:CK39" si="724">IF(CH31&gt;0,CJ31/CH31,0)</f>
        <v>0</v>
      </c>
      <c r="CL31" s="227">
        <f t="shared" ref="CL31:ET38" si="725">CL$10</f>
        <v>0</v>
      </c>
      <c r="CM31" s="138">
        <f t="shared" ref="CM31:CM39" si="726">CK31*CL31</f>
        <v>0</v>
      </c>
      <c r="CN31" s="110">
        <f t="shared" ref="CN31:CN39" si="727">CM31*CH31</f>
        <v>0</v>
      </c>
      <c r="CO31" s="110"/>
      <c r="CP31" s="139"/>
      <c r="CQ31" s="140">
        <f t="shared" ref="CQ31:CQ39" si="728">CM31/$LI31</f>
        <v>0</v>
      </c>
      <c r="CR31" s="144">
        <f>'прил № 3 (01.01.23)'!GS1339</f>
        <v>38</v>
      </c>
      <c r="CS31" s="225">
        <f t="shared" ref="CS31:CS38" si="729">CR31/CR$10</f>
        <v>5.108E-2</v>
      </c>
      <c r="CT31" s="226">
        <f t="shared" ref="CT31:CT38" si="730">CT$10*CS31</f>
        <v>0</v>
      </c>
      <c r="CU31" s="137">
        <f t="shared" ref="CU31:CU39" si="731">IF(CR31&gt;0,CT31/CR31,0)</f>
        <v>0</v>
      </c>
      <c r="CV31" s="227">
        <f t="shared" si="725"/>
        <v>0</v>
      </c>
      <c r="CW31" s="138">
        <f t="shared" ref="CW31:CW39" si="732">CU31*CV31</f>
        <v>0</v>
      </c>
      <c r="CX31" s="110">
        <f t="shared" ref="CX31:CX39" si="733">CW31*CR31</f>
        <v>0</v>
      </c>
      <c r="CY31" s="110"/>
      <c r="CZ31" s="139"/>
      <c r="DA31" s="140">
        <f t="shared" ref="DA31:DA39" si="734">CW31/$LI31</f>
        <v>0</v>
      </c>
      <c r="DB31" s="144">
        <f>'прил № 3 (01.01.23)'!HN1339</f>
        <v>86</v>
      </c>
      <c r="DC31" s="225">
        <f t="shared" ref="DC31:DC38" si="735">DB31/DB$10</f>
        <v>0.10424</v>
      </c>
      <c r="DD31" s="226">
        <f t="shared" ref="DD31:DD38" si="736">DD$10*DC31</f>
        <v>0</v>
      </c>
      <c r="DE31" s="137">
        <f t="shared" ref="DE31:DE39" si="737">IF(DB31&gt;0,DD31/DB31,0)</f>
        <v>0</v>
      </c>
      <c r="DF31" s="227">
        <f t="shared" si="725"/>
        <v>0</v>
      </c>
      <c r="DG31" s="138">
        <f t="shared" ref="DG31:DG39" si="738">DE31*DF31</f>
        <v>0</v>
      </c>
      <c r="DH31" s="110">
        <f t="shared" ref="DH31:DH39" si="739">DG31*DB31</f>
        <v>0</v>
      </c>
      <c r="DI31" s="110"/>
      <c r="DJ31" s="139"/>
      <c r="DK31" s="140">
        <f t="shared" ref="DK31:DK39" si="740">DG31/$LI31</f>
        <v>0</v>
      </c>
      <c r="DL31" s="144">
        <f>'прил № 3 (01.01.23)'!II1339</f>
        <v>0</v>
      </c>
      <c r="DM31" s="225">
        <f t="shared" ref="DM31:DM38" si="741">DL31/DL$10</f>
        <v>0</v>
      </c>
      <c r="DN31" s="226">
        <f t="shared" ref="DN31:DN38" si="742">DN$10*DM31</f>
        <v>0</v>
      </c>
      <c r="DO31" s="137">
        <f t="shared" ref="DO31:DO39" si="743">IF(DL31&gt;0,DN31/DL31,0)</f>
        <v>0</v>
      </c>
      <c r="DP31" s="227">
        <f t="shared" si="725"/>
        <v>0</v>
      </c>
      <c r="DQ31" s="138">
        <f t="shared" ref="DQ31:DQ39" si="744">DO31*DP31</f>
        <v>0</v>
      </c>
      <c r="DR31" s="110">
        <f t="shared" ref="DR31:DR39" si="745">DQ31*DL31</f>
        <v>0</v>
      </c>
      <c r="DS31" s="110"/>
      <c r="DT31" s="139"/>
      <c r="DU31" s="140">
        <f t="shared" ref="DU31:DU39" si="746">DQ31/$LI31</f>
        <v>0</v>
      </c>
      <c r="DV31" s="144">
        <f>'прил № 3 (01.01.23)'!JD1339</f>
        <v>49</v>
      </c>
      <c r="DW31" s="225">
        <f t="shared" ref="DW31:DW38" si="747">DV31/DV$10</f>
        <v>5.5809999999999998E-2</v>
      </c>
      <c r="DX31" s="226">
        <f t="shared" ref="DX31:DX38" si="748">DX$10*DW31</f>
        <v>0</v>
      </c>
      <c r="DY31" s="137">
        <f t="shared" ref="DY31:DY39" si="749">IF(DV31&gt;0,DX31/DV31,0)</f>
        <v>0</v>
      </c>
      <c r="DZ31" s="227">
        <f t="shared" si="725"/>
        <v>0</v>
      </c>
      <c r="EA31" s="138">
        <f t="shared" ref="EA31:EA39" si="750">DY31*DZ31</f>
        <v>0</v>
      </c>
      <c r="EB31" s="110">
        <f t="shared" ref="EB31:EB39" si="751">EA31*DV31</f>
        <v>0</v>
      </c>
      <c r="EC31" s="110"/>
      <c r="ED31" s="139"/>
      <c r="EE31" s="140">
        <f t="shared" ref="EE31:EE39" si="752">EA31/$LI31</f>
        <v>0</v>
      </c>
      <c r="EF31" s="144">
        <f>'прил № 3 (01.01.23)'!JY1339</f>
        <v>66</v>
      </c>
      <c r="EG31" s="225">
        <f t="shared" ref="EG31:EG38" si="753">EF31/EF$10</f>
        <v>7.0290000000000005E-2</v>
      </c>
      <c r="EH31" s="226">
        <f t="shared" ref="EH31:EH38" si="754">EH$10*EG31</f>
        <v>0</v>
      </c>
      <c r="EI31" s="137">
        <f t="shared" ref="EI31:EI39" si="755">IF(EF31&gt;0,EH31/EF31,0)</f>
        <v>0</v>
      </c>
      <c r="EJ31" s="227">
        <f t="shared" si="725"/>
        <v>0</v>
      </c>
      <c r="EK31" s="138">
        <f t="shared" ref="EK31:EK39" si="756">EI31*EJ31</f>
        <v>0</v>
      </c>
      <c r="EL31" s="110">
        <f t="shared" ref="EL31:EL39" si="757">EK31*EF31</f>
        <v>0</v>
      </c>
      <c r="EM31" s="110"/>
      <c r="EN31" s="139"/>
      <c r="EO31" s="140">
        <f t="shared" ref="EO31:EO39" si="758">EK31/$LI31</f>
        <v>0</v>
      </c>
      <c r="EP31" s="144">
        <f>'прил № 3 (01.01.23)'!KT1339</f>
        <v>72</v>
      </c>
      <c r="EQ31" s="225">
        <f t="shared" ref="EQ31:EQ38" si="759">EP31/EP$10</f>
        <v>7.6350000000000001E-2</v>
      </c>
      <c r="ER31" s="226">
        <f t="shared" ref="ER31:ER38" si="760">ER$10*EQ31</f>
        <v>0</v>
      </c>
      <c r="ES31" s="137">
        <f t="shared" ref="ES31:ES39" si="761">IF(EP31&gt;0,ER31/EP31,0)</f>
        <v>0</v>
      </c>
      <c r="ET31" s="227">
        <f t="shared" si="725"/>
        <v>0</v>
      </c>
      <c r="EU31" s="138">
        <f t="shared" ref="EU31:EU39" si="762">ES31*ET31</f>
        <v>0</v>
      </c>
      <c r="EV31" s="110">
        <f t="shared" ref="EV31:EV39" si="763">EU31*EP31</f>
        <v>0</v>
      </c>
      <c r="EW31" s="110"/>
      <c r="EX31" s="139"/>
      <c r="EY31" s="140">
        <f t="shared" ref="EY31:EY39" si="764">EU31/$LI31</f>
        <v>0</v>
      </c>
      <c r="EZ31" s="144">
        <f>'прил № 3 (01.01.23)'!LO1339</f>
        <v>45</v>
      </c>
      <c r="FA31" s="225">
        <f t="shared" ref="FA31:FA38" si="765">EZ31/EZ$10</f>
        <v>4.0289999999999999E-2</v>
      </c>
      <c r="FB31" s="226">
        <f t="shared" ref="FB31:FB38" si="766">FB$10*FA31</f>
        <v>2606.7600000000002</v>
      </c>
      <c r="FC31" s="137">
        <f t="shared" ref="FC31:FC39" si="767">IF(EZ31&gt;0,FB31/EZ31,0)</f>
        <v>57.927999999999997</v>
      </c>
      <c r="FD31" s="227">
        <f t="shared" ref="FD31:HL38" si="768">FD$10</f>
        <v>9.92</v>
      </c>
      <c r="FE31" s="138">
        <f t="shared" ref="FE31:FE39" si="769">FC31*FD31</f>
        <v>574.64576</v>
      </c>
      <c r="FF31" s="110">
        <f t="shared" ref="FF31:FF39" si="770">FE31*EZ31</f>
        <v>25859.06</v>
      </c>
      <c r="FG31" s="110"/>
      <c r="FH31" s="139"/>
      <c r="FI31" s="140">
        <f t="shared" ref="FI31:FI39" si="771">FE31/$LI31</f>
        <v>6.9974400000000001</v>
      </c>
      <c r="FJ31" s="144">
        <f>'прил № 3 (01.01.23)'!MJ1339</f>
        <v>102</v>
      </c>
      <c r="FK31" s="225">
        <f t="shared" ref="FK31:FK38" si="772">FJ31/FJ$10</f>
        <v>9.98E-2</v>
      </c>
      <c r="FL31" s="226">
        <f t="shared" ref="FL31:FL38" si="773">FL$10*FK31</f>
        <v>0</v>
      </c>
      <c r="FM31" s="137">
        <f t="shared" ref="FM31:FM39" si="774">IF(FJ31&gt;0,FL31/FJ31,0)</f>
        <v>0</v>
      </c>
      <c r="FN31" s="227">
        <f t="shared" si="768"/>
        <v>0</v>
      </c>
      <c r="FO31" s="138">
        <f t="shared" ref="FO31:FO39" si="775">FM31*FN31</f>
        <v>0</v>
      </c>
      <c r="FP31" s="110">
        <f t="shared" ref="FP31:FP39" si="776">FO31*FJ31</f>
        <v>0</v>
      </c>
      <c r="FQ31" s="110"/>
      <c r="FR31" s="139"/>
      <c r="FS31" s="140">
        <f t="shared" ref="FS31:FS39" si="777">FO31/$LI31</f>
        <v>0</v>
      </c>
      <c r="FT31" s="144">
        <f>'прил № 3 (01.01.23)'!NE1339</f>
        <v>59</v>
      </c>
      <c r="FU31" s="225">
        <f t="shared" ref="FU31:FU38" si="778">FT31/FT$10</f>
        <v>7.3469999999999994E-2</v>
      </c>
      <c r="FV31" s="226">
        <f t="shared" ref="FV31:FV38" si="779">FV$10*FU31</f>
        <v>0</v>
      </c>
      <c r="FW31" s="137">
        <f t="shared" ref="FW31:FW39" si="780">IF(FT31&gt;0,FV31/FT31,0)</f>
        <v>0</v>
      </c>
      <c r="FX31" s="227">
        <f t="shared" si="768"/>
        <v>0</v>
      </c>
      <c r="FY31" s="138">
        <f t="shared" ref="FY31:FY39" si="781">FW31*FX31</f>
        <v>0</v>
      </c>
      <c r="FZ31" s="110">
        <f t="shared" ref="FZ31:FZ39" si="782">FY31*FT31</f>
        <v>0</v>
      </c>
      <c r="GA31" s="110"/>
      <c r="GB31" s="139"/>
      <c r="GC31" s="140">
        <f t="shared" ref="GC31:GC39" si="783">FY31/$LI31</f>
        <v>0</v>
      </c>
      <c r="GD31" s="144">
        <f>'прил № 3 (01.01.23)'!NZ1339</f>
        <v>34</v>
      </c>
      <c r="GE31" s="225">
        <f t="shared" ref="GE31:GE38" si="784">GD31/GD$10</f>
        <v>6.6409999999999997E-2</v>
      </c>
      <c r="GF31" s="226">
        <f t="shared" ref="GF31:GF38" si="785">GF$10*GE31</f>
        <v>4210.3900000000003</v>
      </c>
      <c r="GG31" s="137">
        <f t="shared" ref="GG31:GG39" si="786">IF(GD31&gt;0,GF31/GD31,0)</f>
        <v>123.83499999999999</v>
      </c>
      <c r="GH31" s="227">
        <f t="shared" si="768"/>
        <v>9.92</v>
      </c>
      <c r="GI31" s="138">
        <f t="shared" ref="GI31:GI39" si="787">GG31*GH31</f>
        <v>1228.4431999999999</v>
      </c>
      <c r="GJ31" s="110">
        <f t="shared" ref="GJ31:GJ39" si="788">GI31*GD31</f>
        <v>41767.07</v>
      </c>
      <c r="GK31" s="110"/>
      <c r="GL31" s="139"/>
      <c r="GM31" s="140">
        <f t="shared" ref="GM31:GM39" si="789">GI31/$LI31</f>
        <v>14.95871</v>
      </c>
      <c r="GN31" s="144">
        <f>'прил № 3 (01.01.23)'!OU1339</f>
        <v>86</v>
      </c>
      <c r="GO31" s="225">
        <f t="shared" ref="GO31:GO38" si="790">GN31/GN$10</f>
        <v>9.9540000000000003E-2</v>
      </c>
      <c r="GP31" s="226">
        <f t="shared" ref="GP31:GP38" si="791">GP$10*GO31</f>
        <v>0</v>
      </c>
      <c r="GQ31" s="137">
        <f t="shared" ref="GQ31:GQ39" si="792">IF(GN31&gt;0,GP31/GN31,0)</f>
        <v>0</v>
      </c>
      <c r="GR31" s="227">
        <f t="shared" si="768"/>
        <v>0</v>
      </c>
      <c r="GS31" s="138">
        <f t="shared" ref="GS31:GS39" si="793">GQ31*GR31</f>
        <v>0</v>
      </c>
      <c r="GT31" s="110">
        <f t="shared" ref="GT31:GT39" si="794">GS31*GN31</f>
        <v>0</v>
      </c>
      <c r="GU31" s="110"/>
      <c r="GV31" s="139"/>
      <c r="GW31" s="140">
        <f t="shared" ref="GW31:GW39" si="795">GS31/$LI31</f>
        <v>0</v>
      </c>
      <c r="GX31" s="144">
        <f>'прил № 3 (01.01.23)'!PP1339</f>
        <v>164</v>
      </c>
      <c r="GY31" s="225">
        <f t="shared" ref="GY31:GY38" si="796">GX31/GX$10</f>
        <v>0.10117</v>
      </c>
      <c r="GZ31" s="226">
        <f t="shared" ref="GZ31:GZ38" si="797">GZ$10*GY31</f>
        <v>10946.59</v>
      </c>
      <c r="HA31" s="137">
        <f t="shared" ref="HA31:HA39" si="798">IF(GX31&gt;0,GZ31/GX31,0)</f>
        <v>66.747500000000002</v>
      </c>
      <c r="HB31" s="227">
        <f t="shared" si="768"/>
        <v>9.92</v>
      </c>
      <c r="HC31" s="138">
        <f t="shared" ref="HC31:HC39" si="799">HA31*HB31</f>
        <v>662.13520000000005</v>
      </c>
      <c r="HD31" s="110">
        <f t="shared" ref="HD31:HD39" si="800">HC31*GX31</f>
        <v>108590.17</v>
      </c>
      <c r="HE31" s="110"/>
      <c r="HF31" s="139"/>
      <c r="HG31" s="140">
        <f t="shared" ref="HG31:HG39" si="801">HC31/$LI31</f>
        <v>8.0627999999999993</v>
      </c>
      <c r="HH31" s="144">
        <f>'прил № 3 (01.01.23)'!QK1339</f>
        <v>57</v>
      </c>
      <c r="HI31" s="225">
        <f t="shared" ref="HI31:HI38" si="802">HH31/HH$10</f>
        <v>4.9480000000000003E-2</v>
      </c>
      <c r="HJ31" s="226">
        <f t="shared" ref="HJ31:HJ38" si="803">HJ$10*HI31</f>
        <v>0</v>
      </c>
      <c r="HK31" s="137">
        <f t="shared" ref="HK31:HK39" si="804">IF(HH31&gt;0,HJ31/HH31,0)</f>
        <v>0</v>
      </c>
      <c r="HL31" s="227">
        <f t="shared" si="768"/>
        <v>0</v>
      </c>
      <c r="HM31" s="138">
        <f t="shared" ref="HM31:HM39" si="805">HK31*HL31</f>
        <v>0</v>
      </c>
      <c r="HN31" s="110">
        <f t="shared" ref="HN31:HN39" si="806">HM31*HH31</f>
        <v>0</v>
      </c>
      <c r="HO31" s="110"/>
      <c r="HP31" s="139"/>
      <c r="HQ31" s="140">
        <f t="shared" ref="HQ31:HQ39" si="807">HM31/$LI31</f>
        <v>0</v>
      </c>
      <c r="HR31" s="144">
        <f>'прил № 3 (01.01.23)'!RF1339</f>
        <v>50</v>
      </c>
      <c r="HS31" s="225">
        <f t="shared" ref="HS31:HS38" si="808">HR31/HR$10</f>
        <v>6.3450000000000006E-2</v>
      </c>
      <c r="HT31" s="226">
        <f t="shared" ref="HT31:HT38" si="809">HT$10*HS31</f>
        <v>0</v>
      </c>
      <c r="HU31" s="137">
        <f t="shared" ref="HU31:HU39" si="810">IF(HR31&gt;0,HT31/HR31,0)</f>
        <v>0</v>
      </c>
      <c r="HV31" s="227">
        <f t="shared" ref="HV31:KD38" si="811">HV$10</f>
        <v>0</v>
      </c>
      <c r="HW31" s="138">
        <f t="shared" ref="HW31:HW39" si="812">HU31*HV31</f>
        <v>0</v>
      </c>
      <c r="HX31" s="110">
        <f t="shared" ref="HX31:HX39" si="813">HW31*HR31</f>
        <v>0</v>
      </c>
      <c r="HY31" s="110"/>
      <c r="HZ31" s="139"/>
      <c r="IA31" s="140">
        <f t="shared" ref="IA31:IA39" si="814">HW31/$LI31</f>
        <v>0</v>
      </c>
      <c r="IB31" s="144">
        <f>'прил № 3 (01.01.23)'!SA1339</f>
        <v>29</v>
      </c>
      <c r="IC31" s="225">
        <f t="shared" ref="IC31:IC38" si="815">IB31/IB$10</f>
        <v>5.2920000000000002E-2</v>
      </c>
      <c r="ID31" s="226">
        <f t="shared" ref="ID31:ID38" si="816">ID$10*IC31</f>
        <v>0</v>
      </c>
      <c r="IE31" s="137">
        <f t="shared" ref="IE31:IE39" si="817">IF(IB31&gt;0,ID31/IB31,0)</f>
        <v>0</v>
      </c>
      <c r="IF31" s="227">
        <f t="shared" si="811"/>
        <v>0</v>
      </c>
      <c r="IG31" s="138">
        <f t="shared" ref="IG31:IG39" si="818">IE31*IF31</f>
        <v>0</v>
      </c>
      <c r="IH31" s="110">
        <f t="shared" ref="IH31:IH39" si="819">IG31*IB31</f>
        <v>0</v>
      </c>
      <c r="II31" s="110"/>
      <c r="IJ31" s="139"/>
      <c r="IK31" s="140">
        <f t="shared" ref="IK31:IK39" si="820">IG31/$LI31</f>
        <v>0</v>
      </c>
      <c r="IL31" s="144">
        <f>'прил № 3 (01.01.23)'!SV1339</f>
        <v>72</v>
      </c>
      <c r="IM31" s="225">
        <f t="shared" ref="IM31:IM38" si="821">IL31/IL$10</f>
        <v>5.6919999999999998E-2</v>
      </c>
      <c r="IN31" s="226">
        <f t="shared" ref="IN31:IN38" si="822">IN$10*IM31</f>
        <v>0</v>
      </c>
      <c r="IO31" s="137">
        <f t="shared" ref="IO31:IO39" si="823">IF(IL31&gt;0,IN31/IL31,0)</f>
        <v>0</v>
      </c>
      <c r="IP31" s="227">
        <f t="shared" si="811"/>
        <v>0</v>
      </c>
      <c r="IQ31" s="138">
        <f t="shared" ref="IQ31:IQ39" si="824">IO31*IP31</f>
        <v>0</v>
      </c>
      <c r="IR31" s="110">
        <f t="shared" ref="IR31:IR39" si="825">IQ31*IL31</f>
        <v>0</v>
      </c>
      <c r="IS31" s="110"/>
      <c r="IT31" s="139"/>
      <c r="IU31" s="140">
        <f t="shared" ref="IU31:IU39" si="826">IQ31/$LI31</f>
        <v>0</v>
      </c>
      <c r="IV31" s="144">
        <f>'прил № 3 (01.01.23)'!TQ1339</f>
        <v>42</v>
      </c>
      <c r="IW31" s="225">
        <f t="shared" ref="IW31:IW38" si="827">IV31/IV$10</f>
        <v>5.4469999999999998E-2</v>
      </c>
      <c r="IX31" s="226">
        <f t="shared" ref="IX31:IX38" si="828">IX$10*IW31</f>
        <v>0</v>
      </c>
      <c r="IY31" s="137">
        <f t="shared" ref="IY31:IY39" si="829">IF(IV31&gt;0,IX31/IV31,0)</f>
        <v>0</v>
      </c>
      <c r="IZ31" s="227">
        <f t="shared" si="811"/>
        <v>0</v>
      </c>
      <c r="JA31" s="138">
        <f t="shared" ref="JA31:JA39" si="830">IY31*IZ31</f>
        <v>0</v>
      </c>
      <c r="JB31" s="110">
        <f t="shared" ref="JB31:JB39" si="831">JA31*IV31</f>
        <v>0</v>
      </c>
      <c r="JC31" s="110"/>
      <c r="JD31" s="139"/>
      <c r="JE31" s="140">
        <f t="shared" ref="JE31:JE39" si="832">JA31/$LI31</f>
        <v>0</v>
      </c>
      <c r="JF31" s="144">
        <f>'прил № 3 (01.01.23)'!UL1339</f>
        <v>105</v>
      </c>
      <c r="JG31" s="225">
        <f t="shared" ref="JG31:JG38" si="833">JF31/JF$10</f>
        <v>7.8299999999999995E-2</v>
      </c>
      <c r="JH31" s="226">
        <f t="shared" ref="JH31:JH38" si="834">JH$10*JG31</f>
        <v>0</v>
      </c>
      <c r="JI31" s="137">
        <f t="shared" ref="JI31:JI39" si="835">IF(JF31&gt;0,JH31/JF31,0)</f>
        <v>0</v>
      </c>
      <c r="JJ31" s="227">
        <f t="shared" si="811"/>
        <v>0</v>
      </c>
      <c r="JK31" s="138">
        <f t="shared" ref="JK31:JK39" si="836">JI31*JJ31</f>
        <v>0</v>
      </c>
      <c r="JL31" s="110">
        <f t="shared" ref="JL31:JL39" si="837">JK31*JF31</f>
        <v>0</v>
      </c>
      <c r="JM31" s="110"/>
      <c r="JN31" s="139"/>
      <c r="JO31" s="140">
        <f t="shared" ref="JO31:JO39" si="838">JK31/$LI31</f>
        <v>0</v>
      </c>
      <c r="JP31" s="144">
        <f>'прил № 3 (01.01.23)'!VG1339</f>
        <v>45</v>
      </c>
      <c r="JQ31" s="225">
        <f t="shared" ref="JQ31:JQ38" si="839">JP31/JP$10</f>
        <v>3.603E-2</v>
      </c>
      <c r="JR31" s="226">
        <f t="shared" ref="JR31:JR38" si="840">JR$10*JQ31</f>
        <v>0</v>
      </c>
      <c r="JS31" s="137">
        <f t="shared" ref="JS31:JS39" si="841">IF(JP31&gt;0,JR31/JP31,0)</f>
        <v>0</v>
      </c>
      <c r="JT31" s="227">
        <f t="shared" si="811"/>
        <v>0</v>
      </c>
      <c r="JU31" s="138">
        <f t="shared" ref="JU31:JU39" si="842">JS31*JT31</f>
        <v>0</v>
      </c>
      <c r="JV31" s="110">
        <f t="shared" ref="JV31:JV39" si="843">JU31*JP31</f>
        <v>0</v>
      </c>
      <c r="JW31" s="110"/>
      <c r="JX31" s="139"/>
      <c r="JY31" s="140">
        <f t="shared" ref="JY31:JY39" si="844">JU31/$LI31</f>
        <v>0</v>
      </c>
      <c r="JZ31" s="144">
        <f>'прил № 3 (01.01.23)'!WB1339</f>
        <v>120</v>
      </c>
      <c r="KA31" s="225">
        <f t="shared" ref="KA31:KA38" si="845">JZ31/JZ$10</f>
        <v>0.10317999999999999</v>
      </c>
      <c r="KB31" s="226">
        <f t="shared" ref="KB31:KB38" si="846">KB$10*KA31</f>
        <v>0</v>
      </c>
      <c r="KC31" s="137">
        <f t="shared" ref="KC31:KC39" si="847">IF(JZ31&gt;0,KB31/JZ31,0)</f>
        <v>0</v>
      </c>
      <c r="KD31" s="227">
        <f t="shared" si="811"/>
        <v>0</v>
      </c>
      <c r="KE31" s="138">
        <f t="shared" ref="KE31:KE39" si="848">KC31*KD31</f>
        <v>0</v>
      </c>
      <c r="KF31" s="110">
        <f t="shared" ref="KF31:KF39" si="849">KE31*JZ31</f>
        <v>0</v>
      </c>
      <c r="KG31" s="110"/>
      <c r="KH31" s="139"/>
      <c r="KI31" s="140">
        <f t="shared" ref="KI31:KI39" si="850">KE31/$LI31</f>
        <v>0</v>
      </c>
      <c r="KJ31" s="144">
        <f>'прил № 3 (01.01.23)'!WW1339</f>
        <v>143</v>
      </c>
      <c r="KK31" s="225">
        <f t="shared" ref="KK31:KK38" si="851">KJ31/KJ$10</f>
        <v>0.10664</v>
      </c>
      <c r="KL31" s="226">
        <f t="shared" ref="KL31:KL38" si="852">KL$10*KK31</f>
        <v>0</v>
      </c>
      <c r="KM31" s="137">
        <f t="shared" ref="KM31:KM39" si="853">IF(KJ31&gt;0,KL31/KJ31,0)</f>
        <v>0</v>
      </c>
      <c r="KN31" s="227">
        <f t="shared" ref="KN31:KX38" si="854">KN$10</f>
        <v>0</v>
      </c>
      <c r="KO31" s="138">
        <f t="shared" ref="KO31:KO39" si="855">KM31*KN31</f>
        <v>0</v>
      </c>
      <c r="KP31" s="110">
        <f t="shared" ref="KP31:KP39" si="856">KO31*KJ31</f>
        <v>0</v>
      </c>
      <c r="KQ31" s="110"/>
      <c r="KR31" s="139"/>
      <c r="KS31" s="140">
        <f t="shared" ref="KS31:KS39" si="857">KO31/$LI31</f>
        <v>0</v>
      </c>
      <c r="KT31" s="144">
        <f>'прил № 3 (01.01.23)'!XR1339</f>
        <v>56</v>
      </c>
      <c r="KU31" s="225">
        <f t="shared" ref="KU31:KU38" si="858">KT31/KT$10</f>
        <v>4.9820000000000003E-2</v>
      </c>
      <c r="KV31" s="226">
        <f t="shared" ref="KV31:KV38" si="859">KV$10*KU31</f>
        <v>0</v>
      </c>
      <c r="KW31" s="137">
        <f t="shared" ref="KW31:KW39" si="860">IF(KT31&gt;0,KV31/KT31,0)</f>
        <v>0</v>
      </c>
      <c r="KX31" s="227">
        <f t="shared" si="854"/>
        <v>0</v>
      </c>
      <c r="KY31" s="138">
        <f t="shared" ref="KY31:KY39" si="861">KW31*KX31</f>
        <v>0</v>
      </c>
      <c r="KZ31" s="110">
        <f t="shared" ref="KZ31:KZ39" si="862">KY31*KT31</f>
        <v>0</v>
      </c>
      <c r="LA31" s="110"/>
      <c r="LB31" s="139"/>
      <c r="LC31" s="140">
        <f t="shared" ref="LC31:LC39" si="863">KY31/$LI31</f>
        <v>0</v>
      </c>
      <c r="LD31" s="197">
        <f t="shared" si="484"/>
        <v>2229</v>
      </c>
      <c r="LE31" s="225">
        <f t="shared" ref="LE31:LE38" si="864">LD31/LD$10</f>
        <v>7.8090000000000007E-2</v>
      </c>
      <c r="LF31" s="226">
        <f t="shared" si="486"/>
        <v>18452.669999999998</v>
      </c>
      <c r="LG31" s="137">
        <f t="shared" si="487"/>
        <v>8.2784522200000001</v>
      </c>
      <c r="LH31" s="227">
        <f t="shared" si="488"/>
        <v>9.92</v>
      </c>
      <c r="LI31" s="138">
        <f t="shared" si="489"/>
        <v>82.122249999999994</v>
      </c>
      <c r="LJ31" s="110">
        <f t="shared" si="490"/>
        <v>183050.5</v>
      </c>
      <c r="LK31" s="110"/>
      <c r="LL31" s="139"/>
    </row>
    <row r="32" spans="1:324" ht="15" hidden="1" customHeight="1" x14ac:dyDescent="0.25">
      <c r="A32" s="246"/>
      <c r="B32" s="92" t="s">
        <v>610</v>
      </c>
      <c r="C32" s="12" t="s">
        <v>728</v>
      </c>
      <c r="D32" s="12" t="s">
        <v>430</v>
      </c>
      <c r="E32" s="4" t="s">
        <v>32</v>
      </c>
      <c r="F32" s="144">
        <f>'прил № 3 (01.01.23)'!L1340</f>
        <v>0</v>
      </c>
      <c r="G32" s="225">
        <f t="shared" si="491"/>
        <v>0</v>
      </c>
      <c r="H32" s="226">
        <f t="shared" si="492"/>
        <v>0</v>
      </c>
      <c r="I32" s="137">
        <f t="shared" si="270"/>
        <v>0</v>
      </c>
      <c r="J32" s="227">
        <f t="shared" si="493"/>
        <v>0</v>
      </c>
      <c r="K32" s="138">
        <f t="shared" si="271"/>
        <v>0</v>
      </c>
      <c r="L32" s="110">
        <f t="shared" si="272"/>
        <v>0</v>
      </c>
      <c r="M32" s="110"/>
      <c r="N32" s="139"/>
      <c r="O32" s="140" t="e">
        <f t="shared" si="273"/>
        <v>#DIV/0!</v>
      </c>
      <c r="P32" s="144">
        <f>'прил № 3 (01.01.23)'!AG1340</f>
        <v>0</v>
      </c>
      <c r="Q32" s="225">
        <f t="shared" si="679"/>
        <v>0</v>
      </c>
      <c r="R32" s="226">
        <f t="shared" si="680"/>
        <v>0</v>
      </c>
      <c r="S32" s="137">
        <f t="shared" si="681"/>
        <v>0</v>
      </c>
      <c r="T32" s="227">
        <f t="shared" si="682"/>
        <v>0</v>
      </c>
      <c r="U32" s="138">
        <f t="shared" si="683"/>
        <v>0</v>
      </c>
      <c r="V32" s="110">
        <f t="shared" si="684"/>
        <v>0</v>
      </c>
      <c r="W32" s="110"/>
      <c r="X32" s="139"/>
      <c r="Y32" s="140" t="e">
        <f t="shared" si="685"/>
        <v>#DIV/0!</v>
      </c>
      <c r="Z32" s="144">
        <f>'прил № 3 (01.01.23)'!BB1340</f>
        <v>0</v>
      </c>
      <c r="AA32" s="225">
        <f t="shared" si="686"/>
        <v>0</v>
      </c>
      <c r="AB32" s="226">
        <f t="shared" si="687"/>
        <v>0</v>
      </c>
      <c r="AC32" s="137">
        <f t="shared" si="688"/>
        <v>0</v>
      </c>
      <c r="AD32" s="227">
        <f t="shared" si="682"/>
        <v>0</v>
      </c>
      <c r="AE32" s="138">
        <f t="shared" si="689"/>
        <v>0</v>
      </c>
      <c r="AF32" s="110">
        <f t="shared" si="690"/>
        <v>0</v>
      </c>
      <c r="AG32" s="110"/>
      <c r="AH32" s="139"/>
      <c r="AI32" s="140" t="e">
        <f t="shared" si="691"/>
        <v>#DIV/0!</v>
      </c>
      <c r="AJ32" s="144">
        <f>'прил № 3 (01.01.23)'!BW1340</f>
        <v>0</v>
      </c>
      <c r="AK32" s="225">
        <f t="shared" si="692"/>
        <v>0</v>
      </c>
      <c r="AL32" s="226">
        <f t="shared" si="693"/>
        <v>0</v>
      </c>
      <c r="AM32" s="137">
        <f t="shared" si="694"/>
        <v>0</v>
      </c>
      <c r="AN32" s="227">
        <f t="shared" si="682"/>
        <v>0</v>
      </c>
      <c r="AO32" s="138">
        <f t="shared" si="695"/>
        <v>0</v>
      </c>
      <c r="AP32" s="110">
        <f t="shared" si="696"/>
        <v>0</v>
      </c>
      <c r="AQ32" s="110"/>
      <c r="AR32" s="139"/>
      <c r="AS32" s="140" t="e">
        <f t="shared" si="697"/>
        <v>#DIV/0!</v>
      </c>
      <c r="AT32" s="144">
        <f>'прил № 3 (01.01.23)'!CR1340</f>
        <v>0</v>
      </c>
      <c r="AU32" s="225">
        <f t="shared" si="698"/>
        <v>0</v>
      </c>
      <c r="AV32" s="226">
        <f t="shared" si="699"/>
        <v>0</v>
      </c>
      <c r="AW32" s="137">
        <f t="shared" si="700"/>
        <v>0</v>
      </c>
      <c r="AX32" s="227">
        <f t="shared" si="682"/>
        <v>0</v>
      </c>
      <c r="AY32" s="138">
        <f t="shared" si="701"/>
        <v>0</v>
      </c>
      <c r="AZ32" s="110">
        <f t="shared" si="702"/>
        <v>0</v>
      </c>
      <c r="BA32" s="110"/>
      <c r="BB32" s="139"/>
      <c r="BC32" s="140" t="e">
        <f t="shared" si="703"/>
        <v>#DIV/0!</v>
      </c>
      <c r="BD32" s="144">
        <f>'прил № 3 (01.01.23)'!DM1340</f>
        <v>0</v>
      </c>
      <c r="BE32" s="225">
        <f t="shared" si="704"/>
        <v>0</v>
      </c>
      <c r="BF32" s="226">
        <f t="shared" si="705"/>
        <v>0</v>
      </c>
      <c r="BG32" s="137">
        <f t="shared" si="706"/>
        <v>0</v>
      </c>
      <c r="BH32" s="227">
        <f t="shared" si="682"/>
        <v>0</v>
      </c>
      <c r="BI32" s="138">
        <f t="shared" si="707"/>
        <v>0</v>
      </c>
      <c r="BJ32" s="110">
        <f t="shared" si="708"/>
        <v>0</v>
      </c>
      <c r="BK32" s="110"/>
      <c r="BL32" s="139"/>
      <c r="BM32" s="140" t="e">
        <f t="shared" si="709"/>
        <v>#DIV/0!</v>
      </c>
      <c r="BN32" s="144">
        <f>'прил № 3 (01.01.23)'!EH1340</f>
        <v>0</v>
      </c>
      <c r="BO32" s="225">
        <f t="shared" si="710"/>
        <v>0</v>
      </c>
      <c r="BP32" s="226">
        <f t="shared" si="711"/>
        <v>0</v>
      </c>
      <c r="BQ32" s="137">
        <f t="shared" si="712"/>
        <v>0</v>
      </c>
      <c r="BR32" s="227">
        <f t="shared" si="682"/>
        <v>0</v>
      </c>
      <c r="BS32" s="138">
        <f t="shared" si="713"/>
        <v>0</v>
      </c>
      <c r="BT32" s="110">
        <f t="shared" si="714"/>
        <v>0</v>
      </c>
      <c r="BU32" s="110"/>
      <c r="BV32" s="139"/>
      <c r="BW32" s="140" t="e">
        <f t="shared" si="715"/>
        <v>#DIV/0!</v>
      </c>
      <c r="BX32" s="144">
        <f>'прил № 3 (01.01.23)'!FC1340</f>
        <v>0</v>
      </c>
      <c r="BY32" s="225">
        <f t="shared" si="716"/>
        <v>0</v>
      </c>
      <c r="BZ32" s="226">
        <f t="shared" si="717"/>
        <v>0</v>
      </c>
      <c r="CA32" s="137">
        <f t="shared" si="718"/>
        <v>0</v>
      </c>
      <c r="CB32" s="227">
        <f t="shared" si="682"/>
        <v>0</v>
      </c>
      <c r="CC32" s="138">
        <f t="shared" si="719"/>
        <v>0</v>
      </c>
      <c r="CD32" s="110">
        <f t="shared" si="720"/>
        <v>0</v>
      </c>
      <c r="CE32" s="110"/>
      <c r="CF32" s="139"/>
      <c r="CG32" s="140" t="e">
        <f t="shared" si="721"/>
        <v>#DIV/0!</v>
      </c>
      <c r="CH32" s="144">
        <f>'прил № 3 (01.01.23)'!FX1340</f>
        <v>0</v>
      </c>
      <c r="CI32" s="225">
        <f t="shared" si="722"/>
        <v>0</v>
      </c>
      <c r="CJ32" s="226">
        <f t="shared" si="723"/>
        <v>0</v>
      </c>
      <c r="CK32" s="137">
        <f t="shared" si="724"/>
        <v>0</v>
      </c>
      <c r="CL32" s="227">
        <f t="shared" si="725"/>
        <v>0</v>
      </c>
      <c r="CM32" s="138">
        <f t="shared" si="726"/>
        <v>0</v>
      </c>
      <c r="CN32" s="110">
        <f t="shared" si="727"/>
        <v>0</v>
      </c>
      <c r="CO32" s="110"/>
      <c r="CP32" s="139"/>
      <c r="CQ32" s="140" t="e">
        <f t="shared" si="728"/>
        <v>#DIV/0!</v>
      </c>
      <c r="CR32" s="144">
        <f>'прил № 3 (01.01.23)'!GS1340</f>
        <v>0</v>
      </c>
      <c r="CS32" s="225">
        <f t="shared" si="729"/>
        <v>0</v>
      </c>
      <c r="CT32" s="226">
        <f t="shared" si="730"/>
        <v>0</v>
      </c>
      <c r="CU32" s="137">
        <f t="shared" si="731"/>
        <v>0</v>
      </c>
      <c r="CV32" s="227">
        <f t="shared" si="725"/>
        <v>0</v>
      </c>
      <c r="CW32" s="138">
        <f t="shared" si="732"/>
        <v>0</v>
      </c>
      <c r="CX32" s="110">
        <f t="shared" si="733"/>
        <v>0</v>
      </c>
      <c r="CY32" s="110"/>
      <c r="CZ32" s="139"/>
      <c r="DA32" s="140" t="e">
        <f t="shared" si="734"/>
        <v>#DIV/0!</v>
      </c>
      <c r="DB32" s="144">
        <f>'прил № 3 (01.01.23)'!HN1340</f>
        <v>0</v>
      </c>
      <c r="DC32" s="225">
        <f t="shared" si="735"/>
        <v>0</v>
      </c>
      <c r="DD32" s="226">
        <f t="shared" si="736"/>
        <v>0</v>
      </c>
      <c r="DE32" s="137">
        <f t="shared" si="737"/>
        <v>0</v>
      </c>
      <c r="DF32" s="227">
        <f t="shared" si="725"/>
        <v>0</v>
      </c>
      <c r="DG32" s="138">
        <f t="shared" si="738"/>
        <v>0</v>
      </c>
      <c r="DH32" s="110">
        <f t="shared" si="739"/>
        <v>0</v>
      </c>
      <c r="DI32" s="110"/>
      <c r="DJ32" s="139"/>
      <c r="DK32" s="140" t="e">
        <f t="shared" si="740"/>
        <v>#DIV/0!</v>
      </c>
      <c r="DL32" s="144">
        <f>'прил № 3 (01.01.23)'!II1340</f>
        <v>0</v>
      </c>
      <c r="DM32" s="225">
        <f t="shared" si="741"/>
        <v>0</v>
      </c>
      <c r="DN32" s="226">
        <f t="shared" si="742"/>
        <v>0</v>
      </c>
      <c r="DO32" s="137">
        <f t="shared" si="743"/>
        <v>0</v>
      </c>
      <c r="DP32" s="227">
        <f t="shared" si="725"/>
        <v>0</v>
      </c>
      <c r="DQ32" s="138">
        <f t="shared" si="744"/>
        <v>0</v>
      </c>
      <c r="DR32" s="110">
        <f t="shared" si="745"/>
        <v>0</v>
      </c>
      <c r="DS32" s="110"/>
      <c r="DT32" s="139"/>
      <c r="DU32" s="140" t="e">
        <f t="shared" si="746"/>
        <v>#DIV/0!</v>
      </c>
      <c r="DV32" s="144">
        <f>'прил № 3 (01.01.23)'!JD1340</f>
        <v>0</v>
      </c>
      <c r="DW32" s="225">
        <f t="shared" si="747"/>
        <v>0</v>
      </c>
      <c r="DX32" s="226">
        <f t="shared" si="748"/>
        <v>0</v>
      </c>
      <c r="DY32" s="137">
        <f t="shared" si="749"/>
        <v>0</v>
      </c>
      <c r="DZ32" s="227">
        <f t="shared" si="725"/>
        <v>0</v>
      </c>
      <c r="EA32" s="138">
        <f t="shared" si="750"/>
        <v>0</v>
      </c>
      <c r="EB32" s="110">
        <f t="shared" si="751"/>
        <v>0</v>
      </c>
      <c r="EC32" s="110"/>
      <c r="ED32" s="139"/>
      <c r="EE32" s="140" t="e">
        <f t="shared" si="752"/>
        <v>#DIV/0!</v>
      </c>
      <c r="EF32" s="144">
        <f>'прил № 3 (01.01.23)'!JY1340</f>
        <v>0</v>
      </c>
      <c r="EG32" s="225">
        <f t="shared" si="753"/>
        <v>0</v>
      </c>
      <c r="EH32" s="226">
        <f t="shared" si="754"/>
        <v>0</v>
      </c>
      <c r="EI32" s="137">
        <f t="shared" si="755"/>
        <v>0</v>
      </c>
      <c r="EJ32" s="227">
        <f t="shared" si="725"/>
        <v>0</v>
      </c>
      <c r="EK32" s="138">
        <f t="shared" si="756"/>
        <v>0</v>
      </c>
      <c r="EL32" s="110">
        <f t="shared" si="757"/>
        <v>0</v>
      </c>
      <c r="EM32" s="110"/>
      <c r="EN32" s="139"/>
      <c r="EO32" s="140" t="e">
        <f t="shared" si="758"/>
        <v>#DIV/0!</v>
      </c>
      <c r="EP32" s="144">
        <f>'прил № 3 (01.01.23)'!KT1340</f>
        <v>0</v>
      </c>
      <c r="EQ32" s="225">
        <f t="shared" si="759"/>
        <v>0</v>
      </c>
      <c r="ER32" s="226">
        <f t="shared" si="760"/>
        <v>0</v>
      </c>
      <c r="ES32" s="137">
        <f t="shared" si="761"/>
        <v>0</v>
      </c>
      <c r="ET32" s="227">
        <f t="shared" si="725"/>
        <v>0</v>
      </c>
      <c r="EU32" s="138">
        <f t="shared" si="762"/>
        <v>0</v>
      </c>
      <c r="EV32" s="110">
        <f t="shared" si="763"/>
        <v>0</v>
      </c>
      <c r="EW32" s="110"/>
      <c r="EX32" s="139"/>
      <c r="EY32" s="140" t="e">
        <f t="shared" si="764"/>
        <v>#DIV/0!</v>
      </c>
      <c r="EZ32" s="144">
        <f>'прил № 3 (01.01.23)'!LO1340</f>
        <v>0</v>
      </c>
      <c r="FA32" s="225">
        <f t="shared" si="765"/>
        <v>0</v>
      </c>
      <c r="FB32" s="226">
        <f t="shared" si="766"/>
        <v>0</v>
      </c>
      <c r="FC32" s="137">
        <f t="shared" si="767"/>
        <v>0</v>
      </c>
      <c r="FD32" s="227">
        <f t="shared" si="768"/>
        <v>9.92</v>
      </c>
      <c r="FE32" s="138">
        <f t="shared" si="769"/>
        <v>0</v>
      </c>
      <c r="FF32" s="110">
        <f t="shared" si="770"/>
        <v>0</v>
      </c>
      <c r="FG32" s="110"/>
      <c r="FH32" s="139"/>
      <c r="FI32" s="140" t="e">
        <f t="shared" si="771"/>
        <v>#DIV/0!</v>
      </c>
      <c r="FJ32" s="144">
        <f>'прил № 3 (01.01.23)'!MJ1340</f>
        <v>0</v>
      </c>
      <c r="FK32" s="225">
        <f t="shared" si="772"/>
        <v>0</v>
      </c>
      <c r="FL32" s="226">
        <f t="shared" si="773"/>
        <v>0</v>
      </c>
      <c r="FM32" s="137">
        <f t="shared" si="774"/>
        <v>0</v>
      </c>
      <c r="FN32" s="227">
        <f t="shared" si="768"/>
        <v>0</v>
      </c>
      <c r="FO32" s="138">
        <f t="shared" si="775"/>
        <v>0</v>
      </c>
      <c r="FP32" s="110">
        <f t="shared" si="776"/>
        <v>0</v>
      </c>
      <c r="FQ32" s="110"/>
      <c r="FR32" s="139"/>
      <c r="FS32" s="140" t="e">
        <f t="shared" si="777"/>
        <v>#DIV/0!</v>
      </c>
      <c r="FT32" s="144">
        <f>'прил № 3 (01.01.23)'!NE1340</f>
        <v>0</v>
      </c>
      <c r="FU32" s="225">
        <f t="shared" si="778"/>
        <v>0</v>
      </c>
      <c r="FV32" s="226">
        <f t="shared" si="779"/>
        <v>0</v>
      </c>
      <c r="FW32" s="137">
        <f t="shared" si="780"/>
        <v>0</v>
      </c>
      <c r="FX32" s="227">
        <f t="shared" si="768"/>
        <v>0</v>
      </c>
      <c r="FY32" s="138">
        <f t="shared" si="781"/>
        <v>0</v>
      </c>
      <c r="FZ32" s="110">
        <f t="shared" si="782"/>
        <v>0</v>
      </c>
      <c r="GA32" s="110"/>
      <c r="GB32" s="139"/>
      <c r="GC32" s="140" t="e">
        <f t="shared" si="783"/>
        <v>#DIV/0!</v>
      </c>
      <c r="GD32" s="144">
        <f>'прил № 3 (01.01.23)'!NZ1340</f>
        <v>0</v>
      </c>
      <c r="GE32" s="225">
        <f t="shared" si="784"/>
        <v>0</v>
      </c>
      <c r="GF32" s="226">
        <f t="shared" si="785"/>
        <v>0</v>
      </c>
      <c r="GG32" s="137">
        <f t="shared" si="786"/>
        <v>0</v>
      </c>
      <c r="GH32" s="227">
        <f t="shared" si="768"/>
        <v>9.92</v>
      </c>
      <c r="GI32" s="138">
        <f t="shared" si="787"/>
        <v>0</v>
      </c>
      <c r="GJ32" s="110">
        <f t="shared" si="788"/>
        <v>0</v>
      </c>
      <c r="GK32" s="110"/>
      <c r="GL32" s="139"/>
      <c r="GM32" s="140" t="e">
        <f t="shared" si="789"/>
        <v>#DIV/0!</v>
      </c>
      <c r="GN32" s="144">
        <f>'прил № 3 (01.01.23)'!OU1340</f>
        <v>0</v>
      </c>
      <c r="GO32" s="225">
        <f t="shared" si="790"/>
        <v>0</v>
      </c>
      <c r="GP32" s="226">
        <f t="shared" si="791"/>
        <v>0</v>
      </c>
      <c r="GQ32" s="137">
        <f t="shared" si="792"/>
        <v>0</v>
      </c>
      <c r="GR32" s="227">
        <f t="shared" si="768"/>
        <v>0</v>
      </c>
      <c r="GS32" s="138">
        <f t="shared" si="793"/>
        <v>0</v>
      </c>
      <c r="GT32" s="110">
        <f t="shared" si="794"/>
        <v>0</v>
      </c>
      <c r="GU32" s="110"/>
      <c r="GV32" s="139"/>
      <c r="GW32" s="140" t="e">
        <f t="shared" si="795"/>
        <v>#DIV/0!</v>
      </c>
      <c r="GX32" s="144">
        <f>'прил № 3 (01.01.23)'!PP1340</f>
        <v>0</v>
      </c>
      <c r="GY32" s="225">
        <f t="shared" si="796"/>
        <v>0</v>
      </c>
      <c r="GZ32" s="226">
        <f t="shared" si="797"/>
        <v>0</v>
      </c>
      <c r="HA32" s="137">
        <f t="shared" si="798"/>
        <v>0</v>
      </c>
      <c r="HB32" s="227">
        <f t="shared" si="768"/>
        <v>9.92</v>
      </c>
      <c r="HC32" s="138">
        <f t="shared" si="799"/>
        <v>0</v>
      </c>
      <c r="HD32" s="110">
        <f t="shared" si="800"/>
        <v>0</v>
      </c>
      <c r="HE32" s="110"/>
      <c r="HF32" s="139"/>
      <c r="HG32" s="140" t="e">
        <f t="shared" si="801"/>
        <v>#DIV/0!</v>
      </c>
      <c r="HH32" s="144">
        <f>'прил № 3 (01.01.23)'!QK1340</f>
        <v>0</v>
      </c>
      <c r="HI32" s="225">
        <f t="shared" si="802"/>
        <v>0</v>
      </c>
      <c r="HJ32" s="226">
        <f t="shared" si="803"/>
        <v>0</v>
      </c>
      <c r="HK32" s="137">
        <f t="shared" si="804"/>
        <v>0</v>
      </c>
      <c r="HL32" s="227">
        <f t="shared" si="768"/>
        <v>0</v>
      </c>
      <c r="HM32" s="138">
        <f t="shared" si="805"/>
        <v>0</v>
      </c>
      <c r="HN32" s="110">
        <f t="shared" si="806"/>
        <v>0</v>
      </c>
      <c r="HO32" s="110"/>
      <c r="HP32" s="139"/>
      <c r="HQ32" s="140" t="e">
        <f t="shared" si="807"/>
        <v>#DIV/0!</v>
      </c>
      <c r="HR32" s="144">
        <f>'прил № 3 (01.01.23)'!RF1340</f>
        <v>0</v>
      </c>
      <c r="HS32" s="225">
        <f t="shared" si="808"/>
        <v>0</v>
      </c>
      <c r="HT32" s="226">
        <f t="shared" si="809"/>
        <v>0</v>
      </c>
      <c r="HU32" s="137">
        <f t="shared" si="810"/>
        <v>0</v>
      </c>
      <c r="HV32" s="227">
        <f t="shared" si="811"/>
        <v>0</v>
      </c>
      <c r="HW32" s="138">
        <f t="shared" si="812"/>
        <v>0</v>
      </c>
      <c r="HX32" s="110">
        <f t="shared" si="813"/>
        <v>0</v>
      </c>
      <c r="HY32" s="110"/>
      <c r="HZ32" s="139"/>
      <c r="IA32" s="140" t="e">
        <f t="shared" si="814"/>
        <v>#DIV/0!</v>
      </c>
      <c r="IB32" s="144">
        <f>'прил № 3 (01.01.23)'!SA1340</f>
        <v>0</v>
      </c>
      <c r="IC32" s="225">
        <f t="shared" si="815"/>
        <v>0</v>
      </c>
      <c r="ID32" s="226">
        <f t="shared" si="816"/>
        <v>0</v>
      </c>
      <c r="IE32" s="137">
        <f t="shared" si="817"/>
        <v>0</v>
      </c>
      <c r="IF32" s="227">
        <f t="shared" si="811"/>
        <v>0</v>
      </c>
      <c r="IG32" s="138">
        <f t="shared" si="818"/>
        <v>0</v>
      </c>
      <c r="IH32" s="110">
        <f t="shared" si="819"/>
        <v>0</v>
      </c>
      <c r="II32" s="110"/>
      <c r="IJ32" s="139"/>
      <c r="IK32" s="140" t="e">
        <f t="shared" si="820"/>
        <v>#DIV/0!</v>
      </c>
      <c r="IL32" s="144">
        <f>'прил № 3 (01.01.23)'!SV1340</f>
        <v>0</v>
      </c>
      <c r="IM32" s="225">
        <f t="shared" si="821"/>
        <v>0</v>
      </c>
      <c r="IN32" s="226">
        <f t="shared" si="822"/>
        <v>0</v>
      </c>
      <c r="IO32" s="137">
        <f t="shared" si="823"/>
        <v>0</v>
      </c>
      <c r="IP32" s="227">
        <f t="shared" si="811"/>
        <v>0</v>
      </c>
      <c r="IQ32" s="138">
        <f t="shared" si="824"/>
        <v>0</v>
      </c>
      <c r="IR32" s="110">
        <f t="shared" si="825"/>
        <v>0</v>
      </c>
      <c r="IS32" s="110"/>
      <c r="IT32" s="139"/>
      <c r="IU32" s="140" t="e">
        <f t="shared" si="826"/>
        <v>#DIV/0!</v>
      </c>
      <c r="IV32" s="144">
        <f>'прил № 3 (01.01.23)'!TQ1340</f>
        <v>0</v>
      </c>
      <c r="IW32" s="225">
        <f t="shared" si="827"/>
        <v>0</v>
      </c>
      <c r="IX32" s="226">
        <f t="shared" si="828"/>
        <v>0</v>
      </c>
      <c r="IY32" s="137">
        <f t="shared" si="829"/>
        <v>0</v>
      </c>
      <c r="IZ32" s="227">
        <f t="shared" si="811"/>
        <v>0</v>
      </c>
      <c r="JA32" s="138">
        <f t="shared" si="830"/>
        <v>0</v>
      </c>
      <c r="JB32" s="110">
        <f t="shared" si="831"/>
        <v>0</v>
      </c>
      <c r="JC32" s="110"/>
      <c r="JD32" s="139"/>
      <c r="JE32" s="140" t="e">
        <f t="shared" si="832"/>
        <v>#DIV/0!</v>
      </c>
      <c r="JF32" s="144">
        <f>'прил № 3 (01.01.23)'!UL1340</f>
        <v>0</v>
      </c>
      <c r="JG32" s="225">
        <f t="shared" si="833"/>
        <v>0</v>
      </c>
      <c r="JH32" s="226">
        <f t="shared" si="834"/>
        <v>0</v>
      </c>
      <c r="JI32" s="137">
        <f t="shared" si="835"/>
        <v>0</v>
      </c>
      <c r="JJ32" s="227">
        <f t="shared" si="811"/>
        <v>0</v>
      </c>
      <c r="JK32" s="138">
        <f t="shared" si="836"/>
        <v>0</v>
      </c>
      <c r="JL32" s="110">
        <f t="shared" si="837"/>
        <v>0</v>
      </c>
      <c r="JM32" s="110"/>
      <c r="JN32" s="139"/>
      <c r="JO32" s="140" t="e">
        <f t="shared" si="838"/>
        <v>#DIV/0!</v>
      </c>
      <c r="JP32" s="144">
        <f>'прил № 3 (01.01.23)'!VG1340</f>
        <v>0</v>
      </c>
      <c r="JQ32" s="225">
        <f t="shared" si="839"/>
        <v>0</v>
      </c>
      <c r="JR32" s="226">
        <f t="shared" si="840"/>
        <v>0</v>
      </c>
      <c r="JS32" s="137">
        <f t="shared" si="841"/>
        <v>0</v>
      </c>
      <c r="JT32" s="227">
        <f t="shared" si="811"/>
        <v>0</v>
      </c>
      <c r="JU32" s="138">
        <f t="shared" si="842"/>
        <v>0</v>
      </c>
      <c r="JV32" s="110">
        <f t="shared" si="843"/>
        <v>0</v>
      </c>
      <c r="JW32" s="110"/>
      <c r="JX32" s="139"/>
      <c r="JY32" s="140" t="e">
        <f t="shared" si="844"/>
        <v>#DIV/0!</v>
      </c>
      <c r="JZ32" s="144">
        <f>'прил № 3 (01.01.23)'!WB1340</f>
        <v>0</v>
      </c>
      <c r="KA32" s="225">
        <f t="shared" si="845"/>
        <v>0</v>
      </c>
      <c r="KB32" s="226">
        <f t="shared" si="846"/>
        <v>0</v>
      </c>
      <c r="KC32" s="137">
        <f t="shared" si="847"/>
        <v>0</v>
      </c>
      <c r="KD32" s="227">
        <f t="shared" si="811"/>
        <v>0</v>
      </c>
      <c r="KE32" s="138">
        <f t="shared" si="848"/>
        <v>0</v>
      </c>
      <c r="KF32" s="110">
        <f t="shared" si="849"/>
        <v>0</v>
      </c>
      <c r="KG32" s="110"/>
      <c r="KH32" s="139"/>
      <c r="KI32" s="140" t="e">
        <f t="shared" si="850"/>
        <v>#DIV/0!</v>
      </c>
      <c r="KJ32" s="144">
        <f>'прил № 3 (01.01.23)'!WW1340</f>
        <v>0</v>
      </c>
      <c r="KK32" s="225">
        <f t="shared" si="851"/>
        <v>0</v>
      </c>
      <c r="KL32" s="226">
        <f t="shared" si="852"/>
        <v>0</v>
      </c>
      <c r="KM32" s="137">
        <f t="shared" si="853"/>
        <v>0</v>
      </c>
      <c r="KN32" s="227">
        <f t="shared" si="854"/>
        <v>0</v>
      </c>
      <c r="KO32" s="138">
        <f t="shared" si="855"/>
        <v>0</v>
      </c>
      <c r="KP32" s="110">
        <f t="shared" si="856"/>
        <v>0</v>
      </c>
      <c r="KQ32" s="110"/>
      <c r="KR32" s="139"/>
      <c r="KS32" s="140" t="e">
        <f t="shared" si="857"/>
        <v>#DIV/0!</v>
      </c>
      <c r="KT32" s="144">
        <f>'прил № 3 (01.01.23)'!XR1340</f>
        <v>0</v>
      </c>
      <c r="KU32" s="225">
        <f t="shared" si="858"/>
        <v>0</v>
      </c>
      <c r="KV32" s="226">
        <f t="shared" si="859"/>
        <v>0</v>
      </c>
      <c r="KW32" s="137">
        <f t="shared" si="860"/>
        <v>0</v>
      </c>
      <c r="KX32" s="227">
        <f t="shared" si="854"/>
        <v>0</v>
      </c>
      <c r="KY32" s="138">
        <f t="shared" si="861"/>
        <v>0</v>
      </c>
      <c r="KZ32" s="110">
        <f t="shared" si="862"/>
        <v>0</v>
      </c>
      <c r="LA32" s="110"/>
      <c r="LB32" s="139"/>
      <c r="LC32" s="140" t="e">
        <f t="shared" si="863"/>
        <v>#DIV/0!</v>
      </c>
      <c r="LD32" s="197">
        <f t="shared" si="484"/>
        <v>0</v>
      </c>
      <c r="LE32" s="225">
        <f t="shared" si="864"/>
        <v>0</v>
      </c>
      <c r="LF32" s="226">
        <f t="shared" si="486"/>
        <v>0</v>
      </c>
      <c r="LG32" s="137">
        <f t="shared" si="487"/>
        <v>0</v>
      </c>
      <c r="LH32" s="227">
        <f t="shared" si="488"/>
        <v>9.92</v>
      </c>
      <c r="LI32" s="138">
        <f t="shared" si="489"/>
        <v>0</v>
      </c>
      <c r="LJ32" s="110">
        <f t="shared" si="490"/>
        <v>0</v>
      </c>
      <c r="LK32" s="110"/>
      <c r="LL32" s="139"/>
    </row>
    <row r="33" spans="1:324" ht="15" hidden="1" customHeight="1" x14ac:dyDescent="0.25">
      <c r="A33" s="246"/>
      <c r="B33" s="92" t="s">
        <v>625</v>
      </c>
      <c r="C33" s="12" t="s">
        <v>728</v>
      </c>
      <c r="D33" s="12" t="s">
        <v>430</v>
      </c>
      <c r="E33" s="4" t="s">
        <v>32</v>
      </c>
      <c r="F33" s="144">
        <f>'прил № 3 (01.01.23)'!L1341</f>
        <v>0</v>
      </c>
      <c r="G33" s="225">
        <f t="shared" si="491"/>
        <v>0</v>
      </c>
      <c r="H33" s="226">
        <f t="shared" si="492"/>
        <v>0</v>
      </c>
      <c r="I33" s="137">
        <f t="shared" si="270"/>
        <v>0</v>
      </c>
      <c r="J33" s="227">
        <f t="shared" si="493"/>
        <v>0</v>
      </c>
      <c r="K33" s="138">
        <f t="shared" si="271"/>
        <v>0</v>
      </c>
      <c r="L33" s="110">
        <f t="shared" si="272"/>
        <v>0</v>
      </c>
      <c r="M33" s="110"/>
      <c r="N33" s="139"/>
      <c r="O33" s="140" t="e">
        <f t="shared" si="273"/>
        <v>#DIV/0!</v>
      </c>
      <c r="P33" s="144">
        <f>'прил № 3 (01.01.23)'!AG1341</f>
        <v>0</v>
      </c>
      <c r="Q33" s="225">
        <f t="shared" si="679"/>
        <v>0</v>
      </c>
      <c r="R33" s="226">
        <f t="shared" si="680"/>
        <v>0</v>
      </c>
      <c r="S33" s="137">
        <f t="shared" si="681"/>
        <v>0</v>
      </c>
      <c r="T33" s="227">
        <f t="shared" si="682"/>
        <v>0</v>
      </c>
      <c r="U33" s="138">
        <f t="shared" si="683"/>
        <v>0</v>
      </c>
      <c r="V33" s="110">
        <f t="shared" si="684"/>
        <v>0</v>
      </c>
      <c r="W33" s="110"/>
      <c r="X33" s="139"/>
      <c r="Y33" s="140" t="e">
        <f t="shared" si="685"/>
        <v>#DIV/0!</v>
      </c>
      <c r="Z33" s="144">
        <f>'прил № 3 (01.01.23)'!BB1341</f>
        <v>0</v>
      </c>
      <c r="AA33" s="225">
        <f t="shared" si="686"/>
        <v>0</v>
      </c>
      <c r="AB33" s="226">
        <f t="shared" si="687"/>
        <v>0</v>
      </c>
      <c r="AC33" s="137">
        <f t="shared" si="688"/>
        <v>0</v>
      </c>
      <c r="AD33" s="227">
        <f t="shared" si="682"/>
        <v>0</v>
      </c>
      <c r="AE33" s="138">
        <f t="shared" si="689"/>
        <v>0</v>
      </c>
      <c r="AF33" s="110">
        <f t="shared" si="690"/>
        <v>0</v>
      </c>
      <c r="AG33" s="110"/>
      <c r="AH33" s="139"/>
      <c r="AI33" s="140" t="e">
        <f t="shared" si="691"/>
        <v>#DIV/0!</v>
      </c>
      <c r="AJ33" s="144">
        <f>'прил № 3 (01.01.23)'!BW1341</f>
        <v>0</v>
      </c>
      <c r="AK33" s="225">
        <f t="shared" si="692"/>
        <v>0</v>
      </c>
      <c r="AL33" s="226">
        <f t="shared" si="693"/>
        <v>0</v>
      </c>
      <c r="AM33" s="137">
        <f t="shared" si="694"/>
        <v>0</v>
      </c>
      <c r="AN33" s="227">
        <f t="shared" si="682"/>
        <v>0</v>
      </c>
      <c r="AO33" s="138">
        <f t="shared" si="695"/>
        <v>0</v>
      </c>
      <c r="AP33" s="110">
        <f t="shared" si="696"/>
        <v>0</v>
      </c>
      <c r="AQ33" s="110"/>
      <c r="AR33" s="139"/>
      <c r="AS33" s="140" t="e">
        <f t="shared" si="697"/>
        <v>#DIV/0!</v>
      </c>
      <c r="AT33" s="144">
        <f>'прил № 3 (01.01.23)'!CR1341</f>
        <v>0</v>
      </c>
      <c r="AU33" s="225">
        <f t="shared" si="698"/>
        <v>0</v>
      </c>
      <c r="AV33" s="226">
        <f t="shared" si="699"/>
        <v>0</v>
      </c>
      <c r="AW33" s="137">
        <f t="shared" si="700"/>
        <v>0</v>
      </c>
      <c r="AX33" s="227">
        <f t="shared" si="682"/>
        <v>0</v>
      </c>
      <c r="AY33" s="138">
        <f t="shared" si="701"/>
        <v>0</v>
      </c>
      <c r="AZ33" s="110">
        <f t="shared" si="702"/>
        <v>0</v>
      </c>
      <c r="BA33" s="110"/>
      <c r="BB33" s="139"/>
      <c r="BC33" s="140" t="e">
        <f t="shared" si="703"/>
        <v>#DIV/0!</v>
      </c>
      <c r="BD33" s="144">
        <f>'прил № 3 (01.01.23)'!DM1341</f>
        <v>0</v>
      </c>
      <c r="BE33" s="225">
        <f t="shared" si="704"/>
        <v>0</v>
      </c>
      <c r="BF33" s="226">
        <f t="shared" si="705"/>
        <v>0</v>
      </c>
      <c r="BG33" s="137">
        <f t="shared" si="706"/>
        <v>0</v>
      </c>
      <c r="BH33" s="227">
        <f t="shared" si="682"/>
        <v>0</v>
      </c>
      <c r="BI33" s="138">
        <f t="shared" si="707"/>
        <v>0</v>
      </c>
      <c r="BJ33" s="110">
        <f t="shared" si="708"/>
        <v>0</v>
      </c>
      <c r="BK33" s="110"/>
      <c r="BL33" s="139"/>
      <c r="BM33" s="140" t="e">
        <f t="shared" si="709"/>
        <v>#DIV/0!</v>
      </c>
      <c r="BN33" s="144">
        <f>'прил № 3 (01.01.23)'!EH1341</f>
        <v>0</v>
      </c>
      <c r="BO33" s="225">
        <f t="shared" si="710"/>
        <v>0</v>
      </c>
      <c r="BP33" s="226">
        <f t="shared" si="711"/>
        <v>0</v>
      </c>
      <c r="BQ33" s="137">
        <f t="shared" si="712"/>
        <v>0</v>
      </c>
      <c r="BR33" s="227">
        <f t="shared" si="682"/>
        <v>0</v>
      </c>
      <c r="BS33" s="138">
        <f t="shared" si="713"/>
        <v>0</v>
      </c>
      <c r="BT33" s="110">
        <f t="shared" si="714"/>
        <v>0</v>
      </c>
      <c r="BU33" s="110"/>
      <c r="BV33" s="139"/>
      <c r="BW33" s="140" t="e">
        <f t="shared" si="715"/>
        <v>#DIV/0!</v>
      </c>
      <c r="BX33" s="144">
        <f>'прил № 3 (01.01.23)'!FC1341</f>
        <v>0</v>
      </c>
      <c r="BY33" s="225">
        <f t="shared" si="716"/>
        <v>0</v>
      </c>
      <c r="BZ33" s="226">
        <f t="shared" si="717"/>
        <v>0</v>
      </c>
      <c r="CA33" s="137">
        <f t="shared" si="718"/>
        <v>0</v>
      </c>
      <c r="CB33" s="227">
        <f t="shared" si="682"/>
        <v>0</v>
      </c>
      <c r="CC33" s="138">
        <f t="shared" si="719"/>
        <v>0</v>
      </c>
      <c r="CD33" s="110">
        <f t="shared" si="720"/>
        <v>0</v>
      </c>
      <c r="CE33" s="110"/>
      <c r="CF33" s="139"/>
      <c r="CG33" s="140" t="e">
        <f t="shared" si="721"/>
        <v>#DIV/0!</v>
      </c>
      <c r="CH33" s="144">
        <f>'прил № 3 (01.01.23)'!FX1341</f>
        <v>0</v>
      </c>
      <c r="CI33" s="225">
        <f t="shared" si="722"/>
        <v>0</v>
      </c>
      <c r="CJ33" s="226">
        <f t="shared" si="723"/>
        <v>0</v>
      </c>
      <c r="CK33" s="137">
        <f t="shared" si="724"/>
        <v>0</v>
      </c>
      <c r="CL33" s="227">
        <f t="shared" si="725"/>
        <v>0</v>
      </c>
      <c r="CM33" s="138">
        <f t="shared" si="726"/>
        <v>0</v>
      </c>
      <c r="CN33" s="110">
        <f t="shared" si="727"/>
        <v>0</v>
      </c>
      <c r="CO33" s="110"/>
      <c r="CP33" s="139"/>
      <c r="CQ33" s="140" t="e">
        <f t="shared" si="728"/>
        <v>#DIV/0!</v>
      </c>
      <c r="CR33" s="144">
        <f>'прил № 3 (01.01.23)'!GS1341</f>
        <v>0</v>
      </c>
      <c r="CS33" s="225">
        <f t="shared" si="729"/>
        <v>0</v>
      </c>
      <c r="CT33" s="226">
        <f t="shared" si="730"/>
        <v>0</v>
      </c>
      <c r="CU33" s="137">
        <f t="shared" si="731"/>
        <v>0</v>
      </c>
      <c r="CV33" s="227">
        <f t="shared" si="725"/>
        <v>0</v>
      </c>
      <c r="CW33" s="138">
        <f t="shared" si="732"/>
        <v>0</v>
      </c>
      <c r="CX33" s="110">
        <f t="shared" si="733"/>
        <v>0</v>
      </c>
      <c r="CY33" s="110"/>
      <c r="CZ33" s="139"/>
      <c r="DA33" s="140" t="e">
        <f t="shared" si="734"/>
        <v>#DIV/0!</v>
      </c>
      <c r="DB33" s="144">
        <f>'прил № 3 (01.01.23)'!HN1341</f>
        <v>0</v>
      </c>
      <c r="DC33" s="225">
        <f t="shared" si="735"/>
        <v>0</v>
      </c>
      <c r="DD33" s="226">
        <f t="shared" si="736"/>
        <v>0</v>
      </c>
      <c r="DE33" s="137">
        <f t="shared" si="737"/>
        <v>0</v>
      </c>
      <c r="DF33" s="227">
        <f t="shared" si="725"/>
        <v>0</v>
      </c>
      <c r="DG33" s="138">
        <f t="shared" si="738"/>
        <v>0</v>
      </c>
      <c r="DH33" s="110">
        <f t="shared" si="739"/>
        <v>0</v>
      </c>
      <c r="DI33" s="110"/>
      <c r="DJ33" s="139"/>
      <c r="DK33" s="140" t="e">
        <f t="shared" si="740"/>
        <v>#DIV/0!</v>
      </c>
      <c r="DL33" s="144">
        <f>'прил № 3 (01.01.23)'!II1341</f>
        <v>0</v>
      </c>
      <c r="DM33" s="225">
        <f t="shared" si="741"/>
        <v>0</v>
      </c>
      <c r="DN33" s="226">
        <f t="shared" si="742"/>
        <v>0</v>
      </c>
      <c r="DO33" s="137">
        <f t="shared" si="743"/>
        <v>0</v>
      </c>
      <c r="DP33" s="227">
        <f t="shared" si="725"/>
        <v>0</v>
      </c>
      <c r="DQ33" s="138">
        <f t="shared" si="744"/>
        <v>0</v>
      </c>
      <c r="DR33" s="110">
        <f t="shared" si="745"/>
        <v>0</v>
      </c>
      <c r="DS33" s="110"/>
      <c r="DT33" s="139"/>
      <c r="DU33" s="140" t="e">
        <f t="shared" si="746"/>
        <v>#DIV/0!</v>
      </c>
      <c r="DV33" s="144">
        <f>'прил № 3 (01.01.23)'!JD1341</f>
        <v>0</v>
      </c>
      <c r="DW33" s="225">
        <f t="shared" si="747"/>
        <v>0</v>
      </c>
      <c r="DX33" s="226">
        <f t="shared" si="748"/>
        <v>0</v>
      </c>
      <c r="DY33" s="137">
        <f t="shared" si="749"/>
        <v>0</v>
      </c>
      <c r="DZ33" s="227">
        <f t="shared" si="725"/>
        <v>0</v>
      </c>
      <c r="EA33" s="138">
        <f t="shared" si="750"/>
        <v>0</v>
      </c>
      <c r="EB33" s="110">
        <f t="shared" si="751"/>
        <v>0</v>
      </c>
      <c r="EC33" s="110"/>
      <c r="ED33" s="139"/>
      <c r="EE33" s="140" t="e">
        <f t="shared" si="752"/>
        <v>#DIV/0!</v>
      </c>
      <c r="EF33" s="144">
        <f>'прил № 3 (01.01.23)'!JY1341</f>
        <v>0</v>
      </c>
      <c r="EG33" s="225">
        <f t="shared" si="753"/>
        <v>0</v>
      </c>
      <c r="EH33" s="226">
        <f t="shared" si="754"/>
        <v>0</v>
      </c>
      <c r="EI33" s="137">
        <f t="shared" si="755"/>
        <v>0</v>
      </c>
      <c r="EJ33" s="227">
        <f t="shared" si="725"/>
        <v>0</v>
      </c>
      <c r="EK33" s="138">
        <f t="shared" si="756"/>
        <v>0</v>
      </c>
      <c r="EL33" s="110">
        <f t="shared" si="757"/>
        <v>0</v>
      </c>
      <c r="EM33" s="110"/>
      <c r="EN33" s="139"/>
      <c r="EO33" s="140" t="e">
        <f t="shared" si="758"/>
        <v>#DIV/0!</v>
      </c>
      <c r="EP33" s="144">
        <f>'прил № 3 (01.01.23)'!KT1341</f>
        <v>0</v>
      </c>
      <c r="EQ33" s="225">
        <f t="shared" si="759"/>
        <v>0</v>
      </c>
      <c r="ER33" s="226">
        <f t="shared" si="760"/>
        <v>0</v>
      </c>
      <c r="ES33" s="137">
        <f t="shared" si="761"/>
        <v>0</v>
      </c>
      <c r="ET33" s="227">
        <f t="shared" si="725"/>
        <v>0</v>
      </c>
      <c r="EU33" s="138">
        <f t="shared" si="762"/>
        <v>0</v>
      </c>
      <c r="EV33" s="110">
        <f t="shared" si="763"/>
        <v>0</v>
      </c>
      <c r="EW33" s="110"/>
      <c r="EX33" s="139"/>
      <c r="EY33" s="140" t="e">
        <f t="shared" si="764"/>
        <v>#DIV/0!</v>
      </c>
      <c r="EZ33" s="144">
        <f>'прил № 3 (01.01.23)'!LO1341</f>
        <v>0</v>
      </c>
      <c r="FA33" s="225">
        <f t="shared" si="765"/>
        <v>0</v>
      </c>
      <c r="FB33" s="226">
        <f t="shared" si="766"/>
        <v>0</v>
      </c>
      <c r="FC33" s="137">
        <f t="shared" si="767"/>
        <v>0</v>
      </c>
      <c r="FD33" s="227">
        <f t="shared" si="768"/>
        <v>9.92</v>
      </c>
      <c r="FE33" s="138">
        <f t="shared" si="769"/>
        <v>0</v>
      </c>
      <c r="FF33" s="110">
        <f t="shared" si="770"/>
        <v>0</v>
      </c>
      <c r="FG33" s="110"/>
      <c r="FH33" s="139"/>
      <c r="FI33" s="140" t="e">
        <f t="shared" si="771"/>
        <v>#DIV/0!</v>
      </c>
      <c r="FJ33" s="144">
        <f>'прил № 3 (01.01.23)'!MJ1341</f>
        <v>0</v>
      </c>
      <c r="FK33" s="225">
        <f t="shared" si="772"/>
        <v>0</v>
      </c>
      <c r="FL33" s="226">
        <f t="shared" si="773"/>
        <v>0</v>
      </c>
      <c r="FM33" s="137">
        <f t="shared" si="774"/>
        <v>0</v>
      </c>
      <c r="FN33" s="227">
        <f t="shared" si="768"/>
        <v>0</v>
      </c>
      <c r="FO33" s="138">
        <f t="shared" si="775"/>
        <v>0</v>
      </c>
      <c r="FP33" s="110">
        <f t="shared" si="776"/>
        <v>0</v>
      </c>
      <c r="FQ33" s="110"/>
      <c r="FR33" s="139"/>
      <c r="FS33" s="140" t="e">
        <f t="shared" si="777"/>
        <v>#DIV/0!</v>
      </c>
      <c r="FT33" s="144">
        <f>'прил № 3 (01.01.23)'!NE1341</f>
        <v>0</v>
      </c>
      <c r="FU33" s="225">
        <f t="shared" si="778"/>
        <v>0</v>
      </c>
      <c r="FV33" s="226">
        <f t="shared" si="779"/>
        <v>0</v>
      </c>
      <c r="FW33" s="137">
        <f t="shared" si="780"/>
        <v>0</v>
      </c>
      <c r="FX33" s="227">
        <f t="shared" si="768"/>
        <v>0</v>
      </c>
      <c r="FY33" s="138">
        <f t="shared" si="781"/>
        <v>0</v>
      </c>
      <c r="FZ33" s="110">
        <f t="shared" si="782"/>
        <v>0</v>
      </c>
      <c r="GA33" s="110"/>
      <c r="GB33" s="139"/>
      <c r="GC33" s="140" t="e">
        <f t="shared" si="783"/>
        <v>#DIV/0!</v>
      </c>
      <c r="GD33" s="144">
        <f>'прил № 3 (01.01.23)'!NZ1341</f>
        <v>0</v>
      </c>
      <c r="GE33" s="225">
        <f t="shared" si="784"/>
        <v>0</v>
      </c>
      <c r="GF33" s="226">
        <f t="shared" si="785"/>
        <v>0</v>
      </c>
      <c r="GG33" s="137">
        <f t="shared" si="786"/>
        <v>0</v>
      </c>
      <c r="GH33" s="227">
        <f t="shared" si="768"/>
        <v>9.92</v>
      </c>
      <c r="GI33" s="138">
        <f t="shared" si="787"/>
        <v>0</v>
      </c>
      <c r="GJ33" s="110">
        <f t="shared" si="788"/>
        <v>0</v>
      </c>
      <c r="GK33" s="110"/>
      <c r="GL33" s="139"/>
      <c r="GM33" s="140" t="e">
        <f t="shared" si="789"/>
        <v>#DIV/0!</v>
      </c>
      <c r="GN33" s="144">
        <f>'прил № 3 (01.01.23)'!OU1341</f>
        <v>0</v>
      </c>
      <c r="GO33" s="225">
        <f t="shared" si="790"/>
        <v>0</v>
      </c>
      <c r="GP33" s="226">
        <f t="shared" si="791"/>
        <v>0</v>
      </c>
      <c r="GQ33" s="137">
        <f t="shared" si="792"/>
        <v>0</v>
      </c>
      <c r="GR33" s="227">
        <f t="shared" si="768"/>
        <v>0</v>
      </c>
      <c r="GS33" s="138">
        <f t="shared" si="793"/>
        <v>0</v>
      </c>
      <c r="GT33" s="110">
        <f t="shared" si="794"/>
        <v>0</v>
      </c>
      <c r="GU33" s="110"/>
      <c r="GV33" s="139"/>
      <c r="GW33" s="140" t="e">
        <f t="shared" si="795"/>
        <v>#DIV/0!</v>
      </c>
      <c r="GX33" s="144">
        <f>'прил № 3 (01.01.23)'!PP1341</f>
        <v>0</v>
      </c>
      <c r="GY33" s="225">
        <f t="shared" si="796"/>
        <v>0</v>
      </c>
      <c r="GZ33" s="226">
        <f t="shared" si="797"/>
        <v>0</v>
      </c>
      <c r="HA33" s="137">
        <f t="shared" si="798"/>
        <v>0</v>
      </c>
      <c r="HB33" s="227">
        <f t="shared" si="768"/>
        <v>9.92</v>
      </c>
      <c r="HC33" s="138">
        <f t="shared" si="799"/>
        <v>0</v>
      </c>
      <c r="HD33" s="110">
        <f t="shared" si="800"/>
        <v>0</v>
      </c>
      <c r="HE33" s="110"/>
      <c r="HF33" s="139"/>
      <c r="HG33" s="140" t="e">
        <f t="shared" si="801"/>
        <v>#DIV/0!</v>
      </c>
      <c r="HH33" s="144">
        <f>'прил № 3 (01.01.23)'!QK1341</f>
        <v>0</v>
      </c>
      <c r="HI33" s="225">
        <f t="shared" si="802"/>
        <v>0</v>
      </c>
      <c r="HJ33" s="226">
        <f t="shared" si="803"/>
        <v>0</v>
      </c>
      <c r="HK33" s="137">
        <f t="shared" si="804"/>
        <v>0</v>
      </c>
      <c r="HL33" s="227">
        <f t="shared" si="768"/>
        <v>0</v>
      </c>
      <c r="HM33" s="138">
        <f t="shared" si="805"/>
        <v>0</v>
      </c>
      <c r="HN33" s="110">
        <f t="shared" si="806"/>
        <v>0</v>
      </c>
      <c r="HO33" s="110"/>
      <c r="HP33" s="139"/>
      <c r="HQ33" s="140" t="e">
        <f t="shared" si="807"/>
        <v>#DIV/0!</v>
      </c>
      <c r="HR33" s="144">
        <f>'прил № 3 (01.01.23)'!RF1341</f>
        <v>0</v>
      </c>
      <c r="HS33" s="225">
        <f t="shared" si="808"/>
        <v>0</v>
      </c>
      <c r="HT33" s="226">
        <f t="shared" si="809"/>
        <v>0</v>
      </c>
      <c r="HU33" s="137">
        <f t="shared" si="810"/>
        <v>0</v>
      </c>
      <c r="HV33" s="227">
        <f t="shared" si="811"/>
        <v>0</v>
      </c>
      <c r="HW33" s="138">
        <f t="shared" si="812"/>
        <v>0</v>
      </c>
      <c r="HX33" s="110">
        <f t="shared" si="813"/>
        <v>0</v>
      </c>
      <c r="HY33" s="110"/>
      <c r="HZ33" s="139"/>
      <c r="IA33" s="140" t="e">
        <f t="shared" si="814"/>
        <v>#DIV/0!</v>
      </c>
      <c r="IB33" s="144">
        <f>'прил № 3 (01.01.23)'!SA1341</f>
        <v>0</v>
      </c>
      <c r="IC33" s="225">
        <f t="shared" si="815"/>
        <v>0</v>
      </c>
      <c r="ID33" s="226">
        <f t="shared" si="816"/>
        <v>0</v>
      </c>
      <c r="IE33" s="137">
        <f t="shared" si="817"/>
        <v>0</v>
      </c>
      <c r="IF33" s="227">
        <f t="shared" si="811"/>
        <v>0</v>
      </c>
      <c r="IG33" s="138">
        <f t="shared" si="818"/>
        <v>0</v>
      </c>
      <c r="IH33" s="110">
        <f t="shared" si="819"/>
        <v>0</v>
      </c>
      <c r="II33" s="110"/>
      <c r="IJ33" s="139"/>
      <c r="IK33" s="140" t="e">
        <f t="shared" si="820"/>
        <v>#DIV/0!</v>
      </c>
      <c r="IL33" s="144">
        <f>'прил № 3 (01.01.23)'!SV1341</f>
        <v>0</v>
      </c>
      <c r="IM33" s="225">
        <f t="shared" si="821"/>
        <v>0</v>
      </c>
      <c r="IN33" s="226">
        <f t="shared" si="822"/>
        <v>0</v>
      </c>
      <c r="IO33" s="137">
        <f t="shared" si="823"/>
        <v>0</v>
      </c>
      <c r="IP33" s="227">
        <f t="shared" si="811"/>
        <v>0</v>
      </c>
      <c r="IQ33" s="138">
        <f t="shared" si="824"/>
        <v>0</v>
      </c>
      <c r="IR33" s="110">
        <f t="shared" si="825"/>
        <v>0</v>
      </c>
      <c r="IS33" s="110"/>
      <c r="IT33" s="139"/>
      <c r="IU33" s="140" t="e">
        <f t="shared" si="826"/>
        <v>#DIV/0!</v>
      </c>
      <c r="IV33" s="144">
        <f>'прил № 3 (01.01.23)'!TQ1341</f>
        <v>0</v>
      </c>
      <c r="IW33" s="225">
        <f t="shared" si="827"/>
        <v>0</v>
      </c>
      <c r="IX33" s="226">
        <f t="shared" si="828"/>
        <v>0</v>
      </c>
      <c r="IY33" s="137">
        <f t="shared" si="829"/>
        <v>0</v>
      </c>
      <c r="IZ33" s="227">
        <f t="shared" si="811"/>
        <v>0</v>
      </c>
      <c r="JA33" s="138">
        <f t="shared" si="830"/>
        <v>0</v>
      </c>
      <c r="JB33" s="110">
        <f t="shared" si="831"/>
        <v>0</v>
      </c>
      <c r="JC33" s="110"/>
      <c r="JD33" s="139"/>
      <c r="JE33" s="140" t="e">
        <f t="shared" si="832"/>
        <v>#DIV/0!</v>
      </c>
      <c r="JF33" s="144">
        <f>'прил № 3 (01.01.23)'!UL1341</f>
        <v>0</v>
      </c>
      <c r="JG33" s="225">
        <f t="shared" si="833"/>
        <v>0</v>
      </c>
      <c r="JH33" s="226">
        <f t="shared" si="834"/>
        <v>0</v>
      </c>
      <c r="JI33" s="137">
        <f t="shared" si="835"/>
        <v>0</v>
      </c>
      <c r="JJ33" s="227">
        <f t="shared" si="811"/>
        <v>0</v>
      </c>
      <c r="JK33" s="138">
        <f t="shared" si="836"/>
        <v>0</v>
      </c>
      <c r="JL33" s="110">
        <f t="shared" si="837"/>
        <v>0</v>
      </c>
      <c r="JM33" s="110"/>
      <c r="JN33" s="139"/>
      <c r="JO33" s="140" t="e">
        <f t="shared" si="838"/>
        <v>#DIV/0!</v>
      </c>
      <c r="JP33" s="144">
        <f>'прил № 3 (01.01.23)'!VG1341</f>
        <v>0</v>
      </c>
      <c r="JQ33" s="225">
        <f t="shared" si="839"/>
        <v>0</v>
      </c>
      <c r="JR33" s="226">
        <f t="shared" si="840"/>
        <v>0</v>
      </c>
      <c r="JS33" s="137">
        <f t="shared" si="841"/>
        <v>0</v>
      </c>
      <c r="JT33" s="227">
        <f t="shared" si="811"/>
        <v>0</v>
      </c>
      <c r="JU33" s="138">
        <f t="shared" si="842"/>
        <v>0</v>
      </c>
      <c r="JV33" s="110">
        <f t="shared" si="843"/>
        <v>0</v>
      </c>
      <c r="JW33" s="110"/>
      <c r="JX33" s="139"/>
      <c r="JY33" s="140" t="e">
        <f t="shared" si="844"/>
        <v>#DIV/0!</v>
      </c>
      <c r="JZ33" s="144">
        <f>'прил № 3 (01.01.23)'!WB1341</f>
        <v>0</v>
      </c>
      <c r="KA33" s="225">
        <f t="shared" si="845"/>
        <v>0</v>
      </c>
      <c r="KB33" s="226">
        <f t="shared" si="846"/>
        <v>0</v>
      </c>
      <c r="KC33" s="137">
        <f t="shared" si="847"/>
        <v>0</v>
      </c>
      <c r="KD33" s="227">
        <f t="shared" si="811"/>
        <v>0</v>
      </c>
      <c r="KE33" s="138">
        <f t="shared" si="848"/>
        <v>0</v>
      </c>
      <c r="KF33" s="110">
        <f t="shared" si="849"/>
        <v>0</v>
      </c>
      <c r="KG33" s="110"/>
      <c r="KH33" s="139"/>
      <c r="KI33" s="140" t="e">
        <f t="shared" si="850"/>
        <v>#DIV/0!</v>
      </c>
      <c r="KJ33" s="144">
        <f>'прил № 3 (01.01.23)'!WW1341</f>
        <v>0</v>
      </c>
      <c r="KK33" s="225">
        <f t="shared" si="851"/>
        <v>0</v>
      </c>
      <c r="KL33" s="226">
        <f t="shared" si="852"/>
        <v>0</v>
      </c>
      <c r="KM33" s="137">
        <f t="shared" si="853"/>
        <v>0</v>
      </c>
      <c r="KN33" s="227">
        <f t="shared" si="854"/>
        <v>0</v>
      </c>
      <c r="KO33" s="138">
        <f t="shared" si="855"/>
        <v>0</v>
      </c>
      <c r="KP33" s="110">
        <f t="shared" si="856"/>
        <v>0</v>
      </c>
      <c r="KQ33" s="110"/>
      <c r="KR33" s="139"/>
      <c r="KS33" s="140" t="e">
        <f t="shared" si="857"/>
        <v>#DIV/0!</v>
      </c>
      <c r="KT33" s="144">
        <f>'прил № 3 (01.01.23)'!XR1341</f>
        <v>0</v>
      </c>
      <c r="KU33" s="225">
        <f t="shared" si="858"/>
        <v>0</v>
      </c>
      <c r="KV33" s="226">
        <f t="shared" si="859"/>
        <v>0</v>
      </c>
      <c r="KW33" s="137">
        <f t="shared" si="860"/>
        <v>0</v>
      </c>
      <c r="KX33" s="227">
        <f t="shared" si="854"/>
        <v>0</v>
      </c>
      <c r="KY33" s="138">
        <f t="shared" si="861"/>
        <v>0</v>
      </c>
      <c r="KZ33" s="110">
        <f t="shared" si="862"/>
        <v>0</v>
      </c>
      <c r="LA33" s="110"/>
      <c r="LB33" s="139"/>
      <c r="LC33" s="140" t="e">
        <f t="shared" si="863"/>
        <v>#DIV/0!</v>
      </c>
      <c r="LD33" s="197">
        <f t="shared" si="484"/>
        <v>0</v>
      </c>
      <c r="LE33" s="225">
        <f t="shared" si="864"/>
        <v>0</v>
      </c>
      <c r="LF33" s="226">
        <f t="shared" si="486"/>
        <v>0</v>
      </c>
      <c r="LG33" s="137">
        <f t="shared" si="487"/>
        <v>0</v>
      </c>
      <c r="LH33" s="227">
        <f t="shared" si="488"/>
        <v>9.92</v>
      </c>
      <c r="LI33" s="138">
        <f t="shared" si="489"/>
        <v>0</v>
      </c>
      <c r="LJ33" s="110">
        <f t="shared" si="490"/>
        <v>0</v>
      </c>
      <c r="LK33" s="110"/>
      <c r="LL33" s="139"/>
    </row>
    <row r="34" spans="1:324" ht="15" hidden="1" customHeight="1" x14ac:dyDescent="0.25">
      <c r="A34" s="246"/>
      <c r="B34" s="92" t="s">
        <v>639</v>
      </c>
      <c r="C34" s="12" t="s">
        <v>728</v>
      </c>
      <c r="D34" s="12" t="s">
        <v>430</v>
      </c>
      <c r="E34" s="4" t="s">
        <v>32</v>
      </c>
      <c r="F34" s="144">
        <f>'прил № 3 (01.01.23)'!L1342</f>
        <v>0</v>
      </c>
      <c r="G34" s="225">
        <f t="shared" si="491"/>
        <v>0</v>
      </c>
      <c r="H34" s="226">
        <f t="shared" si="492"/>
        <v>0</v>
      </c>
      <c r="I34" s="137">
        <f t="shared" si="270"/>
        <v>0</v>
      </c>
      <c r="J34" s="227">
        <f t="shared" si="493"/>
        <v>0</v>
      </c>
      <c r="K34" s="138">
        <f t="shared" si="271"/>
        <v>0</v>
      </c>
      <c r="L34" s="110">
        <f t="shared" si="272"/>
        <v>0</v>
      </c>
      <c r="M34" s="110"/>
      <c r="N34" s="139"/>
      <c r="O34" s="140" t="e">
        <f t="shared" si="273"/>
        <v>#DIV/0!</v>
      </c>
      <c r="P34" s="144">
        <f>'прил № 3 (01.01.23)'!AG1342</f>
        <v>0</v>
      </c>
      <c r="Q34" s="225">
        <f t="shared" si="679"/>
        <v>0</v>
      </c>
      <c r="R34" s="226">
        <f t="shared" si="680"/>
        <v>0</v>
      </c>
      <c r="S34" s="137">
        <f t="shared" si="681"/>
        <v>0</v>
      </c>
      <c r="T34" s="227">
        <f t="shared" si="682"/>
        <v>0</v>
      </c>
      <c r="U34" s="138">
        <f t="shared" si="683"/>
        <v>0</v>
      </c>
      <c r="V34" s="110">
        <f t="shared" si="684"/>
        <v>0</v>
      </c>
      <c r="W34" s="110"/>
      <c r="X34" s="139"/>
      <c r="Y34" s="140" t="e">
        <f t="shared" si="685"/>
        <v>#DIV/0!</v>
      </c>
      <c r="Z34" s="144">
        <f>'прил № 3 (01.01.23)'!BB1342</f>
        <v>0</v>
      </c>
      <c r="AA34" s="225">
        <f t="shared" si="686"/>
        <v>0</v>
      </c>
      <c r="AB34" s="226">
        <f t="shared" si="687"/>
        <v>0</v>
      </c>
      <c r="AC34" s="137">
        <f t="shared" si="688"/>
        <v>0</v>
      </c>
      <c r="AD34" s="227">
        <f t="shared" si="682"/>
        <v>0</v>
      </c>
      <c r="AE34" s="138">
        <f t="shared" si="689"/>
        <v>0</v>
      </c>
      <c r="AF34" s="110">
        <f t="shared" si="690"/>
        <v>0</v>
      </c>
      <c r="AG34" s="110"/>
      <c r="AH34" s="139"/>
      <c r="AI34" s="140" t="e">
        <f t="shared" si="691"/>
        <v>#DIV/0!</v>
      </c>
      <c r="AJ34" s="144">
        <f>'прил № 3 (01.01.23)'!BW1342</f>
        <v>0</v>
      </c>
      <c r="AK34" s="225">
        <f t="shared" si="692"/>
        <v>0</v>
      </c>
      <c r="AL34" s="226">
        <f t="shared" si="693"/>
        <v>0</v>
      </c>
      <c r="AM34" s="137">
        <f t="shared" si="694"/>
        <v>0</v>
      </c>
      <c r="AN34" s="227">
        <f t="shared" si="682"/>
        <v>0</v>
      </c>
      <c r="AO34" s="138">
        <f t="shared" si="695"/>
        <v>0</v>
      </c>
      <c r="AP34" s="110">
        <f t="shared" si="696"/>
        <v>0</v>
      </c>
      <c r="AQ34" s="110"/>
      <c r="AR34" s="139"/>
      <c r="AS34" s="140" t="e">
        <f t="shared" si="697"/>
        <v>#DIV/0!</v>
      </c>
      <c r="AT34" s="144">
        <f>'прил № 3 (01.01.23)'!CR1342</f>
        <v>0</v>
      </c>
      <c r="AU34" s="225">
        <f t="shared" si="698"/>
        <v>0</v>
      </c>
      <c r="AV34" s="226">
        <f t="shared" si="699"/>
        <v>0</v>
      </c>
      <c r="AW34" s="137">
        <f t="shared" si="700"/>
        <v>0</v>
      </c>
      <c r="AX34" s="227">
        <f t="shared" si="682"/>
        <v>0</v>
      </c>
      <c r="AY34" s="138">
        <f t="shared" si="701"/>
        <v>0</v>
      </c>
      <c r="AZ34" s="110">
        <f t="shared" si="702"/>
        <v>0</v>
      </c>
      <c r="BA34" s="110"/>
      <c r="BB34" s="139"/>
      <c r="BC34" s="140" t="e">
        <f t="shared" si="703"/>
        <v>#DIV/0!</v>
      </c>
      <c r="BD34" s="144">
        <f>'прил № 3 (01.01.23)'!DM1342</f>
        <v>0</v>
      </c>
      <c r="BE34" s="225">
        <f t="shared" si="704"/>
        <v>0</v>
      </c>
      <c r="BF34" s="226">
        <f t="shared" si="705"/>
        <v>0</v>
      </c>
      <c r="BG34" s="137">
        <f t="shared" si="706"/>
        <v>0</v>
      </c>
      <c r="BH34" s="227">
        <f t="shared" si="682"/>
        <v>0</v>
      </c>
      <c r="BI34" s="138">
        <f t="shared" si="707"/>
        <v>0</v>
      </c>
      <c r="BJ34" s="110">
        <f t="shared" si="708"/>
        <v>0</v>
      </c>
      <c r="BK34" s="110"/>
      <c r="BL34" s="139"/>
      <c r="BM34" s="140" t="e">
        <f t="shared" si="709"/>
        <v>#DIV/0!</v>
      </c>
      <c r="BN34" s="144">
        <f>'прил № 3 (01.01.23)'!EH1342</f>
        <v>0</v>
      </c>
      <c r="BO34" s="225">
        <f t="shared" si="710"/>
        <v>0</v>
      </c>
      <c r="BP34" s="226">
        <f t="shared" si="711"/>
        <v>0</v>
      </c>
      <c r="BQ34" s="137">
        <f t="shared" si="712"/>
        <v>0</v>
      </c>
      <c r="BR34" s="227">
        <f t="shared" si="682"/>
        <v>0</v>
      </c>
      <c r="BS34" s="138">
        <f t="shared" si="713"/>
        <v>0</v>
      </c>
      <c r="BT34" s="110">
        <f t="shared" si="714"/>
        <v>0</v>
      </c>
      <c r="BU34" s="110"/>
      <c r="BV34" s="139"/>
      <c r="BW34" s="140" t="e">
        <f t="shared" si="715"/>
        <v>#DIV/0!</v>
      </c>
      <c r="BX34" s="144">
        <f>'прил № 3 (01.01.23)'!FC1342</f>
        <v>0</v>
      </c>
      <c r="BY34" s="225">
        <f t="shared" si="716"/>
        <v>0</v>
      </c>
      <c r="BZ34" s="226">
        <f t="shared" si="717"/>
        <v>0</v>
      </c>
      <c r="CA34" s="137">
        <f t="shared" si="718"/>
        <v>0</v>
      </c>
      <c r="CB34" s="227">
        <f t="shared" si="682"/>
        <v>0</v>
      </c>
      <c r="CC34" s="138">
        <f t="shared" si="719"/>
        <v>0</v>
      </c>
      <c r="CD34" s="110">
        <f t="shared" si="720"/>
        <v>0</v>
      </c>
      <c r="CE34" s="110"/>
      <c r="CF34" s="139"/>
      <c r="CG34" s="140" t="e">
        <f t="shared" si="721"/>
        <v>#DIV/0!</v>
      </c>
      <c r="CH34" s="144">
        <f>'прил № 3 (01.01.23)'!FX1342</f>
        <v>0</v>
      </c>
      <c r="CI34" s="225">
        <f t="shared" si="722"/>
        <v>0</v>
      </c>
      <c r="CJ34" s="226">
        <f t="shared" si="723"/>
        <v>0</v>
      </c>
      <c r="CK34" s="137">
        <f t="shared" si="724"/>
        <v>0</v>
      </c>
      <c r="CL34" s="227">
        <f t="shared" si="725"/>
        <v>0</v>
      </c>
      <c r="CM34" s="138">
        <f t="shared" si="726"/>
        <v>0</v>
      </c>
      <c r="CN34" s="110">
        <f t="shared" si="727"/>
        <v>0</v>
      </c>
      <c r="CO34" s="110"/>
      <c r="CP34" s="139"/>
      <c r="CQ34" s="140" t="e">
        <f t="shared" si="728"/>
        <v>#DIV/0!</v>
      </c>
      <c r="CR34" s="144">
        <f>'прил № 3 (01.01.23)'!GS1342</f>
        <v>0</v>
      </c>
      <c r="CS34" s="225">
        <f t="shared" si="729"/>
        <v>0</v>
      </c>
      <c r="CT34" s="226">
        <f t="shared" si="730"/>
        <v>0</v>
      </c>
      <c r="CU34" s="137">
        <f t="shared" si="731"/>
        <v>0</v>
      </c>
      <c r="CV34" s="227">
        <f t="shared" si="725"/>
        <v>0</v>
      </c>
      <c r="CW34" s="138">
        <f t="shared" si="732"/>
        <v>0</v>
      </c>
      <c r="CX34" s="110">
        <f t="shared" si="733"/>
        <v>0</v>
      </c>
      <c r="CY34" s="110"/>
      <c r="CZ34" s="139"/>
      <c r="DA34" s="140" t="e">
        <f t="shared" si="734"/>
        <v>#DIV/0!</v>
      </c>
      <c r="DB34" s="144">
        <f>'прил № 3 (01.01.23)'!HN1342</f>
        <v>0</v>
      </c>
      <c r="DC34" s="225">
        <f t="shared" si="735"/>
        <v>0</v>
      </c>
      <c r="DD34" s="226">
        <f t="shared" si="736"/>
        <v>0</v>
      </c>
      <c r="DE34" s="137">
        <f t="shared" si="737"/>
        <v>0</v>
      </c>
      <c r="DF34" s="227">
        <f t="shared" si="725"/>
        <v>0</v>
      </c>
      <c r="DG34" s="138">
        <f t="shared" si="738"/>
        <v>0</v>
      </c>
      <c r="DH34" s="110">
        <f t="shared" si="739"/>
        <v>0</v>
      </c>
      <c r="DI34" s="110"/>
      <c r="DJ34" s="139"/>
      <c r="DK34" s="140" t="e">
        <f t="shared" si="740"/>
        <v>#DIV/0!</v>
      </c>
      <c r="DL34" s="144">
        <f>'прил № 3 (01.01.23)'!II1342</f>
        <v>0</v>
      </c>
      <c r="DM34" s="225">
        <f t="shared" si="741"/>
        <v>0</v>
      </c>
      <c r="DN34" s="226">
        <f t="shared" si="742"/>
        <v>0</v>
      </c>
      <c r="DO34" s="137">
        <f t="shared" si="743"/>
        <v>0</v>
      </c>
      <c r="DP34" s="227">
        <f t="shared" si="725"/>
        <v>0</v>
      </c>
      <c r="DQ34" s="138">
        <f t="shared" si="744"/>
        <v>0</v>
      </c>
      <c r="DR34" s="110">
        <f t="shared" si="745"/>
        <v>0</v>
      </c>
      <c r="DS34" s="110"/>
      <c r="DT34" s="139"/>
      <c r="DU34" s="140" t="e">
        <f t="shared" si="746"/>
        <v>#DIV/0!</v>
      </c>
      <c r="DV34" s="144">
        <f>'прил № 3 (01.01.23)'!JD1342</f>
        <v>0</v>
      </c>
      <c r="DW34" s="225">
        <f t="shared" si="747"/>
        <v>0</v>
      </c>
      <c r="DX34" s="226">
        <f t="shared" si="748"/>
        <v>0</v>
      </c>
      <c r="DY34" s="137">
        <f t="shared" si="749"/>
        <v>0</v>
      </c>
      <c r="DZ34" s="227">
        <f t="shared" si="725"/>
        <v>0</v>
      </c>
      <c r="EA34" s="138">
        <f t="shared" si="750"/>
        <v>0</v>
      </c>
      <c r="EB34" s="110">
        <f t="shared" si="751"/>
        <v>0</v>
      </c>
      <c r="EC34" s="110"/>
      <c r="ED34" s="139"/>
      <c r="EE34" s="140" t="e">
        <f t="shared" si="752"/>
        <v>#DIV/0!</v>
      </c>
      <c r="EF34" s="144">
        <f>'прил № 3 (01.01.23)'!JY1342</f>
        <v>0</v>
      </c>
      <c r="EG34" s="225">
        <f t="shared" si="753"/>
        <v>0</v>
      </c>
      <c r="EH34" s="226">
        <f t="shared" si="754"/>
        <v>0</v>
      </c>
      <c r="EI34" s="137">
        <f t="shared" si="755"/>
        <v>0</v>
      </c>
      <c r="EJ34" s="227">
        <f t="shared" si="725"/>
        <v>0</v>
      </c>
      <c r="EK34" s="138">
        <f t="shared" si="756"/>
        <v>0</v>
      </c>
      <c r="EL34" s="110">
        <f t="shared" si="757"/>
        <v>0</v>
      </c>
      <c r="EM34" s="110"/>
      <c r="EN34" s="139"/>
      <c r="EO34" s="140" t="e">
        <f t="shared" si="758"/>
        <v>#DIV/0!</v>
      </c>
      <c r="EP34" s="144">
        <f>'прил № 3 (01.01.23)'!KT1342</f>
        <v>0</v>
      </c>
      <c r="EQ34" s="225">
        <f t="shared" si="759"/>
        <v>0</v>
      </c>
      <c r="ER34" s="226">
        <f t="shared" si="760"/>
        <v>0</v>
      </c>
      <c r="ES34" s="137">
        <f t="shared" si="761"/>
        <v>0</v>
      </c>
      <c r="ET34" s="227">
        <f t="shared" si="725"/>
        <v>0</v>
      </c>
      <c r="EU34" s="138">
        <f t="shared" si="762"/>
        <v>0</v>
      </c>
      <c r="EV34" s="110">
        <f t="shared" si="763"/>
        <v>0</v>
      </c>
      <c r="EW34" s="110"/>
      <c r="EX34" s="139"/>
      <c r="EY34" s="140" t="e">
        <f t="shared" si="764"/>
        <v>#DIV/0!</v>
      </c>
      <c r="EZ34" s="144">
        <f>'прил № 3 (01.01.23)'!LO1342</f>
        <v>0</v>
      </c>
      <c r="FA34" s="225">
        <f t="shared" si="765"/>
        <v>0</v>
      </c>
      <c r="FB34" s="226">
        <f t="shared" si="766"/>
        <v>0</v>
      </c>
      <c r="FC34" s="137">
        <f t="shared" si="767"/>
        <v>0</v>
      </c>
      <c r="FD34" s="227">
        <f t="shared" si="768"/>
        <v>9.92</v>
      </c>
      <c r="FE34" s="138">
        <f t="shared" si="769"/>
        <v>0</v>
      </c>
      <c r="FF34" s="110">
        <f t="shared" si="770"/>
        <v>0</v>
      </c>
      <c r="FG34" s="110"/>
      <c r="FH34" s="139"/>
      <c r="FI34" s="140" t="e">
        <f t="shared" si="771"/>
        <v>#DIV/0!</v>
      </c>
      <c r="FJ34" s="144">
        <f>'прил № 3 (01.01.23)'!MJ1342</f>
        <v>0</v>
      </c>
      <c r="FK34" s="225">
        <f t="shared" si="772"/>
        <v>0</v>
      </c>
      <c r="FL34" s="226">
        <f t="shared" si="773"/>
        <v>0</v>
      </c>
      <c r="FM34" s="137">
        <f t="shared" si="774"/>
        <v>0</v>
      </c>
      <c r="FN34" s="227">
        <f t="shared" si="768"/>
        <v>0</v>
      </c>
      <c r="FO34" s="138">
        <f t="shared" si="775"/>
        <v>0</v>
      </c>
      <c r="FP34" s="110">
        <f t="shared" si="776"/>
        <v>0</v>
      </c>
      <c r="FQ34" s="110"/>
      <c r="FR34" s="139"/>
      <c r="FS34" s="140" t="e">
        <f t="shared" si="777"/>
        <v>#DIV/0!</v>
      </c>
      <c r="FT34" s="144">
        <f>'прил № 3 (01.01.23)'!NE1342</f>
        <v>0</v>
      </c>
      <c r="FU34" s="225">
        <f t="shared" si="778"/>
        <v>0</v>
      </c>
      <c r="FV34" s="226">
        <f t="shared" si="779"/>
        <v>0</v>
      </c>
      <c r="FW34" s="137">
        <f t="shared" si="780"/>
        <v>0</v>
      </c>
      <c r="FX34" s="227">
        <f t="shared" si="768"/>
        <v>0</v>
      </c>
      <c r="FY34" s="138">
        <f t="shared" si="781"/>
        <v>0</v>
      </c>
      <c r="FZ34" s="110">
        <f t="shared" si="782"/>
        <v>0</v>
      </c>
      <c r="GA34" s="110"/>
      <c r="GB34" s="139"/>
      <c r="GC34" s="140" t="e">
        <f t="shared" si="783"/>
        <v>#DIV/0!</v>
      </c>
      <c r="GD34" s="144">
        <f>'прил № 3 (01.01.23)'!NZ1342</f>
        <v>0</v>
      </c>
      <c r="GE34" s="225">
        <f t="shared" si="784"/>
        <v>0</v>
      </c>
      <c r="GF34" s="226">
        <f t="shared" si="785"/>
        <v>0</v>
      </c>
      <c r="GG34" s="137">
        <f t="shared" si="786"/>
        <v>0</v>
      </c>
      <c r="GH34" s="227">
        <f t="shared" si="768"/>
        <v>9.92</v>
      </c>
      <c r="GI34" s="138">
        <f t="shared" si="787"/>
        <v>0</v>
      </c>
      <c r="GJ34" s="110">
        <f t="shared" si="788"/>
        <v>0</v>
      </c>
      <c r="GK34" s="110"/>
      <c r="GL34" s="139"/>
      <c r="GM34" s="140" t="e">
        <f t="shared" si="789"/>
        <v>#DIV/0!</v>
      </c>
      <c r="GN34" s="144">
        <f>'прил № 3 (01.01.23)'!OU1342</f>
        <v>0</v>
      </c>
      <c r="GO34" s="225">
        <f t="shared" si="790"/>
        <v>0</v>
      </c>
      <c r="GP34" s="226">
        <f t="shared" si="791"/>
        <v>0</v>
      </c>
      <c r="GQ34" s="137">
        <f t="shared" si="792"/>
        <v>0</v>
      </c>
      <c r="GR34" s="227">
        <f t="shared" si="768"/>
        <v>0</v>
      </c>
      <c r="GS34" s="138">
        <f t="shared" si="793"/>
        <v>0</v>
      </c>
      <c r="GT34" s="110">
        <f t="shared" si="794"/>
        <v>0</v>
      </c>
      <c r="GU34" s="110"/>
      <c r="GV34" s="139"/>
      <c r="GW34" s="140" t="e">
        <f t="shared" si="795"/>
        <v>#DIV/0!</v>
      </c>
      <c r="GX34" s="144">
        <f>'прил № 3 (01.01.23)'!PP1342</f>
        <v>0</v>
      </c>
      <c r="GY34" s="225">
        <f t="shared" si="796"/>
        <v>0</v>
      </c>
      <c r="GZ34" s="226">
        <f t="shared" si="797"/>
        <v>0</v>
      </c>
      <c r="HA34" s="137">
        <f t="shared" si="798"/>
        <v>0</v>
      </c>
      <c r="HB34" s="227">
        <f t="shared" si="768"/>
        <v>9.92</v>
      </c>
      <c r="HC34" s="138">
        <f t="shared" si="799"/>
        <v>0</v>
      </c>
      <c r="HD34" s="110">
        <f t="shared" si="800"/>
        <v>0</v>
      </c>
      <c r="HE34" s="110"/>
      <c r="HF34" s="139"/>
      <c r="HG34" s="140" t="e">
        <f t="shared" si="801"/>
        <v>#DIV/0!</v>
      </c>
      <c r="HH34" s="144">
        <f>'прил № 3 (01.01.23)'!QK1342</f>
        <v>0</v>
      </c>
      <c r="HI34" s="225">
        <f t="shared" si="802"/>
        <v>0</v>
      </c>
      <c r="HJ34" s="226">
        <f t="shared" si="803"/>
        <v>0</v>
      </c>
      <c r="HK34" s="137">
        <f t="shared" si="804"/>
        <v>0</v>
      </c>
      <c r="HL34" s="227">
        <f t="shared" si="768"/>
        <v>0</v>
      </c>
      <c r="HM34" s="138">
        <f t="shared" si="805"/>
        <v>0</v>
      </c>
      <c r="HN34" s="110">
        <f t="shared" si="806"/>
        <v>0</v>
      </c>
      <c r="HO34" s="110"/>
      <c r="HP34" s="139"/>
      <c r="HQ34" s="140" t="e">
        <f t="shared" si="807"/>
        <v>#DIV/0!</v>
      </c>
      <c r="HR34" s="144">
        <f>'прил № 3 (01.01.23)'!RF1342</f>
        <v>0</v>
      </c>
      <c r="HS34" s="225">
        <f t="shared" si="808"/>
        <v>0</v>
      </c>
      <c r="HT34" s="226">
        <f t="shared" si="809"/>
        <v>0</v>
      </c>
      <c r="HU34" s="137">
        <f t="shared" si="810"/>
        <v>0</v>
      </c>
      <c r="HV34" s="227">
        <f t="shared" si="811"/>
        <v>0</v>
      </c>
      <c r="HW34" s="138">
        <f t="shared" si="812"/>
        <v>0</v>
      </c>
      <c r="HX34" s="110">
        <f t="shared" si="813"/>
        <v>0</v>
      </c>
      <c r="HY34" s="110"/>
      <c r="HZ34" s="139"/>
      <c r="IA34" s="140" t="e">
        <f t="shared" si="814"/>
        <v>#DIV/0!</v>
      </c>
      <c r="IB34" s="144">
        <f>'прил № 3 (01.01.23)'!SA1342</f>
        <v>0</v>
      </c>
      <c r="IC34" s="225">
        <f t="shared" si="815"/>
        <v>0</v>
      </c>
      <c r="ID34" s="226">
        <f t="shared" si="816"/>
        <v>0</v>
      </c>
      <c r="IE34" s="137">
        <f t="shared" si="817"/>
        <v>0</v>
      </c>
      <c r="IF34" s="227">
        <f t="shared" si="811"/>
        <v>0</v>
      </c>
      <c r="IG34" s="138">
        <f t="shared" si="818"/>
        <v>0</v>
      </c>
      <c r="IH34" s="110">
        <f t="shared" si="819"/>
        <v>0</v>
      </c>
      <c r="II34" s="110"/>
      <c r="IJ34" s="139"/>
      <c r="IK34" s="140" t="e">
        <f t="shared" si="820"/>
        <v>#DIV/0!</v>
      </c>
      <c r="IL34" s="144">
        <f>'прил № 3 (01.01.23)'!SV1342</f>
        <v>0</v>
      </c>
      <c r="IM34" s="225">
        <f t="shared" si="821"/>
        <v>0</v>
      </c>
      <c r="IN34" s="226">
        <f t="shared" si="822"/>
        <v>0</v>
      </c>
      <c r="IO34" s="137">
        <f t="shared" si="823"/>
        <v>0</v>
      </c>
      <c r="IP34" s="227">
        <f t="shared" si="811"/>
        <v>0</v>
      </c>
      <c r="IQ34" s="138">
        <f t="shared" si="824"/>
        <v>0</v>
      </c>
      <c r="IR34" s="110">
        <f t="shared" si="825"/>
        <v>0</v>
      </c>
      <c r="IS34" s="110"/>
      <c r="IT34" s="139"/>
      <c r="IU34" s="140" t="e">
        <f t="shared" si="826"/>
        <v>#DIV/0!</v>
      </c>
      <c r="IV34" s="144">
        <f>'прил № 3 (01.01.23)'!TQ1342</f>
        <v>0</v>
      </c>
      <c r="IW34" s="225">
        <f t="shared" si="827"/>
        <v>0</v>
      </c>
      <c r="IX34" s="226">
        <f t="shared" si="828"/>
        <v>0</v>
      </c>
      <c r="IY34" s="137">
        <f t="shared" si="829"/>
        <v>0</v>
      </c>
      <c r="IZ34" s="227">
        <f t="shared" si="811"/>
        <v>0</v>
      </c>
      <c r="JA34" s="138">
        <f t="shared" si="830"/>
        <v>0</v>
      </c>
      <c r="JB34" s="110">
        <f t="shared" si="831"/>
        <v>0</v>
      </c>
      <c r="JC34" s="110"/>
      <c r="JD34" s="139"/>
      <c r="JE34" s="140" t="e">
        <f t="shared" si="832"/>
        <v>#DIV/0!</v>
      </c>
      <c r="JF34" s="144">
        <f>'прил № 3 (01.01.23)'!UL1342</f>
        <v>0</v>
      </c>
      <c r="JG34" s="225">
        <f t="shared" si="833"/>
        <v>0</v>
      </c>
      <c r="JH34" s="226">
        <f t="shared" si="834"/>
        <v>0</v>
      </c>
      <c r="JI34" s="137">
        <f t="shared" si="835"/>
        <v>0</v>
      </c>
      <c r="JJ34" s="227">
        <f t="shared" si="811"/>
        <v>0</v>
      </c>
      <c r="JK34" s="138">
        <f t="shared" si="836"/>
        <v>0</v>
      </c>
      <c r="JL34" s="110">
        <f t="shared" si="837"/>
        <v>0</v>
      </c>
      <c r="JM34" s="110"/>
      <c r="JN34" s="139"/>
      <c r="JO34" s="140" t="e">
        <f t="shared" si="838"/>
        <v>#DIV/0!</v>
      </c>
      <c r="JP34" s="144">
        <f>'прил № 3 (01.01.23)'!VG1342</f>
        <v>0</v>
      </c>
      <c r="JQ34" s="225">
        <f t="shared" si="839"/>
        <v>0</v>
      </c>
      <c r="JR34" s="226">
        <f t="shared" si="840"/>
        <v>0</v>
      </c>
      <c r="JS34" s="137">
        <f t="shared" si="841"/>
        <v>0</v>
      </c>
      <c r="JT34" s="227">
        <f t="shared" si="811"/>
        <v>0</v>
      </c>
      <c r="JU34" s="138">
        <f t="shared" si="842"/>
        <v>0</v>
      </c>
      <c r="JV34" s="110">
        <f t="shared" si="843"/>
        <v>0</v>
      </c>
      <c r="JW34" s="110"/>
      <c r="JX34" s="139"/>
      <c r="JY34" s="140" t="e">
        <f t="shared" si="844"/>
        <v>#DIV/0!</v>
      </c>
      <c r="JZ34" s="144">
        <f>'прил № 3 (01.01.23)'!WB1342</f>
        <v>0</v>
      </c>
      <c r="KA34" s="225">
        <f t="shared" si="845"/>
        <v>0</v>
      </c>
      <c r="KB34" s="226">
        <f t="shared" si="846"/>
        <v>0</v>
      </c>
      <c r="KC34" s="137">
        <f t="shared" si="847"/>
        <v>0</v>
      </c>
      <c r="KD34" s="227">
        <f t="shared" si="811"/>
        <v>0</v>
      </c>
      <c r="KE34" s="138">
        <f t="shared" si="848"/>
        <v>0</v>
      </c>
      <c r="KF34" s="110">
        <f t="shared" si="849"/>
        <v>0</v>
      </c>
      <c r="KG34" s="110"/>
      <c r="KH34" s="139"/>
      <c r="KI34" s="140" t="e">
        <f t="shared" si="850"/>
        <v>#DIV/0!</v>
      </c>
      <c r="KJ34" s="144">
        <f>'прил № 3 (01.01.23)'!WW1342</f>
        <v>0</v>
      </c>
      <c r="KK34" s="225">
        <f t="shared" si="851"/>
        <v>0</v>
      </c>
      <c r="KL34" s="226">
        <f t="shared" si="852"/>
        <v>0</v>
      </c>
      <c r="KM34" s="137">
        <f t="shared" si="853"/>
        <v>0</v>
      </c>
      <c r="KN34" s="227">
        <f t="shared" si="854"/>
        <v>0</v>
      </c>
      <c r="KO34" s="138">
        <f t="shared" si="855"/>
        <v>0</v>
      </c>
      <c r="KP34" s="110">
        <f t="shared" si="856"/>
        <v>0</v>
      </c>
      <c r="KQ34" s="110"/>
      <c r="KR34" s="139"/>
      <c r="KS34" s="140" t="e">
        <f t="shared" si="857"/>
        <v>#DIV/0!</v>
      </c>
      <c r="KT34" s="144">
        <f>'прил № 3 (01.01.23)'!XR1342</f>
        <v>0</v>
      </c>
      <c r="KU34" s="225">
        <f t="shared" si="858"/>
        <v>0</v>
      </c>
      <c r="KV34" s="226">
        <f t="shared" si="859"/>
        <v>0</v>
      </c>
      <c r="KW34" s="137">
        <f t="shared" si="860"/>
        <v>0</v>
      </c>
      <c r="KX34" s="227">
        <f t="shared" si="854"/>
        <v>0</v>
      </c>
      <c r="KY34" s="138">
        <f t="shared" si="861"/>
        <v>0</v>
      </c>
      <c r="KZ34" s="110">
        <f t="shared" si="862"/>
        <v>0</v>
      </c>
      <c r="LA34" s="110"/>
      <c r="LB34" s="139"/>
      <c r="LC34" s="140" t="e">
        <f t="shared" si="863"/>
        <v>#DIV/0!</v>
      </c>
      <c r="LD34" s="197">
        <f t="shared" si="484"/>
        <v>0</v>
      </c>
      <c r="LE34" s="225">
        <f t="shared" si="864"/>
        <v>0</v>
      </c>
      <c r="LF34" s="226">
        <f t="shared" si="486"/>
        <v>0</v>
      </c>
      <c r="LG34" s="137">
        <f t="shared" si="487"/>
        <v>0</v>
      </c>
      <c r="LH34" s="227">
        <f t="shared" si="488"/>
        <v>9.92</v>
      </c>
      <c r="LI34" s="138">
        <f t="shared" si="489"/>
        <v>0</v>
      </c>
      <c r="LJ34" s="110">
        <f t="shared" si="490"/>
        <v>0</v>
      </c>
      <c r="LK34" s="110"/>
      <c r="LL34" s="139"/>
    </row>
    <row r="35" spans="1:324" ht="15" customHeight="1" x14ac:dyDescent="0.25">
      <c r="A35" s="246"/>
      <c r="B35" s="12" t="s">
        <v>626</v>
      </c>
      <c r="C35" s="12" t="s">
        <v>728</v>
      </c>
      <c r="D35" s="12" t="s">
        <v>430</v>
      </c>
      <c r="E35" s="4" t="s">
        <v>32</v>
      </c>
      <c r="F35" s="144">
        <f>'прил № 3 (01.01.23)'!L1343</f>
        <v>0</v>
      </c>
      <c r="G35" s="225">
        <f t="shared" si="491"/>
        <v>0</v>
      </c>
      <c r="H35" s="226">
        <f t="shared" si="492"/>
        <v>0</v>
      </c>
      <c r="I35" s="137">
        <f t="shared" si="270"/>
        <v>0</v>
      </c>
      <c r="J35" s="227">
        <f t="shared" si="493"/>
        <v>0</v>
      </c>
      <c r="K35" s="138">
        <f t="shared" si="271"/>
        <v>0</v>
      </c>
      <c r="L35" s="110">
        <f t="shared" si="272"/>
        <v>0</v>
      </c>
      <c r="M35" s="110"/>
      <c r="N35" s="139"/>
      <c r="O35" s="140">
        <f t="shared" si="273"/>
        <v>0</v>
      </c>
      <c r="P35" s="144">
        <f>'прил № 3 (01.01.23)'!AG1343</f>
        <v>0</v>
      </c>
      <c r="Q35" s="225">
        <f t="shared" si="679"/>
        <v>0</v>
      </c>
      <c r="R35" s="226">
        <f t="shared" si="680"/>
        <v>0</v>
      </c>
      <c r="S35" s="137">
        <f t="shared" si="681"/>
        <v>0</v>
      </c>
      <c r="T35" s="227">
        <f t="shared" si="682"/>
        <v>0</v>
      </c>
      <c r="U35" s="138">
        <f t="shared" si="683"/>
        <v>0</v>
      </c>
      <c r="V35" s="110">
        <f t="shared" si="684"/>
        <v>0</v>
      </c>
      <c r="W35" s="110"/>
      <c r="X35" s="139"/>
      <c r="Y35" s="140">
        <f t="shared" si="685"/>
        <v>0</v>
      </c>
      <c r="Z35" s="144">
        <f>'прил № 3 (01.01.23)'!BB1343</f>
        <v>0</v>
      </c>
      <c r="AA35" s="225">
        <f t="shared" si="686"/>
        <v>0</v>
      </c>
      <c r="AB35" s="226">
        <f t="shared" si="687"/>
        <v>0</v>
      </c>
      <c r="AC35" s="137">
        <f t="shared" si="688"/>
        <v>0</v>
      </c>
      <c r="AD35" s="227">
        <f t="shared" si="682"/>
        <v>0</v>
      </c>
      <c r="AE35" s="138">
        <f t="shared" si="689"/>
        <v>0</v>
      </c>
      <c r="AF35" s="110">
        <f t="shared" si="690"/>
        <v>0</v>
      </c>
      <c r="AG35" s="110"/>
      <c r="AH35" s="139"/>
      <c r="AI35" s="140">
        <f t="shared" si="691"/>
        <v>0</v>
      </c>
      <c r="AJ35" s="144">
        <f>'прил № 3 (01.01.23)'!BW1343</f>
        <v>0</v>
      </c>
      <c r="AK35" s="225">
        <f t="shared" si="692"/>
        <v>0</v>
      </c>
      <c r="AL35" s="226">
        <f t="shared" si="693"/>
        <v>0</v>
      </c>
      <c r="AM35" s="137">
        <f t="shared" si="694"/>
        <v>0</v>
      </c>
      <c r="AN35" s="227">
        <f t="shared" si="682"/>
        <v>0</v>
      </c>
      <c r="AO35" s="138">
        <f t="shared" si="695"/>
        <v>0</v>
      </c>
      <c r="AP35" s="110">
        <f t="shared" si="696"/>
        <v>0</v>
      </c>
      <c r="AQ35" s="110"/>
      <c r="AR35" s="139"/>
      <c r="AS35" s="140">
        <f t="shared" si="697"/>
        <v>0</v>
      </c>
      <c r="AT35" s="144">
        <f>'прил № 3 (01.01.23)'!CR1343</f>
        <v>0</v>
      </c>
      <c r="AU35" s="225">
        <f t="shared" si="698"/>
        <v>0</v>
      </c>
      <c r="AV35" s="226">
        <f t="shared" si="699"/>
        <v>0</v>
      </c>
      <c r="AW35" s="137">
        <f t="shared" si="700"/>
        <v>0</v>
      </c>
      <c r="AX35" s="227">
        <f t="shared" si="682"/>
        <v>0</v>
      </c>
      <c r="AY35" s="138">
        <f t="shared" si="701"/>
        <v>0</v>
      </c>
      <c r="AZ35" s="110">
        <f t="shared" si="702"/>
        <v>0</v>
      </c>
      <c r="BA35" s="110"/>
      <c r="BB35" s="139"/>
      <c r="BC35" s="140">
        <f t="shared" si="703"/>
        <v>0</v>
      </c>
      <c r="BD35" s="144">
        <f>'прил № 3 (01.01.23)'!DM1343</f>
        <v>0</v>
      </c>
      <c r="BE35" s="225">
        <f t="shared" si="704"/>
        <v>0</v>
      </c>
      <c r="BF35" s="226">
        <f t="shared" si="705"/>
        <v>0</v>
      </c>
      <c r="BG35" s="137">
        <f t="shared" si="706"/>
        <v>0</v>
      </c>
      <c r="BH35" s="227">
        <f t="shared" si="682"/>
        <v>0</v>
      </c>
      <c r="BI35" s="138">
        <f t="shared" si="707"/>
        <v>0</v>
      </c>
      <c r="BJ35" s="110">
        <f t="shared" si="708"/>
        <v>0</v>
      </c>
      <c r="BK35" s="110"/>
      <c r="BL35" s="139"/>
      <c r="BM35" s="140">
        <f t="shared" si="709"/>
        <v>0</v>
      </c>
      <c r="BN35" s="144">
        <f>'прил № 3 (01.01.23)'!EH1343</f>
        <v>0</v>
      </c>
      <c r="BO35" s="225">
        <f t="shared" si="710"/>
        <v>0</v>
      </c>
      <c r="BP35" s="226">
        <f t="shared" si="711"/>
        <v>0</v>
      </c>
      <c r="BQ35" s="137">
        <f t="shared" si="712"/>
        <v>0</v>
      </c>
      <c r="BR35" s="227">
        <f t="shared" si="682"/>
        <v>0</v>
      </c>
      <c r="BS35" s="138">
        <f t="shared" si="713"/>
        <v>0</v>
      </c>
      <c r="BT35" s="110">
        <f t="shared" si="714"/>
        <v>0</v>
      </c>
      <c r="BU35" s="110"/>
      <c r="BV35" s="139"/>
      <c r="BW35" s="140">
        <f t="shared" si="715"/>
        <v>0</v>
      </c>
      <c r="BX35" s="144">
        <f>'прил № 3 (01.01.23)'!FC1343</f>
        <v>0</v>
      </c>
      <c r="BY35" s="225">
        <f t="shared" si="716"/>
        <v>0</v>
      </c>
      <c r="BZ35" s="226">
        <f t="shared" si="717"/>
        <v>0</v>
      </c>
      <c r="CA35" s="137">
        <f t="shared" si="718"/>
        <v>0</v>
      </c>
      <c r="CB35" s="227">
        <f t="shared" si="682"/>
        <v>0</v>
      </c>
      <c r="CC35" s="138">
        <f t="shared" si="719"/>
        <v>0</v>
      </c>
      <c r="CD35" s="110">
        <f t="shared" si="720"/>
        <v>0</v>
      </c>
      <c r="CE35" s="110"/>
      <c r="CF35" s="139"/>
      <c r="CG35" s="140">
        <f t="shared" si="721"/>
        <v>0</v>
      </c>
      <c r="CH35" s="144">
        <f>'прил № 3 (01.01.23)'!FX1343</f>
        <v>0</v>
      </c>
      <c r="CI35" s="225">
        <f t="shared" si="722"/>
        <v>0</v>
      </c>
      <c r="CJ35" s="226">
        <f t="shared" si="723"/>
        <v>0</v>
      </c>
      <c r="CK35" s="137">
        <f t="shared" si="724"/>
        <v>0</v>
      </c>
      <c r="CL35" s="227">
        <f t="shared" si="725"/>
        <v>0</v>
      </c>
      <c r="CM35" s="138">
        <f t="shared" si="726"/>
        <v>0</v>
      </c>
      <c r="CN35" s="110">
        <f t="shared" si="727"/>
        <v>0</v>
      </c>
      <c r="CO35" s="110"/>
      <c r="CP35" s="139"/>
      <c r="CQ35" s="140">
        <f t="shared" si="728"/>
        <v>0</v>
      </c>
      <c r="CR35" s="144">
        <f>'прил № 3 (01.01.23)'!GS1343</f>
        <v>1</v>
      </c>
      <c r="CS35" s="225">
        <f t="shared" si="729"/>
        <v>1.34E-3</v>
      </c>
      <c r="CT35" s="226">
        <f t="shared" si="730"/>
        <v>0</v>
      </c>
      <c r="CU35" s="137">
        <f t="shared" si="731"/>
        <v>0</v>
      </c>
      <c r="CV35" s="227">
        <f t="shared" si="725"/>
        <v>0</v>
      </c>
      <c r="CW35" s="138">
        <f t="shared" si="732"/>
        <v>0</v>
      </c>
      <c r="CX35" s="110">
        <f t="shared" si="733"/>
        <v>0</v>
      </c>
      <c r="CY35" s="110"/>
      <c r="CZ35" s="139"/>
      <c r="DA35" s="140">
        <f t="shared" si="734"/>
        <v>0</v>
      </c>
      <c r="DB35" s="144">
        <f>'прил № 3 (01.01.23)'!HN1343</f>
        <v>1</v>
      </c>
      <c r="DC35" s="225">
        <f t="shared" si="735"/>
        <v>1.2099999999999999E-3</v>
      </c>
      <c r="DD35" s="226">
        <f t="shared" si="736"/>
        <v>0</v>
      </c>
      <c r="DE35" s="137">
        <f t="shared" si="737"/>
        <v>0</v>
      </c>
      <c r="DF35" s="227">
        <f t="shared" si="725"/>
        <v>0</v>
      </c>
      <c r="DG35" s="138">
        <f t="shared" si="738"/>
        <v>0</v>
      </c>
      <c r="DH35" s="110">
        <f t="shared" si="739"/>
        <v>0</v>
      </c>
      <c r="DI35" s="110"/>
      <c r="DJ35" s="139"/>
      <c r="DK35" s="140">
        <f t="shared" si="740"/>
        <v>0</v>
      </c>
      <c r="DL35" s="144">
        <f>'прил № 3 (01.01.23)'!II1343</f>
        <v>0</v>
      </c>
      <c r="DM35" s="225">
        <f t="shared" si="741"/>
        <v>0</v>
      </c>
      <c r="DN35" s="226">
        <f t="shared" si="742"/>
        <v>0</v>
      </c>
      <c r="DO35" s="137">
        <f t="shared" si="743"/>
        <v>0</v>
      </c>
      <c r="DP35" s="227">
        <f t="shared" si="725"/>
        <v>0</v>
      </c>
      <c r="DQ35" s="138">
        <f t="shared" si="744"/>
        <v>0</v>
      </c>
      <c r="DR35" s="110">
        <f t="shared" si="745"/>
        <v>0</v>
      </c>
      <c r="DS35" s="110"/>
      <c r="DT35" s="139"/>
      <c r="DU35" s="140">
        <f t="shared" si="746"/>
        <v>0</v>
      </c>
      <c r="DV35" s="144">
        <f>'прил № 3 (01.01.23)'!JD1343</f>
        <v>0</v>
      </c>
      <c r="DW35" s="225">
        <f t="shared" si="747"/>
        <v>0</v>
      </c>
      <c r="DX35" s="226">
        <f t="shared" si="748"/>
        <v>0</v>
      </c>
      <c r="DY35" s="137">
        <f t="shared" si="749"/>
        <v>0</v>
      </c>
      <c r="DZ35" s="227">
        <f t="shared" si="725"/>
        <v>0</v>
      </c>
      <c r="EA35" s="138">
        <f t="shared" si="750"/>
        <v>0</v>
      </c>
      <c r="EB35" s="110">
        <f t="shared" si="751"/>
        <v>0</v>
      </c>
      <c r="EC35" s="110"/>
      <c r="ED35" s="139"/>
      <c r="EE35" s="140">
        <f t="shared" si="752"/>
        <v>0</v>
      </c>
      <c r="EF35" s="144">
        <f>'прил № 3 (01.01.23)'!JY1343</f>
        <v>0</v>
      </c>
      <c r="EG35" s="225">
        <f t="shared" si="753"/>
        <v>0</v>
      </c>
      <c r="EH35" s="226">
        <f t="shared" si="754"/>
        <v>0</v>
      </c>
      <c r="EI35" s="137">
        <f t="shared" si="755"/>
        <v>0</v>
      </c>
      <c r="EJ35" s="227">
        <f t="shared" si="725"/>
        <v>0</v>
      </c>
      <c r="EK35" s="138">
        <f t="shared" si="756"/>
        <v>0</v>
      </c>
      <c r="EL35" s="110">
        <f t="shared" si="757"/>
        <v>0</v>
      </c>
      <c r="EM35" s="110"/>
      <c r="EN35" s="139"/>
      <c r="EO35" s="140">
        <f t="shared" si="758"/>
        <v>0</v>
      </c>
      <c r="EP35" s="144">
        <f>'прил № 3 (01.01.23)'!KT1343</f>
        <v>0</v>
      </c>
      <c r="EQ35" s="225">
        <f t="shared" si="759"/>
        <v>0</v>
      </c>
      <c r="ER35" s="226">
        <f t="shared" si="760"/>
        <v>0</v>
      </c>
      <c r="ES35" s="137">
        <f t="shared" si="761"/>
        <v>0</v>
      </c>
      <c r="ET35" s="227">
        <f t="shared" si="725"/>
        <v>0</v>
      </c>
      <c r="EU35" s="138">
        <f t="shared" si="762"/>
        <v>0</v>
      </c>
      <c r="EV35" s="110">
        <f t="shared" si="763"/>
        <v>0</v>
      </c>
      <c r="EW35" s="110"/>
      <c r="EX35" s="139"/>
      <c r="EY35" s="140">
        <f t="shared" si="764"/>
        <v>0</v>
      </c>
      <c r="EZ35" s="144">
        <f>'прил № 3 (01.01.23)'!LO1343</f>
        <v>0</v>
      </c>
      <c r="FA35" s="225">
        <f t="shared" si="765"/>
        <v>0</v>
      </c>
      <c r="FB35" s="226">
        <f t="shared" si="766"/>
        <v>0</v>
      </c>
      <c r="FC35" s="137">
        <f t="shared" si="767"/>
        <v>0</v>
      </c>
      <c r="FD35" s="227">
        <f t="shared" si="768"/>
        <v>9.92</v>
      </c>
      <c r="FE35" s="138">
        <f t="shared" si="769"/>
        <v>0</v>
      </c>
      <c r="FF35" s="110">
        <f t="shared" si="770"/>
        <v>0</v>
      </c>
      <c r="FG35" s="110"/>
      <c r="FH35" s="139"/>
      <c r="FI35" s="140">
        <f t="shared" si="771"/>
        <v>0</v>
      </c>
      <c r="FJ35" s="144">
        <f>'прил № 3 (01.01.23)'!MJ1343</f>
        <v>0</v>
      </c>
      <c r="FK35" s="225">
        <f t="shared" si="772"/>
        <v>0</v>
      </c>
      <c r="FL35" s="226">
        <f t="shared" si="773"/>
        <v>0</v>
      </c>
      <c r="FM35" s="137">
        <f t="shared" si="774"/>
        <v>0</v>
      </c>
      <c r="FN35" s="227">
        <f t="shared" si="768"/>
        <v>0</v>
      </c>
      <c r="FO35" s="138">
        <f t="shared" si="775"/>
        <v>0</v>
      </c>
      <c r="FP35" s="110">
        <f t="shared" si="776"/>
        <v>0</v>
      </c>
      <c r="FQ35" s="110"/>
      <c r="FR35" s="139"/>
      <c r="FS35" s="140">
        <f t="shared" si="777"/>
        <v>0</v>
      </c>
      <c r="FT35" s="144">
        <f>'прил № 3 (01.01.23)'!NE1343</f>
        <v>1</v>
      </c>
      <c r="FU35" s="225">
        <f t="shared" si="778"/>
        <v>1.25E-3</v>
      </c>
      <c r="FV35" s="226">
        <f t="shared" si="779"/>
        <v>0</v>
      </c>
      <c r="FW35" s="137">
        <f t="shared" si="780"/>
        <v>0</v>
      </c>
      <c r="FX35" s="227">
        <f t="shared" si="768"/>
        <v>0</v>
      </c>
      <c r="FY35" s="138">
        <f t="shared" si="781"/>
        <v>0</v>
      </c>
      <c r="FZ35" s="110">
        <f t="shared" si="782"/>
        <v>0</v>
      </c>
      <c r="GA35" s="110"/>
      <c r="GB35" s="139"/>
      <c r="GC35" s="140">
        <f t="shared" si="783"/>
        <v>0</v>
      </c>
      <c r="GD35" s="144">
        <f>'прил № 3 (01.01.23)'!NZ1343</f>
        <v>0</v>
      </c>
      <c r="GE35" s="225">
        <f t="shared" si="784"/>
        <v>0</v>
      </c>
      <c r="GF35" s="226">
        <f t="shared" si="785"/>
        <v>0</v>
      </c>
      <c r="GG35" s="137">
        <f t="shared" si="786"/>
        <v>0</v>
      </c>
      <c r="GH35" s="227">
        <f t="shared" si="768"/>
        <v>9.92</v>
      </c>
      <c r="GI35" s="138">
        <f t="shared" si="787"/>
        <v>0</v>
      </c>
      <c r="GJ35" s="110">
        <f t="shared" si="788"/>
        <v>0</v>
      </c>
      <c r="GK35" s="110"/>
      <c r="GL35" s="139"/>
      <c r="GM35" s="140">
        <f t="shared" si="789"/>
        <v>0</v>
      </c>
      <c r="GN35" s="144">
        <f>'прил № 3 (01.01.23)'!OU1343</f>
        <v>0</v>
      </c>
      <c r="GO35" s="225">
        <f t="shared" si="790"/>
        <v>0</v>
      </c>
      <c r="GP35" s="226">
        <f t="shared" si="791"/>
        <v>0</v>
      </c>
      <c r="GQ35" s="137">
        <f t="shared" si="792"/>
        <v>0</v>
      </c>
      <c r="GR35" s="227">
        <f t="shared" si="768"/>
        <v>0</v>
      </c>
      <c r="GS35" s="138">
        <f t="shared" si="793"/>
        <v>0</v>
      </c>
      <c r="GT35" s="110">
        <f t="shared" si="794"/>
        <v>0</v>
      </c>
      <c r="GU35" s="110"/>
      <c r="GV35" s="139"/>
      <c r="GW35" s="140">
        <f t="shared" si="795"/>
        <v>0</v>
      </c>
      <c r="GX35" s="144">
        <f>'прил № 3 (01.01.23)'!PP1343</f>
        <v>1</v>
      </c>
      <c r="GY35" s="225">
        <f t="shared" si="796"/>
        <v>6.2E-4</v>
      </c>
      <c r="GZ35" s="226">
        <f t="shared" si="797"/>
        <v>67.08</v>
      </c>
      <c r="HA35" s="137">
        <f t="shared" si="798"/>
        <v>67.08</v>
      </c>
      <c r="HB35" s="227">
        <f t="shared" si="768"/>
        <v>9.92</v>
      </c>
      <c r="HC35" s="138">
        <f t="shared" si="799"/>
        <v>665.43359999999996</v>
      </c>
      <c r="HD35" s="110">
        <f t="shared" si="800"/>
        <v>665.43</v>
      </c>
      <c r="HE35" s="110"/>
      <c r="HF35" s="139"/>
      <c r="HG35" s="140">
        <f t="shared" si="801"/>
        <v>8.1112500000000001</v>
      </c>
      <c r="HH35" s="144">
        <f>'прил № 3 (01.01.23)'!QK1343</f>
        <v>1</v>
      </c>
      <c r="HI35" s="225">
        <f t="shared" si="802"/>
        <v>8.7000000000000001E-4</v>
      </c>
      <c r="HJ35" s="226">
        <f t="shared" si="803"/>
        <v>0</v>
      </c>
      <c r="HK35" s="137">
        <f t="shared" si="804"/>
        <v>0</v>
      </c>
      <c r="HL35" s="227">
        <f t="shared" si="768"/>
        <v>0</v>
      </c>
      <c r="HM35" s="138">
        <f t="shared" si="805"/>
        <v>0</v>
      </c>
      <c r="HN35" s="110">
        <f t="shared" si="806"/>
        <v>0</v>
      </c>
      <c r="HO35" s="110"/>
      <c r="HP35" s="139"/>
      <c r="HQ35" s="140">
        <f t="shared" si="807"/>
        <v>0</v>
      </c>
      <c r="HR35" s="144">
        <f>'прил № 3 (01.01.23)'!RF1343</f>
        <v>0</v>
      </c>
      <c r="HS35" s="225">
        <f t="shared" si="808"/>
        <v>0</v>
      </c>
      <c r="HT35" s="226">
        <f t="shared" si="809"/>
        <v>0</v>
      </c>
      <c r="HU35" s="137">
        <f t="shared" si="810"/>
        <v>0</v>
      </c>
      <c r="HV35" s="227">
        <f t="shared" si="811"/>
        <v>0</v>
      </c>
      <c r="HW35" s="138">
        <f t="shared" si="812"/>
        <v>0</v>
      </c>
      <c r="HX35" s="110">
        <f t="shared" si="813"/>
        <v>0</v>
      </c>
      <c r="HY35" s="110"/>
      <c r="HZ35" s="139"/>
      <c r="IA35" s="140">
        <f t="shared" si="814"/>
        <v>0</v>
      </c>
      <c r="IB35" s="144">
        <f>'прил № 3 (01.01.23)'!SA1343</f>
        <v>0</v>
      </c>
      <c r="IC35" s="225">
        <f t="shared" si="815"/>
        <v>0</v>
      </c>
      <c r="ID35" s="226">
        <f t="shared" si="816"/>
        <v>0</v>
      </c>
      <c r="IE35" s="137">
        <f t="shared" si="817"/>
        <v>0</v>
      </c>
      <c r="IF35" s="227">
        <f t="shared" si="811"/>
        <v>0</v>
      </c>
      <c r="IG35" s="138">
        <f t="shared" si="818"/>
        <v>0</v>
      </c>
      <c r="IH35" s="110">
        <f t="shared" si="819"/>
        <v>0</v>
      </c>
      <c r="II35" s="110"/>
      <c r="IJ35" s="139"/>
      <c r="IK35" s="140">
        <f t="shared" si="820"/>
        <v>0</v>
      </c>
      <c r="IL35" s="144">
        <f>'прил № 3 (01.01.23)'!SV1343</f>
        <v>1</v>
      </c>
      <c r="IM35" s="225">
        <f t="shared" si="821"/>
        <v>7.9000000000000001E-4</v>
      </c>
      <c r="IN35" s="226">
        <f t="shared" si="822"/>
        <v>0</v>
      </c>
      <c r="IO35" s="137">
        <f t="shared" si="823"/>
        <v>0</v>
      </c>
      <c r="IP35" s="227">
        <f t="shared" si="811"/>
        <v>0</v>
      </c>
      <c r="IQ35" s="138">
        <f t="shared" si="824"/>
        <v>0</v>
      </c>
      <c r="IR35" s="110">
        <f t="shared" si="825"/>
        <v>0</v>
      </c>
      <c r="IS35" s="110"/>
      <c r="IT35" s="139"/>
      <c r="IU35" s="140">
        <f t="shared" si="826"/>
        <v>0</v>
      </c>
      <c r="IV35" s="144">
        <f>'прил № 3 (01.01.23)'!TQ1343</f>
        <v>0</v>
      </c>
      <c r="IW35" s="225">
        <f t="shared" si="827"/>
        <v>0</v>
      </c>
      <c r="IX35" s="226">
        <f t="shared" si="828"/>
        <v>0</v>
      </c>
      <c r="IY35" s="137">
        <f t="shared" si="829"/>
        <v>0</v>
      </c>
      <c r="IZ35" s="227">
        <f t="shared" si="811"/>
        <v>0</v>
      </c>
      <c r="JA35" s="138">
        <f t="shared" si="830"/>
        <v>0</v>
      </c>
      <c r="JB35" s="110">
        <f t="shared" si="831"/>
        <v>0</v>
      </c>
      <c r="JC35" s="110"/>
      <c r="JD35" s="139"/>
      <c r="JE35" s="140">
        <f t="shared" si="832"/>
        <v>0</v>
      </c>
      <c r="JF35" s="144">
        <f>'прил № 3 (01.01.23)'!UL1343</f>
        <v>0</v>
      </c>
      <c r="JG35" s="225">
        <f t="shared" si="833"/>
        <v>0</v>
      </c>
      <c r="JH35" s="226">
        <f t="shared" si="834"/>
        <v>0</v>
      </c>
      <c r="JI35" s="137">
        <f t="shared" si="835"/>
        <v>0</v>
      </c>
      <c r="JJ35" s="227">
        <f t="shared" si="811"/>
        <v>0</v>
      </c>
      <c r="JK35" s="138">
        <f t="shared" si="836"/>
        <v>0</v>
      </c>
      <c r="JL35" s="110">
        <f t="shared" si="837"/>
        <v>0</v>
      </c>
      <c r="JM35" s="110"/>
      <c r="JN35" s="139"/>
      <c r="JO35" s="140">
        <f t="shared" si="838"/>
        <v>0</v>
      </c>
      <c r="JP35" s="144">
        <f>'прил № 3 (01.01.23)'!VG1343</f>
        <v>0</v>
      </c>
      <c r="JQ35" s="225">
        <f t="shared" si="839"/>
        <v>0</v>
      </c>
      <c r="JR35" s="226">
        <f t="shared" si="840"/>
        <v>0</v>
      </c>
      <c r="JS35" s="137">
        <f t="shared" si="841"/>
        <v>0</v>
      </c>
      <c r="JT35" s="227">
        <f t="shared" si="811"/>
        <v>0</v>
      </c>
      <c r="JU35" s="138">
        <f t="shared" si="842"/>
        <v>0</v>
      </c>
      <c r="JV35" s="110">
        <f t="shared" si="843"/>
        <v>0</v>
      </c>
      <c r="JW35" s="110"/>
      <c r="JX35" s="139"/>
      <c r="JY35" s="140">
        <f t="shared" si="844"/>
        <v>0</v>
      </c>
      <c r="JZ35" s="144">
        <f>'прил № 3 (01.01.23)'!WB1343</f>
        <v>0</v>
      </c>
      <c r="KA35" s="225">
        <f t="shared" si="845"/>
        <v>0</v>
      </c>
      <c r="KB35" s="226">
        <f t="shared" si="846"/>
        <v>0</v>
      </c>
      <c r="KC35" s="137">
        <f t="shared" si="847"/>
        <v>0</v>
      </c>
      <c r="KD35" s="227">
        <f t="shared" si="811"/>
        <v>0</v>
      </c>
      <c r="KE35" s="138">
        <f t="shared" si="848"/>
        <v>0</v>
      </c>
      <c r="KF35" s="110">
        <f t="shared" si="849"/>
        <v>0</v>
      </c>
      <c r="KG35" s="110"/>
      <c r="KH35" s="139"/>
      <c r="KI35" s="140">
        <f t="shared" si="850"/>
        <v>0</v>
      </c>
      <c r="KJ35" s="144">
        <f>'прил № 3 (01.01.23)'!WW1343</f>
        <v>0</v>
      </c>
      <c r="KK35" s="225">
        <f t="shared" si="851"/>
        <v>0</v>
      </c>
      <c r="KL35" s="226">
        <f t="shared" si="852"/>
        <v>0</v>
      </c>
      <c r="KM35" s="137">
        <f t="shared" si="853"/>
        <v>0</v>
      </c>
      <c r="KN35" s="227">
        <f t="shared" si="854"/>
        <v>0</v>
      </c>
      <c r="KO35" s="138">
        <f t="shared" si="855"/>
        <v>0</v>
      </c>
      <c r="KP35" s="110">
        <f t="shared" si="856"/>
        <v>0</v>
      </c>
      <c r="KQ35" s="110"/>
      <c r="KR35" s="139"/>
      <c r="KS35" s="140">
        <f t="shared" si="857"/>
        <v>0</v>
      </c>
      <c r="KT35" s="144">
        <f>'прил № 3 (01.01.23)'!XR1343</f>
        <v>0</v>
      </c>
      <c r="KU35" s="225">
        <f t="shared" si="858"/>
        <v>0</v>
      </c>
      <c r="KV35" s="226">
        <f t="shared" si="859"/>
        <v>0</v>
      </c>
      <c r="KW35" s="137">
        <f t="shared" si="860"/>
        <v>0</v>
      </c>
      <c r="KX35" s="227">
        <f t="shared" si="854"/>
        <v>0</v>
      </c>
      <c r="KY35" s="138">
        <f t="shared" si="861"/>
        <v>0</v>
      </c>
      <c r="KZ35" s="110">
        <f t="shared" si="862"/>
        <v>0</v>
      </c>
      <c r="LA35" s="110"/>
      <c r="LB35" s="139"/>
      <c r="LC35" s="140">
        <f t="shared" si="863"/>
        <v>0</v>
      </c>
      <c r="LD35" s="197">
        <f t="shared" si="484"/>
        <v>6</v>
      </c>
      <c r="LE35" s="225">
        <f t="shared" si="864"/>
        <v>2.1000000000000001E-4</v>
      </c>
      <c r="LF35" s="226">
        <f t="shared" si="486"/>
        <v>49.62</v>
      </c>
      <c r="LG35" s="137">
        <f t="shared" si="487"/>
        <v>8.27</v>
      </c>
      <c r="LH35" s="227">
        <f t="shared" si="488"/>
        <v>9.92</v>
      </c>
      <c r="LI35" s="138">
        <f t="shared" si="489"/>
        <v>82.038399999999996</v>
      </c>
      <c r="LJ35" s="110">
        <f t="shared" si="490"/>
        <v>492.23</v>
      </c>
      <c r="LK35" s="110"/>
      <c r="LL35" s="139"/>
    </row>
    <row r="36" spans="1:324" ht="15" customHeight="1" x14ac:dyDescent="0.25">
      <c r="A36" s="246"/>
      <c r="B36" s="12" t="s">
        <v>627</v>
      </c>
      <c r="C36" s="12" t="s">
        <v>728</v>
      </c>
      <c r="D36" s="12" t="s">
        <v>430</v>
      </c>
      <c r="E36" s="4" t="s">
        <v>32</v>
      </c>
      <c r="F36" s="144">
        <f>'прил № 3 (01.01.23)'!L1344</f>
        <v>0</v>
      </c>
      <c r="G36" s="225">
        <f t="shared" si="491"/>
        <v>0</v>
      </c>
      <c r="H36" s="226">
        <f t="shared" si="492"/>
        <v>0</v>
      </c>
      <c r="I36" s="137">
        <f t="shared" si="270"/>
        <v>0</v>
      </c>
      <c r="J36" s="227">
        <f t="shared" si="493"/>
        <v>0</v>
      </c>
      <c r="K36" s="138">
        <f t="shared" si="271"/>
        <v>0</v>
      </c>
      <c r="L36" s="110">
        <f t="shared" si="272"/>
        <v>0</v>
      </c>
      <c r="M36" s="110"/>
      <c r="N36" s="139"/>
      <c r="O36" s="140">
        <f t="shared" si="273"/>
        <v>0</v>
      </c>
      <c r="P36" s="144">
        <f>'прил № 3 (01.01.23)'!AG1344</f>
        <v>0</v>
      </c>
      <c r="Q36" s="225">
        <f t="shared" si="679"/>
        <v>0</v>
      </c>
      <c r="R36" s="226">
        <f t="shared" si="680"/>
        <v>0</v>
      </c>
      <c r="S36" s="137">
        <f t="shared" si="681"/>
        <v>0</v>
      </c>
      <c r="T36" s="227">
        <f t="shared" si="682"/>
        <v>0</v>
      </c>
      <c r="U36" s="138">
        <f t="shared" si="683"/>
        <v>0</v>
      </c>
      <c r="V36" s="110">
        <f t="shared" si="684"/>
        <v>0</v>
      </c>
      <c r="W36" s="110"/>
      <c r="X36" s="139"/>
      <c r="Y36" s="140">
        <f t="shared" si="685"/>
        <v>0</v>
      </c>
      <c r="Z36" s="144">
        <f>'прил № 3 (01.01.23)'!BB1344</f>
        <v>0</v>
      </c>
      <c r="AA36" s="225">
        <f t="shared" si="686"/>
        <v>0</v>
      </c>
      <c r="AB36" s="226">
        <f t="shared" si="687"/>
        <v>0</v>
      </c>
      <c r="AC36" s="137">
        <f t="shared" si="688"/>
        <v>0</v>
      </c>
      <c r="AD36" s="227">
        <f t="shared" si="682"/>
        <v>0</v>
      </c>
      <c r="AE36" s="138">
        <f t="shared" si="689"/>
        <v>0</v>
      </c>
      <c r="AF36" s="110">
        <f t="shared" si="690"/>
        <v>0</v>
      </c>
      <c r="AG36" s="110"/>
      <c r="AH36" s="139"/>
      <c r="AI36" s="140">
        <f t="shared" si="691"/>
        <v>0</v>
      </c>
      <c r="AJ36" s="144">
        <f>'прил № 3 (01.01.23)'!BW1344</f>
        <v>0</v>
      </c>
      <c r="AK36" s="225">
        <f t="shared" si="692"/>
        <v>0</v>
      </c>
      <c r="AL36" s="226">
        <f t="shared" si="693"/>
        <v>0</v>
      </c>
      <c r="AM36" s="137">
        <f t="shared" si="694"/>
        <v>0</v>
      </c>
      <c r="AN36" s="227">
        <f t="shared" si="682"/>
        <v>0</v>
      </c>
      <c r="AO36" s="138">
        <f t="shared" si="695"/>
        <v>0</v>
      </c>
      <c r="AP36" s="110">
        <f t="shared" si="696"/>
        <v>0</v>
      </c>
      <c r="AQ36" s="110"/>
      <c r="AR36" s="139"/>
      <c r="AS36" s="140">
        <f t="shared" si="697"/>
        <v>0</v>
      </c>
      <c r="AT36" s="144">
        <f>'прил № 3 (01.01.23)'!CR1344</f>
        <v>1</v>
      </c>
      <c r="AU36" s="225">
        <f t="shared" si="698"/>
        <v>1.0499999999999999E-3</v>
      </c>
      <c r="AV36" s="226">
        <f t="shared" si="699"/>
        <v>0</v>
      </c>
      <c r="AW36" s="137">
        <f t="shared" si="700"/>
        <v>0</v>
      </c>
      <c r="AX36" s="227">
        <f t="shared" si="682"/>
        <v>0</v>
      </c>
      <c r="AY36" s="138">
        <f t="shared" si="701"/>
        <v>0</v>
      </c>
      <c r="AZ36" s="110">
        <f t="shared" si="702"/>
        <v>0</v>
      </c>
      <c r="BA36" s="110"/>
      <c r="BB36" s="139"/>
      <c r="BC36" s="140">
        <f t="shared" si="703"/>
        <v>0</v>
      </c>
      <c r="BD36" s="144">
        <f>'прил № 3 (01.01.23)'!DM1344</f>
        <v>0</v>
      </c>
      <c r="BE36" s="225">
        <f t="shared" si="704"/>
        <v>0</v>
      </c>
      <c r="BF36" s="226">
        <f t="shared" si="705"/>
        <v>0</v>
      </c>
      <c r="BG36" s="137">
        <f t="shared" si="706"/>
        <v>0</v>
      </c>
      <c r="BH36" s="227">
        <f t="shared" si="682"/>
        <v>0</v>
      </c>
      <c r="BI36" s="138">
        <f t="shared" si="707"/>
        <v>0</v>
      </c>
      <c r="BJ36" s="110">
        <f t="shared" si="708"/>
        <v>0</v>
      </c>
      <c r="BK36" s="110"/>
      <c r="BL36" s="139"/>
      <c r="BM36" s="140">
        <f t="shared" si="709"/>
        <v>0</v>
      </c>
      <c r="BN36" s="144">
        <f>'прил № 3 (01.01.23)'!EH1344</f>
        <v>0</v>
      </c>
      <c r="BO36" s="225">
        <f t="shared" si="710"/>
        <v>0</v>
      </c>
      <c r="BP36" s="226">
        <f t="shared" si="711"/>
        <v>0</v>
      </c>
      <c r="BQ36" s="137">
        <f t="shared" si="712"/>
        <v>0</v>
      </c>
      <c r="BR36" s="227">
        <f t="shared" si="682"/>
        <v>0</v>
      </c>
      <c r="BS36" s="138">
        <f t="shared" si="713"/>
        <v>0</v>
      </c>
      <c r="BT36" s="110">
        <f t="shared" si="714"/>
        <v>0</v>
      </c>
      <c r="BU36" s="110"/>
      <c r="BV36" s="139"/>
      <c r="BW36" s="140">
        <f t="shared" si="715"/>
        <v>0</v>
      </c>
      <c r="BX36" s="144">
        <f>'прил № 3 (01.01.23)'!FC1344</f>
        <v>0</v>
      </c>
      <c r="BY36" s="225">
        <f t="shared" si="716"/>
        <v>0</v>
      </c>
      <c r="BZ36" s="226">
        <f t="shared" si="717"/>
        <v>0</v>
      </c>
      <c r="CA36" s="137">
        <f t="shared" si="718"/>
        <v>0</v>
      </c>
      <c r="CB36" s="227">
        <f t="shared" si="682"/>
        <v>0</v>
      </c>
      <c r="CC36" s="138">
        <f t="shared" si="719"/>
        <v>0</v>
      </c>
      <c r="CD36" s="110">
        <f t="shared" si="720"/>
        <v>0</v>
      </c>
      <c r="CE36" s="110"/>
      <c r="CF36" s="139"/>
      <c r="CG36" s="140">
        <f t="shared" si="721"/>
        <v>0</v>
      </c>
      <c r="CH36" s="144">
        <f>'прил № 3 (01.01.23)'!FX1344</f>
        <v>0</v>
      </c>
      <c r="CI36" s="225">
        <f t="shared" si="722"/>
        <v>0</v>
      </c>
      <c r="CJ36" s="226">
        <f t="shared" si="723"/>
        <v>0</v>
      </c>
      <c r="CK36" s="137">
        <f t="shared" si="724"/>
        <v>0</v>
      </c>
      <c r="CL36" s="227">
        <f t="shared" si="725"/>
        <v>0</v>
      </c>
      <c r="CM36" s="138">
        <f t="shared" si="726"/>
        <v>0</v>
      </c>
      <c r="CN36" s="110">
        <f t="shared" si="727"/>
        <v>0</v>
      </c>
      <c r="CO36" s="110"/>
      <c r="CP36" s="139"/>
      <c r="CQ36" s="140">
        <f t="shared" si="728"/>
        <v>0</v>
      </c>
      <c r="CR36" s="144">
        <f>'прил № 3 (01.01.23)'!GS1344</f>
        <v>0</v>
      </c>
      <c r="CS36" s="225">
        <f t="shared" si="729"/>
        <v>0</v>
      </c>
      <c r="CT36" s="226">
        <f t="shared" si="730"/>
        <v>0</v>
      </c>
      <c r="CU36" s="137">
        <f t="shared" si="731"/>
        <v>0</v>
      </c>
      <c r="CV36" s="227">
        <f t="shared" si="725"/>
        <v>0</v>
      </c>
      <c r="CW36" s="138">
        <f t="shared" si="732"/>
        <v>0</v>
      </c>
      <c r="CX36" s="110">
        <f t="shared" si="733"/>
        <v>0</v>
      </c>
      <c r="CY36" s="110"/>
      <c r="CZ36" s="139"/>
      <c r="DA36" s="140">
        <f t="shared" si="734"/>
        <v>0</v>
      </c>
      <c r="DB36" s="144">
        <f>'прил № 3 (01.01.23)'!HN1344</f>
        <v>0</v>
      </c>
      <c r="DC36" s="225">
        <f t="shared" si="735"/>
        <v>0</v>
      </c>
      <c r="DD36" s="226">
        <f t="shared" si="736"/>
        <v>0</v>
      </c>
      <c r="DE36" s="137">
        <f t="shared" si="737"/>
        <v>0</v>
      </c>
      <c r="DF36" s="227">
        <f t="shared" si="725"/>
        <v>0</v>
      </c>
      <c r="DG36" s="138">
        <f t="shared" si="738"/>
        <v>0</v>
      </c>
      <c r="DH36" s="110">
        <f t="shared" si="739"/>
        <v>0</v>
      </c>
      <c r="DI36" s="110"/>
      <c r="DJ36" s="139"/>
      <c r="DK36" s="140">
        <f t="shared" si="740"/>
        <v>0</v>
      </c>
      <c r="DL36" s="144">
        <f>'прил № 3 (01.01.23)'!II1344</f>
        <v>0</v>
      </c>
      <c r="DM36" s="225">
        <f t="shared" si="741"/>
        <v>0</v>
      </c>
      <c r="DN36" s="226">
        <f t="shared" si="742"/>
        <v>0</v>
      </c>
      <c r="DO36" s="137">
        <f t="shared" si="743"/>
        <v>0</v>
      </c>
      <c r="DP36" s="227">
        <f t="shared" si="725"/>
        <v>0</v>
      </c>
      <c r="DQ36" s="138">
        <f t="shared" si="744"/>
        <v>0</v>
      </c>
      <c r="DR36" s="110">
        <f t="shared" si="745"/>
        <v>0</v>
      </c>
      <c r="DS36" s="110"/>
      <c r="DT36" s="139"/>
      <c r="DU36" s="140">
        <f t="shared" si="746"/>
        <v>0</v>
      </c>
      <c r="DV36" s="144">
        <f>'прил № 3 (01.01.23)'!JD1344</f>
        <v>0</v>
      </c>
      <c r="DW36" s="225">
        <f t="shared" si="747"/>
        <v>0</v>
      </c>
      <c r="DX36" s="226">
        <f t="shared" si="748"/>
        <v>0</v>
      </c>
      <c r="DY36" s="137">
        <f t="shared" si="749"/>
        <v>0</v>
      </c>
      <c r="DZ36" s="227">
        <f t="shared" si="725"/>
        <v>0</v>
      </c>
      <c r="EA36" s="138">
        <f t="shared" si="750"/>
        <v>0</v>
      </c>
      <c r="EB36" s="110">
        <f t="shared" si="751"/>
        <v>0</v>
      </c>
      <c r="EC36" s="110"/>
      <c r="ED36" s="139"/>
      <c r="EE36" s="140">
        <f t="shared" si="752"/>
        <v>0</v>
      </c>
      <c r="EF36" s="144">
        <f>'прил № 3 (01.01.23)'!JY1344</f>
        <v>0</v>
      </c>
      <c r="EG36" s="225">
        <f t="shared" si="753"/>
        <v>0</v>
      </c>
      <c r="EH36" s="226">
        <f t="shared" si="754"/>
        <v>0</v>
      </c>
      <c r="EI36" s="137">
        <f t="shared" si="755"/>
        <v>0</v>
      </c>
      <c r="EJ36" s="227">
        <f t="shared" si="725"/>
        <v>0</v>
      </c>
      <c r="EK36" s="138">
        <f t="shared" si="756"/>
        <v>0</v>
      </c>
      <c r="EL36" s="110">
        <f t="shared" si="757"/>
        <v>0</v>
      </c>
      <c r="EM36" s="110"/>
      <c r="EN36" s="139"/>
      <c r="EO36" s="140">
        <f t="shared" si="758"/>
        <v>0</v>
      </c>
      <c r="EP36" s="144">
        <f>'прил № 3 (01.01.23)'!KT1344</f>
        <v>0</v>
      </c>
      <c r="EQ36" s="225">
        <f t="shared" si="759"/>
        <v>0</v>
      </c>
      <c r="ER36" s="226">
        <f t="shared" si="760"/>
        <v>0</v>
      </c>
      <c r="ES36" s="137">
        <f t="shared" si="761"/>
        <v>0</v>
      </c>
      <c r="ET36" s="227">
        <f t="shared" si="725"/>
        <v>0</v>
      </c>
      <c r="EU36" s="138">
        <f t="shared" si="762"/>
        <v>0</v>
      </c>
      <c r="EV36" s="110">
        <f t="shared" si="763"/>
        <v>0</v>
      </c>
      <c r="EW36" s="110"/>
      <c r="EX36" s="139"/>
      <c r="EY36" s="140">
        <f t="shared" si="764"/>
        <v>0</v>
      </c>
      <c r="EZ36" s="144">
        <f>'прил № 3 (01.01.23)'!LO1344</f>
        <v>0</v>
      </c>
      <c r="FA36" s="225">
        <f t="shared" si="765"/>
        <v>0</v>
      </c>
      <c r="FB36" s="226">
        <f t="shared" si="766"/>
        <v>0</v>
      </c>
      <c r="FC36" s="137">
        <f t="shared" si="767"/>
        <v>0</v>
      </c>
      <c r="FD36" s="227">
        <f t="shared" si="768"/>
        <v>9.92</v>
      </c>
      <c r="FE36" s="138">
        <f t="shared" si="769"/>
        <v>0</v>
      </c>
      <c r="FF36" s="110">
        <f t="shared" si="770"/>
        <v>0</v>
      </c>
      <c r="FG36" s="110"/>
      <c r="FH36" s="139"/>
      <c r="FI36" s="140">
        <f t="shared" si="771"/>
        <v>0</v>
      </c>
      <c r="FJ36" s="144">
        <f>'прил № 3 (01.01.23)'!MJ1344</f>
        <v>0</v>
      </c>
      <c r="FK36" s="225">
        <f t="shared" si="772"/>
        <v>0</v>
      </c>
      <c r="FL36" s="226">
        <f t="shared" si="773"/>
        <v>0</v>
      </c>
      <c r="FM36" s="137">
        <f t="shared" si="774"/>
        <v>0</v>
      </c>
      <c r="FN36" s="227">
        <f t="shared" si="768"/>
        <v>0</v>
      </c>
      <c r="FO36" s="138">
        <f t="shared" si="775"/>
        <v>0</v>
      </c>
      <c r="FP36" s="110">
        <f t="shared" si="776"/>
        <v>0</v>
      </c>
      <c r="FQ36" s="110"/>
      <c r="FR36" s="139"/>
      <c r="FS36" s="140">
        <f t="shared" si="777"/>
        <v>0</v>
      </c>
      <c r="FT36" s="144">
        <f>'прил № 3 (01.01.23)'!NE1344</f>
        <v>0</v>
      </c>
      <c r="FU36" s="225">
        <f t="shared" si="778"/>
        <v>0</v>
      </c>
      <c r="FV36" s="226">
        <f t="shared" si="779"/>
        <v>0</v>
      </c>
      <c r="FW36" s="137">
        <f t="shared" si="780"/>
        <v>0</v>
      </c>
      <c r="FX36" s="227">
        <f t="shared" si="768"/>
        <v>0</v>
      </c>
      <c r="FY36" s="138">
        <f t="shared" si="781"/>
        <v>0</v>
      </c>
      <c r="FZ36" s="110">
        <f t="shared" si="782"/>
        <v>0</v>
      </c>
      <c r="GA36" s="110"/>
      <c r="GB36" s="139"/>
      <c r="GC36" s="140">
        <f t="shared" si="783"/>
        <v>0</v>
      </c>
      <c r="GD36" s="144">
        <f>'прил № 3 (01.01.23)'!NZ1344</f>
        <v>0</v>
      </c>
      <c r="GE36" s="225">
        <f t="shared" si="784"/>
        <v>0</v>
      </c>
      <c r="GF36" s="226">
        <f t="shared" si="785"/>
        <v>0</v>
      </c>
      <c r="GG36" s="137">
        <f t="shared" si="786"/>
        <v>0</v>
      </c>
      <c r="GH36" s="227">
        <f t="shared" si="768"/>
        <v>9.92</v>
      </c>
      <c r="GI36" s="138">
        <f t="shared" si="787"/>
        <v>0</v>
      </c>
      <c r="GJ36" s="110">
        <f t="shared" si="788"/>
        <v>0</v>
      </c>
      <c r="GK36" s="110"/>
      <c r="GL36" s="139"/>
      <c r="GM36" s="140">
        <f t="shared" si="789"/>
        <v>0</v>
      </c>
      <c r="GN36" s="144">
        <f>'прил № 3 (01.01.23)'!OU1344</f>
        <v>0</v>
      </c>
      <c r="GO36" s="225">
        <f t="shared" si="790"/>
        <v>0</v>
      </c>
      <c r="GP36" s="226">
        <f t="shared" si="791"/>
        <v>0</v>
      </c>
      <c r="GQ36" s="137">
        <f t="shared" si="792"/>
        <v>0</v>
      </c>
      <c r="GR36" s="227">
        <f t="shared" si="768"/>
        <v>0</v>
      </c>
      <c r="GS36" s="138">
        <f t="shared" si="793"/>
        <v>0</v>
      </c>
      <c r="GT36" s="110">
        <f t="shared" si="794"/>
        <v>0</v>
      </c>
      <c r="GU36" s="110"/>
      <c r="GV36" s="139"/>
      <c r="GW36" s="140">
        <f t="shared" si="795"/>
        <v>0</v>
      </c>
      <c r="GX36" s="144">
        <f>'прил № 3 (01.01.23)'!PP1344</f>
        <v>0</v>
      </c>
      <c r="GY36" s="225">
        <f t="shared" si="796"/>
        <v>0</v>
      </c>
      <c r="GZ36" s="226">
        <f t="shared" si="797"/>
        <v>0</v>
      </c>
      <c r="HA36" s="137">
        <f t="shared" si="798"/>
        <v>0</v>
      </c>
      <c r="HB36" s="227">
        <f t="shared" si="768"/>
        <v>9.92</v>
      </c>
      <c r="HC36" s="138">
        <f t="shared" si="799"/>
        <v>0</v>
      </c>
      <c r="HD36" s="110">
        <f t="shared" si="800"/>
        <v>0</v>
      </c>
      <c r="HE36" s="110"/>
      <c r="HF36" s="139"/>
      <c r="HG36" s="140">
        <f t="shared" si="801"/>
        <v>0</v>
      </c>
      <c r="HH36" s="144">
        <f>'прил № 3 (01.01.23)'!QK1344</f>
        <v>0</v>
      </c>
      <c r="HI36" s="225">
        <f t="shared" si="802"/>
        <v>0</v>
      </c>
      <c r="HJ36" s="226">
        <f t="shared" si="803"/>
        <v>0</v>
      </c>
      <c r="HK36" s="137">
        <f t="shared" si="804"/>
        <v>0</v>
      </c>
      <c r="HL36" s="227">
        <f t="shared" si="768"/>
        <v>0</v>
      </c>
      <c r="HM36" s="138">
        <f t="shared" si="805"/>
        <v>0</v>
      </c>
      <c r="HN36" s="110">
        <f t="shared" si="806"/>
        <v>0</v>
      </c>
      <c r="HO36" s="110"/>
      <c r="HP36" s="139"/>
      <c r="HQ36" s="140">
        <f t="shared" si="807"/>
        <v>0</v>
      </c>
      <c r="HR36" s="144">
        <f>'прил № 3 (01.01.23)'!RF1344</f>
        <v>0</v>
      </c>
      <c r="HS36" s="225">
        <f t="shared" si="808"/>
        <v>0</v>
      </c>
      <c r="HT36" s="226">
        <f t="shared" si="809"/>
        <v>0</v>
      </c>
      <c r="HU36" s="137">
        <f t="shared" si="810"/>
        <v>0</v>
      </c>
      <c r="HV36" s="227">
        <f t="shared" si="811"/>
        <v>0</v>
      </c>
      <c r="HW36" s="138">
        <f t="shared" si="812"/>
        <v>0</v>
      </c>
      <c r="HX36" s="110">
        <f t="shared" si="813"/>
        <v>0</v>
      </c>
      <c r="HY36" s="110"/>
      <c r="HZ36" s="139"/>
      <c r="IA36" s="140">
        <f t="shared" si="814"/>
        <v>0</v>
      </c>
      <c r="IB36" s="144">
        <f>'прил № 3 (01.01.23)'!SA1344</f>
        <v>0</v>
      </c>
      <c r="IC36" s="225">
        <f t="shared" si="815"/>
        <v>0</v>
      </c>
      <c r="ID36" s="226">
        <f t="shared" si="816"/>
        <v>0</v>
      </c>
      <c r="IE36" s="137">
        <f t="shared" si="817"/>
        <v>0</v>
      </c>
      <c r="IF36" s="227">
        <f t="shared" si="811"/>
        <v>0</v>
      </c>
      <c r="IG36" s="138">
        <f t="shared" si="818"/>
        <v>0</v>
      </c>
      <c r="IH36" s="110">
        <f t="shared" si="819"/>
        <v>0</v>
      </c>
      <c r="II36" s="110"/>
      <c r="IJ36" s="139"/>
      <c r="IK36" s="140">
        <f t="shared" si="820"/>
        <v>0</v>
      </c>
      <c r="IL36" s="144">
        <f>'прил № 3 (01.01.23)'!SV1344</f>
        <v>0</v>
      </c>
      <c r="IM36" s="225">
        <f t="shared" si="821"/>
        <v>0</v>
      </c>
      <c r="IN36" s="226">
        <f t="shared" si="822"/>
        <v>0</v>
      </c>
      <c r="IO36" s="137">
        <f t="shared" si="823"/>
        <v>0</v>
      </c>
      <c r="IP36" s="227">
        <f t="shared" si="811"/>
        <v>0</v>
      </c>
      <c r="IQ36" s="138">
        <f t="shared" si="824"/>
        <v>0</v>
      </c>
      <c r="IR36" s="110">
        <f t="shared" si="825"/>
        <v>0</v>
      </c>
      <c r="IS36" s="110"/>
      <c r="IT36" s="139"/>
      <c r="IU36" s="140">
        <f t="shared" si="826"/>
        <v>0</v>
      </c>
      <c r="IV36" s="144">
        <f>'прил № 3 (01.01.23)'!TQ1344</f>
        <v>0</v>
      </c>
      <c r="IW36" s="225">
        <f t="shared" si="827"/>
        <v>0</v>
      </c>
      <c r="IX36" s="226">
        <f t="shared" si="828"/>
        <v>0</v>
      </c>
      <c r="IY36" s="137">
        <f t="shared" si="829"/>
        <v>0</v>
      </c>
      <c r="IZ36" s="227">
        <f t="shared" si="811"/>
        <v>0</v>
      </c>
      <c r="JA36" s="138">
        <f t="shared" si="830"/>
        <v>0</v>
      </c>
      <c r="JB36" s="110">
        <f t="shared" si="831"/>
        <v>0</v>
      </c>
      <c r="JC36" s="110"/>
      <c r="JD36" s="139"/>
      <c r="JE36" s="140">
        <f t="shared" si="832"/>
        <v>0</v>
      </c>
      <c r="JF36" s="144">
        <f>'прил № 3 (01.01.23)'!UL1344</f>
        <v>0</v>
      </c>
      <c r="JG36" s="225">
        <f t="shared" si="833"/>
        <v>0</v>
      </c>
      <c r="JH36" s="226">
        <f t="shared" si="834"/>
        <v>0</v>
      </c>
      <c r="JI36" s="137">
        <f t="shared" si="835"/>
        <v>0</v>
      </c>
      <c r="JJ36" s="227">
        <f t="shared" si="811"/>
        <v>0</v>
      </c>
      <c r="JK36" s="138">
        <f t="shared" si="836"/>
        <v>0</v>
      </c>
      <c r="JL36" s="110">
        <f t="shared" si="837"/>
        <v>0</v>
      </c>
      <c r="JM36" s="110"/>
      <c r="JN36" s="139"/>
      <c r="JO36" s="140">
        <f t="shared" si="838"/>
        <v>0</v>
      </c>
      <c r="JP36" s="144">
        <f>'прил № 3 (01.01.23)'!VG1344</f>
        <v>0</v>
      </c>
      <c r="JQ36" s="225">
        <f t="shared" si="839"/>
        <v>0</v>
      </c>
      <c r="JR36" s="226">
        <f t="shared" si="840"/>
        <v>0</v>
      </c>
      <c r="JS36" s="137">
        <f t="shared" si="841"/>
        <v>0</v>
      </c>
      <c r="JT36" s="227">
        <f t="shared" si="811"/>
        <v>0</v>
      </c>
      <c r="JU36" s="138">
        <f t="shared" si="842"/>
        <v>0</v>
      </c>
      <c r="JV36" s="110">
        <f t="shared" si="843"/>
        <v>0</v>
      </c>
      <c r="JW36" s="110"/>
      <c r="JX36" s="139"/>
      <c r="JY36" s="140">
        <f t="shared" si="844"/>
        <v>0</v>
      </c>
      <c r="JZ36" s="144">
        <f>'прил № 3 (01.01.23)'!WB1344</f>
        <v>0</v>
      </c>
      <c r="KA36" s="225">
        <f t="shared" si="845"/>
        <v>0</v>
      </c>
      <c r="KB36" s="226">
        <f t="shared" si="846"/>
        <v>0</v>
      </c>
      <c r="KC36" s="137">
        <f t="shared" si="847"/>
        <v>0</v>
      </c>
      <c r="KD36" s="227">
        <f t="shared" si="811"/>
        <v>0</v>
      </c>
      <c r="KE36" s="138">
        <f t="shared" si="848"/>
        <v>0</v>
      </c>
      <c r="KF36" s="110">
        <f t="shared" si="849"/>
        <v>0</v>
      </c>
      <c r="KG36" s="110"/>
      <c r="KH36" s="139"/>
      <c r="KI36" s="140">
        <f t="shared" si="850"/>
        <v>0</v>
      </c>
      <c r="KJ36" s="144">
        <f>'прил № 3 (01.01.23)'!WW1344</f>
        <v>0</v>
      </c>
      <c r="KK36" s="225">
        <f t="shared" si="851"/>
        <v>0</v>
      </c>
      <c r="KL36" s="226">
        <f t="shared" si="852"/>
        <v>0</v>
      </c>
      <c r="KM36" s="137">
        <f t="shared" si="853"/>
        <v>0</v>
      </c>
      <c r="KN36" s="227">
        <f t="shared" si="854"/>
        <v>0</v>
      </c>
      <c r="KO36" s="138">
        <f t="shared" si="855"/>
        <v>0</v>
      </c>
      <c r="KP36" s="110">
        <f t="shared" si="856"/>
        <v>0</v>
      </c>
      <c r="KQ36" s="110"/>
      <c r="KR36" s="139"/>
      <c r="KS36" s="140">
        <f t="shared" si="857"/>
        <v>0</v>
      </c>
      <c r="KT36" s="144">
        <f>'прил № 3 (01.01.23)'!XR1344</f>
        <v>0</v>
      </c>
      <c r="KU36" s="225">
        <f t="shared" si="858"/>
        <v>0</v>
      </c>
      <c r="KV36" s="226">
        <f t="shared" si="859"/>
        <v>0</v>
      </c>
      <c r="KW36" s="137">
        <f t="shared" si="860"/>
        <v>0</v>
      </c>
      <c r="KX36" s="227">
        <f t="shared" si="854"/>
        <v>0</v>
      </c>
      <c r="KY36" s="138">
        <f t="shared" si="861"/>
        <v>0</v>
      </c>
      <c r="KZ36" s="110">
        <f t="shared" si="862"/>
        <v>0</v>
      </c>
      <c r="LA36" s="110"/>
      <c r="LB36" s="139"/>
      <c r="LC36" s="140">
        <f t="shared" si="863"/>
        <v>0</v>
      </c>
      <c r="LD36" s="197">
        <f t="shared" si="484"/>
        <v>1</v>
      </c>
      <c r="LE36" s="225">
        <f t="shared" si="864"/>
        <v>4.0000000000000003E-5</v>
      </c>
      <c r="LF36" s="226">
        <f t="shared" si="486"/>
        <v>9.4499999999999993</v>
      </c>
      <c r="LG36" s="137">
        <f t="shared" si="487"/>
        <v>9.4499999999999993</v>
      </c>
      <c r="LH36" s="227">
        <f t="shared" si="488"/>
        <v>9.92</v>
      </c>
      <c r="LI36" s="138">
        <f t="shared" si="489"/>
        <v>93.744</v>
      </c>
      <c r="LJ36" s="110">
        <f t="shared" si="490"/>
        <v>93.74</v>
      </c>
      <c r="LK36" s="110"/>
      <c r="LL36" s="139"/>
    </row>
    <row r="37" spans="1:324" ht="15" customHeight="1" x14ac:dyDescent="0.25">
      <c r="A37" s="246"/>
      <c r="B37" s="174" t="s">
        <v>608</v>
      </c>
      <c r="C37" s="12" t="s">
        <v>728</v>
      </c>
      <c r="D37" s="12" t="s">
        <v>430</v>
      </c>
      <c r="E37" s="4" t="s">
        <v>32</v>
      </c>
      <c r="F37" s="144">
        <f>'прил № 3 (01.01.23)'!L1345</f>
        <v>0</v>
      </c>
      <c r="G37" s="225">
        <f t="shared" si="491"/>
        <v>0</v>
      </c>
      <c r="H37" s="226">
        <f t="shared" si="492"/>
        <v>0</v>
      </c>
      <c r="I37" s="137">
        <f t="shared" si="270"/>
        <v>0</v>
      </c>
      <c r="J37" s="227">
        <f t="shared" si="493"/>
        <v>0</v>
      </c>
      <c r="K37" s="138">
        <f t="shared" si="271"/>
        <v>0</v>
      </c>
      <c r="L37" s="110">
        <f t="shared" si="272"/>
        <v>0</v>
      </c>
      <c r="M37" s="110"/>
      <c r="N37" s="139"/>
      <c r="O37" s="140">
        <f t="shared" si="273"/>
        <v>0</v>
      </c>
      <c r="P37" s="144">
        <f>'прил № 3 (01.01.23)'!AG1345</f>
        <v>0</v>
      </c>
      <c r="Q37" s="225">
        <f t="shared" si="679"/>
        <v>0</v>
      </c>
      <c r="R37" s="226">
        <f t="shared" si="680"/>
        <v>0</v>
      </c>
      <c r="S37" s="137">
        <f t="shared" si="681"/>
        <v>0</v>
      </c>
      <c r="T37" s="227">
        <f t="shared" si="682"/>
        <v>0</v>
      </c>
      <c r="U37" s="138">
        <f t="shared" si="683"/>
        <v>0</v>
      </c>
      <c r="V37" s="110">
        <f t="shared" si="684"/>
        <v>0</v>
      </c>
      <c r="W37" s="110"/>
      <c r="X37" s="139"/>
      <c r="Y37" s="140">
        <f t="shared" si="685"/>
        <v>0</v>
      </c>
      <c r="Z37" s="144">
        <f>'прил № 3 (01.01.23)'!BB1345</f>
        <v>0</v>
      </c>
      <c r="AA37" s="225">
        <f t="shared" si="686"/>
        <v>0</v>
      </c>
      <c r="AB37" s="226">
        <f t="shared" si="687"/>
        <v>0</v>
      </c>
      <c r="AC37" s="137">
        <f t="shared" si="688"/>
        <v>0</v>
      </c>
      <c r="AD37" s="227">
        <f t="shared" si="682"/>
        <v>0</v>
      </c>
      <c r="AE37" s="138">
        <f t="shared" si="689"/>
        <v>0</v>
      </c>
      <c r="AF37" s="110">
        <f t="shared" si="690"/>
        <v>0</v>
      </c>
      <c r="AG37" s="110"/>
      <c r="AH37" s="139"/>
      <c r="AI37" s="140">
        <f t="shared" si="691"/>
        <v>0</v>
      </c>
      <c r="AJ37" s="144">
        <f>'прил № 3 (01.01.23)'!BW1345</f>
        <v>0</v>
      </c>
      <c r="AK37" s="225">
        <f t="shared" si="692"/>
        <v>0</v>
      </c>
      <c r="AL37" s="226">
        <f t="shared" si="693"/>
        <v>0</v>
      </c>
      <c r="AM37" s="137">
        <f t="shared" si="694"/>
        <v>0</v>
      </c>
      <c r="AN37" s="227">
        <f t="shared" si="682"/>
        <v>0</v>
      </c>
      <c r="AO37" s="138">
        <f t="shared" si="695"/>
        <v>0</v>
      </c>
      <c r="AP37" s="110">
        <f t="shared" si="696"/>
        <v>0</v>
      </c>
      <c r="AQ37" s="110"/>
      <c r="AR37" s="139"/>
      <c r="AS37" s="140">
        <f t="shared" si="697"/>
        <v>0</v>
      </c>
      <c r="AT37" s="144">
        <f>'прил № 3 (01.01.23)'!CR1345</f>
        <v>0</v>
      </c>
      <c r="AU37" s="225">
        <f t="shared" si="698"/>
        <v>0</v>
      </c>
      <c r="AV37" s="226">
        <f t="shared" si="699"/>
        <v>0</v>
      </c>
      <c r="AW37" s="137">
        <f t="shared" si="700"/>
        <v>0</v>
      </c>
      <c r="AX37" s="227">
        <f t="shared" si="682"/>
        <v>0</v>
      </c>
      <c r="AY37" s="138">
        <f t="shared" si="701"/>
        <v>0</v>
      </c>
      <c r="AZ37" s="110">
        <f t="shared" si="702"/>
        <v>0</v>
      </c>
      <c r="BA37" s="110"/>
      <c r="BB37" s="139"/>
      <c r="BC37" s="140">
        <f t="shared" si="703"/>
        <v>0</v>
      </c>
      <c r="BD37" s="144">
        <f>'прил № 3 (01.01.23)'!DM1345</f>
        <v>0</v>
      </c>
      <c r="BE37" s="225">
        <f t="shared" si="704"/>
        <v>0</v>
      </c>
      <c r="BF37" s="226">
        <f t="shared" si="705"/>
        <v>0</v>
      </c>
      <c r="BG37" s="137">
        <f t="shared" si="706"/>
        <v>0</v>
      </c>
      <c r="BH37" s="227">
        <f t="shared" si="682"/>
        <v>0</v>
      </c>
      <c r="BI37" s="138">
        <f t="shared" si="707"/>
        <v>0</v>
      </c>
      <c r="BJ37" s="110">
        <f t="shared" si="708"/>
        <v>0</v>
      </c>
      <c r="BK37" s="110"/>
      <c r="BL37" s="139"/>
      <c r="BM37" s="140">
        <f t="shared" si="709"/>
        <v>0</v>
      </c>
      <c r="BN37" s="144">
        <f>'прил № 3 (01.01.23)'!EH1345</f>
        <v>0</v>
      </c>
      <c r="BO37" s="225">
        <f t="shared" si="710"/>
        <v>0</v>
      </c>
      <c r="BP37" s="226">
        <f t="shared" si="711"/>
        <v>0</v>
      </c>
      <c r="BQ37" s="137">
        <f t="shared" si="712"/>
        <v>0</v>
      </c>
      <c r="BR37" s="227">
        <f t="shared" si="682"/>
        <v>0</v>
      </c>
      <c r="BS37" s="138">
        <f t="shared" si="713"/>
        <v>0</v>
      </c>
      <c r="BT37" s="110">
        <f t="shared" si="714"/>
        <v>0</v>
      </c>
      <c r="BU37" s="110"/>
      <c r="BV37" s="139"/>
      <c r="BW37" s="140">
        <f t="shared" si="715"/>
        <v>0</v>
      </c>
      <c r="BX37" s="144">
        <f>'прил № 3 (01.01.23)'!FC1345</f>
        <v>0</v>
      </c>
      <c r="BY37" s="225">
        <f t="shared" si="716"/>
        <v>0</v>
      </c>
      <c r="BZ37" s="226">
        <f t="shared" si="717"/>
        <v>0</v>
      </c>
      <c r="CA37" s="137">
        <f t="shared" si="718"/>
        <v>0</v>
      </c>
      <c r="CB37" s="227">
        <f t="shared" si="682"/>
        <v>0</v>
      </c>
      <c r="CC37" s="138">
        <f t="shared" si="719"/>
        <v>0</v>
      </c>
      <c r="CD37" s="110">
        <f t="shared" si="720"/>
        <v>0</v>
      </c>
      <c r="CE37" s="110"/>
      <c r="CF37" s="139"/>
      <c r="CG37" s="140">
        <f t="shared" si="721"/>
        <v>0</v>
      </c>
      <c r="CH37" s="144">
        <f>'прил № 3 (01.01.23)'!FX1345</f>
        <v>0</v>
      </c>
      <c r="CI37" s="225">
        <f t="shared" si="722"/>
        <v>0</v>
      </c>
      <c r="CJ37" s="226">
        <f t="shared" si="723"/>
        <v>0</v>
      </c>
      <c r="CK37" s="137">
        <f t="shared" si="724"/>
        <v>0</v>
      </c>
      <c r="CL37" s="227">
        <f t="shared" si="725"/>
        <v>0</v>
      </c>
      <c r="CM37" s="138">
        <f t="shared" si="726"/>
        <v>0</v>
      </c>
      <c r="CN37" s="110">
        <f t="shared" si="727"/>
        <v>0</v>
      </c>
      <c r="CO37" s="110"/>
      <c r="CP37" s="139"/>
      <c r="CQ37" s="140">
        <f t="shared" si="728"/>
        <v>0</v>
      </c>
      <c r="CR37" s="144">
        <f>'прил № 3 (01.01.23)'!GS1345</f>
        <v>0</v>
      </c>
      <c r="CS37" s="225">
        <f t="shared" si="729"/>
        <v>0</v>
      </c>
      <c r="CT37" s="226">
        <f t="shared" si="730"/>
        <v>0</v>
      </c>
      <c r="CU37" s="137">
        <f t="shared" si="731"/>
        <v>0</v>
      </c>
      <c r="CV37" s="227">
        <f t="shared" si="725"/>
        <v>0</v>
      </c>
      <c r="CW37" s="138">
        <f t="shared" si="732"/>
        <v>0</v>
      </c>
      <c r="CX37" s="110">
        <f t="shared" si="733"/>
        <v>0</v>
      </c>
      <c r="CY37" s="110"/>
      <c r="CZ37" s="139"/>
      <c r="DA37" s="140">
        <f t="shared" si="734"/>
        <v>0</v>
      </c>
      <c r="DB37" s="144">
        <f>'прил № 3 (01.01.23)'!HN1345</f>
        <v>0</v>
      </c>
      <c r="DC37" s="225">
        <f t="shared" si="735"/>
        <v>0</v>
      </c>
      <c r="DD37" s="226">
        <f t="shared" si="736"/>
        <v>0</v>
      </c>
      <c r="DE37" s="137">
        <f t="shared" si="737"/>
        <v>0</v>
      </c>
      <c r="DF37" s="227">
        <f t="shared" si="725"/>
        <v>0</v>
      </c>
      <c r="DG37" s="138">
        <f t="shared" si="738"/>
        <v>0</v>
      </c>
      <c r="DH37" s="110">
        <f t="shared" si="739"/>
        <v>0</v>
      </c>
      <c r="DI37" s="110"/>
      <c r="DJ37" s="139"/>
      <c r="DK37" s="140">
        <f t="shared" si="740"/>
        <v>0</v>
      </c>
      <c r="DL37" s="144">
        <f>'прил № 3 (01.01.23)'!II1345</f>
        <v>41</v>
      </c>
      <c r="DM37" s="225">
        <f t="shared" si="741"/>
        <v>0.14488000000000001</v>
      </c>
      <c r="DN37" s="226">
        <f t="shared" si="742"/>
        <v>0</v>
      </c>
      <c r="DO37" s="137">
        <f t="shared" si="743"/>
        <v>0</v>
      </c>
      <c r="DP37" s="227">
        <f t="shared" si="725"/>
        <v>0</v>
      </c>
      <c r="DQ37" s="138">
        <f t="shared" si="744"/>
        <v>0</v>
      </c>
      <c r="DR37" s="110">
        <f t="shared" si="745"/>
        <v>0</v>
      </c>
      <c r="DS37" s="110"/>
      <c r="DT37" s="139"/>
      <c r="DU37" s="140">
        <f t="shared" si="746"/>
        <v>0</v>
      </c>
      <c r="DV37" s="144">
        <f>'прил № 3 (01.01.23)'!JD1345</f>
        <v>0</v>
      </c>
      <c r="DW37" s="225">
        <f t="shared" si="747"/>
        <v>0</v>
      </c>
      <c r="DX37" s="226">
        <f t="shared" si="748"/>
        <v>0</v>
      </c>
      <c r="DY37" s="137">
        <f t="shared" si="749"/>
        <v>0</v>
      </c>
      <c r="DZ37" s="227">
        <f t="shared" si="725"/>
        <v>0</v>
      </c>
      <c r="EA37" s="138">
        <f t="shared" si="750"/>
        <v>0</v>
      </c>
      <c r="EB37" s="110">
        <f t="shared" si="751"/>
        <v>0</v>
      </c>
      <c r="EC37" s="110"/>
      <c r="ED37" s="139"/>
      <c r="EE37" s="140">
        <f t="shared" si="752"/>
        <v>0</v>
      </c>
      <c r="EF37" s="144">
        <f>'прил № 3 (01.01.23)'!JY1345</f>
        <v>0</v>
      </c>
      <c r="EG37" s="225">
        <f t="shared" si="753"/>
        <v>0</v>
      </c>
      <c r="EH37" s="226">
        <f t="shared" si="754"/>
        <v>0</v>
      </c>
      <c r="EI37" s="137">
        <f t="shared" si="755"/>
        <v>0</v>
      </c>
      <c r="EJ37" s="227">
        <f t="shared" si="725"/>
        <v>0</v>
      </c>
      <c r="EK37" s="138">
        <f t="shared" si="756"/>
        <v>0</v>
      </c>
      <c r="EL37" s="110">
        <f t="shared" si="757"/>
        <v>0</v>
      </c>
      <c r="EM37" s="110"/>
      <c r="EN37" s="139"/>
      <c r="EO37" s="140">
        <f t="shared" si="758"/>
        <v>0</v>
      </c>
      <c r="EP37" s="144">
        <f>'прил № 3 (01.01.23)'!KT1345</f>
        <v>0</v>
      </c>
      <c r="EQ37" s="225">
        <f t="shared" si="759"/>
        <v>0</v>
      </c>
      <c r="ER37" s="226">
        <f t="shared" si="760"/>
        <v>0</v>
      </c>
      <c r="ES37" s="137">
        <f t="shared" si="761"/>
        <v>0</v>
      </c>
      <c r="ET37" s="227">
        <f t="shared" si="725"/>
        <v>0</v>
      </c>
      <c r="EU37" s="138">
        <f t="shared" si="762"/>
        <v>0</v>
      </c>
      <c r="EV37" s="110">
        <f t="shared" si="763"/>
        <v>0</v>
      </c>
      <c r="EW37" s="110"/>
      <c r="EX37" s="139"/>
      <c r="EY37" s="140">
        <f t="shared" si="764"/>
        <v>0</v>
      </c>
      <c r="EZ37" s="144">
        <f>'прил № 3 (01.01.23)'!LO1345</f>
        <v>0</v>
      </c>
      <c r="FA37" s="225">
        <f t="shared" si="765"/>
        <v>0</v>
      </c>
      <c r="FB37" s="226">
        <f t="shared" si="766"/>
        <v>0</v>
      </c>
      <c r="FC37" s="137">
        <f t="shared" si="767"/>
        <v>0</v>
      </c>
      <c r="FD37" s="227">
        <f t="shared" si="768"/>
        <v>9.92</v>
      </c>
      <c r="FE37" s="138">
        <f t="shared" si="769"/>
        <v>0</v>
      </c>
      <c r="FF37" s="110">
        <f t="shared" si="770"/>
        <v>0</v>
      </c>
      <c r="FG37" s="110"/>
      <c r="FH37" s="139"/>
      <c r="FI37" s="140">
        <f t="shared" si="771"/>
        <v>0</v>
      </c>
      <c r="FJ37" s="144">
        <f>'прил № 3 (01.01.23)'!MJ1345</f>
        <v>0</v>
      </c>
      <c r="FK37" s="225">
        <f t="shared" si="772"/>
        <v>0</v>
      </c>
      <c r="FL37" s="226">
        <f t="shared" si="773"/>
        <v>0</v>
      </c>
      <c r="FM37" s="137">
        <f t="shared" si="774"/>
        <v>0</v>
      </c>
      <c r="FN37" s="227">
        <f t="shared" si="768"/>
        <v>0</v>
      </c>
      <c r="FO37" s="138">
        <f t="shared" si="775"/>
        <v>0</v>
      </c>
      <c r="FP37" s="110">
        <f t="shared" si="776"/>
        <v>0</v>
      </c>
      <c r="FQ37" s="110"/>
      <c r="FR37" s="139"/>
      <c r="FS37" s="140">
        <f t="shared" si="777"/>
        <v>0</v>
      </c>
      <c r="FT37" s="144">
        <f>'прил № 3 (01.01.23)'!NE1345</f>
        <v>0</v>
      </c>
      <c r="FU37" s="225">
        <f t="shared" si="778"/>
        <v>0</v>
      </c>
      <c r="FV37" s="226">
        <f t="shared" si="779"/>
        <v>0</v>
      </c>
      <c r="FW37" s="137">
        <f t="shared" si="780"/>
        <v>0</v>
      </c>
      <c r="FX37" s="227">
        <f t="shared" si="768"/>
        <v>0</v>
      </c>
      <c r="FY37" s="138">
        <f t="shared" si="781"/>
        <v>0</v>
      </c>
      <c r="FZ37" s="110">
        <f t="shared" si="782"/>
        <v>0</v>
      </c>
      <c r="GA37" s="110"/>
      <c r="GB37" s="139"/>
      <c r="GC37" s="140">
        <f t="shared" si="783"/>
        <v>0</v>
      </c>
      <c r="GD37" s="144">
        <f>'прил № 3 (01.01.23)'!NZ1345</f>
        <v>0</v>
      </c>
      <c r="GE37" s="225">
        <f t="shared" si="784"/>
        <v>0</v>
      </c>
      <c r="GF37" s="226">
        <f t="shared" si="785"/>
        <v>0</v>
      </c>
      <c r="GG37" s="137">
        <f t="shared" si="786"/>
        <v>0</v>
      </c>
      <c r="GH37" s="227">
        <f t="shared" si="768"/>
        <v>9.92</v>
      </c>
      <c r="GI37" s="138">
        <f t="shared" si="787"/>
        <v>0</v>
      </c>
      <c r="GJ37" s="110">
        <f t="shared" si="788"/>
        <v>0</v>
      </c>
      <c r="GK37" s="110"/>
      <c r="GL37" s="139"/>
      <c r="GM37" s="140">
        <f t="shared" si="789"/>
        <v>0</v>
      </c>
      <c r="GN37" s="144">
        <f>'прил № 3 (01.01.23)'!OU1345</f>
        <v>0</v>
      </c>
      <c r="GO37" s="225">
        <f t="shared" si="790"/>
        <v>0</v>
      </c>
      <c r="GP37" s="226">
        <f t="shared" si="791"/>
        <v>0</v>
      </c>
      <c r="GQ37" s="137">
        <f t="shared" si="792"/>
        <v>0</v>
      </c>
      <c r="GR37" s="227">
        <f t="shared" si="768"/>
        <v>0</v>
      </c>
      <c r="GS37" s="138">
        <f t="shared" si="793"/>
        <v>0</v>
      </c>
      <c r="GT37" s="110">
        <f t="shared" si="794"/>
        <v>0</v>
      </c>
      <c r="GU37" s="110"/>
      <c r="GV37" s="139"/>
      <c r="GW37" s="140">
        <f t="shared" si="795"/>
        <v>0</v>
      </c>
      <c r="GX37" s="144">
        <f>'прил № 3 (01.01.23)'!PP1345</f>
        <v>0</v>
      </c>
      <c r="GY37" s="225">
        <f t="shared" si="796"/>
        <v>0</v>
      </c>
      <c r="GZ37" s="226">
        <f t="shared" si="797"/>
        <v>0</v>
      </c>
      <c r="HA37" s="137">
        <f t="shared" si="798"/>
        <v>0</v>
      </c>
      <c r="HB37" s="227">
        <f t="shared" si="768"/>
        <v>9.92</v>
      </c>
      <c r="HC37" s="138">
        <f t="shared" si="799"/>
        <v>0</v>
      </c>
      <c r="HD37" s="110">
        <f t="shared" si="800"/>
        <v>0</v>
      </c>
      <c r="HE37" s="110"/>
      <c r="HF37" s="139"/>
      <c r="HG37" s="140">
        <f t="shared" si="801"/>
        <v>0</v>
      </c>
      <c r="HH37" s="144">
        <f>'прил № 3 (01.01.23)'!QK1345</f>
        <v>0</v>
      </c>
      <c r="HI37" s="225">
        <f t="shared" si="802"/>
        <v>0</v>
      </c>
      <c r="HJ37" s="226">
        <f t="shared" si="803"/>
        <v>0</v>
      </c>
      <c r="HK37" s="137">
        <f t="shared" si="804"/>
        <v>0</v>
      </c>
      <c r="HL37" s="227">
        <f t="shared" si="768"/>
        <v>0</v>
      </c>
      <c r="HM37" s="138">
        <f t="shared" si="805"/>
        <v>0</v>
      </c>
      <c r="HN37" s="110">
        <f t="shared" si="806"/>
        <v>0</v>
      </c>
      <c r="HO37" s="110"/>
      <c r="HP37" s="139"/>
      <c r="HQ37" s="140">
        <f t="shared" si="807"/>
        <v>0</v>
      </c>
      <c r="HR37" s="144">
        <f>'прил № 3 (01.01.23)'!RF1345</f>
        <v>0</v>
      </c>
      <c r="HS37" s="225">
        <f t="shared" si="808"/>
        <v>0</v>
      </c>
      <c r="HT37" s="226">
        <f t="shared" si="809"/>
        <v>0</v>
      </c>
      <c r="HU37" s="137">
        <f t="shared" si="810"/>
        <v>0</v>
      </c>
      <c r="HV37" s="227">
        <f t="shared" si="811"/>
        <v>0</v>
      </c>
      <c r="HW37" s="138">
        <f t="shared" si="812"/>
        <v>0</v>
      </c>
      <c r="HX37" s="110">
        <f t="shared" si="813"/>
        <v>0</v>
      </c>
      <c r="HY37" s="110"/>
      <c r="HZ37" s="139"/>
      <c r="IA37" s="140">
        <f t="shared" si="814"/>
        <v>0</v>
      </c>
      <c r="IB37" s="144">
        <f>'прил № 3 (01.01.23)'!SA1345</f>
        <v>0</v>
      </c>
      <c r="IC37" s="225">
        <f t="shared" si="815"/>
        <v>0</v>
      </c>
      <c r="ID37" s="226">
        <f t="shared" si="816"/>
        <v>0</v>
      </c>
      <c r="IE37" s="137">
        <f t="shared" si="817"/>
        <v>0</v>
      </c>
      <c r="IF37" s="227">
        <f t="shared" si="811"/>
        <v>0</v>
      </c>
      <c r="IG37" s="138">
        <f t="shared" si="818"/>
        <v>0</v>
      </c>
      <c r="IH37" s="110">
        <f t="shared" si="819"/>
        <v>0</v>
      </c>
      <c r="II37" s="110"/>
      <c r="IJ37" s="139"/>
      <c r="IK37" s="140">
        <f t="shared" si="820"/>
        <v>0</v>
      </c>
      <c r="IL37" s="144">
        <f>'прил № 3 (01.01.23)'!SV1345</f>
        <v>0</v>
      </c>
      <c r="IM37" s="225">
        <f t="shared" si="821"/>
        <v>0</v>
      </c>
      <c r="IN37" s="226">
        <f t="shared" si="822"/>
        <v>0</v>
      </c>
      <c r="IO37" s="137">
        <f t="shared" si="823"/>
        <v>0</v>
      </c>
      <c r="IP37" s="227">
        <f t="shared" si="811"/>
        <v>0</v>
      </c>
      <c r="IQ37" s="138">
        <f t="shared" si="824"/>
        <v>0</v>
      </c>
      <c r="IR37" s="110">
        <f t="shared" si="825"/>
        <v>0</v>
      </c>
      <c r="IS37" s="110"/>
      <c r="IT37" s="139"/>
      <c r="IU37" s="140">
        <f t="shared" si="826"/>
        <v>0</v>
      </c>
      <c r="IV37" s="144">
        <f>'прил № 3 (01.01.23)'!TQ1345</f>
        <v>0</v>
      </c>
      <c r="IW37" s="225">
        <f t="shared" si="827"/>
        <v>0</v>
      </c>
      <c r="IX37" s="226">
        <f t="shared" si="828"/>
        <v>0</v>
      </c>
      <c r="IY37" s="137">
        <f t="shared" si="829"/>
        <v>0</v>
      </c>
      <c r="IZ37" s="227">
        <f t="shared" si="811"/>
        <v>0</v>
      </c>
      <c r="JA37" s="138">
        <f t="shared" si="830"/>
        <v>0</v>
      </c>
      <c r="JB37" s="110">
        <f t="shared" si="831"/>
        <v>0</v>
      </c>
      <c r="JC37" s="110"/>
      <c r="JD37" s="139"/>
      <c r="JE37" s="140">
        <f t="shared" si="832"/>
        <v>0</v>
      </c>
      <c r="JF37" s="144">
        <f>'прил № 3 (01.01.23)'!UL1345</f>
        <v>0</v>
      </c>
      <c r="JG37" s="225">
        <f t="shared" si="833"/>
        <v>0</v>
      </c>
      <c r="JH37" s="226">
        <f t="shared" si="834"/>
        <v>0</v>
      </c>
      <c r="JI37" s="137">
        <f t="shared" si="835"/>
        <v>0</v>
      </c>
      <c r="JJ37" s="227">
        <f t="shared" si="811"/>
        <v>0</v>
      </c>
      <c r="JK37" s="138">
        <f t="shared" si="836"/>
        <v>0</v>
      </c>
      <c r="JL37" s="110">
        <f t="shared" si="837"/>
        <v>0</v>
      </c>
      <c r="JM37" s="110"/>
      <c r="JN37" s="139"/>
      <c r="JO37" s="140">
        <f t="shared" si="838"/>
        <v>0</v>
      </c>
      <c r="JP37" s="144">
        <f>'прил № 3 (01.01.23)'!VG1345</f>
        <v>0</v>
      </c>
      <c r="JQ37" s="225">
        <f t="shared" si="839"/>
        <v>0</v>
      </c>
      <c r="JR37" s="226">
        <f t="shared" si="840"/>
        <v>0</v>
      </c>
      <c r="JS37" s="137">
        <f t="shared" si="841"/>
        <v>0</v>
      </c>
      <c r="JT37" s="227">
        <f t="shared" si="811"/>
        <v>0</v>
      </c>
      <c r="JU37" s="138">
        <f t="shared" si="842"/>
        <v>0</v>
      </c>
      <c r="JV37" s="110">
        <f t="shared" si="843"/>
        <v>0</v>
      </c>
      <c r="JW37" s="110"/>
      <c r="JX37" s="139"/>
      <c r="JY37" s="140">
        <f t="shared" si="844"/>
        <v>0</v>
      </c>
      <c r="JZ37" s="144">
        <f>'прил № 3 (01.01.23)'!WB1345</f>
        <v>0</v>
      </c>
      <c r="KA37" s="225">
        <f t="shared" si="845"/>
        <v>0</v>
      </c>
      <c r="KB37" s="226">
        <f t="shared" si="846"/>
        <v>0</v>
      </c>
      <c r="KC37" s="137">
        <f t="shared" si="847"/>
        <v>0</v>
      </c>
      <c r="KD37" s="227">
        <f t="shared" si="811"/>
        <v>0</v>
      </c>
      <c r="KE37" s="138">
        <f t="shared" si="848"/>
        <v>0</v>
      </c>
      <c r="KF37" s="110">
        <f t="shared" si="849"/>
        <v>0</v>
      </c>
      <c r="KG37" s="110"/>
      <c r="KH37" s="139"/>
      <c r="KI37" s="140">
        <f t="shared" si="850"/>
        <v>0</v>
      </c>
      <c r="KJ37" s="144">
        <f>'прил № 3 (01.01.23)'!WW1345</f>
        <v>0</v>
      </c>
      <c r="KK37" s="225">
        <f t="shared" si="851"/>
        <v>0</v>
      </c>
      <c r="KL37" s="226">
        <f t="shared" si="852"/>
        <v>0</v>
      </c>
      <c r="KM37" s="137">
        <f t="shared" si="853"/>
        <v>0</v>
      </c>
      <c r="KN37" s="227">
        <f t="shared" si="854"/>
        <v>0</v>
      </c>
      <c r="KO37" s="138">
        <f t="shared" si="855"/>
        <v>0</v>
      </c>
      <c r="KP37" s="110">
        <f t="shared" si="856"/>
        <v>0</v>
      </c>
      <c r="KQ37" s="110"/>
      <c r="KR37" s="139"/>
      <c r="KS37" s="140">
        <f t="shared" si="857"/>
        <v>0</v>
      </c>
      <c r="KT37" s="144">
        <f>'прил № 3 (01.01.23)'!XR1345</f>
        <v>0</v>
      </c>
      <c r="KU37" s="225">
        <f t="shared" si="858"/>
        <v>0</v>
      </c>
      <c r="KV37" s="226">
        <f t="shared" si="859"/>
        <v>0</v>
      </c>
      <c r="KW37" s="137">
        <f t="shared" si="860"/>
        <v>0</v>
      </c>
      <c r="KX37" s="227">
        <f t="shared" si="854"/>
        <v>0</v>
      </c>
      <c r="KY37" s="138">
        <f t="shared" si="861"/>
        <v>0</v>
      </c>
      <c r="KZ37" s="110">
        <f t="shared" si="862"/>
        <v>0</v>
      </c>
      <c r="LA37" s="110"/>
      <c r="LB37" s="139"/>
      <c r="LC37" s="140">
        <f t="shared" si="863"/>
        <v>0</v>
      </c>
      <c r="LD37" s="197">
        <f t="shared" si="484"/>
        <v>41</v>
      </c>
      <c r="LE37" s="225">
        <f t="shared" si="864"/>
        <v>1.4400000000000001E-3</v>
      </c>
      <c r="LF37" s="226">
        <f t="shared" si="486"/>
        <v>340.27</v>
      </c>
      <c r="LG37" s="137">
        <f t="shared" si="487"/>
        <v>8.2992682900000005</v>
      </c>
      <c r="LH37" s="227">
        <f t="shared" si="488"/>
        <v>9.92</v>
      </c>
      <c r="LI37" s="138">
        <f t="shared" si="489"/>
        <v>82.328739999999996</v>
      </c>
      <c r="LJ37" s="110">
        <f t="shared" si="490"/>
        <v>3375.48</v>
      </c>
      <c r="LK37" s="110"/>
      <c r="LL37" s="139"/>
    </row>
    <row r="38" spans="1:324" hidden="1" x14ac:dyDescent="0.25">
      <c r="A38" s="247"/>
      <c r="B38" s="92" t="s">
        <v>611</v>
      </c>
      <c r="C38" s="12"/>
      <c r="D38" s="12"/>
      <c r="E38" s="4" t="s">
        <v>32</v>
      </c>
      <c r="F38" s="144">
        <f>'прил № 3 (01.01.23)'!L1346</f>
        <v>0</v>
      </c>
      <c r="G38" s="225">
        <f t="shared" si="491"/>
        <v>0</v>
      </c>
      <c r="H38" s="226">
        <f t="shared" si="492"/>
        <v>0</v>
      </c>
      <c r="I38" s="137">
        <f t="shared" si="270"/>
        <v>0</v>
      </c>
      <c r="J38" s="227">
        <f t="shared" si="493"/>
        <v>0</v>
      </c>
      <c r="K38" s="138">
        <f t="shared" si="271"/>
        <v>0</v>
      </c>
      <c r="L38" s="110">
        <f t="shared" si="272"/>
        <v>0</v>
      </c>
      <c r="M38" s="110"/>
      <c r="N38" s="139"/>
      <c r="O38" s="140" t="e">
        <f>K38/$LI38</f>
        <v>#DIV/0!</v>
      </c>
      <c r="P38" s="144">
        <f>'прил № 3 (01.01.23)'!AG1346</f>
        <v>0</v>
      </c>
      <c r="Q38" s="225">
        <f t="shared" si="679"/>
        <v>0</v>
      </c>
      <c r="R38" s="226">
        <f t="shared" si="680"/>
        <v>0</v>
      </c>
      <c r="S38" s="137">
        <f t="shared" si="681"/>
        <v>0</v>
      </c>
      <c r="T38" s="227">
        <f t="shared" si="682"/>
        <v>0</v>
      </c>
      <c r="U38" s="138">
        <f t="shared" si="683"/>
        <v>0</v>
      </c>
      <c r="V38" s="110">
        <f t="shared" si="684"/>
        <v>0</v>
      </c>
      <c r="W38" s="110"/>
      <c r="X38" s="139"/>
      <c r="Y38" s="140" t="e">
        <f t="shared" si="685"/>
        <v>#DIV/0!</v>
      </c>
      <c r="Z38" s="144">
        <f>'прил № 3 (01.01.23)'!BB1346</f>
        <v>0</v>
      </c>
      <c r="AA38" s="225">
        <f t="shared" si="686"/>
        <v>0</v>
      </c>
      <c r="AB38" s="226">
        <f t="shared" si="687"/>
        <v>0</v>
      </c>
      <c r="AC38" s="137">
        <f t="shared" si="688"/>
        <v>0</v>
      </c>
      <c r="AD38" s="227">
        <f t="shared" si="682"/>
        <v>0</v>
      </c>
      <c r="AE38" s="138">
        <f t="shared" si="689"/>
        <v>0</v>
      </c>
      <c r="AF38" s="110">
        <f t="shared" si="690"/>
        <v>0</v>
      </c>
      <c r="AG38" s="110"/>
      <c r="AH38" s="139"/>
      <c r="AI38" s="140" t="e">
        <f t="shared" si="691"/>
        <v>#DIV/0!</v>
      </c>
      <c r="AJ38" s="144">
        <f>'прил № 3 (01.01.23)'!BW1346</f>
        <v>0</v>
      </c>
      <c r="AK38" s="225">
        <f t="shared" si="692"/>
        <v>0</v>
      </c>
      <c r="AL38" s="226">
        <f t="shared" si="693"/>
        <v>0</v>
      </c>
      <c r="AM38" s="137">
        <f t="shared" si="694"/>
        <v>0</v>
      </c>
      <c r="AN38" s="227">
        <f t="shared" si="682"/>
        <v>0</v>
      </c>
      <c r="AO38" s="138">
        <f t="shared" si="695"/>
        <v>0</v>
      </c>
      <c r="AP38" s="110">
        <f t="shared" si="696"/>
        <v>0</v>
      </c>
      <c r="AQ38" s="110"/>
      <c r="AR38" s="139"/>
      <c r="AS38" s="140" t="e">
        <f t="shared" si="697"/>
        <v>#DIV/0!</v>
      </c>
      <c r="AT38" s="144">
        <f>'прил № 3 (01.01.23)'!CR1346</f>
        <v>0</v>
      </c>
      <c r="AU38" s="225">
        <f t="shared" si="698"/>
        <v>0</v>
      </c>
      <c r="AV38" s="226">
        <f t="shared" si="699"/>
        <v>0</v>
      </c>
      <c r="AW38" s="137">
        <f t="shared" si="700"/>
        <v>0</v>
      </c>
      <c r="AX38" s="227">
        <f t="shared" si="682"/>
        <v>0</v>
      </c>
      <c r="AY38" s="138">
        <f t="shared" si="701"/>
        <v>0</v>
      </c>
      <c r="AZ38" s="110">
        <f t="shared" si="702"/>
        <v>0</v>
      </c>
      <c r="BA38" s="110"/>
      <c r="BB38" s="139"/>
      <c r="BC38" s="140" t="e">
        <f t="shared" si="703"/>
        <v>#DIV/0!</v>
      </c>
      <c r="BD38" s="144">
        <f>'прил № 3 (01.01.23)'!DM1346</f>
        <v>0</v>
      </c>
      <c r="BE38" s="225">
        <f t="shared" si="704"/>
        <v>0</v>
      </c>
      <c r="BF38" s="226">
        <f t="shared" si="705"/>
        <v>0</v>
      </c>
      <c r="BG38" s="137">
        <f t="shared" si="706"/>
        <v>0</v>
      </c>
      <c r="BH38" s="227">
        <f t="shared" si="682"/>
        <v>0</v>
      </c>
      <c r="BI38" s="138">
        <f t="shared" si="707"/>
        <v>0</v>
      </c>
      <c r="BJ38" s="110">
        <f t="shared" si="708"/>
        <v>0</v>
      </c>
      <c r="BK38" s="110"/>
      <c r="BL38" s="139"/>
      <c r="BM38" s="140" t="e">
        <f t="shared" si="709"/>
        <v>#DIV/0!</v>
      </c>
      <c r="BN38" s="144">
        <f>'прил № 3 (01.01.23)'!EH1346</f>
        <v>0</v>
      </c>
      <c r="BO38" s="225">
        <f t="shared" si="710"/>
        <v>0</v>
      </c>
      <c r="BP38" s="226">
        <f t="shared" si="711"/>
        <v>0</v>
      </c>
      <c r="BQ38" s="137">
        <f t="shared" si="712"/>
        <v>0</v>
      </c>
      <c r="BR38" s="227">
        <f t="shared" si="682"/>
        <v>0</v>
      </c>
      <c r="BS38" s="138">
        <f t="shared" si="713"/>
        <v>0</v>
      </c>
      <c r="BT38" s="110">
        <f t="shared" si="714"/>
        <v>0</v>
      </c>
      <c r="BU38" s="110"/>
      <c r="BV38" s="139"/>
      <c r="BW38" s="140" t="e">
        <f t="shared" si="715"/>
        <v>#DIV/0!</v>
      </c>
      <c r="BX38" s="144">
        <f>'прил № 3 (01.01.23)'!FC1346</f>
        <v>0</v>
      </c>
      <c r="BY38" s="225">
        <f t="shared" si="716"/>
        <v>0</v>
      </c>
      <c r="BZ38" s="226">
        <f t="shared" si="717"/>
        <v>0</v>
      </c>
      <c r="CA38" s="137">
        <f t="shared" si="718"/>
        <v>0</v>
      </c>
      <c r="CB38" s="227">
        <f t="shared" si="682"/>
        <v>0</v>
      </c>
      <c r="CC38" s="138">
        <f t="shared" si="719"/>
        <v>0</v>
      </c>
      <c r="CD38" s="110">
        <f t="shared" si="720"/>
        <v>0</v>
      </c>
      <c r="CE38" s="110"/>
      <c r="CF38" s="139"/>
      <c r="CG38" s="140" t="e">
        <f t="shared" si="721"/>
        <v>#DIV/0!</v>
      </c>
      <c r="CH38" s="144">
        <f>'прил № 3 (01.01.23)'!FX1346</f>
        <v>0</v>
      </c>
      <c r="CI38" s="225">
        <f t="shared" si="722"/>
        <v>0</v>
      </c>
      <c r="CJ38" s="226">
        <f t="shared" si="723"/>
        <v>0</v>
      </c>
      <c r="CK38" s="137">
        <f t="shared" si="724"/>
        <v>0</v>
      </c>
      <c r="CL38" s="227">
        <f t="shared" si="725"/>
        <v>0</v>
      </c>
      <c r="CM38" s="138">
        <f t="shared" si="726"/>
        <v>0</v>
      </c>
      <c r="CN38" s="110">
        <f t="shared" si="727"/>
        <v>0</v>
      </c>
      <c r="CO38" s="110"/>
      <c r="CP38" s="139"/>
      <c r="CQ38" s="140" t="e">
        <f t="shared" si="728"/>
        <v>#DIV/0!</v>
      </c>
      <c r="CR38" s="144">
        <f>'прил № 3 (01.01.23)'!GS1346</f>
        <v>0</v>
      </c>
      <c r="CS38" s="225">
        <f t="shared" si="729"/>
        <v>0</v>
      </c>
      <c r="CT38" s="226">
        <f t="shared" si="730"/>
        <v>0</v>
      </c>
      <c r="CU38" s="137">
        <f t="shared" si="731"/>
        <v>0</v>
      </c>
      <c r="CV38" s="227">
        <f t="shared" si="725"/>
        <v>0</v>
      </c>
      <c r="CW38" s="138">
        <f t="shared" si="732"/>
        <v>0</v>
      </c>
      <c r="CX38" s="110">
        <f t="shared" si="733"/>
        <v>0</v>
      </c>
      <c r="CY38" s="110"/>
      <c r="CZ38" s="139"/>
      <c r="DA38" s="140" t="e">
        <f t="shared" si="734"/>
        <v>#DIV/0!</v>
      </c>
      <c r="DB38" s="144">
        <f>'прил № 3 (01.01.23)'!HN1346</f>
        <v>0</v>
      </c>
      <c r="DC38" s="225">
        <f t="shared" si="735"/>
        <v>0</v>
      </c>
      <c r="DD38" s="226">
        <f t="shared" si="736"/>
        <v>0</v>
      </c>
      <c r="DE38" s="137">
        <f t="shared" si="737"/>
        <v>0</v>
      </c>
      <c r="DF38" s="227">
        <f t="shared" si="725"/>
        <v>0</v>
      </c>
      <c r="DG38" s="138">
        <f t="shared" si="738"/>
        <v>0</v>
      </c>
      <c r="DH38" s="110">
        <f t="shared" si="739"/>
        <v>0</v>
      </c>
      <c r="DI38" s="110"/>
      <c r="DJ38" s="139"/>
      <c r="DK38" s="140" t="e">
        <f t="shared" si="740"/>
        <v>#DIV/0!</v>
      </c>
      <c r="DL38" s="144">
        <f>'прил № 3 (01.01.23)'!II1346</f>
        <v>0</v>
      </c>
      <c r="DM38" s="225">
        <f t="shared" si="741"/>
        <v>0</v>
      </c>
      <c r="DN38" s="226">
        <f t="shared" si="742"/>
        <v>0</v>
      </c>
      <c r="DO38" s="137">
        <f t="shared" si="743"/>
        <v>0</v>
      </c>
      <c r="DP38" s="227">
        <f t="shared" si="725"/>
        <v>0</v>
      </c>
      <c r="DQ38" s="138">
        <f t="shared" si="744"/>
        <v>0</v>
      </c>
      <c r="DR38" s="110">
        <f t="shared" si="745"/>
        <v>0</v>
      </c>
      <c r="DS38" s="110"/>
      <c r="DT38" s="139"/>
      <c r="DU38" s="140" t="e">
        <f t="shared" si="746"/>
        <v>#DIV/0!</v>
      </c>
      <c r="DV38" s="144">
        <f>'прил № 3 (01.01.23)'!JD1346</f>
        <v>0</v>
      </c>
      <c r="DW38" s="225">
        <f t="shared" si="747"/>
        <v>0</v>
      </c>
      <c r="DX38" s="226">
        <f t="shared" si="748"/>
        <v>0</v>
      </c>
      <c r="DY38" s="137">
        <f t="shared" si="749"/>
        <v>0</v>
      </c>
      <c r="DZ38" s="227">
        <f t="shared" si="725"/>
        <v>0</v>
      </c>
      <c r="EA38" s="138">
        <f t="shared" si="750"/>
        <v>0</v>
      </c>
      <c r="EB38" s="110">
        <f t="shared" si="751"/>
        <v>0</v>
      </c>
      <c r="EC38" s="110"/>
      <c r="ED38" s="139"/>
      <c r="EE38" s="140" t="e">
        <f t="shared" si="752"/>
        <v>#DIV/0!</v>
      </c>
      <c r="EF38" s="144">
        <f>'прил № 3 (01.01.23)'!JY1346</f>
        <v>0</v>
      </c>
      <c r="EG38" s="225">
        <f t="shared" si="753"/>
        <v>0</v>
      </c>
      <c r="EH38" s="226">
        <f t="shared" si="754"/>
        <v>0</v>
      </c>
      <c r="EI38" s="137">
        <f t="shared" si="755"/>
        <v>0</v>
      </c>
      <c r="EJ38" s="227">
        <f t="shared" si="725"/>
        <v>0</v>
      </c>
      <c r="EK38" s="138">
        <f t="shared" si="756"/>
        <v>0</v>
      </c>
      <c r="EL38" s="110">
        <f t="shared" si="757"/>
        <v>0</v>
      </c>
      <c r="EM38" s="110"/>
      <c r="EN38" s="139"/>
      <c r="EO38" s="140" t="e">
        <f t="shared" si="758"/>
        <v>#DIV/0!</v>
      </c>
      <c r="EP38" s="144">
        <f>'прил № 3 (01.01.23)'!KT1346</f>
        <v>0</v>
      </c>
      <c r="EQ38" s="225">
        <f t="shared" si="759"/>
        <v>0</v>
      </c>
      <c r="ER38" s="226">
        <f t="shared" si="760"/>
        <v>0</v>
      </c>
      <c r="ES38" s="137">
        <f t="shared" si="761"/>
        <v>0</v>
      </c>
      <c r="ET38" s="227">
        <f t="shared" si="725"/>
        <v>0</v>
      </c>
      <c r="EU38" s="138">
        <f t="shared" si="762"/>
        <v>0</v>
      </c>
      <c r="EV38" s="110">
        <f t="shared" si="763"/>
        <v>0</v>
      </c>
      <c r="EW38" s="110"/>
      <c r="EX38" s="139"/>
      <c r="EY38" s="140" t="e">
        <f t="shared" si="764"/>
        <v>#DIV/0!</v>
      </c>
      <c r="EZ38" s="144">
        <f>'прил № 3 (01.01.23)'!LO1346</f>
        <v>0</v>
      </c>
      <c r="FA38" s="225">
        <f t="shared" si="765"/>
        <v>0</v>
      </c>
      <c r="FB38" s="226">
        <f t="shared" si="766"/>
        <v>0</v>
      </c>
      <c r="FC38" s="137">
        <f t="shared" si="767"/>
        <v>0</v>
      </c>
      <c r="FD38" s="227">
        <f t="shared" si="768"/>
        <v>9.92</v>
      </c>
      <c r="FE38" s="138">
        <f t="shared" si="769"/>
        <v>0</v>
      </c>
      <c r="FF38" s="110">
        <f t="shared" si="770"/>
        <v>0</v>
      </c>
      <c r="FG38" s="110"/>
      <c r="FH38" s="139"/>
      <c r="FI38" s="140" t="e">
        <f t="shared" si="771"/>
        <v>#DIV/0!</v>
      </c>
      <c r="FJ38" s="144">
        <f>'прил № 3 (01.01.23)'!MJ1346</f>
        <v>0</v>
      </c>
      <c r="FK38" s="225">
        <f t="shared" si="772"/>
        <v>0</v>
      </c>
      <c r="FL38" s="226">
        <f t="shared" si="773"/>
        <v>0</v>
      </c>
      <c r="FM38" s="137">
        <f t="shared" si="774"/>
        <v>0</v>
      </c>
      <c r="FN38" s="227">
        <f t="shared" si="768"/>
        <v>0</v>
      </c>
      <c r="FO38" s="138">
        <f t="shared" si="775"/>
        <v>0</v>
      </c>
      <c r="FP38" s="110">
        <f t="shared" si="776"/>
        <v>0</v>
      </c>
      <c r="FQ38" s="110"/>
      <c r="FR38" s="139"/>
      <c r="FS38" s="140" t="e">
        <f t="shared" si="777"/>
        <v>#DIV/0!</v>
      </c>
      <c r="FT38" s="144">
        <f>'прил № 3 (01.01.23)'!NE1346</f>
        <v>0</v>
      </c>
      <c r="FU38" s="225">
        <f t="shared" si="778"/>
        <v>0</v>
      </c>
      <c r="FV38" s="226">
        <f t="shared" si="779"/>
        <v>0</v>
      </c>
      <c r="FW38" s="137">
        <f t="shared" si="780"/>
        <v>0</v>
      </c>
      <c r="FX38" s="227">
        <f t="shared" si="768"/>
        <v>0</v>
      </c>
      <c r="FY38" s="138">
        <f t="shared" si="781"/>
        <v>0</v>
      </c>
      <c r="FZ38" s="110">
        <f t="shared" si="782"/>
        <v>0</v>
      </c>
      <c r="GA38" s="110"/>
      <c r="GB38" s="139"/>
      <c r="GC38" s="140" t="e">
        <f t="shared" si="783"/>
        <v>#DIV/0!</v>
      </c>
      <c r="GD38" s="144">
        <f>'прил № 3 (01.01.23)'!NZ1346</f>
        <v>0</v>
      </c>
      <c r="GE38" s="225">
        <f t="shared" si="784"/>
        <v>0</v>
      </c>
      <c r="GF38" s="226">
        <f t="shared" si="785"/>
        <v>0</v>
      </c>
      <c r="GG38" s="137">
        <f t="shared" si="786"/>
        <v>0</v>
      </c>
      <c r="GH38" s="227">
        <f t="shared" si="768"/>
        <v>9.92</v>
      </c>
      <c r="GI38" s="138">
        <f t="shared" si="787"/>
        <v>0</v>
      </c>
      <c r="GJ38" s="110">
        <f t="shared" si="788"/>
        <v>0</v>
      </c>
      <c r="GK38" s="110"/>
      <c r="GL38" s="139"/>
      <c r="GM38" s="140" t="e">
        <f t="shared" si="789"/>
        <v>#DIV/0!</v>
      </c>
      <c r="GN38" s="144">
        <f>'прил № 3 (01.01.23)'!OU1346</f>
        <v>0</v>
      </c>
      <c r="GO38" s="225">
        <f t="shared" si="790"/>
        <v>0</v>
      </c>
      <c r="GP38" s="226">
        <f t="shared" si="791"/>
        <v>0</v>
      </c>
      <c r="GQ38" s="137">
        <f t="shared" si="792"/>
        <v>0</v>
      </c>
      <c r="GR38" s="227">
        <f t="shared" si="768"/>
        <v>0</v>
      </c>
      <c r="GS38" s="138">
        <f t="shared" si="793"/>
        <v>0</v>
      </c>
      <c r="GT38" s="110">
        <f t="shared" si="794"/>
        <v>0</v>
      </c>
      <c r="GU38" s="110"/>
      <c r="GV38" s="139"/>
      <c r="GW38" s="140" t="e">
        <f t="shared" si="795"/>
        <v>#DIV/0!</v>
      </c>
      <c r="GX38" s="144">
        <f>'прил № 3 (01.01.23)'!PP1346</f>
        <v>0</v>
      </c>
      <c r="GY38" s="225">
        <f t="shared" si="796"/>
        <v>0</v>
      </c>
      <c r="GZ38" s="226">
        <f t="shared" si="797"/>
        <v>0</v>
      </c>
      <c r="HA38" s="137">
        <f t="shared" si="798"/>
        <v>0</v>
      </c>
      <c r="HB38" s="227">
        <f t="shared" si="768"/>
        <v>9.92</v>
      </c>
      <c r="HC38" s="138">
        <f t="shared" si="799"/>
        <v>0</v>
      </c>
      <c r="HD38" s="110">
        <f t="shared" si="800"/>
        <v>0</v>
      </c>
      <c r="HE38" s="110"/>
      <c r="HF38" s="139"/>
      <c r="HG38" s="140" t="e">
        <f t="shared" si="801"/>
        <v>#DIV/0!</v>
      </c>
      <c r="HH38" s="144">
        <f>'прил № 3 (01.01.23)'!QK1346</f>
        <v>0</v>
      </c>
      <c r="HI38" s="225">
        <f t="shared" si="802"/>
        <v>0</v>
      </c>
      <c r="HJ38" s="226">
        <f t="shared" si="803"/>
        <v>0</v>
      </c>
      <c r="HK38" s="137">
        <f t="shared" si="804"/>
        <v>0</v>
      </c>
      <c r="HL38" s="227">
        <f t="shared" si="768"/>
        <v>0</v>
      </c>
      <c r="HM38" s="138">
        <f t="shared" si="805"/>
        <v>0</v>
      </c>
      <c r="HN38" s="110">
        <f t="shared" si="806"/>
        <v>0</v>
      </c>
      <c r="HO38" s="110"/>
      <c r="HP38" s="139"/>
      <c r="HQ38" s="140" t="e">
        <f t="shared" si="807"/>
        <v>#DIV/0!</v>
      </c>
      <c r="HR38" s="144">
        <f>'прил № 3 (01.01.23)'!RF1346</f>
        <v>0</v>
      </c>
      <c r="HS38" s="225">
        <f t="shared" si="808"/>
        <v>0</v>
      </c>
      <c r="HT38" s="226">
        <f t="shared" si="809"/>
        <v>0</v>
      </c>
      <c r="HU38" s="137">
        <f t="shared" si="810"/>
        <v>0</v>
      </c>
      <c r="HV38" s="227">
        <f t="shared" si="811"/>
        <v>0</v>
      </c>
      <c r="HW38" s="138">
        <f t="shared" si="812"/>
        <v>0</v>
      </c>
      <c r="HX38" s="110">
        <f t="shared" si="813"/>
        <v>0</v>
      </c>
      <c r="HY38" s="110"/>
      <c r="HZ38" s="139"/>
      <c r="IA38" s="140" t="e">
        <f t="shared" si="814"/>
        <v>#DIV/0!</v>
      </c>
      <c r="IB38" s="144">
        <f>'прил № 3 (01.01.23)'!SA1346</f>
        <v>0</v>
      </c>
      <c r="IC38" s="225">
        <f t="shared" si="815"/>
        <v>0</v>
      </c>
      <c r="ID38" s="226">
        <f t="shared" si="816"/>
        <v>0</v>
      </c>
      <c r="IE38" s="137">
        <f t="shared" si="817"/>
        <v>0</v>
      </c>
      <c r="IF38" s="227">
        <f t="shared" si="811"/>
        <v>0</v>
      </c>
      <c r="IG38" s="138">
        <f t="shared" si="818"/>
        <v>0</v>
      </c>
      <c r="IH38" s="110">
        <f t="shared" si="819"/>
        <v>0</v>
      </c>
      <c r="II38" s="110"/>
      <c r="IJ38" s="139"/>
      <c r="IK38" s="140" t="e">
        <f t="shared" si="820"/>
        <v>#DIV/0!</v>
      </c>
      <c r="IL38" s="144">
        <f>'прил № 3 (01.01.23)'!SV1346</f>
        <v>0</v>
      </c>
      <c r="IM38" s="225">
        <f t="shared" si="821"/>
        <v>0</v>
      </c>
      <c r="IN38" s="226">
        <f t="shared" si="822"/>
        <v>0</v>
      </c>
      <c r="IO38" s="137">
        <f t="shared" si="823"/>
        <v>0</v>
      </c>
      <c r="IP38" s="227">
        <f t="shared" si="811"/>
        <v>0</v>
      </c>
      <c r="IQ38" s="138">
        <f t="shared" si="824"/>
        <v>0</v>
      </c>
      <c r="IR38" s="110">
        <f t="shared" si="825"/>
        <v>0</v>
      </c>
      <c r="IS38" s="110"/>
      <c r="IT38" s="139"/>
      <c r="IU38" s="140" t="e">
        <f t="shared" si="826"/>
        <v>#DIV/0!</v>
      </c>
      <c r="IV38" s="144">
        <f>'прил № 3 (01.01.23)'!TQ1346</f>
        <v>0</v>
      </c>
      <c r="IW38" s="225">
        <f t="shared" si="827"/>
        <v>0</v>
      </c>
      <c r="IX38" s="226">
        <f t="shared" si="828"/>
        <v>0</v>
      </c>
      <c r="IY38" s="137">
        <f t="shared" si="829"/>
        <v>0</v>
      </c>
      <c r="IZ38" s="227">
        <f t="shared" si="811"/>
        <v>0</v>
      </c>
      <c r="JA38" s="138">
        <f t="shared" si="830"/>
        <v>0</v>
      </c>
      <c r="JB38" s="110">
        <f t="shared" si="831"/>
        <v>0</v>
      </c>
      <c r="JC38" s="110"/>
      <c r="JD38" s="139"/>
      <c r="JE38" s="140" t="e">
        <f t="shared" si="832"/>
        <v>#DIV/0!</v>
      </c>
      <c r="JF38" s="144">
        <f>'прил № 3 (01.01.23)'!UL1346</f>
        <v>0</v>
      </c>
      <c r="JG38" s="225">
        <f t="shared" si="833"/>
        <v>0</v>
      </c>
      <c r="JH38" s="226">
        <f t="shared" si="834"/>
        <v>0</v>
      </c>
      <c r="JI38" s="137">
        <f t="shared" si="835"/>
        <v>0</v>
      </c>
      <c r="JJ38" s="227">
        <f t="shared" si="811"/>
        <v>0</v>
      </c>
      <c r="JK38" s="138">
        <f t="shared" si="836"/>
        <v>0</v>
      </c>
      <c r="JL38" s="110">
        <f t="shared" si="837"/>
        <v>0</v>
      </c>
      <c r="JM38" s="110"/>
      <c r="JN38" s="139"/>
      <c r="JO38" s="140" t="e">
        <f t="shared" si="838"/>
        <v>#DIV/0!</v>
      </c>
      <c r="JP38" s="144">
        <f>'прил № 3 (01.01.23)'!VG1346</f>
        <v>0</v>
      </c>
      <c r="JQ38" s="225">
        <f t="shared" si="839"/>
        <v>0</v>
      </c>
      <c r="JR38" s="226">
        <f t="shared" si="840"/>
        <v>0</v>
      </c>
      <c r="JS38" s="137">
        <f t="shared" si="841"/>
        <v>0</v>
      </c>
      <c r="JT38" s="227">
        <f t="shared" si="811"/>
        <v>0</v>
      </c>
      <c r="JU38" s="138">
        <f t="shared" si="842"/>
        <v>0</v>
      </c>
      <c r="JV38" s="110">
        <f t="shared" si="843"/>
        <v>0</v>
      </c>
      <c r="JW38" s="110"/>
      <c r="JX38" s="139"/>
      <c r="JY38" s="140" t="e">
        <f t="shared" si="844"/>
        <v>#DIV/0!</v>
      </c>
      <c r="JZ38" s="144">
        <f>'прил № 3 (01.01.23)'!WB1346</f>
        <v>0</v>
      </c>
      <c r="KA38" s="225">
        <f t="shared" si="845"/>
        <v>0</v>
      </c>
      <c r="KB38" s="226">
        <f t="shared" si="846"/>
        <v>0</v>
      </c>
      <c r="KC38" s="137">
        <f t="shared" si="847"/>
        <v>0</v>
      </c>
      <c r="KD38" s="227">
        <f t="shared" si="811"/>
        <v>0</v>
      </c>
      <c r="KE38" s="138">
        <f t="shared" si="848"/>
        <v>0</v>
      </c>
      <c r="KF38" s="110">
        <f t="shared" si="849"/>
        <v>0</v>
      </c>
      <c r="KG38" s="110"/>
      <c r="KH38" s="139"/>
      <c r="KI38" s="140" t="e">
        <f t="shared" si="850"/>
        <v>#DIV/0!</v>
      </c>
      <c r="KJ38" s="144">
        <f>'прил № 3 (01.01.23)'!WW1346</f>
        <v>0</v>
      </c>
      <c r="KK38" s="225">
        <f t="shared" si="851"/>
        <v>0</v>
      </c>
      <c r="KL38" s="226">
        <f t="shared" si="852"/>
        <v>0</v>
      </c>
      <c r="KM38" s="137">
        <f t="shared" si="853"/>
        <v>0</v>
      </c>
      <c r="KN38" s="227">
        <f t="shared" si="854"/>
        <v>0</v>
      </c>
      <c r="KO38" s="138">
        <f t="shared" si="855"/>
        <v>0</v>
      </c>
      <c r="KP38" s="110">
        <f t="shared" si="856"/>
        <v>0</v>
      </c>
      <c r="KQ38" s="110"/>
      <c r="KR38" s="139"/>
      <c r="KS38" s="140" t="e">
        <f t="shared" si="857"/>
        <v>#DIV/0!</v>
      </c>
      <c r="KT38" s="144">
        <f>'прил № 3 (01.01.23)'!XR1346</f>
        <v>0</v>
      </c>
      <c r="KU38" s="225">
        <f t="shared" si="858"/>
        <v>0</v>
      </c>
      <c r="KV38" s="226">
        <f t="shared" si="859"/>
        <v>0</v>
      </c>
      <c r="KW38" s="137">
        <f t="shared" si="860"/>
        <v>0</v>
      </c>
      <c r="KX38" s="227">
        <f t="shared" si="854"/>
        <v>0</v>
      </c>
      <c r="KY38" s="138">
        <f t="shared" si="861"/>
        <v>0</v>
      </c>
      <c r="KZ38" s="110">
        <f t="shared" si="862"/>
        <v>0</v>
      </c>
      <c r="LA38" s="110"/>
      <c r="LB38" s="139"/>
      <c r="LC38" s="140" t="e">
        <f t="shared" si="863"/>
        <v>#DIV/0!</v>
      </c>
      <c r="LD38" s="197">
        <f t="shared" si="484"/>
        <v>0</v>
      </c>
      <c r="LE38" s="225">
        <f t="shared" si="864"/>
        <v>0</v>
      </c>
      <c r="LF38" s="226">
        <f t="shared" si="486"/>
        <v>0</v>
      </c>
      <c r="LG38" s="137">
        <f t="shared" si="487"/>
        <v>0</v>
      </c>
      <c r="LH38" s="227">
        <f t="shared" si="488"/>
        <v>9.92</v>
      </c>
      <c r="LI38" s="138">
        <f t="shared" si="489"/>
        <v>0</v>
      </c>
      <c r="LJ38" s="110">
        <f t="shared" si="490"/>
        <v>0</v>
      </c>
      <c r="LK38" s="110"/>
      <c r="LL38" s="139"/>
    </row>
    <row r="39" spans="1:324" x14ac:dyDescent="0.25">
      <c r="A39" s="248" t="s">
        <v>39</v>
      </c>
      <c r="B39" s="249" t="s">
        <v>40</v>
      </c>
      <c r="C39" s="14"/>
      <c r="D39" s="14"/>
      <c r="E39" s="4" t="s">
        <v>33</v>
      </c>
      <c r="F39" s="18">
        <f>SUM(F42:F67)</f>
        <v>602</v>
      </c>
      <c r="G39" s="4"/>
      <c r="H39" s="102">
        <v>49110</v>
      </c>
      <c r="I39" s="137">
        <f>IF(F39&gt;0,H39/F39,0)</f>
        <v>81.578073090000004</v>
      </c>
      <c r="J39" s="110">
        <f>IF(M39&gt;0,M39/H39,0)</f>
        <v>7.57</v>
      </c>
      <c r="K39" s="138">
        <f>I39*J39</f>
        <v>617.54601000000002</v>
      </c>
      <c r="L39" s="110">
        <f>K39*F39</f>
        <v>371762.7</v>
      </c>
      <c r="M39" s="102">
        <f>508779.6-136800</f>
        <v>371979.6</v>
      </c>
      <c r="N39" s="139">
        <f>M39-L39</f>
        <v>216.9</v>
      </c>
      <c r="O39" s="140">
        <f>K39/$LI39</f>
        <v>0.77444000000000002</v>
      </c>
      <c r="P39" s="18">
        <f t="shared" ref="P39" si="865">SUM(P42:P67)</f>
        <v>1096</v>
      </c>
      <c r="Q39" s="4"/>
      <c r="R39" s="102">
        <v>76200</v>
      </c>
      <c r="S39" s="137">
        <f t="shared" si="681"/>
        <v>69.525547450000005</v>
      </c>
      <c r="T39" s="110">
        <f t="shared" ref="T39" si="866">IF(W39&gt;0,W39/R39,0)</f>
        <v>8.23</v>
      </c>
      <c r="U39" s="138">
        <f t="shared" si="683"/>
        <v>572.19525999999996</v>
      </c>
      <c r="V39" s="110">
        <f t="shared" si="684"/>
        <v>627126</v>
      </c>
      <c r="W39" s="102">
        <f>789432-162406.44</f>
        <v>627025.56000000006</v>
      </c>
      <c r="X39" s="139">
        <f t="shared" ref="X39" si="867">W39-V39</f>
        <v>-100.44</v>
      </c>
      <c r="Y39" s="140">
        <f t="shared" si="685"/>
        <v>0.71757000000000004</v>
      </c>
      <c r="Z39" s="18">
        <f t="shared" ref="Z39" si="868">SUM(Z42:Z67)</f>
        <v>864</v>
      </c>
      <c r="AA39" s="4"/>
      <c r="AB39" s="102">
        <v>58520</v>
      </c>
      <c r="AC39" s="137">
        <f t="shared" si="688"/>
        <v>67.731481479999999</v>
      </c>
      <c r="AD39" s="110">
        <f t="shared" ref="AD39" si="869">IF(AG39&gt;0,AG39/AB39,0)</f>
        <v>8.8000000000000007</v>
      </c>
      <c r="AE39" s="138">
        <f t="shared" si="689"/>
        <v>596.03704000000005</v>
      </c>
      <c r="AF39" s="110">
        <f t="shared" si="690"/>
        <v>514976</v>
      </c>
      <c r="AG39" s="102">
        <f>606267.2-91200</f>
        <v>515067.2</v>
      </c>
      <c r="AH39" s="139">
        <f t="shared" ref="AH39" si="870">AG39-AF39</f>
        <v>91.2</v>
      </c>
      <c r="AI39" s="140">
        <f t="shared" si="691"/>
        <v>0.74746999999999997</v>
      </c>
      <c r="AJ39" s="18">
        <f t="shared" ref="AJ39" si="871">SUM(AJ42:AJ67)</f>
        <v>665</v>
      </c>
      <c r="AK39" s="4"/>
      <c r="AL39" s="102">
        <v>26980</v>
      </c>
      <c r="AM39" s="137">
        <f t="shared" si="694"/>
        <v>40.571428570000002</v>
      </c>
      <c r="AN39" s="110">
        <f t="shared" ref="AN39" si="872">IF(AQ39&gt;0,AQ39/AL39,0)</f>
        <v>7.52</v>
      </c>
      <c r="AO39" s="138">
        <f t="shared" si="695"/>
        <v>305.09714000000002</v>
      </c>
      <c r="AP39" s="110">
        <f t="shared" si="696"/>
        <v>202889.60000000001</v>
      </c>
      <c r="AQ39" s="102">
        <f>279512.8-76608</f>
        <v>202904.8</v>
      </c>
      <c r="AR39" s="139">
        <f t="shared" ref="AR39" si="873">AQ39-AP39</f>
        <v>15.2</v>
      </c>
      <c r="AS39" s="140">
        <f t="shared" si="697"/>
        <v>0.38261000000000001</v>
      </c>
      <c r="AT39" s="18">
        <f t="shared" ref="AT39" si="874">SUM(AT42:AT67)</f>
        <v>951</v>
      </c>
      <c r="AU39" s="4"/>
      <c r="AV39" s="102">
        <v>41690</v>
      </c>
      <c r="AW39" s="137">
        <f t="shared" si="700"/>
        <v>43.838065190000002</v>
      </c>
      <c r="AX39" s="110">
        <f t="shared" ref="AX39" si="875">IF(BA39&gt;0,BA39/AV39,0)</f>
        <v>6.88</v>
      </c>
      <c r="AY39" s="138">
        <f t="shared" si="701"/>
        <v>301.60588999999999</v>
      </c>
      <c r="AZ39" s="110">
        <f t="shared" si="702"/>
        <v>286827.2</v>
      </c>
      <c r="BA39" s="102">
        <f>431908.4-144916.8</f>
        <v>286991.59999999998</v>
      </c>
      <c r="BB39" s="139">
        <f t="shared" ref="BB39" si="876">BA39-AZ39</f>
        <v>164.4</v>
      </c>
      <c r="BC39" s="140">
        <f t="shared" si="703"/>
        <v>0.37823000000000001</v>
      </c>
      <c r="BD39" s="18">
        <f t="shared" ref="BD39" si="877">SUM(BD42:BD67)</f>
        <v>744</v>
      </c>
      <c r="BE39" s="4"/>
      <c r="BF39" s="102">
        <v>44020</v>
      </c>
      <c r="BG39" s="137">
        <f t="shared" si="706"/>
        <v>59.166666669999998</v>
      </c>
      <c r="BH39" s="110">
        <f t="shared" ref="BH39" si="878">IF(BK39&gt;0,BK39/BF39,0)</f>
        <v>9.74</v>
      </c>
      <c r="BI39" s="138">
        <f t="shared" si="707"/>
        <v>576.28332999999998</v>
      </c>
      <c r="BJ39" s="110">
        <f t="shared" si="708"/>
        <v>428754.8</v>
      </c>
      <c r="BK39" s="102">
        <f>456047.2-27360</f>
        <v>428687.2</v>
      </c>
      <c r="BL39" s="139">
        <f t="shared" ref="BL39" si="879">BK39-BJ39</f>
        <v>-67.599999999999994</v>
      </c>
      <c r="BM39" s="140">
        <f t="shared" si="709"/>
        <v>0.72270000000000001</v>
      </c>
      <c r="BN39" s="18">
        <f t="shared" ref="BN39" si="880">SUM(BN42:BN67)</f>
        <v>617</v>
      </c>
      <c r="BO39" s="4"/>
      <c r="BP39" s="102">
        <v>47080</v>
      </c>
      <c r="BQ39" s="137">
        <f t="shared" si="712"/>
        <v>76.304700159999996</v>
      </c>
      <c r="BR39" s="110">
        <f t="shared" ref="BR39" si="881">IF(BU39&gt;0,BU39/BP39,0)</f>
        <v>10.32</v>
      </c>
      <c r="BS39" s="138">
        <f t="shared" si="713"/>
        <v>787.46451000000002</v>
      </c>
      <c r="BT39" s="110">
        <f t="shared" si="714"/>
        <v>485865.6</v>
      </c>
      <c r="BU39" s="102">
        <f>487748.8-1692</f>
        <v>486056.8</v>
      </c>
      <c r="BV39" s="139">
        <f t="shared" ref="BV39" si="882">BU39-BT39</f>
        <v>191.2</v>
      </c>
      <c r="BW39" s="140">
        <f t="shared" si="715"/>
        <v>0.98753000000000002</v>
      </c>
      <c r="BX39" s="18">
        <f t="shared" ref="BX39" si="883">SUM(BX42:BX67)</f>
        <v>788</v>
      </c>
      <c r="BY39" s="4"/>
      <c r="BZ39" s="102">
        <v>62800</v>
      </c>
      <c r="CA39" s="137">
        <f t="shared" si="718"/>
        <v>79.695431470000003</v>
      </c>
      <c r="CB39" s="110">
        <f t="shared" ref="CB39" si="884">IF(CE39&gt;0,CE39/BZ39,0)</f>
        <v>7.89</v>
      </c>
      <c r="CC39" s="138">
        <f t="shared" si="719"/>
        <v>628.79695000000004</v>
      </c>
      <c r="CD39" s="110">
        <f t="shared" si="720"/>
        <v>495492</v>
      </c>
      <c r="CE39" s="102">
        <f>650608-155380</f>
        <v>495228</v>
      </c>
      <c r="CF39" s="139">
        <f t="shared" ref="CF39" si="885">CE39-CD39</f>
        <v>-264</v>
      </c>
      <c r="CG39" s="140">
        <f t="shared" si="721"/>
        <v>0.78854999999999997</v>
      </c>
      <c r="CH39" s="18">
        <f t="shared" ref="CH39" si="886">SUM(CH42:CH67)</f>
        <v>924</v>
      </c>
      <c r="CI39" s="4"/>
      <c r="CJ39" s="102">
        <v>120200</v>
      </c>
      <c r="CK39" s="137">
        <f t="shared" si="724"/>
        <v>130.08658009000001</v>
      </c>
      <c r="CL39" s="110">
        <f t="shared" ref="CL39" si="887">IF(CO39&gt;0,CO39/CJ39,0)</f>
        <v>8.24</v>
      </c>
      <c r="CM39" s="138">
        <f t="shared" si="726"/>
        <v>1071.9134200000001</v>
      </c>
      <c r="CN39" s="110">
        <f t="shared" si="727"/>
        <v>990448</v>
      </c>
      <c r="CO39" s="102">
        <f>1245272-255360</f>
        <v>989912</v>
      </c>
      <c r="CP39" s="139">
        <f t="shared" ref="CP39" si="888">CO39-CN39</f>
        <v>-536</v>
      </c>
      <c r="CQ39" s="140">
        <f t="shared" si="728"/>
        <v>1.3442499999999999</v>
      </c>
      <c r="CR39" s="18">
        <f t="shared" ref="CR39" si="889">SUM(CR42:CR67)</f>
        <v>744</v>
      </c>
      <c r="CS39" s="4"/>
      <c r="CT39" s="102">
        <v>63240</v>
      </c>
      <c r="CU39" s="137">
        <f t="shared" si="731"/>
        <v>85</v>
      </c>
      <c r="CV39" s="110">
        <f t="shared" ref="CV39" si="890">IF(CY39&gt;0,CY39/CT39,0)</f>
        <v>8.92</v>
      </c>
      <c r="CW39" s="138">
        <f t="shared" si="732"/>
        <v>758.2</v>
      </c>
      <c r="CX39" s="110">
        <f t="shared" si="733"/>
        <v>564100.80000000005</v>
      </c>
      <c r="CY39" s="102">
        <f>655166.4-91200</f>
        <v>563966.4</v>
      </c>
      <c r="CZ39" s="139">
        <f t="shared" ref="CZ39" si="891">CY39-CX39</f>
        <v>-134.4</v>
      </c>
      <c r="DA39" s="140">
        <f t="shared" si="734"/>
        <v>0.95082999999999995</v>
      </c>
      <c r="DB39" s="18">
        <f t="shared" ref="DB39" si="892">SUM(DB42:DB67)</f>
        <v>825</v>
      </c>
      <c r="DC39" s="4"/>
      <c r="DD39" s="102">
        <v>52260</v>
      </c>
      <c r="DE39" s="137">
        <f t="shared" si="737"/>
        <v>63.345454549999999</v>
      </c>
      <c r="DF39" s="110">
        <f t="shared" ref="DF39" si="893">IF(DI39&gt;0,DI39/DD39,0)</f>
        <v>7.48</v>
      </c>
      <c r="DG39" s="138">
        <f t="shared" si="738"/>
        <v>473.82400000000001</v>
      </c>
      <c r="DH39" s="110">
        <f t="shared" si="739"/>
        <v>390904.8</v>
      </c>
      <c r="DI39" s="102">
        <f>541413.6-150480</f>
        <v>390933.6</v>
      </c>
      <c r="DJ39" s="139">
        <f t="shared" ref="DJ39" si="894">DI39-DH39</f>
        <v>28.8</v>
      </c>
      <c r="DK39" s="140">
        <f t="shared" si="740"/>
        <v>0.59421000000000002</v>
      </c>
      <c r="DL39" s="18">
        <f t="shared" ref="DL39" si="895">SUM(DL42:DL67)</f>
        <v>283</v>
      </c>
      <c r="DM39" s="4"/>
      <c r="DN39" s="102">
        <v>35790</v>
      </c>
      <c r="DO39" s="137">
        <f t="shared" si="743"/>
        <v>126.46643109999999</v>
      </c>
      <c r="DP39" s="110">
        <f t="shared" ref="DP39" si="896">IF(DS39&gt;0,DS39/DN39,0)</f>
        <v>8.2200000000000006</v>
      </c>
      <c r="DQ39" s="138">
        <f t="shared" si="744"/>
        <v>1039.5540599999999</v>
      </c>
      <c r="DR39" s="110">
        <f t="shared" si="745"/>
        <v>294193.8</v>
      </c>
      <c r="DS39" s="102">
        <f>370784.4-76608</f>
        <v>294176.40000000002</v>
      </c>
      <c r="DT39" s="139">
        <f t="shared" ref="DT39" si="897">DS39-DR39</f>
        <v>-17.399999999999999</v>
      </c>
      <c r="DU39" s="140">
        <f t="shared" si="746"/>
        <v>1.3036700000000001</v>
      </c>
      <c r="DV39" s="18">
        <f t="shared" ref="DV39" si="898">SUM(DV42:DV67)</f>
        <v>878</v>
      </c>
      <c r="DW39" s="4"/>
      <c r="DX39" s="102">
        <v>141490</v>
      </c>
      <c r="DY39" s="137">
        <f t="shared" si="749"/>
        <v>161.15034169</v>
      </c>
      <c r="DZ39" s="110">
        <f t="shared" ref="DZ39" si="899">IF(EC39&gt;0,EC39/DX39,0)</f>
        <v>7.91</v>
      </c>
      <c r="EA39" s="138">
        <f t="shared" si="750"/>
        <v>1274.6992</v>
      </c>
      <c r="EB39" s="110">
        <f t="shared" si="751"/>
        <v>1119185.8999999999</v>
      </c>
      <c r="EC39" s="102">
        <f>1465836.4-346560</f>
        <v>1119276.3999999999</v>
      </c>
      <c r="ED39" s="139">
        <f t="shared" ref="ED39" si="900">EC39-EB39</f>
        <v>90.5</v>
      </c>
      <c r="EE39" s="140">
        <f t="shared" si="752"/>
        <v>1.59856</v>
      </c>
      <c r="EF39" s="18">
        <f t="shared" ref="EF39" si="901">SUM(EF42:EF67)</f>
        <v>939</v>
      </c>
      <c r="EG39" s="4"/>
      <c r="EH39" s="102">
        <v>58110</v>
      </c>
      <c r="EI39" s="137">
        <f t="shared" si="755"/>
        <v>61.884984029999998</v>
      </c>
      <c r="EJ39" s="110">
        <f t="shared" ref="EJ39" si="902">IF(EM39&gt;0,EM39/EH39,0)</f>
        <v>7.63</v>
      </c>
      <c r="EK39" s="138">
        <f t="shared" si="756"/>
        <v>472.18243000000001</v>
      </c>
      <c r="EL39" s="110">
        <f t="shared" si="757"/>
        <v>443379.3</v>
      </c>
      <c r="EM39" s="102">
        <f>602019.6-158750</f>
        <v>443269.6</v>
      </c>
      <c r="EN39" s="139">
        <f t="shared" ref="EN39" si="903">EM39-EL39</f>
        <v>-109.7</v>
      </c>
      <c r="EO39" s="140">
        <f t="shared" si="758"/>
        <v>0.59214999999999995</v>
      </c>
      <c r="EP39" s="18">
        <f t="shared" ref="EP39" si="904">SUM(EP42:EP67)</f>
        <v>943</v>
      </c>
      <c r="EQ39" s="4"/>
      <c r="ER39" s="102">
        <v>67320</v>
      </c>
      <c r="ES39" s="137">
        <f t="shared" si="761"/>
        <v>71.389183459999998</v>
      </c>
      <c r="ET39" s="110">
        <f t="shared" ref="ET39" si="905">IF(EW39&gt;0,EW39/ER39,0)</f>
        <v>7.95</v>
      </c>
      <c r="EU39" s="138">
        <f t="shared" si="762"/>
        <v>567.54400999999996</v>
      </c>
      <c r="EV39" s="110">
        <f t="shared" si="763"/>
        <v>535194</v>
      </c>
      <c r="EW39" s="102">
        <f>697435.2-162000</f>
        <v>535435.19999999995</v>
      </c>
      <c r="EX39" s="139">
        <f t="shared" ref="EX39" si="906">EW39-EV39</f>
        <v>241.2</v>
      </c>
      <c r="EY39" s="140">
        <f t="shared" si="764"/>
        <v>0.71174000000000004</v>
      </c>
      <c r="EZ39" s="18">
        <f t="shared" ref="EZ39" si="907">SUM(EZ42:EZ67)</f>
        <v>1117</v>
      </c>
      <c r="FA39" s="4"/>
      <c r="FB39" s="102">
        <v>66270</v>
      </c>
      <c r="FC39" s="137">
        <f t="shared" si="767"/>
        <v>59.328558639999997</v>
      </c>
      <c r="FD39" s="110">
        <f t="shared" ref="FD39" si="908">IF(FG39&gt;0,FG39/FB39,0)</f>
        <v>10.210000000000001</v>
      </c>
      <c r="FE39" s="138">
        <f t="shared" si="769"/>
        <v>605.74458000000004</v>
      </c>
      <c r="FF39" s="110">
        <f t="shared" si="770"/>
        <v>676616.7</v>
      </c>
      <c r="FG39" s="102">
        <f>686557.2-10032</f>
        <v>676525.2</v>
      </c>
      <c r="FH39" s="139">
        <f t="shared" ref="FH39" si="909">FG39-FF39</f>
        <v>-91.5</v>
      </c>
      <c r="FI39" s="140">
        <f t="shared" si="771"/>
        <v>0.75965000000000005</v>
      </c>
      <c r="FJ39" s="18">
        <f t="shared" ref="FJ39" si="910">SUM(FJ42:FJ67)</f>
        <v>1022</v>
      </c>
      <c r="FK39" s="4"/>
      <c r="FL39" s="102">
        <v>107050</v>
      </c>
      <c r="FM39" s="137">
        <f t="shared" si="774"/>
        <v>104.74559687</v>
      </c>
      <c r="FN39" s="110">
        <f t="shared" ref="FN39" si="911">IF(FQ39&gt;0,FQ39/FL39,0)</f>
        <v>9.52</v>
      </c>
      <c r="FO39" s="138">
        <f t="shared" si="775"/>
        <v>997.17808000000002</v>
      </c>
      <c r="FP39" s="110">
        <f t="shared" si="776"/>
        <v>1019116</v>
      </c>
      <c r="FQ39" s="102">
        <f>1109038-90000</f>
        <v>1019038</v>
      </c>
      <c r="FR39" s="139">
        <f t="shared" ref="FR39" si="912">FQ39-FP39</f>
        <v>-78</v>
      </c>
      <c r="FS39" s="140">
        <f t="shared" si="777"/>
        <v>1.2505299999999999</v>
      </c>
      <c r="FT39" s="18">
        <f t="shared" ref="FT39" si="913">SUM(FT42:FT67)</f>
        <v>803</v>
      </c>
      <c r="FU39" s="4"/>
      <c r="FV39" s="102">
        <v>50020</v>
      </c>
      <c r="FW39" s="137">
        <f t="shared" si="780"/>
        <v>62.291407220000004</v>
      </c>
      <c r="FX39" s="110">
        <f t="shared" ref="FX39" si="914">IF(GA39&gt;0,GA39/FV39,0)</f>
        <v>9.57</v>
      </c>
      <c r="FY39" s="138">
        <f t="shared" si="781"/>
        <v>596.12877000000003</v>
      </c>
      <c r="FZ39" s="110">
        <f t="shared" si="782"/>
        <v>478691.4</v>
      </c>
      <c r="GA39" s="102">
        <f>518207.2-39585</f>
        <v>478622.2</v>
      </c>
      <c r="GB39" s="139">
        <f t="shared" ref="GB39" si="915">GA39-FZ39</f>
        <v>-69.2</v>
      </c>
      <c r="GC39" s="140">
        <f t="shared" si="783"/>
        <v>0.74758999999999998</v>
      </c>
      <c r="GD39" s="18">
        <f t="shared" ref="GD39" si="916">SUM(GD42:GD67)</f>
        <v>512</v>
      </c>
      <c r="GE39" s="4"/>
      <c r="GF39" s="102">
        <v>43260</v>
      </c>
      <c r="GG39" s="137">
        <f t="shared" si="786"/>
        <v>84.4921875</v>
      </c>
      <c r="GH39" s="110">
        <f t="shared" ref="GH39" si="917">IF(GK39&gt;0,GK39/GF39,0)</f>
        <v>8.39</v>
      </c>
      <c r="GI39" s="138">
        <f t="shared" si="787"/>
        <v>708.88945000000001</v>
      </c>
      <c r="GJ39" s="110">
        <f t="shared" si="788"/>
        <v>362951.4</v>
      </c>
      <c r="GK39" s="102">
        <f>448173.6-85272</f>
        <v>362901.6</v>
      </c>
      <c r="GL39" s="139">
        <f t="shared" ref="GL39" si="918">GK39-GJ39</f>
        <v>-49.8</v>
      </c>
      <c r="GM39" s="140">
        <f t="shared" si="789"/>
        <v>0.88900000000000001</v>
      </c>
      <c r="GN39" s="18">
        <f t="shared" ref="GN39" si="919">SUM(GN42:GN67)</f>
        <v>864</v>
      </c>
      <c r="GO39" s="4"/>
      <c r="GP39" s="102">
        <v>103620</v>
      </c>
      <c r="GQ39" s="137">
        <f t="shared" si="792"/>
        <v>119.93055556</v>
      </c>
      <c r="GR39" s="110">
        <f t="shared" ref="GR39" si="920">IF(GU39&gt;0,GU39/GP39,0)</f>
        <v>7.63</v>
      </c>
      <c r="GS39" s="138">
        <f t="shared" si="793"/>
        <v>915.07014000000004</v>
      </c>
      <c r="GT39" s="110">
        <f t="shared" si="794"/>
        <v>790620.6</v>
      </c>
      <c r="GU39" s="102">
        <f>1073503.2-282720</f>
        <v>790783.2</v>
      </c>
      <c r="GV39" s="139">
        <f t="shared" ref="GV39" si="921">GU39-GT39</f>
        <v>162.6</v>
      </c>
      <c r="GW39" s="140">
        <f t="shared" si="795"/>
        <v>1.1475599999999999</v>
      </c>
      <c r="GX39" s="18">
        <f t="shared" ref="GX39" si="922">SUM(GX42:GX67)</f>
        <v>1621</v>
      </c>
      <c r="GY39" s="4"/>
      <c r="GZ39" s="102">
        <v>184810</v>
      </c>
      <c r="HA39" s="137">
        <f t="shared" si="798"/>
        <v>114.00987044999999</v>
      </c>
      <c r="HB39" s="110">
        <f t="shared" ref="HB39" si="923">IF(HE39&gt;0,HE39/GZ39,0)</f>
        <v>4.8899999999999997</v>
      </c>
      <c r="HC39" s="138">
        <f t="shared" si="799"/>
        <v>557.50827000000004</v>
      </c>
      <c r="HD39" s="110">
        <f t="shared" si="800"/>
        <v>903720.91</v>
      </c>
      <c r="HE39" s="102">
        <f>1914631.6-1010000</f>
        <v>904631.6</v>
      </c>
      <c r="HF39" s="139">
        <f t="shared" ref="HF39" si="924">HE39-HD39</f>
        <v>910.69</v>
      </c>
      <c r="HG39" s="140">
        <f t="shared" si="801"/>
        <v>0.69915000000000005</v>
      </c>
      <c r="HH39" s="18">
        <f t="shared" ref="HH39" si="925">SUM(HH42:HH67)</f>
        <v>1152</v>
      </c>
      <c r="HI39" s="4"/>
      <c r="HJ39" s="102">
        <v>102660</v>
      </c>
      <c r="HK39" s="137">
        <f t="shared" si="804"/>
        <v>89.114583330000002</v>
      </c>
      <c r="HL39" s="110">
        <f t="shared" ref="HL39" si="926">IF(HO39&gt;0,HO39/HJ39,0)</f>
        <v>5.98</v>
      </c>
      <c r="HM39" s="138">
        <f t="shared" si="805"/>
        <v>532.90521000000001</v>
      </c>
      <c r="HN39" s="110">
        <f t="shared" si="806"/>
        <v>613906.80000000005</v>
      </c>
      <c r="HO39" s="102">
        <f>1063557.6-449616</f>
        <v>613941.6</v>
      </c>
      <c r="HP39" s="139">
        <f t="shared" ref="HP39" si="927">HO39-HN39</f>
        <v>34.799999999999997</v>
      </c>
      <c r="HQ39" s="140">
        <f t="shared" si="807"/>
        <v>0.66830000000000001</v>
      </c>
      <c r="HR39" s="18">
        <f t="shared" ref="HR39" si="928">SUM(HR42:HR67)</f>
        <v>788</v>
      </c>
      <c r="HS39" s="4"/>
      <c r="HT39" s="102">
        <v>39200</v>
      </c>
      <c r="HU39" s="137">
        <f t="shared" si="810"/>
        <v>49.746192890000003</v>
      </c>
      <c r="HV39" s="110">
        <f t="shared" ref="HV39" si="929">IF(HY39&gt;0,HY39/HT39,0)</f>
        <v>9.76</v>
      </c>
      <c r="HW39" s="138">
        <f t="shared" si="812"/>
        <v>485.52283999999997</v>
      </c>
      <c r="HX39" s="110">
        <f t="shared" si="813"/>
        <v>382592</v>
      </c>
      <c r="HY39" s="102">
        <f>406112-23712</f>
        <v>382400</v>
      </c>
      <c r="HZ39" s="139">
        <f t="shared" ref="HZ39" si="930">HY39-HX39</f>
        <v>-192</v>
      </c>
      <c r="IA39" s="140">
        <f t="shared" si="814"/>
        <v>0.60887999999999998</v>
      </c>
      <c r="IB39" s="18">
        <f t="shared" ref="IB39" si="931">SUM(IB42:IB67)</f>
        <v>548</v>
      </c>
      <c r="IC39" s="4"/>
      <c r="ID39" s="102">
        <v>32590</v>
      </c>
      <c r="IE39" s="137">
        <f t="shared" si="817"/>
        <v>59.470802919999997</v>
      </c>
      <c r="IF39" s="110">
        <f t="shared" ref="IF39" si="932">IF(II39&gt;0,II39/ID39,0)</f>
        <v>7.76</v>
      </c>
      <c r="IG39" s="138">
        <f t="shared" si="818"/>
        <v>461.49342999999999</v>
      </c>
      <c r="IH39" s="110">
        <f t="shared" si="819"/>
        <v>252898.4</v>
      </c>
      <c r="II39" s="102">
        <f>337632.4-84861.6</f>
        <v>252770.8</v>
      </c>
      <c r="IJ39" s="139">
        <f t="shared" ref="IJ39" si="933">II39-IH39</f>
        <v>-127.6</v>
      </c>
      <c r="IK39" s="140">
        <f t="shared" si="820"/>
        <v>0.57874000000000003</v>
      </c>
      <c r="IL39" s="18">
        <f t="shared" ref="IL39" si="934">SUM(IL42:IL67)</f>
        <v>1265</v>
      </c>
      <c r="IM39" s="4"/>
      <c r="IN39" s="102">
        <v>52330</v>
      </c>
      <c r="IO39" s="137">
        <f t="shared" si="823"/>
        <v>41.367588929999997</v>
      </c>
      <c r="IP39" s="110">
        <f t="shared" ref="IP39" si="935">IF(IS39&gt;0,IS39/IN39,0)</f>
        <v>7.4</v>
      </c>
      <c r="IQ39" s="138">
        <f t="shared" si="824"/>
        <v>306.12016</v>
      </c>
      <c r="IR39" s="110">
        <f t="shared" si="825"/>
        <v>387242</v>
      </c>
      <c r="IS39" s="102">
        <f>542138.8-154903.2</f>
        <v>387235.6</v>
      </c>
      <c r="IT39" s="139">
        <f t="shared" ref="IT39" si="936">IS39-IR39</f>
        <v>-6.4</v>
      </c>
      <c r="IU39" s="140">
        <f t="shared" si="826"/>
        <v>0.38390000000000002</v>
      </c>
      <c r="IV39" s="18">
        <f t="shared" ref="IV39" si="937">SUM(IV42:IV67)</f>
        <v>771</v>
      </c>
      <c r="IW39" s="4"/>
      <c r="IX39" s="102">
        <v>40940</v>
      </c>
      <c r="IY39" s="137">
        <f t="shared" si="829"/>
        <v>53.099870299999999</v>
      </c>
      <c r="IZ39" s="110">
        <f t="shared" ref="IZ39" si="938">IF(JC39&gt;0,JC39/IX39,0)</f>
        <v>9.64</v>
      </c>
      <c r="JA39" s="138">
        <f t="shared" si="830"/>
        <v>511.88274999999999</v>
      </c>
      <c r="JB39" s="110">
        <f t="shared" si="831"/>
        <v>394661.6</v>
      </c>
      <c r="JC39" s="102">
        <f>424138.4-29640</f>
        <v>394498.4</v>
      </c>
      <c r="JD39" s="139">
        <f t="shared" ref="JD39" si="939">JC39-JB39</f>
        <v>-163.19999999999999</v>
      </c>
      <c r="JE39" s="140">
        <f t="shared" si="832"/>
        <v>0.64193999999999996</v>
      </c>
      <c r="JF39" s="18">
        <f t="shared" ref="JF39" si="940">SUM(JF42:JF67)</f>
        <v>1341</v>
      </c>
      <c r="JG39" s="4"/>
      <c r="JH39" s="102">
        <v>108960</v>
      </c>
      <c r="JI39" s="137">
        <f t="shared" si="835"/>
        <v>81.252796419999996</v>
      </c>
      <c r="JJ39" s="110">
        <f t="shared" ref="JJ39" si="941">IF(JM39&gt;0,JM39/JH39,0)</f>
        <v>9.1</v>
      </c>
      <c r="JK39" s="138">
        <f t="shared" si="836"/>
        <v>739.40044999999998</v>
      </c>
      <c r="JL39" s="110">
        <f t="shared" si="837"/>
        <v>991536</v>
      </c>
      <c r="JM39" s="102">
        <f>1128825.6-136800</f>
        <v>992025.59999999998</v>
      </c>
      <c r="JN39" s="139">
        <f t="shared" ref="JN39" si="942">JM39-JL39</f>
        <v>489.6</v>
      </c>
      <c r="JO39" s="140">
        <f t="shared" si="838"/>
        <v>0.92725999999999997</v>
      </c>
      <c r="JP39" s="18">
        <f t="shared" ref="JP39" si="943">SUM(JP42:JP67)</f>
        <v>1249</v>
      </c>
      <c r="JQ39" s="4"/>
      <c r="JR39" s="102">
        <v>130660</v>
      </c>
      <c r="JS39" s="137">
        <f t="shared" si="841"/>
        <v>104.61168935000001</v>
      </c>
      <c r="JT39" s="110">
        <f t="shared" ref="JT39" si="944">IF(JW39&gt;0,JW39/JR39,0)</f>
        <v>10.15</v>
      </c>
      <c r="JU39" s="138">
        <f t="shared" si="842"/>
        <v>1061.8086499999999</v>
      </c>
      <c r="JV39" s="110">
        <f t="shared" si="843"/>
        <v>1326199</v>
      </c>
      <c r="JW39" s="102">
        <f>1353637.6-27360</f>
        <v>1326277.6000000001</v>
      </c>
      <c r="JX39" s="139">
        <f t="shared" ref="JX39" si="945">JW39-JV39</f>
        <v>78.599999999999994</v>
      </c>
      <c r="JY39" s="140">
        <f t="shared" si="844"/>
        <v>1.33158</v>
      </c>
      <c r="JZ39" s="18">
        <f t="shared" ref="JZ39" si="946">SUM(JZ42:JZ67)</f>
        <v>1163</v>
      </c>
      <c r="KA39" s="4"/>
      <c r="KB39" s="102">
        <v>163040</v>
      </c>
      <c r="KC39" s="137">
        <f t="shared" si="847"/>
        <v>140.18916594999999</v>
      </c>
      <c r="KD39" s="110">
        <f t="shared" ref="KD39" si="947">IF(KG39&gt;0,KG39/KB39,0)</f>
        <v>8.14</v>
      </c>
      <c r="KE39" s="138">
        <f t="shared" si="848"/>
        <v>1141.1398099999999</v>
      </c>
      <c r="KF39" s="110">
        <f t="shared" si="849"/>
        <v>1327145.6000000001</v>
      </c>
      <c r="KG39" s="102">
        <f>1689094.4-362000</f>
        <v>1327094.3999999999</v>
      </c>
      <c r="KH39" s="139">
        <f t="shared" ref="KH39" si="948">KG39-KF39</f>
        <v>-51.2</v>
      </c>
      <c r="KI39" s="140">
        <f t="shared" si="850"/>
        <v>1.4310700000000001</v>
      </c>
      <c r="KJ39" s="18">
        <f t="shared" ref="KJ39" si="949">SUM(KJ42:KJ67)</f>
        <v>1341</v>
      </c>
      <c r="KK39" s="4"/>
      <c r="KL39" s="102">
        <v>70220</v>
      </c>
      <c r="KM39" s="137">
        <f t="shared" si="853"/>
        <v>52.363907529999999</v>
      </c>
      <c r="KN39" s="110">
        <f t="shared" ref="KN39" si="950">IF(KQ39&gt;0,KQ39/KL39,0)</f>
        <v>9.02</v>
      </c>
      <c r="KO39" s="138">
        <f t="shared" si="855"/>
        <v>472.32245</v>
      </c>
      <c r="KP39" s="110">
        <f t="shared" si="856"/>
        <v>633384.41</v>
      </c>
      <c r="KQ39" s="102">
        <f>727479.2-93888</f>
        <v>633591.19999999995</v>
      </c>
      <c r="KR39" s="139">
        <f t="shared" ref="KR39" si="951">KQ39-KP39</f>
        <v>206.79</v>
      </c>
      <c r="KS39" s="140">
        <f t="shared" si="857"/>
        <v>0.59231999999999996</v>
      </c>
      <c r="KT39" s="18">
        <f t="shared" ref="KT39" si="952">SUM(KT42:KT67)</f>
        <v>1124</v>
      </c>
      <c r="KU39" s="4"/>
      <c r="KV39" s="102">
        <v>450000</v>
      </c>
      <c r="KW39" s="137">
        <f t="shared" si="860"/>
        <v>400.35587189</v>
      </c>
      <c r="KX39" s="110">
        <f t="shared" ref="KX39" si="953">IF(LA39&gt;0,LA39/KV39,0)</f>
        <v>9.94</v>
      </c>
      <c r="KY39" s="138">
        <f t="shared" si="861"/>
        <v>3979.53737</v>
      </c>
      <c r="KZ39" s="110">
        <f t="shared" si="862"/>
        <v>4473000</v>
      </c>
      <c r="LA39" s="102">
        <f>4662000-190210.8</f>
        <v>4471789.2</v>
      </c>
      <c r="LB39" s="139">
        <f t="shared" ref="LB39" si="954">LA39-KZ39</f>
        <v>-1210.8</v>
      </c>
      <c r="LC39" s="140">
        <f t="shared" si="863"/>
        <v>4.9906100000000002</v>
      </c>
      <c r="LD39" s="18">
        <f>SUM(LD42:LD67)</f>
        <v>28544</v>
      </c>
      <c r="LE39" s="4"/>
      <c r="LF39" s="145">
        <f>H39+R39+AB39+AL39+AV39+BF39+BP39+BZ39+CJ39+CT39+DD39+DN39+DX39+EH39+ER39+FB39+FL39+FV39+GF39+GP39+GZ39+HJ39+HT39+ID39+IN39+IX39+JH39+JR39+KB39+KL39+KV39</f>
        <v>2690440</v>
      </c>
      <c r="LG39" s="137">
        <f>IF(LD39&gt;0,LF39/LD39,0)</f>
        <v>94.255885649999996</v>
      </c>
      <c r="LH39" s="110">
        <f>IF(LK39&gt;0,LK39/LF39,0)</f>
        <v>8.4600000000000009</v>
      </c>
      <c r="LI39" s="138">
        <f>LG39*LH39</f>
        <v>797.40479000000005</v>
      </c>
      <c r="LJ39" s="110">
        <f>LI39*LD39</f>
        <v>22761122.329999998</v>
      </c>
      <c r="LK39" s="145">
        <f>M39+W39+AG39+AQ39+BA39+BK39+BU39+CE39+CO39+CY39+DI39+DS39+EC39+EM39+EW39+FG39+FQ39+GA39+GK39+GU39+HE39+HO39+HY39+II39+IS39+JC39+JM39+JW39+KG39+KQ39+LA39</f>
        <v>22765036.559999999</v>
      </c>
      <c r="LL39" s="139">
        <f>LK39-LJ39</f>
        <v>3914.23</v>
      </c>
    </row>
    <row r="40" spans="1:324" s="132" customFormat="1" x14ac:dyDescent="0.25">
      <c r="A40" s="130"/>
      <c r="B40" s="131" t="s">
        <v>467</v>
      </c>
      <c r="C40" s="131"/>
      <c r="D40" s="131"/>
      <c r="E40" s="131"/>
      <c r="F40" s="141"/>
      <c r="G40" s="131"/>
      <c r="H40" s="139">
        <f>H39-(SUM(H42:H67))</f>
        <v>0.01</v>
      </c>
      <c r="I40" s="142"/>
      <c r="J40" s="139"/>
      <c r="K40" s="143"/>
      <c r="L40" s="139">
        <f>L39-(SUM(L42:L67))</f>
        <v>0.08</v>
      </c>
      <c r="M40" s="139"/>
      <c r="N40" s="139"/>
      <c r="O40" s="131"/>
      <c r="P40" s="141"/>
      <c r="Q40" s="131"/>
      <c r="R40" s="139">
        <f t="shared" ref="R40" si="955">R39-(SUM(R42:R67))</f>
        <v>-0.77</v>
      </c>
      <c r="S40" s="142"/>
      <c r="T40" s="139"/>
      <c r="U40" s="143"/>
      <c r="V40" s="139">
        <f t="shared" ref="V40" si="956">V39-(SUM(V42:V67))</f>
        <v>-6.33</v>
      </c>
      <c r="W40" s="139"/>
      <c r="X40" s="139"/>
      <c r="Y40" s="131"/>
      <c r="Z40" s="141"/>
      <c r="AA40" s="131"/>
      <c r="AB40" s="139">
        <f t="shared" ref="AB40" si="957">AB39-(SUM(AB42:AB67))</f>
        <v>0.01</v>
      </c>
      <c r="AC40" s="142"/>
      <c r="AD40" s="139"/>
      <c r="AE40" s="143"/>
      <c r="AF40" s="139">
        <f t="shared" ref="AF40" si="958">AF39-(SUM(AF42:AF67))</f>
        <v>0.09</v>
      </c>
      <c r="AG40" s="139"/>
      <c r="AH40" s="139"/>
      <c r="AI40" s="131"/>
      <c r="AJ40" s="141"/>
      <c r="AK40" s="131"/>
      <c r="AL40" s="139">
        <f t="shared" ref="AL40" si="959">AL39-(SUM(AL42:AL67))</f>
        <v>-0.01</v>
      </c>
      <c r="AM40" s="142"/>
      <c r="AN40" s="139"/>
      <c r="AO40" s="143"/>
      <c r="AP40" s="139">
        <f t="shared" ref="AP40" si="960">AP39-(SUM(AP42:AP67))</f>
        <v>-7.0000000000000007E-2</v>
      </c>
      <c r="AQ40" s="139"/>
      <c r="AR40" s="139"/>
      <c r="AS40" s="131"/>
      <c r="AT40" s="141"/>
      <c r="AU40" s="131"/>
      <c r="AV40" s="139">
        <f t="shared" ref="AV40" si="961">AV39-(SUM(AV42:AV67))</f>
        <v>0.01</v>
      </c>
      <c r="AW40" s="142"/>
      <c r="AX40" s="139"/>
      <c r="AY40" s="143"/>
      <c r="AZ40" s="139">
        <f t="shared" ref="AZ40" si="962">AZ39-(SUM(AZ42:AZ67))</f>
        <v>7.0000000000000007E-2</v>
      </c>
      <c r="BA40" s="139"/>
      <c r="BB40" s="139"/>
      <c r="BC40" s="131"/>
      <c r="BD40" s="141"/>
      <c r="BE40" s="131"/>
      <c r="BF40" s="139">
        <f t="shared" ref="BF40" si="963">BF39-(SUM(BF42:BF67))</f>
        <v>0</v>
      </c>
      <c r="BG40" s="142"/>
      <c r="BH40" s="139"/>
      <c r="BI40" s="143"/>
      <c r="BJ40" s="139">
        <f t="shared" ref="BJ40" si="964">BJ39-(SUM(BJ42:BJ67))</f>
        <v>0</v>
      </c>
      <c r="BK40" s="139"/>
      <c r="BL40" s="139"/>
      <c r="BM40" s="131"/>
      <c r="BN40" s="141"/>
      <c r="BO40" s="131"/>
      <c r="BP40" s="139">
        <f t="shared" ref="BP40" si="965">BP39-(SUM(BP42:BP67))</f>
        <v>0</v>
      </c>
      <c r="BQ40" s="142"/>
      <c r="BR40" s="139"/>
      <c r="BS40" s="143"/>
      <c r="BT40" s="139">
        <f t="shared" ref="BT40" si="966">BT39-(SUM(BT42:BT67))</f>
        <v>0</v>
      </c>
      <c r="BU40" s="139"/>
      <c r="BV40" s="139"/>
      <c r="BW40" s="131"/>
      <c r="BX40" s="141"/>
      <c r="BY40" s="131"/>
      <c r="BZ40" s="139">
        <f t="shared" ref="BZ40" si="967">BZ39-(SUM(BZ42:BZ67))</f>
        <v>-0.01</v>
      </c>
      <c r="CA40" s="142"/>
      <c r="CB40" s="139"/>
      <c r="CC40" s="143"/>
      <c r="CD40" s="139">
        <f t="shared" ref="CD40" si="968">CD39-(SUM(CD42:CD67))</f>
        <v>-0.09</v>
      </c>
      <c r="CE40" s="139"/>
      <c r="CF40" s="139"/>
      <c r="CG40" s="131"/>
      <c r="CH40" s="141"/>
      <c r="CI40" s="131"/>
      <c r="CJ40" s="139">
        <f t="shared" ref="CJ40" si="969">CJ39-(SUM(CJ42:CJ67))</f>
        <v>0.01</v>
      </c>
      <c r="CK40" s="142"/>
      <c r="CL40" s="139"/>
      <c r="CM40" s="143"/>
      <c r="CN40" s="139">
        <f t="shared" ref="CN40" si="970">CN39-(SUM(CN42:CN67))</f>
        <v>7.0000000000000007E-2</v>
      </c>
      <c r="CO40" s="139"/>
      <c r="CP40" s="139"/>
      <c r="CQ40" s="131"/>
      <c r="CR40" s="141"/>
      <c r="CS40" s="131"/>
      <c r="CT40" s="139">
        <f t="shared" ref="CT40" si="971">CT39-(SUM(CT42:CT67))</f>
        <v>0</v>
      </c>
      <c r="CU40" s="142"/>
      <c r="CV40" s="139"/>
      <c r="CW40" s="143"/>
      <c r="CX40" s="139">
        <f t="shared" ref="CX40" si="972">CX39-(SUM(CX42:CX67))</f>
        <v>0</v>
      </c>
      <c r="CY40" s="139"/>
      <c r="CZ40" s="139"/>
      <c r="DA40" s="131"/>
      <c r="DB40" s="141"/>
      <c r="DC40" s="131"/>
      <c r="DD40" s="139">
        <f t="shared" ref="DD40" si="973">DD39-(SUM(DD42:DD67))</f>
        <v>0.01</v>
      </c>
      <c r="DE40" s="142"/>
      <c r="DF40" s="139"/>
      <c r="DG40" s="143"/>
      <c r="DH40" s="139">
        <f t="shared" ref="DH40" si="974">DH39-(SUM(DH42:DH67))</f>
        <v>7.0000000000000007E-2</v>
      </c>
      <c r="DI40" s="139"/>
      <c r="DJ40" s="139"/>
      <c r="DK40" s="131"/>
      <c r="DL40" s="141"/>
      <c r="DM40" s="131"/>
      <c r="DN40" s="139">
        <f t="shared" ref="DN40" si="975">DN39-(SUM(DN42:DN67))</f>
        <v>-0.01</v>
      </c>
      <c r="DO40" s="142"/>
      <c r="DP40" s="139"/>
      <c r="DQ40" s="143"/>
      <c r="DR40" s="139">
        <f t="shared" ref="DR40" si="976">DR39-(SUM(DR42:DR67))</f>
        <v>-0.09</v>
      </c>
      <c r="DS40" s="139"/>
      <c r="DT40" s="139"/>
      <c r="DU40" s="131"/>
      <c r="DV40" s="141"/>
      <c r="DW40" s="131"/>
      <c r="DX40" s="139">
        <f t="shared" ref="DX40" si="977">DX39-(SUM(DX42:DX67))</f>
        <v>0</v>
      </c>
      <c r="DY40" s="142"/>
      <c r="DZ40" s="139"/>
      <c r="EA40" s="143"/>
      <c r="EB40" s="139">
        <f t="shared" ref="EB40" si="978">EB39-(SUM(EB42:EB67))</f>
        <v>-0.01</v>
      </c>
      <c r="EC40" s="139"/>
      <c r="ED40" s="139"/>
      <c r="EE40" s="131"/>
      <c r="EF40" s="141"/>
      <c r="EG40" s="131"/>
      <c r="EH40" s="139">
        <f t="shared" ref="EH40" si="979">EH39-(SUM(EH42:EH67))</f>
        <v>1.18</v>
      </c>
      <c r="EI40" s="142"/>
      <c r="EJ40" s="139"/>
      <c r="EK40" s="143"/>
      <c r="EL40" s="139">
        <f t="shared" ref="EL40" si="980">EL39-(SUM(EL42:EL67))</f>
        <v>9</v>
      </c>
      <c r="EM40" s="139"/>
      <c r="EN40" s="139"/>
      <c r="EO40" s="131"/>
      <c r="EP40" s="141"/>
      <c r="EQ40" s="131"/>
      <c r="ER40" s="139">
        <f t="shared" ref="ER40" si="981">ER39-(SUM(ER42:ER67))</f>
        <v>0.66</v>
      </c>
      <c r="ES40" s="142"/>
      <c r="ET40" s="139"/>
      <c r="EU40" s="143"/>
      <c r="EV40" s="139">
        <f t="shared" ref="EV40" si="982">EV39-(SUM(EV42:EV67))</f>
        <v>5.26</v>
      </c>
      <c r="EW40" s="139"/>
      <c r="EX40" s="139"/>
      <c r="EY40" s="131"/>
      <c r="EZ40" s="141"/>
      <c r="FA40" s="131"/>
      <c r="FB40" s="139">
        <f t="shared" ref="FB40" si="983">FB39-(SUM(FB42:FB67))</f>
        <v>-1.32</v>
      </c>
      <c r="FC40" s="142"/>
      <c r="FD40" s="139"/>
      <c r="FE40" s="143"/>
      <c r="FF40" s="139">
        <f t="shared" ref="FF40" si="984">FF39-(SUM(FF42:FF67))</f>
        <v>-13.46</v>
      </c>
      <c r="FG40" s="139"/>
      <c r="FH40" s="139"/>
      <c r="FI40" s="131"/>
      <c r="FJ40" s="141"/>
      <c r="FK40" s="131"/>
      <c r="FL40" s="139">
        <f t="shared" ref="FL40" si="985">FL39-(SUM(FL42:FL67))</f>
        <v>0</v>
      </c>
      <c r="FM40" s="142"/>
      <c r="FN40" s="139"/>
      <c r="FO40" s="143"/>
      <c r="FP40" s="139">
        <f t="shared" ref="FP40" si="986">FP39-(SUM(FP42:FP67))</f>
        <v>0</v>
      </c>
      <c r="FQ40" s="139"/>
      <c r="FR40" s="139"/>
      <c r="FS40" s="131"/>
      <c r="FT40" s="141"/>
      <c r="FU40" s="131"/>
      <c r="FV40" s="139">
        <f t="shared" ref="FV40" si="987">FV39-(SUM(FV42:FV67))</f>
        <v>-0.51</v>
      </c>
      <c r="FW40" s="142"/>
      <c r="FX40" s="139"/>
      <c r="FY40" s="143"/>
      <c r="FZ40" s="139">
        <f t="shared" ref="FZ40" si="988">FZ39-(SUM(FZ42:FZ67))</f>
        <v>-4.88</v>
      </c>
      <c r="GA40" s="139"/>
      <c r="GB40" s="139"/>
      <c r="GC40" s="131"/>
      <c r="GD40" s="141"/>
      <c r="GE40" s="131"/>
      <c r="GF40" s="139">
        <f t="shared" ref="GF40" si="989">GF39-(SUM(GF42:GF67))</f>
        <v>-0.01</v>
      </c>
      <c r="GG40" s="142"/>
      <c r="GH40" s="139"/>
      <c r="GI40" s="143"/>
      <c r="GJ40" s="139">
        <f t="shared" ref="GJ40" si="990">GJ39-(SUM(GJ42:GJ67))</f>
        <v>-0.09</v>
      </c>
      <c r="GK40" s="139"/>
      <c r="GL40" s="139"/>
      <c r="GM40" s="131"/>
      <c r="GN40" s="141"/>
      <c r="GO40" s="131"/>
      <c r="GP40" s="139">
        <f t="shared" ref="GP40" si="991">GP39-(SUM(GP42:GP67))</f>
        <v>1.04</v>
      </c>
      <c r="GQ40" s="142"/>
      <c r="GR40" s="139"/>
      <c r="GS40" s="143"/>
      <c r="GT40" s="139">
        <f t="shared" ref="GT40" si="992">GT39-(SUM(GT42:GT67))</f>
        <v>7.92</v>
      </c>
      <c r="GU40" s="139"/>
      <c r="GV40" s="139"/>
      <c r="GW40" s="131"/>
      <c r="GX40" s="141"/>
      <c r="GY40" s="131"/>
      <c r="GZ40" s="139">
        <f t="shared" ref="GZ40" si="993">GZ39-(SUM(GZ42:GZ67))</f>
        <v>0</v>
      </c>
      <c r="HA40" s="142"/>
      <c r="HB40" s="139"/>
      <c r="HC40" s="143"/>
      <c r="HD40" s="139">
        <f t="shared" ref="HD40" si="994">HD39-(SUM(HD42:HD67))</f>
        <v>0</v>
      </c>
      <c r="HE40" s="139"/>
      <c r="HF40" s="139"/>
      <c r="HG40" s="131"/>
      <c r="HH40" s="141"/>
      <c r="HI40" s="131"/>
      <c r="HJ40" s="139">
        <f t="shared" ref="HJ40" si="995">HJ39-(SUM(HJ42:HJ67))</f>
        <v>0</v>
      </c>
      <c r="HK40" s="142"/>
      <c r="HL40" s="139"/>
      <c r="HM40" s="143"/>
      <c r="HN40" s="139">
        <f t="shared" ref="HN40" si="996">HN39-(SUM(HN42:HN67))</f>
        <v>0</v>
      </c>
      <c r="HO40" s="139"/>
      <c r="HP40" s="139"/>
      <c r="HQ40" s="131"/>
      <c r="HR40" s="141"/>
      <c r="HS40" s="131"/>
      <c r="HT40" s="139">
        <f t="shared" ref="HT40" si="997">HT39-(SUM(HT42:HT67))</f>
        <v>-0.39</v>
      </c>
      <c r="HU40" s="142"/>
      <c r="HV40" s="139"/>
      <c r="HW40" s="143"/>
      <c r="HX40" s="139">
        <f t="shared" ref="HX40" si="998">HX39-(SUM(HX42:HX67))</f>
        <v>-3.81</v>
      </c>
      <c r="HY40" s="139"/>
      <c r="HZ40" s="139"/>
      <c r="IA40" s="131"/>
      <c r="IB40" s="141"/>
      <c r="IC40" s="131"/>
      <c r="ID40" s="139">
        <f t="shared" ref="ID40" si="999">ID39-(SUM(ID42:ID67))</f>
        <v>0</v>
      </c>
      <c r="IE40" s="142"/>
      <c r="IF40" s="139"/>
      <c r="IG40" s="143"/>
      <c r="IH40" s="139">
        <f t="shared" ref="IH40" si="1000">IH39-(SUM(IH42:IH67))</f>
        <v>0.01</v>
      </c>
      <c r="II40" s="139"/>
      <c r="IJ40" s="139"/>
      <c r="IK40" s="131"/>
      <c r="IL40" s="141"/>
      <c r="IM40" s="131"/>
      <c r="IN40" s="139">
        <f t="shared" ref="IN40" si="1001">IN39-(SUM(IN42:IN67))</f>
        <v>0.01</v>
      </c>
      <c r="IO40" s="142"/>
      <c r="IP40" s="139"/>
      <c r="IQ40" s="143"/>
      <c r="IR40" s="139">
        <f t="shared" ref="IR40" si="1002">IR39-(SUM(IR42:IR67))</f>
        <v>7.0000000000000007E-2</v>
      </c>
      <c r="IS40" s="139"/>
      <c r="IT40" s="139"/>
      <c r="IU40" s="131"/>
      <c r="IV40" s="141"/>
      <c r="IW40" s="131"/>
      <c r="IX40" s="139">
        <f t="shared" ref="IX40" si="1003">IX39-(SUM(IX42:IX67))</f>
        <v>0.41</v>
      </c>
      <c r="IY40" s="142"/>
      <c r="IZ40" s="139"/>
      <c r="JA40" s="143"/>
      <c r="JB40" s="139">
        <f t="shared" ref="JB40" si="1004">JB39-(SUM(JB42:JB67))</f>
        <v>3.96</v>
      </c>
      <c r="JC40" s="139"/>
      <c r="JD40" s="139"/>
      <c r="JE40" s="131"/>
      <c r="JF40" s="141"/>
      <c r="JG40" s="131"/>
      <c r="JH40" s="139">
        <f t="shared" ref="JH40" si="1005">JH39-(SUM(JH42:JH67))</f>
        <v>0</v>
      </c>
      <c r="JI40" s="142"/>
      <c r="JJ40" s="139"/>
      <c r="JK40" s="143"/>
      <c r="JL40" s="139">
        <f t="shared" ref="JL40" si="1006">JL39-(SUM(JL42:JL67))</f>
        <v>-0.01</v>
      </c>
      <c r="JM40" s="139"/>
      <c r="JN40" s="139"/>
      <c r="JO40" s="131"/>
      <c r="JP40" s="141"/>
      <c r="JQ40" s="131"/>
      <c r="JR40" s="139">
        <f t="shared" ref="JR40" si="1007">JR39-(SUM(JR42:JR67))</f>
        <v>1.3</v>
      </c>
      <c r="JS40" s="142"/>
      <c r="JT40" s="139"/>
      <c r="JU40" s="143"/>
      <c r="JV40" s="139">
        <f t="shared" ref="JV40" si="1008">JV39-(SUM(JV42:JV67))</f>
        <v>13.18</v>
      </c>
      <c r="JW40" s="139"/>
      <c r="JX40" s="139"/>
      <c r="JY40" s="131"/>
      <c r="JZ40" s="141"/>
      <c r="KA40" s="131"/>
      <c r="KB40" s="139">
        <f t="shared" ref="KB40" si="1009">KB39-(SUM(KB42:KB67))</f>
        <v>0</v>
      </c>
      <c r="KC40" s="142"/>
      <c r="KD40" s="139"/>
      <c r="KE40" s="143"/>
      <c r="KF40" s="139">
        <f t="shared" ref="KF40" si="1010">KF39-(SUM(KF42:KF67))</f>
        <v>0</v>
      </c>
      <c r="KG40" s="139"/>
      <c r="KH40" s="139"/>
      <c r="KI40" s="131"/>
      <c r="KJ40" s="141"/>
      <c r="KK40" s="131"/>
      <c r="KL40" s="139">
        <f t="shared" ref="KL40" si="1011">KL39-(SUM(KL42:KL67))</f>
        <v>-0.7</v>
      </c>
      <c r="KM40" s="142"/>
      <c r="KN40" s="139"/>
      <c r="KO40" s="143"/>
      <c r="KP40" s="139">
        <f t="shared" ref="KP40" si="1012">KP39-(SUM(KP42:KP67))</f>
        <v>-6.3</v>
      </c>
      <c r="KQ40" s="139"/>
      <c r="KR40" s="139"/>
      <c r="KS40" s="131"/>
      <c r="KT40" s="141"/>
      <c r="KU40" s="131"/>
      <c r="KV40" s="139">
        <f t="shared" ref="KV40" si="1013">KV39-(SUM(KV42:KV67))</f>
        <v>0</v>
      </c>
      <c r="KW40" s="142"/>
      <c r="KX40" s="139"/>
      <c r="KY40" s="143"/>
      <c r="KZ40" s="139">
        <f t="shared" ref="KZ40" si="1014">KZ39-(SUM(KZ42:KZ67))</f>
        <v>0</v>
      </c>
      <c r="LA40" s="139"/>
      <c r="LB40" s="139"/>
      <c r="LC40" s="131"/>
      <c r="LD40" s="141"/>
      <c r="LE40" s="131"/>
      <c r="LF40" s="139">
        <f>LF39-(SUM(LF42:LF67))</f>
        <v>-26.88</v>
      </c>
      <c r="LG40" s="142"/>
      <c r="LH40" s="139"/>
      <c r="LI40" s="143"/>
      <c r="LJ40" s="139">
        <f>LJ39-(SUM(LJ42:LJ67))</f>
        <v>-227.49</v>
      </c>
      <c r="LK40" s="139"/>
      <c r="LL40" s="139"/>
    </row>
    <row r="41" spans="1:324" s="132" customFormat="1" x14ac:dyDescent="0.25">
      <c r="A41" s="244"/>
      <c r="B41" s="244" t="s">
        <v>853</v>
      </c>
      <c r="C41" s="131"/>
      <c r="D41" s="131"/>
      <c r="E41" s="131"/>
      <c r="F41" s="141"/>
      <c r="G41" s="131"/>
      <c r="H41" s="139"/>
      <c r="I41" s="142"/>
      <c r="J41" s="139"/>
      <c r="K41" s="143"/>
      <c r="L41" s="139"/>
      <c r="M41" s="139"/>
      <c r="N41" s="139"/>
      <c r="O41" s="131"/>
      <c r="P41" s="141"/>
      <c r="Q41" s="131"/>
      <c r="R41" s="139"/>
      <c r="S41" s="142"/>
      <c r="T41" s="139"/>
      <c r="U41" s="143"/>
      <c r="V41" s="139"/>
      <c r="W41" s="139"/>
      <c r="X41" s="139"/>
      <c r="Y41" s="131"/>
      <c r="Z41" s="141"/>
      <c r="AA41" s="131"/>
      <c r="AB41" s="139"/>
      <c r="AC41" s="142"/>
      <c r="AD41" s="139"/>
      <c r="AE41" s="143"/>
      <c r="AF41" s="139"/>
      <c r="AG41" s="139"/>
      <c r="AH41" s="139"/>
      <c r="AI41" s="131"/>
      <c r="AJ41" s="141"/>
      <c r="AK41" s="131"/>
      <c r="AL41" s="139"/>
      <c r="AM41" s="142"/>
      <c r="AN41" s="139"/>
      <c r="AO41" s="143"/>
      <c r="AP41" s="139"/>
      <c r="AQ41" s="139"/>
      <c r="AR41" s="139"/>
      <c r="AS41" s="131"/>
      <c r="AT41" s="141"/>
      <c r="AU41" s="131"/>
      <c r="AV41" s="139"/>
      <c r="AW41" s="142"/>
      <c r="AX41" s="139"/>
      <c r="AY41" s="143"/>
      <c r="AZ41" s="139"/>
      <c r="BA41" s="139"/>
      <c r="BB41" s="139"/>
      <c r="BC41" s="131"/>
      <c r="BD41" s="141"/>
      <c r="BE41" s="131"/>
      <c r="BF41" s="139"/>
      <c r="BG41" s="142"/>
      <c r="BH41" s="139"/>
      <c r="BI41" s="143"/>
      <c r="BJ41" s="139"/>
      <c r="BK41" s="139"/>
      <c r="BL41" s="139"/>
      <c r="BM41" s="131"/>
      <c r="BN41" s="141"/>
      <c r="BO41" s="131"/>
      <c r="BP41" s="139"/>
      <c r="BQ41" s="142"/>
      <c r="BR41" s="139"/>
      <c r="BS41" s="143"/>
      <c r="BT41" s="139"/>
      <c r="BU41" s="139"/>
      <c r="BV41" s="139"/>
      <c r="BW41" s="131"/>
      <c r="BX41" s="141"/>
      <c r="BY41" s="131"/>
      <c r="BZ41" s="139"/>
      <c r="CA41" s="142"/>
      <c r="CB41" s="139"/>
      <c r="CC41" s="143"/>
      <c r="CD41" s="139"/>
      <c r="CE41" s="139"/>
      <c r="CF41" s="139"/>
      <c r="CG41" s="131"/>
      <c r="CH41" s="141"/>
      <c r="CI41" s="131"/>
      <c r="CJ41" s="139"/>
      <c r="CK41" s="142"/>
      <c r="CL41" s="139"/>
      <c r="CM41" s="143"/>
      <c r="CN41" s="139"/>
      <c r="CO41" s="139"/>
      <c r="CP41" s="139"/>
      <c r="CQ41" s="131"/>
      <c r="CR41" s="141"/>
      <c r="CS41" s="131"/>
      <c r="CT41" s="139"/>
      <c r="CU41" s="142"/>
      <c r="CV41" s="139"/>
      <c r="CW41" s="143"/>
      <c r="CX41" s="139"/>
      <c r="CY41" s="139"/>
      <c r="CZ41" s="139"/>
      <c r="DA41" s="131"/>
      <c r="DB41" s="141"/>
      <c r="DC41" s="131"/>
      <c r="DD41" s="139"/>
      <c r="DE41" s="142"/>
      <c r="DF41" s="139"/>
      <c r="DG41" s="143"/>
      <c r="DH41" s="139"/>
      <c r="DI41" s="139"/>
      <c r="DJ41" s="139"/>
      <c r="DK41" s="131"/>
      <c r="DL41" s="141"/>
      <c r="DM41" s="131"/>
      <c r="DN41" s="139"/>
      <c r="DO41" s="142"/>
      <c r="DP41" s="139"/>
      <c r="DQ41" s="143"/>
      <c r="DR41" s="139"/>
      <c r="DS41" s="139"/>
      <c r="DT41" s="139"/>
      <c r="DU41" s="131"/>
      <c r="DV41" s="141"/>
      <c r="DW41" s="131"/>
      <c r="DX41" s="139"/>
      <c r="DY41" s="142"/>
      <c r="DZ41" s="139"/>
      <c r="EA41" s="143"/>
      <c r="EB41" s="139"/>
      <c r="EC41" s="139"/>
      <c r="ED41" s="139"/>
      <c r="EE41" s="131"/>
      <c r="EF41" s="141"/>
      <c r="EG41" s="131"/>
      <c r="EH41" s="139"/>
      <c r="EI41" s="142"/>
      <c r="EJ41" s="139"/>
      <c r="EK41" s="143"/>
      <c r="EL41" s="139"/>
      <c r="EM41" s="139"/>
      <c r="EN41" s="139"/>
      <c r="EO41" s="131"/>
      <c r="EP41" s="141"/>
      <c r="EQ41" s="131"/>
      <c r="ER41" s="139"/>
      <c r="ES41" s="142"/>
      <c r="ET41" s="139"/>
      <c r="EU41" s="143"/>
      <c r="EV41" s="139"/>
      <c r="EW41" s="139"/>
      <c r="EX41" s="139"/>
      <c r="EY41" s="131"/>
      <c r="EZ41" s="141"/>
      <c r="FA41" s="131"/>
      <c r="FB41" s="139"/>
      <c r="FC41" s="142"/>
      <c r="FD41" s="139"/>
      <c r="FE41" s="143"/>
      <c r="FF41" s="139"/>
      <c r="FG41" s="139"/>
      <c r="FH41" s="139"/>
      <c r="FI41" s="131"/>
      <c r="FJ41" s="141"/>
      <c r="FK41" s="131"/>
      <c r="FL41" s="139"/>
      <c r="FM41" s="142"/>
      <c r="FN41" s="139"/>
      <c r="FO41" s="143"/>
      <c r="FP41" s="139"/>
      <c r="FQ41" s="139"/>
      <c r="FR41" s="139"/>
      <c r="FS41" s="131"/>
      <c r="FT41" s="141"/>
      <c r="FU41" s="131"/>
      <c r="FV41" s="139"/>
      <c r="FW41" s="142"/>
      <c r="FX41" s="139"/>
      <c r="FY41" s="143"/>
      <c r="FZ41" s="139"/>
      <c r="GA41" s="139"/>
      <c r="GB41" s="139"/>
      <c r="GC41" s="131"/>
      <c r="GD41" s="141"/>
      <c r="GE41" s="131"/>
      <c r="GF41" s="139"/>
      <c r="GG41" s="142"/>
      <c r="GH41" s="139"/>
      <c r="GI41" s="143"/>
      <c r="GJ41" s="139"/>
      <c r="GK41" s="139"/>
      <c r="GL41" s="139"/>
      <c r="GM41" s="131"/>
      <c r="GN41" s="141"/>
      <c r="GO41" s="131"/>
      <c r="GP41" s="139"/>
      <c r="GQ41" s="142"/>
      <c r="GR41" s="139"/>
      <c r="GS41" s="143"/>
      <c r="GT41" s="139"/>
      <c r="GU41" s="139"/>
      <c r="GV41" s="139"/>
      <c r="GW41" s="131"/>
      <c r="GX41" s="141"/>
      <c r="GY41" s="131"/>
      <c r="GZ41" s="139"/>
      <c r="HA41" s="142"/>
      <c r="HB41" s="139"/>
      <c r="HC41" s="143"/>
      <c r="HD41" s="139"/>
      <c r="HE41" s="139"/>
      <c r="HF41" s="139"/>
      <c r="HG41" s="131"/>
      <c r="HH41" s="141"/>
      <c r="HI41" s="131"/>
      <c r="HJ41" s="139"/>
      <c r="HK41" s="142"/>
      <c r="HL41" s="139"/>
      <c r="HM41" s="143"/>
      <c r="HN41" s="139"/>
      <c r="HO41" s="139"/>
      <c r="HP41" s="139"/>
      <c r="HQ41" s="131"/>
      <c r="HR41" s="141"/>
      <c r="HS41" s="131"/>
      <c r="HT41" s="139"/>
      <c r="HU41" s="142"/>
      <c r="HV41" s="139"/>
      <c r="HW41" s="143"/>
      <c r="HX41" s="139"/>
      <c r="HY41" s="139"/>
      <c r="HZ41" s="139"/>
      <c r="IA41" s="131"/>
      <c r="IB41" s="141"/>
      <c r="IC41" s="131"/>
      <c r="ID41" s="139"/>
      <c r="IE41" s="142"/>
      <c r="IF41" s="139"/>
      <c r="IG41" s="143"/>
      <c r="IH41" s="139"/>
      <c r="II41" s="139"/>
      <c r="IJ41" s="139"/>
      <c r="IK41" s="131"/>
      <c r="IL41" s="141"/>
      <c r="IM41" s="131"/>
      <c r="IN41" s="139"/>
      <c r="IO41" s="142"/>
      <c r="IP41" s="139"/>
      <c r="IQ41" s="143"/>
      <c r="IR41" s="139"/>
      <c r="IS41" s="139"/>
      <c r="IT41" s="139"/>
      <c r="IU41" s="131"/>
      <c r="IV41" s="141"/>
      <c r="IW41" s="131"/>
      <c r="IX41" s="139"/>
      <c r="IY41" s="142"/>
      <c r="IZ41" s="139"/>
      <c r="JA41" s="143"/>
      <c r="JB41" s="139"/>
      <c r="JC41" s="139"/>
      <c r="JD41" s="139"/>
      <c r="JE41" s="131"/>
      <c r="JF41" s="141"/>
      <c r="JG41" s="131"/>
      <c r="JH41" s="139"/>
      <c r="JI41" s="142"/>
      <c r="JJ41" s="139"/>
      <c r="JK41" s="143"/>
      <c r="JL41" s="139"/>
      <c r="JM41" s="139"/>
      <c r="JN41" s="139"/>
      <c r="JO41" s="131"/>
      <c r="JP41" s="141"/>
      <c r="JQ41" s="131"/>
      <c r="JR41" s="139"/>
      <c r="JS41" s="142"/>
      <c r="JT41" s="139"/>
      <c r="JU41" s="143"/>
      <c r="JV41" s="139"/>
      <c r="JW41" s="139"/>
      <c r="JX41" s="139"/>
      <c r="JY41" s="131"/>
      <c r="JZ41" s="141"/>
      <c r="KA41" s="131"/>
      <c r="KB41" s="139"/>
      <c r="KC41" s="142"/>
      <c r="KD41" s="139"/>
      <c r="KE41" s="143"/>
      <c r="KF41" s="139"/>
      <c r="KG41" s="139"/>
      <c r="KH41" s="139"/>
      <c r="KI41" s="131"/>
      <c r="KJ41" s="141"/>
      <c r="KK41" s="131"/>
      <c r="KL41" s="139"/>
      <c r="KM41" s="142"/>
      <c r="KN41" s="139"/>
      <c r="KO41" s="143"/>
      <c r="KP41" s="139"/>
      <c r="KQ41" s="139"/>
      <c r="KR41" s="139"/>
      <c r="KS41" s="131"/>
      <c r="KT41" s="141"/>
      <c r="KU41" s="131"/>
      <c r="KV41" s="139"/>
      <c r="KW41" s="142"/>
      <c r="KX41" s="139"/>
      <c r="KY41" s="143"/>
      <c r="KZ41" s="139"/>
      <c r="LA41" s="139"/>
      <c r="LB41" s="139"/>
      <c r="LC41" s="131"/>
      <c r="LD41" s="141"/>
      <c r="LE41" s="131"/>
      <c r="LF41" s="139"/>
      <c r="LG41" s="142"/>
      <c r="LH41" s="139"/>
      <c r="LI41" s="143"/>
      <c r="LJ41" s="139"/>
      <c r="LK41" s="139"/>
      <c r="LL41" s="139"/>
    </row>
    <row r="42" spans="1:324" ht="25.5" customHeight="1" x14ac:dyDescent="0.25">
      <c r="A42" s="245"/>
      <c r="B42" s="12" t="s">
        <v>609</v>
      </c>
      <c r="C42" s="12" t="s">
        <v>727</v>
      </c>
      <c r="D42" s="12" t="s">
        <v>427</v>
      </c>
      <c r="E42" s="4" t="s">
        <v>33</v>
      </c>
      <c r="F42" s="198">
        <f t="shared" ref="F42:F49" si="1015">F13</f>
        <v>226</v>
      </c>
      <c r="G42" s="225">
        <f>F42/F$39</f>
        <v>0.37541999999999998</v>
      </c>
      <c r="H42" s="226">
        <f>H$39*G42</f>
        <v>18436.88</v>
      </c>
      <c r="I42" s="137">
        <f t="shared" ref="I42:I67" si="1016">IF(F42&gt;0,H42/F42,0)</f>
        <v>81.579115040000005</v>
      </c>
      <c r="J42" s="227">
        <f>J$39</f>
        <v>7.57</v>
      </c>
      <c r="K42" s="138">
        <f t="shared" ref="K42:K67" si="1017">I42*J42</f>
        <v>617.5539</v>
      </c>
      <c r="L42" s="110">
        <f t="shared" ref="L42:L67" si="1018">K42*F42</f>
        <v>139567.18</v>
      </c>
      <c r="M42" s="110"/>
      <c r="N42" s="139"/>
      <c r="O42" s="140">
        <f t="shared" ref="O42:O66" si="1019">K42/$LI42</f>
        <v>0.77446000000000004</v>
      </c>
      <c r="P42" s="198">
        <f t="shared" ref="P42:BX49" si="1020">P13</f>
        <v>488</v>
      </c>
      <c r="Q42" s="225">
        <f t="shared" ref="Q42:Q49" si="1021">P42/P$39</f>
        <v>0.44525999999999999</v>
      </c>
      <c r="R42" s="226">
        <f t="shared" ref="R42:R49" si="1022">R$39*Q42</f>
        <v>33928.81</v>
      </c>
      <c r="S42" s="137">
        <f t="shared" ref="S42:S49" si="1023">IF(P42&gt;0,R42/P42,0)</f>
        <v>69.526250000000005</v>
      </c>
      <c r="T42" s="227">
        <f t="shared" ref="T42:CB49" si="1024">T$39</f>
        <v>8.23</v>
      </c>
      <c r="U42" s="138">
        <f t="shared" ref="U42:U49" si="1025">S42*T42</f>
        <v>572.20104000000003</v>
      </c>
      <c r="V42" s="110">
        <f t="shared" ref="V42:V49" si="1026">U42*P42</f>
        <v>279234.11</v>
      </c>
      <c r="W42" s="110"/>
      <c r="X42" s="139"/>
      <c r="Y42" s="140">
        <f t="shared" ref="Y42:Y49" si="1027">U42/$LI42</f>
        <v>0.71758</v>
      </c>
      <c r="Z42" s="198">
        <f t="shared" si="1020"/>
        <v>235</v>
      </c>
      <c r="AA42" s="225">
        <f t="shared" ref="AA42:AA49" si="1028">Z42/Z$39</f>
        <v>0.27199000000000001</v>
      </c>
      <c r="AB42" s="226">
        <f t="shared" ref="AB42:AB49" si="1029">AB$39*AA42</f>
        <v>15916.85</v>
      </c>
      <c r="AC42" s="137">
        <f t="shared" ref="AC42:AC49" si="1030">IF(Z42&gt;0,AB42/Z42,0)</f>
        <v>67.731276600000001</v>
      </c>
      <c r="AD42" s="227">
        <f t="shared" ref="AD42" si="1031">AD$39</f>
        <v>8.8000000000000007</v>
      </c>
      <c r="AE42" s="138">
        <f t="shared" ref="AE42:AE49" si="1032">AC42*AD42</f>
        <v>596.03522999999996</v>
      </c>
      <c r="AF42" s="110">
        <f t="shared" ref="AF42:AF49" si="1033">AE42*Z42</f>
        <v>140068.28</v>
      </c>
      <c r="AG42" s="110"/>
      <c r="AH42" s="139"/>
      <c r="AI42" s="140">
        <f t="shared" ref="AI42:AI49" si="1034">AE42/$LI42</f>
        <v>0.74746999999999997</v>
      </c>
      <c r="AJ42" s="198">
        <f t="shared" si="1020"/>
        <v>281</v>
      </c>
      <c r="AK42" s="225">
        <f t="shared" ref="AK42:AK49" si="1035">AJ42/AJ$39</f>
        <v>0.42255999999999999</v>
      </c>
      <c r="AL42" s="226">
        <f t="shared" ref="AL42:AL49" si="1036">AL$39*AK42</f>
        <v>11400.67</v>
      </c>
      <c r="AM42" s="137">
        <f t="shared" ref="AM42:AM49" si="1037">IF(AJ42&gt;0,AL42/AJ42,0)</f>
        <v>40.571779360000001</v>
      </c>
      <c r="AN42" s="227">
        <f t="shared" ref="AN42" si="1038">AN$39</f>
        <v>7.52</v>
      </c>
      <c r="AO42" s="138">
        <f t="shared" ref="AO42:AO49" si="1039">AM42*AN42</f>
        <v>305.09978000000001</v>
      </c>
      <c r="AP42" s="110">
        <f t="shared" ref="AP42:AP49" si="1040">AO42*AJ42</f>
        <v>85733.04</v>
      </c>
      <c r="AQ42" s="110"/>
      <c r="AR42" s="139"/>
      <c r="AS42" s="140">
        <f t="shared" ref="AS42:AS49" si="1041">AO42/$LI42</f>
        <v>0.38262000000000002</v>
      </c>
      <c r="AT42" s="198">
        <f t="shared" si="1020"/>
        <v>439</v>
      </c>
      <c r="AU42" s="225">
        <f t="shared" ref="AU42:AU49" si="1042">AT42/AT$39</f>
        <v>0.46161999999999997</v>
      </c>
      <c r="AV42" s="226">
        <f t="shared" ref="AV42:AV49" si="1043">AV$39*AU42</f>
        <v>19244.939999999999</v>
      </c>
      <c r="AW42" s="137">
        <f t="shared" ref="AW42:AW49" si="1044">IF(AT42&gt;0,AV42/AT42,0)</f>
        <v>43.838132119999997</v>
      </c>
      <c r="AX42" s="227">
        <f t="shared" ref="AX42" si="1045">AX$39</f>
        <v>6.88</v>
      </c>
      <c r="AY42" s="138">
        <f t="shared" ref="AY42:AY49" si="1046">AW42*AX42</f>
        <v>301.60635000000002</v>
      </c>
      <c r="AZ42" s="110">
        <f t="shared" ref="AZ42:AZ49" si="1047">AY42*AT42</f>
        <v>132405.19</v>
      </c>
      <c r="BA42" s="110"/>
      <c r="BB42" s="139"/>
      <c r="BC42" s="140">
        <f t="shared" ref="BC42:BC49" si="1048">AY42/$LI42</f>
        <v>0.37824000000000002</v>
      </c>
      <c r="BD42" s="198">
        <f t="shared" si="1020"/>
        <v>347</v>
      </c>
      <c r="BE42" s="225">
        <f t="shared" ref="BE42:BE49" si="1049">BD42/BD$39</f>
        <v>0.46639999999999998</v>
      </c>
      <c r="BF42" s="226">
        <f t="shared" ref="BF42:BF49" si="1050">BF$39*BE42</f>
        <v>20530.93</v>
      </c>
      <c r="BG42" s="137">
        <f t="shared" ref="BG42:BG49" si="1051">IF(BD42&gt;0,BF42/BD42,0)</f>
        <v>59.166945239999997</v>
      </c>
      <c r="BH42" s="227">
        <f t="shared" ref="BH42" si="1052">BH$39</f>
        <v>9.74</v>
      </c>
      <c r="BI42" s="138">
        <f t="shared" ref="BI42:BI49" si="1053">BG42*BH42</f>
        <v>576.28605000000005</v>
      </c>
      <c r="BJ42" s="110">
        <f t="shared" ref="BJ42:BJ49" si="1054">BI42*BD42</f>
        <v>199971.26</v>
      </c>
      <c r="BK42" s="110"/>
      <c r="BL42" s="139"/>
      <c r="BM42" s="140">
        <f t="shared" ref="BM42:BM49" si="1055">BI42/$LI42</f>
        <v>0.72270999999999996</v>
      </c>
      <c r="BN42" s="198">
        <f t="shared" si="1020"/>
        <v>254</v>
      </c>
      <c r="BO42" s="225">
        <f t="shared" ref="BO42:BO49" si="1056">BN42/BN$39</f>
        <v>0.41166999999999998</v>
      </c>
      <c r="BP42" s="226">
        <f t="shared" ref="BP42:BP49" si="1057">BP$39*BO42</f>
        <v>19381.419999999998</v>
      </c>
      <c r="BQ42" s="137">
        <f t="shared" ref="BQ42:BQ49" si="1058">IF(BN42&gt;0,BP42/BN42,0)</f>
        <v>76.304803149999998</v>
      </c>
      <c r="BR42" s="227">
        <f t="shared" ref="BR42" si="1059">BR$39</f>
        <v>10.32</v>
      </c>
      <c r="BS42" s="138">
        <f t="shared" ref="BS42:BS49" si="1060">BQ42*BR42</f>
        <v>787.46556999999996</v>
      </c>
      <c r="BT42" s="110">
        <f t="shared" ref="BT42:BT49" si="1061">BS42*BN42</f>
        <v>200016.25</v>
      </c>
      <c r="BU42" s="110"/>
      <c r="BV42" s="139"/>
      <c r="BW42" s="140">
        <f t="shared" ref="BW42:BW49" si="1062">BS42/$LI42</f>
        <v>0.98753999999999997</v>
      </c>
      <c r="BX42" s="198">
        <f t="shared" si="1020"/>
        <v>310</v>
      </c>
      <c r="BY42" s="225">
        <f t="shared" ref="BY42:BY49" si="1063">BX42/BX$39</f>
        <v>0.39340000000000003</v>
      </c>
      <c r="BZ42" s="226">
        <f t="shared" ref="BZ42:BZ49" si="1064">BZ$39*BY42</f>
        <v>24705.52</v>
      </c>
      <c r="CA42" s="137">
        <f t="shared" ref="CA42:CA49" si="1065">IF(BX42&gt;0,BZ42/BX42,0)</f>
        <v>79.695225809999997</v>
      </c>
      <c r="CB42" s="227">
        <f t="shared" ref="CB42" si="1066">CB$39</f>
        <v>7.89</v>
      </c>
      <c r="CC42" s="138">
        <f t="shared" ref="CC42:CC49" si="1067">CA42*CB42</f>
        <v>628.79533000000004</v>
      </c>
      <c r="CD42" s="110">
        <f t="shared" ref="CD42:CD49" si="1068">CC42*BX42</f>
        <v>194926.55</v>
      </c>
      <c r="CE42" s="110"/>
      <c r="CF42" s="139"/>
      <c r="CG42" s="140">
        <f t="shared" ref="CG42:CG49" si="1069">CC42/$LI42</f>
        <v>0.78856000000000004</v>
      </c>
      <c r="CH42" s="198">
        <f t="shared" ref="CH42:EP49" si="1070">CH13</f>
        <v>382</v>
      </c>
      <c r="CI42" s="225">
        <f t="shared" ref="CI42:CI49" si="1071">CH42/CH$39</f>
        <v>0.41342000000000001</v>
      </c>
      <c r="CJ42" s="226">
        <f t="shared" ref="CJ42:CJ49" si="1072">CJ$39*CI42</f>
        <v>49693.08</v>
      </c>
      <c r="CK42" s="137">
        <f t="shared" ref="CK42:CK49" si="1073">IF(CH42&gt;0,CJ42/CH42,0)</f>
        <v>130.08659685999999</v>
      </c>
      <c r="CL42" s="227">
        <f t="shared" ref="CL42:ET49" si="1074">CL$39</f>
        <v>8.24</v>
      </c>
      <c r="CM42" s="138">
        <f t="shared" ref="CM42:CM49" si="1075">CK42*CL42</f>
        <v>1071.91356</v>
      </c>
      <c r="CN42" s="110">
        <f t="shared" ref="CN42:CN49" si="1076">CM42*CH42</f>
        <v>409470.98</v>
      </c>
      <c r="CO42" s="110"/>
      <c r="CP42" s="139"/>
      <c r="CQ42" s="140">
        <f t="shared" ref="CQ42:CQ49" si="1077">CM42/$LI42</f>
        <v>1.34426</v>
      </c>
      <c r="CR42" s="198">
        <f t="shared" si="1070"/>
        <v>310</v>
      </c>
      <c r="CS42" s="225">
        <f t="shared" ref="CS42:CS49" si="1078">CR42/CR$39</f>
        <v>0.41666999999999998</v>
      </c>
      <c r="CT42" s="226">
        <f t="shared" ref="CT42:CT49" si="1079">CT$39*CS42</f>
        <v>26350.21</v>
      </c>
      <c r="CU42" s="137">
        <f t="shared" ref="CU42:CU49" si="1080">IF(CR42&gt;0,CT42/CR42,0)</f>
        <v>85.000677420000002</v>
      </c>
      <c r="CV42" s="227">
        <f t="shared" ref="CV42" si="1081">CV$39</f>
        <v>8.92</v>
      </c>
      <c r="CW42" s="138">
        <f t="shared" ref="CW42:CW49" si="1082">CU42*CV42</f>
        <v>758.20604000000003</v>
      </c>
      <c r="CX42" s="110">
        <f t="shared" ref="CX42:CX49" si="1083">CW42*CR42</f>
        <v>235043.87</v>
      </c>
      <c r="CY42" s="110"/>
      <c r="CZ42" s="139"/>
      <c r="DA42" s="140">
        <f t="shared" ref="DA42:DA49" si="1084">CW42/$LI42</f>
        <v>0.95084999999999997</v>
      </c>
      <c r="DB42" s="198">
        <f t="shared" si="1070"/>
        <v>357</v>
      </c>
      <c r="DC42" s="225">
        <f t="shared" ref="DC42:DC49" si="1085">DB42/DB$39</f>
        <v>0.43273</v>
      </c>
      <c r="DD42" s="226">
        <f t="shared" ref="DD42:DD49" si="1086">DD$39*DC42</f>
        <v>22614.47</v>
      </c>
      <c r="DE42" s="137">
        <f t="shared" ref="DE42:DE49" si="1087">IF(DB42&gt;0,DD42/DB42,0)</f>
        <v>63.345854340000002</v>
      </c>
      <c r="DF42" s="227">
        <f t="shared" ref="DF42" si="1088">DF$39</f>
        <v>7.48</v>
      </c>
      <c r="DG42" s="138">
        <f t="shared" ref="DG42:DG49" si="1089">DE42*DF42</f>
        <v>473.82699000000002</v>
      </c>
      <c r="DH42" s="110">
        <f t="shared" ref="DH42:DH49" si="1090">DG42*DB42</f>
        <v>169156.24</v>
      </c>
      <c r="DI42" s="110"/>
      <c r="DJ42" s="139"/>
      <c r="DK42" s="140">
        <f t="shared" ref="DK42:DK49" si="1091">DG42/$LI42</f>
        <v>0.59421000000000002</v>
      </c>
      <c r="DL42" s="198">
        <f t="shared" si="1070"/>
        <v>0</v>
      </c>
      <c r="DM42" s="225">
        <f t="shared" ref="DM42:DM49" si="1092">DL42/DL$39</f>
        <v>0</v>
      </c>
      <c r="DN42" s="226">
        <f t="shared" ref="DN42:DN49" si="1093">DN$39*DM42</f>
        <v>0</v>
      </c>
      <c r="DO42" s="137">
        <f t="shared" ref="DO42:DO49" si="1094">IF(DL42&gt;0,DN42/DL42,0)</f>
        <v>0</v>
      </c>
      <c r="DP42" s="227">
        <f t="shared" ref="DP42" si="1095">DP$39</f>
        <v>8.2200000000000006</v>
      </c>
      <c r="DQ42" s="138">
        <f t="shared" ref="DQ42:DQ49" si="1096">DO42*DP42</f>
        <v>0</v>
      </c>
      <c r="DR42" s="110">
        <f t="shared" ref="DR42:DR49" si="1097">DQ42*DL42</f>
        <v>0</v>
      </c>
      <c r="DS42" s="110"/>
      <c r="DT42" s="139"/>
      <c r="DU42" s="140">
        <f t="shared" ref="DU42:DU49" si="1098">DQ42/$LI42</f>
        <v>0</v>
      </c>
      <c r="DV42" s="198">
        <f t="shared" si="1070"/>
        <v>361</v>
      </c>
      <c r="DW42" s="225">
        <f t="shared" ref="DW42:DW49" si="1099">DV42/DV$39</f>
        <v>0.41116000000000003</v>
      </c>
      <c r="DX42" s="226">
        <f t="shared" ref="DX42:DX49" si="1100">DX$39*DW42</f>
        <v>58175.03</v>
      </c>
      <c r="DY42" s="137">
        <f t="shared" ref="DY42:DY49" si="1101">IF(DV42&gt;0,DX42/DV42,0)</f>
        <v>161.14966759000001</v>
      </c>
      <c r="DZ42" s="227">
        <f t="shared" ref="DZ42" si="1102">DZ$39</f>
        <v>7.91</v>
      </c>
      <c r="EA42" s="138">
        <f t="shared" ref="EA42:EA49" si="1103">DY42*DZ42</f>
        <v>1274.6938700000001</v>
      </c>
      <c r="EB42" s="110">
        <f t="shared" ref="EB42:EB49" si="1104">EA42*DV42</f>
        <v>460164.49</v>
      </c>
      <c r="EC42" s="110"/>
      <c r="ED42" s="139"/>
      <c r="EE42" s="140">
        <f t="shared" ref="EE42:EE49" si="1105">EA42/$LI42</f>
        <v>1.59856</v>
      </c>
      <c r="EF42" s="198">
        <f t="shared" si="1070"/>
        <v>363</v>
      </c>
      <c r="EG42" s="225">
        <f t="shared" ref="EG42:EG49" si="1106">EF42/EF$39</f>
        <v>0.38657999999999998</v>
      </c>
      <c r="EH42" s="226">
        <f t="shared" ref="EH42:EH49" si="1107">EH$39*EG42</f>
        <v>22464.16</v>
      </c>
      <c r="EI42" s="137">
        <f t="shared" ref="EI42:EI49" si="1108">IF(EF42&gt;0,EH42/EF42,0)</f>
        <v>61.884738290000001</v>
      </c>
      <c r="EJ42" s="227">
        <f t="shared" ref="EJ42" si="1109">EJ$39</f>
        <v>7.63</v>
      </c>
      <c r="EK42" s="138">
        <f t="shared" ref="EK42:EK49" si="1110">EI42*EJ42</f>
        <v>472.18054999999998</v>
      </c>
      <c r="EL42" s="110">
        <f t="shared" ref="EL42:EL49" si="1111">EK42*EF42</f>
        <v>171401.54</v>
      </c>
      <c r="EM42" s="110"/>
      <c r="EN42" s="139"/>
      <c r="EO42" s="140">
        <f t="shared" ref="EO42:EO49" si="1112">EK42/$LI42</f>
        <v>0.59214999999999995</v>
      </c>
      <c r="EP42" s="198">
        <f t="shared" si="1070"/>
        <v>400</v>
      </c>
      <c r="EQ42" s="225">
        <f t="shared" ref="EQ42:EQ49" si="1113">EP42/EP$39</f>
        <v>0.42418</v>
      </c>
      <c r="ER42" s="226">
        <f t="shared" ref="ER42:ER49" si="1114">ER$39*EQ42</f>
        <v>28555.8</v>
      </c>
      <c r="ES42" s="137">
        <f t="shared" ref="ES42:ES49" si="1115">IF(EP42&gt;0,ER42/EP42,0)</f>
        <v>71.389499999999998</v>
      </c>
      <c r="ET42" s="227">
        <f t="shared" ref="ET42" si="1116">ET$39</f>
        <v>7.95</v>
      </c>
      <c r="EU42" s="138">
        <f t="shared" ref="EU42:EU49" si="1117">ES42*ET42</f>
        <v>567.54652999999996</v>
      </c>
      <c r="EV42" s="110">
        <f t="shared" ref="EV42:EV49" si="1118">EU42*EP42</f>
        <v>227018.61</v>
      </c>
      <c r="EW42" s="110"/>
      <c r="EX42" s="139"/>
      <c r="EY42" s="140">
        <f t="shared" ref="EY42:EY49" si="1119">EU42/$LI42</f>
        <v>0.71174999999999999</v>
      </c>
      <c r="EZ42" s="198">
        <f t="shared" ref="EZ42:HH49" si="1120">EZ13</f>
        <v>576</v>
      </c>
      <c r="FA42" s="225">
        <f t="shared" ref="FA42:FA49" si="1121">EZ42/EZ$39</f>
        <v>0.51566999999999996</v>
      </c>
      <c r="FB42" s="226">
        <f t="shared" ref="FB42:FB49" si="1122">FB$39*FA42</f>
        <v>34173.449999999997</v>
      </c>
      <c r="FC42" s="137">
        <f t="shared" ref="FC42:FC49" si="1123">IF(EZ42&gt;0,FB42/EZ42,0)</f>
        <v>59.328906250000003</v>
      </c>
      <c r="FD42" s="227">
        <f t="shared" ref="FD42:GH49" si="1124">FD$39</f>
        <v>10.210000000000001</v>
      </c>
      <c r="FE42" s="138">
        <f t="shared" ref="FE42:FE49" si="1125">FC42*FD42</f>
        <v>605.74812999999995</v>
      </c>
      <c r="FF42" s="110">
        <f t="shared" ref="FF42:FF49" si="1126">FE42*EZ42</f>
        <v>348910.92</v>
      </c>
      <c r="FG42" s="110"/>
      <c r="FH42" s="139"/>
      <c r="FI42" s="140">
        <f t="shared" ref="FI42:FI49" si="1127">FE42/$LI42</f>
        <v>0.75965000000000005</v>
      </c>
      <c r="FJ42" s="198">
        <f t="shared" si="1120"/>
        <v>408</v>
      </c>
      <c r="FK42" s="225">
        <f t="shared" ref="FK42:FK49" si="1128">FJ42/FJ$39</f>
        <v>0.39922000000000002</v>
      </c>
      <c r="FL42" s="226">
        <f t="shared" ref="FL42:FL49" si="1129">FL$39*FK42</f>
        <v>42736.5</v>
      </c>
      <c r="FM42" s="137">
        <f t="shared" ref="FM42:FM49" si="1130">IF(FJ42&gt;0,FL42/FJ42,0)</f>
        <v>104.74632353</v>
      </c>
      <c r="FN42" s="227">
        <f t="shared" ref="FN42" si="1131">FN$39</f>
        <v>9.52</v>
      </c>
      <c r="FO42" s="138">
        <f t="shared" ref="FO42:FO49" si="1132">FM42*FN42</f>
        <v>997.18499999999995</v>
      </c>
      <c r="FP42" s="110">
        <f t="shared" ref="FP42:FP49" si="1133">FO42*FJ42</f>
        <v>406851.48</v>
      </c>
      <c r="FQ42" s="110"/>
      <c r="FR42" s="139"/>
      <c r="FS42" s="140">
        <f t="shared" ref="FS42:FS49" si="1134">FO42/$LI42</f>
        <v>1.25054</v>
      </c>
      <c r="FT42" s="198">
        <f t="shared" si="1120"/>
        <v>342</v>
      </c>
      <c r="FU42" s="225">
        <f t="shared" ref="FU42:FU49" si="1135">FT42/FT$39</f>
        <v>0.4259</v>
      </c>
      <c r="FV42" s="226">
        <f t="shared" ref="FV42:FV49" si="1136">FV$39*FU42</f>
        <v>21303.52</v>
      </c>
      <c r="FW42" s="137">
        <f t="shared" ref="FW42:FW49" si="1137">IF(FT42&gt;0,FV42/FT42,0)</f>
        <v>62.290994150000003</v>
      </c>
      <c r="FX42" s="227">
        <f t="shared" ref="FX42" si="1138">FX$39</f>
        <v>9.57</v>
      </c>
      <c r="FY42" s="138">
        <f t="shared" ref="FY42:FY49" si="1139">FW42*FX42</f>
        <v>596.12481000000002</v>
      </c>
      <c r="FZ42" s="110">
        <f t="shared" ref="FZ42:FZ49" si="1140">FY42*FT42</f>
        <v>203874.69</v>
      </c>
      <c r="GA42" s="110"/>
      <c r="GB42" s="139"/>
      <c r="GC42" s="140">
        <f t="shared" ref="GC42:GC49" si="1141">FY42/$LI42</f>
        <v>0.74758000000000002</v>
      </c>
      <c r="GD42" s="198">
        <f t="shared" si="1120"/>
        <v>164</v>
      </c>
      <c r="GE42" s="225">
        <f t="shared" ref="GE42:GE49" si="1142">GD42/GD$39</f>
        <v>0.32030999999999998</v>
      </c>
      <c r="GF42" s="226">
        <f t="shared" ref="GF42:GF49" si="1143">GF$39*GE42</f>
        <v>13856.61</v>
      </c>
      <c r="GG42" s="137">
        <f t="shared" ref="GG42:GG49" si="1144">IF(GD42&gt;0,GF42/GD42,0)</f>
        <v>84.491524389999995</v>
      </c>
      <c r="GH42" s="227">
        <f t="shared" ref="GH42" si="1145">GH$39</f>
        <v>8.39</v>
      </c>
      <c r="GI42" s="138">
        <f t="shared" ref="GI42:GI49" si="1146">GG42*GH42</f>
        <v>708.88388999999995</v>
      </c>
      <c r="GJ42" s="110">
        <f t="shared" ref="GJ42:GJ49" si="1147">GI42*GD42</f>
        <v>116256.96000000001</v>
      </c>
      <c r="GK42" s="110"/>
      <c r="GL42" s="139"/>
      <c r="GM42" s="140">
        <f t="shared" ref="GM42:GM49" si="1148">GI42/$LI42</f>
        <v>0.88898999999999995</v>
      </c>
      <c r="GN42" s="198">
        <f t="shared" si="1120"/>
        <v>353</v>
      </c>
      <c r="GO42" s="225">
        <f t="shared" ref="GO42:GO49" si="1149">GN42/GN$39</f>
        <v>0.40855999999999998</v>
      </c>
      <c r="GP42" s="226">
        <f t="shared" ref="GP42:GP49" si="1150">GP$39*GO42</f>
        <v>42334.99</v>
      </c>
      <c r="GQ42" s="137">
        <f t="shared" ref="GQ42:GQ49" si="1151">IF(GN42&gt;0,GP42/GN42,0)</f>
        <v>119.92915014</v>
      </c>
      <c r="GR42" s="227">
        <f t="shared" ref="GR42:HV49" si="1152">GR$39</f>
        <v>7.63</v>
      </c>
      <c r="GS42" s="138">
        <f t="shared" ref="GS42:GS49" si="1153">GQ42*GR42</f>
        <v>915.05942000000005</v>
      </c>
      <c r="GT42" s="110">
        <f t="shared" ref="GT42:GT49" si="1154">GS42*GN42</f>
        <v>323015.98</v>
      </c>
      <c r="GU42" s="110"/>
      <c r="GV42" s="139"/>
      <c r="GW42" s="140">
        <f t="shared" ref="GW42:GW49" si="1155">GS42/$LI42</f>
        <v>1.1475500000000001</v>
      </c>
      <c r="GX42" s="198">
        <f t="shared" si="1120"/>
        <v>712</v>
      </c>
      <c r="GY42" s="225">
        <f t="shared" ref="GY42:GY49" si="1156">GX42/GX$39</f>
        <v>0.43924000000000002</v>
      </c>
      <c r="GZ42" s="226">
        <f t="shared" ref="GZ42:GZ49" si="1157">GZ$39*GY42</f>
        <v>81175.94</v>
      </c>
      <c r="HA42" s="137">
        <f t="shared" ref="HA42:HA49" si="1158">IF(GX42&gt;0,GZ42/GX42,0)</f>
        <v>114.01115169000001</v>
      </c>
      <c r="HB42" s="227">
        <f t="shared" ref="HB42" si="1159">HB$39</f>
        <v>4.8899999999999997</v>
      </c>
      <c r="HC42" s="138">
        <f t="shared" ref="HC42:HC49" si="1160">HA42*HB42</f>
        <v>557.51453000000004</v>
      </c>
      <c r="HD42" s="110">
        <f t="shared" ref="HD42:HD49" si="1161">HC42*GX42</f>
        <v>396950.35</v>
      </c>
      <c r="HE42" s="110"/>
      <c r="HF42" s="139"/>
      <c r="HG42" s="140">
        <f t="shared" ref="HG42:HG49" si="1162">HC42/$LI42</f>
        <v>0.69916</v>
      </c>
      <c r="HH42" s="198">
        <f t="shared" si="1120"/>
        <v>508</v>
      </c>
      <c r="HI42" s="225">
        <f t="shared" ref="HI42:HI49" si="1163">HH42/HH$39</f>
        <v>0.44096999999999997</v>
      </c>
      <c r="HJ42" s="226">
        <f t="shared" ref="HJ42:HJ49" si="1164">HJ$39*HI42</f>
        <v>45269.98</v>
      </c>
      <c r="HK42" s="137">
        <f t="shared" ref="HK42:HK49" si="1165">IF(HH42&gt;0,HJ42/HH42,0)</f>
        <v>89.114133859999995</v>
      </c>
      <c r="HL42" s="227">
        <f t="shared" ref="HL42" si="1166">HL$39</f>
        <v>5.98</v>
      </c>
      <c r="HM42" s="138">
        <f t="shared" ref="HM42:HM49" si="1167">HK42*HL42</f>
        <v>532.90251999999998</v>
      </c>
      <c r="HN42" s="110">
        <f t="shared" ref="HN42:HN49" si="1168">HM42*HH42</f>
        <v>270714.48</v>
      </c>
      <c r="HO42" s="110"/>
      <c r="HP42" s="139"/>
      <c r="HQ42" s="140">
        <f t="shared" ref="HQ42:HQ49" si="1169">HM42/$LI42</f>
        <v>0.66830000000000001</v>
      </c>
      <c r="HR42" s="198">
        <f t="shared" ref="HR42:JZ49" si="1170">HR13</f>
        <v>331</v>
      </c>
      <c r="HS42" s="225">
        <f t="shared" ref="HS42:HS49" si="1171">HR42/HR$39</f>
        <v>0.42004999999999998</v>
      </c>
      <c r="HT42" s="226">
        <f t="shared" ref="HT42:HT49" si="1172">HT$39*HS42</f>
        <v>16465.96</v>
      </c>
      <c r="HU42" s="137">
        <f t="shared" ref="HU42:HU49" si="1173">IF(HR42&gt;0,HT42/HR42,0)</f>
        <v>49.746102720000003</v>
      </c>
      <c r="HV42" s="227">
        <f t="shared" ref="HV42" si="1174">HV$39</f>
        <v>9.76</v>
      </c>
      <c r="HW42" s="138">
        <f t="shared" ref="HW42:HW49" si="1175">HU42*HV42</f>
        <v>485.52195999999998</v>
      </c>
      <c r="HX42" s="110">
        <f t="shared" ref="HX42:HX49" si="1176">HW42*HR42</f>
        <v>160707.76999999999</v>
      </c>
      <c r="HY42" s="110"/>
      <c r="HZ42" s="139"/>
      <c r="IA42" s="140">
        <f t="shared" ref="IA42:IA49" si="1177">HW42/$LI42</f>
        <v>0.60887999999999998</v>
      </c>
      <c r="IB42" s="198">
        <f t="shared" si="1170"/>
        <v>208</v>
      </c>
      <c r="IC42" s="225">
        <f t="shared" ref="IC42:IC49" si="1178">IB42/IB$39</f>
        <v>0.37956000000000001</v>
      </c>
      <c r="ID42" s="226">
        <f t="shared" ref="ID42:ID49" si="1179">ID$39*IC42</f>
        <v>12369.86</v>
      </c>
      <c r="IE42" s="137">
        <f t="shared" ref="IE42:IE49" si="1180">IF(IB42&gt;0,ID42/IB42,0)</f>
        <v>59.470480770000002</v>
      </c>
      <c r="IF42" s="227">
        <f t="shared" ref="IF42:JJ49" si="1181">IF$39</f>
        <v>7.76</v>
      </c>
      <c r="IG42" s="138">
        <f t="shared" ref="IG42:IG49" si="1182">IE42*IF42</f>
        <v>461.49092999999999</v>
      </c>
      <c r="IH42" s="110">
        <f t="shared" ref="IH42:IH49" si="1183">IG42*IB42</f>
        <v>95990.11</v>
      </c>
      <c r="II42" s="110"/>
      <c r="IJ42" s="139"/>
      <c r="IK42" s="140">
        <f t="shared" ref="IK42:IK49" si="1184">IG42/$LI42</f>
        <v>0.57874000000000003</v>
      </c>
      <c r="IL42" s="198">
        <f t="shared" si="1170"/>
        <v>599</v>
      </c>
      <c r="IM42" s="225">
        <f t="shared" ref="IM42:IM49" si="1185">IL42/IL$39</f>
        <v>0.47352</v>
      </c>
      <c r="IN42" s="226">
        <f t="shared" ref="IN42:IN49" si="1186">IN$39*IM42</f>
        <v>24779.3</v>
      </c>
      <c r="IO42" s="137">
        <f t="shared" ref="IO42:IO49" si="1187">IF(IL42&gt;0,IN42/IL42,0)</f>
        <v>41.367779630000001</v>
      </c>
      <c r="IP42" s="227">
        <f t="shared" ref="IP42" si="1188">IP$39</f>
        <v>7.4</v>
      </c>
      <c r="IQ42" s="138">
        <f t="shared" ref="IQ42:IQ49" si="1189">IO42*IP42</f>
        <v>306.12157000000002</v>
      </c>
      <c r="IR42" s="110">
        <f t="shared" ref="IR42:IR49" si="1190">IQ42*IL42</f>
        <v>183366.82</v>
      </c>
      <c r="IS42" s="110"/>
      <c r="IT42" s="139"/>
      <c r="IU42" s="140">
        <f t="shared" ref="IU42:IU49" si="1191">IQ42/$LI42</f>
        <v>0.38390000000000002</v>
      </c>
      <c r="IV42" s="198">
        <f t="shared" si="1170"/>
        <v>297</v>
      </c>
      <c r="IW42" s="225">
        <f t="shared" ref="IW42:IW49" si="1192">IV42/IV$39</f>
        <v>0.38521</v>
      </c>
      <c r="IX42" s="226">
        <f t="shared" ref="IX42:IX49" si="1193">IX$39*IW42</f>
        <v>15770.5</v>
      </c>
      <c r="IY42" s="137">
        <f t="shared" ref="IY42:IY49" si="1194">IF(IV42&gt;0,IX42/IV42,0)</f>
        <v>53.099326599999998</v>
      </c>
      <c r="IZ42" s="227">
        <f t="shared" ref="IZ42" si="1195">IZ$39</f>
        <v>9.64</v>
      </c>
      <c r="JA42" s="138">
        <f t="shared" ref="JA42:JA49" si="1196">IY42*IZ42</f>
        <v>511.87750999999997</v>
      </c>
      <c r="JB42" s="110">
        <f t="shared" ref="JB42:JB49" si="1197">JA42*IV42</f>
        <v>152027.62</v>
      </c>
      <c r="JC42" s="110"/>
      <c r="JD42" s="139"/>
      <c r="JE42" s="140">
        <f t="shared" ref="JE42:JE49" si="1198">JA42/$LI42</f>
        <v>0.64193</v>
      </c>
      <c r="JF42" s="198">
        <f t="shared" si="1170"/>
        <v>607</v>
      </c>
      <c r="JG42" s="225">
        <f t="shared" ref="JG42:JG49" si="1199">JF42/JF$39</f>
        <v>0.45265</v>
      </c>
      <c r="JH42" s="226">
        <f t="shared" ref="JH42:JH49" si="1200">JH$39*JG42</f>
        <v>49320.74</v>
      </c>
      <c r="JI42" s="137">
        <f t="shared" ref="JI42:JI49" si="1201">IF(JF42&gt;0,JH42/JF42,0)</f>
        <v>81.253278420000001</v>
      </c>
      <c r="JJ42" s="227">
        <f t="shared" ref="JJ42" si="1202">JJ$39</f>
        <v>9.1</v>
      </c>
      <c r="JK42" s="138">
        <f t="shared" ref="JK42:JK49" si="1203">JI42*JJ42</f>
        <v>739.40482999999995</v>
      </c>
      <c r="JL42" s="110">
        <f t="shared" ref="JL42:JL49" si="1204">JK42*JF42</f>
        <v>448818.73</v>
      </c>
      <c r="JM42" s="110"/>
      <c r="JN42" s="139"/>
      <c r="JO42" s="140">
        <f t="shared" ref="JO42:JO49" si="1205">JK42/$LI42</f>
        <v>0.92727000000000004</v>
      </c>
      <c r="JP42" s="198">
        <f t="shared" si="1170"/>
        <v>567</v>
      </c>
      <c r="JQ42" s="225">
        <f t="shared" ref="JQ42:JQ49" si="1206">JP42/JP$39</f>
        <v>0.45395999999999997</v>
      </c>
      <c r="JR42" s="226">
        <f t="shared" ref="JR42:JR49" si="1207">JR$39*JQ42</f>
        <v>59314.41</v>
      </c>
      <c r="JS42" s="137">
        <f t="shared" ref="JS42:JS49" si="1208">IF(JP42&gt;0,JR42/JP42,0)</f>
        <v>104.61095238</v>
      </c>
      <c r="JT42" s="227">
        <f t="shared" ref="JT42:KX49" si="1209">JT$39</f>
        <v>10.15</v>
      </c>
      <c r="JU42" s="138">
        <f t="shared" ref="JU42:JU49" si="1210">JS42*JT42</f>
        <v>1061.80117</v>
      </c>
      <c r="JV42" s="110">
        <f t="shared" ref="JV42:JV49" si="1211">JU42*JP42</f>
        <v>602041.26</v>
      </c>
      <c r="JW42" s="110"/>
      <c r="JX42" s="139"/>
      <c r="JY42" s="140">
        <f t="shared" ref="JY42:JY49" si="1212">JU42/$LI42</f>
        <v>1.33158</v>
      </c>
      <c r="JZ42" s="198">
        <f t="shared" si="1170"/>
        <v>523</v>
      </c>
      <c r="KA42" s="225">
        <f t="shared" ref="KA42:KA49" si="1213">JZ42/JZ$39</f>
        <v>0.44969999999999999</v>
      </c>
      <c r="KB42" s="226">
        <f t="shared" ref="KB42:KB49" si="1214">KB$39*KA42</f>
        <v>73319.09</v>
      </c>
      <c r="KC42" s="137">
        <f t="shared" ref="KC42:KC49" si="1215">IF(JZ42&gt;0,KB42/JZ42,0)</f>
        <v>140.18946463</v>
      </c>
      <c r="KD42" s="227">
        <f t="shared" ref="KD42" si="1216">KD$39</f>
        <v>8.14</v>
      </c>
      <c r="KE42" s="138">
        <f t="shared" ref="KE42:KE49" si="1217">KC42*KD42</f>
        <v>1141.1422399999999</v>
      </c>
      <c r="KF42" s="110">
        <f t="shared" ref="KF42:KF49" si="1218">KE42*JZ42</f>
        <v>596817.39</v>
      </c>
      <c r="KG42" s="110"/>
      <c r="KH42" s="139"/>
      <c r="KI42" s="140">
        <f t="shared" ref="KI42:KI49" si="1219">KE42/$LI42</f>
        <v>1.4310799999999999</v>
      </c>
      <c r="KJ42" s="198">
        <f t="shared" ref="KJ42:KT49" si="1220">KJ13</f>
        <v>600</v>
      </c>
      <c r="KK42" s="225">
        <f t="shared" ref="KK42:KK49" si="1221">KJ42/KJ$39</f>
        <v>0.44742999999999999</v>
      </c>
      <c r="KL42" s="226">
        <f t="shared" ref="KL42:KL49" si="1222">KL$39*KK42</f>
        <v>31418.53</v>
      </c>
      <c r="KM42" s="137">
        <f t="shared" ref="KM42:KM49" si="1223">IF(KJ42&gt;0,KL42/KJ42,0)</f>
        <v>52.364216669999998</v>
      </c>
      <c r="KN42" s="227">
        <f t="shared" ref="KN42" si="1224">KN$39</f>
        <v>9.02</v>
      </c>
      <c r="KO42" s="138">
        <f t="shared" ref="KO42:KO49" si="1225">KM42*KN42</f>
        <v>472.32522999999998</v>
      </c>
      <c r="KP42" s="110">
        <f t="shared" ref="KP42:KP49" si="1226">KO42*KJ42</f>
        <v>283395.14</v>
      </c>
      <c r="KQ42" s="110"/>
      <c r="KR42" s="139"/>
      <c r="KS42" s="140">
        <f t="shared" ref="KS42:KS49" si="1227">KO42/$LI42</f>
        <v>0.59233000000000002</v>
      </c>
      <c r="KT42" s="198">
        <f t="shared" si="1220"/>
        <v>553</v>
      </c>
      <c r="KU42" s="225">
        <f t="shared" ref="KU42:KU49" si="1228">KT42/KT$39</f>
        <v>0.49198999999999998</v>
      </c>
      <c r="KV42" s="226">
        <f t="shared" ref="KV42:KV49" si="1229">KV$39*KU42</f>
        <v>221395.5</v>
      </c>
      <c r="KW42" s="137">
        <f t="shared" ref="KW42:KW49" si="1230">IF(KT42&gt;0,KV42/KT42,0)</f>
        <v>400.35352621999999</v>
      </c>
      <c r="KX42" s="227">
        <f t="shared" ref="KX42" si="1231">KX$39</f>
        <v>9.94</v>
      </c>
      <c r="KY42" s="138">
        <f t="shared" ref="KY42:KY49" si="1232">KW42*KX42</f>
        <v>3979.5140500000002</v>
      </c>
      <c r="KZ42" s="110">
        <f t="shared" ref="KZ42:KZ49" si="1233">KY42*KT42</f>
        <v>2200671.27</v>
      </c>
      <c r="LA42" s="110"/>
      <c r="LB42" s="139"/>
      <c r="LC42" s="140">
        <f t="shared" ref="LC42:LC49" si="1234">KY42/$LI42</f>
        <v>4.9906100000000002</v>
      </c>
      <c r="LD42" s="197">
        <f t="shared" ref="LD42:LD67" si="1235">F42+P42+Z42+AJ42+AT42+BD42+BN42+BX42+CH42+CR42+DB42+DL42+DV42+EF42+EP42+EZ42+FJ42+FT42+GD42+GN42+GX42+HH42+HR42+IB42+IL42+IV42+JF42+JP42+JZ42+KJ42+KT42</f>
        <v>12101</v>
      </c>
      <c r="LE42" s="225">
        <f t="shared" ref="LE42:LE67" si="1236">LD42/LD$39</f>
        <v>0.42393999999999998</v>
      </c>
      <c r="LF42" s="226">
        <f t="shared" ref="LF42:LF67" si="1237">LF$39*LE42</f>
        <v>1140585.1299999999</v>
      </c>
      <c r="LG42" s="137">
        <f t="shared" ref="LG42:LG67" si="1238">IF(LD42&gt;0,LF42/LD42,0)</f>
        <v>94.255444179999998</v>
      </c>
      <c r="LH42" s="227">
        <f t="shared" ref="LH42:LH67" si="1239">LH$39</f>
        <v>8.4600000000000009</v>
      </c>
      <c r="LI42" s="138">
        <f t="shared" ref="LI42:LI67" si="1240">LG42*LH42</f>
        <v>797.40106000000003</v>
      </c>
      <c r="LJ42" s="110">
        <f t="shared" ref="LJ42:LJ67" si="1241">LI42*LD42</f>
        <v>9649350.2300000004</v>
      </c>
      <c r="LK42" s="110"/>
      <c r="LL42" s="139"/>
    </row>
    <row r="43" spans="1:324" ht="26.25" hidden="1" customHeight="1" x14ac:dyDescent="0.25">
      <c r="A43" s="246"/>
      <c r="B43" s="92" t="s">
        <v>610</v>
      </c>
      <c r="C43" s="12" t="s">
        <v>728</v>
      </c>
      <c r="D43" s="12" t="s">
        <v>430</v>
      </c>
      <c r="E43" s="4" t="s">
        <v>33</v>
      </c>
      <c r="F43" s="198">
        <f t="shared" si="1015"/>
        <v>0</v>
      </c>
      <c r="G43" s="225">
        <f t="shared" ref="G43:G67" si="1242">F43/F$39</f>
        <v>0</v>
      </c>
      <c r="H43" s="226">
        <f t="shared" ref="H43:H67" si="1243">H$39*G43</f>
        <v>0</v>
      </c>
      <c r="I43" s="137">
        <f t="shared" si="1016"/>
        <v>0</v>
      </c>
      <c r="J43" s="227">
        <f t="shared" ref="J43:J67" si="1244">J$39</f>
        <v>7.57</v>
      </c>
      <c r="K43" s="138">
        <f t="shared" si="1017"/>
        <v>0</v>
      </c>
      <c r="L43" s="110">
        <f t="shared" si="1018"/>
        <v>0</v>
      </c>
      <c r="M43" s="110"/>
      <c r="N43" s="139"/>
      <c r="O43" s="140" t="e">
        <f t="shared" si="1019"/>
        <v>#DIV/0!</v>
      </c>
      <c r="P43" s="198">
        <f t="shared" si="1020"/>
        <v>0</v>
      </c>
      <c r="Q43" s="225">
        <f t="shared" si="1021"/>
        <v>0</v>
      </c>
      <c r="R43" s="226">
        <f t="shared" si="1022"/>
        <v>0</v>
      </c>
      <c r="S43" s="137">
        <f t="shared" si="1023"/>
        <v>0</v>
      </c>
      <c r="T43" s="227">
        <f t="shared" si="1024"/>
        <v>8.23</v>
      </c>
      <c r="U43" s="138">
        <f t="shared" si="1025"/>
        <v>0</v>
      </c>
      <c r="V43" s="110">
        <f t="shared" si="1026"/>
        <v>0</v>
      </c>
      <c r="W43" s="110"/>
      <c r="X43" s="139"/>
      <c r="Y43" s="140" t="e">
        <f t="shared" si="1027"/>
        <v>#DIV/0!</v>
      </c>
      <c r="Z43" s="198">
        <f t="shared" si="1020"/>
        <v>0</v>
      </c>
      <c r="AA43" s="225">
        <f t="shared" si="1028"/>
        <v>0</v>
      </c>
      <c r="AB43" s="226">
        <f t="shared" si="1029"/>
        <v>0</v>
      </c>
      <c r="AC43" s="137">
        <f t="shared" si="1030"/>
        <v>0</v>
      </c>
      <c r="AD43" s="227">
        <f t="shared" si="1024"/>
        <v>8.8000000000000007</v>
      </c>
      <c r="AE43" s="138">
        <f t="shared" si="1032"/>
        <v>0</v>
      </c>
      <c r="AF43" s="110">
        <f t="shared" si="1033"/>
        <v>0</v>
      </c>
      <c r="AG43" s="110"/>
      <c r="AH43" s="139"/>
      <c r="AI43" s="140" t="e">
        <f t="shared" si="1034"/>
        <v>#DIV/0!</v>
      </c>
      <c r="AJ43" s="198">
        <f t="shared" si="1020"/>
        <v>0</v>
      </c>
      <c r="AK43" s="225">
        <f t="shared" si="1035"/>
        <v>0</v>
      </c>
      <c r="AL43" s="226">
        <f t="shared" si="1036"/>
        <v>0</v>
      </c>
      <c r="AM43" s="137">
        <f t="shared" si="1037"/>
        <v>0</v>
      </c>
      <c r="AN43" s="227">
        <f t="shared" si="1024"/>
        <v>7.52</v>
      </c>
      <c r="AO43" s="138">
        <f t="shared" si="1039"/>
        <v>0</v>
      </c>
      <c r="AP43" s="110">
        <f t="shared" si="1040"/>
        <v>0</v>
      </c>
      <c r="AQ43" s="110"/>
      <c r="AR43" s="139"/>
      <c r="AS43" s="140" t="e">
        <f t="shared" si="1041"/>
        <v>#DIV/0!</v>
      </c>
      <c r="AT43" s="198">
        <f t="shared" si="1020"/>
        <v>0</v>
      </c>
      <c r="AU43" s="225">
        <f t="shared" si="1042"/>
        <v>0</v>
      </c>
      <c r="AV43" s="226">
        <f t="shared" si="1043"/>
        <v>0</v>
      </c>
      <c r="AW43" s="137">
        <f t="shared" si="1044"/>
        <v>0</v>
      </c>
      <c r="AX43" s="227">
        <f t="shared" si="1024"/>
        <v>6.88</v>
      </c>
      <c r="AY43" s="138">
        <f t="shared" si="1046"/>
        <v>0</v>
      </c>
      <c r="AZ43" s="110">
        <f t="shared" si="1047"/>
        <v>0</v>
      </c>
      <c r="BA43" s="110"/>
      <c r="BB43" s="139"/>
      <c r="BC43" s="140" t="e">
        <f t="shared" si="1048"/>
        <v>#DIV/0!</v>
      </c>
      <c r="BD43" s="198">
        <f t="shared" si="1020"/>
        <v>0</v>
      </c>
      <c r="BE43" s="225">
        <f t="shared" si="1049"/>
        <v>0</v>
      </c>
      <c r="BF43" s="226">
        <f t="shared" si="1050"/>
        <v>0</v>
      </c>
      <c r="BG43" s="137">
        <f t="shared" si="1051"/>
        <v>0</v>
      </c>
      <c r="BH43" s="227">
        <f t="shared" si="1024"/>
        <v>9.74</v>
      </c>
      <c r="BI43" s="138">
        <f t="shared" si="1053"/>
        <v>0</v>
      </c>
      <c r="BJ43" s="110">
        <f t="shared" si="1054"/>
        <v>0</v>
      </c>
      <c r="BK43" s="110"/>
      <c r="BL43" s="139"/>
      <c r="BM43" s="140" t="e">
        <f t="shared" si="1055"/>
        <v>#DIV/0!</v>
      </c>
      <c r="BN43" s="198">
        <f t="shared" si="1020"/>
        <v>0</v>
      </c>
      <c r="BO43" s="225">
        <f t="shared" si="1056"/>
        <v>0</v>
      </c>
      <c r="BP43" s="226">
        <f t="shared" si="1057"/>
        <v>0</v>
      </c>
      <c r="BQ43" s="137">
        <f t="shared" si="1058"/>
        <v>0</v>
      </c>
      <c r="BR43" s="227">
        <f t="shared" si="1024"/>
        <v>10.32</v>
      </c>
      <c r="BS43" s="138">
        <f t="shared" si="1060"/>
        <v>0</v>
      </c>
      <c r="BT43" s="110">
        <f t="shared" si="1061"/>
        <v>0</v>
      </c>
      <c r="BU43" s="110"/>
      <c r="BV43" s="139"/>
      <c r="BW43" s="140" t="e">
        <f t="shared" si="1062"/>
        <v>#DIV/0!</v>
      </c>
      <c r="BX43" s="198">
        <f t="shared" si="1020"/>
        <v>0</v>
      </c>
      <c r="BY43" s="225">
        <f t="shared" si="1063"/>
        <v>0</v>
      </c>
      <c r="BZ43" s="226">
        <f t="shared" si="1064"/>
        <v>0</v>
      </c>
      <c r="CA43" s="137">
        <f t="shared" si="1065"/>
        <v>0</v>
      </c>
      <c r="CB43" s="227">
        <f t="shared" si="1024"/>
        <v>7.89</v>
      </c>
      <c r="CC43" s="138">
        <f t="shared" si="1067"/>
        <v>0</v>
      </c>
      <c r="CD43" s="110">
        <f t="shared" si="1068"/>
        <v>0</v>
      </c>
      <c r="CE43" s="110"/>
      <c r="CF43" s="139"/>
      <c r="CG43" s="140" t="e">
        <f t="shared" si="1069"/>
        <v>#DIV/0!</v>
      </c>
      <c r="CH43" s="198">
        <f t="shared" si="1070"/>
        <v>0</v>
      </c>
      <c r="CI43" s="225">
        <f t="shared" si="1071"/>
        <v>0</v>
      </c>
      <c r="CJ43" s="226">
        <f t="shared" si="1072"/>
        <v>0</v>
      </c>
      <c r="CK43" s="137">
        <f t="shared" si="1073"/>
        <v>0</v>
      </c>
      <c r="CL43" s="227">
        <f t="shared" si="1074"/>
        <v>8.24</v>
      </c>
      <c r="CM43" s="138">
        <f t="shared" si="1075"/>
        <v>0</v>
      </c>
      <c r="CN43" s="110">
        <f t="shared" si="1076"/>
        <v>0</v>
      </c>
      <c r="CO43" s="110"/>
      <c r="CP43" s="139"/>
      <c r="CQ43" s="140" t="e">
        <f t="shared" si="1077"/>
        <v>#DIV/0!</v>
      </c>
      <c r="CR43" s="198">
        <f t="shared" si="1070"/>
        <v>0</v>
      </c>
      <c r="CS43" s="225">
        <f t="shared" si="1078"/>
        <v>0</v>
      </c>
      <c r="CT43" s="226">
        <f t="shared" si="1079"/>
        <v>0</v>
      </c>
      <c r="CU43" s="137">
        <f t="shared" si="1080"/>
        <v>0</v>
      </c>
      <c r="CV43" s="227">
        <f t="shared" si="1074"/>
        <v>8.92</v>
      </c>
      <c r="CW43" s="138">
        <f t="shared" si="1082"/>
        <v>0</v>
      </c>
      <c r="CX43" s="110">
        <f t="shared" si="1083"/>
        <v>0</v>
      </c>
      <c r="CY43" s="110"/>
      <c r="CZ43" s="139"/>
      <c r="DA43" s="140" t="e">
        <f t="shared" si="1084"/>
        <v>#DIV/0!</v>
      </c>
      <c r="DB43" s="198">
        <f t="shared" si="1070"/>
        <v>0</v>
      </c>
      <c r="DC43" s="225">
        <f t="shared" si="1085"/>
        <v>0</v>
      </c>
      <c r="DD43" s="226">
        <f t="shared" si="1086"/>
        <v>0</v>
      </c>
      <c r="DE43" s="137">
        <f t="shared" si="1087"/>
        <v>0</v>
      </c>
      <c r="DF43" s="227">
        <f t="shared" si="1074"/>
        <v>7.48</v>
      </c>
      <c r="DG43" s="138">
        <f t="shared" si="1089"/>
        <v>0</v>
      </c>
      <c r="DH43" s="110">
        <f t="shared" si="1090"/>
        <v>0</v>
      </c>
      <c r="DI43" s="110"/>
      <c r="DJ43" s="139"/>
      <c r="DK43" s="140" t="e">
        <f t="shared" si="1091"/>
        <v>#DIV/0!</v>
      </c>
      <c r="DL43" s="198">
        <f t="shared" si="1070"/>
        <v>0</v>
      </c>
      <c r="DM43" s="225">
        <f t="shared" si="1092"/>
        <v>0</v>
      </c>
      <c r="DN43" s="226">
        <f t="shared" si="1093"/>
        <v>0</v>
      </c>
      <c r="DO43" s="137">
        <f t="shared" si="1094"/>
        <v>0</v>
      </c>
      <c r="DP43" s="227">
        <f t="shared" si="1074"/>
        <v>8.2200000000000006</v>
      </c>
      <c r="DQ43" s="138">
        <f t="shared" si="1096"/>
        <v>0</v>
      </c>
      <c r="DR43" s="110">
        <f t="shared" si="1097"/>
        <v>0</v>
      </c>
      <c r="DS43" s="110"/>
      <c r="DT43" s="139"/>
      <c r="DU43" s="140" t="e">
        <f t="shared" si="1098"/>
        <v>#DIV/0!</v>
      </c>
      <c r="DV43" s="198">
        <f t="shared" si="1070"/>
        <v>0</v>
      </c>
      <c r="DW43" s="225">
        <f t="shared" si="1099"/>
        <v>0</v>
      </c>
      <c r="DX43" s="226">
        <f t="shared" si="1100"/>
        <v>0</v>
      </c>
      <c r="DY43" s="137">
        <f t="shared" si="1101"/>
        <v>0</v>
      </c>
      <c r="DZ43" s="227">
        <f t="shared" si="1074"/>
        <v>7.91</v>
      </c>
      <c r="EA43" s="138">
        <f t="shared" si="1103"/>
        <v>0</v>
      </c>
      <c r="EB43" s="110">
        <f t="shared" si="1104"/>
        <v>0</v>
      </c>
      <c r="EC43" s="110"/>
      <c r="ED43" s="139"/>
      <c r="EE43" s="140" t="e">
        <f t="shared" si="1105"/>
        <v>#DIV/0!</v>
      </c>
      <c r="EF43" s="198">
        <f t="shared" si="1070"/>
        <v>0</v>
      </c>
      <c r="EG43" s="225">
        <f t="shared" si="1106"/>
        <v>0</v>
      </c>
      <c r="EH43" s="226">
        <f t="shared" si="1107"/>
        <v>0</v>
      </c>
      <c r="EI43" s="137">
        <f t="shared" si="1108"/>
        <v>0</v>
      </c>
      <c r="EJ43" s="227">
        <f t="shared" si="1074"/>
        <v>7.63</v>
      </c>
      <c r="EK43" s="138">
        <f t="shared" si="1110"/>
        <v>0</v>
      </c>
      <c r="EL43" s="110">
        <f t="shared" si="1111"/>
        <v>0</v>
      </c>
      <c r="EM43" s="110"/>
      <c r="EN43" s="139"/>
      <c r="EO43" s="140" t="e">
        <f t="shared" si="1112"/>
        <v>#DIV/0!</v>
      </c>
      <c r="EP43" s="198">
        <f t="shared" si="1070"/>
        <v>0</v>
      </c>
      <c r="EQ43" s="225">
        <f t="shared" si="1113"/>
        <v>0</v>
      </c>
      <c r="ER43" s="226">
        <f t="shared" si="1114"/>
        <v>0</v>
      </c>
      <c r="ES43" s="137">
        <f t="shared" si="1115"/>
        <v>0</v>
      </c>
      <c r="ET43" s="227">
        <f t="shared" si="1074"/>
        <v>7.95</v>
      </c>
      <c r="EU43" s="138">
        <f t="shared" si="1117"/>
        <v>0</v>
      </c>
      <c r="EV43" s="110">
        <f t="shared" si="1118"/>
        <v>0</v>
      </c>
      <c r="EW43" s="110"/>
      <c r="EX43" s="139"/>
      <c r="EY43" s="140" t="e">
        <f t="shared" si="1119"/>
        <v>#DIV/0!</v>
      </c>
      <c r="EZ43" s="198">
        <f t="shared" si="1120"/>
        <v>0</v>
      </c>
      <c r="FA43" s="225">
        <f t="shared" si="1121"/>
        <v>0</v>
      </c>
      <c r="FB43" s="226">
        <f t="shared" si="1122"/>
        <v>0</v>
      </c>
      <c r="FC43" s="137">
        <f t="shared" si="1123"/>
        <v>0</v>
      </c>
      <c r="FD43" s="227">
        <f t="shared" si="1124"/>
        <v>10.210000000000001</v>
      </c>
      <c r="FE43" s="138">
        <f t="shared" si="1125"/>
        <v>0</v>
      </c>
      <c r="FF43" s="110">
        <f t="shared" si="1126"/>
        <v>0</v>
      </c>
      <c r="FG43" s="110"/>
      <c r="FH43" s="139"/>
      <c r="FI43" s="140" t="e">
        <f t="shared" si="1127"/>
        <v>#DIV/0!</v>
      </c>
      <c r="FJ43" s="198">
        <f t="shared" si="1120"/>
        <v>0</v>
      </c>
      <c r="FK43" s="225">
        <f t="shared" si="1128"/>
        <v>0</v>
      </c>
      <c r="FL43" s="226">
        <f t="shared" si="1129"/>
        <v>0</v>
      </c>
      <c r="FM43" s="137">
        <f t="shared" si="1130"/>
        <v>0</v>
      </c>
      <c r="FN43" s="227">
        <f t="shared" si="1124"/>
        <v>9.52</v>
      </c>
      <c r="FO43" s="138">
        <f t="shared" si="1132"/>
        <v>0</v>
      </c>
      <c r="FP43" s="110">
        <f t="shared" si="1133"/>
        <v>0</v>
      </c>
      <c r="FQ43" s="110"/>
      <c r="FR43" s="139"/>
      <c r="FS43" s="140" t="e">
        <f t="shared" si="1134"/>
        <v>#DIV/0!</v>
      </c>
      <c r="FT43" s="198">
        <f t="shared" si="1120"/>
        <v>0</v>
      </c>
      <c r="FU43" s="225">
        <f t="shared" si="1135"/>
        <v>0</v>
      </c>
      <c r="FV43" s="226">
        <f t="shared" si="1136"/>
        <v>0</v>
      </c>
      <c r="FW43" s="137">
        <f t="shared" si="1137"/>
        <v>0</v>
      </c>
      <c r="FX43" s="227">
        <f t="shared" si="1124"/>
        <v>9.57</v>
      </c>
      <c r="FY43" s="138">
        <f t="shared" si="1139"/>
        <v>0</v>
      </c>
      <c r="FZ43" s="110">
        <f t="shared" si="1140"/>
        <v>0</v>
      </c>
      <c r="GA43" s="110"/>
      <c r="GB43" s="139"/>
      <c r="GC43" s="140" t="e">
        <f t="shared" si="1141"/>
        <v>#DIV/0!</v>
      </c>
      <c r="GD43" s="198">
        <f t="shared" si="1120"/>
        <v>0</v>
      </c>
      <c r="GE43" s="225">
        <f t="shared" si="1142"/>
        <v>0</v>
      </c>
      <c r="GF43" s="226">
        <f t="shared" si="1143"/>
        <v>0</v>
      </c>
      <c r="GG43" s="137">
        <f t="shared" si="1144"/>
        <v>0</v>
      </c>
      <c r="GH43" s="227">
        <f t="shared" si="1124"/>
        <v>8.39</v>
      </c>
      <c r="GI43" s="138">
        <f t="shared" si="1146"/>
        <v>0</v>
      </c>
      <c r="GJ43" s="110">
        <f t="shared" si="1147"/>
        <v>0</v>
      </c>
      <c r="GK43" s="110"/>
      <c r="GL43" s="139"/>
      <c r="GM43" s="140" t="e">
        <f t="shared" si="1148"/>
        <v>#DIV/0!</v>
      </c>
      <c r="GN43" s="198">
        <f t="shared" si="1120"/>
        <v>0</v>
      </c>
      <c r="GO43" s="225">
        <f t="shared" si="1149"/>
        <v>0</v>
      </c>
      <c r="GP43" s="226">
        <f t="shared" si="1150"/>
        <v>0</v>
      </c>
      <c r="GQ43" s="137">
        <f t="shared" si="1151"/>
        <v>0</v>
      </c>
      <c r="GR43" s="227">
        <f t="shared" si="1152"/>
        <v>7.63</v>
      </c>
      <c r="GS43" s="138">
        <f t="shared" si="1153"/>
        <v>0</v>
      </c>
      <c r="GT43" s="110">
        <f t="shared" si="1154"/>
        <v>0</v>
      </c>
      <c r="GU43" s="110"/>
      <c r="GV43" s="139"/>
      <c r="GW43" s="140" t="e">
        <f t="shared" si="1155"/>
        <v>#DIV/0!</v>
      </c>
      <c r="GX43" s="198">
        <f t="shared" si="1120"/>
        <v>0</v>
      </c>
      <c r="GY43" s="225">
        <f t="shared" si="1156"/>
        <v>0</v>
      </c>
      <c r="GZ43" s="226">
        <f t="shared" si="1157"/>
        <v>0</v>
      </c>
      <c r="HA43" s="137">
        <f t="shared" si="1158"/>
        <v>0</v>
      </c>
      <c r="HB43" s="227">
        <f t="shared" si="1152"/>
        <v>4.8899999999999997</v>
      </c>
      <c r="HC43" s="138">
        <f t="shared" si="1160"/>
        <v>0</v>
      </c>
      <c r="HD43" s="110">
        <f t="shared" si="1161"/>
        <v>0</v>
      </c>
      <c r="HE43" s="110"/>
      <c r="HF43" s="139"/>
      <c r="HG43" s="140" t="e">
        <f t="shared" si="1162"/>
        <v>#DIV/0!</v>
      </c>
      <c r="HH43" s="198">
        <f t="shared" si="1120"/>
        <v>0</v>
      </c>
      <c r="HI43" s="225">
        <f t="shared" si="1163"/>
        <v>0</v>
      </c>
      <c r="HJ43" s="226">
        <f t="shared" si="1164"/>
        <v>0</v>
      </c>
      <c r="HK43" s="137">
        <f t="shared" si="1165"/>
        <v>0</v>
      </c>
      <c r="HL43" s="227">
        <f t="shared" si="1152"/>
        <v>5.98</v>
      </c>
      <c r="HM43" s="138">
        <f t="shared" si="1167"/>
        <v>0</v>
      </c>
      <c r="HN43" s="110">
        <f t="shared" si="1168"/>
        <v>0</v>
      </c>
      <c r="HO43" s="110"/>
      <c r="HP43" s="139"/>
      <c r="HQ43" s="140" t="e">
        <f t="shared" si="1169"/>
        <v>#DIV/0!</v>
      </c>
      <c r="HR43" s="198">
        <f t="shared" si="1170"/>
        <v>0</v>
      </c>
      <c r="HS43" s="225">
        <f t="shared" si="1171"/>
        <v>0</v>
      </c>
      <c r="HT43" s="226">
        <f t="shared" si="1172"/>
        <v>0</v>
      </c>
      <c r="HU43" s="137">
        <f t="shared" si="1173"/>
        <v>0</v>
      </c>
      <c r="HV43" s="227">
        <f t="shared" si="1152"/>
        <v>9.76</v>
      </c>
      <c r="HW43" s="138">
        <f t="shared" si="1175"/>
        <v>0</v>
      </c>
      <c r="HX43" s="110">
        <f t="shared" si="1176"/>
        <v>0</v>
      </c>
      <c r="HY43" s="110"/>
      <c r="HZ43" s="139"/>
      <c r="IA43" s="140" t="e">
        <f t="shared" si="1177"/>
        <v>#DIV/0!</v>
      </c>
      <c r="IB43" s="198">
        <f t="shared" si="1170"/>
        <v>0</v>
      </c>
      <c r="IC43" s="225">
        <f t="shared" si="1178"/>
        <v>0</v>
      </c>
      <c r="ID43" s="226">
        <f t="shared" si="1179"/>
        <v>0</v>
      </c>
      <c r="IE43" s="137">
        <f t="shared" si="1180"/>
        <v>0</v>
      </c>
      <c r="IF43" s="227">
        <f t="shared" si="1181"/>
        <v>7.76</v>
      </c>
      <c r="IG43" s="138">
        <f t="shared" si="1182"/>
        <v>0</v>
      </c>
      <c r="IH43" s="110">
        <f t="shared" si="1183"/>
        <v>0</v>
      </c>
      <c r="II43" s="110"/>
      <c r="IJ43" s="139"/>
      <c r="IK43" s="140" t="e">
        <f t="shared" si="1184"/>
        <v>#DIV/0!</v>
      </c>
      <c r="IL43" s="198">
        <f t="shared" si="1170"/>
        <v>0</v>
      </c>
      <c r="IM43" s="225">
        <f t="shared" si="1185"/>
        <v>0</v>
      </c>
      <c r="IN43" s="226">
        <f t="shared" si="1186"/>
        <v>0</v>
      </c>
      <c r="IO43" s="137">
        <f t="shared" si="1187"/>
        <v>0</v>
      </c>
      <c r="IP43" s="227">
        <f t="shared" si="1181"/>
        <v>7.4</v>
      </c>
      <c r="IQ43" s="138">
        <f t="shared" si="1189"/>
        <v>0</v>
      </c>
      <c r="IR43" s="110">
        <f t="shared" si="1190"/>
        <v>0</v>
      </c>
      <c r="IS43" s="110"/>
      <c r="IT43" s="139"/>
      <c r="IU43" s="140" t="e">
        <f t="shared" si="1191"/>
        <v>#DIV/0!</v>
      </c>
      <c r="IV43" s="198">
        <f t="shared" si="1170"/>
        <v>0</v>
      </c>
      <c r="IW43" s="225">
        <f t="shared" si="1192"/>
        <v>0</v>
      </c>
      <c r="IX43" s="226">
        <f t="shared" si="1193"/>
        <v>0</v>
      </c>
      <c r="IY43" s="137">
        <f t="shared" si="1194"/>
        <v>0</v>
      </c>
      <c r="IZ43" s="227">
        <f t="shared" si="1181"/>
        <v>9.64</v>
      </c>
      <c r="JA43" s="138">
        <f t="shared" si="1196"/>
        <v>0</v>
      </c>
      <c r="JB43" s="110">
        <f t="shared" si="1197"/>
        <v>0</v>
      </c>
      <c r="JC43" s="110"/>
      <c r="JD43" s="139"/>
      <c r="JE43" s="140" t="e">
        <f t="shared" si="1198"/>
        <v>#DIV/0!</v>
      </c>
      <c r="JF43" s="198">
        <f t="shared" si="1170"/>
        <v>0</v>
      </c>
      <c r="JG43" s="225">
        <f t="shared" si="1199"/>
        <v>0</v>
      </c>
      <c r="JH43" s="226">
        <f t="shared" si="1200"/>
        <v>0</v>
      </c>
      <c r="JI43" s="137">
        <f t="shared" si="1201"/>
        <v>0</v>
      </c>
      <c r="JJ43" s="227">
        <f t="shared" si="1181"/>
        <v>9.1</v>
      </c>
      <c r="JK43" s="138">
        <f t="shared" si="1203"/>
        <v>0</v>
      </c>
      <c r="JL43" s="110">
        <f t="shared" si="1204"/>
        <v>0</v>
      </c>
      <c r="JM43" s="110"/>
      <c r="JN43" s="139"/>
      <c r="JO43" s="140" t="e">
        <f t="shared" si="1205"/>
        <v>#DIV/0!</v>
      </c>
      <c r="JP43" s="198">
        <f t="shared" si="1170"/>
        <v>0</v>
      </c>
      <c r="JQ43" s="225">
        <f t="shared" si="1206"/>
        <v>0</v>
      </c>
      <c r="JR43" s="226">
        <f t="shared" si="1207"/>
        <v>0</v>
      </c>
      <c r="JS43" s="137">
        <f t="shared" si="1208"/>
        <v>0</v>
      </c>
      <c r="JT43" s="227">
        <f t="shared" si="1209"/>
        <v>10.15</v>
      </c>
      <c r="JU43" s="138">
        <f t="shared" si="1210"/>
        <v>0</v>
      </c>
      <c r="JV43" s="110">
        <f t="shared" si="1211"/>
        <v>0</v>
      </c>
      <c r="JW43" s="110"/>
      <c r="JX43" s="139"/>
      <c r="JY43" s="140" t="e">
        <f t="shared" si="1212"/>
        <v>#DIV/0!</v>
      </c>
      <c r="JZ43" s="198">
        <f t="shared" si="1170"/>
        <v>0</v>
      </c>
      <c r="KA43" s="225">
        <f t="shared" si="1213"/>
        <v>0</v>
      </c>
      <c r="KB43" s="226">
        <f t="shared" si="1214"/>
        <v>0</v>
      </c>
      <c r="KC43" s="137">
        <f t="shared" si="1215"/>
        <v>0</v>
      </c>
      <c r="KD43" s="227">
        <f t="shared" si="1209"/>
        <v>8.14</v>
      </c>
      <c r="KE43" s="138">
        <f t="shared" si="1217"/>
        <v>0</v>
      </c>
      <c r="KF43" s="110">
        <f t="shared" si="1218"/>
        <v>0</v>
      </c>
      <c r="KG43" s="110"/>
      <c r="KH43" s="139"/>
      <c r="KI43" s="140" t="e">
        <f t="shared" si="1219"/>
        <v>#DIV/0!</v>
      </c>
      <c r="KJ43" s="198">
        <f t="shared" si="1220"/>
        <v>0</v>
      </c>
      <c r="KK43" s="225">
        <f t="shared" si="1221"/>
        <v>0</v>
      </c>
      <c r="KL43" s="226">
        <f t="shared" si="1222"/>
        <v>0</v>
      </c>
      <c r="KM43" s="137">
        <f t="shared" si="1223"/>
        <v>0</v>
      </c>
      <c r="KN43" s="227">
        <f t="shared" si="1209"/>
        <v>9.02</v>
      </c>
      <c r="KO43" s="138">
        <f t="shared" si="1225"/>
        <v>0</v>
      </c>
      <c r="KP43" s="110">
        <f t="shared" si="1226"/>
        <v>0</v>
      </c>
      <c r="KQ43" s="110"/>
      <c r="KR43" s="139"/>
      <c r="KS43" s="140" t="e">
        <f t="shared" si="1227"/>
        <v>#DIV/0!</v>
      </c>
      <c r="KT43" s="198">
        <f t="shared" si="1220"/>
        <v>0</v>
      </c>
      <c r="KU43" s="225">
        <f t="shared" si="1228"/>
        <v>0</v>
      </c>
      <c r="KV43" s="226">
        <f t="shared" si="1229"/>
        <v>0</v>
      </c>
      <c r="KW43" s="137">
        <f t="shared" si="1230"/>
        <v>0</v>
      </c>
      <c r="KX43" s="227">
        <f t="shared" si="1209"/>
        <v>9.94</v>
      </c>
      <c r="KY43" s="138">
        <f t="shared" si="1232"/>
        <v>0</v>
      </c>
      <c r="KZ43" s="110">
        <f t="shared" si="1233"/>
        <v>0</v>
      </c>
      <c r="LA43" s="110"/>
      <c r="LB43" s="139"/>
      <c r="LC43" s="140" t="e">
        <f t="shared" si="1234"/>
        <v>#DIV/0!</v>
      </c>
      <c r="LD43" s="197">
        <f t="shared" si="1235"/>
        <v>0</v>
      </c>
      <c r="LE43" s="225">
        <f t="shared" si="1236"/>
        <v>0</v>
      </c>
      <c r="LF43" s="226">
        <f t="shared" si="1237"/>
        <v>0</v>
      </c>
      <c r="LG43" s="137">
        <f t="shared" si="1238"/>
        <v>0</v>
      </c>
      <c r="LH43" s="227">
        <f t="shared" si="1239"/>
        <v>8.4600000000000009</v>
      </c>
      <c r="LI43" s="138">
        <f t="shared" si="1240"/>
        <v>0</v>
      </c>
      <c r="LJ43" s="110">
        <f t="shared" si="1241"/>
        <v>0</v>
      </c>
      <c r="LK43" s="110"/>
      <c r="LL43" s="139"/>
    </row>
    <row r="44" spans="1:324" ht="26.25" customHeight="1" x14ac:dyDescent="0.25">
      <c r="A44" s="246"/>
      <c r="B44" s="12" t="s">
        <v>625</v>
      </c>
      <c r="C44" s="12" t="s">
        <v>727</v>
      </c>
      <c r="D44" s="12" t="s">
        <v>427</v>
      </c>
      <c r="E44" s="4" t="s">
        <v>33</v>
      </c>
      <c r="F44" s="198">
        <f t="shared" si="1015"/>
        <v>0</v>
      </c>
      <c r="G44" s="225">
        <f t="shared" si="1242"/>
        <v>0</v>
      </c>
      <c r="H44" s="226">
        <f t="shared" si="1243"/>
        <v>0</v>
      </c>
      <c r="I44" s="137">
        <f t="shared" si="1016"/>
        <v>0</v>
      </c>
      <c r="J44" s="227">
        <f t="shared" si="1244"/>
        <v>7.57</v>
      </c>
      <c r="K44" s="138">
        <f t="shared" si="1017"/>
        <v>0</v>
      </c>
      <c r="L44" s="110">
        <f t="shared" si="1018"/>
        <v>0</v>
      </c>
      <c r="M44" s="110"/>
      <c r="N44" s="139"/>
      <c r="O44" s="140">
        <f t="shared" si="1019"/>
        <v>0</v>
      </c>
      <c r="P44" s="198">
        <f t="shared" si="1020"/>
        <v>0</v>
      </c>
      <c r="Q44" s="225">
        <f t="shared" si="1021"/>
        <v>0</v>
      </c>
      <c r="R44" s="226">
        <f t="shared" si="1022"/>
        <v>0</v>
      </c>
      <c r="S44" s="137">
        <f t="shared" si="1023"/>
        <v>0</v>
      </c>
      <c r="T44" s="227">
        <f t="shared" si="1024"/>
        <v>8.23</v>
      </c>
      <c r="U44" s="138">
        <f t="shared" si="1025"/>
        <v>0</v>
      </c>
      <c r="V44" s="110">
        <f t="shared" si="1026"/>
        <v>0</v>
      </c>
      <c r="W44" s="110"/>
      <c r="X44" s="139"/>
      <c r="Y44" s="140">
        <f t="shared" si="1027"/>
        <v>0</v>
      </c>
      <c r="Z44" s="198">
        <f t="shared" si="1020"/>
        <v>0</v>
      </c>
      <c r="AA44" s="225">
        <f t="shared" si="1028"/>
        <v>0</v>
      </c>
      <c r="AB44" s="226">
        <f t="shared" si="1029"/>
        <v>0</v>
      </c>
      <c r="AC44" s="137">
        <f t="shared" si="1030"/>
        <v>0</v>
      </c>
      <c r="AD44" s="227">
        <f t="shared" si="1024"/>
        <v>8.8000000000000007</v>
      </c>
      <c r="AE44" s="138">
        <f t="shared" si="1032"/>
        <v>0</v>
      </c>
      <c r="AF44" s="110">
        <f t="shared" si="1033"/>
        <v>0</v>
      </c>
      <c r="AG44" s="110"/>
      <c r="AH44" s="139"/>
      <c r="AI44" s="140">
        <f t="shared" si="1034"/>
        <v>0</v>
      </c>
      <c r="AJ44" s="198">
        <f t="shared" si="1020"/>
        <v>25</v>
      </c>
      <c r="AK44" s="225">
        <f t="shared" si="1035"/>
        <v>3.7589999999999998E-2</v>
      </c>
      <c r="AL44" s="226">
        <f t="shared" si="1036"/>
        <v>1014.18</v>
      </c>
      <c r="AM44" s="137">
        <f t="shared" si="1037"/>
        <v>40.5672</v>
      </c>
      <c r="AN44" s="227">
        <f t="shared" si="1024"/>
        <v>7.52</v>
      </c>
      <c r="AO44" s="138">
        <f t="shared" si="1039"/>
        <v>305.06533999999999</v>
      </c>
      <c r="AP44" s="110">
        <f t="shared" si="1040"/>
        <v>7626.63</v>
      </c>
      <c r="AQ44" s="110"/>
      <c r="AR44" s="139"/>
      <c r="AS44" s="140">
        <f t="shared" si="1041"/>
        <v>0.38266</v>
      </c>
      <c r="AT44" s="198">
        <f t="shared" si="1020"/>
        <v>0</v>
      </c>
      <c r="AU44" s="225">
        <f t="shared" si="1042"/>
        <v>0</v>
      </c>
      <c r="AV44" s="226">
        <f t="shared" si="1043"/>
        <v>0</v>
      </c>
      <c r="AW44" s="137">
        <f t="shared" si="1044"/>
        <v>0</v>
      </c>
      <c r="AX44" s="227">
        <f t="shared" si="1024"/>
        <v>6.88</v>
      </c>
      <c r="AY44" s="138">
        <f t="shared" si="1046"/>
        <v>0</v>
      </c>
      <c r="AZ44" s="110">
        <f t="shared" si="1047"/>
        <v>0</v>
      </c>
      <c r="BA44" s="110"/>
      <c r="BB44" s="139"/>
      <c r="BC44" s="140">
        <f t="shared" si="1048"/>
        <v>0</v>
      </c>
      <c r="BD44" s="198">
        <f t="shared" si="1020"/>
        <v>0</v>
      </c>
      <c r="BE44" s="225">
        <f t="shared" si="1049"/>
        <v>0</v>
      </c>
      <c r="BF44" s="226">
        <f t="shared" si="1050"/>
        <v>0</v>
      </c>
      <c r="BG44" s="137">
        <f t="shared" si="1051"/>
        <v>0</v>
      </c>
      <c r="BH44" s="227">
        <f t="shared" si="1024"/>
        <v>9.74</v>
      </c>
      <c r="BI44" s="138">
        <f t="shared" si="1053"/>
        <v>0</v>
      </c>
      <c r="BJ44" s="110">
        <f t="shared" si="1054"/>
        <v>0</v>
      </c>
      <c r="BK44" s="110"/>
      <c r="BL44" s="139"/>
      <c r="BM44" s="140">
        <f t="shared" si="1055"/>
        <v>0</v>
      </c>
      <c r="BN44" s="198">
        <f t="shared" si="1020"/>
        <v>0</v>
      </c>
      <c r="BO44" s="225">
        <f t="shared" si="1056"/>
        <v>0</v>
      </c>
      <c r="BP44" s="226">
        <f t="shared" si="1057"/>
        <v>0</v>
      </c>
      <c r="BQ44" s="137">
        <f t="shared" si="1058"/>
        <v>0</v>
      </c>
      <c r="BR44" s="227">
        <f t="shared" si="1024"/>
        <v>10.32</v>
      </c>
      <c r="BS44" s="138">
        <f t="shared" si="1060"/>
        <v>0</v>
      </c>
      <c r="BT44" s="110">
        <f t="shared" si="1061"/>
        <v>0</v>
      </c>
      <c r="BU44" s="110"/>
      <c r="BV44" s="139"/>
      <c r="BW44" s="140">
        <f t="shared" si="1062"/>
        <v>0</v>
      </c>
      <c r="BX44" s="198">
        <f t="shared" si="1020"/>
        <v>0</v>
      </c>
      <c r="BY44" s="225">
        <f t="shared" si="1063"/>
        <v>0</v>
      </c>
      <c r="BZ44" s="226">
        <f t="shared" si="1064"/>
        <v>0</v>
      </c>
      <c r="CA44" s="137">
        <f t="shared" si="1065"/>
        <v>0</v>
      </c>
      <c r="CB44" s="227">
        <f t="shared" si="1024"/>
        <v>7.89</v>
      </c>
      <c r="CC44" s="138">
        <f t="shared" si="1067"/>
        <v>0</v>
      </c>
      <c r="CD44" s="110">
        <f t="shared" si="1068"/>
        <v>0</v>
      </c>
      <c r="CE44" s="110"/>
      <c r="CF44" s="139"/>
      <c r="CG44" s="140">
        <f t="shared" si="1069"/>
        <v>0</v>
      </c>
      <c r="CH44" s="198">
        <f t="shared" si="1070"/>
        <v>0</v>
      </c>
      <c r="CI44" s="225">
        <f t="shared" si="1071"/>
        <v>0</v>
      </c>
      <c r="CJ44" s="226">
        <f t="shared" si="1072"/>
        <v>0</v>
      </c>
      <c r="CK44" s="137">
        <f t="shared" si="1073"/>
        <v>0</v>
      </c>
      <c r="CL44" s="227">
        <f t="shared" si="1074"/>
        <v>8.24</v>
      </c>
      <c r="CM44" s="138">
        <f t="shared" si="1075"/>
        <v>0</v>
      </c>
      <c r="CN44" s="110">
        <f t="shared" si="1076"/>
        <v>0</v>
      </c>
      <c r="CO44" s="110"/>
      <c r="CP44" s="139"/>
      <c r="CQ44" s="140">
        <f t="shared" si="1077"/>
        <v>0</v>
      </c>
      <c r="CR44" s="198">
        <f t="shared" si="1070"/>
        <v>8</v>
      </c>
      <c r="CS44" s="225">
        <f t="shared" si="1078"/>
        <v>1.0749999999999999E-2</v>
      </c>
      <c r="CT44" s="226">
        <f t="shared" si="1079"/>
        <v>679.83</v>
      </c>
      <c r="CU44" s="137">
        <f t="shared" si="1080"/>
        <v>84.978750000000005</v>
      </c>
      <c r="CV44" s="227">
        <f t="shared" si="1074"/>
        <v>8.92</v>
      </c>
      <c r="CW44" s="138">
        <f t="shared" si="1082"/>
        <v>758.01044999999999</v>
      </c>
      <c r="CX44" s="110">
        <f t="shared" si="1083"/>
        <v>6064.08</v>
      </c>
      <c r="CY44" s="110"/>
      <c r="CZ44" s="139"/>
      <c r="DA44" s="140">
        <f t="shared" si="1084"/>
        <v>0.95081000000000004</v>
      </c>
      <c r="DB44" s="198">
        <f t="shared" si="1070"/>
        <v>0</v>
      </c>
      <c r="DC44" s="225">
        <f t="shared" si="1085"/>
        <v>0</v>
      </c>
      <c r="DD44" s="226">
        <f t="shared" si="1086"/>
        <v>0</v>
      </c>
      <c r="DE44" s="137">
        <f t="shared" si="1087"/>
        <v>0</v>
      </c>
      <c r="DF44" s="227">
        <f t="shared" si="1074"/>
        <v>7.48</v>
      </c>
      <c r="DG44" s="138">
        <f t="shared" si="1089"/>
        <v>0</v>
      </c>
      <c r="DH44" s="110">
        <f t="shared" si="1090"/>
        <v>0</v>
      </c>
      <c r="DI44" s="110"/>
      <c r="DJ44" s="139"/>
      <c r="DK44" s="140">
        <f t="shared" si="1091"/>
        <v>0</v>
      </c>
      <c r="DL44" s="198">
        <f t="shared" si="1070"/>
        <v>0</v>
      </c>
      <c r="DM44" s="225">
        <f t="shared" si="1092"/>
        <v>0</v>
      </c>
      <c r="DN44" s="226">
        <f t="shared" si="1093"/>
        <v>0</v>
      </c>
      <c r="DO44" s="137">
        <f t="shared" si="1094"/>
        <v>0</v>
      </c>
      <c r="DP44" s="227">
        <f t="shared" si="1074"/>
        <v>8.2200000000000006</v>
      </c>
      <c r="DQ44" s="138">
        <f t="shared" si="1096"/>
        <v>0</v>
      </c>
      <c r="DR44" s="110">
        <f t="shared" si="1097"/>
        <v>0</v>
      </c>
      <c r="DS44" s="110"/>
      <c r="DT44" s="139"/>
      <c r="DU44" s="140">
        <f t="shared" si="1098"/>
        <v>0</v>
      </c>
      <c r="DV44" s="198">
        <f t="shared" si="1070"/>
        <v>20</v>
      </c>
      <c r="DW44" s="225">
        <f t="shared" si="1099"/>
        <v>2.2780000000000002E-2</v>
      </c>
      <c r="DX44" s="226">
        <f t="shared" si="1100"/>
        <v>3223.14</v>
      </c>
      <c r="DY44" s="137">
        <f t="shared" si="1101"/>
        <v>161.15700000000001</v>
      </c>
      <c r="DZ44" s="227">
        <f t="shared" si="1074"/>
        <v>7.91</v>
      </c>
      <c r="EA44" s="138">
        <f t="shared" si="1103"/>
        <v>1274.7518700000001</v>
      </c>
      <c r="EB44" s="110">
        <f t="shared" si="1104"/>
        <v>25495.040000000001</v>
      </c>
      <c r="EC44" s="110"/>
      <c r="ED44" s="139"/>
      <c r="EE44" s="140">
        <f t="shared" si="1105"/>
        <v>1.5989800000000001</v>
      </c>
      <c r="EF44" s="198">
        <f t="shared" si="1070"/>
        <v>13</v>
      </c>
      <c r="EG44" s="225">
        <f t="shared" si="1106"/>
        <v>1.384E-2</v>
      </c>
      <c r="EH44" s="226">
        <f t="shared" si="1107"/>
        <v>804.24</v>
      </c>
      <c r="EI44" s="137">
        <f t="shared" si="1108"/>
        <v>61.864615379999996</v>
      </c>
      <c r="EJ44" s="227">
        <f t="shared" si="1074"/>
        <v>7.63</v>
      </c>
      <c r="EK44" s="138">
        <f t="shared" si="1110"/>
        <v>472.02701999999999</v>
      </c>
      <c r="EL44" s="110">
        <f t="shared" si="1111"/>
        <v>6136.35</v>
      </c>
      <c r="EM44" s="110"/>
      <c r="EN44" s="139"/>
      <c r="EO44" s="140">
        <f t="shared" si="1112"/>
        <v>0.59208000000000005</v>
      </c>
      <c r="EP44" s="198">
        <f t="shared" si="1070"/>
        <v>11</v>
      </c>
      <c r="EQ44" s="225">
        <f t="shared" si="1113"/>
        <v>1.166E-2</v>
      </c>
      <c r="ER44" s="226">
        <f t="shared" si="1114"/>
        <v>784.95</v>
      </c>
      <c r="ES44" s="137">
        <f t="shared" si="1115"/>
        <v>71.359090910000006</v>
      </c>
      <c r="ET44" s="227">
        <f t="shared" si="1074"/>
        <v>7.95</v>
      </c>
      <c r="EU44" s="138">
        <f t="shared" si="1117"/>
        <v>567.30476999999996</v>
      </c>
      <c r="EV44" s="110">
        <f t="shared" si="1118"/>
        <v>6240.35</v>
      </c>
      <c r="EW44" s="110"/>
      <c r="EX44" s="139"/>
      <c r="EY44" s="140">
        <f t="shared" si="1119"/>
        <v>0.71160000000000001</v>
      </c>
      <c r="EZ44" s="198">
        <f t="shared" si="1120"/>
        <v>31</v>
      </c>
      <c r="FA44" s="225">
        <f t="shared" si="1121"/>
        <v>2.775E-2</v>
      </c>
      <c r="FB44" s="226">
        <f t="shared" si="1122"/>
        <v>1838.99</v>
      </c>
      <c r="FC44" s="137">
        <f t="shared" si="1123"/>
        <v>59.322258060000003</v>
      </c>
      <c r="FD44" s="227">
        <f t="shared" si="1124"/>
        <v>10.210000000000001</v>
      </c>
      <c r="FE44" s="138">
        <f t="shared" si="1125"/>
        <v>605.68025</v>
      </c>
      <c r="FF44" s="110">
        <f t="shared" si="1126"/>
        <v>18776.09</v>
      </c>
      <c r="FG44" s="110"/>
      <c r="FH44" s="139"/>
      <c r="FI44" s="140">
        <f t="shared" si="1127"/>
        <v>0.75973000000000002</v>
      </c>
      <c r="FJ44" s="198">
        <f t="shared" si="1120"/>
        <v>0</v>
      </c>
      <c r="FK44" s="225">
        <f t="shared" si="1128"/>
        <v>0</v>
      </c>
      <c r="FL44" s="226">
        <f t="shared" si="1129"/>
        <v>0</v>
      </c>
      <c r="FM44" s="137">
        <f t="shared" si="1130"/>
        <v>0</v>
      </c>
      <c r="FN44" s="227">
        <f t="shared" si="1124"/>
        <v>9.52</v>
      </c>
      <c r="FO44" s="138">
        <f t="shared" si="1132"/>
        <v>0</v>
      </c>
      <c r="FP44" s="110">
        <f t="shared" si="1133"/>
        <v>0</v>
      </c>
      <c r="FQ44" s="110"/>
      <c r="FR44" s="139"/>
      <c r="FS44" s="140">
        <f t="shared" si="1134"/>
        <v>0</v>
      </c>
      <c r="FT44" s="198">
        <f t="shared" si="1120"/>
        <v>15</v>
      </c>
      <c r="FU44" s="225">
        <f t="shared" si="1135"/>
        <v>1.8679999999999999E-2</v>
      </c>
      <c r="FV44" s="226">
        <f t="shared" si="1136"/>
        <v>934.37</v>
      </c>
      <c r="FW44" s="137">
        <f t="shared" si="1137"/>
        <v>62.291333330000001</v>
      </c>
      <c r="FX44" s="227">
        <f t="shared" si="1124"/>
        <v>9.57</v>
      </c>
      <c r="FY44" s="138">
        <f t="shared" si="1139"/>
        <v>596.12806</v>
      </c>
      <c r="FZ44" s="110">
        <f t="shared" si="1140"/>
        <v>8941.92</v>
      </c>
      <c r="GA44" s="110"/>
      <c r="GB44" s="139"/>
      <c r="GC44" s="140">
        <f t="shared" si="1141"/>
        <v>0.74775000000000003</v>
      </c>
      <c r="GD44" s="198">
        <f t="shared" si="1120"/>
        <v>32</v>
      </c>
      <c r="GE44" s="225">
        <f t="shared" si="1142"/>
        <v>6.25E-2</v>
      </c>
      <c r="GF44" s="226">
        <f t="shared" si="1143"/>
        <v>2703.75</v>
      </c>
      <c r="GG44" s="137">
        <f t="shared" si="1144"/>
        <v>84.4921875</v>
      </c>
      <c r="GH44" s="227">
        <f t="shared" si="1124"/>
        <v>8.39</v>
      </c>
      <c r="GI44" s="138">
        <f t="shared" si="1146"/>
        <v>708.88945000000001</v>
      </c>
      <c r="GJ44" s="110">
        <f t="shared" si="1147"/>
        <v>22684.46</v>
      </c>
      <c r="GK44" s="110"/>
      <c r="GL44" s="139"/>
      <c r="GM44" s="140">
        <f t="shared" si="1148"/>
        <v>0.88919000000000004</v>
      </c>
      <c r="GN44" s="198">
        <f t="shared" si="1120"/>
        <v>0</v>
      </c>
      <c r="GO44" s="225">
        <f t="shared" si="1149"/>
        <v>0</v>
      </c>
      <c r="GP44" s="226">
        <f t="shared" si="1150"/>
        <v>0</v>
      </c>
      <c r="GQ44" s="137">
        <f t="shared" si="1151"/>
        <v>0</v>
      </c>
      <c r="GR44" s="227">
        <f t="shared" si="1152"/>
        <v>7.63</v>
      </c>
      <c r="GS44" s="138">
        <f t="shared" si="1153"/>
        <v>0</v>
      </c>
      <c r="GT44" s="110">
        <f t="shared" si="1154"/>
        <v>0</v>
      </c>
      <c r="GU44" s="110"/>
      <c r="GV44" s="139"/>
      <c r="GW44" s="140">
        <f t="shared" si="1155"/>
        <v>0</v>
      </c>
      <c r="GX44" s="198">
        <f t="shared" si="1120"/>
        <v>0</v>
      </c>
      <c r="GY44" s="225">
        <f t="shared" si="1156"/>
        <v>0</v>
      </c>
      <c r="GZ44" s="226">
        <f t="shared" si="1157"/>
        <v>0</v>
      </c>
      <c r="HA44" s="137">
        <f t="shared" si="1158"/>
        <v>0</v>
      </c>
      <c r="HB44" s="227">
        <f t="shared" si="1152"/>
        <v>4.8899999999999997</v>
      </c>
      <c r="HC44" s="138">
        <f t="shared" si="1160"/>
        <v>0</v>
      </c>
      <c r="HD44" s="110">
        <f t="shared" si="1161"/>
        <v>0</v>
      </c>
      <c r="HE44" s="110"/>
      <c r="HF44" s="139"/>
      <c r="HG44" s="140">
        <f t="shared" si="1162"/>
        <v>0</v>
      </c>
      <c r="HH44" s="198">
        <f t="shared" si="1120"/>
        <v>6</v>
      </c>
      <c r="HI44" s="225">
        <f t="shared" si="1163"/>
        <v>5.2100000000000002E-3</v>
      </c>
      <c r="HJ44" s="226">
        <f t="shared" si="1164"/>
        <v>534.86</v>
      </c>
      <c r="HK44" s="137">
        <f t="shared" si="1165"/>
        <v>89.143333330000004</v>
      </c>
      <c r="HL44" s="227">
        <f t="shared" si="1152"/>
        <v>5.98</v>
      </c>
      <c r="HM44" s="138">
        <f t="shared" si="1167"/>
        <v>533.07713000000001</v>
      </c>
      <c r="HN44" s="110">
        <f t="shared" si="1168"/>
        <v>3198.46</v>
      </c>
      <c r="HO44" s="110"/>
      <c r="HP44" s="139"/>
      <c r="HQ44" s="140">
        <f t="shared" si="1169"/>
        <v>0.66866000000000003</v>
      </c>
      <c r="HR44" s="198">
        <f t="shared" si="1170"/>
        <v>0</v>
      </c>
      <c r="HS44" s="225">
        <f t="shared" si="1171"/>
        <v>0</v>
      </c>
      <c r="HT44" s="226">
        <f t="shared" si="1172"/>
        <v>0</v>
      </c>
      <c r="HU44" s="137">
        <f t="shared" si="1173"/>
        <v>0</v>
      </c>
      <c r="HV44" s="227">
        <f t="shared" si="1152"/>
        <v>9.76</v>
      </c>
      <c r="HW44" s="138">
        <f t="shared" si="1175"/>
        <v>0</v>
      </c>
      <c r="HX44" s="110">
        <f t="shared" si="1176"/>
        <v>0</v>
      </c>
      <c r="HY44" s="110"/>
      <c r="HZ44" s="139"/>
      <c r="IA44" s="140">
        <f t="shared" si="1177"/>
        <v>0</v>
      </c>
      <c r="IB44" s="198">
        <f t="shared" si="1170"/>
        <v>22</v>
      </c>
      <c r="IC44" s="225">
        <f t="shared" si="1178"/>
        <v>4.0149999999999998E-2</v>
      </c>
      <c r="ID44" s="226">
        <f t="shared" si="1179"/>
        <v>1308.49</v>
      </c>
      <c r="IE44" s="137">
        <f t="shared" si="1180"/>
        <v>59.476818180000002</v>
      </c>
      <c r="IF44" s="227">
        <f t="shared" si="1181"/>
        <v>7.76</v>
      </c>
      <c r="IG44" s="138">
        <f t="shared" si="1182"/>
        <v>461.54011000000003</v>
      </c>
      <c r="IH44" s="110">
        <f t="shared" si="1183"/>
        <v>10153.879999999999</v>
      </c>
      <c r="II44" s="110"/>
      <c r="IJ44" s="139"/>
      <c r="IK44" s="140">
        <f t="shared" si="1184"/>
        <v>0.57892999999999994</v>
      </c>
      <c r="IL44" s="198">
        <f t="shared" si="1170"/>
        <v>0</v>
      </c>
      <c r="IM44" s="225">
        <f t="shared" si="1185"/>
        <v>0</v>
      </c>
      <c r="IN44" s="226">
        <f t="shared" si="1186"/>
        <v>0</v>
      </c>
      <c r="IO44" s="137">
        <f t="shared" si="1187"/>
        <v>0</v>
      </c>
      <c r="IP44" s="227">
        <f t="shared" si="1181"/>
        <v>7.4</v>
      </c>
      <c r="IQ44" s="138">
        <f t="shared" si="1189"/>
        <v>0</v>
      </c>
      <c r="IR44" s="110">
        <f t="shared" si="1190"/>
        <v>0</v>
      </c>
      <c r="IS44" s="110"/>
      <c r="IT44" s="139"/>
      <c r="IU44" s="140">
        <f t="shared" si="1191"/>
        <v>0</v>
      </c>
      <c r="IV44" s="198">
        <f t="shared" si="1170"/>
        <v>0</v>
      </c>
      <c r="IW44" s="225">
        <f t="shared" si="1192"/>
        <v>0</v>
      </c>
      <c r="IX44" s="226">
        <f t="shared" si="1193"/>
        <v>0</v>
      </c>
      <c r="IY44" s="137">
        <f t="shared" si="1194"/>
        <v>0</v>
      </c>
      <c r="IZ44" s="227">
        <f t="shared" si="1181"/>
        <v>9.64</v>
      </c>
      <c r="JA44" s="138">
        <f t="shared" si="1196"/>
        <v>0</v>
      </c>
      <c r="JB44" s="110">
        <f t="shared" si="1197"/>
        <v>0</v>
      </c>
      <c r="JC44" s="110"/>
      <c r="JD44" s="139"/>
      <c r="JE44" s="140">
        <f t="shared" si="1198"/>
        <v>0</v>
      </c>
      <c r="JF44" s="198">
        <f t="shared" si="1170"/>
        <v>0</v>
      </c>
      <c r="JG44" s="225">
        <f t="shared" si="1199"/>
        <v>0</v>
      </c>
      <c r="JH44" s="226">
        <f t="shared" si="1200"/>
        <v>0</v>
      </c>
      <c r="JI44" s="137">
        <f t="shared" si="1201"/>
        <v>0</v>
      </c>
      <c r="JJ44" s="227">
        <f t="shared" si="1181"/>
        <v>9.1</v>
      </c>
      <c r="JK44" s="138">
        <f t="shared" si="1203"/>
        <v>0</v>
      </c>
      <c r="JL44" s="110">
        <f t="shared" si="1204"/>
        <v>0</v>
      </c>
      <c r="JM44" s="110"/>
      <c r="JN44" s="139"/>
      <c r="JO44" s="140">
        <f t="shared" si="1205"/>
        <v>0</v>
      </c>
      <c r="JP44" s="198">
        <f t="shared" si="1170"/>
        <v>10</v>
      </c>
      <c r="JQ44" s="225">
        <f t="shared" si="1206"/>
        <v>8.0099999999999998E-3</v>
      </c>
      <c r="JR44" s="226">
        <f t="shared" si="1207"/>
        <v>1046.5899999999999</v>
      </c>
      <c r="JS44" s="137">
        <f t="shared" si="1208"/>
        <v>104.65900000000001</v>
      </c>
      <c r="JT44" s="227">
        <f t="shared" si="1209"/>
        <v>10.15</v>
      </c>
      <c r="JU44" s="138">
        <f t="shared" si="1210"/>
        <v>1062.2888499999999</v>
      </c>
      <c r="JV44" s="110">
        <f t="shared" si="1211"/>
        <v>10622.89</v>
      </c>
      <c r="JW44" s="110"/>
      <c r="JX44" s="139"/>
      <c r="JY44" s="140">
        <f t="shared" si="1212"/>
        <v>1.3324800000000001</v>
      </c>
      <c r="JZ44" s="198">
        <f t="shared" si="1170"/>
        <v>0</v>
      </c>
      <c r="KA44" s="225">
        <f t="shared" si="1213"/>
        <v>0</v>
      </c>
      <c r="KB44" s="226">
        <f t="shared" si="1214"/>
        <v>0</v>
      </c>
      <c r="KC44" s="137">
        <f t="shared" si="1215"/>
        <v>0</v>
      </c>
      <c r="KD44" s="227">
        <f t="shared" si="1209"/>
        <v>8.14</v>
      </c>
      <c r="KE44" s="138">
        <f t="shared" si="1217"/>
        <v>0</v>
      </c>
      <c r="KF44" s="110">
        <f t="shared" si="1218"/>
        <v>0</v>
      </c>
      <c r="KG44" s="110"/>
      <c r="KH44" s="139"/>
      <c r="KI44" s="140">
        <f t="shared" si="1219"/>
        <v>0</v>
      </c>
      <c r="KJ44" s="198">
        <f t="shared" si="1220"/>
        <v>0</v>
      </c>
      <c r="KK44" s="225">
        <f t="shared" si="1221"/>
        <v>0</v>
      </c>
      <c r="KL44" s="226">
        <f t="shared" si="1222"/>
        <v>0</v>
      </c>
      <c r="KM44" s="137">
        <f t="shared" si="1223"/>
        <v>0</v>
      </c>
      <c r="KN44" s="227">
        <f t="shared" si="1209"/>
        <v>9.02</v>
      </c>
      <c r="KO44" s="138">
        <f t="shared" si="1225"/>
        <v>0</v>
      </c>
      <c r="KP44" s="110">
        <f t="shared" si="1226"/>
        <v>0</v>
      </c>
      <c r="KQ44" s="110"/>
      <c r="KR44" s="139"/>
      <c r="KS44" s="140">
        <f t="shared" si="1227"/>
        <v>0</v>
      </c>
      <c r="KT44" s="198">
        <f t="shared" si="1220"/>
        <v>0</v>
      </c>
      <c r="KU44" s="225">
        <f t="shared" si="1228"/>
        <v>0</v>
      </c>
      <c r="KV44" s="226">
        <f t="shared" si="1229"/>
        <v>0</v>
      </c>
      <c r="KW44" s="137">
        <f t="shared" si="1230"/>
        <v>0</v>
      </c>
      <c r="KX44" s="227">
        <f t="shared" si="1209"/>
        <v>9.94</v>
      </c>
      <c r="KY44" s="138">
        <f t="shared" si="1232"/>
        <v>0</v>
      </c>
      <c r="KZ44" s="110">
        <f t="shared" si="1233"/>
        <v>0</v>
      </c>
      <c r="LA44" s="110"/>
      <c r="LB44" s="139"/>
      <c r="LC44" s="140">
        <f t="shared" si="1234"/>
        <v>0</v>
      </c>
      <c r="LD44" s="197">
        <f t="shared" si="1235"/>
        <v>193</v>
      </c>
      <c r="LE44" s="225">
        <f t="shared" si="1236"/>
        <v>6.7600000000000004E-3</v>
      </c>
      <c r="LF44" s="226">
        <f t="shared" si="1237"/>
        <v>18187.37</v>
      </c>
      <c r="LG44" s="137">
        <f t="shared" si="1238"/>
        <v>94.235077720000007</v>
      </c>
      <c r="LH44" s="227">
        <f t="shared" si="1239"/>
        <v>8.4600000000000009</v>
      </c>
      <c r="LI44" s="138">
        <f t="shared" si="1240"/>
        <v>797.22875999999997</v>
      </c>
      <c r="LJ44" s="110">
        <f t="shared" si="1241"/>
        <v>153865.15</v>
      </c>
      <c r="LK44" s="110"/>
      <c r="LL44" s="139"/>
    </row>
    <row r="45" spans="1:324" ht="27.75" customHeight="1" x14ac:dyDescent="0.25">
      <c r="A45" s="246"/>
      <c r="B45" s="12" t="s">
        <v>626</v>
      </c>
      <c r="C45" s="12" t="s">
        <v>728</v>
      </c>
      <c r="D45" s="12" t="s">
        <v>430</v>
      </c>
      <c r="E45" s="4" t="s">
        <v>33</v>
      </c>
      <c r="F45" s="198">
        <f t="shared" si="1015"/>
        <v>1</v>
      </c>
      <c r="G45" s="225">
        <f t="shared" si="1242"/>
        <v>1.66E-3</v>
      </c>
      <c r="H45" s="226">
        <f t="shared" si="1243"/>
        <v>81.52</v>
      </c>
      <c r="I45" s="137">
        <f t="shared" si="1016"/>
        <v>81.52</v>
      </c>
      <c r="J45" s="227">
        <f t="shared" si="1244"/>
        <v>7.57</v>
      </c>
      <c r="K45" s="138">
        <f t="shared" si="1017"/>
        <v>617.10640000000001</v>
      </c>
      <c r="L45" s="110">
        <f t="shared" si="1018"/>
        <v>617.11</v>
      </c>
      <c r="M45" s="110"/>
      <c r="N45" s="139"/>
      <c r="O45" s="140">
        <f t="shared" si="1019"/>
        <v>0.77464</v>
      </c>
      <c r="P45" s="198">
        <f t="shared" si="1020"/>
        <v>3</v>
      </c>
      <c r="Q45" s="225">
        <f t="shared" si="1021"/>
        <v>2.7399999999999998E-3</v>
      </c>
      <c r="R45" s="226">
        <f t="shared" si="1022"/>
        <v>208.79</v>
      </c>
      <c r="S45" s="137">
        <f t="shared" si="1023"/>
        <v>69.596666670000005</v>
      </c>
      <c r="T45" s="227">
        <f t="shared" si="1024"/>
        <v>8.23</v>
      </c>
      <c r="U45" s="138">
        <f t="shared" si="1025"/>
        <v>572.78057000000001</v>
      </c>
      <c r="V45" s="110">
        <f t="shared" si="1026"/>
        <v>1718.34</v>
      </c>
      <c r="W45" s="110"/>
      <c r="X45" s="139"/>
      <c r="Y45" s="140">
        <f t="shared" si="1027"/>
        <v>0.71899999999999997</v>
      </c>
      <c r="Z45" s="198">
        <f t="shared" si="1020"/>
        <v>2</v>
      </c>
      <c r="AA45" s="225">
        <f t="shared" si="1028"/>
        <v>2.31E-3</v>
      </c>
      <c r="AB45" s="226">
        <f t="shared" si="1029"/>
        <v>135.18</v>
      </c>
      <c r="AC45" s="137">
        <f t="shared" si="1030"/>
        <v>67.59</v>
      </c>
      <c r="AD45" s="227">
        <f t="shared" si="1024"/>
        <v>8.8000000000000007</v>
      </c>
      <c r="AE45" s="138">
        <f t="shared" si="1032"/>
        <v>594.79200000000003</v>
      </c>
      <c r="AF45" s="110">
        <f t="shared" si="1033"/>
        <v>1189.58</v>
      </c>
      <c r="AG45" s="110"/>
      <c r="AH45" s="139"/>
      <c r="AI45" s="140">
        <f t="shared" si="1034"/>
        <v>0.74663000000000002</v>
      </c>
      <c r="AJ45" s="198">
        <f t="shared" si="1020"/>
        <v>0</v>
      </c>
      <c r="AK45" s="225">
        <f t="shared" si="1035"/>
        <v>0</v>
      </c>
      <c r="AL45" s="226">
        <f t="shared" si="1036"/>
        <v>0</v>
      </c>
      <c r="AM45" s="137">
        <f t="shared" si="1037"/>
        <v>0</v>
      </c>
      <c r="AN45" s="227">
        <f t="shared" si="1024"/>
        <v>7.52</v>
      </c>
      <c r="AO45" s="138">
        <f t="shared" si="1039"/>
        <v>0</v>
      </c>
      <c r="AP45" s="110">
        <f t="shared" si="1040"/>
        <v>0</v>
      </c>
      <c r="AQ45" s="110"/>
      <c r="AR45" s="139"/>
      <c r="AS45" s="140">
        <f t="shared" si="1041"/>
        <v>0</v>
      </c>
      <c r="AT45" s="198">
        <f t="shared" si="1020"/>
        <v>2</v>
      </c>
      <c r="AU45" s="225">
        <f t="shared" si="1042"/>
        <v>2.0999999999999999E-3</v>
      </c>
      <c r="AV45" s="226">
        <f t="shared" si="1043"/>
        <v>87.55</v>
      </c>
      <c r="AW45" s="137">
        <f t="shared" si="1044"/>
        <v>43.774999999999999</v>
      </c>
      <c r="AX45" s="227">
        <f t="shared" si="1024"/>
        <v>6.88</v>
      </c>
      <c r="AY45" s="138">
        <f t="shared" si="1046"/>
        <v>301.17200000000003</v>
      </c>
      <c r="AZ45" s="110">
        <f t="shared" si="1047"/>
        <v>602.34</v>
      </c>
      <c r="BA45" s="110"/>
      <c r="BB45" s="139"/>
      <c r="BC45" s="140">
        <f t="shared" si="1048"/>
        <v>0.37805</v>
      </c>
      <c r="BD45" s="198">
        <f t="shared" si="1020"/>
        <v>0</v>
      </c>
      <c r="BE45" s="225">
        <f t="shared" si="1049"/>
        <v>0</v>
      </c>
      <c r="BF45" s="226">
        <f t="shared" si="1050"/>
        <v>0</v>
      </c>
      <c r="BG45" s="137">
        <f t="shared" si="1051"/>
        <v>0</v>
      </c>
      <c r="BH45" s="227">
        <f t="shared" si="1024"/>
        <v>9.74</v>
      </c>
      <c r="BI45" s="138">
        <f t="shared" si="1053"/>
        <v>0</v>
      </c>
      <c r="BJ45" s="110">
        <f t="shared" si="1054"/>
        <v>0</v>
      </c>
      <c r="BK45" s="110"/>
      <c r="BL45" s="139"/>
      <c r="BM45" s="140">
        <f t="shared" si="1055"/>
        <v>0</v>
      </c>
      <c r="BN45" s="198">
        <f t="shared" si="1020"/>
        <v>4</v>
      </c>
      <c r="BO45" s="225">
        <f t="shared" si="1056"/>
        <v>6.4799999999999996E-3</v>
      </c>
      <c r="BP45" s="226">
        <f t="shared" si="1057"/>
        <v>305.08</v>
      </c>
      <c r="BQ45" s="137">
        <f t="shared" si="1058"/>
        <v>76.27</v>
      </c>
      <c r="BR45" s="227">
        <f t="shared" si="1024"/>
        <v>10.32</v>
      </c>
      <c r="BS45" s="138">
        <f t="shared" si="1060"/>
        <v>787.10640000000001</v>
      </c>
      <c r="BT45" s="110">
        <f t="shared" si="1061"/>
        <v>3148.43</v>
      </c>
      <c r="BU45" s="110"/>
      <c r="BV45" s="139"/>
      <c r="BW45" s="140">
        <f t="shared" si="1062"/>
        <v>0.98802999999999996</v>
      </c>
      <c r="BX45" s="198">
        <f t="shared" si="1020"/>
        <v>1</v>
      </c>
      <c r="BY45" s="225">
        <f t="shared" si="1063"/>
        <v>1.2700000000000001E-3</v>
      </c>
      <c r="BZ45" s="226">
        <f t="shared" si="1064"/>
        <v>79.760000000000005</v>
      </c>
      <c r="CA45" s="137">
        <f t="shared" si="1065"/>
        <v>79.760000000000005</v>
      </c>
      <c r="CB45" s="227">
        <f t="shared" si="1024"/>
        <v>7.89</v>
      </c>
      <c r="CC45" s="138">
        <f t="shared" si="1067"/>
        <v>629.30640000000005</v>
      </c>
      <c r="CD45" s="110">
        <f t="shared" si="1068"/>
        <v>629.30999999999995</v>
      </c>
      <c r="CE45" s="110"/>
      <c r="CF45" s="139"/>
      <c r="CG45" s="140">
        <f t="shared" si="1069"/>
        <v>0.78995000000000004</v>
      </c>
      <c r="CH45" s="198">
        <f t="shared" si="1070"/>
        <v>0</v>
      </c>
      <c r="CI45" s="225">
        <f t="shared" si="1071"/>
        <v>0</v>
      </c>
      <c r="CJ45" s="226">
        <f t="shared" si="1072"/>
        <v>0</v>
      </c>
      <c r="CK45" s="137">
        <f t="shared" si="1073"/>
        <v>0</v>
      </c>
      <c r="CL45" s="227">
        <f t="shared" si="1074"/>
        <v>8.24</v>
      </c>
      <c r="CM45" s="138">
        <f t="shared" si="1075"/>
        <v>0</v>
      </c>
      <c r="CN45" s="110">
        <f t="shared" si="1076"/>
        <v>0</v>
      </c>
      <c r="CO45" s="110"/>
      <c r="CP45" s="139"/>
      <c r="CQ45" s="140">
        <f t="shared" si="1077"/>
        <v>0</v>
      </c>
      <c r="CR45" s="198">
        <f t="shared" si="1070"/>
        <v>5</v>
      </c>
      <c r="CS45" s="225">
        <f t="shared" si="1078"/>
        <v>6.7200000000000003E-3</v>
      </c>
      <c r="CT45" s="226">
        <f t="shared" si="1079"/>
        <v>424.97</v>
      </c>
      <c r="CU45" s="137">
        <f t="shared" si="1080"/>
        <v>84.994</v>
      </c>
      <c r="CV45" s="227">
        <f t="shared" si="1074"/>
        <v>8.92</v>
      </c>
      <c r="CW45" s="138">
        <f t="shared" si="1082"/>
        <v>758.14648</v>
      </c>
      <c r="CX45" s="110">
        <f t="shared" si="1083"/>
        <v>3790.73</v>
      </c>
      <c r="CY45" s="110"/>
      <c r="CZ45" s="139"/>
      <c r="DA45" s="140">
        <f t="shared" si="1084"/>
        <v>0.95167999999999997</v>
      </c>
      <c r="DB45" s="198">
        <f t="shared" si="1070"/>
        <v>1</v>
      </c>
      <c r="DC45" s="225">
        <f t="shared" si="1085"/>
        <v>1.2099999999999999E-3</v>
      </c>
      <c r="DD45" s="226">
        <f t="shared" si="1086"/>
        <v>63.23</v>
      </c>
      <c r="DE45" s="137">
        <f t="shared" si="1087"/>
        <v>63.23</v>
      </c>
      <c r="DF45" s="227">
        <f t="shared" si="1074"/>
        <v>7.48</v>
      </c>
      <c r="DG45" s="138">
        <f t="shared" si="1089"/>
        <v>472.96039999999999</v>
      </c>
      <c r="DH45" s="110">
        <f t="shared" si="1090"/>
        <v>472.96</v>
      </c>
      <c r="DI45" s="110"/>
      <c r="DJ45" s="139"/>
      <c r="DK45" s="140">
        <f t="shared" si="1091"/>
        <v>0.59369000000000005</v>
      </c>
      <c r="DL45" s="198">
        <f t="shared" si="1070"/>
        <v>0</v>
      </c>
      <c r="DM45" s="225">
        <f t="shared" si="1092"/>
        <v>0</v>
      </c>
      <c r="DN45" s="226">
        <f t="shared" si="1093"/>
        <v>0</v>
      </c>
      <c r="DO45" s="137">
        <f t="shared" si="1094"/>
        <v>0</v>
      </c>
      <c r="DP45" s="227">
        <f t="shared" si="1074"/>
        <v>8.2200000000000006</v>
      </c>
      <c r="DQ45" s="138">
        <f t="shared" si="1096"/>
        <v>0</v>
      </c>
      <c r="DR45" s="110">
        <f t="shared" si="1097"/>
        <v>0</v>
      </c>
      <c r="DS45" s="110"/>
      <c r="DT45" s="139"/>
      <c r="DU45" s="140">
        <f t="shared" si="1098"/>
        <v>0</v>
      </c>
      <c r="DV45" s="198">
        <f t="shared" si="1070"/>
        <v>2</v>
      </c>
      <c r="DW45" s="225">
        <f t="shared" si="1099"/>
        <v>2.2799999999999999E-3</v>
      </c>
      <c r="DX45" s="226">
        <f t="shared" si="1100"/>
        <v>322.60000000000002</v>
      </c>
      <c r="DY45" s="137">
        <f t="shared" si="1101"/>
        <v>161.30000000000001</v>
      </c>
      <c r="DZ45" s="227">
        <f t="shared" si="1074"/>
        <v>7.91</v>
      </c>
      <c r="EA45" s="138">
        <f t="shared" si="1103"/>
        <v>1275.883</v>
      </c>
      <c r="EB45" s="110">
        <f t="shared" si="1104"/>
        <v>2551.77</v>
      </c>
      <c r="EC45" s="110"/>
      <c r="ED45" s="139"/>
      <c r="EE45" s="140">
        <f t="shared" si="1105"/>
        <v>1.60158</v>
      </c>
      <c r="EF45" s="198">
        <f t="shared" si="1070"/>
        <v>6</v>
      </c>
      <c r="EG45" s="225">
        <f t="shared" si="1106"/>
        <v>6.3899999999999998E-3</v>
      </c>
      <c r="EH45" s="226">
        <f t="shared" si="1107"/>
        <v>371.32</v>
      </c>
      <c r="EI45" s="137">
        <f t="shared" si="1108"/>
        <v>61.886666669999997</v>
      </c>
      <c r="EJ45" s="227">
        <f t="shared" si="1074"/>
        <v>7.63</v>
      </c>
      <c r="EK45" s="138">
        <f t="shared" si="1110"/>
        <v>472.19526999999999</v>
      </c>
      <c r="EL45" s="110">
        <f t="shared" si="1111"/>
        <v>2833.17</v>
      </c>
      <c r="EM45" s="110"/>
      <c r="EN45" s="139"/>
      <c r="EO45" s="140">
        <f t="shared" si="1112"/>
        <v>0.59272999999999998</v>
      </c>
      <c r="EP45" s="198">
        <f t="shared" si="1070"/>
        <v>2</v>
      </c>
      <c r="EQ45" s="225">
        <f t="shared" si="1113"/>
        <v>2.1199999999999999E-3</v>
      </c>
      <c r="ER45" s="226">
        <f t="shared" si="1114"/>
        <v>142.72</v>
      </c>
      <c r="ES45" s="137">
        <f t="shared" si="1115"/>
        <v>71.36</v>
      </c>
      <c r="ET45" s="227">
        <f t="shared" si="1074"/>
        <v>7.95</v>
      </c>
      <c r="EU45" s="138">
        <f t="shared" si="1117"/>
        <v>567.31200000000001</v>
      </c>
      <c r="EV45" s="110">
        <f t="shared" si="1118"/>
        <v>1134.6199999999999</v>
      </c>
      <c r="EW45" s="110"/>
      <c r="EX45" s="139"/>
      <c r="EY45" s="140">
        <f t="shared" si="1119"/>
        <v>0.71213000000000004</v>
      </c>
      <c r="EZ45" s="198">
        <f t="shared" si="1120"/>
        <v>7</v>
      </c>
      <c r="FA45" s="225">
        <f t="shared" si="1121"/>
        <v>6.2700000000000004E-3</v>
      </c>
      <c r="FB45" s="226">
        <f t="shared" si="1122"/>
        <v>415.51</v>
      </c>
      <c r="FC45" s="137">
        <f t="shared" si="1123"/>
        <v>59.358571429999998</v>
      </c>
      <c r="FD45" s="227">
        <f t="shared" si="1124"/>
        <v>10.210000000000001</v>
      </c>
      <c r="FE45" s="138">
        <f t="shared" si="1125"/>
        <v>606.05101000000002</v>
      </c>
      <c r="FF45" s="110">
        <f t="shared" si="1126"/>
        <v>4242.3599999999997</v>
      </c>
      <c r="FG45" s="110"/>
      <c r="FH45" s="139"/>
      <c r="FI45" s="140">
        <f t="shared" si="1127"/>
        <v>0.76075999999999999</v>
      </c>
      <c r="FJ45" s="198">
        <f t="shared" si="1120"/>
        <v>1</v>
      </c>
      <c r="FK45" s="225">
        <f t="shared" si="1128"/>
        <v>9.7999999999999997E-4</v>
      </c>
      <c r="FL45" s="226">
        <f t="shared" si="1129"/>
        <v>104.91</v>
      </c>
      <c r="FM45" s="137">
        <f t="shared" si="1130"/>
        <v>104.91</v>
      </c>
      <c r="FN45" s="227">
        <f t="shared" si="1124"/>
        <v>9.52</v>
      </c>
      <c r="FO45" s="138">
        <f t="shared" si="1132"/>
        <v>998.7432</v>
      </c>
      <c r="FP45" s="110">
        <f t="shared" si="1133"/>
        <v>998.74</v>
      </c>
      <c r="FQ45" s="110"/>
      <c r="FR45" s="139"/>
      <c r="FS45" s="140">
        <f t="shared" si="1134"/>
        <v>1.2537</v>
      </c>
      <c r="FT45" s="198">
        <f t="shared" si="1120"/>
        <v>4</v>
      </c>
      <c r="FU45" s="225">
        <f t="shared" si="1135"/>
        <v>4.9800000000000001E-3</v>
      </c>
      <c r="FV45" s="226">
        <f t="shared" si="1136"/>
        <v>249.1</v>
      </c>
      <c r="FW45" s="137">
        <f t="shared" si="1137"/>
        <v>62.274999999999999</v>
      </c>
      <c r="FX45" s="227">
        <f t="shared" si="1124"/>
        <v>9.57</v>
      </c>
      <c r="FY45" s="138">
        <f t="shared" si="1139"/>
        <v>595.97175000000004</v>
      </c>
      <c r="FZ45" s="110">
        <f t="shared" si="1140"/>
        <v>2383.89</v>
      </c>
      <c r="GA45" s="110"/>
      <c r="GB45" s="139"/>
      <c r="GC45" s="140">
        <f t="shared" si="1141"/>
        <v>0.74811000000000005</v>
      </c>
      <c r="GD45" s="198">
        <f t="shared" si="1120"/>
        <v>6</v>
      </c>
      <c r="GE45" s="225">
        <f t="shared" si="1142"/>
        <v>1.172E-2</v>
      </c>
      <c r="GF45" s="226">
        <f t="shared" si="1143"/>
        <v>507.01</v>
      </c>
      <c r="GG45" s="137">
        <f t="shared" si="1144"/>
        <v>84.501666670000006</v>
      </c>
      <c r="GH45" s="227">
        <f t="shared" si="1124"/>
        <v>8.39</v>
      </c>
      <c r="GI45" s="138">
        <f t="shared" si="1146"/>
        <v>708.96897999999999</v>
      </c>
      <c r="GJ45" s="110">
        <f t="shared" si="1147"/>
        <v>4253.8100000000004</v>
      </c>
      <c r="GK45" s="110"/>
      <c r="GL45" s="139"/>
      <c r="GM45" s="140">
        <f t="shared" si="1148"/>
        <v>0.88995000000000002</v>
      </c>
      <c r="GN45" s="198">
        <f t="shared" si="1120"/>
        <v>2</v>
      </c>
      <c r="GO45" s="225">
        <f t="shared" si="1149"/>
        <v>2.31E-3</v>
      </c>
      <c r="GP45" s="226">
        <f t="shared" si="1150"/>
        <v>239.36</v>
      </c>
      <c r="GQ45" s="137">
        <f t="shared" si="1151"/>
        <v>119.68</v>
      </c>
      <c r="GR45" s="227">
        <f t="shared" si="1152"/>
        <v>7.63</v>
      </c>
      <c r="GS45" s="138">
        <f t="shared" si="1153"/>
        <v>913.15840000000003</v>
      </c>
      <c r="GT45" s="110">
        <f t="shared" si="1154"/>
        <v>1826.32</v>
      </c>
      <c r="GU45" s="110"/>
      <c r="GV45" s="139"/>
      <c r="GW45" s="140">
        <f t="shared" si="1155"/>
        <v>1.1462600000000001</v>
      </c>
      <c r="GX45" s="198">
        <f t="shared" si="1120"/>
        <v>2</v>
      </c>
      <c r="GY45" s="225">
        <f t="shared" si="1156"/>
        <v>1.23E-3</v>
      </c>
      <c r="GZ45" s="226">
        <f t="shared" si="1157"/>
        <v>227.32</v>
      </c>
      <c r="HA45" s="137">
        <f t="shared" si="1158"/>
        <v>113.66</v>
      </c>
      <c r="HB45" s="227">
        <f t="shared" si="1152"/>
        <v>4.8899999999999997</v>
      </c>
      <c r="HC45" s="138">
        <f t="shared" si="1160"/>
        <v>555.79740000000004</v>
      </c>
      <c r="HD45" s="110">
        <f t="shared" si="1161"/>
        <v>1111.5899999999999</v>
      </c>
      <c r="HE45" s="110"/>
      <c r="HF45" s="139"/>
      <c r="HG45" s="140">
        <f t="shared" si="1162"/>
        <v>0.69767999999999997</v>
      </c>
      <c r="HH45" s="198">
        <f t="shared" si="1120"/>
        <v>3</v>
      </c>
      <c r="HI45" s="225">
        <f t="shared" si="1163"/>
        <v>2.5999999999999999E-3</v>
      </c>
      <c r="HJ45" s="226">
        <f t="shared" si="1164"/>
        <v>266.92</v>
      </c>
      <c r="HK45" s="137">
        <f t="shared" si="1165"/>
        <v>88.973333330000003</v>
      </c>
      <c r="HL45" s="227">
        <f t="shared" si="1152"/>
        <v>5.98</v>
      </c>
      <c r="HM45" s="138">
        <f t="shared" si="1167"/>
        <v>532.06052999999997</v>
      </c>
      <c r="HN45" s="110">
        <f t="shared" si="1168"/>
        <v>1596.18</v>
      </c>
      <c r="HO45" s="110"/>
      <c r="HP45" s="139"/>
      <c r="HQ45" s="140">
        <f t="shared" si="1169"/>
        <v>0.66788000000000003</v>
      </c>
      <c r="HR45" s="198">
        <f t="shared" si="1170"/>
        <v>2</v>
      </c>
      <c r="HS45" s="225">
        <f t="shared" si="1171"/>
        <v>2.5400000000000002E-3</v>
      </c>
      <c r="HT45" s="226">
        <f t="shared" si="1172"/>
        <v>99.57</v>
      </c>
      <c r="HU45" s="137">
        <f t="shared" si="1173"/>
        <v>49.784999999999997</v>
      </c>
      <c r="HV45" s="227">
        <f t="shared" si="1152"/>
        <v>9.76</v>
      </c>
      <c r="HW45" s="138">
        <f t="shared" si="1175"/>
        <v>485.90159999999997</v>
      </c>
      <c r="HX45" s="110">
        <f t="shared" si="1176"/>
        <v>971.8</v>
      </c>
      <c r="HY45" s="110"/>
      <c r="HZ45" s="139"/>
      <c r="IA45" s="140">
        <f t="shared" si="1177"/>
        <v>0.60994000000000004</v>
      </c>
      <c r="IB45" s="198">
        <f t="shared" si="1170"/>
        <v>2</v>
      </c>
      <c r="IC45" s="225">
        <f t="shared" si="1178"/>
        <v>3.65E-3</v>
      </c>
      <c r="ID45" s="226">
        <f t="shared" si="1179"/>
        <v>118.95</v>
      </c>
      <c r="IE45" s="137">
        <f t="shared" si="1180"/>
        <v>59.475000000000001</v>
      </c>
      <c r="IF45" s="227">
        <f t="shared" si="1181"/>
        <v>7.76</v>
      </c>
      <c r="IG45" s="138">
        <f t="shared" si="1182"/>
        <v>461.52600000000001</v>
      </c>
      <c r="IH45" s="110">
        <f t="shared" si="1183"/>
        <v>923.05</v>
      </c>
      <c r="II45" s="110"/>
      <c r="IJ45" s="139"/>
      <c r="IK45" s="140">
        <f t="shared" si="1184"/>
        <v>0.57933999999999997</v>
      </c>
      <c r="IL45" s="198">
        <f t="shared" si="1170"/>
        <v>4</v>
      </c>
      <c r="IM45" s="225">
        <f t="shared" si="1185"/>
        <v>3.16E-3</v>
      </c>
      <c r="IN45" s="226">
        <f t="shared" si="1186"/>
        <v>165.36</v>
      </c>
      <c r="IO45" s="137">
        <f t="shared" si="1187"/>
        <v>41.34</v>
      </c>
      <c r="IP45" s="227">
        <f t="shared" si="1181"/>
        <v>7.4</v>
      </c>
      <c r="IQ45" s="138">
        <f t="shared" si="1189"/>
        <v>305.916</v>
      </c>
      <c r="IR45" s="110">
        <f t="shared" si="1190"/>
        <v>1223.6600000000001</v>
      </c>
      <c r="IS45" s="110"/>
      <c r="IT45" s="139"/>
      <c r="IU45" s="140">
        <f t="shared" si="1191"/>
        <v>0.38401000000000002</v>
      </c>
      <c r="IV45" s="198">
        <f t="shared" si="1170"/>
        <v>2</v>
      </c>
      <c r="IW45" s="225">
        <f t="shared" si="1192"/>
        <v>2.5899999999999999E-3</v>
      </c>
      <c r="IX45" s="226">
        <f t="shared" si="1193"/>
        <v>106.03</v>
      </c>
      <c r="IY45" s="137">
        <f t="shared" si="1194"/>
        <v>53.015000000000001</v>
      </c>
      <c r="IZ45" s="227">
        <f t="shared" si="1181"/>
        <v>9.64</v>
      </c>
      <c r="JA45" s="138">
        <f t="shared" si="1196"/>
        <v>511.06459999999998</v>
      </c>
      <c r="JB45" s="110">
        <f t="shared" si="1197"/>
        <v>1022.13</v>
      </c>
      <c r="JC45" s="110"/>
      <c r="JD45" s="139"/>
      <c r="JE45" s="140">
        <f t="shared" si="1198"/>
        <v>0.64153000000000004</v>
      </c>
      <c r="JF45" s="198">
        <f t="shared" si="1170"/>
        <v>1</v>
      </c>
      <c r="JG45" s="225">
        <f t="shared" si="1199"/>
        <v>7.5000000000000002E-4</v>
      </c>
      <c r="JH45" s="226">
        <f t="shared" si="1200"/>
        <v>81.72</v>
      </c>
      <c r="JI45" s="137">
        <f t="shared" si="1201"/>
        <v>81.72</v>
      </c>
      <c r="JJ45" s="227">
        <f t="shared" si="1181"/>
        <v>9.1</v>
      </c>
      <c r="JK45" s="138">
        <f t="shared" si="1203"/>
        <v>743.65200000000004</v>
      </c>
      <c r="JL45" s="110">
        <f t="shared" si="1204"/>
        <v>743.65</v>
      </c>
      <c r="JM45" s="110"/>
      <c r="JN45" s="139"/>
      <c r="JO45" s="140">
        <f t="shared" si="1205"/>
        <v>0.93349000000000004</v>
      </c>
      <c r="JP45" s="198">
        <f t="shared" si="1170"/>
        <v>5</v>
      </c>
      <c r="JQ45" s="225">
        <f t="shared" si="1206"/>
        <v>4.0000000000000001E-3</v>
      </c>
      <c r="JR45" s="226">
        <f t="shared" si="1207"/>
        <v>522.64</v>
      </c>
      <c r="JS45" s="137">
        <f t="shared" si="1208"/>
        <v>104.52800000000001</v>
      </c>
      <c r="JT45" s="227">
        <f t="shared" si="1209"/>
        <v>10.15</v>
      </c>
      <c r="JU45" s="138">
        <f t="shared" si="1210"/>
        <v>1060.9592</v>
      </c>
      <c r="JV45" s="110">
        <f t="shared" si="1211"/>
        <v>5304.8</v>
      </c>
      <c r="JW45" s="110"/>
      <c r="JX45" s="139"/>
      <c r="JY45" s="140">
        <f t="shared" si="1212"/>
        <v>1.33179</v>
      </c>
      <c r="JZ45" s="198">
        <f t="shared" si="1170"/>
        <v>0</v>
      </c>
      <c r="KA45" s="225">
        <f t="shared" si="1213"/>
        <v>0</v>
      </c>
      <c r="KB45" s="226">
        <f t="shared" si="1214"/>
        <v>0</v>
      </c>
      <c r="KC45" s="137">
        <f t="shared" si="1215"/>
        <v>0</v>
      </c>
      <c r="KD45" s="227">
        <f t="shared" si="1209"/>
        <v>8.14</v>
      </c>
      <c r="KE45" s="138">
        <f t="shared" si="1217"/>
        <v>0</v>
      </c>
      <c r="KF45" s="110">
        <f t="shared" si="1218"/>
        <v>0</v>
      </c>
      <c r="KG45" s="110"/>
      <c r="KH45" s="139"/>
      <c r="KI45" s="140">
        <f t="shared" si="1219"/>
        <v>0</v>
      </c>
      <c r="KJ45" s="198">
        <f t="shared" si="1220"/>
        <v>1</v>
      </c>
      <c r="KK45" s="225">
        <f t="shared" si="1221"/>
        <v>7.5000000000000002E-4</v>
      </c>
      <c r="KL45" s="226">
        <f t="shared" si="1222"/>
        <v>52.67</v>
      </c>
      <c r="KM45" s="137">
        <f t="shared" si="1223"/>
        <v>52.67</v>
      </c>
      <c r="KN45" s="227">
        <f t="shared" si="1209"/>
        <v>9.02</v>
      </c>
      <c r="KO45" s="138">
        <f t="shared" si="1225"/>
        <v>475.08339999999998</v>
      </c>
      <c r="KP45" s="110">
        <f t="shared" si="1226"/>
        <v>475.08</v>
      </c>
      <c r="KQ45" s="110"/>
      <c r="KR45" s="139"/>
      <c r="KS45" s="140">
        <f t="shared" si="1227"/>
        <v>0.59636</v>
      </c>
      <c r="KT45" s="198">
        <f t="shared" si="1220"/>
        <v>3</v>
      </c>
      <c r="KU45" s="225">
        <f t="shared" si="1228"/>
        <v>2.6700000000000001E-3</v>
      </c>
      <c r="KV45" s="226">
        <f t="shared" si="1229"/>
        <v>1201.5</v>
      </c>
      <c r="KW45" s="137">
        <f t="shared" si="1230"/>
        <v>400.5</v>
      </c>
      <c r="KX45" s="227">
        <f t="shared" si="1209"/>
        <v>9.94</v>
      </c>
      <c r="KY45" s="138">
        <f t="shared" si="1232"/>
        <v>3980.97</v>
      </c>
      <c r="KZ45" s="110">
        <f t="shared" si="1233"/>
        <v>11942.91</v>
      </c>
      <c r="LA45" s="110"/>
      <c r="LB45" s="139"/>
      <c r="LC45" s="140">
        <f t="shared" si="1234"/>
        <v>4.9972000000000003</v>
      </c>
      <c r="LD45" s="197">
        <f t="shared" si="1235"/>
        <v>74</v>
      </c>
      <c r="LE45" s="225">
        <f t="shared" si="1236"/>
        <v>2.5899999999999999E-3</v>
      </c>
      <c r="LF45" s="226">
        <f t="shared" si="1237"/>
        <v>6968.24</v>
      </c>
      <c r="LG45" s="137">
        <f t="shared" si="1238"/>
        <v>94.165405410000005</v>
      </c>
      <c r="LH45" s="227">
        <f t="shared" si="1239"/>
        <v>8.4600000000000009</v>
      </c>
      <c r="LI45" s="138">
        <f t="shared" si="1240"/>
        <v>796.63932999999997</v>
      </c>
      <c r="LJ45" s="110">
        <f t="shared" si="1241"/>
        <v>58951.31</v>
      </c>
      <c r="LK45" s="110"/>
      <c r="LL45" s="139"/>
    </row>
    <row r="46" spans="1:324" ht="26.25" hidden="1" customHeight="1" x14ac:dyDescent="0.25">
      <c r="A46" s="246"/>
      <c r="B46" s="92" t="s">
        <v>639</v>
      </c>
      <c r="C46" s="12" t="s">
        <v>728</v>
      </c>
      <c r="D46" s="12" t="s">
        <v>430</v>
      </c>
      <c r="E46" s="4" t="s">
        <v>33</v>
      </c>
      <c r="F46" s="198">
        <f t="shared" si="1015"/>
        <v>0</v>
      </c>
      <c r="G46" s="225">
        <f t="shared" si="1242"/>
        <v>0</v>
      </c>
      <c r="H46" s="226">
        <f t="shared" si="1243"/>
        <v>0</v>
      </c>
      <c r="I46" s="137">
        <f t="shared" si="1016"/>
        <v>0</v>
      </c>
      <c r="J46" s="227">
        <f t="shared" si="1244"/>
        <v>7.57</v>
      </c>
      <c r="K46" s="138">
        <f t="shared" si="1017"/>
        <v>0</v>
      </c>
      <c r="L46" s="110">
        <f t="shared" si="1018"/>
        <v>0</v>
      </c>
      <c r="M46" s="110"/>
      <c r="N46" s="139"/>
      <c r="O46" s="140" t="e">
        <f t="shared" si="1019"/>
        <v>#DIV/0!</v>
      </c>
      <c r="P46" s="198">
        <f t="shared" si="1020"/>
        <v>0</v>
      </c>
      <c r="Q46" s="225">
        <f t="shared" si="1021"/>
        <v>0</v>
      </c>
      <c r="R46" s="226">
        <f t="shared" si="1022"/>
        <v>0</v>
      </c>
      <c r="S46" s="137">
        <f t="shared" si="1023"/>
        <v>0</v>
      </c>
      <c r="T46" s="227">
        <f t="shared" si="1024"/>
        <v>8.23</v>
      </c>
      <c r="U46" s="138">
        <f t="shared" si="1025"/>
        <v>0</v>
      </c>
      <c r="V46" s="110">
        <f t="shared" si="1026"/>
        <v>0</v>
      </c>
      <c r="W46" s="110"/>
      <c r="X46" s="139"/>
      <c r="Y46" s="140" t="e">
        <f t="shared" si="1027"/>
        <v>#DIV/0!</v>
      </c>
      <c r="Z46" s="198">
        <f t="shared" si="1020"/>
        <v>0</v>
      </c>
      <c r="AA46" s="225">
        <f t="shared" si="1028"/>
        <v>0</v>
      </c>
      <c r="AB46" s="226">
        <f t="shared" si="1029"/>
        <v>0</v>
      </c>
      <c r="AC46" s="137">
        <f t="shared" si="1030"/>
        <v>0</v>
      </c>
      <c r="AD46" s="227">
        <f t="shared" si="1024"/>
        <v>8.8000000000000007</v>
      </c>
      <c r="AE46" s="138">
        <f t="shared" si="1032"/>
        <v>0</v>
      </c>
      <c r="AF46" s="110">
        <f t="shared" si="1033"/>
        <v>0</v>
      </c>
      <c r="AG46" s="110"/>
      <c r="AH46" s="139"/>
      <c r="AI46" s="140" t="e">
        <f t="shared" si="1034"/>
        <v>#DIV/0!</v>
      </c>
      <c r="AJ46" s="198">
        <f t="shared" si="1020"/>
        <v>0</v>
      </c>
      <c r="AK46" s="225">
        <f t="shared" si="1035"/>
        <v>0</v>
      </c>
      <c r="AL46" s="226">
        <f t="shared" si="1036"/>
        <v>0</v>
      </c>
      <c r="AM46" s="137">
        <f t="shared" si="1037"/>
        <v>0</v>
      </c>
      <c r="AN46" s="227">
        <f t="shared" si="1024"/>
        <v>7.52</v>
      </c>
      <c r="AO46" s="138">
        <f t="shared" si="1039"/>
        <v>0</v>
      </c>
      <c r="AP46" s="110">
        <f t="shared" si="1040"/>
        <v>0</v>
      </c>
      <c r="AQ46" s="110"/>
      <c r="AR46" s="139"/>
      <c r="AS46" s="140" t="e">
        <f t="shared" si="1041"/>
        <v>#DIV/0!</v>
      </c>
      <c r="AT46" s="198">
        <f t="shared" si="1020"/>
        <v>0</v>
      </c>
      <c r="AU46" s="225">
        <f t="shared" si="1042"/>
        <v>0</v>
      </c>
      <c r="AV46" s="226">
        <f t="shared" si="1043"/>
        <v>0</v>
      </c>
      <c r="AW46" s="137">
        <f t="shared" si="1044"/>
        <v>0</v>
      </c>
      <c r="AX46" s="227">
        <f t="shared" si="1024"/>
        <v>6.88</v>
      </c>
      <c r="AY46" s="138">
        <f t="shared" si="1046"/>
        <v>0</v>
      </c>
      <c r="AZ46" s="110">
        <f t="shared" si="1047"/>
        <v>0</v>
      </c>
      <c r="BA46" s="110"/>
      <c r="BB46" s="139"/>
      <c r="BC46" s="140" t="e">
        <f t="shared" si="1048"/>
        <v>#DIV/0!</v>
      </c>
      <c r="BD46" s="198">
        <f t="shared" si="1020"/>
        <v>0</v>
      </c>
      <c r="BE46" s="225">
        <f t="shared" si="1049"/>
        <v>0</v>
      </c>
      <c r="BF46" s="226">
        <f t="shared" si="1050"/>
        <v>0</v>
      </c>
      <c r="BG46" s="137">
        <f t="shared" si="1051"/>
        <v>0</v>
      </c>
      <c r="BH46" s="227">
        <f t="shared" si="1024"/>
        <v>9.74</v>
      </c>
      <c r="BI46" s="138">
        <f t="shared" si="1053"/>
        <v>0</v>
      </c>
      <c r="BJ46" s="110">
        <f t="shared" si="1054"/>
        <v>0</v>
      </c>
      <c r="BK46" s="110"/>
      <c r="BL46" s="139"/>
      <c r="BM46" s="140" t="e">
        <f t="shared" si="1055"/>
        <v>#DIV/0!</v>
      </c>
      <c r="BN46" s="198">
        <f t="shared" si="1020"/>
        <v>0</v>
      </c>
      <c r="BO46" s="225">
        <f t="shared" si="1056"/>
        <v>0</v>
      </c>
      <c r="BP46" s="226">
        <f t="shared" si="1057"/>
        <v>0</v>
      </c>
      <c r="BQ46" s="137">
        <f t="shared" si="1058"/>
        <v>0</v>
      </c>
      <c r="BR46" s="227">
        <f t="shared" si="1024"/>
        <v>10.32</v>
      </c>
      <c r="BS46" s="138">
        <f t="shared" si="1060"/>
        <v>0</v>
      </c>
      <c r="BT46" s="110">
        <f t="shared" si="1061"/>
        <v>0</v>
      </c>
      <c r="BU46" s="110"/>
      <c r="BV46" s="139"/>
      <c r="BW46" s="140" t="e">
        <f t="shared" si="1062"/>
        <v>#DIV/0!</v>
      </c>
      <c r="BX46" s="198">
        <f t="shared" si="1020"/>
        <v>0</v>
      </c>
      <c r="BY46" s="225">
        <f t="shared" si="1063"/>
        <v>0</v>
      </c>
      <c r="BZ46" s="226">
        <f t="shared" si="1064"/>
        <v>0</v>
      </c>
      <c r="CA46" s="137">
        <f t="shared" si="1065"/>
        <v>0</v>
      </c>
      <c r="CB46" s="227">
        <f t="shared" si="1024"/>
        <v>7.89</v>
      </c>
      <c r="CC46" s="138">
        <f t="shared" si="1067"/>
        <v>0</v>
      </c>
      <c r="CD46" s="110">
        <f t="shared" si="1068"/>
        <v>0</v>
      </c>
      <c r="CE46" s="110"/>
      <c r="CF46" s="139"/>
      <c r="CG46" s="140" t="e">
        <f t="shared" si="1069"/>
        <v>#DIV/0!</v>
      </c>
      <c r="CH46" s="198">
        <f t="shared" si="1070"/>
        <v>0</v>
      </c>
      <c r="CI46" s="225">
        <f t="shared" si="1071"/>
        <v>0</v>
      </c>
      <c r="CJ46" s="226">
        <f t="shared" si="1072"/>
        <v>0</v>
      </c>
      <c r="CK46" s="137">
        <f t="shared" si="1073"/>
        <v>0</v>
      </c>
      <c r="CL46" s="227">
        <f t="shared" si="1074"/>
        <v>8.24</v>
      </c>
      <c r="CM46" s="138">
        <f t="shared" si="1075"/>
        <v>0</v>
      </c>
      <c r="CN46" s="110">
        <f t="shared" si="1076"/>
        <v>0</v>
      </c>
      <c r="CO46" s="110"/>
      <c r="CP46" s="139"/>
      <c r="CQ46" s="140" t="e">
        <f t="shared" si="1077"/>
        <v>#DIV/0!</v>
      </c>
      <c r="CR46" s="198">
        <f t="shared" si="1070"/>
        <v>0</v>
      </c>
      <c r="CS46" s="225">
        <f t="shared" si="1078"/>
        <v>0</v>
      </c>
      <c r="CT46" s="226">
        <f t="shared" si="1079"/>
        <v>0</v>
      </c>
      <c r="CU46" s="137">
        <f t="shared" si="1080"/>
        <v>0</v>
      </c>
      <c r="CV46" s="227">
        <f t="shared" si="1074"/>
        <v>8.92</v>
      </c>
      <c r="CW46" s="138">
        <f t="shared" si="1082"/>
        <v>0</v>
      </c>
      <c r="CX46" s="110">
        <f t="shared" si="1083"/>
        <v>0</v>
      </c>
      <c r="CY46" s="110"/>
      <c r="CZ46" s="139"/>
      <c r="DA46" s="140" t="e">
        <f t="shared" si="1084"/>
        <v>#DIV/0!</v>
      </c>
      <c r="DB46" s="198">
        <f t="shared" si="1070"/>
        <v>0</v>
      </c>
      <c r="DC46" s="225">
        <f t="shared" si="1085"/>
        <v>0</v>
      </c>
      <c r="DD46" s="226">
        <f t="shared" si="1086"/>
        <v>0</v>
      </c>
      <c r="DE46" s="137">
        <f t="shared" si="1087"/>
        <v>0</v>
      </c>
      <c r="DF46" s="227">
        <f t="shared" si="1074"/>
        <v>7.48</v>
      </c>
      <c r="DG46" s="138">
        <f t="shared" si="1089"/>
        <v>0</v>
      </c>
      <c r="DH46" s="110">
        <f t="shared" si="1090"/>
        <v>0</v>
      </c>
      <c r="DI46" s="110"/>
      <c r="DJ46" s="139"/>
      <c r="DK46" s="140" t="e">
        <f t="shared" si="1091"/>
        <v>#DIV/0!</v>
      </c>
      <c r="DL46" s="198">
        <f t="shared" si="1070"/>
        <v>0</v>
      </c>
      <c r="DM46" s="225">
        <f t="shared" si="1092"/>
        <v>0</v>
      </c>
      <c r="DN46" s="226">
        <f t="shared" si="1093"/>
        <v>0</v>
      </c>
      <c r="DO46" s="137">
        <f t="shared" si="1094"/>
        <v>0</v>
      </c>
      <c r="DP46" s="227">
        <f t="shared" si="1074"/>
        <v>8.2200000000000006</v>
      </c>
      <c r="DQ46" s="138">
        <f t="shared" si="1096"/>
        <v>0</v>
      </c>
      <c r="DR46" s="110">
        <f t="shared" si="1097"/>
        <v>0</v>
      </c>
      <c r="DS46" s="110"/>
      <c r="DT46" s="139"/>
      <c r="DU46" s="140" t="e">
        <f t="shared" si="1098"/>
        <v>#DIV/0!</v>
      </c>
      <c r="DV46" s="198">
        <f t="shared" si="1070"/>
        <v>0</v>
      </c>
      <c r="DW46" s="225">
        <f t="shared" si="1099"/>
        <v>0</v>
      </c>
      <c r="DX46" s="226">
        <f t="shared" si="1100"/>
        <v>0</v>
      </c>
      <c r="DY46" s="137">
        <f t="shared" si="1101"/>
        <v>0</v>
      </c>
      <c r="DZ46" s="227">
        <f t="shared" si="1074"/>
        <v>7.91</v>
      </c>
      <c r="EA46" s="138">
        <f t="shared" si="1103"/>
        <v>0</v>
      </c>
      <c r="EB46" s="110">
        <f t="shared" si="1104"/>
        <v>0</v>
      </c>
      <c r="EC46" s="110"/>
      <c r="ED46" s="139"/>
      <c r="EE46" s="140" t="e">
        <f t="shared" si="1105"/>
        <v>#DIV/0!</v>
      </c>
      <c r="EF46" s="198">
        <f t="shared" si="1070"/>
        <v>0</v>
      </c>
      <c r="EG46" s="225">
        <f t="shared" si="1106"/>
        <v>0</v>
      </c>
      <c r="EH46" s="226">
        <f t="shared" si="1107"/>
        <v>0</v>
      </c>
      <c r="EI46" s="137">
        <f t="shared" si="1108"/>
        <v>0</v>
      </c>
      <c r="EJ46" s="227">
        <f t="shared" si="1074"/>
        <v>7.63</v>
      </c>
      <c r="EK46" s="138">
        <f t="shared" si="1110"/>
        <v>0</v>
      </c>
      <c r="EL46" s="110">
        <f t="shared" si="1111"/>
        <v>0</v>
      </c>
      <c r="EM46" s="110"/>
      <c r="EN46" s="139"/>
      <c r="EO46" s="140" t="e">
        <f t="shared" si="1112"/>
        <v>#DIV/0!</v>
      </c>
      <c r="EP46" s="198">
        <f t="shared" si="1070"/>
        <v>0</v>
      </c>
      <c r="EQ46" s="225">
        <f t="shared" si="1113"/>
        <v>0</v>
      </c>
      <c r="ER46" s="226">
        <f t="shared" si="1114"/>
        <v>0</v>
      </c>
      <c r="ES46" s="137">
        <f t="shared" si="1115"/>
        <v>0</v>
      </c>
      <c r="ET46" s="227">
        <f t="shared" si="1074"/>
        <v>7.95</v>
      </c>
      <c r="EU46" s="138">
        <f t="shared" si="1117"/>
        <v>0</v>
      </c>
      <c r="EV46" s="110">
        <f t="shared" si="1118"/>
        <v>0</v>
      </c>
      <c r="EW46" s="110"/>
      <c r="EX46" s="139"/>
      <c r="EY46" s="140" t="e">
        <f t="shared" si="1119"/>
        <v>#DIV/0!</v>
      </c>
      <c r="EZ46" s="198">
        <f t="shared" si="1120"/>
        <v>0</v>
      </c>
      <c r="FA46" s="225">
        <f t="shared" si="1121"/>
        <v>0</v>
      </c>
      <c r="FB46" s="226">
        <f t="shared" si="1122"/>
        <v>0</v>
      </c>
      <c r="FC46" s="137">
        <f t="shared" si="1123"/>
        <v>0</v>
      </c>
      <c r="FD46" s="227">
        <f t="shared" si="1124"/>
        <v>10.210000000000001</v>
      </c>
      <c r="FE46" s="138">
        <f t="shared" si="1125"/>
        <v>0</v>
      </c>
      <c r="FF46" s="110">
        <f t="shared" si="1126"/>
        <v>0</v>
      </c>
      <c r="FG46" s="110"/>
      <c r="FH46" s="139"/>
      <c r="FI46" s="140" t="e">
        <f t="shared" si="1127"/>
        <v>#DIV/0!</v>
      </c>
      <c r="FJ46" s="198">
        <f t="shared" si="1120"/>
        <v>0</v>
      </c>
      <c r="FK46" s="225">
        <f t="shared" si="1128"/>
        <v>0</v>
      </c>
      <c r="FL46" s="226">
        <f t="shared" si="1129"/>
        <v>0</v>
      </c>
      <c r="FM46" s="137">
        <f t="shared" si="1130"/>
        <v>0</v>
      </c>
      <c r="FN46" s="227">
        <f t="shared" si="1124"/>
        <v>9.52</v>
      </c>
      <c r="FO46" s="138">
        <f t="shared" si="1132"/>
        <v>0</v>
      </c>
      <c r="FP46" s="110">
        <f t="shared" si="1133"/>
        <v>0</v>
      </c>
      <c r="FQ46" s="110"/>
      <c r="FR46" s="139"/>
      <c r="FS46" s="140" t="e">
        <f t="shared" si="1134"/>
        <v>#DIV/0!</v>
      </c>
      <c r="FT46" s="198">
        <f t="shared" si="1120"/>
        <v>0</v>
      </c>
      <c r="FU46" s="225">
        <f t="shared" si="1135"/>
        <v>0</v>
      </c>
      <c r="FV46" s="226">
        <f t="shared" si="1136"/>
        <v>0</v>
      </c>
      <c r="FW46" s="137">
        <f t="shared" si="1137"/>
        <v>0</v>
      </c>
      <c r="FX46" s="227">
        <f t="shared" si="1124"/>
        <v>9.57</v>
      </c>
      <c r="FY46" s="138">
        <f t="shared" si="1139"/>
        <v>0</v>
      </c>
      <c r="FZ46" s="110">
        <f t="shared" si="1140"/>
        <v>0</v>
      </c>
      <c r="GA46" s="110"/>
      <c r="GB46" s="139"/>
      <c r="GC46" s="140" t="e">
        <f t="shared" si="1141"/>
        <v>#DIV/0!</v>
      </c>
      <c r="GD46" s="198">
        <f t="shared" si="1120"/>
        <v>0</v>
      </c>
      <c r="GE46" s="225">
        <f t="shared" si="1142"/>
        <v>0</v>
      </c>
      <c r="GF46" s="226">
        <f t="shared" si="1143"/>
        <v>0</v>
      </c>
      <c r="GG46" s="137">
        <f t="shared" si="1144"/>
        <v>0</v>
      </c>
      <c r="GH46" s="227">
        <f t="shared" si="1124"/>
        <v>8.39</v>
      </c>
      <c r="GI46" s="138">
        <f t="shared" si="1146"/>
        <v>0</v>
      </c>
      <c r="GJ46" s="110">
        <f t="shared" si="1147"/>
        <v>0</v>
      </c>
      <c r="GK46" s="110"/>
      <c r="GL46" s="139"/>
      <c r="GM46" s="140" t="e">
        <f t="shared" si="1148"/>
        <v>#DIV/0!</v>
      </c>
      <c r="GN46" s="198">
        <f t="shared" si="1120"/>
        <v>0</v>
      </c>
      <c r="GO46" s="225">
        <f t="shared" si="1149"/>
        <v>0</v>
      </c>
      <c r="GP46" s="226">
        <f t="shared" si="1150"/>
        <v>0</v>
      </c>
      <c r="GQ46" s="137">
        <f t="shared" si="1151"/>
        <v>0</v>
      </c>
      <c r="GR46" s="227">
        <f t="shared" si="1152"/>
        <v>7.63</v>
      </c>
      <c r="GS46" s="138">
        <f t="shared" si="1153"/>
        <v>0</v>
      </c>
      <c r="GT46" s="110">
        <f t="shared" si="1154"/>
        <v>0</v>
      </c>
      <c r="GU46" s="110"/>
      <c r="GV46" s="139"/>
      <c r="GW46" s="140" t="e">
        <f t="shared" si="1155"/>
        <v>#DIV/0!</v>
      </c>
      <c r="GX46" s="198">
        <f t="shared" si="1120"/>
        <v>0</v>
      </c>
      <c r="GY46" s="225">
        <f t="shared" si="1156"/>
        <v>0</v>
      </c>
      <c r="GZ46" s="226">
        <f t="shared" si="1157"/>
        <v>0</v>
      </c>
      <c r="HA46" s="137">
        <f t="shared" si="1158"/>
        <v>0</v>
      </c>
      <c r="HB46" s="227">
        <f t="shared" si="1152"/>
        <v>4.8899999999999997</v>
      </c>
      <c r="HC46" s="138">
        <f t="shared" si="1160"/>
        <v>0</v>
      </c>
      <c r="HD46" s="110">
        <f t="shared" si="1161"/>
        <v>0</v>
      </c>
      <c r="HE46" s="110"/>
      <c r="HF46" s="139"/>
      <c r="HG46" s="140" t="e">
        <f t="shared" si="1162"/>
        <v>#DIV/0!</v>
      </c>
      <c r="HH46" s="198">
        <f t="shared" si="1120"/>
        <v>0</v>
      </c>
      <c r="HI46" s="225">
        <f t="shared" si="1163"/>
        <v>0</v>
      </c>
      <c r="HJ46" s="226">
        <f t="shared" si="1164"/>
        <v>0</v>
      </c>
      <c r="HK46" s="137">
        <f t="shared" si="1165"/>
        <v>0</v>
      </c>
      <c r="HL46" s="227">
        <f t="shared" si="1152"/>
        <v>5.98</v>
      </c>
      <c r="HM46" s="138">
        <f t="shared" si="1167"/>
        <v>0</v>
      </c>
      <c r="HN46" s="110">
        <f t="shared" si="1168"/>
        <v>0</v>
      </c>
      <c r="HO46" s="110"/>
      <c r="HP46" s="139"/>
      <c r="HQ46" s="140" t="e">
        <f t="shared" si="1169"/>
        <v>#DIV/0!</v>
      </c>
      <c r="HR46" s="198">
        <f t="shared" si="1170"/>
        <v>0</v>
      </c>
      <c r="HS46" s="225">
        <f t="shared" si="1171"/>
        <v>0</v>
      </c>
      <c r="HT46" s="226">
        <f t="shared" si="1172"/>
        <v>0</v>
      </c>
      <c r="HU46" s="137">
        <f t="shared" si="1173"/>
        <v>0</v>
      </c>
      <c r="HV46" s="227">
        <f t="shared" si="1152"/>
        <v>9.76</v>
      </c>
      <c r="HW46" s="138">
        <f t="shared" si="1175"/>
        <v>0</v>
      </c>
      <c r="HX46" s="110">
        <f t="shared" si="1176"/>
        <v>0</v>
      </c>
      <c r="HY46" s="110"/>
      <c r="HZ46" s="139"/>
      <c r="IA46" s="140" t="e">
        <f t="shared" si="1177"/>
        <v>#DIV/0!</v>
      </c>
      <c r="IB46" s="198">
        <f t="shared" si="1170"/>
        <v>0</v>
      </c>
      <c r="IC46" s="225">
        <f t="shared" si="1178"/>
        <v>0</v>
      </c>
      <c r="ID46" s="226">
        <f t="shared" si="1179"/>
        <v>0</v>
      </c>
      <c r="IE46" s="137">
        <f t="shared" si="1180"/>
        <v>0</v>
      </c>
      <c r="IF46" s="227">
        <f t="shared" si="1181"/>
        <v>7.76</v>
      </c>
      <c r="IG46" s="138">
        <f t="shared" si="1182"/>
        <v>0</v>
      </c>
      <c r="IH46" s="110">
        <f t="shared" si="1183"/>
        <v>0</v>
      </c>
      <c r="II46" s="110"/>
      <c r="IJ46" s="139"/>
      <c r="IK46" s="140" t="e">
        <f t="shared" si="1184"/>
        <v>#DIV/0!</v>
      </c>
      <c r="IL46" s="198">
        <f t="shared" si="1170"/>
        <v>0</v>
      </c>
      <c r="IM46" s="225">
        <f t="shared" si="1185"/>
        <v>0</v>
      </c>
      <c r="IN46" s="226">
        <f t="shared" si="1186"/>
        <v>0</v>
      </c>
      <c r="IO46" s="137">
        <f t="shared" si="1187"/>
        <v>0</v>
      </c>
      <c r="IP46" s="227">
        <f t="shared" si="1181"/>
        <v>7.4</v>
      </c>
      <c r="IQ46" s="138">
        <f t="shared" si="1189"/>
        <v>0</v>
      </c>
      <c r="IR46" s="110">
        <f t="shared" si="1190"/>
        <v>0</v>
      </c>
      <c r="IS46" s="110"/>
      <c r="IT46" s="139"/>
      <c r="IU46" s="140" t="e">
        <f t="shared" si="1191"/>
        <v>#DIV/0!</v>
      </c>
      <c r="IV46" s="198">
        <f t="shared" si="1170"/>
        <v>0</v>
      </c>
      <c r="IW46" s="225">
        <f t="shared" si="1192"/>
        <v>0</v>
      </c>
      <c r="IX46" s="226">
        <f t="shared" si="1193"/>
        <v>0</v>
      </c>
      <c r="IY46" s="137">
        <f t="shared" si="1194"/>
        <v>0</v>
      </c>
      <c r="IZ46" s="227">
        <f t="shared" si="1181"/>
        <v>9.64</v>
      </c>
      <c r="JA46" s="138">
        <f t="shared" si="1196"/>
        <v>0</v>
      </c>
      <c r="JB46" s="110">
        <f t="shared" si="1197"/>
        <v>0</v>
      </c>
      <c r="JC46" s="110"/>
      <c r="JD46" s="139"/>
      <c r="JE46" s="140" t="e">
        <f t="shared" si="1198"/>
        <v>#DIV/0!</v>
      </c>
      <c r="JF46" s="198">
        <f t="shared" si="1170"/>
        <v>0</v>
      </c>
      <c r="JG46" s="225">
        <f t="shared" si="1199"/>
        <v>0</v>
      </c>
      <c r="JH46" s="226">
        <f t="shared" si="1200"/>
        <v>0</v>
      </c>
      <c r="JI46" s="137">
        <f t="shared" si="1201"/>
        <v>0</v>
      </c>
      <c r="JJ46" s="227">
        <f t="shared" si="1181"/>
        <v>9.1</v>
      </c>
      <c r="JK46" s="138">
        <f t="shared" si="1203"/>
        <v>0</v>
      </c>
      <c r="JL46" s="110">
        <f t="shared" si="1204"/>
        <v>0</v>
      </c>
      <c r="JM46" s="110"/>
      <c r="JN46" s="139"/>
      <c r="JO46" s="140" t="e">
        <f t="shared" si="1205"/>
        <v>#DIV/0!</v>
      </c>
      <c r="JP46" s="198">
        <f t="shared" si="1170"/>
        <v>0</v>
      </c>
      <c r="JQ46" s="225">
        <f t="shared" si="1206"/>
        <v>0</v>
      </c>
      <c r="JR46" s="226">
        <f t="shared" si="1207"/>
        <v>0</v>
      </c>
      <c r="JS46" s="137">
        <f t="shared" si="1208"/>
        <v>0</v>
      </c>
      <c r="JT46" s="227">
        <f t="shared" si="1209"/>
        <v>10.15</v>
      </c>
      <c r="JU46" s="138">
        <f t="shared" si="1210"/>
        <v>0</v>
      </c>
      <c r="JV46" s="110">
        <f t="shared" si="1211"/>
        <v>0</v>
      </c>
      <c r="JW46" s="110"/>
      <c r="JX46" s="139"/>
      <c r="JY46" s="140" t="e">
        <f t="shared" si="1212"/>
        <v>#DIV/0!</v>
      </c>
      <c r="JZ46" s="198">
        <f t="shared" si="1170"/>
        <v>0</v>
      </c>
      <c r="KA46" s="225">
        <f t="shared" si="1213"/>
        <v>0</v>
      </c>
      <c r="KB46" s="226">
        <f t="shared" si="1214"/>
        <v>0</v>
      </c>
      <c r="KC46" s="137">
        <f t="shared" si="1215"/>
        <v>0</v>
      </c>
      <c r="KD46" s="227">
        <f t="shared" si="1209"/>
        <v>8.14</v>
      </c>
      <c r="KE46" s="138">
        <f t="shared" si="1217"/>
        <v>0</v>
      </c>
      <c r="KF46" s="110">
        <f t="shared" si="1218"/>
        <v>0</v>
      </c>
      <c r="KG46" s="110"/>
      <c r="KH46" s="139"/>
      <c r="KI46" s="140" t="e">
        <f t="shared" si="1219"/>
        <v>#DIV/0!</v>
      </c>
      <c r="KJ46" s="198">
        <f t="shared" si="1220"/>
        <v>0</v>
      </c>
      <c r="KK46" s="225">
        <f t="shared" si="1221"/>
        <v>0</v>
      </c>
      <c r="KL46" s="226">
        <f t="shared" si="1222"/>
        <v>0</v>
      </c>
      <c r="KM46" s="137">
        <f t="shared" si="1223"/>
        <v>0</v>
      </c>
      <c r="KN46" s="227">
        <f t="shared" si="1209"/>
        <v>9.02</v>
      </c>
      <c r="KO46" s="138">
        <f t="shared" si="1225"/>
        <v>0</v>
      </c>
      <c r="KP46" s="110">
        <f t="shared" si="1226"/>
        <v>0</v>
      </c>
      <c r="KQ46" s="110"/>
      <c r="KR46" s="139"/>
      <c r="KS46" s="140" t="e">
        <f t="shared" si="1227"/>
        <v>#DIV/0!</v>
      </c>
      <c r="KT46" s="198">
        <f t="shared" si="1220"/>
        <v>0</v>
      </c>
      <c r="KU46" s="225">
        <f t="shared" si="1228"/>
        <v>0</v>
      </c>
      <c r="KV46" s="226">
        <f t="shared" si="1229"/>
        <v>0</v>
      </c>
      <c r="KW46" s="137">
        <f t="shared" si="1230"/>
        <v>0</v>
      </c>
      <c r="KX46" s="227">
        <f t="shared" si="1209"/>
        <v>9.94</v>
      </c>
      <c r="KY46" s="138">
        <f t="shared" si="1232"/>
        <v>0</v>
      </c>
      <c r="KZ46" s="110">
        <f t="shared" si="1233"/>
        <v>0</v>
      </c>
      <c r="LA46" s="110"/>
      <c r="LB46" s="139"/>
      <c r="LC46" s="140" t="e">
        <f t="shared" si="1234"/>
        <v>#DIV/0!</v>
      </c>
      <c r="LD46" s="197">
        <f t="shared" si="1235"/>
        <v>0</v>
      </c>
      <c r="LE46" s="225">
        <f t="shared" si="1236"/>
        <v>0</v>
      </c>
      <c r="LF46" s="226">
        <f t="shared" si="1237"/>
        <v>0</v>
      </c>
      <c r="LG46" s="137">
        <f t="shared" si="1238"/>
        <v>0</v>
      </c>
      <c r="LH46" s="227">
        <f t="shared" si="1239"/>
        <v>8.4600000000000009</v>
      </c>
      <c r="LI46" s="138">
        <f t="shared" si="1240"/>
        <v>0</v>
      </c>
      <c r="LJ46" s="110">
        <f t="shared" si="1241"/>
        <v>0</v>
      </c>
      <c r="LK46" s="110"/>
      <c r="LL46" s="139"/>
    </row>
    <row r="47" spans="1:324" ht="24" x14ac:dyDescent="0.25">
      <c r="A47" s="246"/>
      <c r="B47" s="12" t="s">
        <v>627</v>
      </c>
      <c r="C47" s="12" t="s">
        <v>729</v>
      </c>
      <c r="D47" s="12" t="s">
        <v>429</v>
      </c>
      <c r="E47" s="4" t="s">
        <v>33</v>
      </c>
      <c r="F47" s="198">
        <f t="shared" si="1015"/>
        <v>0</v>
      </c>
      <c r="G47" s="225">
        <f t="shared" si="1242"/>
        <v>0</v>
      </c>
      <c r="H47" s="226">
        <f t="shared" si="1243"/>
        <v>0</v>
      </c>
      <c r="I47" s="137">
        <f t="shared" si="1016"/>
        <v>0</v>
      </c>
      <c r="J47" s="227">
        <f t="shared" si="1244"/>
        <v>7.57</v>
      </c>
      <c r="K47" s="138">
        <f t="shared" si="1017"/>
        <v>0</v>
      </c>
      <c r="L47" s="110">
        <f t="shared" si="1018"/>
        <v>0</v>
      </c>
      <c r="M47" s="110"/>
      <c r="N47" s="139"/>
      <c r="O47" s="140">
        <f t="shared" si="1019"/>
        <v>0</v>
      </c>
      <c r="P47" s="198">
        <f t="shared" si="1020"/>
        <v>0</v>
      </c>
      <c r="Q47" s="225">
        <f t="shared" si="1021"/>
        <v>0</v>
      </c>
      <c r="R47" s="226">
        <f t="shared" si="1022"/>
        <v>0</v>
      </c>
      <c r="S47" s="137">
        <f t="shared" si="1023"/>
        <v>0</v>
      </c>
      <c r="T47" s="227">
        <f t="shared" si="1024"/>
        <v>8.23</v>
      </c>
      <c r="U47" s="138">
        <f t="shared" si="1025"/>
        <v>0</v>
      </c>
      <c r="V47" s="110">
        <f t="shared" si="1026"/>
        <v>0</v>
      </c>
      <c r="W47" s="110"/>
      <c r="X47" s="139"/>
      <c r="Y47" s="140">
        <f t="shared" si="1027"/>
        <v>0</v>
      </c>
      <c r="Z47" s="198">
        <f t="shared" si="1020"/>
        <v>0</v>
      </c>
      <c r="AA47" s="225">
        <f t="shared" si="1028"/>
        <v>0</v>
      </c>
      <c r="AB47" s="226">
        <f t="shared" si="1029"/>
        <v>0</v>
      </c>
      <c r="AC47" s="137">
        <f t="shared" si="1030"/>
        <v>0</v>
      </c>
      <c r="AD47" s="227">
        <f t="shared" si="1024"/>
        <v>8.8000000000000007</v>
      </c>
      <c r="AE47" s="138">
        <f t="shared" si="1032"/>
        <v>0</v>
      </c>
      <c r="AF47" s="110">
        <f t="shared" si="1033"/>
        <v>0</v>
      </c>
      <c r="AG47" s="110"/>
      <c r="AH47" s="139"/>
      <c r="AI47" s="140">
        <f t="shared" si="1034"/>
        <v>0</v>
      </c>
      <c r="AJ47" s="198">
        <f t="shared" si="1020"/>
        <v>3</v>
      </c>
      <c r="AK47" s="225">
        <f t="shared" si="1035"/>
        <v>4.5100000000000001E-3</v>
      </c>
      <c r="AL47" s="226">
        <f t="shared" si="1036"/>
        <v>121.68</v>
      </c>
      <c r="AM47" s="137">
        <f t="shared" si="1037"/>
        <v>40.56</v>
      </c>
      <c r="AN47" s="227">
        <f t="shared" si="1024"/>
        <v>7.52</v>
      </c>
      <c r="AO47" s="138">
        <f t="shared" si="1039"/>
        <v>305.01119999999997</v>
      </c>
      <c r="AP47" s="110">
        <f t="shared" si="1040"/>
        <v>915.03</v>
      </c>
      <c r="AQ47" s="110"/>
      <c r="AR47" s="139"/>
      <c r="AS47" s="140">
        <f t="shared" si="1041"/>
        <v>0.38286999999999999</v>
      </c>
      <c r="AT47" s="198">
        <f t="shared" si="1020"/>
        <v>0</v>
      </c>
      <c r="AU47" s="225">
        <f t="shared" si="1042"/>
        <v>0</v>
      </c>
      <c r="AV47" s="226">
        <f t="shared" si="1043"/>
        <v>0</v>
      </c>
      <c r="AW47" s="137">
        <f t="shared" si="1044"/>
        <v>0</v>
      </c>
      <c r="AX47" s="227">
        <f t="shared" si="1024"/>
        <v>6.88</v>
      </c>
      <c r="AY47" s="138">
        <f t="shared" si="1046"/>
        <v>0</v>
      </c>
      <c r="AZ47" s="110">
        <f t="shared" si="1047"/>
        <v>0</v>
      </c>
      <c r="BA47" s="110"/>
      <c r="BB47" s="139"/>
      <c r="BC47" s="140">
        <f t="shared" si="1048"/>
        <v>0</v>
      </c>
      <c r="BD47" s="198">
        <f t="shared" si="1020"/>
        <v>0</v>
      </c>
      <c r="BE47" s="225">
        <f t="shared" si="1049"/>
        <v>0</v>
      </c>
      <c r="BF47" s="226">
        <f t="shared" si="1050"/>
        <v>0</v>
      </c>
      <c r="BG47" s="137">
        <f t="shared" si="1051"/>
        <v>0</v>
      </c>
      <c r="BH47" s="227">
        <f t="shared" si="1024"/>
        <v>9.74</v>
      </c>
      <c r="BI47" s="138">
        <f t="shared" si="1053"/>
        <v>0</v>
      </c>
      <c r="BJ47" s="110">
        <f t="shared" si="1054"/>
        <v>0</v>
      </c>
      <c r="BK47" s="110"/>
      <c r="BL47" s="139"/>
      <c r="BM47" s="140">
        <f t="shared" si="1055"/>
        <v>0</v>
      </c>
      <c r="BN47" s="198">
        <f t="shared" si="1020"/>
        <v>0</v>
      </c>
      <c r="BO47" s="225">
        <f t="shared" si="1056"/>
        <v>0</v>
      </c>
      <c r="BP47" s="226">
        <f t="shared" si="1057"/>
        <v>0</v>
      </c>
      <c r="BQ47" s="137">
        <f t="shared" si="1058"/>
        <v>0</v>
      </c>
      <c r="BR47" s="227">
        <f t="shared" si="1024"/>
        <v>10.32</v>
      </c>
      <c r="BS47" s="138">
        <f t="shared" si="1060"/>
        <v>0</v>
      </c>
      <c r="BT47" s="110">
        <f t="shared" si="1061"/>
        <v>0</v>
      </c>
      <c r="BU47" s="110"/>
      <c r="BV47" s="139"/>
      <c r="BW47" s="140">
        <f t="shared" si="1062"/>
        <v>0</v>
      </c>
      <c r="BX47" s="198">
        <f t="shared" si="1020"/>
        <v>0</v>
      </c>
      <c r="BY47" s="225">
        <f t="shared" si="1063"/>
        <v>0</v>
      </c>
      <c r="BZ47" s="226">
        <f t="shared" si="1064"/>
        <v>0</v>
      </c>
      <c r="CA47" s="137">
        <f t="shared" si="1065"/>
        <v>0</v>
      </c>
      <c r="CB47" s="227">
        <f t="shared" si="1024"/>
        <v>7.89</v>
      </c>
      <c r="CC47" s="138">
        <f t="shared" si="1067"/>
        <v>0</v>
      </c>
      <c r="CD47" s="110">
        <f t="shared" si="1068"/>
        <v>0</v>
      </c>
      <c r="CE47" s="110"/>
      <c r="CF47" s="139"/>
      <c r="CG47" s="140">
        <f t="shared" si="1069"/>
        <v>0</v>
      </c>
      <c r="CH47" s="198">
        <f t="shared" si="1070"/>
        <v>0</v>
      </c>
      <c r="CI47" s="225">
        <f t="shared" si="1071"/>
        <v>0</v>
      </c>
      <c r="CJ47" s="226">
        <f t="shared" si="1072"/>
        <v>0</v>
      </c>
      <c r="CK47" s="137">
        <f t="shared" si="1073"/>
        <v>0</v>
      </c>
      <c r="CL47" s="227">
        <f t="shared" si="1074"/>
        <v>8.24</v>
      </c>
      <c r="CM47" s="138">
        <f t="shared" si="1075"/>
        <v>0</v>
      </c>
      <c r="CN47" s="110">
        <f t="shared" si="1076"/>
        <v>0</v>
      </c>
      <c r="CO47" s="110"/>
      <c r="CP47" s="139"/>
      <c r="CQ47" s="140">
        <f t="shared" si="1077"/>
        <v>0</v>
      </c>
      <c r="CR47" s="198">
        <f t="shared" si="1070"/>
        <v>2</v>
      </c>
      <c r="CS47" s="225">
        <f t="shared" si="1078"/>
        <v>2.6900000000000001E-3</v>
      </c>
      <c r="CT47" s="226">
        <f t="shared" si="1079"/>
        <v>170.12</v>
      </c>
      <c r="CU47" s="137">
        <f t="shared" si="1080"/>
        <v>85.06</v>
      </c>
      <c r="CV47" s="227">
        <f t="shared" si="1074"/>
        <v>8.92</v>
      </c>
      <c r="CW47" s="138">
        <f t="shared" si="1082"/>
        <v>758.73519999999996</v>
      </c>
      <c r="CX47" s="110">
        <f t="shared" si="1083"/>
        <v>1517.47</v>
      </c>
      <c r="CY47" s="110"/>
      <c r="CZ47" s="139"/>
      <c r="DA47" s="140">
        <f t="shared" si="1084"/>
        <v>0.95242000000000004</v>
      </c>
      <c r="DB47" s="198">
        <f t="shared" si="1070"/>
        <v>0</v>
      </c>
      <c r="DC47" s="225">
        <f t="shared" si="1085"/>
        <v>0</v>
      </c>
      <c r="DD47" s="226">
        <f t="shared" si="1086"/>
        <v>0</v>
      </c>
      <c r="DE47" s="137">
        <f t="shared" si="1087"/>
        <v>0</v>
      </c>
      <c r="DF47" s="227">
        <f t="shared" si="1074"/>
        <v>7.48</v>
      </c>
      <c r="DG47" s="138">
        <f t="shared" si="1089"/>
        <v>0</v>
      </c>
      <c r="DH47" s="110">
        <f t="shared" si="1090"/>
        <v>0</v>
      </c>
      <c r="DI47" s="110"/>
      <c r="DJ47" s="139"/>
      <c r="DK47" s="140">
        <f t="shared" si="1091"/>
        <v>0</v>
      </c>
      <c r="DL47" s="198">
        <f t="shared" si="1070"/>
        <v>0</v>
      </c>
      <c r="DM47" s="225">
        <f t="shared" si="1092"/>
        <v>0</v>
      </c>
      <c r="DN47" s="226">
        <f t="shared" si="1093"/>
        <v>0</v>
      </c>
      <c r="DO47" s="137">
        <f t="shared" si="1094"/>
        <v>0</v>
      </c>
      <c r="DP47" s="227">
        <f t="shared" si="1074"/>
        <v>8.2200000000000006</v>
      </c>
      <c r="DQ47" s="138">
        <f t="shared" si="1096"/>
        <v>0</v>
      </c>
      <c r="DR47" s="110">
        <f t="shared" si="1097"/>
        <v>0</v>
      </c>
      <c r="DS47" s="110"/>
      <c r="DT47" s="139"/>
      <c r="DU47" s="140">
        <f t="shared" si="1098"/>
        <v>0</v>
      </c>
      <c r="DV47" s="198">
        <f t="shared" si="1070"/>
        <v>0</v>
      </c>
      <c r="DW47" s="225">
        <f t="shared" si="1099"/>
        <v>0</v>
      </c>
      <c r="DX47" s="226">
        <f t="shared" si="1100"/>
        <v>0</v>
      </c>
      <c r="DY47" s="137">
        <f t="shared" si="1101"/>
        <v>0</v>
      </c>
      <c r="DZ47" s="227">
        <f t="shared" si="1074"/>
        <v>7.91</v>
      </c>
      <c r="EA47" s="138">
        <f t="shared" si="1103"/>
        <v>0</v>
      </c>
      <c r="EB47" s="110">
        <f t="shared" si="1104"/>
        <v>0</v>
      </c>
      <c r="EC47" s="110"/>
      <c r="ED47" s="139"/>
      <c r="EE47" s="140">
        <f t="shared" si="1105"/>
        <v>0</v>
      </c>
      <c r="EF47" s="198">
        <f t="shared" si="1070"/>
        <v>2</v>
      </c>
      <c r="EG47" s="225">
        <f t="shared" si="1106"/>
        <v>2.1299999999999999E-3</v>
      </c>
      <c r="EH47" s="226">
        <f t="shared" si="1107"/>
        <v>123.77</v>
      </c>
      <c r="EI47" s="137">
        <f t="shared" si="1108"/>
        <v>61.884999999999998</v>
      </c>
      <c r="EJ47" s="227">
        <f t="shared" si="1074"/>
        <v>7.63</v>
      </c>
      <c r="EK47" s="138">
        <f t="shared" si="1110"/>
        <v>472.18254999999999</v>
      </c>
      <c r="EL47" s="110">
        <f t="shared" si="1111"/>
        <v>944.37</v>
      </c>
      <c r="EM47" s="110"/>
      <c r="EN47" s="139"/>
      <c r="EO47" s="140">
        <f t="shared" si="1112"/>
        <v>0.59272000000000002</v>
      </c>
      <c r="EP47" s="198">
        <f t="shared" si="1070"/>
        <v>2</v>
      </c>
      <c r="EQ47" s="225">
        <f t="shared" si="1113"/>
        <v>2.1199999999999999E-3</v>
      </c>
      <c r="ER47" s="226">
        <f t="shared" si="1114"/>
        <v>142.72</v>
      </c>
      <c r="ES47" s="137">
        <f t="shared" si="1115"/>
        <v>71.36</v>
      </c>
      <c r="ET47" s="227">
        <f t="shared" si="1074"/>
        <v>7.95</v>
      </c>
      <c r="EU47" s="138">
        <f t="shared" si="1117"/>
        <v>567.31200000000001</v>
      </c>
      <c r="EV47" s="110">
        <f t="shared" si="1118"/>
        <v>1134.6199999999999</v>
      </c>
      <c r="EW47" s="110"/>
      <c r="EX47" s="139"/>
      <c r="EY47" s="140">
        <f t="shared" si="1119"/>
        <v>0.71213000000000004</v>
      </c>
      <c r="EZ47" s="198">
        <f t="shared" si="1120"/>
        <v>1</v>
      </c>
      <c r="FA47" s="225">
        <f t="shared" si="1121"/>
        <v>8.9999999999999998E-4</v>
      </c>
      <c r="FB47" s="226">
        <f t="shared" si="1122"/>
        <v>59.64</v>
      </c>
      <c r="FC47" s="137">
        <f t="shared" si="1123"/>
        <v>59.64</v>
      </c>
      <c r="FD47" s="227">
        <f t="shared" si="1124"/>
        <v>10.210000000000001</v>
      </c>
      <c r="FE47" s="138">
        <f t="shared" si="1125"/>
        <v>608.92439999999999</v>
      </c>
      <c r="FF47" s="110">
        <f t="shared" si="1126"/>
        <v>608.91999999999996</v>
      </c>
      <c r="FG47" s="110"/>
      <c r="FH47" s="139"/>
      <c r="FI47" s="140">
        <f t="shared" si="1127"/>
        <v>0.76436999999999999</v>
      </c>
      <c r="FJ47" s="198">
        <f t="shared" si="1120"/>
        <v>1</v>
      </c>
      <c r="FK47" s="225">
        <f t="shared" si="1128"/>
        <v>9.7999999999999997E-4</v>
      </c>
      <c r="FL47" s="226">
        <f t="shared" si="1129"/>
        <v>104.91</v>
      </c>
      <c r="FM47" s="137">
        <f t="shared" si="1130"/>
        <v>104.91</v>
      </c>
      <c r="FN47" s="227">
        <f t="shared" si="1124"/>
        <v>9.52</v>
      </c>
      <c r="FO47" s="138">
        <f t="shared" si="1132"/>
        <v>998.7432</v>
      </c>
      <c r="FP47" s="110">
        <f t="shared" si="1133"/>
        <v>998.74</v>
      </c>
      <c r="FQ47" s="110"/>
      <c r="FR47" s="139"/>
      <c r="FS47" s="140">
        <f t="shared" si="1134"/>
        <v>1.25369</v>
      </c>
      <c r="FT47" s="198">
        <f t="shared" si="1120"/>
        <v>1</v>
      </c>
      <c r="FU47" s="225">
        <f t="shared" si="1135"/>
        <v>1.25E-3</v>
      </c>
      <c r="FV47" s="226">
        <f t="shared" si="1136"/>
        <v>62.53</v>
      </c>
      <c r="FW47" s="137">
        <f t="shared" si="1137"/>
        <v>62.53</v>
      </c>
      <c r="FX47" s="227">
        <f t="shared" si="1124"/>
        <v>9.57</v>
      </c>
      <c r="FY47" s="138">
        <f t="shared" si="1139"/>
        <v>598.41210000000001</v>
      </c>
      <c r="FZ47" s="110">
        <f t="shared" si="1140"/>
        <v>598.41</v>
      </c>
      <c r="GA47" s="110"/>
      <c r="GB47" s="139"/>
      <c r="GC47" s="140">
        <f t="shared" si="1141"/>
        <v>0.75117</v>
      </c>
      <c r="GD47" s="198">
        <f t="shared" si="1120"/>
        <v>2</v>
      </c>
      <c r="GE47" s="225">
        <f t="shared" si="1142"/>
        <v>3.9100000000000003E-3</v>
      </c>
      <c r="GF47" s="226">
        <f t="shared" si="1143"/>
        <v>169.15</v>
      </c>
      <c r="GG47" s="137">
        <f t="shared" si="1144"/>
        <v>84.575000000000003</v>
      </c>
      <c r="GH47" s="227">
        <f t="shared" si="1124"/>
        <v>8.39</v>
      </c>
      <c r="GI47" s="138">
        <f t="shared" si="1146"/>
        <v>709.58425</v>
      </c>
      <c r="GJ47" s="110">
        <f t="shared" si="1147"/>
        <v>1419.17</v>
      </c>
      <c r="GK47" s="110"/>
      <c r="GL47" s="139"/>
      <c r="GM47" s="140">
        <f t="shared" si="1148"/>
        <v>0.89071999999999996</v>
      </c>
      <c r="GN47" s="198">
        <f t="shared" si="1120"/>
        <v>0</v>
      </c>
      <c r="GO47" s="225">
        <f t="shared" si="1149"/>
        <v>0</v>
      </c>
      <c r="GP47" s="226">
        <f t="shared" si="1150"/>
        <v>0</v>
      </c>
      <c r="GQ47" s="137">
        <f t="shared" si="1151"/>
        <v>0</v>
      </c>
      <c r="GR47" s="227">
        <f t="shared" si="1152"/>
        <v>7.63</v>
      </c>
      <c r="GS47" s="138">
        <f t="shared" si="1153"/>
        <v>0</v>
      </c>
      <c r="GT47" s="110">
        <f t="shared" si="1154"/>
        <v>0</v>
      </c>
      <c r="GU47" s="110"/>
      <c r="GV47" s="139"/>
      <c r="GW47" s="140">
        <f t="shared" si="1155"/>
        <v>0</v>
      </c>
      <c r="GX47" s="198">
        <f t="shared" si="1120"/>
        <v>0</v>
      </c>
      <c r="GY47" s="225">
        <f t="shared" si="1156"/>
        <v>0</v>
      </c>
      <c r="GZ47" s="226">
        <f t="shared" si="1157"/>
        <v>0</v>
      </c>
      <c r="HA47" s="137">
        <f t="shared" si="1158"/>
        <v>0</v>
      </c>
      <c r="HB47" s="227">
        <f t="shared" si="1152"/>
        <v>4.8899999999999997</v>
      </c>
      <c r="HC47" s="138">
        <f t="shared" si="1160"/>
        <v>0</v>
      </c>
      <c r="HD47" s="110">
        <f t="shared" si="1161"/>
        <v>0</v>
      </c>
      <c r="HE47" s="110"/>
      <c r="HF47" s="139"/>
      <c r="HG47" s="140">
        <f t="shared" si="1162"/>
        <v>0</v>
      </c>
      <c r="HH47" s="198">
        <f t="shared" si="1120"/>
        <v>0</v>
      </c>
      <c r="HI47" s="225">
        <f t="shared" si="1163"/>
        <v>0</v>
      </c>
      <c r="HJ47" s="226">
        <f t="shared" si="1164"/>
        <v>0</v>
      </c>
      <c r="HK47" s="137">
        <f t="shared" si="1165"/>
        <v>0</v>
      </c>
      <c r="HL47" s="227">
        <f t="shared" si="1152"/>
        <v>5.98</v>
      </c>
      <c r="HM47" s="138">
        <f t="shared" si="1167"/>
        <v>0</v>
      </c>
      <c r="HN47" s="110">
        <f t="shared" si="1168"/>
        <v>0</v>
      </c>
      <c r="HO47" s="110"/>
      <c r="HP47" s="139"/>
      <c r="HQ47" s="140">
        <f t="shared" si="1169"/>
        <v>0</v>
      </c>
      <c r="HR47" s="198">
        <f t="shared" si="1170"/>
        <v>3</v>
      </c>
      <c r="HS47" s="225">
        <f t="shared" si="1171"/>
        <v>3.81E-3</v>
      </c>
      <c r="HT47" s="226">
        <f t="shared" si="1172"/>
        <v>149.35</v>
      </c>
      <c r="HU47" s="137">
        <f t="shared" si="1173"/>
        <v>49.783333329999998</v>
      </c>
      <c r="HV47" s="227">
        <f t="shared" si="1152"/>
        <v>9.76</v>
      </c>
      <c r="HW47" s="138">
        <f t="shared" si="1175"/>
        <v>485.88533000000001</v>
      </c>
      <c r="HX47" s="110">
        <f t="shared" si="1176"/>
        <v>1457.66</v>
      </c>
      <c r="HY47" s="110"/>
      <c r="HZ47" s="139"/>
      <c r="IA47" s="140">
        <f t="shared" si="1177"/>
        <v>0.60992000000000002</v>
      </c>
      <c r="IB47" s="198">
        <f t="shared" si="1170"/>
        <v>2</v>
      </c>
      <c r="IC47" s="225">
        <f t="shared" si="1178"/>
        <v>3.65E-3</v>
      </c>
      <c r="ID47" s="226">
        <f t="shared" si="1179"/>
        <v>118.95</v>
      </c>
      <c r="IE47" s="137">
        <f t="shared" si="1180"/>
        <v>59.475000000000001</v>
      </c>
      <c r="IF47" s="227">
        <f t="shared" si="1181"/>
        <v>7.76</v>
      </c>
      <c r="IG47" s="138">
        <f t="shared" si="1182"/>
        <v>461.52600000000001</v>
      </c>
      <c r="IH47" s="110">
        <f t="shared" si="1183"/>
        <v>923.05</v>
      </c>
      <c r="II47" s="110"/>
      <c r="IJ47" s="139"/>
      <c r="IK47" s="140">
        <f t="shared" si="1184"/>
        <v>0.57933999999999997</v>
      </c>
      <c r="IL47" s="198">
        <f t="shared" si="1170"/>
        <v>0</v>
      </c>
      <c r="IM47" s="225">
        <f t="shared" si="1185"/>
        <v>0</v>
      </c>
      <c r="IN47" s="226">
        <f t="shared" si="1186"/>
        <v>0</v>
      </c>
      <c r="IO47" s="137">
        <f t="shared" si="1187"/>
        <v>0</v>
      </c>
      <c r="IP47" s="227">
        <f t="shared" si="1181"/>
        <v>7.4</v>
      </c>
      <c r="IQ47" s="138">
        <f t="shared" si="1189"/>
        <v>0</v>
      </c>
      <c r="IR47" s="110">
        <f t="shared" si="1190"/>
        <v>0</v>
      </c>
      <c r="IS47" s="110"/>
      <c r="IT47" s="139"/>
      <c r="IU47" s="140">
        <f t="shared" si="1191"/>
        <v>0</v>
      </c>
      <c r="IV47" s="198">
        <f t="shared" si="1170"/>
        <v>14</v>
      </c>
      <c r="IW47" s="225">
        <f t="shared" si="1192"/>
        <v>1.8159999999999999E-2</v>
      </c>
      <c r="IX47" s="226">
        <f t="shared" si="1193"/>
        <v>743.47</v>
      </c>
      <c r="IY47" s="137">
        <f t="shared" si="1194"/>
        <v>53.104999999999997</v>
      </c>
      <c r="IZ47" s="227">
        <f t="shared" si="1181"/>
        <v>9.64</v>
      </c>
      <c r="JA47" s="138">
        <f t="shared" si="1196"/>
        <v>511.93220000000002</v>
      </c>
      <c r="JB47" s="110">
        <f t="shared" si="1197"/>
        <v>7167.05</v>
      </c>
      <c r="JC47" s="110"/>
      <c r="JD47" s="139"/>
      <c r="JE47" s="140">
        <f t="shared" si="1198"/>
        <v>0.64261000000000001</v>
      </c>
      <c r="JF47" s="198">
        <f t="shared" si="1170"/>
        <v>3</v>
      </c>
      <c r="JG47" s="225">
        <f t="shared" si="1199"/>
        <v>2.2399999999999998E-3</v>
      </c>
      <c r="JH47" s="226">
        <f t="shared" si="1200"/>
        <v>244.07</v>
      </c>
      <c r="JI47" s="137">
        <f t="shared" si="1201"/>
        <v>81.356666669999996</v>
      </c>
      <c r="JJ47" s="227">
        <f t="shared" si="1181"/>
        <v>9.1</v>
      </c>
      <c r="JK47" s="138">
        <f t="shared" si="1203"/>
        <v>740.34567000000004</v>
      </c>
      <c r="JL47" s="110">
        <f t="shared" si="1204"/>
        <v>2221.04</v>
      </c>
      <c r="JM47" s="110"/>
      <c r="JN47" s="139"/>
      <c r="JO47" s="140">
        <f t="shared" si="1205"/>
        <v>0.92934000000000005</v>
      </c>
      <c r="JP47" s="198">
        <f t="shared" si="1170"/>
        <v>2</v>
      </c>
      <c r="JQ47" s="225">
        <f t="shared" si="1206"/>
        <v>1.6000000000000001E-3</v>
      </c>
      <c r="JR47" s="226">
        <f t="shared" si="1207"/>
        <v>209.06</v>
      </c>
      <c r="JS47" s="137">
        <f t="shared" si="1208"/>
        <v>104.53</v>
      </c>
      <c r="JT47" s="227">
        <f t="shared" si="1209"/>
        <v>10.15</v>
      </c>
      <c r="JU47" s="138">
        <f t="shared" si="1210"/>
        <v>1060.9794999999999</v>
      </c>
      <c r="JV47" s="110">
        <f t="shared" si="1211"/>
        <v>2121.96</v>
      </c>
      <c r="JW47" s="110"/>
      <c r="JX47" s="139"/>
      <c r="JY47" s="140">
        <f t="shared" si="1212"/>
        <v>1.33182</v>
      </c>
      <c r="JZ47" s="198">
        <f t="shared" si="1170"/>
        <v>0</v>
      </c>
      <c r="KA47" s="225">
        <f t="shared" si="1213"/>
        <v>0</v>
      </c>
      <c r="KB47" s="226">
        <f t="shared" si="1214"/>
        <v>0</v>
      </c>
      <c r="KC47" s="137">
        <f t="shared" si="1215"/>
        <v>0</v>
      </c>
      <c r="KD47" s="227">
        <f t="shared" si="1209"/>
        <v>8.14</v>
      </c>
      <c r="KE47" s="138">
        <f t="shared" si="1217"/>
        <v>0</v>
      </c>
      <c r="KF47" s="110">
        <f t="shared" si="1218"/>
        <v>0</v>
      </c>
      <c r="KG47" s="110"/>
      <c r="KH47" s="139"/>
      <c r="KI47" s="140">
        <f t="shared" si="1219"/>
        <v>0</v>
      </c>
      <c r="KJ47" s="198">
        <f t="shared" si="1220"/>
        <v>0</v>
      </c>
      <c r="KK47" s="225">
        <f t="shared" si="1221"/>
        <v>0</v>
      </c>
      <c r="KL47" s="226">
        <f t="shared" si="1222"/>
        <v>0</v>
      </c>
      <c r="KM47" s="137">
        <f t="shared" si="1223"/>
        <v>0</v>
      </c>
      <c r="KN47" s="227">
        <f t="shared" si="1209"/>
        <v>9.02</v>
      </c>
      <c r="KO47" s="138">
        <f t="shared" si="1225"/>
        <v>0</v>
      </c>
      <c r="KP47" s="110">
        <f t="shared" si="1226"/>
        <v>0</v>
      </c>
      <c r="KQ47" s="110"/>
      <c r="KR47" s="139"/>
      <c r="KS47" s="140">
        <f t="shared" si="1227"/>
        <v>0</v>
      </c>
      <c r="KT47" s="198">
        <f t="shared" si="1220"/>
        <v>2</v>
      </c>
      <c r="KU47" s="225">
        <f t="shared" si="1228"/>
        <v>1.7799999999999999E-3</v>
      </c>
      <c r="KV47" s="226">
        <f t="shared" si="1229"/>
        <v>801</v>
      </c>
      <c r="KW47" s="137">
        <f t="shared" si="1230"/>
        <v>400.5</v>
      </c>
      <c r="KX47" s="227">
        <f t="shared" si="1209"/>
        <v>9.94</v>
      </c>
      <c r="KY47" s="138">
        <f t="shared" si="1232"/>
        <v>3980.97</v>
      </c>
      <c r="KZ47" s="110">
        <f t="shared" si="1233"/>
        <v>7961.94</v>
      </c>
      <c r="LA47" s="110"/>
      <c r="LB47" s="139"/>
      <c r="LC47" s="140">
        <f t="shared" si="1234"/>
        <v>4.9972000000000003</v>
      </c>
      <c r="LD47" s="197">
        <f t="shared" si="1235"/>
        <v>40</v>
      </c>
      <c r="LE47" s="225">
        <f t="shared" si="1236"/>
        <v>1.4E-3</v>
      </c>
      <c r="LF47" s="226">
        <f t="shared" si="1237"/>
        <v>3766.62</v>
      </c>
      <c r="LG47" s="137">
        <f t="shared" si="1238"/>
        <v>94.165499999999994</v>
      </c>
      <c r="LH47" s="227">
        <f t="shared" si="1239"/>
        <v>8.4600000000000009</v>
      </c>
      <c r="LI47" s="138">
        <f t="shared" si="1240"/>
        <v>796.64013</v>
      </c>
      <c r="LJ47" s="110">
        <f t="shared" si="1241"/>
        <v>31865.61</v>
      </c>
      <c r="LK47" s="110"/>
      <c r="LL47" s="139"/>
    </row>
    <row r="48" spans="1:324" ht="24" hidden="1" x14ac:dyDescent="0.25">
      <c r="A48" s="246"/>
      <c r="B48" s="92" t="s">
        <v>608</v>
      </c>
      <c r="C48" s="12" t="s">
        <v>729</v>
      </c>
      <c r="D48" s="12" t="s">
        <v>429</v>
      </c>
      <c r="E48" s="4" t="s">
        <v>33</v>
      </c>
      <c r="F48" s="198">
        <f t="shared" si="1015"/>
        <v>0</v>
      </c>
      <c r="G48" s="225">
        <f t="shared" si="1242"/>
        <v>0</v>
      </c>
      <c r="H48" s="226">
        <f t="shared" si="1243"/>
        <v>0</v>
      </c>
      <c r="I48" s="137">
        <f t="shared" si="1016"/>
        <v>0</v>
      </c>
      <c r="J48" s="227">
        <f t="shared" si="1244"/>
        <v>7.57</v>
      </c>
      <c r="K48" s="138">
        <f t="shared" si="1017"/>
        <v>0</v>
      </c>
      <c r="L48" s="110">
        <f t="shared" si="1018"/>
        <v>0</v>
      </c>
      <c r="M48" s="110"/>
      <c r="N48" s="139"/>
      <c r="O48" s="140" t="e">
        <f t="shared" si="1019"/>
        <v>#DIV/0!</v>
      </c>
      <c r="P48" s="198">
        <f t="shared" si="1020"/>
        <v>0</v>
      </c>
      <c r="Q48" s="225">
        <f t="shared" si="1021"/>
        <v>0</v>
      </c>
      <c r="R48" s="226">
        <f t="shared" si="1022"/>
        <v>0</v>
      </c>
      <c r="S48" s="137">
        <f t="shared" si="1023"/>
        <v>0</v>
      </c>
      <c r="T48" s="227">
        <f t="shared" si="1024"/>
        <v>8.23</v>
      </c>
      <c r="U48" s="138">
        <f t="shared" si="1025"/>
        <v>0</v>
      </c>
      <c r="V48" s="110">
        <f t="shared" si="1026"/>
        <v>0</v>
      </c>
      <c r="W48" s="110"/>
      <c r="X48" s="139"/>
      <c r="Y48" s="140" t="e">
        <f t="shared" si="1027"/>
        <v>#DIV/0!</v>
      </c>
      <c r="Z48" s="198">
        <f t="shared" si="1020"/>
        <v>0</v>
      </c>
      <c r="AA48" s="225">
        <f t="shared" si="1028"/>
        <v>0</v>
      </c>
      <c r="AB48" s="226">
        <f t="shared" si="1029"/>
        <v>0</v>
      </c>
      <c r="AC48" s="137">
        <f t="shared" si="1030"/>
        <v>0</v>
      </c>
      <c r="AD48" s="227">
        <f t="shared" si="1024"/>
        <v>8.8000000000000007</v>
      </c>
      <c r="AE48" s="138">
        <f t="shared" si="1032"/>
        <v>0</v>
      </c>
      <c r="AF48" s="110">
        <f t="shared" si="1033"/>
        <v>0</v>
      </c>
      <c r="AG48" s="110"/>
      <c r="AH48" s="139"/>
      <c r="AI48" s="140" t="e">
        <f t="shared" si="1034"/>
        <v>#DIV/0!</v>
      </c>
      <c r="AJ48" s="198">
        <f t="shared" si="1020"/>
        <v>0</v>
      </c>
      <c r="AK48" s="225">
        <f t="shared" si="1035"/>
        <v>0</v>
      </c>
      <c r="AL48" s="226">
        <f t="shared" si="1036"/>
        <v>0</v>
      </c>
      <c r="AM48" s="137">
        <f t="shared" si="1037"/>
        <v>0</v>
      </c>
      <c r="AN48" s="227">
        <f t="shared" si="1024"/>
        <v>7.52</v>
      </c>
      <c r="AO48" s="138">
        <f t="shared" si="1039"/>
        <v>0</v>
      </c>
      <c r="AP48" s="110">
        <f t="shared" si="1040"/>
        <v>0</v>
      </c>
      <c r="AQ48" s="110"/>
      <c r="AR48" s="139"/>
      <c r="AS48" s="140" t="e">
        <f t="shared" si="1041"/>
        <v>#DIV/0!</v>
      </c>
      <c r="AT48" s="198">
        <f t="shared" si="1020"/>
        <v>0</v>
      </c>
      <c r="AU48" s="225">
        <f t="shared" si="1042"/>
        <v>0</v>
      </c>
      <c r="AV48" s="226">
        <f t="shared" si="1043"/>
        <v>0</v>
      </c>
      <c r="AW48" s="137">
        <f t="shared" si="1044"/>
        <v>0</v>
      </c>
      <c r="AX48" s="227">
        <f t="shared" si="1024"/>
        <v>6.88</v>
      </c>
      <c r="AY48" s="138">
        <f t="shared" si="1046"/>
        <v>0</v>
      </c>
      <c r="AZ48" s="110">
        <f t="shared" si="1047"/>
        <v>0</v>
      </c>
      <c r="BA48" s="110"/>
      <c r="BB48" s="139"/>
      <c r="BC48" s="140" t="e">
        <f t="shared" si="1048"/>
        <v>#DIV/0!</v>
      </c>
      <c r="BD48" s="198">
        <f t="shared" si="1020"/>
        <v>0</v>
      </c>
      <c r="BE48" s="225">
        <f t="shared" si="1049"/>
        <v>0</v>
      </c>
      <c r="BF48" s="226">
        <f t="shared" si="1050"/>
        <v>0</v>
      </c>
      <c r="BG48" s="137">
        <f t="shared" si="1051"/>
        <v>0</v>
      </c>
      <c r="BH48" s="227">
        <f t="shared" si="1024"/>
        <v>9.74</v>
      </c>
      <c r="BI48" s="138">
        <f t="shared" si="1053"/>
        <v>0</v>
      </c>
      <c r="BJ48" s="110">
        <f t="shared" si="1054"/>
        <v>0</v>
      </c>
      <c r="BK48" s="110"/>
      <c r="BL48" s="139"/>
      <c r="BM48" s="140" t="e">
        <f t="shared" si="1055"/>
        <v>#DIV/0!</v>
      </c>
      <c r="BN48" s="198">
        <f t="shared" si="1020"/>
        <v>0</v>
      </c>
      <c r="BO48" s="225">
        <f t="shared" si="1056"/>
        <v>0</v>
      </c>
      <c r="BP48" s="226">
        <f t="shared" si="1057"/>
        <v>0</v>
      </c>
      <c r="BQ48" s="137">
        <f t="shared" si="1058"/>
        <v>0</v>
      </c>
      <c r="BR48" s="227">
        <f t="shared" si="1024"/>
        <v>10.32</v>
      </c>
      <c r="BS48" s="138">
        <f t="shared" si="1060"/>
        <v>0</v>
      </c>
      <c r="BT48" s="110">
        <f t="shared" si="1061"/>
        <v>0</v>
      </c>
      <c r="BU48" s="110"/>
      <c r="BV48" s="139"/>
      <c r="BW48" s="140" t="e">
        <f t="shared" si="1062"/>
        <v>#DIV/0!</v>
      </c>
      <c r="BX48" s="198">
        <f t="shared" si="1020"/>
        <v>0</v>
      </c>
      <c r="BY48" s="225">
        <f t="shared" si="1063"/>
        <v>0</v>
      </c>
      <c r="BZ48" s="226">
        <f t="shared" si="1064"/>
        <v>0</v>
      </c>
      <c r="CA48" s="137">
        <f t="shared" si="1065"/>
        <v>0</v>
      </c>
      <c r="CB48" s="227">
        <f t="shared" si="1024"/>
        <v>7.89</v>
      </c>
      <c r="CC48" s="138">
        <f t="shared" si="1067"/>
        <v>0</v>
      </c>
      <c r="CD48" s="110">
        <f t="shared" si="1068"/>
        <v>0</v>
      </c>
      <c r="CE48" s="110"/>
      <c r="CF48" s="139"/>
      <c r="CG48" s="140" t="e">
        <f t="shared" si="1069"/>
        <v>#DIV/0!</v>
      </c>
      <c r="CH48" s="198">
        <f t="shared" si="1070"/>
        <v>0</v>
      </c>
      <c r="CI48" s="225">
        <f t="shared" si="1071"/>
        <v>0</v>
      </c>
      <c r="CJ48" s="226">
        <f t="shared" si="1072"/>
        <v>0</v>
      </c>
      <c r="CK48" s="137">
        <f t="shared" si="1073"/>
        <v>0</v>
      </c>
      <c r="CL48" s="227">
        <f t="shared" si="1074"/>
        <v>8.24</v>
      </c>
      <c r="CM48" s="138">
        <f t="shared" si="1075"/>
        <v>0</v>
      </c>
      <c r="CN48" s="110">
        <f t="shared" si="1076"/>
        <v>0</v>
      </c>
      <c r="CO48" s="110"/>
      <c r="CP48" s="139"/>
      <c r="CQ48" s="140" t="e">
        <f t="shared" si="1077"/>
        <v>#DIV/0!</v>
      </c>
      <c r="CR48" s="198">
        <f t="shared" si="1070"/>
        <v>0</v>
      </c>
      <c r="CS48" s="225">
        <f t="shared" si="1078"/>
        <v>0</v>
      </c>
      <c r="CT48" s="226">
        <f t="shared" si="1079"/>
        <v>0</v>
      </c>
      <c r="CU48" s="137">
        <f t="shared" si="1080"/>
        <v>0</v>
      </c>
      <c r="CV48" s="227">
        <f t="shared" si="1074"/>
        <v>8.92</v>
      </c>
      <c r="CW48" s="138">
        <f t="shared" si="1082"/>
        <v>0</v>
      </c>
      <c r="CX48" s="110">
        <f t="shared" si="1083"/>
        <v>0</v>
      </c>
      <c r="CY48" s="110"/>
      <c r="CZ48" s="139"/>
      <c r="DA48" s="140" t="e">
        <f t="shared" si="1084"/>
        <v>#DIV/0!</v>
      </c>
      <c r="DB48" s="198">
        <f t="shared" si="1070"/>
        <v>0</v>
      </c>
      <c r="DC48" s="225">
        <f t="shared" si="1085"/>
        <v>0</v>
      </c>
      <c r="DD48" s="226">
        <f t="shared" si="1086"/>
        <v>0</v>
      </c>
      <c r="DE48" s="137">
        <f t="shared" si="1087"/>
        <v>0</v>
      </c>
      <c r="DF48" s="227">
        <f t="shared" si="1074"/>
        <v>7.48</v>
      </c>
      <c r="DG48" s="138">
        <f t="shared" si="1089"/>
        <v>0</v>
      </c>
      <c r="DH48" s="110">
        <f t="shared" si="1090"/>
        <v>0</v>
      </c>
      <c r="DI48" s="110"/>
      <c r="DJ48" s="139"/>
      <c r="DK48" s="140" t="e">
        <f t="shared" si="1091"/>
        <v>#DIV/0!</v>
      </c>
      <c r="DL48" s="198">
        <f t="shared" si="1070"/>
        <v>0</v>
      </c>
      <c r="DM48" s="225">
        <f t="shared" si="1092"/>
        <v>0</v>
      </c>
      <c r="DN48" s="226">
        <f t="shared" si="1093"/>
        <v>0</v>
      </c>
      <c r="DO48" s="137">
        <f t="shared" si="1094"/>
        <v>0</v>
      </c>
      <c r="DP48" s="227">
        <f t="shared" si="1074"/>
        <v>8.2200000000000006</v>
      </c>
      <c r="DQ48" s="138">
        <f t="shared" si="1096"/>
        <v>0</v>
      </c>
      <c r="DR48" s="110">
        <f t="shared" si="1097"/>
        <v>0</v>
      </c>
      <c r="DS48" s="110"/>
      <c r="DT48" s="139"/>
      <c r="DU48" s="140" t="e">
        <f t="shared" si="1098"/>
        <v>#DIV/0!</v>
      </c>
      <c r="DV48" s="198">
        <f t="shared" si="1070"/>
        <v>0</v>
      </c>
      <c r="DW48" s="225">
        <f t="shared" si="1099"/>
        <v>0</v>
      </c>
      <c r="DX48" s="226">
        <f t="shared" si="1100"/>
        <v>0</v>
      </c>
      <c r="DY48" s="137">
        <f t="shared" si="1101"/>
        <v>0</v>
      </c>
      <c r="DZ48" s="227">
        <f t="shared" si="1074"/>
        <v>7.91</v>
      </c>
      <c r="EA48" s="138">
        <f t="shared" si="1103"/>
        <v>0</v>
      </c>
      <c r="EB48" s="110">
        <f t="shared" si="1104"/>
        <v>0</v>
      </c>
      <c r="EC48" s="110"/>
      <c r="ED48" s="139"/>
      <c r="EE48" s="140" t="e">
        <f t="shared" si="1105"/>
        <v>#DIV/0!</v>
      </c>
      <c r="EF48" s="198">
        <f t="shared" si="1070"/>
        <v>0</v>
      </c>
      <c r="EG48" s="225">
        <f t="shared" si="1106"/>
        <v>0</v>
      </c>
      <c r="EH48" s="226">
        <f t="shared" si="1107"/>
        <v>0</v>
      </c>
      <c r="EI48" s="137">
        <f t="shared" si="1108"/>
        <v>0</v>
      </c>
      <c r="EJ48" s="227">
        <f t="shared" si="1074"/>
        <v>7.63</v>
      </c>
      <c r="EK48" s="138">
        <f t="shared" si="1110"/>
        <v>0</v>
      </c>
      <c r="EL48" s="110">
        <f t="shared" si="1111"/>
        <v>0</v>
      </c>
      <c r="EM48" s="110"/>
      <c r="EN48" s="139"/>
      <c r="EO48" s="140" t="e">
        <f t="shared" si="1112"/>
        <v>#DIV/0!</v>
      </c>
      <c r="EP48" s="198">
        <f t="shared" si="1070"/>
        <v>0</v>
      </c>
      <c r="EQ48" s="225">
        <f t="shared" si="1113"/>
        <v>0</v>
      </c>
      <c r="ER48" s="226">
        <f t="shared" si="1114"/>
        <v>0</v>
      </c>
      <c r="ES48" s="137">
        <f t="shared" si="1115"/>
        <v>0</v>
      </c>
      <c r="ET48" s="227">
        <f t="shared" si="1074"/>
        <v>7.95</v>
      </c>
      <c r="EU48" s="138">
        <f t="shared" si="1117"/>
        <v>0</v>
      </c>
      <c r="EV48" s="110">
        <f t="shared" si="1118"/>
        <v>0</v>
      </c>
      <c r="EW48" s="110"/>
      <c r="EX48" s="139"/>
      <c r="EY48" s="140" t="e">
        <f t="shared" si="1119"/>
        <v>#DIV/0!</v>
      </c>
      <c r="EZ48" s="198">
        <f t="shared" si="1120"/>
        <v>0</v>
      </c>
      <c r="FA48" s="225">
        <f t="shared" si="1121"/>
        <v>0</v>
      </c>
      <c r="FB48" s="226">
        <f t="shared" si="1122"/>
        <v>0</v>
      </c>
      <c r="FC48" s="137">
        <f t="shared" si="1123"/>
        <v>0</v>
      </c>
      <c r="FD48" s="227">
        <f t="shared" si="1124"/>
        <v>10.210000000000001</v>
      </c>
      <c r="FE48" s="138">
        <f t="shared" si="1125"/>
        <v>0</v>
      </c>
      <c r="FF48" s="110">
        <f t="shared" si="1126"/>
        <v>0</v>
      </c>
      <c r="FG48" s="110"/>
      <c r="FH48" s="139"/>
      <c r="FI48" s="140" t="e">
        <f t="shared" si="1127"/>
        <v>#DIV/0!</v>
      </c>
      <c r="FJ48" s="198">
        <f t="shared" si="1120"/>
        <v>0</v>
      </c>
      <c r="FK48" s="225">
        <f t="shared" si="1128"/>
        <v>0</v>
      </c>
      <c r="FL48" s="226">
        <f t="shared" si="1129"/>
        <v>0</v>
      </c>
      <c r="FM48" s="137">
        <f t="shared" si="1130"/>
        <v>0</v>
      </c>
      <c r="FN48" s="227">
        <f t="shared" si="1124"/>
        <v>9.52</v>
      </c>
      <c r="FO48" s="138">
        <f t="shared" si="1132"/>
        <v>0</v>
      </c>
      <c r="FP48" s="110">
        <f t="shared" si="1133"/>
        <v>0</v>
      </c>
      <c r="FQ48" s="110"/>
      <c r="FR48" s="139"/>
      <c r="FS48" s="140" t="e">
        <f t="shared" si="1134"/>
        <v>#DIV/0!</v>
      </c>
      <c r="FT48" s="198">
        <f t="shared" si="1120"/>
        <v>0</v>
      </c>
      <c r="FU48" s="225">
        <f t="shared" si="1135"/>
        <v>0</v>
      </c>
      <c r="FV48" s="226">
        <f t="shared" si="1136"/>
        <v>0</v>
      </c>
      <c r="FW48" s="137">
        <f t="shared" si="1137"/>
        <v>0</v>
      </c>
      <c r="FX48" s="227">
        <f t="shared" si="1124"/>
        <v>9.57</v>
      </c>
      <c r="FY48" s="138">
        <f t="shared" si="1139"/>
        <v>0</v>
      </c>
      <c r="FZ48" s="110">
        <f t="shared" si="1140"/>
        <v>0</v>
      </c>
      <c r="GA48" s="110"/>
      <c r="GB48" s="139"/>
      <c r="GC48" s="140" t="e">
        <f t="shared" si="1141"/>
        <v>#DIV/0!</v>
      </c>
      <c r="GD48" s="198">
        <f t="shared" si="1120"/>
        <v>0</v>
      </c>
      <c r="GE48" s="225">
        <f t="shared" si="1142"/>
        <v>0</v>
      </c>
      <c r="GF48" s="226">
        <f t="shared" si="1143"/>
        <v>0</v>
      </c>
      <c r="GG48" s="137">
        <f t="shared" si="1144"/>
        <v>0</v>
      </c>
      <c r="GH48" s="227">
        <f t="shared" si="1124"/>
        <v>8.39</v>
      </c>
      <c r="GI48" s="138">
        <f t="shared" si="1146"/>
        <v>0</v>
      </c>
      <c r="GJ48" s="110">
        <f t="shared" si="1147"/>
        <v>0</v>
      </c>
      <c r="GK48" s="110"/>
      <c r="GL48" s="139"/>
      <c r="GM48" s="140" t="e">
        <f t="shared" si="1148"/>
        <v>#DIV/0!</v>
      </c>
      <c r="GN48" s="198">
        <f t="shared" si="1120"/>
        <v>0</v>
      </c>
      <c r="GO48" s="225">
        <f t="shared" si="1149"/>
        <v>0</v>
      </c>
      <c r="GP48" s="226">
        <f t="shared" si="1150"/>
        <v>0</v>
      </c>
      <c r="GQ48" s="137">
        <f t="shared" si="1151"/>
        <v>0</v>
      </c>
      <c r="GR48" s="227">
        <f t="shared" si="1152"/>
        <v>7.63</v>
      </c>
      <c r="GS48" s="138">
        <f t="shared" si="1153"/>
        <v>0</v>
      </c>
      <c r="GT48" s="110">
        <f t="shared" si="1154"/>
        <v>0</v>
      </c>
      <c r="GU48" s="110"/>
      <c r="GV48" s="139"/>
      <c r="GW48" s="140" t="e">
        <f t="shared" si="1155"/>
        <v>#DIV/0!</v>
      </c>
      <c r="GX48" s="198">
        <f t="shared" si="1120"/>
        <v>0</v>
      </c>
      <c r="GY48" s="225">
        <f t="shared" si="1156"/>
        <v>0</v>
      </c>
      <c r="GZ48" s="226">
        <f t="shared" si="1157"/>
        <v>0</v>
      </c>
      <c r="HA48" s="137">
        <f t="shared" si="1158"/>
        <v>0</v>
      </c>
      <c r="HB48" s="227">
        <f t="shared" si="1152"/>
        <v>4.8899999999999997</v>
      </c>
      <c r="HC48" s="138">
        <f t="shared" si="1160"/>
        <v>0</v>
      </c>
      <c r="HD48" s="110">
        <f t="shared" si="1161"/>
        <v>0</v>
      </c>
      <c r="HE48" s="110"/>
      <c r="HF48" s="139"/>
      <c r="HG48" s="140" t="e">
        <f t="shared" si="1162"/>
        <v>#DIV/0!</v>
      </c>
      <c r="HH48" s="198">
        <f t="shared" si="1120"/>
        <v>0</v>
      </c>
      <c r="HI48" s="225">
        <f t="shared" si="1163"/>
        <v>0</v>
      </c>
      <c r="HJ48" s="226">
        <f t="shared" si="1164"/>
        <v>0</v>
      </c>
      <c r="HK48" s="137">
        <f t="shared" si="1165"/>
        <v>0</v>
      </c>
      <c r="HL48" s="227">
        <f t="shared" si="1152"/>
        <v>5.98</v>
      </c>
      <c r="HM48" s="138">
        <f t="shared" si="1167"/>
        <v>0</v>
      </c>
      <c r="HN48" s="110">
        <f t="shared" si="1168"/>
        <v>0</v>
      </c>
      <c r="HO48" s="110"/>
      <c r="HP48" s="139"/>
      <c r="HQ48" s="140" t="e">
        <f t="shared" si="1169"/>
        <v>#DIV/0!</v>
      </c>
      <c r="HR48" s="198">
        <f t="shared" si="1170"/>
        <v>0</v>
      </c>
      <c r="HS48" s="225">
        <f t="shared" si="1171"/>
        <v>0</v>
      </c>
      <c r="HT48" s="226">
        <f t="shared" si="1172"/>
        <v>0</v>
      </c>
      <c r="HU48" s="137">
        <f t="shared" si="1173"/>
        <v>0</v>
      </c>
      <c r="HV48" s="227">
        <f t="shared" si="1152"/>
        <v>9.76</v>
      </c>
      <c r="HW48" s="138">
        <f t="shared" si="1175"/>
        <v>0</v>
      </c>
      <c r="HX48" s="110">
        <f t="shared" si="1176"/>
        <v>0</v>
      </c>
      <c r="HY48" s="110"/>
      <c r="HZ48" s="139"/>
      <c r="IA48" s="140" t="e">
        <f t="shared" si="1177"/>
        <v>#DIV/0!</v>
      </c>
      <c r="IB48" s="198">
        <f t="shared" si="1170"/>
        <v>0</v>
      </c>
      <c r="IC48" s="225">
        <f t="shared" si="1178"/>
        <v>0</v>
      </c>
      <c r="ID48" s="226">
        <f t="shared" si="1179"/>
        <v>0</v>
      </c>
      <c r="IE48" s="137">
        <f t="shared" si="1180"/>
        <v>0</v>
      </c>
      <c r="IF48" s="227">
        <f t="shared" si="1181"/>
        <v>7.76</v>
      </c>
      <c r="IG48" s="138">
        <f t="shared" si="1182"/>
        <v>0</v>
      </c>
      <c r="IH48" s="110">
        <f t="shared" si="1183"/>
        <v>0</v>
      </c>
      <c r="II48" s="110"/>
      <c r="IJ48" s="139"/>
      <c r="IK48" s="140" t="e">
        <f t="shared" si="1184"/>
        <v>#DIV/0!</v>
      </c>
      <c r="IL48" s="198">
        <f t="shared" si="1170"/>
        <v>0</v>
      </c>
      <c r="IM48" s="225">
        <f t="shared" si="1185"/>
        <v>0</v>
      </c>
      <c r="IN48" s="226">
        <f t="shared" si="1186"/>
        <v>0</v>
      </c>
      <c r="IO48" s="137">
        <f t="shared" si="1187"/>
        <v>0</v>
      </c>
      <c r="IP48" s="227">
        <f t="shared" si="1181"/>
        <v>7.4</v>
      </c>
      <c r="IQ48" s="138">
        <f t="shared" si="1189"/>
        <v>0</v>
      </c>
      <c r="IR48" s="110">
        <f t="shared" si="1190"/>
        <v>0</v>
      </c>
      <c r="IS48" s="110"/>
      <c r="IT48" s="139"/>
      <c r="IU48" s="140" t="e">
        <f t="shared" si="1191"/>
        <v>#DIV/0!</v>
      </c>
      <c r="IV48" s="198">
        <f t="shared" si="1170"/>
        <v>0</v>
      </c>
      <c r="IW48" s="225">
        <f t="shared" si="1192"/>
        <v>0</v>
      </c>
      <c r="IX48" s="226">
        <f t="shared" si="1193"/>
        <v>0</v>
      </c>
      <c r="IY48" s="137">
        <f t="shared" si="1194"/>
        <v>0</v>
      </c>
      <c r="IZ48" s="227">
        <f t="shared" si="1181"/>
        <v>9.64</v>
      </c>
      <c r="JA48" s="138">
        <f t="shared" si="1196"/>
        <v>0</v>
      </c>
      <c r="JB48" s="110">
        <f t="shared" si="1197"/>
        <v>0</v>
      </c>
      <c r="JC48" s="110"/>
      <c r="JD48" s="139"/>
      <c r="JE48" s="140" t="e">
        <f t="shared" si="1198"/>
        <v>#DIV/0!</v>
      </c>
      <c r="JF48" s="198">
        <f t="shared" si="1170"/>
        <v>0</v>
      </c>
      <c r="JG48" s="225">
        <f t="shared" si="1199"/>
        <v>0</v>
      </c>
      <c r="JH48" s="226">
        <f t="shared" si="1200"/>
        <v>0</v>
      </c>
      <c r="JI48" s="137">
        <f t="shared" si="1201"/>
        <v>0</v>
      </c>
      <c r="JJ48" s="227">
        <f t="shared" si="1181"/>
        <v>9.1</v>
      </c>
      <c r="JK48" s="138">
        <f t="shared" si="1203"/>
        <v>0</v>
      </c>
      <c r="JL48" s="110">
        <f t="shared" si="1204"/>
        <v>0</v>
      </c>
      <c r="JM48" s="110"/>
      <c r="JN48" s="139"/>
      <c r="JO48" s="140" t="e">
        <f t="shared" si="1205"/>
        <v>#DIV/0!</v>
      </c>
      <c r="JP48" s="198">
        <f t="shared" si="1170"/>
        <v>0</v>
      </c>
      <c r="JQ48" s="225">
        <f t="shared" si="1206"/>
        <v>0</v>
      </c>
      <c r="JR48" s="226">
        <f t="shared" si="1207"/>
        <v>0</v>
      </c>
      <c r="JS48" s="137">
        <f t="shared" si="1208"/>
        <v>0</v>
      </c>
      <c r="JT48" s="227">
        <f t="shared" si="1209"/>
        <v>10.15</v>
      </c>
      <c r="JU48" s="138">
        <f t="shared" si="1210"/>
        <v>0</v>
      </c>
      <c r="JV48" s="110">
        <f t="shared" si="1211"/>
        <v>0</v>
      </c>
      <c r="JW48" s="110"/>
      <c r="JX48" s="139"/>
      <c r="JY48" s="140" t="e">
        <f t="shared" si="1212"/>
        <v>#DIV/0!</v>
      </c>
      <c r="JZ48" s="198">
        <f t="shared" si="1170"/>
        <v>0</v>
      </c>
      <c r="KA48" s="225">
        <f t="shared" si="1213"/>
        <v>0</v>
      </c>
      <c r="KB48" s="226">
        <f t="shared" si="1214"/>
        <v>0</v>
      </c>
      <c r="KC48" s="137">
        <f t="shared" si="1215"/>
        <v>0</v>
      </c>
      <c r="KD48" s="227">
        <f t="shared" si="1209"/>
        <v>8.14</v>
      </c>
      <c r="KE48" s="138">
        <f t="shared" si="1217"/>
        <v>0</v>
      </c>
      <c r="KF48" s="110">
        <f t="shared" si="1218"/>
        <v>0</v>
      </c>
      <c r="KG48" s="110"/>
      <c r="KH48" s="139"/>
      <c r="KI48" s="140" t="e">
        <f t="shared" si="1219"/>
        <v>#DIV/0!</v>
      </c>
      <c r="KJ48" s="198">
        <f t="shared" si="1220"/>
        <v>0</v>
      </c>
      <c r="KK48" s="225">
        <f t="shared" si="1221"/>
        <v>0</v>
      </c>
      <c r="KL48" s="226">
        <f t="shared" si="1222"/>
        <v>0</v>
      </c>
      <c r="KM48" s="137">
        <f t="shared" si="1223"/>
        <v>0</v>
      </c>
      <c r="KN48" s="227">
        <f t="shared" si="1209"/>
        <v>9.02</v>
      </c>
      <c r="KO48" s="138">
        <f t="shared" si="1225"/>
        <v>0</v>
      </c>
      <c r="KP48" s="110">
        <f t="shared" si="1226"/>
        <v>0</v>
      </c>
      <c r="KQ48" s="110"/>
      <c r="KR48" s="139"/>
      <c r="KS48" s="140" t="e">
        <f t="shared" si="1227"/>
        <v>#DIV/0!</v>
      </c>
      <c r="KT48" s="198">
        <f t="shared" si="1220"/>
        <v>0</v>
      </c>
      <c r="KU48" s="225">
        <f t="shared" si="1228"/>
        <v>0</v>
      </c>
      <c r="KV48" s="226">
        <f t="shared" si="1229"/>
        <v>0</v>
      </c>
      <c r="KW48" s="137">
        <f t="shared" si="1230"/>
        <v>0</v>
      </c>
      <c r="KX48" s="227">
        <f t="shared" si="1209"/>
        <v>9.94</v>
      </c>
      <c r="KY48" s="138">
        <f t="shared" si="1232"/>
        <v>0</v>
      </c>
      <c r="KZ48" s="110">
        <f t="shared" si="1233"/>
        <v>0</v>
      </c>
      <c r="LA48" s="110"/>
      <c r="LB48" s="139"/>
      <c r="LC48" s="140" t="e">
        <f t="shared" si="1234"/>
        <v>#DIV/0!</v>
      </c>
      <c r="LD48" s="197">
        <f t="shared" si="1235"/>
        <v>0</v>
      </c>
      <c r="LE48" s="225">
        <f t="shared" si="1236"/>
        <v>0</v>
      </c>
      <c r="LF48" s="226">
        <f t="shared" si="1237"/>
        <v>0</v>
      </c>
      <c r="LG48" s="137">
        <f t="shared" si="1238"/>
        <v>0</v>
      </c>
      <c r="LH48" s="227">
        <f t="shared" si="1239"/>
        <v>8.4600000000000009</v>
      </c>
      <c r="LI48" s="138">
        <f t="shared" si="1240"/>
        <v>0</v>
      </c>
      <c r="LJ48" s="110">
        <f t="shared" si="1241"/>
        <v>0</v>
      </c>
      <c r="LK48" s="110"/>
      <c r="LL48" s="139"/>
    </row>
    <row r="49" spans="1:324" ht="24" hidden="1" x14ac:dyDescent="0.25">
      <c r="A49" s="247"/>
      <c r="B49" s="92" t="s">
        <v>611</v>
      </c>
      <c r="C49" s="12" t="s">
        <v>730</v>
      </c>
      <c r="D49" s="12" t="s">
        <v>428</v>
      </c>
      <c r="E49" s="4" t="s">
        <v>33</v>
      </c>
      <c r="F49" s="198">
        <f t="shared" si="1015"/>
        <v>0</v>
      </c>
      <c r="G49" s="225">
        <f t="shared" si="1242"/>
        <v>0</v>
      </c>
      <c r="H49" s="226">
        <f t="shared" si="1243"/>
        <v>0</v>
      </c>
      <c r="I49" s="137">
        <f t="shared" si="1016"/>
        <v>0</v>
      </c>
      <c r="J49" s="227">
        <f t="shared" si="1244"/>
        <v>7.57</v>
      </c>
      <c r="K49" s="138">
        <f t="shared" si="1017"/>
        <v>0</v>
      </c>
      <c r="L49" s="110">
        <f t="shared" si="1018"/>
        <v>0</v>
      </c>
      <c r="M49" s="110"/>
      <c r="N49" s="139"/>
      <c r="O49" s="140" t="e">
        <f t="shared" si="1019"/>
        <v>#DIV/0!</v>
      </c>
      <c r="P49" s="198">
        <f t="shared" si="1020"/>
        <v>0</v>
      </c>
      <c r="Q49" s="225">
        <f t="shared" si="1021"/>
        <v>0</v>
      </c>
      <c r="R49" s="226">
        <f t="shared" si="1022"/>
        <v>0</v>
      </c>
      <c r="S49" s="137">
        <f t="shared" si="1023"/>
        <v>0</v>
      </c>
      <c r="T49" s="227">
        <f t="shared" si="1024"/>
        <v>8.23</v>
      </c>
      <c r="U49" s="138">
        <f t="shared" si="1025"/>
        <v>0</v>
      </c>
      <c r="V49" s="110">
        <f t="shared" si="1026"/>
        <v>0</v>
      </c>
      <c r="W49" s="110"/>
      <c r="X49" s="139"/>
      <c r="Y49" s="140" t="e">
        <f t="shared" si="1027"/>
        <v>#DIV/0!</v>
      </c>
      <c r="Z49" s="198">
        <f t="shared" si="1020"/>
        <v>0</v>
      </c>
      <c r="AA49" s="225">
        <f t="shared" si="1028"/>
        <v>0</v>
      </c>
      <c r="AB49" s="226">
        <f t="shared" si="1029"/>
        <v>0</v>
      </c>
      <c r="AC49" s="137">
        <f t="shared" si="1030"/>
        <v>0</v>
      </c>
      <c r="AD49" s="227">
        <f t="shared" si="1024"/>
        <v>8.8000000000000007</v>
      </c>
      <c r="AE49" s="138">
        <f t="shared" si="1032"/>
        <v>0</v>
      </c>
      <c r="AF49" s="110">
        <f t="shared" si="1033"/>
        <v>0</v>
      </c>
      <c r="AG49" s="110"/>
      <c r="AH49" s="139"/>
      <c r="AI49" s="140" t="e">
        <f t="shared" si="1034"/>
        <v>#DIV/0!</v>
      </c>
      <c r="AJ49" s="198">
        <f t="shared" si="1020"/>
        <v>0</v>
      </c>
      <c r="AK49" s="225">
        <f t="shared" si="1035"/>
        <v>0</v>
      </c>
      <c r="AL49" s="226">
        <f t="shared" si="1036"/>
        <v>0</v>
      </c>
      <c r="AM49" s="137">
        <f t="shared" si="1037"/>
        <v>0</v>
      </c>
      <c r="AN49" s="227">
        <f t="shared" si="1024"/>
        <v>7.52</v>
      </c>
      <c r="AO49" s="138">
        <f t="shared" si="1039"/>
        <v>0</v>
      </c>
      <c r="AP49" s="110">
        <f t="shared" si="1040"/>
        <v>0</v>
      </c>
      <c r="AQ49" s="110"/>
      <c r="AR49" s="139"/>
      <c r="AS49" s="140" t="e">
        <f t="shared" si="1041"/>
        <v>#DIV/0!</v>
      </c>
      <c r="AT49" s="198">
        <f t="shared" si="1020"/>
        <v>0</v>
      </c>
      <c r="AU49" s="225">
        <f t="shared" si="1042"/>
        <v>0</v>
      </c>
      <c r="AV49" s="226">
        <f t="shared" si="1043"/>
        <v>0</v>
      </c>
      <c r="AW49" s="137">
        <f t="shared" si="1044"/>
        <v>0</v>
      </c>
      <c r="AX49" s="227">
        <f t="shared" si="1024"/>
        <v>6.88</v>
      </c>
      <c r="AY49" s="138">
        <f t="shared" si="1046"/>
        <v>0</v>
      </c>
      <c r="AZ49" s="110">
        <f t="shared" si="1047"/>
        <v>0</v>
      </c>
      <c r="BA49" s="110"/>
      <c r="BB49" s="139"/>
      <c r="BC49" s="140" t="e">
        <f t="shared" si="1048"/>
        <v>#DIV/0!</v>
      </c>
      <c r="BD49" s="198">
        <f t="shared" si="1020"/>
        <v>0</v>
      </c>
      <c r="BE49" s="225">
        <f t="shared" si="1049"/>
        <v>0</v>
      </c>
      <c r="BF49" s="226">
        <f t="shared" si="1050"/>
        <v>0</v>
      </c>
      <c r="BG49" s="137">
        <f t="shared" si="1051"/>
        <v>0</v>
      </c>
      <c r="BH49" s="227">
        <f t="shared" si="1024"/>
        <v>9.74</v>
      </c>
      <c r="BI49" s="138">
        <f t="shared" si="1053"/>
        <v>0</v>
      </c>
      <c r="BJ49" s="110">
        <f t="shared" si="1054"/>
        <v>0</v>
      </c>
      <c r="BK49" s="110"/>
      <c r="BL49" s="139"/>
      <c r="BM49" s="140" t="e">
        <f t="shared" si="1055"/>
        <v>#DIV/0!</v>
      </c>
      <c r="BN49" s="198">
        <f t="shared" si="1020"/>
        <v>0</v>
      </c>
      <c r="BO49" s="225">
        <f t="shared" si="1056"/>
        <v>0</v>
      </c>
      <c r="BP49" s="226">
        <f t="shared" si="1057"/>
        <v>0</v>
      </c>
      <c r="BQ49" s="137">
        <f t="shared" si="1058"/>
        <v>0</v>
      </c>
      <c r="BR49" s="227">
        <f t="shared" si="1024"/>
        <v>10.32</v>
      </c>
      <c r="BS49" s="138">
        <f t="shared" si="1060"/>
        <v>0</v>
      </c>
      <c r="BT49" s="110">
        <f t="shared" si="1061"/>
        <v>0</v>
      </c>
      <c r="BU49" s="110"/>
      <c r="BV49" s="139"/>
      <c r="BW49" s="140" t="e">
        <f t="shared" si="1062"/>
        <v>#DIV/0!</v>
      </c>
      <c r="BX49" s="198">
        <f t="shared" si="1020"/>
        <v>0</v>
      </c>
      <c r="BY49" s="225">
        <f t="shared" si="1063"/>
        <v>0</v>
      </c>
      <c r="BZ49" s="226">
        <f t="shared" si="1064"/>
        <v>0</v>
      </c>
      <c r="CA49" s="137">
        <f t="shared" si="1065"/>
        <v>0</v>
      </c>
      <c r="CB49" s="227">
        <f t="shared" si="1024"/>
        <v>7.89</v>
      </c>
      <c r="CC49" s="138">
        <f t="shared" si="1067"/>
        <v>0</v>
      </c>
      <c r="CD49" s="110">
        <f t="shared" si="1068"/>
        <v>0</v>
      </c>
      <c r="CE49" s="110"/>
      <c r="CF49" s="139"/>
      <c r="CG49" s="140" t="e">
        <f t="shared" si="1069"/>
        <v>#DIV/0!</v>
      </c>
      <c r="CH49" s="198">
        <f t="shared" si="1070"/>
        <v>0</v>
      </c>
      <c r="CI49" s="225">
        <f t="shared" si="1071"/>
        <v>0</v>
      </c>
      <c r="CJ49" s="226">
        <f t="shared" si="1072"/>
        <v>0</v>
      </c>
      <c r="CK49" s="137">
        <f t="shared" si="1073"/>
        <v>0</v>
      </c>
      <c r="CL49" s="227">
        <f t="shared" si="1074"/>
        <v>8.24</v>
      </c>
      <c r="CM49" s="138">
        <f t="shared" si="1075"/>
        <v>0</v>
      </c>
      <c r="CN49" s="110">
        <f t="shared" si="1076"/>
        <v>0</v>
      </c>
      <c r="CO49" s="110"/>
      <c r="CP49" s="139"/>
      <c r="CQ49" s="140" t="e">
        <f t="shared" si="1077"/>
        <v>#DIV/0!</v>
      </c>
      <c r="CR49" s="198">
        <f t="shared" si="1070"/>
        <v>0</v>
      </c>
      <c r="CS49" s="225">
        <f t="shared" si="1078"/>
        <v>0</v>
      </c>
      <c r="CT49" s="226">
        <f t="shared" si="1079"/>
        <v>0</v>
      </c>
      <c r="CU49" s="137">
        <f t="shared" si="1080"/>
        <v>0</v>
      </c>
      <c r="CV49" s="227">
        <f t="shared" si="1074"/>
        <v>8.92</v>
      </c>
      <c r="CW49" s="138">
        <f t="shared" si="1082"/>
        <v>0</v>
      </c>
      <c r="CX49" s="110">
        <f t="shared" si="1083"/>
        <v>0</v>
      </c>
      <c r="CY49" s="110"/>
      <c r="CZ49" s="139"/>
      <c r="DA49" s="140" t="e">
        <f t="shared" si="1084"/>
        <v>#DIV/0!</v>
      </c>
      <c r="DB49" s="198">
        <f t="shared" si="1070"/>
        <v>0</v>
      </c>
      <c r="DC49" s="225">
        <f t="shared" si="1085"/>
        <v>0</v>
      </c>
      <c r="DD49" s="226">
        <f t="shared" si="1086"/>
        <v>0</v>
      </c>
      <c r="DE49" s="137">
        <f t="shared" si="1087"/>
        <v>0</v>
      </c>
      <c r="DF49" s="227">
        <f t="shared" si="1074"/>
        <v>7.48</v>
      </c>
      <c r="DG49" s="138">
        <f t="shared" si="1089"/>
        <v>0</v>
      </c>
      <c r="DH49" s="110">
        <f t="shared" si="1090"/>
        <v>0</v>
      </c>
      <c r="DI49" s="110"/>
      <c r="DJ49" s="139"/>
      <c r="DK49" s="140" t="e">
        <f t="shared" si="1091"/>
        <v>#DIV/0!</v>
      </c>
      <c r="DL49" s="198">
        <f t="shared" si="1070"/>
        <v>0</v>
      </c>
      <c r="DM49" s="225">
        <f t="shared" si="1092"/>
        <v>0</v>
      </c>
      <c r="DN49" s="226">
        <f t="shared" si="1093"/>
        <v>0</v>
      </c>
      <c r="DO49" s="137">
        <f t="shared" si="1094"/>
        <v>0</v>
      </c>
      <c r="DP49" s="227">
        <f t="shared" si="1074"/>
        <v>8.2200000000000006</v>
      </c>
      <c r="DQ49" s="138">
        <f t="shared" si="1096"/>
        <v>0</v>
      </c>
      <c r="DR49" s="110">
        <f t="shared" si="1097"/>
        <v>0</v>
      </c>
      <c r="DS49" s="110"/>
      <c r="DT49" s="139"/>
      <c r="DU49" s="140" t="e">
        <f t="shared" si="1098"/>
        <v>#DIV/0!</v>
      </c>
      <c r="DV49" s="198">
        <f t="shared" si="1070"/>
        <v>0</v>
      </c>
      <c r="DW49" s="225">
        <f t="shared" si="1099"/>
        <v>0</v>
      </c>
      <c r="DX49" s="226">
        <f t="shared" si="1100"/>
        <v>0</v>
      </c>
      <c r="DY49" s="137">
        <f t="shared" si="1101"/>
        <v>0</v>
      </c>
      <c r="DZ49" s="227">
        <f t="shared" si="1074"/>
        <v>7.91</v>
      </c>
      <c r="EA49" s="138">
        <f t="shared" si="1103"/>
        <v>0</v>
      </c>
      <c r="EB49" s="110">
        <f t="shared" si="1104"/>
        <v>0</v>
      </c>
      <c r="EC49" s="110"/>
      <c r="ED49" s="139"/>
      <c r="EE49" s="140" t="e">
        <f t="shared" si="1105"/>
        <v>#DIV/0!</v>
      </c>
      <c r="EF49" s="198">
        <f t="shared" si="1070"/>
        <v>0</v>
      </c>
      <c r="EG49" s="225">
        <f t="shared" si="1106"/>
        <v>0</v>
      </c>
      <c r="EH49" s="226">
        <f t="shared" si="1107"/>
        <v>0</v>
      </c>
      <c r="EI49" s="137">
        <f t="shared" si="1108"/>
        <v>0</v>
      </c>
      <c r="EJ49" s="227">
        <f t="shared" si="1074"/>
        <v>7.63</v>
      </c>
      <c r="EK49" s="138">
        <f t="shared" si="1110"/>
        <v>0</v>
      </c>
      <c r="EL49" s="110">
        <f t="shared" si="1111"/>
        <v>0</v>
      </c>
      <c r="EM49" s="110"/>
      <c r="EN49" s="139"/>
      <c r="EO49" s="140" t="e">
        <f t="shared" si="1112"/>
        <v>#DIV/0!</v>
      </c>
      <c r="EP49" s="198">
        <f t="shared" si="1070"/>
        <v>0</v>
      </c>
      <c r="EQ49" s="225">
        <f t="shared" si="1113"/>
        <v>0</v>
      </c>
      <c r="ER49" s="226">
        <f t="shared" si="1114"/>
        <v>0</v>
      </c>
      <c r="ES49" s="137">
        <f t="shared" si="1115"/>
        <v>0</v>
      </c>
      <c r="ET49" s="227">
        <f t="shared" si="1074"/>
        <v>7.95</v>
      </c>
      <c r="EU49" s="138">
        <f t="shared" si="1117"/>
        <v>0</v>
      </c>
      <c r="EV49" s="110">
        <f t="shared" si="1118"/>
        <v>0</v>
      </c>
      <c r="EW49" s="110"/>
      <c r="EX49" s="139"/>
      <c r="EY49" s="140" t="e">
        <f t="shared" si="1119"/>
        <v>#DIV/0!</v>
      </c>
      <c r="EZ49" s="198">
        <f t="shared" si="1120"/>
        <v>0</v>
      </c>
      <c r="FA49" s="225">
        <f t="shared" si="1121"/>
        <v>0</v>
      </c>
      <c r="FB49" s="226">
        <f t="shared" si="1122"/>
        <v>0</v>
      </c>
      <c r="FC49" s="137">
        <f t="shared" si="1123"/>
        <v>0</v>
      </c>
      <c r="FD49" s="227">
        <f t="shared" si="1124"/>
        <v>10.210000000000001</v>
      </c>
      <c r="FE49" s="138">
        <f t="shared" si="1125"/>
        <v>0</v>
      </c>
      <c r="FF49" s="110">
        <f t="shared" si="1126"/>
        <v>0</v>
      </c>
      <c r="FG49" s="110"/>
      <c r="FH49" s="139"/>
      <c r="FI49" s="140" t="e">
        <f t="shared" si="1127"/>
        <v>#DIV/0!</v>
      </c>
      <c r="FJ49" s="198">
        <f t="shared" si="1120"/>
        <v>0</v>
      </c>
      <c r="FK49" s="225">
        <f t="shared" si="1128"/>
        <v>0</v>
      </c>
      <c r="FL49" s="226">
        <f t="shared" si="1129"/>
        <v>0</v>
      </c>
      <c r="FM49" s="137">
        <f t="shared" si="1130"/>
        <v>0</v>
      </c>
      <c r="FN49" s="227">
        <f t="shared" si="1124"/>
        <v>9.52</v>
      </c>
      <c r="FO49" s="138">
        <f t="shared" si="1132"/>
        <v>0</v>
      </c>
      <c r="FP49" s="110">
        <f t="shared" si="1133"/>
        <v>0</v>
      </c>
      <c r="FQ49" s="110"/>
      <c r="FR49" s="139"/>
      <c r="FS49" s="140" t="e">
        <f t="shared" si="1134"/>
        <v>#DIV/0!</v>
      </c>
      <c r="FT49" s="198">
        <f t="shared" si="1120"/>
        <v>0</v>
      </c>
      <c r="FU49" s="225">
        <f t="shared" si="1135"/>
        <v>0</v>
      </c>
      <c r="FV49" s="226">
        <f t="shared" si="1136"/>
        <v>0</v>
      </c>
      <c r="FW49" s="137">
        <f t="shared" si="1137"/>
        <v>0</v>
      </c>
      <c r="FX49" s="227">
        <f t="shared" si="1124"/>
        <v>9.57</v>
      </c>
      <c r="FY49" s="138">
        <f t="shared" si="1139"/>
        <v>0</v>
      </c>
      <c r="FZ49" s="110">
        <f t="shared" si="1140"/>
        <v>0</v>
      </c>
      <c r="GA49" s="110"/>
      <c r="GB49" s="139"/>
      <c r="GC49" s="140" t="e">
        <f t="shared" si="1141"/>
        <v>#DIV/0!</v>
      </c>
      <c r="GD49" s="198">
        <f t="shared" si="1120"/>
        <v>0</v>
      </c>
      <c r="GE49" s="225">
        <f t="shared" si="1142"/>
        <v>0</v>
      </c>
      <c r="GF49" s="226">
        <f t="shared" si="1143"/>
        <v>0</v>
      </c>
      <c r="GG49" s="137">
        <f t="shared" si="1144"/>
        <v>0</v>
      </c>
      <c r="GH49" s="227">
        <f t="shared" si="1124"/>
        <v>8.39</v>
      </c>
      <c r="GI49" s="138">
        <f t="shared" si="1146"/>
        <v>0</v>
      </c>
      <c r="GJ49" s="110">
        <f t="shared" si="1147"/>
        <v>0</v>
      </c>
      <c r="GK49" s="110"/>
      <c r="GL49" s="139"/>
      <c r="GM49" s="140" t="e">
        <f t="shared" si="1148"/>
        <v>#DIV/0!</v>
      </c>
      <c r="GN49" s="198">
        <f t="shared" si="1120"/>
        <v>0</v>
      </c>
      <c r="GO49" s="225">
        <f t="shared" si="1149"/>
        <v>0</v>
      </c>
      <c r="GP49" s="226">
        <f t="shared" si="1150"/>
        <v>0</v>
      </c>
      <c r="GQ49" s="137">
        <f t="shared" si="1151"/>
        <v>0</v>
      </c>
      <c r="GR49" s="227">
        <f t="shared" si="1152"/>
        <v>7.63</v>
      </c>
      <c r="GS49" s="138">
        <f t="shared" si="1153"/>
        <v>0</v>
      </c>
      <c r="GT49" s="110">
        <f t="shared" si="1154"/>
        <v>0</v>
      </c>
      <c r="GU49" s="110"/>
      <c r="GV49" s="139"/>
      <c r="GW49" s="140" t="e">
        <f t="shared" si="1155"/>
        <v>#DIV/0!</v>
      </c>
      <c r="GX49" s="198">
        <f t="shared" si="1120"/>
        <v>0</v>
      </c>
      <c r="GY49" s="225">
        <f t="shared" si="1156"/>
        <v>0</v>
      </c>
      <c r="GZ49" s="226">
        <f t="shared" si="1157"/>
        <v>0</v>
      </c>
      <c r="HA49" s="137">
        <f t="shared" si="1158"/>
        <v>0</v>
      </c>
      <c r="HB49" s="227">
        <f t="shared" si="1152"/>
        <v>4.8899999999999997</v>
      </c>
      <c r="HC49" s="138">
        <f t="shared" si="1160"/>
        <v>0</v>
      </c>
      <c r="HD49" s="110">
        <f t="shared" si="1161"/>
        <v>0</v>
      </c>
      <c r="HE49" s="110"/>
      <c r="HF49" s="139"/>
      <c r="HG49" s="140" t="e">
        <f t="shared" si="1162"/>
        <v>#DIV/0!</v>
      </c>
      <c r="HH49" s="198">
        <f t="shared" si="1120"/>
        <v>0</v>
      </c>
      <c r="HI49" s="225">
        <f t="shared" si="1163"/>
        <v>0</v>
      </c>
      <c r="HJ49" s="226">
        <f t="shared" si="1164"/>
        <v>0</v>
      </c>
      <c r="HK49" s="137">
        <f t="shared" si="1165"/>
        <v>0</v>
      </c>
      <c r="HL49" s="227">
        <f t="shared" si="1152"/>
        <v>5.98</v>
      </c>
      <c r="HM49" s="138">
        <f t="shared" si="1167"/>
        <v>0</v>
      </c>
      <c r="HN49" s="110">
        <f t="shared" si="1168"/>
        <v>0</v>
      </c>
      <c r="HO49" s="110"/>
      <c r="HP49" s="139"/>
      <c r="HQ49" s="140" t="e">
        <f t="shared" si="1169"/>
        <v>#DIV/0!</v>
      </c>
      <c r="HR49" s="198">
        <f t="shared" si="1170"/>
        <v>0</v>
      </c>
      <c r="HS49" s="225">
        <f t="shared" si="1171"/>
        <v>0</v>
      </c>
      <c r="HT49" s="226">
        <f t="shared" si="1172"/>
        <v>0</v>
      </c>
      <c r="HU49" s="137">
        <f t="shared" si="1173"/>
        <v>0</v>
      </c>
      <c r="HV49" s="227">
        <f t="shared" si="1152"/>
        <v>9.76</v>
      </c>
      <c r="HW49" s="138">
        <f t="shared" si="1175"/>
        <v>0</v>
      </c>
      <c r="HX49" s="110">
        <f t="shared" si="1176"/>
        <v>0</v>
      </c>
      <c r="HY49" s="110"/>
      <c r="HZ49" s="139"/>
      <c r="IA49" s="140" t="e">
        <f t="shared" si="1177"/>
        <v>#DIV/0!</v>
      </c>
      <c r="IB49" s="198">
        <f t="shared" si="1170"/>
        <v>0</v>
      </c>
      <c r="IC49" s="225">
        <f t="shared" si="1178"/>
        <v>0</v>
      </c>
      <c r="ID49" s="226">
        <f t="shared" si="1179"/>
        <v>0</v>
      </c>
      <c r="IE49" s="137">
        <f t="shared" si="1180"/>
        <v>0</v>
      </c>
      <c r="IF49" s="227">
        <f t="shared" si="1181"/>
        <v>7.76</v>
      </c>
      <c r="IG49" s="138">
        <f t="shared" si="1182"/>
        <v>0</v>
      </c>
      <c r="IH49" s="110">
        <f t="shared" si="1183"/>
        <v>0</v>
      </c>
      <c r="II49" s="110"/>
      <c r="IJ49" s="139"/>
      <c r="IK49" s="140" t="e">
        <f t="shared" si="1184"/>
        <v>#DIV/0!</v>
      </c>
      <c r="IL49" s="198">
        <f t="shared" si="1170"/>
        <v>0</v>
      </c>
      <c r="IM49" s="225">
        <f t="shared" si="1185"/>
        <v>0</v>
      </c>
      <c r="IN49" s="226">
        <f t="shared" si="1186"/>
        <v>0</v>
      </c>
      <c r="IO49" s="137">
        <f t="shared" si="1187"/>
        <v>0</v>
      </c>
      <c r="IP49" s="227">
        <f t="shared" si="1181"/>
        <v>7.4</v>
      </c>
      <c r="IQ49" s="138">
        <f t="shared" si="1189"/>
        <v>0</v>
      </c>
      <c r="IR49" s="110">
        <f t="shared" si="1190"/>
        <v>0</v>
      </c>
      <c r="IS49" s="110"/>
      <c r="IT49" s="139"/>
      <c r="IU49" s="140" t="e">
        <f t="shared" si="1191"/>
        <v>#DIV/0!</v>
      </c>
      <c r="IV49" s="198">
        <f t="shared" si="1170"/>
        <v>0</v>
      </c>
      <c r="IW49" s="225">
        <f t="shared" si="1192"/>
        <v>0</v>
      </c>
      <c r="IX49" s="226">
        <f t="shared" si="1193"/>
        <v>0</v>
      </c>
      <c r="IY49" s="137">
        <f t="shared" si="1194"/>
        <v>0</v>
      </c>
      <c r="IZ49" s="227">
        <f t="shared" si="1181"/>
        <v>9.64</v>
      </c>
      <c r="JA49" s="138">
        <f t="shared" si="1196"/>
        <v>0</v>
      </c>
      <c r="JB49" s="110">
        <f t="shared" si="1197"/>
        <v>0</v>
      </c>
      <c r="JC49" s="110"/>
      <c r="JD49" s="139"/>
      <c r="JE49" s="140" t="e">
        <f t="shared" si="1198"/>
        <v>#DIV/0!</v>
      </c>
      <c r="JF49" s="198">
        <f t="shared" si="1170"/>
        <v>0</v>
      </c>
      <c r="JG49" s="225">
        <f t="shared" si="1199"/>
        <v>0</v>
      </c>
      <c r="JH49" s="226">
        <f t="shared" si="1200"/>
        <v>0</v>
      </c>
      <c r="JI49" s="137">
        <f t="shared" si="1201"/>
        <v>0</v>
      </c>
      <c r="JJ49" s="227">
        <f t="shared" si="1181"/>
        <v>9.1</v>
      </c>
      <c r="JK49" s="138">
        <f t="shared" si="1203"/>
        <v>0</v>
      </c>
      <c r="JL49" s="110">
        <f t="shared" si="1204"/>
        <v>0</v>
      </c>
      <c r="JM49" s="110"/>
      <c r="JN49" s="139"/>
      <c r="JO49" s="140" t="e">
        <f t="shared" si="1205"/>
        <v>#DIV/0!</v>
      </c>
      <c r="JP49" s="198">
        <f t="shared" si="1170"/>
        <v>0</v>
      </c>
      <c r="JQ49" s="225">
        <f t="shared" si="1206"/>
        <v>0</v>
      </c>
      <c r="JR49" s="226">
        <f t="shared" si="1207"/>
        <v>0</v>
      </c>
      <c r="JS49" s="137">
        <f t="shared" si="1208"/>
        <v>0</v>
      </c>
      <c r="JT49" s="227">
        <f t="shared" si="1209"/>
        <v>10.15</v>
      </c>
      <c r="JU49" s="138">
        <f t="shared" si="1210"/>
        <v>0</v>
      </c>
      <c r="JV49" s="110">
        <f t="shared" si="1211"/>
        <v>0</v>
      </c>
      <c r="JW49" s="110"/>
      <c r="JX49" s="139"/>
      <c r="JY49" s="140" t="e">
        <f t="shared" si="1212"/>
        <v>#DIV/0!</v>
      </c>
      <c r="JZ49" s="198">
        <f t="shared" si="1170"/>
        <v>0</v>
      </c>
      <c r="KA49" s="225">
        <f t="shared" si="1213"/>
        <v>0</v>
      </c>
      <c r="KB49" s="226">
        <f t="shared" si="1214"/>
        <v>0</v>
      </c>
      <c r="KC49" s="137">
        <f t="shared" si="1215"/>
        <v>0</v>
      </c>
      <c r="KD49" s="227">
        <f t="shared" si="1209"/>
        <v>8.14</v>
      </c>
      <c r="KE49" s="138">
        <f t="shared" si="1217"/>
        <v>0</v>
      </c>
      <c r="KF49" s="110">
        <f t="shared" si="1218"/>
        <v>0</v>
      </c>
      <c r="KG49" s="110"/>
      <c r="KH49" s="139"/>
      <c r="KI49" s="140" t="e">
        <f t="shared" si="1219"/>
        <v>#DIV/0!</v>
      </c>
      <c r="KJ49" s="198">
        <f t="shared" si="1220"/>
        <v>0</v>
      </c>
      <c r="KK49" s="225">
        <f t="shared" si="1221"/>
        <v>0</v>
      </c>
      <c r="KL49" s="226">
        <f t="shared" si="1222"/>
        <v>0</v>
      </c>
      <c r="KM49" s="137">
        <f t="shared" si="1223"/>
        <v>0</v>
      </c>
      <c r="KN49" s="227">
        <f t="shared" si="1209"/>
        <v>9.02</v>
      </c>
      <c r="KO49" s="138">
        <f t="shared" si="1225"/>
        <v>0</v>
      </c>
      <c r="KP49" s="110">
        <f t="shared" si="1226"/>
        <v>0</v>
      </c>
      <c r="KQ49" s="110"/>
      <c r="KR49" s="139"/>
      <c r="KS49" s="140" t="e">
        <f t="shared" si="1227"/>
        <v>#DIV/0!</v>
      </c>
      <c r="KT49" s="198">
        <f t="shared" si="1220"/>
        <v>0</v>
      </c>
      <c r="KU49" s="225">
        <f t="shared" si="1228"/>
        <v>0</v>
      </c>
      <c r="KV49" s="226">
        <f t="shared" si="1229"/>
        <v>0</v>
      </c>
      <c r="KW49" s="137">
        <f t="shared" si="1230"/>
        <v>0</v>
      </c>
      <c r="KX49" s="227">
        <f t="shared" si="1209"/>
        <v>9.94</v>
      </c>
      <c r="KY49" s="138">
        <f t="shared" si="1232"/>
        <v>0</v>
      </c>
      <c r="KZ49" s="110">
        <f t="shared" si="1233"/>
        <v>0</v>
      </c>
      <c r="LA49" s="110"/>
      <c r="LB49" s="139"/>
      <c r="LC49" s="140" t="e">
        <f t="shared" si="1234"/>
        <v>#DIV/0!</v>
      </c>
      <c r="LD49" s="197">
        <f t="shared" si="1235"/>
        <v>0</v>
      </c>
      <c r="LE49" s="225">
        <f t="shared" si="1236"/>
        <v>0</v>
      </c>
      <c r="LF49" s="226">
        <f t="shared" si="1237"/>
        <v>0</v>
      </c>
      <c r="LG49" s="137">
        <f t="shared" si="1238"/>
        <v>0</v>
      </c>
      <c r="LH49" s="227">
        <f t="shared" si="1239"/>
        <v>8.4600000000000009</v>
      </c>
      <c r="LI49" s="138">
        <f t="shared" si="1240"/>
        <v>0</v>
      </c>
      <c r="LJ49" s="110">
        <f t="shared" si="1241"/>
        <v>0</v>
      </c>
      <c r="LK49" s="110"/>
      <c r="LL49" s="139"/>
    </row>
    <row r="50" spans="1:324" x14ac:dyDescent="0.25">
      <c r="A50" s="244"/>
      <c r="B50" s="250" t="s">
        <v>854</v>
      </c>
      <c r="C50" s="12"/>
      <c r="D50" s="12"/>
      <c r="E50" s="4"/>
      <c r="F50" s="198"/>
      <c r="G50" s="225"/>
      <c r="H50" s="226"/>
      <c r="I50" s="137"/>
      <c r="J50" s="227"/>
      <c r="K50" s="138"/>
      <c r="L50" s="110"/>
      <c r="M50" s="110"/>
      <c r="N50" s="139"/>
      <c r="O50" s="140"/>
      <c r="P50" s="198"/>
      <c r="Q50" s="225"/>
      <c r="R50" s="226"/>
      <c r="S50" s="137"/>
      <c r="T50" s="227"/>
      <c r="U50" s="138"/>
      <c r="V50" s="110"/>
      <c r="W50" s="110"/>
      <c r="X50" s="139"/>
      <c r="Y50" s="140"/>
      <c r="Z50" s="198"/>
      <c r="AA50" s="225"/>
      <c r="AB50" s="226"/>
      <c r="AC50" s="137"/>
      <c r="AD50" s="227"/>
      <c r="AE50" s="138"/>
      <c r="AF50" s="110"/>
      <c r="AG50" s="110"/>
      <c r="AH50" s="139"/>
      <c r="AI50" s="140"/>
      <c r="AJ50" s="198"/>
      <c r="AK50" s="225"/>
      <c r="AL50" s="226"/>
      <c r="AM50" s="137"/>
      <c r="AN50" s="227"/>
      <c r="AO50" s="138"/>
      <c r="AP50" s="110"/>
      <c r="AQ50" s="110"/>
      <c r="AR50" s="139"/>
      <c r="AS50" s="140"/>
      <c r="AT50" s="198"/>
      <c r="AU50" s="225"/>
      <c r="AV50" s="226"/>
      <c r="AW50" s="137"/>
      <c r="AX50" s="227"/>
      <c r="AY50" s="138"/>
      <c r="AZ50" s="110"/>
      <c r="BA50" s="110"/>
      <c r="BB50" s="139"/>
      <c r="BC50" s="140"/>
      <c r="BD50" s="198"/>
      <c r="BE50" s="225"/>
      <c r="BF50" s="226"/>
      <c r="BG50" s="137"/>
      <c r="BH50" s="227"/>
      <c r="BI50" s="138"/>
      <c r="BJ50" s="110"/>
      <c r="BK50" s="110"/>
      <c r="BL50" s="139"/>
      <c r="BM50" s="140"/>
      <c r="BN50" s="198"/>
      <c r="BO50" s="225"/>
      <c r="BP50" s="226"/>
      <c r="BQ50" s="137"/>
      <c r="BR50" s="227"/>
      <c r="BS50" s="138"/>
      <c r="BT50" s="110"/>
      <c r="BU50" s="110"/>
      <c r="BV50" s="139"/>
      <c r="BW50" s="140"/>
      <c r="BX50" s="198"/>
      <c r="BY50" s="225"/>
      <c r="BZ50" s="226"/>
      <c r="CA50" s="137"/>
      <c r="CB50" s="227"/>
      <c r="CC50" s="138"/>
      <c r="CD50" s="110"/>
      <c r="CE50" s="110"/>
      <c r="CF50" s="139"/>
      <c r="CG50" s="140"/>
      <c r="CH50" s="198"/>
      <c r="CI50" s="225"/>
      <c r="CJ50" s="226"/>
      <c r="CK50" s="137"/>
      <c r="CL50" s="227"/>
      <c r="CM50" s="138"/>
      <c r="CN50" s="110"/>
      <c r="CO50" s="110"/>
      <c r="CP50" s="139"/>
      <c r="CQ50" s="140"/>
      <c r="CR50" s="198"/>
      <c r="CS50" s="225"/>
      <c r="CT50" s="226"/>
      <c r="CU50" s="137"/>
      <c r="CV50" s="227"/>
      <c r="CW50" s="138"/>
      <c r="CX50" s="110"/>
      <c r="CY50" s="110"/>
      <c r="CZ50" s="139"/>
      <c r="DA50" s="140"/>
      <c r="DB50" s="198"/>
      <c r="DC50" s="225"/>
      <c r="DD50" s="226"/>
      <c r="DE50" s="137"/>
      <c r="DF50" s="227"/>
      <c r="DG50" s="138"/>
      <c r="DH50" s="110"/>
      <c r="DI50" s="110"/>
      <c r="DJ50" s="139"/>
      <c r="DK50" s="140"/>
      <c r="DL50" s="198"/>
      <c r="DM50" s="225"/>
      <c r="DN50" s="226"/>
      <c r="DO50" s="137"/>
      <c r="DP50" s="227"/>
      <c r="DQ50" s="138"/>
      <c r="DR50" s="110"/>
      <c r="DS50" s="110"/>
      <c r="DT50" s="139"/>
      <c r="DU50" s="140"/>
      <c r="DV50" s="198"/>
      <c r="DW50" s="225"/>
      <c r="DX50" s="226"/>
      <c r="DY50" s="137"/>
      <c r="DZ50" s="227"/>
      <c r="EA50" s="138"/>
      <c r="EB50" s="110"/>
      <c r="EC50" s="110"/>
      <c r="ED50" s="139"/>
      <c r="EE50" s="140"/>
      <c r="EF50" s="198"/>
      <c r="EG50" s="225"/>
      <c r="EH50" s="226"/>
      <c r="EI50" s="137"/>
      <c r="EJ50" s="227"/>
      <c r="EK50" s="138"/>
      <c r="EL50" s="110"/>
      <c r="EM50" s="110"/>
      <c r="EN50" s="139"/>
      <c r="EO50" s="140"/>
      <c r="EP50" s="198"/>
      <c r="EQ50" s="225"/>
      <c r="ER50" s="226"/>
      <c r="ES50" s="137"/>
      <c r="ET50" s="227"/>
      <c r="EU50" s="138"/>
      <c r="EV50" s="110"/>
      <c r="EW50" s="110"/>
      <c r="EX50" s="139"/>
      <c r="EY50" s="140"/>
      <c r="EZ50" s="198"/>
      <c r="FA50" s="225"/>
      <c r="FB50" s="226"/>
      <c r="FC50" s="137"/>
      <c r="FD50" s="227"/>
      <c r="FE50" s="138"/>
      <c r="FF50" s="110"/>
      <c r="FG50" s="110"/>
      <c r="FH50" s="139"/>
      <c r="FI50" s="140"/>
      <c r="FJ50" s="198"/>
      <c r="FK50" s="225"/>
      <c r="FL50" s="226"/>
      <c r="FM50" s="137"/>
      <c r="FN50" s="227"/>
      <c r="FO50" s="138"/>
      <c r="FP50" s="110"/>
      <c r="FQ50" s="110"/>
      <c r="FR50" s="139"/>
      <c r="FS50" s="140"/>
      <c r="FT50" s="198"/>
      <c r="FU50" s="225"/>
      <c r="FV50" s="226"/>
      <c r="FW50" s="137"/>
      <c r="FX50" s="227"/>
      <c r="FY50" s="138"/>
      <c r="FZ50" s="110"/>
      <c r="GA50" s="110"/>
      <c r="GB50" s="139"/>
      <c r="GC50" s="140"/>
      <c r="GD50" s="198"/>
      <c r="GE50" s="225"/>
      <c r="GF50" s="226"/>
      <c r="GG50" s="137"/>
      <c r="GH50" s="227"/>
      <c r="GI50" s="138"/>
      <c r="GJ50" s="110"/>
      <c r="GK50" s="110"/>
      <c r="GL50" s="139"/>
      <c r="GM50" s="140"/>
      <c r="GN50" s="198"/>
      <c r="GO50" s="225"/>
      <c r="GP50" s="226"/>
      <c r="GQ50" s="137"/>
      <c r="GR50" s="227"/>
      <c r="GS50" s="138"/>
      <c r="GT50" s="110"/>
      <c r="GU50" s="110"/>
      <c r="GV50" s="139"/>
      <c r="GW50" s="140"/>
      <c r="GX50" s="198"/>
      <c r="GY50" s="225"/>
      <c r="GZ50" s="226"/>
      <c r="HA50" s="137"/>
      <c r="HB50" s="227"/>
      <c r="HC50" s="138"/>
      <c r="HD50" s="110"/>
      <c r="HE50" s="110"/>
      <c r="HF50" s="139"/>
      <c r="HG50" s="140"/>
      <c r="HH50" s="198"/>
      <c r="HI50" s="225"/>
      <c r="HJ50" s="226"/>
      <c r="HK50" s="137"/>
      <c r="HL50" s="227"/>
      <c r="HM50" s="138"/>
      <c r="HN50" s="110"/>
      <c r="HO50" s="110"/>
      <c r="HP50" s="139"/>
      <c r="HQ50" s="140"/>
      <c r="HR50" s="198"/>
      <c r="HS50" s="225"/>
      <c r="HT50" s="226"/>
      <c r="HU50" s="137"/>
      <c r="HV50" s="227"/>
      <c r="HW50" s="138"/>
      <c r="HX50" s="110"/>
      <c r="HY50" s="110"/>
      <c r="HZ50" s="139"/>
      <c r="IA50" s="140"/>
      <c r="IB50" s="198"/>
      <c r="IC50" s="225"/>
      <c r="ID50" s="226"/>
      <c r="IE50" s="137"/>
      <c r="IF50" s="227"/>
      <c r="IG50" s="138"/>
      <c r="IH50" s="110"/>
      <c r="II50" s="110"/>
      <c r="IJ50" s="139"/>
      <c r="IK50" s="140"/>
      <c r="IL50" s="198"/>
      <c r="IM50" s="225"/>
      <c r="IN50" s="226"/>
      <c r="IO50" s="137"/>
      <c r="IP50" s="227"/>
      <c r="IQ50" s="138"/>
      <c r="IR50" s="110"/>
      <c r="IS50" s="110"/>
      <c r="IT50" s="139"/>
      <c r="IU50" s="140"/>
      <c r="IV50" s="198"/>
      <c r="IW50" s="225"/>
      <c r="IX50" s="226"/>
      <c r="IY50" s="137"/>
      <c r="IZ50" s="227"/>
      <c r="JA50" s="138"/>
      <c r="JB50" s="110"/>
      <c r="JC50" s="110"/>
      <c r="JD50" s="139"/>
      <c r="JE50" s="140"/>
      <c r="JF50" s="198"/>
      <c r="JG50" s="225"/>
      <c r="JH50" s="226"/>
      <c r="JI50" s="137"/>
      <c r="JJ50" s="227"/>
      <c r="JK50" s="138"/>
      <c r="JL50" s="110"/>
      <c r="JM50" s="110"/>
      <c r="JN50" s="139"/>
      <c r="JO50" s="140"/>
      <c r="JP50" s="198"/>
      <c r="JQ50" s="225"/>
      <c r="JR50" s="226"/>
      <c r="JS50" s="137"/>
      <c r="JT50" s="227"/>
      <c r="JU50" s="138"/>
      <c r="JV50" s="110"/>
      <c r="JW50" s="110"/>
      <c r="JX50" s="139"/>
      <c r="JY50" s="140"/>
      <c r="JZ50" s="198"/>
      <c r="KA50" s="225"/>
      <c r="KB50" s="226"/>
      <c r="KC50" s="137"/>
      <c r="KD50" s="227"/>
      <c r="KE50" s="138"/>
      <c r="KF50" s="110"/>
      <c r="KG50" s="110"/>
      <c r="KH50" s="139"/>
      <c r="KI50" s="140"/>
      <c r="KJ50" s="198"/>
      <c r="KK50" s="225"/>
      <c r="KL50" s="226"/>
      <c r="KM50" s="137"/>
      <c r="KN50" s="227"/>
      <c r="KO50" s="138"/>
      <c r="KP50" s="110"/>
      <c r="KQ50" s="110"/>
      <c r="KR50" s="139"/>
      <c r="KS50" s="140"/>
      <c r="KT50" s="198"/>
      <c r="KU50" s="225"/>
      <c r="KV50" s="226"/>
      <c r="KW50" s="137"/>
      <c r="KX50" s="227"/>
      <c r="KY50" s="138"/>
      <c r="KZ50" s="110"/>
      <c r="LA50" s="110"/>
      <c r="LB50" s="139"/>
      <c r="LC50" s="140"/>
      <c r="LD50" s="197"/>
      <c r="LE50" s="225"/>
      <c r="LF50" s="226"/>
      <c r="LG50" s="137"/>
      <c r="LH50" s="227"/>
      <c r="LI50" s="138"/>
      <c r="LJ50" s="110"/>
      <c r="LK50" s="110"/>
      <c r="LL50" s="139"/>
    </row>
    <row r="51" spans="1:324" ht="24" x14ac:dyDescent="0.25">
      <c r="A51" s="245"/>
      <c r="B51" s="70" t="s">
        <v>609</v>
      </c>
      <c r="C51" s="12" t="s">
        <v>729</v>
      </c>
      <c r="D51" s="12" t="s">
        <v>429</v>
      </c>
      <c r="E51" s="4" t="s">
        <v>33</v>
      </c>
      <c r="F51" s="198">
        <f t="shared" ref="F51:F58" si="1245">F22</f>
        <v>313</v>
      </c>
      <c r="G51" s="225">
        <f t="shared" si="1242"/>
        <v>0.51993</v>
      </c>
      <c r="H51" s="226">
        <f t="shared" si="1243"/>
        <v>25533.759999999998</v>
      </c>
      <c r="I51" s="137">
        <f t="shared" si="1016"/>
        <v>81.577507990000001</v>
      </c>
      <c r="J51" s="227">
        <f t="shared" si="1244"/>
        <v>7.57</v>
      </c>
      <c r="K51" s="138">
        <f t="shared" si="1017"/>
        <v>617.54174</v>
      </c>
      <c r="L51" s="110">
        <f t="shared" si="1018"/>
        <v>193290.56</v>
      </c>
      <c r="M51" s="110"/>
      <c r="N51" s="139"/>
      <c r="O51" s="140">
        <f t="shared" si="1019"/>
        <v>0.77444000000000002</v>
      </c>
      <c r="P51" s="198">
        <f t="shared" ref="P51:BX58" si="1246">P22</f>
        <v>523</v>
      </c>
      <c r="Q51" s="225">
        <f t="shared" ref="Q51:Q58" si="1247">P51/P$39</f>
        <v>0.47719</v>
      </c>
      <c r="R51" s="226">
        <f t="shared" ref="R51:R58" si="1248">R$39*Q51</f>
        <v>36361.879999999997</v>
      </c>
      <c r="S51" s="137">
        <f t="shared" ref="S51:S58" si="1249">IF(P51&gt;0,R51/P51,0)</f>
        <v>69.525583170000004</v>
      </c>
      <c r="T51" s="227">
        <f t="shared" ref="T51:CB58" si="1250">T$39</f>
        <v>8.23</v>
      </c>
      <c r="U51" s="138">
        <f t="shared" ref="U51:U58" si="1251">S51*T51</f>
        <v>572.19555000000003</v>
      </c>
      <c r="V51" s="110">
        <f t="shared" ref="V51:V58" si="1252">U51*P51</f>
        <v>299258.27</v>
      </c>
      <c r="W51" s="110"/>
      <c r="X51" s="139"/>
      <c r="Y51" s="140">
        <f t="shared" ref="Y51:Y58" si="1253">U51/$LI51</f>
        <v>0.71757000000000004</v>
      </c>
      <c r="Z51" s="198">
        <f t="shared" si="1246"/>
        <v>412</v>
      </c>
      <c r="AA51" s="225">
        <f t="shared" ref="AA51:AA58" si="1254">Z51/Z$39</f>
        <v>0.47685</v>
      </c>
      <c r="AB51" s="226">
        <f t="shared" ref="AB51:AB58" si="1255">AB$39*AA51</f>
        <v>27905.26</v>
      </c>
      <c r="AC51" s="137">
        <f t="shared" ref="AC51:AC58" si="1256">IF(Z51&gt;0,AB51/Z51,0)</f>
        <v>67.731213589999996</v>
      </c>
      <c r="AD51" s="227">
        <f t="shared" si="1250"/>
        <v>8.8000000000000007</v>
      </c>
      <c r="AE51" s="138">
        <f t="shared" ref="AE51:AE58" si="1257">AC51*AD51</f>
        <v>596.03467999999998</v>
      </c>
      <c r="AF51" s="110">
        <f t="shared" ref="AF51:AF58" si="1258">AE51*Z51</f>
        <v>245566.29</v>
      </c>
      <c r="AG51" s="110"/>
      <c r="AH51" s="139"/>
      <c r="AI51" s="140">
        <f t="shared" ref="AI51:AI58" si="1259">AE51/$LI51</f>
        <v>0.74746999999999997</v>
      </c>
      <c r="AJ51" s="198">
        <f t="shared" si="1246"/>
        <v>311</v>
      </c>
      <c r="AK51" s="225">
        <f t="shared" ref="AK51:AK58" si="1260">AJ51/AJ$39</f>
        <v>0.46766999999999997</v>
      </c>
      <c r="AL51" s="226">
        <f t="shared" ref="AL51:AL58" si="1261">AL$39*AK51</f>
        <v>12617.74</v>
      </c>
      <c r="AM51" s="137">
        <f t="shared" ref="AM51:AM58" si="1262">IF(AJ51&gt;0,AL51/AJ51,0)</f>
        <v>40.57151125</v>
      </c>
      <c r="AN51" s="227">
        <f t="shared" si="1250"/>
        <v>7.52</v>
      </c>
      <c r="AO51" s="138">
        <f t="shared" ref="AO51:AO58" si="1263">AM51*AN51</f>
        <v>305.09775999999999</v>
      </c>
      <c r="AP51" s="110">
        <f t="shared" ref="AP51:AP58" si="1264">AO51*AJ51</f>
        <v>94885.4</v>
      </c>
      <c r="AQ51" s="110"/>
      <c r="AR51" s="139"/>
      <c r="AS51" s="140">
        <f t="shared" ref="AS51:AS58" si="1265">AO51/$LI51</f>
        <v>0.38261000000000001</v>
      </c>
      <c r="AT51" s="198">
        <f t="shared" si="1246"/>
        <v>428</v>
      </c>
      <c r="AU51" s="225">
        <f t="shared" ref="AU51:AU58" si="1266">AT51/AT$39</f>
        <v>0.45005000000000001</v>
      </c>
      <c r="AV51" s="226">
        <f t="shared" ref="AV51:AV58" si="1267">AV$39*AU51</f>
        <v>18762.580000000002</v>
      </c>
      <c r="AW51" s="137">
        <f t="shared" ref="AW51:AW58" si="1268">IF(AT51&gt;0,AV51/AT51,0)</f>
        <v>43.837803739999998</v>
      </c>
      <c r="AX51" s="227">
        <f t="shared" si="1250"/>
        <v>6.88</v>
      </c>
      <c r="AY51" s="138">
        <f t="shared" ref="AY51:AY58" si="1269">AW51*AX51</f>
        <v>301.60408999999999</v>
      </c>
      <c r="AZ51" s="110">
        <f t="shared" ref="AZ51:AZ58" si="1270">AY51*AT51</f>
        <v>129086.55</v>
      </c>
      <c r="BA51" s="110"/>
      <c r="BB51" s="139"/>
      <c r="BC51" s="140">
        <f t="shared" ref="BC51:BC58" si="1271">AY51/$LI51</f>
        <v>0.37823000000000001</v>
      </c>
      <c r="BD51" s="198">
        <f t="shared" si="1246"/>
        <v>358</v>
      </c>
      <c r="BE51" s="225">
        <f t="shared" ref="BE51:BE58" si="1272">BD51/BD$39</f>
        <v>0.48118</v>
      </c>
      <c r="BF51" s="226">
        <f t="shared" ref="BF51:BF58" si="1273">BF$39*BE51</f>
        <v>21181.54</v>
      </c>
      <c r="BG51" s="137">
        <f t="shared" ref="BG51:BG58" si="1274">IF(BD51&gt;0,BF51/BD51,0)</f>
        <v>59.166312849999997</v>
      </c>
      <c r="BH51" s="227">
        <f t="shared" si="1250"/>
        <v>9.74</v>
      </c>
      <c r="BI51" s="138">
        <f t="shared" ref="BI51:BI58" si="1275">BG51*BH51</f>
        <v>576.27989000000002</v>
      </c>
      <c r="BJ51" s="110">
        <f t="shared" ref="BJ51:BJ58" si="1276">BI51*BD51</f>
        <v>206308.2</v>
      </c>
      <c r="BK51" s="110"/>
      <c r="BL51" s="139"/>
      <c r="BM51" s="140">
        <f t="shared" ref="BM51:BM58" si="1277">BI51/$LI51</f>
        <v>0.72270000000000001</v>
      </c>
      <c r="BN51" s="198">
        <f t="shared" si="1246"/>
        <v>305</v>
      </c>
      <c r="BO51" s="225">
        <f t="shared" ref="BO51:BO58" si="1278">BN51/BN$39</f>
        <v>0.49432999999999999</v>
      </c>
      <c r="BP51" s="226">
        <f t="shared" ref="BP51:BP58" si="1279">BP$39*BO51</f>
        <v>23273.06</v>
      </c>
      <c r="BQ51" s="137">
        <f t="shared" ref="BQ51:BQ58" si="1280">IF(BN51&gt;0,BP51/BN51,0)</f>
        <v>76.305114750000001</v>
      </c>
      <c r="BR51" s="227">
        <f t="shared" si="1250"/>
        <v>10.32</v>
      </c>
      <c r="BS51" s="138">
        <f t="shared" ref="BS51:BS58" si="1281">BQ51*BR51</f>
        <v>787.46878000000004</v>
      </c>
      <c r="BT51" s="110">
        <f t="shared" ref="BT51:BT58" si="1282">BS51*BN51</f>
        <v>240177.98</v>
      </c>
      <c r="BU51" s="110"/>
      <c r="BV51" s="139"/>
      <c r="BW51" s="140">
        <f t="shared" ref="BW51:BW58" si="1283">BS51/$LI51</f>
        <v>0.98753999999999997</v>
      </c>
      <c r="BX51" s="198">
        <f t="shared" si="1246"/>
        <v>401</v>
      </c>
      <c r="BY51" s="225">
        <f t="shared" ref="BY51:BY58" si="1284">BX51/BX$39</f>
        <v>0.50888</v>
      </c>
      <c r="BZ51" s="226">
        <f t="shared" ref="BZ51:BZ58" si="1285">BZ$39*BY51</f>
        <v>31957.66</v>
      </c>
      <c r="CA51" s="137">
        <f t="shared" ref="CA51:CA58" si="1286">IF(BX51&gt;0,BZ51/BX51,0)</f>
        <v>79.694912720000005</v>
      </c>
      <c r="CB51" s="227">
        <f t="shared" si="1250"/>
        <v>7.89</v>
      </c>
      <c r="CC51" s="138">
        <f t="shared" ref="CC51:CC58" si="1287">CA51*CB51</f>
        <v>628.79286000000002</v>
      </c>
      <c r="CD51" s="110">
        <f t="shared" ref="CD51:CD58" si="1288">CC51*BX51</f>
        <v>252145.94</v>
      </c>
      <c r="CE51" s="110"/>
      <c r="CF51" s="139"/>
      <c r="CG51" s="140">
        <f t="shared" ref="CG51:CG58" si="1289">CC51/$LI51</f>
        <v>0.78854999999999997</v>
      </c>
      <c r="CH51" s="198">
        <f t="shared" ref="CH51:EP58" si="1290">CH22</f>
        <v>428</v>
      </c>
      <c r="CI51" s="225">
        <f t="shared" ref="CI51:CI58" si="1291">CH51/CH$39</f>
        <v>0.4632</v>
      </c>
      <c r="CJ51" s="226">
        <f t="shared" ref="CJ51:CJ58" si="1292">CJ$39*CI51</f>
        <v>55676.639999999999</v>
      </c>
      <c r="CK51" s="137">
        <f t="shared" ref="CK51:CK58" si="1293">IF(CH51&gt;0,CJ51/CH51,0)</f>
        <v>130.08560747999999</v>
      </c>
      <c r="CL51" s="227">
        <f t="shared" ref="CL51:ET58" si="1294">CL$39</f>
        <v>8.24</v>
      </c>
      <c r="CM51" s="138">
        <f t="shared" ref="CM51:CM58" si="1295">CK51*CL51</f>
        <v>1071.9054100000001</v>
      </c>
      <c r="CN51" s="110">
        <f t="shared" ref="CN51:CN58" si="1296">CM51*CH51</f>
        <v>458775.52</v>
      </c>
      <c r="CO51" s="110"/>
      <c r="CP51" s="139"/>
      <c r="CQ51" s="140">
        <f t="shared" ref="CQ51:CQ58" si="1297">CM51/$LI51</f>
        <v>1.3442499999999999</v>
      </c>
      <c r="CR51" s="198">
        <f t="shared" si="1290"/>
        <v>362</v>
      </c>
      <c r="CS51" s="225">
        <f t="shared" ref="CS51:CS58" si="1298">CR51/CR$39</f>
        <v>0.48655999999999999</v>
      </c>
      <c r="CT51" s="226">
        <f t="shared" ref="CT51:CT58" si="1299">CT$39*CS51</f>
        <v>30770.05</v>
      </c>
      <c r="CU51" s="137">
        <f t="shared" ref="CU51:CU58" si="1300">IF(CR51&gt;0,CT51/CR51,0)</f>
        <v>85.000138120000003</v>
      </c>
      <c r="CV51" s="227">
        <f t="shared" si="1294"/>
        <v>8.92</v>
      </c>
      <c r="CW51" s="138">
        <f t="shared" ref="CW51:CW58" si="1301">CU51*CV51</f>
        <v>758.20123000000001</v>
      </c>
      <c r="CX51" s="110">
        <f t="shared" ref="CX51:CX58" si="1302">CW51*CR51</f>
        <v>274468.84999999998</v>
      </c>
      <c r="CY51" s="110"/>
      <c r="CZ51" s="139"/>
      <c r="DA51" s="140">
        <f t="shared" ref="DA51:DA58" si="1303">CW51/$LI51</f>
        <v>0.95084000000000002</v>
      </c>
      <c r="DB51" s="198">
        <f t="shared" si="1290"/>
        <v>380</v>
      </c>
      <c r="DC51" s="225">
        <f t="shared" ref="DC51:DC58" si="1304">DB51/DB$39</f>
        <v>0.46061000000000002</v>
      </c>
      <c r="DD51" s="226">
        <f t="shared" ref="DD51:DD58" si="1305">DD$39*DC51</f>
        <v>24071.48</v>
      </c>
      <c r="DE51" s="137">
        <f t="shared" ref="DE51:DE58" si="1306">IF(DB51&gt;0,DD51/DB51,0)</f>
        <v>63.345999999999997</v>
      </c>
      <c r="DF51" s="227">
        <f t="shared" si="1294"/>
        <v>7.48</v>
      </c>
      <c r="DG51" s="138">
        <f t="shared" ref="DG51:DG58" si="1307">DE51*DF51</f>
        <v>473.82808</v>
      </c>
      <c r="DH51" s="110">
        <f t="shared" ref="DH51:DH58" si="1308">DG51*DB51</f>
        <v>180054.67</v>
      </c>
      <c r="DI51" s="110"/>
      <c r="DJ51" s="139"/>
      <c r="DK51" s="140">
        <f t="shared" ref="DK51:DK58" si="1309">DG51/$LI51</f>
        <v>0.59421000000000002</v>
      </c>
      <c r="DL51" s="198">
        <f t="shared" si="1290"/>
        <v>0</v>
      </c>
      <c r="DM51" s="225">
        <f t="shared" ref="DM51:DM58" si="1310">DL51/DL$39</f>
        <v>0</v>
      </c>
      <c r="DN51" s="226">
        <f t="shared" ref="DN51:DN58" si="1311">DN$39*DM51</f>
        <v>0</v>
      </c>
      <c r="DO51" s="137">
        <f t="shared" ref="DO51:DO58" si="1312">IF(DL51&gt;0,DN51/DL51,0)</f>
        <v>0</v>
      </c>
      <c r="DP51" s="227">
        <f t="shared" si="1294"/>
        <v>8.2200000000000006</v>
      </c>
      <c r="DQ51" s="138">
        <f t="shared" ref="DQ51:DQ58" si="1313">DO51*DP51</f>
        <v>0</v>
      </c>
      <c r="DR51" s="110">
        <f t="shared" ref="DR51:DR58" si="1314">DQ51*DL51</f>
        <v>0</v>
      </c>
      <c r="DS51" s="110"/>
      <c r="DT51" s="139"/>
      <c r="DU51" s="140">
        <f t="shared" ref="DU51:DU58" si="1315">DQ51/$LI51</f>
        <v>0</v>
      </c>
      <c r="DV51" s="198">
        <f t="shared" si="1290"/>
        <v>427</v>
      </c>
      <c r="DW51" s="225">
        <f t="shared" ref="DW51:DW58" si="1316">DV51/DV$39</f>
        <v>0.48632999999999998</v>
      </c>
      <c r="DX51" s="226">
        <f t="shared" ref="DX51:DX58" si="1317">DX$39*DW51</f>
        <v>68810.83</v>
      </c>
      <c r="DY51" s="137">
        <f t="shared" ref="DY51:DY58" si="1318">IF(DV51&gt;0,DX51/DV51,0)</f>
        <v>161.14948477999999</v>
      </c>
      <c r="DZ51" s="227">
        <f t="shared" si="1294"/>
        <v>7.91</v>
      </c>
      <c r="EA51" s="138">
        <f t="shared" ref="EA51:EA58" si="1319">DY51*DZ51</f>
        <v>1274.6924200000001</v>
      </c>
      <c r="EB51" s="110">
        <f t="shared" ref="EB51:EB58" si="1320">EA51*DV51</f>
        <v>544293.66</v>
      </c>
      <c r="EC51" s="110"/>
      <c r="ED51" s="139"/>
      <c r="EE51" s="140">
        <f t="shared" ref="EE51:EE58" si="1321">EA51/$LI51</f>
        <v>1.59856</v>
      </c>
      <c r="EF51" s="198">
        <f t="shared" si="1290"/>
        <v>472</v>
      </c>
      <c r="EG51" s="225">
        <f t="shared" ref="EG51:EG58" si="1322">EF51/EF$39</f>
        <v>0.50266</v>
      </c>
      <c r="EH51" s="226">
        <f t="shared" ref="EH51:EH58" si="1323">EH$39*EG51</f>
        <v>29209.57</v>
      </c>
      <c r="EI51" s="137">
        <f t="shared" ref="EI51:EI58" si="1324">IF(EF51&gt;0,EH51/EF51,0)</f>
        <v>61.8846822</v>
      </c>
      <c r="EJ51" s="227">
        <f t="shared" si="1294"/>
        <v>7.63</v>
      </c>
      <c r="EK51" s="138">
        <f t="shared" ref="EK51:EK58" si="1325">EI51*EJ51</f>
        <v>472.18013000000002</v>
      </c>
      <c r="EL51" s="110">
        <f t="shared" ref="EL51:EL58" si="1326">EK51*EF51</f>
        <v>222869.02</v>
      </c>
      <c r="EM51" s="110"/>
      <c r="EN51" s="139"/>
      <c r="EO51" s="140">
        <f t="shared" ref="EO51:EO58" si="1327">EK51/$LI51</f>
        <v>0.59214999999999995</v>
      </c>
      <c r="EP51" s="198">
        <f t="shared" si="1290"/>
        <v>448</v>
      </c>
      <c r="EQ51" s="225">
        <f t="shared" ref="EQ51:EQ58" si="1328">EP51/EP$39</f>
        <v>0.47508</v>
      </c>
      <c r="ER51" s="226">
        <f t="shared" ref="ER51:ER58" si="1329">ER$39*EQ51</f>
        <v>31982.39</v>
      </c>
      <c r="ES51" s="137">
        <f t="shared" ref="ES51:ES58" si="1330">IF(EP51&gt;0,ER51/EP51,0)</f>
        <v>71.389263389999996</v>
      </c>
      <c r="ET51" s="227">
        <f t="shared" si="1294"/>
        <v>7.95</v>
      </c>
      <c r="EU51" s="138">
        <f t="shared" ref="EU51:EU58" si="1331">ES51*ET51</f>
        <v>567.54463999999996</v>
      </c>
      <c r="EV51" s="110">
        <f t="shared" ref="EV51:EV58" si="1332">EU51*EP51</f>
        <v>254260</v>
      </c>
      <c r="EW51" s="110"/>
      <c r="EX51" s="139"/>
      <c r="EY51" s="140">
        <f t="shared" ref="EY51:EY58" si="1333">EU51/$LI51</f>
        <v>0.71174000000000004</v>
      </c>
      <c r="EZ51" s="198">
        <f t="shared" ref="EZ51:HH58" si="1334">EZ22</f>
        <v>443</v>
      </c>
      <c r="FA51" s="225">
        <f t="shared" ref="FA51:FA58" si="1335">EZ51/EZ$39</f>
        <v>0.39660000000000001</v>
      </c>
      <c r="FB51" s="226">
        <f t="shared" ref="FB51:FB58" si="1336">FB$39*FA51</f>
        <v>26282.68</v>
      </c>
      <c r="FC51" s="137">
        <f t="shared" ref="FC51:FC58" si="1337">IF(EZ51&gt;0,FB51/EZ51,0)</f>
        <v>59.32884876</v>
      </c>
      <c r="FD51" s="227">
        <f t="shared" ref="FD51:HL58" si="1338">FD$39</f>
        <v>10.210000000000001</v>
      </c>
      <c r="FE51" s="138">
        <f t="shared" ref="FE51:FE58" si="1339">FC51*FD51</f>
        <v>605.74755000000005</v>
      </c>
      <c r="FF51" s="110">
        <f t="shared" ref="FF51:FF58" si="1340">FE51*EZ51</f>
        <v>268346.15999999997</v>
      </c>
      <c r="FG51" s="110"/>
      <c r="FH51" s="139"/>
      <c r="FI51" s="140">
        <f t="shared" ref="FI51:FI58" si="1341">FE51/$LI51</f>
        <v>0.75965000000000005</v>
      </c>
      <c r="FJ51" s="198">
        <f t="shared" si="1334"/>
        <v>508</v>
      </c>
      <c r="FK51" s="225">
        <f t="shared" ref="FK51:FK58" si="1342">FJ51/FJ$39</f>
        <v>0.49706</v>
      </c>
      <c r="FL51" s="226">
        <f t="shared" ref="FL51:FL58" si="1343">FL$39*FK51</f>
        <v>53210.27</v>
      </c>
      <c r="FM51" s="137">
        <f t="shared" ref="FM51:FM58" si="1344">IF(FJ51&gt;0,FL51/FJ51,0)</f>
        <v>104.74462598</v>
      </c>
      <c r="FN51" s="227">
        <f t="shared" si="1338"/>
        <v>9.52</v>
      </c>
      <c r="FO51" s="138">
        <f t="shared" ref="FO51:FO58" si="1345">FM51*FN51</f>
        <v>997.16884000000005</v>
      </c>
      <c r="FP51" s="110">
        <f t="shared" ref="FP51:FP58" si="1346">FO51*FJ51</f>
        <v>506561.77</v>
      </c>
      <c r="FQ51" s="110"/>
      <c r="FR51" s="139"/>
      <c r="FS51" s="140">
        <f t="shared" ref="FS51:FS58" si="1347">FO51/$LI51</f>
        <v>1.2505200000000001</v>
      </c>
      <c r="FT51" s="198">
        <f t="shared" si="1334"/>
        <v>377</v>
      </c>
      <c r="FU51" s="225">
        <f t="shared" ref="FU51:FU58" si="1348">FT51/FT$39</f>
        <v>0.46949000000000002</v>
      </c>
      <c r="FV51" s="226">
        <f t="shared" ref="FV51:FV58" si="1349">FV$39*FU51</f>
        <v>23483.89</v>
      </c>
      <c r="FW51" s="137">
        <f t="shared" ref="FW51:FW58" si="1350">IF(FT51&gt;0,FV51/FT51,0)</f>
        <v>62.29148541</v>
      </c>
      <c r="FX51" s="227">
        <f t="shared" si="1338"/>
        <v>9.57</v>
      </c>
      <c r="FY51" s="138">
        <f t="shared" ref="FY51:FY58" si="1351">FW51*FX51</f>
        <v>596.12951999999996</v>
      </c>
      <c r="FZ51" s="110">
        <f t="shared" ref="FZ51:FZ58" si="1352">FY51*FT51</f>
        <v>224740.83</v>
      </c>
      <c r="GA51" s="110"/>
      <c r="GB51" s="139"/>
      <c r="GC51" s="140">
        <f t="shared" ref="GC51:GC58" si="1353">FY51/$LI51</f>
        <v>0.74758999999999998</v>
      </c>
      <c r="GD51" s="198">
        <f t="shared" si="1334"/>
        <v>244</v>
      </c>
      <c r="GE51" s="225">
        <f t="shared" ref="GE51:GE58" si="1354">GD51/GD$39</f>
        <v>0.47655999999999998</v>
      </c>
      <c r="GF51" s="226">
        <f t="shared" ref="GF51:GF58" si="1355">GF$39*GE51</f>
        <v>20615.990000000002</v>
      </c>
      <c r="GG51" s="137">
        <f t="shared" ref="GG51:GG58" si="1356">IF(GD51&gt;0,GF51/GD51,0)</f>
        <v>84.491762300000005</v>
      </c>
      <c r="GH51" s="227">
        <f t="shared" si="1338"/>
        <v>8.39</v>
      </c>
      <c r="GI51" s="138">
        <f t="shared" ref="GI51:GI58" si="1357">GG51*GH51</f>
        <v>708.88589000000002</v>
      </c>
      <c r="GJ51" s="110">
        <f t="shared" ref="GJ51:GJ58" si="1358">GI51*GD51</f>
        <v>172968.16</v>
      </c>
      <c r="GK51" s="110"/>
      <c r="GL51" s="139"/>
      <c r="GM51" s="140">
        <f t="shared" ref="GM51:GM58" si="1359">GI51/$LI51</f>
        <v>0.88898999999999995</v>
      </c>
      <c r="GN51" s="198">
        <f t="shared" si="1334"/>
        <v>413</v>
      </c>
      <c r="GO51" s="225">
        <f t="shared" ref="GO51:GO58" si="1360">GN51/GN$39</f>
        <v>0.47800999999999999</v>
      </c>
      <c r="GP51" s="226">
        <f t="shared" ref="GP51:GP58" si="1361">GP$39*GO51</f>
        <v>49531.4</v>
      </c>
      <c r="GQ51" s="137">
        <f t="shared" ref="GQ51:GQ58" si="1362">IF(GN51&gt;0,GP51/GN51,0)</f>
        <v>119.93075061</v>
      </c>
      <c r="GR51" s="227">
        <f t="shared" si="1338"/>
        <v>7.63</v>
      </c>
      <c r="GS51" s="138">
        <f t="shared" ref="GS51:GS58" si="1363">GQ51*GR51</f>
        <v>915.07163000000003</v>
      </c>
      <c r="GT51" s="110">
        <f t="shared" ref="GT51:GT58" si="1364">GS51*GN51</f>
        <v>377924.58</v>
      </c>
      <c r="GU51" s="110"/>
      <c r="GV51" s="139"/>
      <c r="GW51" s="140">
        <f t="shared" ref="GW51:GW58" si="1365">GS51/$LI51</f>
        <v>1.14757</v>
      </c>
      <c r="GX51" s="198">
        <f t="shared" si="1334"/>
        <v>742</v>
      </c>
      <c r="GY51" s="225">
        <f t="shared" ref="GY51:GY58" si="1366">GX51/GX$39</f>
        <v>0.45773999999999998</v>
      </c>
      <c r="GZ51" s="226">
        <f t="shared" ref="GZ51:GZ58" si="1367">GZ$39*GY51</f>
        <v>84594.93</v>
      </c>
      <c r="HA51" s="137">
        <f t="shared" ref="HA51:HA58" si="1368">IF(GX51&gt;0,GZ51/GX51,0)</f>
        <v>114.00933962000001</v>
      </c>
      <c r="HB51" s="227">
        <f t="shared" si="1338"/>
        <v>4.8899999999999997</v>
      </c>
      <c r="HC51" s="138">
        <f t="shared" ref="HC51:HC58" si="1369">HA51*HB51</f>
        <v>557.50567000000001</v>
      </c>
      <c r="HD51" s="110">
        <f t="shared" ref="HD51:HD58" si="1370">HC51*GX51</f>
        <v>413669.21</v>
      </c>
      <c r="HE51" s="110"/>
      <c r="HF51" s="139"/>
      <c r="HG51" s="140">
        <f t="shared" ref="HG51:HG58" si="1371">HC51/$LI51</f>
        <v>0.69915000000000005</v>
      </c>
      <c r="HH51" s="198">
        <f t="shared" si="1334"/>
        <v>536</v>
      </c>
      <c r="HI51" s="225">
        <f t="shared" ref="HI51:HI58" si="1372">HH51/HH$39</f>
        <v>0.46528000000000003</v>
      </c>
      <c r="HJ51" s="226">
        <f t="shared" ref="HJ51:HJ58" si="1373">HJ$39*HI51</f>
        <v>47765.64</v>
      </c>
      <c r="HK51" s="137">
        <f t="shared" ref="HK51:HK58" si="1374">IF(HH51&gt;0,HJ51/HH51,0)</f>
        <v>89.114999999999995</v>
      </c>
      <c r="HL51" s="227">
        <f t="shared" si="1338"/>
        <v>5.98</v>
      </c>
      <c r="HM51" s="138">
        <f t="shared" ref="HM51:HM58" si="1375">HK51*HL51</f>
        <v>532.90769999999998</v>
      </c>
      <c r="HN51" s="110">
        <f t="shared" ref="HN51:HN58" si="1376">HM51*HH51</f>
        <v>285638.53000000003</v>
      </c>
      <c r="HO51" s="110"/>
      <c r="HP51" s="139"/>
      <c r="HQ51" s="140">
        <f t="shared" ref="HQ51:HQ58" si="1377">HM51/$LI51</f>
        <v>0.66830000000000001</v>
      </c>
      <c r="HR51" s="198">
        <f t="shared" ref="HR51:JZ58" si="1378">HR22</f>
        <v>396</v>
      </c>
      <c r="HS51" s="225">
        <f t="shared" ref="HS51:HS58" si="1379">HR51/HR$39</f>
        <v>0.50253999999999999</v>
      </c>
      <c r="HT51" s="226">
        <f t="shared" ref="HT51:HT58" si="1380">HT$39*HS51</f>
        <v>19699.57</v>
      </c>
      <c r="HU51" s="137">
        <f t="shared" ref="HU51:HU58" si="1381">IF(HR51&gt;0,HT51/HR51,0)</f>
        <v>49.746388889999999</v>
      </c>
      <c r="HV51" s="227">
        <f t="shared" ref="HV51:KD58" si="1382">HV$39</f>
        <v>9.76</v>
      </c>
      <c r="HW51" s="138">
        <f t="shared" ref="HW51:HW58" si="1383">HU51*HV51</f>
        <v>485.52476000000001</v>
      </c>
      <c r="HX51" s="110">
        <f t="shared" ref="HX51:HX58" si="1384">HW51*HR51</f>
        <v>192267.8</v>
      </c>
      <c r="HY51" s="110"/>
      <c r="HZ51" s="139"/>
      <c r="IA51" s="140">
        <f t="shared" ref="IA51:IA58" si="1385">HW51/$LI51</f>
        <v>0.60887999999999998</v>
      </c>
      <c r="IB51" s="198">
        <f t="shared" si="1378"/>
        <v>242</v>
      </c>
      <c r="IC51" s="225">
        <f t="shared" ref="IC51:IC58" si="1386">IB51/IB$39</f>
        <v>0.44161</v>
      </c>
      <c r="ID51" s="226">
        <f t="shared" ref="ID51:ID58" si="1387">ID$39*IC51</f>
        <v>14392.07</v>
      </c>
      <c r="IE51" s="137">
        <f t="shared" ref="IE51:IE58" si="1388">IF(IB51&gt;0,ID51/IB51,0)</f>
        <v>59.47136364</v>
      </c>
      <c r="IF51" s="227">
        <f t="shared" si="1382"/>
        <v>7.76</v>
      </c>
      <c r="IG51" s="138">
        <f t="shared" ref="IG51:IG58" si="1389">IE51*IF51</f>
        <v>461.49777999999998</v>
      </c>
      <c r="IH51" s="110">
        <f t="shared" ref="IH51:IH58" si="1390">IG51*IB51</f>
        <v>111682.46</v>
      </c>
      <c r="II51" s="110"/>
      <c r="IJ51" s="139"/>
      <c r="IK51" s="140">
        <f t="shared" ref="IK51:IK58" si="1391">IG51/$LI51</f>
        <v>0.57874999999999999</v>
      </c>
      <c r="IL51" s="198">
        <f t="shared" si="1378"/>
        <v>584</v>
      </c>
      <c r="IM51" s="225">
        <f t="shared" ref="IM51:IM58" si="1392">IL51/IL$39</f>
        <v>0.46166000000000001</v>
      </c>
      <c r="IN51" s="226">
        <f t="shared" ref="IN51:IN58" si="1393">IN$39*IM51</f>
        <v>24158.67</v>
      </c>
      <c r="IO51" s="137">
        <f t="shared" ref="IO51:IO58" si="1394">IF(IL51&gt;0,IN51/IL51,0)</f>
        <v>41.36758562</v>
      </c>
      <c r="IP51" s="227">
        <f t="shared" si="1382"/>
        <v>7.4</v>
      </c>
      <c r="IQ51" s="138">
        <f t="shared" ref="IQ51:IQ58" si="1395">IO51*IP51</f>
        <v>306.12013000000002</v>
      </c>
      <c r="IR51" s="110">
        <f t="shared" ref="IR51:IR58" si="1396">IQ51*IL51</f>
        <v>178774.16</v>
      </c>
      <c r="IS51" s="110"/>
      <c r="IT51" s="139"/>
      <c r="IU51" s="140">
        <f t="shared" ref="IU51:IU58" si="1397">IQ51/$LI51</f>
        <v>0.38390000000000002</v>
      </c>
      <c r="IV51" s="198">
        <f t="shared" si="1378"/>
        <v>404</v>
      </c>
      <c r="IW51" s="225">
        <f t="shared" ref="IW51:IW58" si="1398">IV51/IV$39</f>
        <v>0.52398999999999996</v>
      </c>
      <c r="IX51" s="226">
        <f t="shared" ref="IX51:IX58" si="1399">IX$39*IW51</f>
        <v>21452.15</v>
      </c>
      <c r="IY51" s="137">
        <f t="shared" ref="IY51:IY58" si="1400">IF(IV51&gt;0,IX51/IV51,0)</f>
        <v>53.099381190000003</v>
      </c>
      <c r="IZ51" s="227">
        <f t="shared" si="1382"/>
        <v>9.64</v>
      </c>
      <c r="JA51" s="138">
        <f t="shared" ref="JA51:JA58" si="1401">IY51*IZ51</f>
        <v>511.87803000000002</v>
      </c>
      <c r="JB51" s="110">
        <f t="shared" ref="JB51:JB58" si="1402">JA51*IV51</f>
        <v>206798.72</v>
      </c>
      <c r="JC51" s="110"/>
      <c r="JD51" s="139"/>
      <c r="JE51" s="140">
        <f t="shared" ref="JE51:JE58" si="1403">JA51/$LI51</f>
        <v>0.64193</v>
      </c>
      <c r="JF51" s="198">
        <f t="shared" si="1378"/>
        <v>617</v>
      </c>
      <c r="JG51" s="225">
        <f t="shared" ref="JG51:JG58" si="1404">JF51/JF$39</f>
        <v>0.46010000000000001</v>
      </c>
      <c r="JH51" s="226">
        <f t="shared" ref="JH51:JH58" si="1405">JH$39*JG51</f>
        <v>50132.5</v>
      </c>
      <c r="JI51" s="137">
        <f t="shared" ref="JI51:JI58" si="1406">IF(JF51&gt;0,JH51/JF51,0)</f>
        <v>81.252025930000002</v>
      </c>
      <c r="JJ51" s="227">
        <f t="shared" si="1382"/>
        <v>9.1</v>
      </c>
      <c r="JK51" s="138">
        <f t="shared" ref="JK51:JK58" si="1407">JI51*JJ51</f>
        <v>739.39344000000006</v>
      </c>
      <c r="JL51" s="110">
        <f t="shared" ref="JL51:JL58" si="1408">JK51*JF51</f>
        <v>456205.75</v>
      </c>
      <c r="JM51" s="110"/>
      <c r="JN51" s="139"/>
      <c r="JO51" s="140">
        <f t="shared" ref="JO51:JO58" si="1409">JK51/$LI51</f>
        <v>0.92725000000000002</v>
      </c>
      <c r="JP51" s="198">
        <f t="shared" si="1378"/>
        <v>581</v>
      </c>
      <c r="JQ51" s="225">
        <f t="shared" ref="JQ51:JQ58" si="1410">JP51/JP$39</f>
        <v>0.46516999999999997</v>
      </c>
      <c r="JR51" s="226">
        <f t="shared" ref="JR51:JR58" si="1411">JR$39*JQ51</f>
        <v>60779.11</v>
      </c>
      <c r="JS51" s="137">
        <f t="shared" ref="JS51:JS58" si="1412">IF(JP51&gt;0,JR51/JP51,0)</f>
        <v>104.61120482</v>
      </c>
      <c r="JT51" s="227">
        <f t="shared" si="1382"/>
        <v>10.15</v>
      </c>
      <c r="JU51" s="138">
        <f t="shared" ref="JU51:JU58" si="1413">JS51*JT51</f>
        <v>1061.8037300000001</v>
      </c>
      <c r="JV51" s="110">
        <f t="shared" ref="JV51:JV58" si="1414">JU51*JP51</f>
        <v>616907.97</v>
      </c>
      <c r="JW51" s="110"/>
      <c r="JX51" s="139"/>
      <c r="JY51" s="140">
        <f t="shared" ref="JY51:JY58" si="1415">JU51/$LI51</f>
        <v>1.33158</v>
      </c>
      <c r="JZ51" s="198">
        <f t="shared" si="1378"/>
        <v>520</v>
      </c>
      <c r="KA51" s="225">
        <f t="shared" ref="KA51:KA58" si="1416">JZ51/JZ$39</f>
        <v>0.44712000000000002</v>
      </c>
      <c r="KB51" s="226">
        <f t="shared" ref="KB51:KB58" si="1417">KB$39*KA51</f>
        <v>72898.44</v>
      </c>
      <c r="KC51" s="137">
        <f t="shared" ref="KC51:KC58" si="1418">IF(JZ51&gt;0,KB51/JZ51,0)</f>
        <v>140.18930768999999</v>
      </c>
      <c r="KD51" s="227">
        <f t="shared" si="1382"/>
        <v>8.14</v>
      </c>
      <c r="KE51" s="138">
        <f t="shared" ref="KE51:KE58" si="1419">KC51*KD51</f>
        <v>1141.14096</v>
      </c>
      <c r="KF51" s="110">
        <f t="shared" ref="KF51:KF58" si="1420">KE51*JZ51</f>
        <v>593393.30000000005</v>
      </c>
      <c r="KG51" s="110"/>
      <c r="KH51" s="139"/>
      <c r="KI51" s="140">
        <f t="shared" ref="KI51:KI58" si="1421">KE51/$LI51</f>
        <v>1.4310700000000001</v>
      </c>
      <c r="KJ51" s="198">
        <f t="shared" ref="KJ51:KT58" si="1422">KJ22</f>
        <v>595</v>
      </c>
      <c r="KK51" s="225">
        <f t="shared" ref="KK51:KK58" si="1423">KJ51/KJ$39</f>
        <v>0.44369999999999998</v>
      </c>
      <c r="KL51" s="226">
        <f t="shared" ref="KL51:KL58" si="1424">KL$39*KK51</f>
        <v>31156.61</v>
      </c>
      <c r="KM51" s="137">
        <f t="shared" ref="KM51:KM58" si="1425">IF(KJ51&gt;0,KL51/KJ51,0)</f>
        <v>52.364050419999998</v>
      </c>
      <c r="KN51" s="227">
        <f t="shared" ref="KN51:KX58" si="1426">KN$39</f>
        <v>9.02</v>
      </c>
      <c r="KO51" s="138">
        <f t="shared" ref="KO51:KO58" si="1427">KM51*KN51</f>
        <v>472.32373000000001</v>
      </c>
      <c r="KP51" s="110">
        <f t="shared" ref="KP51:KP58" si="1428">KO51*KJ51</f>
        <v>281032.62</v>
      </c>
      <c r="KQ51" s="110"/>
      <c r="KR51" s="139"/>
      <c r="KS51" s="140">
        <f t="shared" ref="KS51:KS58" si="1429">KO51/$LI51</f>
        <v>0.59233000000000002</v>
      </c>
      <c r="KT51" s="198">
        <f t="shared" si="1422"/>
        <v>509</v>
      </c>
      <c r="KU51" s="225">
        <f t="shared" ref="KU51:KU58" si="1430">KT51/KT$39</f>
        <v>0.45284999999999997</v>
      </c>
      <c r="KV51" s="226">
        <f t="shared" ref="KV51:KV58" si="1431">KV$39*KU51</f>
        <v>203782.5</v>
      </c>
      <c r="KW51" s="137">
        <f t="shared" ref="KW51:KW58" si="1432">IF(KT51&gt;0,KV51/KT51,0)</f>
        <v>400.35854617000001</v>
      </c>
      <c r="KX51" s="227">
        <f t="shared" si="1426"/>
        <v>9.94</v>
      </c>
      <c r="KY51" s="138">
        <f t="shared" ref="KY51:KY58" si="1433">KW51*KX51</f>
        <v>3979.5639500000002</v>
      </c>
      <c r="KZ51" s="110">
        <f t="shared" ref="KZ51:KZ58" si="1434">KY51*KT51</f>
        <v>2025598.05</v>
      </c>
      <c r="LA51" s="110"/>
      <c r="LB51" s="139"/>
      <c r="LC51" s="140">
        <f t="shared" ref="LC51:LC58" si="1435">KY51/$LI51</f>
        <v>4.9906600000000001</v>
      </c>
      <c r="LD51" s="197">
        <f t="shared" si="1235"/>
        <v>13279</v>
      </c>
      <c r="LE51" s="225">
        <f t="shared" si="1236"/>
        <v>0.46521000000000001</v>
      </c>
      <c r="LF51" s="226">
        <f t="shared" si="1237"/>
        <v>1251619.5900000001</v>
      </c>
      <c r="LG51" s="137">
        <f t="shared" si="1238"/>
        <v>94.25556066</v>
      </c>
      <c r="LH51" s="227">
        <f t="shared" si="1239"/>
        <v>8.4600000000000009</v>
      </c>
      <c r="LI51" s="138">
        <f t="shared" si="1240"/>
        <v>797.40204000000006</v>
      </c>
      <c r="LJ51" s="110">
        <f t="shared" si="1241"/>
        <v>10588701.689999999</v>
      </c>
      <c r="LK51" s="110"/>
      <c r="LL51" s="139"/>
    </row>
    <row r="52" spans="1:324" ht="16.5" hidden="1" customHeight="1" x14ac:dyDescent="0.25">
      <c r="A52" s="246"/>
      <c r="B52" s="93" t="s">
        <v>610</v>
      </c>
      <c r="C52" s="12" t="s">
        <v>727</v>
      </c>
      <c r="D52" s="12" t="s">
        <v>427</v>
      </c>
      <c r="E52" s="4" t="s">
        <v>33</v>
      </c>
      <c r="F52" s="198">
        <f t="shared" si="1245"/>
        <v>0</v>
      </c>
      <c r="G52" s="225">
        <f t="shared" si="1242"/>
        <v>0</v>
      </c>
      <c r="H52" s="226">
        <f t="shared" si="1243"/>
        <v>0</v>
      </c>
      <c r="I52" s="137">
        <f t="shared" si="1016"/>
        <v>0</v>
      </c>
      <c r="J52" s="227">
        <f t="shared" si="1244"/>
        <v>7.57</v>
      </c>
      <c r="K52" s="138">
        <f t="shared" si="1017"/>
        <v>0</v>
      </c>
      <c r="L52" s="110">
        <f t="shared" si="1018"/>
        <v>0</v>
      </c>
      <c r="M52" s="110"/>
      <c r="N52" s="139"/>
      <c r="O52" s="140" t="e">
        <f t="shared" si="1019"/>
        <v>#DIV/0!</v>
      </c>
      <c r="P52" s="198">
        <f t="shared" si="1246"/>
        <v>0</v>
      </c>
      <c r="Q52" s="225">
        <f t="shared" si="1247"/>
        <v>0</v>
      </c>
      <c r="R52" s="226">
        <f t="shared" si="1248"/>
        <v>0</v>
      </c>
      <c r="S52" s="137">
        <f t="shared" si="1249"/>
        <v>0</v>
      </c>
      <c r="T52" s="227">
        <f t="shared" si="1250"/>
        <v>8.23</v>
      </c>
      <c r="U52" s="138">
        <f t="shared" si="1251"/>
        <v>0</v>
      </c>
      <c r="V52" s="110">
        <f t="shared" si="1252"/>
        <v>0</v>
      </c>
      <c r="W52" s="110"/>
      <c r="X52" s="139"/>
      <c r="Y52" s="140" t="e">
        <f t="shared" si="1253"/>
        <v>#DIV/0!</v>
      </c>
      <c r="Z52" s="198">
        <f t="shared" si="1246"/>
        <v>0</v>
      </c>
      <c r="AA52" s="225">
        <f t="shared" si="1254"/>
        <v>0</v>
      </c>
      <c r="AB52" s="226">
        <f t="shared" si="1255"/>
        <v>0</v>
      </c>
      <c r="AC52" s="137">
        <f t="shared" si="1256"/>
        <v>0</v>
      </c>
      <c r="AD52" s="227">
        <f t="shared" si="1250"/>
        <v>8.8000000000000007</v>
      </c>
      <c r="AE52" s="138">
        <f t="shared" si="1257"/>
        <v>0</v>
      </c>
      <c r="AF52" s="110">
        <f t="shared" si="1258"/>
        <v>0</v>
      </c>
      <c r="AG52" s="110"/>
      <c r="AH52" s="139"/>
      <c r="AI52" s="140" t="e">
        <f t="shared" si="1259"/>
        <v>#DIV/0!</v>
      </c>
      <c r="AJ52" s="198">
        <f t="shared" si="1246"/>
        <v>0</v>
      </c>
      <c r="AK52" s="225">
        <f t="shared" si="1260"/>
        <v>0</v>
      </c>
      <c r="AL52" s="226">
        <f t="shared" si="1261"/>
        <v>0</v>
      </c>
      <c r="AM52" s="137">
        <f t="shared" si="1262"/>
        <v>0</v>
      </c>
      <c r="AN52" s="227">
        <f t="shared" si="1250"/>
        <v>7.52</v>
      </c>
      <c r="AO52" s="138">
        <f t="shared" si="1263"/>
        <v>0</v>
      </c>
      <c r="AP52" s="110">
        <f t="shared" si="1264"/>
        <v>0</v>
      </c>
      <c r="AQ52" s="110"/>
      <c r="AR52" s="139"/>
      <c r="AS52" s="140" t="e">
        <f t="shared" si="1265"/>
        <v>#DIV/0!</v>
      </c>
      <c r="AT52" s="198">
        <f t="shared" si="1246"/>
        <v>0</v>
      </c>
      <c r="AU52" s="225">
        <f t="shared" si="1266"/>
        <v>0</v>
      </c>
      <c r="AV52" s="226">
        <f t="shared" si="1267"/>
        <v>0</v>
      </c>
      <c r="AW52" s="137">
        <f t="shared" si="1268"/>
        <v>0</v>
      </c>
      <c r="AX52" s="227">
        <f t="shared" si="1250"/>
        <v>6.88</v>
      </c>
      <c r="AY52" s="138">
        <f t="shared" si="1269"/>
        <v>0</v>
      </c>
      <c r="AZ52" s="110">
        <f t="shared" si="1270"/>
        <v>0</v>
      </c>
      <c r="BA52" s="110"/>
      <c r="BB52" s="139"/>
      <c r="BC52" s="140" t="e">
        <f t="shared" si="1271"/>
        <v>#DIV/0!</v>
      </c>
      <c r="BD52" s="198">
        <f t="shared" si="1246"/>
        <v>0</v>
      </c>
      <c r="BE52" s="225">
        <f t="shared" si="1272"/>
        <v>0</v>
      </c>
      <c r="BF52" s="226">
        <f t="shared" si="1273"/>
        <v>0</v>
      </c>
      <c r="BG52" s="137">
        <f t="shared" si="1274"/>
        <v>0</v>
      </c>
      <c r="BH52" s="227">
        <f t="shared" si="1250"/>
        <v>9.74</v>
      </c>
      <c r="BI52" s="138">
        <f t="shared" si="1275"/>
        <v>0</v>
      </c>
      <c r="BJ52" s="110">
        <f t="shared" si="1276"/>
        <v>0</v>
      </c>
      <c r="BK52" s="110"/>
      <c r="BL52" s="139"/>
      <c r="BM52" s="140" t="e">
        <f t="shared" si="1277"/>
        <v>#DIV/0!</v>
      </c>
      <c r="BN52" s="198">
        <f t="shared" si="1246"/>
        <v>0</v>
      </c>
      <c r="BO52" s="225">
        <f t="shared" si="1278"/>
        <v>0</v>
      </c>
      <c r="BP52" s="226">
        <f t="shared" si="1279"/>
        <v>0</v>
      </c>
      <c r="BQ52" s="137">
        <f t="shared" si="1280"/>
        <v>0</v>
      </c>
      <c r="BR52" s="227">
        <f t="shared" si="1250"/>
        <v>10.32</v>
      </c>
      <c r="BS52" s="138">
        <f t="shared" si="1281"/>
        <v>0</v>
      </c>
      <c r="BT52" s="110">
        <f t="shared" si="1282"/>
        <v>0</v>
      </c>
      <c r="BU52" s="110"/>
      <c r="BV52" s="139"/>
      <c r="BW52" s="140" t="e">
        <f t="shared" si="1283"/>
        <v>#DIV/0!</v>
      </c>
      <c r="BX52" s="198">
        <f t="shared" si="1246"/>
        <v>0</v>
      </c>
      <c r="BY52" s="225">
        <f t="shared" si="1284"/>
        <v>0</v>
      </c>
      <c r="BZ52" s="226">
        <f t="shared" si="1285"/>
        <v>0</v>
      </c>
      <c r="CA52" s="137">
        <f t="shared" si="1286"/>
        <v>0</v>
      </c>
      <c r="CB52" s="227">
        <f t="shared" si="1250"/>
        <v>7.89</v>
      </c>
      <c r="CC52" s="138">
        <f t="shared" si="1287"/>
        <v>0</v>
      </c>
      <c r="CD52" s="110">
        <f t="shared" si="1288"/>
        <v>0</v>
      </c>
      <c r="CE52" s="110"/>
      <c r="CF52" s="139"/>
      <c r="CG52" s="140" t="e">
        <f t="shared" si="1289"/>
        <v>#DIV/0!</v>
      </c>
      <c r="CH52" s="198">
        <f t="shared" si="1290"/>
        <v>0</v>
      </c>
      <c r="CI52" s="225">
        <f t="shared" si="1291"/>
        <v>0</v>
      </c>
      <c r="CJ52" s="226">
        <f t="shared" si="1292"/>
        <v>0</v>
      </c>
      <c r="CK52" s="137">
        <f t="shared" si="1293"/>
        <v>0</v>
      </c>
      <c r="CL52" s="227">
        <f t="shared" si="1294"/>
        <v>8.24</v>
      </c>
      <c r="CM52" s="138">
        <f t="shared" si="1295"/>
        <v>0</v>
      </c>
      <c r="CN52" s="110">
        <f t="shared" si="1296"/>
        <v>0</v>
      </c>
      <c r="CO52" s="110"/>
      <c r="CP52" s="139"/>
      <c r="CQ52" s="140" t="e">
        <f t="shared" si="1297"/>
        <v>#DIV/0!</v>
      </c>
      <c r="CR52" s="198">
        <f t="shared" si="1290"/>
        <v>0</v>
      </c>
      <c r="CS52" s="225">
        <f t="shared" si="1298"/>
        <v>0</v>
      </c>
      <c r="CT52" s="226">
        <f t="shared" si="1299"/>
        <v>0</v>
      </c>
      <c r="CU52" s="137">
        <f t="shared" si="1300"/>
        <v>0</v>
      </c>
      <c r="CV52" s="227">
        <f t="shared" si="1294"/>
        <v>8.92</v>
      </c>
      <c r="CW52" s="138">
        <f t="shared" si="1301"/>
        <v>0</v>
      </c>
      <c r="CX52" s="110">
        <f t="shared" si="1302"/>
        <v>0</v>
      </c>
      <c r="CY52" s="110"/>
      <c r="CZ52" s="139"/>
      <c r="DA52" s="140" t="e">
        <f t="shared" si="1303"/>
        <v>#DIV/0!</v>
      </c>
      <c r="DB52" s="198">
        <f t="shared" si="1290"/>
        <v>0</v>
      </c>
      <c r="DC52" s="225">
        <f t="shared" si="1304"/>
        <v>0</v>
      </c>
      <c r="DD52" s="226">
        <f t="shared" si="1305"/>
        <v>0</v>
      </c>
      <c r="DE52" s="137">
        <f t="shared" si="1306"/>
        <v>0</v>
      </c>
      <c r="DF52" s="227">
        <f t="shared" si="1294"/>
        <v>7.48</v>
      </c>
      <c r="DG52" s="138">
        <f t="shared" si="1307"/>
        <v>0</v>
      </c>
      <c r="DH52" s="110">
        <f t="shared" si="1308"/>
        <v>0</v>
      </c>
      <c r="DI52" s="110"/>
      <c r="DJ52" s="139"/>
      <c r="DK52" s="140" t="e">
        <f t="shared" si="1309"/>
        <v>#DIV/0!</v>
      </c>
      <c r="DL52" s="198">
        <f t="shared" si="1290"/>
        <v>0</v>
      </c>
      <c r="DM52" s="225">
        <f t="shared" si="1310"/>
        <v>0</v>
      </c>
      <c r="DN52" s="226">
        <f t="shared" si="1311"/>
        <v>0</v>
      </c>
      <c r="DO52" s="137">
        <f t="shared" si="1312"/>
        <v>0</v>
      </c>
      <c r="DP52" s="227">
        <f t="shared" si="1294"/>
        <v>8.2200000000000006</v>
      </c>
      <c r="DQ52" s="138">
        <f t="shared" si="1313"/>
        <v>0</v>
      </c>
      <c r="DR52" s="110">
        <f t="shared" si="1314"/>
        <v>0</v>
      </c>
      <c r="DS52" s="110"/>
      <c r="DT52" s="139"/>
      <c r="DU52" s="140" t="e">
        <f t="shared" si="1315"/>
        <v>#DIV/0!</v>
      </c>
      <c r="DV52" s="198">
        <f t="shared" si="1290"/>
        <v>0</v>
      </c>
      <c r="DW52" s="225">
        <f t="shared" si="1316"/>
        <v>0</v>
      </c>
      <c r="DX52" s="226">
        <f t="shared" si="1317"/>
        <v>0</v>
      </c>
      <c r="DY52" s="137">
        <f t="shared" si="1318"/>
        <v>0</v>
      </c>
      <c r="DZ52" s="227">
        <f t="shared" si="1294"/>
        <v>7.91</v>
      </c>
      <c r="EA52" s="138">
        <f t="shared" si="1319"/>
        <v>0</v>
      </c>
      <c r="EB52" s="110">
        <f t="shared" si="1320"/>
        <v>0</v>
      </c>
      <c r="EC52" s="110"/>
      <c r="ED52" s="139"/>
      <c r="EE52" s="140" t="e">
        <f t="shared" si="1321"/>
        <v>#DIV/0!</v>
      </c>
      <c r="EF52" s="198">
        <f t="shared" si="1290"/>
        <v>0</v>
      </c>
      <c r="EG52" s="225">
        <f t="shared" si="1322"/>
        <v>0</v>
      </c>
      <c r="EH52" s="226">
        <f t="shared" si="1323"/>
        <v>0</v>
      </c>
      <c r="EI52" s="137">
        <f t="shared" si="1324"/>
        <v>0</v>
      </c>
      <c r="EJ52" s="227">
        <f t="shared" si="1294"/>
        <v>7.63</v>
      </c>
      <c r="EK52" s="138">
        <f t="shared" si="1325"/>
        <v>0</v>
      </c>
      <c r="EL52" s="110">
        <f t="shared" si="1326"/>
        <v>0</v>
      </c>
      <c r="EM52" s="110"/>
      <c r="EN52" s="139"/>
      <c r="EO52" s="140" t="e">
        <f t="shared" si="1327"/>
        <v>#DIV/0!</v>
      </c>
      <c r="EP52" s="198">
        <f t="shared" si="1290"/>
        <v>0</v>
      </c>
      <c r="EQ52" s="225">
        <f t="shared" si="1328"/>
        <v>0</v>
      </c>
      <c r="ER52" s="226">
        <f t="shared" si="1329"/>
        <v>0</v>
      </c>
      <c r="ES52" s="137">
        <f t="shared" si="1330"/>
        <v>0</v>
      </c>
      <c r="ET52" s="227">
        <f t="shared" si="1294"/>
        <v>7.95</v>
      </c>
      <c r="EU52" s="138">
        <f t="shared" si="1331"/>
        <v>0</v>
      </c>
      <c r="EV52" s="110">
        <f t="shared" si="1332"/>
        <v>0</v>
      </c>
      <c r="EW52" s="110"/>
      <c r="EX52" s="139"/>
      <c r="EY52" s="140" t="e">
        <f t="shared" si="1333"/>
        <v>#DIV/0!</v>
      </c>
      <c r="EZ52" s="198">
        <f t="shared" si="1334"/>
        <v>0</v>
      </c>
      <c r="FA52" s="225">
        <f t="shared" si="1335"/>
        <v>0</v>
      </c>
      <c r="FB52" s="226">
        <f t="shared" si="1336"/>
        <v>0</v>
      </c>
      <c r="FC52" s="137">
        <f t="shared" si="1337"/>
        <v>0</v>
      </c>
      <c r="FD52" s="227">
        <f t="shared" si="1338"/>
        <v>10.210000000000001</v>
      </c>
      <c r="FE52" s="138">
        <f t="shared" si="1339"/>
        <v>0</v>
      </c>
      <c r="FF52" s="110">
        <f t="shared" si="1340"/>
        <v>0</v>
      </c>
      <c r="FG52" s="110"/>
      <c r="FH52" s="139"/>
      <c r="FI52" s="140" t="e">
        <f t="shared" si="1341"/>
        <v>#DIV/0!</v>
      </c>
      <c r="FJ52" s="198">
        <f t="shared" si="1334"/>
        <v>0</v>
      </c>
      <c r="FK52" s="225">
        <f t="shared" si="1342"/>
        <v>0</v>
      </c>
      <c r="FL52" s="226">
        <f t="shared" si="1343"/>
        <v>0</v>
      </c>
      <c r="FM52" s="137">
        <f t="shared" si="1344"/>
        <v>0</v>
      </c>
      <c r="FN52" s="227">
        <f t="shared" si="1338"/>
        <v>9.52</v>
      </c>
      <c r="FO52" s="138">
        <f t="shared" si="1345"/>
        <v>0</v>
      </c>
      <c r="FP52" s="110">
        <f t="shared" si="1346"/>
        <v>0</v>
      </c>
      <c r="FQ52" s="110"/>
      <c r="FR52" s="139"/>
      <c r="FS52" s="140" t="e">
        <f t="shared" si="1347"/>
        <v>#DIV/0!</v>
      </c>
      <c r="FT52" s="198">
        <f t="shared" si="1334"/>
        <v>0</v>
      </c>
      <c r="FU52" s="225">
        <f t="shared" si="1348"/>
        <v>0</v>
      </c>
      <c r="FV52" s="226">
        <f t="shared" si="1349"/>
        <v>0</v>
      </c>
      <c r="FW52" s="137">
        <f t="shared" si="1350"/>
        <v>0</v>
      </c>
      <c r="FX52" s="227">
        <f t="shared" si="1338"/>
        <v>9.57</v>
      </c>
      <c r="FY52" s="138">
        <f t="shared" si="1351"/>
        <v>0</v>
      </c>
      <c r="FZ52" s="110">
        <f t="shared" si="1352"/>
        <v>0</v>
      </c>
      <c r="GA52" s="110"/>
      <c r="GB52" s="139"/>
      <c r="GC52" s="140" t="e">
        <f t="shared" si="1353"/>
        <v>#DIV/0!</v>
      </c>
      <c r="GD52" s="198">
        <f t="shared" si="1334"/>
        <v>0</v>
      </c>
      <c r="GE52" s="225">
        <f t="shared" si="1354"/>
        <v>0</v>
      </c>
      <c r="GF52" s="226">
        <f t="shared" si="1355"/>
        <v>0</v>
      </c>
      <c r="GG52" s="137">
        <f t="shared" si="1356"/>
        <v>0</v>
      </c>
      <c r="GH52" s="227">
        <f t="shared" si="1338"/>
        <v>8.39</v>
      </c>
      <c r="GI52" s="138">
        <f t="shared" si="1357"/>
        <v>0</v>
      </c>
      <c r="GJ52" s="110">
        <f t="shared" si="1358"/>
        <v>0</v>
      </c>
      <c r="GK52" s="110"/>
      <c r="GL52" s="139"/>
      <c r="GM52" s="140" t="e">
        <f t="shared" si="1359"/>
        <v>#DIV/0!</v>
      </c>
      <c r="GN52" s="198">
        <f t="shared" si="1334"/>
        <v>0</v>
      </c>
      <c r="GO52" s="225">
        <f t="shared" si="1360"/>
        <v>0</v>
      </c>
      <c r="GP52" s="226">
        <f t="shared" si="1361"/>
        <v>0</v>
      </c>
      <c r="GQ52" s="137">
        <f t="shared" si="1362"/>
        <v>0</v>
      </c>
      <c r="GR52" s="227">
        <f t="shared" si="1338"/>
        <v>7.63</v>
      </c>
      <c r="GS52" s="138">
        <f t="shared" si="1363"/>
        <v>0</v>
      </c>
      <c r="GT52" s="110">
        <f t="shared" si="1364"/>
        <v>0</v>
      </c>
      <c r="GU52" s="110"/>
      <c r="GV52" s="139"/>
      <c r="GW52" s="140" t="e">
        <f t="shared" si="1365"/>
        <v>#DIV/0!</v>
      </c>
      <c r="GX52" s="198">
        <f t="shared" si="1334"/>
        <v>0</v>
      </c>
      <c r="GY52" s="225">
        <f t="shared" si="1366"/>
        <v>0</v>
      </c>
      <c r="GZ52" s="226">
        <f t="shared" si="1367"/>
        <v>0</v>
      </c>
      <c r="HA52" s="137">
        <f t="shared" si="1368"/>
        <v>0</v>
      </c>
      <c r="HB52" s="227">
        <f t="shared" si="1338"/>
        <v>4.8899999999999997</v>
      </c>
      <c r="HC52" s="138">
        <f t="shared" si="1369"/>
        <v>0</v>
      </c>
      <c r="HD52" s="110">
        <f t="shared" si="1370"/>
        <v>0</v>
      </c>
      <c r="HE52" s="110"/>
      <c r="HF52" s="139"/>
      <c r="HG52" s="140" t="e">
        <f t="shared" si="1371"/>
        <v>#DIV/0!</v>
      </c>
      <c r="HH52" s="198">
        <f t="shared" si="1334"/>
        <v>0</v>
      </c>
      <c r="HI52" s="225">
        <f t="shared" si="1372"/>
        <v>0</v>
      </c>
      <c r="HJ52" s="226">
        <f t="shared" si="1373"/>
        <v>0</v>
      </c>
      <c r="HK52" s="137">
        <f t="shared" si="1374"/>
        <v>0</v>
      </c>
      <c r="HL52" s="227">
        <f t="shared" si="1338"/>
        <v>5.98</v>
      </c>
      <c r="HM52" s="138">
        <f t="shared" si="1375"/>
        <v>0</v>
      </c>
      <c r="HN52" s="110">
        <f t="shared" si="1376"/>
        <v>0</v>
      </c>
      <c r="HO52" s="110"/>
      <c r="HP52" s="139"/>
      <c r="HQ52" s="140" t="e">
        <f t="shared" si="1377"/>
        <v>#DIV/0!</v>
      </c>
      <c r="HR52" s="198">
        <f t="shared" si="1378"/>
        <v>0</v>
      </c>
      <c r="HS52" s="225">
        <f t="shared" si="1379"/>
        <v>0</v>
      </c>
      <c r="HT52" s="226">
        <f t="shared" si="1380"/>
        <v>0</v>
      </c>
      <c r="HU52" s="137">
        <f t="shared" si="1381"/>
        <v>0</v>
      </c>
      <c r="HV52" s="227">
        <f t="shared" si="1382"/>
        <v>9.76</v>
      </c>
      <c r="HW52" s="138">
        <f t="shared" si="1383"/>
        <v>0</v>
      </c>
      <c r="HX52" s="110">
        <f t="shared" si="1384"/>
        <v>0</v>
      </c>
      <c r="HY52" s="110"/>
      <c r="HZ52" s="139"/>
      <c r="IA52" s="140" t="e">
        <f t="shared" si="1385"/>
        <v>#DIV/0!</v>
      </c>
      <c r="IB52" s="198">
        <f t="shared" si="1378"/>
        <v>0</v>
      </c>
      <c r="IC52" s="225">
        <f t="shared" si="1386"/>
        <v>0</v>
      </c>
      <c r="ID52" s="226">
        <f t="shared" si="1387"/>
        <v>0</v>
      </c>
      <c r="IE52" s="137">
        <f t="shared" si="1388"/>
        <v>0</v>
      </c>
      <c r="IF52" s="227">
        <f t="shared" si="1382"/>
        <v>7.76</v>
      </c>
      <c r="IG52" s="138">
        <f t="shared" si="1389"/>
        <v>0</v>
      </c>
      <c r="IH52" s="110">
        <f t="shared" si="1390"/>
        <v>0</v>
      </c>
      <c r="II52" s="110"/>
      <c r="IJ52" s="139"/>
      <c r="IK52" s="140" t="e">
        <f t="shared" si="1391"/>
        <v>#DIV/0!</v>
      </c>
      <c r="IL52" s="198">
        <f t="shared" si="1378"/>
        <v>0</v>
      </c>
      <c r="IM52" s="225">
        <f t="shared" si="1392"/>
        <v>0</v>
      </c>
      <c r="IN52" s="226">
        <f t="shared" si="1393"/>
        <v>0</v>
      </c>
      <c r="IO52" s="137">
        <f t="shared" si="1394"/>
        <v>0</v>
      </c>
      <c r="IP52" s="227">
        <f t="shared" si="1382"/>
        <v>7.4</v>
      </c>
      <c r="IQ52" s="138">
        <f t="shared" si="1395"/>
        <v>0</v>
      </c>
      <c r="IR52" s="110">
        <f t="shared" si="1396"/>
        <v>0</v>
      </c>
      <c r="IS52" s="110"/>
      <c r="IT52" s="139"/>
      <c r="IU52" s="140" t="e">
        <f t="shared" si="1397"/>
        <v>#DIV/0!</v>
      </c>
      <c r="IV52" s="198">
        <f t="shared" si="1378"/>
        <v>0</v>
      </c>
      <c r="IW52" s="225">
        <f t="shared" si="1398"/>
        <v>0</v>
      </c>
      <c r="IX52" s="226">
        <f t="shared" si="1399"/>
        <v>0</v>
      </c>
      <c r="IY52" s="137">
        <f t="shared" si="1400"/>
        <v>0</v>
      </c>
      <c r="IZ52" s="227">
        <f t="shared" si="1382"/>
        <v>9.64</v>
      </c>
      <c r="JA52" s="138">
        <f t="shared" si="1401"/>
        <v>0</v>
      </c>
      <c r="JB52" s="110">
        <f t="shared" si="1402"/>
        <v>0</v>
      </c>
      <c r="JC52" s="110"/>
      <c r="JD52" s="139"/>
      <c r="JE52" s="140" t="e">
        <f t="shared" si="1403"/>
        <v>#DIV/0!</v>
      </c>
      <c r="JF52" s="198">
        <f t="shared" si="1378"/>
        <v>0</v>
      </c>
      <c r="JG52" s="225">
        <f t="shared" si="1404"/>
        <v>0</v>
      </c>
      <c r="JH52" s="226">
        <f t="shared" si="1405"/>
        <v>0</v>
      </c>
      <c r="JI52" s="137">
        <f t="shared" si="1406"/>
        <v>0</v>
      </c>
      <c r="JJ52" s="227">
        <f t="shared" si="1382"/>
        <v>9.1</v>
      </c>
      <c r="JK52" s="138">
        <f t="shared" si="1407"/>
        <v>0</v>
      </c>
      <c r="JL52" s="110">
        <f t="shared" si="1408"/>
        <v>0</v>
      </c>
      <c r="JM52" s="110"/>
      <c r="JN52" s="139"/>
      <c r="JO52" s="140" t="e">
        <f t="shared" si="1409"/>
        <v>#DIV/0!</v>
      </c>
      <c r="JP52" s="198">
        <f t="shared" si="1378"/>
        <v>0</v>
      </c>
      <c r="JQ52" s="225">
        <f t="shared" si="1410"/>
        <v>0</v>
      </c>
      <c r="JR52" s="226">
        <f t="shared" si="1411"/>
        <v>0</v>
      </c>
      <c r="JS52" s="137">
        <f t="shared" si="1412"/>
        <v>0</v>
      </c>
      <c r="JT52" s="227">
        <f t="shared" si="1382"/>
        <v>10.15</v>
      </c>
      <c r="JU52" s="138">
        <f t="shared" si="1413"/>
        <v>0</v>
      </c>
      <c r="JV52" s="110">
        <f t="shared" si="1414"/>
        <v>0</v>
      </c>
      <c r="JW52" s="110"/>
      <c r="JX52" s="139"/>
      <c r="JY52" s="140" t="e">
        <f t="shared" si="1415"/>
        <v>#DIV/0!</v>
      </c>
      <c r="JZ52" s="198">
        <f t="shared" si="1378"/>
        <v>0</v>
      </c>
      <c r="KA52" s="225">
        <f t="shared" si="1416"/>
        <v>0</v>
      </c>
      <c r="KB52" s="226">
        <f t="shared" si="1417"/>
        <v>0</v>
      </c>
      <c r="KC52" s="137">
        <f t="shared" si="1418"/>
        <v>0</v>
      </c>
      <c r="KD52" s="227">
        <f t="shared" si="1382"/>
        <v>8.14</v>
      </c>
      <c r="KE52" s="138">
        <f t="shared" si="1419"/>
        <v>0</v>
      </c>
      <c r="KF52" s="110">
        <f t="shared" si="1420"/>
        <v>0</v>
      </c>
      <c r="KG52" s="110"/>
      <c r="KH52" s="139"/>
      <c r="KI52" s="140" t="e">
        <f t="shared" si="1421"/>
        <v>#DIV/0!</v>
      </c>
      <c r="KJ52" s="198">
        <f t="shared" si="1422"/>
        <v>0</v>
      </c>
      <c r="KK52" s="225">
        <f t="shared" si="1423"/>
        <v>0</v>
      </c>
      <c r="KL52" s="226">
        <f t="shared" si="1424"/>
        <v>0</v>
      </c>
      <c r="KM52" s="137">
        <f t="shared" si="1425"/>
        <v>0</v>
      </c>
      <c r="KN52" s="227">
        <f t="shared" si="1426"/>
        <v>9.02</v>
      </c>
      <c r="KO52" s="138">
        <f t="shared" si="1427"/>
        <v>0</v>
      </c>
      <c r="KP52" s="110">
        <f t="shared" si="1428"/>
        <v>0</v>
      </c>
      <c r="KQ52" s="110"/>
      <c r="KR52" s="139"/>
      <c r="KS52" s="140" t="e">
        <f t="shared" si="1429"/>
        <v>#DIV/0!</v>
      </c>
      <c r="KT52" s="198">
        <f t="shared" si="1422"/>
        <v>0</v>
      </c>
      <c r="KU52" s="225">
        <f t="shared" si="1430"/>
        <v>0</v>
      </c>
      <c r="KV52" s="226">
        <f t="shared" si="1431"/>
        <v>0</v>
      </c>
      <c r="KW52" s="137">
        <f t="shared" si="1432"/>
        <v>0</v>
      </c>
      <c r="KX52" s="227">
        <f t="shared" si="1426"/>
        <v>9.94</v>
      </c>
      <c r="KY52" s="138">
        <f t="shared" si="1433"/>
        <v>0</v>
      </c>
      <c r="KZ52" s="110">
        <f t="shared" si="1434"/>
        <v>0</v>
      </c>
      <c r="LA52" s="110"/>
      <c r="LB52" s="139"/>
      <c r="LC52" s="140" t="e">
        <f t="shared" si="1435"/>
        <v>#DIV/0!</v>
      </c>
      <c r="LD52" s="197">
        <f t="shared" si="1235"/>
        <v>0</v>
      </c>
      <c r="LE52" s="225">
        <f t="shared" si="1236"/>
        <v>0</v>
      </c>
      <c r="LF52" s="226">
        <f t="shared" si="1237"/>
        <v>0</v>
      </c>
      <c r="LG52" s="137">
        <f t="shared" si="1238"/>
        <v>0</v>
      </c>
      <c r="LH52" s="227">
        <f t="shared" si="1239"/>
        <v>8.4600000000000009</v>
      </c>
      <c r="LI52" s="138">
        <f t="shared" si="1240"/>
        <v>0</v>
      </c>
      <c r="LJ52" s="110">
        <f t="shared" si="1241"/>
        <v>0</v>
      </c>
      <c r="LK52" s="110"/>
      <c r="LL52" s="139"/>
    </row>
    <row r="53" spans="1:324" ht="17.25" customHeight="1" x14ac:dyDescent="0.25">
      <c r="A53" s="246"/>
      <c r="B53" s="70" t="s">
        <v>625</v>
      </c>
      <c r="C53" s="12" t="s">
        <v>728</v>
      </c>
      <c r="D53" s="12" t="s">
        <v>430</v>
      </c>
      <c r="E53" s="4" t="s">
        <v>33</v>
      </c>
      <c r="F53" s="198">
        <f t="shared" si="1245"/>
        <v>12</v>
      </c>
      <c r="G53" s="225">
        <f t="shared" si="1242"/>
        <v>1.993E-2</v>
      </c>
      <c r="H53" s="226">
        <f t="shared" si="1243"/>
        <v>978.76</v>
      </c>
      <c r="I53" s="137">
        <f t="shared" si="1016"/>
        <v>81.563333330000006</v>
      </c>
      <c r="J53" s="227">
        <f t="shared" si="1244"/>
        <v>7.57</v>
      </c>
      <c r="K53" s="138">
        <f t="shared" si="1017"/>
        <v>617.43443000000002</v>
      </c>
      <c r="L53" s="110">
        <f t="shared" si="1018"/>
        <v>7409.21</v>
      </c>
      <c r="M53" s="110"/>
      <c r="N53" s="139"/>
      <c r="O53" s="140">
        <f t="shared" si="1019"/>
        <v>0.77437</v>
      </c>
      <c r="P53" s="198">
        <f t="shared" si="1246"/>
        <v>0</v>
      </c>
      <c r="Q53" s="225">
        <f t="shared" si="1247"/>
        <v>0</v>
      </c>
      <c r="R53" s="226">
        <f t="shared" si="1248"/>
        <v>0</v>
      </c>
      <c r="S53" s="137">
        <f t="shared" si="1249"/>
        <v>0</v>
      </c>
      <c r="T53" s="227">
        <f t="shared" si="1250"/>
        <v>8.23</v>
      </c>
      <c r="U53" s="138">
        <f t="shared" si="1251"/>
        <v>0</v>
      </c>
      <c r="V53" s="110">
        <f t="shared" si="1252"/>
        <v>0</v>
      </c>
      <c r="W53" s="110"/>
      <c r="X53" s="139"/>
      <c r="Y53" s="140">
        <f t="shared" si="1253"/>
        <v>0</v>
      </c>
      <c r="Z53" s="198">
        <f t="shared" si="1246"/>
        <v>0</v>
      </c>
      <c r="AA53" s="225">
        <f t="shared" si="1254"/>
        <v>0</v>
      </c>
      <c r="AB53" s="226">
        <f t="shared" si="1255"/>
        <v>0</v>
      </c>
      <c r="AC53" s="137">
        <f t="shared" si="1256"/>
        <v>0</v>
      </c>
      <c r="AD53" s="227">
        <f t="shared" si="1250"/>
        <v>8.8000000000000007</v>
      </c>
      <c r="AE53" s="138">
        <f t="shared" si="1257"/>
        <v>0</v>
      </c>
      <c r="AF53" s="110">
        <f t="shared" si="1258"/>
        <v>0</v>
      </c>
      <c r="AG53" s="110"/>
      <c r="AH53" s="139"/>
      <c r="AI53" s="140">
        <f t="shared" si="1259"/>
        <v>0</v>
      </c>
      <c r="AJ53" s="198">
        <f t="shared" si="1246"/>
        <v>0</v>
      </c>
      <c r="AK53" s="225">
        <f t="shared" si="1260"/>
        <v>0</v>
      </c>
      <c r="AL53" s="226">
        <f t="shared" si="1261"/>
        <v>0</v>
      </c>
      <c r="AM53" s="137">
        <f t="shared" si="1262"/>
        <v>0</v>
      </c>
      <c r="AN53" s="227">
        <f t="shared" si="1250"/>
        <v>7.52</v>
      </c>
      <c r="AO53" s="138">
        <f t="shared" si="1263"/>
        <v>0</v>
      </c>
      <c r="AP53" s="110">
        <f t="shared" si="1264"/>
        <v>0</v>
      </c>
      <c r="AQ53" s="110"/>
      <c r="AR53" s="139"/>
      <c r="AS53" s="140">
        <f t="shared" si="1265"/>
        <v>0</v>
      </c>
      <c r="AT53" s="198">
        <f t="shared" si="1246"/>
        <v>19</v>
      </c>
      <c r="AU53" s="225">
        <f t="shared" si="1266"/>
        <v>1.9980000000000001E-2</v>
      </c>
      <c r="AV53" s="226">
        <f t="shared" si="1267"/>
        <v>832.97</v>
      </c>
      <c r="AW53" s="137">
        <f t="shared" si="1268"/>
        <v>43.840526320000002</v>
      </c>
      <c r="AX53" s="227">
        <f t="shared" si="1250"/>
        <v>6.88</v>
      </c>
      <c r="AY53" s="138">
        <f t="shared" si="1269"/>
        <v>301.62281999999999</v>
      </c>
      <c r="AZ53" s="110">
        <f t="shared" si="1270"/>
        <v>5730.83</v>
      </c>
      <c r="BA53" s="110"/>
      <c r="BB53" s="139"/>
      <c r="BC53" s="140">
        <f t="shared" si="1271"/>
        <v>0.37829000000000002</v>
      </c>
      <c r="BD53" s="198">
        <f t="shared" si="1246"/>
        <v>0</v>
      </c>
      <c r="BE53" s="225">
        <f t="shared" si="1272"/>
        <v>0</v>
      </c>
      <c r="BF53" s="226">
        <f t="shared" si="1273"/>
        <v>0</v>
      </c>
      <c r="BG53" s="137">
        <f t="shared" si="1274"/>
        <v>0</v>
      </c>
      <c r="BH53" s="227">
        <f t="shared" si="1250"/>
        <v>9.74</v>
      </c>
      <c r="BI53" s="138">
        <f t="shared" si="1275"/>
        <v>0</v>
      </c>
      <c r="BJ53" s="110">
        <f t="shared" si="1276"/>
        <v>0</v>
      </c>
      <c r="BK53" s="110"/>
      <c r="BL53" s="139"/>
      <c r="BM53" s="140">
        <f t="shared" si="1277"/>
        <v>0</v>
      </c>
      <c r="BN53" s="198">
        <f t="shared" si="1246"/>
        <v>0</v>
      </c>
      <c r="BO53" s="225">
        <f t="shared" si="1278"/>
        <v>0</v>
      </c>
      <c r="BP53" s="226">
        <f t="shared" si="1279"/>
        <v>0</v>
      </c>
      <c r="BQ53" s="137">
        <f t="shared" si="1280"/>
        <v>0</v>
      </c>
      <c r="BR53" s="227">
        <f t="shared" si="1250"/>
        <v>10.32</v>
      </c>
      <c r="BS53" s="138">
        <f t="shared" si="1281"/>
        <v>0</v>
      </c>
      <c r="BT53" s="110">
        <f t="shared" si="1282"/>
        <v>0</v>
      </c>
      <c r="BU53" s="110"/>
      <c r="BV53" s="139"/>
      <c r="BW53" s="140">
        <f t="shared" si="1283"/>
        <v>0</v>
      </c>
      <c r="BX53" s="198">
        <f t="shared" si="1246"/>
        <v>0</v>
      </c>
      <c r="BY53" s="225">
        <f t="shared" si="1284"/>
        <v>0</v>
      </c>
      <c r="BZ53" s="226">
        <f t="shared" si="1285"/>
        <v>0</v>
      </c>
      <c r="CA53" s="137">
        <f t="shared" si="1286"/>
        <v>0</v>
      </c>
      <c r="CB53" s="227">
        <f t="shared" si="1250"/>
        <v>7.89</v>
      </c>
      <c r="CC53" s="138">
        <f t="shared" si="1287"/>
        <v>0</v>
      </c>
      <c r="CD53" s="110">
        <f t="shared" si="1288"/>
        <v>0</v>
      </c>
      <c r="CE53" s="110"/>
      <c r="CF53" s="139"/>
      <c r="CG53" s="140">
        <f t="shared" si="1289"/>
        <v>0</v>
      </c>
      <c r="CH53" s="198">
        <f t="shared" si="1290"/>
        <v>0</v>
      </c>
      <c r="CI53" s="225">
        <f t="shared" si="1291"/>
        <v>0</v>
      </c>
      <c r="CJ53" s="226">
        <f t="shared" si="1292"/>
        <v>0</v>
      </c>
      <c r="CK53" s="137">
        <f t="shared" si="1293"/>
        <v>0</v>
      </c>
      <c r="CL53" s="227">
        <f t="shared" si="1294"/>
        <v>8.24</v>
      </c>
      <c r="CM53" s="138">
        <f t="shared" si="1295"/>
        <v>0</v>
      </c>
      <c r="CN53" s="110">
        <f t="shared" si="1296"/>
        <v>0</v>
      </c>
      <c r="CO53" s="110"/>
      <c r="CP53" s="139"/>
      <c r="CQ53" s="140">
        <f t="shared" si="1297"/>
        <v>0</v>
      </c>
      <c r="CR53" s="198">
        <f t="shared" si="1290"/>
        <v>15</v>
      </c>
      <c r="CS53" s="225">
        <f t="shared" si="1298"/>
        <v>2.0160000000000001E-2</v>
      </c>
      <c r="CT53" s="226">
        <f t="shared" si="1299"/>
        <v>1274.92</v>
      </c>
      <c r="CU53" s="137">
        <f t="shared" si="1300"/>
        <v>84.994666670000001</v>
      </c>
      <c r="CV53" s="227">
        <f t="shared" si="1294"/>
        <v>8.92</v>
      </c>
      <c r="CW53" s="138">
        <f t="shared" si="1301"/>
        <v>758.15242999999998</v>
      </c>
      <c r="CX53" s="110">
        <f t="shared" si="1302"/>
        <v>11372.29</v>
      </c>
      <c r="CY53" s="110"/>
      <c r="CZ53" s="139"/>
      <c r="DA53" s="140">
        <f t="shared" si="1303"/>
        <v>0.95084999999999997</v>
      </c>
      <c r="DB53" s="198">
        <f t="shared" si="1290"/>
        <v>0</v>
      </c>
      <c r="DC53" s="225">
        <f t="shared" si="1304"/>
        <v>0</v>
      </c>
      <c r="DD53" s="226">
        <f t="shared" si="1305"/>
        <v>0</v>
      </c>
      <c r="DE53" s="137">
        <f t="shared" si="1306"/>
        <v>0</v>
      </c>
      <c r="DF53" s="227">
        <f t="shared" si="1294"/>
        <v>7.48</v>
      </c>
      <c r="DG53" s="138">
        <f t="shared" si="1307"/>
        <v>0</v>
      </c>
      <c r="DH53" s="110">
        <f t="shared" si="1308"/>
        <v>0</v>
      </c>
      <c r="DI53" s="110"/>
      <c r="DJ53" s="139"/>
      <c r="DK53" s="140">
        <f t="shared" si="1309"/>
        <v>0</v>
      </c>
      <c r="DL53" s="198">
        <f t="shared" si="1290"/>
        <v>118</v>
      </c>
      <c r="DM53" s="225">
        <f t="shared" si="1310"/>
        <v>0.41696</v>
      </c>
      <c r="DN53" s="226">
        <f t="shared" si="1311"/>
        <v>14923</v>
      </c>
      <c r="DO53" s="137">
        <f t="shared" si="1312"/>
        <v>126.46610169</v>
      </c>
      <c r="DP53" s="227">
        <f t="shared" si="1294"/>
        <v>8.2200000000000006</v>
      </c>
      <c r="DQ53" s="138">
        <f t="shared" si="1313"/>
        <v>1039.5513599999999</v>
      </c>
      <c r="DR53" s="110">
        <f t="shared" si="1314"/>
        <v>122667.06</v>
      </c>
      <c r="DS53" s="110"/>
      <c r="DT53" s="139"/>
      <c r="DU53" s="140">
        <f t="shared" si="1315"/>
        <v>1.3037700000000001</v>
      </c>
      <c r="DV53" s="198">
        <f t="shared" si="1290"/>
        <v>9</v>
      </c>
      <c r="DW53" s="225">
        <f t="shared" si="1316"/>
        <v>1.025E-2</v>
      </c>
      <c r="DX53" s="226">
        <f t="shared" si="1317"/>
        <v>1450.27</v>
      </c>
      <c r="DY53" s="137">
        <f t="shared" si="1318"/>
        <v>161.14111111</v>
      </c>
      <c r="DZ53" s="227">
        <f t="shared" si="1294"/>
        <v>7.91</v>
      </c>
      <c r="EA53" s="138">
        <f t="shared" si="1319"/>
        <v>1274.62619</v>
      </c>
      <c r="EB53" s="110">
        <f t="shared" si="1320"/>
        <v>11471.64</v>
      </c>
      <c r="EC53" s="110"/>
      <c r="ED53" s="139"/>
      <c r="EE53" s="140">
        <f t="shared" si="1321"/>
        <v>1.59859</v>
      </c>
      <c r="EF53" s="198">
        <f t="shared" si="1290"/>
        <v>11</v>
      </c>
      <c r="EG53" s="225">
        <f t="shared" si="1322"/>
        <v>1.171E-2</v>
      </c>
      <c r="EH53" s="226">
        <f t="shared" si="1323"/>
        <v>680.47</v>
      </c>
      <c r="EI53" s="137">
        <f t="shared" si="1324"/>
        <v>61.86090909</v>
      </c>
      <c r="EJ53" s="227">
        <f t="shared" si="1294"/>
        <v>7.63</v>
      </c>
      <c r="EK53" s="138">
        <f t="shared" si="1325"/>
        <v>471.99874</v>
      </c>
      <c r="EL53" s="110">
        <f t="shared" si="1326"/>
        <v>5191.99</v>
      </c>
      <c r="EM53" s="110"/>
      <c r="EN53" s="139"/>
      <c r="EO53" s="140">
        <f t="shared" si="1327"/>
        <v>0.59197</v>
      </c>
      <c r="EP53" s="198">
        <f t="shared" si="1290"/>
        <v>0</v>
      </c>
      <c r="EQ53" s="225">
        <f t="shared" si="1328"/>
        <v>0</v>
      </c>
      <c r="ER53" s="226">
        <f t="shared" si="1329"/>
        <v>0</v>
      </c>
      <c r="ES53" s="137">
        <f t="shared" si="1330"/>
        <v>0</v>
      </c>
      <c r="ET53" s="227">
        <f t="shared" si="1294"/>
        <v>7.95</v>
      </c>
      <c r="EU53" s="138">
        <f t="shared" si="1331"/>
        <v>0</v>
      </c>
      <c r="EV53" s="110">
        <f t="shared" si="1332"/>
        <v>0</v>
      </c>
      <c r="EW53" s="110"/>
      <c r="EX53" s="139"/>
      <c r="EY53" s="140">
        <f t="shared" si="1333"/>
        <v>0</v>
      </c>
      <c r="EZ53" s="198">
        <f t="shared" si="1334"/>
        <v>9</v>
      </c>
      <c r="FA53" s="225">
        <f t="shared" si="1335"/>
        <v>8.0599999999999995E-3</v>
      </c>
      <c r="FB53" s="226">
        <f t="shared" si="1336"/>
        <v>534.14</v>
      </c>
      <c r="FC53" s="137">
        <f t="shared" si="1337"/>
        <v>59.348888889999998</v>
      </c>
      <c r="FD53" s="227">
        <f t="shared" si="1338"/>
        <v>10.210000000000001</v>
      </c>
      <c r="FE53" s="138">
        <f t="shared" si="1339"/>
        <v>605.95216000000005</v>
      </c>
      <c r="FF53" s="110">
        <f t="shared" si="1340"/>
        <v>5453.57</v>
      </c>
      <c r="FG53" s="110"/>
      <c r="FH53" s="139"/>
      <c r="FI53" s="140">
        <f t="shared" si="1341"/>
        <v>0.75997000000000003</v>
      </c>
      <c r="FJ53" s="198">
        <f t="shared" si="1334"/>
        <v>0</v>
      </c>
      <c r="FK53" s="225">
        <f t="shared" si="1342"/>
        <v>0</v>
      </c>
      <c r="FL53" s="226">
        <f t="shared" si="1343"/>
        <v>0</v>
      </c>
      <c r="FM53" s="137">
        <f t="shared" si="1344"/>
        <v>0</v>
      </c>
      <c r="FN53" s="227">
        <f t="shared" si="1338"/>
        <v>9.52</v>
      </c>
      <c r="FO53" s="138">
        <f t="shared" si="1345"/>
        <v>0</v>
      </c>
      <c r="FP53" s="110">
        <f t="shared" si="1346"/>
        <v>0</v>
      </c>
      <c r="FQ53" s="110"/>
      <c r="FR53" s="139"/>
      <c r="FS53" s="140">
        <f t="shared" si="1347"/>
        <v>0</v>
      </c>
      <c r="FT53" s="198">
        <f t="shared" si="1334"/>
        <v>0</v>
      </c>
      <c r="FU53" s="225">
        <f t="shared" si="1348"/>
        <v>0</v>
      </c>
      <c r="FV53" s="226">
        <f t="shared" si="1349"/>
        <v>0</v>
      </c>
      <c r="FW53" s="137">
        <f t="shared" si="1350"/>
        <v>0</v>
      </c>
      <c r="FX53" s="227">
        <f t="shared" si="1338"/>
        <v>9.57</v>
      </c>
      <c r="FY53" s="138">
        <f t="shared" si="1351"/>
        <v>0</v>
      </c>
      <c r="FZ53" s="110">
        <f t="shared" si="1352"/>
        <v>0</v>
      </c>
      <c r="GA53" s="110"/>
      <c r="GB53" s="139"/>
      <c r="GC53" s="140">
        <f t="shared" si="1353"/>
        <v>0</v>
      </c>
      <c r="GD53" s="198">
        <f t="shared" si="1334"/>
        <v>16</v>
      </c>
      <c r="GE53" s="225">
        <f t="shared" si="1354"/>
        <v>3.125E-2</v>
      </c>
      <c r="GF53" s="226">
        <f t="shared" si="1355"/>
        <v>1351.88</v>
      </c>
      <c r="GG53" s="137">
        <f t="shared" si="1356"/>
        <v>84.492500000000007</v>
      </c>
      <c r="GH53" s="227">
        <f t="shared" si="1338"/>
        <v>8.39</v>
      </c>
      <c r="GI53" s="138">
        <f t="shared" si="1357"/>
        <v>708.89207999999996</v>
      </c>
      <c r="GJ53" s="110">
        <f t="shared" si="1358"/>
        <v>11342.27</v>
      </c>
      <c r="GK53" s="110"/>
      <c r="GL53" s="139"/>
      <c r="GM53" s="140">
        <f t="shared" si="1359"/>
        <v>0.88907000000000003</v>
      </c>
      <c r="GN53" s="198">
        <f t="shared" si="1334"/>
        <v>7</v>
      </c>
      <c r="GO53" s="225">
        <f t="shared" si="1360"/>
        <v>8.0999999999999996E-3</v>
      </c>
      <c r="GP53" s="226">
        <f t="shared" si="1361"/>
        <v>839.32</v>
      </c>
      <c r="GQ53" s="137">
        <f t="shared" si="1362"/>
        <v>119.90285713999999</v>
      </c>
      <c r="GR53" s="227">
        <f t="shared" si="1338"/>
        <v>7.63</v>
      </c>
      <c r="GS53" s="138">
        <f t="shared" si="1363"/>
        <v>914.85879999999997</v>
      </c>
      <c r="GT53" s="110">
        <f t="shared" si="1364"/>
        <v>6404.01</v>
      </c>
      <c r="GU53" s="110"/>
      <c r="GV53" s="139"/>
      <c r="GW53" s="140">
        <f t="shared" si="1365"/>
        <v>1.1473899999999999</v>
      </c>
      <c r="GX53" s="198">
        <f t="shared" si="1334"/>
        <v>0</v>
      </c>
      <c r="GY53" s="225">
        <f t="shared" si="1366"/>
        <v>0</v>
      </c>
      <c r="GZ53" s="226">
        <f t="shared" si="1367"/>
        <v>0</v>
      </c>
      <c r="HA53" s="137">
        <f t="shared" si="1368"/>
        <v>0</v>
      </c>
      <c r="HB53" s="227">
        <f t="shared" si="1338"/>
        <v>4.8899999999999997</v>
      </c>
      <c r="HC53" s="138">
        <f t="shared" si="1369"/>
        <v>0</v>
      </c>
      <c r="HD53" s="110">
        <f t="shared" si="1370"/>
        <v>0</v>
      </c>
      <c r="HE53" s="110"/>
      <c r="HF53" s="139"/>
      <c r="HG53" s="140">
        <f t="shared" si="1371"/>
        <v>0</v>
      </c>
      <c r="HH53" s="198">
        <f t="shared" si="1334"/>
        <v>39</v>
      </c>
      <c r="HI53" s="225">
        <f t="shared" si="1372"/>
        <v>3.3849999999999998E-2</v>
      </c>
      <c r="HJ53" s="226">
        <f t="shared" si="1373"/>
        <v>3475.04</v>
      </c>
      <c r="HK53" s="137">
        <f t="shared" si="1374"/>
        <v>89.103589740000004</v>
      </c>
      <c r="HL53" s="227">
        <f t="shared" si="1338"/>
        <v>5.98</v>
      </c>
      <c r="HM53" s="138">
        <f t="shared" si="1375"/>
        <v>532.83947000000001</v>
      </c>
      <c r="HN53" s="110">
        <f t="shared" si="1376"/>
        <v>20780.740000000002</v>
      </c>
      <c r="HO53" s="110"/>
      <c r="HP53" s="139"/>
      <c r="HQ53" s="140">
        <f t="shared" si="1377"/>
        <v>0.66827000000000003</v>
      </c>
      <c r="HR53" s="198">
        <f t="shared" si="1378"/>
        <v>0</v>
      </c>
      <c r="HS53" s="225">
        <f t="shared" si="1379"/>
        <v>0</v>
      </c>
      <c r="HT53" s="226">
        <f t="shared" si="1380"/>
        <v>0</v>
      </c>
      <c r="HU53" s="137">
        <f t="shared" si="1381"/>
        <v>0</v>
      </c>
      <c r="HV53" s="227">
        <f t="shared" si="1382"/>
        <v>9.76</v>
      </c>
      <c r="HW53" s="138">
        <f t="shared" si="1383"/>
        <v>0</v>
      </c>
      <c r="HX53" s="110">
        <f t="shared" si="1384"/>
        <v>0</v>
      </c>
      <c r="HY53" s="110"/>
      <c r="HZ53" s="139"/>
      <c r="IA53" s="140">
        <f t="shared" si="1385"/>
        <v>0</v>
      </c>
      <c r="IB53" s="198">
        <f t="shared" si="1378"/>
        <v>36</v>
      </c>
      <c r="IC53" s="225">
        <f t="shared" si="1386"/>
        <v>6.5689999999999998E-2</v>
      </c>
      <c r="ID53" s="226">
        <f t="shared" si="1387"/>
        <v>2140.84</v>
      </c>
      <c r="IE53" s="137">
        <f t="shared" si="1388"/>
        <v>59.467777779999999</v>
      </c>
      <c r="IF53" s="227">
        <f t="shared" si="1382"/>
        <v>7.76</v>
      </c>
      <c r="IG53" s="138">
        <f t="shared" si="1389"/>
        <v>461.46996000000001</v>
      </c>
      <c r="IH53" s="110">
        <f t="shared" si="1390"/>
        <v>16612.919999999998</v>
      </c>
      <c r="II53" s="110"/>
      <c r="IJ53" s="139"/>
      <c r="IK53" s="140">
        <f t="shared" si="1391"/>
        <v>0.57876000000000005</v>
      </c>
      <c r="IL53" s="198">
        <f t="shared" si="1378"/>
        <v>0</v>
      </c>
      <c r="IM53" s="225">
        <f t="shared" si="1392"/>
        <v>0</v>
      </c>
      <c r="IN53" s="226">
        <f t="shared" si="1393"/>
        <v>0</v>
      </c>
      <c r="IO53" s="137">
        <f t="shared" si="1394"/>
        <v>0</v>
      </c>
      <c r="IP53" s="227">
        <f t="shared" si="1382"/>
        <v>7.4</v>
      </c>
      <c r="IQ53" s="138">
        <f t="shared" si="1395"/>
        <v>0</v>
      </c>
      <c r="IR53" s="110">
        <f t="shared" si="1396"/>
        <v>0</v>
      </c>
      <c r="IS53" s="110"/>
      <c r="IT53" s="139"/>
      <c r="IU53" s="140">
        <f t="shared" si="1397"/>
        <v>0</v>
      </c>
      <c r="IV53" s="198">
        <f t="shared" si="1378"/>
        <v>0</v>
      </c>
      <c r="IW53" s="225">
        <f t="shared" si="1398"/>
        <v>0</v>
      </c>
      <c r="IX53" s="226">
        <f t="shared" si="1399"/>
        <v>0</v>
      </c>
      <c r="IY53" s="137">
        <f t="shared" si="1400"/>
        <v>0</v>
      </c>
      <c r="IZ53" s="227">
        <f t="shared" si="1382"/>
        <v>9.64</v>
      </c>
      <c r="JA53" s="138">
        <f t="shared" si="1401"/>
        <v>0</v>
      </c>
      <c r="JB53" s="110">
        <f t="shared" si="1402"/>
        <v>0</v>
      </c>
      <c r="JC53" s="110"/>
      <c r="JD53" s="139"/>
      <c r="JE53" s="140">
        <f t="shared" si="1403"/>
        <v>0</v>
      </c>
      <c r="JF53" s="198">
        <f t="shared" si="1378"/>
        <v>0</v>
      </c>
      <c r="JG53" s="225">
        <f t="shared" si="1404"/>
        <v>0</v>
      </c>
      <c r="JH53" s="226">
        <f t="shared" si="1405"/>
        <v>0</v>
      </c>
      <c r="JI53" s="137">
        <f t="shared" si="1406"/>
        <v>0</v>
      </c>
      <c r="JJ53" s="227">
        <f t="shared" si="1382"/>
        <v>9.1</v>
      </c>
      <c r="JK53" s="138">
        <f t="shared" si="1407"/>
        <v>0</v>
      </c>
      <c r="JL53" s="110">
        <f t="shared" si="1408"/>
        <v>0</v>
      </c>
      <c r="JM53" s="110"/>
      <c r="JN53" s="139"/>
      <c r="JO53" s="140">
        <f t="shared" si="1409"/>
        <v>0</v>
      </c>
      <c r="JP53" s="198">
        <f t="shared" si="1378"/>
        <v>33</v>
      </c>
      <c r="JQ53" s="225">
        <f t="shared" si="1410"/>
        <v>2.6419999999999999E-2</v>
      </c>
      <c r="JR53" s="226">
        <f t="shared" si="1411"/>
        <v>3452.04</v>
      </c>
      <c r="JS53" s="137">
        <f t="shared" si="1412"/>
        <v>104.60727273000001</v>
      </c>
      <c r="JT53" s="227">
        <f t="shared" si="1382"/>
        <v>10.15</v>
      </c>
      <c r="JU53" s="138">
        <f t="shared" si="1413"/>
        <v>1061.7638199999999</v>
      </c>
      <c r="JV53" s="110">
        <f t="shared" si="1414"/>
        <v>35038.21</v>
      </c>
      <c r="JW53" s="110"/>
      <c r="JX53" s="139"/>
      <c r="JY53" s="140">
        <f t="shared" si="1415"/>
        <v>1.3316300000000001</v>
      </c>
      <c r="JZ53" s="198">
        <f t="shared" si="1378"/>
        <v>0</v>
      </c>
      <c r="KA53" s="225">
        <f t="shared" si="1416"/>
        <v>0</v>
      </c>
      <c r="KB53" s="226">
        <f t="shared" si="1417"/>
        <v>0</v>
      </c>
      <c r="KC53" s="137">
        <f t="shared" si="1418"/>
        <v>0</v>
      </c>
      <c r="KD53" s="227">
        <f t="shared" si="1382"/>
        <v>8.14</v>
      </c>
      <c r="KE53" s="138">
        <f t="shared" si="1419"/>
        <v>0</v>
      </c>
      <c r="KF53" s="110">
        <f t="shared" si="1420"/>
        <v>0</v>
      </c>
      <c r="KG53" s="110"/>
      <c r="KH53" s="139"/>
      <c r="KI53" s="140">
        <f t="shared" si="1421"/>
        <v>0</v>
      </c>
      <c r="KJ53" s="198">
        <f t="shared" si="1422"/>
        <v>0</v>
      </c>
      <c r="KK53" s="225">
        <f t="shared" si="1423"/>
        <v>0</v>
      </c>
      <c r="KL53" s="226">
        <f t="shared" si="1424"/>
        <v>0</v>
      </c>
      <c r="KM53" s="137">
        <f t="shared" si="1425"/>
        <v>0</v>
      </c>
      <c r="KN53" s="227">
        <f t="shared" si="1426"/>
        <v>9.02</v>
      </c>
      <c r="KO53" s="138">
        <f t="shared" si="1427"/>
        <v>0</v>
      </c>
      <c r="KP53" s="110">
        <f t="shared" si="1428"/>
        <v>0</v>
      </c>
      <c r="KQ53" s="110"/>
      <c r="KR53" s="139"/>
      <c r="KS53" s="140">
        <f t="shared" si="1429"/>
        <v>0</v>
      </c>
      <c r="KT53" s="198">
        <f t="shared" si="1422"/>
        <v>0</v>
      </c>
      <c r="KU53" s="225">
        <f t="shared" si="1430"/>
        <v>0</v>
      </c>
      <c r="KV53" s="226">
        <f t="shared" si="1431"/>
        <v>0</v>
      </c>
      <c r="KW53" s="137">
        <f t="shared" si="1432"/>
        <v>0</v>
      </c>
      <c r="KX53" s="227">
        <f t="shared" si="1426"/>
        <v>9.94</v>
      </c>
      <c r="KY53" s="138">
        <f t="shared" si="1433"/>
        <v>0</v>
      </c>
      <c r="KZ53" s="110">
        <f t="shared" si="1434"/>
        <v>0</v>
      </c>
      <c r="LA53" s="110"/>
      <c r="LB53" s="139"/>
      <c r="LC53" s="140">
        <f t="shared" si="1435"/>
        <v>0</v>
      </c>
      <c r="LD53" s="197">
        <f t="shared" si="1235"/>
        <v>324</v>
      </c>
      <c r="LE53" s="225">
        <f t="shared" si="1236"/>
        <v>1.1350000000000001E-2</v>
      </c>
      <c r="LF53" s="226">
        <f t="shared" si="1237"/>
        <v>30536.49</v>
      </c>
      <c r="LG53" s="137">
        <f t="shared" si="1238"/>
        <v>94.248425929999996</v>
      </c>
      <c r="LH53" s="227">
        <f t="shared" si="1239"/>
        <v>8.4600000000000009</v>
      </c>
      <c r="LI53" s="138">
        <f t="shared" si="1240"/>
        <v>797.34168</v>
      </c>
      <c r="LJ53" s="110">
        <f t="shared" si="1241"/>
        <v>258338.7</v>
      </c>
      <c r="LK53" s="110"/>
      <c r="LL53" s="139"/>
    </row>
    <row r="54" spans="1:324" ht="16.5" hidden="1" customHeight="1" x14ac:dyDescent="0.25">
      <c r="A54" s="246"/>
      <c r="B54" s="93" t="s">
        <v>639</v>
      </c>
      <c r="C54" s="12" t="s">
        <v>727</v>
      </c>
      <c r="D54" s="12" t="s">
        <v>427</v>
      </c>
      <c r="E54" s="4" t="s">
        <v>33</v>
      </c>
      <c r="F54" s="198">
        <f t="shared" si="1245"/>
        <v>0</v>
      </c>
      <c r="G54" s="225">
        <f t="shared" si="1242"/>
        <v>0</v>
      </c>
      <c r="H54" s="226">
        <f t="shared" si="1243"/>
        <v>0</v>
      </c>
      <c r="I54" s="137">
        <f t="shared" si="1016"/>
        <v>0</v>
      </c>
      <c r="J54" s="227">
        <f t="shared" si="1244"/>
        <v>7.57</v>
      </c>
      <c r="K54" s="138">
        <f t="shared" si="1017"/>
        <v>0</v>
      </c>
      <c r="L54" s="110">
        <f t="shared" si="1018"/>
        <v>0</v>
      </c>
      <c r="M54" s="110"/>
      <c r="N54" s="139"/>
      <c r="O54" s="140" t="e">
        <f t="shared" si="1019"/>
        <v>#DIV/0!</v>
      </c>
      <c r="P54" s="198">
        <f t="shared" si="1246"/>
        <v>0</v>
      </c>
      <c r="Q54" s="225">
        <f t="shared" si="1247"/>
        <v>0</v>
      </c>
      <c r="R54" s="226">
        <f t="shared" si="1248"/>
        <v>0</v>
      </c>
      <c r="S54" s="137">
        <f t="shared" si="1249"/>
        <v>0</v>
      </c>
      <c r="T54" s="227">
        <f t="shared" si="1250"/>
        <v>8.23</v>
      </c>
      <c r="U54" s="138">
        <f t="shared" si="1251"/>
        <v>0</v>
      </c>
      <c r="V54" s="110">
        <f t="shared" si="1252"/>
        <v>0</v>
      </c>
      <c r="W54" s="110"/>
      <c r="X54" s="139"/>
      <c r="Y54" s="140" t="e">
        <f t="shared" si="1253"/>
        <v>#DIV/0!</v>
      </c>
      <c r="Z54" s="198">
        <f t="shared" si="1246"/>
        <v>0</v>
      </c>
      <c r="AA54" s="225">
        <f t="shared" si="1254"/>
        <v>0</v>
      </c>
      <c r="AB54" s="226">
        <f t="shared" si="1255"/>
        <v>0</v>
      </c>
      <c r="AC54" s="137">
        <f t="shared" si="1256"/>
        <v>0</v>
      </c>
      <c r="AD54" s="227">
        <f t="shared" si="1250"/>
        <v>8.8000000000000007</v>
      </c>
      <c r="AE54" s="138">
        <f t="shared" si="1257"/>
        <v>0</v>
      </c>
      <c r="AF54" s="110">
        <f t="shared" si="1258"/>
        <v>0</v>
      </c>
      <c r="AG54" s="110"/>
      <c r="AH54" s="139"/>
      <c r="AI54" s="140" t="e">
        <f t="shared" si="1259"/>
        <v>#DIV/0!</v>
      </c>
      <c r="AJ54" s="198">
        <f t="shared" si="1246"/>
        <v>0</v>
      </c>
      <c r="AK54" s="225">
        <f t="shared" si="1260"/>
        <v>0</v>
      </c>
      <c r="AL54" s="226">
        <f t="shared" si="1261"/>
        <v>0</v>
      </c>
      <c r="AM54" s="137">
        <f t="shared" si="1262"/>
        <v>0</v>
      </c>
      <c r="AN54" s="227">
        <f t="shared" si="1250"/>
        <v>7.52</v>
      </c>
      <c r="AO54" s="138">
        <f t="shared" si="1263"/>
        <v>0</v>
      </c>
      <c r="AP54" s="110">
        <f t="shared" si="1264"/>
        <v>0</v>
      </c>
      <c r="AQ54" s="110"/>
      <c r="AR54" s="139"/>
      <c r="AS54" s="140" t="e">
        <f t="shared" si="1265"/>
        <v>#DIV/0!</v>
      </c>
      <c r="AT54" s="198">
        <f t="shared" si="1246"/>
        <v>0</v>
      </c>
      <c r="AU54" s="225">
        <f t="shared" si="1266"/>
        <v>0</v>
      </c>
      <c r="AV54" s="226">
        <f t="shared" si="1267"/>
        <v>0</v>
      </c>
      <c r="AW54" s="137">
        <f t="shared" si="1268"/>
        <v>0</v>
      </c>
      <c r="AX54" s="227">
        <f t="shared" si="1250"/>
        <v>6.88</v>
      </c>
      <c r="AY54" s="138">
        <f t="shared" si="1269"/>
        <v>0</v>
      </c>
      <c r="AZ54" s="110">
        <f t="shared" si="1270"/>
        <v>0</v>
      </c>
      <c r="BA54" s="110"/>
      <c r="BB54" s="139"/>
      <c r="BC54" s="140" t="e">
        <f t="shared" si="1271"/>
        <v>#DIV/0!</v>
      </c>
      <c r="BD54" s="198">
        <f t="shared" si="1246"/>
        <v>0</v>
      </c>
      <c r="BE54" s="225">
        <f t="shared" si="1272"/>
        <v>0</v>
      </c>
      <c r="BF54" s="226">
        <f t="shared" si="1273"/>
        <v>0</v>
      </c>
      <c r="BG54" s="137">
        <f t="shared" si="1274"/>
        <v>0</v>
      </c>
      <c r="BH54" s="227">
        <f t="shared" si="1250"/>
        <v>9.74</v>
      </c>
      <c r="BI54" s="138">
        <f t="shared" si="1275"/>
        <v>0</v>
      </c>
      <c r="BJ54" s="110">
        <f t="shared" si="1276"/>
        <v>0</v>
      </c>
      <c r="BK54" s="110"/>
      <c r="BL54" s="139"/>
      <c r="BM54" s="140" t="e">
        <f t="shared" si="1277"/>
        <v>#DIV/0!</v>
      </c>
      <c r="BN54" s="198">
        <f t="shared" si="1246"/>
        <v>0</v>
      </c>
      <c r="BO54" s="225">
        <f t="shared" si="1278"/>
        <v>0</v>
      </c>
      <c r="BP54" s="226">
        <f t="shared" si="1279"/>
        <v>0</v>
      </c>
      <c r="BQ54" s="137">
        <f t="shared" si="1280"/>
        <v>0</v>
      </c>
      <c r="BR54" s="227">
        <f t="shared" si="1250"/>
        <v>10.32</v>
      </c>
      <c r="BS54" s="138">
        <f t="shared" si="1281"/>
        <v>0</v>
      </c>
      <c r="BT54" s="110">
        <f t="shared" si="1282"/>
        <v>0</v>
      </c>
      <c r="BU54" s="110"/>
      <c r="BV54" s="139"/>
      <c r="BW54" s="140" t="e">
        <f t="shared" si="1283"/>
        <v>#DIV/0!</v>
      </c>
      <c r="BX54" s="198">
        <f t="shared" si="1246"/>
        <v>0</v>
      </c>
      <c r="BY54" s="225">
        <f t="shared" si="1284"/>
        <v>0</v>
      </c>
      <c r="BZ54" s="226">
        <f t="shared" si="1285"/>
        <v>0</v>
      </c>
      <c r="CA54" s="137">
        <f t="shared" si="1286"/>
        <v>0</v>
      </c>
      <c r="CB54" s="227">
        <f t="shared" si="1250"/>
        <v>7.89</v>
      </c>
      <c r="CC54" s="138">
        <f t="shared" si="1287"/>
        <v>0</v>
      </c>
      <c r="CD54" s="110">
        <f t="shared" si="1288"/>
        <v>0</v>
      </c>
      <c r="CE54" s="110"/>
      <c r="CF54" s="139"/>
      <c r="CG54" s="140" t="e">
        <f t="shared" si="1289"/>
        <v>#DIV/0!</v>
      </c>
      <c r="CH54" s="198">
        <f t="shared" si="1290"/>
        <v>0</v>
      </c>
      <c r="CI54" s="225">
        <f t="shared" si="1291"/>
        <v>0</v>
      </c>
      <c r="CJ54" s="226">
        <f t="shared" si="1292"/>
        <v>0</v>
      </c>
      <c r="CK54" s="137">
        <f t="shared" si="1293"/>
        <v>0</v>
      </c>
      <c r="CL54" s="227">
        <f t="shared" si="1294"/>
        <v>8.24</v>
      </c>
      <c r="CM54" s="138">
        <f t="shared" si="1295"/>
        <v>0</v>
      </c>
      <c r="CN54" s="110">
        <f t="shared" si="1296"/>
        <v>0</v>
      </c>
      <c r="CO54" s="110"/>
      <c r="CP54" s="139"/>
      <c r="CQ54" s="140" t="e">
        <f t="shared" si="1297"/>
        <v>#DIV/0!</v>
      </c>
      <c r="CR54" s="198">
        <f t="shared" si="1290"/>
        <v>0</v>
      </c>
      <c r="CS54" s="225">
        <f t="shared" si="1298"/>
        <v>0</v>
      </c>
      <c r="CT54" s="226">
        <f t="shared" si="1299"/>
        <v>0</v>
      </c>
      <c r="CU54" s="137">
        <f t="shared" si="1300"/>
        <v>0</v>
      </c>
      <c r="CV54" s="227">
        <f t="shared" si="1294"/>
        <v>8.92</v>
      </c>
      <c r="CW54" s="138">
        <f t="shared" si="1301"/>
        <v>0</v>
      </c>
      <c r="CX54" s="110">
        <f t="shared" si="1302"/>
        <v>0</v>
      </c>
      <c r="CY54" s="110"/>
      <c r="CZ54" s="139"/>
      <c r="DA54" s="140" t="e">
        <f t="shared" si="1303"/>
        <v>#DIV/0!</v>
      </c>
      <c r="DB54" s="198">
        <f t="shared" si="1290"/>
        <v>0</v>
      </c>
      <c r="DC54" s="225">
        <f t="shared" si="1304"/>
        <v>0</v>
      </c>
      <c r="DD54" s="226">
        <f t="shared" si="1305"/>
        <v>0</v>
      </c>
      <c r="DE54" s="137">
        <f t="shared" si="1306"/>
        <v>0</v>
      </c>
      <c r="DF54" s="227">
        <f t="shared" si="1294"/>
        <v>7.48</v>
      </c>
      <c r="DG54" s="138">
        <f t="shared" si="1307"/>
        <v>0</v>
      </c>
      <c r="DH54" s="110">
        <f t="shared" si="1308"/>
        <v>0</v>
      </c>
      <c r="DI54" s="110"/>
      <c r="DJ54" s="139"/>
      <c r="DK54" s="140" t="e">
        <f t="shared" si="1309"/>
        <v>#DIV/0!</v>
      </c>
      <c r="DL54" s="198">
        <f t="shared" si="1290"/>
        <v>0</v>
      </c>
      <c r="DM54" s="225">
        <f t="shared" si="1310"/>
        <v>0</v>
      </c>
      <c r="DN54" s="226">
        <f t="shared" si="1311"/>
        <v>0</v>
      </c>
      <c r="DO54" s="137">
        <f t="shared" si="1312"/>
        <v>0</v>
      </c>
      <c r="DP54" s="227">
        <f t="shared" si="1294"/>
        <v>8.2200000000000006</v>
      </c>
      <c r="DQ54" s="138">
        <f t="shared" si="1313"/>
        <v>0</v>
      </c>
      <c r="DR54" s="110">
        <f t="shared" si="1314"/>
        <v>0</v>
      </c>
      <c r="DS54" s="110"/>
      <c r="DT54" s="139"/>
      <c r="DU54" s="140" t="e">
        <f t="shared" si="1315"/>
        <v>#DIV/0!</v>
      </c>
      <c r="DV54" s="198">
        <f t="shared" si="1290"/>
        <v>0</v>
      </c>
      <c r="DW54" s="225">
        <f t="shared" si="1316"/>
        <v>0</v>
      </c>
      <c r="DX54" s="226">
        <f t="shared" si="1317"/>
        <v>0</v>
      </c>
      <c r="DY54" s="137">
        <f t="shared" si="1318"/>
        <v>0</v>
      </c>
      <c r="DZ54" s="227">
        <f t="shared" si="1294"/>
        <v>7.91</v>
      </c>
      <c r="EA54" s="138">
        <f t="shared" si="1319"/>
        <v>0</v>
      </c>
      <c r="EB54" s="110">
        <f t="shared" si="1320"/>
        <v>0</v>
      </c>
      <c r="EC54" s="110"/>
      <c r="ED54" s="139"/>
      <c r="EE54" s="140" t="e">
        <f t="shared" si="1321"/>
        <v>#DIV/0!</v>
      </c>
      <c r="EF54" s="198">
        <f t="shared" si="1290"/>
        <v>0</v>
      </c>
      <c r="EG54" s="225">
        <f t="shared" si="1322"/>
        <v>0</v>
      </c>
      <c r="EH54" s="226">
        <f t="shared" si="1323"/>
        <v>0</v>
      </c>
      <c r="EI54" s="137">
        <f t="shared" si="1324"/>
        <v>0</v>
      </c>
      <c r="EJ54" s="227">
        <f t="shared" si="1294"/>
        <v>7.63</v>
      </c>
      <c r="EK54" s="138">
        <f t="shared" si="1325"/>
        <v>0</v>
      </c>
      <c r="EL54" s="110">
        <f t="shared" si="1326"/>
        <v>0</v>
      </c>
      <c r="EM54" s="110"/>
      <c r="EN54" s="139"/>
      <c r="EO54" s="140" t="e">
        <f t="shared" si="1327"/>
        <v>#DIV/0!</v>
      </c>
      <c r="EP54" s="198">
        <f t="shared" si="1290"/>
        <v>0</v>
      </c>
      <c r="EQ54" s="225">
        <f t="shared" si="1328"/>
        <v>0</v>
      </c>
      <c r="ER54" s="226">
        <f t="shared" si="1329"/>
        <v>0</v>
      </c>
      <c r="ES54" s="137">
        <f t="shared" si="1330"/>
        <v>0</v>
      </c>
      <c r="ET54" s="227">
        <f t="shared" si="1294"/>
        <v>7.95</v>
      </c>
      <c r="EU54" s="138">
        <f t="shared" si="1331"/>
        <v>0</v>
      </c>
      <c r="EV54" s="110">
        <f t="shared" si="1332"/>
        <v>0</v>
      </c>
      <c r="EW54" s="110"/>
      <c r="EX54" s="139"/>
      <c r="EY54" s="140" t="e">
        <f t="shared" si="1333"/>
        <v>#DIV/0!</v>
      </c>
      <c r="EZ54" s="198">
        <f t="shared" si="1334"/>
        <v>0</v>
      </c>
      <c r="FA54" s="225">
        <f t="shared" si="1335"/>
        <v>0</v>
      </c>
      <c r="FB54" s="226">
        <f t="shared" si="1336"/>
        <v>0</v>
      </c>
      <c r="FC54" s="137">
        <f t="shared" si="1337"/>
        <v>0</v>
      </c>
      <c r="FD54" s="227">
        <f t="shared" si="1338"/>
        <v>10.210000000000001</v>
      </c>
      <c r="FE54" s="138">
        <f t="shared" si="1339"/>
        <v>0</v>
      </c>
      <c r="FF54" s="110">
        <f t="shared" si="1340"/>
        <v>0</v>
      </c>
      <c r="FG54" s="110"/>
      <c r="FH54" s="139"/>
      <c r="FI54" s="140" t="e">
        <f t="shared" si="1341"/>
        <v>#DIV/0!</v>
      </c>
      <c r="FJ54" s="198">
        <f t="shared" si="1334"/>
        <v>0</v>
      </c>
      <c r="FK54" s="225">
        <f t="shared" si="1342"/>
        <v>0</v>
      </c>
      <c r="FL54" s="226">
        <f t="shared" si="1343"/>
        <v>0</v>
      </c>
      <c r="FM54" s="137">
        <f t="shared" si="1344"/>
        <v>0</v>
      </c>
      <c r="FN54" s="227">
        <f t="shared" si="1338"/>
        <v>9.52</v>
      </c>
      <c r="FO54" s="138">
        <f t="shared" si="1345"/>
        <v>0</v>
      </c>
      <c r="FP54" s="110">
        <f t="shared" si="1346"/>
        <v>0</v>
      </c>
      <c r="FQ54" s="110"/>
      <c r="FR54" s="139"/>
      <c r="FS54" s="140" t="e">
        <f t="shared" si="1347"/>
        <v>#DIV/0!</v>
      </c>
      <c r="FT54" s="198">
        <f t="shared" si="1334"/>
        <v>0</v>
      </c>
      <c r="FU54" s="225">
        <f t="shared" si="1348"/>
        <v>0</v>
      </c>
      <c r="FV54" s="226">
        <f t="shared" si="1349"/>
        <v>0</v>
      </c>
      <c r="FW54" s="137">
        <f t="shared" si="1350"/>
        <v>0</v>
      </c>
      <c r="FX54" s="227">
        <f t="shared" si="1338"/>
        <v>9.57</v>
      </c>
      <c r="FY54" s="138">
        <f t="shared" si="1351"/>
        <v>0</v>
      </c>
      <c r="FZ54" s="110">
        <f t="shared" si="1352"/>
        <v>0</v>
      </c>
      <c r="GA54" s="110"/>
      <c r="GB54" s="139"/>
      <c r="GC54" s="140" t="e">
        <f t="shared" si="1353"/>
        <v>#DIV/0!</v>
      </c>
      <c r="GD54" s="198">
        <f t="shared" si="1334"/>
        <v>0</v>
      </c>
      <c r="GE54" s="225">
        <f t="shared" si="1354"/>
        <v>0</v>
      </c>
      <c r="GF54" s="226">
        <f t="shared" si="1355"/>
        <v>0</v>
      </c>
      <c r="GG54" s="137">
        <f t="shared" si="1356"/>
        <v>0</v>
      </c>
      <c r="GH54" s="227">
        <f t="shared" si="1338"/>
        <v>8.39</v>
      </c>
      <c r="GI54" s="138">
        <f t="shared" si="1357"/>
        <v>0</v>
      </c>
      <c r="GJ54" s="110">
        <f t="shared" si="1358"/>
        <v>0</v>
      </c>
      <c r="GK54" s="110"/>
      <c r="GL54" s="139"/>
      <c r="GM54" s="140" t="e">
        <f t="shared" si="1359"/>
        <v>#DIV/0!</v>
      </c>
      <c r="GN54" s="198">
        <f t="shared" si="1334"/>
        <v>0</v>
      </c>
      <c r="GO54" s="225">
        <f t="shared" si="1360"/>
        <v>0</v>
      </c>
      <c r="GP54" s="226">
        <f t="shared" si="1361"/>
        <v>0</v>
      </c>
      <c r="GQ54" s="137">
        <f t="shared" si="1362"/>
        <v>0</v>
      </c>
      <c r="GR54" s="227">
        <f t="shared" si="1338"/>
        <v>7.63</v>
      </c>
      <c r="GS54" s="138">
        <f t="shared" si="1363"/>
        <v>0</v>
      </c>
      <c r="GT54" s="110">
        <f t="shared" si="1364"/>
        <v>0</v>
      </c>
      <c r="GU54" s="110"/>
      <c r="GV54" s="139"/>
      <c r="GW54" s="140" t="e">
        <f t="shared" si="1365"/>
        <v>#DIV/0!</v>
      </c>
      <c r="GX54" s="198">
        <f t="shared" si="1334"/>
        <v>0</v>
      </c>
      <c r="GY54" s="225">
        <f t="shared" si="1366"/>
        <v>0</v>
      </c>
      <c r="GZ54" s="226">
        <f t="shared" si="1367"/>
        <v>0</v>
      </c>
      <c r="HA54" s="137">
        <f t="shared" si="1368"/>
        <v>0</v>
      </c>
      <c r="HB54" s="227">
        <f t="shared" si="1338"/>
        <v>4.8899999999999997</v>
      </c>
      <c r="HC54" s="138">
        <f t="shared" si="1369"/>
        <v>0</v>
      </c>
      <c r="HD54" s="110">
        <f t="shared" si="1370"/>
        <v>0</v>
      </c>
      <c r="HE54" s="110"/>
      <c r="HF54" s="139"/>
      <c r="HG54" s="140" t="e">
        <f t="shared" si="1371"/>
        <v>#DIV/0!</v>
      </c>
      <c r="HH54" s="198">
        <f t="shared" si="1334"/>
        <v>0</v>
      </c>
      <c r="HI54" s="225">
        <f t="shared" si="1372"/>
        <v>0</v>
      </c>
      <c r="HJ54" s="226">
        <f t="shared" si="1373"/>
        <v>0</v>
      </c>
      <c r="HK54" s="137">
        <f t="shared" si="1374"/>
        <v>0</v>
      </c>
      <c r="HL54" s="227">
        <f t="shared" si="1338"/>
        <v>5.98</v>
      </c>
      <c r="HM54" s="138">
        <f t="shared" si="1375"/>
        <v>0</v>
      </c>
      <c r="HN54" s="110">
        <f t="shared" si="1376"/>
        <v>0</v>
      </c>
      <c r="HO54" s="110"/>
      <c r="HP54" s="139"/>
      <c r="HQ54" s="140" t="e">
        <f t="shared" si="1377"/>
        <v>#DIV/0!</v>
      </c>
      <c r="HR54" s="198">
        <f t="shared" si="1378"/>
        <v>0</v>
      </c>
      <c r="HS54" s="225">
        <f t="shared" si="1379"/>
        <v>0</v>
      </c>
      <c r="HT54" s="226">
        <f t="shared" si="1380"/>
        <v>0</v>
      </c>
      <c r="HU54" s="137">
        <f t="shared" si="1381"/>
        <v>0</v>
      </c>
      <c r="HV54" s="227">
        <f t="shared" si="1382"/>
        <v>9.76</v>
      </c>
      <c r="HW54" s="138">
        <f t="shared" si="1383"/>
        <v>0</v>
      </c>
      <c r="HX54" s="110">
        <f t="shared" si="1384"/>
        <v>0</v>
      </c>
      <c r="HY54" s="110"/>
      <c r="HZ54" s="139"/>
      <c r="IA54" s="140" t="e">
        <f t="shared" si="1385"/>
        <v>#DIV/0!</v>
      </c>
      <c r="IB54" s="198">
        <f t="shared" si="1378"/>
        <v>0</v>
      </c>
      <c r="IC54" s="225">
        <f t="shared" si="1386"/>
        <v>0</v>
      </c>
      <c r="ID54" s="226">
        <f t="shared" si="1387"/>
        <v>0</v>
      </c>
      <c r="IE54" s="137">
        <f t="shared" si="1388"/>
        <v>0</v>
      </c>
      <c r="IF54" s="227">
        <f t="shared" si="1382"/>
        <v>7.76</v>
      </c>
      <c r="IG54" s="138">
        <f t="shared" si="1389"/>
        <v>0</v>
      </c>
      <c r="IH54" s="110">
        <f t="shared" si="1390"/>
        <v>0</v>
      </c>
      <c r="II54" s="110"/>
      <c r="IJ54" s="139"/>
      <c r="IK54" s="140" t="e">
        <f t="shared" si="1391"/>
        <v>#DIV/0!</v>
      </c>
      <c r="IL54" s="198">
        <f t="shared" si="1378"/>
        <v>0</v>
      </c>
      <c r="IM54" s="225">
        <f t="shared" si="1392"/>
        <v>0</v>
      </c>
      <c r="IN54" s="226">
        <f t="shared" si="1393"/>
        <v>0</v>
      </c>
      <c r="IO54" s="137">
        <f t="shared" si="1394"/>
        <v>0</v>
      </c>
      <c r="IP54" s="227">
        <f t="shared" si="1382"/>
        <v>7.4</v>
      </c>
      <c r="IQ54" s="138">
        <f t="shared" si="1395"/>
        <v>0</v>
      </c>
      <c r="IR54" s="110">
        <f t="shared" si="1396"/>
        <v>0</v>
      </c>
      <c r="IS54" s="110"/>
      <c r="IT54" s="139"/>
      <c r="IU54" s="140" t="e">
        <f t="shared" si="1397"/>
        <v>#DIV/0!</v>
      </c>
      <c r="IV54" s="198">
        <f t="shared" si="1378"/>
        <v>0</v>
      </c>
      <c r="IW54" s="225">
        <f t="shared" si="1398"/>
        <v>0</v>
      </c>
      <c r="IX54" s="226">
        <f t="shared" si="1399"/>
        <v>0</v>
      </c>
      <c r="IY54" s="137">
        <f t="shared" si="1400"/>
        <v>0</v>
      </c>
      <c r="IZ54" s="227">
        <f t="shared" si="1382"/>
        <v>9.64</v>
      </c>
      <c r="JA54" s="138">
        <f t="shared" si="1401"/>
        <v>0</v>
      </c>
      <c r="JB54" s="110">
        <f t="shared" si="1402"/>
        <v>0</v>
      </c>
      <c r="JC54" s="110"/>
      <c r="JD54" s="139"/>
      <c r="JE54" s="140" t="e">
        <f t="shared" si="1403"/>
        <v>#DIV/0!</v>
      </c>
      <c r="JF54" s="198">
        <f t="shared" si="1378"/>
        <v>0</v>
      </c>
      <c r="JG54" s="225">
        <f t="shared" si="1404"/>
        <v>0</v>
      </c>
      <c r="JH54" s="226">
        <f t="shared" si="1405"/>
        <v>0</v>
      </c>
      <c r="JI54" s="137">
        <f t="shared" si="1406"/>
        <v>0</v>
      </c>
      <c r="JJ54" s="227">
        <f t="shared" si="1382"/>
        <v>9.1</v>
      </c>
      <c r="JK54" s="138">
        <f t="shared" si="1407"/>
        <v>0</v>
      </c>
      <c r="JL54" s="110">
        <f t="shared" si="1408"/>
        <v>0</v>
      </c>
      <c r="JM54" s="110"/>
      <c r="JN54" s="139"/>
      <c r="JO54" s="140" t="e">
        <f t="shared" si="1409"/>
        <v>#DIV/0!</v>
      </c>
      <c r="JP54" s="198">
        <f t="shared" si="1378"/>
        <v>0</v>
      </c>
      <c r="JQ54" s="225">
        <f t="shared" si="1410"/>
        <v>0</v>
      </c>
      <c r="JR54" s="226">
        <f t="shared" si="1411"/>
        <v>0</v>
      </c>
      <c r="JS54" s="137">
        <f t="shared" si="1412"/>
        <v>0</v>
      </c>
      <c r="JT54" s="227">
        <f t="shared" si="1382"/>
        <v>10.15</v>
      </c>
      <c r="JU54" s="138">
        <f t="shared" si="1413"/>
        <v>0</v>
      </c>
      <c r="JV54" s="110">
        <f t="shared" si="1414"/>
        <v>0</v>
      </c>
      <c r="JW54" s="110"/>
      <c r="JX54" s="139"/>
      <c r="JY54" s="140" t="e">
        <f t="shared" si="1415"/>
        <v>#DIV/0!</v>
      </c>
      <c r="JZ54" s="198">
        <f t="shared" si="1378"/>
        <v>0</v>
      </c>
      <c r="KA54" s="225">
        <f t="shared" si="1416"/>
        <v>0</v>
      </c>
      <c r="KB54" s="226">
        <f t="shared" si="1417"/>
        <v>0</v>
      </c>
      <c r="KC54" s="137">
        <f t="shared" si="1418"/>
        <v>0</v>
      </c>
      <c r="KD54" s="227">
        <f t="shared" si="1382"/>
        <v>8.14</v>
      </c>
      <c r="KE54" s="138">
        <f t="shared" si="1419"/>
        <v>0</v>
      </c>
      <c r="KF54" s="110">
        <f t="shared" si="1420"/>
        <v>0</v>
      </c>
      <c r="KG54" s="110"/>
      <c r="KH54" s="139"/>
      <c r="KI54" s="140" t="e">
        <f t="shared" si="1421"/>
        <v>#DIV/0!</v>
      </c>
      <c r="KJ54" s="198">
        <f t="shared" si="1422"/>
        <v>0</v>
      </c>
      <c r="KK54" s="225">
        <f t="shared" si="1423"/>
        <v>0</v>
      </c>
      <c r="KL54" s="226">
        <f t="shared" si="1424"/>
        <v>0</v>
      </c>
      <c r="KM54" s="137">
        <f t="shared" si="1425"/>
        <v>0</v>
      </c>
      <c r="KN54" s="227">
        <f t="shared" si="1426"/>
        <v>9.02</v>
      </c>
      <c r="KO54" s="138">
        <f t="shared" si="1427"/>
        <v>0</v>
      </c>
      <c r="KP54" s="110">
        <f t="shared" si="1428"/>
        <v>0</v>
      </c>
      <c r="KQ54" s="110"/>
      <c r="KR54" s="139"/>
      <c r="KS54" s="140" t="e">
        <f t="shared" si="1429"/>
        <v>#DIV/0!</v>
      </c>
      <c r="KT54" s="198">
        <f t="shared" si="1422"/>
        <v>0</v>
      </c>
      <c r="KU54" s="225">
        <f t="shared" si="1430"/>
        <v>0</v>
      </c>
      <c r="KV54" s="226">
        <f t="shared" si="1431"/>
        <v>0</v>
      </c>
      <c r="KW54" s="137">
        <f t="shared" si="1432"/>
        <v>0</v>
      </c>
      <c r="KX54" s="227">
        <f t="shared" si="1426"/>
        <v>9.94</v>
      </c>
      <c r="KY54" s="138">
        <f t="shared" si="1433"/>
        <v>0</v>
      </c>
      <c r="KZ54" s="110">
        <f t="shared" si="1434"/>
        <v>0</v>
      </c>
      <c r="LA54" s="110"/>
      <c r="LB54" s="139"/>
      <c r="LC54" s="140" t="e">
        <f t="shared" si="1435"/>
        <v>#DIV/0!</v>
      </c>
      <c r="LD54" s="197">
        <f t="shared" si="1235"/>
        <v>0</v>
      </c>
      <c r="LE54" s="225">
        <f t="shared" si="1236"/>
        <v>0</v>
      </c>
      <c r="LF54" s="226">
        <f t="shared" si="1237"/>
        <v>0</v>
      </c>
      <c r="LG54" s="137">
        <f t="shared" si="1238"/>
        <v>0</v>
      </c>
      <c r="LH54" s="227">
        <f t="shared" si="1239"/>
        <v>8.4600000000000009</v>
      </c>
      <c r="LI54" s="138">
        <f t="shared" si="1240"/>
        <v>0</v>
      </c>
      <c r="LJ54" s="110">
        <f t="shared" si="1241"/>
        <v>0</v>
      </c>
      <c r="LK54" s="110"/>
      <c r="LL54" s="139"/>
    </row>
    <row r="55" spans="1:324" ht="18" customHeight="1" x14ac:dyDescent="0.25">
      <c r="A55" s="246"/>
      <c r="B55" s="70" t="s">
        <v>626</v>
      </c>
      <c r="C55" s="12" t="s">
        <v>728</v>
      </c>
      <c r="D55" s="12" t="s">
        <v>430</v>
      </c>
      <c r="E55" s="4" t="s">
        <v>33</v>
      </c>
      <c r="F55" s="198">
        <f t="shared" si="1245"/>
        <v>1</v>
      </c>
      <c r="G55" s="225">
        <f t="shared" si="1242"/>
        <v>1.66E-3</v>
      </c>
      <c r="H55" s="226">
        <f t="shared" si="1243"/>
        <v>81.52</v>
      </c>
      <c r="I55" s="137">
        <f t="shared" si="1016"/>
        <v>81.52</v>
      </c>
      <c r="J55" s="227">
        <f t="shared" si="1244"/>
        <v>7.57</v>
      </c>
      <c r="K55" s="138">
        <f t="shared" si="1017"/>
        <v>617.10640000000001</v>
      </c>
      <c r="L55" s="110">
        <f t="shared" si="1018"/>
        <v>617.11</v>
      </c>
      <c r="M55" s="110"/>
      <c r="N55" s="139"/>
      <c r="O55" s="140">
        <f t="shared" si="1019"/>
        <v>0.77303999999999995</v>
      </c>
      <c r="P55" s="198">
        <f t="shared" si="1246"/>
        <v>3</v>
      </c>
      <c r="Q55" s="225">
        <f t="shared" si="1247"/>
        <v>2.7399999999999998E-3</v>
      </c>
      <c r="R55" s="226">
        <f t="shared" si="1248"/>
        <v>208.79</v>
      </c>
      <c r="S55" s="137">
        <f t="shared" si="1249"/>
        <v>69.596666670000005</v>
      </c>
      <c r="T55" s="227">
        <f t="shared" si="1250"/>
        <v>8.23</v>
      </c>
      <c r="U55" s="138">
        <f t="shared" si="1251"/>
        <v>572.78057000000001</v>
      </c>
      <c r="V55" s="110">
        <f t="shared" si="1252"/>
        <v>1718.34</v>
      </c>
      <c r="W55" s="110"/>
      <c r="X55" s="139"/>
      <c r="Y55" s="140">
        <f t="shared" si="1253"/>
        <v>0.71750999999999998</v>
      </c>
      <c r="Z55" s="198">
        <f t="shared" si="1246"/>
        <v>1</v>
      </c>
      <c r="AA55" s="225">
        <f t="shared" si="1254"/>
        <v>1.16E-3</v>
      </c>
      <c r="AB55" s="226">
        <f t="shared" si="1255"/>
        <v>67.88</v>
      </c>
      <c r="AC55" s="137">
        <f t="shared" si="1256"/>
        <v>67.88</v>
      </c>
      <c r="AD55" s="227">
        <f t="shared" si="1250"/>
        <v>8.8000000000000007</v>
      </c>
      <c r="AE55" s="138">
        <f t="shared" si="1257"/>
        <v>597.34400000000005</v>
      </c>
      <c r="AF55" s="110">
        <f t="shared" si="1258"/>
        <v>597.34</v>
      </c>
      <c r="AG55" s="110"/>
      <c r="AH55" s="139"/>
      <c r="AI55" s="140">
        <f t="shared" si="1259"/>
        <v>0.74827999999999995</v>
      </c>
      <c r="AJ55" s="198">
        <f t="shared" si="1246"/>
        <v>2</v>
      </c>
      <c r="AK55" s="225">
        <f t="shared" si="1260"/>
        <v>3.0100000000000001E-3</v>
      </c>
      <c r="AL55" s="226">
        <f t="shared" si="1261"/>
        <v>81.209999999999994</v>
      </c>
      <c r="AM55" s="137">
        <f t="shared" si="1262"/>
        <v>40.604999999999997</v>
      </c>
      <c r="AN55" s="227">
        <f t="shared" si="1250"/>
        <v>7.52</v>
      </c>
      <c r="AO55" s="138">
        <f t="shared" si="1263"/>
        <v>305.34960000000001</v>
      </c>
      <c r="AP55" s="110">
        <f t="shared" si="1264"/>
        <v>610.70000000000005</v>
      </c>
      <c r="AQ55" s="110"/>
      <c r="AR55" s="139"/>
      <c r="AS55" s="140">
        <f t="shared" si="1265"/>
        <v>0.38251000000000002</v>
      </c>
      <c r="AT55" s="198">
        <f t="shared" si="1246"/>
        <v>4</v>
      </c>
      <c r="AU55" s="225">
        <f t="shared" si="1266"/>
        <v>4.2100000000000002E-3</v>
      </c>
      <c r="AV55" s="226">
        <f t="shared" si="1267"/>
        <v>175.51</v>
      </c>
      <c r="AW55" s="137">
        <f t="shared" si="1268"/>
        <v>43.877499999999998</v>
      </c>
      <c r="AX55" s="227">
        <f t="shared" si="1250"/>
        <v>6.88</v>
      </c>
      <c r="AY55" s="138">
        <f t="shared" si="1269"/>
        <v>301.87720000000002</v>
      </c>
      <c r="AZ55" s="110">
        <f t="shared" si="1270"/>
        <v>1207.51</v>
      </c>
      <c r="BA55" s="110"/>
      <c r="BB55" s="139"/>
      <c r="BC55" s="140">
        <f t="shared" si="1271"/>
        <v>0.37816</v>
      </c>
      <c r="BD55" s="198">
        <f t="shared" si="1246"/>
        <v>1</v>
      </c>
      <c r="BE55" s="225">
        <f t="shared" si="1272"/>
        <v>1.34E-3</v>
      </c>
      <c r="BF55" s="226">
        <f t="shared" si="1273"/>
        <v>58.99</v>
      </c>
      <c r="BG55" s="137">
        <f t="shared" si="1274"/>
        <v>58.99</v>
      </c>
      <c r="BH55" s="227">
        <f t="shared" si="1250"/>
        <v>9.74</v>
      </c>
      <c r="BI55" s="138">
        <f t="shared" si="1275"/>
        <v>574.56259999999997</v>
      </c>
      <c r="BJ55" s="110">
        <f t="shared" si="1276"/>
        <v>574.55999999999995</v>
      </c>
      <c r="BK55" s="110"/>
      <c r="BL55" s="139"/>
      <c r="BM55" s="140">
        <f t="shared" si="1277"/>
        <v>0.71974000000000005</v>
      </c>
      <c r="BN55" s="198">
        <f t="shared" si="1246"/>
        <v>3</v>
      </c>
      <c r="BO55" s="225">
        <f t="shared" si="1278"/>
        <v>4.8599999999999997E-3</v>
      </c>
      <c r="BP55" s="226">
        <f t="shared" si="1279"/>
        <v>228.81</v>
      </c>
      <c r="BQ55" s="137">
        <f t="shared" si="1280"/>
        <v>76.27</v>
      </c>
      <c r="BR55" s="227">
        <f t="shared" si="1250"/>
        <v>10.32</v>
      </c>
      <c r="BS55" s="138">
        <f t="shared" si="1281"/>
        <v>787.10640000000001</v>
      </c>
      <c r="BT55" s="110">
        <f t="shared" si="1282"/>
        <v>2361.3200000000002</v>
      </c>
      <c r="BU55" s="110"/>
      <c r="BV55" s="139"/>
      <c r="BW55" s="140">
        <f t="shared" si="1283"/>
        <v>0.98599000000000003</v>
      </c>
      <c r="BX55" s="198">
        <f t="shared" si="1246"/>
        <v>1</v>
      </c>
      <c r="BY55" s="225">
        <f t="shared" si="1284"/>
        <v>1.2700000000000001E-3</v>
      </c>
      <c r="BZ55" s="226">
        <f t="shared" si="1285"/>
        <v>79.760000000000005</v>
      </c>
      <c r="CA55" s="137">
        <f t="shared" si="1286"/>
        <v>79.760000000000005</v>
      </c>
      <c r="CB55" s="227">
        <f t="shared" si="1250"/>
        <v>7.89</v>
      </c>
      <c r="CC55" s="138">
        <f t="shared" si="1287"/>
        <v>629.30640000000005</v>
      </c>
      <c r="CD55" s="110">
        <f t="shared" si="1288"/>
        <v>629.30999999999995</v>
      </c>
      <c r="CE55" s="110"/>
      <c r="CF55" s="139"/>
      <c r="CG55" s="140">
        <f t="shared" si="1289"/>
        <v>0.78832000000000002</v>
      </c>
      <c r="CH55" s="198">
        <f t="shared" si="1290"/>
        <v>5</v>
      </c>
      <c r="CI55" s="225">
        <f t="shared" si="1291"/>
        <v>5.4099999999999999E-3</v>
      </c>
      <c r="CJ55" s="226">
        <f t="shared" si="1292"/>
        <v>650.28</v>
      </c>
      <c r="CK55" s="137">
        <f t="shared" si="1293"/>
        <v>130.05600000000001</v>
      </c>
      <c r="CL55" s="227">
        <f t="shared" si="1294"/>
        <v>8.24</v>
      </c>
      <c r="CM55" s="138">
        <f t="shared" si="1295"/>
        <v>1071.6614400000001</v>
      </c>
      <c r="CN55" s="110">
        <f t="shared" si="1296"/>
        <v>5358.31</v>
      </c>
      <c r="CO55" s="110"/>
      <c r="CP55" s="139"/>
      <c r="CQ55" s="140">
        <f t="shared" si="1297"/>
        <v>1.3424499999999999</v>
      </c>
      <c r="CR55" s="198">
        <f t="shared" si="1290"/>
        <v>2</v>
      </c>
      <c r="CS55" s="225">
        <f t="shared" si="1298"/>
        <v>2.6900000000000001E-3</v>
      </c>
      <c r="CT55" s="226">
        <f t="shared" si="1299"/>
        <v>170.12</v>
      </c>
      <c r="CU55" s="137">
        <f t="shared" si="1300"/>
        <v>85.06</v>
      </c>
      <c r="CV55" s="227">
        <f t="shared" si="1294"/>
        <v>8.92</v>
      </c>
      <c r="CW55" s="138">
        <f t="shared" si="1301"/>
        <v>758.73519999999996</v>
      </c>
      <c r="CX55" s="110">
        <f t="shared" si="1302"/>
        <v>1517.47</v>
      </c>
      <c r="CY55" s="110"/>
      <c r="CZ55" s="139"/>
      <c r="DA55" s="140">
        <f t="shared" si="1303"/>
        <v>0.95045000000000002</v>
      </c>
      <c r="DB55" s="198">
        <f t="shared" si="1290"/>
        <v>0</v>
      </c>
      <c r="DC55" s="225">
        <f t="shared" si="1304"/>
        <v>0</v>
      </c>
      <c r="DD55" s="226">
        <f t="shared" si="1305"/>
        <v>0</v>
      </c>
      <c r="DE55" s="137">
        <f t="shared" si="1306"/>
        <v>0</v>
      </c>
      <c r="DF55" s="227">
        <f t="shared" si="1294"/>
        <v>7.48</v>
      </c>
      <c r="DG55" s="138">
        <f t="shared" si="1307"/>
        <v>0</v>
      </c>
      <c r="DH55" s="110">
        <f t="shared" si="1308"/>
        <v>0</v>
      </c>
      <c r="DI55" s="110"/>
      <c r="DJ55" s="139"/>
      <c r="DK55" s="140">
        <f t="shared" si="1309"/>
        <v>0</v>
      </c>
      <c r="DL55" s="198">
        <f t="shared" si="1290"/>
        <v>0</v>
      </c>
      <c r="DM55" s="225">
        <f t="shared" si="1310"/>
        <v>0</v>
      </c>
      <c r="DN55" s="226">
        <f t="shared" si="1311"/>
        <v>0</v>
      </c>
      <c r="DO55" s="137">
        <f t="shared" si="1312"/>
        <v>0</v>
      </c>
      <c r="DP55" s="227">
        <f t="shared" si="1294"/>
        <v>8.2200000000000006</v>
      </c>
      <c r="DQ55" s="138">
        <f t="shared" si="1313"/>
        <v>0</v>
      </c>
      <c r="DR55" s="110">
        <f t="shared" si="1314"/>
        <v>0</v>
      </c>
      <c r="DS55" s="110"/>
      <c r="DT55" s="139"/>
      <c r="DU55" s="140">
        <f t="shared" si="1315"/>
        <v>0</v>
      </c>
      <c r="DV55" s="198">
        <f t="shared" si="1290"/>
        <v>4</v>
      </c>
      <c r="DW55" s="225">
        <f t="shared" si="1316"/>
        <v>4.5599999999999998E-3</v>
      </c>
      <c r="DX55" s="226">
        <f t="shared" si="1317"/>
        <v>645.19000000000005</v>
      </c>
      <c r="DY55" s="137">
        <f t="shared" si="1318"/>
        <v>161.29750000000001</v>
      </c>
      <c r="DZ55" s="227">
        <f t="shared" si="1294"/>
        <v>7.91</v>
      </c>
      <c r="EA55" s="138">
        <f t="shared" si="1319"/>
        <v>1275.8632299999999</v>
      </c>
      <c r="EB55" s="110">
        <f t="shared" si="1320"/>
        <v>5103.45</v>
      </c>
      <c r="EC55" s="110"/>
      <c r="ED55" s="139"/>
      <c r="EE55" s="140">
        <f t="shared" si="1321"/>
        <v>1.5982499999999999</v>
      </c>
      <c r="EF55" s="198">
        <f t="shared" si="1290"/>
        <v>3</v>
      </c>
      <c r="EG55" s="225">
        <f t="shared" si="1322"/>
        <v>3.1900000000000001E-3</v>
      </c>
      <c r="EH55" s="226">
        <f t="shared" si="1323"/>
        <v>185.37</v>
      </c>
      <c r="EI55" s="137">
        <f t="shared" si="1324"/>
        <v>61.79</v>
      </c>
      <c r="EJ55" s="227">
        <f t="shared" si="1294"/>
        <v>7.63</v>
      </c>
      <c r="EK55" s="138">
        <f t="shared" si="1325"/>
        <v>471.45769999999999</v>
      </c>
      <c r="EL55" s="110">
        <f t="shared" si="1326"/>
        <v>1414.37</v>
      </c>
      <c r="EM55" s="110"/>
      <c r="EN55" s="139"/>
      <c r="EO55" s="140">
        <f t="shared" si="1327"/>
        <v>0.59058999999999995</v>
      </c>
      <c r="EP55" s="198">
        <f t="shared" si="1290"/>
        <v>2</v>
      </c>
      <c r="EQ55" s="225">
        <f t="shared" si="1328"/>
        <v>2.1199999999999999E-3</v>
      </c>
      <c r="ER55" s="226">
        <f t="shared" si="1329"/>
        <v>142.72</v>
      </c>
      <c r="ES55" s="137">
        <f t="shared" si="1330"/>
        <v>71.36</v>
      </c>
      <c r="ET55" s="227">
        <f t="shared" si="1294"/>
        <v>7.95</v>
      </c>
      <c r="EU55" s="138">
        <f t="shared" si="1331"/>
        <v>567.31200000000001</v>
      </c>
      <c r="EV55" s="110">
        <f t="shared" si="1332"/>
        <v>1134.6199999999999</v>
      </c>
      <c r="EW55" s="110"/>
      <c r="EX55" s="139"/>
      <c r="EY55" s="140">
        <f t="shared" si="1333"/>
        <v>0.71065999999999996</v>
      </c>
      <c r="EZ55" s="198">
        <f t="shared" si="1334"/>
        <v>1</v>
      </c>
      <c r="FA55" s="225">
        <f t="shared" si="1335"/>
        <v>8.9999999999999998E-4</v>
      </c>
      <c r="FB55" s="226">
        <f t="shared" si="1336"/>
        <v>59.64</v>
      </c>
      <c r="FC55" s="137">
        <f t="shared" si="1337"/>
        <v>59.64</v>
      </c>
      <c r="FD55" s="227">
        <f t="shared" si="1338"/>
        <v>10.210000000000001</v>
      </c>
      <c r="FE55" s="138">
        <f t="shared" si="1339"/>
        <v>608.92439999999999</v>
      </c>
      <c r="FF55" s="110">
        <f t="shared" si="1340"/>
        <v>608.91999999999996</v>
      </c>
      <c r="FG55" s="110"/>
      <c r="FH55" s="139"/>
      <c r="FI55" s="140">
        <f t="shared" si="1341"/>
        <v>0.76278999999999997</v>
      </c>
      <c r="FJ55" s="198">
        <f t="shared" si="1334"/>
        <v>2</v>
      </c>
      <c r="FK55" s="225">
        <f t="shared" si="1342"/>
        <v>1.9599999999999999E-3</v>
      </c>
      <c r="FL55" s="226">
        <f t="shared" si="1343"/>
        <v>209.82</v>
      </c>
      <c r="FM55" s="137">
        <f t="shared" si="1344"/>
        <v>104.91</v>
      </c>
      <c r="FN55" s="227">
        <f t="shared" si="1338"/>
        <v>9.52</v>
      </c>
      <c r="FO55" s="138">
        <f t="shared" si="1345"/>
        <v>998.7432</v>
      </c>
      <c r="FP55" s="110">
        <f t="shared" si="1346"/>
        <v>1997.49</v>
      </c>
      <c r="FQ55" s="110"/>
      <c r="FR55" s="139"/>
      <c r="FS55" s="140">
        <f t="shared" si="1347"/>
        <v>1.2511099999999999</v>
      </c>
      <c r="FT55" s="198">
        <f t="shared" si="1334"/>
        <v>3</v>
      </c>
      <c r="FU55" s="225">
        <f t="shared" si="1348"/>
        <v>3.7399999999999998E-3</v>
      </c>
      <c r="FV55" s="226">
        <f t="shared" si="1349"/>
        <v>187.07</v>
      </c>
      <c r="FW55" s="137">
        <f t="shared" si="1350"/>
        <v>62.356666670000003</v>
      </c>
      <c r="FX55" s="227">
        <f t="shared" si="1338"/>
        <v>9.57</v>
      </c>
      <c r="FY55" s="138">
        <f t="shared" si="1351"/>
        <v>596.75329999999997</v>
      </c>
      <c r="FZ55" s="110">
        <f t="shared" si="1352"/>
        <v>1790.26</v>
      </c>
      <c r="GA55" s="110"/>
      <c r="GB55" s="139"/>
      <c r="GC55" s="140">
        <f t="shared" si="1353"/>
        <v>0.74753999999999998</v>
      </c>
      <c r="GD55" s="198">
        <f t="shared" si="1334"/>
        <v>3</v>
      </c>
      <c r="GE55" s="225">
        <f t="shared" si="1354"/>
        <v>5.8599999999999998E-3</v>
      </c>
      <c r="GF55" s="226">
        <f t="shared" si="1355"/>
        <v>253.5</v>
      </c>
      <c r="GG55" s="137">
        <f t="shared" si="1356"/>
        <v>84.5</v>
      </c>
      <c r="GH55" s="227">
        <f t="shared" si="1338"/>
        <v>8.39</v>
      </c>
      <c r="GI55" s="138">
        <f t="shared" si="1357"/>
        <v>708.95500000000004</v>
      </c>
      <c r="GJ55" s="110">
        <f t="shared" si="1358"/>
        <v>2126.87</v>
      </c>
      <c r="GK55" s="110"/>
      <c r="GL55" s="139"/>
      <c r="GM55" s="140">
        <f t="shared" si="1359"/>
        <v>0.88809000000000005</v>
      </c>
      <c r="GN55" s="198">
        <f t="shared" si="1334"/>
        <v>2</v>
      </c>
      <c r="GO55" s="225">
        <f t="shared" si="1360"/>
        <v>2.31E-3</v>
      </c>
      <c r="GP55" s="226">
        <f t="shared" si="1361"/>
        <v>239.36</v>
      </c>
      <c r="GQ55" s="137">
        <f t="shared" si="1362"/>
        <v>119.68</v>
      </c>
      <c r="GR55" s="227">
        <f t="shared" si="1338"/>
        <v>7.63</v>
      </c>
      <c r="GS55" s="138">
        <f t="shared" si="1363"/>
        <v>913.15840000000003</v>
      </c>
      <c r="GT55" s="110">
        <f t="shared" si="1364"/>
        <v>1826.32</v>
      </c>
      <c r="GU55" s="110"/>
      <c r="GV55" s="139"/>
      <c r="GW55" s="140">
        <f t="shared" si="1365"/>
        <v>1.1438999999999999</v>
      </c>
      <c r="GX55" s="198">
        <f t="shared" si="1334"/>
        <v>0</v>
      </c>
      <c r="GY55" s="225">
        <f t="shared" si="1366"/>
        <v>0</v>
      </c>
      <c r="GZ55" s="226">
        <f t="shared" si="1367"/>
        <v>0</v>
      </c>
      <c r="HA55" s="137">
        <f t="shared" si="1368"/>
        <v>0</v>
      </c>
      <c r="HB55" s="227">
        <f t="shared" si="1338"/>
        <v>4.8899999999999997</v>
      </c>
      <c r="HC55" s="138">
        <f t="shared" si="1369"/>
        <v>0</v>
      </c>
      <c r="HD55" s="110">
        <f t="shared" si="1370"/>
        <v>0</v>
      </c>
      <c r="HE55" s="110"/>
      <c r="HF55" s="139"/>
      <c r="HG55" s="140">
        <f t="shared" si="1371"/>
        <v>0</v>
      </c>
      <c r="HH55" s="198">
        <f t="shared" si="1334"/>
        <v>2</v>
      </c>
      <c r="HI55" s="225">
        <f t="shared" si="1372"/>
        <v>1.74E-3</v>
      </c>
      <c r="HJ55" s="226">
        <f t="shared" si="1373"/>
        <v>178.63</v>
      </c>
      <c r="HK55" s="137">
        <f t="shared" si="1374"/>
        <v>89.314999999999998</v>
      </c>
      <c r="HL55" s="227">
        <f t="shared" si="1338"/>
        <v>5.98</v>
      </c>
      <c r="HM55" s="138">
        <f t="shared" si="1375"/>
        <v>534.1037</v>
      </c>
      <c r="HN55" s="110">
        <f t="shared" si="1376"/>
        <v>1068.21</v>
      </c>
      <c r="HO55" s="110"/>
      <c r="HP55" s="139"/>
      <c r="HQ55" s="140">
        <f t="shared" si="1377"/>
        <v>0.66905999999999999</v>
      </c>
      <c r="HR55" s="198">
        <f t="shared" si="1378"/>
        <v>3</v>
      </c>
      <c r="HS55" s="225">
        <f t="shared" si="1379"/>
        <v>3.81E-3</v>
      </c>
      <c r="HT55" s="226">
        <f t="shared" si="1380"/>
        <v>149.35</v>
      </c>
      <c r="HU55" s="137">
        <f t="shared" si="1381"/>
        <v>49.783333329999998</v>
      </c>
      <c r="HV55" s="227">
        <f t="shared" si="1382"/>
        <v>9.76</v>
      </c>
      <c r="HW55" s="138">
        <f t="shared" si="1383"/>
        <v>485.88533000000001</v>
      </c>
      <c r="HX55" s="110">
        <f t="shared" si="1384"/>
        <v>1457.66</v>
      </c>
      <c r="HY55" s="110"/>
      <c r="HZ55" s="139"/>
      <c r="IA55" s="140">
        <f t="shared" si="1385"/>
        <v>0.60865999999999998</v>
      </c>
      <c r="IB55" s="198">
        <f t="shared" si="1378"/>
        <v>4</v>
      </c>
      <c r="IC55" s="225">
        <f t="shared" si="1386"/>
        <v>7.3000000000000001E-3</v>
      </c>
      <c r="ID55" s="226">
        <f t="shared" si="1387"/>
        <v>237.91</v>
      </c>
      <c r="IE55" s="137">
        <f t="shared" si="1388"/>
        <v>59.477499999999999</v>
      </c>
      <c r="IF55" s="227">
        <f t="shared" si="1382"/>
        <v>7.76</v>
      </c>
      <c r="IG55" s="138">
        <f t="shared" si="1389"/>
        <v>461.54539999999997</v>
      </c>
      <c r="IH55" s="110">
        <f t="shared" si="1390"/>
        <v>1846.18</v>
      </c>
      <c r="II55" s="110"/>
      <c r="IJ55" s="139"/>
      <c r="IK55" s="140">
        <f t="shared" si="1391"/>
        <v>0.57816999999999996</v>
      </c>
      <c r="IL55" s="198">
        <f t="shared" si="1378"/>
        <v>4</v>
      </c>
      <c r="IM55" s="225">
        <f t="shared" si="1392"/>
        <v>3.16E-3</v>
      </c>
      <c r="IN55" s="226">
        <f t="shared" si="1393"/>
        <v>165.36</v>
      </c>
      <c r="IO55" s="137">
        <f t="shared" si="1394"/>
        <v>41.34</v>
      </c>
      <c r="IP55" s="227">
        <f t="shared" si="1382"/>
        <v>7.4</v>
      </c>
      <c r="IQ55" s="138">
        <f t="shared" si="1395"/>
        <v>305.916</v>
      </c>
      <c r="IR55" s="110">
        <f t="shared" si="1396"/>
        <v>1223.6600000000001</v>
      </c>
      <c r="IS55" s="110"/>
      <c r="IT55" s="139"/>
      <c r="IU55" s="140">
        <f t="shared" si="1397"/>
        <v>0.38322000000000001</v>
      </c>
      <c r="IV55" s="198">
        <f t="shared" si="1378"/>
        <v>5</v>
      </c>
      <c r="IW55" s="225">
        <f t="shared" si="1398"/>
        <v>6.4900000000000001E-3</v>
      </c>
      <c r="IX55" s="226">
        <f t="shared" si="1399"/>
        <v>265.7</v>
      </c>
      <c r="IY55" s="137">
        <f t="shared" si="1400"/>
        <v>53.14</v>
      </c>
      <c r="IZ55" s="227">
        <f t="shared" si="1382"/>
        <v>9.64</v>
      </c>
      <c r="JA55" s="138">
        <f t="shared" si="1401"/>
        <v>512.26959999999997</v>
      </c>
      <c r="JB55" s="110">
        <f t="shared" si="1402"/>
        <v>2561.35</v>
      </c>
      <c r="JC55" s="110"/>
      <c r="JD55" s="139"/>
      <c r="JE55" s="140">
        <f t="shared" si="1403"/>
        <v>0.64171</v>
      </c>
      <c r="JF55" s="198">
        <f t="shared" si="1378"/>
        <v>2</v>
      </c>
      <c r="JG55" s="225">
        <f t="shared" si="1404"/>
        <v>1.49E-3</v>
      </c>
      <c r="JH55" s="226">
        <f t="shared" si="1405"/>
        <v>162.35</v>
      </c>
      <c r="JI55" s="137">
        <f t="shared" si="1406"/>
        <v>81.174999999999997</v>
      </c>
      <c r="JJ55" s="227">
        <f t="shared" si="1382"/>
        <v>9.1</v>
      </c>
      <c r="JK55" s="138">
        <f t="shared" si="1407"/>
        <v>738.6925</v>
      </c>
      <c r="JL55" s="110">
        <f t="shared" si="1408"/>
        <v>1477.39</v>
      </c>
      <c r="JM55" s="110"/>
      <c r="JN55" s="139"/>
      <c r="JO55" s="140">
        <f t="shared" si="1409"/>
        <v>0.92535000000000001</v>
      </c>
      <c r="JP55" s="198">
        <f t="shared" si="1378"/>
        <v>4</v>
      </c>
      <c r="JQ55" s="225">
        <f t="shared" si="1410"/>
        <v>3.2000000000000002E-3</v>
      </c>
      <c r="JR55" s="226">
        <f t="shared" si="1411"/>
        <v>418.11</v>
      </c>
      <c r="JS55" s="137">
        <f t="shared" si="1412"/>
        <v>104.5275</v>
      </c>
      <c r="JT55" s="227">
        <f t="shared" si="1382"/>
        <v>10.15</v>
      </c>
      <c r="JU55" s="138">
        <f t="shared" si="1413"/>
        <v>1060.9541300000001</v>
      </c>
      <c r="JV55" s="110">
        <f t="shared" si="1414"/>
        <v>4243.82</v>
      </c>
      <c r="JW55" s="110"/>
      <c r="JX55" s="139"/>
      <c r="JY55" s="140">
        <f t="shared" si="1415"/>
        <v>1.32904</v>
      </c>
      <c r="JZ55" s="198">
        <f t="shared" si="1378"/>
        <v>0</v>
      </c>
      <c r="KA55" s="225">
        <f t="shared" si="1416"/>
        <v>0</v>
      </c>
      <c r="KB55" s="226">
        <f t="shared" si="1417"/>
        <v>0</v>
      </c>
      <c r="KC55" s="137">
        <f t="shared" si="1418"/>
        <v>0</v>
      </c>
      <c r="KD55" s="227">
        <f t="shared" si="1382"/>
        <v>8.14</v>
      </c>
      <c r="KE55" s="138">
        <f t="shared" si="1419"/>
        <v>0</v>
      </c>
      <c r="KF55" s="110">
        <f t="shared" si="1420"/>
        <v>0</v>
      </c>
      <c r="KG55" s="110"/>
      <c r="KH55" s="139"/>
      <c r="KI55" s="140">
        <f t="shared" si="1421"/>
        <v>0</v>
      </c>
      <c r="KJ55" s="198">
        <f t="shared" si="1422"/>
        <v>2</v>
      </c>
      <c r="KK55" s="225">
        <f t="shared" si="1423"/>
        <v>1.49E-3</v>
      </c>
      <c r="KL55" s="226">
        <f t="shared" si="1424"/>
        <v>104.63</v>
      </c>
      <c r="KM55" s="137">
        <f t="shared" si="1425"/>
        <v>52.314999999999998</v>
      </c>
      <c r="KN55" s="227">
        <f t="shared" si="1426"/>
        <v>9.02</v>
      </c>
      <c r="KO55" s="138">
        <f t="shared" si="1427"/>
        <v>471.88130000000001</v>
      </c>
      <c r="KP55" s="110">
        <f t="shared" si="1428"/>
        <v>943.76</v>
      </c>
      <c r="KQ55" s="110"/>
      <c r="KR55" s="139"/>
      <c r="KS55" s="140">
        <f t="shared" si="1429"/>
        <v>0.59111999999999998</v>
      </c>
      <c r="KT55" s="198">
        <f t="shared" si="1422"/>
        <v>0</v>
      </c>
      <c r="KU55" s="225">
        <f t="shared" si="1430"/>
        <v>0</v>
      </c>
      <c r="KV55" s="226">
        <f t="shared" si="1431"/>
        <v>0</v>
      </c>
      <c r="KW55" s="137">
        <f t="shared" si="1432"/>
        <v>0</v>
      </c>
      <c r="KX55" s="227">
        <f t="shared" si="1426"/>
        <v>9.94</v>
      </c>
      <c r="KY55" s="138">
        <f t="shared" si="1433"/>
        <v>0</v>
      </c>
      <c r="KZ55" s="110">
        <f t="shared" si="1434"/>
        <v>0</v>
      </c>
      <c r="LA55" s="110"/>
      <c r="LB55" s="139"/>
      <c r="LC55" s="140">
        <f t="shared" si="1435"/>
        <v>0</v>
      </c>
      <c r="LD55" s="197">
        <f t="shared" si="1235"/>
        <v>69</v>
      </c>
      <c r="LE55" s="225">
        <f t="shared" si="1236"/>
        <v>2.4199999999999998E-3</v>
      </c>
      <c r="LF55" s="226">
        <f t="shared" si="1237"/>
        <v>6510.86</v>
      </c>
      <c r="LG55" s="137">
        <f t="shared" si="1238"/>
        <v>94.360289859999995</v>
      </c>
      <c r="LH55" s="227">
        <f t="shared" si="1239"/>
        <v>8.4600000000000009</v>
      </c>
      <c r="LI55" s="138">
        <f t="shared" si="1240"/>
        <v>798.28805</v>
      </c>
      <c r="LJ55" s="110">
        <f t="shared" si="1241"/>
        <v>55081.88</v>
      </c>
      <c r="LK55" s="110"/>
      <c r="LL55" s="139"/>
    </row>
    <row r="56" spans="1:324" ht="18" customHeight="1" x14ac:dyDescent="0.25">
      <c r="A56" s="246"/>
      <c r="B56" s="70" t="s">
        <v>627</v>
      </c>
      <c r="C56" s="12" t="s">
        <v>728</v>
      </c>
      <c r="D56" s="12" t="s">
        <v>430</v>
      </c>
      <c r="E56" s="4" t="s">
        <v>33</v>
      </c>
      <c r="F56" s="198">
        <f t="shared" si="1245"/>
        <v>0</v>
      </c>
      <c r="G56" s="225">
        <f t="shared" si="1242"/>
        <v>0</v>
      </c>
      <c r="H56" s="226">
        <f t="shared" si="1243"/>
        <v>0</v>
      </c>
      <c r="I56" s="137">
        <f t="shared" si="1016"/>
        <v>0</v>
      </c>
      <c r="J56" s="227">
        <f t="shared" si="1244"/>
        <v>7.57</v>
      </c>
      <c r="K56" s="138">
        <f t="shared" si="1017"/>
        <v>0</v>
      </c>
      <c r="L56" s="110">
        <f t="shared" si="1018"/>
        <v>0</v>
      </c>
      <c r="M56" s="110"/>
      <c r="N56" s="139"/>
      <c r="O56" s="140">
        <f t="shared" si="1019"/>
        <v>0</v>
      </c>
      <c r="P56" s="198">
        <f t="shared" si="1246"/>
        <v>0</v>
      </c>
      <c r="Q56" s="225">
        <f t="shared" si="1247"/>
        <v>0</v>
      </c>
      <c r="R56" s="226">
        <f t="shared" si="1248"/>
        <v>0</v>
      </c>
      <c r="S56" s="137">
        <f t="shared" si="1249"/>
        <v>0</v>
      </c>
      <c r="T56" s="227">
        <f t="shared" si="1250"/>
        <v>8.23</v>
      </c>
      <c r="U56" s="138">
        <f t="shared" si="1251"/>
        <v>0</v>
      </c>
      <c r="V56" s="110">
        <f t="shared" si="1252"/>
        <v>0</v>
      </c>
      <c r="W56" s="110"/>
      <c r="X56" s="139"/>
      <c r="Y56" s="140">
        <f t="shared" si="1253"/>
        <v>0</v>
      </c>
      <c r="Z56" s="198">
        <f t="shared" si="1246"/>
        <v>0</v>
      </c>
      <c r="AA56" s="225">
        <f t="shared" si="1254"/>
        <v>0</v>
      </c>
      <c r="AB56" s="226">
        <f t="shared" si="1255"/>
        <v>0</v>
      </c>
      <c r="AC56" s="137">
        <f t="shared" si="1256"/>
        <v>0</v>
      </c>
      <c r="AD56" s="227">
        <f t="shared" si="1250"/>
        <v>8.8000000000000007</v>
      </c>
      <c r="AE56" s="138">
        <f t="shared" si="1257"/>
        <v>0</v>
      </c>
      <c r="AF56" s="110">
        <f t="shared" si="1258"/>
        <v>0</v>
      </c>
      <c r="AG56" s="110"/>
      <c r="AH56" s="139"/>
      <c r="AI56" s="140">
        <f t="shared" si="1259"/>
        <v>0</v>
      </c>
      <c r="AJ56" s="198">
        <f t="shared" si="1246"/>
        <v>0</v>
      </c>
      <c r="AK56" s="225">
        <f t="shared" si="1260"/>
        <v>0</v>
      </c>
      <c r="AL56" s="226">
        <f t="shared" si="1261"/>
        <v>0</v>
      </c>
      <c r="AM56" s="137">
        <f t="shared" si="1262"/>
        <v>0</v>
      </c>
      <c r="AN56" s="227">
        <f t="shared" si="1250"/>
        <v>7.52</v>
      </c>
      <c r="AO56" s="138">
        <f t="shared" si="1263"/>
        <v>0</v>
      </c>
      <c r="AP56" s="110">
        <f t="shared" si="1264"/>
        <v>0</v>
      </c>
      <c r="AQ56" s="110"/>
      <c r="AR56" s="139"/>
      <c r="AS56" s="140">
        <f t="shared" si="1265"/>
        <v>0</v>
      </c>
      <c r="AT56" s="198">
        <f t="shared" si="1246"/>
        <v>4</v>
      </c>
      <c r="AU56" s="225">
        <f t="shared" si="1266"/>
        <v>4.2100000000000002E-3</v>
      </c>
      <c r="AV56" s="226">
        <f t="shared" si="1267"/>
        <v>175.51</v>
      </c>
      <c r="AW56" s="137">
        <f t="shared" si="1268"/>
        <v>43.877499999999998</v>
      </c>
      <c r="AX56" s="227">
        <f t="shared" si="1250"/>
        <v>6.88</v>
      </c>
      <c r="AY56" s="138">
        <f t="shared" si="1269"/>
        <v>301.87720000000002</v>
      </c>
      <c r="AZ56" s="110">
        <f t="shared" si="1270"/>
        <v>1207.51</v>
      </c>
      <c r="BA56" s="110"/>
      <c r="BB56" s="139"/>
      <c r="BC56" s="140">
        <f t="shared" si="1271"/>
        <v>0.37808000000000003</v>
      </c>
      <c r="BD56" s="198">
        <f t="shared" si="1246"/>
        <v>0</v>
      </c>
      <c r="BE56" s="225">
        <f t="shared" si="1272"/>
        <v>0</v>
      </c>
      <c r="BF56" s="226">
        <f t="shared" si="1273"/>
        <v>0</v>
      </c>
      <c r="BG56" s="137">
        <f t="shared" si="1274"/>
        <v>0</v>
      </c>
      <c r="BH56" s="227">
        <f t="shared" si="1250"/>
        <v>9.74</v>
      </c>
      <c r="BI56" s="138">
        <f t="shared" si="1275"/>
        <v>0</v>
      </c>
      <c r="BJ56" s="110">
        <f t="shared" si="1276"/>
        <v>0</v>
      </c>
      <c r="BK56" s="110"/>
      <c r="BL56" s="139"/>
      <c r="BM56" s="140">
        <f t="shared" si="1277"/>
        <v>0</v>
      </c>
      <c r="BN56" s="198">
        <f t="shared" si="1246"/>
        <v>0</v>
      </c>
      <c r="BO56" s="225">
        <f t="shared" si="1278"/>
        <v>0</v>
      </c>
      <c r="BP56" s="226">
        <f t="shared" si="1279"/>
        <v>0</v>
      </c>
      <c r="BQ56" s="137">
        <f t="shared" si="1280"/>
        <v>0</v>
      </c>
      <c r="BR56" s="227">
        <f t="shared" si="1250"/>
        <v>10.32</v>
      </c>
      <c r="BS56" s="138">
        <f t="shared" si="1281"/>
        <v>0</v>
      </c>
      <c r="BT56" s="110">
        <f t="shared" si="1282"/>
        <v>0</v>
      </c>
      <c r="BU56" s="110"/>
      <c r="BV56" s="139"/>
      <c r="BW56" s="140">
        <f t="shared" si="1283"/>
        <v>0</v>
      </c>
      <c r="BX56" s="198">
        <f t="shared" si="1246"/>
        <v>3</v>
      </c>
      <c r="BY56" s="225">
        <f t="shared" si="1284"/>
        <v>3.81E-3</v>
      </c>
      <c r="BZ56" s="226">
        <f t="shared" si="1285"/>
        <v>239.27</v>
      </c>
      <c r="CA56" s="137">
        <f t="shared" si="1286"/>
        <v>79.756666670000001</v>
      </c>
      <c r="CB56" s="227">
        <f t="shared" si="1250"/>
        <v>7.89</v>
      </c>
      <c r="CC56" s="138">
        <f t="shared" si="1287"/>
        <v>629.28009999999995</v>
      </c>
      <c r="CD56" s="110">
        <f t="shared" si="1288"/>
        <v>1887.84</v>
      </c>
      <c r="CE56" s="110"/>
      <c r="CF56" s="139"/>
      <c r="CG56" s="140">
        <f t="shared" si="1289"/>
        <v>0.78813</v>
      </c>
      <c r="CH56" s="198">
        <f t="shared" si="1290"/>
        <v>0</v>
      </c>
      <c r="CI56" s="225">
        <f t="shared" si="1291"/>
        <v>0</v>
      </c>
      <c r="CJ56" s="226">
        <f t="shared" si="1292"/>
        <v>0</v>
      </c>
      <c r="CK56" s="137">
        <f t="shared" si="1293"/>
        <v>0</v>
      </c>
      <c r="CL56" s="227">
        <f t="shared" si="1294"/>
        <v>8.24</v>
      </c>
      <c r="CM56" s="138">
        <f t="shared" si="1295"/>
        <v>0</v>
      </c>
      <c r="CN56" s="110">
        <f t="shared" si="1296"/>
        <v>0</v>
      </c>
      <c r="CO56" s="110"/>
      <c r="CP56" s="139"/>
      <c r="CQ56" s="140">
        <f t="shared" si="1297"/>
        <v>0</v>
      </c>
      <c r="CR56" s="198">
        <f t="shared" si="1290"/>
        <v>1</v>
      </c>
      <c r="CS56" s="225">
        <f t="shared" si="1298"/>
        <v>1.34E-3</v>
      </c>
      <c r="CT56" s="226">
        <f t="shared" si="1299"/>
        <v>84.74</v>
      </c>
      <c r="CU56" s="137">
        <f t="shared" si="1300"/>
        <v>84.74</v>
      </c>
      <c r="CV56" s="227">
        <f t="shared" si="1294"/>
        <v>8.92</v>
      </c>
      <c r="CW56" s="138">
        <f t="shared" si="1301"/>
        <v>755.88080000000002</v>
      </c>
      <c r="CX56" s="110">
        <f t="shared" si="1302"/>
        <v>755.88</v>
      </c>
      <c r="CY56" s="110"/>
      <c r="CZ56" s="139"/>
      <c r="DA56" s="140">
        <f t="shared" si="1303"/>
        <v>0.94669000000000003</v>
      </c>
      <c r="DB56" s="198">
        <f t="shared" si="1290"/>
        <v>0</v>
      </c>
      <c r="DC56" s="225">
        <f t="shared" si="1304"/>
        <v>0</v>
      </c>
      <c r="DD56" s="226">
        <f t="shared" si="1305"/>
        <v>0</v>
      </c>
      <c r="DE56" s="137">
        <f t="shared" si="1306"/>
        <v>0</v>
      </c>
      <c r="DF56" s="227">
        <f t="shared" si="1294"/>
        <v>7.48</v>
      </c>
      <c r="DG56" s="138">
        <f t="shared" si="1307"/>
        <v>0</v>
      </c>
      <c r="DH56" s="110">
        <f t="shared" si="1308"/>
        <v>0</v>
      </c>
      <c r="DI56" s="110"/>
      <c r="DJ56" s="139"/>
      <c r="DK56" s="140">
        <f t="shared" si="1309"/>
        <v>0</v>
      </c>
      <c r="DL56" s="198">
        <f t="shared" si="1290"/>
        <v>0</v>
      </c>
      <c r="DM56" s="225">
        <f t="shared" si="1310"/>
        <v>0</v>
      </c>
      <c r="DN56" s="226">
        <f t="shared" si="1311"/>
        <v>0</v>
      </c>
      <c r="DO56" s="137">
        <f t="shared" si="1312"/>
        <v>0</v>
      </c>
      <c r="DP56" s="227">
        <f t="shared" si="1294"/>
        <v>8.2200000000000006</v>
      </c>
      <c r="DQ56" s="138">
        <f t="shared" si="1313"/>
        <v>0</v>
      </c>
      <c r="DR56" s="110">
        <f t="shared" si="1314"/>
        <v>0</v>
      </c>
      <c r="DS56" s="110"/>
      <c r="DT56" s="139"/>
      <c r="DU56" s="140">
        <f t="shared" si="1315"/>
        <v>0</v>
      </c>
      <c r="DV56" s="198">
        <f t="shared" si="1290"/>
        <v>6</v>
      </c>
      <c r="DW56" s="225">
        <f t="shared" si="1316"/>
        <v>6.8300000000000001E-3</v>
      </c>
      <c r="DX56" s="226">
        <f t="shared" si="1317"/>
        <v>966.38</v>
      </c>
      <c r="DY56" s="137">
        <f t="shared" si="1318"/>
        <v>161.06333333000001</v>
      </c>
      <c r="DZ56" s="227">
        <f t="shared" si="1294"/>
        <v>7.91</v>
      </c>
      <c r="EA56" s="138">
        <f t="shared" si="1319"/>
        <v>1274.01097</v>
      </c>
      <c r="EB56" s="110">
        <f t="shared" si="1320"/>
        <v>7644.07</v>
      </c>
      <c r="EC56" s="110"/>
      <c r="ED56" s="139"/>
      <c r="EE56" s="140">
        <f t="shared" si="1321"/>
        <v>1.59561</v>
      </c>
      <c r="EF56" s="198">
        <f t="shared" si="1290"/>
        <v>3</v>
      </c>
      <c r="EG56" s="225">
        <f t="shared" si="1322"/>
        <v>3.1900000000000001E-3</v>
      </c>
      <c r="EH56" s="226">
        <f t="shared" si="1323"/>
        <v>185.37</v>
      </c>
      <c r="EI56" s="137">
        <f t="shared" si="1324"/>
        <v>61.79</v>
      </c>
      <c r="EJ56" s="227">
        <f t="shared" si="1294"/>
        <v>7.63</v>
      </c>
      <c r="EK56" s="138">
        <f t="shared" si="1325"/>
        <v>471.45769999999999</v>
      </c>
      <c r="EL56" s="110">
        <f t="shared" si="1326"/>
        <v>1414.37</v>
      </c>
      <c r="EM56" s="110"/>
      <c r="EN56" s="139"/>
      <c r="EO56" s="140">
        <f t="shared" si="1327"/>
        <v>0.59047000000000005</v>
      </c>
      <c r="EP56" s="198">
        <f t="shared" si="1290"/>
        <v>6</v>
      </c>
      <c r="EQ56" s="225">
        <f t="shared" si="1328"/>
        <v>6.3600000000000002E-3</v>
      </c>
      <c r="ER56" s="226">
        <f t="shared" si="1329"/>
        <v>428.16</v>
      </c>
      <c r="ES56" s="137">
        <f t="shared" si="1330"/>
        <v>71.36</v>
      </c>
      <c r="ET56" s="227">
        <f t="shared" si="1294"/>
        <v>7.95</v>
      </c>
      <c r="EU56" s="138">
        <f t="shared" si="1331"/>
        <v>567.31200000000001</v>
      </c>
      <c r="EV56" s="110">
        <f t="shared" si="1332"/>
        <v>3403.87</v>
      </c>
      <c r="EW56" s="110"/>
      <c r="EX56" s="139"/>
      <c r="EY56" s="140">
        <f t="shared" si="1333"/>
        <v>0.71052000000000004</v>
      </c>
      <c r="EZ56" s="198">
        <f t="shared" si="1334"/>
        <v>4</v>
      </c>
      <c r="FA56" s="225">
        <f t="shared" si="1335"/>
        <v>3.5799999999999998E-3</v>
      </c>
      <c r="FB56" s="226">
        <f t="shared" si="1336"/>
        <v>237.25</v>
      </c>
      <c r="FC56" s="137">
        <f t="shared" si="1337"/>
        <v>59.3125</v>
      </c>
      <c r="FD56" s="227">
        <f t="shared" si="1338"/>
        <v>10.210000000000001</v>
      </c>
      <c r="FE56" s="138">
        <f t="shared" si="1339"/>
        <v>605.58063000000004</v>
      </c>
      <c r="FF56" s="110">
        <f t="shared" si="1340"/>
        <v>2422.3200000000002</v>
      </c>
      <c r="FG56" s="110"/>
      <c r="FH56" s="139"/>
      <c r="FI56" s="140">
        <f t="shared" si="1341"/>
        <v>0.75844999999999996</v>
      </c>
      <c r="FJ56" s="198">
        <f t="shared" si="1334"/>
        <v>0</v>
      </c>
      <c r="FK56" s="225">
        <f t="shared" si="1342"/>
        <v>0</v>
      </c>
      <c r="FL56" s="226">
        <f t="shared" si="1343"/>
        <v>0</v>
      </c>
      <c r="FM56" s="137">
        <f t="shared" si="1344"/>
        <v>0</v>
      </c>
      <c r="FN56" s="227">
        <f t="shared" si="1338"/>
        <v>9.52</v>
      </c>
      <c r="FO56" s="138">
        <f t="shared" si="1345"/>
        <v>0</v>
      </c>
      <c r="FP56" s="110">
        <f t="shared" si="1346"/>
        <v>0</v>
      </c>
      <c r="FQ56" s="110"/>
      <c r="FR56" s="139"/>
      <c r="FS56" s="140">
        <f t="shared" si="1347"/>
        <v>0</v>
      </c>
      <c r="FT56" s="198">
        <f t="shared" si="1334"/>
        <v>1</v>
      </c>
      <c r="FU56" s="225">
        <f t="shared" si="1348"/>
        <v>1.25E-3</v>
      </c>
      <c r="FV56" s="226">
        <f t="shared" si="1349"/>
        <v>62.53</v>
      </c>
      <c r="FW56" s="137">
        <f t="shared" si="1350"/>
        <v>62.53</v>
      </c>
      <c r="FX56" s="227">
        <f t="shared" si="1338"/>
        <v>9.57</v>
      </c>
      <c r="FY56" s="138">
        <f t="shared" si="1351"/>
        <v>598.41210000000001</v>
      </c>
      <c r="FZ56" s="110">
        <f t="shared" si="1352"/>
        <v>598.41</v>
      </c>
      <c r="GA56" s="110"/>
      <c r="GB56" s="139"/>
      <c r="GC56" s="140">
        <f t="shared" si="1353"/>
        <v>0.74946999999999997</v>
      </c>
      <c r="GD56" s="198">
        <f t="shared" si="1334"/>
        <v>11</v>
      </c>
      <c r="GE56" s="225">
        <f t="shared" si="1354"/>
        <v>2.1479999999999999E-2</v>
      </c>
      <c r="GF56" s="226">
        <f t="shared" si="1355"/>
        <v>929.22</v>
      </c>
      <c r="GG56" s="137">
        <f t="shared" si="1356"/>
        <v>84.474545449999994</v>
      </c>
      <c r="GH56" s="227">
        <f t="shared" si="1338"/>
        <v>8.39</v>
      </c>
      <c r="GI56" s="138">
        <f t="shared" si="1357"/>
        <v>708.74144000000001</v>
      </c>
      <c r="GJ56" s="110">
        <f t="shared" si="1358"/>
        <v>7796.16</v>
      </c>
      <c r="GK56" s="110"/>
      <c r="GL56" s="139"/>
      <c r="GM56" s="140">
        <f t="shared" si="1359"/>
        <v>0.88765000000000005</v>
      </c>
      <c r="GN56" s="198">
        <f t="shared" si="1334"/>
        <v>1</v>
      </c>
      <c r="GO56" s="225">
        <f t="shared" si="1360"/>
        <v>1.16E-3</v>
      </c>
      <c r="GP56" s="226">
        <f t="shared" si="1361"/>
        <v>120.2</v>
      </c>
      <c r="GQ56" s="137">
        <f t="shared" si="1362"/>
        <v>120.2</v>
      </c>
      <c r="GR56" s="227">
        <f t="shared" si="1338"/>
        <v>7.63</v>
      </c>
      <c r="GS56" s="138">
        <f t="shared" si="1363"/>
        <v>917.12599999999998</v>
      </c>
      <c r="GT56" s="110">
        <f t="shared" si="1364"/>
        <v>917.13</v>
      </c>
      <c r="GU56" s="110"/>
      <c r="GV56" s="139"/>
      <c r="GW56" s="140">
        <f t="shared" si="1365"/>
        <v>1.1486400000000001</v>
      </c>
      <c r="GX56" s="198">
        <f t="shared" si="1334"/>
        <v>0</v>
      </c>
      <c r="GY56" s="225">
        <f t="shared" si="1366"/>
        <v>0</v>
      </c>
      <c r="GZ56" s="226">
        <f t="shared" si="1367"/>
        <v>0</v>
      </c>
      <c r="HA56" s="137">
        <f t="shared" si="1368"/>
        <v>0</v>
      </c>
      <c r="HB56" s="227">
        <f t="shared" si="1338"/>
        <v>4.8899999999999997</v>
      </c>
      <c r="HC56" s="138">
        <f t="shared" si="1369"/>
        <v>0</v>
      </c>
      <c r="HD56" s="110">
        <f t="shared" si="1370"/>
        <v>0</v>
      </c>
      <c r="HE56" s="110"/>
      <c r="HF56" s="139"/>
      <c r="HG56" s="140">
        <f t="shared" si="1371"/>
        <v>0</v>
      </c>
      <c r="HH56" s="198">
        <f t="shared" si="1334"/>
        <v>0</v>
      </c>
      <c r="HI56" s="225">
        <f t="shared" si="1372"/>
        <v>0</v>
      </c>
      <c r="HJ56" s="226">
        <f t="shared" si="1373"/>
        <v>0</v>
      </c>
      <c r="HK56" s="137">
        <f t="shared" si="1374"/>
        <v>0</v>
      </c>
      <c r="HL56" s="227">
        <f t="shared" si="1338"/>
        <v>5.98</v>
      </c>
      <c r="HM56" s="138">
        <f t="shared" si="1375"/>
        <v>0</v>
      </c>
      <c r="HN56" s="110">
        <f t="shared" si="1376"/>
        <v>0</v>
      </c>
      <c r="HO56" s="110"/>
      <c r="HP56" s="139"/>
      <c r="HQ56" s="140">
        <f t="shared" si="1377"/>
        <v>0</v>
      </c>
      <c r="HR56" s="198">
        <f t="shared" si="1378"/>
        <v>3</v>
      </c>
      <c r="HS56" s="225">
        <f t="shared" si="1379"/>
        <v>3.81E-3</v>
      </c>
      <c r="HT56" s="226">
        <f t="shared" si="1380"/>
        <v>149.35</v>
      </c>
      <c r="HU56" s="137">
        <f t="shared" si="1381"/>
        <v>49.783333329999998</v>
      </c>
      <c r="HV56" s="227">
        <f t="shared" si="1382"/>
        <v>9.76</v>
      </c>
      <c r="HW56" s="138">
        <f t="shared" si="1383"/>
        <v>485.88533000000001</v>
      </c>
      <c r="HX56" s="110">
        <f t="shared" si="1384"/>
        <v>1457.66</v>
      </c>
      <c r="HY56" s="110"/>
      <c r="HZ56" s="139"/>
      <c r="IA56" s="140">
        <f t="shared" si="1385"/>
        <v>0.60853999999999997</v>
      </c>
      <c r="IB56" s="198">
        <f t="shared" si="1378"/>
        <v>3</v>
      </c>
      <c r="IC56" s="225">
        <f t="shared" si="1386"/>
        <v>5.47E-3</v>
      </c>
      <c r="ID56" s="226">
        <f t="shared" si="1387"/>
        <v>178.27</v>
      </c>
      <c r="IE56" s="137">
        <f t="shared" si="1388"/>
        <v>59.423333329999998</v>
      </c>
      <c r="IF56" s="227">
        <f t="shared" si="1382"/>
        <v>7.76</v>
      </c>
      <c r="IG56" s="138">
        <f t="shared" si="1389"/>
        <v>461.12506999999999</v>
      </c>
      <c r="IH56" s="110">
        <f t="shared" si="1390"/>
        <v>1383.38</v>
      </c>
      <c r="II56" s="110"/>
      <c r="IJ56" s="139"/>
      <c r="IK56" s="140">
        <f t="shared" si="1391"/>
        <v>0.57752999999999999</v>
      </c>
      <c r="IL56" s="198">
        <f t="shared" si="1378"/>
        <v>1</v>
      </c>
      <c r="IM56" s="225">
        <f t="shared" si="1392"/>
        <v>7.9000000000000001E-4</v>
      </c>
      <c r="IN56" s="226">
        <f t="shared" si="1393"/>
        <v>41.34</v>
      </c>
      <c r="IO56" s="137">
        <f t="shared" si="1394"/>
        <v>41.34</v>
      </c>
      <c r="IP56" s="227">
        <f t="shared" si="1382"/>
        <v>7.4</v>
      </c>
      <c r="IQ56" s="138">
        <f t="shared" si="1395"/>
        <v>305.916</v>
      </c>
      <c r="IR56" s="110">
        <f t="shared" si="1396"/>
        <v>305.92</v>
      </c>
      <c r="IS56" s="110"/>
      <c r="IT56" s="139"/>
      <c r="IU56" s="140">
        <f t="shared" si="1397"/>
        <v>0.38313999999999998</v>
      </c>
      <c r="IV56" s="198">
        <f t="shared" si="1378"/>
        <v>7</v>
      </c>
      <c r="IW56" s="225">
        <f t="shared" si="1398"/>
        <v>9.0799999999999995E-3</v>
      </c>
      <c r="IX56" s="226">
        <f t="shared" si="1399"/>
        <v>371.74</v>
      </c>
      <c r="IY56" s="137">
        <f t="shared" si="1400"/>
        <v>53.105714290000002</v>
      </c>
      <c r="IZ56" s="227">
        <f t="shared" si="1382"/>
        <v>9.64</v>
      </c>
      <c r="JA56" s="138">
        <f t="shared" si="1401"/>
        <v>511.93909000000002</v>
      </c>
      <c r="JB56" s="110">
        <f t="shared" si="1402"/>
        <v>3583.57</v>
      </c>
      <c r="JC56" s="110"/>
      <c r="JD56" s="139"/>
      <c r="JE56" s="140">
        <f t="shared" si="1403"/>
        <v>0.64117000000000002</v>
      </c>
      <c r="JF56" s="198">
        <f t="shared" si="1378"/>
        <v>6</v>
      </c>
      <c r="JG56" s="225">
        <f t="shared" si="1404"/>
        <v>4.47E-3</v>
      </c>
      <c r="JH56" s="226">
        <f t="shared" si="1405"/>
        <v>487.05</v>
      </c>
      <c r="JI56" s="137">
        <f t="shared" si="1406"/>
        <v>81.174999999999997</v>
      </c>
      <c r="JJ56" s="227">
        <f t="shared" si="1382"/>
        <v>9.1</v>
      </c>
      <c r="JK56" s="138">
        <f t="shared" si="1407"/>
        <v>738.6925</v>
      </c>
      <c r="JL56" s="110">
        <f t="shared" si="1408"/>
        <v>4432.16</v>
      </c>
      <c r="JM56" s="110"/>
      <c r="JN56" s="139"/>
      <c r="JO56" s="140">
        <f t="shared" si="1409"/>
        <v>0.92515999999999998</v>
      </c>
      <c r="JP56" s="198">
        <f t="shared" si="1378"/>
        <v>2</v>
      </c>
      <c r="JQ56" s="225">
        <f t="shared" si="1410"/>
        <v>1.6000000000000001E-3</v>
      </c>
      <c r="JR56" s="226">
        <f t="shared" si="1411"/>
        <v>209.06</v>
      </c>
      <c r="JS56" s="137">
        <f t="shared" si="1412"/>
        <v>104.53</v>
      </c>
      <c r="JT56" s="227">
        <f t="shared" si="1382"/>
        <v>10.15</v>
      </c>
      <c r="JU56" s="138">
        <f t="shared" si="1413"/>
        <v>1060.9794999999999</v>
      </c>
      <c r="JV56" s="110">
        <f t="shared" si="1414"/>
        <v>2121.96</v>
      </c>
      <c r="JW56" s="110"/>
      <c r="JX56" s="139"/>
      <c r="JY56" s="140">
        <f t="shared" si="1415"/>
        <v>1.32881</v>
      </c>
      <c r="JZ56" s="198">
        <f t="shared" si="1378"/>
        <v>0</v>
      </c>
      <c r="KA56" s="225">
        <f t="shared" si="1416"/>
        <v>0</v>
      </c>
      <c r="KB56" s="226">
        <f t="shared" si="1417"/>
        <v>0</v>
      </c>
      <c r="KC56" s="137">
        <f t="shared" si="1418"/>
        <v>0</v>
      </c>
      <c r="KD56" s="227">
        <f t="shared" si="1382"/>
        <v>8.14</v>
      </c>
      <c r="KE56" s="138">
        <f t="shared" si="1419"/>
        <v>0</v>
      </c>
      <c r="KF56" s="110">
        <f t="shared" si="1420"/>
        <v>0</v>
      </c>
      <c r="KG56" s="110"/>
      <c r="KH56" s="139"/>
      <c r="KI56" s="140">
        <f t="shared" si="1421"/>
        <v>0</v>
      </c>
      <c r="KJ56" s="198">
        <f t="shared" si="1422"/>
        <v>0</v>
      </c>
      <c r="KK56" s="225">
        <f t="shared" si="1423"/>
        <v>0</v>
      </c>
      <c r="KL56" s="226">
        <f t="shared" si="1424"/>
        <v>0</v>
      </c>
      <c r="KM56" s="137">
        <f t="shared" si="1425"/>
        <v>0</v>
      </c>
      <c r="KN56" s="227">
        <f t="shared" si="1426"/>
        <v>9.02</v>
      </c>
      <c r="KO56" s="138">
        <f t="shared" si="1427"/>
        <v>0</v>
      </c>
      <c r="KP56" s="110">
        <f t="shared" si="1428"/>
        <v>0</v>
      </c>
      <c r="KQ56" s="110"/>
      <c r="KR56" s="139"/>
      <c r="KS56" s="140">
        <f t="shared" si="1429"/>
        <v>0</v>
      </c>
      <c r="KT56" s="198">
        <f t="shared" si="1422"/>
        <v>1</v>
      </c>
      <c r="KU56" s="225">
        <f t="shared" si="1430"/>
        <v>8.8999999999999995E-4</v>
      </c>
      <c r="KV56" s="226">
        <f t="shared" si="1431"/>
        <v>400.5</v>
      </c>
      <c r="KW56" s="137">
        <f t="shared" si="1432"/>
        <v>400.5</v>
      </c>
      <c r="KX56" s="227">
        <f t="shared" si="1426"/>
        <v>9.94</v>
      </c>
      <c r="KY56" s="138">
        <f t="shared" si="1433"/>
        <v>3980.97</v>
      </c>
      <c r="KZ56" s="110">
        <f t="shared" si="1434"/>
        <v>3980.97</v>
      </c>
      <c r="LA56" s="110"/>
      <c r="LB56" s="139"/>
      <c r="LC56" s="140">
        <f t="shared" si="1435"/>
        <v>4.9859</v>
      </c>
      <c r="LD56" s="197">
        <f t="shared" si="1235"/>
        <v>63</v>
      </c>
      <c r="LE56" s="225">
        <f t="shared" si="1236"/>
        <v>2.2100000000000002E-3</v>
      </c>
      <c r="LF56" s="226">
        <f t="shared" si="1237"/>
        <v>5945.87</v>
      </c>
      <c r="LG56" s="137">
        <f t="shared" si="1238"/>
        <v>94.378888889999999</v>
      </c>
      <c r="LH56" s="227">
        <f t="shared" si="1239"/>
        <v>8.4600000000000009</v>
      </c>
      <c r="LI56" s="138">
        <f t="shared" si="1240"/>
        <v>798.44539999999995</v>
      </c>
      <c r="LJ56" s="110">
        <f t="shared" si="1241"/>
        <v>50302.06</v>
      </c>
      <c r="LK56" s="110"/>
      <c r="LL56" s="139"/>
    </row>
    <row r="57" spans="1:324" ht="18" customHeight="1" x14ac:dyDescent="0.25">
      <c r="A57" s="246"/>
      <c r="B57" s="229" t="s">
        <v>608</v>
      </c>
      <c r="C57" s="12" t="s">
        <v>728</v>
      </c>
      <c r="D57" s="12" t="s">
        <v>430</v>
      </c>
      <c r="E57" s="4" t="s">
        <v>33</v>
      </c>
      <c r="F57" s="198">
        <f t="shared" si="1245"/>
        <v>0</v>
      </c>
      <c r="G57" s="225">
        <f t="shared" si="1242"/>
        <v>0</v>
      </c>
      <c r="H57" s="226">
        <f t="shared" si="1243"/>
        <v>0</v>
      </c>
      <c r="I57" s="137">
        <f t="shared" si="1016"/>
        <v>0</v>
      </c>
      <c r="J57" s="227">
        <f t="shared" si="1244"/>
        <v>7.57</v>
      </c>
      <c r="K57" s="138">
        <f t="shared" si="1017"/>
        <v>0</v>
      </c>
      <c r="L57" s="110">
        <f t="shared" si="1018"/>
        <v>0</v>
      </c>
      <c r="M57" s="110"/>
      <c r="N57" s="139"/>
      <c r="O57" s="140">
        <f t="shared" si="1019"/>
        <v>0</v>
      </c>
      <c r="P57" s="198">
        <f t="shared" si="1246"/>
        <v>0</v>
      </c>
      <c r="Q57" s="225">
        <f t="shared" si="1247"/>
        <v>0</v>
      </c>
      <c r="R57" s="226">
        <f t="shared" si="1248"/>
        <v>0</v>
      </c>
      <c r="S57" s="137">
        <f t="shared" si="1249"/>
        <v>0</v>
      </c>
      <c r="T57" s="227">
        <f t="shared" si="1250"/>
        <v>8.23</v>
      </c>
      <c r="U57" s="138">
        <f t="shared" si="1251"/>
        <v>0</v>
      </c>
      <c r="V57" s="110">
        <f t="shared" si="1252"/>
        <v>0</v>
      </c>
      <c r="W57" s="110"/>
      <c r="X57" s="139"/>
      <c r="Y57" s="140">
        <f t="shared" si="1253"/>
        <v>0</v>
      </c>
      <c r="Z57" s="198">
        <f t="shared" si="1246"/>
        <v>0</v>
      </c>
      <c r="AA57" s="225">
        <f t="shared" si="1254"/>
        <v>0</v>
      </c>
      <c r="AB57" s="226">
        <f t="shared" si="1255"/>
        <v>0</v>
      </c>
      <c r="AC57" s="137">
        <f t="shared" si="1256"/>
        <v>0</v>
      </c>
      <c r="AD57" s="227">
        <f t="shared" si="1250"/>
        <v>8.8000000000000007</v>
      </c>
      <c r="AE57" s="138">
        <f t="shared" si="1257"/>
        <v>0</v>
      </c>
      <c r="AF57" s="110">
        <f t="shared" si="1258"/>
        <v>0</v>
      </c>
      <c r="AG57" s="110"/>
      <c r="AH57" s="139"/>
      <c r="AI57" s="140">
        <f t="shared" si="1259"/>
        <v>0</v>
      </c>
      <c r="AJ57" s="198">
        <f t="shared" si="1246"/>
        <v>0</v>
      </c>
      <c r="AK57" s="225">
        <f t="shared" si="1260"/>
        <v>0</v>
      </c>
      <c r="AL57" s="226">
        <f t="shared" si="1261"/>
        <v>0</v>
      </c>
      <c r="AM57" s="137">
        <f t="shared" si="1262"/>
        <v>0</v>
      </c>
      <c r="AN57" s="227">
        <f t="shared" si="1250"/>
        <v>7.52</v>
      </c>
      <c r="AO57" s="138">
        <f t="shared" si="1263"/>
        <v>0</v>
      </c>
      <c r="AP57" s="110">
        <f t="shared" si="1264"/>
        <v>0</v>
      </c>
      <c r="AQ57" s="110"/>
      <c r="AR57" s="139"/>
      <c r="AS57" s="140">
        <f t="shared" si="1265"/>
        <v>0</v>
      </c>
      <c r="AT57" s="198">
        <f t="shared" si="1246"/>
        <v>0</v>
      </c>
      <c r="AU57" s="225">
        <f t="shared" si="1266"/>
        <v>0</v>
      </c>
      <c r="AV57" s="226">
        <f t="shared" si="1267"/>
        <v>0</v>
      </c>
      <c r="AW57" s="137">
        <f t="shared" si="1268"/>
        <v>0</v>
      </c>
      <c r="AX57" s="227">
        <f t="shared" si="1250"/>
        <v>6.88</v>
      </c>
      <c r="AY57" s="138">
        <f t="shared" si="1269"/>
        <v>0</v>
      </c>
      <c r="AZ57" s="110">
        <f t="shared" si="1270"/>
        <v>0</v>
      </c>
      <c r="BA57" s="110"/>
      <c r="BB57" s="139"/>
      <c r="BC57" s="140">
        <f t="shared" si="1271"/>
        <v>0</v>
      </c>
      <c r="BD57" s="198">
        <f t="shared" si="1246"/>
        <v>0</v>
      </c>
      <c r="BE57" s="225">
        <f t="shared" si="1272"/>
        <v>0</v>
      </c>
      <c r="BF57" s="226">
        <f t="shared" si="1273"/>
        <v>0</v>
      </c>
      <c r="BG57" s="137">
        <f t="shared" si="1274"/>
        <v>0</v>
      </c>
      <c r="BH57" s="227">
        <f t="shared" si="1250"/>
        <v>9.74</v>
      </c>
      <c r="BI57" s="138">
        <f t="shared" si="1275"/>
        <v>0</v>
      </c>
      <c r="BJ57" s="110">
        <f t="shared" si="1276"/>
        <v>0</v>
      </c>
      <c r="BK57" s="110"/>
      <c r="BL57" s="139"/>
      <c r="BM57" s="140">
        <f t="shared" si="1277"/>
        <v>0</v>
      </c>
      <c r="BN57" s="198">
        <f t="shared" si="1246"/>
        <v>0</v>
      </c>
      <c r="BO57" s="225">
        <f t="shared" si="1278"/>
        <v>0</v>
      </c>
      <c r="BP57" s="226">
        <f t="shared" si="1279"/>
        <v>0</v>
      </c>
      <c r="BQ57" s="137">
        <f t="shared" si="1280"/>
        <v>0</v>
      </c>
      <c r="BR57" s="227">
        <f t="shared" si="1250"/>
        <v>10.32</v>
      </c>
      <c r="BS57" s="138">
        <f t="shared" si="1281"/>
        <v>0</v>
      </c>
      <c r="BT57" s="110">
        <f t="shared" si="1282"/>
        <v>0</v>
      </c>
      <c r="BU57" s="110"/>
      <c r="BV57" s="139"/>
      <c r="BW57" s="140">
        <f t="shared" si="1283"/>
        <v>0</v>
      </c>
      <c r="BX57" s="198">
        <f t="shared" si="1246"/>
        <v>0</v>
      </c>
      <c r="BY57" s="225">
        <f t="shared" si="1284"/>
        <v>0</v>
      </c>
      <c r="BZ57" s="226">
        <f t="shared" si="1285"/>
        <v>0</v>
      </c>
      <c r="CA57" s="137">
        <f t="shared" si="1286"/>
        <v>0</v>
      </c>
      <c r="CB57" s="227">
        <f t="shared" si="1250"/>
        <v>7.89</v>
      </c>
      <c r="CC57" s="138">
        <f t="shared" si="1287"/>
        <v>0</v>
      </c>
      <c r="CD57" s="110">
        <f t="shared" si="1288"/>
        <v>0</v>
      </c>
      <c r="CE57" s="110"/>
      <c r="CF57" s="139"/>
      <c r="CG57" s="140">
        <f t="shared" si="1289"/>
        <v>0</v>
      </c>
      <c r="CH57" s="198">
        <f t="shared" si="1290"/>
        <v>0</v>
      </c>
      <c r="CI57" s="225">
        <f t="shared" si="1291"/>
        <v>0</v>
      </c>
      <c r="CJ57" s="226">
        <f t="shared" si="1292"/>
        <v>0</v>
      </c>
      <c r="CK57" s="137">
        <f t="shared" si="1293"/>
        <v>0</v>
      </c>
      <c r="CL57" s="227">
        <f t="shared" si="1294"/>
        <v>8.24</v>
      </c>
      <c r="CM57" s="138">
        <f t="shared" si="1295"/>
        <v>0</v>
      </c>
      <c r="CN57" s="110">
        <f t="shared" si="1296"/>
        <v>0</v>
      </c>
      <c r="CO57" s="110"/>
      <c r="CP57" s="139"/>
      <c r="CQ57" s="140">
        <f t="shared" si="1297"/>
        <v>0</v>
      </c>
      <c r="CR57" s="198">
        <f t="shared" si="1290"/>
        <v>0</v>
      </c>
      <c r="CS57" s="225">
        <f t="shared" si="1298"/>
        <v>0</v>
      </c>
      <c r="CT57" s="226">
        <f t="shared" si="1299"/>
        <v>0</v>
      </c>
      <c r="CU57" s="137">
        <f t="shared" si="1300"/>
        <v>0</v>
      </c>
      <c r="CV57" s="227">
        <f t="shared" si="1294"/>
        <v>8.92</v>
      </c>
      <c r="CW57" s="138">
        <f t="shared" si="1301"/>
        <v>0</v>
      </c>
      <c r="CX57" s="110">
        <f t="shared" si="1302"/>
        <v>0</v>
      </c>
      <c r="CY57" s="110"/>
      <c r="CZ57" s="139"/>
      <c r="DA57" s="140">
        <f t="shared" si="1303"/>
        <v>0</v>
      </c>
      <c r="DB57" s="198">
        <f t="shared" si="1290"/>
        <v>0</v>
      </c>
      <c r="DC57" s="225">
        <f t="shared" si="1304"/>
        <v>0</v>
      </c>
      <c r="DD57" s="226">
        <f t="shared" si="1305"/>
        <v>0</v>
      </c>
      <c r="DE57" s="137">
        <f t="shared" si="1306"/>
        <v>0</v>
      </c>
      <c r="DF57" s="227">
        <f t="shared" si="1294"/>
        <v>7.48</v>
      </c>
      <c r="DG57" s="138">
        <f t="shared" si="1307"/>
        <v>0</v>
      </c>
      <c r="DH57" s="110">
        <f t="shared" si="1308"/>
        <v>0</v>
      </c>
      <c r="DI57" s="110"/>
      <c r="DJ57" s="139"/>
      <c r="DK57" s="140">
        <f t="shared" si="1309"/>
        <v>0</v>
      </c>
      <c r="DL57" s="198">
        <f t="shared" si="1290"/>
        <v>119</v>
      </c>
      <c r="DM57" s="225">
        <f t="shared" si="1310"/>
        <v>0.42048999999999997</v>
      </c>
      <c r="DN57" s="226">
        <f t="shared" si="1311"/>
        <v>15049.34</v>
      </c>
      <c r="DO57" s="137">
        <f t="shared" si="1312"/>
        <v>126.46504202</v>
      </c>
      <c r="DP57" s="227">
        <f t="shared" si="1294"/>
        <v>8.2200000000000006</v>
      </c>
      <c r="DQ57" s="138">
        <f t="shared" si="1313"/>
        <v>1039.5426500000001</v>
      </c>
      <c r="DR57" s="110">
        <f t="shared" si="1314"/>
        <v>123705.58</v>
      </c>
      <c r="DS57" s="110"/>
      <c r="DT57" s="139"/>
      <c r="DU57" s="140">
        <f t="shared" si="1315"/>
        <v>1.30335</v>
      </c>
      <c r="DV57" s="198">
        <f t="shared" si="1290"/>
        <v>0</v>
      </c>
      <c r="DW57" s="225">
        <f t="shared" si="1316"/>
        <v>0</v>
      </c>
      <c r="DX57" s="226">
        <f t="shared" si="1317"/>
        <v>0</v>
      </c>
      <c r="DY57" s="137">
        <f t="shared" si="1318"/>
        <v>0</v>
      </c>
      <c r="DZ57" s="227">
        <f t="shared" si="1294"/>
        <v>7.91</v>
      </c>
      <c r="EA57" s="138">
        <f t="shared" si="1319"/>
        <v>0</v>
      </c>
      <c r="EB57" s="110">
        <f t="shared" si="1320"/>
        <v>0</v>
      </c>
      <c r="EC57" s="110"/>
      <c r="ED57" s="139"/>
      <c r="EE57" s="140">
        <f t="shared" si="1321"/>
        <v>0</v>
      </c>
      <c r="EF57" s="198">
        <f t="shared" si="1290"/>
        <v>0</v>
      </c>
      <c r="EG57" s="225">
        <f t="shared" si="1322"/>
        <v>0</v>
      </c>
      <c r="EH57" s="226">
        <f t="shared" si="1323"/>
        <v>0</v>
      </c>
      <c r="EI57" s="137">
        <f t="shared" si="1324"/>
        <v>0</v>
      </c>
      <c r="EJ57" s="227">
        <f t="shared" si="1294"/>
        <v>7.63</v>
      </c>
      <c r="EK57" s="138">
        <f t="shared" si="1325"/>
        <v>0</v>
      </c>
      <c r="EL57" s="110">
        <f t="shared" si="1326"/>
        <v>0</v>
      </c>
      <c r="EM57" s="110"/>
      <c r="EN57" s="139"/>
      <c r="EO57" s="140">
        <f t="shared" si="1327"/>
        <v>0</v>
      </c>
      <c r="EP57" s="198">
        <f t="shared" si="1290"/>
        <v>0</v>
      </c>
      <c r="EQ57" s="225">
        <f t="shared" si="1328"/>
        <v>0</v>
      </c>
      <c r="ER57" s="226">
        <f t="shared" si="1329"/>
        <v>0</v>
      </c>
      <c r="ES57" s="137">
        <f t="shared" si="1330"/>
        <v>0</v>
      </c>
      <c r="ET57" s="227">
        <f t="shared" si="1294"/>
        <v>7.95</v>
      </c>
      <c r="EU57" s="138">
        <f t="shared" si="1331"/>
        <v>0</v>
      </c>
      <c r="EV57" s="110">
        <f t="shared" si="1332"/>
        <v>0</v>
      </c>
      <c r="EW57" s="110"/>
      <c r="EX57" s="139"/>
      <c r="EY57" s="140">
        <f t="shared" si="1333"/>
        <v>0</v>
      </c>
      <c r="EZ57" s="198">
        <f t="shared" si="1334"/>
        <v>0</v>
      </c>
      <c r="FA57" s="225">
        <f t="shared" si="1335"/>
        <v>0</v>
      </c>
      <c r="FB57" s="226">
        <f t="shared" si="1336"/>
        <v>0</v>
      </c>
      <c r="FC57" s="137">
        <f t="shared" si="1337"/>
        <v>0</v>
      </c>
      <c r="FD57" s="227">
        <f t="shared" si="1338"/>
        <v>10.210000000000001</v>
      </c>
      <c r="FE57" s="138">
        <f t="shared" si="1339"/>
        <v>0</v>
      </c>
      <c r="FF57" s="110">
        <f t="shared" si="1340"/>
        <v>0</v>
      </c>
      <c r="FG57" s="110"/>
      <c r="FH57" s="139"/>
      <c r="FI57" s="140">
        <f t="shared" si="1341"/>
        <v>0</v>
      </c>
      <c r="FJ57" s="198">
        <f t="shared" si="1334"/>
        <v>0</v>
      </c>
      <c r="FK57" s="225">
        <f t="shared" si="1342"/>
        <v>0</v>
      </c>
      <c r="FL57" s="226">
        <f t="shared" si="1343"/>
        <v>0</v>
      </c>
      <c r="FM57" s="137">
        <f t="shared" si="1344"/>
        <v>0</v>
      </c>
      <c r="FN57" s="227">
        <f t="shared" si="1338"/>
        <v>9.52</v>
      </c>
      <c r="FO57" s="138">
        <f t="shared" si="1345"/>
        <v>0</v>
      </c>
      <c r="FP57" s="110">
        <f t="shared" si="1346"/>
        <v>0</v>
      </c>
      <c r="FQ57" s="110"/>
      <c r="FR57" s="139"/>
      <c r="FS57" s="140">
        <f t="shared" si="1347"/>
        <v>0</v>
      </c>
      <c r="FT57" s="198">
        <f t="shared" si="1334"/>
        <v>0</v>
      </c>
      <c r="FU57" s="225">
        <f t="shared" si="1348"/>
        <v>0</v>
      </c>
      <c r="FV57" s="226">
        <f t="shared" si="1349"/>
        <v>0</v>
      </c>
      <c r="FW57" s="137">
        <f t="shared" si="1350"/>
        <v>0</v>
      </c>
      <c r="FX57" s="227">
        <f t="shared" si="1338"/>
        <v>9.57</v>
      </c>
      <c r="FY57" s="138">
        <f t="shared" si="1351"/>
        <v>0</v>
      </c>
      <c r="FZ57" s="110">
        <f t="shared" si="1352"/>
        <v>0</v>
      </c>
      <c r="GA57" s="110"/>
      <c r="GB57" s="139"/>
      <c r="GC57" s="140">
        <f t="shared" si="1353"/>
        <v>0</v>
      </c>
      <c r="GD57" s="198">
        <f t="shared" si="1334"/>
        <v>0</v>
      </c>
      <c r="GE57" s="225">
        <f t="shared" si="1354"/>
        <v>0</v>
      </c>
      <c r="GF57" s="226">
        <f t="shared" si="1355"/>
        <v>0</v>
      </c>
      <c r="GG57" s="137">
        <f t="shared" si="1356"/>
        <v>0</v>
      </c>
      <c r="GH57" s="227">
        <f t="shared" si="1338"/>
        <v>8.39</v>
      </c>
      <c r="GI57" s="138">
        <f t="shared" si="1357"/>
        <v>0</v>
      </c>
      <c r="GJ57" s="110">
        <f t="shared" si="1358"/>
        <v>0</v>
      </c>
      <c r="GK57" s="110"/>
      <c r="GL57" s="139"/>
      <c r="GM57" s="140">
        <f t="shared" si="1359"/>
        <v>0</v>
      </c>
      <c r="GN57" s="198">
        <f t="shared" si="1334"/>
        <v>0</v>
      </c>
      <c r="GO57" s="225">
        <f t="shared" si="1360"/>
        <v>0</v>
      </c>
      <c r="GP57" s="226">
        <f t="shared" si="1361"/>
        <v>0</v>
      </c>
      <c r="GQ57" s="137">
        <f t="shared" si="1362"/>
        <v>0</v>
      </c>
      <c r="GR57" s="227">
        <f t="shared" si="1338"/>
        <v>7.63</v>
      </c>
      <c r="GS57" s="138">
        <f t="shared" si="1363"/>
        <v>0</v>
      </c>
      <c r="GT57" s="110">
        <f t="shared" si="1364"/>
        <v>0</v>
      </c>
      <c r="GU57" s="110"/>
      <c r="GV57" s="139"/>
      <c r="GW57" s="140">
        <f t="shared" si="1365"/>
        <v>0</v>
      </c>
      <c r="GX57" s="198">
        <f t="shared" si="1334"/>
        <v>0</v>
      </c>
      <c r="GY57" s="225">
        <f t="shared" si="1366"/>
        <v>0</v>
      </c>
      <c r="GZ57" s="226">
        <f t="shared" si="1367"/>
        <v>0</v>
      </c>
      <c r="HA57" s="137">
        <f t="shared" si="1368"/>
        <v>0</v>
      </c>
      <c r="HB57" s="227">
        <f t="shared" si="1338"/>
        <v>4.8899999999999997</v>
      </c>
      <c r="HC57" s="138">
        <f t="shared" si="1369"/>
        <v>0</v>
      </c>
      <c r="HD57" s="110">
        <f t="shared" si="1370"/>
        <v>0</v>
      </c>
      <c r="HE57" s="110"/>
      <c r="HF57" s="139"/>
      <c r="HG57" s="140">
        <f t="shared" si="1371"/>
        <v>0</v>
      </c>
      <c r="HH57" s="198">
        <f t="shared" si="1334"/>
        <v>0</v>
      </c>
      <c r="HI57" s="225">
        <f t="shared" si="1372"/>
        <v>0</v>
      </c>
      <c r="HJ57" s="226">
        <f t="shared" si="1373"/>
        <v>0</v>
      </c>
      <c r="HK57" s="137">
        <f t="shared" si="1374"/>
        <v>0</v>
      </c>
      <c r="HL57" s="227">
        <f t="shared" si="1338"/>
        <v>5.98</v>
      </c>
      <c r="HM57" s="138">
        <f t="shared" si="1375"/>
        <v>0</v>
      </c>
      <c r="HN57" s="110">
        <f t="shared" si="1376"/>
        <v>0</v>
      </c>
      <c r="HO57" s="110"/>
      <c r="HP57" s="139"/>
      <c r="HQ57" s="140">
        <f t="shared" si="1377"/>
        <v>0</v>
      </c>
      <c r="HR57" s="198">
        <f t="shared" si="1378"/>
        <v>0</v>
      </c>
      <c r="HS57" s="225">
        <f t="shared" si="1379"/>
        <v>0</v>
      </c>
      <c r="HT57" s="226">
        <f t="shared" si="1380"/>
        <v>0</v>
      </c>
      <c r="HU57" s="137">
        <f t="shared" si="1381"/>
        <v>0</v>
      </c>
      <c r="HV57" s="227">
        <f t="shared" si="1382"/>
        <v>9.76</v>
      </c>
      <c r="HW57" s="138">
        <f t="shared" si="1383"/>
        <v>0</v>
      </c>
      <c r="HX57" s="110">
        <f t="shared" si="1384"/>
        <v>0</v>
      </c>
      <c r="HY57" s="110"/>
      <c r="HZ57" s="139"/>
      <c r="IA57" s="140">
        <f t="shared" si="1385"/>
        <v>0</v>
      </c>
      <c r="IB57" s="198">
        <f t="shared" si="1378"/>
        <v>0</v>
      </c>
      <c r="IC57" s="225">
        <f t="shared" si="1386"/>
        <v>0</v>
      </c>
      <c r="ID57" s="226">
        <f t="shared" si="1387"/>
        <v>0</v>
      </c>
      <c r="IE57" s="137">
        <f t="shared" si="1388"/>
        <v>0</v>
      </c>
      <c r="IF57" s="227">
        <f t="shared" si="1382"/>
        <v>7.76</v>
      </c>
      <c r="IG57" s="138">
        <f t="shared" si="1389"/>
        <v>0</v>
      </c>
      <c r="IH57" s="110">
        <f t="shared" si="1390"/>
        <v>0</v>
      </c>
      <c r="II57" s="110"/>
      <c r="IJ57" s="139"/>
      <c r="IK57" s="140">
        <f t="shared" si="1391"/>
        <v>0</v>
      </c>
      <c r="IL57" s="198">
        <f t="shared" si="1378"/>
        <v>0</v>
      </c>
      <c r="IM57" s="225">
        <f t="shared" si="1392"/>
        <v>0</v>
      </c>
      <c r="IN57" s="226">
        <f t="shared" si="1393"/>
        <v>0</v>
      </c>
      <c r="IO57" s="137">
        <f t="shared" si="1394"/>
        <v>0</v>
      </c>
      <c r="IP57" s="227">
        <f t="shared" si="1382"/>
        <v>7.4</v>
      </c>
      <c r="IQ57" s="138">
        <f t="shared" si="1395"/>
        <v>0</v>
      </c>
      <c r="IR57" s="110">
        <f t="shared" si="1396"/>
        <v>0</v>
      </c>
      <c r="IS57" s="110"/>
      <c r="IT57" s="139"/>
      <c r="IU57" s="140">
        <f t="shared" si="1397"/>
        <v>0</v>
      </c>
      <c r="IV57" s="198">
        <f t="shared" si="1378"/>
        <v>0</v>
      </c>
      <c r="IW57" s="225">
        <f t="shared" si="1398"/>
        <v>0</v>
      </c>
      <c r="IX57" s="226">
        <f t="shared" si="1399"/>
        <v>0</v>
      </c>
      <c r="IY57" s="137">
        <f t="shared" si="1400"/>
        <v>0</v>
      </c>
      <c r="IZ57" s="227">
        <f t="shared" si="1382"/>
        <v>9.64</v>
      </c>
      <c r="JA57" s="138">
        <f t="shared" si="1401"/>
        <v>0</v>
      </c>
      <c r="JB57" s="110">
        <f t="shared" si="1402"/>
        <v>0</v>
      </c>
      <c r="JC57" s="110"/>
      <c r="JD57" s="139"/>
      <c r="JE57" s="140">
        <f t="shared" si="1403"/>
        <v>0</v>
      </c>
      <c r="JF57" s="198">
        <f t="shared" si="1378"/>
        <v>0</v>
      </c>
      <c r="JG57" s="225">
        <f t="shared" si="1404"/>
        <v>0</v>
      </c>
      <c r="JH57" s="226">
        <f t="shared" si="1405"/>
        <v>0</v>
      </c>
      <c r="JI57" s="137">
        <f t="shared" si="1406"/>
        <v>0</v>
      </c>
      <c r="JJ57" s="227">
        <f t="shared" si="1382"/>
        <v>9.1</v>
      </c>
      <c r="JK57" s="138">
        <f t="shared" si="1407"/>
        <v>0</v>
      </c>
      <c r="JL57" s="110">
        <f t="shared" si="1408"/>
        <v>0</v>
      </c>
      <c r="JM57" s="110"/>
      <c r="JN57" s="139"/>
      <c r="JO57" s="140">
        <f t="shared" si="1409"/>
        <v>0</v>
      </c>
      <c r="JP57" s="198">
        <f t="shared" si="1378"/>
        <v>0</v>
      </c>
      <c r="JQ57" s="225">
        <f t="shared" si="1410"/>
        <v>0</v>
      </c>
      <c r="JR57" s="226">
        <f t="shared" si="1411"/>
        <v>0</v>
      </c>
      <c r="JS57" s="137">
        <f t="shared" si="1412"/>
        <v>0</v>
      </c>
      <c r="JT57" s="227">
        <f t="shared" si="1382"/>
        <v>10.15</v>
      </c>
      <c r="JU57" s="138">
        <f t="shared" si="1413"/>
        <v>0</v>
      </c>
      <c r="JV57" s="110">
        <f t="shared" si="1414"/>
        <v>0</v>
      </c>
      <c r="JW57" s="110"/>
      <c r="JX57" s="139"/>
      <c r="JY57" s="140">
        <f t="shared" si="1415"/>
        <v>0</v>
      </c>
      <c r="JZ57" s="198">
        <f t="shared" si="1378"/>
        <v>0</v>
      </c>
      <c r="KA57" s="225">
        <f t="shared" si="1416"/>
        <v>0</v>
      </c>
      <c r="KB57" s="226">
        <f t="shared" si="1417"/>
        <v>0</v>
      </c>
      <c r="KC57" s="137">
        <f t="shared" si="1418"/>
        <v>0</v>
      </c>
      <c r="KD57" s="227">
        <f t="shared" si="1382"/>
        <v>8.14</v>
      </c>
      <c r="KE57" s="138">
        <f t="shared" si="1419"/>
        <v>0</v>
      </c>
      <c r="KF57" s="110">
        <f t="shared" si="1420"/>
        <v>0</v>
      </c>
      <c r="KG57" s="110"/>
      <c r="KH57" s="139"/>
      <c r="KI57" s="140">
        <f t="shared" si="1421"/>
        <v>0</v>
      </c>
      <c r="KJ57" s="198">
        <f t="shared" si="1422"/>
        <v>0</v>
      </c>
      <c r="KK57" s="225">
        <f t="shared" si="1423"/>
        <v>0</v>
      </c>
      <c r="KL57" s="226">
        <f t="shared" si="1424"/>
        <v>0</v>
      </c>
      <c r="KM57" s="137">
        <f t="shared" si="1425"/>
        <v>0</v>
      </c>
      <c r="KN57" s="227">
        <f t="shared" si="1426"/>
        <v>9.02</v>
      </c>
      <c r="KO57" s="138">
        <f t="shared" si="1427"/>
        <v>0</v>
      </c>
      <c r="KP57" s="110">
        <f t="shared" si="1428"/>
        <v>0</v>
      </c>
      <c r="KQ57" s="110"/>
      <c r="KR57" s="139"/>
      <c r="KS57" s="140">
        <f t="shared" si="1429"/>
        <v>0</v>
      </c>
      <c r="KT57" s="198">
        <f t="shared" si="1422"/>
        <v>0</v>
      </c>
      <c r="KU57" s="225">
        <f t="shared" si="1430"/>
        <v>0</v>
      </c>
      <c r="KV57" s="226">
        <f t="shared" si="1431"/>
        <v>0</v>
      </c>
      <c r="KW57" s="137">
        <f t="shared" si="1432"/>
        <v>0</v>
      </c>
      <c r="KX57" s="227">
        <f t="shared" si="1426"/>
        <v>9.94</v>
      </c>
      <c r="KY57" s="138">
        <f t="shared" si="1433"/>
        <v>0</v>
      </c>
      <c r="KZ57" s="110">
        <f t="shared" si="1434"/>
        <v>0</v>
      </c>
      <c r="LA57" s="110"/>
      <c r="LB57" s="139"/>
      <c r="LC57" s="140">
        <f t="shared" si="1435"/>
        <v>0</v>
      </c>
      <c r="LD57" s="197">
        <f t="shared" si="1235"/>
        <v>119</v>
      </c>
      <c r="LE57" s="225">
        <f t="shared" si="1236"/>
        <v>4.1700000000000001E-3</v>
      </c>
      <c r="LF57" s="226">
        <f t="shared" si="1237"/>
        <v>11219.13</v>
      </c>
      <c r="LG57" s="137">
        <f t="shared" si="1238"/>
        <v>94.278403359999999</v>
      </c>
      <c r="LH57" s="227">
        <f t="shared" si="1239"/>
        <v>8.4600000000000009</v>
      </c>
      <c r="LI57" s="138">
        <f t="shared" si="1240"/>
        <v>797.59528999999998</v>
      </c>
      <c r="LJ57" s="110">
        <f t="shared" si="1241"/>
        <v>94913.84</v>
      </c>
      <c r="LK57" s="110"/>
      <c r="LL57" s="139"/>
    </row>
    <row r="58" spans="1:324" ht="18" hidden="1" customHeight="1" x14ac:dyDescent="0.25">
      <c r="A58" s="247"/>
      <c r="B58" s="93" t="s">
        <v>611</v>
      </c>
      <c r="C58" s="12" t="s">
        <v>728</v>
      </c>
      <c r="D58" s="12" t="s">
        <v>430</v>
      </c>
      <c r="E58" s="4" t="s">
        <v>33</v>
      </c>
      <c r="F58" s="198">
        <f t="shared" si="1245"/>
        <v>0</v>
      </c>
      <c r="G58" s="225">
        <f t="shared" si="1242"/>
        <v>0</v>
      </c>
      <c r="H58" s="226">
        <f t="shared" si="1243"/>
        <v>0</v>
      </c>
      <c r="I58" s="137">
        <f t="shared" si="1016"/>
        <v>0</v>
      </c>
      <c r="J58" s="227">
        <f t="shared" si="1244"/>
        <v>7.57</v>
      </c>
      <c r="K58" s="138">
        <f t="shared" si="1017"/>
        <v>0</v>
      </c>
      <c r="L58" s="110">
        <f t="shared" si="1018"/>
        <v>0</v>
      </c>
      <c r="M58" s="110"/>
      <c r="N58" s="139"/>
      <c r="O58" s="140">
        <f t="shared" si="1019"/>
        <v>0</v>
      </c>
      <c r="P58" s="198">
        <f t="shared" si="1246"/>
        <v>0</v>
      </c>
      <c r="Q58" s="225">
        <f t="shared" si="1247"/>
        <v>0</v>
      </c>
      <c r="R58" s="226">
        <f t="shared" si="1248"/>
        <v>0</v>
      </c>
      <c r="S58" s="137">
        <f t="shared" si="1249"/>
        <v>0</v>
      </c>
      <c r="T58" s="227">
        <f t="shared" si="1250"/>
        <v>8.23</v>
      </c>
      <c r="U58" s="138">
        <f t="shared" si="1251"/>
        <v>0</v>
      </c>
      <c r="V58" s="110">
        <f t="shared" si="1252"/>
        <v>0</v>
      </c>
      <c r="W58" s="110"/>
      <c r="X58" s="139"/>
      <c r="Y58" s="140">
        <f t="shared" si="1253"/>
        <v>0</v>
      </c>
      <c r="Z58" s="198">
        <f t="shared" si="1246"/>
        <v>0</v>
      </c>
      <c r="AA58" s="225">
        <f t="shared" si="1254"/>
        <v>0</v>
      </c>
      <c r="AB58" s="226">
        <f t="shared" si="1255"/>
        <v>0</v>
      </c>
      <c r="AC58" s="137">
        <f t="shared" si="1256"/>
        <v>0</v>
      </c>
      <c r="AD58" s="227">
        <f t="shared" si="1250"/>
        <v>8.8000000000000007</v>
      </c>
      <c r="AE58" s="138">
        <f t="shared" si="1257"/>
        <v>0</v>
      </c>
      <c r="AF58" s="110">
        <f t="shared" si="1258"/>
        <v>0</v>
      </c>
      <c r="AG58" s="110"/>
      <c r="AH58" s="139"/>
      <c r="AI58" s="140">
        <f t="shared" si="1259"/>
        <v>0</v>
      </c>
      <c r="AJ58" s="198">
        <f t="shared" si="1246"/>
        <v>0</v>
      </c>
      <c r="AK58" s="225">
        <f t="shared" si="1260"/>
        <v>0</v>
      </c>
      <c r="AL58" s="226">
        <f t="shared" si="1261"/>
        <v>0</v>
      </c>
      <c r="AM58" s="137">
        <f t="shared" si="1262"/>
        <v>0</v>
      </c>
      <c r="AN58" s="227">
        <f t="shared" si="1250"/>
        <v>7.52</v>
      </c>
      <c r="AO58" s="138">
        <f t="shared" si="1263"/>
        <v>0</v>
      </c>
      <c r="AP58" s="110">
        <f t="shared" si="1264"/>
        <v>0</v>
      </c>
      <c r="AQ58" s="110"/>
      <c r="AR58" s="139"/>
      <c r="AS58" s="140">
        <f t="shared" si="1265"/>
        <v>0</v>
      </c>
      <c r="AT58" s="198">
        <f t="shared" si="1246"/>
        <v>0</v>
      </c>
      <c r="AU58" s="225">
        <f t="shared" si="1266"/>
        <v>0</v>
      </c>
      <c r="AV58" s="226">
        <f t="shared" si="1267"/>
        <v>0</v>
      </c>
      <c r="AW58" s="137">
        <f t="shared" si="1268"/>
        <v>0</v>
      </c>
      <c r="AX58" s="227">
        <f t="shared" si="1250"/>
        <v>6.88</v>
      </c>
      <c r="AY58" s="138">
        <f t="shared" si="1269"/>
        <v>0</v>
      </c>
      <c r="AZ58" s="110">
        <f t="shared" si="1270"/>
        <v>0</v>
      </c>
      <c r="BA58" s="110"/>
      <c r="BB58" s="139"/>
      <c r="BC58" s="140">
        <f t="shared" si="1271"/>
        <v>0</v>
      </c>
      <c r="BD58" s="198">
        <f t="shared" si="1246"/>
        <v>0</v>
      </c>
      <c r="BE58" s="225">
        <f t="shared" si="1272"/>
        <v>0</v>
      </c>
      <c r="BF58" s="226">
        <f t="shared" si="1273"/>
        <v>0</v>
      </c>
      <c r="BG58" s="137">
        <f t="shared" si="1274"/>
        <v>0</v>
      </c>
      <c r="BH58" s="227">
        <f t="shared" si="1250"/>
        <v>9.74</v>
      </c>
      <c r="BI58" s="138">
        <f t="shared" si="1275"/>
        <v>0</v>
      </c>
      <c r="BJ58" s="110">
        <f t="shared" si="1276"/>
        <v>0</v>
      </c>
      <c r="BK58" s="110"/>
      <c r="BL58" s="139"/>
      <c r="BM58" s="140">
        <f t="shared" si="1277"/>
        <v>0</v>
      </c>
      <c r="BN58" s="198">
        <f t="shared" si="1246"/>
        <v>0</v>
      </c>
      <c r="BO58" s="225">
        <f t="shared" si="1278"/>
        <v>0</v>
      </c>
      <c r="BP58" s="226">
        <f t="shared" si="1279"/>
        <v>0</v>
      </c>
      <c r="BQ58" s="137">
        <f t="shared" si="1280"/>
        <v>0</v>
      </c>
      <c r="BR58" s="227">
        <f t="shared" si="1250"/>
        <v>10.32</v>
      </c>
      <c r="BS58" s="138">
        <f t="shared" si="1281"/>
        <v>0</v>
      </c>
      <c r="BT58" s="110">
        <f t="shared" si="1282"/>
        <v>0</v>
      </c>
      <c r="BU58" s="110"/>
      <c r="BV58" s="139"/>
      <c r="BW58" s="140">
        <f t="shared" si="1283"/>
        <v>0</v>
      </c>
      <c r="BX58" s="198">
        <f t="shared" si="1246"/>
        <v>0</v>
      </c>
      <c r="BY58" s="225">
        <f t="shared" si="1284"/>
        <v>0</v>
      </c>
      <c r="BZ58" s="226">
        <f t="shared" si="1285"/>
        <v>0</v>
      </c>
      <c r="CA58" s="137">
        <f t="shared" si="1286"/>
        <v>0</v>
      </c>
      <c r="CB58" s="227">
        <f t="shared" si="1250"/>
        <v>7.89</v>
      </c>
      <c r="CC58" s="138">
        <f t="shared" si="1287"/>
        <v>0</v>
      </c>
      <c r="CD58" s="110">
        <f t="shared" si="1288"/>
        <v>0</v>
      </c>
      <c r="CE58" s="110"/>
      <c r="CF58" s="139"/>
      <c r="CG58" s="140">
        <f t="shared" si="1289"/>
        <v>0</v>
      </c>
      <c r="CH58" s="198">
        <f t="shared" si="1290"/>
        <v>0</v>
      </c>
      <c r="CI58" s="225">
        <f t="shared" si="1291"/>
        <v>0</v>
      </c>
      <c r="CJ58" s="226">
        <f t="shared" si="1292"/>
        <v>0</v>
      </c>
      <c r="CK58" s="137">
        <f t="shared" si="1293"/>
        <v>0</v>
      </c>
      <c r="CL58" s="227">
        <f t="shared" si="1294"/>
        <v>8.24</v>
      </c>
      <c r="CM58" s="138">
        <f t="shared" si="1295"/>
        <v>0</v>
      </c>
      <c r="CN58" s="110">
        <f t="shared" si="1296"/>
        <v>0</v>
      </c>
      <c r="CO58" s="110"/>
      <c r="CP58" s="139"/>
      <c r="CQ58" s="140">
        <f t="shared" si="1297"/>
        <v>0</v>
      </c>
      <c r="CR58" s="198">
        <f t="shared" si="1290"/>
        <v>0</v>
      </c>
      <c r="CS58" s="225">
        <f t="shared" si="1298"/>
        <v>0</v>
      </c>
      <c r="CT58" s="226">
        <f t="shared" si="1299"/>
        <v>0</v>
      </c>
      <c r="CU58" s="137">
        <f t="shared" si="1300"/>
        <v>0</v>
      </c>
      <c r="CV58" s="227">
        <f t="shared" si="1294"/>
        <v>8.92</v>
      </c>
      <c r="CW58" s="138">
        <f t="shared" si="1301"/>
        <v>0</v>
      </c>
      <c r="CX58" s="110">
        <f t="shared" si="1302"/>
        <v>0</v>
      </c>
      <c r="CY58" s="110"/>
      <c r="CZ58" s="139"/>
      <c r="DA58" s="140">
        <f t="shared" si="1303"/>
        <v>0</v>
      </c>
      <c r="DB58" s="198">
        <f t="shared" si="1290"/>
        <v>0</v>
      </c>
      <c r="DC58" s="225">
        <f t="shared" si="1304"/>
        <v>0</v>
      </c>
      <c r="DD58" s="226">
        <f t="shared" si="1305"/>
        <v>0</v>
      </c>
      <c r="DE58" s="137">
        <f t="shared" si="1306"/>
        <v>0</v>
      </c>
      <c r="DF58" s="227">
        <f t="shared" si="1294"/>
        <v>7.48</v>
      </c>
      <c r="DG58" s="138">
        <f t="shared" si="1307"/>
        <v>0</v>
      </c>
      <c r="DH58" s="110">
        <f t="shared" si="1308"/>
        <v>0</v>
      </c>
      <c r="DI58" s="110"/>
      <c r="DJ58" s="139"/>
      <c r="DK58" s="140">
        <f t="shared" si="1309"/>
        <v>0</v>
      </c>
      <c r="DL58" s="198">
        <f t="shared" si="1290"/>
        <v>5</v>
      </c>
      <c r="DM58" s="225">
        <f t="shared" si="1310"/>
        <v>1.7670000000000002E-2</v>
      </c>
      <c r="DN58" s="226">
        <f t="shared" si="1311"/>
        <v>632.41</v>
      </c>
      <c r="DO58" s="137">
        <f t="shared" si="1312"/>
        <v>126.482</v>
      </c>
      <c r="DP58" s="227">
        <f t="shared" si="1294"/>
        <v>8.2200000000000006</v>
      </c>
      <c r="DQ58" s="138">
        <f t="shared" si="1313"/>
        <v>1039.6820399999999</v>
      </c>
      <c r="DR58" s="110">
        <f t="shared" si="1314"/>
        <v>5198.41</v>
      </c>
      <c r="DS58" s="110"/>
      <c r="DT58" s="139"/>
      <c r="DU58" s="140">
        <f t="shared" si="1315"/>
        <v>1.2688299999999999</v>
      </c>
      <c r="DV58" s="198">
        <f t="shared" si="1290"/>
        <v>0</v>
      </c>
      <c r="DW58" s="225">
        <f t="shared" si="1316"/>
        <v>0</v>
      </c>
      <c r="DX58" s="226">
        <f t="shared" si="1317"/>
        <v>0</v>
      </c>
      <c r="DY58" s="137">
        <f t="shared" si="1318"/>
        <v>0</v>
      </c>
      <c r="DZ58" s="227">
        <f t="shared" si="1294"/>
        <v>7.91</v>
      </c>
      <c r="EA58" s="138">
        <f t="shared" si="1319"/>
        <v>0</v>
      </c>
      <c r="EB58" s="110">
        <f t="shared" si="1320"/>
        <v>0</v>
      </c>
      <c r="EC58" s="110"/>
      <c r="ED58" s="139"/>
      <c r="EE58" s="140">
        <f t="shared" si="1321"/>
        <v>0</v>
      </c>
      <c r="EF58" s="198">
        <f t="shared" si="1290"/>
        <v>0</v>
      </c>
      <c r="EG58" s="225">
        <f t="shared" si="1322"/>
        <v>0</v>
      </c>
      <c r="EH58" s="226">
        <f t="shared" si="1323"/>
        <v>0</v>
      </c>
      <c r="EI58" s="137">
        <f t="shared" si="1324"/>
        <v>0</v>
      </c>
      <c r="EJ58" s="227">
        <f t="shared" si="1294"/>
        <v>7.63</v>
      </c>
      <c r="EK58" s="138">
        <f t="shared" si="1325"/>
        <v>0</v>
      </c>
      <c r="EL58" s="110">
        <f t="shared" si="1326"/>
        <v>0</v>
      </c>
      <c r="EM58" s="110"/>
      <c r="EN58" s="139"/>
      <c r="EO58" s="140">
        <f t="shared" si="1327"/>
        <v>0</v>
      </c>
      <c r="EP58" s="198">
        <f t="shared" si="1290"/>
        <v>0</v>
      </c>
      <c r="EQ58" s="225">
        <f t="shared" si="1328"/>
        <v>0</v>
      </c>
      <c r="ER58" s="226">
        <f t="shared" si="1329"/>
        <v>0</v>
      </c>
      <c r="ES58" s="137">
        <f t="shared" si="1330"/>
        <v>0</v>
      </c>
      <c r="ET58" s="227">
        <f t="shared" si="1294"/>
        <v>7.95</v>
      </c>
      <c r="EU58" s="138">
        <f t="shared" si="1331"/>
        <v>0</v>
      </c>
      <c r="EV58" s="110">
        <f t="shared" si="1332"/>
        <v>0</v>
      </c>
      <c r="EW58" s="110"/>
      <c r="EX58" s="139"/>
      <c r="EY58" s="140">
        <f t="shared" si="1333"/>
        <v>0</v>
      </c>
      <c r="EZ58" s="198">
        <f t="shared" si="1334"/>
        <v>0</v>
      </c>
      <c r="FA58" s="225">
        <f t="shared" si="1335"/>
        <v>0</v>
      </c>
      <c r="FB58" s="226">
        <f t="shared" si="1336"/>
        <v>0</v>
      </c>
      <c r="FC58" s="137">
        <f t="shared" si="1337"/>
        <v>0</v>
      </c>
      <c r="FD58" s="227">
        <f t="shared" si="1338"/>
        <v>10.210000000000001</v>
      </c>
      <c r="FE58" s="138">
        <f t="shared" si="1339"/>
        <v>0</v>
      </c>
      <c r="FF58" s="110">
        <f t="shared" si="1340"/>
        <v>0</v>
      </c>
      <c r="FG58" s="110"/>
      <c r="FH58" s="139"/>
      <c r="FI58" s="140">
        <f t="shared" si="1341"/>
        <v>0</v>
      </c>
      <c r="FJ58" s="198">
        <f t="shared" si="1334"/>
        <v>0</v>
      </c>
      <c r="FK58" s="225">
        <f t="shared" si="1342"/>
        <v>0</v>
      </c>
      <c r="FL58" s="226">
        <f t="shared" si="1343"/>
        <v>0</v>
      </c>
      <c r="FM58" s="137">
        <f t="shared" si="1344"/>
        <v>0</v>
      </c>
      <c r="FN58" s="227">
        <f t="shared" si="1338"/>
        <v>9.52</v>
      </c>
      <c r="FO58" s="138">
        <f t="shared" si="1345"/>
        <v>0</v>
      </c>
      <c r="FP58" s="110">
        <f t="shared" si="1346"/>
        <v>0</v>
      </c>
      <c r="FQ58" s="110"/>
      <c r="FR58" s="139"/>
      <c r="FS58" s="140">
        <f t="shared" si="1347"/>
        <v>0</v>
      </c>
      <c r="FT58" s="198">
        <f t="shared" si="1334"/>
        <v>0</v>
      </c>
      <c r="FU58" s="225">
        <f t="shared" si="1348"/>
        <v>0</v>
      </c>
      <c r="FV58" s="226">
        <f t="shared" si="1349"/>
        <v>0</v>
      </c>
      <c r="FW58" s="137">
        <f t="shared" si="1350"/>
        <v>0</v>
      </c>
      <c r="FX58" s="227">
        <f t="shared" si="1338"/>
        <v>9.57</v>
      </c>
      <c r="FY58" s="138">
        <f t="shared" si="1351"/>
        <v>0</v>
      </c>
      <c r="FZ58" s="110">
        <f t="shared" si="1352"/>
        <v>0</v>
      </c>
      <c r="GA58" s="110"/>
      <c r="GB58" s="139"/>
      <c r="GC58" s="140">
        <f t="shared" si="1353"/>
        <v>0</v>
      </c>
      <c r="GD58" s="198">
        <f t="shared" si="1334"/>
        <v>0</v>
      </c>
      <c r="GE58" s="225">
        <f t="shared" si="1354"/>
        <v>0</v>
      </c>
      <c r="GF58" s="226">
        <f t="shared" si="1355"/>
        <v>0</v>
      </c>
      <c r="GG58" s="137">
        <f t="shared" si="1356"/>
        <v>0</v>
      </c>
      <c r="GH58" s="227">
        <f t="shared" si="1338"/>
        <v>8.39</v>
      </c>
      <c r="GI58" s="138">
        <f t="shared" si="1357"/>
        <v>0</v>
      </c>
      <c r="GJ58" s="110">
        <f t="shared" si="1358"/>
        <v>0</v>
      </c>
      <c r="GK58" s="110"/>
      <c r="GL58" s="139"/>
      <c r="GM58" s="140">
        <f t="shared" si="1359"/>
        <v>0</v>
      </c>
      <c r="GN58" s="198">
        <f t="shared" si="1334"/>
        <v>0</v>
      </c>
      <c r="GO58" s="225">
        <f t="shared" si="1360"/>
        <v>0</v>
      </c>
      <c r="GP58" s="226">
        <f t="shared" si="1361"/>
        <v>0</v>
      </c>
      <c r="GQ58" s="137">
        <f t="shared" si="1362"/>
        <v>0</v>
      </c>
      <c r="GR58" s="227">
        <f t="shared" si="1338"/>
        <v>7.63</v>
      </c>
      <c r="GS58" s="138">
        <f t="shared" si="1363"/>
        <v>0</v>
      </c>
      <c r="GT58" s="110">
        <f t="shared" si="1364"/>
        <v>0</v>
      </c>
      <c r="GU58" s="110"/>
      <c r="GV58" s="139"/>
      <c r="GW58" s="140">
        <f t="shared" si="1365"/>
        <v>0</v>
      </c>
      <c r="GX58" s="198">
        <f t="shared" si="1334"/>
        <v>0</v>
      </c>
      <c r="GY58" s="225">
        <f t="shared" si="1366"/>
        <v>0</v>
      </c>
      <c r="GZ58" s="226">
        <f t="shared" si="1367"/>
        <v>0</v>
      </c>
      <c r="HA58" s="137">
        <f t="shared" si="1368"/>
        <v>0</v>
      </c>
      <c r="HB58" s="227">
        <f t="shared" si="1338"/>
        <v>4.8899999999999997</v>
      </c>
      <c r="HC58" s="138">
        <f t="shared" si="1369"/>
        <v>0</v>
      </c>
      <c r="HD58" s="110">
        <f t="shared" si="1370"/>
        <v>0</v>
      </c>
      <c r="HE58" s="110"/>
      <c r="HF58" s="139"/>
      <c r="HG58" s="140">
        <f t="shared" si="1371"/>
        <v>0</v>
      </c>
      <c r="HH58" s="198">
        <f t="shared" si="1334"/>
        <v>0</v>
      </c>
      <c r="HI58" s="225">
        <f t="shared" si="1372"/>
        <v>0</v>
      </c>
      <c r="HJ58" s="226">
        <f t="shared" si="1373"/>
        <v>0</v>
      </c>
      <c r="HK58" s="137">
        <f t="shared" si="1374"/>
        <v>0</v>
      </c>
      <c r="HL58" s="227">
        <f t="shared" si="1338"/>
        <v>5.98</v>
      </c>
      <c r="HM58" s="138">
        <f t="shared" si="1375"/>
        <v>0</v>
      </c>
      <c r="HN58" s="110">
        <f t="shared" si="1376"/>
        <v>0</v>
      </c>
      <c r="HO58" s="110"/>
      <c r="HP58" s="139"/>
      <c r="HQ58" s="140">
        <f t="shared" si="1377"/>
        <v>0</v>
      </c>
      <c r="HR58" s="198">
        <f t="shared" si="1378"/>
        <v>0</v>
      </c>
      <c r="HS58" s="225">
        <f t="shared" si="1379"/>
        <v>0</v>
      </c>
      <c r="HT58" s="226">
        <f t="shared" si="1380"/>
        <v>0</v>
      </c>
      <c r="HU58" s="137">
        <f t="shared" si="1381"/>
        <v>0</v>
      </c>
      <c r="HV58" s="227">
        <f t="shared" si="1382"/>
        <v>9.76</v>
      </c>
      <c r="HW58" s="138">
        <f t="shared" si="1383"/>
        <v>0</v>
      </c>
      <c r="HX58" s="110">
        <f t="shared" si="1384"/>
        <v>0</v>
      </c>
      <c r="HY58" s="110"/>
      <c r="HZ58" s="139"/>
      <c r="IA58" s="140">
        <f t="shared" si="1385"/>
        <v>0</v>
      </c>
      <c r="IB58" s="198">
        <f t="shared" si="1378"/>
        <v>0</v>
      </c>
      <c r="IC58" s="225">
        <f t="shared" si="1386"/>
        <v>0</v>
      </c>
      <c r="ID58" s="226">
        <f t="shared" si="1387"/>
        <v>0</v>
      </c>
      <c r="IE58" s="137">
        <f t="shared" si="1388"/>
        <v>0</v>
      </c>
      <c r="IF58" s="227">
        <f t="shared" si="1382"/>
        <v>7.76</v>
      </c>
      <c r="IG58" s="138">
        <f t="shared" si="1389"/>
        <v>0</v>
      </c>
      <c r="IH58" s="110">
        <f t="shared" si="1390"/>
        <v>0</v>
      </c>
      <c r="II58" s="110"/>
      <c r="IJ58" s="139"/>
      <c r="IK58" s="140">
        <f t="shared" si="1391"/>
        <v>0</v>
      </c>
      <c r="IL58" s="198">
        <f t="shared" si="1378"/>
        <v>0</v>
      </c>
      <c r="IM58" s="225">
        <f t="shared" si="1392"/>
        <v>0</v>
      </c>
      <c r="IN58" s="226">
        <f t="shared" si="1393"/>
        <v>0</v>
      </c>
      <c r="IO58" s="137">
        <f t="shared" si="1394"/>
        <v>0</v>
      </c>
      <c r="IP58" s="227">
        <f t="shared" si="1382"/>
        <v>7.4</v>
      </c>
      <c r="IQ58" s="138">
        <f t="shared" si="1395"/>
        <v>0</v>
      </c>
      <c r="IR58" s="110">
        <f t="shared" si="1396"/>
        <v>0</v>
      </c>
      <c r="IS58" s="110"/>
      <c r="IT58" s="139"/>
      <c r="IU58" s="140">
        <f t="shared" si="1397"/>
        <v>0</v>
      </c>
      <c r="IV58" s="198">
        <f t="shared" si="1378"/>
        <v>0</v>
      </c>
      <c r="IW58" s="225">
        <f t="shared" si="1398"/>
        <v>0</v>
      </c>
      <c r="IX58" s="226">
        <f t="shared" si="1399"/>
        <v>0</v>
      </c>
      <c r="IY58" s="137">
        <f t="shared" si="1400"/>
        <v>0</v>
      </c>
      <c r="IZ58" s="227">
        <f t="shared" si="1382"/>
        <v>9.64</v>
      </c>
      <c r="JA58" s="138">
        <f t="shared" si="1401"/>
        <v>0</v>
      </c>
      <c r="JB58" s="110">
        <f t="shared" si="1402"/>
        <v>0</v>
      </c>
      <c r="JC58" s="110"/>
      <c r="JD58" s="139"/>
      <c r="JE58" s="140">
        <f t="shared" si="1403"/>
        <v>0</v>
      </c>
      <c r="JF58" s="198">
        <f t="shared" si="1378"/>
        <v>0</v>
      </c>
      <c r="JG58" s="225">
        <f t="shared" si="1404"/>
        <v>0</v>
      </c>
      <c r="JH58" s="226">
        <f t="shared" si="1405"/>
        <v>0</v>
      </c>
      <c r="JI58" s="137">
        <f t="shared" si="1406"/>
        <v>0</v>
      </c>
      <c r="JJ58" s="227">
        <f t="shared" si="1382"/>
        <v>9.1</v>
      </c>
      <c r="JK58" s="138">
        <f t="shared" si="1407"/>
        <v>0</v>
      </c>
      <c r="JL58" s="110">
        <f t="shared" si="1408"/>
        <v>0</v>
      </c>
      <c r="JM58" s="110"/>
      <c r="JN58" s="139"/>
      <c r="JO58" s="140">
        <f t="shared" si="1409"/>
        <v>0</v>
      </c>
      <c r="JP58" s="198">
        <f t="shared" si="1378"/>
        <v>0</v>
      </c>
      <c r="JQ58" s="225">
        <f t="shared" si="1410"/>
        <v>0</v>
      </c>
      <c r="JR58" s="226">
        <f t="shared" si="1411"/>
        <v>0</v>
      </c>
      <c r="JS58" s="137">
        <f t="shared" si="1412"/>
        <v>0</v>
      </c>
      <c r="JT58" s="227">
        <f t="shared" si="1382"/>
        <v>10.15</v>
      </c>
      <c r="JU58" s="138">
        <f t="shared" si="1413"/>
        <v>0</v>
      </c>
      <c r="JV58" s="110">
        <f t="shared" si="1414"/>
        <v>0</v>
      </c>
      <c r="JW58" s="110"/>
      <c r="JX58" s="139"/>
      <c r="JY58" s="140">
        <f t="shared" si="1415"/>
        <v>0</v>
      </c>
      <c r="JZ58" s="198">
        <f t="shared" si="1378"/>
        <v>0</v>
      </c>
      <c r="KA58" s="225">
        <f t="shared" si="1416"/>
        <v>0</v>
      </c>
      <c r="KB58" s="226">
        <f t="shared" si="1417"/>
        <v>0</v>
      </c>
      <c r="KC58" s="137">
        <f t="shared" si="1418"/>
        <v>0</v>
      </c>
      <c r="KD58" s="227">
        <f t="shared" si="1382"/>
        <v>8.14</v>
      </c>
      <c r="KE58" s="138">
        <f t="shared" si="1419"/>
        <v>0</v>
      </c>
      <c r="KF58" s="110">
        <f t="shared" si="1420"/>
        <v>0</v>
      </c>
      <c r="KG58" s="110"/>
      <c r="KH58" s="139"/>
      <c r="KI58" s="140">
        <f t="shared" si="1421"/>
        <v>0</v>
      </c>
      <c r="KJ58" s="198">
        <f t="shared" si="1422"/>
        <v>0</v>
      </c>
      <c r="KK58" s="225">
        <f t="shared" si="1423"/>
        <v>0</v>
      </c>
      <c r="KL58" s="226">
        <f t="shared" si="1424"/>
        <v>0</v>
      </c>
      <c r="KM58" s="137">
        <f t="shared" si="1425"/>
        <v>0</v>
      </c>
      <c r="KN58" s="227">
        <f t="shared" si="1426"/>
        <v>9.02</v>
      </c>
      <c r="KO58" s="138">
        <f t="shared" si="1427"/>
        <v>0</v>
      </c>
      <c r="KP58" s="110">
        <f t="shared" si="1428"/>
        <v>0</v>
      </c>
      <c r="KQ58" s="110"/>
      <c r="KR58" s="139"/>
      <c r="KS58" s="140">
        <f t="shared" si="1429"/>
        <v>0</v>
      </c>
      <c r="KT58" s="198">
        <f t="shared" si="1422"/>
        <v>0</v>
      </c>
      <c r="KU58" s="225">
        <f t="shared" si="1430"/>
        <v>0</v>
      </c>
      <c r="KV58" s="226">
        <f t="shared" si="1431"/>
        <v>0</v>
      </c>
      <c r="KW58" s="137">
        <f t="shared" si="1432"/>
        <v>0</v>
      </c>
      <c r="KX58" s="227">
        <f t="shared" si="1426"/>
        <v>9.94</v>
      </c>
      <c r="KY58" s="138">
        <f t="shared" si="1433"/>
        <v>0</v>
      </c>
      <c r="KZ58" s="110">
        <f t="shared" si="1434"/>
        <v>0</v>
      </c>
      <c r="LA58" s="110"/>
      <c r="LB58" s="139"/>
      <c r="LC58" s="140">
        <f t="shared" si="1435"/>
        <v>0</v>
      </c>
      <c r="LD58" s="197">
        <f t="shared" si="1235"/>
        <v>5</v>
      </c>
      <c r="LE58" s="225">
        <f t="shared" si="1236"/>
        <v>1.8000000000000001E-4</v>
      </c>
      <c r="LF58" s="226">
        <f t="shared" si="1237"/>
        <v>484.28</v>
      </c>
      <c r="LG58" s="137">
        <f t="shared" si="1238"/>
        <v>96.855999999999995</v>
      </c>
      <c r="LH58" s="227">
        <f t="shared" si="1239"/>
        <v>8.4600000000000009</v>
      </c>
      <c r="LI58" s="138">
        <f t="shared" si="1240"/>
        <v>819.40175999999997</v>
      </c>
      <c r="LJ58" s="110">
        <f t="shared" si="1241"/>
        <v>4097.01</v>
      </c>
      <c r="LK58" s="110"/>
      <c r="LL58" s="139"/>
    </row>
    <row r="59" spans="1:324" ht="18" customHeight="1" x14ac:dyDescent="0.25">
      <c r="A59" s="244"/>
      <c r="B59" s="244" t="s">
        <v>855</v>
      </c>
      <c r="C59" s="12"/>
      <c r="D59" s="12"/>
      <c r="E59" s="4"/>
      <c r="F59" s="198"/>
      <c r="G59" s="225"/>
      <c r="H59" s="226"/>
      <c r="I59" s="137"/>
      <c r="J59" s="227"/>
      <c r="K59" s="138"/>
      <c r="L59" s="110"/>
      <c r="M59" s="110"/>
      <c r="N59" s="139"/>
      <c r="O59" s="140"/>
      <c r="P59" s="198"/>
      <c r="Q59" s="225"/>
      <c r="R59" s="226"/>
      <c r="S59" s="137"/>
      <c r="T59" s="227"/>
      <c r="U59" s="138"/>
      <c r="V59" s="110"/>
      <c r="W59" s="110"/>
      <c r="X59" s="139"/>
      <c r="Y59" s="140"/>
      <c r="Z59" s="198"/>
      <c r="AA59" s="225"/>
      <c r="AB59" s="226"/>
      <c r="AC59" s="137"/>
      <c r="AD59" s="227"/>
      <c r="AE59" s="138"/>
      <c r="AF59" s="110"/>
      <c r="AG59" s="110"/>
      <c r="AH59" s="139"/>
      <c r="AI59" s="140"/>
      <c r="AJ59" s="198"/>
      <c r="AK59" s="225"/>
      <c r="AL59" s="226"/>
      <c r="AM59" s="137"/>
      <c r="AN59" s="227"/>
      <c r="AO59" s="138"/>
      <c r="AP59" s="110"/>
      <c r="AQ59" s="110"/>
      <c r="AR59" s="139"/>
      <c r="AS59" s="140"/>
      <c r="AT59" s="198"/>
      <c r="AU59" s="225"/>
      <c r="AV59" s="226"/>
      <c r="AW59" s="137"/>
      <c r="AX59" s="227"/>
      <c r="AY59" s="138"/>
      <c r="AZ59" s="110"/>
      <c r="BA59" s="110"/>
      <c r="BB59" s="139"/>
      <c r="BC59" s="140"/>
      <c r="BD59" s="198"/>
      <c r="BE59" s="225"/>
      <c r="BF59" s="226"/>
      <c r="BG59" s="137"/>
      <c r="BH59" s="227"/>
      <c r="BI59" s="138"/>
      <c r="BJ59" s="110"/>
      <c r="BK59" s="110"/>
      <c r="BL59" s="139"/>
      <c r="BM59" s="140"/>
      <c r="BN59" s="198"/>
      <c r="BO59" s="225"/>
      <c r="BP59" s="226"/>
      <c r="BQ59" s="137"/>
      <c r="BR59" s="227"/>
      <c r="BS59" s="138"/>
      <c r="BT59" s="110"/>
      <c r="BU59" s="110"/>
      <c r="BV59" s="139"/>
      <c r="BW59" s="140"/>
      <c r="BX59" s="198"/>
      <c r="BY59" s="225"/>
      <c r="BZ59" s="226"/>
      <c r="CA59" s="137"/>
      <c r="CB59" s="227"/>
      <c r="CC59" s="138"/>
      <c r="CD59" s="110"/>
      <c r="CE59" s="110"/>
      <c r="CF59" s="139"/>
      <c r="CG59" s="140"/>
      <c r="CH59" s="198"/>
      <c r="CI59" s="225"/>
      <c r="CJ59" s="226"/>
      <c r="CK59" s="137"/>
      <c r="CL59" s="227"/>
      <c r="CM59" s="138"/>
      <c r="CN59" s="110"/>
      <c r="CO59" s="110"/>
      <c r="CP59" s="139"/>
      <c r="CQ59" s="140"/>
      <c r="CR59" s="198"/>
      <c r="CS59" s="225"/>
      <c r="CT59" s="226"/>
      <c r="CU59" s="137"/>
      <c r="CV59" s="227"/>
      <c r="CW59" s="138"/>
      <c r="CX59" s="110"/>
      <c r="CY59" s="110"/>
      <c r="CZ59" s="139"/>
      <c r="DA59" s="140"/>
      <c r="DB59" s="198"/>
      <c r="DC59" s="225"/>
      <c r="DD59" s="226"/>
      <c r="DE59" s="137"/>
      <c r="DF59" s="227"/>
      <c r="DG59" s="138"/>
      <c r="DH59" s="110"/>
      <c r="DI59" s="110"/>
      <c r="DJ59" s="139"/>
      <c r="DK59" s="140"/>
      <c r="DL59" s="198"/>
      <c r="DM59" s="225"/>
      <c r="DN59" s="226"/>
      <c r="DO59" s="137"/>
      <c r="DP59" s="227"/>
      <c r="DQ59" s="138"/>
      <c r="DR59" s="110"/>
      <c r="DS59" s="110"/>
      <c r="DT59" s="139"/>
      <c r="DU59" s="140"/>
      <c r="DV59" s="198"/>
      <c r="DW59" s="225"/>
      <c r="DX59" s="226"/>
      <c r="DY59" s="137"/>
      <c r="DZ59" s="227"/>
      <c r="EA59" s="138"/>
      <c r="EB59" s="110"/>
      <c r="EC59" s="110"/>
      <c r="ED59" s="139"/>
      <c r="EE59" s="140"/>
      <c r="EF59" s="198"/>
      <c r="EG59" s="225"/>
      <c r="EH59" s="226"/>
      <c r="EI59" s="137"/>
      <c r="EJ59" s="227"/>
      <c r="EK59" s="138"/>
      <c r="EL59" s="110"/>
      <c r="EM59" s="110"/>
      <c r="EN59" s="139"/>
      <c r="EO59" s="140"/>
      <c r="EP59" s="198"/>
      <c r="EQ59" s="225"/>
      <c r="ER59" s="226"/>
      <c r="ES59" s="137"/>
      <c r="ET59" s="227"/>
      <c r="EU59" s="138"/>
      <c r="EV59" s="110"/>
      <c r="EW59" s="110"/>
      <c r="EX59" s="139"/>
      <c r="EY59" s="140"/>
      <c r="EZ59" s="198"/>
      <c r="FA59" s="225"/>
      <c r="FB59" s="226"/>
      <c r="FC59" s="137"/>
      <c r="FD59" s="227"/>
      <c r="FE59" s="138"/>
      <c r="FF59" s="110"/>
      <c r="FG59" s="110"/>
      <c r="FH59" s="139"/>
      <c r="FI59" s="140"/>
      <c r="FJ59" s="198"/>
      <c r="FK59" s="225"/>
      <c r="FL59" s="226"/>
      <c r="FM59" s="137"/>
      <c r="FN59" s="227"/>
      <c r="FO59" s="138"/>
      <c r="FP59" s="110"/>
      <c r="FQ59" s="110"/>
      <c r="FR59" s="139"/>
      <c r="FS59" s="140"/>
      <c r="FT59" s="198"/>
      <c r="FU59" s="225"/>
      <c r="FV59" s="226"/>
      <c r="FW59" s="137"/>
      <c r="FX59" s="227"/>
      <c r="FY59" s="138"/>
      <c r="FZ59" s="110"/>
      <c r="GA59" s="110"/>
      <c r="GB59" s="139"/>
      <c r="GC59" s="140"/>
      <c r="GD59" s="198"/>
      <c r="GE59" s="225"/>
      <c r="GF59" s="226"/>
      <c r="GG59" s="137"/>
      <c r="GH59" s="227"/>
      <c r="GI59" s="138"/>
      <c r="GJ59" s="110"/>
      <c r="GK59" s="110"/>
      <c r="GL59" s="139"/>
      <c r="GM59" s="140"/>
      <c r="GN59" s="198"/>
      <c r="GO59" s="225"/>
      <c r="GP59" s="226"/>
      <c r="GQ59" s="137"/>
      <c r="GR59" s="227"/>
      <c r="GS59" s="138"/>
      <c r="GT59" s="110"/>
      <c r="GU59" s="110"/>
      <c r="GV59" s="139"/>
      <c r="GW59" s="140"/>
      <c r="GX59" s="198"/>
      <c r="GY59" s="225"/>
      <c r="GZ59" s="226"/>
      <c r="HA59" s="137"/>
      <c r="HB59" s="227"/>
      <c r="HC59" s="138"/>
      <c r="HD59" s="110"/>
      <c r="HE59" s="110"/>
      <c r="HF59" s="139"/>
      <c r="HG59" s="140"/>
      <c r="HH59" s="198"/>
      <c r="HI59" s="225"/>
      <c r="HJ59" s="226"/>
      <c r="HK59" s="137"/>
      <c r="HL59" s="227"/>
      <c r="HM59" s="138"/>
      <c r="HN59" s="110"/>
      <c r="HO59" s="110"/>
      <c r="HP59" s="139"/>
      <c r="HQ59" s="140"/>
      <c r="HR59" s="198"/>
      <c r="HS59" s="225"/>
      <c r="HT59" s="226"/>
      <c r="HU59" s="137"/>
      <c r="HV59" s="227"/>
      <c r="HW59" s="138"/>
      <c r="HX59" s="110"/>
      <c r="HY59" s="110"/>
      <c r="HZ59" s="139"/>
      <c r="IA59" s="140"/>
      <c r="IB59" s="198"/>
      <c r="IC59" s="225"/>
      <c r="ID59" s="226"/>
      <c r="IE59" s="137"/>
      <c r="IF59" s="227"/>
      <c r="IG59" s="138"/>
      <c r="IH59" s="110"/>
      <c r="II59" s="110"/>
      <c r="IJ59" s="139"/>
      <c r="IK59" s="140"/>
      <c r="IL59" s="198"/>
      <c r="IM59" s="225"/>
      <c r="IN59" s="226"/>
      <c r="IO59" s="137"/>
      <c r="IP59" s="227"/>
      <c r="IQ59" s="138"/>
      <c r="IR59" s="110"/>
      <c r="IS59" s="110"/>
      <c r="IT59" s="139"/>
      <c r="IU59" s="140"/>
      <c r="IV59" s="198"/>
      <c r="IW59" s="225"/>
      <c r="IX59" s="226"/>
      <c r="IY59" s="137"/>
      <c r="IZ59" s="227"/>
      <c r="JA59" s="138"/>
      <c r="JB59" s="110"/>
      <c r="JC59" s="110"/>
      <c r="JD59" s="139"/>
      <c r="JE59" s="140"/>
      <c r="JF59" s="198"/>
      <c r="JG59" s="225"/>
      <c r="JH59" s="226"/>
      <c r="JI59" s="137"/>
      <c r="JJ59" s="227"/>
      <c r="JK59" s="138"/>
      <c r="JL59" s="110"/>
      <c r="JM59" s="110"/>
      <c r="JN59" s="139"/>
      <c r="JO59" s="140"/>
      <c r="JP59" s="198"/>
      <c r="JQ59" s="225"/>
      <c r="JR59" s="226"/>
      <c r="JS59" s="137"/>
      <c r="JT59" s="227"/>
      <c r="JU59" s="138"/>
      <c r="JV59" s="110"/>
      <c r="JW59" s="110"/>
      <c r="JX59" s="139"/>
      <c r="JY59" s="140"/>
      <c r="JZ59" s="198"/>
      <c r="KA59" s="225"/>
      <c r="KB59" s="226"/>
      <c r="KC59" s="137"/>
      <c r="KD59" s="227"/>
      <c r="KE59" s="138"/>
      <c r="KF59" s="110"/>
      <c r="KG59" s="110"/>
      <c r="KH59" s="139"/>
      <c r="KI59" s="140"/>
      <c r="KJ59" s="198"/>
      <c r="KK59" s="225"/>
      <c r="KL59" s="226"/>
      <c r="KM59" s="137"/>
      <c r="KN59" s="227"/>
      <c r="KO59" s="138"/>
      <c r="KP59" s="110"/>
      <c r="KQ59" s="110"/>
      <c r="KR59" s="139"/>
      <c r="KS59" s="140"/>
      <c r="KT59" s="198"/>
      <c r="KU59" s="225"/>
      <c r="KV59" s="226"/>
      <c r="KW59" s="137"/>
      <c r="KX59" s="227"/>
      <c r="KY59" s="138"/>
      <c r="KZ59" s="110"/>
      <c r="LA59" s="110"/>
      <c r="LB59" s="139"/>
      <c r="LC59" s="140"/>
      <c r="LD59" s="197"/>
      <c r="LE59" s="225"/>
      <c r="LF59" s="226"/>
      <c r="LG59" s="137"/>
      <c r="LH59" s="227"/>
      <c r="LI59" s="138"/>
      <c r="LJ59" s="110"/>
      <c r="LK59" s="110"/>
      <c r="LL59" s="139"/>
    </row>
    <row r="60" spans="1:324" ht="18" customHeight="1" x14ac:dyDescent="0.25">
      <c r="A60" s="245"/>
      <c r="B60" s="12" t="s">
        <v>609</v>
      </c>
      <c r="C60" s="12" t="s">
        <v>728</v>
      </c>
      <c r="D60" s="12" t="s">
        <v>430</v>
      </c>
      <c r="E60" s="4" t="s">
        <v>33</v>
      </c>
      <c r="F60" s="198">
        <f t="shared" ref="F60:F66" si="1436">F31</f>
        <v>49</v>
      </c>
      <c r="G60" s="225">
        <f t="shared" si="1242"/>
        <v>8.14E-2</v>
      </c>
      <c r="H60" s="226">
        <f t="shared" si="1243"/>
        <v>3997.55</v>
      </c>
      <c r="I60" s="137">
        <f t="shared" si="1016"/>
        <v>81.582653059999998</v>
      </c>
      <c r="J60" s="227">
        <f t="shared" si="1244"/>
        <v>7.57</v>
      </c>
      <c r="K60" s="138">
        <f t="shared" si="1017"/>
        <v>617.58068000000003</v>
      </c>
      <c r="L60" s="110">
        <f t="shared" si="1018"/>
        <v>30261.45</v>
      </c>
      <c r="M60" s="110"/>
      <c r="N60" s="139"/>
      <c r="O60" s="140">
        <f t="shared" si="1019"/>
        <v>0.77449000000000001</v>
      </c>
      <c r="P60" s="198">
        <f t="shared" ref="P60:BX66" si="1437">P31</f>
        <v>79</v>
      </c>
      <c r="Q60" s="225">
        <f t="shared" ref="Q60:Q67" si="1438">P60/P$39</f>
        <v>7.2080000000000005E-2</v>
      </c>
      <c r="R60" s="226">
        <f t="shared" ref="R60:R67" si="1439">R$39*Q60</f>
        <v>5492.5</v>
      </c>
      <c r="S60" s="137">
        <f t="shared" ref="S60:S68" si="1440">IF(P60&gt;0,R60/P60,0)</f>
        <v>69.525316459999999</v>
      </c>
      <c r="T60" s="227">
        <f t="shared" ref="T60:CB67" si="1441">T$39</f>
        <v>8.23</v>
      </c>
      <c r="U60" s="138">
        <f t="shared" ref="U60:U68" si="1442">S60*T60</f>
        <v>572.19335000000001</v>
      </c>
      <c r="V60" s="110">
        <f t="shared" ref="V60:V68" si="1443">U60*P60</f>
        <v>45203.27</v>
      </c>
      <c r="W60" s="110"/>
      <c r="X60" s="139"/>
      <c r="Y60" s="140">
        <f t="shared" ref="Y60:Y68" si="1444">U60/$LI60</f>
        <v>0.71757000000000004</v>
      </c>
      <c r="Z60" s="198">
        <f t="shared" si="1437"/>
        <v>214</v>
      </c>
      <c r="AA60" s="225">
        <f t="shared" ref="AA60:AA67" si="1445">Z60/Z$39</f>
        <v>0.24768999999999999</v>
      </c>
      <c r="AB60" s="226">
        <f t="shared" ref="AB60:AB67" si="1446">AB$39*AA60</f>
        <v>14494.82</v>
      </c>
      <c r="AC60" s="137">
        <f t="shared" ref="AC60:AC68" si="1447">IF(Z60&gt;0,AB60/Z60,0)</f>
        <v>67.732803739999994</v>
      </c>
      <c r="AD60" s="227">
        <f t="shared" si="1441"/>
        <v>8.8000000000000007</v>
      </c>
      <c r="AE60" s="138">
        <f t="shared" ref="AE60:AE68" si="1448">AC60*AD60</f>
        <v>596.04867000000002</v>
      </c>
      <c r="AF60" s="110">
        <f t="shared" ref="AF60:AF68" si="1449">AE60*Z60</f>
        <v>127554.42</v>
      </c>
      <c r="AG60" s="110"/>
      <c r="AH60" s="139"/>
      <c r="AI60" s="140">
        <f t="shared" ref="AI60:AI68" si="1450">AE60/$LI60</f>
        <v>0.74748999999999999</v>
      </c>
      <c r="AJ60" s="198">
        <f t="shared" si="1437"/>
        <v>43</v>
      </c>
      <c r="AK60" s="225">
        <f t="shared" ref="AK60:AK67" si="1451">AJ60/AJ$39</f>
        <v>6.4659999999999995E-2</v>
      </c>
      <c r="AL60" s="226">
        <f t="shared" ref="AL60:AL67" si="1452">AL$39*AK60</f>
        <v>1744.53</v>
      </c>
      <c r="AM60" s="137">
        <f t="shared" ref="AM60:AM68" si="1453">IF(AJ60&gt;0,AL60/AJ60,0)</f>
        <v>40.570465120000001</v>
      </c>
      <c r="AN60" s="227">
        <f t="shared" si="1441"/>
        <v>7.52</v>
      </c>
      <c r="AO60" s="138">
        <f t="shared" ref="AO60:AO68" si="1454">AM60*AN60</f>
        <v>305.0899</v>
      </c>
      <c r="AP60" s="110">
        <f t="shared" ref="AP60:AP68" si="1455">AO60*AJ60</f>
        <v>13118.87</v>
      </c>
      <c r="AQ60" s="110"/>
      <c r="AR60" s="139"/>
      <c r="AS60" s="140">
        <f t="shared" ref="AS60:AS68" si="1456">AO60/$LI60</f>
        <v>0.3826</v>
      </c>
      <c r="AT60" s="198">
        <f t="shared" si="1437"/>
        <v>54</v>
      </c>
      <c r="AU60" s="225">
        <f t="shared" ref="AU60:AU67" si="1457">AT60/AT$39</f>
        <v>5.6779999999999997E-2</v>
      </c>
      <c r="AV60" s="226">
        <f t="shared" ref="AV60:AV67" si="1458">AV$39*AU60</f>
        <v>2367.16</v>
      </c>
      <c r="AW60" s="137">
        <f t="shared" ref="AW60:AW68" si="1459">IF(AT60&gt;0,AV60/AT60,0)</f>
        <v>43.836296300000001</v>
      </c>
      <c r="AX60" s="227">
        <f t="shared" si="1441"/>
        <v>6.88</v>
      </c>
      <c r="AY60" s="138">
        <f t="shared" ref="AY60:AY68" si="1460">AW60*AX60</f>
        <v>301.59372000000002</v>
      </c>
      <c r="AZ60" s="110">
        <f t="shared" ref="AZ60:AZ68" si="1461">AY60*AT60</f>
        <v>16286.06</v>
      </c>
      <c r="BA60" s="110"/>
      <c r="BB60" s="139"/>
      <c r="BC60" s="140">
        <f t="shared" ref="BC60:BC68" si="1462">AY60/$LI60</f>
        <v>0.37822</v>
      </c>
      <c r="BD60" s="198">
        <f t="shared" si="1437"/>
        <v>38</v>
      </c>
      <c r="BE60" s="225">
        <f t="shared" ref="BE60:BE67" si="1463">BD60/BD$39</f>
        <v>5.108E-2</v>
      </c>
      <c r="BF60" s="226">
        <f t="shared" ref="BF60:BF67" si="1464">BF$39*BE60</f>
        <v>2248.54</v>
      </c>
      <c r="BG60" s="137">
        <f t="shared" ref="BG60:BG68" si="1465">IF(BD60&gt;0,BF60/BD60,0)</f>
        <v>59.172105260000002</v>
      </c>
      <c r="BH60" s="227">
        <f t="shared" si="1441"/>
        <v>9.74</v>
      </c>
      <c r="BI60" s="138">
        <f t="shared" ref="BI60:BI68" si="1466">BG60*BH60</f>
        <v>576.33631000000003</v>
      </c>
      <c r="BJ60" s="110">
        <f t="shared" ref="BJ60:BJ68" si="1467">BI60*BD60</f>
        <v>21900.78</v>
      </c>
      <c r="BK60" s="110"/>
      <c r="BL60" s="139"/>
      <c r="BM60" s="140">
        <f t="shared" ref="BM60:BM68" si="1468">BI60/$LI60</f>
        <v>0.72275999999999996</v>
      </c>
      <c r="BN60" s="198">
        <f t="shared" si="1437"/>
        <v>51</v>
      </c>
      <c r="BO60" s="225">
        <f t="shared" ref="BO60:BO67" si="1469">BN60/BN$39</f>
        <v>8.2659999999999997E-2</v>
      </c>
      <c r="BP60" s="226">
        <f t="shared" ref="BP60:BP67" si="1470">BP$39*BO60</f>
        <v>3891.63</v>
      </c>
      <c r="BQ60" s="137">
        <f t="shared" ref="BQ60:BQ68" si="1471">IF(BN60&gt;0,BP60/BN60,0)</f>
        <v>76.306470590000004</v>
      </c>
      <c r="BR60" s="227">
        <f t="shared" si="1441"/>
        <v>10.32</v>
      </c>
      <c r="BS60" s="138">
        <f t="shared" ref="BS60:BS68" si="1472">BQ60*BR60</f>
        <v>787.48278000000005</v>
      </c>
      <c r="BT60" s="110">
        <f t="shared" ref="BT60:BT68" si="1473">BS60*BN60</f>
        <v>40161.620000000003</v>
      </c>
      <c r="BU60" s="110"/>
      <c r="BV60" s="139"/>
      <c r="BW60" s="140">
        <f t="shared" ref="BW60:BW68" si="1474">BS60/$LI60</f>
        <v>0.98755999999999999</v>
      </c>
      <c r="BX60" s="198">
        <f t="shared" si="1437"/>
        <v>72</v>
      </c>
      <c r="BY60" s="225">
        <f t="shared" ref="BY60:BY67" si="1475">BX60/BX$39</f>
        <v>9.1370000000000007E-2</v>
      </c>
      <c r="BZ60" s="226">
        <f t="shared" ref="BZ60:BZ67" si="1476">BZ$39*BY60</f>
        <v>5738.04</v>
      </c>
      <c r="CA60" s="137">
        <f t="shared" ref="CA60:CA68" si="1477">IF(BX60&gt;0,BZ60/BX60,0)</f>
        <v>79.694999999999993</v>
      </c>
      <c r="CB60" s="227">
        <f t="shared" si="1441"/>
        <v>7.89</v>
      </c>
      <c r="CC60" s="138">
        <f t="shared" ref="CC60:CC68" si="1478">CA60*CB60</f>
        <v>628.79354999999998</v>
      </c>
      <c r="CD60" s="110">
        <f t="shared" ref="CD60:CD68" si="1479">CC60*BX60</f>
        <v>45273.14</v>
      </c>
      <c r="CE60" s="110"/>
      <c r="CF60" s="139"/>
      <c r="CG60" s="140">
        <f t="shared" ref="CG60:CG68" si="1480">CC60/$LI60</f>
        <v>0.78854999999999997</v>
      </c>
      <c r="CH60" s="198">
        <f t="shared" ref="CH60:EP66" si="1481">CH31</f>
        <v>109</v>
      </c>
      <c r="CI60" s="225">
        <f t="shared" ref="CI60:CI67" si="1482">CH60/CH$39</f>
        <v>0.11797000000000001</v>
      </c>
      <c r="CJ60" s="226">
        <f t="shared" ref="CJ60:CJ67" si="1483">CJ$39*CI60</f>
        <v>14179.99</v>
      </c>
      <c r="CK60" s="137">
        <f t="shared" ref="CK60:CK68" si="1484">IF(CH60&gt;0,CJ60/CH60,0)</f>
        <v>130.09165138</v>
      </c>
      <c r="CL60" s="227">
        <f t="shared" ref="CL60:ET67" si="1485">CL$39</f>
        <v>8.24</v>
      </c>
      <c r="CM60" s="138">
        <f t="shared" ref="CM60:CM68" si="1486">CK60*CL60</f>
        <v>1071.9552100000001</v>
      </c>
      <c r="CN60" s="110">
        <f t="shared" ref="CN60:CN68" si="1487">CM60*CH60</f>
        <v>116843.12</v>
      </c>
      <c r="CO60" s="110"/>
      <c r="CP60" s="139"/>
      <c r="CQ60" s="140">
        <f t="shared" ref="CQ60:CQ68" si="1488">CM60/$LI60</f>
        <v>1.3443000000000001</v>
      </c>
      <c r="CR60" s="198">
        <f t="shared" si="1481"/>
        <v>38</v>
      </c>
      <c r="CS60" s="225">
        <f t="shared" ref="CS60:CS67" si="1489">CR60/CR$39</f>
        <v>5.108E-2</v>
      </c>
      <c r="CT60" s="226">
        <f t="shared" ref="CT60:CT67" si="1490">CT$39*CS60</f>
        <v>3230.3</v>
      </c>
      <c r="CU60" s="137">
        <f t="shared" ref="CU60:CU68" si="1491">IF(CR60&gt;0,CT60/CR60,0)</f>
        <v>85.007894739999998</v>
      </c>
      <c r="CV60" s="227">
        <f t="shared" si="1485"/>
        <v>8.92</v>
      </c>
      <c r="CW60" s="138">
        <f t="shared" ref="CW60:CW68" si="1492">CU60*CV60</f>
        <v>758.27041999999994</v>
      </c>
      <c r="CX60" s="110">
        <f t="shared" ref="CX60:CX68" si="1493">CW60*CR60</f>
        <v>28814.28</v>
      </c>
      <c r="CY60" s="110"/>
      <c r="CZ60" s="139"/>
      <c r="DA60" s="140">
        <f t="shared" ref="DA60:DA68" si="1494">CW60/$LI60</f>
        <v>0.95091999999999999</v>
      </c>
      <c r="DB60" s="198">
        <f t="shared" si="1481"/>
        <v>86</v>
      </c>
      <c r="DC60" s="225">
        <f t="shared" ref="DC60:DC67" si="1495">DB60/DB$39</f>
        <v>0.10424</v>
      </c>
      <c r="DD60" s="226">
        <f t="shared" ref="DD60:DD67" si="1496">DD$39*DC60</f>
        <v>5447.58</v>
      </c>
      <c r="DE60" s="137">
        <f t="shared" ref="DE60:DE68" si="1497">IF(DB60&gt;0,DD60/DB60,0)</f>
        <v>63.343953489999997</v>
      </c>
      <c r="DF60" s="227">
        <f t="shared" si="1485"/>
        <v>7.48</v>
      </c>
      <c r="DG60" s="138">
        <f t="shared" ref="DG60:DG68" si="1498">DE60*DF60</f>
        <v>473.81277</v>
      </c>
      <c r="DH60" s="110">
        <f t="shared" ref="DH60:DH68" si="1499">DG60*DB60</f>
        <v>40747.9</v>
      </c>
      <c r="DI60" s="110"/>
      <c r="DJ60" s="139"/>
      <c r="DK60" s="140">
        <f t="shared" ref="DK60:DK68" si="1500">DG60/$LI60</f>
        <v>0.59419</v>
      </c>
      <c r="DL60" s="198">
        <f t="shared" si="1481"/>
        <v>0</v>
      </c>
      <c r="DM60" s="225">
        <f t="shared" ref="DM60:DM67" si="1501">DL60/DL$39</f>
        <v>0</v>
      </c>
      <c r="DN60" s="226">
        <f t="shared" ref="DN60:DN67" si="1502">DN$39*DM60</f>
        <v>0</v>
      </c>
      <c r="DO60" s="137">
        <f t="shared" ref="DO60:DO68" si="1503">IF(DL60&gt;0,DN60/DL60,0)</f>
        <v>0</v>
      </c>
      <c r="DP60" s="227">
        <f t="shared" si="1485"/>
        <v>8.2200000000000006</v>
      </c>
      <c r="DQ60" s="138">
        <f t="shared" ref="DQ60:DQ68" si="1504">DO60*DP60</f>
        <v>0</v>
      </c>
      <c r="DR60" s="110">
        <f t="shared" ref="DR60:DR68" si="1505">DQ60*DL60</f>
        <v>0</v>
      </c>
      <c r="DS60" s="110"/>
      <c r="DT60" s="139"/>
      <c r="DU60" s="140">
        <f t="shared" ref="DU60:DU68" si="1506">DQ60/$LI60</f>
        <v>0</v>
      </c>
      <c r="DV60" s="198">
        <f t="shared" si="1481"/>
        <v>49</v>
      </c>
      <c r="DW60" s="225">
        <f t="shared" ref="DW60:DW67" si="1507">DV60/DV$39</f>
        <v>5.5809999999999998E-2</v>
      </c>
      <c r="DX60" s="226">
        <f t="shared" ref="DX60:DX67" si="1508">DX$39*DW60</f>
        <v>7896.56</v>
      </c>
      <c r="DY60" s="137">
        <f t="shared" ref="DY60:DY68" si="1509">IF(DV60&gt;0,DX60/DV60,0)</f>
        <v>161.15428571000001</v>
      </c>
      <c r="DZ60" s="227">
        <f t="shared" si="1485"/>
        <v>7.91</v>
      </c>
      <c r="EA60" s="138">
        <f t="shared" ref="EA60:EA68" si="1510">DY60*DZ60</f>
        <v>1274.7303999999999</v>
      </c>
      <c r="EB60" s="110">
        <f t="shared" ref="EB60:EB68" si="1511">EA60*DV60</f>
        <v>62461.79</v>
      </c>
      <c r="EC60" s="110"/>
      <c r="ED60" s="139"/>
      <c r="EE60" s="140">
        <f t="shared" ref="EE60:EE68" si="1512">EA60/$LI60</f>
        <v>1.5986</v>
      </c>
      <c r="EF60" s="198">
        <f t="shared" si="1481"/>
        <v>66</v>
      </c>
      <c r="EG60" s="225">
        <f t="shared" ref="EG60:EG67" si="1513">EF60/EF$39</f>
        <v>7.0290000000000005E-2</v>
      </c>
      <c r="EH60" s="226">
        <f t="shared" ref="EH60:EH67" si="1514">EH$39*EG60</f>
        <v>4084.55</v>
      </c>
      <c r="EI60" s="137">
        <f t="shared" ref="EI60:EI68" si="1515">IF(EF60&gt;0,EH60/EF60,0)</f>
        <v>61.887121209999997</v>
      </c>
      <c r="EJ60" s="227">
        <f t="shared" si="1485"/>
        <v>7.63</v>
      </c>
      <c r="EK60" s="138">
        <f t="shared" ref="EK60:EK68" si="1516">EI60*EJ60</f>
        <v>472.19873000000001</v>
      </c>
      <c r="EL60" s="110">
        <f t="shared" ref="EL60:EL68" si="1517">EK60*EF60</f>
        <v>31165.119999999999</v>
      </c>
      <c r="EM60" s="110"/>
      <c r="EN60" s="139"/>
      <c r="EO60" s="140">
        <f t="shared" ref="EO60:EO68" si="1518">EK60/$LI60</f>
        <v>0.59216999999999997</v>
      </c>
      <c r="EP60" s="198">
        <f t="shared" si="1481"/>
        <v>72</v>
      </c>
      <c r="EQ60" s="225">
        <f t="shared" ref="EQ60:EQ67" si="1519">EP60/EP$39</f>
        <v>7.6350000000000001E-2</v>
      </c>
      <c r="ER60" s="226">
        <f t="shared" ref="ER60:ER67" si="1520">ER$39*EQ60</f>
        <v>5139.88</v>
      </c>
      <c r="ES60" s="137">
        <f t="shared" ref="ES60:ES68" si="1521">IF(EP60&gt;0,ER60/EP60,0)</f>
        <v>71.387222219999998</v>
      </c>
      <c r="ET60" s="227">
        <f t="shared" si="1485"/>
        <v>7.95</v>
      </c>
      <c r="EU60" s="138">
        <f t="shared" ref="EU60:EU68" si="1522">ES60*ET60</f>
        <v>567.52841999999998</v>
      </c>
      <c r="EV60" s="110">
        <f t="shared" ref="EV60:EV68" si="1523">EU60*EP60</f>
        <v>40862.050000000003</v>
      </c>
      <c r="EW60" s="110"/>
      <c r="EX60" s="139"/>
      <c r="EY60" s="140">
        <f t="shared" ref="EY60:EY68" si="1524">EU60/$LI60</f>
        <v>0.71172000000000002</v>
      </c>
      <c r="EZ60" s="198">
        <f t="shared" ref="EZ60:HH66" si="1525">EZ31</f>
        <v>45</v>
      </c>
      <c r="FA60" s="225">
        <f t="shared" ref="FA60:FA67" si="1526">EZ60/EZ$39</f>
        <v>4.0289999999999999E-2</v>
      </c>
      <c r="FB60" s="226">
        <f t="shared" ref="FB60:FB67" si="1527">FB$39*FA60</f>
        <v>2670.02</v>
      </c>
      <c r="FC60" s="137">
        <f t="shared" ref="FC60:FC68" si="1528">IF(EZ60&gt;0,FB60/EZ60,0)</f>
        <v>59.333777779999998</v>
      </c>
      <c r="FD60" s="227">
        <f t="shared" ref="FD60:HL67" si="1529">FD$39</f>
        <v>10.210000000000001</v>
      </c>
      <c r="FE60" s="138">
        <f t="shared" ref="FE60:FE68" si="1530">FC60*FD60</f>
        <v>605.79786999999999</v>
      </c>
      <c r="FF60" s="110">
        <f t="shared" ref="FF60:FF68" si="1531">FE60*EZ60</f>
        <v>27260.9</v>
      </c>
      <c r="FG60" s="110"/>
      <c r="FH60" s="139"/>
      <c r="FI60" s="140">
        <f t="shared" ref="FI60:FI68" si="1532">FE60/$LI60</f>
        <v>0.75971</v>
      </c>
      <c r="FJ60" s="198">
        <f t="shared" si="1525"/>
        <v>102</v>
      </c>
      <c r="FK60" s="225">
        <f t="shared" ref="FK60:FK67" si="1533">FJ60/FJ$39</f>
        <v>9.98E-2</v>
      </c>
      <c r="FL60" s="226">
        <f t="shared" ref="FL60:FL67" si="1534">FL$39*FK60</f>
        <v>10683.59</v>
      </c>
      <c r="FM60" s="137">
        <f t="shared" ref="FM60:FM68" si="1535">IF(FJ60&gt;0,FL60/FJ60,0)</f>
        <v>104.74107843</v>
      </c>
      <c r="FN60" s="227">
        <f t="shared" si="1529"/>
        <v>9.52</v>
      </c>
      <c r="FO60" s="138">
        <f t="shared" ref="FO60:FO68" si="1536">FM60*FN60</f>
        <v>997.13507000000004</v>
      </c>
      <c r="FP60" s="110">
        <f t="shared" ref="FP60:FP68" si="1537">FO60*FJ60</f>
        <v>101707.78</v>
      </c>
      <c r="FQ60" s="110"/>
      <c r="FR60" s="139"/>
      <c r="FS60" s="140">
        <f t="shared" ref="FS60:FS68" si="1538">FO60/$LI60</f>
        <v>1.25047</v>
      </c>
      <c r="FT60" s="198">
        <f t="shared" si="1525"/>
        <v>59</v>
      </c>
      <c r="FU60" s="225">
        <f t="shared" ref="FU60:FU67" si="1539">FT60/FT$39</f>
        <v>7.3469999999999994E-2</v>
      </c>
      <c r="FV60" s="226">
        <f t="shared" ref="FV60:FV67" si="1540">FV$39*FU60</f>
        <v>3674.97</v>
      </c>
      <c r="FW60" s="137">
        <f t="shared" ref="FW60:FW68" si="1541">IF(FT60&gt;0,FV60/FT60,0)</f>
        <v>62.287627120000003</v>
      </c>
      <c r="FX60" s="227">
        <f t="shared" si="1529"/>
        <v>9.57</v>
      </c>
      <c r="FY60" s="138">
        <f t="shared" ref="FY60:FY68" si="1542">FW60*FX60</f>
        <v>596.09258999999997</v>
      </c>
      <c r="FZ60" s="110">
        <f t="shared" ref="FZ60:FZ68" si="1543">FY60*FT60</f>
        <v>35169.46</v>
      </c>
      <c r="GA60" s="110"/>
      <c r="GB60" s="139"/>
      <c r="GC60" s="140">
        <f t="shared" ref="GC60:GC68" si="1544">FY60/$LI60</f>
        <v>0.74753999999999998</v>
      </c>
      <c r="GD60" s="198">
        <f t="shared" si="1525"/>
        <v>34</v>
      </c>
      <c r="GE60" s="225">
        <f t="shared" ref="GE60:GE67" si="1545">GD60/GD$39</f>
        <v>6.6409999999999997E-2</v>
      </c>
      <c r="GF60" s="226">
        <f t="shared" ref="GF60:GF67" si="1546">GF$39*GE60</f>
        <v>2872.9</v>
      </c>
      <c r="GG60" s="137">
        <f t="shared" ref="GG60:GG68" si="1547">IF(GD60&gt;0,GF60/GD60,0)</f>
        <v>84.497058820000007</v>
      </c>
      <c r="GH60" s="227">
        <f t="shared" si="1529"/>
        <v>8.39</v>
      </c>
      <c r="GI60" s="138">
        <f t="shared" ref="GI60:GI68" si="1548">GG60*GH60</f>
        <v>708.93032000000005</v>
      </c>
      <c r="GJ60" s="110">
        <f t="shared" ref="GJ60:GJ68" si="1549">GI60*GD60</f>
        <v>24103.63</v>
      </c>
      <c r="GK60" s="110"/>
      <c r="GL60" s="139"/>
      <c r="GM60" s="140">
        <f t="shared" ref="GM60:GM68" si="1550">GI60/$LI60</f>
        <v>0.88905000000000001</v>
      </c>
      <c r="GN60" s="198">
        <f t="shared" si="1525"/>
        <v>86</v>
      </c>
      <c r="GO60" s="225">
        <f t="shared" ref="GO60:GO67" si="1551">GN60/GN$39</f>
        <v>9.9540000000000003E-2</v>
      </c>
      <c r="GP60" s="226">
        <f t="shared" ref="GP60:GP67" si="1552">GP$39*GO60</f>
        <v>10314.33</v>
      </c>
      <c r="GQ60" s="137">
        <f t="shared" ref="GQ60:GQ68" si="1553">IF(GN60&gt;0,GP60/GN60,0)</f>
        <v>119.93406976999999</v>
      </c>
      <c r="GR60" s="227">
        <f t="shared" si="1529"/>
        <v>7.63</v>
      </c>
      <c r="GS60" s="138">
        <f t="shared" ref="GS60:GS68" si="1554">GQ60*GR60</f>
        <v>915.09694999999999</v>
      </c>
      <c r="GT60" s="110">
        <f t="shared" ref="GT60:GT68" si="1555">GS60*GN60</f>
        <v>78698.34</v>
      </c>
      <c r="GU60" s="110"/>
      <c r="GV60" s="139"/>
      <c r="GW60" s="140">
        <f t="shared" ref="GW60:GW68" si="1556">GS60/$LI60</f>
        <v>1.1475900000000001</v>
      </c>
      <c r="GX60" s="198">
        <f t="shared" si="1525"/>
        <v>164</v>
      </c>
      <c r="GY60" s="225">
        <f t="shared" ref="GY60:GY67" si="1557">GX60/GX$39</f>
        <v>0.10117</v>
      </c>
      <c r="GZ60" s="226">
        <f t="shared" ref="GZ60:GZ67" si="1558">GZ$39*GY60</f>
        <v>18697.23</v>
      </c>
      <c r="HA60" s="137">
        <f t="shared" ref="HA60:HA68" si="1559">IF(GX60&gt;0,GZ60/GX60,0)</f>
        <v>114.00749999999999</v>
      </c>
      <c r="HB60" s="227">
        <f t="shared" si="1529"/>
        <v>4.8899999999999997</v>
      </c>
      <c r="HC60" s="138">
        <f t="shared" ref="HC60:HC68" si="1560">HA60*HB60</f>
        <v>557.49667999999997</v>
      </c>
      <c r="HD60" s="110">
        <f t="shared" ref="HD60:HD68" si="1561">HC60*GX60</f>
        <v>91429.46</v>
      </c>
      <c r="HE60" s="110"/>
      <c r="HF60" s="139"/>
      <c r="HG60" s="140">
        <f t="shared" ref="HG60:HG68" si="1562">HC60/$LI60</f>
        <v>0.69913999999999998</v>
      </c>
      <c r="HH60" s="198">
        <f t="shared" si="1525"/>
        <v>57</v>
      </c>
      <c r="HI60" s="225">
        <f t="shared" ref="HI60:HI67" si="1563">HH60/HH$39</f>
        <v>4.9480000000000003E-2</v>
      </c>
      <c r="HJ60" s="226">
        <f t="shared" ref="HJ60:HJ67" si="1564">HJ$39*HI60</f>
        <v>5079.62</v>
      </c>
      <c r="HK60" s="137">
        <f t="shared" ref="HK60:HK68" si="1565">IF(HH60&gt;0,HJ60/HH60,0)</f>
        <v>89.116140349999995</v>
      </c>
      <c r="HL60" s="227">
        <f t="shared" si="1529"/>
        <v>5.98</v>
      </c>
      <c r="HM60" s="138">
        <f t="shared" ref="HM60:HM68" si="1566">HK60*HL60</f>
        <v>532.91452000000004</v>
      </c>
      <c r="HN60" s="110">
        <f t="shared" ref="HN60:HN68" si="1567">HM60*HH60</f>
        <v>30376.13</v>
      </c>
      <c r="HO60" s="110"/>
      <c r="HP60" s="139"/>
      <c r="HQ60" s="140">
        <f t="shared" ref="HQ60:HQ68" si="1568">HM60/$LI60</f>
        <v>0.66830999999999996</v>
      </c>
      <c r="HR60" s="198">
        <f t="shared" ref="HR60:JZ66" si="1569">HR31</f>
        <v>50</v>
      </c>
      <c r="HS60" s="225">
        <f t="shared" ref="HS60:HS67" si="1570">HR60/HR$39</f>
        <v>6.3450000000000006E-2</v>
      </c>
      <c r="HT60" s="226">
        <f t="shared" ref="HT60:HT67" si="1571">HT$39*HS60</f>
        <v>2487.2399999999998</v>
      </c>
      <c r="HU60" s="137">
        <f t="shared" ref="HU60:HU68" si="1572">IF(HR60&gt;0,HT60/HR60,0)</f>
        <v>49.744799999999998</v>
      </c>
      <c r="HV60" s="227">
        <f t="shared" ref="HV60:KD67" si="1573">HV$39</f>
        <v>9.76</v>
      </c>
      <c r="HW60" s="138">
        <f t="shared" ref="HW60:HW68" si="1574">HU60*HV60</f>
        <v>485.50925000000001</v>
      </c>
      <c r="HX60" s="110">
        <f t="shared" ref="HX60:HX68" si="1575">HW60*HR60</f>
        <v>24275.46</v>
      </c>
      <c r="HY60" s="110"/>
      <c r="HZ60" s="139"/>
      <c r="IA60" s="140">
        <f t="shared" ref="IA60:IA68" si="1576">HW60/$LI60</f>
        <v>0.60885999999999996</v>
      </c>
      <c r="IB60" s="198">
        <f t="shared" si="1569"/>
        <v>29</v>
      </c>
      <c r="IC60" s="225">
        <f t="shared" ref="IC60:IC67" si="1577">IB60/IB$39</f>
        <v>5.2920000000000002E-2</v>
      </c>
      <c r="ID60" s="226">
        <f t="shared" ref="ID60:ID67" si="1578">ID$39*IC60</f>
        <v>1724.66</v>
      </c>
      <c r="IE60" s="137">
        <f t="shared" ref="IE60:IE68" si="1579">IF(IB60&gt;0,ID60/IB60,0)</f>
        <v>59.47103448</v>
      </c>
      <c r="IF60" s="227">
        <f t="shared" si="1573"/>
        <v>7.76</v>
      </c>
      <c r="IG60" s="138">
        <f t="shared" ref="IG60:IG68" si="1580">IE60*IF60</f>
        <v>461.49522999999999</v>
      </c>
      <c r="IH60" s="110">
        <f t="shared" ref="IH60:IH68" si="1581">IG60*IB60</f>
        <v>13383.36</v>
      </c>
      <c r="II60" s="110"/>
      <c r="IJ60" s="139"/>
      <c r="IK60" s="140">
        <f t="shared" ref="IK60:IK68" si="1582">IG60/$LI60</f>
        <v>0.57874999999999999</v>
      </c>
      <c r="IL60" s="198">
        <f t="shared" si="1569"/>
        <v>72</v>
      </c>
      <c r="IM60" s="225">
        <f t="shared" ref="IM60:IM67" si="1583">IL60/IL$39</f>
        <v>5.6919999999999998E-2</v>
      </c>
      <c r="IN60" s="226">
        <f t="shared" ref="IN60:IN67" si="1584">IN$39*IM60</f>
        <v>2978.62</v>
      </c>
      <c r="IO60" s="137">
        <f t="shared" ref="IO60:IO68" si="1585">IF(IL60&gt;0,IN60/IL60,0)</f>
        <v>41.36972222</v>
      </c>
      <c r="IP60" s="227">
        <f t="shared" si="1573"/>
        <v>7.4</v>
      </c>
      <c r="IQ60" s="138">
        <f t="shared" ref="IQ60:IQ68" si="1586">IO60*IP60</f>
        <v>306.13594000000001</v>
      </c>
      <c r="IR60" s="110">
        <f t="shared" ref="IR60:IR68" si="1587">IQ60*IL60</f>
        <v>22041.79</v>
      </c>
      <c r="IS60" s="110"/>
      <c r="IT60" s="139"/>
      <c r="IU60" s="140">
        <f t="shared" ref="IU60:IU68" si="1588">IQ60/$LI60</f>
        <v>0.38391999999999998</v>
      </c>
      <c r="IV60" s="198">
        <f t="shared" si="1569"/>
        <v>42</v>
      </c>
      <c r="IW60" s="225">
        <f t="shared" ref="IW60:IW67" si="1589">IV60/IV$39</f>
        <v>5.4469999999999998E-2</v>
      </c>
      <c r="IX60" s="226">
        <f t="shared" ref="IX60:IX67" si="1590">IX$39*IW60</f>
        <v>2230</v>
      </c>
      <c r="IY60" s="137">
        <f t="shared" ref="IY60:IY68" si="1591">IF(IV60&gt;0,IX60/IV60,0)</f>
        <v>53.095238100000003</v>
      </c>
      <c r="IZ60" s="227">
        <f t="shared" si="1573"/>
        <v>9.64</v>
      </c>
      <c r="JA60" s="138">
        <f t="shared" ref="JA60:JA68" si="1592">IY60*IZ60</f>
        <v>511.8381</v>
      </c>
      <c r="JB60" s="110">
        <f t="shared" ref="JB60:JB68" si="1593">JA60*IV60</f>
        <v>21497.200000000001</v>
      </c>
      <c r="JC60" s="110"/>
      <c r="JD60" s="139"/>
      <c r="JE60" s="140">
        <f t="shared" ref="JE60:JE68" si="1594">JA60/$LI60</f>
        <v>0.64188000000000001</v>
      </c>
      <c r="JF60" s="198">
        <f t="shared" si="1569"/>
        <v>105</v>
      </c>
      <c r="JG60" s="225">
        <f t="shared" ref="JG60:JG67" si="1595">JF60/JF$39</f>
        <v>7.8299999999999995E-2</v>
      </c>
      <c r="JH60" s="226">
        <f t="shared" ref="JH60:JH67" si="1596">JH$39*JG60</f>
        <v>8531.57</v>
      </c>
      <c r="JI60" s="137">
        <f t="shared" ref="JI60:JI68" si="1597">IF(JF60&gt;0,JH60/JF60,0)</f>
        <v>81.253047620000004</v>
      </c>
      <c r="JJ60" s="227">
        <f t="shared" si="1573"/>
        <v>9.1</v>
      </c>
      <c r="JK60" s="138">
        <f t="shared" ref="JK60:JK68" si="1598">JI60*JJ60</f>
        <v>739.40273000000002</v>
      </c>
      <c r="JL60" s="110">
        <f t="shared" ref="JL60:JL68" si="1599">JK60*JF60</f>
        <v>77637.289999999994</v>
      </c>
      <c r="JM60" s="110"/>
      <c r="JN60" s="139"/>
      <c r="JO60" s="140">
        <f t="shared" ref="JO60:JO68" si="1600">JK60/$LI60</f>
        <v>0.92725999999999997</v>
      </c>
      <c r="JP60" s="198">
        <f t="shared" si="1569"/>
        <v>45</v>
      </c>
      <c r="JQ60" s="225">
        <f t="shared" ref="JQ60:JQ67" si="1601">JP60/JP$39</f>
        <v>3.603E-2</v>
      </c>
      <c r="JR60" s="226">
        <f t="shared" ref="JR60:JR67" si="1602">JR$39*JQ60</f>
        <v>4707.68</v>
      </c>
      <c r="JS60" s="137">
        <f t="shared" ref="JS60:JS68" si="1603">IF(JP60&gt;0,JR60/JP60,0)</f>
        <v>104.61511111</v>
      </c>
      <c r="JT60" s="227">
        <f t="shared" si="1573"/>
        <v>10.15</v>
      </c>
      <c r="JU60" s="138">
        <f t="shared" ref="JU60:JU68" si="1604">JS60*JT60</f>
        <v>1061.84338</v>
      </c>
      <c r="JV60" s="110">
        <f t="shared" ref="JV60:JV68" si="1605">JU60*JP60</f>
        <v>47782.95</v>
      </c>
      <c r="JW60" s="110"/>
      <c r="JX60" s="139"/>
      <c r="JY60" s="140">
        <f t="shared" ref="JY60:JY68" si="1606">JU60/$LI60</f>
        <v>1.33162</v>
      </c>
      <c r="JZ60" s="198">
        <f t="shared" si="1569"/>
        <v>120</v>
      </c>
      <c r="KA60" s="225">
        <f t="shared" ref="KA60:KA67" si="1607">JZ60/JZ$39</f>
        <v>0.10317999999999999</v>
      </c>
      <c r="KB60" s="226">
        <f t="shared" ref="KB60:KB67" si="1608">KB$39*KA60</f>
        <v>16822.47</v>
      </c>
      <c r="KC60" s="137">
        <f t="shared" ref="KC60:KC68" si="1609">IF(JZ60&gt;0,KB60/JZ60,0)</f>
        <v>140.18725000000001</v>
      </c>
      <c r="KD60" s="227">
        <f t="shared" si="1573"/>
        <v>8.14</v>
      </c>
      <c r="KE60" s="138">
        <f t="shared" ref="KE60:KE68" si="1610">KC60*KD60</f>
        <v>1141.1242199999999</v>
      </c>
      <c r="KF60" s="110">
        <f t="shared" ref="KF60:KF68" si="1611">KE60*JZ60</f>
        <v>136934.91</v>
      </c>
      <c r="KG60" s="110"/>
      <c r="KH60" s="139"/>
      <c r="KI60" s="140">
        <f t="shared" ref="KI60:KI68" si="1612">KE60/$LI60</f>
        <v>1.4310499999999999</v>
      </c>
      <c r="KJ60" s="198">
        <f t="shared" ref="KJ60:KT66" si="1613">KJ31</f>
        <v>143</v>
      </c>
      <c r="KK60" s="225">
        <f t="shared" ref="KK60:KK67" si="1614">KJ60/KJ$39</f>
        <v>0.10664</v>
      </c>
      <c r="KL60" s="226">
        <f t="shared" ref="KL60:KL67" si="1615">KL$39*KK60</f>
        <v>7488.26</v>
      </c>
      <c r="KM60" s="137">
        <f t="shared" ref="KM60:KM68" si="1616">IF(KJ60&gt;0,KL60/KJ60,0)</f>
        <v>52.365454550000003</v>
      </c>
      <c r="KN60" s="227">
        <f t="shared" ref="KN60:KX67" si="1617">KN$39</f>
        <v>9.02</v>
      </c>
      <c r="KO60" s="138">
        <f t="shared" ref="KO60:KO68" si="1618">KM60*KN60</f>
        <v>472.33640000000003</v>
      </c>
      <c r="KP60" s="110">
        <f t="shared" ref="KP60:KP68" si="1619">KO60*KJ60</f>
        <v>67544.11</v>
      </c>
      <c r="KQ60" s="110"/>
      <c r="KR60" s="139"/>
      <c r="KS60" s="140">
        <f t="shared" ref="KS60:KS68" si="1620">KO60/$LI60</f>
        <v>0.59233999999999998</v>
      </c>
      <c r="KT60" s="198">
        <f t="shared" si="1613"/>
        <v>56</v>
      </c>
      <c r="KU60" s="225">
        <f t="shared" ref="KU60:KU67" si="1621">KT60/KT$39</f>
        <v>4.9820000000000003E-2</v>
      </c>
      <c r="KV60" s="226">
        <f t="shared" ref="KV60:KV67" si="1622">KV$39*KU60</f>
        <v>22419</v>
      </c>
      <c r="KW60" s="137">
        <f t="shared" ref="KW60:KW68" si="1623">IF(KT60&gt;0,KV60/KT60,0)</f>
        <v>400.33928571000001</v>
      </c>
      <c r="KX60" s="227">
        <f t="shared" si="1617"/>
        <v>9.94</v>
      </c>
      <c r="KY60" s="138">
        <f t="shared" ref="KY60:KY68" si="1624">KW60*KX60</f>
        <v>3979.3724999999999</v>
      </c>
      <c r="KZ60" s="110">
        <f t="shared" ref="KZ60:KZ68" si="1625">KY60*KT60</f>
        <v>222844.86</v>
      </c>
      <c r="LA60" s="110"/>
      <c r="LB60" s="139"/>
      <c r="LC60" s="140">
        <f t="shared" ref="LC60:LC68" si="1626">KY60/$LI60</f>
        <v>4.9904000000000002</v>
      </c>
      <c r="LD60" s="197">
        <f t="shared" si="1235"/>
        <v>2229</v>
      </c>
      <c r="LE60" s="225">
        <f t="shared" si="1236"/>
        <v>7.8090000000000007E-2</v>
      </c>
      <c r="LF60" s="226">
        <f t="shared" si="1237"/>
        <v>210096.46</v>
      </c>
      <c r="LG60" s="137">
        <f t="shared" si="1238"/>
        <v>94.255926419999994</v>
      </c>
      <c r="LH60" s="227">
        <f t="shared" si="1239"/>
        <v>8.4600000000000009</v>
      </c>
      <c r="LI60" s="138">
        <f t="shared" si="1240"/>
        <v>797.40513999999996</v>
      </c>
      <c r="LJ60" s="110">
        <f t="shared" si="1241"/>
        <v>1777416.06</v>
      </c>
      <c r="LK60" s="110"/>
      <c r="LL60" s="139"/>
    </row>
    <row r="61" spans="1:324" ht="18" hidden="1" customHeight="1" x14ac:dyDescent="0.25">
      <c r="A61" s="246"/>
      <c r="B61" s="92" t="s">
        <v>610</v>
      </c>
      <c r="C61" s="12" t="s">
        <v>728</v>
      </c>
      <c r="D61" s="12" t="s">
        <v>430</v>
      </c>
      <c r="E61" s="4" t="s">
        <v>33</v>
      </c>
      <c r="F61" s="198">
        <f t="shared" si="1436"/>
        <v>0</v>
      </c>
      <c r="G61" s="225">
        <f t="shared" si="1242"/>
        <v>0</v>
      </c>
      <c r="H61" s="226">
        <f t="shared" si="1243"/>
        <v>0</v>
      </c>
      <c r="I61" s="137">
        <f t="shared" si="1016"/>
        <v>0</v>
      </c>
      <c r="J61" s="227">
        <f t="shared" si="1244"/>
        <v>7.57</v>
      </c>
      <c r="K61" s="138">
        <f t="shared" si="1017"/>
        <v>0</v>
      </c>
      <c r="L61" s="110">
        <f t="shared" si="1018"/>
        <v>0</v>
      </c>
      <c r="M61" s="110"/>
      <c r="N61" s="139"/>
      <c r="O61" s="140" t="e">
        <f t="shared" si="1019"/>
        <v>#DIV/0!</v>
      </c>
      <c r="P61" s="198">
        <f t="shared" si="1437"/>
        <v>0</v>
      </c>
      <c r="Q61" s="225">
        <f t="shared" si="1438"/>
        <v>0</v>
      </c>
      <c r="R61" s="226">
        <f t="shared" si="1439"/>
        <v>0</v>
      </c>
      <c r="S61" s="137">
        <f t="shared" si="1440"/>
        <v>0</v>
      </c>
      <c r="T61" s="227">
        <f t="shared" si="1441"/>
        <v>8.23</v>
      </c>
      <c r="U61" s="138">
        <f t="shared" si="1442"/>
        <v>0</v>
      </c>
      <c r="V61" s="110">
        <f t="shared" si="1443"/>
        <v>0</v>
      </c>
      <c r="W61" s="110"/>
      <c r="X61" s="139"/>
      <c r="Y61" s="140" t="e">
        <f t="shared" si="1444"/>
        <v>#DIV/0!</v>
      </c>
      <c r="Z61" s="198">
        <f t="shared" si="1437"/>
        <v>0</v>
      </c>
      <c r="AA61" s="225">
        <f t="shared" si="1445"/>
        <v>0</v>
      </c>
      <c r="AB61" s="226">
        <f t="shared" si="1446"/>
        <v>0</v>
      </c>
      <c r="AC61" s="137">
        <f t="shared" si="1447"/>
        <v>0</v>
      </c>
      <c r="AD61" s="227">
        <f t="shared" si="1441"/>
        <v>8.8000000000000007</v>
      </c>
      <c r="AE61" s="138">
        <f t="shared" si="1448"/>
        <v>0</v>
      </c>
      <c r="AF61" s="110">
        <f t="shared" si="1449"/>
        <v>0</v>
      </c>
      <c r="AG61" s="110"/>
      <c r="AH61" s="139"/>
      <c r="AI61" s="140" t="e">
        <f t="shared" si="1450"/>
        <v>#DIV/0!</v>
      </c>
      <c r="AJ61" s="198">
        <f t="shared" si="1437"/>
        <v>0</v>
      </c>
      <c r="AK61" s="225">
        <f t="shared" si="1451"/>
        <v>0</v>
      </c>
      <c r="AL61" s="226">
        <f t="shared" si="1452"/>
        <v>0</v>
      </c>
      <c r="AM61" s="137">
        <f t="shared" si="1453"/>
        <v>0</v>
      </c>
      <c r="AN61" s="227">
        <f t="shared" si="1441"/>
        <v>7.52</v>
      </c>
      <c r="AO61" s="138">
        <f t="shared" si="1454"/>
        <v>0</v>
      </c>
      <c r="AP61" s="110">
        <f t="shared" si="1455"/>
        <v>0</v>
      </c>
      <c r="AQ61" s="110"/>
      <c r="AR61" s="139"/>
      <c r="AS61" s="140" t="e">
        <f t="shared" si="1456"/>
        <v>#DIV/0!</v>
      </c>
      <c r="AT61" s="198">
        <f t="shared" si="1437"/>
        <v>0</v>
      </c>
      <c r="AU61" s="225">
        <f t="shared" si="1457"/>
        <v>0</v>
      </c>
      <c r="AV61" s="226">
        <f t="shared" si="1458"/>
        <v>0</v>
      </c>
      <c r="AW61" s="137">
        <f t="shared" si="1459"/>
        <v>0</v>
      </c>
      <c r="AX61" s="227">
        <f t="shared" si="1441"/>
        <v>6.88</v>
      </c>
      <c r="AY61" s="138">
        <f t="shared" si="1460"/>
        <v>0</v>
      </c>
      <c r="AZ61" s="110">
        <f t="shared" si="1461"/>
        <v>0</v>
      </c>
      <c r="BA61" s="110"/>
      <c r="BB61" s="139"/>
      <c r="BC61" s="140" t="e">
        <f t="shared" si="1462"/>
        <v>#DIV/0!</v>
      </c>
      <c r="BD61" s="198">
        <f t="shared" si="1437"/>
        <v>0</v>
      </c>
      <c r="BE61" s="225">
        <f t="shared" si="1463"/>
        <v>0</v>
      </c>
      <c r="BF61" s="226">
        <f t="shared" si="1464"/>
        <v>0</v>
      </c>
      <c r="BG61" s="137">
        <f t="shared" si="1465"/>
        <v>0</v>
      </c>
      <c r="BH61" s="227">
        <f t="shared" si="1441"/>
        <v>9.74</v>
      </c>
      <c r="BI61" s="138">
        <f t="shared" si="1466"/>
        <v>0</v>
      </c>
      <c r="BJ61" s="110">
        <f t="shared" si="1467"/>
        <v>0</v>
      </c>
      <c r="BK61" s="110"/>
      <c r="BL61" s="139"/>
      <c r="BM61" s="140" t="e">
        <f t="shared" si="1468"/>
        <v>#DIV/0!</v>
      </c>
      <c r="BN61" s="198">
        <f t="shared" si="1437"/>
        <v>0</v>
      </c>
      <c r="BO61" s="225">
        <f t="shared" si="1469"/>
        <v>0</v>
      </c>
      <c r="BP61" s="226">
        <f t="shared" si="1470"/>
        <v>0</v>
      </c>
      <c r="BQ61" s="137">
        <f t="shared" si="1471"/>
        <v>0</v>
      </c>
      <c r="BR61" s="227">
        <f t="shared" si="1441"/>
        <v>10.32</v>
      </c>
      <c r="BS61" s="138">
        <f t="shared" si="1472"/>
        <v>0</v>
      </c>
      <c r="BT61" s="110">
        <f t="shared" si="1473"/>
        <v>0</v>
      </c>
      <c r="BU61" s="110"/>
      <c r="BV61" s="139"/>
      <c r="BW61" s="140" t="e">
        <f t="shared" si="1474"/>
        <v>#DIV/0!</v>
      </c>
      <c r="BX61" s="198">
        <f t="shared" si="1437"/>
        <v>0</v>
      </c>
      <c r="BY61" s="225">
        <f t="shared" si="1475"/>
        <v>0</v>
      </c>
      <c r="BZ61" s="226">
        <f t="shared" si="1476"/>
        <v>0</v>
      </c>
      <c r="CA61" s="137">
        <f t="shared" si="1477"/>
        <v>0</v>
      </c>
      <c r="CB61" s="227">
        <f t="shared" si="1441"/>
        <v>7.89</v>
      </c>
      <c r="CC61" s="138">
        <f t="shared" si="1478"/>
        <v>0</v>
      </c>
      <c r="CD61" s="110">
        <f t="shared" si="1479"/>
        <v>0</v>
      </c>
      <c r="CE61" s="110"/>
      <c r="CF61" s="139"/>
      <c r="CG61" s="140" t="e">
        <f t="shared" si="1480"/>
        <v>#DIV/0!</v>
      </c>
      <c r="CH61" s="198">
        <f t="shared" si="1481"/>
        <v>0</v>
      </c>
      <c r="CI61" s="225">
        <f t="shared" si="1482"/>
        <v>0</v>
      </c>
      <c r="CJ61" s="226">
        <f t="shared" si="1483"/>
        <v>0</v>
      </c>
      <c r="CK61" s="137">
        <f t="shared" si="1484"/>
        <v>0</v>
      </c>
      <c r="CL61" s="227">
        <f t="shared" si="1485"/>
        <v>8.24</v>
      </c>
      <c r="CM61" s="138">
        <f t="shared" si="1486"/>
        <v>0</v>
      </c>
      <c r="CN61" s="110">
        <f t="shared" si="1487"/>
        <v>0</v>
      </c>
      <c r="CO61" s="110"/>
      <c r="CP61" s="139"/>
      <c r="CQ61" s="140" t="e">
        <f t="shared" si="1488"/>
        <v>#DIV/0!</v>
      </c>
      <c r="CR61" s="198">
        <f t="shared" si="1481"/>
        <v>0</v>
      </c>
      <c r="CS61" s="225">
        <f t="shared" si="1489"/>
        <v>0</v>
      </c>
      <c r="CT61" s="226">
        <f t="shared" si="1490"/>
        <v>0</v>
      </c>
      <c r="CU61" s="137">
        <f t="shared" si="1491"/>
        <v>0</v>
      </c>
      <c r="CV61" s="227">
        <f t="shared" si="1485"/>
        <v>8.92</v>
      </c>
      <c r="CW61" s="138">
        <f t="shared" si="1492"/>
        <v>0</v>
      </c>
      <c r="CX61" s="110">
        <f t="shared" si="1493"/>
        <v>0</v>
      </c>
      <c r="CY61" s="110"/>
      <c r="CZ61" s="139"/>
      <c r="DA61" s="140" t="e">
        <f t="shared" si="1494"/>
        <v>#DIV/0!</v>
      </c>
      <c r="DB61" s="198">
        <f t="shared" si="1481"/>
        <v>0</v>
      </c>
      <c r="DC61" s="225">
        <f t="shared" si="1495"/>
        <v>0</v>
      </c>
      <c r="DD61" s="226">
        <f t="shared" si="1496"/>
        <v>0</v>
      </c>
      <c r="DE61" s="137">
        <f t="shared" si="1497"/>
        <v>0</v>
      </c>
      <c r="DF61" s="227">
        <f t="shared" si="1485"/>
        <v>7.48</v>
      </c>
      <c r="DG61" s="138">
        <f t="shared" si="1498"/>
        <v>0</v>
      </c>
      <c r="DH61" s="110">
        <f t="shared" si="1499"/>
        <v>0</v>
      </c>
      <c r="DI61" s="110"/>
      <c r="DJ61" s="139"/>
      <c r="DK61" s="140" t="e">
        <f t="shared" si="1500"/>
        <v>#DIV/0!</v>
      </c>
      <c r="DL61" s="198">
        <f t="shared" si="1481"/>
        <v>0</v>
      </c>
      <c r="DM61" s="225">
        <f t="shared" si="1501"/>
        <v>0</v>
      </c>
      <c r="DN61" s="226">
        <f t="shared" si="1502"/>
        <v>0</v>
      </c>
      <c r="DO61" s="137">
        <f t="shared" si="1503"/>
        <v>0</v>
      </c>
      <c r="DP61" s="227">
        <f t="shared" si="1485"/>
        <v>8.2200000000000006</v>
      </c>
      <c r="DQ61" s="138">
        <f t="shared" si="1504"/>
        <v>0</v>
      </c>
      <c r="DR61" s="110">
        <f t="shared" si="1505"/>
        <v>0</v>
      </c>
      <c r="DS61" s="110"/>
      <c r="DT61" s="139"/>
      <c r="DU61" s="140" t="e">
        <f t="shared" si="1506"/>
        <v>#DIV/0!</v>
      </c>
      <c r="DV61" s="198">
        <f t="shared" si="1481"/>
        <v>0</v>
      </c>
      <c r="DW61" s="225">
        <f t="shared" si="1507"/>
        <v>0</v>
      </c>
      <c r="DX61" s="226">
        <f t="shared" si="1508"/>
        <v>0</v>
      </c>
      <c r="DY61" s="137">
        <f t="shared" si="1509"/>
        <v>0</v>
      </c>
      <c r="DZ61" s="227">
        <f t="shared" si="1485"/>
        <v>7.91</v>
      </c>
      <c r="EA61" s="138">
        <f t="shared" si="1510"/>
        <v>0</v>
      </c>
      <c r="EB61" s="110">
        <f t="shared" si="1511"/>
        <v>0</v>
      </c>
      <c r="EC61" s="110"/>
      <c r="ED61" s="139"/>
      <c r="EE61" s="140" t="e">
        <f t="shared" si="1512"/>
        <v>#DIV/0!</v>
      </c>
      <c r="EF61" s="198">
        <f t="shared" si="1481"/>
        <v>0</v>
      </c>
      <c r="EG61" s="225">
        <f t="shared" si="1513"/>
        <v>0</v>
      </c>
      <c r="EH61" s="226">
        <f t="shared" si="1514"/>
        <v>0</v>
      </c>
      <c r="EI61" s="137">
        <f t="shared" si="1515"/>
        <v>0</v>
      </c>
      <c r="EJ61" s="227">
        <f t="shared" si="1485"/>
        <v>7.63</v>
      </c>
      <c r="EK61" s="138">
        <f t="shared" si="1516"/>
        <v>0</v>
      </c>
      <c r="EL61" s="110">
        <f t="shared" si="1517"/>
        <v>0</v>
      </c>
      <c r="EM61" s="110"/>
      <c r="EN61" s="139"/>
      <c r="EO61" s="140" t="e">
        <f t="shared" si="1518"/>
        <v>#DIV/0!</v>
      </c>
      <c r="EP61" s="198">
        <f t="shared" si="1481"/>
        <v>0</v>
      </c>
      <c r="EQ61" s="225">
        <f t="shared" si="1519"/>
        <v>0</v>
      </c>
      <c r="ER61" s="226">
        <f t="shared" si="1520"/>
        <v>0</v>
      </c>
      <c r="ES61" s="137">
        <f t="shared" si="1521"/>
        <v>0</v>
      </c>
      <c r="ET61" s="227">
        <f t="shared" si="1485"/>
        <v>7.95</v>
      </c>
      <c r="EU61" s="138">
        <f t="shared" si="1522"/>
        <v>0</v>
      </c>
      <c r="EV61" s="110">
        <f t="shared" si="1523"/>
        <v>0</v>
      </c>
      <c r="EW61" s="110"/>
      <c r="EX61" s="139"/>
      <c r="EY61" s="140" t="e">
        <f t="shared" si="1524"/>
        <v>#DIV/0!</v>
      </c>
      <c r="EZ61" s="198">
        <f t="shared" si="1525"/>
        <v>0</v>
      </c>
      <c r="FA61" s="225">
        <f t="shared" si="1526"/>
        <v>0</v>
      </c>
      <c r="FB61" s="226">
        <f t="shared" si="1527"/>
        <v>0</v>
      </c>
      <c r="FC61" s="137">
        <f t="shared" si="1528"/>
        <v>0</v>
      </c>
      <c r="FD61" s="227">
        <f t="shared" si="1529"/>
        <v>10.210000000000001</v>
      </c>
      <c r="FE61" s="138">
        <f t="shared" si="1530"/>
        <v>0</v>
      </c>
      <c r="FF61" s="110">
        <f t="shared" si="1531"/>
        <v>0</v>
      </c>
      <c r="FG61" s="110"/>
      <c r="FH61" s="139"/>
      <c r="FI61" s="140" t="e">
        <f t="shared" si="1532"/>
        <v>#DIV/0!</v>
      </c>
      <c r="FJ61" s="198">
        <f t="shared" si="1525"/>
        <v>0</v>
      </c>
      <c r="FK61" s="225">
        <f t="shared" si="1533"/>
        <v>0</v>
      </c>
      <c r="FL61" s="226">
        <f t="shared" si="1534"/>
        <v>0</v>
      </c>
      <c r="FM61" s="137">
        <f t="shared" si="1535"/>
        <v>0</v>
      </c>
      <c r="FN61" s="227">
        <f t="shared" si="1529"/>
        <v>9.52</v>
      </c>
      <c r="FO61" s="138">
        <f t="shared" si="1536"/>
        <v>0</v>
      </c>
      <c r="FP61" s="110">
        <f t="shared" si="1537"/>
        <v>0</v>
      </c>
      <c r="FQ61" s="110"/>
      <c r="FR61" s="139"/>
      <c r="FS61" s="140" t="e">
        <f t="shared" si="1538"/>
        <v>#DIV/0!</v>
      </c>
      <c r="FT61" s="198">
        <f t="shared" si="1525"/>
        <v>0</v>
      </c>
      <c r="FU61" s="225">
        <f t="shared" si="1539"/>
        <v>0</v>
      </c>
      <c r="FV61" s="226">
        <f t="shared" si="1540"/>
        <v>0</v>
      </c>
      <c r="FW61" s="137">
        <f t="shared" si="1541"/>
        <v>0</v>
      </c>
      <c r="FX61" s="227">
        <f t="shared" si="1529"/>
        <v>9.57</v>
      </c>
      <c r="FY61" s="138">
        <f t="shared" si="1542"/>
        <v>0</v>
      </c>
      <c r="FZ61" s="110">
        <f t="shared" si="1543"/>
        <v>0</v>
      </c>
      <c r="GA61" s="110"/>
      <c r="GB61" s="139"/>
      <c r="GC61" s="140" t="e">
        <f t="shared" si="1544"/>
        <v>#DIV/0!</v>
      </c>
      <c r="GD61" s="198">
        <f t="shared" si="1525"/>
        <v>0</v>
      </c>
      <c r="GE61" s="225">
        <f t="shared" si="1545"/>
        <v>0</v>
      </c>
      <c r="GF61" s="226">
        <f t="shared" si="1546"/>
        <v>0</v>
      </c>
      <c r="GG61" s="137">
        <f t="shared" si="1547"/>
        <v>0</v>
      </c>
      <c r="GH61" s="227">
        <f t="shared" si="1529"/>
        <v>8.39</v>
      </c>
      <c r="GI61" s="138">
        <f t="shared" si="1548"/>
        <v>0</v>
      </c>
      <c r="GJ61" s="110">
        <f t="shared" si="1549"/>
        <v>0</v>
      </c>
      <c r="GK61" s="110"/>
      <c r="GL61" s="139"/>
      <c r="GM61" s="140" t="e">
        <f t="shared" si="1550"/>
        <v>#DIV/0!</v>
      </c>
      <c r="GN61" s="198">
        <f t="shared" si="1525"/>
        <v>0</v>
      </c>
      <c r="GO61" s="225">
        <f t="shared" si="1551"/>
        <v>0</v>
      </c>
      <c r="GP61" s="226">
        <f t="shared" si="1552"/>
        <v>0</v>
      </c>
      <c r="GQ61" s="137">
        <f t="shared" si="1553"/>
        <v>0</v>
      </c>
      <c r="GR61" s="227">
        <f t="shared" si="1529"/>
        <v>7.63</v>
      </c>
      <c r="GS61" s="138">
        <f t="shared" si="1554"/>
        <v>0</v>
      </c>
      <c r="GT61" s="110">
        <f t="shared" si="1555"/>
        <v>0</v>
      </c>
      <c r="GU61" s="110"/>
      <c r="GV61" s="139"/>
      <c r="GW61" s="140" t="e">
        <f t="shared" si="1556"/>
        <v>#DIV/0!</v>
      </c>
      <c r="GX61" s="198">
        <f t="shared" si="1525"/>
        <v>0</v>
      </c>
      <c r="GY61" s="225">
        <f t="shared" si="1557"/>
        <v>0</v>
      </c>
      <c r="GZ61" s="226">
        <f t="shared" si="1558"/>
        <v>0</v>
      </c>
      <c r="HA61" s="137">
        <f t="shared" si="1559"/>
        <v>0</v>
      </c>
      <c r="HB61" s="227">
        <f t="shared" si="1529"/>
        <v>4.8899999999999997</v>
      </c>
      <c r="HC61" s="138">
        <f t="shared" si="1560"/>
        <v>0</v>
      </c>
      <c r="HD61" s="110">
        <f t="shared" si="1561"/>
        <v>0</v>
      </c>
      <c r="HE61" s="110"/>
      <c r="HF61" s="139"/>
      <c r="HG61" s="140" t="e">
        <f t="shared" si="1562"/>
        <v>#DIV/0!</v>
      </c>
      <c r="HH61" s="198">
        <f t="shared" si="1525"/>
        <v>0</v>
      </c>
      <c r="HI61" s="225">
        <f t="shared" si="1563"/>
        <v>0</v>
      </c>
      <c r="HJ61" s="226">
        <f t="shared" si="1564"/>
        <v>0</v>
      </c>
      <c r="HK61" s="137">
        <f t="shared" si="1565"/>
        <v>0</v>
      </c>
      <c r="HL61" s="227">
        <f t="shared" si="1529"/>
        <v>5.98</v>
      </c>
      <c r="HM61" s="138">
        <f t="shared" si="1566"/>
        <v>0</v>
      </c>
      <c r="HN61" s="110">
        <f t="shared" si="1567"/>
        <v>0</v>
      </c>
      <c r="HO61" s="110"/>
      <c r="HP61" s="139"/>
      <c r="HQ61" s="140" t="e">
        <f t="shared" si="1568"/>
        <v>#DIV/0!</v>
      </c>
      <c r="HR61" s="198">
        <f t="shared" si="1569"/>
        <v>0</v>
      </c>
      <c r="HS61" s="225">
        <f t="shared" si="1570"/>
        <v>0</v>
      </c>
      <c r="HT61" s="226">
        <f t="shared" si="1571"/>
        <v>0</v>
      </c>
      <c r="HU61" s="137">
        <f t="shared" si="1572"/>
        <v>0</v>
      </c>
      <c r="HV61" s="227">
        <f t="shared" si="1573"/>
        <v>9.76</v>
      </c>
      <c r="HW61" s="138">
        <f t="shared" si="1574"/>
        <v>0</v>
      </c>
      <c r="HX61" s="110">
        <f t="shared" si="1575"/>
        <v>0</v>
      </c>
      <c r="HY61" s="110"/>
      <c r="HZ61" s="139"/>
      <c r="IA61" s="140" t="e">
        <f t="shared" si="1576"/>
        <v>#DIV/0!</v>
      </c>
      <c r="IB61" s="198">
        <f t="shared" si="1569"/>
        <v>0</v>
      </c>
      <c r="IC61" s="225">
        <f t="shared" si="1577"/>
        <v>0</v>
      </c>
      <c r="ID61" s="226">
        <f t="shared" si="1578"/>
        <v>0</v>
      </c>
      <c r="IE61" s="137">
        <f t="shared" si="1579"/>
        <v>0</v>
      </c>
      <c r="IF61" s="227">
        <f t="shared" si="1573"/>
        <v>7.76</v>
      </c>
      <c r="IG61" s="138">
        <f t="shared" si="1580"/>
        <v>0</v>
      </c>
      <c r="IH61" s="110">
        <f t="shared" si="1581"/>
        <v>0</v>
      </c>
      <c r="II61" s="110"/>
      <c r="IJ61" s="139"/>
      <c r="IK61" s="140" t="e">
        <f t="shared" si="1582"/>
        <v>#DIV/0!</v>
      </c>
      <c r="IL61" s="198">
        <f t="shared" si="1569"/>
        <v>0</v>
      </c>
      <c r="IM61" s="225">
        <f t="shared" si="1583"/>
        <v>0</v>
      </c>
      <c r="IN61" s="226">
        <f t="shared" si="1584"/>
        <v>0</v>
      </c>
      <c r="IO61" s="137">
        <f t="shared" si="1585"/>
        <v>0</v>
      </c>
      <c r="IP61" s="227">
        <f t="shared" si="1573"/>
        <v>7.4</v>
      </c>
      <c r="IQ61" s="138">
        <f t="shared" si="1586"/>
        <v>0</v>
      </c>
      <c r="IR61" s="110">
        <f t="shared" si="1587"/>
        <v>0</v>
      </c>
      <c r="IS61" s="110"/>
      <c r="IT61" s="139"/>
      <c r="IU61" s="140" t="e">
        <f t="shared" si="1588"/>
        <v>#DIV/0!</v>
      </c>
      <c r="IV61" s="198">
        <f t="shared" si="1569"/>
        <v>0</v>
      </c>
      <c r="IW61" s="225">
        <f t="shared" si="1589"/>
        <v>0</v>
      </c>
      <c r="IX61" s="226">
        <f t="shared" si="1590"/>
        <v>0</v>
      </c>
      <c r="IY61" s="137">
        <f t="shared" si="1591"/>
        <v>0</v>
      </c>
      <c r="IZ61" s="227">
        <f t="shared" si="1573"/>
        <v>9.64</v>
      </c>
      <c r="JA61" s="138">
        <f t="shared" si="1592"/>
        <v>0</v>
      </c>
      <c r="JB61" s="110">
        <f t="shared" si="1593"/>
        <v>0</v>
      </c>
      <c r="JC61" s="110"/>
      <c r="JD61" s="139"/>
      <c r="JE61" s="140" t="e">
        <f t="shared" si="1594"/>
        <v>#DIV/0!</v>
      </c>
      <c r="JF61" s="198">
        <f t="shared" si="1569"/>
        <v>0</v>
      </c>
      <c r="JG61" s="225">
        <f t="shared" si="1595"/>
        <v>0</v>
      </c>
      <c r="JH61" s="226">
        <f t="shared" si="1596"/>
        <v>0</v>
      </c>
      <c r="JI61" s="137">
        <f t="shared" si="1597"/>
        <v>0</v>
      </c>
      <c r="JJ61" s="227">
        <f t="shared" si="1573"/>
        <v>9.1</v>
      </c>
      <c r="JK61" s="138">
        <f t="shared" si="1598"/>
        <v>0</v>
      </c>
      <c r="JL61" s="110">
        <f t="shared" si="1599"/>
        <v>0</v>
      </c>
      <c r="JM61" s="110"/>
      <c r="JN61" s="139"/>
      <c r="JO61" s="140" t="e">
        <f t="shared" si="1600"/>
        <v>#DIV/0!</v>
      </c>
      <c r="JP61" s="198">
        <f t="shared" si="1569"/>
        <v>0</v>
      </c>
      <c r="JQ61" s="225">
        <f t="shared" si="1601"/>
        <v>0</v>
      </c>
      <c r="JR61" s="226">
        <f t="shared" si="1602"/>
        <v>0</v>
      </c>
      <c r="JS61" s="137">
        <f t="shared" si="1603"/>
        <v>0</v>
      </c>
      <c r="JT61" s="227">
        <f t="shared" si="1573"/>
        <v>10.15</v>
      </c>
      <c r="JU61" s="138">
        <f t="shared" si="1604"/>
        <v>0</v>
      </c>
      <c r="JV61" s="110">
        <f t="shared" si="1605"/>
        <v>0</v>
      </c>
      <c r="JW61" s="110"/>
      <c r="JX61" s="139"/>
      <c r="JY61" s="140" t="e">
        <f t="shared" si="1606"/>
        <v>#DIV/0!</v>
      </c>
      <c r="JZ61" s="198">
        <f t="shared" si="1569"/>
        <v>0</v>
      </c>
      <c r="KA61" s="225">
        <f t="shared" si="1607"/>
        <v>0</v>
      </c>
      <c r="KB61" s="226">
        <f t="shared" si="1608"/>
        <v>0</v>
      </c>
      <c r="KC61" s="137">
        <f t="shared" si="1609"/>
        <v>0</v>
      </c>
      <c r="KD61" s="227">
        <f t="shared" si="1573"/>
        <v>8.14</v>
      </c>
      <c r="KE61" s="138">
        <f t="shared" si="1610"/>
        <v>0</v>
      </c>
      <c r="KF61" s="110">
        <f t="shared" si="1611"/>
        <v>0</v>
      </c>
      <c r="KG61" s="110"/>
      <c r="KH61" s="139"/>
      <c r="KI61" s="140" t="e">
        <f t="shared" si="1612"/>
        <v>#DIV/0!</v>
      </c>
      <c r="KJ61" s="198">
        <f t="shared" si="1613"/>
        <v>0</v>
      </c>
      <c r="KK61" s="225">
        <f t="shared" si="1614"/>
        <v>0</v>
      </c>
      <c r="KL61" s="226">
        <f t="shared" si="1615"/>
        <v>0</v>
      </c>
      <c r="KM61" s="137">
        <f t="shared" si="1616"/>
        <v>0</v>
      </c>
      <c r="KN61" s="227">
        <f t="shared" si="1617"/>
        <v>9.02</v>
      </c>
      <c r="KO61" s="138">
        <f t="shared" si="1618"/>
        <v>0</v>
      </c>
      <c r="KP61" s="110">
        <f t="shared" si="1619"/>
        <v>0</v>
      </c>
      <c r="KQ61" s="110"/>
      <c r="KR61" s="139"/>
      <c r="KS61" s="140" t="e">
        <f t="shared" si="1620"/>
        <v>#DIV/0!</v>
      </c>
      <c r="KT61" s="198">
        <f t="shared" si="1613"/>
        <v>0</v>
      </c>
      <c r="KU61" s="225">
        <f t="shared" si="1621"/>
        <v>0</v>
      </c>
      <c r="KV61" s="226">
        <f t="shared" si="1622"/>
        <v>0</v>
      </c>
      <c r="KW61" s="137">
        <f t="shared" si="1623"/>
        <v>0</v>
      </c>
      <c r="KX61" s="227">
        <f t="shared" si="1617"/>
        <v>9.94</v>
      </c>
      <c r="KY61" s="138">
        <f t="shared" si="1624"/>
        <v>0</v>
      </c>
      <c r="KZ61" s="110">
        <f t="shared" si="1625"/>
        <v>0</v>
      </c>
      <c r="LA61" s="110"/>
      <c r="LB61" s="139"/>
      <c r="LC61" s="140" t="e">
        <f t="shared" si="1626"/>
        <v>#DIV/0!</v>
      </c>
      <c r="LD61" s="197">
        <f t="shared" si="1235"/>
        <v>0</v>
      </c>
      <c r="LE61" s="225">
        <f t="shared" si="1236"/>
        <v>0</v>
      </c>
      <c r="LF61" s="226">
        <f t="shared" si="1237"/>
        <v>0</v>
      </c>
      <c r="LG61" s="137">
        <f t="shared" si="1238"/>
        <v>0</v>
      </c>
      <c r="LH61" s="227">
        <f t="shared" si="1239"/>
        <v>8.4600000000000009</v>
      </c>
      <c r="LI61" s="138">
        <f t="shared" si="1240"/>
        <v>0</v>
      </c>
      <c r="LJ61" s="110">
        <f t="shared" si="1241"/>
        <v>0</v>
      </c>
      <c r="LK61" s="110"/>
      <c r="LL61" s="139"/>
    </row>
    <row r="62" spans="1:324" ht="18" hidden="1" customHeight="1" x14ac:dyDescent="0.25">
      <c r="A62" s="246"/>
      <c r="B62" s="92" t="s">
        <v>625</v>
      </c>
      <c r="C62" s="12" t="s">
        <v>728</v>
      </c>
      <c r="D62" s="12" t="s">
        <v>430</v>
      </c>
      <c r="E62" s="4" t="s">
        <v>33</v>
      </c>
      <c r="F62" s="198">
        <f t="shared" si="1436"/>
        <v>0</v>
      </c>
      <c r="G62" s="225">
        <f t="shared" si="1242"/>
        <v>0</v>
      </c>
      <c r="H62" s="226">
        <f t="shared" si="1243"/>
        <v>0</v>
      </c>
      <c r="I62" s="137">
        <f t="shared" si="1016"/>
        <v>0</v>
      </c>
      <c r="J62" s="227">
        <f t="shared" si="1244"/>
        <v>7.57</v>
      </c>
      <c r="K62" s="138">
        <f t="shared" si="1017"/>
        <v>0</v>
      </c>
      <c r="L62" s="110">
        <f t="shared" si="1018"/>
        <v>0</v>
      </c>
      <c r="M62" s="110"/>
      <c r="N62" s="139"/>
      <c r="O62" s="140" t="e">
        <f t="shared" si="1019"/>
        <v>#DIV/0!</v>
      </c>
      <c r="P62" s="198">
        <f t="shared" si="1437"/>
        <v>0</v>
      </c>
      <c r="Q62" s="225">
        <f t="shared" si="1438"/>
        <v>0</v>
      </c>
      <c r="R62" s="226">
        <f t="shared" si="1439"/>
        <v>0</v>
      </c>
      <c r="S62" s="137">
        <f t="shared" si="1440"/>
        <v>0</v>
      </c>
      <c r="T62" s="227">
        <f t="shared" si="1441"/>
        <v>8.23</v>
      </c>
      <c r="U62" s="138">
        <f t="shared" si="1442"/>
        <v>0</v>
      </c>
      <c r="V62" s="110">
        <f t="shared" si="1443"/>
        <v>0</v>
      </c>
      <c r="W62" s="110"/>
      <c r="X62" s="139"/>
      <c r="Y62" s="140" t="e">
        <f t="shared" si="1444"/>
        <v>#DIV/0!</v>
      </c>
      <c r="Z62" s="198">
        <f t="shared" si="1437"/>
        <v>0</v>
      </c>
      <c r="AA62" s="225">
        <f t="shared" si="1445"/>
        <v>0</v>
      </c>
      <c r="AB62" s="226">
        <f t="shared" si="1446"/>
        <v>0</v>
      </c>
      <c r="AC62" s="137">
        <f t="shared" si="1447"/>
        <v>0</v>
      </c>
      <c r="AD62" s="227">
        <f t="shared" si="1441"/>
        <v>8.8000000000000007</v>
      </c>
      <c r="AE62" s="138">
        <f t="shared" si="1448"/>
        <v>0</v>
      </c>
      <c r="AF62" s="110">
        <f t="shared" si="1449"/>
        <v>0</v>
      </c>
      <c r="AG62" s="110"/>
      <c r="AH62" s="139"/>
      <c r="AI62" s="140" t="e">
        <f t="shared" si="1450"/>
        <v>#DIV/0!</v>
      </c>
      <c r="AJ62" s="198">
        <f t="shared" si="1437"/>
        <v>0</v>
      </c>
      <c r="AK62" s="225">
        <f t="shared" si="1451"/>
        <v>0</v>
      </c>
      <c r="AL62" s="226">
        <f t="shared" si="1452"/>
        <v>0</v>
      </c>
      <c r="AM62" s="137">
        <f t="shared" si="1453"/>
        <v>0</v>
      </c>
      <c r="AN62" s="227">
        <f t="shared" si="1441"/>
        <v>7.52</v>
      </c>
      <c r="AO62" s="138">
        <f t="shared" si="1454"/>
        <v>0</v>
      </c>
      <c r="AP62" s="110">
        <f t="shared" si="1455"/>
        <v>0</v>
      </c>
      <c r="AQ62" s="110"/>
      <c r="AR62" s="139"/>
      <c r="AS62" s="140" t="e">
        <f t="shared" si="1456"/>
        <v>#DIV/0!</v>
      </c>
      <c r="AT62" s="198">
        <f t="shared" si="1437"/>
        <v>0</v>
      </c>
      <c r="AU62" s="225">
        <f t="shared" si="1457"/>
        <v>0</v>
      </c>
      <c r="AV62" s="226">
        <f t="shared" si="1458"/>
        <v>0</v>
      </c>
      <c r="AW62" s="137">
        <f t="shared" si="1459"/>
        <v>0</v>
      </c>
      <c r="AX62" s="227">
        <f t="shared" si="1441"/>
        <v>6.88</v>
      </c>
      <c r="AY62" s="138">
        <f t="shared" si="1460"/>
        <v>0</v>
      </c>
      <c r="AZ62" s="110">
        <f t="shared" si="1461"/>
        <v>0</v>
      </c>
      <c r="BA62" s="110"/>
      <c r="BB62" s="139"/>
      <c r="BC62" s="140" t="e">
        <f t="shared" si="1462"/>
        <v>#DIV/0!</v>
      </c>
      <c r="BD62" s="198">
        <f t="shared" si="1437"/>
        <v>0</v>
      </c>
      <c r="BE62" s="225">
        <f t="shared" si="1463"/>
        <v>0</v>
      </c>
      <c r="BF62" s="226">
        <f t="shared" si="1464"/>
        <v>0</v>
      </c>
      <c r="BG62" s="137">
        <f t="shared" si="1465"/>
        <v>0</v>
      </c>
      <c r="BH62" s="227">
        <f t="shared" si="1441"/>
        <v>9.74</v>
      </c>
      <c r="BI62" s="138">
        <f t="shared" si="1466"/>
        <v>0</v>
      </c>
      <c r="BJ62" s="110">
        <f t="shared" si="1467"/>
        <v>0</v>
      </c>
      <c r="BK62" s="110"/>
      <c r="BL62" s="139"/>
      <c r="BM62" s="140" t="e">
        <f t="shared" si="1468"/>
        <v>#DIV/0!</v>
      </c>
      <c r="BN62" s="198">
        <f t="shared" si="1437"/>
        <v>0</v>
      </c>
      <c r="BO62" s="225">
        <f t="shared" si="1469"/>
        <v>0</v>
      </c>
      <c r="BP62" s="226">
        <f t="shared" si="1470"/>
        <v>0</v>
      </c>
      <c r="BQ62" s="137">
        <f t="shared" si="1471"/>
        <v>0</v>
      </c>
      <c r="BR62" s="227">
        <f t="shared" si="1441"/>
        <v>10.32</v>
      </c>
      <c r="BS62" s="138">
        <f t="shared" si="1472"/>
        <v>0</v>
      </c>
      <c r="BT62" s="110">
        <f t="shared" si="1473"/>
        <v>0</v>
      </c>
      <c r="BU62" s="110"/>
      <c r="BV62" s="139"/>
      <c r="BW62" s="140" t="e">
        <f t="shared" si="1474"/>
        <v>#DIV/0!</v>
      </c>
      <c r="BX62" s="198">
        <f t="shared" si="1437"/>
        <v>0</v>
      </c>
      <c r="BY62" s="225">
        <f t="shared" si="1475"/>
        <v>0</v>
      </c>
      <c r="BZ62" s="226">
        <f t="shared" si="1476"/>
        <v>0</v>
      </c>
      <c r="CA62" s="137">
        <f t="shared" si="1477"/>
        <v>0</v>
      </c>
      <c r="CB62" s="227">
        <f t="shared" si="1441"/>
        <v>7.89</v>
      </c>
      <c r="CC62" s="138">
        <f t="shared" si="1478"/>
        <v>0</v>
      </c>
      <c r="CD62" s="110">
        <f t="shared" si="1479"/>
        <v>0</v>
      </c>
      <c r="CE62" s="110"/>
      <c r="CF62" s="139"/>
      <c r="CG62" s="140" t="e">
        <f t="shared" si="1480"/>
        <v>#DIV/0!</v>
      </c>
      <c r="CH62" s="198">
        <f t="shared" si="1481"/>
        <v>0</v>
      </c>
      <c r="CI62" s="225">
        <f t="shared" si="1482"/>
        <v>0</v>
      </c>
      <c r="CJ62" s="226">
        <f t="shared" si="1483"/>
        <v>0</v>
      </c>
      <c r="CK62" s="137">
        <f t="shared" si="1484"/>
        <v>0</v>
      </c>
      <c r="CL62" s="227">
        <f t="shared" si="1485"/>
        <v>8.24</v>
      </c>
      <c r="CM62" s="138">
        <f t="shared" si="1486"/>
        <v>0</v>
      </c>
      <c r="CN62" s="110">
        <f t="shared" si="1487"/>
        <v>0</v>
      </c>
      <c r="CO62" s="110"/>
      <c r="CP62" s="139"/>
      <c r="CQ62" s="140" t="e">
        <f t="shared" si="1488"/>
        <v>#DIV/0!</v>
      </c>
      <c r="CR62" s="198">
        <f t="shared" si="1481"/>
        <v>0</v>
      </c>
      <c r="CS62" s="225">
        <f t="shared" si="1489"/>
        <v>0</v>
      </c>
      <c r="CT62" s="226">
        <f t="shared" si="1490"/>
        <v>0</v>
      </c>
      <c r="CU62" s="137">
        <f t="shared" si="1491"/>
        <v>0</v>
      </c>
      <c r="CV62" s="227">
        <f t="shared" si="1485"/>
        <v>8.92</v>
      </c>
      <c r="CW62" s="138">
        <f t="shared" si="1492"/>
        <v>0</v>
      </c>
      <c r="CX62" s="110">
        <f t="shared" si="1493"/>
        <v>0</v>
      </c>
      <c r="CY62" s="110"/>
      <c r="CZ62" s="139"/>
      <c r="DA62" s="140" t="e">
        <f t="shared" si="1494"/>
        <v>#DIV/0!</v>
      </c>
      <c r="DB62" s="198">
        <f t="shared" si="1481"/>
        <v>0</v>
      </c>
      <c r="DC62" s="225">
        <f t="shared" si="1495"/>
        <v>0</v>
      </c>
      <c r="DD62" s="226">
        <f t="shared" si="1496"/>
        <v>0</v>
      </c>
      <c r="DE62" s="137">
        <f t="shared" si="1497"/>
        <v>0</v>
      </c>
      <c r="DF62" s="227">
        <f t="shared" si="1485"/>
        <v>7.48</v>
      </c>
      <c r="DG62" s="138">
        <f t="shared" si="1498"/>
        <v>0</v>
      </c>
      <c r="DH62" s="110">
        <f t="shared" si="1499"/>
        <v>0</v>
      </c>
      <c r="DI62" s="110"/>
      <c r="DJ62" s="139"/>
      <c r="DK62" s="140" t="e">
        <f t="shared" si="1500"/>
        <v>#DIV/0!</v>
      </c>
      <c r="DL62" s="198">
        <f t="shared" si="1481"/>
        <v>0</v>
      </c>
      <c r="DM62" s="225">
        <f t="shared" si="1501"/>
        <v>0</v>
      </c>
      <c r="DN62" s="226">
        <f t="shared" si="1502"/>
        <v>0</v>
      </c>
      <c r="DO62" s="137">
        <f t="shared" si="1503"/>
        <v>0</v>
      </c>
      <c r="DP62" s="227">
        <f t="shared" si="1485"/>
        <v>8.2200000000000006</v>
      </c>
      <c r="DQ62" s="138">
        <f t="shared" si="1504"/>
        <v>0</v>
      </c>
      <c r="DR62" s="110">
        <f t="shared" si="1505"/>
        <v>0</v>
      </c>
      <c r="DS62" s="110"/>
      <c r="DT62" s="139"/>
      <c r="DU62" s="140" t="e">
        <f t="shared" si="1506"/>
        <v>#DIV/0!</v>
      </c>
      <c r="DV62" s="198">
        <f t="shared" si="1481"/>
        <v>0</v>
      </c>
      <c r="DW62" s="225">
        <f t="shared" si="1507"/>
        <v>0</v>
      </c>
      <c r="DX62" s="226">
        <f t="shared" si="1508"/>
        <v>0</v>
      </c>
      <c r="DY62" s="137">
        <f t="shared" si="1509"/>
        <v>0</v>
      </c>
      <c r="DZ62" s="227">
        <f t="shared" si="1485"/>
        <v>7.91</v>
      </c>
      <c r="EA62" s="138">
        <f t="shared" si="1510"/>
        <v>0</v>
      </c>
      <c r="EB62" s="110">
        <f t="shared" si="1511"/>
        <v>0</v>
      </c>
      <c r="EC62" s="110"/>
      <c r="ED62" s="139"/>
      <c r="EE62" s="140" t="e">
        <f t="shared" si="1512"/>
        <v>#DIV/0!</v>
      </c>
      <c r="EF62" s="198">
        <f t="shared" si="1481"/>
        <v>0</v>
      </c>
      <c r="EG62" s="225">
        <f t="shared" si="1513"/>
        <v>0</v>
      </c>
      <c r="EH62" s="226">
        <f t="shared" si="1514"/>
        <v>0</v>
      </c>
      <c r="EI62" s="137">
        <f t="shared" si="1515"/>
        <v>0</v>
      </c>
      <c r="EJ62" s="227">
        <f t="shared" si="1485"/>
        <v>7.63</v>
      </c>
      <c r="EK62" s="138">
        <f t="shared" si="1516"/>
        <v>0</v>
      </c>
      <c r="EL62" s="110">
        <f t="shared" si="1517"/>
        <v>0</v>
      </c>
      <c r="EM62" s="110"/>
      <c r="EN62" s="139"/>
      <c r="EO62" s="140" t="e">
        <f t="shared" si="1518"/>
        <v>#DIV/0!</v>
      </c>
      <c r="EP62" s="198">
        <f t="shared" si="1481"/>
        <v>0</v>
      </c>
      <c r="EQ62" s="225">
        <f t="shared" si="1519"/>
        <v>0</v>
      </c>
      <c r="ER62" s="226">
        <f t="shared" si="1520"/>
        <v>0</v>
      </c>
      <c r="ES62" s="137">
        <f t="shared" si="1521"/>
        <v>0</v>
      </c>
      <c r="ET62" s="227">
        <f t="shared" si="1485"/>
        <v>7.95</v>
      </c>
      <c r="EU62" s="138">
        <f t="shared" si="1522"/>
        <v>0</v>
      </c>
      <c r="EV62" s="110">
        <f t="shared" si="1523"/>
        <v>0</v>
      </c>
      <c r="EW62" s="110"/>
      <c r="EX62" s="139"/>
      <c r="EY62" s="140" t="e">
        <f t="shared" si="1524"/>
        <v>#DIV/0!</v>
      </c>
      <c r="EZ62" s="198">
        <f t="shared" si="1525"/>
        <v>0</v>
      </c>
      <c r="FA62" s="225">
        <f t="shared" si="1526"/>
        <v>0</v>
      </c>
      <c r="FB62" s="226">
        <f t="shared" si="1527"/>
        <v>0</v>
      </c>
      <c r="FC62" s="137">
        <f t="shared" si="1528"/>
        <v>0</v>
      </c>
      <c r="FD62" s="227">
        <f t="shared" si="1529"/>
        <v>10.210000000000001</v>
      </c>
      <c r="FE62" s="138">
        <f t="shared" si="1530"/>
        <v>0</v>
      </c>
      <c r="FF62" s="110">
        <f t="shared" si="1531"/>
        <v>0</v>
      </c>
      <c r="FG62" s="110"/>
      <c r="FH62" s="139"/>
      <c r="FI62" s="140" t="e">
        <f t="shared" si="1532"/>
        <v>#DIV/0!</v>
      </c>
      <c r="FJ62" s="198">
        <f t="shared" si="1525"/>
        <v>0</v>
      </c>
      <c r="FK62" s="225">
        <f t="shared" si="1533"/>
        <v>0</v>
      </c>
      <c r="FL62" s="226">
        <f t="shared" si="1534"/>
        <v>0</v>
      </c>
      <c r="FM62" s="137">
        <f t="shared" si="1535"/>
        <v>0</v>
      </c>
      <c r="FN62" s="227">
        <f t="shared" si="1529"/>
        <v>9.52</v>
      </c>
      <c r="FO62" s="138">
        <f t="shared" si="1536"/>
        <v>0</v>
      </c>
      <c r="FP62" s="110">
        <f t="shared" si="1537"/>
        <v>0</v>
      </c>
      <c r="FQ62" s="110"/>
      <c r="FR62" s="139"/>
      <c r="FS62" s="140" t="e">
        <f t="shared" si="1538"/>
        <v>#DIV/0!</v>
      </c>
      <c r="FT62" s="198">
        <f t="shared" si="1525"/>
        <v>0</v>
      </c>
      <c r="FU62" s="225">
        <f t="shared" si="1539"/>
        <v>0</v>
      </c>
      <c r="FV62" s="226">
        <f t="shared" si="1540"/>
        <v>0</v>
      </c>
      <c r="FW62" s="137">
        <f t="shared" si="1541"/>
        <v>0</v>
      </c>
      <c r="FX62" s="227">
        <f t="shared" si="1529"/>
        <v>9.57</v>
      </c>
      <c r="FY62" s="138">
        <f t="shared" si="1542"/>
        <v>0</v>
      </c>
      <c r="FZ62" s="110">
        <f t="shared" si="1543"/>
        <v>0</v>
      </c>
      <c r="GA62" s="110"/>
      <c r="GB62" s="139"/>
      <c r="GC62" s="140" t="e">
        <f t="shared" si="1544"/>
        <v>#DIV/0!</v>
      </c>
      <c r="GD62" s="198">
        <f t="shared" si="1525"/>
        <v>0</v>
      </c>
      <c r="GE62" s="225">
        <f t="shared" si="1545"/>
        <v>0</v>
      </c>
      <c r="GF62" s="226">
        <f t="shared" si="1546"/>
        <v>0</v>
      </c>
      <c r="GG62" s="137">
        <f t="shared" si="1547"/>
        <v>0</v>
      </c>
      <c r="GH62" s="227">
        <f t="shared" si="1529"/>
        <v>8.39</v>
      </c>
      <c r="GI62" s="138">
        <f t="shared" si="1548"/>
        <v>0</v>
      </c>
      <c r="GJ62" s="110">
        <f t="shared" si="1549"/>
        <v>0</v>
      </c>
      <c r="GK62" s="110"/>
      <c r="GL62" s="139"/>
      <c r="GM62" s="140" t="e">
        <f t="shared" si="1550"/>
        <v>#DIV/0!</v>
      </c>
      <c r="GN62" s="198">
        <f t="shared" si="1525"/>
        <v>0</v>
      </c>
      <c r="GO62" s="225">
        <f t="shared" si="1551"/>
        <v>0</v>
      </c>
      <c r="GP62" s="226">
        <f t="shared" si="1552"/>
        <v>0</v>
      </c>
      <c r="GQ62" s="137">
        <f t="shared" si="1553"/>
        <v>0</v>
      </c>
      <c r="GR62" s="227">
        <f t="shared" si="1529"/>
        <v>7.63</v>
      </c>
      <c r="GS62" s="138">
        <f t="shared" si="1554"/>
        <v>0</v>
      </c>
      <c r="GT62" s="110">
        <f t="shared" si="1555"/>
        <v>0</v>
      </c>
      <c r="GU62" s="110"/>
      <c r="GV62" s="139"/>
      <c r="GW62" s="140" t="e">
        <f t="shared" si="1556"/>
        <v>#DIV/0!</v>
      </c>
      <c r="GX62" s="198">
        <f t="shared" si="1525"/>
        <v>0</v>
      </c>
      <c r="GY62" s="225">
        <f t="shared" si="1557"/>
        <v>0</v>
      </c>
      <c r="GZ62" s="226">
        <f t="shared" si="1558"/>
        <v>0</v>
      </c>
      <c r="HA62" s="137">
        <f t="shared" si="1559"/>
        <v>0</v>
      </c>
      <c r="HB62" s="227">
        <f t="shared" si="1529"/>
        <v>4.8899999999999997</v>
      </c>
      <c r="HC62" s="138">
        <f t="shared" si="1560"/>
        <v>0</v>
      </c>
      <c r="HD62" s="110">
        <f t="shared" si="1561"/>
        <v>0</v>
      </c>
      <c r="HE62" s="110"/>
      <c r="HF62" s="139"/>
      <c r="HG62" s="140" t="e">
        <f t="shared" si="1562"/>
        <v>#DIV/0!</v>
      </c>
      <c r="HH62" s="198">
        <f t="shared" si="1525"/>
        <v>0</v>
      </c>
      <c r="HI62" s="225">
        <f t="shared" si="1563"/>
        <v>0</v>
      </c>
      <c r="HJ62" s="226">
        <f t="shared" si="1564"/>
        <v>0</v>
      </c>
      <c r="HK62" s="137">
        <f t="shared" si="1565"/>
        <v>0</v>
      </c>
      <c r="HL62" s="227">
        <f t="shared" si="1529"/>
        <v>5.98</v>
      </c>
      <c r="HM62" s="138">
        <f t="shared" si="1566"/>
        <v>0</v>
      </c>
      <c r="HN62" s="110">
        <f t="shared" si="1567"/>
        <v>0</v>
      </c>
      <c r="HO62" s="110"/>
      <c r="HP62" s="139"/>
      <c r="HQ62" s="140" t="e">
        <f t="shared" si="1568"/>
        <v>#DIV/0!</v>
      </c>
      <c r="HR62" s="198">
        <f t="shared" si="1569"/>
        <v>0</v>
      </c>
      <c r="HS62" s="225">
        <f t="shared" si="1570"/>
        <v>0</v>
      </c>
      <c r="HT62" s="226">
        <f t="shared" si="1571"/>
        <v>0</v>
      </c>
      <c r="HU62" s="137">
        <f t="shared" si="1572"/>
        <v>0</v>
      </c>
      <c r="HV62" s="227">
        <f t="shared" si="1573"/>
        <v>9.76</v>
      </c>
      <c r="HW62" s="138">
        <f t="shared" si="1574"/>
        <v>0</v>
      </c>
      <c r="HX62" s="110">
        <f t="shared" si="1575"/>
        <v>0</v>
      </c>
      <c r="HY62" s="110"/>
      <c r="HZ62" s="139"/>
      <c r="IA62" s="140" t="e">
        <f t="shared" si="1576"/>
        <v>#DIV/0!</v>
      </c>
      <c r="IB62" s="198">
        <f t="shared" si="1569"/>
        <v>0</v>
      </c>
      <c r="IC62" s="225">
        <f t="shared" si="1577"/>
        <v>0</v>
      </c>
      <c r="ID62" s="226">
        <f t="shared" si="1578"/>
        <v>0</v>
      </c>
      <c r="IE62" s="137">
        <f t="shared" si="1579"/>
        <v>0</v>
      </c>
      <c r="IF62" s="227">
        <f t="shared" si="1573"/>
        <v>7.76</v>
      </c>
      <c r="IG62" s="138">
        <f t="shared" si="1580"/>
        <v>0</v>
      </c>
      <c r="IH62" s="110">
        <f t="shared" si="1581"/>
        <v>0</v>
      </c>
      <c r="II62" s="110"/>
      <c r="IJ62" s="139"/>
      <c r="IK62" s="140" t="e">
        <f t="shared" si="1582"/>
        <v>#DIV/0!</v>
      </c>
      <c r="IL62" s="198">
        <f t="shared" si="1569"/>
        <v>0</v>
      </c>
      <c r="IM62" s="225">
        <f t="shared" si="1583"/>
        <v>0</v>
      </c>
      <c r="IN62" s="226">
        <f t="shared" si="1584"/>
        <v>0</v>
      </c>
      <c r="IO62" s="137">
        <f t="shared" si="1585"/>
        <v>0</v>
      </c>
      <c r="IP62" s="227">
        <f t="shared" si="1573"/>
        <v>7.4</v>
      </c>
      <c r="IQ62" s="138">
        <f t="shared" si="1586"/>
        <v>0</v>
      </c>
      <c r="IR62" s="110">
        <f t="shared" si="1587"/>
        <v>0</v>
      </c>
      <c r="IS62" s="110"/>
      <c r="IT62" s="139"/>
      <c r="IU62" s="140" t="e">
        <f t="shared" si="1588"/>
        <v>#DIV/0!</v>
      </c>
      <c r="IV62" s="198">
        <f t="shared" si="1569"/>
        <v>0</v>
      </c>
      <c r="IW62" s="225">
        <f t="shared" si="1589"/>
        <v>0</v>
      </c>
      <c r="IX62" s="226">
        <f t="shared" si="1590"/>
        <v>0</v>
      </c>
      <c r="IY62" s="137">
        <f t="shared" si="1591"/>
        <v>0</v>
      </c>
      <c r="IZ62" s="227">
        <f t="shared" si="1573"/>
        <v>9.64</v>
      </c>
      <c r="JA62" s="138">
        <f t="shared" si="1592"/>
        <v>0</v>
      </c>
      <c r="JB62" s="110">
        <f t="shared" si="1593"/>
        <v>0</v>
      </c>
      <c r="JC62" s="110"/>
      <c r="JD62" s="139"/>
      <c r="JE62" s="140" t="e">
        <f t="shared" si="1594"/>
        <v>#DIV/0!</v>
      </c>
      <c r="JF62" s="198">
        <f t="shared" si="1569"/>
        <v>0</v>
      </c>
      <c r="JG62" s="225">
        <f t="shared" si="1595"/>
        <v>0</v>
      </c>
      <c r="JH62" s="226">
        <f t="shared" si="1596"/>
        <v>0</v>
      </c>
      <c r="JI62" s="137">
        <f t="shared" si="1597"/>
        <v>0</v>
      </c>
      <c r="JJ62" s="227">
        <f t="shared" si="1573"/>
        <v>9.1</v>
      </c>
      <c r="JK62" s="138">
        <f t="shared" si="1598"/>
        <v>0</v>
      </c>
      <c r="JL62" s="110">
        <f t="shared" si="1599"/>
        <v>0</v>
      </c>
      <c r="JM62" s="110"/>
      <c r="JN62" s="139"/>
      <c r="JO62" s="140" t="e">
        <f t="shared" si="1600"/>
        <v>#DIV/0!</v>
      </c>
      <c r="JP62" s="198">
        <f t="shared" si="1569"/>
        <v>0</v>
      </c>
      <c r="JQ62" s="225">
        <f t="shared" si="1601"/>
        <v>0</v>
      </c>
      <c r="JR62" s="226">
        <f t="shared" si="1602"/>
        <v>0</v>
      </c>
      <c r="JS62" s="137">
        <f t="shared" si="1603"/>
        <v>0</v>
      </c>
      <c r="JT62" s="227">
        <f t="shared" si="1573"/>
        <v>10.15</v>
      </c>
      <c r="JU62" s="138">
        <f t="shared" si="1604"/>
        <v>0</v>
      </c>
      <c r="JV62" s="110">
        <f t="shared" si="1605"/>
        <v>0</v>
      </c>
      <c r="JW62" s="110"/>
      <c r="JX62" s="139"/>
      <c r="JY62" s="140" t="e">
        <f t="shared" si="1606"/>
        <v>#DIV/0!</v>
      </c>
      <c r="JZ62" s="198">
        <f t="shared" si="1569"/>
        <v>0</v>
      </c>
      <c r="KA62" s="225">
        <f t="shared" si="1607"/>
        <v>0</v>
      </c>
      <c r="KB62" s="226">
        <f t="shared" si="1608"/>
        <v>0</v>
      </c>
      <c r="KC62" s="137">
        <f t="shared" si="1609"/>
        <v>0</v>
      </c>
      <c r="KD62" s="227">
        <f t="shared" si="1573"/>
        <v>8.14</v>
      </c>
      <c r="KE62" s="138">
        <f t="shared" si="1610"/>
        <v>0</v>
      </c>
      <c r="KF62" s="110">
        <f t="shared" si="1611"/>
        <v>0</v>
      </c>
      <c r="KG62" s="110"/>
      <c r="KH62" s="139"/>
      <c r="KI62" s="140" t="e">
        <f t="shared" si="1612"/>
        <v>#DIV/0!</v>
      </c>
      <c r="KJ62" s="198">
        <f t="shared" si="1613"/>
        <v>0</v>
      </c>
      <c r="KK62" s="225">
        <f t="shared" si="1614"/>
        <v>0</v>
      </c>
      <c r="KL62" s="226">
        <f t="shared" si="1615"/>
        <v>0</v>
      </c>
      <c r="KM62" s="137">
        <f t="shared" si="1616"/>
        <v>0</v>
      </c>
      <c r="KN62" s="227">
        <f t="shared" si="1617"/>
        <v>9.02</v>
      </c>
      <c r="KO62" s="138">
        <f t="shared" si="1618"/>
        <v>0</v>
      </c>
      <c r="KP62" s="110">
        <f t="shared" si="1619"/>
        <v>0</v>
      </c>
      <c r="KQ62" s="110"/>
      <c r="KR62" s="139"/>
      <c r="KS62" s="140" t="e">
        <f t="shared" si="1620"/>
        <v>#DIV/0!</v>
      </c>
      <c r="KT62" s="198">
        <f t="shared" si="1613"/>
        <v>0</v>
      </c>
      <c r="KU62" s="225">
        <f t="shared" si="1621"/>
        <v>0</v>
      </c>
      <c r="KV62" s="226">
        <f t="shared" si="1622"/>
        <v>0</v>
      </c>
      <c r="KW62" s="137">
        <f t="shared" si="1623"/>
        <v>0</v>
      </c>
      <c r="KX62" s="227">
        <f t="shared" si="1617"/>
        <v>9.94</v>
      </c>
      <c r="KY62" s="138">
        <f t="shared" si="1624"/>
        <v>0</v>
      </c>
      <c r="KZ62" s="110">
        <f t="shared" si="1625"/>
        <v>0</v>
      </c>
      <c r="LA62" s="110"/>
      <c r="LB62" s="139"/>
      <c r="LC62" s="140" t="e">
        <f t="shared" si="1626"/>
        <v>#DIV/0!</v>
      </c>
      <c r="LD62" s="197">
        <f t="shared" si="1235"/>
        <v>0</v>
      </c>
      <c r="LE62" s="225">
        <f t="shared" si="1236"/>
        <v>0</v>
      </c>
      <c r="LF62" s="226">
        <f t="shared" si="1237"/>
        <v>0</v>
      </c>
      <c r="LG62" s="137">
        <f t="shared" si="1238"/>
        <v>0</v>
      </c>
      <c r="LH62" s="227">
        <f t="shared" si="1239"/>
        <v>8.4600000000000009</v>
      </c>
      <c r="LI62" s="138">
        <f t="shared" si="1240"/>
        <v>0</v>
      </c>
      <c r="LJ62" s="110">
        <f t="shared" si="1241"/>
        <v>0</v>
      </c>
      <c r="LK62" s="110"/>
      <c r="LL62" s="139"/>
    </row>
    <row r="63" spans="1:324" ht="18" hidden="1" customHeight="1" x14ac:dyDescent="0.25">
      <c r="A63" s="246"/>
      <c r="B63" s="92" t="s">
        <v>639</v>
      </c>
      <c r="C63" s="12" t="s">
        <v>728</v>
      </c>
      <c r="D63" s="12" t="s">
        <v>430</v>
      </c>
      <c r="E63" s="4" t="s">
        <v>33</v>
      </c>
      <c r="F63" s="198">
        <f t="shared" si="1436"/>
        <v>0</v>
      </c>
      <c r="G63" s="225">
        <f t="shared" si="1242"/>
        <v>0</v>
      </c>
      <c r="H63" s="226">
        <f t="shared" si="1243"/>
        <v>0</v>
      </c>
      <c r="I63" s="137">
        <f t="shared" si="1016"/>
        <v>0</v>
      </c>
      <c r="J63" s="227">
        <f t="shared" si="1244"/>
        <v>7.57</v>
      </c>
      <c r="K63" s="138">
        <f t="shared" si="1017"/>
        <v>0</v>
      </c>
      <c r="L63" s="110">
        <f t="shared" si="1018"/>
        <v>0</v>
      </c>
      <c r="M63" s="110"/>
      <c r="N63" s="139"/>
      <c r="O63" s="140" t="e">
        <f t="shared" si="1019"/>
        <v>#DIV/0!</v>
      </c>
      <c r="P63" s="198">
        <f t="shared" si="1437"/>
        <v>0</v>
      </c>
      <c r="Q63" s="225">
        <f t="shared" si="1438"/>
        <v>0</v>
      </c>
      <c r="R63" s="226">
        <f t="shared" si="1439"/>
        <v>0</v>
      </c>
      <c r="S63" s="137">
        <f t="shared" si="1440"/>
        <v>0</v>
      </c>
      <c r="T63" s="227">
        <f t="shared" si="1441"/>
        <v>8.23</v>
      </c>
      <c r="U63" s="138">
        <f t="shared" si="1442"/>
        <v>0</v>
      </c>
      <c r="V63" s="110">
        <f t="shared" si="1443"/>
        <v>0</v>
      </c>
      <c r="W63" s="110"/>
      <c r="X63" s="139"/>
      <c r="Y63" s="140" t="e">
        <f t="shared" si="1444"/>
        <v>#DIV/0!</v>
      </c>
      <c r="Z63" s="198">
        <f t="shared" si="1437"/>
        <v>0</v>
      </c>
      <c r="AA63" s="225">
        <f t="shared" si="1445"/>
        <v>0</v>
      </c>
      <c r="AB63" s="226">
        <f t="shared" si="1446"/>
        <v>0</v>
      </c>
      <c r="AC63" s="137">
        <f t="shared" si="1447"/>
        <v>0</v>
      </c>
      <c r="AD63" s="227">
        <f t="shared" si="1441"/>
        <v>8.8000000000000007</v>
      </c>
      <c r="AE63" s="138">
        <f t="shared" si="1448"/>
        <v>0</v>
      </c>
      <c r="AF63" s="110">
        <f t="shared" si="1449"/>
        <v>0</v>
      </c>
      <c r="AG63" s="110"/>
      <c r="AH63" s="139"/>
      <c r="AI63" s="140" t="e">
        <f t="shared" si="1450"/>
        <v>#DIV/0!</v>
      </c>
      <c r="AJ63" s="198">
        <f t="shared" si="1437"/>
        <v>0</v>
      </c>
      <c r="AK63" s="225">
        <f t="shared" si="1451"/>
        <v>0</v>
      </c>
      <c r="AL63" s="226">
        <f t="shared" si="1452"/>
        <v>0</v>
      </c>
      <c r="AM63" s="137">
        <f t="shared" si="1453"/>
        <v>0</v>
      </c>
      <c r="AN63" s="227">
        <f t="shared" si="1441"/>
        <v>7.52</v>
      </c>
      <c r="AO63" s="138">
        <f t="shared" si="1454"/>
        <v>0</v>
      </c>
      <c r="AP63" s="110">
        <f t="shared" si="1455"/>
        <v>0</v>
      </c>
      <c r="AQ63" s="110"/>
      <c r="AR63" s="139"/>
      <c r="AS63" s="140" t="e">
        <f t="shared" si="1456"/>
        <v>#DIV/0!</v>
      </c>
      <c r="AT63" s="198">
        <f t="shared" si="1437"/>
        <v>0</v>
      </c>
      <c r="AU63" s="225">
        <f t="shared" si="1457"/>
        <v>0</v>
      </c>
      <c r="AV63" s="226">
        <f t="shared" si="1458"/>
        <v>0</v>
      </c>
      <c r="AW63" s="137">
        <f t="shared" si="1459"/>
        <v>0</v>
      </c>
      <c r="AX63" s="227">
        <f t="shared" si="1441"/>
        <v>6.88</v>
      </c>
      <c r="AY63" s="138">
        <f t="shared" si="1460"/>
        <v>0</v>
      </c>
      <c r="AZ63" s="110">
        <f t="shared" si="1461"/>
        <v>0</v>
      </c>
      <c r="BA63" s="110"/>
      <c r="BB63" s="139"/>
      <c r="BC63" s="140" t="e">
        <f t="shared" si="1462"/>
        <v>#DIV/0!</v>
      </c>
      <c r="BD63" s="198">
        <f t="shared" si="1437"/>
        <v>0</v>
      </c>
      <c r="BE63" s="225">
        <f t="shared" si="1463"/>
        <v>0</v>
      </c>
      <c r="BF63" s="226">
        <f t="shared" si="1464"/>
        <v>0</v>
      </c>
      <c r="BG63" s="137">
        <f t="shared" si="1465"/>
        <v>0</v>
      </c>
      <c r="BH63" s="227">
        <f t="shared" si="1441"/>
        <v>9.74</v>
      </c>
      <c r="BI63" s="138">
        <f t="shared" si="1466"/>
        <v>0</v>
      </c>
      <c r="BJ63" s="110">
        <f t="shared" si="1467"/>
        <v>0</v>
      </c>
      <c r="BK63" s="110"/>
      <c r="BL63" s="139"/>
      <c r="BM63" s="140" t="e">
        <f t="shared" si="1468"/>
        <v>#DIV/0!</v>
      </c>
      <c r="BN63" s="198">
        <f t="shared" si="1437"/>
        <v>0</v>
      </c>
      <c r="BO63" s="225">
        <f t="shared" si="1469"/>
        <v>0</v>
      </c>
      <c r="BP63" s="226">
        <f t="shared" si="1470"/>
        <v>0</v>
      </c>
      <c r="BQ63" s="137">
        <f t="shared" si="1471"/>
        <v>0</v>
      </c>
      <c r="BR63" s="227">
        <f t="shared" si="1441"/>
        <v>10.32</v>
      </c>
      <c r="BS63" s="138">
        <f t="shared" si="1472"/>
        <v>0</v>
      </c>
      <c r="BT63" s="110">
        <f t="shared" si="1473"/>
        <v>0</v>
      </c>
      <c r="BU63" s="110"/>
      <c r="BV63" s="139"/>
      <c r="BW63" s="140" t="e">
        <f t="shared" si="1474"/>
        <v>#DIV/0!</v>
      </c>
      <c r="BX63" s="198">
        <f t="shared" si="1437"/>
        <v>0</v>
      </c>
      <c r="BY63" s="225">
        <f t="shared" si="1475"/>
        <v>0</v>
      </c>
      <c r="BZ63" s="226">
        <f t="shared" si="1476"/>
        <v>0</v>
      </c>
      <c r="CA63" s="137">
        <f t="shared" si="1477"/>
        <v>0</v>
      </c>
      <c r="CB63" s="227">
        <f t="shared" si="1441"/>
        <v>7.89</v>
      </c>
      <c r="CC63" s="138">
        <f t="shared" si="1478"/>
        <v>0</v>
      </c>
      <c r="CD63" s="110">
        <f t="shared" si="1479"/>
        <v>0</v>
      </c>
      <c r="CE63" s="110"/>
      <c r="CF63" s="139"/>
      <c r="CG63" s="140" t="e">
        <f t="shared" si="1480"/>
        <v>#DIV/0!</v>
      </c>
      <c r="CH63" s="198">
        <f t="shared" si="1481"/>
        <v>0</v>
      </c>
      <c r="CI63" s="225">
        <f t="shared" si="1482"/>
        <v>0</v>
      </c>
      <c r="CJ63" s="226">
        <f t="shared" si="1483"/>
        <v>0</v>
      </c>
      <c r="CK63" s="137">
        <f t="shared" si="1484"/>
        <v>0</v>
      </c>
      <c r="CL63" s="227">
        <f t="shared" si="1485"/>
        <v>8.24</v>
      </c>
      <c r="CM63" s="138">
        <f t="shared" si="1486"/>
        <v>0</v>
      </c>
      <c r="CN63" s="110">
        <f t="shared" si="1487"/>
        <v>0</v>
      </c>
      <c r="CO63" s="110"/>
      <c r="CP63" s="139"/>
      <c r="CQ63" s="140" t="e">
        <f t="shared" si="1488"/>
        <v>#DIV/0!</v>
      </c>
      <c r="CR63" s="198">
        <f t="shared" si="1481"/>
        <v>0</v>
      </c>
      <c r="CS63" s="225">
        <f t="shared" si="1489"/>
        <v>0</v>
      </c>
      <c r="CT63" s="226">
        <f t="shared" si="1490"/>
        <v>0</v>
      </c>
      <c r="CU63" s="137">
        <f t="shared" si="1491"/>
        <v>0</v>
      </c>
      <c r="CV63" s="227">
        <f t="shared" si="1485"/>
        <v>8.92</v>
      </c>
      <c r="CW63" s="138">
        <f t="shared" si="1492"/>
        <v>0</v>
      </c>
      <c r="CX63" s="110">
        <f t="shared" si="1493"/>
        <v>0</v>
      </c>
      <c r="CY63" s="110"/>
      <c r="CZ63" s="139"/>
      <c r="DA63" s="140" t="e">
        <f t="shared" si="1494"/>
        <v>#DIV/0!</v>
      </c>
      <c r="DB63" s="198">
        <f t="shared" si="1481"/>
        <v>0</v>
      </c>
      <c r="DC63" s="225">
        <f t="shared" si="1495"/>
        <v>0</v>
      </c>
      <c r="DD63" s="226">
        <f t="shared" si="1496"/>
        <v>0</v>
      </c>
      <c r="DE63" s="137">
        <f t="shared" si="1497"/>
        <v>0</v>
      </c>
      <c r="DF63" s="227">
        <f t="shared" si="1485"/>
        <v>7.48</v>
      </c>
      <c r="DG63" s="138">
        <f t="shared" si="1498"/>
        <v>0</v>
      </c>
      <c r="DH63" s="110">
        <f t="shared" si="1499"/>
        <v>0</v>
      </c>
      <c r="DI63" s="110"/>
      <c r="DJ63" s="139"/>
      <c r="DK63" s="140" t="e">
        <f t="shared" si="1500"/>
        <v>#DIV/0!</v>
      </c>
      <c r="DL63" s="198">
        <f t="shared" si="1481"/>
        <v>0</v>
      </c>
      <c r="DM63" s="225">
        <f t="shared" si="1501"/>
        <v>0</v>
      </c>
      <c r="DN63" s="226">
        <f t="shared" si="1502"/>
        <v>0</v>
      </c>
      <c r="DO63" s="137">
        <f t="shared" si="1503"/>
        <v>0</v>
      </c>
      <c r="DP63" s="227">
        <f t="shared" si="1485"/>
        <v>8.2200000000000006</v>
      </c>
      <c r="DQ63" s="138">
        <f t="shared" si="1504"/>
        <v>0</v>
      </c>
      <c r="DR63" s="110">
        <f t="shared" si="1505"/>
        <v>0</v>
      </c>
      <c r="DS63" s="110"/>
      <c r="DT63" s="139"/>
      <c r="DU63" s="140" t="e">
        <f t="shared" si="1506"/>
        <v>#DIV/0!</v>
      </c>
      <c r="DV63" s="198">
        <f t="shared" si="1481"/>
        <v>0</v>
      </c>
      <c r="DW63" s="225">
        <f t="shared" si="1507"/>
        <v>0</v>
      </c>
      <c r="DX63" s="226">
        <f t="shared" si="1508"/>
        <v>0</v>
      </c>
      <c r="DY63" s="137">
        <f t="shared" si="1509"/>
        <v>0</v>
      </c>
      <c r="DZ63" s="227">
        <f t="shared" si="1485"/>
        <v>7.91</v>
      </c>
      <c r="EA63" s="138">
        <f t="shared" si="1510"/>
        <v>0</v>
      </c>
      <c r="EB63" s="110">
        <f t="shared" si="1511"/>
        <v>0</v>
      </c>
      <c r="EC63" s="110"/>
      <c r="ED63" s="139"/>
      <c r="EE63" s="140" t="e">
        <f t="shared" si="1512"/>
        <v>#DIV/0!</v>
      </c>
      <c r="EF63" s="198">
        <f t="shared" si="1481"/>
        <v>0</v>
      </c>
      <c r="EG63" s="225">
        <f t="shared" si="1513"/>
        <v>0</v>
      </c>
      <c r="EH63" s="226">
        <f t="shared" si="1514"/>
        <v>0</v>
      </c>
      <c r="EI63" s="137">
        <f t="shared" si="1515"/>
        <v>0</v>
      </c>
      <c r="EJ63" s="227">
        <f t="shared" si="1485"/>
        <v>7.63</v>
      </c>
      <c r="EK63" s="138">
        <f t="shared" si="1516"/>
        <v>0</v>
      </c>
      <c r="EL63" s="110">
        <f t="shared" si="1517"/>
        <v>0</v>
      </c>
      <c r="EM63" s="110"/>
      <c r="EN63" s="139"/>
      <c r="EO63" s="140" t="e">
        <f t="shared" si="1518"/>
        <v>#DIV/0!</v>
      </c>
      <c r="EP63" s="198">
        <f t="shared" si="1481"/>
        <v>0</v>
      </c>
      <c r="EQ63" s="225">
        <f t="shared" si="1519"/>
        <v>0</v>
      </c>
      <c r="ER63" s="226">
        <f t="shared" si="1520"/>
        <v>0</v>
      </c>
      <c r="ES63" s="137">
        <f t="shared" si="1521"/>
        <v>0</v>
      </c>
      <c r="ET63" s="227">
        <f t="shared" si="1485"/>
        <v>7.95</v>
      </c>
      <c r="EU63" s="138">
        <f t="shared" si="1522"/>
        <v>0</v>
      </c>
      <c r="EV63" s="110">
        <f t="shared" si="1523"/>
        <v>0</v>
      </c>
      <c r="EW63" s="110"/>
      <c r="EX63" s="139"/>
      <c r="EY63" s="140" t="e">
        <f t="shared" si="1524"/>
        <v>#DIV/0!</v>
      </c>
      <c r="EZ63" s="198">
        <f t="shared" si="1525"/>
        <v>0</v>
      </c>
      <c r="FA63" s="225">
        <f t="shared" si="1526"/>
        <v>0</v>
      </c>
      <c r="FB63" s="226">
        <f t="shared" si="1527"/>
        <v>0</v>
      </c>
      <c r="FC63" s="137">
        <f t="shared" si="1528"/>
        <v>0</v>
      </c>
      <c r="FD63" s="227">
        <f t="shared" si="1529"/>
        <v>10.210000000000001</v>
      </c>
      <c r="FE63" s="138">
        <f t="shared" si="1530"/>
        <v>0</v>
      </c>
      <c r="FF63" s="110">
        <f t="shared" si="1531"/>
        <v>0</v>
      </c>
      <c r="FG63" s="110"/>
      <c r="FH63" s="139"/>
      <c r="FI63" s="140" t="e">
        <f t="shared" si="1532"/>
        <v>#DIV/0!</v>
      </c>
      <c r="FJ63" s="198">
        <f t="shared" si="1525"/>
        <v>0</v>
      </c>
      <c r="FK63" s="225">
        <f t="shared" si="1533"/>
        <v>0</v>
      </c>
      <c r="FL63" s="226">
        <f t="shared" si="1534"/>
        <v>0</v>
      </c>
      <c r="FM63" s="137">
        <f t="shared" si="1535"/>
        <v>0</v>
      </c>
      <c r="FN63" s="227">
        <f t="shared" si="1529"/>
        <v>9.52</v>
      </c>
      <c r="FO63" s="138">
        <f t="shared" si="1536"/>
        <v>0</v>
      </c>
      <c r="FP63" s="110">
        <f t="shared" si="1537"/>
        <v>0</v>
      </c>
      <c r="FQ63" s="110"/>
      <c r="FR63" s="139"/>
      <c r="FS63" s="140" t="e">
        <f t="shared" si="1538"/>
        <v>#DIV/0!</v>
      </c>
      <c r="FT63" s="198">
        <f t="shared" si="1525"/>
        <v>0</v>
      </c>
      <c r="FU63" s="225">
        <f t="shared" si="1539"/>
        <v>0</v>
      </c>
      <c r="FV63" s="226">
        <f t="shared" si="1540"/>
        <v>0</v>
      </c>
      <c r="FW63" s="137">
        <f t="shared" si="1541"/>
        <v>0</v>
      </c>
      <c r="FX63" s="227">
        <f t="shared" si="1529"/>
        <v>9.57</v>
      </c>
      <c r="FY63" s="138">
        <f t="shared" si="1542"/>
        <v>0</v>
      </c>
      <c r="FZ63" s="110">
        <f t="shared" si="1543"/>
        <v>0</v>
      </c>
      <c r="GA63" s="110"/>
      <c r="GB63" s="139"/>
      <c r="GC63" s="140" t="e">
        <f t="shared" si="1544"/>
        <v>#DIV/0!</v>
      </c>
      <c r="GD63" s="198">
        <f t="shared" si="1525"/>
        <v>0</v>
      </c>
      <c r="GE63" s="225">
        <f t="shared" si="1545"/>
        <v>0</v>
      </c>
      <c r="GF63" s="226">
        <f t="shared" si="1546"/>
        <v>0</v>
      </c>
      <c r="GG63" s="137">
        <f t="shared" si="1547"/>
        <v>0</v>
      </c>
      <c r="GH63" s="227">
        <f t="shared" si="1529"/>
        <v>8.39</v>
      </c>
      <c r="GI63" s="138">
        <f t="shared" si="1548"/>
        <v>0</v>
      </c>
      <c r="GJ63" s="110">
        <f t="shared" si="1549"/>
        <v>0</v>
      </c>
      <c r="GK63" s="110"/>
      <c r="GL63" s="139"/>
      <c r="GM63" s="140" t="e">
        <f t="shared" si="1550"/>
        <v>#DIV/0!</v>
      </c>
      <c r="GN63" s="198">
        <f t="shared" si="1525"/>
        <v>0</v>
      </c>
      <c r="GO63" s="225">
        <f t="shared" si="1551"/>
        <v>0</v>
      </c>
      <c r="GP63" s="226">
        <f t="shared" si="1552"/>
        <v>0</v>
      </c>
      <c r="GQ63" s="137">
        <f t="shared" si="1553"/>
        <v>0</v>
      </c>
      <c r="GR63" s="227">
        <f t="shared" si="1529"/>
        <v>7.63</v>
      </c>
      <c r="GS63" s="138">
        <f t="shared" si="1554"/>
        <v>0</v>
      </c>
      <c r="GT63" s="110">
        <f t="shared" si="1555"/>
        <v>0</v>
      </c>
      <c r="GU63" s="110"/>
      <c r="GV63" s="139"/>
      <c r="GW63" s="140" t="e">
        <f t="shared" si="1556"/>
        <v>#DIV/0!</v>
      </c>
      <c r="GX63" s="198">
        <f t="shared" si="1525"/>
        <v>0</v>
      </c>
      <c r="GY63" s="225">
        <f t="shared" si="1557"/>
        <v>0</v>
      </c>
      <c r="GZ63" s="226">
        <f t="shared" si="1558"/>
        <v>0</v>
      </c>
      <c r="HA63" s="137">
        <f t="shared" si="1559"/>
        <v>0</v>
      </c>
      <c r="HB63" s="227">
        <f t="shared" si="1529"/>
        <v>4.8899999999999997</v>
      </c>
      <c r="HC63" s="138">
        <f t="shared" si="1560"/>
        <v>0</v>
      </c>
      <c r="HD63" s="110">
        <f t="shared" si="1561"/>
        <v>0</v>
      </c>
      <c r="HE63" s="110"/>
      <c r="HF63" s="139"/>
      <c r="HG63" s="140" t="e">
        <f t="shared" si="1562"/>
        <v>#DIV/0!</v>
      </c>
      <c r="HH63" s="198">
        <f t="shared" si="1525"/>
        <v>0</v>
      </c>
      <c r="HI63" s="225">
        <f t="shared" si="1563"/>
        <v>0</v>
      </c>
      <c r="HJ63" s="226">
        <f t="shared" si="1564"/>
        <v>0</v>
      </c>
      <c r="HK63" s="137">
        <f t="shared" si="1565"/>
        <v>0</v>
      </c>
      <c r="HL63" s="227">
        <f t="shared" si="1529"/>
        <v>5.98</v>
      </c>
      <c r="HM63" s="138">
        <f t="shared" si="1566"/>
        <v>0</v>
      </c>
      <c r="HN63" s="110">
        <f t="shared" si="1567"/>
        <v>0</v>
      </c>
      <c r="HO63" s="110"/>
      <c r="HP63" s="139"/>
      <c r="HQ63" s="140" t="e">
        <f t="shared" si="1568"/>
        <v>#DIV/0!</v>
      </c>
      <c r="HR63" s="198">
        <f t="shared" si="1569"/>
        <v>0</v>
      </c>
      <c r="HS63" s="225">
        <f t="shared" si="1570"/>
        <v>0</v>
      </c>
      <c r="HT63" s="226">
        <f t="shared" si="1571"/>
        <v>0</v>
      </c>
      <c r="HU63" s="137">
        <f t="shared" si="1572"/>
        <v>0</v>
      </c>
      <c r="HV63" s="227">
        <f t="shared" si="1573"/>
        <v>9.76</v>
      </c>
      <c r="HW63" s="138">
        <f t="shared" si="1574"/>
        <v>0</v>
      </c>
      <c r="HX63" s="110">
        <f t="shared" si="1575"/>
        <v>0</v>
      </c>
      <c r="HY63" s="110"/>
      <c r="HZ63" s="139"/>
      <c r="IA63" s="140" t="e">
        <f t="shared" si="1576"/>
        <v>#DIV/0!</v>
      </c>
      <c r="IB63" s="198">
        <f t="shared" si="1569"/>
        <v>0</v>
      </c>
      <c r="IC63" s="225">
        <f t="shared" si="1577"/>
        <v>0</v>
      </c>
      <c r="ID63" s="226">
        <f t="shared" si="1578"/>
        <v>0</v>
      </c>
      <c r="IE63" s="137">
        <f t="shared" si="1579"/>
        <v>0</v>
      </c>
      <c r="IF63" s="227">
        <f t="shared" si="1573"/>
        <v>7.76</v>
      </c>
      <c r="IG63" s="138">
        <f t="shared" si="1580"/>
        <v>0</v>
      </c>
      <c r="IH63" s="110">
        <f t="shared" si="1581"/>
        <v>0</v>
      </c>
      <c r="II63" s="110"/>
      <c r="IJ63" s="139"/>
      <c r="IK63" s="140" t="e">
        <f t="shared" si="1582"/>
        <v>#DIV/0!</v>
      </c>
      <c r="IL63" s="198">
        <f t="shared" si="1569"/>
        <v>0</v>
      </c>
      <c r="IM63" s="225">
        <f t="shared" si="1583"/>
        <v>0</v>
      </c>
      <c r="IN63" s="226">
        <f t="shared" si="1584"/>
        <v>0</v>
      </c>
      <c r="IO63" s="137">
        <f t="shared" si="1585"/>
        <v>0</v>
      </c>
      <c r="IP63" s="227">
        <f t="shared" si="1573"/>
        <v>7.4</v>
      </c>
      <c r="IQ63" s="138">
        <f t="shared" si="1586"/>
        <v>0</v>
      </c>
      <c r="IR63" s="110">
        <f t="shared" si="1587"/>
        <v>0</v>
      </c>
      <c r="IS63" s="110"/>
      <c r="IT63" s="139"/>
      <c r="IU63" s="140" t="e">
        <f t="shared" si="1588"/>
        <v>#DIV/0!</v>
      </c>
      <c r="IV63" s="198">
        <f t="shared" si="1569"/>
        <v>0</v>
      </c>
      <c r="IW63" s="225">
        <f t="shared" si="1589"/>
        <v>0</v>
      </c>
      <c r="IX63" s="226">
        <f t="shared" si="1590"/>
        <v>0</v>
      </c>
      <c r="IY63" s="137">
        <f t="shared" si="1591"/>
        <v>0</v>
      </c>
      <c r="IZ63" s="227">
        <f t="shared" si="1573"/>
        <v>9.64</v>
      </c>
      <c r="JA63" s="138">
        <f t="shared" si="1592"/>
        <v>0</v>
      </c>
      <c r="JB63" s="110">
        <f t="shared" si="1593"/>
        <v>0</v>
      </c>
      <c r="JC63" s="110"/>
      <c r="JD63" s="139"/>
      <c r="JE63" s="140" t="e">
        <f t="shared" si="1594"/>
        <v>#DIV/0!</v>
      </c>
      <c r="JF63" s="198">
        <f t="shared" si="1569"/>
        <v>0</v>
      </c>
      <c r="JG63" s="225">
        <f t="shared" si="1595"/>
        <v>0</v>
      </c>
      <c r="JH63" s="226">
        <f t="shared" si="1596"/>
        <v>0</v>
      </c>
      <c r="JI63" s="137">
        <f t="shared" si="1597"/>
        <v>0</v>
      </c>
      <c r="JJ63" s="227">
        <f t="shared" si="1573"/>
        <v>9.1</v>
      </c>
      <c r="JK63" s="138">
        <f t="shared" si="1598"/>
        <v>0</v>
      </c>
      <c r="JL63" s="110">
        <f t="shared" si="1599"/>
        <v>0</v>
      </c>
      <c r="JM63" s="110"/>
      <c r="JN63" s="139"/>
      <c r="JO63" s="140" t="e">
        <f t="shared" si="1600"/>
        <v>#DIV/0!</v>
      </c>
      <c r="JP63" s="198">
        <f t="shared" si="1569"/>
        <v>0</v>
      </c>
      <c r="JQ63" s="225">
        <f t="shared" si="1601"/>
        <v>0</v>
      </c>
      <c r="JR63" s="226">
        <f t="shared" si="1602"/>
        <v>0</v>
      </c>
      <c r="JS63" s="137">
        <f t="shared" si="1603"/>
        <v>0</v>
      </c>
      <c r="JT63" s="227">
        <f t="shared" si="1573"/>
        <v>10.15</v>
      </c>
      <c r="JU63" s="138">
        <f t="shared" si="1604"/>
        <v>0</v>
      </c>
      <c r="JV63" s="110">
        <f t="shared" si="1605"/>
        <v>0</v>
      </c>
      <c r="JW63" s="110"/>
      <c r="JX63" s="139"/>
      <c r="JY63" s="140" t="e">
        <f t="shared" si="1606"/>
        <v>#DIV/0!</v>
      </c>
      <c r="JZ63" s="198">
        <f t="shared" si="1569"/>
        <v>0</v>
      </c>
      <c r="KA63" s="225">
        <f t="shared" si="1607"/>
        <v>0</v>
      </c>
      <c r="KB63" s="226">
        <f t="shared" si="1608"/>
        <v>0</v>
      </c>
      <c r="KC63" s="137">
        <f t="shared" si="1609"/>
        <v>0</v>
      </c>
      <c r="KD63" s="227">
        <f t="shared" si="1573"/>
        <v>8.14</v>
      </c>
      <c r="KE63" s="138">
        <f t="shared" si="1610"/>
        <v>0</v>
      </c>
      <c r="KF63" s="110">
        <f t="shared" si="1611"/>
        <v>0</v>
      </c>
      <c r="KG63" s="110"/>
      <c r="KH63" s="139"/>
      <c r="KI63" s="140" t="e">
        <f t="shared" si="1612"/>
        <v>#DIV/0!</v>
      </c>
      <c r="KJ63" s="198">
        <f t="shared" si="1613"/>
        <v>0</v>
      </c>
      <c r="KK63" s="225">
        <f t="shared" si="1614"/>
        <v>0</v>
      </c>
      <c r="KL63" s="226">
        <f t="shared" si="1615"/>
        <v>0</v>
      </c>
      <c r="KM63" s="137">
        <f t="shared" si="1616"/>
        <v>0</v>
      </c>
      <c r="KN63" s="227">
        <f t="shared" si="1617"/>
        <v>9.02</v>
      </c>
      <c r="KO63" s="138">
        <f t="shared" si="1618"/>
        <v>0</v>
      </c>
      <c r="KP63" s="110">
        <f t="shared" si="1619"/>
        <v>0</v>
      </c>
      <c r="KQ63" s="110"/>
      <c r="KR63" s="139"/>
      <c r="KS63" s="140" t="e">
        <f t="shared" si="1620"/>
        <v>#DIV/0!</v>
      </c>
      <c r="KT63" s="198">
        <f t="shared" si="1613"/>
        <v>0</v>
      </c>
      <c r="KU63" s="225">
        <f t="shared" si="1621"/>
        <v>0</v>
      </c>
      <c r="KV63" s="226">
        <f t="shared" si="1622"/>
        <v>0</v>
      </c>
      <c r="KW63" s="137">
        <f t="shared" si="1623"/>
        <v>0</v>
      </c>
      <c r="KX63" s="227">
        <f t="shared" si="1617"/>
        <v>9.94</v>
      </c>
      <c r="KY63" s="138">
        <f t="shared" si="1624"/>
        <v>0</v>
      </c>
      <c r="KZ63" s="110">
        <f t="shared" si="1625"/>
        <v>0</v>
      </c>
      <c r="LA63" s="110"/>
      <c r="LB63" s="139"/>
      <c r="LC63" s="140" t="e">
        <f t="shared" si="1626"/>
        <v>#DIV/0!</v>
      </c>
      <c r="LD63" s="197">
        <f t="shared" si="1235"/>
        <v>0</v>
      </c>
      <c r="LE63" s="225">
        <f t="shared" si="1236"/>
        <v>0</v>
      </c>
      <c r="LF63" s="226">
        <f t="shared" si="1237"/>
        <v>0</v>
      </c>
      <c r="LG63" s="137">
        <f t="shared" si="1238"/>
        <v>0</v>
      </c>
      <c r="LH63" s="227">
        <f t="shared" si="1239"/>
        <v>8.4600000000000009</v>
      </c>
      <c r="LI63" s="138">
        <f t="shared" si="1240"/>
        <v>0</v>
      </c>
      <c r="LJ63" s="110">
        <f t="shared" si="1241"/>
        <v>0</v>
      </c>
      <c r="LK63" s="110"/>
      <c r="LL63" s="139"/>
    </row>
    <row r="64" spans="1:324" ht="18" customHeight="1" x14ac:dyDescent="0.25">
      <c r="A64" s="246"/>
      <c r="B64" s="12" t="s">
        <v>626</v>
      </c>
      <c r="C64" s="12" t="s">
        <v>728</v>
      </c>
      <c r="D64" s="12" t="s">
        <v>430</v>
      </c>
      <c r="E64" s="4" t="s">
        <v>33</v>
      </c>
      <c r="F64" s="198">
        <f t="shared" si="1436"/>
        <v>0</v>
      </c>
      <c r="G64" s="225">
        <f t="shared" si="1242"/>
        <v>0</v>
      </c>
      <c r="H64" s="226">
        <f t="shared" si="1243"/>
        <v>0</v>
      </c>
      <c r="I64" s="137">
        <f t="shared" si="1016"/>
        <v>0</v>
      </c>
      <c r="J64" s="227">
        <f t="shared" si="1244"/>
        <v>7.57</v>
      </c>
      <c r="K64" s="138">
        <f t="shared" si="1017"/>
        <v>0</v>
      </c>
      <c r="L64" s="110">
        <f t="shared" si="1018"/>
        <v>0</v>
      </c>
      <c r="M64" s="110"/>
      <c r="N64" s="139"/>
      <c r="O64" s="140">
        <f t="shared" si="1019"/>
        <v>0</v>
      </c>
      <c r="P64" s="198">
        <f t="shared" si="1437"/>
        <v>0</v>
      </c>
      <c r="Q64" s="225">
        <f t="shared" si="1438"/>
        <v>0</v>
      </c>
      <c r="R64" s="226">
        <f t="shared" si="1439"/>
        <v>0</v>
      </c>
      <c r="S64" s="137">
        <f t="shared" si="1440"/>
        <v>0</v>
      </c>
      <c r="T64" s="227">
        <f t="shared" si="1441"/>
        <v>8.23</v>
      </c>
      <c r="U64" s="138">
        <f t="shared" si="1442"/>
        <v>0</v>
      </c>
      <c r="V64" s="110">
        <f t="shared" si="1443"/>
        <v>0</v>
      </c>
      <c r="W64" s="110"/>
      <c r="X64" s="139"/>
      <c r="Y64" s="140">
        <f t="shared" si="1444"/>
        <v>0</v>
      </c>
      <c r="Z64" s="198">
        <f t="shared" si="1437"/>
        <v>0</v>
      </c>
      <c r="AA64" s="225">
        <f t="shared" si="1445"/>
        <v>0</v>
      </c>
      <c r="AB64" s="226">
        <f t="shared" si="1446"/>
        <v>0</v>
      </c>
      <c r="AC64" s="137">
        <f t="shared" si="1447"/>
        <v>0</v>
      </c>
      <c r="AD64" s="227">
        <f t="shared" si="1441"/>
        <v>8.8000000000000007</v>
      </c>
      <c r="AE64" s="138">
        <f t="shared" si="1448"/>
        <v>0</v>
      </c>
      <c r="AF64" s="110">
        <f t="shared" si="1449"/>
        <v>0</v>
      </c>
      <c r="AG64" s="110"/>
      <c r="AH64" s="139"/>
      <c r="AI64" s="140">
        <f t="shared" si="1450"/>
        <v>0</v>
      </c>
      <c r="AJ64" s="198">
        <f t="shared" si="1437"/>
        <v>0</v>
      </c>
      <c r="AK64" s="225">
        <f t="shared" si="1451"/>
        <v>0</v>
      </c>
      <c r="AL64" s="226">
        <f t="shared" si="1452"/>
        <v>0</v>
      </c>
      <c r="AM64" s="137">
        <f t="shared" si="1453"/>
        <v>0</v>
      </c>
      <c r="AN64" s="227">
        <f t="shared" si="1441"/>
        <v>7.52</v>
      </c>
      <c r="AO64" s="138">
        <f t="shared" si="1454"/>
        <v>0</v>
      </c>
      <c r="AP64" s="110">
        <f t="shared" si="1455"/>
        <v>0</v>
      </c>
      <c r="AQ64" s="110"/>
      <c r="AR64" s="139"/>
      <c r="AS64" s="140">
        <f t="shared" si="1456"/>
        <v>0</v>
      </c>
      <c r="AT64" s="198">
        <f t="shared" si="1437"/>
        <v>0</v>
      </c>
      <c r="AU64" s="225">
        <f t="shared" si="1457"/>
        <v>0</v>
      </c>
      <c r="AV64" s="226">
        <f t="shared" si="1458"/>
        <v>0</v>
      </c>
      <c r="AW64" s="137">
        <f t="shared" si="1459"/>
        <v>0</v>
      </c>
      <c r="AX64" s="227">
        <f t="shared" si="1441"/>
        <v>6.88</v>
      </c>
      <c r="AY64" s="138">
        <f t="shared" si="1460"/>
        <v>0</v>
      </c>
      <c r="AZ64" s="110">
        <f t="shared" si="1461"/>
        <v>0</v>
      </c>
      <c r="BA64" s="110"/>
      <c r="BB64" s="139"/>
      <c r="BC64" s="140">
        <f t="shared" si="1462"/>
        <v>0</v>
      </c>
      <c r="BD64" s="198">
        <f t="shared" si="1437"/>
        <v>0</v>
      </c>
      <c r="BE64" s="225">
        <f t="shared" si="1463"/>
        <v>0</v>
      </c>
      <c r="BF64" s="226">
        <f t="shared" si="1464"/>
        <v>0</v>
      </c>
      <c r="BG64" s="137">
        <f t="shared" si="1465"/>
        <v>0</v>
      </c>
      <c r="BH64" s="227">
        <f t="shared" si="1441"/>
        <v>9.74</v>
      </c>
      <c r="BI64" s="138">
        <f t="shared" si="1466"/>
        <v>0</v>
      </c>
      <c r="BJ64" s="110">
        <f t="shared" si="1467"/>
        <v>0</v>
      </c>
      <c r="BK64" s="110"/>
      <c r="BL64" s="139"/>
      <c r="BM64" s="140">
        <f t="shared" si="1468"/>
        <v>0</v>
      </c>
      <c r="BN64" s="198">
        <f t="shared" si="1437"/>
        <v>0</v>
      </c>
      <c r="BO64" s="225">
        <f t="shared" si="1469"/>
        <v>0</v>
      </c>
      <c r="BP64" s="226">
        <f t="shared" si="1470"/>
        <v>0</v>
      </c>
      <c r="BQ64" s="137">
        <f t="shared" si="1471"/>
        <v>0</v>
      </c>
      <c r="BR64" s="227">
        <f t="shared" si="1441"/>
        <v>10.32</v>
      </c>
      <c r="BS64" s="138">
        <f t="shared" si="1472"/>
        <v>0</v>
      </c>
      <c r="BT64" s="110">
        <f t="shared" si="1473"/>
        <v>0</v>
      </c>
      <c r="BU64" s="110"/>
      <c r="BV64" s="139"/>
      <c r="BW64" s="140">
        <f t="shared" si="1474"/>
        <v>0</v>
      </c>
      <c r="BX64" s="198">
        <f t="shared" si="1437"/>
        <v>0</v>
      </c>
      <c r="BY64" s="225">
        <f t="shared" si="1475"/>
        <v>0</v>
      </c>
      <c r="BZ64" s="226">
        <f t="shared" si="1476"/>
        <v>0</v>
      </c>
      <c r="CA64" s="137">
        <f t="shared" si="1477"/>
        <v>0</v>
      </c>
      <c r="CB64" s="227">
        <f t="shared" si="1441"/>
        <v>7.89</v>
      </c>
      <c r="CC64" s="138">
        <f t="shared" si="1478"/>
        <v>0</v>
      </c>
      <c r="CD64" s="110">
        <f t="shared" si="1479"/>
        <v>0</v>
      </c>
      <c r="CE64" s="110"/>
      <c r="CF64" s="139"/>
      <c r="CG64" s="140">
        <f t="shared" si="1480"/>
        <v>0</v>
      </c>
      <c r="CH64" s="198">
        <f t="shared" si="1481"/>
        <v>0</v>
      </c>
      <c r="CI64" s="225">
        <f t="shared" si="1482"/>
        <v>0</v>
      </c>
      <c r="CJ64" s="226">
        <f t="shared" si="1483"/>
        <v>0</v>
      </c>
      <c r="CK64" s="137">
        <f t="shared" si="1484"/>
        <v>0</v>
      </c>
      <c r="CL64" s="227">
        <f t="shared" si="1485"/>
        <v>8.24</v>
      </c>
      <c r="CM64" s="138">
        <f t="shared" si="1486"/>
        <v>0</v>
      </c>
      <c r="CN64" s="110">
        <f t="shared" si="1487"/>
        <v>0</v>
      </c>
      <c r="CO64" s="110"/>
      <c r="CP64" s="139"/>
      <c r="CQ64" s="140">
        <f t="shared" si="1488"/>
        <v>0</v>
      </c>
      <c r="CR64" s="198">
        <f t="shared" si="1481"/>
        <v>1</v>
      </c>
      <c r="CS64" s="225">
        <f t="shared" si="1489"/>
        <v>1.34E-3</v>
      </c>
      <c r="CT64" s="226">
        <f t="shared" si="1490"/>
        <v>84.74</v>
      </c>
      <c r="CU64" s="137">
        <f t="shared" si="1491"/>
        <v>84.74</v>
      </c>
      <c r="CV64" s="227">
        <f t="shared" si="1485"/>
        <v>8.92</v>
      </c>
      <c r="CW64" s="138">
        <f t="shared" si="1492"/>
        <v>755.88080000000002</v>
      </c>
      <c r="CX64" s="110">
        <f t="shared" si="1493"/>
        <v>755.88</v>
      </c>
      <c r="CY64" s="110"/>
      <c r="CZ64" s="139"/>
      <c r="DA64" s="140">
        <f t="shared" si="1494"/>
        <v>0.94884000000000002</v>
      </c>
      <c r="DB64" s="198">
        <f t="shared" si="1481"/>
        <v>1</v>
      </c>
      <c r="DC64" s="225">
        <f t="shared" si="1495"/>
        <v>1.2099999999999999E-3</v>
      </c>
      <c r="DD64" s="226">
        <f t="shared" si="1496"/>
        <v>63.23</v>
      </c>
      <c r="DE64" s="137">
        <f t="shared" si="1497"/>
        <v>63.23</v>
      </c>
      <c r="DF64" s="227">
        <f t="shared" si="1485"/>
        <v>7.48</v>
      </c>
      <c r="DG64" s="138">
        <f t="shared" si="1498"/>
        <v>472.96039999999999</v>
      </c>
      <c r="DH64" s="110">
        <f t="shared" si="1499"/>
        <v>472.96</v>
      </c>
      <c r="DI64" s="110"/>
      <c r="DJ64" s="139"/>
      <c r="DK64" s="140">
        <f t="shared" si="1500"/>
        <v>0.59370000000000001</v>
      </c>
      <c r="DL64" s="198">
        <f t="shared" si="1481"/>
        <v>0</v>
      </c>
      <c r="DM64" s="225">
        <f t="shared" si="1501"/>
        <v>0</v>
      </c>
      <c r="DN64" s="226">
        <f t="shared" si="1502"/>
        <v>0</v>
      </c>
      <c r="DO64" s="137">
        <f t="shared" si="1503"/>
        <v>0</v>
      </c>
      <c r="DP64" s="227">
        <f t="shared" si="1485"/>
        <v>8.2200000000000006</v>
      </c>
      <c r="DQ64" s="138">
        <f t="shared" si="1504"/>
        <v>0</v>
      </c>
      <c r="DR64" s="110">
        <f t="shared" si="1505"/>
        <v>0</v>
      </c>
      <c r="DS64" s="110"/>
      <c r="DT64" s="139"/>
      <c r="DU64" s="140">
        <f t="shared" si="1506"/>
        <v>0</v>
      </c>
      <c r="DV64" s="198">
        <f t="shared" si="1481"/>
        <v>0</v>
      </c>
      <c r="DW64" s="225">
        <f t="shared" si="1507"/>
        <v>0</v>
      </c>
      <c r="DX64" s="226">
        <f t="shared" si="1508"/>
        <v>0</v>
      </c>
      <c r="DY64" s="137">
        <f t="shared" si="1509"/>
        <v>0</v>
      </c>
      <c r="DZ64" s="227">
        <f t="shared" si="1485"/>
        <v>7.91</v>
      </c>
      <c r="EA64" s="138">
        <f t="shared" si="1510"/>
        <v>0</v>
      </c>
      <c r="EB64" s="110">
        <f t="shared" si="1511"/>
        <v>0</v>
      </c>
      <c r="EC64" s="110"/>
      <c r="ED64" s="139"/>
      <c r="EE64" s="140">
        <f t="shared" si="1512"/>
        <v>0</v>
      </c>
      <c r="EF64" s="198">
        <f t="shared" si="1481"/>
        <v>0</v>
      </c>
      <c r="EG64" s="225">
        <f t="shared" si="1513"/>
        <v>0</v>
      </c>
      <c r="EH64" s="226">
        <f t="shared" si="1514"/>
        <v>0</v>
      </c>
      <c r="EI64" s="137">
        <f t="shared" si="1515"/>
        <v>0</v>
      </c>
      <c r="EJ64" s="227">
        <f t="shared" si="1485"/>
        <v>7.63</v>
      </c>
      <c r="EK64" s="138">
        <f t="shared" si="1516"/>
        <v>0</v>
      </c>
      <c r="EL64" s="110">
        <f t="shared" si="1517"/>
        <v>0</v>
      </c>
      <c r="EM64" s="110"/>
      <c r="EN64" s="139"/>
      <c r="EO64" s="140">
        <f t="shared" si="1518"/>
        <v>0</v>
      </c>
      <c r="EP64" s="198">
        <f t="shared" si="1481"/>
        <v>0</v>
      </c>
      <c r="EQ64" s="225">
        <f t="shared" si="1519"/>
        <v>0</v>
      </c>
      <c r="ER64" s="226">
        <f t="shared" si="1520"/>
        <v>0</v>
      </c>
      <c r="ES64" s="137">
        <f t="shared" si="1521"/>
        <v>0</v>
      </c>
      <c r="ET64" s="227">
        <f t="shared" si="1485"/>
        <v>7.95</v>
      </c>
      <c r="EU64" s="138">
        <f t="shared" si="1522"/>
        <v>0</v>
      </c>
      <c r="EV64" s="110">
        <f t="shared" si="1523"/>
        <v>0</v>
      </c>
      <c r="EW64" s="110"/>
      <c r="EX64" s="139"/>
      <c r="EY64" s="140">
        <f t="shared" si="1524"/>
        <v>0</v>
      </c>
      <c r="EZ64" s="198">
        <f t="shared" si="1525"/>
        <v>0</v>
      </c>
      <c r="FA64" s="225">
        <f t="shared" si="1526"/>
        <v>0</v>
      </c>
      <c r="FB64" s="226">
        <f t="shared" si="1527"/>
        <v>0</v>
      </c>
      <c r="FC64" s="137">
        <f t="shared" si="1528"/>
        <v>0</v>
      </c>
      <c r="FD64" s="227">
        <f t="shared" si="1529"/>
        <v>10.210000000000001</v>
      </c>
      <c r="FE64" s="138">
        <f t="shared" si="1530"/>
        <v>0</v>
      </c>
      <c r="FF64" s="110">
        <f t="shared" si="1531"/>
        <v>0</v>
      </c>
      <c r="FG64" s="110"/>
      <c r="FH64" s="139"/>
      <c r="FI64" s="140">
        <f t="shared" si="1532"/>
        <v>0</v>
      </c>
      <c r="FJ64" s="198">
        <f t="shared" si="1525"/>
        <v>0</v>
      </c>
      <c r="FK64" s="225">
        <f t="shared" si="1533"/>
        <v>0</v>
      </c>
      <c r="FL64" s="226">
        <f t="shared" si="1534"/>
        <v>0</v>
      </c>
      <c r="FM64" s="137">
        <f t="shared" si="1535"/>
        <v>0</v>
      </c>
      <c r="FN64" s="227">
        <f t="shared" si="1529"/>
        <v>9.52</v>
      </c>
      <c r="FO64" s="138">
        <f t="shared" si="1536"/>
        <v>0</v>
      </c>
      <c r="FP64" s="110">
        <f t="shared" si="1537"/>
        <v>0</v>
      </c>
      <c r="FQ64" s="110"/>
      <c r="FR64" s="139"/>
      <c r="FS64" s="140">
        <f t="shared" si="1538"/>
        <v>0</v>
      </c>
      <c r="FT64" s="198">
        <f t="shared" si="1525"/>
        <v>1</v>
      </c>
      <c r="FU64" s="225">
        <f t="shared" si="1539"/>
        <v>1.25E-3</v>
      </c>
      <c r="FV64" s="226">
        <f t="shared" si="1540"/>
        <v>62.53</v>
      </c>
      <c r="FW64" s="137">
        <f t="shared" si="1541"/>
        <v>62.53</v>
      </c>
      <c r="FX64" s="227">
        <f t="shared" si="1529"/>
        <v>9.57</v>
      </c>
      <c r="FY64" s="138">
        <f t="shared" si="1542"/>
        <v>598.41210000000001</v>
      </c>
      <c r="FZ64" s="110">
        <f t="shared" si="1543"/>
        <v>598.41</v>
      </c>
      <c r="GA64" s="110"/>
      <c r="GB64" s="139"/>
      <c r="GC64" s="140">
        <f t="shared" si="1544"/>
        <v>0.75117</v>
      </c>
      <c r="GD64" s="198">
        <f t="shared" si="1525"/>
        <v>0</v>
      </c>
      <c r="GE64" s="225">
        <f t="shared" si="1545"/>
        <v>0</v>
      </c>
      <c r="GF64" s="226">
        <f t="shared" si="1546"/>
        <v>0</v>
      </c>
      <c r="GG64" s="137">
        <f t="shared" si="1547"/>
        <v>0</v>
      </c>
      <c r="GH64" s="227">
        <f t="shared" si="1529"/>
        <v>8.39</v>
      </c>
      <c r="GI64" s="138">
        <f t="shared" si="1548"/>
        <v>0</v>
      </c>
      <c r="GJ64" s="110">
        <f t="shared" si="1549"/>
        <v>0</v>
      </c>
      <c r="GK64" s="110"/>
      <c r="GL64" s="139"/>
      <c r="GM64" s="140">
        <f t="shared" si="1550"/>
        <v>0</v>
      </c>
      <c r="GN64" s="198">
        <f t="shared" si="1525"/>
        <v>0</v>
      </c>
      <c r="GO64" s="225">
        <f t="shared" si="1551"/>
        <v>0</v>
      </c>
      <c r="GP64" s="226">
        <f t="shared" si="1552"/>
        <v>0</v>
      </c>
      <c r="GQ64" s="137">
        <f t="shared" si="1553"/>
        <v>0</v>
      </c>
      <c r="GR64" s="227">
        <f t="shared" si="1529"/>
        <v>7.63</v>
      </c>
      <c r="GS64" s="138">
        <f t="shared" si="1554"/>
        <v>0</v>
      </c>
      <c r="GT64" s="110">
        <f t="shared" si="1555"/>
        <v>0</v>
      </c>
      <c r="GU64" s="110"/>
      <c r="GV64" s="139"/>
      <c r="GW64" s="140">
        <f t="shared" si="1556"/>
        <v>0</v>
      </c>
      <c r="GX64" s="198">
        <f t="shared" si="1525"/>
        <v>1</v>
      </c>
      <c r="GY64" s="225">
        <f t="shared" si="1557"/>
        <v>6.2E-4</v>
      </c>
      <c r="GZ64" s="226">
        <f t="shared" si="1558"/>
        <v>114.58</v>
      </c>
      <c r="HA64" s="137">
        <f t="shared" si="1559"/>
        <v>114.58</v>
      </c>
      <c r="HB64" s="227">
        <f t="shared" si="1529"/>
        <v>4.8899999999999997</v>
      </c>
      <c r="HC64" s="138">
        <f t="shared" si="1560"/>
        <v>560.2962</v>
      </c>
      <c r="HD64" s="110">
        <f t="shared" si="1561"/>
        <v>560.29999999999995</v>
      </c>
      <c r="HE64" s="110"/>
      <c r="HF64" s="139"/>
      <c r="HG64" s="140">
        <f t="shared" si="1562"/>
        <v>0.70333000000000001</v>
      </c>
      <c r="HH64" s="198">
        <f t="shared" si="1525"/>
        <v>1</v>
      </c>
      <c r="HI64" s="225">
        <f t="shared" si="1563"/>
        <v>8.7000000000000001E-4</v>
      </c>
      <c r="HJ64" s="226">
        <f t="shared" si="1564"/>
        <v>89.31</v>
      </c>
      <c r="HK64" s="137">
        <f t="shared" si="1565"/>
        <v>89.31</v>
      </c>
      <c r="HL64" s="227">
        <f t="shared" si="1529"/>
        <v>5.98</v>
      </c>
      <c r="HM64" s="138">
        <f t="shared" si="1566"/>
        <v>534.07380000000001</v>
      </c>
      <c r="HN64" s="110">
        <f t="shared" si="1567"/>
        <v>534.07000000000005</v>
      </c>
      <c r="HO64" s="110"/>
      <c r="HP64" s="139"/>
      <c r="HQ64" s="140">
        <f t="shared" si="1568"/>
        <v>0.67040999999999995</v>
      </c>
      <c r="HR64" s="198">
        <f t="shared" si="1569"/>
        <v>0</v>
      </c>
      <c r="HS64" s="225">
        <f t="shared" si="1570"/>
        <v>0</v>
      </c>
      <c r="HT64" s="226">
        <f t="shared" si="1571"/>
        <v>0</v>
      </c>
      <c r="HU64" s="137">
        <f t="shared" si="1572"/>
        <v>0</v>
      </c>
      <c r="HV64" s="227">
        <f t="shared" si="1573"/>
        <v>9.76</v>
      </c>
      <c r="HW64" s="138">
        <f t="shared" si="1574"/>
        <v>0</v>
      </c>
      <c r="HX64" s="110">
        <f t="shared" si="1575"/>
        <v>0</v>
      </c>
      <c r="HY64" s="110"/>
      <c r="HZ64" s="139"/>
      <c r="IA64" s="140">
        <f t="shared" si="1576"/>
        <v>0</v>
      </c>
      <c r="IB64" s="198">
        <f t="shared" si="1569"/>
        <v>0</v>
      </c>
      <c r="IC64" s="225">
        <f t="shared" si="1577"/>
        <v>0</v>
      </c>
      <c r="ID64" s="226">
        <f t="shared" si="1578"/>
        <v>0</v>
      </c>
      <c r="IE64" s="137">
        <f t="shared" si="1579"/>
        <v>0</v>
      </c>
      <c r="IF64" s="227">
        <f t="shared" si="1573"/>
        <v>7.76</v>
      </c>
      <c r="IG64" s="138">
        <f t="shared" si="1580"/>
        <v>0</v>
      </c>
      <c r="IH64" s="110">
        <f t="shared" si="1581"/>
        <v>0</v>
      </c>
      <c r="II64" s="110"/>
      <c r="IJ64" s="139"/>
      <c r="IK64" s="140">
        <f t="shared" si="1582"/>
        <v>0</v>
      </c>
      <c r="IL64" s="198">
        <f t="shared" si="1569"/>
        <v>1</v>
      </c>
      <c r="IM64" s="225">
        <f t="shared" si="1583"/>
        <v>7.9000000000000001E-4</v>
      </c>
      <c r="IN64" s="226">
        <f t="shared" si="1584"/>
        <v>41.34</v>
      </c>
      <c r="IO64" s="137">
        <f t="shared" si="1585"/>
        <v>41.34</v>
      </c>
      <c r="IP64" s="227">
        <f t="shared" si="1573"/>
        <v>7.4</v>
      </c>
      <c r="IQ64" s="138">
        <f t="shared" si="1586"/>
        <v>305.916</v>
      </c>
      <c r="IR64" s="110">
        <f t="shared" si="1587"/>
        <v>305.92</v>
      </c>
      <c r="IS64" s="110"/>
      <c r="IT64" s="139"/>
      <c r="IU64" s="140">
        <f t="shared" si="1588"/>
        <v>0.38401000000000002</v>
      </c>
      <c r="IV64" s="198">
        <f t="shared" si="1569"/>
        <v>0</v>
      </c>
      <c r="IW64" s="225">
        <f t="shared" si="1589"/>
        <v>0</v>
      </c>
      <c r="IX64" s="226">
        <f t="shared" si="1590"/>
        <v>0</v>
      </c>
      <c r="IY64" s="137">
        <f t="shared" si="1591"/>
        <v>0</v>
      </c>
      <c r="IZ64" s="227">
        <f t="shared" si="1573"/>
        <v>9.64</v>
      </c>
      <c r="JA64" s="138">
        <f t="shared" si="1592"/>
        <v>0</v>
      </c>
      <c r="JB64" s="110">
        <f t="shared" si="1593"/>
        <v>0</v>
      </c>
      <c r="JC64" s="110"/>
      <c r="JD64" s="139"/>
      <c r="JE64" s="140">
        <f t="shared" si="1594"/>
        <v>0</v>
      </c>
      <c r="JF64" s="198">
        <f t="shared" si="1569"/>
        <v>0</v>
      </c>
      <c r="JG64" s="225">
        <f t="shared" si="1595"/>
        <v>0</v>
      </c>
      <c r="JH64" s="226">
        <f t="shared" si="1596"/>
        <v>0</v>
      </c>
      <c r="JI64" s="137">
        <f t="shared" si="1597"/>
        <v>0</v>
      </c>
      <c r="JJ64" s="227">
        <f t="shared" si="1573"/>
        <v>9.1</v>
      </c>
      <c r="JK64" s="138">
        <f t="shared" si="1598"/>
        <v>0</v>
      </c>
      <c r="JL64" s="110">
        <f t="shared" si="1599"/>
        <v>0</v>
      </c>
      <c r="JM64" s="110"/>
      <c r="JN64" s="139"/>
      <c r="JO64" s="140">
        <f t="shared" si="1600"/>
        <v>0</v>
      </c>
      <c r="JP64" s="198">
        <f t="shared" si="1569"/>
        <v>0</v>
      </c>
      <c r="JQ64" s="225">
        <f t="shared" si="1601"/>
        <v>0</v>
      </c>
      <c r="JR64" s="226">
        <f t="shared" si="1602"/>
        <v>0</v>
      </c>
      <c r="JS64" s="137">
        <f t="shared" si="1603"/>
        <v>0</v>
      </c>
      <c r="JT64" s="227">
        <f t="shared" si="1573"/>
        <v>10.15</v>
      </c>
      <c r="JU64" s="138">
        <f t="shared" si="1604"/>
        <v>0</v>
      </c>
      <c r="JV64" s="110">
        <f t="shared" si="1605"/>
        <v>0</v>
      </c>
      <c r="JW64" s="110"/>
      <c r="JX64" s="139"/>
      <c r="JY64" s="140">
        <f t="shared" si="1606"/>
        <v>0</v>
      </c>
      <c r="JZ64" s="198">
        <f t="shared" si="1569"/>
        <v>0</v>
      </c>
      <c r="KA64" s="225">
        <f t="shared" si="1607"/>
        <v>0</v>
      </c>
      <c r="KB64" s="226">
        <f t="shared" si="1608"/>
        <v>0</v>
      </c>
      <c r="KC64" s="137">
        <f t="shared" si="1609"/>
        <v>0</v>
      </c>
      <c r="KD64" s="227">
        <f t="shared" si="1573"/>
        <v>8.14</v>
      </c>
      <c r="KE64" s="138">
        <f t="shared" si="1610"/>
        <v>0</v>
      </c>
      <c r="KF64" s="110">
        <f t="shared" si="1611"/>
        <v>0</v>
      </c>
      <c r="KG64" s="110"/>
      <c r="KH64" s="139"/>
      <c r="KI64" s="140">
        <f t="shared" si="1612"/>
        <v>0</v>
      </c>
      <c r="KJ64" s="198">
        <f t="shared" si="1613"/>
        <v>0</v>
      </c>
      <c r="KK64" s="225">
        <f t="shared" si="1614"/>
        <v>0</v>
      </c>
      <c r="KL64" s="226">
        <f t="shared" si="1615"/>
        <v>0</v>
      </c>
      <c r="KM64" s="137">
        <f t="shared" si="1616"/>
        <v>0</v>
      </c>
      <c r="KN64" s="227">
        <f t="shared" si="1617"/>
        <v>9.02</v>
      </c>
      <c r="KO64" s="138">
        <f t="shared" si="1618"/>
        <v>0</v>
      </c>
      <c r="KP64" s="110">
        <f t="shared" si="1619"/>
        <v>0</v>
      </c>
      <c r="KQ64" s="110"/>
      <c r="KR64" s="139"/>
      <c r="KS64" s="140">
        <f t="shared" si="1620"/>
        <v>0</v>
      </c>
      <c r="KT64" s="198">
        <f t="shared" si="1613"/>
        <v>0</v>
      </c>
      <c r="KU64" s="225">
        <f t="shared" si="1621"/>
        <v>0</v>
      </c>
      <c r="KV64" s="226">
        <f t="shared" si="1622"/>
        <v>0</v>
      </c>
      <c r="KW64" s="137">
        <f t="shared" si="1623"/>
        <v>0</v>
      </c>
      <c r="KX64" s="227">
        <f t="shared" si="1617"/>
        <v>9.94</v>
      </c>
      <c r="KY64" s="138">
        <f t="shared" si="1624"/>
        <v>0</v>
      </c>
      <c r="KZ64" s="110">
        <f t="shared" si="1625"/>
        <v>0</v>
      </c>
      <c r="LA64" s="110"/>
      <c r="LB64" s="139"/>
      <c r="LC64" s="140">
        <f t="shared" si="1626"/>
        <v>0</v>
      </c>
      <c r="LD64" s="197">
        <f t="shared" si="1235"/>
        <v>6</v>
      </c>
      <c r="LE64" s="225">
        <f t="shared" si="1236"/>
        <v>2.1000000000000001E-4</v>
      </c>
      <c r="LF64" s="226">
        <f t="shared" si="1237"/>
        <v>564.99</v>
      </c>
      <c r="LG64" s="137">
        <f t="shared" si="1238"/>
        <v>94.165000000000006</v>
      </c>
      <c r="LH64" s="227">
        <f t="shared" si="1239"/>
        <v>8.4600000000000009</v>
      </c>
      <c r="LI64" s="138">
        <f t="shared" si="1240"/>
        <v>796.63589999999999</v>
      </c>
      <c r="LJ64" s="110">
        <f t="shared" si="1241"/>
        <v>4779.82</v>
      </c>
      <c r="LK64" s="110"/>
      <c r="LL64" s="139"/>
    </row>
    <row r="65" spans="1:324" ht="18" customHeight="1" x14ac:dyDescent="0.25">
      <c r="A65" s="246"/>
      <c r="B65" s="12" t="s">
        <v>627</v>
      </c>
      <c r="C65" s="12" t="s">
        <v>728</v>
      </c>
      <c r="D65" s="12" t="s">
        <v>430</v>
      </c>
      <c r="E65" s="4" t="s">
        <v>33</v>
      </c>
      <c r="F65" s="198">
        <f t="shared" si="1436"/>
        <v>0</v>
      </c>
      <c r="G65" s="225">
        <f t="shared" si="1242"/>
        <v>0</v>
      </c>
      <c r="H65" s="226">
        <f t="shared" si="1243"/>
        <v>0</v>
      </c>
      <c r="I65" s="137">
        <f t="shared" si="1016"/>
        <v>0</v>
      </c>
      <c r="J65" s="227">
        <f t="shared" si="1244"/>
        <v>7.57</v>
      </c>
      <c r="K65" s="138">
        <f t="shared" si="1017"/>
        <v>0</v>
      </c>
      <c r="L65" s="110">
        <f t="shared" si="1018"/>
        <v>0</v>
      </c>
      <c r="M65" s="110"/>
      <c r="N65" s="139"/>
      <c r="O65" s="140">
        <f t="shared" si="1019"/>
        <v>0</v>
      </c>
      <c r="P65" s="198">
        <f t="shared" si="1437"/>
        <v>0</v>
      </c>
      <c r="Q65" s="225">
        <f t="shared" si="1438"/>
        <v>0</v>
      </c>
      <c r="R65" s="226">
        <f t="shared" si="1439"/>
        <v>0</v>
      </c>
      <c r="S65" s="137">
        <f t="shared" si="1440"/>
        <v>0</v>
      </c>
      <c r="T65" s="227">
        <f t="shared" si="1441"/>
        <v>8.23</v>
      </c>
      <c r="U65" s="138">
        <f t="shared" si="1442"/>
        <v>0</v>
      </c>
      <c r="V65" s="110">
        <f t="shared" si="1443"/>
        <v>0</v>
      </c>
      <c r="W65" s="110"/>
      <c r="X65" s="139"/>
      <c r="Y65" s="140">
        <f t="shared" si="1444"/>
        <v>0</v>
      </c>
      <c r="Z65" s="198">
        <f t="shared" si="1437"/>
        <v>0</v>
      </c>
      <c r="AA65" s="225">
        <f t="shared" si="1445"/>
        <v>0</v>
      </c>
      <c r="AB65" s="226">
        <f t="shared" si="1446"/>
        <v>0</v>
      </c>
      <c r="AC65" s="137">
        <f t="shared" si="1447"/>
        <v>0</v>
      </c>
      <c r="AD65" s="227">
        <f t="shared" si="1441"/>
        <v>8.8000000000000007</v>
      </c>
      <c r="AE65" s="138">
        <f t="shared" si="1448"/>
        <v>0</v>
      </c>
      <c r="AF65" s="110">
        <f t="shared" si="1449"/>
        <v>0</v>
      </c>
      <c r="AG65" s="110"/>
      <c r="AH65" s="139"/>
      <c r="AI65" s="140">
        <f t="shared" si="1450"/>
        <v>0</v>
      </c>
      <c r="AJ65" s="198">
        <f t="shared" si="1437"/>
        <v>0</v>
      </c>
      <c r="AK65" s="225">
        <f t="shared" si="1451"/>
        <v>0</v>
      </c>
      <c r="AL65" s="226">
        <f t="shared" si="1452"/>
        <v>0</v>
      </c>
      <c r="AM65" s="137">
        <f t="shared" si="1453"/>
        <v>0</v>
      </c>
      <c r="AN65" s="227">
        <f t="shared" si="1441"/>
        <v>7.52</v>
      </c>
      <c r="AO65" s="138">
        <f t="shared" si="1454"/>
        <v>0</v>
      </c>
      <c r="AP65" s="110">
        <f t="shared" si="1455"/>
        <v>0</v>
      </c>
      <c r="AQ65" s="110"/>
      <c r="AR65" s="139"/>
      <c r="AS65" s="140">
        <f t="shared" si="1456"/>
        <v>0</v>
      </c>
      <c r="AT65" s="198">
        <f t="shared" si="1437"/>
        <v>1</v>
      </c>
      <c r="AU65" s="225">
        <f t="shared" si="1457"/>
        <v>1.0499999999999999E-3</v>
      </c>
      <c r="AV65" s="226">
        <f t="shared" si="1458"/>
        <v>43.77</v>
      </c>
      <c r="AW65" s="137">
        <f t="shared" si="1459"/>
        <v>43.77</v>
      </c>
      <c r="AX65" s="227">
        <f t="shared" si="1441"/>
        <v>6.88</v>
      </c>
      <c r="AY65" s="138">
        <f t="shared" si="1460"/>
        <v>301.13760000000002</v>
      </c>
      <c r="AZ65" s="110">
        <f t="shared" si="1461"/>
        <v>301.14</v>
      </c>
      <c r="BA65" s="110"/>
      <c r="BB65" s="139"/>
      <c r="BC65" s="140">
        <f t="shared" si="1462"/>
        <v>0.33074999999999999</v>
      </c>
      <c r="BD65" s="198">
        <f t="shared" si="1437"/>
        <v>0</v>
      </c>
      <c r="BE65" s="225">
        <f t="shared" si="1463"/>
        <v>0</v>
      </c>
      <c r="BF65" s="226">
        <f t="shared" si="1464"/>
        <v>0</v>
      </c>
      <c r="BG65" s="137">
        <f t="shared" si="1465"/>
        <v>0</v>
      </c>
      <c r="BH65" s="227">
        <f t="shared" si="1441"/>
        <v>9.74</v>
      </c>
      <c r="BI65" s="138">
        <f t="shared" si="1466"/>
        <v>0</v>
      </c>
      <c r="BJ65" s="110">
        <f t="shared" si="1467"/>
        <v>0</v>
      </c>
      <c r="BK65" s="110"/>
      <c r="BL65" s="139"/>
      <c r="BM65" s="140">
        <f t="shared" si="1468"/>
        <v>0</v>
      </c>
      <c r="BN65" s="198">
        <f t="shared" si="1437"/>
        <v>0</v>
      </c>
      <c r="BO65" s="225">
        <f t="shared" si="1469"/>
        <v>0</v>
      </c>
      <c r="BP65" s="226">
        <f t="shared" si="1470"/>
        <v>0</v>
      </c>
      <c r="BQ65" s="137">
        <f t="shared" si="1471"/>
        <v>0</v>
      </c>
      <c r="BR65" s="227">
        <f t="shared" si="1441"/>
        <v>10.32</v>
      </c>
      <c r="BS65" s="138">
        <f t="shared" si="1472"/>
        <v>0</v>
      </c>
      <c r="BT65" s="110">
        <f t="shared" si="1473"/>
        <v>0</v>
      </c>
      <c r="BU65" s="110"/>
      <c r="BV65" s="139"/>
      <c r="BW65" s="140">
        <f t="shared" si="1474"/>
        <v>0</v>
      </c>
      <c r="BX65" s="198">
        <f t="shared" si="1437"/>
        <v>0</v>
      </c>
      <c r="BY65" s="225">
        <f t="shared" si="1475"/>
        <v>0</v>
      </c>
      <c r="BZ65" s="226">
        <f t="shared" si="1476"/>
        <v>0</v>
      </c>
      <c r="CA65" s="137">
        <f t="shared" si="1477"/>
        <v>0</v>
      </c>
      <c r="CB65" s="227">
        <f t="shared" si="1441"/>
        <v>7.89</v>
      </c>
      <c r="CC65" s="138">
        <f t="shared" si="1478"/>
        <v>0</v>
      </c>
      <c r="CD65" s="110">
        <f t="shared" si="1479"/>
        <v>0</v>
      </c>
      <c r="CE65" s="110"/>
      <c r="CF65" s="139"/>
      <c r="CG65" s="140">
        <f t="shared" si="1480"/>
        <v>0</v>
      </c>
      <c r="CH65" s="198">
        <f t="shared" si="1481"/>
        <v>0</v>
      </c>
      <c r="CI65" s="225">
        <f t="shared" si="1482"/>
        <v>0</v>
      </c>
      <c r="CJ65" s="226">
        <f t="shared" si="1483"/>
        <v>0</v>
      </c>
      <c r="CK65" s="137">
        <f t="shared" si="1484"/>
        <v>0</v>
      </c>
      <c r="CL65" s="227">
        <f t="shared" si="1485"/>
        <v>8.24</v>
      </c>
      <c r="CM65" s="138">
        <f t="shared" si="1486"/>
        <v>0</v>
      </c>
      <c r="CN65" s="110">
        <f t="shared" si="1487"/>
        <v>0</v>
      </c>
      <c r="CO65" s="110"/>
      <c r="CP65" s="139"/>
      <c r="CQ65" s="140">
        <f t="shared" si="1488"/>
        <v>0</v>
      </c>
      <c r="CR65" s="198">
        <f t="shared" si="1481"/>
        <v>0</v>
      </c>
      <c r="CS65" s="225">
        <f t="shared" si="1489"/>
        <v>0</v>
      </c>
      <c r="CT65" s="226">
        <f t="shared" si="1490"/>
        <v>0</v>
      </c>
      <c r="CU65" s="137">
        <f t="shared" si="1491"/>
        <v>0</v>
      </c>
      <c r="CV65" s="227">
        <f t="shared" si="1485"/>
        <v>8.92</v>
      </c>
      <c r="CW65" s="138">
        <f t="shared" si="1492"/>
        <v>0</v>
      </c>
      <c r="CX65" s="110">
        <f t="shared" si="1493"/>
        <v>0</v>
      </c>
      <c r="CY65" s="110"/>
      <c r="CZ65" s="139"/>
      <c r="DA65" s="140">
        <f t="shared" si="1494"/>
        <v>0</v>
      </c>
      <c r="DB65" s="198">
        <f t="shared" si="1481"/>
        <v>0</v>
      </c>
      <c r="DC65" s="225">
        <f t="shared" si="1495"/>
        <v>0</v>
      </c>
      <c r="DD65" s="226">
        <f t="shared" si="1496"/>
        <v>0</v>
      </c>
      <c r="DE65" s="137">
        <f t="shared" si="1497"/>
        <v>0</v>
      </c>
      <c r="DF65" s="227">
        <f t="shared" si="1485"/>
        <v>7.48</v>
      </c>
      <c r="DG65" s="138">
        <f t="shared" si="1498"/>
        <v>0</v>
      </c>
      <c r="DH65" s="110">
        <f t="shared" si="1499"/>
        <v>0</v>
      </c>
      <c r="DI65" s="110"/>
      <c r="DJ65" s="139"/>
      <c r="DK65" s="140">
        <f t="shared" si="1500"/>
        <v>0</v>
      </c>
      <c r="DL65" s="198">
        <f t="shared" si="1481"/>
        <v>0</v>
      </c>
      <c r="DM65" s="225">
        <f t="shared" si="1501"/>
        <v>0</v>
      </c>
      <c r="DN65" s="226">
        <f t="shared" si="1502"/>
        <v>0</v>
      </c>
      <c r="DO65" s="137">
        <f t="shared" si="1503"/>
        <v>0</v>
      </c>
      <c r="DP65" s="227">
        <f t="shared" si="1485"/>
        <v>8.2200000000000006</v>
      </c>
      <c r="DQ65" s="138">
        <f t="shared" si="1504"/>
        <v>0</v>
      </c>
      <c r="DR65" s="110">
        <f t="shared" si="1505"/>
        <v>0</v>
      </c>
      <c r="DS65" s="110"/>
      <c r="DT65" s="139"/>
      <c r="DU65" s="140">
        <f t="shared" si="1506"/>
        <v>0</v>
      </c>
      <c r="DV65" s="198">
        <f t="shared" si="1481"/>
        <v>0</v>
      </c>
      <c r="DW65" s="225">
        <f t="shared" si="1507"/>
        <v>0</v>
      </c>
      <c r="DX65" s="226">
        <f t="shared" si="1508"/>
        <v>0</v>
      </c>
      <c r="DY65" s="137">
        <f t="shared" si="1509"/>
        <v>0</v>
      </c>
      <c r="DZ65" s="227">
        <f t="shared" si="1485"/>
        <v>7.91</v>
      </c>
      <c r="EA65" s="138">
        <f t="shared" si="1510"/>
        <v>0</v>
      </c>
      <c r="EB65" s="110">
        <f t="shared" si="1511"/>
        <v>0</v>
      </c>
      <c r="EC65" s="110"/>
      <c r="ED65" s="139"/>
      <c r="EE65" s="140">
        <f t="shared" si="1512"/>
        <v>0</v>
      </c>
      <c r="EF65" s="198">
        <f t="shared" si="1481"/>
        <v>0</v>
      </c>
      <c r="EG65" s="225">
        <f t="shared" si="1513"/>
        <v>0</v>
      </c>
      <c r="EH65" s="226">
        <f t="shared" si="1514"/>
        <v>0</v>
      </c>
      <c r="EI65" s="137">
        <f t="shared" si="1515"/>
        <v>0</v>
      </c>
      <c r="EJ65" s="227">
        <f t="shared" si="1485"/>
        <v>7.63</v>
      </c>
      <c r="EK65" s="138">
        <f t="shared" si="1516"/>
        <v>0</v>
      </c>
      <c r="EL65" s="110">
        <f t="shared" si="1517"/>
        <v>0</v>
      </c>
      <c r="EM65" s="110"/>
      <c r="EN65" s="139"/>
      <c r="EO65" s="140">
        <f t="shared" si="1518"/>
        <v>0</v>
      </c>
      <c r="EP65" s="198">
        <f t="shared" si="1481"/>
        <v>0</v>
      </c>
      <c r="EQ65" s="225">
        <f t="shared" si="1519"/>
        <v>0</v>
      </c>
      <c r="ER65" s="226">
        <f t="shared" si="1520"/>
        <v>0</v>
      </c>
      <c r="ES65" s="137">
        <f t="shared" si="1521"/>
        <v>0</v>
      </c>
      <c r="ET65" s="227">
        <f t="shared" si="1485"/>
        <v>7.95</v>
      </c>
      <c r="EU65" s="138">
        <f t="shared" si="1522"/>
        <v>0</v>
      </c>
      <c r="EV65" s="110">
        <f t="shared" si="1523"/>
        <v>0</v>
      </c>
      <c r="EW65" s="110"/>
      <c r="EX65" s="139"/>
      <c r="EY65" s="140">
        <f t="shared" si="1524"/>
        <v>0</v>
      </c>
      <c r="EZ65" s="198">
        <f t="shared" si="1525"/>
        <v>0</v>
      </c>
      <c r="FA65" s="225">
        <f t="shared" si="1526"/>
        <v>0</v>
      </c>
      <c r="FB65" s="226">
        <f t="shared" si="1527"/>
        <v>0</v>
      </c>
      <c r="FC65" s="137">
        <f t="shared" si="1528"/>
        <v>0</v>
      </c>
      <c r="FD65" s="227">
        <f t="shared" si="1529"/>
        <v>10.210000000000001</v>
      </c>
      <c r="FE65" s="138">
        <f t="shared" si="1530"/>
        <v>0</v>
      </c>
      <c r="FF65" s="110">
        <f t="shared" si="1531"/>
        <v>0</v>
      </c>
      <c r="FG65" s="110"/>
      <c r="FH65" s="139"/>
      <c r="FI65" s="140">
        <f t="shared" si="1532"/>
        <v>0</v>
      </c>
      <c r="FJ65" s="198">
        <f t="shared" si="1525"/>
        <v>0</v>
      </c>
      <c r="FK65" s="225">
        <f t="shared" si="1533"/>
        <v>0</v>
      </c>
      <c r="FL65" s="226">
        <f t="shared" si="1534"/>
        <v>0</v>
      </c>
      <c r="FM65" s="137">
        <f t="shared" si="1535"/>
        <v>0</v>
      </c>
      <c r="FN65" s="227">
        <f t="shared" si="1529"/>
        <v>9.52</v>
      </c>
      <c r="FO65" s="138">
        <f t="shared" si="1536"/>
        <v>0</v>
      </c>
      <c r="FP65" s="110">
        <f t="shared" si="1537"/>
        <v>0</v>
      </c>
      <c r="FQ65" s="110"/>
      <c r="FR65" s="139"/>
      <c r="FS65" s="140">
        <f t="shared" si="1538"/>
        <v>0</v>
      </c>
      <c r="FT65" s="198">
        <f t="shared" si="1525"/>
        <v>0</v>
      </c>
      <c r="FU65" s="225">
        <f t="shared" si="1539"/>
        <v>0</v>
      </c>
      <c r="FV65" s="226">
        <f t="shared" si="1540"/>
        <v>0</v>
      </c>
      <c r="FW65" s="137">
        <f t="shared" si="1541"/>
        <v>0</v>
      </c>
      <c r="FX65" s="227">
        <f t="shared" si="1529"/>
        <v>9.57</v>
      </c>
      <c r="FY65" s="138">
        <f t="shared" si="1542"/>
        <v>0</v>
      </c>
      <c r="FZ65" s="110">
        <f t="shared" si="1543"/>
        <v>0</v>
      </c>
      <c r="GA65" s="110"/>
      <c r="GB65" s="139"/>
      <c r="GC65" s="140">
        <f t="shared" si="1544"/>
        <v>0</v>
      </c>
      <c r="GD65" s="198">
        <f t="shared" si="1525"/>
        <v>0</v>
      </c>
      <c r="GE65" s="225">
        <f t="shared" si="1545"/>
        <v>0</v>
      </c>
      <c r="GF65" s="226">
        <f t="shared" si="1546"/>
        <v>0</v>
      </c>
      <c r="GG65" s="137">
        <f t="shared" si="1547"/>
        <v>0</v>
      </c>
      <c r="GH65" s="227">
        <f t="shared" si="1529"/>
        <v>8.39</v>
      </c>
      <c r="GI65" s="138">
        <f t="shared" si="1548"/>
        <v>0</v>
      </c>
      <c r="GJ65" s="110">
        <f t="shared" si="1549"/>
        <v>0</v>
      </c>
      <c r="GK65" s="110"/>
      <c r="GL65" s="139"/>
      <c r="GM65" s="140">
        <f t="shared" si="1550"/>
        <v>0</v>
      </c>
      <c r="GN65" s="198">
        <f t="shared" si="1525"/>
        <v>0</v>
      </c>
      <c r="GO65" s="225">
        <f t="shared" si="1551"/>
        <v>0</v>
      </c>
      <c r="GP65" s="226">
        <f t="shared" si="1552"/>
        <v>0</v>
      </c>
      <c r="GQ65" s="137">
        <f t="shared" si="1553"/>
        <v>0</v>
      </c>
      <c r="GR65" s="227">
        <f t="shared" si="1529"/>
        <v>7.63</v>
      </c>
      <c r="GS65" s="138">
        <f t="shared" si="1554"/>
        <v>0</v>
      </c>
      <c r="GT65" s="110">
        <f t="shared" si="1555"/>
        <v>0</v>
      </c>
      <c r="GU65" s="110"/>
      <c r="GV65" s="139"/>
      <c r="GW65" s="140">
        <f t="shared" si="1556"/>
        <v>0</v>
      </c>
      <c r="GX65" s="198">
        <f t="shared" si="1525"/>
        <v>0</v>
      </c>
      <c r="GY65" s="225">
        <f t="shared" si="1557"/>
        <v>0</v>
      </c>
      <c r="GZ65" s="226">
        <f t="shared" si="1558"/>
        <v>0</v>
      </c>
      <c r="HA65" s="137">
        <f t="shared" si="1559"/>
        <v>0</v>
      </c>
      <c r="HB65" s="227">
        <f t="shared" si="1529"/>
        <v>4.8899999999999997</v>
      </c>
      <c r="HC65" s="138">
        <f t="shared" si="1560"/>
        <v>0</v>
      </c>
      <c r="HD65" s="110">
        <f t="shared" si="1561"/>
        <v>0</v>
      </c>
      <c r="HE65" s="110"/>
      <c r="HF65" s="139"/>
      <c r="HG65" s="140">
        <f t="shared" si="1562"/>
        <v>0</v>
      </c>
      <c r="HH65" s="198">
        <f t="shared" si="1525"/>
        <v>0</v>
      </c>
      <c r="HI65" s="225">
        <f t="shared" si="1563"/>
        <v>0</v>
      </c>
      <c r="HJ65" s="226">
        <f t="shared" si="1564"/>
        <v>0</v>
      </c>
      <c r="HK65" s="137">
        <f t="shared" si="1565"/>
        <v>0</v>
      </c>
      <c r="HL65" s="227">
        <f t="shared" si="1529"/>
        <v>5.98</v>
      </c>
      <c r="HM65" s="138">
        <f t="shared" si="1566"/>
        <v>0</v>
      </c>
      <c r="HN65" s="110">
        <f t="shared" si="1567"/>
        <v>0</v>
      </c>
      <c r="HO65" s="110"/>
      <c r="HP65" s="139"/>
      <c r="HQ65" s="140">
        <f t="shared" si="1568"/>
        <v>0</v>
      </c>
      <c r="HR65" s="198">
        <f t="shared" si="1569"/>
        <v>0</v>
      </c>
      <c r="HS65" s="225">
        <f t="shared" si="1570"/>
        <v>0</v>
      </c>
      <c r="HT65" s="226">
        <f t="shared" si="1571"/>
        <v>0</v>
      </c>
      <c r="HU65" s="137">
        <f t="shared" si="1572"/>
        <v>0</v>
      </c>
      <c r="HV65" s="227">
        <f t="shared" si="1573"/>
        <v>9.76</v>
      </c>
      <c r="HW65" s="138">
        <f t="shared" si="1574"/>
        <v>0</v>
      </c>
      <c r="HX65" s="110">
        <f t="shared" si="1575"/>
        <v>0</v>
      </c>
      <c r="HY65" s="110"/>
      <c r="HZ65" s="139"/>
      <c r="IA65" s="140">
        <f t="shared" si="1576"/>
        <v>0</v>
      </c>
      <c r="IB65" s="198">
        <f t="shared" si="1569"/>
        <v>0</v>
      </c>
      <c r="IC65" s="225">
        <f t="shared" si="1577"/>
        <v>0</v>
      </c>
      <c r="ID65" s="226">
        <f t="shared" si="1578"/>
        <v>0</v>
      </c>
      <c r="IE65" s="137">
        <f t="shared" si="1579"/>
        <v>0</v>
      </c>
      <c r="IF65" s="227">
        <f t="shared" si="1573"/>
        <v>7.76</v>
      </c>
      <c r="IG65" s="138">
        <f t="shared" si="1580"/>
        <v>0</v>
      </c>
      <c r="IH65" s="110">
        <f t="shared" si="1581"/>
        <v>0</v>
      </c>
      <c r="II65" s="110"/>
      <c r="IJ65" s="139"/>
      <c r="IK65" s="140">
        <f t="shared" si="1582"/>
        <v>0</v>
      </c>
      <c r="IL65" s="198">
        <f t="shared" si="1569"/>
        <v>0</v>
      </c>
      <c r="IM65" s="225">
        <f t="shared" si="1583"/>
        <v>0</v>
      </c>
      <c r="IN65" s="226">
        <f t="shared" si="1584"/>
        <v>0</v>
      </c>
      <c r="IO65" s="137">
        <f t="shared" si="1585"/>
        <v>0</v>
      </c>
      <c r="IP65" s="227">
        <f t="shared" si="1573"/>
        <v>7.4</v>
      </c>
      <c r="IQ65" s="138">
        <f t="shared" si="1586"/>
        <v>0</v>
      </c>
      <c r="IR65" s="110">
        <f t="shared" si="1587"/>
        <v>0</v>
      </c>
      <c r="IS65" s="110"/>
      <c r="IT65" s="139"/>
      <c r="IU65" s="140">
        <f t="shared" si="1588"/>
        <v>0</v>
      </c>
      <c r="IV65" s="198">
        <f t="shared" si="1569"/>
        <v>0</v>
      </c>
      <c r="IW65" s="225">
        <f t="shared" si="1589"/>
        <v>0</v>
      </c>
      <c r="IX65" s="226">
        <f t="shared" si="1590"/>
        <v>0</v>
      </c>
      <c r="IY65" s="137">
        <f t="shared" si="1591"/>
        <v>0</v>
      </c>
      <c r="IZ65" s="227">
        <f t="shared" si="1573"/>
        <v>9.64</v>
      </c>
      <c r="JA65" s="138">
        <f t="shared" si="1592"/>
        <v>0</v>
      </c>
      <c r="JB65" s="110">
        <f t="shared" si="1593"/>
        <v>0</v>
      </c>
      <c r="JC65" s="110"/>
      <c r="JD65" s="139"/>
      <c r="JE65" s="140">
        <f t="shared" si="1594"/>
        <v>0</v>
      </c>
      <c r="JF65" s="198">
        <f t="shared" si="1569"/>
        <v>0</v>
      </c>
      <c r="JG65" s="225">
        <f t="shared" si="1595"/>
        <v>0</v>
      </c>
      <c r="JH65" s="226">
        <f t="shared" si="1596"/>
        <v>0</v>
      </c>
      <c r="JI65" s="137">
        <f t="shared" si="1597"/>
        <v>0</v>
      </c>
      <c r="JJ65" s="227">
        <f t="shared" si="1573"/>
        <v>9.1</v>
      </c>
      <c r="JK65" s="138">
        <f t="shared" si="1598"/>
        <v>0</v>
      </c>
      <c r="JL65" s="110">
        <f t="shared" si="1599"/>
        <v>0</v>
      </c>
      <c r="JM65" s="110"/>
      <c r="JN65" s="139"/>
      <c r="JO65" s="140">
        <f t="shared" si="1600"/>
        <v>0</v>
      </c>
      <c r="JP65" s="198">
        <f t="shared" si="1569"/>
        <v>0</v>
      </c>
      <c r="JQ65" s="225">
        <f t="shared" si="1601"/>
        <v>0</v>
      </c>
      <c r="JR65" s="226">
        <f t="shared" si="1602"/>
        <v>0</v>
      </c>
      <c r="JS65" s="137">
        <f t="shared" si="1603"/>
        <v>0</v>
      </c>
      <c r="JT65" s="227">
        <f t="shared" si="1573"/>
        <v>10.15</v>
      </c>
      <c r="JU65" s="138">
        <f t="shared" si="1604"/>
        <v>0</v>
      </c>
      <c r="JV65" s="110">
        <f t="shared" si="1605"/>
        <v>0</v>
      </c>
      <c r="JW65" s="110"/>
      <c r="JX65" s="139"/>
      <c r="JY65" s="140">
        <f t="shared" si="1606"/>
        <v>0</v>
      </c>
      <c r="JZ65" s="198">
        <f t="shared" si="1569"/>
        <v>0</v>
      </c>
      <c r="KA65" s="225">
        <f t="shared" si="1607"/>
        <v>0</v>
      </c>
      <c r="KB65" s="226">
        <f t="shared" si="1608"/>
        <v>0</v>
      </c>
      <c r="KC65" s="137">
        <f t="shared" si="1609"/>
        <v>0</v>
      </c>
      <c r="KD65" s="227">
        <f t="shared" si="1573"/>
        <v>8.14</v>
      </c>
      <c r="KE65" s="138">
        <f t="shared" si="1610"/>
        <v>0</v>
      </c>
      <c r="KF65" s="110">
        <f t="shared" si="1611"/>
        <v>0</v>
      </c>
      <c r="KG65" s="110"/>
      <c r="KH65" s="139"/>
      <c r="KI65" s="140">
        <f t="shared" si="1612"/>
        <v>0</v>
      </c>
      <c r="KJ65" s="198">
        <f t="shared" si="1613"/>
        <v>0</v>
      </c>
      <c r="KK65" s="225">
        <f t="shared" si="1614"/>
        <v>0</v>
      </c>
      <c r="KL65" s="226">
        <f t="shared" si="1615"/>
        <v>0</v>
      </c>
      <c r="KM65" s="137">
        <f t="shared" si="1616"/>
        <v>0</v>
      </c>
      <c r="KN65" s="227">
        <f t="shared" si="1617"/>
        <v>9.02</v>
      </c>
      <c r="KO65" s="138">
        <f t="shared" si="1618"/>
        <v>0</v>
      </c>
      <c r="KP65" s="110">
        <f t="shared" si="1619"/>
        <v>0</v>
      </c>
      <c r="KQ65" s="110"/>
      <c r="KR65" s="139"/>
      <c r="KS65" s="140">
        <f t="shared" si="1620"/>
        <v>0</v>
      </c>
      <c r="KT65" s="198">
        <f t="shared" si="1613"/>
        <v>0</v>
      </c>
      <c r="KU65" s="225">
        <f t="shared" si="1621"/>
        <v>0</v>
      </c>
      <c r="KV65" s="226">
        <f t="shared" si="1622"/>
        <v>0</v>
      </c>
      <c r="KW65" s="137">
        <f t="shared" si="1623"/>
        <v>0</v>
      </c>
      <c r="KX65" s="227">
        <f t="shared" si="1617"/>
        <v>9.94</v>
      </c>
      <c r="KY65" s="138">
        <f t="shared" si="1624"/>
        <v>0</v>
      </c>
      <c r="KZ65" s="110">
        <f t="shared" si="1625"/>
        <v>0</v>
      </c>
      <c r="LA65" s="110"/>
      <c r="LB65" s="139"/>
      <c r="LC65" s="140">
        <f t="shared" si="1626"/>
        <v>0</v>
      </c>
      <c r="LD65" s="197">
        <f t="shared" si="1235"/>
        <v>1</v>
      </c>
      <c r="LE65" s="225">
        <f t="shared" si="1236"/>
        <v>4.0000000000000003E-5</v>
      </c>
      <c r="LF65" s="226">
        <f t="shared" si="1237"/>
        <v>107.62</v>
      </c>
      <c r="LG65" s="137">
        <f t="shared" si="1238"/>
        <v>107.62</v>
      </c>
      <c r="LH65" s="227">
        <f t="shared" si="1239"/>
        <v>8.4600000000000009</v>
      </c>
      <c r="LI65" s="138">
        <f t="shared" si="1240"/>
        <v>910.46519999999998</v>
      </c>
      <c r="LJ65" s="110">
        <f t="shared" si="1241"/>
        <v>910.47</v>
      </c>
      <c r="LK65" s="110"/>
      <c r="LL65" s="139"/>
    </row>
    <row r="66" spans="1:324" ht="18" customHeight="1" x14ac:dyDescent="0.25">
      <c r="A66" s="246"/>
      <c r="B66" s="174" t="s">
        <v>608</v>
      </c>
      <c r="C66" s="12" t="s">
        <v>728</v>
      </c>
      <c r="D66" s="12" t="s">
        <v>430</v>
      </c>
      <c r="E66" s="4" t="s">
        <v>33</v>
      </c>
      <c r="F66" s="198">
        <f t="shared" si="1436"/>
        <v>0</v>
      </c>
      <c r="G66" s="225">
        <f t="shared" si="1242"/>
        <v>0</v>
      </c>
      <c r="H66" s="226">
        <f t="shared" si="1243"/>
        <v>0</v>
      </c>
      <c r="I66" s="137">
        <f t="shared" si="1016"/>
        <v>0</v>
      </c>
      <c r="J66" s="227">
        <f t="shared" si="1244"/>
        <v>7.57</v>
      </c>
      <c r="K66" s="138">
        <f t="shared" si="1017"/>
        <v>0</v>
      </c>
      <c r="L66" s="110">
        <f t="shared" si="1018"/>
        <v>0</v>
      </c>
      <c r="M66" s="110"/>
      <c r="N66" s="139"/>
      <c r="O66" s="140">
        <f t="shared" si="1019"/>
        <v>0</v>
      </c>
      <c r="P66" s="198">
        <f t="shared" si="1437"/>
        <v>0</v>
      </c>
      <c r="Q66" s="225">
        <f t="shared" si="1438"/>
        <v>0</v>
      </c>
      <c r="R66" s="226">
        <f t="shared" si="1439"/>
        <v>0</v>
      </c>
      <c r="S66" s="137">
        <f t="shared" si="1440"/>
        <v>0</v>
      </c>
      <c r="T66" s="227">
        <f t="shared" si="1441"/>
        <v>8.23</v>
      </c>
      <c r="U66" s="138">
        <f t="shared" si="1442"/>
        <v>0</v>
      </c>
      <c r="V66" s="110">
        <f t="shared" si="1443"/>
        <v>0</v>
      </c>
      <c r="W66" s="110"/>
      <c r="X66" s="139"/>
      <c r="Y66" s="140">
        <f t="shared" si="1444"/>
        <v>0</v>
      </c>
      <c r="Z66" s="198">
        <f t="shared" si="1437"/>
        <v>0</v>
      </c>
      <c r="AA66" s="225">
        <f t="shared" si="1445"/>
        <v>0</v>
      </c>
      <c r="AB66" s="226">
        <f t="shared" si="1446"/>
        <v>0</v>
      </c>
      <c r="AC66" s="137">
        <f t="shared" si="1447"/>
        <v>0</v>
      </c>
      <c r="AD66" s="227">
        <f t="shared" si="1441"/>
        <v>8.8000000000000007</v>
      </c>
      <c r="AE66" s="138">
        <f t="shared" si="1448"/>
        <v>0</v>
      </c>
      <c r="AF66" s="110">
        <f t="shared" si="1449"/>
        <v>0</v>
      </c>
      <c r="AG66" s="110"/>
      <c r="AH66" s="139"/>
      <c r="AI66" s="140">
        <f t="shared" si="1450"/>
        <v>0</v>
      </c>
      <c r="AJ66" s="198">
        <f t="shared" si="1437"/>
        <v>0</v>
      </c>
      <c r="AK66" s="225">
        <f t="shared" si="1451"/>
        <v>0</v>
      </c>
      <c r="AL66" s="226">
        <f t="shared" si="1452"/>
        <v>0</v>
      </c>
      <c r="AM66" s="137">
        <f t="shared" si="1453"/>
        <v>0</v>
      </c>
      <c r="AN66" s="227">
        <f t="shared" si="1441"/>
        <v>7.52</v>
      </c>
      <c r="AO66" s="138">
        <f t="shared" si="1454"/>
        <v>0</v>
      </c>
      <c r="AP66" s="110">
        <f t="shared" si="1455"/>
        <v>0</v>
      </c>
      <c r="AQ66" s="110"/>
      <c r="AR66" s="139"/>
      <c r="AS66" s="140">
        <f t="shared" si="1456"/>
        <v>0</v>
      </c>
      <c r="AT66" s="198">
        <f t="shared" si="1437"/>
        <v>0</v>
      </c>
      <c r="AU66" s="225">
        <f t="shared" si="1457"/>
        <v>0</v>
      </c>
      <c r="AV66" s="226">
        <f t="shared" si="1458"/>
        <v>0</v>
      </c>
      <c r="AW66" s="137">
        <f t="shared" si="1459"/>
        <v>0</v>
      </c>
      <c r="AX66" s="227">
        <f t="shared" si="1441"/>
        <v>6.88</v>
      </c>
      <c r="AY66" s="138">
        <f t="shared" si="1460"/>
        <v>0</v>
      </c>
      <c r="AZ66" s="110">
        <f t="shared" si="1461"/>
        <v>0</v>
      </c>
      <c r="BA66" s="110"/>
      <c r="BB66" s="139"/>
      <c r="BC66" s="140">
        <f t="shared" si="1462"/>
        <v>0</v>
      </c>
      <c r="BD66" s="198">
        <f t="shared" si="1437"/>
        <v>0</v>
      </c>
      <c r="BE66" s="225">
        <f t="shared" si="1463"/>
        <v>0</v>
      </c>
      <c r="BF66" s="226">
        <f t="shared" si="1464"/>
        <v>0</v>
      </c>
      <c r="BG66" s="137">
        <f t="shared" si="1465"/>
        <v>0</v>
      </c>
      <c r="BH66" s="227">
        <f t="shared" si="1441"/>
        <v>9.74</v>
      </c>
      <c r="BI66" s="138">
        <f t="shared" si="1466"/>
        <v>0</v>
      </c>
      <c r="BJ66" s="110">
        <f t="shared" si="1467"/>
        <v>0</v>
      </c>
      <c r="BK66" s="110"/>
      <c r="BL66" s="139"/>
      <c r="BM66" s="140">
        <f t="shared" si="1468"/>
        <v>0</v>
      </c>
      <c r="BN66" s="198">
        <f t="shared" si="1437"/>
        <v>0</v>
      </c>
      <c r="BO66" s="225">
        <f t="shared" si="1469"/>
        <v>0</v>
      </c>
      <c r="BP66" s="226">
        <f t="shared" si="1470"/>
        <v>0</v>
      </c>
      <c r="BQ66" s="137">
        <f t="shared" si="1471"/>
        <v>0</v>
      </c>
      <c r="BR66" s="227">
        <f t="shared" si="1441"/>
        <v>10.32</v>
      </c>
      <c r="BS66" s="138">
        <f t="shared" si="1472"/>
        <v>0</v>
      </c>
      <c r="BT66" s="110">
        <f t="shared" si="1473"/>
        <v>0</v>
      </c>
      <c r="BU66" s="110"/>
      <c r="BV66" s="139"/>
      <c r="BW66" s="140">
        <f t="shared" si="1474"/>
        <v>0</v>
      </c>
      <c r="BX66" s="198">
        <f t="shared" si="1437"/>
        <v>0</v>
      </c>
      <c r="BY66" s="225">
        <f t="shared" si="1475"/>
        <v>0</v>
      </c>
      <c r="BZ66" s="226">
        <f t="shared" si="1476"/>
        <v>0</v>
      </c>
      <c r="CA66" s="137">
        <f t="shared" si="1477"/>
        <v>0</v>
      </c>
      <c r="CB66" s="227">
        <f t="shared" si="1441"/>
        <v>7.89</v>
      </c>
      <c r="CC66" s="138">
        <f t="shared" si="1478"/>
        <v>0</v>
      </c>
      <c r="CD66" s="110">
        <f t="shared" si="1479"/>
        <v>0</v>
      </c>
      <c r="CE66" s="110"/>
      <c r="CF66" s="139"/>
      <c r="CG66" s="140">
        <f t="shared" si="1480"/>
        <v>0</v>
      </c>
      <c r="CH66" s="198">
        <f t="shared" si="1481"/>
        <v>0</v>
      </c>
      <c r="CI66" s="225">
        <f t="shared" si="1482"/>
        <v>0</v>
      </c>
      <c r="CJ66" s="226">
        <f t="shared" si="1483"/>
        <v>0</v>
      </c>
      <c r="CK66" s="137">
        <f t="shared" si="1484"/>
        <v>0</v>
      </c>
      <c r="CL66" s="227">
        <f t="shared" si="1485"/>
        <v>8.24</v>
      </c>
      <c r="CM66" s="138">
        <f t="shared" si="1486"/>
        <v>0</v>
      </c>
      <c r="CN66" s="110">
        <f t="shared" si="1487"/>
        <v>0</v>
      </c>
      <c r="CO66" s="110"/>
      <c r="CP66" s="139"/>
      <c r="CQ66" s="140">
        <f t="shared" si="1488"/>
        <v>0</v>
      </c>
      <c r="CR66" s="198">
        <f t="shared" si="1481"/>
        <v>0</v>
      </c>
      <c r="CS66" s="225">
        <f t="shared" si="1489"/>
        <v>0</v>
      </c>
      <c r="CT66" s="226">
        <f t="shared" si="1490"/>
        <v>0</v>
      </c>
      <c r="CU66" s="137">
        <f t="shared" si="1491"/>
        <v>0</v>
      </c>
      <c r="CV66" s="227">
        <f t="shared" si="1485"/>
        <v>8.92</v>
      </c>
      <c r="CW66" s="138">
        <f t="shared" si="1492"/>
        <v>0</v>
      </c>
      <c r="CX66" s="110">
        <f t="shared" si="1493"/>
        <v>0</v>
      </c>
      <c r="CY66" s="110"/>
      <c r="CZ66" s="139"/>
      <c r="DA66" s="140">
        <f t="shared" si="1494"/>
        <v>0</v>
      </c>
      <c r="DB66" s="198">
        <f t="shared" si="1481"/>
        <v>0</v>
      </c>
      <c r="DC66" s="225">
        <f t="shared" si="1495"/>
        <v>0</v>
      </c>
      <c r="DD66" s="226">
        <f t="shared" si="1496"/>
        <v>0</v>
      </c>
      <c r="DE66" s="137">
        <f t="shared" si="1497"/>
        <v>0</v>
      </c>
      <c r="DF66" s="227">
        <f t="shared" si="1485"/>
        <v>7.48</v>
      </c>
      <c r="DG66" s="138">
        <f t="shared" si="1498"/>
        <v>0</v>
      </c>
      <c r="DH66" s="110">
        <f t="shared" si="1499"/>
        <v>0</v>
      </c>
      <c r="DI66" s="110"/>
      <c r="DJ66" s="139"/>
      <c r="DK66" s="140">
        <f t="shared" si="1500"/>
        <v>0</v>
      </c>
      <c r="DL66" s="198">
        <f t="shared" si="1481"/>
        <v>41</v>
      </c>
      <c r="DM66" s="225">
        <f t="shared" si="1501"/>
        <v>0.14488000000000001</v>
      </c>
      <c r="DN66" s="226">
        <f t="shared" si="1502"/>
        <v>5185.26</v>
      </c>
      <c r="DO66" s="137">
        <f t="shared" si="1503"/>
        <v>126.4697561</v>
      </c>
      <c r="DP66" s="227">
        <f t="shared" si="1485"/>
        <v>8.2200000000000006</v>
      </c>
      <c r="DQ66" s="138">
        <f t="shared" si="1504"/>
        <v>1039.5814</v>
      </c>
      <c r="DR66" s="110">
        <f t="shared" si="1505"/>
        <v>42622.84</v>
      </c>
      <c r="DS66" s="110"/>
      <c r="DT66" s="139"/>
      <c r="DU66" s="140">
        <f t="shared" si="1506"/>
        <v>1.30043</v>
      </c>
      <c r="DV66" s="198">
        <f t="shared" si="1481"/>
        <v>0</v>
      </c>
      <c r="DW66" s="225">
        <f t="shared" si="1507"/>
        <v>0</v>
      </c>
      <c r="DX66" s="226">
        <f t="shared" si="1508"/>
        <v>0</v>
      </c>
      <c r="DY66" s="137">
        <f t="shared" si="1509"/>
        <v>0</v>
      </c>
      <c r="DZ66" s="227">
        <f t="shared" si="1485"/>
        <v>7.91</v>
      </c>
      <c r="EA66" s="138">
        <f t="shared" si="1510"/>
        <v>0</v>
      </c>
      <c r="EB66" s="110">
        <f t="shared" si="1511"/>
        <v>0</v>
      </c>
      <c r="EC66" s="110"/>
      <c r="ED66" s="139"/>
      <c r="EE66" s="140">
        <f t="shared" si="1512"/>
        <v>0</v>
      </c>
      <c r="EF66" s="198">
        <f t="shared" si="1481"/>
        <v>0</v>
      </c>
      <c r="EG66" s="225">
        <f t="shared" si="1513"/>
        <v>0</v>
      </c>
      <c r="EH66" s="226">
        <f t="shared" si="1514"/>
        <v>0</v>
      </c>
      <c r="EI66" s="137">
        <f t="shared" si="1515"/>
        <v>0</v>
      </c>
      <c r="EJ66" s="227">
        <f t="shared" si="1485"/>
        <v>7.63</v>
      </c>
      <c r="EK66" s="138">
        <f t="shared" si="1516"/>
        <v>0</v>
      </c>
      <c r="EL66" s="110">
        <f t="shared" si="1517"/>
        <v>0</v>
      </c>
      <c r="EM66" s="110"/>
      <c r="EN66" s="139"/>
      <c r="EO66" s="140">
        <f t="shared" si="1518"/>
        <v>0</v>
      </c>
      <c r="EP66" s="198">
        <f t="shared" si="1481"/>
        <v>0</v>
      </c>
      <c r="EQ66" s="225">
        <f t="shared" si="1519"/>
        <v>0</v>
      </c>
      <c r="ER66" s="226">
        <f t="shared" si="1520"/>
        <v>0</v>
      </c>
      <c r="ES66" s="137">
        <f t="shared" si="1521"/>
        <v>0</v>
      </c>
      <c r="ET66" s="227">
        <f t="shared" si="1485"/>
        <v>7.95</v>
      </c>
      <c r="EU66" s="138">
        <f t="shared" si="1522"/>
        <v>0</v>
      </c>
      <c r="EV66" s="110">
        <f t="shared" si="1523"/>
        <v>0</v>
      </c>
      <c r="EW66" s="110"/>
      <c r="EX66" s="139"/>
      <c r="EY66" s="140">
        <f t="shared" si="1524"/>
        <v>0</v>
      </c>
      <c r="EZ66" s="198">
        <f t="shared" si="1525"/>
        <v>0</v>
      </c>
      <c r="FA66" s="225">
        <f t="shared" si="1526"/>
        <v>0</v>
      </c>
      <c r="FB66" s="226">
        <f t="shared" si="1527"/>
        <v>0</v>
      </c>
      <c r="FC66" s="137">
        <f t="shared" si="1528"/>
        <v>0</v>
      </c>
      <c r="FD66" s="227">
        <f t="shared" si="1529"/>
        <v>10.210000000000001</v>
      </c>
      <c r="FE66" s="138">
        <f t="shared" si="1530"/>
        <v>0</v>
      </c>
      <c r="FF66" s="110">
        <f t="shared" si="1531"/>
        <v>0</v>
      </c>
      <c r="FG66" s="110"/>
      <c r="FH66" s="139"/>
      <c r="FI66" s="140">
        <f t="shared" si="1532"/>
        <v>0</v>
      </c>
      <c r="FJ66" s="198">
        <f t="shared" si="1525"/>
        <v>0</v>
      </c>
      <c r="FK66" s="225">
        <f t="shared" si="1533"/>
        <v>0</v>
      </c>
      <c r="FL66" s="226">
        <f t="shared" si="1534"/>
        <v>0</v>
      </c>
      <c r="FM66" s="137">
        <f t="shared" si="1535"/>
        <v>0</v>
      </c>
      <c r="FN66" s="227">
        <f t="shared" si="1529"/>
        <v>9.52</v>
      </c>
      <c r="FO66" s="138">
        <f t="shared" si="1536"/>
        <v>0</v>
      </c>
      <c r="FP66" s="110">
        <f t="shared" si="1537"/>
        <v>0</v>
      </c>
      <c r="FQ66" s="110"/>
      <c r="FR66" s="139"/>
      <c r="FS66" s="140">
        <f t="shared" si="1538"/>
        <v>0</v>
      </c>
      <c r="FT66" s="198">
        <f t="shared" si="1525"/>
        <v>0</v>
      </c>
      <c r="FU66" s="225">
        <f t="shared" si="1539"/>
        <v>0</v>
      </c>
      <c r="FV66" s="226">
        <f t="shared" si="1540"/>
        <v>0</v>
      </c>
      <c r="FW66" s="137">
        <f t="shared" si="1541"/>
        <v>0</v>
      </c>
      <c r="FX66" s="227">
        <f t="shared" si="1529"/>
        <v>9.57</v>
      </c>
      <c r="FY66" s="138">
        <f t="shared" si="1542"/>
        <v>0</v>
      </c>
      <c r="FZ66" s="110">
        <f t="shared" si="1543"/>
        <v>0</v>
      </c>
      <c r="GA66" s="110"/>
      <c r="GB66" s="139"/>
      <c r="GC66" s="140">
        <f t="shared" si="1544"/>
        <v>0</v>
      </c>
      <c r="GD66" s="198">
        <f t="shared" si="1525"/>
        <v>0</v>
      </c>
      <c r="GE66" s="225">
        <f t="shared" si="1545"/>
        <v>0</v>
      </c>
      <c r="GF66" s="226">
        <f t="shared" si="1546"/>
        <v>0</v>
      </c>
      <c r="GG66" s="137">
        <f t="shared" si="1547"/>
        <v>0</v>
      </c>
      <c r="GH66" s="227">
        <f t="shared" si="1529"/>
        <v>8.39</v>
      </c>
      <c r="GI66" s="138">
        <f t="shared" si="1548"/>
        <v>0</v>
      </c>
      <c r="GJ66" s="110">
        <f t="shared" si="1549"/>
        <v>0</v>
      </c>
      <c r="GK66" s="110"/>
      <c r="GL66" s="139"/>
      <c r="GM66" s="140">
        <f t="shared" si="1550"/>
        <v>0</v>
      </c>
      <c r="GN66" s="198">
        <f t="shared" si="1525"/>
        <v>0</v>
      </c>
      <c r="GO66" s="225">
        <f t="shared" si="1551"/>
        <v>0</v>
      </c>
      <c r="GP66" s="226">
        <f t="shared" si="1552"/>
        <v>0</v>
      </c>
      <c r="GQ66" s="137">
        <f t="shared" si="1553"/>
        <v>0</v>
      </c>
      <c r="GR66" s="227">
        <f t="shared" si="1529"/>
        <v>7.63</v>
      </c>
      <c r="GS66" s="138">
        <f t="shared" si="1554"/>
        <v>0</v>
      </c>
      <c r="GT66" s="110">
        <f t="shared" si="1555"/>
        <v>0</v>
      </c>
      <c r="GU66" s="110"/>
      <c r="GV66" s="139"/>
      <c r="GW66" s="140">
        <f t="shared" si="1556"/>
        <v>0</v>
      </c>
      <c r="GX66" s="198">
        <f t="shared" si="1525"/>
        <v>0</v>
      </c>
      <c r="GY66" s="225">
        <f t="shared" si="1557"/>
        <v>0</v>
      </c>
      <c r="GZ66" s="226">
        <f t="shared" si="1558"/>
        <v>0</v>
      </c>
      <c r="HA66" s="137">
        <f t="shared" si="1559"/>
        <v>0</v>
      </c>
      <c r="HB66" s="227">
        <f t="shared" si="1529"/>
        <v>4.8899999999999997</v>
      </c>
      <c r="HC66" s="138">
        <f t="shared" si="1560"/>
        <v>0</v>
      </c>
      <c r="HD66" s="110">
        <f t="shared" si="1561"/>
        <v>0</v>
      </c>
      <c r="HE66" s="110"/>
      <c r="HF66" s="139"/>
      <c r="HG66" s="140">
        <f t="shared" si="1562"/>
        <v>0</v>
      </c>
      <c r="HH66" s="198">
        <f t="shared" si="1525"/>
        <v>0</v>
      </c>
      <c r="HI66" s="225">
        <f t="shared" si="1563"/>
        <v>0</v>
      </c>
      <c r="HJ66" s="226">
        <f t="shared" si="1564"/>
        <v>0</v>
      </c>
      <c r="HK66" s="137">
        <f t="shared" si="1565"/>
        <v>0</v>
      </c>
      <c r="HL66" s="227">
        <f t="shared" si="1529"/>
        <v>5.98</v>
      </c>
      <c r="HM66" s="138">
        <f t="shared" si="1566"/>
        <v>0</v>
      </c>
      <c r="HN66" s="110">
        <f t="shared" si="1567"/>
        <v>0</v>
      </c>
      <c r="HO66" s="110"/>
      <c r="HP66" s="139"/>
      <c r="HQ66" s="140">
        <f t="shared" si="1568"/>
        <v>0</v>
      </c>
      <c r="HR66" s="198">
        <f t="shared" si="1569"/>
        <v>0</v>
      </c>
      <c r="HS66" s="225">
        <f t="shared" si="1570"/>
        <v>0</v>
      </c>
      <c r="HT66" s="226">
        <f t="shared" si="1571"/>
        <v>0</v>
      </c>
      <c r="HU66" s="137">
        <f t="shared" si="1572"/>
        <v>0</v>
      </c>
      <c r="HV66" s="227">
        <f t="shared" si="1573"/>
        <v>9.76</v>
      </c>
      <c r="HW66" s="138">
        <f t="shared" si="1574"/>
        <v>0</v>
      </c>
      <c r="HX66" s="110">
        <f t="shared" si="1575"/>
        <v>0</v>
      </c>
      <c r="HY66" s="110"/>
      <c r="HZ66" s="139"/>
      <c r="IA66" s="140">
        <f t="shared" si="1576"/>
        <v>0</v>
      </c>
      <c r="IB66" s="198">
        <f t="shared" si="1569"/>
        <v>0</v>
      </c>
      <c r="IC66" s="225">
        <f t="shared" si="1577"/>
        <v>0</v>
      </c>
      <c r="ID66" s="226">
        <f t="shared" si="1578"/>
        <v>0</v>
      </c>
      <c r="IE66" s="137">
        <f t="shared" si="1579"/>
        <v>0</v>
      </c>
      <c r="IF66" s="227">
        <f t="shared" si="1573"/>
        <v>7.76</v>
      </c>
      <c r="IG66" s="138">
        <f t="shared" si="1580"/>
        <v>0</v>
      </c>
      <c r="IH66" s="110">
        <f t="shared" si="1581"/>
        <v>0</v>
      </c>
      <c r="II66" s="110"/>
      <c r="IJ66" s="139"/>
      <c r="IK66" s="140">
        <f t="shared" si="1582"/>
        <v>0</v>
      </c>
      <c r="IL66" s="198">
        <f t="shared" si="1569"/>
        <v>0</v>
      </c>
      <c r="IM66" s="225">
        <f t="shared" si="1583"/>
        <v>0</v>
      </c>
      <c r="IN66" s="226">
        <f t="shared" si="1584"/>
        <v>0</v>
      </c>
      <c r="IO66" s="137">
        <f t="shared" si="1585"/>
        <v>0</v>
      </c>
      <c r="IP66" s="227">
        <f t="shared" si="1573"/>
        <v>7.4</v>
      </c>
      <c r="IQ66" s="138">
        <f t="shared" si="1586"/>
        <v>0</v>
      </c>
      <c r="IR66" s="110">
        <f t="shared" si="1587"/>
        <v>0</v>
      </c>
      <c r="IS66" s="110"/>
      <c r="IT66" s="139"/>
      <c r="IU66" s="140">
        <f t="shared" si="1588"/>
        <v>0</v>
      </c>
      <c r="IV66" s="198">
        <f t="shared" si="1569"/>
        <v>0</v>
      </c>
      <c r="IW66" s="225">
        <f t="shared" si="1589"/>
        <v>0</v>
      </c>
      <c r="IX66" s="226">
        <f t="shared" si="1590"/>
        <v>0</v>
      </c>
      <c r="IY66" s="137">
        <f t="shared" si="1591"/>
        <v>0</v>
      </c>
      <c r="IZ66" s="227">
        <f t="shared" si="1573"/>
        <v>9.64</v>
      </c>
      <c r="JA66" s="138">
        <f t="shared" si="1592"/>
        <v>0</v>
      </c>
      <c r="JB66" s="110">
        <f t="shared" si="1593"/>
        <v>0</v>
      </c>
      <c r="JC66" s="110"/>
      <c r="JD66" s="139"/>
      <c r="JE66" s="140">
        <f t="shared" si="1594"/>
        <v>0</v>
      </c>
      <c r="JF66" s="198">
        <f t="shared" si="1569"/>
        <v>0</v>
      </c>
      <c r="JG66" s="225">
        <f t="shared" si="1595"/>
        <v>0</v>
      </c>
      <c r="JH66" s="226">
        <f t="shared" si="1596"/>
        <v>0</v>
      </c>
      <c r="JI66" s="137">
        <f t="shared" si="1597"/>
        <v>0</v>
      </c>
      <c r="JJ66" s="227">
        <f t="shared" si="1573"/>
        <v>9.1</v>
      </c>
      <c r="JK66" s="138">
        <f t="shared" si="1598"/>
        <v>0</v>
      </c>
      <c r="JL66" s="110">
        <f t="shared" si="1599"/>
        <v>0</v>
      </c>
      <c r="JM66" s="110"/>
      <c r="JN66" s="139"/>
      <c r="JO66" s="140">
        <f t="shared" si="1600"/>
        <v>0</v>
      </c>
      <c r="JP66" s="198">
        <f t="shared" si="1569"/>
        <v>0</v>
      </c>
      <c r="JQ66" s="225">
        <f t="shared" si="1601"/>
        <v>0</v>
      </c>
      <c r="JR66" s="226">
        <f t="shared" si="1602"/>
        <v>0</v>
      </c>
      <c r="JS66" s="137">
        <f t="shared" si="1603"/>
        <v>0</v>
      </c>
      <c r="JT66" s="227">
        <f t="shared" si="1573"/>
        <v>10.15</v>
      </c>
      <c r="JU66" s="138">
        <f t="shared" si="1604"/>
        <v>0</v>
      </c>
      <c r="JV66" s="110">
        <f t="shared" si="1605"/>
        <v>0</v>
      </c>
      <c r="JW66" s="110"/>
      <c r="JX66" s="139"/>
      <c r="JY66" s="140">
        <f t="shared" si="1606"/>
        <v>0</v>
      </c>
      <c r="JZ66" s="198">
        <f t="shared" si="1569"/>
        <v>0</v>
      </c>
      <c r="KA66" s="225">
        <f t="shared" si="1607"/>
        <v>0</v>
      </c>
      <c r="KB66" s="226">
        <f t="shared" si="1608"/>
        <v>0</v>
      </c>
      <c r="KC66" s="137">
        <f t="shared" si="1609"/>
        <v>0</v>
      </c>
      <c r="KD66" s="227">
        <f t="shared" si="1573"/>
        <v>8.14</v>
      </c>
      <c r="KE66" s="138">
        <f t="shared" si="1610"/>
        <v>0</v>
      </c>
      <c r="KF66" s="110">
        <f t="shared" si="1611"/>
        <v>0</v>
      </c>
      <c r="KG66" s="110"/>
      <c r="KH66" s="139"/>
      <c r="KI66" s="140">
        <f t="shared" si="1612"/>
        <v>0</v>
      </c>
      <c r="KJ66" s="198">
        <f t="shared" si="1613"/>
        <v>0</v>
      </c>
      <c r="KK66" s="225">
        <f t="shared" si="1614"/>
        <v>0</v>
      </c>
      <c r="KL66" s="226">
        <f t="shared" si="1615"/>
        <v>0</v>
      </c>
      <c r="KM66" s="137">
        <f t="shared" si="1616"/>
        <v>0</v>
      </c>
      <c r="KN66" s="227">
        <f t="shared" si="1617"/>
        <v>9.02</v>
      </c>
      <c r="KO66" s="138">
        <f t="shared" si="1618"/>
        <v>0</v>
      </c>
      <c r="KP66" s="110">
        <f t="shared" si="1619"/>
        <v>0</v>
      </c>
      <c r="KQ66" s="110"/>
      <c r="KR66" s="139"/>
      <c r="KS66" s="140">
        <f t="shared" si="1620"/>
        <v>0</v>
      </c>
      <c r="KT66" s="198">
        <f t="shared" si="1613"/>
        <v>0</v>
      </c>
      <c r="KU66" s="225">
        <f t="shared" si="1621"/>
        <v>0</v>
      </c>
      <c r="KV66" s="226">
        <f t="shared" si="1622"/>
        <v>0</v>
      </c>
      <c r="KW66" s="137">
        <f t="shared" si="1623"/>
        <v>0</v>
      </c>
      <c r="KX66" s="227">
        <f t="shared" si="1617"/>
        <v>9.94</v>
      </c>
      <c r="KY66" s="138">
        <f t="shared" si="1624"/>
        <v>0</v>
      </c>
      <c r="KZ66" s="110">
        <f t="shared" si="1625"/>
        <v>0</v>
      </c>
      <c r="LA66" s="110"/>
      <c r="LB66" s="139"/>
      <c r="LC66" s="140">
        <f t="shared" si="1626"/>
        <v>0</v>
      </c>
      <c r="LD66" s="197">
        <f t="shared" si="1235"/>
        <v>41</v>
      </c>
      <c r="LE66" s="225">
        <f t="shared" si="1236"/>
        <v>1.4400000000000001E-3</v>
      </c>
      <c r="LF66" s="226">
        <f t="shared" si="1237"/>
        <v>3874.23</v>
      </c>
      <c r="LG66" s="137">
        <f t="shared" si="1238"/>
        <v>94.493414630000004</v>
      </c>
      <c r="LH66" s="227">
        <f t="shared" si="1239"/>
        <v>8.4600000000000009</v>
      </c>
      <c r="LI66" s="138">
        <f t="shared" si="1240"/>
        <v>799.41429000000005</v>
      </c>
      <c r="LJ66" s="110">
        <f t="shared" si="1241"/>
        <v>32775.99</v>
      </c>
      <c r="LK66" s="110"/>
      <c r="LL66" s="139"/>
    </row>
    <row r="67" spans="1:324" ht="18" hidden="1" customHeight="1" x14ac:dyDescent="0.25">
      <c r="A67" s="247"/>
      <c r="B67" s="92" t="s">
        <v>611</v>
      </c>
      <c r="C67" s="12" t="s">
        <v>728</v>
      </c>
      <c r="D67" s="12" t="s">
        <v>430</v>
      </c>
      <c r="E67" s="4" t="s">
        <v>33</v>
      </c>
      <c r="F67" s="198">
        <f>F38</f>
        <v>0</v>
      </c>
      <c r="G67" s="225">
        <f t="shared" si="1242"/>
        <v>0</v>
      </c>
      <c r="H67" s="226">
        <f t="shared" si="1243"/>
        <v>0</v>
      </c>
      <c r="I67" s="137">
        <f t="shared" si="1016"/>
        <v>0</v>
      </c>
      <c r="J67" s="227">
        <f t="shared" si="1244"/>
        <v>7.57</v>
      </c>
      <c r="K67" s="138">
        <f t="shared" si="1017"/>
        <v>0</v>
      </c>
      <c r="L67" s="110">
        <f t="shared" si="1018"/>
        <v>0</v>
      </c>
      <c r="M67" s="110"/>
      <c r="N67" s="139"/>
      <c r="O67" s="140" t="e">
        <f>K67/$LI67</f>
        <v>#DIV/0!</v>
      </c>
      <c r="P67" s="198">
        <f t="shared" ref="P67" si="1627">P38</f>
        <v>0</v>
      </c>
      <c r="Q67" s="225">
        <f t="shared" si="1438"/>
        <v>0</v>
      </c>
      <c r="R67" s="226">
        <f t="shared" si="1439"/>
        <v>0</v>
      </c>
      <c r="S67" s="137">
        <f t="shared" si="1440"/>
        <v>0</v>
      </c>
      <c r="T67" s="227">
        <f t="shared" si="1441"/>
        <v>8.23</v>
      </c>
      <c r="U67" s="138">
        <f t="shared" si="1442"/>
        <v>0</v>
      </c>
      <c r="V67" s="110">
        <f t="shared" si="1443"/>
        <v>0</v>
      </c>
      <c r="W67" s="110"/>
      <c r="X67" s="139"/>
      <c r="Y67" s="140" t="e">
        <f t="shared" si="1444"/>
        <v>#DIV/0!</v>
      </c>
      <c r="Z67" s="198">
        <f t="shared" ref="Z67" si="1628">Z38</f>
        <v>0</v>
      </c>
      <c r="AA67" s="225">
        <f t="shared" si="1445"/>
        <v>0</v>
      </c>
      <c r="AB67" s="226">
        <f t="shared" si="1446"/>
        <v>0</v>
      </c>
      <c r="AC67" s="137">
        <f t="shared" si="1447"/>
        <v>0</v>
      </c>
      <c r="AD67" s="227">
        <f t="shared" si="1441"/>
        <v>8.8000000000000007</v>
      </c>
      <c r="AE67" s="138">
        <f t="shared" si="1448"/>
        <v>0</v>
      </c>
      <c r="AF67" s="110">
        <f t="shared" si="1449"/>
        <v>0</v>
      </c>
      <c r="AG67" s="110"/>
      <c r="AH67" s="139"/>
      <c r="AI67" s="140" t="e">
        <f t="shared" si="1450"/>
        <v>#DIV/0!</v>
      </c>
      <c r="AJ67" s="198">
        <f t="shared" ref="AJ67" si="1629">AJ38</f>
        <v>0</v>
      </c>
      <c r="AK67" s="225">
        <f t="shared" si="1451"/>
        <v>0</v>
      </c>
      <c r="AL67" s="226">
        <f t="shared" si="1452"/>
        <v>0</v>
      </c>
      <c r="AM67" s="137">
        <f t="shared" si="1453"/>
        <v>0</v>
      </c>
      <c r="AN67" s="227">
        <f t="shared" si="1441"/>
        <v>7.52</v>
      </c>
      <c r="AO67" s="138">
        <f t="shared" si="1454"/>
        <v>0</v>
      </c>
      <c r="AP67" s="110">
        <f t="shared" si="1455"/>
        <v>0</v>
      </c>
      <c r="AQ67" s="110"/>
      <c r="AR67" s="139"/>
      <c r="AS67" s="140" t="e">
        <f t="shared" si="1456"/>
        <v>#DIV/0!</v>
      </c>
      <c r="AT67" s="198">
        <f t="shared" ref="AT67" si="1630">AT38</f>
        <v>0</v>
      </c>
      <c r="AU67" s="225">
        <f t="shared" si="1457"/>
        <v>0</v>
      </c>
      <c r="AV67" s="226">
        <f t="shared" si="1458"/>
        <v>0</v>
      </c>
      <c r="AW67" s="137">
        <f t="shared" si="1459"/>
        <v>0</v>
      </c>
      <c r="AX67" s="227">
        <f t="shared" si="1441"/>
        <v>6.88</v>
      </c>
      <c r="AY67" s="138">
        <f t="shared" si="1460"/>
        <v>0</v>
      </c>
      <c r="AZ67" s="110">
        <f t="shared" si="1461"/>
        <v>0</v>
      </c>
      <c r="BA67" s="110"/>
      <c r="BB67" s="139"/>
      <c r="BC67" s="140" t="e">
        <f t="shared" si="1462"/>
        <v>#DIV/0!</v>
      </c>
      <c r="BD67" s="198">
        <f t="shared" ref="BD67" si="1631">BD38</f>
        <v>0</v>
      </c>
      <c r="BE67" s="225">
        <f t="shared" si="1463"/>
        <v>0</v>
      </c>
      <c r="BF67" s="226">
        <f t="shared" si="1464"/>
        <v>0</v>
      </c>
      <c r="BG67" s="137">
        <f t="shared" si="1465"/>
        <v>0</v>
      </c>
      <c r="BH67" s="227">
        <f t="shared" si="1441"/>
        <v>9.74</v>
      </c>
      <c r="BI67" s="138">
        <f t="shared" si="1466"/>
        <v>0</v>
      </c>
      <c r="BJ67" s="110">
        <f t="shared" si="1467"/>
        <v>0</v>
      </c>
      <c r="BK67" s="110"/>
      <c r="BL67" s="139"/>
      <c r="BM67" s="140" t="e">
        <f t="shared" si="1468"/>
        <v>#DIV/0!</v>
      </c>
      <c r="BN67" s="198">
        <f t="shared" ref="BN67" si="1632">BN38</f>
        <v>0</v>
      </c>
      <c r="BO67" s="225">
        <f t="shared" si="1469"/>
        <v>0</v>
      </c>
      <c r="BP67" s="226">
        <f t="shared" si="1470"/>
        <v>0</v>
      </c>
      <c r="BQ67" s="137">
        <f t="shared" si="1471"/>
        <v>0</v>
      </c>
      <c r="BR67" s="227">
        <f t="shared" si="1441"/>
        <v>10.32</v>
      </c>
      <c r="BS67" s="138">
        <f t="shared" si="1472"/>
        <v>0</v>
      </c>
      <c r="BT67" s="110">
        <f t="shared" si="1473"/>
        <v>0</v>
      </c>
      <c r="BU67" s="110"/>
      <c r="BV67" s="139"/>
      <c r="BW67" s="140" t="e">
        <f t="shared" si="1474"/>
        <v>#DIV/0!</v>
      </c>
      <c r="BX67" s="198">
        <f t="shared" ref="BX67" si="1633">BX38</f>
        <v>0</v>
      </c>
      <c r="BY67" s="225">
        <f t="shared" si="1475"/>
        <v>0</v>
      </c>
      <c r="BZ67" s="226">
        <f t="shared" si="1476"/>
        <v>0</v>
      </c>
      <c r="CA67" s="137">
        <f t="shared" si="1477"/>
        <v>0</v>
      </c>
      <c r="CB67" s="227">
        <f t="shared" si="1441"/>
        <v>7.89</v>
      </c>
      <c r="CC67" s="138">
        <f t="shared" si="1478"/>
        <v>0</v>
      </c>
      <c r="CD67" s="110">
        <f t="shared" si="1479"/>
        <v>0</v>
      </c>
      <c r="CE67" s="110"/>
      <c r="CF67" s="139"/>
      <c r="CG67" s="140" t="e">
        <f t="shared" si="1480"/>
        <v>#DIV/0!</v>
      </c>
      <c r="CH67" s="198">
        <f t="shared" ref="CH67" si="1634">CH38</f>
        <v>0</v>
      </c>
      <c r="CI67" s="225">
        <f t="shared" si="1482"/>
        <v>0</v>
      </c>
      <c r="CJ67" s="226">
        <f t="shared" si="1483"/>
        <v>0</v>
      </c>
      <c r="CK67" s="137">
        <f t="shared" si="1484"/>
        <v>0</v>
      </c>
      <c r="CL67" s="227">
        <f t="shared" si="1485"/>
        <v>8.24</v>
      </c>
      <c r="CM67" s="138">
        <f t="shared" si="1486"/>
        <v>0</v>
      </c>
      <c r="CN67" s="110">
        <f t="shared" si="1487"/>
        <v>0</v>
      </c>
      <c r="CO67" s="110"/>
      <c r="CP67" s="139"/>
      <c r="CQ67" s="140" t="e">
        <f t="shared" si="1488"/>
        <v>#DIV/0!</v>
      </c>
      <c r="CR67" s="198">
        <f t="shared" ref="CR67" si="1635">CR38</f>
        <v>0</v>
      </c>
      <c r="CS67" s="225">
        <f t="shared" si="1489"/>
        <v>0</v>
      </c>
      <c r="CT67" s="226">
        <f t="shared" si="1490"/>
        <v>0</v>
      </c>
      <c r="CU67" s="137">
        <f t="shared" si="1491"/>
        <v>0</v>
      </c>
      <c r="CV67" s="227">
        <f t="shared" si="1485"/>
        <v>8.92</v>
      </c>
      <c r="CW67" s="138">
        <f t="shared" si="1492"/>
        <v>0</v>
      </c>
      <c r="CX67" s="110">
        <f t="shared" si="1493"/>
        <v>0</v>
      </c>
      <c r="CY67" s="110"/>
      <c r="CZ67" s="139"/>
      <c r="DA67" s="140" t="e">
        <f t="shared" si="1494"/>
        <v>#DIV/0!</v>
      </c>
      <c r="DB67" s="198">
        <f t="shared" ref="DB67" si="1636">DB38</f>
        <v>0</v>
      </c>
      <c r="DC67" s="225">
        <f t="shared" si="1495"/>
        <v>0</v>
      </c>
      <c r="DD67" s="226">
        <f t="shared" si="1496"/>
        <v>0</v>
      </c>
      <c r="DE67" s="137">
        <f t="shared" si="1497"/>
        <v>0</v>
      </c>
      <c r="DF67" s="227">
        <f t="shared" si="1485"/>
        <v>7.48</v>
      </c>
      <c r="DG67" s="138">
        <f t="shared" si="1498"/>
        <v>0</v>
      </c>
      <c r="DH67" s="110">
        <f t="shared" si="1499"/>
        <v>0</v>
      </c>
      <c r="DI67" s="110"/>
      <c r="DJ67" s="139"/>
      <c r="DK67" s="140" t="e">
        <f t="shared" si="1500"/>
        <v>#DIV/0!</v>
      </c>
      <c r="DL67" s="198">
        <f t="shared" ref="DL67" si="1637">DL38</f>
        <v>0</v>
      </c>
      <c r="DM67" s="225">
        <f t="shared" si="1501"/>
        <v>0</v>
      </c>
      <c r="DN67" s="226">
        <f t="shared" si="1502"/>
        <v>0</v>
      </c>
      <c r="DO67" s="137">
        <f t="shared" si="1503"/>
        <v>0</v>
      </c>
      <c r="DP67" s="227">
        <f t="shared" si="1485"/>
        <v>8.2200000000000006</v>
      </c>
      <c r="DQ67" s="138">
        <f t="shared" si="1504"/>
        <v>0</v>
      </c>
      <c r="DR67" s="110">
        <f t="shared" si="1505"/>
        <v>0</v>
      </c>
      <c r="DS67" s="110"/>
      <c r="DT67" s="139"/>
      <c r="DU67" s="140" t="e">
        <f t="shared" si="1506"/>
        <v>#DIV/0!</v>
      </c>
      <c r="DV67" s="198">
        <f t="shared" ref="DV67" si="1638">DV38</f>
        <v>0</v>
      </c>
      <c r="DW67" s="225">
        <f t="shared" si="1507"/>
        <v>0</v>
      </c>
      <c r="DX67" s="226">
        <f t="shared" si="1508"/>
        <v>0</v>
      </c>
      <c r="DY67" s="137">
        <f t="shared" si="1509"/>
        <v>0</v>
      </c>
      <c r="DZ67" s="227">
        <f t="shared" si="1485"/>
        <v>7.91</v>
      </c>
      <c r="EA67" s="138">
        <f t="shared" si="1510"/>
        <v>0</v>
      </c>
      <c r="EB67" s="110">
        <f t="shared" si="1511"/>
        <v>0</v>
      </c>
      <c r="EC67" s="110"/>
      <c r="ED67" s="139"/>
      <c r="EE67" s="140" t="e">
        <f t="shared" si="1512"/>
        <v>#DIV/0!</v>
      </c>
      <c r="EF67" s="198">
        <f t="shared" ref="EF67" si="1639">EF38</f>
        <v>0</v>
      </c>
      <c r="EG67" s="225">
        <f t="shared" si="1513"/>
        <v>0</v>
      </c>
      <c r="EH67" s="226">
        <f t="shared" si="1514"/>
        <v>0</v>
      </c>
      <c r="EI67" s="137">
        <f t="shared" si="1515"/>
        <v>0</v>
      </c>
      <c r="EJ67" s="227">
        <f t="shared" si="1485"/>
        <v>7.63</v>
      </c>
      <c r="EK67" s="138">
        <f t="shared" si="1516"/>
        <v>0</v>
      </c>
      <c r="EL67" s="110">
        <f t="shared" si="1517"/>
        <v>0</v>
      </c>
      <c r="EM67" s="110"/>
      <c r="EN67" s="139"/>
      <c r="EO67" s="140" t="e">
        <f t="shared" si="1518"/>
        <v>#DIV/0!</v>
      </c>
      <c r="EP67" s="198">
        <f t="shared" ref="EP67" si="1640">EP38</f>
        <v>0</v>
      </c>
      <c r="EQ67" s="225">
        <f t="shared" si="1519"/>
        <v>0</v>
      </c>
      <c r="ER67" s="226">
        <f t="shared" si="1520"/>
        <v>0</v>
      </c>
      <c r="ES67" s="137">
        <f t="shared" si="1521"/>
        <v>0</v>
      </c>
      <c r="ET67" s="227">
        <f t="shared" si="1485"/>
        <v>7.95</v>
      </c>
      <c r="EU67" s="138">
        <f t="shared" si="1522"/>
        <v>0</v>
      </c>
      <c r="EV67" s="110">
        <f t="shared" si="1523"/>
        <v>0</v>
      </c>
      <c r="EW67" s="110"/>
      <c r="EX67" s="139"/>
      <c r="EY67" s="140" t="e">
        <f t="shared" si="1524"/>
        <v>#DIV/0!</v>
      </c>
      <c r="EZ67" s="198">
        <f t="shared" ref="EZ67" si="1641">EZ38</f>
        <v>0</v>
      </c>
      <c r="FA67" s="225">
        <f t="shared" si="1526"/>
        <v>0</v>
      </c>
      <c r="FB67" s="226">
        <f t="shared" si="1527"/>
        <v>0</v>
      </c>
      <c r="FC67" s="137">
        <f t="shared" si="1528"/>
        <v>0</v>
      </c>
      <c r="FD67" s="227">
        <f t="shared" si="1529"/>
        <v>10.210000000000001</v>
      </c>
      <c r="FE67" s="138">
        <f t="shared" si="1530"/>
        <v>0</v>
      </c>
      <c r="FF67" s="110">
        <f t="shared" si="1531"/>
        <v>0</v>
      </c>
      <c r="FG67" s="110"/>
      <c r="FH67" s="139"/>
      <c r="FI67" s="140" t="e">
        <f t="shared" si="1532"/>
        <v>#DIV/0!</v>
      </c>
      <c r="FJ67" s="198">
        <f t="shared" ref="FJ67" si="1642">FJ38</f>
        <v>0</v>
      </c>
      <c r="FK67" s="225">
        <f t="shared" si="1533"/>
        <v>0</v>
      </c>
      <c r="FL67" s="226">
        <f t="shared" si="1534"/>
        <v>0</v>
      </c>
      <c r="FM67" s="137">
        <f t="shared" si="1535"/>
        <v>0</v>
      </c>
      <c r="FN67" s="227">
        <f t="shared" si="1529"/>
        <v>9.52</v>
      </c>
      <c r="FO67" s="138">
        <f t="shared" si="1536"/>
        <v>0</v>
      </c>
      <c r="FP67" s="110">
        <f t="shared" si="1537"/>
        <v>0</v>
      </c>
      <c r="FQ67" s="110"/>
      <c r="FR67" s="139"/>
      <c r="FS67" s="140" t="e">
        <f t="shared" si="1538"/>
        <v>#DIV/0!</v>
      </c>
      <c r="FT67" s="198">
        <f t="shared" ref="FT67" si="1643">FT38</f>
        <v>0</v>
      </c>
      <c r="FU67" s="225">
        <f t="shared" si="1539"/>
        <v>0</v>
      </c>
      <c r="FV67" s="226">
        <f t="shared" si="1540"/>
        <v>0</v>
      </c>
      <c r="FW67" s="137">
        <f t="shared" si="1541"/>
        <v>0</v>
      </c>
      <c r="FX67" s="227">
        <f t="shared" si="1529"/>
        <v>9.57</v>
      </c>
      <c r="FY67" s="138">
        <f t="shared" si="1542"/>
        <v>0</v>
      </c>
      <c r="FZ67" s="110">
        <f t="shared" si="1543"/>
        <v>0</v>
      </c>
      <c r="GA67" s="110"/>
      <c r="GB67" s="139"/>
      <c r="GC67" s="140" t="e">
        <f t="shared" si="1544"/>
        <v>#DIV/0!</v>
      </c>
      <c r="GD67" s="198">
        <f t="shared" ref="GD67" si="1644">GD38</f>
        <v>0</v>
      </c>
      <c r="GE67" s="225">
        <f t="shared" si="1545"/>
        <v>0</v>
      </c>
      <c r="GF67" s="226">
        <f t="shared" si="1546"/>
        <v>0</v>
      </c>
      <c r="GG67" s="137">
        <f t="shared" si="1547"/>
        <v>0</v>
      </c>
      <c r="GH67" s="227">
        <f t="shared" si="1529"/>
        <v>8.39</v>
      </c>
      <c r="GI67" s="138">
        <f t="shared" si="1548"/>
        <v>0</v>
      </c>
      <c r="GJ67" s="110">
        <f t="shared" si="1549"/>
        <v>0</v>
      </c>
      <c r="GK67" s="110"/>
      <c r="GL67" s="139"/>
      <c r="GM67" s="140" t="e">
        <f t="shared" si="1550"/>
        <v>#DIV/0!</v>
      </c>
      <c r="GN67" s="198">
        <f t="shared" ref="GN67" si="1645">GN38</f>
        <v>0</v>
      </c>
      <c r="GO67" s="225">
        <f t="shared" si="1551"/>
        <v>0</v>
      </c>
      <c r="GP67" s="226">
        <f t="shared" si="1552"/>
        <v>0</v>
      </c>
      <c r="GQ67" s="137">
        <f t="shared" si="1553"/>
        <v>0</v>
      </c>
      <c r="GR67" s="227">
        <f t="shared" si="1529"/>
        <v>7.63</v>
      </c>
      <c r="GS67" s="138">
        <f t="shared" si="1554"/>
        <v>0</v>
      </c>
      <c r="GT67" s="110">
        <f t="shared" si="1555"/>
        <v>0</v>
      </c>
      <c r="GU67" s="110"/>
      <c r="GV67" s="139"/>
      <c r="GW67" s="140" t="e">
        <f t="shared" si="1556"/>
        <v>#DIV/0!</v>
      </c>
      <c r="GX67" s="198">
        <f t="shared" ref="GX67" si="1646">GX38</f>
        <v>0</v>
      </c>
      <c r="GY67" s="225">
        <f t="shared" si="1557"/>
        <v>0</v>
      </c>
      <c r="GZ67" s="226">
        <f t="shared" si="1558"/>
        <v>0</v>
      </c>
      <c r="HA67" s="137">
        <f t="shared" si="1559"/>
        <v>0</v>
      </c>
      <c r="HB67" s="227">
        <f t="shared" si="1529"/>
        <v>4.8899999999999997</v>
      </c>
      <c r="HC67" s="138">
        <f t="shared" si="1560"/>
        <v>0</v>
      </c>
      <c r="HD67" s="110">
        <f t="shared" si="1561"/>
        <v>0</v>
      </c>
      <c r="HE67" s="110"/>
      <c r="HF67" s="139"/>
      <c r="HG67" s="140" t="e">
        <f t="shared" si="1562"/>
        <v>#DIV/0!</v>
      </c>
      <c r="HH67" s="198">
        <f t="shared" ref="HH67" si="1647">HH38</f>
        <v>0</v>
      </c>
      <c r="HI67" s="225">
        <f t="shared" si="1563"/>
        <v>0</v>
      </c>
      <c r="HJ67" s="226">
        <f t="shared" si="1564"/>
        <v>0</v>
      </c>
      <c r="HK67" s="137">
        <f t="shared" si="1565"/>
        <v>0</v>
      </c>
      <c r="HL67" s="227">
        <f t="shared" si="1529"/>
        <v>5.98</v>
      </c>
      <c r="HM67" s="138">
        <f t="shared" si="1566"/>
        <v>0</v>
      </c>
      <c r="HN67" s="110">
        <f t="shared" si="1567"/>
        <v>0</v>
      </c>
      <c r="HO67" s="110"/>
      <c r="HP67" s="139"/>
      <c r="HQ67" s="140" t="e">
        <f t="shared" si="1568"/>
        <v>#DIV/0!</v>
      </c>
      <c r="HR67" s="198">
        <f t="shared" ref="HR67" si="1648">HR38</f>
        <v>0</v>
      </c>
      <c r="HS67" s="225">
        <f t="shared" si="1570"/>
        <v>0</v>
      </c>
      <c r="HT67" s="226">
        <f t="shared" si="1571"/>
        <v>0</v>
      </c>
      <c r="HU67" s="137">
        <f t="shared" si="1572"/>
        <v>0</v>
      </c>
      <c r="HV67" s="227">
        <f t="shared" si="1573"/>
        <v>9.76</v>
      </c>
      <c r="HW67" s="138">
        <f t="shared" si="1574"/>
        <v>0</v>
      </c>
      <c r="HX67" s="110">
        <f t="shared" si="1575"/>
        <v>0</v>
      </c>
      <c r="HY67" s="110"/>
      <c r="HZ67" s="139"/>
      <c r="IA67" s="140" t="e">
        <f t="shared" si="1576"/>
        <v>#DIV/0!</v>
      </c>
      <c r="IB67" s="198">
        <f t="shared" ref="IB67" si="1649">IB38</f>
        <v>0</v>
      </c>
      <c r="IC67" s="225">
        <f t="shared" si="1577"/>
        <v>0</v>
      </c>
      <c r="ID67" s="226">
        <f t="shared" si="1578"/>
        <v>0</v>
      </c>
      <c r="IE67" s="137">
        <f t="shared" si="1579"/>
        <v>0</v>
      </c>
      <c r="IF67" s="227">
        <f t="shared" si="1573"/>
        <v>7.76</v>
      </c>
      <c r="IG67" s="138">
        <f t="shared" si="1580"/>
        <v>0</v>
      </c>
      <c r="IH67" s="110">
        <f t="shared" si="1581"/>
        <v>0</v>
      </c>
      <c r="II67" s="110"/>
      <c r="IJ67" s="139"/>
      <c r="IK67" s="140" t="e">
        <f t="shared" si="1582"/>
        <v>#DIV/0!</v>
      </c>
      <c r="IL67" s="198">
        <f t="shared" ref="IL67" si="1650">IL38</f>
        <v>0</v>
      </c>
      <c r="IM67" s="225">
        <f t="shared" si="1583"/>
        <v>0</v>
      </c>
      <c r="IN67" s="226">
        <f t="shared" si="1584"/>
        <v>0</v>
      </c>
      <c r="IO67" s="137">
        <f t="shared" si="1585"/>
        <v>0</v>
      </c>
      <c r="IP67" s="227">
        <f t="shared" si="1573"/>
        <v>7.4</v>
      </c>
      <c r="IQ67" s="138">
        <f t="shared" si="1586"/>
        <v>0</v>
      </c>
      <c r="IR67" s="110">
        <f t="shared" si="1587"/>
        <v>0</v>
      </c>
      <c r="IS67" s="110"/>
      <c r="IT67" s="139"/>
      <c r="IU67" s="140" t="e">
        <f t="shared" si="1588"/>
        <v>#DIV/0!</v>
      </c>
      <c r="IV67" s="198">
        <f t="shared" ref="IV67" si="1651">IV38</f>
        <v>0</v>
      </c>
      <c r="IW67" s="225">
        <f t="shared" si="1589"/>
        <v>0</v>
      </c>
      <c r="IX67" s="226">
        <f t="shared" si="1590"/>
        <v>0</v>
      </c>
      <c r="IY67" s="137">
        <f t="shared" si="1591"/>
        <v>0</v>
      </c>
      <c r="IZ67" s="227">
        <f t="shared" si="1573"/>
        <v>9.64</v>
      </c>
      <c r="JA67" s="138">
        <f t="shared" si="1592"/>
        <v>0</v>
      </c>
      <c r="JB67" s="110">
        <f t="shared" si="1593"/>
        <v>0</v>
      </c>
      <c r="JC67" s="110"/>
      <c r="JD67" s="139"/>
      <c r="JE67" s="140" t="e">
        <f t="shared" si="1594"/>
        <v>#DIV/0!</v>
      </c>
      <c r="JF67" s="198">
        <f t="shared" ref="JF67" si="1652">JF38</f>
        <v>0</v>
      </c>
      <c r="JG67" s="225">
        <f t="shared" si="1595"/>
        <v>0</v>
      </c>
      <c r="JH67" s="226">
        <f t="shared" si="1596"/>
        <v>0</v>
      </c>
      <c r="JI67" s="137">
        <f t="shared" si="1597"/>
        <v>0</v>
      </c>
      <c r="JJ67" s="227">
        <f t="shared" si="1573"/>
        <v>9.1</v>
      </c>
      <c r="JK67" s="138">
        <f t="shared" si="1598"/>
        <v>0</v>
      </c>
      <c r="JL67" s="110">
        <f t="shared" si="1599"/>
        <v>0</v>
      </c>
      <c r="JM67" s="110"/>
      <c r="JN67" s="139"/>
      <c r="JO67" s="140" t="e">
        <f t="shared" si="1600"/>
        <v>#DIV/0!</v>
      </c>
      <c r="JP67" s="198">
        <f t="shared" ref="JP67" si="1653">JP38</f>
        <v>0</v>
      </c>
      <c r="JQ67" s="225">
        <f t="shared" si="1601"/>
        <v>0</v>
      </c>
      <c r="JR67" s="226">
        <f t="shared" si="1602"/>
        <v>0</v>
      </c>
      <c r="JS67" s="137">
        <f t="shared" si="1603"/>
        <v>0</v>
      </c>
      <c r="JT67" s="227">
        <f t="shared" si="1573"/>
        <v>10.15</v>
      </c>
      <c r="JU67" s="138">
        <f t="shared" si="1604"/>
        <v>0</v>
      </c>
      <c r="JV67" s="110">
        <f t="shared" si="1605"/>
        <v>0</v>
      </c>
      <c r="JW67" s="110"/>
      <c r="JX67" s="139"/>
      <c r="JY67" s="140" t="e">
        <f t="shared" si="1606"/>
        <v>#DIV/0!</v>
      </c>
      <c r="JZ67" s="198">
        <f t="shared" ref="JZ67" si="1654">JZ38</f>
        <v>0</v>
      </c>
      <c r="KA67" s="225">
        <f t="shared" si="1607"/>
        <v>0</v>
      </c>
      <c r="KB67" s="226">
        <f t="shared" si="1608"/>
        <v>0</v>
      </c>
      <c r="KC67" s="137">
        <f t="shared" si="1609"/>
        <v>0</v>
      </c>
      <c r="KD67" s="227">
        <f t="shared" si="1573"/>
        <v>8.14</v>
      </c>
      <c r="KE67" s="138">
        <f t="shared" si="1610"/>
        <v>0</v>
      </c>
      <c r="KF67" s="110">
        <f t="shared" si="1611"/>
        <v>0</v>
      </c>
      <c r="KG67" s="110"/>
      <c r="KH67" s="139"/>
      <c r="KI67" s="140" t="e">
        <f t="shared" si="1612"/>
        <v>#DIV/0!</v>
      </c>
      <c r="KJ67" s="198">
        <f t="shared" ref="KJ67" si="1655">KJ38</f>
        <v>0</v>
      </c>
      <c r="KK67" s="225">
        <f t="shared" si="1614"/>
        <v>0</v>
      </c>
      <c r="KL67" s="226">
        <f t="shared" si="1615"/>
        <v>0</v>
      </c>
      <c r="KM67" s="137">
        <f t="shared" si="1616"/>
        <v>0</v>
      </c>
      <c r="KN67" s="227">
        <f t="shared" si="1617"/>
        <v>9.02</v>
      </c>
      <c r="KO67" s="138">
        <f t="shared" si="1618"/>
        <v>0</v>
      </c>
      <c r="KP67" s="110">
        <f t="shared" si="1619"/>
        <v>0</v>
      </c>
      <c r="KQ67" s="110"/>
      <c r="KR67" s="139"/>
      <c r="KS67" s="140" t="e">
        <f t="shared" si="1620"/>
        <v>#DIV/0!</v>
      </c>
      <c r="KT67" s="198">
        <f t="shared" ref="KT67" si="1656">KT38</f>
        <v>0</v>
      </c>
      <c r="KU67" s="225">
        <f t="shared" si="1621"/>
        <v>0</v>
      </c>
      <c r="KV67" s="226">
        <f t="shared" si="1622"/>
        <v>0</v>
      </c>
      <c r="KW67" s="137">
        <f t="shared" si="1623"/>
        <v>0</v>
      </c>
      <c r="KX67" s="227">
        <f t="shared" si="1617"/>
        <v>9.94</v>
      </c>
      <c r="KY67" s="138">
        <f t="shared" si="1624"/>
        <v>0</v>
      </c>
      <c r="KZ67" s="110">
        <f t="shared" si="1625"/>
        <v>0</v>
      </c>
      <c r="LA67" s="110"/>
      <c r="LB67" s="139"/>
      <c r="LC67" s="140" t="e">
        <f t="shared" si="1626"/>
        <v>#DIV/0!</v>
      </c>
      <c r="LD67" s="197">
        <f t="shared" si="1235"/>
        <v>0</v>
      </c>
      <c r="LE67" s="225">
        <f t="shared" si="1236"/>
        <v>0</v>
      </c>
      <c r="LF67" s="226">
        <f t="shared" si="1237"/>
        <v>0</v>
      </c>
      <c r="LG67" s="137">
        <f t="shared" si="1238"/>
        <v>0</v>
      </c>
      <c r="LH67" s="227">
        <f t="shared" si="1239"/>
        <v>8.4600000000000009</v>
      </c>
      <c r="LI67" s="138">
        <f t="shared" si="1240"/>
        <v>0</v>
      </c>
      <c r="LJ67" s="110">
        <f t="shared" si="1241"/>
        <v>0</v>
      </c>
      <c r="LK67" s="110"/>
      <c r="LL67" s="139"/>
    </row>
    <row r="68" spans="1:324" x14ac:dyDescent="0.25">
      <c r="A68" s="248" t="s">
        <v>41</v>
      </c>
      <c r="B68" s="249" t="s">
        <v>42</v>
      </c>
      <c r="C68" s="14"/>
      <c r="D68" s="14"/>
      <c r="E68" s="4" t="s">
        <v>34</v>
      </c>
      <c r="F68" s="18">
        <f>SUM(F71:F96)</f>
        <v>602</v>
      </c>
      <c r="G68" s="4"/>
      <c r="H68" s="102">
        <v>204.94</v>
      </c>
      <c r="I68" s="137">
        <f>IF(F68&gt;0,H68/F68,0)</f>
        <v>0.34043189000000001</v>
      </c>
      <c r="J68" s="110">
        <f>IF(M68&gt;0,M68/H68,0)</f>
        <v>2644.05</v>
      </c>
      <c r="K68" s="138">
        <f>I68*J68</f>
        <v>900.11893999999995</v>
      </c>
      <c r="L68" s="110">
        <f>K68*F68</f>
        <v>541871.6</v>
      </c>
      <c r="M68" s="102">
        <f>541871.61</f>
        <v>541871.61</v>
      </c>
      <c r="N68" s="139">
        <f>M68-L68</f>
        <v>0.01</v>
      </c>
      <c r="O68" s="140">
        <f>K68/$LI68</f>
        <v>0.50865000000000005</v>
      </c>
      <c r="P68" s="18">
        <f t="shared" ref="P68" si="1657">SUM(P71:P96)</f>
        <v>1096</v>
      </c>
      <c r="Q68" s="4"/>
      <c r="R68" s="102">
        <v>548.26</v>
      </c>
      <c r="S68" s="137">
        <f t="shared" si="1440"/>
        <v>0.50023722999999998</v>
      </c>
      <c r="T68" s="110">
        <f t="shared" ref="T68" si="1658">IF(W68&gt;0,W68/R68,0)</f>
        <v>3163.33</v>
      </c>
      <c r="U68" s="138">
        <f t="shared" si="1442"/>
        <v>1582.41544</v>
      </c>
      <c r="V68" s="110">
        <f t="shared" si="1443"/>
        <v>1734327.32</v>
      </c>
      <c r="W68" s="102">
        <v>1734327.31</v>
      </c>
      <c r="X68" s="139">
        <f t="shared" ref="X68" si="1659">W68-V68</f>
        <v>-0.01</v>
      </c>
      <c r="Y68" s="140">
        <f t="shared" si="1444"/>
        <v>0.89420999999999995</v>
      </c>
      <c r="Z68" s="18">
        <f t="shared" ref="Z68" si="1660">SUM(Z71:Z96)</f>
        <v>864</v>
      </c>
      <c r="AA68" s="4"/>
      <c r="AB68" s="102">
        <v>473.19</v>
      </c>
      <c r="AC68" s="137">
        <f t="shared" si="1447"/>
        <v>0.54767361000000003</v>
      </c>
      <c r="AD68" s="110">
        <f t="shared" ref="AD68" si="1661">IF(AG68&gt;0,AG68/AB68,0)</f>
        <v>2608.17</v>
      </c>
      <c r="AE68" s="138">
        <f t="shared" si="1448"/>
        <v>1428.42588</v>
      </c>
      <c r="AF68" s="110">
        <f t="shared" si="1449"/>
        <v>1234159.96</v>
      </c>
      <c r="AG68" s="102">
        <f>1251138.02-16980.11</f>
        <v>1234157.9099999999</v>
      </c>
      <c r="AH68" s="139">
        <f t="shared" ref="AH68" si="1662">AG68-AF68</f>
        <v>-2.0499999999999998</v>
      </c>
      <c r="AI68" s="140">
        <f t="shared" si="1450"/>
        <v>0.80720000000000003</v>
      </c>
      <c r="AJ68" s="18">
        <f t="shared" ref="AJ68" si="1663">SUM(AJ71:AJ96)</f>
        <v>665</v>
      </c>
      <c r="AK68" s="4"/>
      <c r="AL68" s="102">
        <v>346.56</v>
      </c>
      <c r="AM68" s="137">
        <f t="shared" si="1453"/>
        <v>0.52114285999999999</v>
      </c>
      <c r="AN68" s="110">
        <f t="shared" ref="AN68" si="1664">IF(AQ68&gt;0,AQ68/AL68,0)</f>
        <v>2644.05</v>
      </c>
      <c r="AO68" s="138">
        <f t="shared" si="1454"/>
        <v>1377.92778</v>
      </c>
      <c r="AP68" s="110">
        <f t="shared" si="1455"/>
        <v>916321.97</v>
      </c>
      <c r="AQ68" s="102">
        <f>916321.97</f>
        <v>916321.97</v>
      </c>
      <c r="AR68" s="139">
        <f t="shared" ref="AR68" si="1665">AQ68-AP68</f>
        <v>0</v>
      </c>
      <c r="AS68" s="140">
        <f t="shared" si="1456"/>
        <v>0.77866000000000002</v>
      </c>
      <c r="AT68" s="18">
        <f t="shared" ref="AT68" si="1666">SUM(AT71:AT96)</f>
        <v>951</v>
      </c>
      <c r="AU68" s="4"/>
      <c r="AV68" s="102">
        <v>403.58</v>
      </c>
      <c r="AW68" s="137">
        <f t="shared" si="1459"/>
        <v>0.42437434000000002</v>
      </c>
      <c r="AX68" s="110">
        <f t="shared" ref="AX68" si="1667">IF(BA68&gt;0,BA68/AV68,0)</f>
        <v>1786.28</v>
      </c>
      <c r="AY68" s="138">
        <f t="shared" si="1460"/>
        <v>758.05139999999994</v>
      </c>
      <c r="AZ68" s="110">
        <f t="shared" si="1461"/>
        <v>720906.88</v>
      </c>
      <c r="BA68" s="102">
        <v>720906.88</v>
      </c>
      <c r="BB68" s="139">
        <f t="shared" ref="BB68" si="1668">BA68-AZ68</f>
        <v>0</v>
      </c>
      <c r="BC68" s="140">
        <f t="shared" si="1462"/>
        <v>0.42836999999999997</v>
      </c>
      <c r="BD68" s="18">
        <f t="shared" ref="BD68" si="1669">SUM(BD71:BD96)</f>
        <v>744</v>
      </c>
      <c r="BE68" s="4"/>
      <c r="BF68" s="102">
        <v>312.51</v>
      </c>
      <c r="BG68" s="137">
        <f t="shared" si="1465"/>
        <v>0.42004032000000002</v>
      </c>
      <c r="BH68" s="110">
        <f t="shared" ref="BH68" si="1670">IF(BK68&gt;0,BK68/BF68,0)</f>
        <v>3163.33</v>
      </c>
      <c r="BI68" s="138">
        <f t="shared" si="1466"/>
        <v>1328.72615</v>
      </c>
      <c r="BJ68" s="110">
        <f t="shared" si="1467"/>
        <v>988572.26</v>
      </c>
      <c r="BK68" s="102">
        <v>988572.26</v>
      </c>
      <c r="BL68" s="139">
        <f t="shared" ref="BL68" si="1671">BK68-BJ68</f>
        <v>0</v>
      </c>
      <c r="BM68" s="140">
        <f t="shared" si="1468"/>
        <v>0.75085999999999997</v>
      </c>
      <c r="BN68" s="18">
        <f t="shared" ref="BN68" si="1672">SUM(BN71:BN96)</f>
        <v>617</v>
      </c>
      <c r="BO68" s="4"/>
      <c r="BP68" s="102">
        <v>425</v>
      </c>
      <c r="BQ68" s="137">
        <f t="shared" si="1471"/>
        <v>0.68881685999999998</v>
      </c>
      <c r="BR68" s="110">
        <f t="shared" ref="BR68" si="1673">IF(BU68&gt;0,BU68/BP68,0)</f>
        <v>2182.42</v>
      </c>
      <c r="BS68" s="138">
        <f t="shared" si="1472"/>
        <v>1503.2876900000001</v>
      </c>
      <c r="BT68" s="110">
        <f t="shared" si="1473"/>
        <v>927528.5</v>
      </c>
      <c r="BU68" s="102">
        <v>927528.5</v>
      </c>
      <c r="BV68" s="139">
        <f t="shared" ref="BV68" si="1674">BU68-BT68</f>
        <v>0</v>
      </c>
      <c r="BW68" s="140">
        <f t="shared" si="1474"/>
        <v>0.84950000000000003</v>
      </c>
      <c r="BX68" s="18">
        <f t="shared" ref="BX68" si="1675">SUM(BX71:BX96)</f>
        <v>788</v>
      </c>
      <c r="BY68" s="4"/>
      <c r="BZ68" s="102">
        <v>319.89999999999998</v>
      </c>
      <c r="CA68" s="137">
        <f t="shared" si="1477"/>
        <v>0.40596447000000002</v>
      </c>
      <c r="CB68" s="110">
        <f t="shared" ref="CB68" si="1676">IF(CE68&gt;0,CE68/BZ68,0)</f>
        <v>2644.05</v>
      </c>
      <c r="CC68" s="138">
        <f t="shared" si="1478"/>
        <v>1073.3903600000001</v>
      </c>
      <c r="CD68" s="110">
        <f t="shared" si="1479"/>
        <v>845831.6</v>
      </c>
      <c r="CE68" s="102">
        <v>845831.6</v>
      </c>
      <c r="CF68" s="139">
        <f t="shared" ref="CF68" si="1677">CE68-CD68</f>
        <v>0</v>
      </c>
      <c r="CG68" s="140">
        <f t="shared" si="1480"/>
        <v>0.60657000000000005</v>
      </c>
      <c r="CH68" s="18">
        <f t="shared" ref="CH68" si="1678">SUM(CH71:CH96)</f>
        <v>924</v>
      </c>
      <c r="CI68" s="4"/>
      <c r="CJ68" s="102">
        <v>374.91</v>
      </c>
      <c r="CK68" s="137">
        <f t="shared" si="1484"/>
        <v>0.40574674999999999</v>
      </c>
      <c r="CL68" s="110">
        <f t="shared" ref="CL68" si="1679">IF(CO68&gt;0,CO68/CJ68,0)</f>
        <v>2644.05</v>
      </c>
      <c r="CM68" s="138">
        <f t="shared" si="1486"/>
        <v>1072.8146899999999</v>
      </c>
      <c r="CN68" s="110">
        <f t="shared" si="1487"/>
        <v>991280.77</v>
      </c>
      <c r="CO68" s="102">
        <v>991280.79</v>
      </c>
      <c r="CP68" s="139">
        <f t="shared" ref="CP68" si="1680">CO68-CN68</f>
        <v>0.02</v>
      </c>
      <c r="CQ68" s="140">
        <f t="shared" si="1488"/>
        <v>0.60624</v>
      </c>
      <c r="CR68" s="18">
        <f t="shared" ref="CR68" si="1681">SUM(CR71:CR96)</f>
        <v>744</v>
      </c>
      <c r="CS68" s="4"/>
      <c r="CT68" s="102">
        <v>500</v>
      </c>
      <c r="CU68" s="137">
        <f t="shared" si="1491"/>
        <v>0.67204301</v>
      </c>
      <c r="CV68" s="110">
        <f t="shared" ref="CV68" si="1682">IF(CY68&gt;0,CY68/CT68,0)</f>
        <v>3163.33</v>
      </c>
      <c r="CW68" s="138">
        <f t="shared" si="1492"/>
        <v>2125.89381</v>
      </c>
      <c r="CX68" s="110">
        <f t="shared" si="1493"/>
        <v>1581664.99</v>
      </c>
      <c r="CY68" s="102">
        <v>1581665</v>
      </c>
      <c r="CZ68" s="139">
        <f t="shared" ref="CZ68" si="1683">CY68-CX68</f>
        <v>0.01</v>
      </c>
      <c r="DA68" s="140">
        <f t="shared" si="1494"/>
        <v>1.20133</v>
      </c>
      <c r="DB68" s="18">
        <f t="shared" ref="DB68" si="1684">SUM(DB71:DB96)</f>
        <v>825</v>
      </c>
      <c r="DC68" s="4"/>
      <c r="DD68" s="102">
        <v>600.72</v>
      </c>
      <c r="DE68" s="137">
        <f t="shared" si="1497"/>
        <v>0.72814544999999997</v>
      </c>
      <c r="DF68" s="110">
        <f t="shared" ref="DF68" si="1685">IF(DI68&gt;0,DI68/DD68,0)</f>
        <v>2644.05</v>
      </c>
      <c r="DG68" s="138">
        <f t="shared" si="1498"/>
        <v>1925.25298</v>
      </c>
      <c r="DH68" s="110">
        <f t="shared" si="1499"/>
        <v>1588333.71</v>
      </c>
      <c r="DI68" s="102">
        <v>1588333.72</v>
      </c>
      <c r="DJ68" s="139">
        <f t="shared" ref="DJ68" si="1686">DI68-DH68</f>
        <v>0.01</v>
      </c>
      <c r="DK68" s="140">
        <f t="shared" si="1500"/>
        <v>1.08795</v>
      </c>
      <c r="DL68" s="18">
        <f t="shared" ref="DL68" si="1687">SUM(DL71:DL96)</f>
        <v>283</v>
      </c>
      <c r="DM68" s="4"/>
      <c r="DN68" s="102">
        <v>233.45</v>
      </c>
      <c r="DO68" s="137">
        <f t="shared" si="1503"/>
        <v>0.82491166000000005</v>
      </c>
      <c r="DP68" s="110">
        <f t="shared" ref="DP68" si="1688">IF(DS68&gt;0,DS68/DN68,0)</f>
        <v>2644.05</v>
      </c>
      <c r="DQ68" s="138">
        <f t="shared" si="1504"/>
        <v>2181.1076699999999</v>
      </c>
      <c r="DR68" s="110">
        <f t="shared" si="1505"/>
        <v>617253.47</v>
      </c>
      <c r="DS68" s="102">
        <v>617253.47</v>
      </c>
      <c r="DT68" s="139">
        <f t="shared" ref="DT68" si="1689">DS68-DR68</f>
        <v>0</v>
      </c>
      <c r="DU68" s="140">
        <f t="shared" si="1506"/>
        <v>1.2325299999999999</v>
      </c>
      <c r="DV68" s="18">
        <f t="shared" ref="DV68" si="1690">SUM(DV71:DV96)</f>
        <v>878</v>
      </c>
      <c r="DW68" s="4"/>
      <c r="DX68" s="102">
        <v>277.69</v>
      </c>
      <c r="DY68" s="137">
        <f t="shared" si="1509"/>
        <v>0.31627562999999997</v>
      </c>
      <c r="DZ68" s="110">
        <f t="shared" ref="DZ68" si="1691">IF(EC68&gt;0,EC68/DX68,0)</f>
        <v>2644.05</v>
      </c>
      <c r="EA68" s="138">
        <f t="shared" si="1510"/>
        <v>836.24857999999995</v>
      </c>
      <c r="EB68" s="110">
        <f t="shared" si="1511"/>
        <v>734226.25</v>
      </c>
      <c r="EC68" s="102">
        <v>734226.24</v>
      </c>
      <c r="ED68" s="139">
        <f t="shared" ref="ED68" si="1692">EC68-EB68</f>
        <v>-0.01</v>
      </c>
      <c r="EE68" s="140">
        <f t="shared" si="1512"/>
        <v>0.47255999999999998</v>
      </c>
      <c r="EF68" s="18">
        <f t="shared" ref="EF68" si="1693">SUM(EF71:EF96)</f>
        <v>939</v>
      </c>
      <c r="EG68" s="4"/>
      <c r="EH68" s="102">
        <v>380.1</v>
      </c>
      <c r="EI68" s="137">
        <f t="shared" si="1515"/>
        <v>0.40479232999999998</v>
      </c>
      <c r="EJ68" s="110">
        <f t="shared" ref="EJ68" si="1694">IF(EM68&gt;0,EM68/EH68,0)</f>
        <v>3163.33</v>
      </c>
      <c r="EK68" s="138">
        <f t="shared" si="1516"/>
        <v>1280.49172</v>
      </c>
      <c r="EL68" s="110">
        <f t="shared" si="1517"/>
        <v>1202381.73</v>
      </c>
      <c r="EM68" s="102">
        <v>1202381.73</v>
      </c>
      <c r="EN68" s="139">
        <f t="shared" ref="EN68" si="1695">EM68-EL68</f>
        <v>0</v>
      </c>
      <c r="EO68" s="140">
        <f t="shared" si="1518"/>
        <v>0.72360000000000002</v>
      </c>
      <c r="EP68" s="18">
        <f t="shared" ref="EP68" si="1696">SUM(EP71:EP96)</f>
        <v>943</v>
      </c>
      <c r="EQ68" s="4"/>
      <c r="ER68" s="102">
        <v>714.44</v>
      </c>
      <c r="ES68" s="137">
        <f t="shared" si="1521"/>
        <v>0.75762459999999998</v>
      </c>
      <c r="ET68" s="110">
        <f t="shared" ref="ET68" si="1697">IF(EW68&gt;0,EW68/ER68,0)</f>
        <v>3163.33</v>
      </c>
      <c r="EU68" s="138">
        <f t="shared" si="1522"/>
        <v>2396.61663</v>
      </c>
      <c r="EV68" s="110">
        <f t="shared" si="1523"/>
        <v>2260009.48</v>
      </c>
      <c r="EW68" s="102">
        <v>2260009.4900000002</v>
      </c>
      <c r="EX68" s="139">
        <f t="shared" ref="EX68" si="1698">EW68-EV68</f>
        <v>0.01</v>
      </c>
      <c r="EY68" s="140">
        <f t="shared" si="1524"/>
        <v>1.35432</v>
      </c>
      <c r="EZ68" s="18">
        <f t="shared" ref="EZ68" si="1699">SUM(EZ71:EZ96)</f>
        <v>1117</v>
      </c>
      <c r="FA68" s="4"/>
      <c r="FB68" s="102"/>
      <c r="FC68" s="137">
        <f t="shared" si="1528"/>
        <v>0</v>
      </c>
      <c r="FD68" s="110">
        <f t="shared" ref="FD68" si="1700">IF(FG68&gt;0,FG68/FB68,0)</f>
        <v>0</v>
      </c>
      <c r="FE68" s="138">
        <f t="shared" si="1530"/>
        <v>0</v>
      </c>
      <c r="FF68" s="110">
        <f t="shared" si="1531"/>
        <v>0</v>
      </c>
      <c r="FG68" s="102"/>
      <c r="FH68" s="139">
        <f t="shared" ref="FH68" si="1701">FG68-FF68</f>
        <v>0</v>
      </c>
      <c r="FI68" s="140">
        <f t="shared" si="1532"/>
        <v>0</v>
      </c>
      <c r="FJ68" s="18">
        <f t="shared" ref="FJ68" si="1702">SUM(FJ71:FJ96)</f>
        <v>1022</v>
      </c>
      <c r="FK68" s="4"/>
      <c r="FL68" s="102">
        <v>527.54999999999995</v>
      </c>
      <c r="FM68" s="137">
        <f t="shared" si="1535"/>
        <v>0.51619373999999996</v>
      </c>
      <c r="FN68" s="110">
        <f t="shared" ref="FN68" si="1703">IF(FQ68&gt;0,FQ68/FL68,0)</f>
        <v>3163.33</v>
      </c>
      <c r="FO68" s="138">
        <f t="shared" si="1536"/>
        <v>1632.89114</v>
      </c>
      <c r="FP68" s="110">
        <f t="shared" si="1537"/>
        <v>1668814.75</v>
      </c>
      <c r="FQ68" s="102">
        <v>1668814.74</v>
      </c>
      <c r="FR68" s="139">
        <f t="shared" ref="FR68" si="1704">FQ68-FP68</f>
        <v>-0.01</v>
      </c>
      <c r="FS68" s="140">
        <f t="shared" si="1538"/>
        <v>0.92274</v>
      </c>
      <c r="FT68" s="18">
        <f t="shared" ref="FT68" si="1705">SUM(FT71:FT96)</f>
        <v>803</v>
      </c>
      <c r="FU68" s="4"/>
      <c r="FV68" s="102">
        <v>474.49</v>
      </c>
      <c r="FW68" s="137">
        <f t="shared" si="1541"/>
        <v>0.59089663999999997</v>
      </c>
      <c r="FX68" s="110">
        <f t="shared" ref="FX68" si="1706">IF(GA68&gt;0,GA68/FV68,0)</f>
        <v>3163.33</v>
      </c>
      <c r="FY68" s="138">
        <f t="shared" si="1542"/>
        <v>1869.2010700000001</v>
      </c>
      <c r="FZ68" s="110">
        <f t="shared" si="1543"/>
        <v>1500968.46</v>
      </c>
      <c r="GA68" s="102">
        <v>1500968.45</v>
      </c>
      <c r="GB68" s="139">
        <f t="shared" ref="GB68" si="1707">GA68-FZ68</f>
        <v>-0.01</v>
      </c>
      <c r="GC68" s="140">
        <f t="shared" si="1544"/>
        <v>1.0562800000000001</v>
      </c>
      <c r="GD68" s="18">
        <f t="shared" ref="GD68" si="1708">SUM(GD71:GD96)</f>
        <v>512</v>
      </c>
      <c r="GE68" s="4"/>
      <c r="GF68" s="102"/>
      <c r="GG68" s="137">
        <f t="shared" si="1547"/>
        <v>0</v>
      </c>
      <c r="GH68" s="110">
        <f t="shared" ref="GH68" si="1709">IF(GK68&gt;0,GK68/GF68,0)</f>
        <v>0</v>
      </c>
      <c r="GI68" s="138">
        <f t="shared" si="1548"/>
        <v>0</v>
      </c>
      <c r="GJ68" s="110">
        <f t="shared" si="1549"/>
        <v>0</v>
      </c>
      <c r="GK68" s="102"/>
      <c r="GL68" s="139">
        <f t="shared" ref="GL68" si="1710">GK68-GJ68</f>
        <v>0</v>
      </c>
      <c r="GM68" s="140">
        <f t="shared" si="1550"/>
        <v>0</v>
      </c>
      <c r="GN68" s="18">
        <f t="shared" ref="GN68" si="1711">SUM(GN71:GN96)</f>
        <v>864</v>
      </c>
      <c r="GO68" s="4"/>
      <c r="GP68" s="102">
        <v>810</v>
      </c>
      <c r="GQ68" s="137">
        <f t="shared" si="1553"/>
        <v>0.9375</v>
      </c>
      <c r="GR68" s="110">
        <f t="shared" ref="GR68" si="1712">IF(GU68&gt;0,GU68/GP68,0)</f>
        <v>2644.05</v>
      </c>
      <c r="GS68" s="138">
        <f t="shared" si="1554"/>
        <v>2478.7968799999999</v>
      </c>
      <c r="GT68" s="110">
        <f t="shared" si="1555"/>
        <v>2141680.5</v>
      </c>
      <c r="GU68" s="102">
        <v>2141680.5</v>
      </c>
      <c r="GV68" s="139">
        <f t="shared" ref="GV68" si="1713">GU68-GT68</f>
        <v>0</v>
      </c>
      <c r="GW68" s="140">
        <f t="shared" si="1556"/>
        <v>1.4007499999999999</v>
      </c>
      <c r="GX68" s="18">
        <f t="shared" ref="GX68" si="1714">SUM(GX71:GX96)</f>
        <v>1621</v>
      </c>
      <c r="GY68" s="4"/>
      <c r="GZ68" s="102">
        <v>510</v>
      </c>
      <c r="HA68" s="137">
        <f t="shared" si="1559"/>
        <v>0.31462059999999997</v>
      </c>
      <c r="HB68" s="110">
        <f t="shared" ref="HB68" si="1715">IF(HE68&gt;0,HE68/GZ68,0)</f>
        <v>2644.05</v>
      </c>
      <c r="HC68" s="138">
        <f t="shared" si="1560"/>
        <v>831.87260000000003</v>
      </c>
      <c r="HD68" s="110">
        <f t="shared" si="1561"/>
        <v>1348465.48</v>
      </c>
      <c r="HE68" s="102">
        <v>1348465.5</v>
      </c>
      <c r="HF68" s="139">
        <f t="shared" ref="HF68" si="1716">HE68-HD68</f>
        <v>0.02</v>
      </c>
      <c r="HG68" s="140">
        <f t="shared" si="1562"/>
        <v>0.47009000000000001</v>
      </c>
      <c r="HH68" s="18">
        <f t="shared" ref="HH68" si="1717">SUM(HH71:HH96)</f>
        <v>1152</v>
      </c>
      <c r="HI68" s="4"/>
      <c r="HJ68" s="102">
        <v>736.7</v>
      </c>
      <c r="HK68" s="137">
        <f t="shared" si="1565"/>
        <v>0.63949652999999995</v>
      </c>
      <c r="HL68" s="110">
        <f t="shared" ref="HL68" si="1718">IF(HO68&gt;0,HO68/HJ68,0)</f>
        <v>2597.2199999999998</v>
      </c>
      <c r="HM68" s="138">
        <f t="shared" si="1566"/>
        <v>1660.91318</v>
      </c>
      <c r="HN68" s="110">
        <f t="shared" si="1567"/>
        <v>1913371.98</v>
      </c>
      <c r="HO68" s="102">
        <f>1947871.64-34500</f>
        <v>1913371.64</v>
      </c>
      <c r="HP68" s="139">
        <f t="shared" ref="HP68" si="1719">HO68-HN68</f>
        <v>-0.34</v>
      </c>
      <c r="HQ68" s="140">
        <f t="shared" si="1568"/>
        <v>0.93857000000000002</v>
      </c>
      <c r="HR68" s="18">
        <f t="shared" ref="HR68" si="1720">SUM(HR71:HR96)</f>
        <v>788</v>
      </c>
      <c r="HS68" s="4"/>
      <c r="HT68" s="102">
        <v>664.1</v>
      </c>
      <c r="HU68" s="137">
        <f t="shared" si="1572"/>
        <v>0.84276649999999997</v>
      </c>
      <c r="HV68" s="110">
        <f t="shared" ref="HV68" si="1721">IF(HY68&gt;0,HY68/HT68,0)</f>
        <v>3163.33</v>
      </c>
      <c r="HW68" s="138">
        <f t="shared" si="1574"/>
        <v>2665.9485500000001</v>
      </c>
      <c r="HX68" s="110">
        <f t="shared" si="1575"/>
        <v>2100767.46</v>
      </c>
      <c r="HY68" s="102">
        <v>2100767.4500000002</v>
      </c>
      <c r="HZ68" s="139">
        <f t="shared" ref="HZ68" si="1722">HY68-HX68</f>
        <v>-0.01</v>
      </c>
      <c r="IA68" s="140">
        <f t="shared" si="1576"/>
        <v>1.50651</v>
      </c>
      <c r="IB68" s="18">
        <f t="shared" ref="IB68" si="1723">SUM(IB71:IB96)</f>
        <v>548</v>
      </c>
      <c r="IC68" s="4"/>
      <c r="ID68" s="102">
        <v>680</v>
      </c>
      <c r="IE68" s="137">
        <f t="shared" si="1579"/>
        <v>1.24087591</v>
      </c>
      <c r="IF68" s="110">
        <f t="shared" ref="IF68" si="1724">IF(II68&gt;0,II68/ID68,0)</f>
        <v>3163.33</v>
      </c>
      <c r="IG68" s="138">
        <f t="shared" si="1580"/>
        <v>3925.29999</v>
      </c>
      <c r="IH68" s="110">
        <f t="shared" si="1581"/>
        <v>2151064.39</v>
      </c>
      <c r="II68" s="102">
        <v>2151064.4</v>
      </c>
      <c r="IJ68" s="139">
        <f t="shared" ref="IJ68" si="1725">II68-IH68</f>
        <v>0.01</v>
      </c>
      <c r="IK68" s="140">
        <f t="shared" si="1582"/>
        <v>2.2181700000000002</v>
      </c>
      <c r="IL68" s="18">
        <f t="shared" ref="IL68" si="1726">SUM(IL71:IL96)</f>
        <v>1265</v>
      </c>
      <c r="IM68" s="4"/>
      <c r="IN68" s="102">
        <v>645.08000000000004</v>
      </c>
      <c r="IO68" s="137">
        <f t="shared" si="1585"/>
        <v>0.50994466000000005</v>
      </c>
      <c r="IP68" s="110">
        <f t="shared" ref="IP68" si="1727">IF(IS68&gt;0,IS68/IN68,0)</f>
        <v>2644.05</v>
      </c>
      <c r="IQ68" s="138">
        <f t="shared" si="1586"/>
        <v>1348.31918</v>
      </c>
      <c r="IR68" s="110">
        <f t="shared" si="1587"/>
        <v>1705623.76</v>
      </c>
      <c r="IS68" s="102">
        <v>1705623.77</v>
      </c>
      <c r="IT68" s="139">
        <f t="shared" ref="IT68" si="1728">IS68-IR68</f>
        <v>0.01</v>
      </c>
      <c r="IU68" s="140">
        <f t="shared" si="1588"/>
        <v>0.76193</v>
      </c>
      <c r="IV68" s="18">
        <f t="shared" ref="IV68" si="1729">SUM(IV71:IV96)</f>
        <v>771</v>
      </c>
      <c r="IW68" s="4"/>
      <c r="IX68" s="102">
        <v>504.43</v>
      </c>
      <c r="IY68" s="137">
        <f t="shared" si="1591"/>
        <v>0.65425422</v>
      </c>
      <c r="IZ68" s="110">
        <f t="shared" ref="IZ68" si="1730">IF(JC68&gt;0,JC68/IX68,0)</f>
        <v>3163.33</v>
      </c>
      <c r="JA68" s="138">
        <f t="shared" si="1592"/>
        <v>2069.6219999999998</v>
      </c>
      <c r="JB68" s="110">
        <f t="shared" si="1593"/>
        <v>1595678.56</v>
      </c>
      <c r="JC68" s="102">
        <v>1595678.55</v>
      </c>
      <c r="JD68" s="139">
        <f t="shared" ref="JD68" si="1731">JC68-JB68</f>
        <v>-0.01</v>
      </c>
      <c r="JE68" s="140">
        <f t="shared" si="1594"/>
        <v>1.16953</v>
      </c>
      <c r="JF68" s="18">
        <f t="shared" ref="JF68" si="1732">SUM(JF71:JF96)</f>
        <v>1341</v>
      </c>
      <c r="JG68" s="4"/>
      <c r="JH68" s="102">
        <v>900</v>
      </c>
      <c r="JI68" s="137">
        <f t="shared" si="1597"/>
        <v>0.67114094000000002</v>
      </c>
      <c r="JJ68" s="110">
        <f t="shared" ref="JJ68" si="1733">IF(JM68&gt;0,JM68/JH68,0)</f>
        <v>2644.05</v>
      </c>
      <c r="JK68" s="138">
        <f t="shared" si="1598"/>
        <v>1774.5301999999999</v>
      </c>
      <c r="JL68" s="110">
        <f t="shared" si="1599"/>
        <v>2379645</v>
      </c>
      <c r="JM68" s="102">
        <v>2379645</v>
      </c>
      <c r="JN68" s="139">
        <f t="shared" ref="JN68" si="1734">JM68-JL68</f>
        <v>0</v>
      </c>
      <c r="JO68" s="140">
        <f t="shared" si="1600"/>
        <v>1.00278</v>
      </c>
      <c r="JP68" s="18">
        <f t="shared" ref="JP68" si="1735">SUM(JP71:JP96)</f>
        <v>1249</v>
      </c>
      <c r="JQ68" s="4"/>
      <c r="JR68" s="102">
        <v>765</v>
      </c>
      <c r="JS68" s="137">
        <f t="shared" si="1603"/>
        <v>0.61248999000000004</v>
      </c>
      <c r="JT68" s="110">
        <f t="shared" ref="JT68" si="1736">IF(JW68&gt;0,JW68/JR68,0)</f>
        <v>2632.02</v>
      </c>
      <c r="JU68" s="138">
        <f t="shared" si="1604"/>
        <v>1612.0859</v>
      </c>
      <c r="JV68" s="110">
        <f t="shared" si="1605"/>
        <v>2013495.29</v>
      </c>
      <c r="JW68" s="102">
        <f>2022698.25-9200</f>
        <v>2013498.25</v>
      </c>
      <c r="JX68" s="139">
        <f t="shared" ref="JX68" si="1737">JW68-JV68</f>
        <v>2.96</v>
      </c>
      <c r="JY68" s="140">
        <f t="shared" si="1606"/>
        <v>0.91098000000000001</v>
      </c>
      <c r="JZ68" s="18">
        <f t="shared" ref="JZ68" si="1738">SUM(JZ71:JZ96)</f>
        <v>1163</v>
      </c>
      <c r="KA68" s="4"/>
      <c r="KB68" s="102">
        <v>700</v>
      </c>
      <c r="KC68" s="137">
        <f t="shared" si="1609"/>
        <v>0.60189166000000005</v>
      </c>
      <c r="KD68" s="110">
        <f t="shared" ref="KD68" si="1739">IF(KG68&gt;0,KG68/KB68,0)</f>
        <v>3163.33</v>
      </c>
      <c r="KE68" s="138">
        <f t="shared" si="1610"/>
        <v>1903.9819399999999</v>
      </c>
      <c r="KF68" s="110">
        <f t="shared" si="1611"/>
        <v>2214331</v>
      </c>
      <c r="KG68" s="102">
        <f>2214331</f>
        <v>2214331</v>
      </c>
      <c r="KH68" s="139">
        <f t="shared" ref="KH68" si="1740">KG68-KF68</f>
        <v>0</v>
      </c>
      <c r="KI68" s="140">
        <f t="shared" si="1612"/>
        <v>1.0759300000000001</v>
      </c>
      <c r="KJ68" s="18">
        <f t="shared" ref="KJ68" si="1741">SUM(KJ71:KJ96)</f>
        <v>1341</v>
      </c>
      <c r="KK68" s="4"/>
      <c r="KL68" s="102">
        <v>770</v>
      </c>
      <c r="KM68" s="137">
        <f t="shared" si="1616"/>
        <v>0.57419836000000002</v>
      </c>
      <c r="KN68" s="110">
        <f t="shared" ref="KN68" si="1742">IF(KQ68&gt;0,KQ68/KL68,0)</f>
        <v>2644.05</v>
      </c>
      <c r="KO68" s="138">
        <f t="shared" si="1618"/>
        <v>1518.2091700000001</v>
      </c>
      <c r="KP68" s="110">
        <f t="shared" si="1619"/>
        <v>2035918.5</v>
      </c>
      <c r="KQ68" s="102">
        <v>2035918.5</v>
      </c>
      <c r="KR68" s="139">
        <f t="shared" ref="KR68" si="1743">KQ68-KP68</f>
        <v>0</v>
      </c>
      <c r="KS68" s="140">
        <f t="shared" si="1620"/>
        <v>0.85792999999999997</v>
      </c>
      <c r="KT68" s="18">
        <f t="shared" ref="KT68" si="1744">SUM(KT71:KT96)</f>
        <v>1124</v>
      </c>
      <c r="KU68" s="4"/>
      <c r="KV68" s="102">
        <v>2800</v>
      </c>
      <c r="KW68" s="137">
        <f t="shared" si="1623"/>
        <v>2.4911032</v>
      </c>
      <c r="KX68" s="110">
        <f t="shared" ref="KX68" si="1745">IF(LA68&gt;0,LA68/KV68,0)</f>
        <v>3163.33</v>
      </c>
      <c r="KY68" s="138">
        <f t="shared" si="1624"/>
        <v>7880.1814899999999</v>
      </c>
      <c r="KZ68" s="110">
        <f t="shared" si="1625"/>
        <v>8857323.9900000002</v>
      </c>
      <c r="LA68" s="102">
        <v>8857324</v>
      </c>
      <c r="LB68" s="139">
        <f t="shared" ref="LB68" si="1746">LA68-KZ68</f>
        <v>0.01</v>
      </c>
      <c r="LC68" s="140">
        <f t="shared" si="1626"/>
        <v>4.4530500000000002</v>
      </c>
      <c r="LD68" s="18">
        <f>SUM(LD71:LD96)</f>
        <v>28544</v>
      </c>
      <c r="LE68" s="4"/>
      <c r="LF68" s="145">
        <f>H68+R68+AB68+AL68+AV68+BF68+BP68+BZ68+CJ68+CT68+DD68+DN68+DX68+EH68+ER68+FB68+FL68+FV68+GF68+GP68+GZ68+HJ68+HT68+ID68+IN68+IX68+JH68+JR68+KB68+KL68+KV68</f>
        <v>17602.599999999999</v>
      </c>
      <c r="LG68" s="137">
        <f>IF(LD68&gt;0,LF68/LD68,0)</f>
        <v>0.61668301999999997</v>
      </c>
      <c r="LH68" s="110">
        <f>IF(LK68&gt;0,LK68/LF68,0)</f>
        <v>2869.57</v>
      </c>
      <c r="LI68" s="138">
        <f>LG68*LH68</f>
        <v>1769.61509</v>
      </c>
      <c r="LJ68" s="110">
        <f>LI68*LD68</f>
        <v>50511893.130000003</v>
      </c>
      <c r="LK68" s="145">
        <f>M68+W68+AG68+AQ68+BA68+BK68+BU68+CE68+CO68+CY68+DI68+DS68+EC68+EM68+EW68+FG68+FQ68+GA68+GK68+GU68+HE68+HO68+HY68+II68+IS68+JC68+JM68+JW68+KG68+KQ68+LA68</f>
        <v>50511820.229999997</v>
      </c>
      <c r="LL68" s="139">
        <f>LK68-LJ68</f>
        <v>-72.900000000000006</v>
      </c>
    </row>
    <row r="69" spans="1:324" s="132" customFormat="1" x14ac:dyDescent="0.25">
      <c r="A69" s="130"/>
      <c r="B69" s="131" t="s">
        <v>467</v>
      </c>
      <c r="C69" s="131"/>
      <c r="D69" s="131"/>
      <c r="E69" s="131"/>
      <c r="F69" s="141"/>
      <c r="G69" s="131"/>
      <c r="H69" s="139">
        <f>H68-(SUM(H71:H96))</f>
        <v>0.01</v>
      </c>
      <c r="I69" s="142"/>
      <c r="J69" s="139"/>
      <c r="K69" s="143"/>
      <c r="L69" s="139">
        <f>L68-(SUM(L71:L96))</f>
        <v>26.43</v>
      </c>
      <c r="M69" s="139"/>
      <c r="N69" s="139"/>
      <c r="O69" s="131"/>
      <c r="P69" s="141"/>
      <c r="Q69" s="131"/>
      <c r="R69" s="139">
        <f t="shared" ref="R69" si="1747">R68-(SUM(R71:R96))</f>
        <v>0</v>
      </c>
      <c r="S69" s="142"/>
      <c r="T69" s="139"/>
      <c r="U69" s="143"/>
      <c r="V69" s="139">
        <f t="shared" ref="V69" si="1748">V68-(SUM(V71:V96))</f>
        <v>0</v>
      </c>
      <c r="W69" s="139"/>
      <c r="X69" s="139"/>
      <c r="Y69" s="131"/>
      <c r="Z69" s="141"/>
      <c r="AA69" s="131"/>
      <c r="AB69" s="139">
        <f t="shared" ref="AB69" si="1749">AB68-(SUM(AB71:AB96))</f>
        <v>0.01</v>
      </c>
      <c r="AC69" s="142"/>
      <c r="AD69" s="139"/>
      <c r="AE69" s="143"/>
      <c r="AF69" s="139">
        <f t="shared" ref="AF69" si="1750">AF68-(SUM(AF71:AF96))</f>
        <v>26.09</v>
      </c>
      <c r="AG69" s="139"/>
      <c r="AH69" s="139"/>
      <c r="AI69" s="131"/>
      <c r="AJ69" s="141"/>
      <c r="AK69" s="131"/>
      <c r="AL69" s="139">
        <f t="shared" ref="AL69" si="1751">AL68-(SUM(AL71:AL96))</f>
        <v>0</v>
      </c>
      <c r="AM69" s="142"/>
      <c r="AN69" s="139"/>
      <c r="AO69" s="143"/>
      <c r="AP69" s="139">
        <f t="shared" ref="AP69" si="1752">AP68-(SUM(AP71:AP96))</f>
        <v>0</v>
      </c>
      <c r="AQ69" s="139"/>
      <c r="AR69" s="139"/>
      <c r="AS69" s="131"/>
      <c r="AT69" s="141"/>
      <c r="AU69" s="131"/>
      <c r="AV69" s="139">
        <f t="shared" ref="AV69" si="1753">AV68-(SUM(AV71:AV96))</f>
        <v>0</v>
      </c>
      <c r="AW69" s="142"/>
      <c r="AX69" s="139"/>
      <c r="AY69" s="143"/>
      <c r="AZ69" s="139">
        <f t="shared" ref="AZ69" si="1754">AZ68-(SUM(AZ71:AZ96))</f>
        <v>-0.03</v>
      </c>
      <c r="BA69" s="139"/>
      <c r="BB69" s="139"/>
      <c r="BC69" s="131"/>
      <c r="BD69" s="141"/>
      <c r="BE69" s="131"/>
      <c r="BF69" s="139">
        <f t="shared" ref="BF69" si="1755">BF68-(SUM(BF71:BF96))</f>
        <v>0.01</v>
      </c>
      <c r="BG69" s="142"/>
      <c r="BH69" s="139"/>
      <c r="BI69" s="143"/>
      <c r="BJ69" s="139">
        <f t="shared" ref="BJ69" si="1756">BJ68-(SUM(BJ71:BJ96))</f>
        <v>31.63</v>
      </c>
      <c r="BK69" s="139"/>
      <c r="BL69" s="139"/>
      <c r="BM69" s="131"/>
      <c r="BN69" s="141"/>
      <c r="BO69" s="131"/>
      <c r="BP69" s="139">
        <f t="shared" ref="BP69" si="1757">BP68-(SUM(BP71:BP96))</f>
        <v>0</v>
      </c>
      <c r="BQ69" s="142"/>
      <c r="BR69" s="139"/>
      <c r="BS69" s="143"/>
      <c r="BT69" s="139">
        <f t="shared" ref="BT69" si="1758">BT68-(SUM(BT71:BT96))</f>
        <v>0</v>
      </c>
      <c r="BU69" s="139"/>
      <c r="BV69" s="139"/>
      <c r="BW69" s="131"/>
      <c r="BX69" s="141"/>
      <c r="BY69" s="131"/>
      <c r="BZ69" s="139">
        <f t="shared" ref="BZ69" si="1759">BZ68-(SUM(BZ71:BZ96))</f>
        <v>-0.01</v>
      </c>
      <c r="CA69" s="142"/>
      <c r="CB69" s="139"/>
      <c r="CC69" s="143"/>
      <c r="CD69" s="139">
        <f t="shared" ref="CD69" si="1760">CD68-(SUM(CD71:CD96))</f>
        <v>-26.43</v>
      </c>
      <c r="CE69" s="139"/>
      <c r="CF69" s="139"/>
      <c r="CG69" s="131"/>
      <c r="CH69" s="141"/>
      <c r="CI69" s="131"/>
      <c r="CJ69" s="139">
        <f t="shared" ref="CJ69" si="1761">CJ68-(SUM(CJ71:CJ96))</f>
        <v>-0.01</v>
      </c>
      <c r="CK69" s="142"/>
      <c r="CL69" s="139"/>
      <c r="CM69" s="143"/>
      <c r="CN69" s="139">
        <f t="shared" ref="CN69" si="1762">CN68-(SUM(CN71:CN96))</f>
        <v>-26.45</v>
      </c>
      <c r="CO69" s="139"/>
      <c r="CP69" s="139"/>
      <c r="CQ69" s="131"/>
      <c r="CR69" s="141"/>
      <c r="CS69" s="131"/>
      <c r="CT69" s="139">
        <f t="shared" ref="CT69" si="1763">CT68-(SUM(CT71:CT96))</f>
        <v>-0.02</v>
      </c>
      <c r="CU69" s="142"/>
      <c r="CV69" s="139"/>
      <c r="CW69" s="143"/>
      <c r="CX69" s="139">
        <f t="shared" ref="CX69" si="1764">CX68-(SUM(CX71:CX96))</f>
        <v>-63.3</v>
      </c>
      <c r="CY69" s="139"/>
      <c r="CZ69" s="139"/>
      <c r="DA69" s="131"/>
      <c r="DB69" s="141"/>
      <c r="DC69" s="131"/>
      <c r="DD69" s="139">
        <f t="shared" ref="DD69" si="1765">DD68-(SUM(DD71:DD96))</f>
        <v>-0.01</v>
      </c>
      <c r="DE69" s="142"/>
      <c r="DF69" s="139"/>
      <c r="DG69" s="143"/>
      <c r="DH69" s="139">
        <f t="shared" ref="DH69" si="1766">DH68-(SUM(DH71:DH96))</f>
        <v>-26.45</v>
      </c>
      <c r="DI69" s="139"/>
      <c r="DJ69" s="139"/>
      <c r="DK69" s="131"/>
      <c r="DL69" s="141"/>
      <c r="DM69" s="131"/>
      <c r="DN69" s="139">
        <f t="shared" ref="DN69" si="1767">DN68-(SUM(DN71:DN96))</f>
        <v>0</v>
      </c>
      <c r="DO69" s="142"/>
      <c r="DP69" s="139"/>
      <c r="DQ69" s="143"/>
      <c r="DR69" s="139">
        <f t="shared" ref="DR69" si="1768">DR68-(SUM(DR71:DR96))</f>
        <v>-0.01</v>
      </c>
      <c r="DS69" s="139"/>
      <c r="DT69" s="139"/>
      <c r="DU69" s="131"/>
      <c r="DV69" s="141"/>
      <c r="DW69" s="131"/>
      <c r="DX69" s="139">
        <f t="shared" ref="DX69" si="1769">DX68-(SUM(DX71:DX96))</f>
        <v>-0.02</v>
      </c>
      <c r="DY69" s="142"/>
      <c r="DZ69" s="139"/>
      <c r="EA69" s="143"/>
      <c r="EB69" s="139">
        <f t="shared" ref="EB69" si="1770">EB68-(SUM(EB71:EB96))</f>
        <v>-52.87</v>
      </c>
      <c r="EC69" s="139"/>
      <c r="ED69" s="139"/>
      <c r="EE69" s="131"/>
      <c r="EF69" s="141"/>
      <c r="EG69" s="131"/>
      <c r="EH69" s="139">
        <f t="shared" ref="EH69" si="1771">EH68-(SUM(EH71:EH96))</f>
        <v>0.01</v>
      </c>
      <c r="EI69" s="142"/>
      <c r="EJ69" s="139"/>
      <c r="EK69" s="143"/>
      <c r="EL69" s="139">
        <f t="shared" ref="EL69" si="1772">EL68-(SUM(EL71:EL96))</f>
        <v>31.61</v>
      </c>
      <c r="EM69" s="139"/>
      <c r="EN69" s="139"/>
      <c r="EO69" s="131"/>
      <c r="EP69" s="141"/>
      <c r="EQ69" s="131"/>
      <c r="ER69" s="139">
        <f t="shared" ref="ER69" si="1773">ER68-(SUM(ER71:ER96))</f>
        <v>0.02</v>
      </c>
      <c r="ES69" s="142"/>
      <c r="ET69" s="139"/>
      <c r="EU69" s="143"/>
      <c r="EV69" s="139">
        <f t="shared" ref="EV69" si="1774">EV68-(SUM(EV71:EV96))</f>
        <v>63.25</v>
      </c>
      <c r="EW69" s="139"/>
      <c r="EX69" s="139"/>
      <c r="EY69" s="131"/>
      <c r="EZ69" s="141"/>
      <c r="FA69" s="131"/>
      <c r="FB69" s="139">
        <f t="shared" ref="FB69" si="1775">FB68-(SUM(FB71:FB96))</f>
        <v>0</v>
      </c>
      <c r="FC69" s="142"/>
      <c r="FD69" s="139"/>
      <c r="FE69" s="143"/>
      <c r="FF69" s="139">
        <f t="shared" ref="FF69" si="1776">FF68-(SUM(FF71:FF96))</f>
        <v>0</v>
      </c>
      <c r="FG69" s="139"/>
      <c r="FH69" s="139"/>
      <c r="FI69" s="131"/>
      <c r="FJ69" s="141"/>
      <c r="FK69" s="131"/>
      <c r="FL69" s="139">
        <f t="shared" ref="FL69" si="1777">FL68-(SUM(FL71:FL96))</f>
        <v>0</v>
      </c>
      <c r="FM69" s="142"/>
      <c r="FN69" s="139"/>
      <c r="FO69" s="143"/>
      <c r="FP69" s="139">
        <f t="shared" ref="FP69" si="1778">FP68-(SUM(FP71:FP96))</f>
        <v>0.02</v>
      </c>
      <c r="FQ69" s="139"/>
      <c r="FR69" s="139"/>
      <c r="FS69" s="131"/>
      <c r="FT69" s="141"/>
      <c r="FU69" s="131"/>
      <c r="FV69" s="139">
        <f t="shared" ref="FV69" si="1779">FV68-(SUM(FV71:FV96))</f>
        <v>0.01</v>
      </c>
      <c r="FW69" s="142"/>
      <c r="FX69" s="139"/>
      <c r="FY69" s="143"/>
      <c r="FZ69" s="139">
        <f t="shared" ref="FZ69" si="1780">FZ68-(SUM(FZ71:FZ96))</f>
        <v>31.66</v>
      </c>
      <c r="GA69" s="139"/>
      <c r="GB69" s="139"/>
      <c r="GC69" s="131"/>
      <c r="GD69" s="141"/>
      <c r="GE69" s="131"/>
      <c r="GF69" s="139">
        <f t="shared" ref="GF69" si="1781">GF68-(SUM(GF71:GF96))</f>
        <v>0</v>
      </c>
      <c r="GG69" s="142"/>
      <c r="GH69" s="139"/>
      <c r="GI69" s="143"/>
      <c r="GJ69" s="139">
        <f t="shared" ref="GJ69" si="1782">GJ68-(SUM(GJ71:GJ96))</f>
        <v>0</v>
      </c>
      <c r="GK69" s="139"/>
      <c r="GL69" s="139"/>
      <c r="GM69" s="131"/>
      <c r="GN69" s="141"/>
      <c r="GO69" s="131"/>
      <c r="GP69" s="139">
        <f t="shared" ref="GP69" si="1783">GP68-(SUM(GP71:GP96))</f>
        <v>0.01</v>
      </c>
      <c r="GQ69" s="142"/>
      <c r="GR69" s="139"/>
      <c r="GS69" s="143"/>
      <c r="GT69" s="139">
        <f t="shared" ref="GT69" si="1784">GT68-(SUM(GT71:GT96))</f>
        <v>26.45</v>
      </c>
      <c r="GU69" s="139"/>
      <c r="GV69" s="139"/>
      <c r="GW69" s="131"/>
      <c r="GX69" s="141"/>
      <c r="GY69" s="131"/>
      <c r="GZ69" s="139">
        <f t="shared" ref="GZ69" si="1785">GZ68-(SUM(GZ71:GZ96))</f>
        <v>-0.01</v>
      </c>
      <c r="HA69" s="142"/>
      <c r="HB69" s="139"/>
      <c r="HC69" s="143"/>
      <c r="HD69" s="139">
        <f t="shared" ref="HD69" si="1786">HD68-(SUM(HD71:HD96))</f>
        <v>-26.47</v>
      </c>
      <c r="HE69" s="139"/>
      <c r="HF69" s="139"/>
      <c r="HG69" s="131"/>
      <c r="HH69" s="141"/>
      <c r="HI69" s="131"/>
      <c r="HJ69" s="139">
        <f t="shared" ref="HJ69" si="1787">HJ68-(SUM(HJ71:HJ96))</f>
        <v>0</v>
      </c>
      <c r="HK69" s="142"/>
      <c r="HL69" s="139"/>
      <c r="HM69" s="143"/>
      <c r="HN69" s="139">
        <f t="shared" ref="HN69" si="1788">HN68-(SUM(HN71:HN96))</f>
        <v>0.01</v>
      </c>
      <c r="HO69" s="139"/>
      <c r="HP69" s="139"/>
      <c r="HQ69" s="131"/>
      <c r="HR69" s="141"/>
      <c r="HS69" s="131"/>
      <c r="HT69" s="139">
        <f t="shared" ref="HT69" si="1789">HT68-(SUM(HT71:HT96))</f>
        <v>-0.02</v>
      </c>
      <c r="HU69" s="142"/>
      <c r="HV69" s="139"/>
      <c r="HW69" s="143"/>
      <c r="HX69" s="139">
        <f t="shared" ref="HX69" si="1790">HX68-(SUM(HX71:HX96))</f>
        <v>-63.26</v>
      </c>
      <c r="HY69" s="139"/>
      <c r="HZ69" s="139"/>
      <c r="IA69" s="131"/>
      <c r="IB69" s="141"/>
      <c r="IC69" s="131"/>
      <c r="ID69" s="139">
        <f t="shared" ref="ID69" si="1791">ID68-(SUM(ID71:ID96))</f>
        <v>0.01</v>
      </c>
      <c r="IE69" s="142"/>
      <c r="IF69" s="139"/>
      <c r="IG69" s="143"/>
      <c r="IH69" s="139">
        <f t="shared" ref="IH69" si="1792">IH68-(SUM(IH71:IH96))</f>
        <v>31.61</v>
      </c>
      <c r="II69" s="139"/>
      <c r="IJ69" s="139"/>
      <c r="IK69" s="131"/>
      <c r="IL69" s="141"/>
      <c r="IM69" s="131"/>
      <c r="IN69" s="139">
        <f t="shared" ref="IN69" si="1793">IN68-(SUM(IN71:IN96))</f>
        <v>-0.01</v>
      </c>
      <c r="IO69" s="142"/>
      <c r="IP69" s="139"/>
      <c r="IQ69" s="143"/>
      <c r="IR69" s="139">
        <f t="shared" ref="IR69" si="1794">IR68-(SUM(IR71:IR96))</f>
        <v>-26.47</v>
      </c>
      <c r="IS69" s="139"/>
      <c r="IT69" s="139"/>
      <c r="IU69" s="131"/>
      <c r="IV69" s="141"/>
      <c r="IW69" s="131"/>
      <c r="IX69" s="139">
        <f t="shared" ref="IX69" si="1795">IX68-(SUM(IX71:IX96))</f>
        <v>0</v>
      </c>
      <c r="IY69" s="142"/>
      <c r="IZ69" s="139"/>
      <c r="JA69" s="143"/>
      <c r="JB69" s="139">
        <f t="shared" ref="JB69" si="1796">JB68-(SUM(JB71:JB96))</f>
        <v>0.01</v>
      </c>
      <c r="JC69" s="139"/>
      <c r="JD69" s="139"/>
      <c r="JE69" s="131"/>
      <c r="JF69" s="141"/>
      <c r="JG69" s="131"/>
      <c r="JH69" s="139">
        <f t="shared" ref="JH69" si="1797">JH68-(SUM(JH71:JH96))</f>
        <v>-0.01</v>
      </c>
      <c r="JI69" s="142"/>
      <c r="JJ69" s="139"/>
      <c r="JK69" s="143"/>
      <c r="JL69" s="139">
        <f t="shared" ref="JL69" si="1798">JL68-(SUM(JL71:JL96))</f>
        <v>-26.42</v>
      </c>
      <c r="JM69" s="139"/>
      <c r="JN69" s="139"/>
      <c r="JO69" s="131"/>
      <c r="JP69" s="141"/>
      <c r="JQ69" s="131"/>
      <c r="JR69" s="139">
        <f t="shared" ref="JR69" si="1799">JR68-(SUM(JR71:JR96))</f>
        <v>0.01</v>
      </c>
      <c r="JS69" s="142"/>
      <c r="JT69" s="139"/>
      <c r="JU69" s="143"/>
      <c r="JV69" s="139">
        <f t="shared" ref="JV69" si="1800">JV68-(SUM(JV71:JV96))</f>
        <v>26.33</v>
      </c>
      <c r="JW69" s="139"/>
      <c r="JX69" s="139"/>
      <c r="JY69" s="131"/>
      <c r="JZ69" s="141"/>
      <c r="KA69" s="131"/>
      <c r="KB69" s="139">
        <f t="shared" ref="KB69" si="1801">KB68-(SUM(KB71:KB96))</f>
        <v>0</v>
      </c>
      <c r="KC69" s="142"/>
      <c r="KD69" s="139"/>
      <c r="KE69" s="143"/>
      <c r="KF69" s="139">
        <f t="shared" ref="KF69" si="1802">KF68-(SUM(KF71:KF96))</f>
        <v>-0.02</v>
      </c>
      <c r="KG69" s="139"/>
      <c r="KH69" s="139"/>
      <c r="KI69" s="131"/>
      <c r="KJ69" s="141"/>
      <c r="KK69" s="131"/>
      <c r="KL69" s="139">
        <f t="shared" ref="KL69" si="1803">KL68-(SUM(KL71:KL96))</f>
        <v>-0.01</v>
      </c>
      <c r="KM69" s="142"/>
      <c r="KN69" s="139"/>
      <c r="KO69" s="143"/>
      <c r="KP69" s="139">
        <f t="shared" ref="KP69" si="1804">KP68-(SUM(KP71:KP96))</f>
        <v>-26.44</v>
      </c>
      <c r="KQ69" s="139"/>
      <c r="KR69" s="139"/>
      <c r="KS69" s="131"/>
      <c r="KT69" s="141"/>
      <c r="KU69" s="131"/>
      <c r="KV69" s="139">
        <f t="shared" ref="KV69" si="1805">KV68-(SUM(KV71:KV96))</f>
        <v>0</v>
      </c>
      <c r="KW69" s="142"/>
      <c r="KX69" s="139"/>
      <c r="KY69" s="143"/>
      <c r="KZ69" s="139">
        <f t="shared" ref="KZ69" si="1806">KZ68-(SUM(KZ71:KZ96))</f>
        <v>-0.01</v>
      </c>
      <c r="LA69" s="139"/>
      <c r="LB69" s="139"/>
      <c r="LC69" s="131"/>
      <c r="LD69" s="141"/>
      <c r="LE69" s="131"/>
      <c r="LF69" s="139">
        <f>LF68-(SUM(LF71:LF96))</f>
        <v>-0.18</v>
      </c>
      <c r="LG69" s="142"/>
      <c r="LH69" s="139"/>
      <c r="LI69" s="143"/>
      <c r="LJ69" s="139">
        <f>LJ68-(SUM(LJ71:LJ96))</f>
        <v>-516.48</v>
      </c>
      <c r="LK69" s="139"/>
      <c r="LL69" s="139"/>
    </row>
    <row r="70" spans="1:324" s="132" customFormat="1" x14ac:dyDescent="0.25">
      <c r="A70" s="244"/>
      <c r="B70" s="244" t="s">
        <v>853</v>
      </c>
      <c r="C70" s="131"/>
      <c r="D70" s="131"/>
      <c r="E70" s="131"/>
      <c r="F70" s="141"/>
      <c r="G70" s="131"/>
      <c r="H70" s="139"/>
      <c r="I70" s="142"/>
      <c r="J70" s="139"/>
      <c r="K70" s="143"/>
      <c r="L70" s="139"/>
      <c r="M70" s="139"/>
      <c r="N70" s="139"/>
      <c r="O70" s="131"/>
      <c r="P70" s="141"/>
      <c r="Q70" s="131"/>
      <c r="R70" s="139"/>
      <c r="S70" s="142"/>
      <c r="T70" s="139"/>
      <c r="U70" s="143"/>
      <c r="V70" s="139"/>
      <c r="W70" s="139"/>
      <c r="X70" s="139"/>
      <c r="Y70" s="131"/>
      <c r="Z70" s="141"/>
      <c r="AA70" s="131"/>
      <c r="AB70" s="139"/>
      <c r="AC70" s="142"/>
      <c r="AD70" s="139"/>
      <c r="AE70" s="143"/>
      <c r="AF70" s="139"/>
      <c r="AG70" s="139"/>
      <c r="AH70" s="139"/>
      <c r="AI70" s="131"/>
      <c r="AJ70" s="141"/>
      <c r="AK70" s="131"/>
      <c r="AL70" s="139"/>
      <c r="AM70" s="142"/>
      <c r="AN70" s="139"/>
      <c r="AO70" s="143"/>
      <c r="AP70" s="139"/>
      <c r="AQ70" s="139"/>
      <c r="AR70" s="139"/>
      <c r="AS70" s="131"/>
      <c r="AT70" s="141"/>
      <c r="AU70" s="131"/>
      <c r="AV70" s="139"/>
      <c r="AW70" s="142"/>
      <c r="AX70" s="139"/>
      <c r="AY70" s="143"/>
      <c r="AZ70" s="139"/>
      <c r="BA70" s="139"/>
      <c r="BB70" s="139"/>
      <c r="BC70" s="131"/>
      <c r="BD70" s="141"/>
      <c r="BE70" s="131"/>
      <c r="BF70" s="139"/>
      <c r="BG70" s="142"/>
      <c r="BH70" s="139"/>
      <c r="BI70" s="143"/>
      <c r="BJ70" s="139"/>
      <c r="BK70" s="139"/>
      <c r="BL70" s="139"/>
      <c r="BM70" s="131"/>
      <c r="BN70" s="141"/>
      <c r="BO70" s="131"/>
      <c r="BP70" s="139"/>
      <c r="BQ70" s="142"/>
      <c r="BR70" s="139"/>
      <c r="BS70" s="143"/>
      <c r="BT70" s="139"/>
      <c r="BU70" s="139"/>
      <c r="BV70" s="139"/>
      <c r="BW70" s="131"/>
      <c r="BX70" s="141"/>
      <c r="BY70" s="131"/>
      <c r="BZ70" s="139"/>
      <c r="CA70" s="142"/>
      <c r="CB70" s="139"/>
      <c r="CC70" s="143"/>
      <c r="CD70" s="139"/>
      <c r="CE70" s="139"/>
      <c r="CF70" s="139"/>
      <c r="CG70" s="131"/>
      <c r="CH70" s="141"/>
      <c r="CI70" s="131"/>
      <c r="CJ70" s="139"/>
      <c r="CK70" s="142"/>
      <c r="CL70" s="139"/>
      <c r="CM70" s="143"/>
      <c r="CN70" s="139"/>
      <c r="CO70" s="139"/>
      <c r="CP70" s="139"/>
      <c r="CQ70" s="131"/>
      <c r="CR70" s="141"/>
      <c r="CS70" s="131"/>
      <c r="CT70" s="139"/>
      <c r="CU70" s="142"/>
      <c r="CV70" s="139"/>
      <c r="CW70" s="143"/>
      <c r="CX70" s="139"/>
      <c r="CY70" s="139"/>
      <c r="CZ70" s="139"/>
      <c r="DA70" s="131"/>
      <c r="DB70" s="141"/>
      <c r="DC70" s="131"/>
      <c r="DD70" s="139"/>
      <c r="DE70" s="142"/>
      <c r="DF70" s="139"/>
      <c r="DG70" s="143"/>
      <c r="DH70" s="139"/>
      <c r="DI70" s="139"/>
      <c r="DJ70" s="139"/>
      <c r="DK70" s="131"/>
      <c r="DL70" s="141"/>
      <c r="DM70" s="131"/>
      <c r="DN70" s="139"/>
      <c r="DO70" s="142"/>
      <c r="DP70" s="139"/>
      <c r="DQ70" s="143"/>
      <c r="DR70" s="139"/>
      <c r="DS70" s="139"/>
      <c r="DT70" s="139"/>
      <c r="DU70" s="131"/>
      <c r="DV70" s="141"/>
      <c r="DW70" s="131"/>
      <c r="DX70" s="139"/>
      <c r="DY70" s="142"/>
      <c r="DZ70" s="139"/>
      <c r="EA70" s="143"/>
      <c r="EB70" s="139"/>
      <c r="EC70" s="139"/>
      <c r="ED70" s="139"/>
      <c r="EE70" s="131"/>
      <c r="EF70" s="141"/>
      <c r="EG70" s="131"/>
      <c r="EH70" s="139"/>
      <c r="EI70" s="142"/>
      <c r="EJ70" s="139"/>
      <c r="EK70" s="143"/>
      <c r="EL70" s="139"/>
      <c r="EM70" s="139"/>
      <c r="EN70" s="139"/>
      <c r="EO70" s="131"/>
      <c r="EP70" s="141"/>
      <c r="EQ70" s="131"/>
      <c r="ER70" s="139"/>
      <c r="ES70" s="142"/>
      <c r="ET70" s="139"/>
      <c r="EU70" s="143"/>
      <c r="EV70" s="139"/>
      <c r="EW70" s="139"/>
      <c r="EX70" s="139"/>
      <c r="EY70" s="131"/>
      <c r="EZ70" s="141"/>
      <c r="FA70" s="131"/>
      <c r="FB70" s="139"/>
      <c r="FC70" s="142"/>
      <c r="FD70" s="139"/>
      <c r="FE70" s="143"/>
      <c r="FF70" s="139"/>
      <c r="FG70" s="139"/>
      <c r="FH70" s="139"/>
      <c r="FI70" s="131"/>
      <c r="FJ70" s="141"/>
      <c r="FK70" s="131"/>
      <c r="FL70" s="139"/>
      <c r="FM70" s="142"/>
      <c r="FN70" s="139"/>
      <c r="FO70" s="143"/>
      <c r="FP70" s="139"/>
      <c r="FQ70" s="139"/>
      <c r="FR70" s="139"/>
      <c r="FS70" s="131"/>
      <c r="FT70" s="141"/>
      <c r="FU70" s="131"/>
      <c r="FV70" s="139"/>
      <c r="FW70" s="142"/>
      <c r="FX70" s="139"/>
      <c r="FY70" s="143"/>
      <c r="FZ70" s="139"/>
      <c r="GA70" s="139"/>
      <c r="GB70" s="139"/>
      <c r="GC70" s="131"/>
      <c r="GD70" s="141"/>
      <c r="GE70" s="131"/>
      <c r="GF70" s="139"/>
      <c r="GG70" s="142"/>
      <c r="GH70" s="139"/>
      <c r="GI70" s="143"/>
      <c r="GJ70" s="139"/>
      <c r="GK70" s="139"/>
      <c r="GL70" s="139"/>
      <c r="GM70" s="131"/>
      <c r="GN70" s="141"/>
      <c r="GO70" s="131"/>
      <c r="GP70" s="139"/>
      <c r="GQ70" s="142"/>
      <c r="GR70" s="139"/>
      <c r="GS70" s="143"/>
      <c r="GT70" s="139"/>
      <c r="GU70" s="139"/>
      <c r="GV70" s="139"/>
      <c r="GW70" s="131"/>
      <c r="GX70" s="141"/>
      <c r="GY70" s="131"/>
      <c r="GZ70" s="139"/>
      <c r="HA70" s="142"/>
      <c r="HB70" s="139"/>
      <c r="HC70" s="143"/>
      <c r="HD70" s="139"/>
      <c r="HE70" s="139"/>
      <c r="HF70" s="139"/>
      <c r="HG70" s="131"/>
      <c r="HH70" s="141"/>
      <c r="HI70" s="131"/>
      <c r="HJ70" s="139"/>
      <c r="HK70" s="142"/>
      <c r="HL70" s="139"/>
      <c r="HM70" s="143"/>
      <c r="HN70" s="139"/>
      <c r="HO70" s="139"/>
      <c r="HP70" s="139"/>
      <c r="HQ70" s="131"/>
      <c r="HR70" s="141"/>
      <c r="HS70" s="131"/>
      <c r="HT70" s="139"/>
      <c r="HU70" s="142"/>
      <c r="HV70" s="139"/>
      <c r="HW70" s="143"/>
      <c r="HX70" s="139"/>
      <c r="HY70" s="139"/>
      <c r="HZ70" s="139"/>
      <c r="IA70" s="131"/>
      <c r="IB70" s="141"/>
      <c r="IC70" s="131"/>
      <c r="ID70" s="139"/>
      <c r="IE70" s="142"/>
      <c r="IF70" s="139"/>
      <c r="IG70" s="143"/>
      <c r="IH70" s="139"/>
      <c r="II70" s="139"/>
      <c r="IJ70" s="139"/>
      <c r="IK70" s="131"/>
      <c r="IL70" s="141"/>
      <c r="IM70" s="131"/>
      <c r="IN70" s="139"/>
      <c r="IO70" s="142"/>
      <c r="IP70" s="139"/>
      <c r="IQ70" s="143"/>
      <c r="IR70" s="139"/>
      <c r="IS70" s="139"/>
      <c r="IT70" s="139"/>
      <c r="IU70" s="131"/>
      <c r="IV70" s="141"/>
      <c r="IW70" s="131"/>
      <c r="IX70" s="139"/>
      <c r="IY70" s="142"/>
      <c r="IZ70" s="139"/>
      <c r="JA70" s="143"/>
      <c r="JB70" s="139"/>
      <c r="JC70" s="139"/>
      <c r="JD70" s="139"/>
      <c r="JE70" s="131"/>
      <c r="JF70" s="141"/>
      <c r="JG70" s="131"/>
      <c r="JH70" s="139"/>
      <c r="JI70" s="142"/>
      <c r="JJ70" s="139"/>
      <c r="JK70" s="143"/>
      <c r="JL70" s="139"/>
      <c r="JM70" s="139"/>
      <c r="JN70" s="139"/>
      <c r="JO70" s="131"/>
      <c r="JP70" s="141"/>
      <c r="JQ70" s="131"/>
      <c r="JR70" s="139"/>
      <c r="JS70" s="142"/>
      <c r="JT70" s="139"/>
      <c r="JU70" s="143"/>
      <c r="JV70" s="139"/>
      <c r="JW70" s="139"/>
      <c r="JX70" s="139"/>
      <c r="JY70" s="131"/>
      <c r="JZ70" s="141"/>
      <c r="KA70" s="131"/>
      <c r="KB70" s="139"/>
      <c r="KC70" s="142"/>
      <c r="KD70" s="139"/>
      <c r="KE70" s="143"/>
      <c r="KF70" s="139"/>
      <c r="KG70" s="139"/>
      <c r="KH70" s="139"/>
      <c r="KI70" s="131"/>
      <c r="KJ70" s="141"/>
      <c r="KK70" s="131"/>
      <c r="KL70" s="139"/>
      <c r="KM70" s="142"/>
      <c r="KN70" s="139"/>
      <c r="KO70" s="143"/>
      <c r="KP70" s="139"/>
      <c r="KQ70" s="139"/>
      <c r="KR70" s="139"/>
      <c r="KS70" s="131"/>
      <c r="KT70" s="141"/>
      <c r="KU70" s="131"/>
      <c r="KV70" s="139"/>
      <c r="KW70" s="142"/>
      <c r="KX70" s="139"/>
      <c r="KY70" s="143"/>
      <c r="KZ70" s="139"/>
      <c r="LA70" s="139"/>
      <c r="LB70" s="139"/>
      <c r="LC70" s="131"/>
      <c r="LD70" s="141"/>
      <c r="LE70" s="131"/>
      <c r="LF70" s="139"/>
      <c r="LG70" s="142"/>
      <c r="LH70" s="139"/>
      <c r="LI70" s="143"/>
      <c r="LJ70" s="139"/>
      <c r="LK70" s="139"/>
      <c r="LL70" s="139"/>
    </row>
    <row r="71" spans="1:324" ht="26.25" customHeight="1" x14ac:dyDescent="0.25">
      <c r="A71" s="245"/>
      <c r="B71" s="12" t="s">
        <v>609</v>
      </c>
      <c r="C71" s="12" t="s">
        <v>727</v>
      </c>
      <c r="D71" s="12" t="s">
        <v>427</v>
      </c>
      <c r="E71" s="4" t="s">
        <v>34</v>
      </c>
      <c r="F71" s="198">
        <f t="shared" ref="F71:F78" si="1807">F13</f>
        <v>226</v>
      </c>
      <c r="G71" s="225">
        <f>F71/F$68</f>
        <v>0.37541999999999998</v>
      </c>
      <c r="H71" s="226">
        <f>H$68*G71</f>
        <v>76.94</v>
      </c>
      <c r="I71" s="137">
        <f t="shared" ref="I71:I96" si="1808">IF(F71&gt;0,H71/F71,0)</f>
        <v>0.34044247999999999</v>
      </c>
      <c r="J71" s="227">
        <f>J$68</f>
        <v>2644.05</v>
      </c>
      <c r="K71" s="138">
        <f t="shared" ref="K71:K96" si="1809">I71*J71</f>
        <v>900.14693999999997</v>
      </c>
      <c r="L71" s="110">
        <f t="shared" ref="L71:L96" si="1810">K71*F71</f>
        <v>203433.21</v>
      </c>
      <c r="M71" s="110"/>
      <c r="N71" s="139"/>
      <c r="O71" s="140">
        <f t="shared" ref="O71:O95" si="1811">K71/$LI71</f>
        <v>0.50866999999999996</v>
      </c>
      <c r="P71" s="198">
        <f t="shared" ref="P71:BX78" si="1812">P13</f>
        <v>488</v>
      </c>
      <c r="Q71" s="225">
        <f t="shared" ref="Q71:Q78" si="1813">P71/P$68</f>
        <v>0.44525999999999999</v>
      </c>
      <c r="R71" s="226">
        <f t="shared" ref="R71:R78" si="1814">R$68*Q71</f>
        <v>244.12</v>
      </c>
      <c r="S71" s="137">
        <f t="shared" ref="S71:S78" si="1815">IF(P71&gt;0,R71/P71,0)</f>
        <v>0.50024590000000002</v>
      </c>
      <c r="T71" s="227">
        <f t="shared" ref="T71:CB78" si="1816">T$68</f>
        <v>3163.33</v>
      </c>
      <c r="U71" s="138">
        <f t="shared" ref="U71:U78" si="1817">S71*T71</f>
        <v>1582.4428600000001</v>
      </c>
      <c r="V71" s="110">
        <f t="shared" ref="V71:V78" si="1818">U71*P71</f>
        <v>772232.12</v>
      </c>
      <c r="W71" s="110"/>
      <c r="X71" s="139"/>
      <c r="Y71" s="140">
        <f t="shared" ref="Y71:Y78" si="1819">U71/$LI71</f>
        <v>0.89422999999999997</v>
      </c>
      <c r="Z71" s="198">
        <f t="shared" si="1812"/>
        <v>235</v>
      </c>
      <c r="AA71" s="225">
        <f t="shared" ref="AA71:AA78" si="1820">Z71/Z$68</f>
        <v>0.27199000000000001</v>
      </c>
      <c r="AB71" s="226">
        <f t="shared" ref="AB71:AB78" si="1821">AB$68*AA71</f>
        <v>128.69999999999999</v>
      </c>
      <c r="AC71" s="137">
        <f t="shared" ref="AC71:AC78" si="1822">IF(Z71&gt;0,AB71/Z71,0)</f>
        <v>0.54765956999999998</v>
      </c>
      <c r="AD71" s="227">
        <f t="shared" ref="AD71" si="1823">AD$68</f>
        <v>2608.17</v>
      </c>
      <c r="AE71" s="138">
        <f t="shared" ref="AE71:AE78" si="1824">AC71*AD71</f>
        <v>1428.3892599999999</v>
      </c>
      <c r="AF71" s="110">
        <f t="shared" ref="AF71:AF78" si="1825">AE71*Z71</f>
        <v>335671.48</v>
      </c>
      <c r="AG71" s="110"/>
      <c r="AH71" s="139"/>
      <c r="AI71" s="140">
        <f t="shared" ref="AI71:AI78" si="1826">AE71/$LI71</f>
        <v>0.80718000000000001</v>
      </c>
      <c r="AJ71" s="198">
        <f t="shared" si="1812"/>
        <v>281</v>
      </c>
      <c r="AK71" s="225">
        <f t="shared" ref="AK71:AK78" si="1827">AJ71/AJ$68</f>
        <v>0.42255999999999999</v>
      </c>
      <c r="AL71" s="226">
        <f t="shared" ref="AL71:AL78" si="1828">AL$68*AK71</f>
        <v>146.44</v>
      </c>
      <c r="AM71" s="137">
        <f t="shared" ref="AM71:AM78" si="1829">IF(AJ71&gt;0,AL71/AJ71,0)</f>
        <v>0.52113878999999996</v>
      </c>
      <c r="AN71" s="227">
        <f t="shared" ref="AN71" si="1830">AN$68</f>
        <v>2644.05</v>
      </c>
      <c r="AO71" s="138">
        <f t="shared" ref="AO71:AO78" si="1831">AM71*AN71</f>
        <v>1377.9170200000001</v>
      </c>
      <c r="AP71" s="110">
        <f t="shared" ref="AP71:AP78" si="1832">AO71*AJ71</f>
        <v>387194.68</v>
      </c>
      <c r="AQ71" s="110"/>
      <c r="AR71" s="139"/>
      <c r="AS71" s="140">
        <f t="shared" ref="AS71:AS78" si="1833">AO71/$LI71</f>
        <v>0.77866000000000002</v>
      </c>
      <c r="AT71" s="198">
        <f t="shared" si="1812"/>
        <v>439</v>
      </c>
      <c r="AU71" s="225">
        <f t="shared" ref="AU71:AU78" si="1834">AT71/AT$68</f>
        <v>0.46161999999999997</v>
      </c>
      <c r="AV71" s="226">
        <f t="shared" ref="AV71:AV78" si="1835">AV$68*AU71</f>
        <v>186.3</v>
      </c>
      <c r="AW71" s="137">
        <f t="shared" ref="AW71:AW78" si="1836">IF(AT71&gt;0,AV71/AT71,0)</f>
        <v>0.42437357999999997</v>
      </c>
      <c r="AX71" s="227">
        <f t="shared" ref="AX71" si="1837">AX$68</f>
        <v>1786.28</v>
      </c>
      <c r="AY71" s="138">
        <f t="shared" ref="AY71:AY78" si="1838">AW71*AX71</f>
        <v>758.05003999999997</v>
      </c>
      <c r="AZ71" s="110">
        <f t="shared" ref="AZ71:AZ78" si="1839">AY71*AT71</f>
        <v>332783.96999999997</v>
      </c>
      <c r="BA71" s="110"/>
      <c r="BB71" s="139"/>
      <c r="BC71" s="140">
        <f t="shared" ref="BC71:BC78" si="1840">AY71/$LI71</f>
        <v>0.42836999999999997</v>
      </c>
      <c r="BD71" s="198">
        <f t="shared" si="1812"/>
        <v>347</v>
      </c>
      <c r="BE71" s="225">
        <f t="shared" ref="BE71:BE78" si="1841">BD71/BD$68</f>
        <v>0.46639999999999998</v>
      </c>
      <c r="BF71" s="226">
        <f t="shared" ref="BF71:BF78" si="1842">BF$68*BE71</f>
        <v>145.75</v>
      </c>
      <c r="BG71" s="137">
        <f t="shared" ref="BG71:BG78" si="1843">IF(BD71&gt;0,BF71/BD71,0)</f>
        <v>0.42002882000000002</v>
      </c>
      <c r="BH71" s="227">
        <f t="shared" ref="BH71" si="1844">BH$68</f>
        <v>3163.33</v>
      </c>
      <c r="BI71" s="138">
        <f t="shared" ref="BI71:BI78" si="1845">BG71*BH71</f>
        <v>1328.68977</v>
      </c>
      <c r="BJ71" s="110">
        <f t="shared" ref="BJ71:BJ78" si="1846">BI71*BD71</f>
        <v>461055.35</v>
      </c>
      <c r="BK71" s="110"/>
      <c r="BL71" s="139"/>
      <c r="BM71" s="140">
        <f t="shared" ref="BM71:BM78" si="1847">BI71/$LI71</f>
        <v>0.75083999999999995</v>
      </c>
      <c r="BN71" s="198">
        <f t="shared" si="1812"/>
        <v>254</v>
      </c>
      <c r="BO71" s="225">
        <f t="shared" ref="BO71:BO78" si="1848">BN71/BN$68</f>
        <v>0.41166999999999998</v>
      </c>
      <c r="BP71" s="226">
        <f t="shared" ref="BP71:BP78" si="1849">BP$68*BO71</f>
        <v>174.96</v>
      </c>
      <c r="BQ71" s="137">
        <f t="shared" ref="BQ71:BQ78" si="1850">IF(BN71&gt;0,BP71/BN71,0)</f>
        <v>0.68881890000000001</v>
      </c>
      <c r="BR71" s="227">
        <f t="shared" ref="BR71" si="1851">BR$68</f>
        <v>2182.42</v>
      </c>
      <c r="BS71" s="138">
        <f t="shared" ref="BS71:BS78" si="1852">BQ71*BR71</f>
        <v>1503.29214</v>
      </c>
      <c r="BT71" s="110">
        <f t="shared" ref="BT71:BT78" si="1853">BS71*BN71</f>
        <v>381836.2</v>
      </c>
      <c r="BU71" s="110"/>
      <c r="BV71" s="139"/>
      <c r="BW71" s="140">
        <f t="shared" ref="BW71:BW78" si="1854">BS71/$LI71</f>
        <v>0.84950999999999999</v>
      </c>
      <c r="BX71" s="198">
        <f t="shared" si="1812"/>
        <v>310</v>
      </c>
      <c r="BY71" s="225">
        <f t="shared" ref="BY71:BY78" si="1855">BX71/BX$68</f>
        <v>0.39340000000000003</v>
      </c>
      <c r="BZ71" s="226">
        <f t="shared" ref="BZ71:BZ78" si="1856">BZ$68*BY71</f>
        <v>125.85</v>
      </c>
      <c r="CA71" s="137">
        <f t="shared" ref="CA71:CA78" si="1857">IF(BX71&gt;0,BZ71/BX71,0)</f>
        <v>0.40596774000000002</v>
      </c>
      <c r="CB71" s="227">
        <f t="shared" ref="CB71" si="1858">CB$68</f>
        <v>2644.05</v>
      </c>
      <c r="CC71" s="138">
        <f t="shared" ref="CC71:CC78" si="1859">CA71*CB71</f>
        <v>1073.3989999999999</v>
      </c>
      <c r="CD71" s="110">
        <f t="shared" ref="CD71:CD78" si="1860">CC71*BX71</f>
        <v>332753.69</v>
      </c>
      <c r="CE71" s="110"/>
      <c r="CF71" s="139"/>
      <c r="CG71" s="140">
        <f t="shared" ref="CG71:CG78" si="1861">CC71/$LI71</f>
        <v>0.60657000000000005</v>
      </c>
      <c r="CH71" s="198">
        <f t="shared" ref="CH71:EP78" si="1862">CH13</f>
        <v>382</v>
      </c>
      <c r="CI71" s="225">
        <f t="shared" ref="CI71:CI78" si="1863">CH71/CH$68</f>
        <v>0.41342000000000001</v>
      </c>
      <c r="CJ71" s="226">
        <f t="shared" ref="CJ71:CJ78" si="1864">CJ$68*CI71</f>
        <v>155</v>
      </c>
      <c r="CK71" s="137">
        <f t="shared" ref="CK71:CK78" si="1865">IF(CH71&gt;0,CJ71/CH71,0)</f>
        <v>0.40575916000000001</v>
      </c>
      <c r="CL71" s="227">
        <f t="shared" ref="CL71:ET78" si="1866">CL$68</f>
        <v>2644.05</v>
      </c>
      <c r="CM71" s="138">
        <f t="shared" ref="CM71:CM78" si="1867">CK71*CL71</f>
        <v>1072.8475100000001</v>
      </c>
      <c r="CN71" s="110">
        <f t="shared" ref="CN71:CN78" si="1868">CM71*CH71</f>
        <v>409827.75</v>
      </c>
      <c r="CO71" s="110"/>
      <c r="CP71" s="139"/>
      <c r="CQ71" s="140">
        <f t="shared" ref="CQ71:CQ78" si="1869">CM71/$LI71</f>
        <v>0.60626000000000002</v>
      </c>
      <c r="CR71" s="198">
        <f t="shared" si="1862"/>
        <v>310</v>
      </c>
      <c r="CS71" s="225">
        <f t="shared" ref="CS71:CS78" si="1870">CR71/CR$68</f>
        <v>0.41666999999999998</v>
      </c>
      <c r="CT71" s="226">
        <f t="shared" ref="CT71:CT78" si="1871">CT$68*CS71</f>
        <v>208.34</v>
      </c>
      <c r="CU71" s="137">
        <f t="shared" ref="CU71:CU78" si="1872">IF(CR71&gt;0,CT71/CR71,0)</f>
        <v>0.67206452000000005</v>
      </c>
      <c r="CV71" s="227">
        <f t="shared" ref="CV71" si="1873">CV$68</f>
        <v>3163.33</v>
      </c>
      <c r="CW71" s="138">
        <f t="shared" ref="CW71:CW78" si="1874">CU71*CV71</f>
        <v>2125.9618599999999</v>
      </c>
      <c r="CX71" s="110">
        <f t="shared" ref="CX71:CX78" si="1875">CW71*CR71</f>
        <v>659048.18000000005</v>
      </c>
      <c r="CY71" s="110"/>
      <c r="CZ71" s="139"/>
      <c r="DA71" s="140">
        <f t="shared" ref="DA71:DA78" si="1876">CW71/$LI71</f>
        <v>1.20137</v>
      </c>
      <c r="DB71" s="198">
        <f t="shared" si="1862"/>
        <v>357</v>
      </c>
      <c r="DC71" s="225">
        <f t="shared" ref="DC71:DC78" si="1877">DB71/DB$68</f>
        <v>0.43273</v>
      </c>
      <c r="DD71" s="226">
        <f t="shared" ref="DD71:DD78" si="1878">DD$68*DC71</f>
        <v>259.95</v>
      </c>
      <c r="DE71" s="137">
        <f t="shared" ref="DE71:DE78" si="1879">IF(DB71&gt;0,DD71/DB71,0)</f>
        <v>0.72815125999999997</v>
      </c>
      <c r="DF71" s="227">
        <f t="shared" ref="DF71" si="1880">DF$68</f>
        <v>2644.05</v>
      </c>
      <c r="DG71" s="138">
        <f t="shared" ref="DG71:DG78" si="1881">DE71*DF71</f>
        <v>1925.2683400000001</v>
      </c>
      <c r="DH71" s="110">
        <f t="shared" ref="DH71:DH78" si="1882">DG71*DB71</f>
        <v>687320.8</v>
      </c>
      <c r="DI71" s="110"/>
      <c r="DJ71" s="139"/>
      <c r="DK71" s="140">
        <f t="shared" ref="DK71:DK78" si="1883">DG71/$LI71</f>
        <v>1.08796</v>
      </c>
      <c r="DL71" s="198">
        <f t="shared" si="1862"/>
        <v>0</v>
      </c>
      <c r="DM71" s="225">
        <f t="shared" ref="DM71:DM78" si="1884">DL71/DL$68</f>
        <v>0</v>
      </c>
      <c r="DN71" s="226">
        <f t="shared" ref="DN71:DN78" si="1885">DN$68*DM71</f>
        <v>0</v>
      </c>
      <c r="DO71" s="137">
        <f t="shared" ref="DO71:DO78" si="1886">IF(DL71&gt;0,DN71/DL71,0)</f>
        <v>0</v>
      </c>
      <c r="DP71" s="227">
        <f t="shared" ref="DP71" si="1887">DP$68</f>
        <v>2644.05</v>
      </c>
      <c r="DQ71" s="138">
        <f t="shared" ref="DQ71:DQ78" si="1888">DO71*DP71</f>
        <v>0</v>
      </c>
      <c r="DR71" s="110">
        <f t="shared" ref="DR71:DR78" si="1889">DQ71*DL71</f>
        <v>0</v>
      </c>
      <c r="DS71" s="110"/>
      <c r="DT71" s="139"/>
      <c r="DU71" s="140">
        <f t="shared" ref="DU71:DU78" si="1890">DQ71/$LI71</f>
        <v>0</v>
      </c>
      <c r="DV71" s="198">
        <f t="shared" si="1862"/>
        <v>361</v>
      </c>
      <c r="DW71" s="225">
        <f t="shared" ref="DW71:DW78" si="1891">DV71/DV$68</f>
        <v>0.41116000000000003</v>
      </c>
      <c r="DX71" s="226">
        <f t="shared" ref="DX71:DX78" si="1892">DX$68*DW71</f>
        <v>114.18</v>
      </c>
      <c r="DY71" s="137">
        <f t="shared" ref="DY71:DY78" si="1893">IF(DV71&gt;0,DX71/DV71,0)</f>
        <v>0.31628809000000002</v>
      </c>
      <c r="DZ71" s="227">
        <f t="shared" ref="DZ71" si="1894">DZ$68</f>
        <v>2644.05</v>
      </c>
      <c r="EA71" s="138">
        <f t="shared" ref="EA71:EA78" si="1895">DY71*DZ71</f>
        <v>836.28152</v>
      </c>
      <c r="EB71" s="110">
        <f t="shared" ref="EB71:EB78" si="1896">EA71*DV71</f>
        <v>301897.63</v>
      </c>
      <c r="EC71" s="110"/>
      <c r="ED71" s="139"/>
      <c r="EE71" s="140">
        <f t="shared" ref="EE71:EE78" si="1897">EA71/$LI71</f>
        <v>0.47258</v>
      </c>
      <c r="EF71" s="198">
        <f t="shared" si="1862"/>
        <v>363</v>
      </c>
      <c r="EG71" s="225">
        <f t="shared" ref="EG71:EG78" si="1898">EF71/EF$68</f>
        <v>0.38657999999999998</v>
      </c>
      <c r="EH71" s="226">
        <f t="shared" ref="EH71:EH78" si="1899">EH$68*EG71</f>
        <v>146.94</v>
      </c>
      <c r="EI71" s="137">
        <f t="shared" ref="EI71:EI78" si="1900">IF(EF71&gt;0,EH71/EF71,0)</f>
        <v>0.40479338999999998</v>
      </c>
      <c r="EJ71" s="227">
        <f t="shared" ref="EJ71" si="1901">EJ$68</f>
        <v>3163.33</v>
      </c>
      <c r="EK71" s="138">
        <f t="shared" ref="EK71:EK78" si="1902">EI71*EJ71</f>
        <v>1280.4950699999999</v>
      </c>
      <c r="EL71" s="110">
        <f t="shared" ref="EL71:EL78" si="1903">EK71*EF71</f>
        <v>464819.71</v>
      </c>
      <c r="EM71" s="110"/>
      <c r="EN71" s="139"/>
      <c r="EO71" s="140">
        <f t="shared" ref="EO71:EO78" si="1904">EK71/$LI71</f>
        <v>0.72360000000000002</v>
      </c>
      <c r="EP71" s="198">
        <f t="shared" si="1862"/>
        <v>400</v>
      </c>
      <c r="EQ71" s="225">
        <f t="shared" ref="EQ71:EQ78" si="1905">EP71/EP$68</f>
        <v>0.42418</v>
      </c>
      <c r="ER71" s="226">
        <f t="shared" ref="ER71:ER78" si="1906">ER$68*EQ71</f>
        <v>303.05</v>
      </c>
      <c r="ES71" s="137">
        <f t="shared" ref="ES71:ES78" si="1907">IF(EP71&gt;0,ER71/EP71,0)</f>
        <v>0.75762499999999999</v>
      </c>
      <c r="ET71" s="227">
        <f t="shared" ref="ET71" si="1908">ET$68</f>
        <v>3163.33</v>
      </c>
      <c r="EU71" s="138">
        <f t="shared" ref="EU71:EU78" si="1909">ES71*ET71</f>
        <v>2396.61789</v>
      </c>
      <c r="EV71" s="110">
        <f t="shared" ref="EV71:EV78" si="1910">EU71*EP71</f>
        <v>958647.16</v>
      </c>
      <c r="EW71" s="110"/>
      <c r="EX71" s="139"/>
      <c r="EY71" s="140">
        <f t="shared" ref="EY71:EY78" si="1911">EU71/$LI71</f>
        <v>1.35432</v>
      </c>
      <c r="EZ71" s="198">
        <f t="shared" ref="EZ71:HH78" si="1912">EZ13</f>
        <v>576</v>
      </c>
      <c r="FA71" s="225">
        <f t="shared" ref="FA71:FA78" si="1913">EZ71/EZ$68</f>
        <v>0.51566999999999996</v>
      </c>
      <c r="FB71" s="226">
        <f t="shared" ref="FB71:FB78" si="1914">FB$68*FA71</f>
        <v>0</v>
      </c>
      <c r="FC71" s="137">
        <f t="shared" ref="FC71:FC78" si="1915">IF(EZ71&gt;0,FB71/EZ71,0)</f>
        <v>0</v>
      </c>
      <c r="FD71" s="227">
        <f t="shared" ref="FD71:GH78" si="1916">FD$68</f>
        <v>0</v>
      </c>
      <c r="FE71" s="138">
        <f t="shared" ref="FE71:FE78" si="1917">FC71*FD71</f>
        <v>0</v>
      </c>
      <c r="FF71" s="110">
        <f t="shared" ref="FF71:FF78" si="1918">FE71*EZ71</f>
        <v>0</v>
      </c>
      <c r="FG71" s="110"/>
      <c r="FH71" s="139"/>
      <c r="FI71" s="140">
        <f t="shared" ref="FI71:FI78" si="1919">FE71/$LI71</f>
        <v>0</v>
      </c>
      <c r="FJ71" s="198">
        <f t="shared" si="1912"/>
        <v>408</v>
      </c>
      <c r="FK71" s="225">
        <f t="shared" ref="FK71:FK78" si="1920">FJ71/FJ$68</f>
        <v>0.39922000000000002</v>
      </c>
      <c r="FL71" s="226">
        <f t="shared" ref="FL71:FL78" si="1921">FL$68*FK71</f>
        <v>210.61</v>
      </c>
      <c r="FM71" s="137">
        <f t="shared" ref="FM71:FM78" si="1922">IF(FJ71&gt;0,FL71/FJ71,0)</f>
        <v>0.51620098000000003</v>
      </c>
      <c r="FN71" s="227">
        <f t="shared" ref="FN71" si="1923">FN$68</f>
        <v>3163.33</v>
      </c>
      <c r="FO71" s="138">
        <f t="shared" ref="FO71:FO78" si="1924">FM71*FN71</f>
        <v>1632.9140500000001</v>
      </c>
      <c r="FP71" s="110">
        <f t="shared" ref="FP71:FP78" si="1925">FO71*FJ71</f>
        <v>666228.93000000005</v>
      </c>
      <c r="FQ71" s="110"/>
      <c r="FR71" s="139"/>
      <c r="FS71" s="140">
        <f t="shared" ref="FS71:FS78" si="1926">FO71/$LI71</f>
        <v>0.92274999999999996</v>
      </c>
      <c r="FT71" s="198">
        <f t="shared" si="1912"/>
        <v>342</v>
      </c>
      <c r="FU71" s="225">
        <f t="shared" ref="FU71:FU78" si="1927">FT71/FT$68</f>
        <v>0.4259</v>
      </c>
      <c r="FV71" s="226">
        <f t="shared" ref="FV71:FV78" si="1928">FV$68*FU71</f>
        <v>202.09</v>
      </c>
      <c r="FW71" s="137">
        <f t="shared" ref="FW71:FW78" si="1929">IF(FT71&gt;0,FV71/FT71,0)</f>
        <v>0.59090642999999998</v>
      </c>
      <c r="FX71" s="227">
        <f t="shared" ref="FX71" si="1930">FX$68</f>
        <v>3163.33</v>
      </c>
      <c r="FY71" s="138">
        <f t="shared" ref="FY71:FY78" si="1931">FW71*FX71</f>
        <v>1869.2320400000001</v>
      </c>
      <c r="FZ71" s="110">
        <f t="shared" ref="FZ71:FZ78" si="1932">FY71*FT71</f>
        <v>639277.36</v>
      </c>
      <c r="GA71" s="110"/>
      <c r="GB71" s="139"/>
      <c r="GC71" s="140">
        <f t="shared" ref="GC71:GC78" si="1933">FY71/$LI71</f>
        <v>1.0563</v>
      </c>
      <c r="GD71" s="198">
        <f t="shared" si="1912"/>
        <v>164</v>
      </c>
      <c r="GE71" s="225">
        <f t="shared" ref="GE71:GE78" si="1934">GD71/GD$68</f>
        <v>0.32030999999999998</v>
      </c>
      <c r="GF71" s="226">
        <f t="shared" ref="GF71:GF78" si="1935">GF$68*GE71</f>
        <v>0</v>
      </c>
      <c r="GG71" s="137">
        <f t="shared" ref="GG71:GG78" si="1936">IF(GD71&gt;0,GF71/GD71,0)</f>
        <v>0</v>
      </c>
      <c r="GH71" s="227">
        <f t="shared" ref="GH71" si="1937">GH$68</f>
        <v>0</v>
      </c>
      <c r="GI71" s="138">
        <f t="shared" ref="GI71:GI78" si="1938">GG71*GH71</f>
        <v>0</v>
      </c>
      <c r="GJ71" s="110">
        <f t="shared" ref="GJ71:GJ78" si="1939">GI71*GD71</f>
        <v>0</v>
      </c>
      <c r="GK71" s="110"/>
      <c r="GL71" s="139"/>
      <c r="GM71" s="140">
        <f t="shared" ref="GM71:GM78" si="1940">GI71/$LI71</f>
        <v>0</v>
      </c>
      <c r="GN71" s="198">
        <f t="shared" si="1912"/>
        <v>353</v>
      </c>
      <c r="GO71" s="225">
        <f t="shared" ref="GO71:GO78" si="1941">GN71/GN$68</f>
        <v>0.40855999999999998</v>
      </c>
      <c r="GP71" s="226">
        <f t="shared" ref="GP71:GP78" si="1942">GP$68*GO71</f>
        <v>330.93</v>
      </c>
      <c r="GQ71" s="137">
        <f t="shared" ref="GQ71:GQ78" si="1943">IF(GN71&gt;0,GP71/GN71,0)</f>
        <v>0.93747875000000003</v>
      </c>
      <c r="GR71" s="227">
        <f t="shared" ref="GR71:HV78" si="1944">GR$68</f>
        <v>2644.05</v>
      </c>
      <c r="GS71" s="138">
        <f t="shared" ref="GS71:GS78" si="1945">GQ71*GR71</f>
        <v>2478.7406900000001</v>
      </c>
      <c r="GT71" s="110">
        <f t="shared" ref="GT71:GT78" si="1946">GS71*GN71</f>
        <v>874995.46</v>
      </c>
      <c r="GU71" s="110"/>
      <c r="GV71" s="139"/>
      <c r="GW71" s="140">
        <f t="shared" ref="GW71:GW78" si="1947">GS71/$LI71</f>
        <v>1.40073</v>
      </c>
      <c r="GX71" s="198">
        <f t="shared" si="1912"/>
        <v>712</v>
      </c>
      <c r="GY71" s="225">
        <f t="shared" ref="GY71:GY78" si="1948">GX71/GX$68</f>
        <v>0.43924000000000002</v>
      </c>
      <c r="GZ71" s="226">
        <f t="shared" ref="GZ71:GZ78" si="1949">GZ$68*GY71</f>
        <v>224.01</v>
      </c>
      <c r="HA71" s="137">
        <f t="shared" ref="HA71:HA78" si="1950">IF(GX71&gt;0,GZ71/GX71,0)</f>
        <v>0.31462078999999998</v>
      </c>
      <c r="HB71" s="227">
        <f t="shared" ref="HB71" si="1951">HB$68</f>
        <v>2644.05</v>
      </c>
      <c r="HC71" s="138">
        <f t="shared" ref="HC71:HC78" si="1952">HA71*HB71</f>
        <v>831.87310000000002</v>
      </c>
      <c r="HD71" s="110">
        <f t="shared" ref="HD71:HD78" si="1953">HC71*GX71</f>
        <v>592293.65</v>
      </c>
      <c r="HE71" s="110"/>
      <c r="HF71" s="139"/>
      <c r="HG71" s="140">
        <f t="shared" ref="HG71:HG78" si="1954">HC71/$LI71</f>
        <v>0.47009000000000001</v>
      </c>
      <c r="HH71" s="198">
        <f t="shared" si="1912"/>
        <v>508</v>
      </c>
      <c r="HI71" s="225">
        <f t="shared" ref="HI71:HI78" si="1955">HH71/HH$68</f>
        <v>0.44096999999999997</v>
      </c>
      <c r="HJ71" s="226">
        <f t="shared" ref="HJ71:HJ78" si="1956">HJ$68*HI71</f>
        <v>324.86</v>
      </c>
      <c r="HK71" s="137">
        <f t="shared" ref="HK71:HK78" si="1957">IF(HH71&gt;0,HJ71/HH71,0)</f>
        <v>0.63948819000000001</v>
      </c>
      <c r="HL71" s="227">
        <f t="shared" ref="HL71" si="1958">HL$68</f>
        <v>2597.2199999999998</v>
      </c>
      <c r="HM71" s="138">
        <f t="shared" ref="HM71:HM78" si="1959">HK71*HL71</f>
        <v>1660.8915199999999</v>
      </c>
      <c r="HN71" s="110">
        <f t="shared" ref="HN71:HN78" si="1960">HM71*HH71</f>
        <v>843732.89</v>
      </c>
      <c r="HO71" s="110"/>
      <c r="HP71" s="139"/>
      <c r="HQ71" s="140">
        <f t="shared" ref="HQ71:HQ78" si="1961">HM71/$LI71</f>
        <v>0.93855999999999995</v>
      </c>
      <c r="HR71" s="198">
        <f t="shared" ref="HR71:JZ78" si="1962">HR13</f>
        <v>331</v>
      </c>
      <c r="HS71" s="225">
        <f t="shared" ref="HS71:HS78" si="1963">HR71/HR$68</f>
        <v>0.42004999999999998</v>
      </c>
      <c r="HT71" s="226">
        <f t="shared" ref="HT71:HT78" si="1964">HT$68*HS71</f>
        <v>278.95999999999998</v>
      </c>
      <c r="HU71" s="137">
        <f t="shared" ref="HU71:HU78" si="1965">IF(HR71&gt;0,HT71/HR71,0)</f>
        <v>0.84277946000000004</v>
      </c>
      <c r="HV71" s="227">
        <f t="shared" ref="HV71" si="1966">HV$68</f>
        <v>3163.33</v>
      </c>
      <c r="HW71" s="138">
        <f t="shared" ref="HW71:HW78" si="1967">HU71*HV71</f>
        <v>2665.9895499999998</v>
      </c>
      <c r="HX71" s="110">
        <f t="shared" ref="HX71:HX78" si="1968">HW71*HR71</f>
        <v>882442.54</v>
      </c>
      <c r="HY71" s="110"/>
      <c r="HZ71" s="139"/>
      <c r="IA71" s="140">
        <f t="shared" ref="IA71:IA78" si="1969">HW71/$LI71</f>
        <v>1.50654</v>
      </c>
      <c r="IB71" s="198">
        <f t="shared" si="1962"/>
        <v>208</v>
      </c>
      <c r="IC71" s="225">
        <f t="shared" ref="IC71:IC78" si="1970">IB71/IB$68</f>
        <v>0.37956000000000001</v>
      </c>
      <c r="ID71" s="226">
        <f t="shared" ref="ID71:ID78" si="1971">ID$68*IC71</f>
        <v>258.10000000000002</v>
      </c>
      <c r="IE71" s="137">
        <f t="shared" ref="IE71:IE78" si="1972">IF(IB71&gt;0,ID71/IB71,0)</f>
        <v>1.24086538</v>
      </c>
      <c r="IF71" s="227">
        <f t="shared" ref="IF71:JJ78" si="1973">IF$68</f>
        <v>3163.33</v>
      </c>
      <c r="IG71" s="138">
        <f t="shared" ref="IG71:IG78" si="1974">IE71*IF71</f>
        <v>3925.2666800000002</v>
      </c>
      <c r="IH71" s="110">
        <f t="shared" ref="IH71:IH78" si="1975">IG71*IB71</f>
        <v>816455.47</v>
      </c>
      <c r="II71" s="110"/>
      <c r="IJ71" s="139"/>
      <c r="IK71" s="140">
        <f t="shared" ref="IK71:IK78" si="1976">IG71/$LI71</f>
        <v>2.2181600000000001</v>
      </c>
      <c r="IL71" s="198">
        <f t="shared" si="1962"/>
        <v>599</v>
      </c>
      <c r="IM71" s="225">
        <f t="shared" ref="IM71:IM78" si="1977">IL71/IL$68</f>
        <v>0.47352</v>
      </c>
      <c r="IN71" s="226">
        <f t="shared" ref="IN71:IN78" si="1978">IN$68*IM71</f>
        <v>305.45999999999998</v>
      </c>
      <c r="IO71" s="137">
        <f t="shared" ref="IO71:IO78" si="1979">IF(IL71&gt;0,IN71/IL71,0)</f>
        <v>0.50994991999999995</v>
      </c>
      <c r="IP71" s="227">
        <f t="shared" ref="IP71" si="1980">IP$68</f>
        <v>2644.05</v>
      </c>
      <c r="IQ71" s="138">
        <f t="shared" ref="IQ71:IQ78" si="1981">IO71*IP71</f>
        <v>1348.3330900000001</v>
      </c>
      <c r="IR71" s="110">
        <f t="shared" ref="IR71:IR78" si="1982">IQ71*IL71</f>
        <v>807651.52</v>
      </c>
      <c r="IS71" s="110"/>
      <c r="IT71" s="139"/>
      <c r="IU71" s="140">
        <f t="shared" ref="IU71:IU78" si="1983">IQ71/$LI71</f>
        <v>0.76193999999999995</v>
      </c>
      <c r="IV71" s="198">
        <f t="shared" si="1962"/>
        <v>297</v>
      </c>
      <c r="IW71" s="225">
        <f t="shared" ref="IW71:IW78" si="1984">IV71/IV$68</f>
        <v>0.38521</v>
      </c>
      <c r="IX71" s="226">
        <f t="shared" ref="IX71:IX78" si="1985">IX$68*IW71</f>
        <v>194.31</v>
      </c>
      <c r="IY71" s="137">
        <f t="shared" ref="IY71:IY78" si="1986">IF(IV71&gt;0,IX71/IV71,0)</f>
        <v>0.65424241999999999</v>
      </c>
      <c r="IZ71" s="227">
        <f t="shared" ref="IZ71" si="1987">IZ$68</f>
        <v>3163.33</v>
      </c>
      <c r="JA71" s="138">
        <f t="shared" ref="JA71:JA78" si="1988">IY71*IZ71</f>
        <v>2069.5846700000002</v>
      </c>
      <c r="JB71" s="110">
        <f t="shared" ref="JB71:JB78" si="1989">JA71*IV71</f>
        <v>614666.65</v>
      </c>
      <c r="JC71" s="110"/>
      <c r="JD71" s="139"/>
      <c r="JE71" s="140">
        <f t="shared" ref="JE71:JE78" si="1990">JA71/$LI71</f>
        <v>1.1695199999999999</v>
      </c>
      <c r="JF71" s="198">
        <f t="shared" si="1962"/>
        <v>607</v>
      </c>
      <c r="JG71" s="225">
        <f t="shared" ref="JG71:JG78" si="1991">JF71/JF$68</f>
        <v>0.45265</v>
      </c>
      <c r="JH71" s="226">
        <f t="shared" ref="JH71:JH78" si="1992">JH$68*JG71</f>
        <v>407.39</v>
      </c>
      <c r="JI71" s="137">
        <f t="shared" ref="JI71:JI78" si="1993">IF(JF71&gt;0,JH71/JF71,0)</f>
        <v>0.67115320999999994</v>
      </c>
      <c r="JJ71" s="227">
        <f t="shared" ref="JJ71" si="1994">JJ$68</f>
        <v>2644.05</v>
      </c>
      <c r="JK71" s="138">
        <f t="shared" ref="JK71:JK78" si="1995">JI71*JJ71</f>
        <v>1774.5626400000001</v>
      </c>
      <c r="JL71" s="110">
        <f t="shared" ref="JL71:JL78" si="1996">JK71*JF71</f>
        <v>1077159.52</v>
      </c>
      <c r="JM71" s="110"/>
      <c r="JN71" s="139"/>
      <c r="JO71" s="140">
        <f t="shared" ref="JO71:JO78" si="1997">JK71/$LI71</f>
        <v>1.0027999999999999</v>
      </c>
      <c r="JP71" s="198">
        <f t="shared" si="1962"/>
        <v>567</v>
      </c>
      <c r="JQ71" s="225">
        <f t="shared" ref="JQ71:JQ78" si="1998">JP71/JP$68</f>
        <v>0.45395999999999997</v>
      </c>
      <c r="JR71" s="226">
        <f t="shared" ref="JR71:JR78" si="1999">JR$68*JQ71</f>
        <v>347.28</v>
      </c>
      <c r="JS71" s="137">
        <f t="shared" ref="JS71:JS78" si="2000">IF(JP71&gt;0,JR71/JP71,0)</f>
        <v>0.61248676999999996</v>
      </c>
      <c r="JT71" s="227">
        <f t="shared" ref="JT71:KX78" si="2001">JT$68</f>
        <v>2632.02</v>
      </c>
      <c r="JU71" s="138">
        <f t="shared" ref="JU71:JU78" si="2002">JS71*JT71</f>
        <v>1612.07743</v>
      </c>
      <c r="JV71" s="110">
        <f t="shared" ref="JV71:JV78" si="2003">JU71*JP71</f>
        <v>914047.9</v>
      </c>
      <c r="JW71" s="110"/>
      <c r="JX71" s="139"/>
      <c r="JY71" s="140">
        <f t="shared" ref="JY71:JY78" si="2004">JU71/$LI71</f>
        <v>0.91098000000000001</v>
      </c>
      <c r="JZ71" s="198">
        <f t="shared" si="1962"/>
        <v>523</v>
      </c>
      <c r="KA71" s="225">
        <f t="shared" ref="KA71:KA78" si="2005">JZ71/JZ$68</f>
        <v>0.44969999999999999</v>
      </c>
      <c r="KB71" s="226">
        <f t="shared" ref="KB71:KB78" si="2006">KB$68*KA71</f>
        <v>314.79000000000002</v>
      </c>
      <c r="KC71" s="137">
        <f t="shared" ref="KC71:KC78" si="2007">IF(JZ71&gt;0,KB71/JZ71,0)</f>
        <v>0.60189292999999999</v>
      </c>
      <c r="KD71" s="227">
        <f t="shared" ref="KD71" si="2008">KD$68</f>
        <v>3163.33</v>
      </c>
      <c r="KE71" s="138">
        <f t="shared" ref="KE71:KE78" si="2009">KC71*KD71</f>
        <v>1903.98596</v>
      </c>
      <c r="KF71" s="110">
        <f t="shared" ref="KF71:KF78" si="2010">KE71*JZ71</f>
        <v>995784.66</v>
      </c>
      <c r="KG71" s="110"/>
      <c r="KH71" s="139"/>
      <c r="KI71" s="140">
        <f t="shared" ref="KI71:KI78" si="2011">KE71/$LI71</f>
        <v>1.0759399999999999</v>
      </c>
      <c r="KJ71" s="198">
        <f t="shared" ref="KJ71:KT78" si="2012">KJ13</f>
        <v>600</v>
      </c>
      <c r="KK71" s="225">
        <f t="shared" ref="KK71:KK78" si="2013">KJ71/KJ$68</f>
        <v>0.44742999999999999</v>
      </c>
      <c r="KL71" s="226">
        <f t="shared" ref="KL71:KL78" si="2014">KL$68*KK71</f>
        <v>344.52</v>
      </c>
      <c r="KM71" s="137">
        <f t="shared" ref="KM71:KM78" si="2015">IF(KJ71&gt;0,KL71/KJ71,0)</f>
        <v>0.57420000000000004</v>
      </c>
      <c r="KN71" s="227">
        <f t="shared" ref="KN71" si="2016">KN$68</f>
        <v>2644.05</v>
      </c>
      <c r="KO71" s="138">
        <f t="shared" ref="KO71:KO78" si="2017">KM71*KN71</f>
        <v>1518.21351</v>
      </c>
      <c r="KP71" s="110">
        <f t="shared" ref="KP71:KP78" si="2018">KO71*KJ71</f>
        <v>910928.11</v>
      </c>
      <c r="KQ71" s="110"/>
      <c r="KR71" s="139"/>
      <c r="KS71" s="140">
        <f t="shared" ref="KS71:KS78" si="2019">KO71/$LI71</f>
        <v>0.85794000000000004</v>
      </c>
      <c r="KT71" s="198">
        <f t="shared" si="2012"/>
        <v>553</v>
      </c>
      <c r="KU71" s="225">
        <f t="shared" ref="KU71:KU78" si="2020">KT71/KT$68</f>
        <v>0.49198999999999998</v>
      </c>
      <c r="KV71" s="226">
        <f t="shared" ref="KV71:KV78" si="2021">KV$68*KU71</f>
        <v>1377.57</v>
      </c>
      <c r="KW71" s="137">
        <f t="shared" ref="KW71:KW78" si="2022">IF(KT71&gt;0,KV71/KT71,0)</f>
        <v>2.4910849900000001</v>
      </c>
      <c r="KX71" s="227">
        <f t="shared" ref="KX71" si="2023">KX$68</f>
        <v>3163.33</v>
      </c>
      <c r="KY71" s="138">
        <f t="shared" ref="KY71:KY78" si="2024">KW71*KX71</f>
        <v>7880.1238800000001</v>
      </c>
      <c r="KZ71" s="110">
        <f t="shared" ref="KZ71:KZ78" si="2025">KY71*KT71</f>
        <v>4357708.51</v>
      </c>
      <c r="LA71" s="110"/>
      <c r="LB71" s="139"/>
      <c r="LC71" s="140">
        <f t="shared" ref="LC71:LC78" si="2026">KY71/$LI71</f>
        <v>4.45303</v>
      </c>
      <c r="LD71" s="197">
        <f t="shared" ref="LD71:LD96" si="2027">F71+P71+Z71+AJ71+AT71+BD71+BN71+BX71+CH71+CR71+DB71+DL71+DV71+EF71+EP71+EZ71+FJ71+FT71+GD71+GN71+GX71+HH71+HR71+IB71+IL71+IV71+JF71+JP71+JZ71+KJ71+KT71</f>
        <v>12101</v>
      </c>
      <c r="LE71" s="225">
        <f t="shared" ref="LE71:LE96" si="2028">LD71/LD$68</f>
        <v>0.42393999999999998</v>
      </c>
      <c r="LF71" s="226">
        <f t="shared" ref="LF71:LF96" si="2029">LF$68*LE71</f>
        <v>7462.45</v>
      </c>
      <c r="LG71" s="137">
        <f t="shared" ref="LG71:LG96" si="2030">IF(LD71&gt;0,LF71/LD71,0)</f>
        <v>0.61668044</v>
      </c>
      <c r="LH71" s="227">
        <f t="shared" ref="LH71:LH96" si="2031">LH$68</f>
        <v>2869.57</v>
      </c>
      <c r="LI71" s="138">
        <f t="shared" ref="LI71:LI96" si="2032">LG71*LH71</f>
        <v>1769.60769</v>
      </c>
      <c r="LJ71" s="110">
        <f t="shared" ref="LJ71:LJ96" si="2033">LI71*LD71</f>
        <v>21414022.66</v>
      </c>
      <c r="LK71" s="110"/>
      <c r="LL71" s="139"/>
    </row>
    <row r="72" spans="1:324" ht="27.75" hidden="1" customHeight="1" x14ac:dyDescent="0.25">
      <c r="A72" s="246"/>
      <c r="B72" s="92" t="s">
        <v>610</v>
      </c>
      <c r="C72" s="12" t="s">
        <v>728</v>
      </c>
      <c r="D72" s="12" t="s">
        <v>430</v>
      </c>
      <c r="E72" s="4" t="s">
        <v>34</v>
      </c>
      <c r="F72" s="198">
        <f t="shared" si="1807"/>
        <v>0</v>
      </c>
      <c r="G72" s="225">
        <f t="shared" ref="G72:G96" si="2034">F72/F$68</f>
        <v>0</v>
      </c>
      <c r="H72" s="226">
        <f t="shared" ref="H72:H96" si="2035">H$68*G72</f>
        <v>0</v>
      </c>
      <c r="I72" s="137">
        <f t="shared" si="1808"/>
        <v>0</v>
      </c>
      <c r="J72" s="227">
        <f t="shared" ref="J72:J96" si="2036">J$68</f>
        <v>2644.05</v>
      </c>
      <c r="K72" s="138">
        <f t="shared" si="1809"/>
        <v>0</v>
      </c>
      <c r="L72" s="110">
        <f t="shared" si="1810"/>
        <v>0</v>
      </c>
      <c r="M72" s="110"/>
      <c r="N72" s="139"/>
      <c r="O72" s="140" t="e">
        <f t="shared" si="1811"/>
        <v>#DIV/0!</v>
      </c>
      <c r="P72" s="198">
        <f t="shared" si="1812"/>
        <v>0</v>
      </c>
      <c r="Q72" s="225">
        <f t="shared" si="1813"/>
        <v>0</v>
      </c>
      <c r="R72" s="226">
        <f t="shared" si="1814"/>
        <v>0</v>
      </c>
      <c r="S72" s="137">
        <f t="shared" si="1815"/>
        <v>0</v>
      </c>
      <c r="T72" s="227">
        <f t="shared" si="1816"/>
        <v>3163.33</v>
      </c>
      <c r="U72" s="138">
        <f t="shared" si="1817"/>
        <v>0</v>
      </c>
      <c r="V72" s="110">
        <f t="shared" si="1818"/>
        <v>0</v>
      </c>
      <c r="W72" s="110"/>
      <c r="X72" s="139"/>
      <c r="Y72" s="140" t="e">
        <f t="shared" si="1819"/>
        <v>#DIV/0!</v>
      </c>
      <c r="Z72" s="198">
        <f t="shared" si="1812"/>
        <v>0</v>
      </c>
      <c r="AA72" s="225">
        <f t="shared" si="1820"/>
        <v>0</v>
      </c>
      <c r="AB72" s="226">
        <f t="shared" si="1821"/>
        <v>0</v>
      </c>
      <c r="AC72" s="137">
        <f t="shared" si="1822"/>
        <v>0</v>
      </c>
      <c r="AD72" s="227">
        <f t="shared" si="1816"/>
        <v>2608.17</v>
      </c>
      <c r="AE72" s="138">
        <f t="shared" si="1824"/>
        <v>0</v>
      </c>
      <c r="AF72" s="110">
        <f t="shared" si="1825"/>
        <v>0</v>
      </c>
      <c r="AG72" s="110"/>
      <c r="AH72" s="139"/>
      <c r="AI72" s="140" t="e">
        <f t="shared" si="1826"/>
        <v>#DIV/0!</v>
      </c>
      <c r="AJ72" s="198">
        <f t="shared" si="1812"/>
        <v>0</v>
      </c>
      <c r="AK72" s="225">
        <f t="shared" si="1827"/>
        <v>0</v>
      </c>
      <c r="AL72" s="226">
        <f t="shared" si="1828"/>
        <v>0</v>
      </c>
      <c r="AM72" s="137">
        <f t="shared" si="1829"/>
        <v>0</v>
      </c>
      <c r="AN72" s="227">
        <f t="shared" si="1816"/>
        <v>2644.05</v>
      </c>
      <c r="AO72" s="138">
        <f t="shared" si="1831"/>
        <v>0</v>
      </c>
      <c r="AP72" s="110">
        <f t="shared" si="1832"/>
        <v>0</v>
      </c>
      <c r="AQ72" s="110"/>
      <c r="AR72" s="139"/>
      <c r="AS72" s="140" t="e">
        <f t="shared" si="1833"/>
        <v>#DIV/0!</v>
      </c>
      <c r="AT72" s="198">
        <f t="shared" si="1812"/>
        <v>0</v>
      </c>
      <c r="AU72" s="225">
        <f t="shared" si="1834"/>
        <v>0</v>
      </c>
      <c r="AV72" s="226">
        <f t="shared" si="1835"/>
        <v>0</v>
      </c>
      <c r="AW72" s="137">
        <f t="shared" si="1836"/>
        <v>0</v>
      </c>
      <c r="AX72" s="227">
        <f t="shared" si="1816"/>
        <v>1786.28</v>
      </c>
      <c r="AY72" s="138">
        <f t="shared" si="1838"/>
        <v>0</v>
      </c>
      <c r="AZ72" s="110">
        <f t="shared" si="1839"/>
        <v>0</v>
      </c>
      <c r="BA72" s="110"/>
      <c r="BB72" s="139"/>
      <c r="BC72" s="140" t="e">
        <f t="shared" si="1840"/>
        <v>#DIV/0!</v>
      </c>
      <c r="BD72" s="198">
        <f t="shared" si="1812"/>
        <v>0</v>
      </c>
      <c r="BE72" s="225">
        <f t="shared" si="1841"/>
        <v>0</v>
      </c>
      <c r="BF72" s="226">
        <f t="shared" si="1842"/>
        <v>0</v>
      </c>
      <c r="BG72" s="137">
        <f t="shared" si="1843"/>
        <v>0</v>
      </c>
      <c r="BH72" s="227">
        <f t="shared" si="1816"/>
        <v>3163.33</v>
      </c>
      <c r="BI72" s="138">
        <f t="shared" si="1845"/>
        <v>0</v>
      </c>
      <c r="BJ72" s="110">
        <f t="shared" si="1846"/>
        <v>0</v>
      </c>
      <c r="BK72" s="110"/>
      <c r="BL72" s="139"/>
      <c r="BM72" s="140" t="e">
        <f t="shared" si="1847"/>
        <v>#DIV/0!</v>
      </c>
      <c r="BN72" s="198">
        <f t="shared" si="1812"/>
        <v>0</v>
      </c>
      <c r="BO72" s="225">
        <f t="shared" si="1848"/>
        <v>0</v>
      </c>
      <c r="BP72" s="226">
        <f t="shared" si="1849"/>
        <v>0</v>
      </c>
      <c r="BQ72" s="137">
        <f t="shared" si="1850"/>
        <v>0</v>
      </c>
      <c r="BR72" s="227">
        <f t="shared" si="1816"/>
        <v>2182.42</v>
      </c>
      <c r="BS72" s="138">
        <f t="shared" si="1852"/>
        <v>0</v>
      </c>
      <c r="BT72" s="110">
        <f t="shared" si="1853"/>
        <v>0</v>
      </c>
      <c r="BU72" s="110"/>
      <c r="BV72" s="139"/>
      <c r="BW72" s="140" t="e">
        <f t="shared" si="1854"/>
        <v>#DIV/0!</v>
      </c>
      <c r="BX72" s="198">
        <f t="shared" si="1812"/>
        <v>0</v>
      </c>
      <c r="BY72" s="225">
        <f t="shared" si="1855"/>
        <v>0</v>
      </c>
      <c r="BZ72" s="226">
        <f t="shared" si="1856"/>
        <v>0</v>
      </c>
      <c r="CA72" s="137">
        <f t="shared" si="1857"/>
        <v>0</v>
      </c>
      <c r="CB72" s="227">
        <f t="shared" si="1816"/>
        <v>2644.05</v>
      </c>
      <c r="CC72" s="138">
        <f t="shared" si="1859"/>
        <v>0</v>
      </c>
      <c r="CD72" s="110">
        <f t="shared" si="1860"/>
        <v>0</v>
      </c>
      <c r="CE72" s="110"/>
      <c r="CF72" s="139"/>
      <c r="CG72" s="140" t="e">
        <f t="shared" si="1861"/>
        <v>#DIV/0!</v>
      </c>
      <c r="CH72" s="198">
        <f t="shared" si="1862"/>
        <v>0</v>
      </c>
      <c r="CI72" s="225">
        <f t="shared" si="1863"/>
        <v>0</v>
      </c>
      <c r="CJ72" s="226">
        <f t="shared" si="1864"/>
        <v>0</v>
      </c>
      <c r="CK72" s="137">
        <f t="shared" si="1865"/>
        <v>0</v>
      </c>
      <c r="CL72" s="227">
        <f t="shared" si="1866"/>
        <v>2644.05</v>
      </c>
      <c r="CM72" s="138">
        <f t="shared" si="1867"/>
        <v>0</v>
      </c>
      <c r="CN72" s="110">
        <f t="shared" si="1868"/>
        <v>0</v>
      </c>
      <c r="CO72" s="110"/>
      <c r="CP72" s="139"/>
      <c r="CQ72" s="140" t="e">
        <f t="shared" si="1869"/>
        <v>#DIV/0!</v>
      </c>
      <c r="CR72" s="198">
        <f t="shared" si="1862"/>
        <v>0</v>
      </c>
      <c r="CS72" s="225">
        <f t="shared" si="1870"/>
        <v>0</v>
      </c>
      <c r="CT72" s="226">
        <f t="shared" si="1871"/>
        <v>0</v>
      </c>
      <c r="CU72" s="137">
        <f t="shared" si="1872"/>
        <v>0</v>
      </c>
      <c r="CV72" s="227">
        <f t="shared" si="1866"/>
        <v>3163.33</v>
      </c>
      <c r="CW72" s="138">
        <f t="shared" si="1874"/>
        <v>0</v>
      </c>
      <c r="CX72" s="110">
        <f t="shared" si="1875"/>
        <v>0</v>
      </c>
      <c r="CY72" s="110"/>
      <c r="CZ72" s="139"/>
      <c r="DA72" s="140" t="e">
        <f t="shared" si="1876"/>
        <v>#DIV/0!</v>
      </c>
      <c r="DB72" s="198">
        <f t="shared" si="1862"/>
        <v>0</v>
      </c>
      <c r="DC72" s="225">
        <f t="shared" si="1877"/>
        <v>0</v>
      </c>
      <c r="DD72" s="226">
        <f t="shared" si="1878"/>
        <v>0</v>
      </c>
      <c r="DE72" s="137">
        <f t="shared" si="1879"/>
        <v>0</v>
      </c>
      <c r="DF72" s="227">
        <f t="shared" si="1866"/>
        <v>2644.05</v>
      </c>
      <c r="DG72" s="138">
        <f t="shared" si="1881"/>
        <v>0</v>
      </c>
      <c r="DH72" s="110">
        <f t="shared" si="1882"/>
        <v>0</v>
      </c>
      <c r="DI72" s="110"/>
      <c r="DJ72" s="139"/>
      <c r="DK72" s="140" t="e">
        <f t="shared" si="1883"/>
        <v>#DIV/0!</v>
      </c>
      <c r="DL72" s="198">
        <f t="shared" si="1862"/>
        <v>0</v>
      </c>
      <c r="DM72" s="225">
        <f t="shared" si="1884"/>
        <v>0</v>
      </c>
      <c r="DN72" s="226">
        <f t="shared" si="1885"/>
        <v>0</v>
      </c>
      <c r="DO72" s="137">
        <f t="shared" si="1886"/>
        <v>0</v>
      </c>
      <c r="DP72" s="227">
        <f t="shared" si="1866"/>
        <v>2644.05</v>
      </c>
      <c r="DQ72" s="138">
        <f t="shared" si="1888"/>
        <v>0</v>
      </c>
      <c r="DR72" s="110">
        <f t="shared" si="1889"/>
        <v>0</v>
      </c>
      <c r="DS72" s="110"/>
      <c r="DT72" s="139"/>
      <c r="DU72" s="140" t="e">
        <f t="shared" si="1890"/>
        <v>#DIV/0!</v>
      </c>
      <c r="DV72" s="198">
        <f t="shared" si="1862"/>
        <v>0</v>
      </c>
      <c r="DW72" s="225">
        <f t="shared" si="1891"/>
        <v>0</v>
      </c>
      <c r="DX72" s="226">
        <f t="shared" si="1892"/>
        <v>0</v>
      </c>
      <c r="DY72" s="137">
        <f t="shared" si="1893"/>
        <v>0</v>
      </c>
      <c r="DZ72" s="227">
        <f t="shared" si="1866"/>
        <v>2644.05</v>
      </c>
      <c r="EA72" s="138">
        <f t="shared" si="1895"/>
        <v>0</v>
      </c>
      <c r="EB72" s="110">
        <f t="shared" si="1896"/>
        <v>0</v>
      </c>
      <c r="EC72" s="110"/>
      <c r="ED72" s="139"/>
      <c r="EE72" s="140" t="e">
        <f t="shared" si="1897"/>
        <v>#DIV/0!</v>
      </c>
      <c r="EF72" s="198">
        <f t="shared" si="1862"/>
        <v>0</v>
      </c>
      <c r="EG72" s="225">
        <f t="shared" si="1898"/>
        <v>0</v>
      </c>
      <c r="EH72" s="226">
        <f t="shared" si="1899"/>
        <v>0</v>
      </c>
      <c r="EI72" s="137">
        <f t="shared" si="1900"/>
        <v>0</v>
      </c>
      <c r="EJ72" s="227">
        <f t="shared" si="1866"/>
        <v>3163.33</v>
      </c>
      <c r="EK72" s="138">
        <f t="shared" si="1902"/>
        <v>0</v>
      </c>
      <c r="EL72" s="110">
        <f t="shared" si="1903"/>
        <v>0</v>
      </c>
      <c r="EM72" s="110"/>
      <c r="EN72" s="139"/>
      <c r="EO72" s="140" t="e">
        <f t="shared" si="1904"/>
        <v>#DIV/0!</v>
      </c>
      <c r="EP72" s="198">
        <f t="shared" si="1862"/>
        <v>0</v>
      </c>
      <c r="EQ72" s="225">
        <f t="shared" si="1905"/>
        <v>0</v>
      </c>
      <c r="ER72" s="226">
        <f t="shared" si="1906"/>
        <v>0</v>
      </c>
      <c r="ES72" s="137">
        <f t="shared" si="1907"/>
        <v>0</v>
      </c>
      <c r="ET72" s="227">
        <f t="shared" si="1866"/>
        <v>3163.33</v>
      </c>
      <c r="EU72" s="138">
        <f t="shared" si="1909"/>
        <v>0</v>
      </c>
      <c r="EV72" s="110">
        <f t="shared" si="1910"/>
        <v>0</v>
      </c>
      <c r="EW72" s="110"/>
      <c r="EX72" s="139"/>
      <c r="EY72" s="140" t="e">
        <f t="shared" si="1911"/>
        <v>#DIV/0!</v>
      </c>
      <c r="EZ72" s="198">
        <f t="shared" si="1912"/>
        <v>0</v>
      </c>
      <c r="FA72" s="225">
        <f t="shared" si="1913"/>
        <v>0</v>
      </c>
      <c r="FB72" s="226">
        <f t="shared" si="1914"/>
        <v>0</v>
      </c>
      <c r="FC72" s="137">
        <f t="shared" si="1915"/>
        <v>0</v>
      </c>
      <c r="FD72" s="227">
        <f t="shared" si="1916"/>
        <v>0</v>
      </c>
      <c r="FE72" s="138">
        <f t="shared" si="1917"/>
        <v>0</v>
      </c>
      <c r="FF72" s="110">
        <f t="shared" si="1918"/>
        <v>0</v>
      </c>
      <c r="FG72" s="110"/>
      <c r="FH72" s="139"/>
      <c r="FI72" s="140" t="e">
        <f t="shared" si="1919"/>
        <v>#DIV/0!</v>
      </c>
      <c r="FJ72" s="198">
        <f t="shared" si="1912"/>
        <v>0</v>
      </c>
      <c r="FK72" s="225">
        <f t="shared" si="1920"/>
        <v>0</v>
      </c>
      <c r="FL72" s="226">
        <f t="shared" si="1921"/>
        <v>0</v>
      </c>
      <c r="FM72" s="137">
        <f t="shared" si="1922"/>
        <v>0</v>
      </c>
      <c r="FN72" s="227">
        <f t="shared" si="1916"/>
        <v>3163.33</v>
      </c>
      <c r="FO72" s="138">
        <f t="shared" si="1924"/>
        <v>0</v>
      </c>
      <c r="FP72" s="110">
        <f t="shared" si="1925"/>
        <v>0</v>
      </c>
      <c r="FQ72" s="110"/>
      <c r="FR72" s="139"/>
      <c r="FS72" s="140" t="e">
        <f t="shared" si="1926"/>
        <v>#DIV/0!</v>
      </c>
      <c r="FT72" s="198">
        <f t="shared" si="1912"/>
        <v>0</v>
      </c>
      <c r="FU72" s="225">
        <f t="shared" si="1927"/>
        <v>0</v>
      </c>
      <c r="FV72" s="226">
        <f t="shared" si="1928"/>
        <v>0</v>
      </c>
      <c r="FW72" s="137">
        <f t="shared" si="1929"/>
        <v>0</v>
      </c>
      <c r="FX72" s="227">
        <f t="shared" si="1916"/>
        <v>3163.33</v>
      </c>
      <c r="FY72" s="138">
        <f t="shared" si="1931"/>
        <v>0</v>
      </c>
      <c r="FZ72" s="110">
        <f t="shared" si="1932"/>
        <v>0</v>
      </c>
      <c r="GA72" s="110"/>
      <c r="GB72" s="139"/>
      <c r="GC72" s="140" t="e">
        <f t="shared" si="1933"/>
        <v>#DIV/0!</v>
      </c>
      <c r="GD72" s="198">
        <f t="shared" si="1912"/>
        <v>0</v>
      </c>
      <c r="GE72" s="225">
        <f t="shared" si="1934"/>
        <v>0</v>
      </c>
      <c r="GF72" s="226">
        <f t="shared" si="1935"/>
        <v>0</v>
      </c>
      <c r="GG72" s="137">
        <f t="shared" si="1936"/>
        <v>0</v>
      </c>
      <c r="GH72" s="227">
        <f t="shared" si="1916"/>
        <v>0</v>
      </c>
      <c r="GI72" s="138">
        <f t="shared" si="1938"/>
        <v>0</v>
      </c>
      <c r="GJ72" s="110">
        <f t="shared" si="1939"/>
        <v>0</v>
      </c>
      <c r="GK72" s="110"/>
      <c r="GL72" s="139"/>
      <c r="GM72" s="140" t="e">
        <f t="shared" si="1940"/>
        <v>#DIV/0!</v>
      </c>
      <c r="GN72" s="198">
        <f t="shared" si="1912"/>
        <v>0</v>
      </c>
      <c r="GO72" s="225">
        <f t="shared" si="1941"/>
        <v>0</v>
      </c>
      <c r="GP72" s="226">
        <f t="shared" si="1942"/>
        <v>0</v>
      </c>
      <c r="GQ72" s="137">
        <f t="shared" si="1943"/>
        <v>0</v>
      </c>
      <c r="GR72" s="227">
        <f t="shared" si="1944"/>
        <v>2644.05</v>
      </c>
      <c r="GS72" s="138">
        <f t="shared" si="1945"/>
        <v>0</v>
      </c>
      <c r="GT72" s="110">
        <f t="shared" si="1946"/>
        <v>0</v>
      </c>
      <c r="GU72" s="110"/>
      <c r="GV72" s="139"/>
      <c r="GW72" s="140" t="e">
        <f t="shared" si="1947"/>
        <v>#DIV/0!</v>
      </c>
      <c r="GX72" s="198">
        <f t="shared" si="1912"/>
        <v>0</v>
      </c>
      <c r="GY72" s="225">
        <f t="shared" si="1948"/>
        <v>0</v>
      </c>
      <c r="GZ72" s="226">
        <f t="shared" si="1949"/>
        <v>0</v>
      </c>
      <c r="HA72" s="137">
        <f t="shared" si="1950"/>
        <v>0</v>
      </c>
      <c r="HB72" s="227">
        <f t="shared" si="1944"/>
        <v>2644.05</v>
      </c>
      <c r="HC72" s="138">
        <f t="shared" si="1952"/>
        <v>0</v>
      </c>
      <c r="HD72" s="110">
        <f t="shared" si="1953"/>
        <v>0</v>
      </c>
      <c r="HE72" s="110"/>
      <c r="HF72" s="139"/>
      <c r="HG72" s="140" t="e">
        <f t="shared" si="1954"/>
        <v>#DIV/0!</v>
      </c>
      <c r="HH72" s="198">
        <f t="shared" si="1912"/>
        <v>0</v>
      </c>
      <c r="HI72" s="225">
        <f t="shared" si="1955"/>
        <v>0</v>
      </c>
      <c r="HJ72" s="226">
        <f t="shared" si="1956"/>
        <v>0</v>
      </c>
      <c r="HK72" s="137">
        <f t="shared" si="1957"/>
        <v>0</v>
      </c>
      <c r="HL72" s="227">
        <f t="shared" si="1944"/>
        <v>2597.2199999999998</v>
      </c>
      <c r="HM72" s="138">
        <f t="shared" si="1959"/>
        <v>0</v>
      </c>
      <c r="HN72" s="110">
        <f t="shared" si="1960"/>
        <v>0</v>
      </c>
      <c r="HO72" s="110"/>
      <c r="HP72" s="139"/>
      <c r="HQ72" s="140" t="e">
        <f t="shared" si="1961"/>
        <v>#DIV/0!</v>
      </c>
      <c r="HR72" s="198">
        <f t="shared" si="1962"/>
        <v>0</v>
      </c>
      <c r="HS72" s="225">
        <f t="shared" si="1963"/>
        <v>0</v>
      </c>
      <c r="HT72" s="226">
        <f t="shared" si="1964"/>
        <v>0</v>
      </c>
      <c r="HU72" s="137">
        <f t="shared" si="1965"/>
        <v>0</v>
      </c>
      <c r="HV72" s="227">
        <f t="shared" si="1944"/>
        <v>3163.33</v>
      </c>
      <c r="HW72" s="138">
        <f t="shared" si="1967"/>
        <v>0</v>
      </c>
      <c r="HX72" s="110">
        <f t="shared" si="1968"/>
        <v>0</v>
      </c>
      <c r="HY72" s="110"/>
      <c r="HZ72" s="139"/>
      <c r="IA72" s="140" t="e">
        <f t="shared" si="1969"/>
        <v>#DIV/0!</v>
      </c>
      <c r="IB72" s="198">
        <f t="shared" si="1962"/>
        <v>0</v>
      </c>
      <c r="IC72" s="225">
        <f t="shared" si="1970"/>
        <v>0</v>
      </c>
      <c r="ID72" s="226">
        <f t="shared" si="1971"/>
        <v>0</v>
      </c>
      <c r="IE72" s="137">
        <f t="shared" si="1972"/>
        <v>0</v>
      </c>
      <c r="IF72" s="227">
        <f t="shared" si="1973"/>
        <v>3163.33</v>
      </c>
      <c r="IG72" s="138">
        <f t="shared" si="1974"/>
        <v>0</v>
      </c>
      <c r="IH72" s="110">
        <f t="shared" si="1975"/>
        <v>0</v>
      </c>
      <c r="II72" s="110"/>
      <c r="IJ72" s="139"/>
      <c r="IK72" s="140" t="e">
        <f t="shared" si="1976"/>
        <v>#DIV/0!</v>
      </c>
      <c r="IL72" s="198">
        <f t="shared" si="1962"/>
        <v>0</v>
      </c>
      <c r="IM72" s="225">
        <f t="shared" si="1977"/>
        <v>0</v>
      </c>
      <c r="IN72" s="226">
        <f t="shared" si="1978"/>
        <v>0</v>
      </c>
      <c r="IO72" s="137">
        <f t="shared" si="1979"/>
        <v>0</v>
      </c>
      <c r="IP72" s="227">
        <f t="shared" si="1973"/>
        <v>2644.05</v>
      </c>
      <c r="IQ72" s="138">
        <f t="shared" si="1981"/>
        <v>0</v>
      </c>
      <c r="IR72" s="110">
        <f t="shared" si="1982"/>
        <v>0</v>
      </c>
      <c r="IS72" s="110"/>
      <c r="IT72" s="139"/>
      <c r="IU72" s="140" t="e">
        <f t="shared" si="1983"/>
        <v>#DIV/0!</v>
      </c>
      <c r="IV72" s="198">
        <f t="shared" si="1962"/>
        <v>0</v>
      </c>
      <c r="IW72" s="225">
        <f t="shared" si="1984"/>
        <v>0</v>
      </c>
      <c r="IX72" s="226">
        <f t="shared" si="1985"/>
        <v>0</v>
      </c>
      <c r="IY72" s="137">
        <f t="shared" si="1986"/>
        <v>0</v>
      </c>
      <c r="IZ72" s="227">
        <f t="shared" si="1973"/>
        <v>3163.33</v>
      </c>
      <c r="JA72" s="138">
        <f t="shared" si="1988"/>
        <v>0</v>
      </c>
      <c r="JB72" s="110">
        <f t="shared" si="1989"/>
        <v>0</v>
      </c>
      <c r="JC72" s="110"/>
      <c r="JD72" s="139"/>
      <c r="JE72" s="140" t="e">
        <f t="shared" si="1990"/>
        <v>#DIV/0!</v>
      </c>
      <c r="JF72" s="198">
        <f t="shared" si="1962"/>
        <v>0</v>
      </c>
      <c r="JG72" s="225">
        <f t="shared" si="1991"/>
        <v>0</v>
      </c>
      <c r="JH72" s="226">
        <f t="shared" si="1992"/>
        <v>0</v>
      </c>
      <c r="JI72" s="137">
        <f t="shared" si="1993"/>
        <v>0</v>
      </c>
      <c r="JJ72" s="227">
        <f t="shared" si="1973"/>
        <v>2644.05</v>
      </c>
      <c r="JK72" s="138">
        <f t="shared" si="1995"/>
        <v>0</v>
      </c>
      <c r="JL72" s="110">
        <f t="shared" si="1996"/>
        <v>0</v>
      </c>
      <c r="JM72" s="110"/>
      <c r="JN72" s="139"/>
      <c r="JO72" s="140" t="e">
        <f t="shared" si="1997"/>
        <v>#DIV/0!</v>
      </c>
      <c r="JP72" s="198">
        <f t="shared" si="1962"/>
        <v>0</v>
      </c>
      <c r="JQ72" s="225">
        <f t="shared" si="1998"/>
        <v>0</v>
      </c>
      <c r="JR72" s="226">
        <f t="shared" si="1999"/>
        <v>0</v>
      </c>
      <c r="JS72" s="137">
        <f t="shared" si="2000"/>
        <v>0</v>
      </c>
      <c r="JT72" s="227">
        <f t="shared" si="2001"/>
        <v>2632.02</v>
      </c>
      <c r="JU72" s="138">
        <f t="shared" si="2002"/>
        <v>0</v>
      </c>
      <c r="JV72" s="110">
        <f t="shared" si="2003"/>
        <v>0</v>
      </c>
      <c r="JW72" s="110"/>
      <c r="JX72" s="139"/>
      <c r="JY72" s="140" t="e">
        <f t="shared" si="2004"/>
        <v>#DIV/0!</v>
      </c>
      <c r="JZ72" s="198">
        <f t="shared" si="1962"/>
        <v>0</v>
      </c>
      <c r="KA72" s="225">
        <f t="shared" si="2005"/>
        <v>0</v>
      </c>
      <c r="KB72" s="226">
        <f t="shared" si="2006"/>
        <v>0</v>
      </c>
      <c r="KC72" s="137">
        <f t="shared" si="2007"/>
        <v>0</v>
      </c>
      <c r="KD72" s="227">
        <f t="shared" si="2001"/>
        <v>3163.33</v>
      </c>
      <c r="KE72" s="138">
        <f t="shared" si="2009"/>
        <v>0</v>
      </c>
      <c r="KF72" s="110">
        <f t="shared" si="2010"/>
        <v>0</v>
      </c>
      <c r="KG72" s="110"/>
      <c r="KH72" s="139"/>
      <c r="KI72" s="140" t="e">
        <f t="shared" si="2011"/>
        <v>#DIV/0!</v>
      </c>
      <c r="KJ72" s="198">
        <f t="shared" si="2012"/>
        <v>0</v>
      </c>
      <c r="KK72" s="225">
        <f t="shared" si="2013"/>
        <v>0</v>
      </c>
      <c r="KL72" s="226">
        <f t="shared" si="2014"/>
        <v>0</v>
      </c>
      <c r="KM72" s="137">
        <f t="shared" si="2015"/>
        <v>0</v>
      </c>
      <c r="KN72" s="227">
        <f t="shared" si="2001"/>
        <v>2644.05</v>
      </c>
      <c r="KO72" s="138">
        <f t="shared" si="2017"/>
        <v>0</v>
      </c>
      <c r="KP72" s="110">
        <f t="shared" si="2018"/>
        <v>0</v>
      </c>
      <c r="KQ72" s="110"/>
      <c r="KR72" s="139"/>
      <c r="KS72" s="140" t="e">
        <f t="shared" si="2019"/>
        <v>#DIV/0!</v>
      </c>
      <c r="KT72" s="198">
        <f t="shared" si="2012"/>
        <v>0</v>
      </c>
      <c r="KU72" s="225">
        <f t="shared" si="2020"/>
        <v>0</v>
      </c>
      <c r="KV72" s="226">
        <f t="shared" si="2021"/>
        <v>0</v>
      </c>
      <c r="KW72" s="137">
        <f t="shared" si="2022"/>
        <v>0</v>
      </c>
      <c r="KX72" s="227">
        <f t="shared" si="2001"/>
        <v>3163.33</v>
      </c>
      <c r="KY72" s="138">
        <f t="shared" si="2024"/>
        <v>0</v>
      </c>
      <c r="KZ72" s="110">
        <f t="shared" si="2025"/>
        <v>0</v>
      </c>
      <c r="LA72" s="110"/>
      <c r="LB72" s="139"/>
      <c r="LC72" s="140" t="e">
        <f t="shared" si="2026"/>
        <v>#DIV/0!</v>
      </c>
      <c r="LD72" s="197">
        <f t="shared" si="2027"/>
        <v>0</v>
      </c>
      <c r="LE72" s="225">
        <f t="shared" si="2028"/>
        <v>0</v>
      </c>
      <c r="LF72" s="226">
        <f t="shared" si="2029"/>
        <v>0</v>
      </c>
      <c r="LG72" s="137">
        <f t="shared" si="2030"/>
        <v>0</v>
      </c>
      <c r="LH72" s="227">
        <f t="shared" si="2031"/>
        <v>2869.57</v>
      </c>
      <c r="LI72" s="138">
        <f t="shared" si="2032"/>
        <v>0</v>
      </c>
      <c r="LJ72" s="110">
        <f t="shared" si="2033"/>
        <v>0</v>
      </c>
      <c r="LK72" s="110"/>
      <c r="LL72" s="139"/>
    </row>
    <row r="73" spans="1:324" ht="26.25" customHeight="1" x14ac:dyDescent="0.25">
      <c r="A73" s="246"/>
      <c r="B73" s="12" t="s">
        <v>625</v>
      </c>
      <c r="C73" s="12" t="s">
        <v>727</v>
      </c>
      <c r="D73" s="12" t="s">
        <v>427</v>
      </c>
      <c r="E73" s="4" t="s">
        <v>34</v>
      </c>
      <c r="F73" s="198">
        <f t="shared" si="1807"/>
        <v>0</v>
      </c>
      <c r="G73" s="225">
        <f t="shared" si="2034"/>
        <v>0</v>
      </c>
      <c r="H73" s="226">
        <f t="shared" si="2035"/>
        <v>0</v>
      </c>
      <c r="I73" s="137">
        <f t="shared" si="1808"/>
        <v>0</v>
      </c>
      <c r="J73" s="227">
        <f t="shared" si="2036"/>
        <v>2644.05</v>
      </c>
      <c r="K73" s="138">
        <f t="shared" si="1809"/>
        <v>0</v>
      </c>
      <c r="L73" s="110">
        <f t="shared" si="1810"/>
        <v>0</v>
      </c>
      <c r="M73" s="110"/>
      <c r="N73" s="139"/>
      <c r="O73" s="140">
        <f t="shared" si="1811"/>
        <v>0</v>
      </c>
      <c r="P73" s="198">
        <f t="shared" si="1812"/>
        <v>0</v>
      </c>
      <c r="Q73" s="225">
        <f t="shared" si="1813"/>
        <v>0</v>
      </c>
      <c r="R73" s="226">
        <f t="shared" si="1814"/>
        <v>0</v>
      </c>
      <c r="S73" s="137">
        <f t="shared" si="1815"/>
        <v>0</v>
      </c>
      <c r="T73" s="227">
        <f t="shared" si="1816"/>
        <v>3163.33</v>
      </c>
      <c r="U73" s="138">
        <f t="shared" si="1817"/>
        <v>0</v>
      </c>
      <c r="V73" s="110">
        <f t="shared" si="1818"/>
        <v>0</v>
      </c>
      <c r="W73" s="110"/>
      <c r="X73" s="139"/>
      <c r="Y73" s="140">
        <f t="shared" si="1819"/>
        <v>0</v>
      </c>
      <c r="Z73" s="198">
        <f t="shared" si="1812"/>
        <v>0</v>
      </c>
      <c r="AA73" s="225">
        <f t="shared" si="1820"/>
        <v>0</v>
      </c>
      <c r="AB73" s="226">
        <f t="shared" si="1821"/>
        <v>0</v>
      </c>
      <c r="AC73" s="137">
        <f t="shared" si="1822"/>
        <v>0</v>
      </c>
      <c r="AD73" s="227">
        <f t="shared" si="1816"/>
        <v>2608.17</v>
      </c>
      <c r="AE73" s="138">
        <f t="shared" si="1824"/>
        <v>0</v>
      </c>
      <c r="AF73" s="110">
        <f t="shared" si="1825"/>
        <v>0</v>
      </c>
      <c r="AG73" s="110"/>
      <c r="AH73" s="139"/>
      <c r="AI73" s="140">
        <f t="shared" si="1826"/>
        <v>0</v>
      </c>
      <c r="AJ73" s="198">
        <f t="shared" si="1812"/>
        <v>25</v>
      </c>
      <c r="AK73" s="225">
        <f t="shared" si="1827"/>
        <v>3.7589999999999998E-2</v>
      </c>
      <c r="AL73" s="226">
        <f t="shared" si="1828"/>
        <v>13.03</v>
      </c>
      <c r="AM73" s="137">
        <f t="shared" si="1829"/>
        <v>0.5212</v>
      </c>
      <c r="AN73" s="227">
        <f t="shared" si="1816"/>
        <v>2644.05</v>
      </c>
      <c r="AO73" s="138">
        <f t="shared" si="1831"/>
        <v>1378.0788600000001</v>
      </c>
      <c r="AP73" s="110">
        <f t="shared" si="1832"/>
        <v>34451.97</v>
      </c>
      <c r="AQ73" s="110"/>
      <c r="AR73" s="139"/>
      <c r="AS73" s="140">
        <f t="shared" si="1833"/>
        <v>0.77893999999999997</v>
      </c>
      <c r="AT73" s="198">
        <f t="shared" si="1812"/>
        <v>0</v>
      </c>
      <c r="AU73" s="225">
        <f t="shared" si="1834"/>
        <v>0</v>
      </c>
      <c r="AV73" s="226">
        <f t="shared" si="1835"/>
        <v>0</v>
      </c>
      <c r="AW73" s="137">
        <f t="shared" si="1836"/>
        <v>0</v>
      </c>
      <c r="AX73" s="227">
        <f t="shared" si="1816"/>
        <v>1786.28</v>
      </c>
      <c r="AY73" s="138">
        <f t="shared" si="1838"/>
        <v>0</v>
      </c>
      <c r="AZ73" s="110">
        <f t="shared" si="1839"/>
        <v>0</v>
      </c>
      <c r="BA73" s="110"/>
      <c r="BB73" s="139"/>
      <c r="BC73" s="140">
        <f t="shared" si="1840"/>
        <v>0</v>
      </c>
      <c r="BD73" s="198">
        <f t="shared" si="1812"/>
        <v>0</v>
      </c>
      <c r="BE73" s="225">
        <f t="shared" si="1841"/>
        <v>0</v>
      </c>
      <c r="BF73" s="226">
        <f t="shared" si="1842"/>
        <v>0</v>
      </c>
      <c r="BG73" s="137">
        <f t="shared" si="1843"/>
        <v>0</v>
      </c>
      <c r="BH73" s="227">
        <f t="shared" si="1816"/>
        <v>3163.33</v>
      </c>
      <c r="BI73" s="138">
        <f t="shared" si="1845"/>
        <v>0</v>
      </c>
      <c r="BJ73" s="110">
        <f t="shared" si="1846"/>
        <v>0</v>
      </c>
      <c r="BK73" s="110"/>
      <c r="BL73" s="139"/>
      <c r="BM73" s="140">
        <f t="shared" si="1847"/>
        <v>0</v>
      </c>
      <c r="BN73" s="198">
        <f t="shared" si="1812"/>
        <v>0</v>
      </c>
      <c r="BO73" s="225">
        <f t="shared" si="1848"/>
        <v>0</v>
      </c>
      <c r="BP73" s="226">
        <f t="shared" si="1849"/>
        <v>0</v>
      </c>
      <c r="BQ73" s="137">
        <f t="shared" si="1850"/>
        <v>0</v>
      </c>
      <c r="BR73" s="227">
        <f t="shared" si="1816"/>
        <v>2182.42</v>
      </c>
      <c r="BS73" s="138">
        <f t="shared" si="1852"/>
        <v>0</v>
      </c>
      <c r="BT73" s="110">
        <f t="shared" si="1853"/>
        <v>0</v>
      </c>
      <c r="BU73" s="110"/>
      <c r="BV73" s="139"/>
      <c r="BW73" s="140">
        <f t="shared" si="1854"/>
        <v>0</v>
      </c>
      <c r="BX73" s="198">
        <f t="shared" si="1812"/>
        <v>0</v>
      </c>
      <c r="BY73" s="225">
        <f t="shared" si="1855"/>
        <v>0</v>
      </c>
      <c r="BZ73" s="226">
        <f t="shared" si="1856"/>
        <v>0</v>
      </c>
      <c r="CA73" s="137">
        <f t="shared" si="1857"/>
        <v>0</v>
      </c>
      <c r="CB73" s="227">
        <f t="shared" si="1816"/>
        <v>2644.05</v>
      </c>
      <c r="CC73" s="138">
        <f t="shared" si="1859"/>
        <v>0</v>
      </c>
      <c r="CD73" s="110">
        <f t="shared" si="1860"/>
        <v>0</v>
      </c>
      <c r="CE73" s="110"/>
      <c r="CF73" s="139"/>
      <c r="CG73" s="140">
        <f t="shared" si="1861"/>
        <v>0</v>
      </c>
      <c r="CH73" s="198">
        <f t="shared" si="1862"/>
        <v>0</v>
      </c>
      <c r="CI73" s="225">
        <f t="shared" si="1863"/>
        <v>0</v>
      </c>
      <c r="CJ73" s="226">
        <f t="shared" si="1864"/>
        <v>0</v>
      </c>
      <c r="CK73" s="137">
        <f t="shared" si="1865"/>
        <v>0</v>
      </c>
      <c r="CL73" s="227">
        <f t="shared" si="1866"/>
        <v>2644.05</v>
      </c>
      <c r="CM73" s="138">
        <f t="shared" si="1867"/>
        <v>0</v>
      </c>
      <c r="CN73" s="110">
        <f t="shared" si="1868"/>
        <v>0</v>
      </c>
      <c r="CO73" s="110"/>
      <c r="CP73" s="139"/>
      <c r="CQ73" s="140">
        <f t="shared" si="1869"/>
        <v>0</v>
      </c>
      <c r="CR73" s="198">
        <f t="shared" si="1862"/>
        <v>8</v>
      </c>
      <c r="CS73" s="225">
        <f t="shared" si="1870"/>
        <v>1.0749999999999999E-2</v>
      </c>
      <c r="CT73" s="226">
        <f t="shared" si="1871"/>
        <v>5.38</v>
      </c>
      <c r="CU73" s="137">
        <f t="shared" si="1872"/>
        <v>0.67249999999999999</v>
      </c>
      <c r="CV73" s="227">
        <f t="shared" si="1866"/>
        <v>3163.33</v>
      </c>
      <c r="CW73" s="138">
        <f t="shared" si="1874"/>
        <v>2127.33943</v>
      </c>
      <c r="CX73" s="110">
        <f t="shared" si="1875"/>
        <v>17018.72</v>
      </c>
      <c r="CY73" s="110"/>
      <c r="CZ73" s="139"/>
      <c r="DA73" s="140">
        <f t="shared" si="1876"/>
        <v>1.20245</v>
      </c>
      <c r="DB73" s="198">
        <f t="shared" si="1862"/>
        <v>0</v>
      </c>
      <c r="DC73" s="225">
        <f t="shared" si="1877"/>
        <v>0</v>
      </c>
      <c r="DD73" s="226">
        <f t="shared" si="1878"/>
        <v>0</v>
      </c>
      <c r="DE73" s="137">
        <f t="shared" si="1879"/>
        <v>0</v>
      </c>
      <c r="DF73" s="227">
        <f t="shared" si="1866"/>
        <v>2644.05</v>
      </c>
      <c r="DG73" s="138">
        <f t="shared" si="1881"/>
        <v>0</v>
      </c>
      <c r="DH73" s="110">
        <f t="shared" si="1882"/>
        <v>0</v>
      </c>
      <c r="DI73" s="110"/>
      <c r="DJ73" s="139"/>
      <c r="DK73" s="140">
        <f t="shared" si="1883"/>
        <v>0</v>
      </c>
      <c r="DL73" s="198">
        <f t="shared" si="1862"/>
        <v>0</v>
      </c>
      <c r="DM73" s="225">
        <f t="shared" si="1884"/>
        <v>0</v>
      </c>
      <c r="DN73" s="226">
        <f t="shared" si="1885"/>
        <v>0</v>
      </c>
      <c r="DO73" s="137">
        <f t="shared" si="1886"/>
        <v>0</v>
      </c>
      <c r="DP73" s="227">
        <f t="shared" si="1866"/>
        <v>2644.05</v>
      </c>
      <c r="DQ73" s="138">
        <f t="shared" si="1888"/>
        <v>0</v>
      </c>
      <c r="DR73" s="110">
        <f t="shared" si="1889"/>
        <v>0</v>
      </c>
      <c r="DS73" s="110"/>
      <c r="DT73" s="139"/>
      <c r="DU73" s="140">
        <f t="shared" si="1890"/>
        <v>0</v>
      </c>
      <c r="DV73" s="198">
        <f t="shared" si="1862"/>
        <v>20</v>
      </c>
      <c r="DW73" s="225">
        <f t="shared" si="1891"/>
        <v>2.2780000000000002E-2</v>
      </c>
      <c r="DX73" s="226">
        <f t="shared" si="1892"/>
        <v>6.33</v>
      </c>
      <c r="DY73" s="137">
        <f t="shared" si="1893"/>
        <v>0.3165</v>
      </c>
      <c r="DZ73" s="227">
        <f t="shared" si="1866"/>
        <v>2644.05</v>
      </c>
      <c r="EA73" s="138">
        <f t="shared" si="1895"/>
        <v>836.84182999999996</v>
      </c>
      <c r="EB73" s="110">
        <f t="shared" si="1896"/>
        <v>16736.84</v>
      </c>
      <c r="EC73" s="110"/>
      <c r="ED73" s="139"/>
      <c r="EE73" s="140">
        <f t="shared" si="1897"/>
        <v>0.47300999999999999</v>
      </c>
      <c r="EF73" s="198">
        <f t="shared" si="1862"/>
        <v>13</v>
      </c>
      <c r="EG73" s="225">
        <f t="shared" si="1898"/>
        <v>1.384E-2</v>
      </c>
      <c r="EH73" s="226">
        <f t="shared" si="1899"/>
        <v>5.26</v>
      </c>
      <c r="EI73" s="137">
        <f t="shared" si="1900"/>
        <v>0.40461538000000002</v>
      </c>
      <c r="EJ73" s="227">
        <f t="shared" si="1866"/>
        <v>3163.33</v>
      </c>
      <c r="EK73" s="138">
        <f t="shared" si="1902"/>
        <v>1279.9319700000001</v>
      </c>
      <c r="EL73" s="110">
        <f t="shared" si="1903"/>
        <v>16639.12</v>
      </c>
      <c r="EM73" s="110"/>
      <c r="EN73" s="139"/>
      <c r="EO73" s="140">
        <f t="shared" si="1904"/>
        <v>0.72345999999999999</v>
      </c>
      <c r="EP73" s="198">
        <f t="shared" si="1862"/>
        <v>11</v>
      </c>
      <c r="EQ73" s="225">
        <f t="shared" si="1905"/>
        <v>1.166E-2</v>
      </c>
      <c r="ER73" s="226">
        <f t="shared" si="1906"/>
        <v>8.33</v>
      </c>
      <c r="ES73" s="137">
        <f t="shared" si="1907"/>
        <v>0.75727272999999995</v>
      </c>
      <c r="ET73" s="227">
        <f t="shared" si="1866"/>
        <v>3163.33</v>
      </c>
      <c r="EU73" s="138">
        <f t="shared" si="1909"/>
        <v>2395.5035400000002</v>
      </c>
      <c r="EV73" s="110">
        <f t="shared" si="1910"/>
        <v>26350.54</v>
      </c>
      <c r="EW73" s="110"/>
      <c r="EX73" s="139"/>
      <c r="EY73" s="140">
        <f t="shared" si="1911"/>
        <v>1.3540300000000001</v>
      </c>
      <c r="EZ73" s="198">
        <f t="shared" si="1912"/>
        <v>31</v>
      </c>
      <c r="FA73" s="225">
        <f t="shared" si="1913"/>
        <v>2.775E-2</v>
      </c>
      <c r="FB73" s="226">
        <f t="shared" si="1914"/>
        <v>0</v>
      </c>
      <c r="FC73" s="137">
        <f t="shared" si="1915"/>
        <v>0</v>
      </c>
      <c r="FD73" s="227">
        <f t="shared" si="1916"/>
        <v>0</v>
      </c>
      <c r="FE73" s="138">
        <f t="shared" si="1917"/>
        <v>0</v>
      </c>
      <c r="FF73" s="110">
        <f t="shared" si="1918"/>
        <v>0</v>
      </c>
      <c r="FG73" s="110"/>
      <c r="FH73" s="139"/>
      <c r="FI73" s="140">
        <f t="shared" si="1919"/>
        <v>0</v>
      </c>
      <c r="FJ73" s="198">
        <f t="shared" si="1912"/>
        <v>0</v>
      </c>
      <c r="FK73" s="225">
        <f t="shared" si="1920"/>
        <v>0</v>
      </c>
      <c r="FL73" s="226">
        <f t="shared" si="1921"/>
        <v>0</v>
      </c>
      <c r="FM73" s="137">
        <f t="shared" si="1922"/>
        <v>0</v>
      </c>
      <c r="FN73" s="227">
        <f t="shared" si="1916"/>
        <v>3163.33</v>
      </c>
      <c r="FO73" s="138">
        <f t="shared" si="1924"/>
        <v>0</v>
      </c>
      <c r="FP73" s="110">
        <f t="shared" si="1925"/>
        <v>0</v>
      </c>
      <c r="FQ73" s="110"/>
      <c r="FR73" s="139"/>
      <c r="FS73" s="140">
        <f t="shared" si="1926"/>
        <v>0</v>
      </c>
      <c r="FT73" s="198">
        <f t="shared" si="1912"/>
        <v>15</v>
      </c>
      <c r="FU73" s="225">
        <f t="shared" si="1927"/>
        <v>1.8679999999999999E-2</v>
      </c>
      <c r="FV73" s="226">
        <f t="shared" si="1928"/>
        <v>8.86</v>
      </c>
      <c r="FW73" s="137">
        <f t="shared" si="1929"/>
        <v>0.59066666999999995</v>
      </c>
      <c r="FX73" s="227">
        <f t="shared" si="1916"/>
        <v>3163.33</v>
      </c>
      <c r="FY73" s="138">
        <f t="shared" si="1931"/>
        <v>1868.4736</v>
      </c>
      <c r="FZ73" s="110">
        <f t="shared" si="1932"/>
        <v>28027.1</v>
      </c>
      <c r="GA73" s="110"/>
      <c r="GB73" s="139"/>
      <c r="GC73" s="140">
        <f t="shared" si="1933"/>
        <v>1.05613</v>
      </c>
      <c r="GD73" s="198">
        <f t="shared" si="1912"/>
        <v>32</v>
      </c>
      <c r="GE73" s="225">
        <f t="shared" si="1934"/>
        <v>6.25E-2</v>
      </c>
      <c r="GF73" s="226">
        <f t="shared" si="1935"/>
        <v>0</v>
      </c>
      <c r="GG73" s="137">
        <f t="shared" si="1936"/>
        <v>0</v>
      </c>
      <c r="GH73" s="227">
        <f t="shared" si="1916"/>
        <v>0</v>
      </c>
      <c r="GI73" s="138">
        <f t="shared" si="1938"/>
        <v>0</v>
      </c>
      <c r="GJ73" s="110">
        <f t="shared" si="1939"/>
        <v>0</v>
      </c>
      <c r="GK73" s="110"/>
      <c r="GL73" s="139"/>
      <c r="GM73" s="140">
        <f t="shared" si="1940"/>
        <v>0</v>
      </c>
      <c r="GN73" s="198">
        <f t="shared" si="1912"/>
        <v>0</v>
      </c>
      <c r="GO73" s="225">
        <f t="shared" si="1941"/>
        <v>0</v>
      </c>
      <c r="GP73" s="226">
        <f t="shared" si="1942"/>
        <v>0</v>
      </c>
      <c r="GQ73" s="137">
        <f t="shared" si="1943"/>
        <v>0</v>
      </c>
      <c r="GR73" s="227">
        <f t="shared" si="1944"/>
        <v>2644.05</v>
      </c>
      <c r="GS73" s="138">
        <f t="shared" si="1945"/>
        <v>0</v>
      </c>
      <c r="GT73" s="110">
        <f t="shared" si="1946"/>
        <v>0</v>
      </c>
      <c r="GU73" s="110"/>
      <c r="GV73" s="139"/>
      <c r="GW73" s="140">
        <f t="shared" si="1947"/>
        <v>0</v>
      </c>
      <c r="GX73" s="198">
        <f t="shared" si="1912"/>
        <v>0</v>
      </c>
      <c r="GY73" s="225">
        <f t="shared" si="1948"/>
        <v>0</v>
      </c>
      <c r="GZ73" s="226">
        <f t="shared" si="1949"/>
        <v>0</v>
      </c>
      <c r="HA73" s="137">
        <f t="shared" si="1950"/>
        <v>0</v>
      </c>
      <c r="HB73" s="227">
        <f t="shared" si="1944"/>
        <v>2644.05</v>
      </c>
      <c r="HC73" s="138">
        <f t="shared" si="1952"/>
        <v>0</v>
      </c>
      <c r="HD73" s="110">
        <f t="shared" si="1953"/>
        <v>0</v>
      </c>
      <c r="HE73" s="110"/>
      <c r="HF73" s="139"/>
      <c r="HG73" s="140">
        <f t="shared" si="1954"/>
        <v>0</v>
      </c>
      <c r="HH73" s="198">
        <f t="shared" si="1912"/>
        <v>6</v>
      </c>
      <c r="HI73" s="225">
        <f t="shared" si="1955"/>
        <v>5.2100000000000002E-3</v>
      </c>
      <c r="HJ73" s="226">
        <f t="shared" si="1956"/>
        <v>3.84</v>
      </c>
      <c r="HK73" s="137">
        <f t="shared" si="1957"/>
        <v>0.64</v>
      </c>
      <c r="HL73" s="227">
        <f t="shared" si="1944"/>
        <v>2597.2199999999998</v>
      </c>
      <c r="HM73" s="138">
        <f t="shared" si="1959"/>
        <v>1662.2208000000001</v>
      </c>
      <c r="HN73" s="110">
        <f t="shared" si="1960"/>
        <v>9973.32</v>
      </c>
      <c r="HO73" s="110"/>
      <c r="HP73" s="139"/>
      <c r="HQ73" s="140">
        <f t="shared" si="1961"/>
        <v>0.93955</v>
      </c>
      <c r="HR73" s="198">
        <f t="shared" si="1962"/>
        <v>0</v>
      </c>
      <c r="HS73" s="225">
        <f t="shared" si="1963"/>
        <v>0</v>
      </c>
      <c r="HT73" s="226">
        <f t="shared" si="1964"/>
        <v>0</v>
      </c>
      <c r="HU73" s="137">
        <f t="shared" si="1965"/>
        <v>0</v>
      </c>
      <c r="HV73" s="227">
        <f t="shared" si="1944"/>
        <v>3163.33</v>
      </c>
      <c r="HW73" s="138">
        <f t="shared" si="1967"/>
        <v>0</v>
      </c>
      <c r="HX73" s="110">
        <f t="shared" si="1968"/>
        <v>0</v>
      </c>
      <c r="HY73" s="110"/>
      <c r="HZ73" s="139"/>
      <c r="IA73" s="140">
        <f t="shared" si="1969"/>
        <v>0</v>
      </c>
      <c r="IB73" s="198">
        <f t="shared" si="1962"/>
        <v>22</v>
      </c>
      <c r="IC73" s="225">
        <f t="shared" si="1970"/>
        <v>4.0149999999999998E-2</v>
      </c>
      <c r="ID73" s="226">
        <f t="shared" si="1971"/>
        <v>27.3</v>
      </c>
      <c r="IE73" s="137">
        <f t="shared" si="1972"/>
        <v>1.2409090899999999</v>
      </c>
      <c r="IF73" s="227">
        <f t="shared" si="1973"/>
        <v>3163.33</v>
      </c>
      <c r="IG73" s="138">
        <f t="shared" si="1974"/>
        <v>3925.4049500000001</v>
      </c>
      <c r="IH73" s="110">
        <f t="shared" si="1975"/>
        <v>86358.91</v>
      </c>
      <c r="II73" s="110"/>
      <c r="IJ73" s="139"/>
      <c r="IK73" s="140">
        <f t="shared" si="1976"/>
        <v>2.2187800000000002</v>
      </c>
      <c r="IL73" s="198">
        <f t="shared" si="1962"/>
        <v>0</v>
      </c>
      <c r="IM73" s="225">
        <f t="shared" si="1977"/>
        <v>0</v>
      </c>
      <c r="IN73" s="226">
        <f t="shared" si="1978"/>
        <v>0</v>
      </c>
      <c r="IO73" s="137">
        <f t="shared" si="1979"/>
        <v>0</v>
      </c>
      <c r="IP73" s="227">
        <f t="shared" si="1973"/>
        <v>2644.05</v>
      </c>
      <c r="IQ73" s="138">
        <f t="shared" si="1981"/>
        <v>0</v>
      </c>
      <c r="IR73" s="110">
        <f t="shared" si="1982"/>
        <v>0</v>
      </c>
      <c r="IS73" s="110"/>
      <c r="IT73" s="139"/>
      <c r="IU73" s="140">
        <f t="shared" si="1983"/>
        <v>0</v>
      </c>
      <c r="IV73" s="198">
        <f t="shared" si="1962"/>
        <v>0</v>
      </c>
      <c r="IW73" s="225">
        <f t="shared" si="1984"/>
        <v>0</v>
      </c>
      <c r="IX73" s="226">
        <f t="shared" si="1985"/>
        <v>0</v>
      </c>
      <c r="IY73" s="137">
        <f t="shared" si="1986"/>
        <v>0</v>
      </c>
      <c r="IZ73" s="227">
        <f t="shared" si="1973"/>
        <v>3163.33</v>
      </c>
      <c r="JA73" s="138">
        <f t="shared" si="1988"/>
        <v>0</v>
      </c>
      <c r="JB73" s="110">
        <f t="shared" si="1989"/>
        <v>0</v>
      </c>
      <c r="JC73" s="110"/>
      <c r="JD73" s="139"/>
      <c r="JE73" s="140">
        <f t="shared" si="1990"/>
        <v>0</v>
      </c>
      <c r="JF73" s="198">
        <f t="shared" si="1962"/>
        <v>0</v>
      </c>
      <c r="JG73" s="225">
        <f t="shared" si="1991"/>
        <v>0</v>
      </c>
      <c r="JH73" s="226">
        <f t="shared" si="1992"/>
        <v>0</v>
      </c>
      <c r="JI73" s="137">
        <f t="shared" si="1993"/>
        <v>0</v>
      </c>
      <c r="JJ73" s="227">
        <f t="shared" si="1973"/>
        <v>2644.05</v>
      </c>
      <c r="JK73" s="138">
        <f t="shared" si="1995"/>
        <v>0</v>
      </c>
      <c r="JL73" s="110">
        <f t="shared" si="1996"/>
        <v>0</v>
      </c>
      <c r="JM73" s="110"/>
      <c r="JN73" s="139"/>
      <c r="JO73" s="140">
        <f t="shared" si="1997"/>
        <v>0</v>
      </c>
      <c r="JP73" s="198">
        <f t="shared" si="1962"/>
        <v>10</v>
      </c>
      <c r="JQ73" s="225">
        <f t="shared" si="1998"/>
        <v>8.0099999999999998E-3</v>
      </c>
      <c r="JR73" s="226">
        <f t="shared" si="1999"/>
        <v>6.13</v>
      </c>
      <c r="JS73" s="137">
        <f t="shared" si="2000"/>
        <v>0.61299999999999999</v>
      </c>
      <c r="JT73" s="227">
        <f t="shared" si="2001"/>
        <v>2632.02</v>
      </c>
      <c r="JU73" s="138">
        <f t="shared" si="2002"/>
        <v>1613.4282599999999</v>
      </c>
      <c r="JV73" s="110">
        <f t="shared" si="2003"/>
        <v>16134.28</v>
      </c>
      <c r="JW73" s="110"/>
      <c r="JX73" s="139"/>
      <c r="JY73" s="140">
        <f t="shared" si="2004"/>
        <v>0.91196999999999995</v>
      </c>
      <c r="JZ73" s="198">
        <f t="shared" si="1962"/>
        <v>0</v>
      </c>
      <c r="KA73" s="225">
        <f t="shared" si="2005"/>
        <v>0</v>
      </c>
      <c r="KB73" s="226">
        <f t="shared" si="2006"/>
        <v>0</v>
      </c>
      <c r="KC73" s="137">
        <f t="shared" si="2007"/>
        <v>0</v>
      </c>
      <c r="KD73" s="227">
        <f t="shared" si="2001"/>
        <v>3163.33</v>
      </c>
      <c r="KE73" s="138">
        <f t="shared" si="2009"/>
        <v>0</v>
      </c>
      <c r="KF73" s="110">
        <f t="shared" si="2010"/>
        <v>0</v>
      </c>
      <c r="KG73" s="110"/>
      <c r="KH73" s="139"/>
      <c r="KI73" s="140">
        <f t="shared" si="2011"/>
        <v>0</v>
      </c>
      <c r="KJ73" s="198">
        <f t="shared" si="2012"/>
        <v>0</v>
      </c>
      <c r="KK73" s="225">
        <f t="shared" si="2013"/>
        <v>0</v>
      </c>
      <c r="KL73" s="226">
        <f t="shared" si="2014"/>
        <v>0</v>
      </c>
      <c r="KM73" s="137">
        <f t="shared" si="2015"/>
        <v>0</v>
      </c>
      <c r="KN73" s="227">
        <f t="shared" si="2001"/>
        <v>2644.05</v>
      </c>
      <c r="KO73" s="138">
        <f t="shared" si="2017"/>
        <v>0</v>
      </c>
      <c r="KP73" s="110">
        <f t="shared" si="2018"/>
        <v>0</v>
      </c>
      <c r="KQ73" s="110"/>
      <c r="KR73" s="139"/>
      <c r="KS73" s="140">
        <f t="shared" si="2019"/>
        <v>0</v>
      </c>
      <c r="KT73" s="198">
        <f t="shared" si="2012"/>
        <v>0</v>
      </c>
      <c r="KU73" s="225">
        <f t="shared" si="2020"/>
        <v>0</v>
      </c>
      <c r="KV73" s="226">
        <f t="shared" si="2021"/>
        <v>0</v>
      </c>
      <c r="KW73" s="137">
        <f t="shared" si="2022"/>
        <v>0</v>
      </c>
      <c r="KX73" s="227">
        <f t="shared" si="2001"/>
        <v>3163.33</v>
      </c>
      <c r="KY73" s="138">
        <f t="shared" si="2024"/>
        <v>0</v>
      </c>
      <c r="KZ73" s="110">
        <f t="shared" si="2025"/>
        <v>0</v>
      </c>
      <c r="LA73" s="110"/>
      <c r="LB73" s="139"/>
      <c r="LC73" s="140">
        <f t="shared" si="2026"/>
        <v>0</v>
      </c>
      <c r="LD73" s="197">
        <f t="shared" si="2027"/>
        <v>193</v>
      </c>
      <c r="LE73" s="225">
        <f t="shared" si="2028"/>
        <v>6.7600000000000004E-3</v>
      </c>
      <c r="LF73" s="226">
        <f t="shared" si="2029"/>
        <v>118.99</v>
      </c>
      <c r="LG73" s="137">
        <f t="shared" si="2030"/>
        <v>0.61652850000000003</v>
      </c>
      <c r="LH73" s="227">
        <f t="shared" si="2031"/>
        <v>2869.57</v>
      </c>
      <c r="LI73" s="138">
        <f t="shared" si="2032"/>
        <v>1769.1716899999999</v>
      </c>
      <c r="LJ73" s="110">
        <f t="shared" si="2033"/>
        <v>341450.14</v>
      </c>
      <c r="LK73" s="110"/>
      <c r="LL73" s="139"/>
    </row>
    <row r="74" spans="1:324" ht="26.25" customHeight="1" x14ac:dyDescent="0.25">
      <c r="A74" s="246"/>
      <c r="B74" s="12" t="s">
        <v>626</v>
      </c>
      <c r="C74" s="12" t="s">
        <v>728</v>
      </c>
      <c r="D74" s="12" t="s">
        <v>430</v>
      </c>
      <c r="E74" s="4" t="s">
        <v>34</v>
      </c>
      <c r="F74" s="198">
        <f t="shared" si="1807"/>
        <v>1</v>
      </c>
      <c r="G74" s="225">
        <f t="shared" si="2034"/>
        <v>1.66E-3</v>
      </c>
      <c r="H74" s="226">
        <f t="shared" si="2035"/>
        <v>0.34</v>
      </c>
      <c r="I74" s="137">
        <f t="shared" si="1808"/>
        <v>0.34</v>
      </c>
      <c r="J74" s="227">
        <f t="shared" si="2036"/>
        <v>2644.05</v>
      </c>
      <c r="K74" s="138">
        <f t="shared" si="1809"/>
        <v>898.97699999999998</v>
      </c>
      <c r="L74" s="110">
        <f t="shared" si="1810"/>
        <v>898.98</v>
      </c>
      <c r="M74" s="110"/>
      <c r="N74" s="139"/>
      <c r="O74" s="140">
        <f t="shared" si="1811"/>
        <v>0.50849999999999995</v>
      </c>
      <c r="P74" s="198">
        <f t="shared" si="1812"/>
        <v>3</v>
      </c>
      <c r="Q74" s="225">
        <f t="shared" si="1813"/>
        <v>2.7399999999999998E-3</v>
      </c>
      <c r="R74" s="226">
        <f t="shared" si="1814"/>
        <v>1.5</v>
      </c>
      <c r="S74" s="137">
        <f t="shared" si="1815"/>
        <v>0.5</v>
      </c>
      <c r="T74" s="227">
        <f t="shared" si="1816"/>
        <v>3163.33</v>
      </c>
      <c r="U74" s="138">
        <f t="shared" si="1817"/>
        <v>1581.665</v>
      </c>
      <c r="V74" s="110">
        <f t="shared" si="1818"/>
        <v>4745</v>
      </c>
      <c r="W74" s="110"/>
      <c r="X74" s="139"/>
      <c r="Y74" s="140">
        <f t="shared" si="1819"/>
        <v>0.89466000000000001</v>
      </c>
      <c r="Z74" s="198">
        <f t="shared" si="1812"/>
        <v>2</v>
      </c>
      <c r="AA74" s="225">
        <f t="shared" si="1820"/>
        <v>2.31E-3</v>
      </c>
      <c r="AB74" s="226">
        <f t="shared" si="1821"/>
        <v>1.0900000000000001</v>
      </c>
      <c r="AC74" s="137">
        <f t="shared" si="1822"/>
        <v>0.54500000000000004</v>
      </c>
      <c r="AD74" s="227">
        <f t="shared" si="1816"/>
        <v>2608.17</v>
      </c>
      <c r="AE74" s="138">
        <f t="shared" si="1824"/>
        <v>1421.4526499999999</v>
      </c>
      <c r="AF74" s="110">
        <f t="shared" si="1825"/>
        <v>2842.91</v>
      </c>
      <c r="AG74" s="110"/>
      <c r="AH74" s="139"/>
      <c r="AI74" s="140">
        <f t="shared" si="1826"/>
        <v>0.80403999999999998</v>
      </c>
      <c r="AJ74" s="198">
        <f t="shared" si="1812"/>
        <v>0</v>
      </c>
      <c r="AK74" s="225">
        <f t="shared" si="1827"/>
        <v>0</v>
      </c>
      <c r="AL74" s="226">
        <f t="shared" si="1828"/>
        <v>0</v>
      </c>
      <c r="AM74" s="137">
        <f t="shared" si="1829"/>
        <v>0</v>
      </c>
      <c r="AN74" s="227">
        <f t="shared" si="1816"/>
        <v>2644.05</v>
      </c>
      <c r="AO74" s="138">
        <f t="shared" si="1831"/>
        <v>0</v>
      </c>
      <c r="AP74" s="110">
        <f t="shared" si="1832"/>
        <v>0</v>
      </c>
      <c r="AQ74" s="110"/>
      <c r="AR74" s="139"/>
      <c r="AS74" s="140">
        <f t="shared" si="1833"/>
        <v>0</v>
      </c>
      <c r="AT74" s="198">
        <f t="shared" si="1812"/>
        <v>2</v>
      </c>
      <c r="AU74" s="225">
        <f t="shared" si="1834"/>
        <v>2.0999999999999999E-3</v>
      </c>
      <c r="AV74" s="226">
        <f t="shared" si="1835"/>
        <v>0.85</v>
      </c>
      <c r="AW74" s="137">
        <f t="shared" si="1836"/>
        <v>0.42499999999999999</v>
      </c>
      <c r="AX74" s="227">
        <f t="shared" si="1816"/>
        <v>1786.28</v>
      </c>
      <c r="AY74" s="138">
        <f t="shared" si="1838"/>
        <v>759.16899999999998</v>
      </c>
      <c r="AZ74" s="110">
        <f t="shared" si="1839"/>
        <v>1518.34</v>
      </c>
      <c r="BA74" s="110"/>
      <c r="BB74" s="139"/>
      <c r="BC74" s="140">
        <f t="shared" si="1840"/>
        <v>0.42942000000000002</v>
      </c>
      <c r="BD74" s="198">
        <f t="shared" si="1812"/>
        <v>0</v>
      </c>
      <c r="BE74" s="225">
        <f t="shared" si="1841"/>
        <v>0</v>
      </c>
      <c r="BF74" s="226">
        <f t="shared" si="1842"/>
        <v>0</v>
      </c>
      <c r="BG74" s="137">
        <f t="shared" si="1843"/>
        <v>0</v>
      </c>
      <c r="BH74" s="227">
        <f t="shared" si="1816"/>
        <v>3163.33</v>
      </c>
      <c r="BI74" s="138">
        <f t="shared" si="1845"/>
        <v>0</v>
      </c>
      <c r="BJ74" s="110">
        <f t="shared" si="1846"/>
        <v>0</v>
      </c>
      <c r="BK74" s="110"/>
      <c r="BL74" s="139"/>
      <c r="BM74" s="140">
        <f t="shared" si="1847"/>
        <v>0</v>
      </c>
      <c r="BN74" s="198">
        <f t="shared" si="1812"/>
        <v>4</v>
      </c>
      <c r="BO74" s="225">
        <f t="shared" si="1848"/>
        <v>6.4799999999999996E-3</v>
      </c>
      <c r="BP74" s="226">
        <f t="shared" si="1849"/>
        <v>2.75</v>
      </c>
      <c r="BQ74" s="137">
        <f t="shared" si="1850"/>
        <v>0.6875</v>
      </c>
      <c r="BR74" s="227">
        <f t="shared" si="1816"/>
        <v>2182.42</v>
      </c>
      <c r="BS74" s="138">
        <f t="shared" si="1852"/>
        <v>1500.4137499999999</v>
      </c>
      <c r="BT74" s="110">
        <f t="shared" si="1853"/>
        <v>6001.66</v>
      </c>
      <c r="BU74" s="110"/>
      <c r="BV74" s="139"/>
      <c r="BW74" s="140">
        <f t="shared" si="1854"/>
        <v>0.84870000000000001</v>
      </c>
      <c r="BX74" s="198">
        <f t="shared" si="1812"/>
        <v>1</v>
      </c>
      <c r="BY74" s="225">
        <f t="shared" si="1855"/>
        <v>1.2700000000000001E-3</v>
      </c>
      <c r="BZ74" s="226">
        <f t="shared" si="1856"/>
        <v>0.41</v>
      </c>
      <c r="CA74" s="137">
        <f t="shared" si="1857"/>
        <v>0.41</v>
      </c>
      <c r="CB74" s="227">
        <f t="shared" si="1816"/>
        <v>2644.05</v>
      </c>
      <c r="CC74" s="138">
        <f t="shared" si="1859"/>
        <v>1084.0605</v>
      </c>
      <c r="CD74" s="110">
        <f t="shared" si="1860"/>
        <v>1084.06</v>
      </c>
      <c r="CE74" s="110"/>
      <c r="CF74" s="139"/>
      <c r="CG74" s="140">
        <f t="shared" si="1861"/>
        <v>0.61319999999999997</v>
      </c>
      <c r="CH74" s="198">
        <f t="shared" si="1862"/>
        <v>0</v>
      </c>
      <c r="CI74" s="225">
        <f t="shared" si="1863"/>
        <v>0</v>
      </c>
      <c r="CJ74" s="226">
        <f t="shared" si="1864"/>
        <v>0</v>
      </c>
      <c r="CK74" s="137">
        <f t="shared" si="1865"/>
        <v>0</v>
      </c>
      <c r="CL74" s="227">
        <f t="shared" si="1866"/>
        <v>2644.05</v>
      </c>
      <c r="CM74" s="138">
        <f t="shared" si="1867"/>
        <v>0</v>
      </c>
      <c r="CN74" s="110">
        <f t="shared" si="1868"/>
        <v>0</v>
      </c>
      <c r="CO74" s="110"/>
      <c r="CP74" s="139"/>
      <c r="CQ74" s="140">
        <f t="shared" si="1869"/>
        <v>0</v>
      </c>
      <c r="CR74" s="198">
        <f t="shared" si="1862"/>
        <v>5</v>
      </c>
      <c r="CS74" s="225">
        <f t="shared" si="1870"/>
        <v>6.7200000000000003E-3</v>
      </c>
      <c r="CT74" s="226">
        <f t="shared" si="1871"/>
        <v>3.36</v>
      </c>
      <c r="CU74" s="137">
        <f t="shared" si="1872"/>
        <v>0.67200000000000004</v>
      </c>
      <c r="CV74" s="227">
        <f t="shared" si="1866"/>
        <v>3163.33</v>
      </c>
      <c r="CW74" s="138">
        <f t="shared" si="1874"/>
        <v>2125.75776</v>
      </c>
      <c r="CX74" s="110">
        <f t="shared" si="1875"/>
        <v>10628.79</v>
      </c>
      <c r="CY74" s="110"/>
      <c r="CZ74" s="139"/>
      <c r="DA74" s="140">
        <f t="shared" si="1876"/>
        <v>1.2024300000000001</v>
      </c>
      <c r="DB74" s="198">
        <f t="shared" si="1862"/>
        <v>1</v>
      </c>
      <c r="DC74" s="225">
        <f t="shared" si="1877"/>
        <v>1.2099999999999999E-3</v>
      </c>
      <c r="DD74" s="226">
        <f t="shared" si="1878"/>
        <v>0.73</v>
      </c>
      <c r="DE74" s="137">
        <f t="shared" si="1879"/>
        <v>0.73</v>
      </c>
      <c r="DF74" s="227">
        <f t="shared" si="1866"/>
        <v>2644.05</v>
      </c>
      <c r="DG74" s="138">
        <f t="shared" si="1881"/>
        <v>1930.1565000000001</v>
      </c>
      <c r="DH74" s="110">
        <f t="shared" si="1882"/>
        <v>1930.16</v>
      </c>
      <c r="DI74" s="110"/>
      <c r="DJ74" s="139"/>
      <c r="DK74" s="140">
        <f t="shared" si="1883"/>
        <v>1.09179</v>
      </c>
      <c r="DL74" s="198">
        <f t="shared" si="1862"/>
        <v>0</v>
      </c>
      <c r="DM74" s="225">
        <f t="shared" si="1884"/>
        <v>0</v>
      </c>
      <c r="DN74" s="226">
        <f t="shared" si="1885"/>
        <v>0</v>
      </c>
      <c r="DO74" s="137">
        <f t="shared" si="1886"/>
        <v>0</v>
      </c>
      <c r="DP74" s="227">
        <f t="shared" si="1866"/>
        <v>2644.05</v>
      </c>
      <c r="DQ74" s="138">
        <f t="shared" si="1888"/>
        <v>0</v>
      </c>
      <c r="DR74" s="110">
        <f t="shared" si="1889"/>
        <v>0</v>
      </c>
      <c r="DS74" s="110"/>
      <c r="DT74" s="139"/>
      <c r="DU74" s="140">
        <f t="shared" si="1890"/>
        <v>0</v>
      </c>
      <c r="DV74" s="198">
        <f t="shared" si="1862"/>
        <v>2</v>
      </c>
      <c r="DW74" s="225">
        <f t="shared" si="1891"/>
        <v>2.2799999999999999E-3</v>
      </c>
      <c r="DX74" s="226">
        <f t="shared" si="1892"/>
        <v>0.63</v>
      </c>
      <c r="DY74" s="137">
        <f t="shared" si="1893"/>
        <v>0.315</v>
      </c>
      <c r="DZ74" s="227">
        <f t="shared" si="1866"/>
        <v>2644.05</v>
      </c>
      <c r="EA74" s="138">
        <f t="shared" si="1895"/>
        <v>832.87575000000004</v>
      </c>
      <c r="EB74" s="110">
        <f t="shared" si="1896"/>
        <v>1665.75</v>
      </c>
      <c r="EC74" s="110"/>
      <c r="ED74" s="139"/>
      <c r="EE74" s="140">
        <f t="shared" si="1897"/>
        <v>0.47110999999999997</v>
      </c>
      <c r="EF74" s="198">
        <f t="shared" si="1862"/>
        <v>6</v>
      </c>
      <c r="EG74" s="225">
        <f t="shared" si="1898"/>
        <v>6.3899999999999998E-3</v>
      </c>
      <c r="EH74" s="226">
        <f t="shared" si="1899"/>
        <v>2.4300000000000002</v>
      </c>
      <c r="EI74" s="137">
        <f t="shared" si="1900"/>
        <v>0.40500000000000003</v>
      </c>
      <c r="EJ74" s="227">
        <f t="shared" si="1866"/>
        <v>3163.33</v>
      </c>
      <c r="EK74" s="138">
        <f t="shared" si="1902"/>
        <v>1281.1486500000001</v>
      </c>
      <c r="EL74" s="110">
        <f t="shared" si="1903"/>
        <v>7686.89</v>
      </c>
      <c r="EM74" s="110"/>
      <c r="EN74" s="139"/>
      <c r="EO74" s="140">
        <f t="shared" si="1904"/>
        <v>0.72467999999999999</v>
      </c>
      <c r="EP74" s="198">
        <f t="shared" si="1862"/>
        <v>2</v>
      </c>
      <c r="EQ74" s="225">
        <f t="shared" si="1905"/>
        <v>2.1199999999999999E-3</v>
      </c>
      <c r="ER74" s="226">
        <f t="shared" si="1906"/>
        <v>1.51</v>
      </c>
      <c r="ES74" s="137">
        <f t="shared" si="1907"/>
        <v>0.755</v>
      </c>
      <c r="ET74" s="227">
        <f t="shared" si="1866"/>
        <v>3163.33</v>
      </c>
      <c r="EU74" s="138">
        <f t="shared" si="1909"/>
        <v>2388.3141500000002</v>
      </c>
      <c r="EV74" s="110">
        <f t="shared" si="1910"/>
        <v>4776.63</v>
      </c>
      <c r="EW74" s="110"/>
      <c r="EX74" s="139"/>
      <c r="EY74" s="140">
        <f t="shared" si="1911"/>
        <v>1.35094</v>
      </c>
      <c r="EZ74" s="198">
        <f t="shared" si="1912"/>
        <v>7</v>
      </c>
      <c r="FA74" s="225">
        <f t="shared" si="1913"/>
        <v>6.2700000000000004E-3</v>
      </c>
      <c r="FB74" s="226">
        <f t="shared" si="1914"/>
        <v>0</v>
      </c>
      <c r="FC74" s="137">
        <f t="shared" si="1915"/>
        <v>0</v>
      </c>
      <c r="FD74" s="227">
        <f t="shared" si="1916"/>
        <v>0</v>
      </c>
      <c r="FE74" s="138">
        <f t="shared" si="1917"/>
        <v>0</v>
      </c>
      <c r="FF74" s="110">
        <f t="shared" si="1918"/>
        <v>0</v>
      </c>
      <c r="FG74" s="110"/>
      <c r="FH74" s="139"/>
      <c r="FI74" s="140">
        <f t="shared" si="1919"/>
        <v>0</v>
      </c>
      <c r="FJ74" s="198">
        <f t="shared" si="1912"/>
        <v>1</v>
      </c>
      <c r="FK74" s="225">
        <f t="shared" si="1920"/>
        <v>9.7999999999999997E-4</v>
      </c>
      <c r="FL74" s="226">
        <f t="shared" si="1921"/>
        <v>0.52</v>
      </c>
      <c r="FM74" s="137">
        <f t="shared" si="1922"/>
        <v>0.52</v>
      </c>
      <c r="FN74" s="227">
        <f t="shared" si="1916"/>
        <v>3163.33</v>
      </c>
      <c r="FO74" s="138">
        <f t="shared" si="1924"/>
        <v>1644.9315999999999</v>
      </c>
      <c r="FP74" s="110">
        <f t="shared" si="1925"/>
        <v>1644.93</v>
      </c>
      <c r="FQ74" s="110"/>
      <c r="FR74" s="139"/>
      <c r="FS74" s="140">
        <f t="shared" si="1926"/>
        <v>0.93045</v>
      </c>
      <c r="FT74" s="198">
        <f t="shared" si="1912"/>
        <v>4</v>
      </c>
      <c r="FU74" s="225">
        <f t="shared" si="1927"/>
        <v>4.9800000000000001E-3</v>
      </c>
      <c r="FV74" s="226">
        <f t="shared" si="1928"/>
        <v>2.36</v>
      </c>
      <c r="FW74" s="137">
        <f t="shared" si="1929"/>
        <v>0.59</v>
      </c>
      <c r="FX74" s="227">
        <f t="shared" si="1916"/>
        <v>3163.33</v>
      </c>
      <c r="FY74" s="138">
        <f t="shared" si="1931"/>
        <v>1866.3647000000001</v>
      </c>
      <c r="FZ74" s="110">
        <f t="shared" si="1932"/>
        <v>7465.46</v>
      </c>
      <c r="GA74" s="110"/>
      <c r="GB74" s="139"/>
      <c r="GC74" s="140">
        <f t="shared" si="1933"/>
        <v>1.0557000000000001</v>
      </c>
      <c r="GD74" s="198">
        <f t="shared" si="1912"/>
        <v>6</v>
      </c>
      <c r="GE74" s="225">
        <f t="shared" si="1934"/>
        <v>1.172E-2</v>
      </c>
      <c r="GF74" s="226">
        <f t="shared" si="1935"/>
        <v>0</v>
      </c>
      <c r="GG74" s="137">
        <f t="shared" si="1936"/>
        <v>0</v>
      </c>
      <c r="GH74" s="227">
        <f t="shared" si="1916"/>
        <v>0</v>
      </c>
      <c r="GI74" s="138">
        <f t="shared" si="1938"/>
        <v>0</v>
      </c>
      <c r="GJ74" s="110">
        <f t="shared" si="1939"/>
        <v>0</v>
      </c>
      <c r="GK74" s="110"/>
      <c r="GL74" s="139"/>
      <c r="GM74" s="140">
        <f t="shared" si="1940"/>
        <v>0</v>
      </c>
      <c r="GN74" s="198">
        <f t="shared" si="1912"/>
        <v>2</v>
      </c>
      <c r="GO74" s="225">
        <f t="shared" si="1941"/>
        <v>2.31E-3</v>
      </c>
      <c r="GP74" s="226">
        <f t="shared" si="1942"/>
        <v>1.87</v>
      </c>
      <c r="GQ74" s="137">
        <f t="shared" si="1943"/>
        <v>0.93500000000000005</v>
      </c>
      <c r="GR74" s="227">
        <f t="shared" si="1944"/>
        <v>2644.05</v>
      </c>
      <c r="GS74" s="138">
        <f t="shared" si="1945"/>
        <v>2472.1867499999998</v>
      </c>
      <c r="GT74" s="110">
        <f t="shared" si="1946"/>
        <v>4944.37</v>
      </c>
      <c r="GU74" s="110"/>
      <c r="GV74" s="139"/>
      <c r="GW74" s="140">
        <f t="shared" si="1947"/>
        <v>1.39838</v>
      </c>
      <c r="GX74" s="198">
        <f t="shared" si="1912"/>
        <v>2</v>
      </c>
      <c r="GY74" s="225">
        <f t="shared" si="1948"/>
        <v>1.23E-3</v>
      </c>
      <c r="GZ74" s="226">
        <f t="shared" si="1949"/>
        <v>0.63</v>
      </c>
      <c r="HA74" s="137">
        <f t="shared" si="1950"/>
        <v>0.315</v>
      </c>
      <c r="HB74" s="227">
        <f t="shared" si="1944"/>
        <v>2644.05</v>
      </c>
      <c r="HC74" s="138">
        <f t="shared" si="1952"/>
        <v>832.87575000000004</v>
      </c>
      <c r="HD74" s="110">
        <f t="shared" si="1953"/>
        <v>1665.75</v>
      </c>
      <c r="HE74" s="110"/>
      <c r="HF74" s="139"/>
      <c r="HG74" s="140">
        <f t="shared" si="1954"/>
        <v>0.47110999999999997</v>
      </c>
      <c r="HH74" s="198">
        <f t="shared" si="1912"/>
        <v>3</v>
      </c>
      <c r="HI74" s="225">
        <f t="shared" si="1955"/>
        <v>2.5999999999999999E-3</v>
      </c>
      <c r="HJ74" s="226">
        <f t="shared" si="1956"/>
        <v>1.92</v>
      </c>
      <c r="HK74" s="137">
        <f t="shared" si="1957"/>
        <v>0.64</v>
      </c>
      <c r="HL74" s="227">
        <f t="shared" si="1944"/>
        <v>2597.2199999999998</v>
      </c>
      <c r="HM74" s="138">
        <f t="shared" si="1959"/>
        <v>1662.2208000000001</v>
      </c>
      <c r="HN74" s="110">
        <f t="shared" si="1960"/>
        <v>4986.66</v>
      </c>
      <c r="HO74" s="110"/>
      <c r="HP74" s="139"/>
      <c r="HQ74" s="140">
        <f t="shared" si="1961"/>
        <v>0.94023000000000001</v>
      </c>
      <c r="HR74" s="198">
        <f t="shared" si="1962"/>
        <v>2</v>
      </c>
      <c r="HS74" s="225">
        <f t="shared" si="1963"/>
        <v>2.5400000000000002E-3</v>
      </c>
      <c r="HT74" s="226">
        <f t="shared" si="1964"/>
        <v>1.69</v>
      </c>
      <c r="HU74" s="137">
        <f t="shared" si="1965"/>
        <v>0.84499999999999997</v>
      </c>
      <c r="HV74" s="227">
        <f t="shared" si="1944"/>
        <v>3163.33</v>
      </c>
      <c r="HW74" s="138">
        <f t="shared" si="1967"/>
        <v>2673.0138499999998</v>
      </c>
      <c r="HX74" s="110">
        <f t="shared" si="1968"/>
        <v>5346.03</v>
      </c>
      <c r="HY74" s="110"/>
      <c r="HZ74" s="139"/>
      <c r="IA74" s="140">
        <f t="shared" si="1969"/>
        <v>1.5119800000000001</v>
      </c>
      <c r="IB74" s="198">
        <f t="shared" si="1962"/>
        <v>2</v>
      </c>
      <c r="IC74" s="225">
        <f t="shared" si="1970"/>
        <v>3.65E-3</v>
      </c>
      <c r="ID74" s="226">
        <f t="shared" si="1971"/>
        <v>2.48</v>
      </c>
      <c r="IE74" s="137">
        <f t="shared" si="1972"/>
        <v>1.24</v>
      </c>
      <c r="IF74" s="227">
        <f t="shared" si="1973"/>
        <v>3163.33</v>
      </c>
      <c r="IG74" s="138">
        <f t="shared" si="1974"/>
        <v>3922.5291999999999</v>
      </c>
      <c r="IH74" s="110">
        <f t="shared" si="1975"/>
        <v>7845.06</v>
      </c>
      <c r="II74" s="110"/>
      <c r="IJ74" s="139"/>
      <c r="IK74" s="140">
        <f t="shared" si="1976"/>
        <v>2.2187700000000001</v>
      </c>
      <c r="IL74" s="198">
        <f t="shared" si="1962"/>
        <v>4</v>
      </c>
      <c r="IM74" s="225">
        <f t="shared" si="1977"/>
        <v>3.16E-3</v>
      </c>
      <c r="IN74" s="226">
        <f t="shared" si="1978"/>
        <v>2.04</v>
      </c>
      <c r="IO74" s="137">
        <f t="shared" si="1979"/>
        <v>0.51</v>
      </c>
      <c r="IP74" s="227">
        <f t="shared" si="1973"/>
        <v>2644.05</v>
      </c>
      <c r="IQ74" s="138">
        <f t="shared" si="1981"/>
        <v>1348.4655</v>
      </c>
      <c r="IR74" s="110">
        <f t="shared" si="1982"/>
        <v>5393.86</v>
      </c>
      <c r="IS74" s="110"/>
      <c r="IT74" s="139"/>
      <c r="IU74" s="140">
        <f t="shared" si="1983"/>
        <v>0.76275999999999999</v>
      </c>
      <c r="IV74" s="198">
        <f t="shared" si="1962"/>
        <v>2</v>
      </c>
      <c r="IW74" s="225">
        <f t="shared" si="1984"/>
        <v>2.5899999999999999E-3</v>
      </c>
      <c r="IX74" s="226">
        <f t="shared" si="1985"/>
        <v>1.31</v>
      </c>
      <c r="IY74" s="137">
        <f t="shared" si="1986"/>
        <v>0.65500000000000003</v>
      </c>
      <c r="IZ74" s="227">
        <f t="shared" si="1973"/>
        <v>3163.33</v>
      </c>
      <c r="JA74" s="138">
        <f t="shared" si="1988"/>
        <v>2071.9811500000001</v>
      </c>
      <c r="JB74" s="110">
        <f t="shared" si="1989"/>
        <v>4143.96</v>
      </c>
      <c r="JC74" s="110"/>
      <c r="JD74" s="139"/>
      <c r="JE74" s="140">
        <f t="shared" si="1990"/>
        <v>1.17201</v>
      </c>
      <c r="JF74" s="198">
        <f t="shared" si="1962"/>
        <v>1</v>
      </c>
      <c r="JG74" s="225">
        <f t="shared" si="1991"/>
        <v>7.5000000000000002E-4</v>
      </c>
      <c r="JH74" s="226">
        <f t="shared" si="1992"/>
        <v>0.68</v>
      </c>
      <c r="JI74" s="137">
        <f t="shared" si="1993"/>
        <v>0.68</v>
      </c>
      <c r="JJ74" s="227">
        <f t="shared" si="1973"/>
        <v>2644.05</v>
      </c>
      <c r="JK74" s="138">
        <f t="shared" si="1995"/>
        <v>1797.954</v>
      </c>
      <c r="JL74" s="110">
        <f t="shared" si="1996"/>
        <v>1797.95</v>
      </c>
      <c r="JM74" s="110"/>
      <c r="JN74" s="139"/>
      <c r="JO74" s="140">
        <f t="shared" si="1997"/>
        <v>1.01701</v>
      </c>
      <c r="JP74" s="198">
        <f t="shared" si="1962"/>
        <v>5</v>
      </c>
      <c r="JQ74" s="225">
        <f t="shared" si="1998"/>
        <v>4.0000000000000001E-3</v>
      </c>
      <c r="JR74" s="226">
        <f t="shared" si="1999"/>
        <v>3.06</v>
      </c>
      <c r="JS74" s="137">
        <f t="shared" si="2000"/>
        <v>0.61199999999999999</v>
      </c>
      <c r="JT74" s="227">
        <f t="shared" si="2001"/>
        <v>2632.02</v>
      </c>
      <c r="JU74" s="138">
        <f t="shared" si="2002"/>
        <v>1610.7962399999999</v>
      </c>
      <c r="JV74" s="110">
        <f t="shared" si="2003"/>
        <v>8053.98</v>
      </c>
      <c r="JW74" s="110"/>
      <c r="JX74" s="139"/>
      <c r="JY74" s="140">
        <f t="shared" si="2004"/>
        <v>0.91113999999999995</v>
      </c>
      <c r="JZ74" s="198">
        <f t="shared" si="1962"/>
        <v>0</v>
      </c>
      <c r="KA74" s="225">
        <f t="shared" si="2005"/>
        <v>0</v>
      </c>
      <c r="KB74" s="226">
        <f t="shared" si="2006"/>
        <v>0</v>
      </c>
      <c r="KC74" s="137">
        <f t="shared" si="2007"/>
        <v>0</v>
      </c>
      <c r="KD74" s="227">
        <f t="shared" si="2001"/>
        <v>3163.33</v>
      </c>
      <c r="KE74" s="138">
        <f t="shared" si="2009"/>
        <v>0</v>
      </c>
      <c r="KF74" s="110">
        <f t="shared" si="2010"/>
        <v>0</v>
      </c>
      <c r="KG74" s="110"/>
      <c r="KH74" s="139"/>
      <c r="KI74" s="140">
        <f t="shared" si="2011"/>
        <v>0</v>
      </c>
      <c r="KJ74" s="198">
        <f t="shared" si="2012"/>
        <v>1</v>
      </c>
      <c r="KK74" s="225">
        <f t="shared" si="2013"/>
        <v>7.5000000000000002E-4</v>
      </c>
      <c r="KL74" s="226">
        <f t="shared" si="2014"/>
        <v>0.57999999999999996</v>
      </c>
      <c r="KM74" s="137">
        <f t="shared" si="2015"/>
        <v>0.57999999999999996</v>
      </c>
      <c r="KN74" s="227">
        <f t="shared" si="2001"/>
        <v>2644.05</v>
      </c>
      <c r="KO74" s="138">
        <f t="shared" si="2017"/>
        <v>1533.549</v>
      </c>
      <c r="KP74" s="110">
        <f t="shared" si="2018"/>
        <v>1533.55</v>
      </c>
      <c r="KQ74" s="110"/>
      <c r="KR74" s="139"/>
      <c r="KS74" s="140">
        <f t="shared" si="2019"/>
        <v>0.86745000000000005</v>
      </c>
      <c r="KT74" s="198">
        <f t="shared" si="2012"/>
        <v>3</v>
      </c>
      <c r="KU74" s="225">
        <f t="shared" si="2020"/>
        <v>2.6700000000000001E-3</v>
      </c>
      <c r="KV74" s="226">
        <f t="shared" si="2021"/>
        <v>7.48</v>
      </c>
      <c r="KW74" s="137">
        <f t="shared" si="2022"/>
        <v>2.49333333</v>
      </c>
      <c r="KX74" s="227">
        <f t="shared" si="2001"/>
        <v>3163.33</v>
      </c>
      <c r="KY74" s="138">
        <f t="shared" si="2024"/>
        <v>7887.2361199999996</v>
      </c>
      <c r="KZ74" s="110">
        <f t="shared" si="2025"/>
        <v>23661.71</v>
      </c>
      <c r="LA74" s="110"/>
      <c r="LB74" s="139"/>
      <c r="LC74" s="140">
        <f t="shared" si="2026"/>
        <v>4.4613899999999997</v>
      </c>
      <c r="LD74" s="197">
        <f t="shared" si="2027"/>
        <v>74</v>
      </c>
      <c r="LE74" s="225">
        <f t="shared" si="2028"/>
        <v>2.5899999999999999E-3</v>
      </c>
      <c r="LF74" s="226">
        <f t="shared" si="2029"/>
        <v>45.59</v>
      </c>
      <c r="LG74" s="137">
        <f t="shared" si="2030"/>
        <v>0.61608107999999995</v>
      </c>
      <c r="LH74" s="227">
        <f t="shared" si="2031"/>
        <v>2869.57</v>
      </c>
      <c r="LI74" s="138">
        <f t="shared" si="2032"/>
        <v>1767.88778</v>
      </c>
      <c r="LJ74" s="110">
        <f t="shared" si="2033"/>
        <v>130823.7</v>
      </c>
      <c r="LK74" s="110"/>
      <c r="LL74" s="139"/>
    </row>
    <row r="75" spans="1:324" ht="27.75" hidden="1" customHeight="1" x14ac:dyDescent="0.25">
      <c r="A75" s="246"/>
      <c r="B75" s="92" t="s">
        <v>639</v>
      </c>
      <c r="C75" s="12" t="s">
        <v>728</v>
      </c>
      <c r="D75" s="12" t="s">
        <v>430</v>
      </c>
      <c r="E75" s="4" t="s">
        <v>34</v>
      </c>
      <c r="F75" s="198">
        <f t="shared" si="1807"/>
        <v>0</v>
      </c>
      <c r="G75" s="225">
        <f t="shared" si="2034"/>
        <v>0</v>
      </c>
      <c r="H75" s="226">
        <f t="shared" si="2035"/>
        <v>0</v>
      </c>
      <c r="I75" s="137">
        <f t="shared" si="1808"/>
        <v>0</v>
      </c>
      <c r="J75" s="227">
        <f t="shared" si="2036"/>
        <v>2644.05</v>
      </c>
      <c r="K75" s="138">
        <f t="shared" si="1809"/>
        <v>0</v>
      </c>
      <c r="L75" s="110">
        <f t="shared" si="1810"/>
        <v>0</v>
      </c>
      <c r="M75" s="110"/>
      <c r="N75" s="139"/>
      <c r="O75" s="140" t="e">
        <f t="shared" si="1811"/>
        <v>#DIV/0!</v>
      </c>
      <c r="P75" s="198">
        <f t="shared" si="1812"/>
        <v>0</v>
      </c>
      <c r="Q75" s="225">
        <f t="shared" si="1813"/>
        <v>0</v>
      </c>
      <c r="R75" s="226">
        <f t="shared" si="1814"/>
        <v>0</v>
      </c>
      <c r="S75" s="137">
        <f t="shared" si="1815"/>
        <v>0</v>
      </c>
      <c r="T75" s="227">
        <f t="shared" si="1816"/>
        <v>3163.33</v>
      </c>
      <c r="U75" s="138">
        <f t="shared" si="1817"/>
        <v>0</v>
      </c>
      <c r="V75" s="110">
        <f t="shared" si="1818"/>
        <v>0</v>
      </c>
      <c r="W75" s="110"/>
      <c r="X75" s="139"/>
      <c r="Y75" s="140" t="e">
        <f t="shared" si="1819"/>
        <v>#DIV/0!</v>
      </c>
      <c r="Z75" s="198">
        <f t="shared" si="1812"/>
        <v>0</v>
      </c>
      <c r="AA75" s="225">
        <f t="shared" si="1820"/>
        <v>0</v>
      </c>
      <c r="AB75" s="226">
        <f t="shared" si="1821"/>
        <v>0</v>
      </c>
      <c r="AC75" s="137">
        <f t="shared" si="1822"/>
        <v>0</v>
      </c>
      <c r="AD75" s="227">
        <f t="shared" si="1816"/>
        <v>2608.17</v>
      </c>
      <c r="AE75" s="138">
        <f t="shared" si="1824"/>
        <v>0</v>
      </c>
      <c r="AF75" s="110">
        <f t="shared" si="1825"/>
        <v>0</v>
      </c>
      <c r="AG75" s="110"/>
      <c r="AH75" s="139"/>
      <c r="AI75" s="140" t="e">
        <f t="shared" si="1826"/>
        <v>#DIV/0!</v>
      </c>
      <c r="AJ75" s="198">
        <f t="shared" si="1812"/>
        <v>0</v>
      </c>
      <c r="AK75" s="225">
        <f t="shared" si="1827"/>
        <v>0</v>
      </c>
      <c r="AL75" s="226">
        <f t="shared" si="1828"/>
        <v>0</v>
      </c>
      <c r="AM75" s="137">
        <f t="shared" si="1829"/>
        <v>0</v>
      </c>
      <c r="AN75" s="227">
        <f t="shared" si="1816"/>
        <v>2644.05</v>
      </c>
      <c r="AO75" s="138">
        <f t="shared" si="1831"/>
        <v>0</v>
      </c>
      <c r="AP75" s="110">
        <f t="shared" si="1832"/>
        <v>0</v>
      </c>
      <c r="AQ75" s="110"/>
      <c r="AR75" s="139"/>
      <c r="AS75" s="140" t="e">
        <f t="shared" si="1833"/>
        <v>#DIV/0!</v>
      </c>
      <c r="AT75" s="198">
        <f t="shared" si="1812"/>
        <v>0</v>
      </c>
      <c r="AU75" s="225">
        <f t="shared" si="1834"/>
        <v>0</v>
      </c>
      <c r="AV75" s="226">
        <f t="shared" si="1835"/>
        <v>0</v>
      </c>
      <c r="AW75" s="137">
        <f t="shared" si="1836"/>
        <v>0</v>
      </c>
      <c r="AX75" s="227">
        <f t="shared" si="1816"/>
        <v>1786.28</v>
      </c>
      <c r="AY75" s="138">
        <f t="shared" si="1838"/>
        <v>0</v>
      </c>
      <c r="AZ75" s="110">
        <f t="shared" si="1839"/>
        <v>0</v>
      </c>
      <c r="BA75" s="110"/>
      <c r="BB75" s="139"/>
      <c r="BC75" s="140" t="e">
        <f t="shared" si="1840"/>
        <v>#DIV/0!</v>
      </c>
      <c r="BD75" s="198">
        <f t="shared" si="1812"/>
        <v>0</v>
      </c>
      <c r="BE75" s="225">
        <f t="shared" si="1841"/>
        <v>0</v>
      </c>
      <c r="BF75" s="226">
        <f t="shared" si="1842"/>
        <v>0</v>
      </c>
      <c r="BG75" s="137">
        <f t="shared" si="1843"/>
        <v>0</v>
      </c>
      <c r="BH75" s="227">
        <f t="shared" si="1816"/>
        <v>3163.33</v>
      </c>
      <c r="BI75" s="138">
        <f t="shared" si="1845"/>
        <v>0</v>
      </c>
      <c r="BJ75" s="110">
        <f t="shared" si="1846"/>
        <v>0</v>
      </c>
      <c r="BK75" s="110"/>
      <c r="BL75" s="139"/>
      <c r="BM75" s="140" t="e">
        <f t="shared" si="1847"/>
        <v>#DIV/0!</v>
      </c>
      <c r="BN75" s="198">
        <f t="shared" si="1812"/>
        <v>0</v>
      </c>
      <c r="BO75" s="225">
        <f t="shared" si="1848"/>
        <v>0</v>
      </c>
      <c r="BP75" s="226">
        <f t="shared" si="1849"/>
        <v>0</v>
      </c>
      <c r="BQ75" s="137">
        <f t="shared" si="1850"/>
        <v>0</v>
      </c>
      <c r="BR75" s="227">
        <f t="shared" si="1816"/>
        <v>2182.42</v>
      </c>
      <c r="BS75" s="138">
        <f t="shared" si="1852"/>
        <v>0</v>
      </c>
      <c r="BT75" s="110">
        <f t="shared" si="1853"/>
        <v>0</v>
      </c>
      <c r="BU75" s="110"/>
      <c r="BV75" s="139"/>
      <c r="BW75" s="140" t="e">
        <f t="shared" si="1854"/>
        <v>#DIV/0!</v>
      </c>
      <c r="BX75" s="198">
        <f t="shared" si="1812"/>
        <v>0</v>
      </c>
      <c r="BY75" s="225">
        <f t="shared" si="1855"/>
        <v>0</v>
      </c>
      <c r="BZ75" s="226">
        <f t="shared" si="1856"/>
        <v>0</v>
      </c>
      <c r="CA75" s="137">
        <f t="shared" si="1857"/>
        <v>0</v>
      </c>
      <c r="CB75" s="227">
        <f t="shared" si="1816"/>
        <v>2644.05</v>
      </c>
      <c r="CC75" s="138">
        <f t="shared" si="1859"/>
        <v>0</v>
      </c>
      <c r="CD75" s="110">
        <f t="shared" si="1860"/>
        <v>0</v>
      </c>
      <c r="CE75" s="110"/>
      <c r="CF75" s="139"/>
      <c r="CG75" s="140" t="e">
        <f t="shared" si="1861"/>
        <v>#DIV/0!</v>
      </c>
      <c r="CH75" s="198">
        <f t="shared" si="1862"/>
        <v>0</v>
      </c>
      <c r="CI75" s="225">
        <f t="shared" si="1863"/>
        <v>0</v>
      </c>
      <c r="CJ75" s="226">
        <f t="shared" si="1864"/>
        <v>0</v>
      </c>
      <c r="CK75" s="137">
        <f t="shared" si="1865"/>
        <v>0</v>
      </c>
      <c r="CL75" s="227">
        <f t="shared" si="1866"/>
        <v>2644.05</v>
      </c>
      <c r="CM75" s="138">
        <f t="shared" si="1867"/>
        <v>0</v>
      </c>
      <c r="CN75" s="110">
        <f t="shared" si="1868"/>
        <v>0</v>
      </c>
      <c r="CO75" s="110"/>
      <c r="CP75" s="139"/>
      <c r="CQ75" s="140" t="e">
        <f t="shared" si="1869"/>
        <v>#DIV/0!</v>
      </c>
      <c r="CR75" s="198">
        <f t="shared" si="1862"/>
        <v>0</v>
      </c>
      <c r="CS75" s="225">
        <f t="shared" si="1870"/>
        <v>0</v>
      </c>
      <c r="CT75" s="226">
        <f t="shared" si="1871"/>
        <v>0</v>
      </c>
      <c r="CU75" s="137">
        <f t="shared" si="1872"/>
        <v>0</v>
      </c>
      <c r="CV75" s="227">
        <f t="shared" si="1866"/>
        <v>3163.33</v>
      </c>
      <c r="CW75" s="138">
        <f t="shared" si="1874"/>
        <v>0</v>
      </c>
      <c r="CX75" s="110">
        <f t="shared" si="1875"/>
        <v>0</v>
      </c>
      <c r="CY75" s="110"/>
      <c r="CZ75" s="139"/>
      <c r="DA75" s="140" t="e">
        <f t="shared" si="1876"/>
        <v>#DIV/0!</v>
      </c>
      <c r="DB75" s="198">
        <f t="shared" si="1862"/>
        <v>0</v>
      </c>
      <c r="DC75" s="225">
        <f t="shared" si="1877"/>
        <v>0</v>
      </c>
      <c r="DD75" s="226">
        <f t="shared" si="1878"/>
        <v>0</v>
      </c>
      <c r="DE75" s="137">
        <f t="shared" si="1879"/>
        <v>0</v>
      </c>
      <c r="DF75" s="227">
        <f t="shared" si="1866"/>
        <v>2644.05</v>
      </c>
      <c r="DG75" s="138">
        <f t="shared" si="1881"/>
        <v>0</v>
      </c>
      <c r="DH75" s="110">
        <f t="shared" si="1882"/>
        <v>0</v>
      </c>
      <c r="DI75" s="110"/>
      <c r="DJ75" s="139"/>
      <c r="DK75" s="140" t="e">
        <f t="shared" si="1883"/>
        <v>#DIV/0!</v>
      </c>
      <c r="DL75" s="198">
        <f t="shared" si="1862"/>
        <v>0</v>
      </c>
      <c r="DM75" s="225">
        <f t="shared" si="1884"/>
        <v>0</v>
      </c>
      <c r="DN75" s="226">
        <f t="shared" si="1885"/>
        <v>0</v>
      </c>
      <c r="DO75" s="137">
        <f t="shared" si="1886"/>
        <v>0</v>
      </c>
      <c r="DP75" s="227">
        <f t="shared" si="1866"/>
        <v>2644.05</v>
      </c>
      <c r="DQ75" s="138">
        <f t="shared" si="1888"/>
        <v>0</v>
      </c>
      <c r="DR75" s="110">
        <f t="shared" si="1889"/>
        <v>0</v>
      </c>
      <c r="DS75" s="110"/>
      <c r="DT75" s="139"/>
      <c r="DU75" s="140" t="e">
        <f t="shared" si="1890"/>
        <v>#DIV/0!</v>
      </c>
      <c r="DV75" s="198">
        <f t="shared" si="1862"/>
        <v>0</v>
      </c>
      <c r="DW75" s="225">
        <f t="shared" si="1891"/>
        <v>0</v>
      </c>
      <c r="DX75" s="226">
        <f t="shared" si="1892"/>
        <v>0</v>
      </c>
      <c r="DY75" s="137">
        <f t="shared" si="1893"/>
        <v>0</v>
      </c>
      <c r="DZ75" s="227">
        <f t="shared" si="1866"/>
        <v>2644.05</v>
      </c>
      <c r="EA75" s="138">
        <f t="shared" si="1895"/>
        <v>0</v>
      </c>
      <c r="EB75" s="110">
        <f t="shared" si="1896"/>
        <v>0</v>
      </c>
      <c r="EC75" s="110"/>
      <c r="ED75" s="139"/>
      <c r="EE75" s="140" t="e">
        <f t="shared" si="1897"/>
        <v>#DIV/0!</v>
      </c>
      <c r="EF75" s="198">
        <f t="shared" si="1862"/>
        <v>0</v>
      </c>
      <c r="EG75" s="225">
        <f t="shared" si="1898"/>
        <v>0</v>
      </c>
      <c r="EH75" s="226">
        <f t="shared" si="1899"/>
        <v>0</v>
      </c>
      <c r="EI75" s="137">
        <f t="shared" si="1900"/>
        <v>0</v>
      </c>
      <c r="EJ75" s="227">
        <f t="shared" si="1866"/>
        <v>3163.33</v>
      </c>
      <c r="EK75" s="138">
        <f t="shared" si="1902"/>
        <v>0</v>
      </c>
      <c r="EL75" s="110">
        <f t="shared" si="1903"/>
        <v>0</v>
      </c>
      <c r="EM75" s="110"/>
      <c r="EN75" s="139"/>
      <c r="EO75" s="140" t="e">
        <f t="shared" si="1904"/>
        <v>#DIV/0!</v>
      </c>
      <c r="EP75" s="198">
        <f t="shared" si="1862"/>
        <v>0</v>
      </c>
      <c r="EQ75" s="225">
        <f t="shared" si="1905"/>
        <v>0</v>
      </c>
      <c r="ER75" s="226">
        <f t="shared" si="1906"/>
        <v>0</v>
      </c>
      <c r="ES75" s="137">
        <f t="shared" si="1907"/>
        <v>0</v>
      </c>
      <c r="ET75" s="227">
        <f t="shared" si="1866"/>
        <v>3163.33</v>
      </c>
      <c r="EU75" s="138">
        <f t="shared" si="1909"/>
        <v>0</v>
      </c>
      <c r="EV75" s="110">
        <f t="shared" si="1910"/>
        <v>0</v>
      </c>
      <c r="EW75" s="110"/>
      <c r="EX75" s="139"/>
      <c r="EY75" s="140" t="e">
        <f t="shared" si="1911"/>
        <v>#DIV/0!</v>
      </c>
      <c r="EZ75" s="198">
        <f t="shared" si="1912"/>
        <v>0</v>
      </c>
      <c r="FA75" s="225">
        <f t="shared" si="1913"/>
        <v>0</v>
      </c>
      <c r="FB75" s="226">
        <f t="shared" si="1914"/>
        <v>0</v>
      </c>
      <c r="FC75" s="137">
        <f t="shared" si="1915"/>
        <v>0</v>
      </c>
      <c r="FD75" s="227">
        <f t="shared" si="1916"/>
        <v>0</v>
      </c>
      <c r="FE75" s="138">
        <f t="shared" si="1917"/>
        <v>0</v>
      </c>
      <c r="FF75" s="110">
        <f t="shared" si="1918"/>
        <v>0</v>
      </c>
      <c r="FG75" s="110"/>
      <c r="FH75" s="139"/>
      <c r="FI75" s="140" t="e">
        <f t="shared" si="1919"/>
        <v>#DIV/0!</v>
      </c>
      <c r="FJ75" s="198">
        <f t="shared" si="1912"/>
        <v>0</v>
      </c>
      <c r="FK75" s="225">
        <f t="shared" si="1920"/>
        <v>0</v>
      </c>
      <c r="FL75" s="226">
        <f t="shared" si="1921"/>
        <v>0</v>
      </c>
      <c r="FM75" s="137">
        <f t="shared" si="1922"/>
        <v>0</v>
      </c>
      <c r="FN75" s="227">
        <f t="shared" si="1916"/>
        <v>3163.33</v>
      </c>
      <c r="FO75" s="138">
        <f t="shared" si="1924"/>
        <v>0</v>
      </c>
      <c r="FP75" s="110">
        <f t="shared" si="1925"/>
        <v>0</v>
      </c>
      <c r="FQ75" s="110"/>
      <c r="FR75" s="139"/>
      <c r="FS75" s="140" t="e">
        <f t="shared" si="1926"/>
        <v>#DIV/0!</v>
      </c>
      <c r="FT75" s="198">
        <f t="shared" si="1912"/>
        <v>0</v>
      </c>
      <c r="FU75" s="225">
        <f t="shared" si="1927"/>
        <v>0</v>
      </c>
      <c r="FV75" s="226">
        <f t="shared" si="1928"/>
        <v>0</v>
      </c>
      <c r="FW75" s="137">
        <f t="shared" si="1929"/>
        <v>0</v>
      </c>
      <c r="FX75" s="227">
        <f t="shared" si="1916"/>
        <v>3163.33</v>
      </c>
      <c r="FY75" s="138">
        <f t="shared" si="1931"/>
        <v>0</v>
      </c>
      <c r="FZ75" s="110">
        <f t="shared" si="1932"/>
        <v>0</v>
      </c>
      <c r="GA75" s="110"/>
      <c r="GB75" s="139"/>
      <c r="GC75" s="140" t="e">
        <f t="shared" si="1933"/>
        <v>#DIV/0!</v>
      </c>
      <c r="GD75" s="198">
        <f t="shared" si="1912"/>
        <v>0</v>
      </c>
      <c r="GE75" s="225">
        <f t="shared" si="1934"/>
        <v>0</v>
      </c>
      <c r="GF75" s="226">
        <f t="shared" si="1935"/>
        <v>0</v>
      </c>
      <c r="GG75" s="137">
        <f t="shared" si="1936"/>
        <v>0</v>
      </c>
      <c r="GH75" s="227">
        <f t="shared" si="1916"/>
        <v>0</v>
      </c>
      <c r="GI75" s="138">
        <f t="shared" si="1938"/>
        <v>0</v>
      </c>
      <c r="GJ75" s="110">
        <f t="shared" si="1939"/>
        <v>0</v>
      </c>
      <c r="GK75" s="110"/>
      <c r="GL75" s="139"/>
      <c r="GM75" s="140" t="e">
        <f t="shared" si="1940"/>
        <v>#DIV/0!</v>
      </c>
      <c r="GN75" s="198">
        <f t="shared" si="1912"/>
        <v>0</v>
      </c>
      <c r="GO75" s="225">
        <f t="shared" si="1941"/>
        <v>0</v>
      </c>
      <c r="GP75" s="226">
        <f t="shared" si="1942"/>
        <v>0</v>
      </c>
      <c r="GQ75" s="137">
        <f t="shared" si="1943"/>
        <v>0</v>
      </c>
      <c r="GR75" s="227">
        <f t="shared" si="1944"/>
        <v>2644.05</v>
      </c>
      <c r="GS75" s="138">
        <f t="shared" si="1945"/>
        <v>0</v>
      </c>
      <c r="GT75" s="110">
        <f t="shared" si="1946"/>
        <v>0</v>
      </c>
      <c r="GU75" s="110"/>
      <c r="GV75" s="139"/>
      <c r="GW75" s="140" t="e">
        <f t="shared" si="1947"/>
        <v>#DIV/0!</v>
      </c>
      <c r="GX75" s="198">
        <f t="shared" si="1912"/>
        <v>0</v>
      </c>
      <c r="GY75" s="225">
        <f t="shared" si="1948"/>
        <v>0</v>
      </c>
      <c r="GZ75" s="226">
        <f t="shared" si="1949"/>
        <v>0</v>
      </c>
      <c r="HA75" s="137">
        <f t="shared" si="1950"/>
        <v>0</v>
      </c>
      <c r="HB75" s="227">
        <f t="shared" si="1944"/>
        <v>2644.05</v>
      </c>
      <c r="HC75" s="138">
        <f t="shared" si="1952"/>
        <v>0</v>
      </c>
      <c r="HD75" s="110">
        <f t="shared" si="1953"/>
        <v>0</v>
      </c>
      <c r="HE75" s="110"/>
      <c r="HF75" s="139"/>
      <c r="HG75" s="140" t="e">
        <f t="shared" si="1954"/>
        <v>#DIV/0!</v>
      </c>
      <c r="HH75" s="198">
        <f t="shared" si="1912"/>
        <v>0</v>
      </c>
      <c r="HI75" s="225">
        <f t="shared" si="1955"/>
        <v>0</v>
      </c>
      <c r="HJ75" s="226">
        <f t="shared" si="1956"/>
        <v>0</v>
      </c>
      <c r="HK75" s="137">
        <f t="shared" si="1957"/>
        <v>0</v>
      </c>
      <c r="HL75" s="227">
        <f t="shared" si="1944"/>
        <v>2597.2199999999998</v>
      </c>
      <c r="HM75" s="138">
        <f t="shared" si="1959"/>
        <v>0</v>
      </c>
      <c r="HN75" s="110">
        <f t="shared" si="1960"/>
        <v>0</v>
      </c>
      <c r="HO75" s="110"/>
      <c r="HP75" s="139"/>
      <c r="HQ75" s="140" t="e">
        <f t="shared" si="1961"/>
        <v>#DIV/0!</v>
      </c>
      <c r="HR75" s="198">
        <f t="shared" si="1962"/>
        <v>0</v>
      </c>
      <c r="HS75" s="225">
        <f t="shared" si="1963"/>
        <v>0</v>
      </c>
      <c r="HT75" s="226">
        <f t="shared" si="1964"/>
        <v>0</v>
      </c>
      <c r="HU75" s="137">
        <f t="shared" si="1965"/>
        <v>0</v>
      </c>
      <c r="HV75" s="227">
        <f t="shared" si="1944"/>
        <v>3163.33</v>
      </c>
      <c r="HW75" s="138">
        <f t="shared" si="1967"/>
        <v>0</v>
      </c>
      <c r="HX75" s="110">
        <f t="shared" si="1968"/>
        <v>0</v>
      </c>
      <c r="HY75" s="110"/>
      <c r="HZ75" s="139"/>
      <c r="IA75" s="140" t="e">
        <f t="shared" si="1969"/>
        <v>#DIV/0!</v>
      </c>
      <c r="IB75" s="198">
        <f t="shared" si="1962"/>
        <v>0</v>
      </c>
      <c r="IC75" s="225">
        <f t="shared" si="1970"/>
        <v>0</v>
      </c>
      <c r="ID75" s="226">
        <f t="shared" si="1971"/>
        <v>0</v>
      </c>
      <c r="IE75" s="137">
        <f t="shared" si="1972"/>
        <v>0</v>
      </c>
      <c r="IF75" s="227">
        <f t="shared" si="1973"/>
        <v>3163.33</v>
      </c>
      <c r="IG75" s="138">
        <f t="shared" si="1974"/>
        <v>0</v>
      </c>
      <c r="IH75" s="110">
        <f t="shared" si="1975"/>
        <v>0</v>
      </c>
      <c r="II75" s="110"/>
      <c r="IJ75" s="139"/>
      <c r="IK75" s="140" t="e">
        <f t="shared" si="1976"/>
        <v>#DIV/0!</v>
      </c>
      <c r="IL75" s="198">
        <f t="shared" si="1962"/>
        <v>0</v>
      </c>
      <c r="IM75" s="225">
        <f t="shared" si="1977"/>
        <v>0</v>
      </c>
      <c r="IN75" s="226">
        <f t="shared" si="1978"/>
        <v>0</v>
      </c>
      <c r="IO75" s="137">
        <f t="shared" si="1979"/>
        <v>0</v>
      </c>
      <c r="IP75" s="227">
        <f t="shared" si="1973"/>
        <v>2644.05</v>
      </c>
      <c r="IQ75" s="138">
        <f t="shared" si="1981"/>
        <v>0</v>
      </c>
      <c r="IR75" s="110">
        <f t="shared" si="1982"/>
        <v>0</v>
      </c>
      <c r="IS75" s="110"/>
      <c r="IT75" s="139"/>
      <c r="IU75" s="140" t="e">
        <f t="shared" si="1983"/>
        <v>#DIV/0!</v>
      </c>
      <c r="IV75" s="198">
        <f t="shared" si="1962"/>
        <v>0</v>
      </c>
      <c r="IW75" s="225">
        <f t="shared" si="1984"/>
        <v>0</v>
      </c>
      <c r="IX75" s="226">
        <f t="shared" si="1985"/>
        <v>0</v>
      </c>
      <c r="IY75" s="137">
        <f t="shared" si="1986"/>
        <v>0</v>
      </c>
      <c r="IZ75" s="227">
        <f t="shared" si="1973"/>
        <v>3163.33</v>
      </c>
      <c r="JA75" s="138">
        <f t="shared" si="1988"/>
        <v>0</v>
      </c>
      <c r="JB75" s="110">
        <f t="shared" si="1989"/>
        <v>0</v>
      </c>
      <c r="JC75" s="110"/>
      <c r="JD75" s="139"/>
      <c r="JE75" s="140" t="e">
        <f t="shared" si="1990"/>
        <v>#DIV/0!</v>
      </c>
      <c r="JF75" s="198">
        <f t="shared" si="1962"/>
        <v>0</v>
      </c>
      <c r="JG75" s="225">
        <f t="shared" si="1991"/>
        <v>0</v>
      </c>
      <c r="JH75" s="226">
        <f t="shared" si="1992"/>
        <v>0</v>
      </c>
      <c r="JI75" s="137">
        <f t="shared" si="1993"/>
        <v>0</v>
      </c>
      <c r="JJ75" s="227">
        <f t="shared" si="1973"/>
        <v>2644.05</v>
      </c>
      <c r="JK75" s="138">
        <f t="shared" si="1995"/>
        <v>0</v>
      </c>
      <c r="JL75" s="110">
        <f t="shared" si="1996"/>
        <v>0</v>
      </c>
      <c r="JM75" s="110"/>
      <c r="JN75" s="139"/>
      <c r="JO75" s="140" t="e">
        <f t="shared" si="1997"/>
        <v>#DIV/0!</v>
      </c>
      <c r="JP75" s="198">
        <f t="shared" si="1962"/>
        <v>0</v>
      </c>
      <c r="JQ75" s="225">
        <f t="shared" si="1998"/>
        <v>0</v>
      </c>
      <c r="JR75" s="226">
        <f t="shared" si="1999"/>
        <v>0</v>
      </c>
      <c r="JS75" s="137">
        <f t="shared" si="2000"/>
        <v>0</v>
      </c>
      <c r="JT75" s="227">
        <f t="shared" si="2001"/>
        <v>2632.02</v>
      </c>
      <c r="JU75" s="138">
        <f t="shared" si="2002"/>
        <v>0</v>
      </c>
      <c r="JV75" s="110">
        <f t="shared" si="2003"/>
        <v>0</v>
      </c>
      <c r="JW75" s="110"/>
      <c r="JX75" s="139"/>
      <c r="JY75" s="140" t="e">
        <f t="shared" si="2004"/>
        <v>#DIV/0!</v>
      </c>
      <c r="JZ75" s="198">
        <f t="shared" si="1962"/>
        <v>0</v>
      </c>
      <c r="KA75" s="225">
        <f t="shared" si="2005"/>
        <v>0</v>
      </c>
      <c r="KB75" s="226">
        <f t="shared" si="2006"/>
        <v>0</v>
      </c>
      <c r="KC75" s="137">
        <f t="shared" si="2007"/>
        <v>0</v>
      </c>
      <c r="KD75" s="227">
        <f t="shared" si="2001"/>
        <v>3163.33</v>
      </c>
      <c r="KE75" s="138">
        <f t="shared" si="2009"/>
        <v>0</v>
      </c>
      <c r="KF75" s="110">
        <f t="shared" si="2010"/>
        <v>0</v>
      </c>
      <c r="KG75" s="110"/>
      <c r="KH75" s="139"/>
      <c r="KI75" s="140" t="e">
        <f t="shared" si="2011"/>
        <v>#DIV/0!</v>
      </c>
      <c r="KJ75" s="198">
        <f t="shared" si="2012"/>
        <v>0</v>
      </c>
      <c r="KK75" s="225">
        <f t="shared" si="2013"/>
        <v>0</v>
      </c>
      <c r="KL75" s="226">
        <f t="shared" si="2014"/>
        <v>0</v>
      </c>
      <c r="KM75" s="137">
        <f t="shared" si="2015"/>
        <v>0</v>
      </c>
      <c r="KN75" s="227">
        <f t="shared" si="2001"/>
        <v>2644.05</v>
      </c>
      <c r="KO75" s="138">
        <f t="shared" si="2017"/>
        <v>0</v>
      </c>
      <c r="KP75" s="110">
        <f t="shared" si="2018"/>
        <v>0</v>
      </c>
      <c r="KQ75" s="110"/>
      <c r="KR75" s="139"/>
      <c r="KS75" s="140" t="e">
        <f t="shared" si="2019"/>
        <v>#DIV/0!</v>
      </c>
      <c r="KT75" s="198">
        <f t="shared" si="2012"/>
        <v>0</v>
      </c>
      <c r="KU75" s="225">
        <f t="shared" si="2020"/>
        <v>0</v>
      </c>
      <c r="KV75" s="226">
        <f t="shared" si="2021"/>
        <v>0</v>
      </c>
      <c r="KW75" s="137">
        <f t="shared" si="2022"/>
        <v>0</v>
      </c>
      <c r="KX75" s="227">
        <f t="shared" si="2001"/>
        <v>3163.33</v>
      </c>
      <c r="KY75" s="138">
        <f t="shared" si="2024"/>
        <v>0</v>
      </c>
      <c r="KZ75" s="110">
        <f t="shared" si="2025"/>
        <v>0</v>
      </c>
      <c r="LA75" s="110"/>
      <c r="LB75" s="139"/>
      <c r="LC75" s="140" t="e">
        <f t="shared" si="2026"/>
        <v>#DIV/0!</v>
      </c>
      <c r="LD75" s="197">
        <f t="shared" si="2027"/>
        <v>0</v>
      </c>
      <c r="LE75" s="225">
        <f t="shared" si="2028"/>
        <v>0</v>
      </c>
      <c r="LF75" s="226">
        <f t="shared" si="2029"/>
        <v>0</v>
      </c>
      <c r="LG75" s="137">
        <f t="shared" si="2030"/>
        <v>0</v>
      </c>
      <c r="LH75" s="227">
        <f t="shared" si="2031"/>
        <v>2869.57</v>
      </c>
      <c r="LI75" s="138">
        <f t="shared" si="2032"/>
        <v>0</v>
      </c>
      <c r="LJ75" s="110">
        <f t="shared" si="2033"/>
        <v>0</v>
      </c>
      <c r="LK75" s="110"/>
      <c r="LL75" s="139"/>
    </row>
    <row r="76" spans="1:324" ht="24" x14ac:dyDescent="0.25">
      <c r="A76" s="246"/>
      <c r="B76" s="12" t="s">
        <v>627</v>
      </c>
      <c r="C76" s="12" t="s">
        <v>729</v>
      </c>
      <c r="D76" s="12" t="s">
        <v>429</v>
      </c>
      <c r="E76" s="4" t="s">
        <v>34</v>
      </c>
      <c r="F76" s="198">
        <f t="shared" si="1807"/>
        <v>0</v>
      </c>
      <c r="G76" s="225">
        <f t="shared" si="2034"/>
        <v>0</v>
      </c>
      <c r="H76" s="226">
        <f t="shared" si="2035"/>
        <v>0</v>
      </c>
      <c r="I76" s="137">
        <f t="shared" si="1808"/>
        <v>0</v>
      </c>
      <c r="J76" s="227">
        <f t="shared" si="2036"/>
        <v>2644.05</v>
      </c>
      <c r="K76" s="138">
        <f t="shared" si="1809"/>
        <v>0</v>
      </c>
      <c r="L76" s="110">
        <f t="shared" si="1810"/>
        <v>0</v>
      </c>
      <c r="M76" s="110"/>
      <c r="N76" s="139"/>
      <c r="O76" s="140">
        <f t="shared" si="1811"/>
        <v>0</v>
      </c>
      <c r="P76" s="198">
        <f t="shared" si="1812"/>
        <v>0</v>
      </c>
      <c r="Q76" s="225">
        <f t="shared" si="1813"/>
        <v>0</v>
      </c>
      <c r="R76" s="226">
        <f t="shared" si="1814"/>
        <v>0</v>
      </c>
      <c r="S76" s="137">
        <f t="shared" si="1815"/>
        <v>0</v>
      </c>
      <c r="T76" s="227">
        <f t="shared" si="1816"/>
        <v>3163.33</v>
      </c>
      <c r="U76" s="138">
        <f t="shared" si="1817"/>
        <v>0</v>
      </c>
      <c r="V76" s="110">
        <f t="shared" si="1818"/>
        <v>0</v>
      </c>
      <c r="W76" s="110"/>
      <c r="X76" s="139"/>
      <c r="Y76" s="140">
        <f t="shared" si="1819"/>
        <v>0</v>
      </c>
      <c r="Z76" s="198">
        <f t="shared" si="1812"/>
        <v>0</v>
      </c>
      <c r="AA76" s="225">
        <f t="shared" si="1820"/>
        <v>0</v>
      </c>
      <c r="AB76" s="226">
        <f t="shared" si="1821"/>
        <v>0</v>
      </c>
      <c r="AC76" s="137">
        <f t="shared" si="1822"/>
        <v>0</v>
      </c>
      <c r="AD76" s="227">
        <f t="shared" si="1816"/>
        <v>2608.17</v>
      </c>
      <c r="AE76" s="138">
        <f t="shared" si="1824"/>
        <v>0</v>
      </c>
      <c r="AF76" s="110">
        <f t="shared" si="1825"/>
        <v>0</v>
      </c>
      <c r="AG76" s="110"/>
      <c r="AH76" s="139"/>
      <c r="AI76" s="140">
        <f t="shared" si="1826"/>
        <v>0</v>
      </c>
      <c r="AJ76" s="198">
        <f t="shared" si="1812"/>
        <v>3</v>
      </c>
      <c r="AK76" s="225">
        <f t="shared" si="1827"/>
        <v>4.5100000000000001E-3</v>
      </c>
      <c r="AL76" s="226">
        <f t="shared" si="1828"/>
        <v>1.56</v>
      </c>
      <c r="AM76" s="137">
        <f t="shared" si="1829"/>
        <v>0.52</v>
      </c>
      <c r="AN76" s="227">
        <f t="shared" si="1816"/>
        <v>2644.05</v>
      </c>
      <c r="AO76" s="138">
        <f t="shared" si="1831"/>
        <v>1374.9059999999999</v>
      </c>
      <c r="AP76" s="110">
        <f t="shared" si="1832"/>
        <v>4124.72</v>
      </c>
      <c r="AQ76" s="110"/>
      <c r="AR76" s="139"/>
      <c r="AS76" s="140">
        <f t="shared" si="1833"/>
        <v>0.77781</v>
      </c>
      <c r="AT76" s="198">
        <f t="shared" si="1812"/>
        <v>0</v>
      </c>
      <c r="AU76" s="225">
        <f t="shared" si="1834"/>
        <v>0</v>
      </c>
      <c r="AV76" s="226">
        <f t="shared" si="1835"/>
        <v>0</v>
      </c>
      <c r="AW76" s="137">
        <f t="shared" si="1836"/>
        <v>0</v>
      </c>
      <c r="AX76" s="227">
        <f t="shared" si="1816"/>
        <v>1786.28</v>
      </c>
      <c r="AY76" s="138">
        <f t="shared" si="1838"/>
        <v>0</v>
      </c>
      <c r="AZ76" s="110">
        <f t="shared" si="1839"/>
        <v>0</v>
      </c>
      <c r="BA76" s="110"/>
      <c r="BB76" s="139"/>
      <c r="BC76" s="140">
        <f t="shared" si="1840"/>
        <v>0</v>
      </c>
      <c r="BD76" s="198">
        <f t="shared" si="1812"/>
        <v>0</v>
      </c>
      <c r="BE76" s="225">
        <f t="shared" si="1841"/>
        <v>0</v>
      </c>
      <c r="BF76" s="226">
        <f t="shared" si="1842"/>
        <v>0</v>
      </c>
      <c r="BG76" s="137">
        <f t="shared" si="1843"/>
        <v>0</v>
      </c>
      <c r="BH76" s="227">
        <f t="shared" si="1816"/>
        <v>3163.33</v>
      </c>
      <c r="BI76" s="138">
        <f t="shared" si="1845"/>
        <v>0</v>
      </c>
      <c r="BJ76" s="110">
        <f t="shared" si="1846"/>
        <v>0</v>
      </c>
      <c r="BK76" s="110"/>
      <c r="BL76" s="139"/>
      <c r="BM76" s="140">
        <f t="shared" si="1847"/>
        <v>0</v>
      </c>
      <c r="BN76" s="198">
        <f t="shared" si="1812"/>
        <v>0</v>
      </c>
      <c r="BO76" s="225">
        <f t="shared" si="1848"/>
        <v>0</v>
      </c>
      <c r="BP76" s="226">
        <f t="shared" si="1849"/>
        <v>0</v>
      </c>
      <c r="BQ76" s="137">
        <f t="shared" si="1850"/>
        <v>0</v>
      </c>
      <c r="BR76" s="227">
        <f t="shared" si="1816"/>
        <v>2182.42</v>
      </c>
      <c r="BS76" s="138">
        <f t="shared" si="1852"/>
        <v>0</v>
      </c>
      <c r="BT76" s="110">
        <f t="shared" si="1853"/>
        <v>0</v>
      </c>
      <c r="BU76" s="110"/>
      <c r="BV76" s="139"/>
      <c r="BW76" s="140">
        <f t="shared" si="1854"/>
        <v>0</v>
      </c>
      <c r="BX76" s="198">
        <f t="shared" si="1812"/>
        <v>0</v>
      </c>
      <c r="BY76" s="225">
        <f t="shared" si="1855"/>
        <v>0</v>
      </c>
      <c r="BZ76" s="226">
        <f t="shared" si="1856"/>
        <v>0</v>
      </c>
      <c r="CA76" s="137">
        <f t="shared" si="1857"/>
        <v>0</v>
      </c>
      <c r="CB76" s="227">
        <f t="shared" si="1816"/>
        <v>2644.05</v>
      </c>
      <c r="CC76" s="138">
        <f t="shared" si="1859"/>
        <v>0</v>
      </c>
      <c r="CD76" s="110">
        <f t="shared" si="1860"/>
        <v>0</v>
      </c>
      <c r="CE76" s="110"/>
      <c r="CF76" s="139"/>
      <c r="CG76" s="140">
        <f t="shared" si="1861"/>
        <v>0</v>
      </c>
      <c r="CH76" s="198">
        <f t="shared" si="1862"/>
        <v>0</v>
      </c>
      <c r="CI76" s="225">
        <f t="shared" si="1863"/>
        <v>0</v>
      </c>
      <c r="CJ76" s="226">
        <f t="shared" si="1864"/>
        <v>0</v>
      </c>
      <c r="CK76" s="137">
        <f t="shared" si="1865"/>
        <v>0</v>
      </c>
      <c r="CL76" s="227">
        <f t="shared" si="1866"/>
        <v>2644.05</v>
      </c>
      <c r="CM76" s="138">
        <f t="shared" si="1867"/>
        <v>0</v>
      </c>
      <c r="CN76" s="110">
        <f t="shared" si="1868"/>
        <v>0</v>
      </c>
      <c r="CO76" s="110"/>
      <c r="CP76" s="139"/>
      <c r="CQ76" s="140">
        <f t="shared" si="1869"/>
        <v>0</v>
      </c>
      <c r="CR76" s="198">
        <f t="shared" si="1862"/>
        <v>2</v>
      </c>
      <c r="CS76" s="225">
        <f t="shared" si="1870"/>
        <v>2.6900000000000001E-3</v>
      </c>
      <c r="CT76" s="226">
        <f t="shared" si="1871"/>
        <v>1.35</v>
      </c>
      <c r="CU76" s="137">
        <f t="shared" si="1872"/>
        <v>0.67500000000000004</v>
      </c>
      <c r="CV76" s="227">
        <f t="shared" si="1866"/>
        <v>3163.33</v>
      </c>
      <c r="CW76" s="138">
        <f t="shared" si="1874"/>
        <v>2135.24775</v>
      </c>
      <c r="CX76" s="110">
        <f t="shared" si="1875"/>
        <v>4270.5</v>
      </c>
      <c r="CY76" s="110"/>
      <c r="CZ76" s="139"/>
      <c r="DA76" s="140">
        <f t="shared" si="1876"/>
        <v>1.2079500000000001</v>
      </c>
      <c r="DB76" s="198">
        <f t="shared" si="1862"/>
        <v>0</v>
      </c>
      <c r="DC76" s="225">
        <f t="shared" si="1877"/>
        <v>0</v>
      </c>
      <c r="DD76" s="226">
        <f t="shared" si="1878"/>
        <v>0</v>
      </c>
      <c r="DE76" s="137">
        <f t="shared" si="1879"/>
        <v>0</v>
      </c>
      <c r="DF76" s="227">
        <f t="shared" si="1866"/>
        <v>2644.05</v>
      </c>
      <c r="DG76" s="138">
        <f t="shared" si="1881"/>
        <v>0</v>
      </c>
      <c r="DH76" s="110">
        <f t="shared" si="1882"/>
        <v>0</v>
      </c>
      <c r="DI76" s="110"/>
      <c r="DJ76" s="139"/>
      <c r="DK76" s="140">
        <f t="shared" si="1883"/>
        <v>0</v>
      </c>
      <c r="DL76" s="198">
        <f t="shared" si="1862"/>
        <v>0</v>
      </c>
      <c r="DM76" s="225">
        <f t="shared" si="1884"/>
        <v>0</v>
      </c>
      <c r="DN76" s="226">
        <f t="shared" si="1885"/>
        <v>0</v>
      </c>
      <c r="DO76" s="137">
        <f t="shared" si="1886"/>
        <v>0</v>
      </c>
      <c r="DP76" s="227">
        <f t="shared" si="1866"/>
        <v>2644.05</v>
      </c>
      <c r="DQ76" s="138">
        <f t="shared" si="1888"/>
        <v>0</v>
      </c>
      <c r="DR76" s="110">
        <f t="shared" si="1889"/>
        <v>0</v>
      </c>
      <c r="DS76" s="110"/>
      <c r="DT76" s="139"/>
      <c r="DU76" s="140">
        <f t="shared" si="1890"/>
        <v>0</v>
      </c>
      <c r="DV76" s="198">
        <f t="shared" si="1862"/>
        <v>0</v>
      </c>
      <c r="DW76" s="225">
        <f t="shared" si="1891"/>
        <v>0</v>
      </c>
      <c r="DX76" s="226">
        <f t="shared" si="1892"/>
        <v>0</v>
      </c>
      <c r="DY76" s="137">
        <f t="shared" si="1893"/>
        <v>0</v>
      </c>
      <c r="DZ76" s="227">
        <f t="shared" si="1866"/>
        <v>2644.05</v>
      </c>
      <c r="EA76" s="138">
        <f t="shared" si="1895"/>
        <v>0</v>
      </c>
      <c r="EB76" s="110">
        <f t="shared" si="1896"/>
        <v>0</v>
      </c>
      <c r="EC76" s="110"/>
      <c r="ED76" s="139"/>
      <c r="EE76" s="140">
        <f t="shared" si="1897"/>
        <v>0</v>
      </c>
      <c r="EF76" s="198">
        <f t="shared" si="1862"/>
        <v>2</v>
      </c>
      <c r="EG76" s="225">
        <f t="shared" si="1898"/>
        <v>2.1299999999999999E-3</v>
      </c>
      <c r="EH76" s="226">
        <f t="shared" si="1899"/>
        <v>0.81</v>
      </c>
      <c r="EI76" s="137">
        <f t="shared" si="1900"/>
        <v>0.40500000000000003</v>
      </c>
      <c r="EJ76" s="227">
        <f t="shared" si="1866"/>
        <v>3163.33</v>
      </c>
      <c r="EK76" s="138">
        <f t="shared" si="1902"/>
        <v>1281.1486500000001</v>
      </c>
      <c r="EL76" s="110">
        <f t="shared" si="1903"/>
        <v>2562.3000000000002</v>
      </c>
      <c r="EM76" s="110"/>
      <c r="EN76" s="139"/>
      <c r="EO76" s="140">
        <f t="shared" si="1904"/>
        <v>0.72477000000000003</v>
      </c>
      <c r="EP76" s="198">
        <f t="shared" si="1862"/>
        <v>2</v>
      </c>
      <c r="EQ76" s="225">
        <f t="shared" si="1905"/>
        <v>2.1199999999999999E-3</v>
      </c>
      <c r="ER76" s="226">
        <f t="shared" si="1906"/>
        <v>1.51</v>
      </c>
      <c r="ES76" s="137">
        <f t="shared" si="1907"/>
        <v>0.755</v>
      </c>
      <c r="ET76" s="227">
        <f t="shared" si="1866"/>
        <v>3163.33</v>
      </c>
      <c r="EU76" s="138">
        <f t="shared" si="1909"/>
        <v>2388.3141500000002</v>
      </c>
      <c r="EV76" s="110">
        <f t="shared" si="1910"/>
        <v>4776.63</v>
      </c>
      <c r="EW76" s="110"/>
      <c r="EX76" s="139"/>
      <c r="EY76" s="140">
        <f t="shared" si="1911"/>
        <v>1.3511200000000001</v>
      </c>
      <c r="EZ76" s="198">
        <f t="shared" si="1912"/>
        <v>1</v>
      </c>
      <c r="FA76" s="225">
        <f t="shared" si="1913"/>
        <v>8.9999999999999998E-4</v>
      </c>
      <c r="FB76" s="226">
        <f t="shared" si="1914"/>
        <v>0</v>
      </c>
      <c r="FC76" s="137">
        <f t="shared" si="1915"/>
        <v>0</v>
      </c>
      <c r="FD76" s="227">
        <f t="shared" si="1916"/>
        <v>0</v>
      </c>
      <c r="FE76" s="138">
        <f t="shared" si="1917"/>
        <v>0</v>
      </c>
      <c r="FF76" s="110">
        <f t="shared" si="1918"/>
        <v>0</v>
      </c>
      <c r="FG76" s="110"/>
      <c r="FH76" s="139"/>
      <c r="FI76" s="140">
        <f t="shared" si="1919"/>
        <v>0</v>
      </c>
      <c r="FJ76" s="198">
        <f t="shared" si="1912"/>
        <v>1</v>
      </c>
      <c r="FK76" s="225">
        <f t="shared" si="1920"/>
        <v>9.7999999999999997E-4</v>
      </c>
      <c r="FL76" s="226">
        <f t="shared" si="1921"/>
        <v>0.52</v>
      </c>
      <c r="FM76" s="137">
        <f t="shared" si="1922"/>
        <v>0.52</v>
      </c>
      <c r="FN76" s="227">
        <f t="shared" si="1916"/>
        <v>3163.33</v>
      </c>
      <c r="FO76" s="138">
        <f t="shared" si="1924"/>
        <v>1644.9315999999999</v>
      </c>
      <c r="FP76" s="110">
        <f t="shared" si="1925"/>
        <v>1644.93</v>
      </c>
      <c r="FQ76" s="110"/>
      <c r="FR76" s="139"/>
      <c r="FS76" s="140">
        <f t="shared" si="1926"/>
        <v>0.93057000000000001</v>
      </c>
      <c r="FT76" s="198">
        <f t="shared" si="1912"/>
        <v>1</v>
      </c>
      <c r="FU76" s="225">
        <f t="shared" si="1927"/>
        <v>1.25E-3</v>
      </c>
      <c r="FV76" s="226">
        <f t="shared" si="1928"/>
        <v>0.59</v>
      </c>
      <c r="FW76" s="137">
        <f t="shared" si="1929"/>
        <v>0.59</v>
      </c>
      <c r="FX76" s="227">
        <f t="shared" si="1916"/>
        <v>3163.33</v>
      </c>
      <c r="FY76" s="138">
        <f t="shared" si="1931"/>
        <v>1866.3647000000001</v>
      </c>
      <c r="FZ76" s="110">
        <f t="shared" si="1932"/>
        <v>1866.36</v>
      </c>
      <c r="GA76" s="110"/>
      <c r="GB76" s="139"/>
      <c r="GC76" s="140">
        <f t="shared" si="1933"/>
        <v>1.0558399999999999</v>
      </c>
      <c r="GD76" s="198">
        <f t="shared" si="1912"/>
        <v>2</v>
      </c>
      <c r="GE76" s="225">
        <f t="shared" si="1934"/>
        <v>3.9100000000000003E-3</v>
      </c>
      <c r="GF76" s="226">
        <f t="shared" si="1935"/>
        <v>0</v>
      </c>
      <c r="GG76" s="137">
        <f t="shared" si="1936"/>
        <v>0</v>
      </c>
      <c r="GH76" s="227">
        <f t="shared" si="1916"/>
        <v>0</v>
      </c>
      <c r="GI76" s="138">
        <f t="shared" si="1938"/>
        <v>0</v>
      </c>
      <c r="GJ76" s="110">
        <f t="shared" si="1939"/>
        <v>0</v>
      </c>
      <c r="GK76" s="110"/>
      <c r="GL76" s="139"/>
      <c r="GM76" s="140">
        <f t="shared" si="1940"/>
        <v>0</v>
      </c>
      <c r="GN76" s="198">
        <f t="shared" si="1912"/>
        <v>0</v>
      </c>
      <c r="GO76" s="225">
        <f t="shared" si="1941"/>
        <v>0</v>
      </c>
      <c r="GP76" s="226">
        <f t="shared" si="1942"/>
        <v>0</v>
      </c>
      <c r="GQ76" s="137">
        <f t="shared" si="1943"/>
        <v>0</v>
      </c>
      <c r="GR76" s="227">
        <f t="shared" si="1944"/>
        <v>2644.05</v>
      </c>
      <c r="GS76" s="138">
        <f t="shared" si="1945"/>
        <v>0</v>
      </c>
      <c r="GT76" s="110">
        <f t="shared" si="1946"/>
        <v>0</v>
      </c>
      <c r="GU76" s="110"/>
      <c r="GV76" s="139"/>
      <c r="GW76" s="140">
        <f t="shared" si="1947"/>
        <v>0</v>
      </c>
      <c r="GX76" s="198">
        <f t="shared" si="1912"/>
        <v>0</v>
      </c>
      <c r="GY76" s="225">
        <f t="shared" si="1948"/>
        <v>0</v>
      </c>
      <c r="GZ76" s="226">
        <f t="shared" si="1949"/>
        <v>0</v>
      </c>
      <c r="HA76" s="137">
        <f t="shared" si="1950"/>
        <v>0</v>
      </c>
      <c r="HB76" s="227">
        <f t="shared" si="1944"/>
        <v>2644.05</v>
      </c>
      <c r="HC76" s="138">
        <f t="shared" si="1952"/>
        <v>0</v>
      </c>
      <c r="HD76" s="110">
        <f t="shared" si="1953"/>
        <v>0</v>
      </c>
      <c r="HE76" s="110"/>
      <c r="HF76" s="139"/>
      <c r="HG76" s="140">
        <f t="shared" si="1954"/>
        <v>0</v>
      </c>
      <c r="HH76" s="198">
        <f t="shared" si="1912"/>
        <v>0</v>
      </c>
      <c r="HI76" s="225">
        <f t="shared" si="1955"/>
        <v>0</v>
      </c>
      <c r="HJ76" s="226">
        <f t="shared" si="1956"/>
        <v>0</v>
      </c>
      <c r="HK76" s="137">
        <f t="shared" si="1957"/>
        <v>0</v>
      </c>
      <c r="HL76" s="227">
        <f t="shared" si="1944"/>
        <v>2597.2199999999998</v>
      </c>
      <c r="HM76" s="138">
        <f t="shared" si="1959"/>
        <v>0</v>
      </c>
      <c r="HN76" s="110">
        <f t="shared" si="1960"/>
        <v>0</v>
      </c>
      <c r="HO76" s="110"/>
      <c r="HP76" s="139"/>
      <c r="HQ76" s="140">
        <f t="shared" si="1961"/>
        <v>0</v>
      </c>
      <c r="HR76" s="198">
        <f t="shared" si="1962"/>
        <v>3</v>
      </c>
      <c r="HS76" s="225">
        <f t="shared" si="1963"/>
        <v>3.81E-3</v>
      </c>
      <c r="HT76" s="226">
        <f t="shared" si="1964"/>
        <v>2.5299999999999998</v>
      </c>
      <c r="HU76" s="137">
        <f t="shared" si="1965"/>
        <v>0.84333332999999999</v>
      </c>
      <c r="HV76" s="227">
        <f t="shared" si="1944"/>
        <v>3163.33</v>
      </c>
      <c r="HW76" s="138">
        <f t="shared" si="1967"/>
        <v>2667.7416199999998</v>
      </c>
      <c r="HX76" s="110">
        <f t="shared" si="1968"/>
        <v>8003.22</v>
      </c>
      <c r="HY76" s="110"/>
      <c r="HZ76" s="139"/>
      <c r="IA76" s="140">
        <f t="shared" si="1969"/>
        <v>1.5092000000000001</v>
      </c>
      <c r="IB76" s="198">
        <f t="shared" si="1962"/>
        <v>2</v>
      </c>
      <c r="IC76" s="225">
        <f t="shared" si="1970"/>
        <v>3.65E-3</v>
      </c>
      <c r="ID76" s="226">
        <f t="shared" si="1971"/>
        <v>2.48</v>
      </c>
      <c r="IE76" s="137">
        <f t="shared" si="1972"/>
        <v>1.24</v>
      </c>
      <c r="IF76" s="227">
        <f t="shared" si="1973"/>
        <v>3163.33</v>
      </c>
      <c r="IG76" s="138">
        <f t="shared" si="1974"/>
        <v>3922.5291999999999</v>
      </c>
      <c r="IH76" s="110">
        <f t="shared" si="1975"/>
        <v>7845.06</v>
      </c>
      <c r="II76" s="110"/>
      <c r="IJ76" s="139"/>
      <c r="IK76" s="140">
        <f t="shared" si="1976"/>
        <v>2.2190599999999998</v>
      </c>
      <c r="IL76" s="198">
        <f t="shared" si="1962"/>
        <v>0</v>
      </c>
      <c r="IM76" s="225">
        <f t="shared" si="1977"/>
        <v>0</v>
      </c>
      <c r="IN76" s="226">
        <f t="shared" si="1978"/>
        <v>0</v>
      </c>
      <c r="IO76" s="137">
        <f t="shared" si="1979"/>
        <v>0</v>
      </c>
      <c r="IP76" s="227">
        <f t="shared" si="1973"/>
        <v>2644.05</v>
      </c>
      <c r="IQ76" s="138">
        <f t="shared" si="1981"/>
        <v>0</v>
      </c>
      <c r="IR76" s="110">
        <f t="shared" si="1982"/>
        <v>0</v>
      </c>
      <c r="IS76" s="110"/>
      <c r="IT76" s="139"/>
      <c r="IU76" s="140">
        <f t="shared" si="1983"/>
        <v>0</v>
      </c>
      <c r="IV76" s="198">
        <f t="shared" si="1962"/>
        <v>14</v>
      </c>
      <c r="IW76" s="225">
        <f t="shared" si="1984"/>
        <v>1.8159999999999999E-2</v>
      </c>
      <c r="IX76" s="226">
        <f t="shared" si="1985"/>
        <v>9.16</v>
      </c>
      <c r="IY76" s="137">
        <f t="shared" si="1986"/>
        <v>0.65428571000000002</v>
      </c>
      <c r="IZ76" s="227">
        <f t="shared" si="1973"/>
        <v>3163.33</v>
      </c>
      <c r="JA76" s="138">
        <f t="shared" si="1988"/>
        <v>2069.7216199999998</v>
      </c>
      <c r="JB76" s="110">
        <f t="shared" si="1989"/>
        <v>28976.1</v>
      </c>
      <c r="JC76" s="110"/>
      <c r="JD76" s="139"/>
      <c r="JE76" s="140">
        <f t="shared" si="1990"/>
        <v>1.17089</v>
      </c>
      <c r="JF76" s="198">
        <f t="shared" si="1962"/>
        <v>3</v>
      </c>
      <c r="JG76" s="225">
        <f t="shared" si="1991"/>
        <v>2.2399999999999998E-3</v>
      </c>
      <c r="JH76" s="226">
        <f t="shared" si="1992"/>
        <v>2.02</v>
      </c>
      <c r="JI76" s="137">
        <f t="shared" si="1993"/>
        <v>0.67333332999999995</v>
      </c>
      <c r="JJ76" s="227">
        <f t="shared" si="1973"/>
        <v>2644.05</v>
      </c>
      <c r="JK76" s="138">
        <f t="shared" si="1995"/>
        <v>1780.32699</v>
      </c>
      <c r="JL76" s="110">
        <f t="shared" si="1996"/>
        <v>5340.98</v>
      </c>
      <c r="JM76" s="110"/>
      <c r="JN76" s="139"/>
      <c r="JO76" s="140">
        <f t="shared" si="1997"/>
        <v>1.0071699999999999</v>
      </c>
      <c r="JP76" s="198">
        <f t="shared" si="1962"/>
        <v>2</v>
      </c>
      <c r="JQ76" s="225">
        <f t="shared" si="1998"/>
        <v>1.6000000000000001E-3</v>
      </c>
      <c r="JR76" s="226">
        <f t="shared" si="1999"/>
        <v>1.22</v>
      </c>
      <c r="JS76" s="137">
        <f t="shared" si="2000"/>
        <v>0.61</v>
      </c>
      <c r="JT76" s="227">
        <f t="shared" si="2001"/>
        <v>2632.02</v>
      </c>
      <c r="JU76" s="138">
        <f t="shared" si="2002"/>
        <v>1605.5322000000001</v>
      </c>
      <c r="JV76" s="110">
        <f t="shared" si="2003"/>
        <v>3211.06</v>
      </c>
      <c r="JW76" s="110"/>
      <c r="JX76" s="139"/>
      <c r="JY76" s="140">
        <f t="shared" si="2004"/>
        <v>0.90827999999999998</v>
      </c>
      <c r="JZ76" s="198">
        <f t="shared" si="1962"/>
        <v>0</v>
      </c>
      <c r="KA76" s="225">
        <f t="shared" si="2005"/>
        <v>0</v>
      </c>
      <c r="KB76" s="226">
        <f t="shared" si="2006"/>
        <v>0</v>
      </c>
      <c r="KC76" s="137">
        <f t="shared" si="2007"/>
        <v>0</v>
      </c>
      <c r="KD76" s="227">
        <f t="shared" si="2001"/>
        <v>3163.33</v>
      </c>
      <c r="KE76" s="138">
        <f t="shared" si="2009"/>
        <v>0</v>
      </c>
      <c r="KF76" s="110">
        <f t="shared" si="2010"/>
        <v>0</v>
      </c>
      <c r="KG76" s="110"/>
      <c r="KH76" s="139"/>
      <c r="KI76" s="140">
        <f t="shared" si="2011"/>
        <v>0</v>
      </c>
      <c r="KJ76" s="198">
        <f t="shared" si="2012"/>
        <v>0</v>
      </c>
      <c r="KK76" s="225">
        <f t="shared" si="2013"/>
        <v>0</v>
      </c>
      <c r="KL76" s="226">
        <f t="shared" si="2014"/>
        <v>0</v>
      </c>
      <c r="KM76" s="137">
        <f t="shared" si="2015"/>
        <v>0</v>
      </c>
      <c r="KN76" s="227">
        <f t="shared" si="2001"/>
        <v>2644.05</v>
      </c>
      <c r="KO76" s="138">
        <f t="shared" si="2017"/>
        <v>0</v>
      </c>
      <c r="KP76" s="110">
        <f t="shared" si="2018"/>
        <v>0</v>
      </c>
      <c r="KQ76" s="110"/>
      <c r="KR76" s="139"/>
      <c r="KS76" s="140">
        <f t="shared" si="2019"/>
        <v>0</v>
      </c>
      <c r="KT76" s="198">
        <f t="shared" si="2012"/>
        <v>2</v>
      </c>
      <c r="KU76" s="225">
        <f t="shared" si="2020"/>
        <v>1.7799999999999999E-3</v>
      </c>
      <c r="KV76" s="226">
        <f t="shared" si="2021"/>
        <v>4.9800000000000004</v>
      </c>
      <c r="KW76" s="137">
        <f t="shared" si="2022"/>
        <v>2.4900000000000002</v>
      </c>
      <c r="KX76" s="227">
        <f t="shared" si="2001"/>
        <v>3163.33</v>
      </c>
      <c r="KY76" s="138">
        <f t="shared" si="2024"/>
        <v>7876.6917000000003</v>
      </c>
      <c r="KZ76" s="110">
        <f t="shared" si="2025"/>
        <v>15753.38</v>
      </c>
      <c r="LA76" s="110"/>
      <c r="LB76" s="139"/>
      <c r="LC76" s="140">
        <f t="shared" si="2026"/>
        <v>4.45601</v>
      </c>
      <c r="LD76" s="197">
        <f t="shared" si="2027"/>
        <v>40</v>
      </c>
      <c r="LE76" s="225">
        <f t="shared" si="2028"/>
        <v>1.4E-3</v>
      </c>
      <c r="LF76" s="226">
        <f t="shared" si="2029"/>
        <v>24.64</v>
      </c>
      <c r="LG76" s="137">
        <f t="shared" si="2030"/>
        <v>0.61599999999999999</v>
      </c>
      <c r="LH76" s="227">
        <f t="shared" si="2031"/>
        <v>2869.57</v>
      </c>
      <c r="LI76" s="138">
        <f t="shared" si="2032"/>
        <v>1767.6551199999999</v>
      </c>
      <c r="LJ76" s="110">
        <f t="shared" si="2033"/>
        <v>70706.2</v>
      </c>
      <c r="LK76" s="110"/>
      <c r="LL76" s="139"/>
    </row>
    <row r="77" spans="1:324" ht="24" hidden="1" x14ac:dyDescent="0.25">
      <c r="A77" s="246"/>
      <c r="B77" s="92" t="s">
        <v>608</v>
      </c>
      <c r="C77" s="12" t="s">
        <v>729</v>
      </c>
      <c r="D77" s="12" t="s">
        <v>429</v>
      </c>
      <c r="E77" s="4" t="s">
        <v>34</v>
      </c>
      <c r="F77" s="198">
        <f t="shared" si="1807"/>
        <v>0</v>
      </c>
      <c r="G77" s="225">
        <f t="shared" si="2034"/>
        <v>0</v>
      </c>
      <c r="H77" s="226">
        <f t="shared" si="2035"/>
        <v>0</v>
      </c>
      <c r="I77" s="137">
        <f t="shared" si="1808"/>
        <v>0</v>
      </c>
      <c r="J77" s="227">
        <f t="shared" si="2036"/>
        <v>2644.05</v>
      </c>
      <c r="K77" s="138">
        <f t="shared" si="1809"/>
        <v>0</v>
      </c>
      <c r="L77" s="110">
        <f t="shared" si="1810"/>
        <v>0</v>
      </c>
      <c r="M77" s="110"/>
      <c r="N77" s="139"/>
      <c r="O77" s="140" t="e">
        <f t="shared" si="1811"/>
        <v>#DIV/0!</v>
      </c>
      <c r="P77" s="198">
        <f t="shared" si="1812"/>
        <v>0</v>
      </c>
      <c r="Q77" s="225">
        <f t="shared" si="1813"/>
        <v>0</v>
      </c>
      <c r="R77" s="226">
        <f t="shared" si="1814"/>
        <v>0</v>
      </c>
      <c r="S77" s="137">
        <f t="shared" si="1815"/>
        <v>0</v>
      </c>
      <c r="T77" s="227">
        <f t="shared" si="1816"/>
        <v>3163.33</v>
      </c>
      <c r="U77" s="138">
        <f t="shared" si="1817"/>
        <v>0</v>
      </c>
      <c r="V77" s="110">
        <f t="shared" si="1818"/>
        <v>0</v>
      </c>
      <c r="W77" s="110"/>
      <c r="X77" s="139"/>
      <c r="Y77" s="140" t="e">
        <f t="shared" si="1819"/>
        <v>#DIV/0!</v>
      </c>
      <c r="Z77" s="198">
        <f t="shared" si="1812"/>
        <v>0</v>
      </c>
      <c r="AA77" s="225">
        <f t="shared" si="1820"/>
        <v>0</v>
      </c>
      <c r="AB77" s="226">
        <f t="shared" si="1821"/>
        <v>0</v>
      </c>
      <c r="AC77" s="137">
        <f t="shared" si="1822"/>
        <v>0</v>
      </c>
      <c r="AD77" s="227">
        <f t="shared" si="1816"/>
        <v>2608.17</v>
      </c>
      <c r="AE77" s="138">
        <f t="shared" si="1824"/>
        <v>0</v>
      </c>
      <c r="AF77" s="110">
        <f t="shared" si="1825"/>
        <v>0</v>
      </c>
      <c r="AG77" s="110"/>
      <c r="AH77" s="139"/>
      <c r="AI77" s="140" t="e">
        <f t="shared" si="1826"/>
        <v>#DIV/0!</v>
      </c>
      <c r="AJ77" s="198">
        <f t="shared" si="1812"/>
        <v>0</v>
      </c>
      <c r="AK77" s="225">
        <f t="shared" si="1827"/>
        <v>0</v>
      </c>
      <c r="AL77" s="226">
        <f t="shared" si="1828"/>
        <v>0</v>
      </c>
      <c r="AM77" s="137">
        <f t="shared" si="1829"/>
        <v>0</v>
      </c>
      <c r="AN77" s="227">
        <f t="shared" si="1816"/>
        <v>2644.05</v>
      </c>
      <c r="AO77" s="138">
        <f t="shared" si="1831"/>
        <v>0</v>
      </c>
      <c r="AP77" s="110">
        <f t="shared" si="1832"/>
        <v>0</v>
      </c>
      <c r="AQ77" s="110"/>
      <c r="AR77" s="139"/>
      <c r="AS77" s="140" t="e">
        <f t="shared" si="1833"/>
        <v>#DIV/0!</v>
      </c>
      <c r="AT77" s="198">
        <f t="shared" si="1812"/>
        <v>0</v>
      </c>
      <c r="AU77" s="225">
        <f t="shared" si="1834"/>
        <v>0</v>
      </c>
      <c r="AV77" s="226">
        <f t="shared" si="1835"/>
        <v>0</v>
      </c>
      <c r="AW77" s="137">
        <f t="shared" si="1836"/>
        <v>0</v>
      </c>
      <c r="AX77" s="227">
        <f t="shared" si="1816"/>
        <v>1786.28</v>
      </c>
      <c r="AY77" s="138">
        <f t="shared" si="1838"/>
        <v>0</v>
      </c>
      <c r="AZ77" s="110">
        <f t="shared" si="1839"/>
        <v>0</v>
      </c>
      <c r="BA77" s="110"/>
      <c r="BB77" s="139"/>
      <c r="BC77" s="140" t="e">
        <f t="shared" si="1840"/>
        <v>#DIV/0!</v>
      </c>
      <c r="BD77" s="198">
        <f t="shared" si="1812"/>
        <v>0</v>
      </c>
      <c r="BE77" s="225">
        <f t="shared" si="1841"/>
        <v>0</v>
      </c>
      <c r="BF77" s="226">
        <f t="shared" si="1842"/>
        <v>0</v>
      </c>
      <c r="BG77" s="137">
        <f t="shared" si="1843"/>
        <v>0</v>
      </c>
      <c r="BH77" s="227">
        <f t="shared" si="1816"/>
        <v>3163.33</v>
      </c>
      <c r="BI77" s="138">
        <f t="shared" si="1845"/>
        <v>0</v>
      </c>
      <c r="BJ77" s="110">
        <f t="shared" si="1846"/>
        <v>0</v>
      </c>
      <c r="BK77" s="110"/>
      <c r="BL77" s="139"/>
      <c r="BM77" s="140" t="e">
        <f t="shared" si="1847"/>
        <v>#DIV/0!</v>
      </c>
      <c r="BN77" s="198">
        <f t="shared" si="1812"/>
        <v>0</v>
      </c>
      <c r="BO77" s="225">
        <f t="shared" si="1848"/>
        <v>0</v>
      </c>
      <c r="BP77" s="226">
        <f t="shared" si="1849"/>
        <v>0</v>
      </c>
      <c r="BQ77" s="137">
        <f t="shared" si="1850"/>
        <v>0</v>
      </c>
      <c r="BR77" s="227">
        <f t="shared" si="1816"/>
        <v>2182.42</v>
      </c>
      <c r="BS77" s="138">
        <f t="shared" si="1852"/>
        <v>0</v>
      </c>
      <c r="BT77" s="110">
        <f t="shared" si="1853"/>
        <v>0</v>
      </c>
      <c r="BU77" s="110"/>
      <c r="BV77" s="139"/>
      <c r="BW77" s="140" t="e">
        <f t="shared" si="1854"/>
        <v>#DIV/0!</v>
      </c>
      <c r="BX77" s="198">
        <f t="shared" si="1812"/>
        <v>0</v>
      </c>
      <c r="BY77" s="225">
        <f t="shared" si="1855"/>
        <v>0</v>
      </c>
      <c r="BZ77" s="226">
        <f t="shared" si="1856"/>
        <v>0</v>
      </c>
      <c r="CA77" s="137">
        <f t="shared" si="1857"/>
        <v>0</v>
      </c>
      <c r="CB77" s="227">
        <f t="shared" si="1816"/>
        <v>2644.05</v>
      </c>
      <c r="CC77" s="138">
        <f t="shared" si="1859"/>
        <v>0</v>
      </c>
      <c r="CD77" s="110">
        <f t="shared" si="1860"/>
        <v>0</v>
      </c>
      <c r="CE77" s="110"/>
      <c r="CF77" s="139"/>
      <c r="CG77" s="140" t="e">
        <f t="shared" si="1861"/>
        <v>#DIV/0!</v>
      </c>
      <c r="CH77" s="198">
        <f t="shared" si="1862"/>
        <v>0</v>
      </c>
      <c r="CI77" s="225">
        <f t="shared" si="1863"/>
        <v>0</v>
      </c>
      <c r="CJ77" s="226">
        <f t="shared" si="1864"/>
        <v>0</v>
      </c>
      <c r="CK77" s="137">
        <f t="shared" si="1865"/>
        <v>0</v>
      </c>
      <c r="CL77" s="227">
        <f t="shared" si="1866"/>
        <v>2644.05</v>
      </c>
      <c r="CM77" s="138">
        <f t="shared" si="1867"/>
        <v>0</v>
      </c>
      <c r="CN77" s="110">
        <f t="shared" si="1868"/>
        <v>0</v>
      </c>
      <c r="CO77" s="110"/>
      <c r="CP77" s="139"/>
      <c r="CQ77" s="140" t="e">
        <f t="shared" si="1869"/>
        <v>#DIV/0!</v>
      </c>
      <c r="CR77" s="198">
        <f t="shared" si="1862"/>
        <v>0</v>
      </c>
      <c r="CS77" s="225">
        <f t="shared" si="1870"/>
        <v>0</v>
      </c>
      <c r="CT77" s="226">
        <f t="shared" si="1871"/>
        <v>0</v>
      </c>
      <c r="CU77" s="137">
        <f t="shared" si="1872"/>
        <v>0</v>
      </c>
      <c r="CV77" s="227">
        <f t="shared" si="1866"/>
        <v>3163.33</v>
      </c>
      <c r="CW77" s="138">
        <f t="shared" si="1874"/>
        <v>0</v>
      </c>
      <c r="CX77" s="110">
        <f t="shared" si="1875"/>
        <v>0</v>
      </c>
      <c r="CY77" s="110"/>
      <c r="CZ77" s="139"/>
      <c r="DA77" s="140" t="e">
        <f t="shared" si="1876"/>
        <v>#DIV/0!</v>
      </c>
      <c r="DB77" s="198">
        <f t="shared" si="1862"/>
        <v>0</v>
      </c>
      <c r="DC77" s="225">
        <f t="shared" si="1877"/>
        <v>0</v>
      </c>
      <c r="DD77" s="226">
        <f t="shared" si="1878"/>
        <v>0</v>
      </c>
      <c r="DE77" s="137">
        <f t="shared" si="1879"/>
        <v>0</v>
      </c>
      <c r="DF77" s="227">
        <f t="shared" si="1866"/>
        <v>2644.05</v>
      </c>
      <c r="DG77" s="138">
        <f t="shared" si="1881"/>
        <v>0</v>
      </c>
      <c r="DH77" s="110">
        <f t="shared" si="1882"/>
        <v>0</v>
      </c>
      <c r="DI77" s="110"/>
      <c r="DJ77" s="139"/>
      <c r="DK77" s="140" t="e">
        <f t="shared" si="1883"/>
        <v>#DIV/0!</v>
      </c>
      <c r="DL77" s="198">
        <f t="shared" si="1862"/>
        <v>0</v>
      </c>
      <c r="DM77" s="225">
        <f t="shared" si="1884"/>
        <v>0</v>
      </c>
      <c r="DN77" s="226">
        <f t="shared" si="1885"/>
        <v>0</v>
      </c>
      <c r="DO77" s="137">
        <f t="shared" si="1886"/>
        <v>0</v>
      </c>
      <c r="DP77" s="227">
        <f t="shared" si="1866"/>
        <v>2644.05</v>
      </c>
      <c r="DQ77" s="138">
        <f t="shared" si="1888"/>
        <v>0</v>
      </c>
      <c r="DR77" s="110">
        <f t="shared" si="1889"/>
        <v>0</v>
      </c>
      <c r="DS77" s="110"/>
      <c r="DT77" s="139"/>
      <c r="DU77" s="140" t="e">
        <f t="shared" si="1890"/>
        <v>#DIV/0!</v>
      </c>
      <c r="DV77" s="198">
        <f t="shared" si="1862"/>
        <v>0</v>
      </c>
      <c r="DW77" s="225">
        <f t="shared" si="1891"/>
        <v>0</v>
      </c>
      <c r="DX77" s="226">
        <f t="shared" si="1892"/>
        <v>0</v>
      </c>
      <c r="DY77" s="137">
        <f t="shared" si="1893"/>
        <v>0</v>
      </c>
      <c r="DZ77" s="227">
        <f t="shared" si="1866"/>
        <v>2644.05</v>
      </c>
      <c r="EA77" s="138">
        <f t="shared" si="1895"/>
        <v>0</v>
      </c>
      <c r="EB77" s="110">
        <f t="shared" si="1896"/>
        <v>0</v>
      </c>
      <c r="EC77" s="110"/>
      <c r="ED77" s="139"/>
      <c r="EE77" s="140" t="e">
        <f t="shared" si="1897"/>
        <v>#DIV/0!</v>
      </c>
      <c r="EF77" s="198">
        <f t="shared" si="1862"/>
        <v>0</v>
      </c>
      <c r="EG77" s="225">
        <f t="shared" si="1898"/>
        <v>0</v>
      </c>
      <c r="EH77" s="226">
        <f t="shared" si="1899"/>
        <v>0</v>
      </c>
      <c r="EI77" s="137">
        <f t="shared" si="1900"/>
        <v>0</v>
      </c>
      <c r="EJ77" s="227">
        <f t="shared" si="1866"/>
        <v>3163.33</v>
      </c>
      <c r="EK77" s="138">
        <f t="shared" si="1902"/>
        <v>0</v>
      </c>
      <c r="EL77" s="110">
        <f t="shared" si="1903"/>
        <v>0</v>
      </c>
      <c r="EM77" s="110"/>
      <c r="EN77" s="139"/>
      <c r="EO77" s="140" t="e">
        <f t="shared" si="1904"/>
        <v>#DIV/0!</v>
      </c>
      <c r="EP77" s="198">
        <f t="shared" si="1862"/>
        <v>0</v>
      </c>
      <c r="EQ77" s="225">
        <f t="shared" si="1905"/>
        <v>0</v>
      </c>
      <c r="ER77" s="226">
        <f t="shared" si="1906"/>
        <v>0</v>
      </c>
      <c r="ES77" s="137">
        <f t="shared" si="1907"/>
        <v>0</v>
      </c>
      <c r="ET77" s="227">
        <f t="shared" si="1866"/>
        <v>3163.33</v>
      </c>
      <c r="EU77" s="138">
        <f t="shared" si="1909"/>
        <v>0</v>
      </c>
      <c r="EV77" s="110">
        <f t="shared" si="1910"/>
        <v>0</v>
      </c>
      <c r="EW77" s="110"/>
      <c r="EX77" s="139"/>
      <c r="EY77" s="140" t="e">
        <f t="shared" si="1911"/>
        <v>#DIV/0!</v>
      </c>
      <c r="EZ77" s="198">
        <f t="shared" si="1912"/>
        <v>0</v>
      </c>
      <c r="FA77" s="225">
        <f t="shared" si="1913"/>
        <v>0</v>
      </c>
      <c r="FB77" s="226">
        <f t="shared" si="1914"/>
        <v>0</v>
      </c>
      <c r="FC77" s="137">
        <f t="shared" si="1915"/>
        <v>0</v>
      </c>
      <c r="FD77" s="227">
        <f t="shared" si="1916"/>
        <v>0</v>
      </c>
      <c r="FE77" s="138">
        <f t="shared" si="1917"/>
        <v>0</v>
      </c>
      <c r="FF77" s="110">
        <f t="shared" si="1918"/>
        <v>0</v>
      </c>
      <c r="FG77" s="110"/>
      <c r="FH77" s="139"/>
      <c r="FI77" s="140" t="e">
        <f t="shared" si="1919"/>
        <v>#DIV/0!</v>
      </c>
      <c r="FJ77" s="198">
        <f t="shared" si="1912"/>
        <v>0</v>
      </c>
      <c r="FK77" s="225">
        <f t="shared" si="1920"/>
        <v>0</v>
      </c>
      <c r="FL77" s="226">
        <f t="shared" si="1921"/>
        <v>0</v>
      </c>
      <c r="FM77" s="137">
        <f t="shared" si="1922"/>
        <v>0</v>
      </c>
      <c r="FN77" s="227">
        <f t="shared" si="1916"/>
        <v>3163.33</v>
      </c>
      <c r="FO77" s="138">
        <f t="shared" si="1924"/>
        <v>0</v>
      </c>
      <c r="FP77" s="110">
        <f t="shared" si="1925"/>
        <v>0</v>
      </c>
      <c r="FQ77" s="110"/>
      <c r="FR77" s="139"/>
      <c r="FS77" s="140" t="e">
        <f t="shared" si="1926"/>
        <v>#DIV/0!</v>
      </c>
      <c r="FT77" s="198">
        <f t="shared" si="1912"/>
        <v>0</v>
      </c>
      <c r="FU77" s="225">
        <f t="shared" si="1927"/>
        <v>0</v>
      </c>
      <c r="FV77" s="226">
        <f t="shared" si="1928"/>
        <v>0</v>
      </c>
      <c r="FW77" s="137">
        <f t="shared" si="1929"/>
        <v>0</v>
      </c>
      <c r="FX77" s="227">
        <f t="shared" si="1916"/>
        <v>3163.33</v>
      </c>
      <c r="FY77" s="138">
        <f t="shared" si="1931"/>
        <v>0</v>
      </c>
      <c r="FZ77" s="110">
        <f t="shared" si="1932"/>
        <v>0</v>
      </c>
      <c r="GA77" s="110"/>
      <c r="GB77" s="139"/>
      <c r="GC77" s="140" t="e">
        <f t="shared" si="1933"/>
        <v>#DIV/0!</v>
      </c>
      <c r="GD77" s="198">
        <f t="shared" si="1912"/>
        <v>0</v>
      </c>
      <c r="GE77" s="225">
        <f t="shared" si="1934"/>
        <v>0</v>
      </c>
      <c r="GF77" s="226">
        <f t="shared" si="1935"/>
        <v>0</v>
      </c>
      <c r="GG77" s="137">
        <f t="shared" si="1936"/>
        <v>0</v>
      </c>
      <c r="GH77" s="227">
        <f t="shared" si="1916"/>
        <v>0</v>
      </c>
      <c r="GI77" s="138">
        <f t="shared" si="1938"/>
        <v>0</v>
      </c>
      <c r="GJ77" s="110">
        <f t="shared" si="1939"/>
        <v>0</v>
      </c>
      <c r="GK77" s="110"/>
      <c r="GL77" s="139"/>
      <c r="GM77" s="140" t="e">
        <f t="shared" si="1940"/>
        <v>#DIV/0!</v>
      </c>
      <c r="GN77" s="198">
        <f t="shared" si="1912"/>
        <v>0</v>
      </c>
      <c r="GO77" s="225">
        <f t="shared" si="1941"/>
        <v>0</v>
      </c>
      <c r="GP77" s="226">
        <f t="shared" si="1942"/>
        <v>0</v>
      </c>
      <c r="GQ77" s="137">
        <f t="shared" si="1943"/>
        <v>0</v>
      </c>
      <c r="GR77" s="227">
        <f t="shared" si="1944"/>
        <v>2644.05</v>
      </c>
      <c r="GS77" s="138">
        <f t="shared" si="1945"/>
        <v>0</v>
      </c>
      <c r="GT77" s="110">
        <f t="shared" si="1946"/>
        <v>0</v>
      </c>
      <c r="GU77" s="110"/>
      <c r="GV77" s="139"/>
      <c r="GW77" s="140" t="e">
        <f t="shared" si="1947"/>
        <v>#DIV/0!</v>
      </c>
      <c r="GX77" s="198">
        <f t="shared" si="1912"/>
        <v>0</v>
      </c>
      <c r="GY77" s="225">
        <f t="shared" si="1948"/>
        <v>0</v>
      </c>
      <c r="GZ77" s="226">
        <f t="shared" si="1949"/>
        <v>0</v>
      </c>
      <c r="HA77" s="137">
        <f t="shared" si="1950"/>
        <v>0</v>
      </c>
      <c r="HB77" s="227">
        <f t="shared" si="1944"/>
        <v>2644.05</v>
      </c>
      <c r="HC77" s="138">
        <f t="shared" si="1952"/>
        <v>0</v>
      </c>
      <c r="HD77" s="110">
        <f t="shared" si="1953"/>
        <v>0</v>
      </c>
      <c r="HE77" s="110"/>
      <c r="HF77" s="139"/>
      <c r="HG77" s="140" t="e">
        <f t="shared" si="1954"/>
        <v>#DIV/0!</v>
      </c>
      <c r="HH77" s="198">
        <f t="shared" si="1912"/>
        <v>0</v>
      </c>
      <c r="HI77" s="225">
        <f t="shared" si="1955"/>
        <v>0</v>
      </c>
      <c r="HJ77" s="226">
        <f t="shared" si="1956"/>
        <v>0</v>
      </c>
      <c r="HK77" s="137">
        <f t="shared" si="1957"/>
        <v>0</v>
      </c>
      <c r="HL77" s="227">
        <f t="shared" si="1944"/>
        <v>2597.2199999999998</v>
      </c>
      <c r="HM77" s="138">
        <f t="shared" si="1959"/>
        <v>0</v>
      </c>
      <c r="HN77" s="110">
        <f t="shared" si="1960"/>
        <v>0</v>
      </c>
      <c r="HO77" s="110"/>
      <c r="HP77" s="139"/>
      <c r="HQ77" s="140" t="e">
        <f t="shared" si="1961"/>
        <v>#DIV/0!</v>
      </c>
      <c r="HR77" s="198">
        <f t="shared" si="1962"/>
        <v>0</v>
      </c>
      <c r="HS77" s="225">
        <f t="shared" si="1963"/>
        <v>0</v>
      </c>
      <c r="HT77" s="226">
        <f t="shared" si="1964"/>
        <v>0</v>
      </c>
      <c r="HU77" s="137">
        <f t="shared" si="1965"/>
        <v>0</v>
      </c>
      <c r="HV77" s="227">
        <f t="shared" si="1944"/>
        <v>3163.33</v>
      </c>
      <c r="HW77" s="138">
        <f t="shared" si="1967"/>
        <v>0</v>
      </c>
      <c r="HX77" s="110">
        <f t="shared" si="1968"/>
        <v>0</v>
      </c>
      <c r="HY77" s="110"/>
      <c r="HZ77" s="139"/>
      <c r="IA77" s="140" t="e">
        <f t="shared" si="1969"/>
        <v>#DIV/0!</v>
      </c>
      <c r="IB77" s="198">
        <f t="shared" si="1962"/>
        <v>0</v>
      </c>
      <c r="IC77" s="225">
        <f t="shared" si="1970"/>
        <v>0</v>
      </c>
      <c r="ID77" s="226">
        <f t="shared" si="1971"/>
        <v>0</v>
      </c>
      <c r="IE77" s="137">
        <f t="shared" si="1972"/>
        <v>0</v>
      </c>
      <c r="IF77" s="227">
        <f t="shared" si="1973"/>
        <v>3163.33</v>
      </c>
      <c r="IG77" s="138">
        <f t="shared" si="1974"/>
        <v>0</v>
      </c>
      <c r="IH77" s="110">
        <f t="shared" si="1975"/>
        <v>0</v>
      </c>
      <c r="II77" s="110"/>
      <c r="IJ77" s="139"/>
      <c r="IK77" s="140" t="e">
        <f t="shared" si="1976"/>
        <v>#DIV/0!</v>
      </c>
      <c r="IL77" s="198">
        <f t="shared" si="1962"/>
        <v>0</v>
      </c>
      <c r="IM77" s="225">
        <f t="shared" si="1977"/>
        <v>0</v>
      </c>
      <c r="IN77" s="226">
        <f t="shared" si="1978"/>
        <v>0</v>
      </c>
      <c r="IO77" s="137">
        <f t="shared" si="1979"/>
        <v>0</v>
      </c>
      <c r="IP77" s="227">
        <f t="shared" si="1973"/>
        <v>2644.05</v>
      </c>
      <c r="IQ77" s="138">
        <f t="shared" si="1981"/>
        <v>0</v>
      </c>
      <c r="IR77" s="110">
        <f t="shared" si="1982"/>
        <v>0</v>
      </c>
      <c r="IS77" s="110"/>
      <c r="IT77" s="139"/>
      <c r="IU77" s="140" t="e">
        <f t="shared" si="1983"/>
        <v>#DIV/0!</v>
      </c>
      <c r="IV77" s="198">
        <f t="shared" si="1962"/>
        <v>0</v>
      </c>
      <c r="IW77" s="225">
        <f t="shared" si="1984"/>
        <v>0</v>
      </c>
      <c r="IX77" s="226">
        <f t="shared" si="1985"/>
        <v>0</v>
      </c>
      <c r="IY77" s="137">
        <f t="shared" si="1986"/>
        <v>0</v>
      </c>
      <c r="IZ77" s="227">
        <f t="shared" si="1973"/>
        <v>3163.33</v>
      </c>
      <c r="JA77" s="138">
        <f t="shared" si="1988"/>
        <v>0</v>
      </c>
      <c r="JB77" s="110">
        <f t="shared" si="1989"/>
        <v>0</v>
      </c>
      <c r="JC77" s="110"/>
      <c r="JD77" s="139"/>
      <c r="JE77" s="140" t="e">
        <f t="shared" si="1990"/>
        <v>#DIV/0!</v>
      </c>
      <c r="JF77" s="198">
        <f t="shared" si="1962"/>
        <v>0</v>
      </c>
      <c r="JG77" s="225">
        <f t="shared" si="1991"/>
        <v>0</v>
      </c>
      <c r="JH77" s="226">
        <f t="shared" si="1992"/>
        <v>0</v>
      </c>
      <c r="JI77" s="137">
        <f t="shared" si="1993"/>
        <v>0</v>
      </c>
      <c r="JJ77" s="227">
        <f t="shared" si="1973"/>
        <v>2644.05</v>
      </c>
      <c r="JK77" s="138">
        <f t="shared" si="1995"/>
        <v>0</v>
      </c>
      <c r="JL77" s="110">
        <f t="shared" si="1996"/>
        <v>0</v>
      </c>
      <c r="JM77" s="110"/>
      <c r="JN77" s="139"/>
      <c r="JO77" s="140" t="e">
        <f t="shared" si="1997"/>
        <v>#DIV/0!</v>
      </c>
      <c r="JP77" s="198">
        <f t="shared" si="1962"/>
        <v>0</v>
      </c>
      <c r="JQ77" s="225">
        <f t="shared" si="1998"/>
        <v>0</v>
      </c>
      <c r="JR77" s="226">
        <f t="shared" si="1999"/>
        <v>0</v>
      </c>
      <c r="JS77" s="137">
        <f t="shared" si="2000"/>
        <v>0</v>
      </c>
      <c r="JT77" s="227">
        <f t="shared" si="2001"/>
        <v>2632.02</v>
      </c>
      <c r="JU77" s="138">
        <f t="shared" si="2002"/>
        <v>0</v>
      </c>
      <c r="JV77" s="110">
        <f t="shared" si="2003"/>
        <v>0</v>
      </c>
      <c r="JW77" s="110"/>
      <c r="JX77" s="139"/>
      <c r="JY77" s="140" t="e">
        <f t="shared" si="2004"/>
        <v>#DIV/0!</v>
      </c>
      <c r="JZ77" s="198">
        <f t="shared" si="1962"/>
        <v>0</v>
      </c>
      <c r="KA77" s="225">
        <f t="shared" si="2005"/>
        <v>0</v>
      </c>
      <c r="KB77" s="226">
        <f t="shared" si="2006"/>
        <v>0</v>
      </c>
      <c r="KC77" s="137">
        <f t="shared" si="2007"/>
        <v>0</v>
      </c>
      <c r="KD77" s="227">
        <f t="shared" si="2001"/>
        <v>3163.33</v>
      </c>
      <c r="KE77" s="138">
        <f t="shared" si="2009"/>
        <v>0</v>
      </c>
      <c r="KF77" s="110">
        <f t="shared" si="2010"/>
        <v>0</v>
      </c>
      <c r="KG77" s="110"/>
      <c r="KH77" s="139"/>
      <c r="KI77" s="140" t="e">
        <f t="shared" si="2011"/>
        <v>#DIV/0!</v>
      </c>
      <c r="KJ77" s="198">
        <f t="shared" si="2012"/>
        <v>0</v>
      </c>
      <c r="KK77" s="225">
        <f t="shared" si="2013"/>
        <v>0</v>
      </c>
      <c r="KL77" s="226">
        <f t="shared" si="2014"/>
        <v>0</v>
      </c>
      <c r="KM77" s="137">
        <f t="shared" si="2015"/>
        <v>0</v>
      </c>
      <c r="KN77" s="227">
        <f t="shared" si="2001"/>
        <v>2644.05</v>
      </c>
      <c r="KO77" s="138">
        <f t="shared" si="2017"/>
        <v>0</v>
      </c>
      <c r="KP77" s="110">
        <f t="shared" si="2018"/>
        <v>0</v>
      </c>
      <c r="KQ77" s="110"/>
      <c r="KR77" s="139"/>
      <c r="KS77" s="140" t="e">
        <f t="shared" si="2019"/>
        <v>#DIV/0!</v>
      </c>
      <c r="KT77" s="198">
        <f t="shared" si="2012"/>
        <v>0</v>
      </c>
      <c r="KU77" s="225">
        <f t="shared" si="2020"/>
        <v>0</v>
      </c>
      <c r="KV77" s="226">
        <f t="shared" si="2021"/>
        <v>0</v>
      </c>
      <c r="KW77" s="137">
        <f t="shared" si="2022"/>
        <v>0</v>
      </c>
      <c r="KX77" s="227">
        <f t="shared" si="2001"/>
        <v>3163.33</v>
      </c>
      <c r="KY77" s="138">
        <f t="shared" si="2024"/>
        <v>0</v>
      </c>
      <c r="KZ77" s="110">
        <f t="shared" si="2025"/>
        <v>0</v>
      </c>
      <c r="LA77" s="110"/>
      <c r="LB77" s="139"/>
      <c r="LC77" s="140" t="e">
        <f t="shared" si="2026"/>
        <v>#DIV/0!</v>
      </c>
      <c r="LD77" s="197">
        <f t="shared" si="2027"/>
        <v>0</v>
      </c>
      <c r="LE77" s="225">
        <f t="shared" si="2028"/>
        <v>0</v>
      </c>
      <c r="LF77" s="226">
        <f t="shared" si="2029"/>
        <v>0</v>
      </c>
      <c r="LG77" s="137">
        <f t="shared" si="2030"/>
        <v>0</v>
      </c>
      <c r="LH77" s="227">
        <f t="shared" si="2031"/>
        <v>2869.57</v>
      </c>
      <c r="LI77" s="138">
        <f t="shared" si="2032"/>
        <v>0</v>
      </c>
      <c r="LJ77" s="110">
        <f t="shared" si="2033"/>
        <v>0</v>
      </c>
      <c r="LK77" s="110"/>
      <c r="LL77" s="139"/>
    </row>
    <row r="78" spans="1:324" ht="24" hidden="1" x14ac:dyDescent="0.25">
      <c r="A78" s="247"/>
      <c r="B78" s="92" t="s">
        <v>611</v>
      </c>
      <c r="C78" s="12" t="s">
        <v>730</v>
      </c>
      <c r="D78" s="12" t="s">
        <v>428</v>
      </c>
      <c r="E78" s="4" t="s">
        <v>34</v>
      </c>
      <c r="F78" s="198">
        <f t="shared" si="1807"/>
        <v>0</v>
      </c>
      <c r="G78" s="225">
        <f t="shared" si="2034"/>
        <v>0</v>
      </c>
      <c r="H78" s="226">
        <f t="shared" si="2035"/>
        <v>0</v>
      </c>
      <c r="I78" s="137">
        <f t="shared" si="1808"/>
        <v>0</v>
      </c>
      <c r="J78" s="227">
        <f t="shared" si="2036"/>
        <v>2644.05</v>
      </c>
      <c r="K78" s="138">
        <f t="shared" si="1809"/>
        <v>0</v>
      </c>
      <c r="L78" s="110">
        <f t="shared" si="1810"/>
        <v>0</v>
      </c>
      <c r="M78" s="110"/>
      <c r="N78" s="139"/>
      <c r="O78" s="140" t="e">
        <f t="shared" si="1811"/>
        <v>#DIV/0!</v>
      </c>
      <c r="P78" s="198">
        <f t="shared" si="1812"/>
        <v>0</v>
      </c>
      <c r="Q78" s="225">
        <f t="shared" si="1813"/>
        <v>0</v>
      </c>
      <c r="R78" s="226">
        <f t="shared" si="1814"/>
        <v>0</v>
      </c>
      <c r="S78" s="137">
        <f t="shared" si="1815"/>
        <v>0</v>
      </c>
      <c r="T78" s="227">
        <f t="shared" si="1816"/>
        <v>3163.33</v>
      </c>
      <c r="U78" s="138">
        <f t="shared" si="1817"/>
        <v>0</v>
      </c>
      <c r="V78" s="110">
        <f t="shared" si="1818"/>
        <v>0</v>
      </c>
      <c r="W78" s="110"/>
      <c r="X78" s="139"/>
      <c r="Y78" s="140" t="e">
        <f t="shared" si="1819"/>
        <v>#DIV/0!</v>
      </c>
      <c r="Z78" s="198">
        <f t="shared" si="1812"/>
        <v>0</v>
      </c>
      <c r="AA78" s="225">
        <f t="shared" si="1820"/>
        <v>0</v>
      </c>
      <c r="AB78" s="226">
        <f t="shared" si="1821"/>
        <v>0</v>
      </c>
      <c r="AC78" s="137">
        <f t="shared" si="1822"/>
        <v>0</v>
      </c>
      <c r="AD78" s="227">
        <f t="shared" si="1816"/>
        <v>2608.17</v>
      </c>
      <c r="AE78" s="138">
        <f t="shared" si="1824"/>
        <v>0</v>
      </c>
      <c r="AF78" s="110">
        <f t="shared" si="1825"/>
        <v>0</v>
      </c>
      <c r="AG78" s="110"/>
      <c r="AH78" s="139"/>
      <c r="AI78" s="140" t="e">
        <f t="shared" si="1826"/>
        <v>#DIV/0!</v>
      </c>
      <c r="AJ78" s="198">
        <f t="shared" si="1812"/>
        <v>0</v>
      </c>
      <c r="AK78" s="225">
        <f t="shared" si="1827"/>
        <v>0</v>
      </c>
      <c r="AL78" s="226">
        <f t="shared" si="1828"/>
        <v>0</v>
      </c>
      <c r="AM78" s="137">
        <f t="shared" si="1829"/>
        <v>0</v>
      </c>
      <c r="AN78" s="227">
        <f t="shared" si="1816"/>
        <v>2644.05</v>
      </c>
      <c r="AO78" s="138">
        <f t="shared" si="1831"/>
        <v>0</v>
      </c>
      <c r="AP78" s="110">
        <f t="shared" si="1832"/>
        <v>0</v>
      </c>
      <c r="AQ78" s="110"/>
      <c r="AR78" s="139"/>
      <c r="AS78" s="140" t="e">
        <f t="shared" si="1833"/>
        <v>#DIV/0!</v>
      </c>
      <c r="AT78" s="198">
        <f t="shared" si="1812"/>
        <v>0</v>
      </c>
      <c r="AU78" s="225">
        <f t="shared" si="1834"/>
        <v>0</v>
      </c>
      <c r="AV78" s="226">
        <f t="shared" si="1835"/>
        <v>0</v>
      </c>
      <c r="AW78" s="137">
        <f t="shared" si="1836"/>
        <v>0</v>
      </c>
      <c r="AX78" s="227">
        <f t="shared" si="1816"/>
        <v>1786.28</v>
      </c>
      <c r="AY78" s="138">
        <f t="shared" si="1838"/>
        <v>0</v>
      </c>
      <c r="AZ78" s="110">
        <f t="shared" si="1839"/>
        <v>0</v>
      </c>
      <c r="BA78" s="110"/>
      <c r="BB78" s="139"/>
      <c r="BC78" s="140" t="e">
        <f t="shared" si="1840"/>
        <v>#DIV/0!</v>
      </c>
      <c r="BD78" s="198">
        <f t="shared" si="1812"/>
        <v>0</v>
      </c>
      <c r="BE78" s="225">
        <f t="shared" si="1841"/>
        <v>0</v>
      </c>
      <c r="BF78" s="226">
        <f t="shared" si="1842"/>
        <v>0</v>
      </c>
      <c r="BG78" s="137">
        <f t="shared" si="1843"/>
        <v>0</v>
      </c>
      <c r="BH78" s="227">
        <f t="shared" si="1816"/>
        <v>3163.33</v>
      </c>
      <c r="BI78" s="138">
        <f t="shared" si="1845"/>
        <v>0</v>
      </c>
      <c r="BJ78" s="110">
        <f t="shared" si="1846"/>
        <v>0</v>
      </c>
      <c r="BK78" s="110"/>
      <c r="BL78" s="139"/>
      <c r="BM78" s="140" t="e">
        <f t="shared" si="1847"/>
        <v>#DIV/0!</v>
      </c>
      <c r="BN78" s="198">
        <f t="shared" si="1812"/>
        <v>0</v>
      </c>
      <c r="BO78" s="225">
        <f t="shared" si="1848"/>
        <v>0</v>
      </c>
      <c r="BP78" s="226">
        <f t="shared" si="1849"/>
        <v>0</v>
      </c>
      <c r="BQ78" s="137">
        <f t="shared" si="1850"/>
        <v>0</v>
      </c>
      <c r="BR78" s="227">
        <f t="shared" si="1816"/>
        <v>2182.42</v>
      </c>
      <c r="BS78" s="138">
        <f t="shared" si="1852"/>
        <v>0</v>
      </c>
      <c r="BT78" s="110">
        <f t="shared" si="1853"/>
        <v>0</v>
      </c>
      <c r="BU78" s="110"/>
      <c r="BV78" s="139"/>
      <c r="BW78" s="140" t="e">
        <f t="shared" si="1854"/>
        <v>#DIV/0!</v>
      </c>
      <c r="BX78" s="198">
        <f t="shared" si="1812"/>
        <v>0</v>
      </c>
      <c r="BY78" s="225">
        <f t="shared" si="1855"/>
        <v>0</v>
      </c>
      <c r="BZ78" s="226">
        <f t="shared" si="1856"/>
        <v>0</v>
      </c>
      <c r="CA78" s="137">
        <f t="shared" si="1857"/>
        <v>0</v>
      </c>
      <c r="CB78" s="227">
        <f t="shared" si="1816"/>
        <v>2644.05</v>
      </c>
      <c r="CC78" s="138">
        <f t="shared" si="1859"/>
        <v>0</v>
      </c>
      <c r="CD78" s="110">
        <f t="shared" si="1860"/>
        <v>0</v>
      </c>
      <c r="CE78" s="110"/>
      <c r="CF78" s="139"/>
      <c r="CG78" s="140" t="e">
        <f t="shared" si="1861"/>
        <v>#DIV/0!</v>
      </c>
      <c r="CH78" s="198">
        <f t="shared" si="1862"/>
        <v>0</v>
      </c>
      <c r="CI78" s="225">
        <f t="shared" si="1863"/>
        <v>0</v>
      </c>
      <c r="CJ78" s="226">
        <f t="shared" si="1864"/>
        <v>0</v>
      </c>
      <c r="CK78" s="137">
        <f t="shared" si="1865"/>
        <v>0</v>
      </c>
      <c r="CL78" s="227">
        <f t="shared" si="1866"/>
        <v>2644.05</v>
      </c>
      <c r="CM78" s="138">
        <f t="shared" si="1867"/>
        <v>0</v>
      </c>
      <c r="CN78" s="110">
        <f t="shared" si="1868"/>
        <v>0</v>
      </c>
      <c r="CO78" s="110"/>
      <c r="CP78" s="139"/>
      <c r="CQ78" s="140" t="e">
        <f t="shared" si="1869"/>
        <v>#DIV/0!</v>
      </c>
      <c r="CR78" s="198">
        <f t="shared" si="1862"/>
        <v>0</v>
      </c>
      <c r="CS78" s="225">
        <f t="shared" si="1870"/>
        <v>0</v>
      </c>
      <c r="CT78" s="226">
        <f t="shared" si="1871"/>
        <v>0</v>
      </c>
      <c r="CU78" s="137">
        <f t="shared" si="1872"/>
        <v>0</v>
      </c>
      <c r="CV78" s="227">
        <f t="shared" si="1866"/>
        <v>3163.33</v>
      </c>
      <c r="CW78" s="138">
        <f t="shared" si="1874"/>
        <v>0</v>
      </c>
      <c r="CX78" s="110">
        <f t="shared" si="1875"/>
        <v>0</v>
      </c>
      <c r="CY78" s="110"/>
      <c r="CZ78" s="139"/>
      <c r="DA78" s="140" t="e">
        <f t="shared" si="1876"/>
        <v>#DIV/0!</v>
      </c>
      <c r="DB78" s="198">
        <f t="shared" si="1862"/>
        <v>0</v>
      </c>
      <c r="DC78" s="225">
        <f t="shared" si="1877"/>
        <v>0</v>
      </c>
      <c r="DD78" s="226">
        <f t="shared" si="1878"/>
        <v>0</v>
      </c>
      <c r="DE78" s="137">
        <f t="shared" si="1879"/>
        <v>0</v>
      </c>
      <c r="DF78" s="227">
        <f t="shared" si="1866"/>
        <v>2644.05</v>
      </c>
      <c r="DG78" s="138">
        <f t="shared" si="1881"/>
        <v>0</v>
      </c>
      <c r="DH78" s="110">
        <f t="shared" si="1882"/>
        <v>0</v>
      </c>
      <c r="DI78" s="110"/>
      <c r="DJ78" s="139"/>
      <c r="DK78" s="140" t="e">
        <f t="shared" si="1883"/>
        <v>#DIV/0!</v>
      </c>
      <c r="DL78" s="198">
        <f t="shared" si="1862"/>
        <v>0</v>
      </c>
      <c r="DM78" s="225">
        <f t="shared" si="1884"/>
        <v>0</v>
      </c>
      <c r="DN78" s="226">
        <f t="shared" si="1885"/>
        <v>0</v>
      </c>
      <c r="DO78" s="137">
        <f t="shared" si="1886"/>
        <v>0</v>
      </c>
      <c r="DP78" s="227">
        <f t="shared" si="1866"/>
        <v>2644.05</v>
      </c>
      <c r="DQ78" s="138">
        <f t="shared" si="1888"/>
        <v>0</v>
      </c>
      <c r="DR78" s="110">
        <f t="shared" si="1889"/>
        <v>0</v>
      </c>
      <c r="DS78" s="110"/>
      <c r="DT78" s="139"/>
      <c r="DU78" s="140" t="e">
        <f t="shared" si="1890"/>
        <v>#DIV/0!</v>
      </c>
      <c r="DV78" s="198">
        <f t="shared" si="1862"/>
        <v>0</v>
      </c>
      <c r="DW78" s="225">
        <f t="shared" si="1891"/>
        <v>0</v>
      </c>
      <c r="DX78" s="226">
        <f t="shared" si="1892"/>
        <v>0</v>
      </c>
      <c r="DY78" s="137">
        <f t="shared" si="1893"/>
        <v>0</v>
      </c>
      <c r="DZ78" s="227">
        <f t="shared" si="1866"/>
        <v>2644.05</v>
      </c>
      <c r="EA78" s="138">
        <f t="shared" si="1895"/>
        <v>0</v>
      </c>
      <c r="EB78" s="110">
        <f t="shared" si="1896"/>
        <v>0</v>
      </c>
      <c r="EC78" s="110"/>
      <c r="ED78" s="139"/>
      <c r="EE78" s="140" t="e">
        <f t="shared" si="1897"/>
        <v>#DIV/0!</v>
      </c>
      <c r="EF78" s="198">
        <f t="shared" si="1862"/>
        <v>0</v>
      </c>
      <c r="EG78" s="225">
        <f t="shared" si="1898"/>
        <v>0</v>
      </c>
      <c r="EH78" s="226">
        <f t="shared" si="1899"/>
        <v>0</v>
      </c>
      <c r="EI78" s="137">
        <f t="shared" si="1900"/>
        <v>0</v>
      </c>
      <c r="EJ78" s="227">
        <f t="shared" si="1866"/>
        <v>3163.33</v>
      </c>
      <c r="EK78" s="138">
        <f t="shared" si="1902"/>
        <v>0</v>
      </c>
      <c r="EL78" s="110">
        <f t="shared" si="1903"/>
        <v>0</v>
      </c>
      <c r="EM78" s="110"/>
      <c r="EN78" s="139"/>
      <c r="EO78" s="140" t="e">
        <f t="shared" si="1904"/>
        <v>#DIV/0!</v>
      </c>
      <c r="EP78" s="198">
        <f t="shared" si="1862"/>
        <v>0</v>
      </c>
      <c r="EQ78" s="225">
        <f t="shared" si="1905"/>
        <v>0</v>
      </c>
      <c r="ER78" s="226">
        <f t="shared" si="1906"/>
        <v>0</v>
      </c>
      <c r="ES78" s="137">
        <f t="shared" si="1907"/>
        <v>0</v>
      </c>
      <c r="ET78" s="227">
        <f t="shared" si="1866"/>
        <v>3163.33</v>
      </c>
      <c r="EU78" s="138">
        <f t="shared" si="1909"/>
        <v>0</v>
      </c>
      <c r="EV78" s="110">
        <f t="shared" si="1910"/>
        <v>0</v>
      </c>
      <c r="EW78" s="110"/>
      <c r="EX78" s="139"/>
      <c r="EY78" s="140" t="e">
        <f t="shared" si="1911"/>
        <v>#DIV/0!</v>
      </c>
      <c r="EZ78" s="198">
        <f t="shared" si="1912"/>
        <v>0</v>
      </c>
      <c r="FA78" s="225">
        <f t="shared" si="1913"/>
        <v>0</v>
      </c>
      <c r="FB78" s="226">
        <f t="shared" si="1914"/>
        <v>0</v>
      </c>
      <c r="FC78" s="137">
        <f t="shared" si="1915"/>
        <v>0</v>
      </c>
      <c r="FD78" s="227">
        <f t="shared" si="1916"/>
        <v>0</v>
      </c>
      <c r="FE78" s="138">
        <f t="shared" si="1917"/>
        <v>0</v>
      </c>
      <c r="FF78" s="110">
        <f t="shared" si="1918"/>
        <v>0</v>
      </c>
      <c r="FG78" s="110"/>
      <c r="FH78" s="139"/>
      <c r="FI78" s="140" t="e">
        <f t="shared" si="1919"/>
        <v>#DIV/0!</v>
      </c>
      <c r="FJ78" s="198">
        <f t="shared" si="1912"/>
        <v>0</v>
      </c>
      <c r="FK78" s="225">
        <f t="shared" si="1920"/>
        <v>0</v>
      </c>
      <c r="FL78" s="226">
        <f t="shared" si="1921"/>
        <v>0</v>
      </c>
      <c r="FM78" s="137">
        <f t="shared" si="1922"/>
        <v>0</v>
      </c>
      <c r="FN78" s="227">
        <f t="shared" si="1916"/>
        <v>3163.33</v>
      </c>
      <c r="FO78" s="138">
        <f t="shared" si="1924"/>
        <v>0</v>
      </c>
      <c r="FP78" s="110">
        <f t="shared" si="1925"/>
        <v>0</v>
      </c>
      <c r="FQ78" s="110"/>
      <c r="FR78" s="139"/>
      <c r="FS78" s="140" t="e">
        <f t="shared" si="1926"/>
        <v>#DIV/0!</v>
      </c>
      <c r="FT78" s="198">
        <f t="shared" si="1912"/>
        <v>0</v>
      </c>
      <c r="FU78" s="225">
        <f t="shared" si="1927"/>
        <v>0</v>
      </c>
      <c r="FV78" s="226">
        <f t="shared" si="1928"/>
        <v>0</v>
      </c>
      <c r="FW78" s="137">
        <f t="shared" si="1929"/>
        <v>0</v>
      </c>
      <c r="FX78" s="227">
        <f t="shared" si="1916"/>
        <v>3163.33</v>
      </c>
      <c r="FY78" s="138">
        <f t="shared" si="1931"/>
        <v>0</v>
      </c>
      <c r="FZ78" s="110">
        <f t="shared" si="1932"/>
        <v>0</v>
      </c>
      <c r="GA78" s="110"/>
      <c r="GB78" s="139"/>
      <c r="GC78" s="140" t="e">
        <f t="shared" si="1933"/>
        <v>#DIV/0!</v>
      </c>
      <c r="GD78" s="198">
        <f t="shared" si="1912"/>
        <v>0</v>
      </c>
      <c r="GE78" s="225">
        <f t="shared" si="1934"/>
        <v>0</v>
      </c>
      <c r="GF78" s="226">
        <f t="shared" si="1935"/>
        <v>0</v>
      </c>
      <c r="GG78" s="137">
        <f t="shared" si="1936"/>
        <v>0</v>
      </c>
      <c r="GH78" s="227">
        <f t="shared" si="1916"/>
        <v>0</v>
      </c>
      <c r="GI78" s="138">
        <f t="shared" si="1938"/>
        <v>0</v>
      </c>
      <c r="GJ78" s="110">
        <f t="shared" si="1939"/>
        <v>0</v>
      </c>
      <c r="GK78" s="110"/>
      <c r="GL78" s="139"/>
      <c r="GM78" s="140" t="e">
        <f t="shared" si="1940"/>
        <v>#DIV/0!</v>
      </c>
      <c r="GN78" s="198">
        <f t="shared" si="1912"/>
        <v>0</v>
      </c>
      <c r="GO78" s="225">
        <f t="shared" si="1941"/>
        <v>0</v>
      </c>
      <c r="GP78" s="226">
        <f t="shared" si="1942"/>
        <v>0</v>
      </c>
      <c r="GQ78" s="137">
        <f t="shared" si="1943"/>
        <v>0</v>
      </c>
      <c r="GR78" s="227">
        <f t="shared" si="1944"/>
        <v>2644.05</v>
      </c>
      <c r="GS78" s="138">
        <f t="shared" si="1945"/>
        <v>0</v>
      </c>
      <c r="GT78" s="110">
        <f t="shared" si="1946"/>
        <v>0</v>
      </c>
      <c r="GU78" s="110"/>
      <c r="GV78" s="139"/>
      <c r="GW78" s="140" t="e">
        <f t="shared" si="1947"/>
        <v>#DIV/0!</v>
      </c>
      <c r="GX78" s="198">
        <f t="shared" si="1912"/>
        <v>0</v>
      </c>
      <c r="GY78" s="225">
        <f t="shared" si="1948"/>
        <v>0</v>
      </c>
      <c r="GZ78" s="226">
        <f t="shared" si="1949"/>
        <v>0</v>
      </c>
      <c r="HA78" s="137">
        <f t="shared" si="1950"/>
        <v>0</v>
      </c>
      <c r="HB78" s="227">
        <f t="shared" si="1944"/>
        <v>2644.05</v>
      </c>
      <c r="HC78" s="138">
        <f t="shared" si="1952"/>
        <v>0</v>
      </c>
      <c r="HD78" s="110">
        <f t="shared" si="1953"/>
        <v>0</v>
      </c>
      <c r="HE78" s="110"/>
      <c r="HF78" s="139"/>
      <c r="HG78" s="140" t="e">
        <f t="shared" si="1954"/>
        <v>#DIV/0!</v>
      </c>
      <c r="HH78" s="198">
        <f t="shared" si="1912"/>
        <v>0</v>
      </c>
      <c r="HI78" s="225">
        <f t="shared" si="1955"/>
        <v>0</v>
      </c>
      <c r="HJ78" s="226">
        <f t="shared" si="1956"/>
        <v>0</v>
      </c>
      <c r="HK78" s="137">
        <f t="shared" si="1957"/>
        <v>0</v>
      </c>
      <c r="HL78" s="227">
        <f t="shared" si="1944"/>
        <v>2597.2199999999998</v>
      </c>
      <c r="HM78" s="138">
        <f t="shared" si="1959"/>
        <v>0</v>
      </c>
      <c r="HN78" s="110">
        <f t="shared" si="1960"/>
        <v>0</v>
      </c>
      <c r="HO78" s="110"/>
      <c r="HP78" s="139"/>
      <c r="HQ78" s="140" t="e">
        <f t="shared" si="1961"/>
        <v>#DIV/0!</v>
      </c>
      <c r="HR78" s="198">
        <f t="shared" si="1962"/>
        <v>0</v>
      </c>
      <c r="HS78" s="225">
        <f t="shared" si="1963"/>
        <v>0</v>
      </c>
      <c r="HT78" s="226">
        <f t="shared" si="1964"/>
        <v>0</v>
      </c>
      <c r="HU78" s="137">
        <f t="shared" si="1965"/>
        <v>0</v>
      </c>
      <c r="HV78" s="227">
        <f t="shared" si="1944"/>
        <v>3163.33</v>
      </c>
      <c r="HW78" s="138">
        <f t="shared" si="1967"/>
        <v>0</v>
      </c>
      <c r="HX78" s="110">
        <f t="shared" si="1968"/>
        <v>0</v>
      </c>
      <c r="HY78" s="110"/>
      <c r="HZ78" s="139"/>
      <c r="IA78" s="140" t="e">
        <f t="shared" si="1969"/>
        <v>#DIV/0!</v>
      </c>
      <c r="IB78" s="198">
        <f t="shared" si="1962"/>
        <v>0</v>
      </c>
      <c r="IC78" s="225">
        <f t="shared" si="1970"/>
        <v>0</v>
      </c>
      <c r="ID78" s="226">
        <f t="shared" si="1971"/>
        <v>0</v>
      </c>
      <c r="IE78" s="137">
        <f t="shared" si="1972"/>
        <v>0</v>
      </c>
      <c r="IF78" s="227">
        <f t="shared" si="1973"/>
        <v>3163.33</v>
      </c>
      <c r="IG78" s="138">
        <f t="shared" si="1974"/>
        <v>0</v>
      </c>
      <c r="IH78" s="110">
        <f t="shared" si="1975"/>
        <v>0</v>
      </c>
      <c r="II78" s="110"/>
      <c r="IJ78" s="139"/>
      <c r="IK78" s="140" t="e">
        <f t="shared" si="1976"/>
        <v>#DIV/0!</v>
      </c>
      <c r="IL78" s="198">
        <f t="shared" si="1962"/>
        <v>0</v>
      </c>
      <c r="IM78" s="225">
        <f t="shared" si="1977"/>
        <v>0</v>
      </c>
      <c r="IN78" s="226">
        <f t="shared" si="1978"/>
        <v>0</v>
      </c>
      <c r="IO78" s="137">
        <f t="shared" si="1979"/>
        <v>0</v>
      </c>
      <c r="IP78" s="227">
        <f t="shared" si="1973"/>
        <v>2644.05</v>
      </c>
      <c r="IQ78" s="138">
        <f t="shared" si="1981"/>
        <v>0</v>
      </c>
      <c r="IR78" s="110">
        <f t="shared" si="1982"/>
        <v>0</v>
      </c>
      <c r="IS78" s="110"/>
      <c r="IT78" s="139"/>
      <c r="IU78" s="140" t="e">
        <f t="shared" si="1983"/>
        <v>#DIV/0!</v>
      </c>
      <c r="IV78" s="198">
        <f t="shared" si="1962"/>
        <v>0</v>
      </c>
      <c r="IW78" s="225">
        <f t="shared" si="1984"/>
        <v>0</v>
      </c>
      <c r="IX78" s="226">
        <f t="shared" si="1985"/>
        <v>0</v>
      </c>
      <c r="IY78" s="137">
        <f t="shared" si="1986"/>
        <v>0</v>
      </c>
      <c r="IZ78" s="227">
        <f t="shared" si="1973"/>
        <v>3163.33</v>
      </c>
      <c r="JA78" s="138">
        <f t="shared" si="1988"/>
        <v>0</v>
      </c>
      <c r="JB78" s="110">
        <f t="shared" si="1989"/>
        <v>0</v>
      </c>
      <c r="JC78" s="110"/>
      <c r="JD78" s="139"/>
      <c r="JE78" s="140" t="e">
        <f t="shared" si="1990"/>
        <v>#DIV/0!</v>
      </c>
      <c r="JF78" s="198">
        <f t="shared" si="1962"/>
        <v>0</v>
      </c>
      <c r="JG78" s="225">
        <f t="shared" si="1991"/>
        <v>0</v>
      </c>
      <c r="JH78" s="226">
        <f t="shared" si="1992"/>
        <v>0</v>
      </c>
      <c r="JI78" s="137">
        <f t="shared" si="1993"/>
        <v>0</v>
      </c>
      <c r="JJ78" s="227">
        <f t="shared" si="1973"/>
        <v>2644.05</v>
      </c>
      <c r="JK78" s="138">
        <f t="shared" si="1995"/>
        <v>0</v>
      </c>
      <c r="JL78" s="110">
        <f t="shared" si="1996"/>
        <v>0</v>
      </c>
      <c r="JM78" s="110"/>
      <c r="JN78" s="139"/>
      <c r="JO78" s="140" t="e">
        <f t="shared" si="1997"/>
        <v>#DIV/0!</v>
      </c>
      <c r="JP78" s="198">
        <f t="shared" si="1962"/>
        <v>0</v>
      </c>
      <c r="JQ78" s="225">
        <f t="shared" si="1998"/>
        <v>0</v>
      </c>
      <c r="JR78" s="226">
        <f t="shared" si="1999"/>
        <v>0</v>
      </c>
      <c r="JS78" s="137">
        <f t="shared" si="2000"/>
        <v>0</v>
      </c>
      <c r="JT78" s="227">
        <f t="shared" si="2001"/>
        <v>2632.02</v>
      </c>
      <c r="JU78" s="138">
        <f t="shared" si="2002"/>
        <v>0</v>
      </c>
      <c r="JV78" s="110">
        <f t="shared" si="2003"/>
        <v>0</v>
      </c>
      <c r="JW78" s="110"/>
      <c r="JX78" s="139"/>
      <c r="JY78" s="140" t="e">
        <f t="shared" si="2004"/>
        <v>#DIV/0!</v>
      </c>
      <c r="JZ78" s="198">
        <f t="shared" si="1962"/>
        <v>0</v>
      </c>
      <c r="KA78" s="225">
        <f t="shared" si="2005"/>
        <v>0</v>
      </c>
      <c r="KB78" s="226">
        <f t="shared" si="2006"/>
        <v>0</v>
      </c>
      <c r="KC78" s="137">
        <f t="shared" si="2007"/>
        <v>0</v>
      </c>
      <c r="KD78" s="227">
        <f t="shared" si="2001"/>
        <v>3163.33</v>
      </c>
      <c r="KE78" s="138">
        <f t="shared" si="2009"/>
        <v>0</v>
      </c>
      <c r="KF78" s="110">
        <f t="shared" si="2010"/>
        <v>0</v>
      </c>
      <c r="KG78" s="110"/>
      <c r="KH78" s="139"/>
      <c r="KI78" s="140" t="e">
        <f t="shared" si="2011"/>
        <v>#DIV/0!</v>
      </c>
      <c r="KJ78" s="198">
        <f t="shared" si="2012"/>
        <v>0</v>
      </c>
      <c r="KK78" s="225">
        <f t="shared" si="2013"/>
        <v>0</v>
      </c>
      <c r="KL78" s="226">
        <f t="shared" si="2014"/>
        <v>0</v>
      </c>
      <c r="KM78" s="137">
        <f t="shared" si="2015"/>
        <v>0</v>
      </c>
      <c r="KN78" s="227">
        <f t="shared" si="2001"/>
        <v>2644.05</v>
      </c>
      <c r="KO78" s="138">
        <f t="shared" si="2017"/>
        <v>0</v>
      </c>
      <c r="KP78" s="110">
        <f t="shared" si="2018"/>
        <v>0</v>
      </c>
      <c r="KQ78" s="110"/>
      <c r="KR78" s="139"/>
      <c r="KS78" s="140" t="e">
        <f t="shared" si="2019"/>
        <v>#DIV/0!</v>
      </c>
      <c r="KT78" s="198">
        <f t="shared" si="2012"/>
        <v>0</v>
      </c>
      <c r="KU78" s="225">
        <f t="shared" si="2020"/>
        <v>0</v>
      </c>
      <c r="KV78" s="226">
        <f t="shared" si="2021"/>
        <v>0</v>
      </c>
      <c r="KW78" s="137">
        <f t="shared" si="2022"/>
        <v>0</v>
      </c>
      <c r="KX78" s="227">
        <f t="shared" si="2001"/>
        <v>3163.33</v>
      </c>
      <c r="KY78" s="138">
        <f t="shared" si="2024"/>
        <v>0</v>
      </c>
      <c r="KZ78" s="110">
        <f t="shared" si="2025"/>
        <v>0</v>
      </c>
      <c r="LA78" s="110"/>
      <c r="LB78" s="139"/>
      <c r="LC78" s="140" t="e">
        <f t="shared" si="2026"/>
        <v>#DIV/0!</v>
      </c>
      <c r="LD78" s="197">
        <f t="shared" si="2027"/>
        <v>0</v>
      </c>
      <c r="LE78" s="225">
        <f t="shared" si="2028"/>
        <v>0</v>
      </c>
      <c r="LF78" s="226">
        <f t="shared" si="2029"/>
        <v>0</v>
      </c>
      <c r="LG78" s="137">
        <f t="shared" si="2030"/>
        <v>0</v>
      </c>
      <c r="LH78" s="227">
        <f t="shared" si="2031"/>
        <v>2869.57</v>
      </c>
      <c r="LI78" s="138">
        <f t="shared" si="2032"/>
        <v>0</v>
      </c>
      <c r="LJ78" s="110">
        <f t="shared" si="2033"/>
        <v>0</v>
      </c>
      <c r="LK78" s="110"/>
      <c r="LL78" s="139"/>
    </row>
    <row r="79" spans="1:324" x14ac:dyDescent="0.25">
      <c r="A79" s="244"/>
      <c r="B79" s="250" t="s">
        <v>854</v>
      </c>
      <c r="C79" s="12"/>
      <c r="D79" s="12"/>
      <c r="E79" s="4"/>
      <c r="F79" s="198"/>
      <c r="G79" s="225"/>
      <c r="H79" s="226"/>
      <c r="I79" s="137"/>
      <c r="J79" s="227"/>
      <c r="K79" s="138"/>
      <c r="L79" s="110"/>
      <c r="M79" s="110"/>
      <c r="N79" s="139"/>
      <c r="O79" s="140"/>
      <c r="P79" s="198"/>
      <c r="Q79" s="225"/>
      <c r="R79" s="226"/>
      <c r="S79" s="137"/>
      <c r="T79" s="227"/>
      <c r="U79" s="138"/>
      <c r="V79" s="110"/>
      <c r="W79" s="110"/>
      <c r="X79" s="139"/>
      <c r="Y79" s="140"/>
      <c r="Z79" s="198"/>
      <c r="AA79" s="225"/>
      <c r="AB79" s="226"/>
      <c r="AC79" s="137"/>
      <c r="AD79" s="227"/>
      <c r="AE79" s="138"/>
      <c r="AF79" s="110"/>
      <c r="AG79" s="110"/>
      <c r="AH79" s="139"/>
      <c r="AI79" s="140"/>
      <c r="AJ79" s="198"/>
      <c r="AK79" s="225"/>
      <c r="AL79" s="226"/>
      <c r="AM79" s="137"/>
      <c r="AN79" s="227"/>
      <c r="AO79" s="138"/>
      <c r="AP79" s="110"/>
      <c r="AQ79" s="110"/>
      <c r="AR79" s="139"/>
      <c r="AS79" s="140"/>
      <c r="AT79" s="198"/>
      <c r="AU79" s="225"/>
      <c r="AV79" s="226"/>
      <c r="AW79" s="137"/>
      <c r="AX79" s="227"/>
      <c r="AY79" s="138"/>
      <c r="AZ79" s="110"/>
      <c r="BA79" s="110"/>
      <c r="BB79" s="139"/>
      <c r="BC79" s="140"/>
      <c r="BD79" s="198"/>
      <c r="BE79" s="225"/>
      <c r="BF79" s="226"/>
      <c r="BG79" s="137"/>
      <c r="BH79" s="227"/>
      <c r="BI79" s="138"/>
      <c r="BJ79" s="110"/>
      <c r="BK79" s="110"/>
      <c r="BL79" s="139"/>
      <c r="BM79" s="140"/>
      <c r="BN79" s="198"/>
      <c r="BO79" s="225"/>
      <c r="BP79" s="226"/>
      <c r="BQ79" s="137"/>
      <c r="BR79" s="227"/>
      <c r="BS79" s="138"/>
      <c r="BT79" s="110"/>
      <c r="BU79" s="110"/>
      <c r="BV79" s="139"/>
      <c r="BW79" s="140"/>
      <c r="BX79" s="198"/>
      <c r="BY79" s="225"/>
      <c r="BZ79" s="226"/>
      <c r="CA79" s="137"/>
      <c r="CB79" s="227"/>
      <c r="CC79" s="138"/>
      <c r="CD79" s="110"/>
      <c r="CE79" s="110"/>
      <c r="CF79" s="139"/>
      <c r="CG79" s="140"/>
      <c r="CH79" s="198"/>
      <c r="CI79" s="225"/>
      <c r="CJ79" s="226"/>
      <c r="CK79" s="137"/>
      <c r="CL79" s="227"/>
      <c r="CM79" s="138"/>
      <c r="CN79" s="110"/>
      <c r="CO79" s="110"/>
      <c r="CP79" s="139"/>
      <c r="CQ79" s="140"/>
      <c r="CR79" s="198"/>
      <c r="CS79" s="225"/>
      <c r="CT79" s="226"/>
      <c r="CU79" s="137"/>
      <c r="CV79" s="227"/>
      <c r="CW79" s="138"/>
      <c r="CX79" s="110"/>
      <c r="CY79" s="110"/>
      <c r="CZ79" s="139"/>
      <c r="DA79" s="140"/>
      <c r="DB79" s="198"/>
      <c r="DC79" s="225"/>
      <c r="DD79" s="226"/>
      <c r="DE79" s="137"/>
      <c r="DF79" s="227"/>
      <c r="DG79" s="138"/>
      <c r="DH79" s="110"/>
      <c r="DI79" s="110"/>
      <c r="DJ79" s="139"/>
      <c r="DK79" s="140"/>
      <c r="DL79" s="198"/>
      <c r="DM79" s="225"/>
      <c r="DN79" s="226"/>
      <c r="DO79" s="137"/>
      <c r="DP79" s="227"/>
      <c r="DQ79" s="138"/>
      <c r="DR79" s="110"/>
      <c r="DS79" s="110"/>
      <c r="DT79" s="139"/>
      <c r="DU79" s="140"/>
      <c r="DV79" s="198"/>
      <c r="DW79" s="225"/>
      <c r="DX79" s="226"/>
      <c r="DY79" s="137"/>
      <c r="DZ79" s="227"/>
      <c r="EA79" s="138"/>
      <c r="EB79" s="110"/>
      <c r="EC79" s="110"/>
      <c r="ED79" s="139"/>
      <c r="EE79" s="140"/>
      <c r="EF79" s="198"/>
      <c r="EG79" s="225"/>
      <c r="EH79" s="226"/>
      <c r="EI79" s="137"/>
      <c r="EJ79" s="227"/>
      <c r="EK79" s="138"/>
      <c r="EL79" s="110"/>
      <c r="EM79" s="110"/>
      <c r="EN79" s="139"/>
      <c r="EO79" s="140"/>
      <c r="EP79" s="198"/>
      <c r="EQ79" s="225"/>
      <c r="ER79" s="226"/>
      <c r="ES79" s="137"/>
      <c r="ET79" s="227"/>
      <c r="EU79" s="138"/>
      <c r="EV79" s="110"/>
      <c r="EW79" s="110"/>
      <c r="EX79" s="139"/>
      <c r="EY79" s="140"/>
      <c r="EZ79" s="198"/>
      <c r="FA79" s="225"/>
      <c r="FB79" s="226"/>
      <c r="FC79" s="137"/>
      <c r="FD79" s="227"/>
      <c r="FE79" s="138"/>
      <c r="FF79" s="110"/>
      <c r="FG79" s="110"/>
      <c r="FH79" s="139"/>
      <c r="FI79" s="140"/>
      <c r="FJ79" s="198"/>
      <c r="FK79" s="225"/>
      <c r="FL79" s="226"/>
      <c r="FM79" s="137"/>
      <c r="FN79" s="227"/>
      <c r="FO79" s="138"/>
      <c r="FP79" s="110"/>
      <c r="FQ79" s="110"/>
      <c r="FR79" s="139"/>
      <c r="FS79" s="140"/>
      <c r="FT79" s="198"/>
      <c r="FU79" s="225"/>
      <c r="FV79" s="226"/>
      <c r="FW79" s="137"/>
      <c r="FX79" s="227"/>
      <c r="FY79" s="138"/>
      <c r="FZ79" s="110"/>
      <c r="GA79" s="110"/>
      <c r="GB79" s="139"/>
      <c r="GC79" s="140"/>
      <c r="GD79" s="198"/>
      <c r="GE79" s="225"/>
      <c r="GF79" s="226"/>
      <c r="GG79" s="137"/>
      <c r="GH79" s="227"/>
      <c r="GI79" s="138"/>
      <c r="GJ79" s="110"/>
      <c r="GK79" s="110"/>
      <c r="GL79" s="139"/>
      <c r="GM79" s="140"/>
      <c r="GN79" s="198"/>
      <c r="GO79" s="225"/>
      <c r="GP79" s="226"/>
      <c r="GQ79" s="137"/>
      <c r="GR79" s="227"/>
      <c r="GS79" s="138"/>
      <c r="GT79" s="110"/>
      <c r="GU79" s="110"/>
      <c r="GV79" s="139"/>
      <c r="GW79" s="140"/>
      <c r="GX79" s="198"/>
      <c r="GY79" s="225"/>
      <c r="GZ79" s="226"/>
      <c r="HA79" s="137"/>
      <c r="HB79" s="227"/>
      <c r="HC79" s="138"/>
      <c r="HD79" s="110"/>
      <c r="HE79" s="110"/>
      <c r="HF79" s="139"/>
      <c r="HG79" s="140"/>
      <c r="HH79" s="198"/>
      <c r="HI79" s="225"/>
      <c r="HJ79" s="226"/>
      <c r="HK79" s="137"/>
      <c r="HL79" s="227"/>
      <c r="HM79" s="138"/>
      <c r="HN79" s="110"/>
      <c r="HO79" s="110"/>
      <c r="HP79" s="139"/>
      <c r="HQ79" s="140"/>
      <c r="HR79" s="198"/>
      <c r="HS79" s="225"/>
      <c r="HT79" s="226"/>
      <c r="HU79" s="137"/>
      <c r="HV79" s="227"/>
      <c r="HW79" s="138"/>
      <c r="HX79" s="110"/>
      <c r="HY79" s="110"/>
      <c r="HZ79" s="139"/>
      <c r="IA79" s="140"/>
      <c r="IB79" s="198"/>
      <c r="IC79" s="225"/>
      <c r="ID79" s="226"/>
      <c r="IE79" s="137"/>
      <c r="IF79" s="227"/>
      <c r="IG79" s="138"/>
      <c r="IH79" s="110"/>
      <c r="II79" s="110"/>
      <c r="IJ79" s="139"/>
      <c r="IK79" s="140"/>
      <c r="IL79" s="198"/>
      <c r="IM79" s="225"/>
      <c r="IN79" s="226"/>
      <c r="IO79" s="137"/>
      <c r="IP79" s="227"/>
      <c r="IQ79" s="138"/>
      <c r="IR79" s="110"/>
      <c r="IS79" s="110"/>
      <c r="IT79" s="139"/>
      <c r="IU79" s="140"/>
      <c r="IV79" s="198"/>
      <c r="IW79" s="225"/>
      <c r="IX79" s="226"/>
      <c r="IY79" s="137"/>
      <c r="IZ79" s="227"/>
      <c r="JA79" s="138"/>
      <c r="JB79" s="110"/>
      <c r="JC79" s="110"/>
      <c r="JD79" s="139"/>
      <c r="JE79" s="140"/>
      <c r="JF79" s="198"/>
      <c r="JG79" s="225"/>
      <c r="JH79" s="226"/>
      <c r="JI79" s="137"/>
      <c r="JJ79" s="227"/>
      <c r="JK79" s="138"/>
      <c r="JL79" s="110"/>
      <c r="JM79" s="110"/>
      <c r="JN79" s="139"/>
      <c r="JO79" s="140"/>
      <c r="JP79" s="198"/>
      <c r="JQ79" s="225"/>
      <c r="JR79" s="226"/>
      <c r="JS79" s="137"/>
      <c r="JT79" s="227"/>
      <c r="JU79" s="138"/>
      <c r="JV79" s="110"/>
      <c r="JW79" s="110"/>
      <c r="JX79" s="139"/>
      <c r="JY79" s="140"/>
      <c r="JZ79" s="198"/>
      <c r="KA79" s="225"/>
      <c r="KB79" s="226"/>
      <c r="KC79" s="137"/>
      <c r="KD79" s="227"/>
      <c r="KE79" s="138"/>
      <c r="KF79" s="110"/>
      <c r="KG79" s="110"/>
      <c r="KH79" s="139"/>
      <c r="KI79" s="140"/>
      <c r="KJ79" s="198"/>
      <c r="KK79" s="225"/>
      <c r="KL79" s="226"/>
      <c r="KM79" s="137"/>
      <c r="KN79" s="227"/>
      <c r="KO79" s="138"/>
      <c r="KP79" s="110"/>
      <c r="KQ79" s="110"/>
      <c r="KR79" s="139"/>
      <c r="KS79" s="140"/>
      <c r="KT79" s="198"/>
      <c r="KU79" s="225"/>
      <c r="KV79" s="226"/>
      <c r="KW79" s="137"/>
      <c r="KX79" s="227"/>
      <c r="KY79" s="138"/>
      <c r="KZ79" s="110"/>
      <c r="LA79" s="110"/>
      <c r="LB79" s="139"/>
      <c r="LC79" s="140"/>
      <c r="LD79" s="197"/>
      <c r="LE79" s="225"/>
      <c r="LF79" s="226"/>
      <c r="LG79" s="137"/>
      <c r="LH79" s="227"/>
      <c r="LI79" s="138"/>
      <c r="LJ79" s="110"/>
      <c r="LK79" s="110"/>
      <c r="LL79" s="139"/>
    </row>
    <row r="80" spans="1:324" ht="24" x14ac:dyDescent="0.25">
      <c r="A80" s="245"/>
      <c r="B80" s="70" t="s">
        <v>609</v>
      </c>
      <c r="C80" s="12" t="s">
        <v>729</v>
      </c>
      <c r="D80" s="12" t="s">
        <v>429</v>
      </c>
      <c r="E80" s="4" t="s">
        <v>34</v>
      </c>
      <c r="F80" s="198">
        <f t="shared" ref="F80:F87" si="2037">F22</f>
        <v>313</v>
      </c>
      <c r="G80" s="225">
        <f t="shared" si="2034"/>
        <v>0.51993</v>
      </c>
      <c r="H80" s="226">
        <f t="shared" si="2035"/>
        <v>106.55</v>
      </c>
      <c r="I80" s="137">
        <f t="shared" si="1808"/>
        <v>0.34041534000000001</v>
      </c>
      <c r="J80" s="227">
        <f t="shared" si="2036"/>
        <v>2644.05</v>
      </c>
      <c r="K80" s="138">
        <f t="shared" si="1809"/>
        <v>900.07518000000005</v>
      </c>
      <c r="L80" s="110">
        <f t="shared" si="1810"/>
        <v>281723.53000000003</v>
      </c>
      <c r="M80" s="110"/>
      <c r="N80" s="139"/>
      <c r="O80" s="140">
        <f t="shared" si="1811"/>
        <v>0.50863000000000003</v>
      </c>
      <c r="P80" s="198">
        <f t="shared" ref="P80:BX87" si="2038">P22</f>
        <v>523</v>
      </c>
      <c r="Q80" s="225">
        <f t="shared" ref="Q80:Q87" si="2039">P80/P$68</f>
        <v>0.47719</v>
      </c>
      <c r="R80" s="226">
        <f t="shared" ref="R80:R87" si="2040">R$68*Q80</f>
        <v>261.62</v>
      </c>
      <c r="S80" s="137">
        <f t="shared" ref="S80:S87" si="2041">IF(P80&gt;0,R80/P80,0)</f>
        <v>0.50022944999999996</v>
      </c>
      <c r="T80" s="227">
        <f t="shared" ref="T80:CB87" si="2042">T$68</f>
        <v>3163.33</v>
      </c>
      <c r="U80" s="138">
        <f t="shared" ref="U80:U87" si="2043">S80*T80</f>
        <v>1582.3908300000001</v>
      </c>
      <c r="V80" s="110">
        <f t="shared" ref="V80:V87" si="2044">U80*P80</f>
        <v>827590.4</v>
      </c>
      <c r="W80" s="110"/>
      <c r="X80" s="139"/>
      <c r="Y80" s="140">
        <f t="shared" ref="Y80:Y87" si="2045">U80/$LI80</f>
        <v>0.89419999999999999</v>
      </c>
      <c r="Z80" s="198">
        <f t="shared" si="2038"/>
        <v>412</v>
      </c>
      <c r="AA80" s="225">
        <f t="shared" ref="AA80:AA87" si="2046">Z80/Z$68</f>
        <v>0.47685</v>
      </c>
      <c r="AB80" s="226">
        <f t="shared" ref="AB80:AB87" si="2047">AB$68*AA80</f>
        <v>225.64</v>
      </c>
      <c r="AC80" s="137">
        <f t="shared" ref="AC80:AC87" si="2048">IF(Z80&gt;0,AB80/Z80,0)</f>
        <v>0.54766990000000004</v>
      </c>
      <c r="AD80" s="227">
        <f t="shared" si="2042"/>
        <v>2608.17</v>
      </c>
      <c r="AE80" s="138">
        <f t="shared" ref="AE80:AE87" si="2049">AC80*AD80</f>
        <v>1428.4161999999999</v>
      </c>
      <c r="AF80" s="110">
        <f t="shared" ref="AF80:AF87" si="2050">AE80*Z80</f>
        <v>588507.47</v>
      </c>
      <c r="AG80" s="110"/>
      <c r="AH80" s="139"/>
      <c r="AI80" s="140">
        <f t="shared" ref="AI80:AI87" si="2051">AE80/$LI80</f>
        <v>0.80718999999999996</v>
      </c>
      <c r="AJ80" s="198">
        <f t="shared" si="2038"/>
        <v>311</v>
      </c>
      <c r="AK80" s="225">
        <f t="shared" ref="AK80:AK87" si="2052">AJ80/AJ$68</f>
        <v>0.46766999999999997</v>
      </c>
      <c r="AL80" s="226">
        <f t="shared" ref="AL80:AL87" si="2053">AL$68*AK80</f>
        <v>162.08000000000001</v>
      </c>
      <c r="AM80" s="137">
        <f t="shared" ref="AM80:AM87" si="2054">IF(AJ80&gt;0,AL80/AJ80,0)</f>
        <v>0.52115756000000002</v>
      </c>
      <c r="AN80" s="227">
        <f t="shared" si="2042"/>
        <v>2644.05</v>
      </c>
      <c r="AO80" s="138">
        <f t="shared" ref="AO80:AO87" si="2055">AM80*AN80</f>
        <v>1377.9666500000001</v>
      </c>
      <c r="AP80" s="110">
        <f t="shared" ref="AP80:AP87" si="2056">AO80*AJ80</f>
        <v>428547.63</v>
      </c>
      <c r="AQ80" s="110"/>
      <c r="AR80" s="139"/>
      <c r="AS80" s="140">
        <f t="shared" ref="AS80:AS87" si="2057">AO80/$LI80</f>
        <v>0.77868000000000004</v>
      </c>
      <c r="AT80" s="198">
        <f t="shared" si="2038"/>
        <v>428</v>
      </c>
      <c r="AU80" s="225">
        <f t="shared" ref="AU80:AU87" si="2058">AT80/AT$68</f>
        <v>0.45005000000000001</v>
      </c>
      <c r="AV80" s="226">
        <f t="shared" ref="AV80:AV87" si="2059">AV$68*AU80</f>
        <v>181.63</v>
      </c>
      <c r="AW80" s="137">
        <f t="shared" ref="AW80:AW87" si="2060">IF(AT80&gt;0,AV80/AT80,0)</f>
        <v>0.42436916000000002</v>
      </c>
      <c r="AX80" s="227">
        <f t="shared" si="2042"/>
        <v>1786.28</v>
      </c>
      <c r="AY80" s="138">
        <f t="shared" ref="AY80:AY87" si="2061">AW80*AX80</f>
        <v>758.04214000000002</v>
      </c>
      <c r="AZ80" s="110">
        <f t="shared" ref="AZ80:AZ87" si="2062">AY80*AT80</f>
        <v>324442.03999999998</v>
      </c>
      <c r="BA80" s="110"/>
      <c r="BB80" s="139"/>
      <c r="BC80" s="140">
        <f t="shared" ref="BC80:BC87" si="2063">AY80/$LI80</f>
        <v>0.42836999999999997</v>
      </c>
      <c r="BD80" s="198">
        <f t="shared" si="2038"/>
        <v>358</v>
      </c>
      <c r="BE80" s="225">
        <f t="shared" ref="BE80:BE87" si="2064">BD80/BD$68</f>
        <v>0.48118</v>
      </c>
      <c r="BF80" s="226">
        <f t="shared" ref="BF80:BF87" si="2065">BF$68*BE80</f>
        <v>150.37</v>
      </c>
      <c r="BG80" s="137">
        <f t="shared" ref="BG80:BG87" si="2066">IF(BD80&gt;0,BF80/BD80,0)</f>
        <v>0.42002792999999999</v>
      </c>
      <c r="BH80" s="227">
        <f t="shared" si="2042"/>
        <v>3163.33</v>
      </c>
      <c r="BI80" s="138">
        <f t="shared" ref="BI80:BI87" si="2067">BG80*BH80</f>
        <v>1328.68695</v>
      </c>
      <c r="BJ80" s="110">
        <f t="shared" ref="BJ80:BJ87" si="2068">BI80*BD80</f>
        <v>475669.93</v>
      </c>
      <c r="BK80" s="110"/>
      <c r="BL80" s="139"/>
      <c r="BM80" s="140">
        <f t="shared" ref="BM80:BM87" si="2069">BI80/$LI80</f>
        <v>0.75083999999999995</v>
      </c>
      <c r="BN80" s="198">
        <f t="shared" si="2038"/>
        <v>305</v>
      </c>
      <c r="BO80" s="225">
        <f t="shared" ref="BO80:BO87" si="2070">BN80/BN$68</f>
        <v>0.49432999999999999</v>
      </c>
      <c r="BP80" s="226">
        <f t="shared" ref="BP80:BP87" si="2071">BP$68*BO80</f>
        <v>210.09</v>
      </c>
      <c r="BQ80" s="137">
        <f t="shared" ref="BQ80:BQ87" si="2072">IF(BN80&gt;0,BP80/BN80,0)</f>
        <v>0.68881967</v>
      </c>
      <c r="BR80" s="227">
        <f t="shared" si="2042"/>
        <v>2182.42</v>
      </c>
      <c r="BS80" s="138">
        <f t="shared" ref="BS80:BS87" si="2073">BQ80*BR80</f>
        <v>1503.2938200000001</v>
      </c>
      <c r="BT80" s="110">
        <f t="shared" ref="BT80:BT87" si="2074">BS80*BN80</f>
        <v>458504.62</v>
      </c>
      <c r="BU80" s="110"/>
      <c r="BV80" s="139"/>
      <c r="BW80" s="140">
        <f t="shared" ref="BW80:BW87" si="2075">BS80/$LI80</f>
        <v>0.84950999999999999</v>
      </c>
      <c r="BX80" s="198">
        <f t="shared" si="2038"/>
        <v>401</v>
      </c>
      <c r="BY80" s="225">
        <f t="shared" ref="BY80:BY87" si="2076">BX80/BX$68</f>
        <v>0.50888</v>
      </c>
      <c r="BZ80" s="226">
        <f t="shared" ref="BZ80:BZ87" si="2077">BZ$68*BY80</f>
        <v>162.79</v>
      </c>
      <c r="CA80" s="137">
        <f t="shared" ref="CA80:CA87" si="2078">IF(BX80&gt;0,BZ80/BX80,0)</f>
        <v>0.40596009999999999</v>
      </c>
      <c r="CB80" s="227">
        <f t="shared" si="2042"/>
        <v>2644.05</v>
      </c>
      <c r="CC80" s="138">
        <f t="shared" ref="CC80:CC87" si="2079">CA80*CB80</f>
        <v>1073.3788</v>
      </c>
      <c r="CD80" s="110">
        <f t="shared" ref="CD80:CD87" si="2080">CC80*BX80</f>
        <v>430424.9</v>
      </c>
      <c r="CE80" s="110"/>
      <c r="CF80" s="139"/>
      <c r="CG80" s="140">
        <f t="shared" ref="CG80:CG87" si="2081">CC80/$LI80</f>
        <v>0.60655999999999999</v>
      </c>
      <c r="CH80" s="198">
        <f t="shared" ref="CH80:EP87" si="2082">CH22</f>
        <v>428</v>
      </c>
      <c r="CI80" s="225">
        <f t="shared" ref="CI80:CI87" si="2083">CH80/CH$68</f>
        <v>0.4632</v>
      </c>
      <c r="CJ80" s="226">
        <f t="shared" ref="CJ80:CJ87" si="2084">CJ$68*CI80</f>
        <v>173.66</v>
      </c>
      <c r="CK80" s="137">
        <f t="shared" ref="CK80:CK87" si="2085">IF(CH80&gt;0,CJ80/CH80,0)</f>
        <v>0.40574766000000001</v>
      </c>
      <c r="CL80" s="227">
        <f t="shared" ref="CL80:ET87" si="2086">CL$68</f>
        <v>2644.05</v>
      </c>
      <c r="CM80" s="138">
        <f t="shared" ref="CM80:CM87" si="2087">CK80*CL80</f>
        <v>1072.8171</v>
      </c>
      <c r="CN80" s="110">
        <f t="shared" ref="CN80:CN87" si="2088">CM80*CH80</f>
        <v>459165.72</v>
      </c>
      <c r="CO80" s="110"/>
      <c r="CP80" s="139"/>
      <c r="CQ80" s="140">
        <f t="shared" ref="CQ80:CQ87" si="2089">CM80/$LI80</f>
        <v>0.60624</v>
      </c>
      <c r="CR80" s="198">
        <f t="shared" si="2082"/>
        <v>362</v>
      </c>
      <c r="CS80" s="225">
        <f t="shared" ref="CS80:CS87" si="2090">CR80/CR$68</f>
        <v>0.48655999999999999</v>
      </c>
      <c r="CT80" s="226">
        <f t="shared" ref="CT80:CT87" si="2091">CT$68*CS80</f>
        <v>243.28</v>
      </c>
      <c r="CU80" s="137">
        <f t="shared" ref="CU80:CU87" si="2092">IF(CR80&gt;0,CT80/CR80,0)</f>
        <v>0.67204419999999998</v>
      </c>
      <c r="CV80" s="227">
        <f t="shared" si="2086"/>
        <v>3163.33</v>
      </c>
      <c r="CW80" s="138">
        <f t="shared" ref="CW80:CW87" si="2093">CU80*CV80</f>
        <v>2125.8975799999998</v>
      </c>
      <c r="CX80" s="110">
        <f t="shared" ref="CX80:CX87" si="2094">CW80*CR80</f>
        <v>769574.92</v>
      </c>
      <c r="CY80" s="110"/>
      <c r="CZ80" s="139"/>
      <c r="DA80" s="140">
        <f t="shared" ref="DA80:DA87" si="2095">CW80/$LI80</f>
        <v>1.2013400000000001</v>
      </c>
      <c r="DB80" s="198">
        <f t="shared" si="2082"/>
        <v>380</v>
      </c>
      <c r="DC80" s="225">
        <f t="shared" ref="DC80:DC87" si="2096">DB80/DB$68</f>
        <v>0.46061000000000002</v>
      </c>
      <c r="DD80" s="226">
        <f t="shared" ref="DD80:DD87" si="2097">DD$68*DC80</f>
        <v>276.7</v>
      </c>
      <c r="DE80" s="137">
        <f t="shared" ref="DE80:DE87" si="2098">IF(DB80&gt;0,DD80/DB80,0)</f>
        <v>0.72815788999999997</v>
      </c>
      <c r="DF80" s="227">
        <f t="shared" si="2086"/>
        <v>2644.05</v>
      </c>
      <c r="DG80" s="138">
        <f t="shared" ref="DG80:DG87" si="2099">DE80*DF80</f>
        <v>1925.2858699999999</v>
      </c>
      <c r="DH80" s="110">
        <f t="shared" ref="DH80:DH87" si="2100">DG80*DB80</f>
        <v>731608.63</v>
      </c>
      <c r="DI80" s="110"/>
      <c r="DJ80" s="139"/>
      <c r="DK80" s="140">
        <f t="shared" ref="DK80:DK87" si="2101">DG80/$LI80</f>
        <v>1.0879700000000001</v>
      </c>
      <c r="DL80" s="198">
        <f t="shared" si="2082"/>
        <v>0</v>
      </c>
      <c r="DM80" s="225">
        <f t="shared" ref="DM80:DM87" si="2102">DL80/DL$68</f>
        <v>0</v>
      </c>
      <c r="DN80" s="226">
        <f t="shared" ref="DN80:DN87" si="2103">DN$68*DM80</f>
        <v>0</v>
      </c>
      <c r="DO80" s="137">
        <f t="shared" ref="DO80:DO87" si="2104">IF(DL80&gt;0,DN80/DL80,0)</f>
        <v>0</v>
      </c>
      <c r="DP80" s="227">
        <f t="shared" si="2086"/>
        <v>2644.05</v>
      </c>
      <c r="DQ80" s="138">
        <f t="shared" ref="DQ80:DQ87" si="2105">DO80*DP80</f>
        <v>0</v>
      </c>
      <c r="DR80" s="110">
        <f t="shared" ref="DR80:DR87" si="2106">DQ80*DL80</f>
        <v>0</v>
      </c>
      <c r="DS80" s="110"/>
      <c r="DT80" s="139"/>
      <c r="DU80" s="140">
        <f t="shared" ref="DU80:DU87" si="2107">DQ80/$LI80</f>
        <v>0</v>
      </c>
      <c r="DV80" s="198">
        <f t="shared" si="2082"/>
        <v>427</v>
      </c>
      <c r="DW80" s="225">
        <f t="shared" ref="DW80:DW87" si="2108">DV80/DV$68</f>
        <v>0.48632999999999998</v>
      </c>
      <c r="DX80" s="226">
        <f t="shared" ref="DX80:DX87" si="2109">DX$68*DW80</f>
        <v>135.05000000000001</v>
      </c>
      <c r="DY80" s="137">
        <f t="shared" ref="DY80:DY87" si="2110">IF(DV80&gt;0,DX80/DV80,0)</f>
        <v>0.31627634999999998</v>
      </c>
      <c r="DZ80" s="227">
        <f t="shared" si="2086"/>
        <v>2644.05</v>
      </c>
      <c r="EA80" s="138">
        <f t="shared" ref="EA80:EA87" si="2111">DY80*DZ80</f>
        <v>836.25048000000004</v>
      </c>
      <c r="EB80" s="110">
        <f t="shared" ref="EB80:EB87" si="2112">EA80*DV80</f>
        <v>357078.95</v>
      </c>
      <c r="EC80" s="110"/>
      <c r="ED80" s="139"/>
      <c r="EE80" s="140">
        <f t="shared" ref="EE80:EE87" si="2113">EA80/$LI80</f>
        <v>0.47255999999999998</v>
      </c>
      <c r="EF80" s="198">
        <f t="shared" si="2082"/>
        <v>472</v>
      </c>
      <c r="EG80" s="225">
        <f t="shared" ref="EG80:EG87" si="2114">EF80/EF$68</f>
        <v>0.50266</v>
      </c>
      <c r="EH80" s="226">
        <f t="shared" ref="EH80:EH87" si="2115">EH$68*EG80</f>
        <v>191.06</v>
      </c>
      <c r="EI80" s="137">
        <f t="shared" ref="EI80:EI87" si="2116">IF(EF80&gt;0,EH80/EF80,0)</f>
        <v>0.40478814000000002</v>
      </c>
      <c r="EJ80" s="227">
        <f t="shared" si="2086"/>
        <v>3163.33</v>
      </c>
      <c r="EK80" s="138">
        <f t="shared" ref="EK80:EK87" si="2117">EI80*EJ80</f>
        <v>1280.47847</v>
      </c>
      <c r="EL80" s="110">
        <f t="shared" ref="EL80:EL87" si="2118">EK80*EF80</f>
        <v>604385.84</v>
      </c>
      <c r="EM80" s="110"/>
      <c r="EN80" s="139"/>
      <c r="EO80" s="140">
        <f t="shared" ref="EO80:EO87" si="2119">EK80/$LI80</f>
        <v>0.72358999999999996</v>
      </c>
      <c r="EP80" s="198">
        <f t="shared" si="2082"/>
        <v>448</v>
      </c>
      <c r="EQ80" s="225">
        <f t="shared" ref="EQ80:EQ87" si="2120">EP80/EP$68</f>
        <v>0.47508</v>
      </c>
      <c r="ER80" s="226">
        <f t="shared" ref="ER80:ER87" si="2121">ER$68*EQ80</f>
        <v>339.42</v>
      </c>
      <c r="ES80" s="137">
        <f t="shared" ref="ES80:ES87" si="2122">IF(EP80&gt;0,ER80/EP80,0)</f>
        <v>0.75763393000000001</v>
      </c>
      <c r="ET80" s="227">
        <f t="shared" si="2086"/>
        <v>3163.33</v>
      </c>
      <c r="EU80" s="138">
        <f t="shared" ref="EU80:EU87" si="2123">ES80*ET80</f>
        <v>2396.6461399999998</v>
      </c>
      <c r="EV80" s="110">
        <f t="shared" ref="EV80:EV87" si="2124">EU80*EP80</f>
        <v>1073697.47</v>
      </c>
      <c r="EW80" s="110"/>
      <c r="EX80" s="139"/>
      <c r="EY80" s="140">
        <f t="shared" ref="EY80:EY87" si="2125">EU80/$LI80</f>
        <v>1.3543400000000001</v>
      </c>
      <c r="EZ80" s="198">
        <f t="shared" ref="EZ80:HH87" si="2126">EZ22</f>
        <v>443</v>
      </c>
      <c r="FA80" s="225">
        <f t="shared" ref="FA80:FA87" si="2127">EZ80/EZ$68</f>
        <v>0.39660000000000001</v>
      </c>
      <c r="FB80" s="226">
        <f t="shared" ref="FB80:FB87" si="2128">FB$68*FA80</f>
        <v>0</v>
      </c>
      <c r="FC80" s="137">
        <f t="shared" ref="FC80:FC87" si="2129">IF(EZ80&gt;0,FB80/EZ80,0)</f>
        <v>0</v>
      </c>
      <c r="FD80" s="227">
        <f t="shared" ref="FD80:HL87" si="2130">FD$68</f>
        <v>0</v>
      </c>
      <c r="FE80" s="138">
        <f t="shared" ref="FE80:FE87" si="2131">FC80*FD80</f>
        <v>0</v>
      </c>
      <c r="FF80" s="110">
        <f t="shared" ref="FF80:FF87" si="2132">FE80*EZ80</f>
        <v>0</v>
      </c>
      <c r="FG80" s="110"/>
      <c r="FH80" s="139"/>
      <c r="FI80" s="140">
        <f t="shared" ref="FI80:FI87" si="2133">FE80/$LI80</f>
        <v>0</v>
      </c>
      <c r="FJ80" s="198">
        <f t="shared" si="2126"/>
        <v>508</v>
      </c>
      <c r="FK80" s="225">
        <f t="shared" ref="FK80:FK87" si="2134">FJ80/FJ$68</f>
        <v>0.49706</v>
      </c>
      <c r="FL80" s="226">
        <f t="shared" ref="FL80:FL87" si="2135">FL$68*FK80</f>
        <v>262.22000000000003</v>
      </c>
      <c r="FM80" s="137">
        <f t="shared" ref="FM80:FM87" si="2136">IF(FJ80&gt;0,FL80/FJ80,0)</f>
        <v>0.51618109999999995</v>
      </c>
      <c r="FN80" s="227">
        <f t="shared" si="2130"/>
        <v>3163.33</v>
      </c>
      <c r="FO80" s="138">
        <f t="shared" ref="FO80:FO87" si="2137">FM80*FN80</f>
        <v>1632.8511599999999</v>
      </c>
      <c r="FP80" s="110">
        <f t="shared" ref="FP80:FP87" si="2138">FO80*FJ80</f>
        <v>829488.39</v>
      </c>
      <c r="FQ80" s="110"/>
      <c r="FR80" s="139"/>
      <c r="FS80" s="140">
        <f t="shared" ref="FS80:FS87" si="2139">FO80/$LI80</f>
        <v>0.92271999999999998</v>
      </c>
      <c r="FT80" s="198">
        <f t="shared" si="2126"/>
        <v>377</v>
      </c>
      <c r="FU80" s="225">
        <f t="shared" ref="FU80:FU87" si="2140">FT80/FT$68</f>
        <v>0.46949000000000002</v>
      </c>
      <c r="FV80" s="226">
        <f t="shared" ref="FV80:FV87" si="2141">FV$68*FU80</f>
        <v>222.77</v>
      </c>
      <c r="FW80" s="137">
        <f t="shared" ref="FW80:FW87" si="2142">IF(FT80&gt;0,FV80/FT80,0)</f>
        <v>0.59090186</v>
      </c>
      <c r="FX80" s="227">
        <f t="shared" si="2130"/>
        <v>3163.33</v>
      </c>
      <c r="FY80" s="138">
        <f t="shared" ref="FY80:FY87" si="2143">FW80*FX80</f>
        <v>1869.21758</v>
      </c>
      <c r="FZ80" s="110">
        <f t="shared" ref="FZ80:FZ87" si="2144">FY80*FT80</f>
        <v>704695.03</v>
      </c>
      <c r="GA80" s="110"/>
      <c r="GB80" s="139"/>
      <c r="GC80" s="140">
        <f t="shared" ref="GC80:GC87" si="2145">FY80/$LI80</f>
        <v>1.05629</v>
      </c>
      <c r="GD80" s="198">
        <f t="shared" si="2126"/>
        <v>244</v>
      </c>
      <c r="GE80" s="225">
        <f t="shared" ref="GE80:GE87" si="2146">GD80/GD$68</f>
        <v>0.47655999999999998</v>
      </c>
      <c r="GF80" s="226">
        <f t="shared" ref="GF80:GF87" si="2147">GF$68*GE80</f>
        <v>0</v>
      </c>
      <c r="GG80" s="137">
        <f t="shared" ref="GG80:GG87" si="2148">IF(GD80&gt;0,GF80/GD80,0)</f>
        <v>0</v>
      </c>
      <c r="GH80" s="227">
        <f t="shared" si="2130"/>
        <v>0</v>
      </c>
      <c r="GI80" s="138">
        <f t="shared" ref="GI80:GI87" si="2149">GG80*GH80</f>
        <v>0</v>
      </c>
      <c r="GJ80" s="110">
        <f t="shared" ref="GJ80:GJ87" si="2150">GI80*GD80</f>
        <v>0</v>
      </c>
      <c r="GK80" s="110"/>
      <c r="GL80" s="139"/>
      <c r="GM80" s="140">
        <f t="shared" ref="GM80:GM87" si="2151">GI80/$LI80</f>
        <v>0</v>
      </c>
      <c r="GN80" s="198">
        <f t="shared" si="2126"/>
        <v>413</v>
      </c>
      <c r="GO80" s="225">
        <f t="shared" ref="GO80:GO87" si="2152">GN80/GN$68</f>
        <v>0.47800999999999999</v>
      </c>
      <c r="GP80" s="226">
        <f t="shared" ref="GP80:GP87" si="2153">GP$68*GO80</f>
        <v>387.19</v>
      </c>
      <c r="GQ80" s="137">
        <f t="shared" ref="GQ80:GQ87" si="2154">IF(GN80&gt;0,GP80/GN80,0)</f>
        <v>0.93750604999999998</v>
      </c>
      <c r="GR80" s="227">
        <f t="shared" si="2130"/>
        <v>2644.05</v>
      </c>
      <c r="GS80" s="138">
        <f t="shared" ref="GS80:GS87" si="2155">GQ80*GR80</f>
        <v>2478.8128700000002</v>
      </c>
      <c r="GT80" s="110">
        <f t="shared" ref="GT80:GT87" si="2156">GS80*GN80</f>
        <v>1023749.72</v>
      </c>
      <c r="GU80" s="110"/>
      <c r="GV80" s="139"/>
      <c r="GW80" s="140">
        <f t="shared" ref="GW80:GW87" si="2157">GS80/$LI80</f>
        <v>1.4007700000000001</v>
      </c>
      <c r="GX80" s="198">
        <f t="shared" si="2126"/>
        <v>742</v>
      </c>
      <c r="GY80" s="225">
        <f t="shared" ref="GY80:GY87" si="2158">GX80/GX$68</f>
        <v>0.45773999999999998</v>
      </c>
      <c r="GZ80" s="226">
        <f t="shared" ref="GZ80:GZ87" si="2159">GZ$68*GY80</f>
        <v>233.45</v>
      </c>
      <c r="HA80" s="137">
        <f t="shared" ref="HA80:HA87" si="2160">IF(GX80&gt;0,GZ80/GX80,0)</f>
        <v>0.31462264000000001</v>
      </c>
      <c r="HB80" s="227">
        <f t="shared" si="2130"/>
        <v>2644.05</v>
      </c>
      <c r="HC80" s="138">
        <f t="shared" ref="HC80:HC87" si="2161">HA80*HB80</f>
        <v>831.87798999999995</v>
      </c>
      <c r="HD80" s="110">
        <f t="shared" ref="HD80:HD87" si="2162">HC80*GX80</f>
        <v>617253.47</v>
      </c>
      <c r="HE80" s="110"/>
      <c r="HF80" s="139"/>
      <c r="HG80" s="140">
        <f t="shared" ref="HG80:HG87" si="2163">HC80/$LI80</f>
        <v>0.47009000000000001</v>
      </c>
      <c r="HH80" s="198">
        <f t="shared" si="2126"/>
        <v>536</v>
      </c>
      <c r="HI80" s="225">
        <f t="shared" ref="HI80:HI87" si="2164">HH80/HH$68</f>
        <v>0.46528000000000003</v>
      </c>
      <c r="HJ80" s="226">
        <f t="shared" ref="HJ80:HJ87" si="2165">HJ$68*HI80</f>
        <v>342.77</v>
      </c>
      <c r="HK80" s="137">
        <f t="shared" ref="HK80:HK87" si="2166">IF(HH80&gt;0,HJ80/HH80,0)</f>
        <v>0.63949626999999998</v>
      </c>
      <c r="HL80" s="227">
        <f t="shared" si="2130"/>
        <v>2597.2199999999998</v>
      </c>
      <c r="HM80" s="138">
        <f t="shared" ref="HM80:HM87" si="2167">HK80*HL80</f>
        <v>1660.9124999999999</v>
      </c>
      <c r="HN80" s="110">
        <f t="shared" ref="HN80:HN87" si="2168">HM80*HH80</f>
        <v>890249.1</v>
      </c>
      <c r="HO80" s="110"/>
      <c r="HP80" s="139"/>
      <c r="HQ80" s="140">
        <f t="shared" ref="HQ80:HQ87" si="2169">HM80/$LI80</f>
        <v>0.93857999999999997</v>
      </c>
      <c r="HR80" s="198">
        <f t="shared" ref="HR80:JZ87" si="2170">HR22</f>
        <v>396</v>
      </c>
      <c r="HS80" s="225">
        <f t="shared" ref="HS80:HS87" si="2171">HR80/HR$68</f>
        <v>0.50253999999999999</v>
      </c>
      <c r="HT80" s="226">
        <f t="shared" ref="HT80:HT87" si="2172">HT$68*HS80</f>
        <v>333.74</v>
      </c>
      <c r="HU80" s="137">
        <f t="shared" ref="HU80:HU87" si="2173">IF(HR80&gt;0,HT80/HR80,0)</f>
        <v>0.84277778000000003</v>
      </c>
      <c r="HV80" s="227">
        <f t="shared" ref="HV80:KD87" si="2174">HV$68</f>
        <v>3163.33</v>
      </c>
      <c r="HW80" s="138">
        <f t="shared" ref="HW80:HW87" si="2175">HU80*HV80</f>
        <v>2665.98423</v>
      </c>
      <c r="HX80" s="110">
        <f t="shared" ref="HX80:HX87" si="2176">HW80*HR80</f>
        <v>1055729.76</v>
      </c>
      <c r="HY80" s="110"/>
      <c r="HZ80" s="139"/>
      <c r="IA80" s="140">
        <f t="shared" ref="IA80:IA87" si="2177">HW80/$LI80</f>
        <v>1.50654</v>
      </c>
      <c r="IB80" s="198">
        <f t="shared" si="2170"/>
        <v>242</v>
      </c>
      <c r="IC80" s="225">
        <f t="shared" ref="IC80:IC87" si="2178">IB80/IB$68</f>
        <v>0.44161</v>
      </c>
      <c r="ID80" s="226">
        <f t="shared" ref="ID80:ID87" si="2179">ID$68*IC80</f>
        <v>300.29000000000002</v>
      </c>
      <c r="IE80" s="137">
        <f t="shared" ref="IE80:IE87" si="2180">IF(IB80&gt;0,ID80/IB80,0)</f>
        <v>1.2408677699999999</v>
      </c>
      <c r="IF80" s="227">
        <f t="shared" si="2174"/>
        <v>3163.33</v>
      </c>
      <c r="IG80" s="138">
        <f t="shared" ref="IG80:IG87" si="2181">IE80*IF80</f>
        <v>3925.2742400000002</v>
      </c>
      <c r="IH80" s="110">
        <f t="shared" ref="IH80:IH87" si="2182">IG80*IB80</f>
        <v>949916.37</v>
      </c>
      <c r="II80" s="110"/>
      <c r="IJ80" s="139"/>
      <c r="IK80" s="140">
        <f t="shared" ref="IK80:IK87" si="2183">IG80/$LI80</f>
        <v>2.2181600000000001</v>
      </c>
      <c r="IL80" s="198">
        <f t="shared" si="2170"/>
        <v>584</v>
      </c>
      <c r="IM80" s="225">
        <f t="shared" ref="IM80:IM87" si="2184">IL80/IL$68</f>
        <v>0.46166000000000001</v>
      </c>
      <c r="IN80" s="226">
        <f t="shared" ref="IN80:IN87" si="2185">IN$68*IM80</f>
        <v>297.81</v>
      </c>
      <c r="IO80" s="137">
        <f t="shared" ref="IO80:IO87" si="2186">IF(IL80&gt;0,IN80/IL80,0)</f>
        <v>0.50994863000000001</v>
      </c>
      <c r="IP80" s="227">
        <f t="shared" si="2174"/>
        <v>2644.05</v>
      </c>
      <c r="IQ80" s="138">
        <f t="shared" ref="IQ80:IQ87" si="2187">IO80*IP80</f>
        <v>1348.3296800000001</v>
      </c>
      <c r="IR80" s="110">
        <f t="shared" ref="IR80:IR87" si="2188">IQ80*IL80</f>
        <v>787424.53</v>
      </c>
      <c r="IS80" s="110"/>
      <c r="IT80" s="139"/>
      <c r="IU80" s="140">
        <f t="shared" ref="IU80:IU87" si="2189">IQ80/$LI80</f>
        <v>0.76193999999999995</v>
      </c>
      <c r="IV80" s="198">
        <f t="shared" si="2170"/>
        <v>404</v>
      </c>
      <c r="IW80" s="225">
        <f t="shared" ref="IW80:IW87" si="2190">IV80/IV$68</f>
        <v>0.52398999999999996</v>
      </c>
      <c r="IX80" s="226">
        <f t="shared" ref="IX80:IX87" si="2191">IX$68*IW80</f>
        <v>264.32</v>
      </c>
      <c r="IY80" s="137">
        <f t="shared" ref="IY80:IY87" si="2192">IF(IV80&gt;0,IX80/IV80,0)</f>
        <v>0.65425743000000003</v>
      </c>
      <c r="IZ80" s="227">
        <f t="shared" si="2174"/>
        <v>3163.33</v>
      </c>
      <c r="JA80" s="138">
        <f t="shared" ref="JA80:JA87" si="2193">IY80*IZ80</f>
        <v>2069.6321600000001</v>
      </c>
      <c r="JB80" s="110">
        <f t="shared" ref="JB80:JB87" si="2194">JA80*IV80</f>
        <v>836131.39</v>
      </c>
      <c r="JC80" s="110"/>
      <c r="JD80" s="139"/>
      <c r="JE80" s="140">
        <f t="shared" ref="JE80:JE87" si="2195">JA80/$LI80</f>
        <v>1.16954</v>
      </c>
      <c r="JF80" s="198">
        <f t="shared" si="2170"/>
        <v>617</v>
      </c>
      <c r="JG80" s="225">
        <f t="shared" ref="JG80:JG87" si="2196">JF80/JF$68</f>
        <v>0.46010000000000001</v>
      </c>
      <c r="JH80" s="226">
        <f t="shared" ref="JH80:JH87" si="2197">JH$68*JG80</f>
        <v>414.09</v>
      </c>
      <c r="JI80" s="137">
        <f t="shared" ref="JI80:JI87" si="2198">IF(JF80&gt;0,JH80/JF80,0)</f>
        <v>0.67113451999999996</v>
      </c>
      <c r="JJ80" s="227">
        <f t="shared" si="2174"/>
        <v>2644.05</v>
      </c>
      <c r="JK80" s="138">
        <f t="shared" ref="JK80:JK87" si="2199">JI80*JJ80</f>
        <v>1774.51323</v>
      </c>
      <c r="JL80" s="110">
        <f t="shared" ref="JL80:JL87" si="2200">JK80*JF80</f>
        <v>1094874.6599999999</v>
      </c>
      <c r="JM80" s="110"/>
      <c r="JN80" s="139"/>
      <c r="JO80" s="140">
        <f t="shared" ref="JO80:JO87" si="2201">JK80/$LI80</f>
        <v>1.0027699999999999</v>
      </c>
      <c r="JP80" s="198">
        <f t="shared" si="2170"/>
        <v>581</v>
      </c>
      <c r="JQ80" s="225">
        <f t="shared" ref="JQ80:JQ87" si="2202">JP80/JP$68</f>
        <v>0.46516999999999997</v>
      </c>
      <c r="JR80" s="226">
        <f t="shared" ref="JR80:JR87" si="2203">JR$68*JQ80</f>
        <v>355.86</v>
      </c>
      <c r="JS80" s="137">
        <f t="shared" ref="JS80:JS87" si="2204">IF(JP80&gt;0,JR80/JP80,0)</f>
        <v>0.61249569999999998</v>
      </c>
      <c r="JT80" s="227">
        <f t="shared" si="2174"/>
        <v>2632.02</v>
      </c>
      <c r="JU80" s="138">
        <f t="shared" ref="JU80:JU87" si="2205">JS80*JT80</f>
        <v>1612.1009300000001</v>
      </c>
      <c r="JV80" s="110">
        <f t="shared" ref="JV80:JV87" si="2206">JU80*JP80</f>
        <v>936630.64</v>
      </c>
      <c r="JW80" s="110"/>
      <c r="JX80" s="139"/>
      <c r="JY80" s="140">
        <f t="shared" ref="JY80:JY87" si="2207">JU80/$LI80</f>
        <v>0.91098999999999997</v>
      </c>
      <c r="JZ80" s="198">
        <f t="shared" si="2170"/>
        <v>520</v>
      </c>
      <c r="KA80" s="225">
        <f t="shared" ref="KA80:KA87" si="2208">JZ80/JZ$68</f>
        <v>0.44712000000000002</v>
      </c>
      <c r="KB80" s="226">
        <f t="shared" ref="KB80:KB87" si="2209">KB$68*KA80</f>
        <v>312.98</v>
      </c>
      <c r="KC80" s="137">
        <f t="shared" ref="KC80:KC87" si="2210">IF(JZ80&gt;0,KB80/JZ80,0)</f>
        <v>0.60188461999999998</v>
      </c>
      <c r="KD80" s="227">
        <f t="shared" si="2174"/>
        <v>3163.33</v>
      </c>
      <c r="KE80" s="138">
        <f t="shared" ref="KE80:KE87" si="2211">KC80*KD80</f>
        <v>1903.95967</v>
      </c>
      <c r="KF80" s="110">
        <f t="shared" ref="KF80:KF87" si="2212">KE80*JZ80</f>
        <v>990059.03</v>
      </c>
      <c r="KG80" s="110"/>
      <c r="KH80" s="139"/>
      <c r="KI80" s="140">
        <f t="shared" ref="KI80:KI87" si="2213">KE80/$LI80</f>
        <v>1.07592</v>
      </c>
      <c r="KJ80" s="198">
        <f t="shared" ref="KJ80:KT87" si="2214">KJ22</f>
        <v>595</v>
      </c>
      <c r="KK80" s="225">
        <f t="shared" ref="KK80:KK87" si="2215">KJ80/KJ$68</f>
        <v>0.44369999999999998</v>
      </c>
      <c r="KL80" s="226">
        <f t="shared" ref="KL80:KL87" si="2216">KL$68*KK80</f>
        <v>341.65</v>
      </c>
      <c r="KM80" s="137">
        <f t="shared" ref="KM80:KM87" si="2217">IF(KJ80&gt;0,KL80/KJ80,0)</f>
        <v>0.57420168000000005</v>
      </c>
      <c r="KN80" s="227">
        <f t="shared" ref="KN80:KX87" si="2218">KN$68</f>
        <v>2644.05</v>
      </c>
      <c r="KO80" s="138">
        <f t="shared" ref="KO80:KO87" si="2219">KM80*KN80</f>
        <v>1518.21795</v>
      </c>
      <c r="KP80" s="110">
        <f t="shared" ref="KP80:KP87" si="2220">KO80*KJ80</f>
        <v>903339.68</v>
      </c>
      <c r="KQ80" s="110"/>
      <c r="KR80" s="139"/>
      <c r="KS80" s="140">
        <f t="shared" ref="KS80:KS87" si="2221">KO80/$LI80</f>
        <v>0.85794000000000004</v>
      </c>
      <c r="KT80" s="198">
        <f t="shared" si="2214"/>
        <v>509</v>
      </c>
      <c r="KU80" s="225">
        <f t="shared" ref="KU80:KU87" si="2222">KT80/KT$68</f>
        <v>0.45284999999999997</v>
      </c>
      <c r="KV80" s="226">
        <f t="shared" ref="KV80:KV87" si="2223">KV$68*KU80</f>
        <v>1267.98</v>
      </c>
      <c r="KW80" s="137">
        <f t="shared" ref="KW80:KW87" si="2224">IF(KT80&gt;0,KV80/KT80,0)</f>
        <v>2.4911198400000001</v>
      </c>
      <c r="KX80" s="227">
        <f t="shared" si="2218"/>
        <v>3163.33</v>
      </c>
      <c r="KY80" s="138">
        <f t="shared" ref="KY80:KY87" si="2225">KW80*KX80</f>
        <v>7880.2341200000001</v>
      </c>
      <c r="KZ80" s="110">
        <f t="shared" ref="KZ80:KZ87" si="2226">KY80*KT80</f>
        <v>4011039.17</v>
      </c>
      <c r="LA80" s="110"/>
      <c r="LB80" s="139"/>
      <c r="LC80" s="140">
        <f t="shared" ref="LC80:LC87" si="2227">KY80/$LI80</f>
        <v>4.4530900000000004</v>
      </c>
      <c r="LD80" s="197">
        <f t="shared" si="2027"/>
        <v>13279</v>
      </c>
      <c r="LE80" s="225">
        <f t="shared" si="2028"/>
        <v>0.46521000000000001</v>
      </c>
      <c r="LF80" s="226">
        <f t="shared" si="2029"/>
        <v>8188.91</v>
      </c>
      <c r="LG80" s="137">
        <f t="shared" si="2030"/>
        <v>0.61668122999999997</v>
      </c>
      <c r="LH80" s="227">
        <f t="shared" si="2031"/>
        <v>2869.57</v>
      </c>
      <c r="LI80" s="138">
        <f t="shared" si="2032"/>
        <v>1769.60996</v>
      </c>
      <c r="LJ80" s="110">
        <f t="shared" si="2033"/>
        <v>23498650.66</v>
      </c>
      <c r="LK80" s="110"/>
      <c r="LL80" s="139"/>
    </row>
    <row r="81" spans="1:324" ht="17.25" hidden="1" customHeight="1" x14ac:dyDescent="0.25">
      <c r="A81" s="246"/>
      <c r="B81" s="93" t="s">
        <v>610</v>
      </c>
      <c r="C81" s="12" t="s">
        <v>727</v>
      </c>
      <c r="D81" s="12" t="s">
        <v>427</v>
      </c>
      <c r="E81" s="4" t="s">
        <v>34</v>
      </c>
      <c r="F81" s="198">
        <f t="shared" si="2037"/>
        <v>0</v>
      </c>
      <c r="G81" s="225">
        <f t="shared" si="2034"/>
        <v>0</v>
      </c>
      <c r="H81" s="226">
        <f t="shared" si="2035"/>
        <v>0</v>
      </c>
      <c r="I81" s="137">
        <f t="shared" si="1808"/>
        <v>0</v>
      </c>
      <c r="J81" s="227">
        <f t="shared" si="2036"/>
        <v>2644.05</v>
      </c>
      <c r="K81" s="138">
        <f t="shared" si="1809"/>
        <v>0</v>
      </c>
      <c r="L81" s="110">
        <f t="shared" si="1810"/>
        <v>0</v>
      </c>
      <c r="M81" s="110"/>
      <c r="N81" s="139"/>
      <c r="O81" s="140" t="e">
        <f t="shared" si="1811"/>
        <v>#DIV/0!</v>
      </c>
      <c r="P81" s="198">
        <f t="shared" si="2038"/>
        <v>0</v>
      </c>
      <c r="Q81" s="225">
        <f t="shared" si="2039"/>
        <v>0</v>
      </c>
      <c r="R81" s="226">
        <f t="shared" si="2040"/>
        <v>0</v>
      </c>
      <c r="S81" s="137">
        <f t="shared" si="2041"/>
        <v>0</v>
      </c>
      <c r="T81" s="227">
        <f t="shared" si="2042"/>
        <v>3163.33</v>
      </c>
      <c r="U81" s="138">
        <f t="shared" si="2043"/>
        <v>0</v>
      </c>
      <c r="V81" s="110">
        <f t="shared" si="2044"/>
        <v>0</v>
      </c>
      <c r="W81" s="110"/>
      <c r="X81" s="139"/>
      <c r="Y81" s="140" t="e">
        <f t="shared" si="2045"/>
        <v>#DIV/0!</v>
      </c>
      <c r="Z81" s="198">
        <f t="shared" si="2038"/>
        <v>0</v>
      </c>
      <c r="AA81" s="225">
        <f t="shared" si="2046"/>
        <v>0</v>
      </c>
      <c r="AB81" s="226">
        <f t="shared" si="2047"/>
        <v>0</v>
      </c>
      <c r="AC81" s="137">
        <f t="shared" si="2048"/>
        <v>0</v>
      </c>
      <c r="AD81" s="227">
        <f t="shared" si="2042"/>
        <v>2608.17</v>
      </c>
      <c r="AE81" s="138">
        <f t="shared" si="2049"/>
        <v>0</v>
      </c>
      <c r="AF81" s="110">
        <f t="shared" si="2050"/>
        <v>0</v>
      </c>
      <c r="AG81" s="110"/>
      <c r="AH81" s="139"/>
      <c r="AI81" s="140" t="e">
        <f t="shared" si="2051"/>
        <v>#DIV/0!</v>
      </c>
      <c r="AJ81" s="198">
        <f t="shared" si="2038"/>
        <v>0</v>
      </c>
      <c r="AK81" s="225">
        <f t="shared" si="2052"/>
        <v>0</v>
      </c>
      <c r="AL81" s="226">
        <f t="shared" si="2053"/>
        <v>0</v>
      </c>
      <c r="AM81" s="137">
        <f t="shared" si="2054"/>
        <v>0</v>
      </c>
      <c r="AN81" s="227">
        <f t="shared" si="2042"/>
        <v>2644.05</v>
      </c>
      <c r="AO81" s="138">
        <f t="shared" si="2055"/>
        <v>0</v>
      </c>
      <c r="AP81" s="110">
        <f t="shared" si="2056"/>
        <v>0</v>
      </c>
      <c r="AQ81" s="110"/>
      <c r="AR81" s="139"/>
      <c r="AS81" s="140" t="e">
        <f t="shared" si="2057"/>
        <v>#DIV/0!</v>
      </c>
      <c r="AT81" s="198">
        <f t="shared" si="2038"/>
        <v>0</v>
      </c>
      <c r="AU81" s="225">
        <f t="shared" si="2058"/>
        <v>0</v>
      </c>
      <c r="AV81" s="226">
        <f t="shared" si="2059"/>
        <v>0</v>
      </c>
      <c r="AW81" s="137">
        <f t="shared" si="2060"/>
        <v>0</v>
      </c>
      <c r="AX81" s="227">
        <f t="shared" si="2042"/>
        <v>1786.28</v>
      </c>
      <c r="AY81" s="138">
        <f t="shared" si="2061"/>
        <v>0</v>
      </c>
      <c r="AZ81" s="110">
        <f t="shared" si="2062"/>
        <v>0</v>
      </c>
      <c r="BA81" s="110"/>
      <c r="BB81" s="139"/>
      <c r="BC81" s="140" t="e">
        <f t="shared" si="2063"/>
        <v>#DIV/0!</v>
      </c>
      <c r="BD81" s="198">
        <f t="shared" si="2038"/>
        <v>0</v>
      </c>
      <c r="BE81" s="225">
        <f t="shared" si="2064"/>
        <v>0</v>
      </c>
      <c r="BF81" s="226">
        <f t="shared" si="2065"/>
        <v>0</v>
      </c>
      <c r="BG81" s="137">
        <f t="shared" si="2066"/>
        <v>0</v>
      </c>
      <c r="BH81" s="227">
        <f t="shared" si="2042"/>
        <v>3163.33</v>
      </c>
      <c r="BI81" s="138">
        <f t="shared" si="2067"/>
        <v>0</v>
      </c>
      <c r="BJ81" s="110">
        <f t="shared" si="2068"/>
        <v>0</v>
      </c>
      <c r="BK81" s="110"/>
      <c r="BL81" s="139"/>
      <c r="BM81" s="140" t="e">
        <f t="shared" si="2069"/>
        <v>#DIV/0!</v>
      </c>
      <c r="BN81" s="198">
        <f t="shared" si="2038"/>
        <v>0</v>
      </c>
      <c r="BO81" s="225">
        <f t="shared" si="2070"/>
        <v>0</v>
      </c>
      <c r="BP81" s="226">
        <f t="shared" si="2071"/>
        <v>0</v>
      </c>
      <c r="BQ81" s="137">
        <f t="shared" si="2072"/>
        <v>0</v>
      </c>
      <c r="BR81" s="227">
        <f t="shared" si="2042"/>
        <v>2182.42</v>
      </c>
      <c r="BS81" s="138">
        <f t="shared" si="2073"/>
        <v>0</v>
      </c>
      <c r="BT81" s="110">
        <f t="shared" si="2074"/>
        <v>0</v>
      </c>
      <c r="BU81" s="110"/>
      <c r="BV81" s="139"/>
      <c r="BW81" s="140" t="e">
        <f t="shared" si="2075"/>
        <v>#DIV/0!</v>
      </c>
      <c r="BX81" s="198">
        <f t="shared" si="2038"/>
        <v>0</v>
      </c>
      <c r="BY81" s="225">
        <f t="shared" si="2076"/>
        <v>0</v>
      </c>
      <c r="BZ81" s="226">
        <f t="shared" si="2077"/>
        <v>0</v>
      </c>
      <c r="CA81" s="137">
        <f t="shared" si="2078"/>
        <v>0</v>
      </c>
      <c r="CB81" s="227">
        <f t="shared" si="2042"/>
        <v>2644.05</v>
      </c>
      <c r="CC81" s="138">
        <f t="shared" si="2079"/>
        <v>0</v>
      </c>
      <c r="CD81" s="110">
        <f t="shared" si="2080"/>
        <v>0</v>
      </c>
      <c r="CE81" s="110"/>
      <c r="CF81" s="139"/>
      <c r="CG81" s="140" t="e">
        <f t="shared" si="2081"/>
        <v>#DIV/0!</v>
      </c>
      <c r="CH81" s="198">
        <f t="shared" si="2082"/>
        <v>0</v>
      </c>
      <c r="CI81" s="225">
        <f t="shared" si="2083"/>
        <v>0</v>
      </c>
      <c r="CJ81" s="226">
        <f t="shared" si="2084"/>
        <v>0</v>
      </c>
      <c r="CK81" s="137">
        <f t="shared" si="2085"/>
        <v>0</v>
      </c>
      <c r="CL81" s="227">
        <f t="shared" si="2086"/>
        <v>2644.05</v>
      </c>
      <c r="CM81" s="138">
        <f t="shared" si="2087"/>
        <v>0</v>
      </c>
      <c r="CN81" s="110">
        <f t="shared" si="2088"/>
        <v>0</v>
      </c>
      <c r="CO81" s="110"/>
      <c r="CP81" s="139"/>
      <c r="CQ81" s="140" t="e">
        <f t="shared" si="2089"/>
        <v>#DIV/0!</v>
      </c>
      <c r="CR81" s="198">
        <f t="shared" si="2082"/>
        <v>0</v>
      </c>
      <c r="CS81" s="225">
        <f t="shared" si="2090"/>
        <v>0</v>
      </c>
      <c r="CT81" s="226">
        <f t="shared" si="2091"/>
        <v>0</v>
      </c>
      <c r="CU81" s="137">
        <f t="shared" si="2092"/>
        <v>0</v>
      </c>
      <c r="CV81" s="227">
        <f t="shared" si="2086"/>
        <v>3163.33</v>
      </c>
      <c r="CW81" s="138">
        <f t="shared" si="2093"/>
        <v>0</v>
      </c>
      <c r="CX81" s="110">
        <f t="shared" si="2094"/>
        <v>0</v>
      </c>
      <c r="CY81" s="110"/>
      <c r="CZ81" s="139"/>
      <c r="DA81" s="140" t="e">
        <f t="shared" si="2095"/>
        <v>#DIV/0!</v>
      </c>
      <c r="DB81" s="198">
        <f t="shared" si="2082"/>
        <v>0</v>
      </c>
      <c r="DC81" s="225">
        <f t="shared" si="2096"/>
        <v>0</v>
      </c>
      <c r="DD81" s="226">
        <f t="shared" si="2097"/>
        <v>0</v>
      </c>
      <c r="DE81" s="137">
        <f t="shared" si="2098"/>
        <v>0</v>
      </c>
      <c r="DF81" s="227">
        <f t="shared" si="2086"/>
        <v>2644.05</v>
      </c>
      <c r="DG81" s="138">
        <f t="shared" si="2099"/>
        <v>0</v>
      </c>
      <c r="DH81" s="110">
        <f t="shared" si="2100"/>
        <v>0</v>
      </c>
      <c r="DI81" s="110"/>
      <c r="DJ81" s="139"/>
      <c r="DK81" s="140" t="e">
        <f t="shared" si="2101"/>
        <v>#DIV/0!</v>
      </c>
      <c r="DL81" s="198">
        <f t="shared" si="2082"/>
        <v>0</v>
      </c>
      <c r="DM81" s="225">
        <f t="shared" si="2102"/>
        <v>0</v>
      </c>
      <c r="DN81" s="226">
        <f t="shared" si="2103"/>
        <v>0</v>
      </c>
      <c r="DO81" s="137">
        <f t="shared" si="2104"/>
        <v>0</v>
      </c>
      <c r="DP81" s="227">
        <f t="shared" si="2086"/>
        <v>2644.05</v>
      </c>
      <c r="DQ81" s="138">
        <f t="shared" si="2105"/>
        <v>0</v>
      </c>
      <c r="DR81" s="110">
        <f t="shared" si="2106"/>
        <v>0</v>
      </c>
      <c r="DS81" s="110"/>
      <c r="DT81" s="139"/>
      <c r="DU81" s="140" t="e">
        <f t="shared" si="2107"/>
        <v>#DIV/0!</v>
      </c>
      <c r="DV81" s="198">
        <f t="shared" si="2082"/>
        <v>0</v>
      </c>
      <c r="DW81" s="225">
        <f t="shared" si="2108"/>
        <v>0</v>
      </c>
      <c r="DX81" s="226">
        <f t="shared" si="2109"/>
        <v>0</v>
      </c>
      <c r="DY81" s="137">
        <f t="shared" si="2110"/>
        <v>0</v>
      </c>
      <c r="DZ81" s="227">
        <f t="shared" si="2086"/>
        <v>2644.05</v>
      </c>
      <c r="EA81" s="138">
        <f t="shared" si="2111"/>
        <v>0</v>
      </c>
      <c r="EB81" s="110">
        <f t="shared" si="2112"/>
        <v>0</v>
      </c>
      <c r="EC81" s="110"/>
      <c r="ED81" s="139"/>
      <c r="EE81" s="140" t="e">
        <f t="shared" si="2113"/>
        <v>#DIV/0!</v>
      </c>
      <c r="EF81" s="198">
        <f t="shared" si="2082"/>
        <v>0</v>
      </c>
      <c r="EG81" s="225">
        <f t="shared" si="2114"/>
        <v>0</v>
      </c>
      <c r="EH81" s="226">
        <f t="shared" si="2115"/>
        <v>0</v>
      </c>
      <c r="EI81" s="137">
        <f t="shared" si="2116"/>
        <v>0</v>
      </c>
      <c r="EJ81" s="227">
        <f t="shared" si="2086"/>
        <v>3163.33</v>
      </c>
      <c r="EK81" s="138">
        <f t="shared" si="2117"/>
        <v>0</v>
      </c>
      <c r="EL81" s="110">
        <f t="shared" si="2118"/>
        <v>0</v>
      </c>
      <c r="EM81" s="110"/>
      <c r="EN81" s="139"/>
      <c r="EO81" s="140" t="e">
        <f t="shared" si="2119"/>
        <v>#DIV/0!</v>
      </c>
      <c r="EP81" s="198">
        <f t="shared" si="2082"/>
        <v>0</v>
      </c>
      <c r="EQ81" s="225">
        <f t="shared" si="2120"/>
        <v>0</v>
      </c>
      <c r="ER81" s="226">
        <f t="shared" si="2121"/>
        <v>0</v>
      </c>
      <c r="ES81" s="137">
        <f t="shared" si="2122"/>
        <v>0</v>
      </c>
      <c r="ET81" s="227">
        <f t="shared" si="2086"/>
        <v>3163.33</v>
      </c>
      <c r="EU81" s="138">
        <f t="shared" si="2123"/>
        <v>0</v>
      </c>
      <c r="EV81" s="110">
        <f t="shared" si="2124"/>
        <v>0</v>
      </c>
      <c r="EW81" s="110"/>
      <c r="EX81" s="139"/>
      <c r="EY81" s="140" t="e">
        <f t="shared" si="2125"/>
        <v>#DIV/0!</v>
      </c>
      <c r="EZ81" s="198">
        <f t="shared" si="2126"/>
        <v>0</v>
      </c>
      <c r="FA81" s="225">
        <f t="shared" si="2127"/>
        <v>0</v>
      </c>
      <c r="FB81" s="226">
        <f t="shared" si="2128"/>
        <v>0</v>
      </c>
      <c r="FC81" s="137">
        <f t="shared" si="2129"/>
        <v>0</v>
      </c>
      <c r="FD81" s="227">
        <f t="shared" si="2130"/>
        <v>0</v>
      </c>
      <c r="FE81" s="138">
        <f t="shared" si="2131"/>
        <v>0</v>
      </c>
      <c r="FF81" s="110">
        <f t="shared" si="2132"/>
        <v>0</v>
      </c>
      <c r="FG81" s="110"/>
      <c r="FH81" s="139"/>
      <c r="FI81" s="140" t="e">
        <f t="shared" si="2133"/>
        <v>#DIV/0!</v>
      </c>
      <c r="FJ81" s="198">
        <f t="shared" si="2126"/>
        <v>0</v>
      </c>
      <c r="FK81" s="225">
        <f t="shared" si="2134"/>
        <v>0</v>
      </c>
      <c r="FL81" s="226">
        <f t="shared" si="2135"/>
        <v>0</v>
      </c>
      <c r="FM81" s="137">
        <f t="shared" si="2136"/>
        <v>0</v>
      </c>
      <c r="FN81" s="227">
        <f t="shared" si="2130"/>
        <v>3163.33</v>
      </c>
      <c r="FO81" s="138">
        <f t="shared" si="2137"/>
        <v>0</v>
      </c>
      <c r="FP81" s="110">
        <f t="shared" si="2138"/>
        <v>0</v>
      </c>
      <c r="FQ81" s="110"/>
      <c r="FR81" s="139"/>
      <c r="FS81" s="140" t="e">
        <f t="shared" si="2139"/>
        <v>#DIV/0!</v>
      </c>
      <c r="FT81" s="198">
        <f t="shared" si="2126"/>
        <v>0</v>
      </c>
      <c r="FU81" s="225">
        <f t="shared" si="2140"/>
        <v>0</v>
      </c>
      <c r="FV81" s="226">
        <f t="shared" si="2141"/>
        <v>0</v>
      </c>
      <c r="FW81" s="137">
        <f t="shared" si="2142"/>
        <v>0</v>
      </c>
      <c r="FX81" s="227">
        <f t="shared" si="2130"/>
        <v>3163.33</v>
      </c>
      <c r="FY81" s="138">
        <f t="shared" si="2143"/>
        <v>0</v>
      </c>
      <c r="FZ81" s="110">
        <f t="shared" si="2144"/>
        <v>0</v>
      </c>
      <c r="GA81" s="110"/>
      <c r="GB81" s="139"/>
      <c r="GC81" s="140" t="e">
        <f t="shared" si="2145"/>
        <v>#DIV/0!</v>
      </c>
      <c r="GD81" s="198">
        <f t="shared" si="2126"/>
        <v>0</v>
      </c>
      <c r="GE81" s="225">
        <f t="shared" si="2146"/>
        <v>0</v>
      </c>
      <c r="GF81" s="226">
        <f t="shared" si="2147"/>
        <v>0</v>
      </c>
      <c r="GG81" s="137">
        <f t="shared" si="2148"/>
        <v>0</v>
      </c>
      <c r="GH81" s="227">
        <f t="shared" si="2130"/>
        <v>0</v>
      </c>
      <c r="GI81" s="138">
        <f t="shared" si="2149"/>
        <v>0</v>
      </c>
      <c r="GJ81" s="110">
        <f t="shared" si="2150"/>
        <v>0</v>
      </c>
      <c r="GK81" s="110"/>
      <c r="GL81" s="139"/>
      <c r="GM81" s="140" t="e">
        <f t="shared" si="2151"/>
        <v>#DIV/0!</v>
      </c>
      <c r="GN81" s="198">
        <f t="shared" si="2126"/>
        <v>0</v>
      </c>
      <c r="GO81" s="225">
        <f t="shared" si="2152"/>
        <v>0</v>
      </c>
      <c r="GP81" s="226">
        <f t="shared" si="2153"/>
        <v>0</v>
      </c>
      <c r="GQ81" s="137">
        <f t="shared" si="2154"/>
        <v>0</v>
      </c>
      <c r="GR81" s="227">
        <f t="shared" si="2130"/>
        <v>2644.05</v>
      </c>
      <c r="GS81" s="138">
        <f t="shared" si="2155"/>
        <v>0</v>
      </c>
      <c r="GT81" s="110">
        <f t="shared" si="2156"/>
        <v>0</v>
      </c>
      <c r="GU81" s="110"/>
      <c r="GV81" s="139"/>
      <c r="GW81" s="140" t="e">
        <f t="shared" si="2157"/>
        <v>#DIV/0!</v>
      </c>
      <c r="GX81" s="198">
        <f t="shared" si="2126"/>
        <v>0</v>
      </c>
      <c r="GY81" s="225">
        <f t="shared" si="2158"/>
        <v>0</v>
      </c>
      <c r="GZ81" s="226">
        <f t="shared" si="2159"/>
        <v>0</v>
      </c>
      <c r="HA81" s="137">
        <f t="shared" si="2160"/>
        <v>0</v>
      </c>
      <c r="HB81" s="227">
        <f t="shared" si="2130"/>
        <v>2644.05</v>
      </c>
      <c r="HC81" s="138">
        <f t="shared" si="2161"/>
        <v>0</v>
      </c>
      <c r="HD81" s="110">
        <f t="shared" si="2162"/>
        <v>0</v>
      </c>
      <c r="HE81" s="110"/>
      <c r="HF81" s="139"/>
      <c r="HG81" s="140" t="e">
        <f t="shared" si="2163"/>
        <v>#DIV/0!</v>
      </c>
      <c r="HH81" s="198">
        <f t="shared" si="2126"/>
        <v>0</v>
      </c>
      <c r="HI81" s="225">
        <f t="shared" si="2164"/>
        <v>0</v>
      </c>
      <c r="HJ81" s="226">
        <f t="shared" si="2165"/>
        <v>0</v>
      </c>
      <c r="HK81" s="137">
        <f t="shared" si="2166"/>
        <v>0</v>
      </c>
      <c r="HL81" s="227">
        <f t="shared" si="2130"/>
        <v>2597.2199999999998</v>
      </c>
      <c r="HM81" s="138">
        <f t="shared" si="2167"/>
        <v>0</v>
      </c>
      <c r="HN81" s="110">
        <f t="shared" si="2168"/>
        <v>0</v>
      </c>
      <c r="HO81" s="110"/>
      <c r="HP81" s="139"/>
      <c r="HQ81" s="140" t="e">
        <f t="shared" si="2169"/>
        <v>#DIV/0!</v>
      </c>
      <c r="HR81" s="198">
        <f t="shared" si="2170"/>
        <v>0</v>
      </c>
      <c r="HS81" s="225">
        <f t="shared" si="2171"/>
        <v>0</v>
      </c>
      <c r="HT81" s="226">
        <f t="shared" si="2172"/>
        <v>0</v>
      </c>
      <c r="HU81" s="137">
        <f t="shared" si="2173"/>
        <v>0</v>
      </c>
      <c r="HV81" s="227">
        <f t="shared" si="2174"/>
        <v>3163.33</v>
      </c>
      <c r="HW81" s="138">
        <f t="shared" si="2175"/>
        <v>0</v>
      </c>
      <c r="HX81" s="110">
        <f t="shared" si="2176"/>
        <v>0</v>
      </c>
      <c r="HY81" s="110"/>
      <c r="HZ81" s="139"/>
      <c r="IA81" s="140" t="e">
        <f t="shared" si="2177"/>
        <v>#DIV/0!</v>
      </c>
      <c r="IB81" s="198">
        <f t="shared" si="2170"/>
        <v>0</v>
      </c>
      <c r="IC81" s="225">
        <f t="shared" si="2178"/>
        <v>0</v>
      </c>
      <c r="ID81" s="226">
        <f t="shared" si="2179"/>
        <v>0</v>
      </c>
      <c r="IE81" s="137">
        <f t="shared" si="2180"/>
        <v>0</v>
      </c>
      <c r="IF81" s="227">
        <f t="shared" si="2174"/>
        <v>3163.33</v>
      </c>
      <c r="IG81" s="138">
        <f t="shared" si="2181"/>
        <v>0</v>
      </c>
      <c r="IH81" s="110">
        <f t="shared" si="2182"/>
        <v>0</v>
      </c>
      <c r="II81" s="110"/>
      <c r="IJ81" s="139"/>
      <c r="IK81" s="140" t="e">
        <f t="shared" si="2183"/>
        <v>#DIV/0!</v>
      </c>
      <c r="IL81" s="198">
        <f t="shared" si="2170"/>
        <v>0</v>
      </c>
      <c r="IM81" s="225">
        <f t="shared" si="2184"/>
        <v>0</v>
      </c>
      <c r="IN81" s="226">
        <f t="shared" si="2185"/>
        <v>0</v>
      </c>
      <c r="IO81" s="137">
        <f t="shared" si="2186"/>
        <v>0</v>
      </c>
      <c r="IP81" s="227">
        <f t="shared" si="2174"/>
        <v>2644.05</v>
      </c>
      <c r="IQ81" s="138">
        <f t="shared" si="2187"/>
        <v>0</v>
      </c>
      <c r="IR81" s="110">
        <f t="shared" si="2188"/>
        <v>0</v>
      </c>
      <c r="IS81" s="110"/>
      <c r="IT81" s="139"/>
      <c r="IU81" s="140" t="e">
        <f t="shared" si="2189"/>
        <v>#DIV/0!</v>
      </c>
      <c r="IV81" s="198">
        <f t="shared" si="2170"/>
        <v>0</v>
      </c>
      <c r="IW81" s="225">
        <f t="shared" si="2190"/>
        <v>0</v>
      </c>
      <c r="IX81" s="226">
        <f t="shared" si="2191"/>
        <v>0</v>
      </c>
      <c r="IY81" s="137">
        <f t="shared" si="2192"/>
        <v>0</v>
      </c>
      <c r="IZ81" s="227">
        <f t="shared" si="2174"/>
        <v>3163.33</v>
      </c>
      <c r="JA81" s="138">
        <f t="shared" si="2193"/>
        <v>0</v>
      </c>
      <c r="JB81" s="110">
        <f t="shared" si="2194"/>
        <v>0</v>
      </c>
      <c r="JC81" s="110"/>
      <c r="JD81" s="139"/>
      <c r="JE81" s="140" t="e">
        <f t="shared" si="2195"/>
        <v>#DIV/0!</v>
      </c>
      <c r="JF81" s="198">
        <f t="shared" si="2170"/>
        <v>0</v>
      </c>
      <c r="JG81" s="225">
        <f t="shared" si="2196"/>
        <v>0</v>
      </c>
      <c r="JH81" s="226">
        <f t="shared" si="2197"/>
        <v>0</v>
      </c>
      <c r="JI81" s="137">
        <f t="shared" si="2198"/>
        <v>0</v>
      </c>
      <c r="JJ81" s="227">
        <f t="shared" si="2174"/>
        <v>2644.05</v>
      </c>
      <c r="JK81" s="138">
        <f t="shared" si="2199"/>
        <v>0</v>
      </c>
      <c r="JL81" s="110">
        <f t="shared" si="2200"/>
        <v>0</v>
      </c>
      <c r="JM81" s="110"/>
      <c r="JN81" s="139"/>
      <c r="JO81" s="140" t="e">
        <f t="shared" si="2201"/>
        <v>#DIV/0!</v>
      </c>
      <c r="JP81" s="198">
        <f t="shared" si="2170"/>
        <v>0</v>
      </c>
      <c r="JQ81" s="225">
        <f t="shared" si="2202"/>
        <v>0</v>
      </c>
      <c r="JR81" s="226">
        <f t="shared" si="2203"/>
        <v>0</v>
      </c>
      <c r="JS81" s="137">
        <f t="shared" si="2204"/>
        <v>0</v>
      </c>
      <c r="JT81" s="227">
        <f t="shared" si="2174"/>
        <v>2632.02</v>
      </c>
      <c r="JU81" s="138">
        <f t="shared" si="2205"/>
        <v>0</v>
      </c>
      <c r="JV81" s="110">
        <f t="shared" si="2206"/>
        <v>0</v>
      </c>
      <c r="JW81" s="110"/>
      <c r="JX81" s="139"/>
      <c r="JY81" s="140" t="e">
        <f t="shared" si="2207"/>
        <v>#DIV/0!</v>
      </c>
      <c r="JZ81" s="198">
        <f t="shared" si="2170"/>
        <v>0</v>
      </c>
      <c r="KA81" s="225">
        <f t="shared" si="2208"/>
        <v>0</v>
      </c>
      <c r="KB81" s="226">
        <f t="shared" si="2209"/>
        <v>0</v>
      </c>
      <c r="KC81" s="137">
        <f t="shared" si="2210"/>
        <v>0</v>
      </c>
      <c r="KD81" s="227">
        <f t="shared" si="2174"/>
        <v>3163.33</v>
      </c>
      <c r="KE81" s="138">
        <f t="shared" si="2211"/>
        <v>0</v>
      </c>
      <c r="KF81" s="110">
        <f t="shared" si="2212"/>
        <v>0</v>
      </c>
      <c r="KG81" s="110"/>
      <c r="KH81" s="139"/>
      <c r="KI81" s="140" t="e">
        <f t="shared" si="2213"/>
        <v>#DIV/0!</v>
      </c>
      <c r="KJ81" s="198">
        <f t="shared" si="2214"/>
        <v>0</v>
      </c>
      <c r="KK81" s="225">
        <f t="shared" si="2215"/>
        <v>0</v>
      </c>
      <c r="KL81" s="226">
        <f t="shared" si="2216"/>
        <v>0</v>
      </c>
      <c r="KM81" s="137">
        <f t="shared" si="2217"/>
        <v>0</v>
      </c>
      <c r="KN81" s="227">
        <f t="shared" si="2218"/>
        <v>2644.05</v>
      </c>
      <c r="KO81" s="138">
        <f t="shared" si="2219"/>
        <v>0</v>
      </c>
      <c r="KP81" s="110">
        <f t="shared" si="2220"/>
        <v>0</v>
      </c>
      <c r="KQ81" s="110"/>
      <c r="KR81" s="139"/>
      <c r="KS81" s="140" t="e">
        <f t="shared" si="2221"/>
        <v>#DIV/0!</v>
      </c>
      <c r="KT81" s="198">
        <f t="shared" si="2214"/>
        <v>0</v>
      </c>
      <c r="KU81" s="225">
        <f t="shared" si="2222"/>
        <v>0</v>
      </c>
      <c r="KV81" s="226">
        <f t="shared" si="2223"/>
        <v>0</v>
      </c>
      <c r="KW81" s="137">
        <f t="shared" si="2224"/>
        <v>0</v>
      </c>
      <c r="KX81" s="227">
        <f t="shared" si="2218"/>
        <v>3163.33</v>
      </c>
      <c r="KY81" s="138">
        <f t="shared" si="2225"/>
        <v>0</v>
      </c>
      <c r="KZ81" s="110">
        <f t="shared" si="2226"/>
        <v>0</v>
      </c>
      <c r="LA81" s="110"/>
      <c r="LB81" s="139"/>
      <c r="LC81" s="140" t="e">
        <f t="shared" si="2227"/>
        <v>#DIV/0!</v>
      </c>
      <c r="LD81" s="197">
        <f t="shared" si="2027"/>
        <v>0</v>
      </c>
      <c r="LE81" s="225">
        <f t="shared" si="2028"/>
        <v>0</v>
      </c>
      <c r="LF81" s="226">
        <f t="shared" si="2029"/>
        <v>0</v>
      </c>
      <c r="LG81" s="137">
        <f t="shared" si="2030"/>
        <v>0</v>
      </c>
      <c r="LH81" s="227">
        <f t="shared" si="2031"/>
        <v>2869.57</v>
      </c>
      <c r="LI81" s="138">
        <f t="shared" si="2032"/>
        <v>0</v>
      </c>
      <c r="LJ81" s="110">
        <f t="shared" si="2033"/>
        <v>0</v>
      </c>
      <c r="LK81" s="110"/>
      <c r="LL81" s="139"/>
    </row>
    <row r="82" spans="1:324" ht="17.25" customHeight="1" x14ac:dyDescent="0.25">
      <c r="A82" s="246"/>
      <c r="B82" s="70" t="s">
        <v>625</v>
      </c>
      <c r="C82" s="12" t="s">
        <v>728</v>
      </c>
      <c r="D82" s="12" t="s">
        <v>430</v>
      </c>
      <c r="E82" s="4" t="s">
        <v>34</v>
      </c>
      <c r="F82" s="198">
        <f t="shared" si="2037"/>
        <v>12</v>
      </c>
      <c r="G82" s="225">
        <f t="shared" si="2034"/>
        <v>1.993E-2</v>
      </c>
      <c r="H82" s="226">
        <f t="shared" si="2035"/>
        <v>4.08</v>
      </c>
      <c r="I82" s="137">
        <f t="shared" si="1808"/>
        <v>0.34</v>
      </c>
      <c r="J82" s="227">
        <f t="shared" si="2036"/>
        <v>2644.05</v>
      </c>
      <c r="K82" s="138">
        <f t="shared" si="1809"/>
        <v>898.97699999999998</v>
      </c>
      <c r="L82" s="110">
        <f t="shared" si="1810"/>
        <v>10787.72</v>
      </c>
      <c r="M82" s="110"/>
      <c r="N82" s="139"/>
      <c r="O82" s="140">
        <f t="shared" si="1811"/>
        <v>0.50805</v>
      </c>
      <c r="P82" s="198">
        <f t="shared" si="2038"/>
        <v>0</v>
      </c>
      <c r="Q82" s="225">
        <f t="shared" si="2039"/>
        <v>0</v>
      </c>
      <c r="R82" s="226">
        <f t="shared" si="2040"/>
        <v>0</v>
      </c>
      <c r="S82" s="137">
        <f t="shared" si="2041"/>
        <v>0</v>
      </c>
      <c r="T82" s="227">
        <f t="shared" si="2042"/>
        <v>3163.33</v>
      </c>
      <c r="U82" s="138">
        <f t="shared" si="2043"/>
        <v>0</v>
      </c>
      <c r="V82" s="110">
        <f t="shared" si="2044"/>
        <v>0</v>
      </c>
      <c r="W82" s="110"/>
      <c r="X82" s="139"/>
      <c r="Y82" s="140">
        <f t="shared" si="2045"/>
        <v>0</v>
      </c>
      <c r="Z82" s="198">
        <f t="shared" si="2038"/>
        <v>0</v>
      </c>
      <c r="AA82" s="225">
        <f t="shared" si="2046"/>
        <v>0</v>
      </c>
      <c r="AB82" s="226">
        <f t="shared" si="2047"/>
        <v>0</v>
      </c>
      <c r="AC82" s="137">
        <f t="shared" si="2048"/>
        <v>0</v>
      </c>
      <c r="AD82" s="227">
        <f t="shared" si="2042"/>
        <v>2608.17</v>
      </c>
      <c r="AE82" s="138">
        <f t="shared" si="2049"/>
        <v>0</v>
      </c>
      <c r="AF82" s="110">
        <f t="shared" si="2050"/>
        <v>0</v>
      </c>
      <c r="AG82" s="110"/>
      <c r="AH82" s="139"/>
      <c r="AI82" s="140">
        <f t="shared" si="2051"/>
        <v>0</v>
      </c>
      <c r="AJ82" s="198">
        <f t="shared" si="2038"/>
        <v>0</v>
      </c>
      <c r="AK82" s="225">
        <f t="shared" si="2052"/>
        <v>0</v>
      </c>
      <c r="AL82" s="226">
        <f t="shared" si="2053"/>
        <v>0</v>
      </c>
      <c r="AM82" s="137">
        <f t="shared" si="2054"/>
        <v>0</v>
      </c>
      <c r="AN82" s="227">
        <f t="shared" si="2042"/>
        <v>2644.05</v>
      </c>
      <c r="AO82" s="138">
        <f t="shared" si="2055"/>
        <v>0</v>
      </c>
      <c r="AP82" s="110">
        <f t="shared" si="2056"/>
        <v>0</v>
      </c>
      <c r="AQ82" s="110"/>
      <c r="AR82" s="139"/>
      <c r="AS82" s="140">
        <f t="shared" si="2057"/>
        <v>0</v>
      </c>
      <c r="AT82" s="198">
        <f t="shared" si="2038"/>
        <v>19</v>
      </c>
      <c r="AU82" s="225">
        <f t="shared" si="2058"/>
        <v>1.9980000000000001E-2</v>
      </c>
      <c r="AV82" s="226">
        <f t="shared" si="2059"/>
        <v>8.06</v>
      </c>
      <c r="AW82" s="137">
        <f t="shared" si="2060"/>
        <v>0.42421052999999997</v>
      </c>
      <c r="AX82" s="227">
        <f t="shared" si="2042"/>
        <v>1786.28</v>
      </c>
      <c r="AY82" s="138">
        <f t="shared" si="2061"/>
        <v>757.75878999999998</v>
      </c>
      <c r="AZ82" s="110">
        <f t="shared" si="2062"/>
        <v>14397.42</v>
      </c>
      <c r="BA82" s="110"/>
      <c r="BB82" s="139"/>
      <c r="BC82" s="140">
        <f t="shared" si="2063"/>
        <v>0.42824000000000001</v>
      </c>
      <c r="BD82" s="198">
        <f t="shared" si="2038"/>
        <v>0</v>
      </c>
      <c r="BE82" s="225">
        <f t="shared" si="2064"/>
        <v>0</v>
      </c>
      <c r="BF82" s="226">
        <f t="shared" si="2065"/>
        <v>0</v>
      </c>
      <c r="BG82" s="137">
        <f t="shared" si="2066"/>
        <v>0</v>
      </c>
      <c r="BH82" s="227">
        <f t="shared" si="2042"/>
        <v>3163.33</v>
      </c>
      <c r="BI82" s="138">
        <f t="shared" si="2067"/>
        <v>0</v>
      </c>
      <c r="BJ82" s="110">
        <f t="shared" si="2068"/>
        <v>0</v>
      </c>
      <c r="BK82" s="110"/>
      <c r="BL82" s="139"/>
      <c r="BM82" s="140">
        <f t="shared" si="2069"/>
        <v>0</v>
      </c>
      <c r="BN82" s="198">
        <f t="shared" si="2038"/>
        <v>0</v>
      </c>
      <c r="BO82" s="225">
        <f t="shared" si="2070"/>
        <v>0</v>
      </c>
      <c r="BP82" s="226">
        <f t="shared" si="2071"/>
        <v>0</v>
      </c>
      <c r="BQ82" s="137">
        <f t="shared" si="2072"/>
        <v>0</v>
      </c>
      <c r="BR82" s="227">
        <f t="shared" si="2042"/>
        <v>2182.42</v>
      </c>
      <c r="BS82" s="138">
        <f t="shared" si="2073"/>
        <v>0</v>
      </c>
      <c r="BT82" s="110">
        <f t="shared" si="2074"/>
        <v>0</v>
      </c>
      <c r="BU82" s="110"/>
      <c r="BV82" s="139"/>
      <c r="BW82" s="140">
        <f t="shared" si="2075"/>
        <v>0</v>
      </c>
      <c r="BX82" s="198">
        <f t="shared" si="2038"/>
        <v>0</v>
      </c>
      <c r="BY82" s="225">
        <f t="shared" si="2076"/>
        <v>0</v>
      </c>
      <c r="BZ82" s="226">
        <f t="shared" si="2077"/>
        <v>0</v>
      </c>
      <c r="CA82" s="137">
        <f t="shared" si="2078"/>
        <v>0</v>
      </c>
      <c r="CB82" s="227">
        <f t="shared" si="2042"/>
        <v>2644.05</v>
      </c>
      <c r="CC82" s="138">
        <f t="shared" si="2079"/>
        <v>0</v>
      </c>
      <c r="CD82" s="110">
        <f t="shared" si="2080"/>
        <v>0</v>
      </c>
      <c r="CE82" s="110"/>
      <c r="CF82" s="139"/>
      <c r="CG82" s="140">
        <f t="shared" si="2081"/>
        <v>0</v>
      </c>
      <c r="CH82" s="198">
        <f t="shared" si="2082"/>
        <v>0</v>
      </c>
      <c r="CI82" s="225">
        <f t="shared" si="2083"/>
        <v>0</v>
      </c>
      <c r="CJ82" s="226">
        <f t="shared" si="2084"/>
        <v>0</v>
      </c>
      <c r="CK82" s="137">
        <f t="shared" si="2085"/>
        <v>0</v>
      </c>
      <c r="CL82" s="227">
        <f t="shared" si="2086"/>
        <v>2644.05</v>
      </c>
      <c r="CM82" s="138">
        <f t="shared" si="2087"/>
        <v>0</v>
      </c>
      <c r="CN82" s="110">
        <f t="shared" si="2088"/>
        <v>0</v>
      </c>
      <c r="CO82" s="110"/>
      <c r="CP82" s="139"/>
      <c r="CQ82" s="140">
        <f t="shared" si="2089"/>
        <v>0</v>
      </c>
      <c r="CR82" s="198">
        <f t="shared" si="2082"/>
        <v>15</v>
      </c>
      <c r="CS82" s="225">
        <f t="shared" si="2090"/>
        <v>2.0160000000000001E-2</v>
      </c>
      <c r="CT82" s="226">
        <f t="shared" si="2091"/>
        <v>10.08</v>
      </c>
      <c r="CU82" s="137">
        <f t="shared" si="2092"/>
        <v>0.67200000000000004</v>
      </c>
      <c r="CV82" s="227">
        <f t="shared" si="2086"/>
        <v>3163.33</v>
      </c>
      <c r="CW82" s="138">
        <f t="shared" si="2093"/>
        <v>2125.75776</v>
      </c>
      <c r="CX82" s="110">
        <f t="shared" si="2094"/>
        <v>31886.37</v>
      </c>
      <c r="CY82" s="110"/>
      <c r="CZ82" s="139"/>
      <c r="DA82" s="140">
        <f t="shared" si="2095"/>
        <v>1.2013499999999999</v>
      </c>
      <c r="DB82" s="198">
        <f t="shared" si="2082"/>
        <v>0</v>
      </c>
      <c r="DC82" s="225">
        <f t="shared" si="2096"/>
        <v>0</v>
      </c>
      <c r="DD82" s="226">
        <f t="shared" si="2097"/>
        <v>0</v>
      </c>
      <c r="DE82" s="137">
        <f t="shared" si="2098"/>
        <v>0</v>
      </c>
      <c r="DF82" s="227">
        <f t="shared" si="2086"/>
        <v>2644.05</v>
      </c>
      <c r="DG82" s="138">
        <f t="shared" si="2099"/>
        <v>0</v>
      </c>
      <c r="DH82" s="110">
        <f t="shared" si="2100"/>
        <v>0</v>
      </c>
      <c r="DI82" s="110"/>
      <c r="DJ82" s="139"/>
      <c r="DK82" s="140">
        <f t="shared" si="2101"/>
        <v>0</v>
      </c>
      <c r="DL82" s="198">
        <f t="shared" si="2082"/>
        <v>118</v>
      </c>
      <c r="DM82" s="225">
        <f t="shared" si="2102"/>
        <v>0.41696</v>
      </c>
      <c r="DN82" s="226">
        <f t="shared" si="2103"/>
        <v>97.34</v>
      </c>
      <c r="DO82" s="137">
        <f t="shared" si="2104"/>
        <v>0.82491524999999999</v>
      </c>
      <c r="DP82" s="227">
        <f t="shared" si="2086"/>
        <v>2644.05</v>
      </c>
      <c r="DQ82" s="138">
        <f t="shared" si="2105"/>
        <v>2181.11717</v>
      </c>
      <c r="DR82" s="110">
        <f t="shared" si="2106"/>
        <v>257371.83</v>
      </c>
      <c r="DS82" s="110"/>
      <c r="DT82" s="139"/>
      <c r="DU82" s="140">
        <f t="shared" si="2107"/>
        <v>1.2326299999999999</v>
      </c>
      <c r="DV82" s="198">
        <f t="shared" si="2082"/>
        <v>9</v>
      </c>
      <c r="DW82" s="225">
        <f t="shared" si="2108"/>
        <v>1.025E-2</v>
      </c>
      <c r="DX82" s="226">
        <f t="shared" si="2109"/>
        <v>2.85</v>
      </c>
      <c r="DY82" s="137">
        <f t="shared" si="2110"/>
        <v>0.31666666999999998</v>
      </c>
      <c r="DZ82" s="227">
        <f t="shared" si="2086"/>
        <v>2644.05</v>
      </c>
      <c r="EA82" s="138">
        <f t="shared" si="2111"/>
        <v>837.28251</v>
      </c>
      <c r="EB82" s="110">
        <f t="shared" si="2112"/>
        <v>7535.54</v>
      </c>
      <c r="EC82" s="110"/>
      <c r="ED82" s="139"/>
      <c r="EE82" s="140">
        <f t="shared" si="2113"/>
        <v>0.47317999999999999</v>
      </c>
      <c r="EF82" s="198">
        <f t="shared" si="2082"/>
        <v>11</v>
      </c>
      <c r="EG82" s="225">
        <f t="shared" si="2114"/>
        <v>1.171E-2</v>
      </c>
      <c r="EH82" s="226">
        <f t="shared" si="2115"/>
        <v>4.45</v>
      </c>
      <c r="EI82" s="137">
        <f t="shared" si="2116"/>
        <v>0.40454544999999997</v>
      </c>
      <c r="EJ82" s="227">
        <f t="shared" si="2086"/>
        <v>3163.33</v>
      </c>
      <c r="EK82" s="138">
        <f t="shared" si="2117"/>
        <v>1279.7107599999999</v>
      </c>
      <c r="EL82" s="110">
        <f t="shared" si="2118"/>
        <v>14076.82</v>
      </c>
      <c r="EM82" s="110"/>
      <c r="EN82" s="139"/>
      <c r="EO82" s="140">
        <f t="shared" si="2119"/>
        <v>0.72321000000000002</v>
      </c>
      <c r="EP82" s="198">
        <f t="shared" si="2082"/>
        <v>0</v>
      </c>
      <c r="EQ82" s="225">
        <f t="shared" si="2120"/>
        <v>0</v>
      </c>
      <c r="ER82" s="226">
        <f t="shared" si="2121"/>
        <v>0</v>
      </c>
      <c r="ES82" s="137">
        <f t="shared" si="2122"/>
        <v>0</v>
      </c>
      <c r="ET82" s="227">
        <f t="shared" si="2086"/>
        <v>3163.33</v>
      </c>
      <c r="EU82" s="138">
        <f t="shared" si="2123"/>
        <v>0</v>
      </c>
      <c r="EV82" s="110">
        <f t="shared" si="2124"/>
        <v>0</v>
      </c>
      <c r="EW82" s="110"/>
      <c r="EX82" s="139"/>
      <c r="EY82" s="140">
        <f t="shared" si="2125"/>
        <v>0</v>
      </c>
      <c r="EZ82" s="198">
        <f t="shared" si="2126"/>
        <v>9</v>
      </c>
      <c r="FA82" s="225">
        <f t="shared" si="2127"/>
        <v>8.0599999999999995E-3</v>
      </c>
      <c r="FB82" s="226">
        <f t="shared" si="2128"/>
        <v>0</v>
      </c>
      <c r="FC82" s="137">
        <f t="shared" si="2129"/>
        <v>0</v>
      </c>
      <c r="FD82" s="227">
        <f t="shared" si="2130"/>
        <v>0</v>
      </c>
      <c r="FE82" s="138">
        <f t="shared" si="2131"/>
        <v>0</v>
      </c>
      <c r="FF82" s="110">
        <f t="shared" si="2132"/>
        <v>0</v>
      </c>
      <c r="FG82" s="110"/>
      <c r="FH82" s="139"/>
      <c r="FI82" s="140">
        <f t="shared" si="2133"/>
        <v>0</v>
      </c>
      <c r="FJ82" s="198">
        <f t="shared" si="2126"/>
        <v>0</v>
      </c>
      <c r="FK82" s="225">
        <f t="shared" si="2134"/>
        <v>0</v>
      </c>
      <c r="FL82" s="226">
        <f t="shared" si="2135"/>
        <v>0</v>
      </c>
      <c r="FM82" s="137">
        <f t="shared" si="2136"/>
        <v>0</v>
      </c>
      <c r="FN82" s="227">
        <f t="shared" si="2130"/>
        <v>3163.33</v>
      </c>
      <c r="FO82" s="138">
        <f t="shared" si="2137"/>
        <v>0</v>
      </c>
      <c r="FP82" s="110">
        <f t="shared" si="2138"/>
        <v>0</v>
      </c>
      <c r="FQ82" s="110"/>
      <c r="FR82" s="139"/>
      <c r="FS82" s="140">
        <f t="shared" si="2139"/>
        <v>0</v>
      </c>
      <c r="FT82" s="198">
        <f t="shared" si="2126"/>
        <v>0</v>
      </c>
      <c r="FU82" s="225">
        <f t="shared" si="2140"/>
        <v>0</v>
      </c>
      <c r="FV82" s="226">
        <f t="shared" si="2141"/>
        <v>0</v>
      </c>
      <c r="FW82" s="137">
        <f t="shared" si="2142"/>
        <v>0</v>
      </c>
      <c r="FX82" s="227">
        <f t="shared" si="2130"/>
        <v>3163.33</v>
      </c>
      <c r="FY82" s="138">
        <f t="shared" si="2143"/>
        <v>0</v>
      </c>
      <c r="FZ82" s="110">
        <f t="shared" si="2144"/>
        <v>0</v>
      </c>
      <c r="GA82" s="110"/>
      <c r="GB82" s="139"/>
      <c r="GC82" s="140">
        <f t="shared" si="2145"/>
        <v>0</v>
      </c>
      <c r="GD82" s="198">
        <f t="shared" si="2126"/>
        <v>16</v>
      </c>
      <c r="GE82" s="225">
        <f t="shared" si="2146"/>
        <v>3.125E-2</v>
      </c>
      <c r="GF82" s="226">
        <f t="shared" si="2147"/>
        <v>0</v>
      </c>
      <c r="GG82" s="137">
        <f t="shared" si="2148"/>
        <v>0</v>
      </c>
      <c r="GH82" s="227">
        <f t="shared" si="2130"/>
        <v>0</v>
      </c>
      <c r="GI82" s="138">
        <f t="shared" si="2149"/>
        <v>0</v>
      </c>
      <c r="GJ82" s="110">
        <f t="shared" si="2150"/>
        <v>0</v>
      </c>
      <c r="GK82" s="110"/>
      <c r="GL82" s="139"/>
      <c r="GM82" s="140">
        <f t="shared" si="2151"/>
        <v>0</v>
      </c>
      <c r="GN82" s="198">
        <f t="shared" si="2126"/>
        <v>7</v>
      </c>
      <c r="GO82" s="225">
        <f t="shared" si="2152"/>
        <v>8.0999999999999996E-3</v>
      </c>
      <c r="GP82" s="226">
        <f t="shared" si="2153"/>
        <v>6.56</v>
      </c>
      <c r="GQ82" s="137">
        <f t="shared" si="2154"/>
        <v>0.93714286000000002</v>
      </c>
      <c r="GR82" s="227">
        <f t="shared" si="2130"/>
        <v>2644.05</v>
      </c>
      <c r="GS82" s="138">
        <f t="shared" si="2155"/>
        <v>2477.8525800000002</v>
      </c>
      <c r="GT82" s="110">
        <f t="shared" si="2156"/>
        <v>17344.97</v>
      </c>
      <c r="GU82" s="110"/>
      <c r="GV82" s="139"/>
      <c r="GW82" s="140">
        <f t="shared" si="2157"/>
        <v>1.4003300000000001</v>
      </c>
      <c r="GX82" s="198">
        <f t="shared" si="2126"/>
        <v>0</v>
      </c>
      <c r="GY82" s="225">
        <f t="shared" si="2158"/>
        <v>0</v>
      </c>
      <c r="GZ82" s="226">
        <f t="shared" si="2159"/>
        <v>0</v>
      </c>
      <c r="HA82" s="137">
        <f t="shared" si="2160"/>
        <v>0</v>
      </c>
      <c r="HB82" s="227">
        <f t="shared" si="2130"/>
        <v>2644.05</v>
      </c>
      <c r="HC82" s="138">
        <f t="shared" si="2161"/>
        <v>0</v>
      </c>
      <c r="HD82" s="110">
        <f t="shared" si="2162"/>
        <v>0</v>
      </c>
      <c r="HE82" s="110"/>
      <c r="HF82" s="139"/>
      <c r="HG82" s="140">
        <f t="shared" si="2163"/>
        <v>0</v>
      </c>
      <c r="HH82" s="198">
        <f t="shared" si="2126"/>
        <v>39</v>
      </c>
      <c r="HI82" s="225">
        <f t="shared" si="2164"/>
        <v>3.3849999999999998E-2</v>
      </c>
      <c r="HJ82" s="226">
        <f t="shared" si="2165"/>
        <v>24.94</v>
      </c>
      <c r="HK82" s="137">
        <f t="shared" si="2166"/>
        <v>0.63948718000000004</v>
      </c>
      <c r="HL82" s="227">
        <f t="shared" si="2130"/>
        <v>2597.2199999999998</v>
      </c>
      <c r="HM82" s="138">
        <f t="shared" si="2167"/>
        <v>1660.8888899999999</v>
      </c>
      <c r="HN82" s="110">
        <f t="shared" si="2168"/>
        <v>64774.67</v>
      </c>
      <c r="HO82" s="110"/>
      <c r="HP82" s="139"/>
      <c r="HQ82" s="140">
        <f t="shared" si="2169"/>
        <v>0.93862999999999996</v>
      </c>
      <c r="HR82" s="198">
        <f t="shared" si="2170"/>
        <v>0</v>
      </c>
      <c r="HS82" s="225">
        <f t="shared" si="2171"/>
        <v>0</v>
      </c>
      <c r="HT82" s="226">
        <f t="shared" si="2172"/>
        <v>0</v>
      </c>
      <c r="HU82" s="137">
        <f t="shared" si="2173"/>
        <v>0</v>
      </c>
      <c r="HV82" s="227">
        <f t="shared" si="2174"/>
        <v>3163.33</v>
      </c>
      <c r="HW82" s="138">
        <f t="shared" si="2175"/>
        <v>0</v>
      </c>
      <c r="HX82" s="110">
        <f t="shared" si="2176"/>
        <v>0</v>
      </c>
      <c r="HY82" s="110"/>
      <c r="HZ82" s="139"/>
      <c r="IA82" s="140">
        <f t="shared" si="2177"/>
        <v>0</v>
      </c>
      <c r="IB82" s="198">
        <f t="shared" si="2170"/>
        <v>36</v>
      </c>
      <c r="IC82" s="225">
        <f t="shared" si="2178"/>
        <v>6.5689999999999998E-2</v>
      </c>
      <c r="ID82" s="226">
        <f t="shared" si="2179"/>
        <v>44.67</v>
      </c>
      <c r="IE82" s="137">
        <f t="shared" si="2180"/>
        <v>1.2408333300000001</v>
      </c>
      <c r="IF82" s="227">
        <f t="shared" si="2174"/>
        <v>3163.33</v>
      </c>
      <c r="IG82" s="138">
        <f t="shared" si="2181"/>
        <v>3925.1653000000001</v>
      </c>
      <c r="IH82" s="110">
        <f t="shared" si="2182"/>
        <v>141305.95000000001</v>
      </c>
      <c r="II82" s="110"/>
      <c r="IJ82" s="139"/>
      <c r="IK82" s="140">
        <f t="shared" si="2183"/>
        <v>2.2182599999999999</v>
      </c>
      <c r="IL82" s="198">
        <f t="shared" si="2170"/>
        <v>0</v>
      </c>
      <c r="IM82" s="225">
        <f t="shared" si="2184"/>
        <v>0</v>
      </c>
      <c r="IN82" s="226">
        <f t="shared" si="2185"/>
        <v>0</v>
      </c>
      <c r="IO82" s="137">
        <f t="shared" si="2186"/>
        <v>0</v>
      </c>
      <c r="IP82" s="227">
        <f t="shared" si="2174"/>
        <v>2644.05</v>
      </c>
      <c r="IQ82" s="138">
        <f t="shared" si="2187"/>
        <v>0</v>
      </c>
      <c r="IR82" s="110">
        <f t="shared" si="2188"/>
        <v>0</v>
      </c>
      <c r="IS82" s="110"/>
      <c r="IT82" s="139"/>
      <c r="IU82" s="140">
        <f t="shared" si="2189"/>
        <v>0</v>
      </c>
      <c r="IV82" s="198">
        <f t="shared" si="2170"/>
        <v>0</v>
      </c>
      <c r="IW82" s="225">
        <f t="shared" si="2190"/>
        <v>0</v>
      </c>
      <c r="IX82" s="226">
        <f t="shared" si="2191"/>
        <v>0</v>
      </c>
      <c r="IY82" s="137">
        <f t="shared" si="2192"/>
        <v>0</v>
      </c>
      <c r="IZ82" s="227">
        <f t="shared" si="2174"/>
        <v>3163.33</v>
      </c>
      <c r="JA82" s="138">
        <f t="shared" si="2193"/>
        <v>0</v>
      </c>
      <c r="JB82" s="110">
        <f t="shared" si="2194"/>
        <v>0</v>
      </c>
      <c r="JC82" s="110"/>
      <c r="JD82" s="139"/>
      <c r="JE82" s="140">
        <f t="shared" si="2195"/>
        <v>0</v>
      </c>
      <c r="JF82" s="198">
        <f t="shared" si="2170"/>
        <v>0</v>
      </c>
      <c r="JG82" s="225">
        <f t="shared" si="2196"/>
        <v>0</v>
      </c>
      <c r="JH82" s="226">
        <f t="shared" si="2197"/>
        <v>0</v>
      </c>
      <c r="JI82" s="137">
        <f t="shared" si="2198"/>
        <v>0</v>
      </c>
      <c r="JJ82" s="227">
        <f t="shared" si="2174"/>
        <v>2644.05</v>
      </c>
      <c r="JK82" s="138">
        <f t="shared" si="2199"/>
        <v>0</v>
      </c>
      <c r="JL82" s="110">
        <f t="shared" si="2200"/>
        <v>0</v>
      </c>
      <c r="JM82" s="110"/>
      <c r="JN82" s="139"/>
      <c r="JO82" s="140">
        <f t="shared" si="2201"/>
        <v>0</v>
      </c>
      <c r="JP82" s="198">
        <f t="shared" si="2170"/>
        <v>33</v>
      </c>
      <c r="JQ82" s="225">
        <f t="shared" si="2202"/>
        <v>2.6419999999999999E-2</v>
      </c>
      <c r="JR82" s="226">
        <f t="shared" si="2203"/>
        <v>20.21</v>
      </c>
      <c r="JS82" s="137">
        <f t="shared" si="2204"/>
        <v>0.61242423999999995</v>
      </c>
      <c r="JT82" s="227">
        <f t="shared" si="2174"/>
        <v>2632.02</v>
      </c>
      <c r="JU82" s="138">
        <f t="shared" si="2205"/>
        <v>1611.9128499999999</v>
      </c>
      <c r="JV82" s="110">
        <f t="shared" si="2206"/>
        <v>53193.120000000003</v>
      </c>
      <c r="JW82" s="110"/>
      <c r="JX82" s="139"/>
      <c r="JY82" s="140">
        <f t="shared" si="2207"/>
        <v>0.91095000000000004</v>
      </c>
      <c r="JZ82" s="198">
        <f t="shared" si="2170"/>
        <v>0</v>
      </c>
      <c r="KA82" s="225">
        <f t="shared" si="2208"/>
        <v>0</v>
      </c>
      <c r="KB82" s="226">
        <f t="shared" si="2209"/>
        <v>0</v>
      </c>
      <c r="KC82" s="137">
        <f t="shared" si="2210"/>
        <v>0</v>
      </c>
      <c r="KD82" s="227">
        <f t="shared" si="2174"/>
        <v>3163.33</v>
      </c>
      <c r="KE82" s="138">
        <f t="shared" si="2211"/>
        <v>0</v>
      </c>
      <c r="KF82" s="110">
        <f t="shared" si="2212"/>
        <v>0</v>
      </c>
      <c r="KG82" s="110"/>
      <c r="KH82" s="139"/>
      <c r="KI82" s="140">
        <f t="shared" si="2213"/>
        <v>0</v>
      </c>
      <c r="KJ82" s="198">
        <f t="shared" si="2214"/>
        <v>0</v>
      </c>
      <c r="KK82" s="225">
        <f t="shared" si="2215"/>
        <v>0</v>
      </c>
      <c r="KL82" s="226">
        <f t="shared" si="2216"/>
        <v>0</v>
      </c>
      <c r="KM82" s="137">
        <f t="shared" si="2217"/>
        <v>0</v>
      </c>
      <c r="KN82" s="227">
        <f t="shared" si="2218"/>
        <v>2644.05</v>
      </c>
      <c r="KO82" s="138">
        <f t="shared" si="2219"/>
        <v>0</v>
      </c>
      <c r="KP82" s="110">
        <f t="shared" si="2220"/>
        <v>0</v>
      </c>
      <c r="KQ82" s="110"/>
      <c r="KR82" s="139"/>
      <c r="KS82" s="140">
        <f t="shared" si="2221"/>
        <v>0</v>
      </c>
      <c r="KT82" s="198">
        <f t="shared" si="2214"/>
        <v>0</v>
      </c>
      <c r="KU82" s="225">
        <f t="shared" si="2222"/>
        <v>0</v>
      </c>
      <c r="KV82" s="226">
        <f t="shared" si="2223"/>
        <v>0</v>
      </c>
      <c r="KW82" s="137">
        <f t="shared" si="2224"/>
        <v>0</v>
      </c>
      <c r="KX82" s="227">
        <f t="shared" si="2218"/>
        <v>3163.33</v>
      </c>
      <c r="KY82" s="138">
        <f t="shared" si="2225"/>
        <v>0</v>
      </c>
      <c r="KZ82" s="110">
        <f t="shared" si="2226"/>
        <v>0</v>
      </c>
      <c r="LA82" s="110"/>
      <c r="LB82" s="139"/>
      <c r="LC82" s="140">
        <f t="shared" si="2227"/>
        <v>0</v>
      </c>
      <c r="LD82" s="197">
        <f t="shared" si="2027"/>
        <v>324</v>
      </c>
      <c r="LE82" s="225">
        <f t="shared" si="2028"/>
        <v>1.1350000000000001E-2</v>
      </c>
      <c r="LF82" s="226">
        <f t="shared" si="2029"/>
        <v>199.79</v>
      </c>
      <c r="LG82" s="137">
        <f t="shared" si="2030"/>
        <v>0.61663579999999996</v>
      </c>
      <c r="LH82" s="227">
        <f t="shared" si="2031"/>
        <v>2869.57</v>
      </c>
      <c r="LI82" s="138">
        <f t="shared" si="2032"/>
        <v>1769.4795899999999</v>
      </c>
      <c r="LJ82" s="110">
        <f t="shared" si="2033"/>
        <v>573311.39</v>
      </c>
      <c r="LK82" s="110"/>
      <c r="LL82" s="139"/>
    </row>
    <row r="83" spans="1:324" ht="17.25" hidden="1" customHeight="1" x14ac:dyDescent="0.25">
      <c r="A83" s="246"/>
      <c r="B83" s="93" t="s">
        <v>639</v>
      </c>
      <c r="C83" s="12" t="s">
        <v>727</v>
      </c>
      <c r="D83" s="12" t="s">
        <v>427</v>
      </c>
      <c r="E83" s="4" t="s">
        <v>34</v>
      </c>
      <c r="F83" s="198">
        <f t="shared" si="2037"/>
        <v>0</v>
      </c>
      <c r="G83" s="225">
        <f t="shared" si="2034"/>
        <v>0</v>
      </c>
      <c r="H83" s="226">
        <f t="shared" si="2035"/>
        <v>0</v>
      </c>
      <c r="I83" s="137">
        <f t="shared" si="1808"/>
        <v>0</v>
      </c>
      <c r="J83" s="227">
        <f t="shared" si="2036"/>
        <v>2644.05</v>
      </c>
      <c r="K83" s="138">
        <f t="shared" si="1809"/>
        <v>0</v>
      </c>
      <c r="L83" s="110">
        <f t="shared" si="1810"/>
        <v>0</v>
      </c>
      <c r="M83" s="110"/>
      <c r="N83" s="139"/>
      <c r="O83" s="140" t="e">
        <f t="shared" si="1811"/>
        <v>#DIV/0!</v>
      </c>
      <c r="P83" s="198">
        <f t="shared" si="2038"/>
        <v>0</v>
      </c>
      <c r="Q83" s="225">
        <f t="shared" si="2039"/>
        <v>0</v>
      </c>
      <c r="R83" s="226">
        <f t="shared" si="2040"/>
        <v>0</v>
      </c>
      <c r="S83" s="137">
        <f t="shared" si="2041"/>
        <v>0</v>
      </c>
      <c r="T83" s="227">
        <f t="shared" si="2042"/>
        <v>3163.33</v>
      </c>
      <c r="U83" s="138">
        <f t="shared" si="2043"/>
        <v>0</v>
      </c>
      <c r="V83" s="110">
        <f t="shared" si="2044"/>
        <v>0</v>
      </c>
      <c r="W83" s="110"/>
      <c r="X83" s="139"/>
      <c r="Y83" s="140" t="e">
        <f t="shared" si="2045"/>
        <v>#DIV/0!</v>
      </c>
      <c r="Z83" s="198">
        <f t="shared" si="2038"/>
        <v>0</v>
      </c>
      <c r="AA83" s="225">
        <f t="shared" si="2046"/>
        <v>0</v>
      </c>
      <c r="AB83" s="226">
        <f t="shared" si="2047"/>
        <v>0</v>
      </c>
      <c r="AC83" s="137">
        <f t="shared" si="2048"/>
        <v>0</v>
      </c>
      <c r="AD83" s="227">
        <f t="shared" si="2042"/>
        <v>2608.17</v>
      </c>
      <c r="AE83" s="138">
        <f t="shared" si="2049"/>
        <v>0</v>
      </c>
      <c r="AF83" s="110">
        <f t="shared" si="2050"/>
        <v>0</v>
      </c>
      <c r="AG83" s="110"/>
      <c r="AH83" s="139"/>
      <c r="AI83" s="140" t="e">
        <f t="shared" si="2051"/>
        <v>#DIV/0!</v>
      </c>
      <c r="AJ83" s="198">
        <f t="shared" si="2038"/>
        <v>0</v>
      </c>
      <c r="AK83" s="225">
        <f t="shared" si="2052"/>
        <v>0</v>
      </c>
      <c r="AL83" s="226">
        <f t="shared" si="2053"/>
        <v>0</v>
      </c>
      <c r="AM83" s="137">
        <f t="shared" si="2054"/>
        <v>0</v>
      </c>
      <c r="AN83" s="227">
        <f t="shared" si="2042"/>
        <v>2644.05</v>
      </c>
      <c r="AO83" s="138">
        <f t="shared" si="2055"/>
        <v>0</v>
      </c>
      <c r="AP83" s="110">
        <f t="shared" si="2056"/>
        <v>0</v>
      </c>
      <c r="AQ83" s="110"/>
      <c r="AR83" s="139"/>
      <c r="AS83" s="140" t="e">
        <f t="shared" si="2057"/>
        <v>#DIV/0!</v>
      </c>
      <c r="AT83" s="198">
        <f t="shared" si="2038"/>
        <v>0</v>
      </c>
      <c r="AU83" s="225">
        <f t="shared" si="2058"/>
        <v>0</v>
      </c>
      <c r="AV83" s="226">
        <f t="shared" si="2059"/>
        <v>0</v>
      </c>
      <c r="AW83" s="137">
        <f t="shared" si="2060"/>
        <v>0</v>
      </c>
      <c r="AX83" s="227">
        <f t="shared" si="2042"/>
        <v>1786.28</v>
      </c>
      <c r="AY83" s="138">
        <f t="shared" si="2061"/>
        <v>0</v>
      </c>
      <c r="AZ83" s="110">
        <f t="shared" si="2062"/>
        <v>0</v>
      </c>
      <c r="BA83" s="110"/>
      <c r="BB83" s="139"/>
      <c r="BC83" s="140" t="e">
        <f t="shared" si="2063"/>
        <v>#DIV/0!</v>
      </c>
      <c r="BD83" s="198">
        <f t="shared" si="2038"/>
        <v>0</v>
      </c>
      <c r="BE83" s="225">
        <f t="shared" si="2064"/>
        <v>0</v>
      </c>
      <c r="BF83" s="226">
        <f t="shared" si="2065"/>
        <v>0</v>
      </c>
      <c r="BG83" s="137">
        <f t="shared" si="2066"/>
        <v>0</v>
      </c>
      <c r="BH83" s="227">
        <f t="shared" si="2042"/>
        <v>3163.33</v>
      </c>
      <c r="BI83" s="138">
        <f t="shared" si="2067"/>
        <v>0</v>
      </c>
      <c r="BJ83" s="110">
        <f t="shared" si="2068"/>
        <v>0</v>
      </c>
      <c r="BK83" s="110"/>
      <c r="BL83" s="139"/>
      <c r="BM83" s="140" t="e">
        <f t="shared" si="2069"/>
        <v>#DIV/0!</v>
      </c>
      <c r="BN83" s="198">
        <f t="shared" si="2038"/>
        <v>0</v>
      </c>
      <c r="BO83" s="225">
        <f t="shared" si="2070"/>
        <v>0</v>
      </c>
      <c r="BP83" s="226">
        <f t="shared" si="2071"/>
        <v>0</v>
      </c>
      <c r="BQ83" s="137">
        <f t="shared" si="2072"/>
        <v>0</v>
      </c>
      <c r="BR83" s="227">
        <f t="shared" si="2042"/>
        <v>2182.42</v>
      </c>
      <c r="BS83" s="138">
        <f t="shared" si="2073"/>
        <v>0</v>
      </c>
      <c r="BT83" s="110">
        <f t="shared" si="2074"/>
        <v>0</v>
      </c>
      <c r="BU83" s="110"/>
      <c r="BV83" s="139"/>
      <c r="BW83" s="140" t="e">
        <f t="shared" si="2075"/>
        <v>#DIV/0!</v>
      </c>
      <c r="BX83" s="198">
        <f t="shared" si="2038"/>
        <v>0</v>
      </c>
      <c r="BY83" s="225">
        <f t="shared" si="2076"/>
        <v>0</v>
      </c>
      <c r="BZ83" s="226">
        <f t="shared" si="2077"/>
        <v>0</v>
      </c>
      <c r="CA83" s="137">
        <f t="shared" si="2078"/>
        <v>0</v>
      </c>
      <c r="CB83" s="227">
        <f t="shared" si="2042"/>
        <v>2644.05</v>
      </c>
      <c r="CC83" s="138">
        <f t="shared" si="2079"/>
        <v>0</v>
      </c>
      <c r="CD83" s="110">
        <f t="shared" si="2080"/>
        <v>0</v>
      </c>
      <c r="CE83" s="110"/>
      <c r="CF83" s="139"/>
      <c r="CG83" s="140" t="e">
        <f t="shared" si="2081"/>
        <v>#DIV/0!</v>
      </c>
      <c r="CH83" s="198">
        <f t="shared" si="2082"/>
        <v>0</v>
      </c>
      <c r="CI83" s="225">
        <f t="shared" si="2083"/>
        <v>0</v>
      </c>
      <c r="CJ83" s="226">
        <f t="shared" si="2084"/>
        <v>0</v>
      </c>
      <c r="CK83" s="137">
        <f t="shared" si="2085"/>
        <v>0</v>
      </c>
      <c r="CL83" s="227">
        <f t="shared" si="2086"/>
        <v>2644.05</v>
      </c>
      <c r="CM83" s="138">
        <f t="shared" si="2087"/>
        <v>0</v>
      </c>
      <c r="CN83" s="110">
        <f t="shared" si="2088"/>
        <v>0</v>
      </c>
      <c r="CO83" s="110"/>
      <c r="CP83" s="139"/>
      <c r="CQ83" s="140" t="e">
        <f t="shared" si="2089"/>
        <v>#DIV/0!</v>
      </c>
      <c r="CR83" s="198">
        <f t="shared" si="2082"/>
        <v>0</v>
      </c>
      <c r="CS83" s="225">
        <f t="shared" si="2090"/>
        <v>0</v>
      </c>
      <c r="CT83" s="226">
        <f t="shared" si="2091"/>
        <v>0</v>
      </c>
      <c r="CU83" s="137">
        <f t="shared" si="2092"/>
        <v>0</v>
      </c>
      <c r="CV83" s="227">
        <f t="shared" si="2086"/>
        <v>3163.33</v>
      </c>
      <c r="CW83" s="138">
        <f t="shared" si="2093"/>
        <v>0</v>
      </c>
      <c r="CX83" s="110">
        <f t="shared" si="2094"/>
        <v>0</v>
      </c>
      <c r="CY83" s="110"/>
      <c r="CZ83" s="139"/>
      <c r="DA83" s="140" t="e">
        <f t="shared" si="2095"/>
        <v>#DIV/0!</v>
      </c>
      <c r="DB83" s="198">
        <f t="shared" si="2082"/>
        <v>0</v>
      </c>
      <c r="DC83" s="225">
        <f t="shared" si="2096"/>
        <v>0</v>
      </c>
      <c r="DD83" s="226">
        <f t="shared" si="2097"/>
        <v>0</v>
      </c>
      <c r="DE83" s="137">
        <f t="shared" si="2098"/>
        <v>0</v>
      </c>
      <c r="DF83" s="227">
        <f t="shared" si="2086"/>
        <v>2644.05</v>
      </c>
      <c r="DG83" s="138">
        <f t="shared" si="2099"/>
        <v>0</v>
      </c>
      <c r="DH83" s="110">
        <f t="shared" si="2100"/>
        <v>0</v>
      </c>
      <c r="DI83" s="110"/>
      <c r="DJ83" s="139"/>
      <c r="DK83" s="140" t="e">
        <f t="shared" si="2101"/>
        <v>#DIV/0!</v>
      </c>
      <c r="DL83" s="198">
        <f t="shared" si="2082"/>
        <v>0</v>
      </c>
      <c r="DM83" s="225">
        <f t="shared" si="2102"/>
        <v>0</v>
      </c>
      <c r="DN83" s="226">
        <f t="shared" si="2103"/>
        <v>0</v>
      </c>
      <c r="DO83" s="137">
        <f t="shared" si="2104"/>
        <v>0</v>
      </c>
      <c r="DP83" s="227">
        <f t="shared" si="2086"/>
        <v>2644.05</v>
      </c>
      <c r="DQ83" s="138">
        <f t="shared" si="2105"/>
        <v>0</v>
      </c>
      <c r="DR83" s="110">
        <f t="shared" si="2106"/>
        <v>0</v>
      </c>
      <c r="DS83" s="110"/>
      <c r="DT83" s="139"/>
      <c r="DU83" s="140" t="e">
        <f t="shared" si="2107"/>
        <v>#DIV/0!</v>
      </c>
      <c r="DV83" s="198">
        <f t="shared" si="2082"/>
        <v>0</v>
      </c>
      <c r="DW83" s="225">
        <f t="shared" si="2108"/>
        <v>0</v>
      </c>
      <c r="DX83" s="226">
        <f t="shared" si="2109"/>
        <v>0</v>
      </c>
      <c r="DY83" s="137">
        <f t="shared" si="2110"/>
        <v>0</v>
      </c>
      <c r="DZ83" s="227">
        <f t="shared" si="2086"/>
        <v>2644.05</v>
      </c>
      <c r="EA83" s="138">
        <f t="shared" si="2111"/>
        <v>0</v>
      </c>
      <c r="EB83" s="110">
        <f t="shared" si="2112"/>
        <v>0</v>
      </c>
      <c r="EC83" s="110"/>
      <c r="ED83" s="139"/>
      <c r="EE83" s="140" t="e">
        <f t="shared" si="2113"/>
        <v>#DIV/0!</v>
      </c>
      <c r="EF83" s="198">
        <f t="shared" si="2082"/>
        <v>0</v>
      </c>
      <c r="EG83" s="225">
        <f t="shared" si="2114"/>
        <v>0</v>
      </c>
      <c r="EH83" s="226">
        <f t="shared" si="2115"/>
        <v>0</v>
      </c>
      <c r="EI83" s="137">
        <f t="shared" si="2116"/>
        <v>0</v>
      </c>
      <c r="EJ83" s="227">
        <f t="shared" si="2086"/>
        <v>3163.33</v>
      </c>
      <c r="EK83" s="138">
        <f t="shared" si="2117"/>
        <v>0</v>
      </c>
      <c r="EL83" s="110">
        <f t="shared" si="2118"/>
        <v>0</v>
      </c>
      <c r="EM83" s="110"/>
      <c r="EN83" s="139"/>
      <c r="EO83" s="140" t="e">
        <f t="shared" si="2119"/>
        <v>#DIV/0!</v>
      </c>
      <c r="EP83" s="198">
        <f t="shared" si="2082"/>
        <v>0</v>
      </c>
      <c r="EQ83" s="225">
        <f t="shared" si="2120"/>
        <v>0</v>
      </c>
      <c r="ER83" s="226">
        <f t="shared" si="2121"/>
        <v>0</v>
      </c>
      <c r="ES83" s="137">
        <f t="shared" si="2122"/>
        <v>0</v>
      </c>
      <c r="ET83" s="227">
        <f t="shared" si="2086"/>
        <v>3163.33</v>
      </c>
      <c r="EU83" s="138">
        <f t="shared" si="2123"/>
        <v>0</v>
      </c>
      <c r="EV83" s="110">
        <f t="shared" si="2124"/>
        <v>0</v>
      </c>
      <c r="EW83" s="110"/>
      <c r="EX83" s="139"/>
      <c r="EY83" s="140" t="e">
        <f t="shared" si="2125"/>
        <v>#DIV/0!</v>
      </c>
      <c r="EZ83" s="198">
        <f t="shared" si="2126"/>
        <v>0</v>
      </c>
      <c r="FA83" s="225">
        <f t="shared" si="2127"/>
        <v>0</v>
      </c>
      <c r="FB83" s="226">
        <f t="shared" si="2128"/>
        <v>0</v>
      </c>
      <c r="FC83" s="137">
        <f t="shared" si="2129"/>
        <v>0</v>
      </c>
      <c r="FD83" s="227">
        <f t="shared" si="2130"/>
        <v>0</v>
      </c>
      <c r="FE83" s="138">
        <f t="shared" si="2131"/>
        <v>0</v>
      </c>
      <c r="FF83" s="110">
        <f t="shared" si="2132"/>
        <v>0</v>
      </c>
      <c r="FG83" s="110"/>
      <c r="FH83" s="139"/>
      <c r="FI83" s="140" t="e">
        <f t="shared" si="2133"/>
        <v>#DIV/0!</v>
      </c>
      <c r="FJ83" s="198">
        <f t="shared" si="2126"/>
        <v>0</v>
      </c>
      <c r="FK83" s="225">
        <f t="shared" si="2134"/>
        <v>0</v>
      </c>
      <c r="FL83" s="226">
        <f t="shared" si="2135"/>
        <v>0</v>
      </c>
      <c r="FM83" s="137">
        <f t="shared" si="2136"/>
        <v>0</v>
      </c>
      <c r="FN83" s="227">
        <f t="shared" si="2130"/>
        <v>3163.33</v>
      </c>
      <c r="FO83" s="138">
        <f t="shared" si="2137"/>
        <v>0</v>
      </c>
      <c r="FP83" s="110">
        <f t="shared" si="2138"/>
        <v>0</v>
      </c>
      <c r="FQ83" s="110"/>
      <c r="FR83" s="139"/>
      <c r="FS83" s="140" t="e">
        <f t="shared" si="2139"/>
        <v>#DIV/0!</v>
      </c>
      <c r="FT83" s="198">
        <f t="shared" si="2126"/>
        <v>0</v>
      </c>
      <c r="FU83" s="225">
        <f t="shared" si="2140"/>
        <v>0</v>
      </c>
      <c r="FV83" s="226">
        <f t="shared" si="2141"/>
        <v>0</v>
      </c>
      <c r="FW83" s="137">
        <f t="shared" si="2142"/>
        <v>0</v>
      </c>
      <c r="FX83" s="227">
        <f t="shared" si="2130"/>
        <v>3163.33</v>
      </c>
      <c r="FY83" s="138">
        <f t="shared" si="2143"/>
        <v>0</v>
      </c>
      <c r="FZ83" s="110">
        <f t="shared" si="2144"/>
        <v>0</v>
      </c>
      <c r="GA83" s="110"/>
      <c r="GB83" s="139"/>
      <c r="GC83" s="140" t="e">
        <f t="shared" si="2145"/>
        <v>#DIV/0!</v>
      </c>
      <c r="GD83" s="198">
        <f t="shared" si="2126"/>
        <v>0</v>
      </c>
      <c r="GE83" s="225">
        <f t="shared" si="2146"/>
        <v>0</v>
      </c>
      <c r="GF83" s="226">
        <f t="shared" si="2147"/>
        <v>0</v>
      </c>
      <c r="GG83" s="137">
        <f t="shared" si="2148"/>
        <v>0</v>
      </c>
      <c r="GH83" s="227">
        <f t="shared" si="2130"/>
        <v>0</v>
      </c>
      <c r="GI83" s="138">
        <f t="shared" si="2149"/>
        <v>0</v>
      </c>
      <c r="GJ83" s="110">
        <f t="shared" si="2150"/>
        <v>0</v>
      </c>
      <c r="GK83" s="110"/>
      <c r="GL83" s="139"/>
      <c r="GM83" s="140" t="e">
        <f t="shared" si="2151"/>
        <v>#DIV/0!</v>
      </c>
      <c r="GN83" s="198">
        <f t="shared" si="2126"/>
        <v>0</v>
      </c>
      <c r="GO83" s="225">
        <f t="shared" si="2152"/>
        <v>0</v>
      </c>
      <c r="GP83" s="226">
        <f t="shared" si="2153"/>
        <v>0</v>
      </c>
      <c r="GQ83" s="137">
        <f t="shared" si="2154"/>
        <v>0</v>
      </c>
      <c r="GR83" s="227">
        <f t="shared" si="2130"/>
        <v>2644.05</v>
      </c>
      <c r="GS83" s="138">
        <f t="shared" si="2155"/>
        <v>0</v>
      </c>
      <c r="GT83" s="110">
        <f t="shared" si="2156"/>
        <v>0</v>
      </c>
      <c r="GU83" s="110"/>
      <c r="GV83" s="139"/>
      <c r="GW83" s="140" t="e">
        <f t="shared" si="2157"/>
        <v>#DIV/0!</v>
      </c>
      <c r="GX83" s="198">
        <f t="shared" si="2126"/>
        <v>0</v>
      </c>
      <c r="GY83" s="225">
        <f t="shared" si="2158"/>
        <v>0</v>
      </c>
      <c r="GZ83" s="226">
        <f t="shared" si="2159"/>
        <v>0</v>
      </c>
      <c r="HA83" s="137">
        <f t="shared" si="2160"/>
        <v>0</v>
      </c>
      <c r="HB83" s="227">
        <f t="shared" si="2130"/>
        <v>2644.05</v>
      </c>
      <c r="HC83" s="138">
        <f t="shared" si="2161"/>
        <v>0</v>
      </c>
      <c r="HD83" s="110">
        <f t="shared" si="2162"/>
        <v>0</v>
      </c>
      <c r="HE83" s="110"/>
      <c r="HF83" s="139"/>
      <c r="HG83" s="140" t="e">
        <f t="shared" si="2163"/>
        <v>#DIV/0!</v>
      </c>
      <c r="HH83" s="198">
        <f t="shared" si="2126"/>
        <v>0</v>
      </c>
      <c r="HI83" s="225">
        <f t="shared" si="2164"/>
        <v>0</v>
      </c>
      <c r="HJ83" s="226">
        <f t="shared" si="2165"/>
        <v>0</v>
      </c>
      <c r="HK83" s="137">
        <f t="shared" si="2166"/>
        <v>0</v>
      </c>
      <c r="HL83" s="227">
        <f t="shared" si="2130"/>
        <v>2597.2199999999998</v>
      </c>
      <c r="HM83" s="138">
        <f t="shared" si="2167"/>
        <v>0</v>
      </c>
      <c r="HN83" s="110">
        <f t="shared" si="2168"/>
        <v>0</v>
      </c>
      <c r="HO83" s="110"/>
      <c r="HP83" s="139"/>
      <c r="HQ83" s="140" t="e">
        <f t="shared" si="2169"/>
        <v>#DIV/0!</v>
      </c>
      <c r="HR83" s="198">
        <f t="shared" si="2170"/>
        <v>0</v>
      </c>
      <c r="HS83" s="225">
        <f t="shared" si="2171"/>
        <v>0</v>
      </c>
      <c r="HT83" s="226">
        <f t="shared" si="2172"/>
        <v>0</v>
      </c>
      <c r="HU83" s="137">
        <f t="shared" si="2173"/>
        <v>0</v>
      </c>
      <c r="HV83" s="227">
        <f t="shared" si="2174"/>
        <v>3163.33</v>
      </c>
      <c r="HW83" s="138">
        <f t="shared" si="2175"/>
        <v>0</v>
      </c>
      <c r="HX83" s="110">
        <f t="shared" si="2176"/>
        <v>0</v>
      </c>
      <c r="HY83" s="110"/>
      <c r="HZ83" s="139"/>
      <c r="IA83" s="140" t="e">
        <f t="shared" si="2177"/>
        <v>#DIV/0!</v>
      </c>
      <c r="IB83" s="198">
        <f t="shared" si="2170"/>
        <v>0</v>
      </c>
      <c r="IC83" s="225">
        <f t="shared" si="2178"/>
        <v>0</v>
      </c>
      <c r="ID83" s="226">
        <f t="shared" si="2179"/>
        <v>0</v>
      </c>
      <c r="IE83" s="137">
        <f t="shared" si="2180"/>
        <v>0</v>
      </c>
      <c r="IF83" s="227">
        <f t="shared" si="2174"/>
        <v>3163.33</v>
      </c>
      <c r="IG83" s="138">
        <f t="shared" si="2181"/>
        <v>0</v>
      </c>
      <c r="IH83" s="110">
        <f t="shared" si="2182"/>
        <v>0</v>
      </c>
      <c r="II83" s="110"/>
      <c r="IJ83" s="139"/>
      <c r="IK83" s="140" t="e">
        <f t="shared" si="2183"/>
        <v>#DIV/0!</v>
      </c>
      <c r="IL83" s="198">
        <f t="shared" si="2170"/>
        <v>0</v>
      </c>
      <c r="IM83" s="225">
        <f t="shared" si="2184"/>
        <v>0</v>
      </c>
      <c r="IN83" s="226">
        <f t="shared" si="2185"/>
        <v>0</v>
      </c>
      <c r="IO83" s="137">
        <f t="shared" si="2186"/>
        <v>0</v>
      </c>
      <c r="IP83" s="227">
        <f t="shared" si="2174"/>
        <v>2644.05</v>
      </c>
      <c r="IQ83" s="138">
        <f t="shared" si="2187"/>
        <v>0</v>
      </c>
      <c r="IR83" s="110">
        <f t="shared" si="2188"/>
        <v>0</v>
      </c>
      <c r="IS83" s="110"/>
      <c r="IT83" s="139"/>
      <c r="IU83" s="140" t="e">
        <f t="shared" si="2189"/>
        <v>#DIV/0!</v>
      </c>
      <c r="IV83" s="198">
        <f t="shared" si="2170"/>
        <v>0</v>
      </c>
      <c r="IW83" s="225">
        <f t="shared" si="2190"/>
        <v>0</v>
      </c>
      <c r="IX83" s="226">
        <f t="shared" si="2191"/>
        <v>0</v>
      </c>
      <c r="IY83" s="137">
        <f t="shared" si="2192"/>
        <v>0</v>
      </c>
      <c r="IZ83" s="227">
        <f t="shared" si="2174"/>
        <v>3163.33</v>
      </c>
      <c r="JA83" s="138">
        <f t="shared" si="2193"/>
        <v>0</v>
      </c>
      <c r="JB83" s="110">
        <f t="shared" si="2194"/>
        <v>0</v>
      </c>
      <c r="JC83" s="110"/>
      <c r="JD83" s="139"/>
      <c r="JE83" s="140" t="e">
        <f t="shared" si="2195"/>
        <v>#DIV/0!</v>
      </c>
      <c r="JF83" s="198">
        <f t="shared" si="2170"/>
        <v>0</v>
      </c>
      <c r="JG83" s="225">
        <f t="shared" si="2196"/>
        <v>0</v>
      </c>
      <c r="JH83" s="226">
        <f t="shared" si="2197"/>
        <v>0</v>
      </c>
      <c r="JI83" s="137">
        <f t="shared" si="2198"/>
        <v>0</v>
      </c>
      <c r="JJ83" s="227">
        <f t="shared" si="2174"/>
        <v>2644.05</v>
      </c>
      <c r="JK83" s="138">
        <f t="shared" si="2199"/>
        <v>0</v>
      </c>
      <c r="JL83" s="110">
        <f t="shared" si="2200"/>
        <v>0</v>
      </c>
      <c r="JM83" s="110"/>
      <c r="JN83" s="139"/>
      <c r="JO83" s="140" t="e">
        <f t="shared" si="2201"/>
        <v>#DIV/0!</v>
      </c>
      <c r="JP83" s="198">
        <f t="shared" si="2170"/>
        <v>0</v>
      </c>
      <c r="JQ83" s="225">
        <f t="shared" si="2202"/>
        <v>0</v>
      </c>
      <c r="JR83" s="226">
        <f t="shared" si="2203"/>
        <v>0</v>
      </c>
      <c r="JS83" s="137">
        <f t="shared" si="2204"/>
        <v>0</v>
      </c>
      <c r="JT83" s="227">
        <f t="shared" si="2174"/>
        <v>2632.02</v>
      </c>
      <c r="JU83" s="138">
        <f t="shared" si="2205"/>
        <v>0</v>
      </c>
      <c r="JV83" s="110">
        <f t="shared" si="2206"/>
        <v>0</v>
      </c>
      <c r="JW83" s="110"/>
      <c r="JX83" s="139"/>
      <c r="JY83" s="140" t="e">
        <f t="shared" si="2207"/>
        <v>#DIV/0!</v>
      </c>
      <c r="JZ83" s="198">
        <f t="shared" si="2170"/>
        <v>0</v>
      </c>
      <c r="KA83" s="225">
        <f t="shared" si="2208"/>
        <v>0</v>
      </c>
      <c r="KB83" s="226">
        <f t="shared" si="2209"/>
        <v>0</v>
      </c>
      <c r="KC83" s="137">
        <f t="shared" si="2210"/>
        <v>0</v>
      </c>
      <c r="KD83" s="227">
        <f t="shared" si="2174"/>
        <v>3163.33</v>
      </c>
      <c r="KE83" s="138">
        <f t="shared" si="2211"/>
        <v>0</v>
      </c>
      <c r="KF83" s="110">
        <f t="shared" si="2212"/>
        <v>0</v>
      </c>
      <c r="KG83" s="110"/>
      <c r="KH83" s="139"/>
      <c r="KI83" s="140" t="e">
        <f t="shared" si="2213"/>
        <v>#DIV/0!</v>
      </c>
      <c r="KJ83" s="198">
        <f t="shared" si="2214"/>
        <v>0</v>
      </c>
      <c r="KK83" s="225">
        <f t="shared" si="2215"/>
        <v>0</v>
      </c>
      <c r="KL83" s="226">
        <f t="shared" si="2216"/>
        <v>0</v>
      </c>
      <c r="KM83" s="137">
        <f t="shared" si="2217"/>
        <v>0</v>
      </c>
      <c r="KN83" s="227">
        <f t="shared" si="2218"/>
        <v>2644.05</v>
      </c>
      <c r="KO83" s="138">
        <f t="shared" si="2219"/>
        <v>0</v>
      </c>
      <c r="KP83" s="110">
        <f t="shared" si="2220"/>
        <v>0</v>
      </c>
      <c r="KQ83" s="110"/>
      <c r="KR83" s="139"/>
      <c r="KS83" s="140" t="e">
        <f t="shared" si="2221"/>
        <v>#DIV/0!</v>
      </c>
      <c r="KT83" s="198">
        <f t="shared" si="2214"/>
        <v>0</v>
      </c>
      <c r="KU83" s="225">
        <f t="shared" si="2222"/>
        <v>0</v>
      </c>
      <c r="KV83" s="226">
        <f t="shared" si="2223"/>
        <v>0</v>
      </c>
      <c r="KW83" s="137">
        <f t="shared" si="2224"/>
        <v>0</v>
      </c>
      <c r="KX83" s="227">
        <f t="shared" si="2218"/>
        <v>3163.33</v>
      </c>
      <c r="KY83" s="138">
        <f t="shared" si="2225"/>
        <v>0</v>
      </c>
      <c r="KZ83" s="110">
        <f t="shared" si="2226"/>
        <v>0</v>
      </c>
      <c r="LA83" s="110"/>
      <c r="LB83" s="139"/>
      <c r="LC83" s="140" t="e">
        <f t="shared" si="2227"/>
        <v>#DIV/0!</v>
      </c>
      <c r="LD83" s="197">
        <f t="shared" si="2027"/>
        <v>0</v>
      </c>
      <c r="LE83" s="225">
        <f t="shared" si="2028"/>
        <v>0</v>
      </c>
      <c r="LF83" s="226">
        <f t="shared" si="2029"/>
        <v>0</v>
      </c>
      <c r="LG83" s="137">
        <f t="shared" si="2030"/>
        <v>0</v>
      </c>
      <c r="LH83" s="227">
        <f t="shared" si="2031"/>
        <v>2869.57</v>
      </c>
      <c r="LI83" s="138">
        <f t="shared" si="2032"/>
        <v>0</v>
      </c>
      <c r="LJ83" s="110">
        <f t="shared" si="2033"/>
        <v>0</v>
      </c>
      <c r="LK83" s="110"/>
      <c r="LL83" s="139"/>
    </row>
    <row r="84" spans="1:324" ht="17.25" customHeight="1" x14ac:dyDescent="0.25">
      <c r="A84" s="246"/>
      <c r="B84" s="70" t="s">
        <v>626</v>
      </c>
      <c r="C84" s="12" t="s">
        <v>728</v>
      </c>
      <c r="D84" s="12" t="s">
        <v>430</v>
      </c>
      <c r="E84" s="4" t="s">
        <v>34</v>
      </c>
      <c r="F84" s="198">
        <f t="shared" si="2037"/>
        <v>1</v>
      </c>
      <c r="G84" s="225">
        <f t="shared" si="2034"/>
        <v>1.66E-3</v>
      </c>
      <c r="H84" s="226">
        <f t="shared" si="2035"/>
        <v>0.34</v>
      </c>
      <c r="I84" s="137">
        <f t="shared" si="1808"/>
        <v>0.34</v>
      </c>
      <c r="J84" s="227">
        <f t="shared" si="2036"/>
        <v>2644.05</v>
      </c>
      <c r="K84" s="138">
        <f t="shared" si="1809"/>
        <v>898.97699999999998</v>
      </c>
      <c r="L84" s="110">
        <f t="shared" si="1810"/>
        <v>898.98</v>
      </c>
      <c r="M84" s="110"/>
      <c r="N84" s="139"/>
      <c r="O84" s="140">
        <f t="shared" si="1811"/>
        <v>0.50741999999999998</v>
      </c>
      <c r="P84" s="198">
        <f t="shared" si="2038"/>
        <v>3</v>
      </c>
      <c r="Q84" s="225">
        <f t="shared" si="2039"/>
        <v>2.7399999999999998E-3</v>
      </c>
      <c r="R84" s="226">
        <f t="shared" si="2040"/>
        <v>1.5</v>
      </c>
      <c r="S84" s="137">
        <f t="shared" si="2041"/>
        <v>0.5</v>
      </c>
      <c r="T84" s="227">
        <f t="shared" si="2042"/>
        <v>3163.33</v>
      </c>
      <c r="U84" s="138">
        <f t="shared" si="2043"/>
        <v>1581.665</v>
      </c>
      <c r="V84" s="110">
        <f t="shared" si="2044"/>
        <v>4745</v>
      </c>
      <c r="W84" s="110"/>
      <c r="X84" s="139"/>
      <c r="Y84" s="140">
        <f t="shared" si="2045"/>
        <v>0.89276999999999995</v>
      </c>
      <c r="Z84" s="198">
        <f t="shared" si="2038"/>
        <v>1</v>
      </c>
      <c r="AA84" s="225">
        <f t="shared" si="2046"/>
        <v>1.16E-3</v>
      </c>
      <c r="AB84" s="226">
        <f t="shared" si="2047"/>
        <v>0.55000000000000004</v>
      </c>
      <c r="AC84" s="137">
        <f t="shared" si="2048"/>
        <v>0.55000000000000004</v>
      </c>
      <c r="AD84" s="227">
        <f t="shared" si="2042"/>
        <v>2608.17</v>
      </c>
      <c r="AE84" s="138">
        <f t="shared" si="2049"/>
        <v>1434.4935</v>
      </c>
      <c r="AF84" s="110">
        <f t="shared" si="2050"/>
        <v>1434.49</v>
      </c>
      <c r="AG84" s="110"/>
      <c r="AH84" s="139"/>
      <c r="AI84" s="140">
        <f t="shared" si="2051"/>
        <v>0.80969000000000002</v>
      </c>
      <c r="AJ84" s="198">
        <f t="shared" si="2038"/>
        <v>2</v>
      </c>
      <c r="AK84" s="225">
        <f t="shared" si="2052"/>
        <v>3.0100000000000001E-3</v>
      </c>
      <c r="AL84" s="226">
        <f t="shared" si="2053"/>
        <v>1.04</v>
      </c>
      <c r="AM84" s="137">
        <f t="shared" si="2054"/>
        <v>0.52</v>
      </c>
      <c r="AN84" s="227">
        <f t="shared" si="2042"/>
        <v>2644.05</v>
      </c>
      <c r="AO84" s="138">
        <f t="shared" si="2055"/>
        <v>1374.9059999999999</v>
      </c>
      <c r="AP84" s="110">
        <f t="shared" si="2056"/>
        <v>2749.81</v>
      </c>
      <c r="AQ84" s="110"/>
      <c r="AR84" s="139"/>
      <c r="AS84" s="140">
        <f t="shared" si="2057"/>
        <v>0.77605999999999997</v>
      </c>
      <c r="AT84" s="198">
        <f t="shared" si="2038"/>
        <v>4</v>
      </c>
      <c r="AU84" s="225">
        <f t="shared" si="2058"/>
        <v>4.2100000000000002E-3</v>
      </c>
      <c r="AV84" s="226">
        <f t="shared" si="2059"/>
        <v>1.7</v>
      </c>
      <c r="AW84" s="137">
        <f t="shared" si="2060"/>
        <v>0.42499999999999999</v>
      </c>
      <c r="AX84" s="227">
        <f t="shared" si="2042"/>
        <v>1786.28</v>
      </c>
      <c r="AY84" s="138">
        <f t="shared" si="2061"/>
        <v>759.16899999999998</v>
      </c>
      <c r="AZ84" s="110">
        <f t="shared" si="2062"/>
        <v>3036.68</v>
      </c>
      <c r="BA84" s="110"/>
      <c r="BB84" s="139"/>
      <c r="BC84" s="140">
        <f t="shared" si="2063"/>
        <v>0.42851</v>
      </c>
      <c r="BD84" s="198">
        <f t="shared" si="2038"/>
        <v>1</v>
      </c>
      <c r="BE84" s="225">
        <f t="shared" si="2064"/>
        <v>1.34E-3</v>
      </c>
      <c r="BF84" s="226">
        <f t="shared" si="2065"/>
        <v>0.42</v>
      </c>
      <c r="BG84" s="137">
        <f t="shared" si="2066"/>
        <v>0.42</v>
      </c>
      <c r="BH84" s="227">
        <f t="shared" si="2042"/>
        <v>3163.33</v>
      </c>
      <c r="BI84" s="138">
        <f t="shared" si="2067"/>
        <v>1328.5986</v>
      </c>
      <c r="BJ84" s="110">
        <f t="shared" si="2068"/>
        <v>1328.6</v>
      </c>
      <c r="BK84" s="110"/>
      <c r="BL84" s="139"/>
      <c r="BM84" s="140">
        <f t="shared" si="2069"/>
        <v>0.74992000000000003</v>
      </c>
      <c r="BN84" s="198">
        <f t="shared" si="2038"/>
        <v>3</v>
      </c>
      <c r="BO84" s="225">
        <f t="shared" si="2070"/>
        <v>4.8599999999999997E-3</v>
      </c>
      <c r="BP84" s="226">
        <f t="shared" si="2071"/>
        <v>2.0699999999999998</v>
      </c>
      <c r="BQ84" s="137">
        <f t="shared" si="2072"/>
        <v>0.69</v>
      </c>
      <c r="BR84" s="227">
        <f t="shared" si="2042"/>
        <v>2182.42</v>
      </c>
      <c r="BS84" s="138">
        <f t="shared" si="2073"/>
        <v>1505.8697999999999</v>
      </c>
      <c r="BT84" s="110">
        <f t="shared" si="2074"/>
        <v>4517.6099999999997</v>
      </c>
      <c r="BU84" s="110"/>
      <c r="BV84" s="139"/>
      <c r="BW84" s="140">
        <f t="shared" si="2075"/>
        <v>0.84997999999999996</v>
      </c>
      <c r="BX84" s="198">
        <f t="shared" si="2038"/>
        <v>1</v>
      </c>
      <c r="BY84" s="225">
        <f t="shared" si="2076"/>
        <v>1.2700000000000001E-3</v>
      </c>
      <c r="BZ84" s="226">
        <f t="shared" si="2077"/>
        <v>0.41</v>
      </c>
      <c r="CA84" s="137">
        <f t="shared" si="2078"/>
        <v>0.41</v>
      </c>
      <c r="CB84" s="227">
        <f t="shared" si="2042"/>
        <v>2644.05</v>
      </c>
      <c r="CC84" s="138">
        <f t="shared" si="2079"/>
        <v>1084.0605</v>
      </c>
      <c r="CD84" s="110">
        <f t="shared" si="2080"/>
        <v>1084.06</v>
      </c>
      <c r="CE84" s="110"/>
      <c r="CF84" s="139"/>
      <c r="CG84" s="140">
        <f t="shared" si="2081"/>
        <v>0.61189000000000004</v>
      </c>
      <c r="CH84" s="198">
        <f t="shared" si="2082"/>
        <v>5</v>
      </c>
      <c r="CI84" s="225">
        <f t="shared" si="2083"/>
        <v>5.4099999999999999E-3</v>
      </c>
      <c r="CJ84" s="226">
        <f t="shared" si="2084"/>
        <v>2.0299999999999998</v>
      </c>
      <c r="CK84" s="137">
        <f t="shared" si="2085"/>
        <v>0.40600000000000003</v>
      </c>
      <c r="CL84" s="227">
        <f t="shared" si="2086"/>
        <v>2644.05</v>
      </c>
      <c r="CM84" s="138">
        <f t="shared" si="2087"/>
        <v>1073.4843000000001</v>
      </c>
      <c r="CN84" s="110">
        <f t="shared" si="2088"/>
        <v>5367.42</v>
      </c>
      <c r="CO84" s="110"/>
      <c r="CP84" s="139"/>
      <c r="CQ84" s="140">
        <f t="shared" si="2089"/>
        <v>0.60592000000000001</v>
      </c>
      <c r="CR84" s="198">
        <f t="shared" si="2082"/>
        <v>2</v>
      </c>
      <c r="CS84" s="225">
        <f t="shared" si="2090"/>
        <v>2.6900000000000001E-3</v>
      </c>
      <c r="CT84" s="226">
        <f t="shared" si="2091"/>
        <v>1.35</v>
      </c>
      <c r="CU84" s="137">
        <f t="shared" si="2092"/>
        <v>0.67500000000000004</v>
      </c>
      <c r="CV84" s="227">
        <f t="shared" si="2086"/>
        <v>3163.33</v>
      </c>
      <c r="CW84" s="138">
        <f t="shared" si="2093"/>
        <v>2135.24775</v>
      </c>
      <c r="CX84" s="110">
        <f t="shared" si="2094"/>
        <v>4270.5</v>
      </c>
      <c r="CY84" s="110"/>
      <c r="CZ84" s="139"/>
      <c r="DA84" s="140">
        <f t="shared" si="2095"/>
        <v>1.20523</v>
      </c>
      <c r="DB84" s="198">
        <f t="shared" si="2082"/>
        <v>0</v>
      </c>
      <c r="DC84" s="225">
        <f t="shared" si="2096"/>
        <v>0</v>
      </c>
      <c r="DD84" s="226">
        <f t="shared" si="2097"/>
        <v>0</v>
      </c>
      <c r="DE84" s="137">
        <f t="shared" si="2098"/>
        <v>0</v>
      </c>
      <c r="DF84" s="227">
        <f t="shared" si="2086"/>
        <v>2644.05</v>
      </c>
      <c r="DG84" s="138">
        <f t="shared" si="2099"/>
        <v>0</v>
      </c>
      <c r="DH84" s="110">
        <f t="shared" si="2100"/>
        <v>0</v>
      </c>
      <c r="DI84" s="110"/>
      <c r="DJ84" s="139"/>
      <c r="DK84" s="140">
        <f t="shared" si="2101"/>
        <v>0</v>
      </c>
      <c r="DL84" s="198">
        <f t="shared" si="2082"/>
        <v>0</v>
      </c>
      <c r="DM84" s="225">
        <f t="shared" si="2102"/>
        <v>0</v>
      </c>
      <c r="DN84" s="226">
        <f t="shared" si="2103"/>
        <v>0</v>
      </c>
      <c r="DO84" s="137">
        <f t="shared" si="2104"/>
        <v>0</v>
      </c>
      <c r="DP84" s="227">
        <f t="shared" si="2086"/>
        <v>2644.05</v>
      </c>
      <c r="DQ84" s="138">
        <f t="shared" si="2105"/>
        <v>0</v>
      </c>
      <c r="DR84" s="110">
        <f t="shared" si="2106"/>
        <v>0</v>
      </c>
      <c r="DS84" s="110"/>
      <c r="DT84" s="139"/>
      <c r="DU84" s="140">
        <f t="shared" si="2107"/>
        <v>0</v>
      </c>
      <c r="DV84" s="198">
        <f t="shared" si="2082"/>
        <v>4</v>
      </c>
      <c r="DW84" s="225">
        <f t="shared" si="2108"/>
        <v>4.5599999999999998E-3</v>
      </c>
      <c r="DX84" s="226">
        <f t="shared" si="2109"/>
        <v>1.27</v>
      </c>
      <c r="DY84" s="137">
        <f t="shared" si="2110"/>
        <v>0.3175</v>
      </c>
      <c r="DZ84" s="227">
        <f t="shared" si="2086"/>
        <v>2644.05</v>
      </c>
      <c r="EA84" s="138">
        <f t="shared" si="2111"/>
        <v>839.48587999999995</v>
      </c>
      <c r="EB84" s="110">
        <f t="shared" si="2112"/>
        <v>3357.94</v>
      </c>
      <c r="EC84" s="110"/>
      <c r="ED84" s="139"/>
      <c r="EE84" s="140">
        <f t="shared" si="2113"/>
        <v>0.47383999999999998</v>
      </c>
      <c r="EF84" s="198">
        <f t="shared" si="2082"/>
        <v>3</v>
      </c>
      <c r="EG84" s="225">
        <f t="shared" si="2114"/>
        <v>3.1900000000000001E-3</v>
      </c>
      <c r="EH84" s="226">
        <f t="shared" si="2115"/>
        <v>1.21</v>
      </c>
      <c r="EI84" s="137">
        <f t="shared" si="2116"/>
        <v>0.40333332999999999</v>
      </c>
      <c r="EJ84" s="227">
        <f t="shared" si="2086"/>
        <v>3163.33</v>
      </c>
      <c r="EK84" s="138">
        <f t="shared" si="2117"/>
        <v>1275.8764200000001</v>
      </c>
      <c r="EL84" s="110">
        <f t="shared" si="2118"/>
        <v>3827.63</v>
      </c>
      <c r="EM84" s="110"/>
      <c r="EN84" s="139"/>
      <c r="EO84" s="140">
        <f t="shared" si="2119"/>
        <v>0.72016000000000002</v>
      </c>
      <c r="EP84" s="198">
        <f t="shared" si="2082"/>
        <v>2</v>
      </c>
      <c r="EQ84" s="225">
        <f t="shared" si="2120"/>
        <v>2.1199999999999999E-3</v>
      </c>
      <c r="ER84" s="226">
        <f t="shared" si="2121"/>
        <v>1.51</v>
      </c>
      <c r="ES84" s="137">
        <f t="shared" si="2122"/>
        <v>0.755</v>
      </c>
      <c r="ET84" s="227">
        <f t="shared" si="2086"/>
        <v>3163.33</v>
      </c>
      <c r="EU84" s="138">
        <f t="shared" si="2123"/>
        <v>2388.3141500000002</v>
      </c>
      <c r="EV84" s="110">
        <f t="shared" si="2124"/>
        <v>4776.63</v>
      </c>
      <c r="EW84" s="110"/>
      <c r="EX84" s="139"/>
      <c r="EY84" s="140">
        <f t="shared" si="2125"/>
        <v>1.3480799999999999</v>
      </c>
      <c r="EZ84" s="198">
        <f t="shared" si="2126"/>
        <v>1</v>
      </c>
      <c r="FA84" s="225">
        <f t="shared" si="2127"/>
        <v>8.9999999999999998E-4</v>
      </c>
      <c r="FB84" s="226">
        <f t="shared" si="2128"/>
        <v>0</v>
      </c>
      <c r="FC84" s="137">
        <f t="shared" si="2129"/>
        <v>0</v>
      </c>
      <c r="FD84" s="227">
        <f t="shared" si="2130"/>
        <v>0</v>
      </c>
      <c r="FE84" s="138">
        <f t="shared" si="2131"/>
        <v>0</v>
      </c>
      <c r="FF84" s="110">
        <f t="shared" si="2132"/>
        <v>0</v>
      </c>
      <c r="FG84" s="110"/>
      <c r="FH84" s="139"/>
      <c r="FI84" s="140">
        <f t="shared" si="2133"/>
        <v>0</v>
      </c>
      <c r="FJ84" s="198">
        <f t="shared" si="2126"/>
        <v>2</v>
      </c>
      <c r="FK84" s="225">
        <f t="shared" si="2134"/>
        <v>1.9599999999999999E-3</v>
      </c>
      <c r="FL84" s="226">
        <f t="shared" si="2135"/>
        <v>1.03</v>
      </c>
      <c r="FM84" s="137">
        <f t="shared" si="2136"/>
        <v>0.51500000000000001</v>
      </c>
      <c r="FN84" s="227">
        <f t="shared" si="2130"/>
        <v>3163.33</v>
      </c>
      <c r="FO84" s="138">
        <f t="shared" si="2137"/>
        <v>1629.1149499999999</v>
      </c>
      <c r="FP84" s="110">
        <f t="shared" si="2138"/>
        <v>3258.23</v>
      </c>
      <c r="FQ84" s="110"/>
      <c r="FR84" s="139"/>
      <c r="FS84" s="140">
        <f t="shared" si="2139"/>
        <v>0.91954999999999998</v>
      </c>
      <c r="FT84" s="198">
        <f t="shared" si="2126"/>
        <v>3</v>
      </c>
      <c r="FU84" s="225">
        <f t="shared" si="2140"/>
        <v>3.7399999999999998E-3</v>
      </c>
      <c r="FV84" s="226">
        <f t="shared" si="2141"/>
        <v>1.77</v>
      </c>
      <c r="FW84" s="137">
        <f t="shared" si="2142"/>
        <v>0.59</v>
      </c>
      <c r="FX84" s="227">
        <f t="shared" si="2130"/>
        <v>3163.33</v>
      </c>
      <c r="FY84" s="138">
        <f t="shared" si="2143"/>
        <v>1866.3647000000001</v>
      </c>
      <c r="FZ84" s="110">
        <f t="shared" si="2144"/>
        <v>5599.09</v>
      </c>
      <c r="GA84" s="110"/>
      <c r="GB84" s="139"/>
      <c r="GC84" s="140">
        <f t="shared" si="2145"/>
        <v>1.0534600000000001</v>
      </c>
      <c r="GD84" s="198">
        <f t="shared" si="2126"/>
        <v>3</v>
      </c>
      <c r="GE84" s="225">
        <f t="shared" si="2146"/>
        <v>5.8599999999999998E-3</v>
      </c>
      <c r="GF84" s="226">
        <f t="shared" si="2147"/>
        <v>0</v>
      </c>
      <c r="GG84" s="137">
        <f t="shared" si="2148"/>
        <v>0</v>
      </c>
      <c r="GH84" s="227">
        <f t="shared" si="2130"/>
        <v>0</v>
      </c>
      <c r="GI84" s="138">
        <f t="shared" si="2149"/>
        <v>0</v>
      </c>
      <c r="GJ84" s="110">
        <f t="shared" si="2150"/>
        <v>0</v>
      </c>
      <c r="GK84" s="110"/>
      <c r="GL84" s="139"/>
      <c r="GM84" s="140">
        <f t="shared" si="2151"/>
        <v>0</v>
      </c>
      <c r="GN84" s="198">
        <f t="shared" si="2126"/>
        <v>2</v>
      </c>
      <c r="GO84" s="225">
        <f t="shared" si="2152"/>
        <v>2.31E-3</v>
      </c>
      <c r="GP84" s="226">
        <f t="shared" si="2153"/>
        <v>1.87</v>
      </c>
      <c r="GQ84" s="137">
        <f t="shared" si="2154"/>
        <v>0.93500000000000005</v>
      </c>
      <c r="GR84" s="227">
        <f t="shared" si="2130"/>
        <v>2644.05</v>
      </c>
      <c r="GS84" s="138">
        <f t="shared" si="2155"/>
        <v>2472.1867499999998</v>
      </c>
      <c r="GT84" s="110">
        <f t="shared" si="2156"/>
        <v>4944.37</v>
      </c>
      <c r="GU84" s="110"/>
      <c r="GV84" s="139"/>
      <c r="GW84" s="140">
        <f t="shared" si="2157"/>
        <v>1.3954200000000001</v>
      </c>
      <c r="GX84" s="198">
        <f t="shared" si="2126"/>
        <v>0</v>
      </c>
      <c r="GY84" s="225">
        <f t="shared" si="2158"/>
        <v>0</v>
      </c>
      <c r="GZ84" s="226">
        <f t="shared" si="2159"/>
        <v>0</v>
      </c>
      <c r="HA84" s="137">
        <f t="shared" si="2160"/>
        <v>0</v>
      </c>
      <c r="HB84" s="227">
        <f t="shared" si="2130"/>
        <v>2644.05</v>
      </c>
      <c r="HC84" s="138">
        <f t="shared" si="2161"/>
        <v>0</v>
      </c>
      <c r="HD84" s="110">
        <f t="shared" si="2162"/>
        <v>0</v>
      </c>
      <c r="HE84" s="110"/>
      <c r="HF84" s="139"/>
      <c r="HG84" s="140">
        <f t="shared" si="2163"/>
        <v>0</v>
      </c>
      <c r="HH84" s="198">
        <f t="shared" si="2126"/>
        <v>2</v>
      </c>
      <c r="HI84" s="225">
        <f t="shared" si="2164"/>
        <v>1.74E-3</v>
      </c>
      <c r="HJ84" s="226">
        <f t="shared" si="2165"/>
        <v>1.28</v>
      </c>
      <c r="HK84" s="137">
        <f t="shared" si="2166"/>
        <v>0.64</v>
      </c>
      <c r="HL84" s="227">
        <f t="shared" si="2130"/>
        <v>2597.2199999999998</v>
      </c>
      <c r="HM84" s="138">
        <f t="shared" si="2167"/>
        <v>1662.2208000000001</v>
      </c>
      <c r="HN84" s="110">
        <f t="shared" si="2168"/>
        <v>3324.44</v>
      </c>
      <c r="HO84" s="110"/>
      <c r="HP84" s="139"/>
      <c r="HQ84" s="140">
        <f t="shared" si="2169"/>
        <v>0.93823000000000001</v>
      </c>
      <c r="HR84" s="198">
        <f t="shared" si="2170"/>
        <v>3</v>
      </c>
      <c r="HS84" s="225">
        <f t="shared" si="2171"/>
        <v>3.81E-3</v>
      </c>
      <c r="HT84" s="226">
        <f t="shared" si="2172"/>
        <v>2.5299999999999998</v>
      </c>
      <c r="HU84" s="137">
        <f t="shared" si="2173"/>
        <v>0.84333332999999999</v>
      </c>
      <c r="HV84" s="227">
        <f t="shared" si="2174"/>
        <v>3163.33</v>
      </c>
      <c r="HW84" s="138">
        <f t="shared" si="2175"/>
        <v>2667.7416199999998</v>
      </c>
      <c r="HX84" s="110">
        <f t="shared" si="2176"/>
        <v>8003.22</v>
      </c>
      <c r="HY84" s="110"/>
      <c r="HZ84" s="139"/>
      <c r="IA84" s="140">
        <f t="shared" si="2177"/>
        <v>1.5058</v>
      </c>
      <c r="IB84" s="198">
        <f t="shared" si="2170"/>
        <v>4</v>
      </c>
      <c r="IC84" s="225">
        <f t="shared" si="2178"/>
        <v>7.3000000000000001E-3</v>
      </c>
      <c r="ID84" s="226">
        <f t="shared" si="2179"/>
        <v>4.96</v>
      </c>
      <c r="IE84" s="137">
        <f t="shared" si="2180"/>
        <v>1.24</v>
      </c>
      <c r="IF84" s="227">
        <f t="shared" si="2174"/>
        <v>3163.33</v>
      </c>
      <c r="IG84" s="138">
        <f t="shared" si="2181"/>
        <v>3922.5291999999999</v>
      </c>
      <c r="IH84" s="110">
        <f t="shared" si="2182"/>
        <v>15690.12</v>
      </c>
      <c r="II84" s="110"/>
      <c r="IJ84" s="139"/>
      <c r="IK84" s="140">
        <f t="shared" si="2183"/>
        <v>2.2140599999999999</v>
      </c>
      <c r="IL84" s="198">
        <f t="shared" si="2170"/>
        <v>4</v>
      </c>
      <c r="IM84" s="225">
        <f t="shared" si="2184"/>
        <v>3.16E-3</v>
      </c>
      <c r="IN84" s="226">
        <f t="shared" si="2185"/>
        <v>2.04</v>
      </c>
      <c r="IO84" s="137">
        <f t="shared" si="2186"/>
        <v>0.51</v>
      </c>
      <c r="IP84" s="227">
        <f t="shared" si="2174"/>
        <v>2644.05</v>
      </c>
      <c r="IQ84" s="138">
        <f t="shared" si="2187"/>
        <v>1348.4655</v>
      </c>
      <c r="IR84" s="110">
        <f t="shared" si="2188"/>
        <v>5393.86</v>
      </c>
      <c r="IS84" s="110"/>
      <c r="IT84" s="139"/>
      <c r="IU84" s="140">
        <f t="shared" si="2189"/>
        <v>0.76114000000000004</v>
      </c>
      <c r="IV84" s="198">
        <f t="shared" si="2170"/>
        <v>5</v>
      </c>
      <c r="IW84" s="225">
        <f t="shared" si="2190"/>
        <v>6.4900000000000001E-3</v>
      </c>
      <c r="IX84" s="226">
        <f t="shared" si="2191"/>
        <v>3.27</v>
      </c>
      <c r="IY84" s="137">
        <f t="shared" si="2192"/>
        <v>0.65400000000000003</v>
      </c>
      <c r="IZ84" s="227">
        <f t="shared" si="2174"/>
        <v>3163.33</v>
      </c>
      <c r="JA84" s="138">
        <f t="shared" si="2193"/>
        <v>2068.8178200000002</v>
      </c>
      <c r="JB84" s="110">
        <f t="shared" si="2194"/>
        <v>10344.09</v>
      </c>
      <c r="JC84" s="110"/>
      <c r="JD84" s="139"/>
      <c r="JE84" s="140">
        <f t="shared" si="2195"/>
        <v>1.16774</v>
      </c>
      <c r="JF84" s="198">
        <f t="shared" si="2170"/>
        <v>2</v>
      </c>
      <c r="JG84" s="225">
        <f t="shared" si="2196"/>
        <v>1.49E-3</v>
      </c>
      <c r="JH84" s="226">
        <f t="shared" si="2197"/>
        <v>1.34</v>
      </c>
      <c r="JI84" s="137">
        <f t="shared" si="2198"/>
        <v>0.67</v>
      </c>
      <c r="JJ84" s="227">
        <f t="shared" si="2174"/>
        <v>2644.05</v>
      </c>
      <c r="JK84" s="138">
        <f t="shared" si="2199"/>
        <v>1771.5135</v>
      </c>
      <c r="JL84" s="110">
        <f t="shared" si="2200"/>
        <v>3543.03</v>
      </c>
      <c r="JM84" s="110"/>
      <c r="JN84" s="139"/>
      <c r="JO84" s="140">
        <f t="shared" si="2201"/>
        <v>0.99992000000000003</v>
      </c>
      <c r="JP84" s="198">
        <f t="shared" si="2170"/>
        <v>4</v>
      </c>
      <c r="JQ84" s="225">
        <f t="shared" si="2202"/>
        <v>3.2000000000000002E-3</v>
      </c>
      <c r="JR84" s="226">
        <f t="shared" si="2203"/>
        <v>2.4500000000000002</v>
      </c>
      <c r="JS84" s="137">
        <f t="shared" si="2204"/>
        <v>0.61250000000000004</v>
      </c>
      <c r="JT84" s="227">
        <f t="shared" si="2174"/>
        <v>2632.02</v>
      </c>
      <c r="JU84" s="138">
        <f t="shared" si="2205"/>
        <v>1612.1122499999999</v>
      </c>
      <c r="JV84" s="110">
        <f t="shared" si="2206"/>
        <v>6448.45</v>
      </c>
      <c r="JW84" s="110"/>
      <c r="JX84" s="139"/>
      <c r="JY84" s="140">
        <f t="shared" si="2207"/>
        <v>0.90995000000000004</v>
      </c>
      <c r="JZ84" s="198">
        <f t="shared" si="2170"/>
        <v>0</v>
      </c>
      <c r="KA84" s="225">
        <f t="shared" si="2208"/>
        <v>0</v>
      </c>
      <c r="KB84" s="226">
        <f t="shared" si="2209"/>
        <v>0</v>
      </c>
      <c r="KC84" s="137">
        <f t="shared" si="2210"/>
        <v>0</v>
      </c>
      <c r="KD84" s="227">
        <f t="shared" si="2174"/>
        <v>3163.33</v>
      </c>
      <c r="KE84" s="138">
        <f t="shared" si="2211"/>
        <v>0</v>
      </c>
      <c r="KF84" s="110">
        <f t="shared" si="2212"/>
        <v>0</v>
      </c>
      <c r="KG84" s="110"/>
      <c r="KH84" s="139"/>
      <c r="KI84" s="140">
        <f t="shared" si="2213"/>
        <v>0</v>
      </c>
      <c r="KJ84" s="198">
        <f t="shared" si="2214"/>
        <v>2</v>
      </c>
      <c r="KK84" s="225">
        <f t="shared" si="2215"/>
        <v>1.49E-3</v>
      </c>
      <c r="KL84" s="226">
        <f t="shared" si="2216"/>
        <v>1.1499999999999999</v>
      </c>
      <c r="KM84" s="137">
        <f t="shared" si="2217"/>
        <v>0.57499999999999996</v>
      </c>
      <c r="KN84" s="227">
        <f t="shared" si="2218"/>
        <v>2644.05</v>
      </c>
      <c r="KO84" s="138">
        <f t="shared" si="2219"/>
        <v>1520.3287499999999</v>
      </c>
      <c r="KP84" s="110">
        <f t="shared" si="2220"/>
        <v>3040.66</v>
      </c>
      <c r="KQ84" s="110"/>
      <c r="KR84" s="139"/>
      <c r="KS84" s="140">
        <f t="shared" si="2221"/>
        <v>0.85814000000000001</v>
      </c>
      <c r="KT84" s="198">
        <f t="shared" si="2214"/>
        <v>0</v>
      </c>
      <c r="KU84" s="225">
        <f t="shared" si="2222"/>
        <v>0</v>
      </c>
      <c r="KV84" s="226">
        <f t="shared" si="2223"/>
        <v>0</v>
      </c>
      <c r="KW84" s="137">
        <f t="shared" si="2224"/>
        <v>0</v>
      </c>
      <c r="KX84" s="227">
        <f t="shared" si="2218"/>
        <v>3163.33</v>
      </c>
      <c r="KY84" s="138">
        <f t="shared" si="2225"/>
        <v>0</v>
      </c>
      <c r="KZ84" s="110">
        <f t="shared" si="2226"/>
        <v>0</v>
      </c>
      <c r="LA84" s="110"/>
      <c r="LB84" s="139"/>
      <c r="LC84" s="140">
        <f t="shared" si="2227"/>
        <v>0</v>
      </c>
      <c r="LD84" s="197">
        <f t="shared" si="2027"/>
        <v>69</v>
      </c>
      <c r="LE84" s="225">
        <f t="shared" si="2028"/>
        <v>2.4199999999999998E-3</v>
      </c>
      <c r="LF84" s="226">
        <f t="shared" si="2029"/>
        <v>42.6</v>
      </c>
      <c r="LG84" s="137">
        <f t="shared" si="2030"/>
        <v>0.61739129999999998</v>
      </c>
      <c r="LH84" s="227">
        <f t="shared" si="2031"/>
        <v>2869.57</v>
      </c>
      <c r="LI84" s="138">
        <f t="shared" si="2032"/>
        <v>1771.6475499999999</v>
      </c>
      <c r="LJ84" s="110">
        <f t="shared" si="2033"/>
        <v>122243.68</v>
      </c>
      <c r="LK84" s="110"/>
      <c r="LL84" s="139"/>
    </row>
    <row r="85" spans="1:324" ht="17.25" customHeight="1" x14ac:dyDescent="0.25">
      <c r="A85" s="246"/>
      <c r="B85" s="70" t="s">
        <v>627</v>
      </c>
      <c r="C85" s="12" t="s">
        <v>728</v>
      </c>
      <c r="D85" s="12" t="s">
        <v>430</v>
      </c>
      <c r="E85" s="4" t="s">
        <v>34</v>
      </c>
      <c r="F85" s="198">
        <f t="shared" si="2037"/>
        <v>0</v>
      </c>
      <c r="G85" s="225">
        <f t="shared" si="2034"/>
        <v>0</v>
      </c>
      <c r="H85" s="226">
        <f t="shared" si="2035"/>
        <v>0</v>
      </c>
      <c r="I85" s="137">
        <f t="shared" si="1808"/>
        <v>0</v>
      </c>
      <c r="J85" s="227">
        <f t="shared" si="2036"/>
        <v>2644.05</v>
      </c>
      <c r="K85" s="138">
        <f t="shared" si="1809"/>
        <v>0</v>
      </c>
      <c r="L85" s="110">
        <f t="shared" si="1810"/>
        <v>0</v>
      </c>
      <c r="M85" s="110"/>
      <c r="N85" s="139"/>
      <c r="O85" s="140">
        <f t="shared" si="1811"/>
        <v>0</v>
      </c>
      <c r="P85" s="198">
        <f t="shared" si="2038"/>
        <v>0</v>
      </c>
      <c r="Q85" s="225">
        <f t="shared" si="2039"/>
        <v>0</v>
      </c>
      <c r="R85" s="226">
        <f t="shared" si="2040"/>
        <v>0</v>
      </c>
      <c r="S85" s="137">
        <f t="shared" si="2041"/>
        <v>0</v>
      </c>
      <c r="T85" s="227">
        <f t="shared" si="2042"/>
        <v>3163.33</v>
      </c>
      <c r="U85" s="138">
        <f t="shared" si="2043"/>
        <v>0</v>
      </c>
      <c r="V85" s="110">
        <f t="shared" si="2044"/>
        <v>0</v>
      </c>
      <c r="W85" s="110"/>
      <c r="X85" s="139"/>
      <c r="Y85" s="140">
        <f t="shared" si="2045"/>
        <v>0</v>
      </c>
      <c r="Z85" s="198">
        <f t="shared" si="2038"/>
        <v>0</v>
      </c>
      <c r="AA85" s="225">
        <f t="shared" si="2046"/>
        <v>0</v>
      </c>
      <c r="AB85" s="226">
        <f t="shared" si="2047"/>
        <v>0</v>
      </c>
      <c r="AC85" s="137">
        <f t="shared" si="2048"/>
        <v>0</v>
      </c>
      <c r="AD85" s="227">
        <f t="shared" si="2042"/>
        <v>2608.17</v>
      </c>
      <c r="AE85" s="138">
        <f t="shared" si="2049"/>
        <v>0</v>
      </c>
      <c r="AF85" s="110">
        <f t="shared" si="2050"/>
        <v>0</v>
      </c>
      <c r="AG85" s="110"/>
      <c r="AH85" s="139"/>
      <c r="AI85" s="140">
        <f t="shared" si="2051"/>
        <v>0</v>
      </c>
      <c r="AJ85" s="198">
        <f t="shared" si="2038"/>
        <v>0</v>
      </c>
      <c r="AK85" s="225">
        <f t="shared" si="2052"/>
        <v>0</v>
      </c>
      <c r="AL85" s="226">
        <f t="shared" si="2053"/>
        <v>0</v>
      </c>
      <c r="AM85" s="137">
        <f t="shared" si="2054"/>
        <v>0</v>
      </c>
      <c r="AN85" s="227">
        <f t="shared" si="2042"/>
        <v>2644.05</v>
      </c>
      <c r="AO85" s="138">
        <f t="shared" si="2055"/>
        <v>0</v>
      </c>
      <c r="AP85" s="110">
        <f t="shared" si="2056"/>
        <v>0</v>
      </c>
      <c r="AQ85" s="110"/>
      <c r="AR85" s="139"/>
      <c r="AS85" s="140">
        <f t="shared" si="2057"/>
        <v>0</v>
      </c>
      <c r="AT85" s="198">
        <f t="shared" si="2038"/>
        <v>4</v>
      </c>
      <c r="AU85" s="225">
        <f t="shared" si="2058"/>
        <v>4.2100000000000002E-3</v>
      </c>
      <c r="AV85" s="226">
        <f t="shared" si="2059"/>
        <v>1.7</v>
      </c>
      <c r="AW85" s="137">
        <f t="shared" si="2060"/>
        <v>0.42499999999999999</v>
      </c>
      <c r="AX85" s="227">
        <f t="shared" si="2042"/>
        <v>1786.28</v>
      </c>
      <c r="AY85" s="138">
        <f t="shared" si="2061"/>
        <v>759.16899999999998</v>
      </c>
      <c r="AZ85" s="110">
        <f t="shared" si="2062"/>
        <v>3036.68</v>
      </c>
      <c r="BA85" s="110"/>
      <c r="BB85" s="139"/>
      <c r="BC85" s="140">
        <f t="shared" si="2063"/>
        <v>0.42846000000000001</v>
      </c>
      <c r="BD85" s="198">
        <f t="shared" si="2038"/>
        <v>0</v>
      </c>
      <c r="BE85" s="225">
        <f t="shared" si="2064"/>
        <v>0</v>
      </c>
      <c r="BF85" s="226">
        <f t="shared" si="2065"/>
        <v>0</v>
      </c>
      <c r="BG85" s="137">
        <f t="shared" si="2066"/>
        <v>0</v>
      </c>
      <c r="BH85" s="227">
        <f t="shared" si="2042"/>
        <v>3163.33</v>
      </c>
      <c r="BI85" s="138">
        <f t="shared" si="2067"/>
        <v>0</v>
      </c>
      <c r="BJ85" s="110">
        <f t="shared" si="2068"/>
        <v>0</v>
      </c>
      <c r="BK85" s="110"/>
      <c r="BL85" s="139"/>
      <c r="BM85" s="140">
        <f t="shared" si="2069"/>
        <v>0</v>
      </c>
      <c r="BN85" s="198">
        <f t="shared" si="2038"/>
        <v>0</v>
      </c>
      <c r="BO85" s="225">
        <f t="shared" si="2070"/>
        <v>0</v>
      </c>
      <c r="BP85" s="226">
        <f t="shared" si="2071"/>
        <v>0</v>
      </c>
      <c r="BQ85" s="137">
        <f t="shared" si="2072"/>
        <v>0</v>
      </c>
      <c r="BR85" s="227">
        <f t="shared" si="2042"/>
        <v>2182.42</v>
      </c>
      <c r="BS85" s="138">
        <f t="shared" si="2073"/>
        <v>0</v>
      </c>
      <c r="BT85" s="110">
        <f t="shared" si="2074"/>
        <v>0</v>
      </c>
      <c r="BU85" s="110"/>
      <c r="BV85" s="139"/>
      <c r="BW85" s="140">
        <f t="shared" si="2075"/>
        <v>0</v>
      </c>
      <c r="BX85" s="198">
        <f t="shared" si="2038"/>
        <v>3</v>
      </c>
      <c r="BY85" s="225">
        <f t="shared" si="2076"/>
        <v>3.81E-3</v>
      </c>
      <c r="BZ85" s="226">
        <f t="shared" si="2077"/>
        <v>1.22</v>
      </c>
      <c r="CA85" s="137">
        <f t="shared" si="2078"/>
        <v>0.40666667000000001</v>
      </c>
      <c r="CB85" s="227">
        <f t="shared" si="2042"/>
        <v>2644.05</v>
      </c>
      <c r="CC85" s="138">
        <f t="shared" si="2079"/>
        <v>1075.24701</v>
      </c>
      <c r="CD85" s="110">
        <f t="shared" si="2080"/>
        <v>3225.74</v>
      </c>
      <c r="CE85" s="110"/>
      <c r="CF85" s="139"/>
      <c r="CG85" s="140">
        <f t="shared" si="2081"/>
        <v>0.60685</v>
      </c>
      <c r="CH85" s="198">
        <f t="shared" si="2082"/>
        <v>0</v>
      </c>
      <c r="CI85" s="225">
        <f t="shared" si="2083"/>
        <v>0</v>
      </c>
      <c r="CJ85" s="226">
        <f t="shared" si="2084"/>
        <v>0</v>
      </c>
      <c r="CK85" s="137">
        <f t="shared" si="2085"/>
        <v>0</v>
      </c>
      <c r="CL85" s="227">
        <f t="shared" si="2086"/>
        <v>2644.05</v>
      </c>
      <c r="CM85" s="138">
        <f t="shared" si="2087"/>
        <v>0</v>
      </c>
      <c r="CN85" s="110">
        <f t="shared" si="2088"/>
        <v>0</v>
      </c>
      <c r="CO85" s="110"/>
      <c r="CP85" s="139"/>
      <c r="CQ85" s="140">
        <f t="shared" si="2089"/>
        <v>0</v>
      </c>
      <c r="CR85" s="198">
        <f t="shared" si="2082"/>
        <v>1</v>
      </c>
      <c r="CS85" s="225">
        <f t="shared" si="2090"/>
        <v>1.34E-3</v>
      </c>
      <c r="CT85" s="226">
        <f t="shared" si="2091"/>
        <v>0.67</v>
      </c>
      <c r="CU85" s="137">
        <f t="shared" si="2092"/>
        <v>0.67</v>
      </c>
      <c r="CV85" s="227">
        <f t="shared" si="2086"/>
        <v>3163.33</v>
      </c>
      <c r="CW85" s="138">
        <f t="shared" si="2093"/>
        <v>2119.4310999999998</v>
      </c>
      <c r="CX85" s="110">
        <f t="shared" si="2094"/>
        <v>2119.4299999999998</v>
      </c>
      <c r="CY85" s="110"/>
      <c r="CZ85" s="139"/>
      <c r="DA85" s="140">
        <f t="shared" si="2095"/>
        <v>1.19617</v>
      </c>
      <c r="DB85" s="198">
        <f t="shared" si="2082"/>
        <v>0</v>
      </c>
      <c r="DC85" s="225">
        <f t="shared" si="2096"/>
        <v>0</v>
      </c>
      <c r="DD85" s="226">
        <f t="shared" si="2097"/>
        <v>0</v>
      </c>
      <c r="DE85" s="137">
        <f t="shared" si="2098"/>
        <v>0</v>
      </c>
      <c r="DF85" s="227">
        <f t="shared" si="2086"/>
        <v>2644.05</v>
      </c>
      <c r="DG85" s="138">
        <f t="shared" si="2099"/>
        <v>0</v>
      </c>
      <c r="DH85" s="110">
        <f t="shared" si="2100"/>
        <v>0</v>
      </c>
      <c r="DI85" s="110"/>
      <c r="DJ85" s="139"/>
      <c r="DK85" s="140">
        <f t="shared" si="2101"/>
        <v>0</v>
      </c>
      <c r="DL85" s="198">
        <f t="shared" si="2082"/>
        <v>0</v>
      </c>
      <c r="DM85" s="225">
        <f t="shared" si="2102"/>
        <v>0</v>
      </c>
      <c r="DN85" s="226">
        <f t="shared" si="2103"/>
        <v>0</v>
      </c>
      <c r="DO85" s="137">
        <f t="shared" si="2104"/>
        <v>0</v>
      </c>
      <c r="DP85" s="227">
        <f t="shared" si="2086"/>
        <v>2644.05</v>
      </c>
      <c r="DQ85" s="138">
        <f t="shared" si="2105"/>
        <v>0</v>
      </c>
      <c r="DR85" s="110">
        <f t="shared" si="2106"/>
        <v>0</v>
      </c>
      <c r="DS85" s="110"/>
      <c r="DT85" s="139"/>
      <c r="DU85" s="140">
        <f t="shared" si="2107"/>
        <v>0</v>
      </c>
      <c r="DV85" s="198">
        <f t="shared" si="2082"/>
        <v>6</v>
      </c>
      <c r="DW85" s="225">
        <f t="shared" si="2108"/>
        <v>6.8300000000000001E-3</v>
      </c>
      <c r="DX85" s="226">
        <f t="shared" si="2109"/>
        <v>1.9</v>
      </c>
      <c r="DY85" s="137">
        <f t="shared" si="2110"/>
        <v>0.31666666999999998</v>
      </c>
      <c r="DZ85" s="227">
        <f t="shared" si="2086"/>
        <v>2644.05</v>
      </c>
      <c r="EA85" s="138">
        <f t="shared" si="2111"/>
        <v>837.28251</v>
      </c>
      <c r="EB85" s="110">
        <f t="shared" si="2112"/>
        <v>5023.7</v>
      </c>
      <c r="EC85" s="110"/>
      <c r="ED85" s="139"/>
      <c r="EE85" s="140">
        <f t="shared" si="2113"/>
        <v>0.47255000000000003</v>
      </c>
      <c r="EF85" s="198">
        <f t="shared" si="2082"/>
        <v>3</v>
      </c>
      <c r="EG85" s="225">
        <f t="shared" si="2114"/>
        <v>3.1900000000000001E-3</v>
      </c>
      <c r="EH85" s="226">
        <f t="shared" si="2115"/>
        <v>1.21</v>
      </c>
      <c r="EI85" s="137">
        <f t="shared" si="2116"/>
        <v>0.40333332999999999</v>
      </c>
      <c r="EJ85" s="227">
        <f t="shared" si="2086"/>
        <v>3163.33</v>
      </c>
      <c r="EK85" s="138">
        <f t="shared" si="2117"/>
        <v>1275.8764200000001</v>
      </c>
      <c r="EL85" s="110">
        <f t="shared" si="2118"/>
        <v>3827.63</v>
      </c>
      <c r="EM85" s="110"/>
      <c r="EN85" s="139"/>
      <c r="EO85" s="140">
        <f t="shared" si="2119"/>
        <v>0.72008000000000005</v>
      </c>
      <c r="EP85" s="198">
        <f t="shared" si="2082"/>
        <v>6</v>
      </c>
      <c r="EQ85" s="225">
        <f t="shared" si="2120"/>
        <v>6.3600000000000002E-3</v>
      </c>
      <c r="ER85" s="226">
        <f t="shared" si="2121"/>
        <v>4.54</v>
      </c>
      <c r="ES85" s="137">
        <f t="shared" si="2122"/>
        <v>0.75666666999999999</v>
      </c>
      <c r="ET85" s="227">
        <f t="shared" si="2086"/>
        <v>3163.33</v>
      </c>
      <c r="EU85" s="138">
        <f t="shared" si="2123"/>
        <v>2393.5863800000002</v>
      </c>
      <c r="EV85" s="110">
        <f t="shared" si="2124"/>
        <v>14361.52</v>
      </c>
      <c r="EW85" s="110"/>
      <c r="EX85" s="139"/>
      <c r="EY85" s="140">
        <f t="shared" si="2125"/>
        <v>1.3509</v>
      </c>
      <c r="EZ85" s="198">
        <f t="shared" si="2126"/>
        <v>4</v>
      </c>
      <c r="FA85" s="225">
        <f t="shared" si="2127"/>
        <v>3.5799999999999998E-3</v>
      </c>
      <c r="FB85" s="226">
        <f t="shared" si="2128"/>
        <v>0</v>
      </c>
      <c r="FC85" s="137">
        <f t="shared" si="2129"/>
        <v>0</v>
      </c>
      <c r="FD85" s="227">
        <f t="shared" si="2130"/>
        <v>0</v>
      </c>
      <c r="FE85" s="138">
        <f t="shared" si="2131"/>
        <v>0</v>
      </c>
      <c r="FF85" s="110">
        <f t="shared" si="2132"/>
        <v>0</v>
      </c>
      <c r="FG85" s="110"/>
      <c r="FH85" s="139"/>
      <c r="FI85" s="140">
        <f t="shared" si="2133"/>
        <v>0</v>
      </c>
      <c r="FJ85" s="198">
        <f t="shared" si="2126"/>
        <v>0</v>
      </c>
      <c r="FK85" s="225">
        <f t="shared" si="2134"/>
        <v>0</v>
      </c>
      <c r="FL85" s="226">
        <f t="shared" si="2135"/>
        <v>0</v>
      </c>
      <c r="FM85" s="137">
        <f t="shared" si="2136"/>
        <v>0</v>
      </c>
      <c r="FN85" s="227">
        <f t="shared" si="2130"/>
        <v>3163.33</v>
      </c>
      <c r="FO85" s="138">
        <f t="shared" si="2137"/>
        <v>0</v>
      </c>
      <c r="FP85" s="110">
        <f t="shared" si="2138"/>
        <v>0</v>
      </c>
      <c r="FQ85" s="110"/>
      <c r="FR85" s="139"/>
      <c r="FS85" s="140">
        <f t="shared" si="2139"/>
        <v>0</v>
      </c>
      <c r="FT85" s="198">
        <f t="shared" si="2126"/>
        <v>1</v>
      </c>
      <c r="FU85" s="225">
        <f t="shared" si="2140"/>
        <v>1.25E-3</v>
      </c>
      <c r="FV85" s="226">
        <f t="shared" si="2141"/>
        <v>0.59</v>
      </c>
      <c r="FW85" s="137">
        <f t="shared" si="2142"/>
        <v>0.59</v>
      </c>
      <c r="FX85" s="227">
        <f t="shared" si="2130"/>
        <v>3163.33</v>
      </c>
      <c r="FY85" s="138">
        <f t="shared" si="2143"/>
        <v>1866.3647000000001</v>
      </c>
      <c r="FZ85" s="110">
        <f t="shared" si="2144"/>
        <v>1866.36</v>
      </c>
      <c r="GA85" s="110"/>
      <c r="GB85" s="139"/>
      <c r="GC85" s="140">
        <f t="shared" si="2145"/>
        <v>1.0533399999999999</v>
      </c>
      <c r="GD85" s="198">
        <f t="shared" si="2126"/>
        <v>11</v>
      </c>
      <c r="GE85" s="225">
        <f t="shared" si="2146"/>
        <v>2.1479999999999999E-2</v>
      </c>
      <c r="GF85" s="226">
        <f t="shared" si="2147"/>
        <v>0</v>
      </c>
      <c r="GG85" s="137">
        <f t="shared" si="2148"/>
        <v>0</v>
      </c>
      <c r="GH85" s="227">
        <f t="shared" si="2130"/>
        <v>0</v>
      </c>
      <c r="GI85" s="138">
        <f t="shared" si="2149"/>
        <v>0</v>
      </c>
      <c r="GJ85" s="110">
        <f t="shared" si="2150"/>
        <v>0</v>
      </c>
      <c r="GK85" s="110"/>
      <c r="GL85" s="139"/>
      <c r="GM85" s="140">
        <f t="shared" si="2151"/>
        <v>0</v>
      </c>
      <c r="GN85" s="198">
        <f t="shared" si="2126"/>
        <v>1</v>
      </c>
      <c r="GO85" s="225">
        <f t="shared" si="2152"/>
        <v>1.16E-3</v>
      </c>
      <c r="GP85" s="226">
        <f t="shared" si="2153"/>
        <v>0.94</v>
      </c>
      <c r="GQ85" s="137">
        <f t="shared" si="2154"/>
        <v>0.94</v>
      </c>
      <c r="GR85" s="227">
        <f t="shared" si="2130"/>
        <v>2644.05</v>
      </c>
      <c r="GS85" s="138">
        <f t="shared" si="2155"/>
        <v>2485.4070000000002</v>
      </c>
      <c r="GT85" s="110">
        <f t="shared" si="2156"/>
        <v>2485.41</v>
      </c>
      <c r="GU85" s="110"/>
      <c r="GV85" s="139"/>
      <c r="GW85" s="140">
        <f t="shared" si="2157"/>
        <v>1.40272</v>
      </c>
      <c r="GX85" s="198">
        <f t="shared" si="2126"/>
        <v>0</v>
      </c>
      <c r="GY85" s="225">
        <f t="shared" si="2158"/>
        <v>0</v>
      </c>
      <c r="GZ85" s="226">
        <f t="shared" si="2159"/>
        <v>0</v>
      </c>
      <c r="HA85" s="137">
        <f t="shared" si="2160"/>
        <v>0</v>
      </c>
      <c r="HB85" s="227">
        <f t="shared" si="2130"/>
        <v>2644.05</v>
      </c>
      <c r="HC85" s="138">
        <f t="shared" si="2161"/>
        <v>0</v>
      </c>
      <c r="HD85" s="110">
        <f t="shared" si="2162"/>
        <v>0</v>
      </c>
      <c r="HE85" s="110"/>
      <c r="HF85" s="139"/>
      <c r="HG85" s="140">
        <f t="shared" si="2163"/>
        <v>0</v>
      </c>
      <c r="HH85" s="198">
        <f t="shared" si="2126"/>
        <v>0</v>
      </c>
      <c r="HI85" s="225">
        <f t="shared" si="2164"/>
        <v>0</v>
      </c>
      <c r="HJ85" s="226">
        <f t="shared" si="2165"/>
        <v>0</v>
      </c>
      <c r="HK85" s="137">
        <f t="shared" si="2166"/>
        <v>0</v>
      </c>
      <c r="HL85" s="227">
        <f t="shared" si="2130"/>
        <v>2597.2199999999998</v>
      </c>
      <c r="HM85" s="138">
        <f t="shared" si="2167"/>
        <v>0</v>
      </c>
      <c r="HN85" s="110">
        <f t="shared" si="2168"/>
        <v>0</v>
      </c>
      <c r="HO85" s="110"/>
      <c r="HP85" s="139"/>
      <c r="HQ85" s="140">
        <f t="shared" si="2169"/>
        <v>0</v>
      </c>
      <c r="HR85" s="198">
        <f t="shared" si="2170"/>
        <v>3</v>
      </c>
      <c r="HS85" s="225">
        <f t="shared" si="2171"/>
        <v>3.81E-3</v>
      </c>
      <c r="HT85" s="226">
        <f t="shared" si="2172"/>
        <v>2.5299999999999998</v>
      </c>
      <c r="HU85" s="137">
        <f t="shared" si="2173"/>
        <v>0.84333332999999999</v>
      </c>
      <c r="HV85" s="227">
        <f t="shared" si="2174"/>
        <v>3163.33</v>
      </c>
      <c r="HW85" s="138">
        <f t="shared" si="2175"/>
        <v>2667.7416199999998</v>
      </c>
      <c r="HX85" s="110">
        <f t="shared" si="2176"/>
        <v>8003.22</v>
      </c>
      <c r="HY85" s="110"/>
      <c r="HZ85" s="139"/>
      <c r="IA85" s="140">
        <f t="shared" si="2177"/>
        <v>1.50563</v>
      </c>
      <c r="IB85" s="198">
        <f t="shared" si="2170"/>
        <v>3</v>
      </c>
      <c r="IC85" s="225">
        <f t="shared" si="2178"/>
        <v>5.47E-3</v>
      </c>
      <c r="ID85" s="226">
        <f t="shared" si="2179"/>
        <v>3.72</v>
      </c>
      <c r="IE85" s="137">
        <f t="shared" si="2180"/>
        <v>1.24</v>
      </c>
      <c r="IF85" s="227">
        <f t="shared" si="2174"/>
        <v>3163.33</v>
      </c>
      <c r="IG85" s="138">
        <f t="shared" si="2181"/>
        <v>3922.5291999999999</v>
      </c>
      <c r="IH85" s="110">
        <f t="shared" si="2182"/>
        <v>11767.59</v>
      </c>
      <c r="II85" s="110"/>
      <c r="IJ85" s="139"/>
      <c r="IK85" s="140">
        <f t="shared" si="2183"/>
        <v>2.2138100000000001</v>
      </c>
      <c r="IL85" s="198">
        <f t="shared" si="2170"/>
        <v>1</v>
      </c>
      <c r="IM85" s="225">
        <f t="shared" si="2184"/>
        <v>7.9000000000000001E-4</v>
      </c>
      <c r="IN85" s="226">
        <f t="shared" si="2185"/>
        <v>0.51</v>
      </c>
      <c r="IO85" s="137">
        <f t="shared" si="2186"/>
        <v>0.51</v>
      </c>
      <c r="IP85" s="227">
        <f t="shared" si="2174"/>
        <v>2644.05</v>
      </c>
      <c r="IQ85" s="138">
        <f t="shared" si="2187"/>
        <v>1348.4655</v>
      </c>
      <c r="IR85" s="110">
        <f t="shared" si="2188"/>
        <v>1348.47</v>
      </c>
      <c r="IS85" s="110"/>
      <c r="IT85" s="139"/>
      <c r="IU85" s="140">
        <f t="shared" si="2189"/>
        <v>0.76105</v>
      </c>
      <c r="IV85" s="198">
        <f t="shared" si="2170"/>
        <v>7</v>
      </c>
      <c r="IW85" s="225">
        <f t="shared" si="2190"/>
        <v>9.0799999999999995E-3</v>
      </c>
      <c r="IX85" s="226">
        <f t="shared" si="2191"/>
        <v>4.58</v>
      </c>
      <c r="IY85" s="137">
        <f t="shared" si="2192"/>
        <v>0.65428571000000002</v>
      </c>
      <c r="IZ85" s="227">
        <f t="shared" si="2174"/>
        <v>3163.33</v>
      </c>
      <c r="JA85" s="138">
        <f t="shared" si="2193"/>
        <v>2069.7216199999998</v>
      </c>
      <c r="JB85" s="110">
        <f t="shared" si="2194"/>
        <v>14488.05</v>
      </c>
      <c r="JC85" s="110"/>
      <c r="JD85" s="139"/>
      <c r="JE85" s="140">
        <f t="shared" si="2195"/>
        <v>1.16812</v>
      </c>
      <c r="JF85" s="198">
        <f t="shared" si="2170"/>
        <v>6</v>
      </c>
      <c r="JG85" s="225">
        <f t="shared" si="2196"/>
        <v>4.47E-3</v>
      </c>
      <c r="JH85" s="226">
        <f t="shared" si="2197"/>
        <v>4.0199999999999996</v>
      </c>
      <c r="JI85" s="137">
        <f t="shared" si="2198"/>
        <v>0.67</v>
      </c>
      <c r="JJ85" s="227">
        <f t="shared" si="2174"/>
        <v>2644.05</v>
      </c>
      <c r="JK85" s="138">
        <f t="shared" si="2199"/>
        <v>1771.5135</v>
      </c>
      <c r="JL85" s="110">
        <f t="shared" si="2200"/>
        <v>10629.08</v>
      </c>
      <c r="JM85" s="110"/>
      <c r="JN85" s="139"/>
      <c r="JO85" s="140">
        <f t="shared" si="2201"/>
        <v>0.99980999999999998</v>
      </c>
      <c r="JP85" s="198">
        <f t="shared" si="2170"/>
        <v>2</v>
      </c>
      <c r="JQ85" s="225">
        <f t="shared" si="2202"/>
        <v>1.6000000000000001E-3</v>
      </c>
      <c r="JR85" s="226">
        <f t="shared" si="2203"/>
        <v>1.22</v>
      </c>
      <c r="JS85" s="137">
        <f t="shared" si="2204"/>
        <v>0.61</v>
      </c>
      <c r="JT85" s="227">
        <f t="shared" si="2174"/>
        <v>2632.02</v>
      </c>
      <c r="JU85" s="138">
        <f t="shared" si="2205"/>
        <v>1605.5322000000001</v>
      </c>
      <c r="JV85" s="110">
        <f t="shared" si="2206"/>
        <v>3211.06</v>
      </c>
      <c r="JW85" s="110"/>
      <c r="JX85" s="139"/>
      <c r="JY85" s="140">
        <f t="shared" si="2207"/>
        <v>0.90613999999999995</v>
      </c>
      <c r="JZ85" s="198">
        <f t="shared" si="2170"/>
        <v>0</v>
      </c>
      <c r="KA85" s="225">
        <f t="shared" si="2208"/>
        <v>0</v>
      </c>
      <c r="KB85" s="226">
        <f t="shared" si="2209"/>
        <v>0</v>
      </c>
      <c r="KC85" s="137">
        <f t="shared" si="2210"/>
        <v>0</v>
      </c>
      <c r="KD85" s="227">
        <f t="shared" si="2174"/>
        <v>3163.33</v>
      </c>
      <c r="KE85" s="138">
        <f t="shared" si="2211"/>
        <v>0</v>
      </c>
      <c r="KF85" s="110">
        <f t="shared" si="2212"/>
        <v>0</v>
      </c>
      <c r="KG85" s="110"/>
      <c r="KH85" s="139"/>
      <c r="KI85" s="140">
        <f t="shared" si="2213"/>
        <v>0</v>
      </c>
      <c r="KJ85" s="198">
        <f t="shared" si="2214"/>
        <v>0</v>
      </c>
      <c r="KK85" s="225">
        <f t="shared" si="2215"/>
        <v>0</v>
      </c>
      <c r="KL85" s="226">
        <f t="shared" si="2216"/>
        <v>0</v>
      </c>
      <c r="KM85" s="137">
        <f t="shared" si="2217"/>
        <v>0</v>
      </c>
      <c r="KN85" s="227">
        <f t="shared" si="2218"/>
        <v>2644.05</v>
      </c>
      <c r="KO85" s="138">
        <f t="shared" si="2219"/>
        <v>0</v>
      </c>
      <c r="KP85" s="110">
        <f t="shared" si="2220"/>
        <v>0</v>
      </c>
      <c r="KQ85" s="110"/>
      <c r="KR85" s="139"/>
      <c r="KS85" s="140">
        <f t="shared" si="2221"/>
        <v>0</v>
      </c>
      <c r="KT85" s="198">
        <f t="shared" si="2214"/>
        <v>1</v>
      </c>
      <c r="KU85" s="225">
        <f t="shared" si="2222"/>
        <v>8.8999999999999995E-4</v>
      </c>
      <c r="KV85" s="226">
        <f t="shared" si="2223"/>
        <v>2.4900000000000002</v>
      </c>
      <c r="KW85" s="137">
        <f t="shared" si="2224"/>
        <v>2.4900000000000002</v>
      </c>
      <c r="KX85" s="227">
        <f t="shared" si="2218"/>
        <v>3163.33</v>
      </c>
      <c r="KY85" s="138">
        <f t="shared" si="2225"/>
        <v>7876.6917000000003</v>
      </c>
      <c r="KZ85" s="110">
        <f t="shared" si="2226"/>
        <v>7876.69</v>
      </c>
      <c r="LA85" s="110"/>
      <c r="LB85" s="139"/>
      <c r="LC85" s="140">
        <f t="shared" si="2227"/>
        <v>4.4454700000000003</v>
      </c>
      <c r="LD85" s="197">
        <f t="shared" si="2027"/>
        <v>63</v>
      </c>
      <c r="LE85" s="225">
        <f t="shared" si="2028"/>
        <v>2.2100000000000002E-3</v>
      </c>
      <c r="LF85" s="226">
        <f t="shared" si="2029"/>
        <v>38.9</v>
      </c>
      <c r="LG85" s="137">
        <f t="shared" si="2030"/>
        <v>0.61746031999999995</v>
      </c>
      <c r="LH85" s="227">
        <f t="shared" si="2031"/>
        <v>2869.57</v>
      </c>
      <c r="LI85" s="138">
        <f t="shared" si="2032"/>
        <v>1771.8456100000001</v>
      </c>
      <c r="LJ85" s="110">
        <f t="shared" si="2033"/>
        <v>111626.27</v>
      </c>
      <c r="LK85" s="110"/>
      <c r="LL85" s="139"/>
    </row>
    <row r="86" spans="1:324" ht="17.25" customHeight="1" x14ac:dyDescent="0.25">
      <c r="A86" s="246"/>
      <c r="B86" s="229" t="s">
        <v>608</v>
      </c>
      <c r="C86" s="12" t="s">
        <v>728</v>
      </c>
      <c r="D86" s="12" t="s">
        <v>430</v>
      </c>
      <c r="E86" s="4" t="s">
        <v>34</v>
      </c>
      <c r="F86" s="198">
        <f t="shared" si="2037"/>
        <v>0</v>
      </c>
      <c r="G86" s="225">
        <f t="shared" si="2034"/>
        <v>0</v>
      </c>
      <c r="H86" s="226">
        <f t="shared" si="2035"/>
        <v>0</v>
      </c>
      <c r="I86" s="137">
        <f t="shared" si="1808"/>
        <v>0</v>
      </c>
      <c r="J86" s="227">
        <f t="shared" si="2036"/>
        <v>2644.05</v>
      </c>
      <c r="K86" s="138">
        <f t="shared" si="1809"/>
        <v>0</v>
      </c>
      <c r="L86" s="110">
        <f t="shared" si="1810"/>
        <v>0</v>
      </c>
      <c r="M86" s="110"/>
      <c r="N86" s="139"/>
      <c r="O86" s="140">
        <f t="shared" si="1811"/>
        <v>0</v>
      </c>
      <c r="P86" s="198">
        <f t="shared" si="2038"/>
        <v>0</v>
      </c>
      <c r="Q86" s="225">
        <f t="shared" si="2039"/>
        <v>0</v>
      </c>
      <c r="R86" s="226">
        <f t="shared" si="2040"/>
        <v>0</v>
      </c>
      <c r="S86" s="137">
        <f t="shared" si="2041"/>
        <v>0</v>
      </c>
      <c r="T86" s="227">
        <f t="shared" si="2042"/>
        <v>3163.33</v>
      </c>
      <c r="U86" s="138">
        <f t="shared" si="2043"/>
        <v>0</v>
      </c>
      <c r="V86" s="110">
        <f t="shared" si="2044"/>
        <v>0</v>
      </c>
      <c r="W86" s="110"/>
      <c r="X86" s="139"/>
      <c r="Y86" s="140">
        <f t="shared" si="2045"/>
        <v>0</v>
      </c>
      <c r="Z86" s="198">
        <f t="shared" si="2038"/>
        <v>0</v>
      </c>
      <c r="AA86" s="225">
        <f t="shared" si="2046"/>
        <v>0</v>
      </c>
      <c r="AB86" s="226">
        <f t="shared" si="2047"/>
        <v>0</v>
      </c>
      <c r="AC86" s="137">
        <f t="shared" si="2048"/>
        <v>0</v>
      </c>
      <c r="AD86" s="227">
        <f t="shared" si="2042"/>
        <v>2608.17</v>
      </c>
      <c r="AE86" s="138">
        <f t="shared" si="2049"/>
        <v>0</v>
      </c>
      <c r="AF86" s="110">
        <f t="shared" si="2050"/>
        <v>0</v>
      </c>
      <c r="AG86" s="110"/>
      <c r="AH86" s="139"/>
      <c r="AI86" s="140">
        <f t="shared" si="2051"/>
        <v>0</v>
      </c>
      <c r="AJ86" s="198">
        <f t="shared" si="2038"/>
        <v>0</v>
      </c>
      <c r="AK86" s="225">
        <f t="shared" si="2052"/>
        <v>0</v>
      </c>
      <c r="AL86" s="226">
        <f t="shared" si="2053"/>
        <v>0</v>
      </c>
      <c r="AM86" s="137">
        <f t="shared" si="2054"/>
        <v>0</v>
      </c>
      <c r="AN86" s="227">
        <f t="shared" si="2042"/>
        <v>2644.05</v>
      </c>
      <c r="AO86" s="138">
        <f t="shared" si="2055"/>
        <v>0</v>
      </c>
      <c r="AP86" s="110">
        <f t="shared" si="2056"/>
        <v>0</v>
      </c>
      <c r="AQ86" s="110"/>
      <c r="AR86" s="139"/>
      <c r="AS86" s="140">
        <f t="shared" si="2057"/>
        <v>0</v>
      </c>
      <c r="AT86" s="198">
        <f t="shared" si="2038"/>
        <v>0</v>
      </c>
      <c r="AU86" s="225">
        <f t="shared" si="2058"/>
        <v>0</v>
      </c>
      <c r="AV86" s="226">
        <f t="shared" si="2059"/>
        <v>0</v>
      </c>
      <c r="AW86" s="137">
        <f t="shared" si="2060"/>
        <v>0</v>
      </c>
      <c r="AX86" s="227">
        <f t="shared" si="2042"/>
        <v>1786.28</v>
      </c>
      <c r="AY86" s="138">
        <f t="shared" si="2061"/>
        <v>0</v>
      </c>
      <c r="AZ86" s="110">
        <f t="shared" si="2062"/>
        <v>0</v>
      </c>
      <c r="BA86" s="110"/>
      <c r="BB86" s="139"/>
      <c r="BC86" s="140">
        <f t="shared" si="2063"/>
        <v>0</v>
      </c>
      <c r="BD86" s="198">
        <f t="shared" si="2038"/>
        <v>0</v>
      </c>
      <c r="BE86" s="225">
        <f t="shared" si="2064"/>
        <v>0</v>
      </c>
      <c r="BF86" s="226">
        <f t="shared" si="2065"/>
        <v>0</v>
      </c>
      <c r="BG86" s="137">
        <f t="shared" si="2066"/>
        <v>0</v>
      </c>
      <c r="BH86" s="227">
        <f t="shared" si="2042"/>
        <v>3163.33</v>
      </c>
      <c r="BI86" s="138">
        <f t="shared" si="2067"/>
        <v>0</v>
      </c>
      <c r="BJ86" s="110">
        <f t="shared" si="2068"/>
        <v>0</v>
      </c>
      <c r="BK86" s="110"/>
      <c r="BL86" s="139"/>
      <c r="BM86" s="140">
        <f t="shared" si="2069"/>
        <v>0</v>
      </c>
      <c r="BN86" s="198">
        <f t="shared" si="2038"/>
        <v>0</v>
      </c>
      <c r="BO86" s="225">
        <f t="shared" si="2070"/>
        <v>0</v>
      </c>
      <c r="BP86" s="226">
        <f t="shared" si="2071"/>
        <v>0</v>
      </c>
      <c r="BQ86" s="137">
        <f t="shared" si="2072"/>
        <v>0</v>
      </c>
      <c r="BR86" s="227">
        <f t="shared" si="2042"/>
        <v>2182.42</v>
      </c>
      <c r="BS86" s="138">
        <f t="shared" si="2073"/>
        <v>0</v>
      </c>
      <c r="BT86" s="110">
        <f t="shared" si="2074"/>
        <v>0</v>
      </c>
      <c r="BU86" s="110"/>
      <c r="BV86" s="139"/>
      <c r="BW86" s="140">
        <f t="shared" si="2075"/>
        <v>0</v>
      </c>
      <c r="BX86" s="198">
        <f t="shared" si="2038"/>
        <v>0</v>
      </c>
      <c r="BY86" s="225">
        <f t="shared" si="2076"/>
        <v>0</v>
      </c>
      <c r="BZ86" s="226">
        <f t="shared" si="2077"/>
        <v>0</v>
      </c>
      <c r="CA86" s="137">
        <f t="shared" si="2078"/>
        <v>0</v>
      </c>
      <c r="CB86" s="227">
        <f t="shared" si="2042"/>
        <v>2644.05</v>
      </c>
      <c r="CC86" s="138">
        <f t="shared" si="2079"/>
        <v>0</v>
      </c>
      <c r="CD86" s="110">
        <f t="shared" si="2080"/>
        <v>0</v>
      </c>
      <c r="CE86" s="110"/>
      <c r="CF86" s="139"/>
      <c r="CG86" s="140">
        <f t="shared" si="2081"/>
        <v>0</v>
      </c>
      <c r="CH86" s="198">
        <f t="shared" si="2082"/>
        <v>0</v>
      </c>
      <c r="CI86" s="225">
        <f t="shared" si="2083"/>
        <v>0</v>
      </c>
      <c r="CJ86" s="226">
        <f t="shared" si="2084"/>
        <v>0</v>
      </c>
      <c r="CK86" s="137">
        <f t="shared" si="2085"/>
        <v>0</v>
      </c>
      <c r="CL86" s="227">
        <f t="shared" si="2086"/>
        <v>2644.05</v>
      </c>
      <c r="CM86" s="138">
        <f t="shared" si="2087"/>
        <v>0</v>
      </c>
      <c r="CN86" s="110">
        <f t="shared" si="2088"/>
        <v>0</v>
      </c>
      <c r="CO86" s="110"/>
      <c r="CP86" s="139"/>
      <c r="CQ86" s="140">
        <f t="shared" si="2089"/>
        <v>0</v>
      </c>
      <c r="CR86" s="198">
        <f t="shared" si="2082"/>
        <v>0</v>
      </c>
      <c r="CS86" s="225">
        <f t="shared" si="2090"/>
        <v>0</v>
      </c>
      <c r="CT86" s="226">
        <f t="shared" si="2091"/>
        <v>0</v>
      </c>
      <c r="CU86" s="137">
        <f t="shared" si="2092"/>
        <v>0</v>
      </c>
      <c r="CV86" s="227">
        <f t="shared" si="2086"/>
        <v>3163.33</v>
      </c>
      <c r="CW86" s="138">
        <f t="shared" si="2093"/>
        <v>0</v>
      </c>
      <c r="CX86" s="110">
        <f t="shared" si="2094"/>
        <v>0</v>
      </c>
      <c r="CY86" s="110"/>
      <c r="CZ86" s="139"/>
      <c r="DA86" s="140">
        <f t="shared" si="2095"/>
        <v>0</v>
      </c>
      <c r="DB86" s="198">
        <f t="shared" si="2082"/>
        <v>0</v>
      </c>
      <c r="DC86" s="225">
        <f t="shared" si="2096"/>
        <v>0</v>
      </c>
      <c r="DD86" s="226">
        <f t="shared" si="2097"/>
        <v>0</v>
      </c>
      <c r="DE86" s="137">
        <f t="shared" si="2098"/>
        <v>0</v>
      </c>
      <c r="DF86" s="227">
        <f t="shared" si="2086"/>
        <v>2644.05</v>
      </c>
      <c r="DG86" s="138">
        <f t="shared" si="2099"/>
        <v>0</v>
      </c>
      <c r="DH86" s="110">
        <f t="shared" si="2100"/>
        <v>0</v>
      </c>
      <c r="DI86" s="110"/>
      <c r="DJ86" s="139"/>
      <c r="DK86" s="140">
        <f t="shared" si="2101"/>
        <v>0</v>
      </c>
      <c r="DL86" s="198">
        <f t="shared" si="2082"/>
        <v>119</v>
      </c>
      <c r="DM86" s="225">
        <f t="shared" si="2102"/>
        <v>0.42048999999999997</v>
      </c>
      <c r="DN86" s="226">
        <f t="shared" si="2103"/>
        <v>98.16</v>
      </c>
      <c r="DO86" s="137">
        <f t="shared" si="2104"/>
        <v>0.82487394999999997</v>
      </c>
      <c r="DP86" s="227">
        <f t="shared" si="2086"/>
        <v>2644.05</v>
      </c>
      <c r="DQ86" s="138">
        <f t="shared" si="2105"/>
        <v>2181.0079700000001</v>
      </c>
      <c r="DR86" s="110">
        <f t="shared" si="2106"/>
        <v>259539.95</v>
      </c>
      <c r="DS86" s="110"/>
      <c r="DT86" s="139"/>
      <c r="DU86" s="140">
        <f t="shared" si="2107"/>
        <v>1.2322299999999999</v>
      </c>
      <c r="DV86" s="198">
        <f t="shared" si="2082"/>
        <v>0</v>
      </c>
      <c r="DW86" s="225">
        <f t="shared" si="2108"/>
        <v>0</v>
      </c>
      <c r="DX86" s="226">
        <f t="shared" si="2109"/>
        <v>0</v>
      </c>
      <c r="DY86" s="137">
        <f t="shared" si="2110"/>
        <v>0</v>
      </c>
      <c r="DZ86" s="227">
        <f t="shared" si="2086"/>
        <v>2644.05</v>
      </c>
      <c r="EA86" s="138">
        <f t="shared" si="2111"/>
        <v>0</v>
      </c>
      <c r="EB86" s="110">
        <f t="shared" si="2112"/>
        <v>0</v>
      </c>
      <c r="EC86" s="110"/>
      <c r="ED86" s="139"/>
      <c r="EE86" s="140">
        <f t="shared" si="2113"/>
        <v>0</v>
      </c>
      <c r="EF86" s="198">
        <f t="shared" si="2082"/>
        <v>0</v>
      </c>
      <c r="EG86" s="225">
        <f t="shared" si="2114"/>
        <v>0</v>
      </c>
      <c r="EH86" s="226">
        <f t="shared" si="2115"/>
        <v>0</v>
      </c>
      <c r="EI86" s="137">
        <f t="shared" si="2116"/>
        <v>0</v>
      </c>
      <c r="EJ86" s="227">
        <f t="shared" si="2086"/>
        <v>3163.33</v>
      </c>
      <c r="EK86" s="138">
        <f t="shared" si="2117"/>
        <v>0</v>
      </c>
      <c r="EL86" s="110">
        <f t="shared" si="2118"/>
        <v>0</v>
      </c>
      <c r="EM86" s="110"/>
      <c r="EN86" s="139"/>
      <c r="EO86" s="140">
        <f t="shared" si="2119"/>
        <v>0</v>
      </c>
      <c r="EP86" s="198">
        <f t="shared" si="2082"/>
        <v>0</v>
      </c>
      <c r="EQ86" s="225">
        <f t="shared" si="2120"/>
        <v>0</v>
      </c>
      <c r="ER86" s="226">
        <f t="shared" si="2121"/>
        <v>0</v>
      </c>
      <c r="ES86" s="137">
        <f t="shared" si="2122"/>
        <v>0</v>
      </c>
      <c r="ET86" s="227">
        <f t="shared" si="2086"/>
        <v>3163.33</v>
      </c>
      <c r="EU86" s="138">
        <f t="shared" si="2123"/>
        <v>0</v>
      </c>
      <c r="EV86" s="110">
        <f t="shared" si="2124"/>
        <v>0</v>
      </c>
      <c r="EW86" s="110"/>
      <c r="EX86" s="139"/>
      <c r="EY86" s="140">
        <f t="shared" si="2125"/>
        <v>0</v>
      </c>
      <c r="EZ86" s="198">
        <f t="shared" si="2126"/>
        <v>0</v>
      </c>
      <c r="FA86" s="225">
        <f t="shared" si="2127"/>
        <v>0</v>
      </c>
      <c r="FB86" s="226">
        <f t="shared" si="2128"/>
        <v>0</v>
      </c>
      <c r="FC86" s="137">
        <f t="shared" si="2129"/>
        <v>0</v>
      </c>
      <c r="FD86" s="227">
        <f t="shared" si="2130"/>
        <v>0</v>
      </c>
      <c r="FE86" s="138">
        <f t="shared" si="2131"/>
        <v>0</v>
      </c>
      <c r="FF86" s="110">
        <f t="shared" si="2132"/>
        <v>0</v>
      </c>
      <c r="FG86" s="110"/>
      <c r="FH86" s="139"/>
      <c r="FI86" s="140">
        <f t="shared" si="2133"/>
        <v>0</v>
      </c>
      <c r="FJ86" s="198">
        <f t="shared" si="2126"/>
        <v>0</v>
      </c>
      <c r="FK86" s="225">
        <f t="shared" si="2134"/>
        <v>0</v>
      </c>
      <c r="FL86" s="226">
        <f t="shared" si="2135"/>
        <v>0</v>
      </c>
      <c r="FM86" s="137">
        <f t="shared" si="2136"/>
        <v>0</v>
      </c>
      <c r="FN86" s="227">
        <f t="shared" si="2130"/>
        <v>3163.33</v>
      </c>
      <c r="FO86" s="138">
        <f t="shared" si="2137"/>
        <v>0</v>
      </c>
      <c r="FP86" s="110">
        <f t="shared" si="2138"/>
        <v>0</v>
      </c>
      <c r="FQ86" s="110"/>
      <c r="FR86" s="139"/>
      <c r="FS86" s="140">
        <f t="shared" si="2139"/>
        <v>0</v>
      </c>
      <c r="FT86" s="198">
        <f t="shared" si="2126"/>
        <v>0</v>
      </c>
      <c r="FU86" s="225">
        <f t="shared" si="2140"/>
        <v>0</v>
      </c>
      <c r="FV86" s="226">
        <f t="shared" si="2141"/>
        <v>0</v>
      </c>
      <c r="FW86" s="137">
        <f t="shared" si="2142"/>
        <v>0</v>
      </c>
      <c r="FX86" s="227">
        <f t="shared" si="2130"/>
        <v>3163.33</v>
      </c>
      <c r="FY86" s="138">
        <f t="shared" si="2143"/>
        <v>0</v>
      </c>
      <c r="FZ86" s="110">
        <f t="shared" si="2144"/>
        <v>0</v>
      </c>
      <c r="GA86" s="110"/>
      <c r="GB86" s="139"/>
      <c r="GC86" s="140">
        <f t="shared" si="2145"/>
        <v>0</v>
      </c>
      <c r="GD86" s="198">
        <f t="shared" si="2126"/>
        <v>0</v>
      </c>
      <c r="GE86" s="225">
        <f t="shared" si="2146"/>
        <v>0</v>
      </c>
      <c r="GF86" s="226">
        <f t="shared" si="2147"/>
        <v>0</v>
      </c>
      <c r="GG86" s="137">
        <f t="shared" si="2148"/>
        <v>0</v>
      </c>
      <c r="GH86" s="227">
        <f t="shared" si="2130"/>
        <v>0</v>
      </c>
      <c r="GI86" s="138">
        <f t="shared" si="2149"/>
        <v>0</v>
      </c>
      <c r="GJ86" s="110">
        <f t="shared" si="2150"/>
        <v>0</v>
      </c>
      <c r="GK86" s="110"/>
      <c r="GL86" s="139"/>
      <c r="GM86" s="140">
        <f t="shared" si="2151"/>
        <v>0</v>
      </c>
      <c r="GN86" s="198">
        <f t="shared" si="2126"/>
        <v>0</v>
      </c>
      <c r="GO86" s="225">
        <f t="shared" si="2152"/>
        <v>0</v>
      </c>
      <c r="GP86" s="226">
        <f t="shared" si="2153"/>
        <v>0</v>
      </c>
      <c r="GQ86" s="137">
        <f t="shared" si="2154"/>
        <v>0</v>
      </c>
      <c r="GR86" s="227">
        <f t="shared" si="2130"/>
        <v>2644.05</v>
      </c>
      <c r="GS86" s="138">
        <f t="shared" si="2155"/>
        <v>0</v>
      </c>
      <c r="GT86" s="110">
        <f t="shared" si="2156"/>
        <v>0</v>
      </c>
      <c r="GU86" s="110"/>
      <c r="GV86" s="139"/>
      <c r="GW86" s="140">
        <f t="shared" si="2157"/>
        <v>0</v>
      </c>
      <c r="GX86" s="198">
        <f t="shared" si="2126"/>
        <v>0</v>
      </c>
      <c r="GY86" s="225">
        <f t="shared" si="2158"/>
        <v>0</v>
      </c>
      <c r="GZ86" s="226">
        <f t="shared" si="2159"/>
        <v>0</v>
      </c>
      <c r="HA86" s="137">
        <f t="shared" si="2160"/>
        <v>0</v>
      </c>
      <c r="HB86" s="227">
        <f t="shared" si="2130"/>
        <v>2644.05</v>
      </c>
      <c r="HC86" s="138">
        <f t="shared" si="2161"/>
        <v>0</v>
      </c>
      <c r="HD86" s="110">
        <f t="shared" si="2162"/>
        <v>0</v>
      </c>
      <c r="HE86" s="110"/>
      <c r="HF86" s="139"/>
      <c r="HG86" s="140">
        <f t="shared" si="2163"/>
        <v>0</v>
      </c>
      <c r="HH86" s="198">
        <f t="shared" si="2126"/>
        <v>0</v>
      </c>
      <c r="HI86" s="225">
        <f t="shared" si="2164"/>
        <v>0</v>
      </c>
      <c r="HJ86" s="226">
        <f t="shared" si="2165"/>
        <v>0</v>
      </c>
      <c r="HK86" s="137">
        <f t="shared" si="2166"/>
        <v>0</v>
      </c>
      <c r="HL86" s="227">
        <f t="shared" si="2130"/>
        <v>2597.2199999999998</v>
      </c>
      <c r="HM86" s="138">
        <f t="shared" si="2167"/>
        <v>0</v>
      </c>
      <c r="HN86" s="110">
        <f t="shared" si="2168"/>
        <v>0</v>
      </c>
      <c r="HO86" s="110"/>
      <c r="HP86" s="139"/>
      <c r="HQ86" s="140">
        <f t="shared" si="2169"/>
        <v>0</v>
      </c>
      <c r="HR86" s="198">
        <f t="shared" si="2170"/>
        <v>0</v>
      </c>
      <c r="HS86" s="225">
        <f t="shared" si="2171"/>
        <v>0</v>
      </c>
      <c r="HT86" s="226">
        <f t="shared" si="2172"/>
        <v>0</v>
      </c>
      <c r="HU86" s="137">
        <f t="shared" si="2173"/>
        <v>0</v>
      </c>
      <c r="HV86" s="227">
        <f t="shared" si="2174"/>
        <v>3163.33</v>
      </c>
      <c r="HW86" s="138">
        <f t="shared" si="2175"/>
        <v>0</v>
      </c>
      <c r="HX86" s="110">
        <f t="shared" si="2176"/>
        <v>0</v>
      </c>
      <c r="HY86" s="110"/>
      <c r="HZ86" s="139"/>
      <c r="IA86" s="140">
        <f t="shared" si="2177"/>
        <v>0</v>
      </c>
      <c r="IB86" s="198">
        <f t="shared" si="2170"/>
        <v>0</v>
      </c>
      <c r="IC86" s="225">
        <f t="shared" si="2178"/>
        <v>0</v>
      </c>
      <c r="ID86" s="226">
        <f t="shared" si="2179"/>
        <v>0</v>
      </c>
      <c r="IE86" s="137">
        <f t="shared" si="2180"/>
        <v>0</v>
      </c>
      <c r="IF86" s="227">
        <f t="shared" si="2174"/>
        <v>3163.33</v>
      </c>
      <c r="IG86" s="138">
        <f t="shared" si="2181"/>
        <v>0</v>
      </c>
      <c r="IH86" s="110">
        <f t="shared" si="2182"/>
        <v>0</v>
      </c>
      <c r="II86" s="110"/>
      <c r="IJ86" s="139"/>
      <c r="IK86" s="140">
        <f t="shared" si="2183"/>
        <v>0</v>
      </c>
      <c r="IL86" s="198">
        <f t="shared" si="2170"/>
        <v>0</v>
      </c>
      <c r="IM86" s="225">
        <f t="shared" si="2184"/>
        <v>0</v>
      </c>
      <c r="IN86" s="226">
        <f t="shared" si="2185"/>
        <v>0</v>
      </c>
      <c r="IO86" s="137">
        <f t="shared" si="2186"/>
        <v>0</v>
      </c>
      <c r="IP86" s="227">
        <f t="shared" si="2174"/>
        <v>2644.05</v>
      </c>
      <c r="IQ86" s="138">
        <f t="shared" si="2187"/>
        <v>0</v>
      </c>
      <c r="IR86" s="110">
        <f t="shared" si="2188"/>
        <v>0</v>
      </c>
      <c r="IS86" s="110"/>
      <c r="IT86" s="139"/>
      <c r="IU86" s="140">
        <f t="shared" si="2189"/>
        <v>0</v>
      </c>
      <c r="IV86" s="198">
        <f t="shared" si="2170"/>
        <v>0</v>
      </c>
      <c r="IW86" s="225">
        <f t="shared" si="2190"/>
        <v>0</v>
      </c>
      <c r="IX86" s="226">
        <f t="shared" si="2191"/>
        <v>0</v>
      </c>
      <c r="IY86" s="137">
        <f t="shared" si="2192"/>
        <v>0</v>
      </c>
      <c r="IZ86" s="227">
        <f t="shared" si="2174"/>
        <v>3163.33</v>
      </c>
      <c r="JA86" s="138">
        <f t="shared" si="2193"/>
        <v>0</v>
      </c>
      <c r="JB86" s="110">
        <f t="shared" si="2194"/>
        <v>0</v>
      </c>
      <c r="JC86" s="110"/>
      <c r="JD86" s="139"/>
      <c r="JE86" s="140">
        <f t="shared" si="2195"/>
        <v>0</v>
      </c>
      <c r="JF86" s="198">
        <f t="shared" si="2170"/>
        <v>0</v>
      </c>
      <c r="JG86" s="225">
        <f t="shared" si="2196"/>
        <v>0</v>
      </c>
      <c r="JH86" s="226">
        <f t="shared" si="2197"/>
        <v>0</v>
      </c>
      <c r="JI86" s="137">
        <f t="shared" si="2198"/>
        <v>0</v>
      </c>
      <c r="JJ86" s="227">
        <f t="shared" si="2174"/>
        <v>2644.05</v>
      </c>
      <c r="JK86" s="138">
        <f t="shared" si="2199"/>
        <v>0</v>
      </c>
      <c r="JL86" s="110">
        <f t="shared" si="2200"/>
        <v>0</v>
      </c>
      <c r="JM86" s="110"/>
      <c r="JN86" s="139"/>
      <c r="JO86" s="140">
        <f t="shared" si="2201"/>
        <v>0</v>
      </c>
      <c r="JP86" s="198">
        <f t="shared" si="2170"/>
        <v>0</v>
      </c>
      <c r="JQ86" s="225">
        <f t="shared" si="2202"/>
        <v>0</v>
      </c>
      <c r="JR86" s="226">
        <f t="shared" si="2203"/>
        <v>0</v>
      </c>
      <c r="JS86" s="137">
        <f t="shared" si="2204"/>
        <v>0</v>
      </c>
      <c r="JT86" s="227">
        <f t="shared" si="2174"/>
        <v>2632.02</v>
      </c>
      <c r="JU86" s="138">
        <f t="shared" si="2205"/>
        <v>0</v>
      </c>
      <c r="JV86" s="110">
        <f t="shared" si="2206"/>
        <v>0</v>
      </c>
      <c r="JW86" s="110"/>
      <c r="JX86" s="139"/>
      <c r="JY86" s="140">
        <f t="shared" si="2207"/>
        <v>0</v>
      </c>
      <c r="JZ86" s="198">
        <f t="shared" si="2170"/>
        <v>0</v>
      </c>
      <c r="KA86" s="225">
        <f t="shared" si="2208"/>
        <v>0</v>
      </c>
      <c r="KB86" s="226">
        <f t="shared" si="2209"/>
        <v>0</v>
      </c>
      <c r="KC86" s="137">
        <f t="shared" si="2210"/>
        <v>0</v>
      </c>
      <c r="KD86" s="227">
        <f t="shared" si="2174"/>
        <v>3163.33</v>
      </c>
      <c r="KE86" s="138">
        <f t="shared" si="2211"/>
        <v>0</v>
      </c>
      <c r="KF86" s="110">
        <f t="shared" si="2212"/>
        <v>0</v>
      </c>
      <c r="KG86" s="110"/>
      <c r="KH86" s="139"/>
      <c r="KI86" s="140">
        <f t="shared" si="2213"/>
        <v>0</v>
      </c>
      <c r="KJ86" s="198">
        <f t="shared" si="2214"/>
        <v>0</v>
      </c>
      <c r="KK86" s="225">
        <f t="shared" si="2215"/>
        <v>0</v>
      </c>
      <c r="KL86" s="226">
        <f t="shared" si="2216"/>
        <v>0</v>
      </c>
      <c r="KM86" s="137">
        <f t="shared" si="2217"/>
        <v>0</v>
      </c>
      <c r="KN86" s="227">
        <f t="shared" si="2218"/>
        <v>2644.05</v>
      </c>
      <c r="KO86" s="138">
        <f t="shared" si="2219"/>
        <v>0</v>
      </c>
      <c r="KP86" s="110">
        <f t="shared" si="2220"/>
        <v>0</v>
      </c>
      <c r="KQ86" s="110"/>
      <c r="KR86" s="139"/>
      <c r="KS86" s="140">
        <f t="shared" si="2221"/>
        <v>0</v>
      </c>
      <c r="KT86" s="198">
        <f t="shared" si="2214"/>
        <v>0</v>
      </c>
      <c r="KU86" s="225">
        <f t="shared" si="2222"/>
        <v>0</v>
      </c>
      <c r="KV86" s="226">
        <f t="shared" si="2223"/>
        <v>0</v>
      </c>
      <c r="KW86" s="137">
        <f t="shared" si="2224"/>
        <v>0</v>
      </c>
      <c r="KX86" s="227">
        <f t="shared" si="2218"/>
        <v>3163.33</v>
      </c>
      <c r="KY86" s="138">
        <f t="shared" si="2225"/>
        <v>0</v>
      </c>
      <c r="KZ86" s="110">
        <f t="shared" si="2226"/>
        <v>0</v>
      </c>
      <c r="LA86" s="110"/>
      <c r="LB86" s="139"/>
      <c r="LC86" s="140">
        <f t="shared" si="2227"/>
        <v>0</v>
      </c>
      <c r="LD86" s="197">
        <f t="shared" si="2027"/>
        <v>119</v>
      </c>
      <c r="LE86" s="225">
        <f t="shared" si="2028"/>
        <v>4.1700000000000001E-3</v>
      </c>
      <c r="LF86" s="226">
        <f t="shared" si="2029"/>
        <v>73.400000000000006</v>
      </c>
      <c r="LG86" s="137">
        <f t="shared" si="2030"/>
        <v>0.61680672000000003</v>
      </c>
      <c r="LH86" s="227">
        <f t="shared" si="2031"/>
        <v>2869.57</v>
      </c>
      <c r="LI86" s="138">
        <f t="shared" si="2032"/>
        <v>1769.9700600000001</v>
      </c>
      <c r="LJ86" s="110">
        <f t="shared" si="2033"/>
        <v>210626.44</v>
      </c>
      <c r="LK86" s="110"/>
      <c r="LL86" s="139"/>
    </row>
    <row r="87" spans="1:324" ht="17.25" hidden="1" customHeight="1" x14ac:dyDescent="0.25">
      <c r="A87" s="247"/>
      <c r="B87" s="93" t="s">
        <v>611</v>
      </c>
      <c r="C87" s="12" t="s">
        <v>728</v>
      </c>
      <c r="D87" s="12" t="s">
        <v>430</v>
      </c>
      <c r="E87" s="4" t="s">
        <v>34</v>
      </c>
      <c r="F87" s="198">
        <f t="shared" si="2037"/>
        <v>0</v>
      </c>
      <c r="G87" s="225">
        <f t="shared" si="2034"/>
        <v>0</v>
      </c>
      <c r="H87" s="226">
        <f t="shared" si="2035"/>
        <v>0</v>
      </c>
      <c r="I87" s="137">
        <f t="shared" si="1808"/>
        <v>0</v>
      </c>
      <c r="J87" s="227">
        <f t="shared" si="2036"/>
        <v>2644.05</v>
      </c>
      <c r="K87" s="138">
        <f t="shared" si="1809"/>
        <v>0</v>
      </c>
      <c r="L87" s="110">
        <f t="shared" si="1810"/>
        <v>0</v>
      </c>
      <c r="M87" s="110"/>
      <c r="N87" s="139"/>
      <c r="O87" s="140">
        <f t="shared" si="1811"/>
        <v>0</v>
      </c>
      <c r="P87" s="198">
        <f t="shared" si="2038"/>
        <v>0</v>
      </c>
      <c r="Q87" s="225">
        <f t="shared" si="2039"/>
        <v>0</v>
      </c>
      <c r="R87" s="226">
        <f t="shared" si="2040"/>
        <v>0</v>
      </c>
      <c r="S87" s="137">
        <f t="shared" si="2041"/>
        <v>0</v>
      </c>
      <c r="T87" s="227">
        <f t="shared" si="2042"/>
        <v>3163.33</v>
      </c>
      <c r="U87" s="138">
        <f t="shared" si="2043"/>
        <v>0</v>
      </c>
      <c r="V87" s="110">
        <f t="shared" si="2044"/>
        <v>0</v>
      </c>
      <c r="W87" s="110"/>
      <c r="X87" s="139"/>
      <c r="Y87" s="140">
        <f t="shared" si="2045"/>
        <v>0</v>
      </c>
      <c r="Z87" s="198">
        <f t="shared" si="2038"/>
        <v>0</v>
      </c>
      <c r="AA87" s="225">
        <f t="shared" si="2046"/>
        <v>0</v>
      </c>
      <c r="AB87" s="226">
        <f t="shared" si="2047"/>
        <v>0</v>
      </c>
      <c r="AC87" s="137">
        <f t="shared" si="2048"/>
        <v>0</v>
      </c>
      <c r="AD87" s="227">
        <f t="shared" si="2042"/>
        <v>2608.17</v>
      </c>
      <c r="AE87" s="138">
        <f t="shared" si="2049"/>
        <v>0</v>
      </c>
      <c r="AF87" s="110">
        <f t="shared" si="2050"/>
        <v>0</v>
      </c>
      <c r="AG87" s="110"/>
      <c r="AH87" s="139"/>
      <c r="AI87" s="140">
        <f t="shared" si="2051"/>
        <v>0</v>
      </c>
      <c r="AJ87" s="198">
        <f t="shared" si="2038"/>
        <v>0</v>
      </c>
      <c r="AK87" s="225">
        <f t="shared" si="2052"/>
        <v>0</v>
      </c>
      <c r="AL87" s="226">
        <f t="shared" si="2053"/>
        <v>0</v>
      </c>
      <c r="AM87" s="137">
        <f t="shared" si="2054"/>
        <v>0</v>
      </c>
      <c r="AN87" s="227">
        <f t="shared" si="2042"/>
        <v>2644.05</v>
      </c>
      <c r="AO87" s="138">
        <f t="shared" si="2055"/>
        <v>0</v>
      </c>
      <c r="AP87" s="110">
        <f t="shared" si="2056"/>
        <v>0</v>
      </c>
      <c r="AQ87" s="110"/>
      <c r="AR87" s="139"/>
      <c r="AS87" s="140">
        <f t="shared" si="2057"/>
        <v>0</v>
      </c>
      <c r="AT87" s="198">
        <f t="shared" si="2038"/>
        <v>0</v>
      </c>
      <c r="AU87" s="225">
        <f t="shared" si="2058"/>
        <v>0</v>
      </c>
      <c r="AV87" s="226">
        <f t="shared" si="2059"/>
        <v>0</v>
      </c>
      <c r="AW87" s="137">
        <f t="shared" si="2060"/>
        <v>0</v>
      </c>
      <c r="AX87" s="227">
        <f t="shared" si="2042"/>
        <v>1786.28</v>
      </c>
      <c r="AY87" s="138">
        <f t="shared" si="2061"/>
        <v>0</v>
      </c>
      <c r="AZ87" s="110">
        <f t="shared" si="2062"/>
        <v>0</v>
      </c>
      <c r="BA87" s="110"/>
      <c r="BB87" s="139"/>
      <c r="BC87" s="140">
        <f t="shared" si="2063"/>
        <v>0</v>
      </c>
      <c r="BD87" s="198">
        <f t="shared" si="2038"/>
        <v>0</v>
      </c>
      <c r="BE87" s="225">
        <f t="shared" si="2064"/>
        <v>0</v>
      </c>
      <c r="BF87" s="226">
        <f t="shared" si="2065"/>
        <v>0</v>
      </c>
      <c r="BG87" s="137">
        <f t="shared" si="2066"/>
        <v>0</v>
      </c>
      <c r="BH87" s="227">
        <f t="shared" si="2042"/>
        <v>3163.33</v>
      </c>
      <c r="BI87" s="138">
        <f t="shared" si="2067"/>
        <v>0</v>
      </c>
      <c r="BJ87" s="110">
        <f t="shared" si="2068"/>
        <v>0</v>
      </c>
      <c r="BK87" s="110"/>
      <c r="BL87" s="139"/>
      <c r="BM87" s="140">
        <f t="shared" si="2069"/>
        <v>0</v>
      </c>
      <c r="BN87" s="198">
        <f t="shared" si="2038"/>
        <v>0</v>
      </c>
      <c r="BO87" s="225">
        <f t="shared" si="2070"/>
        <v>0</v>
      </c>
      <c r="BP87" s="226">
        <f t="shared" si="2071"/>
        <v>0</v>
      </c>
      <c r="BQ87" s="137">
        <f t="shared" si="2072"/>
        <v>0</v>
      </c>
      <c r="BR87" s="227">
        <f t="shared" si="2042"/>
        <v>2182.42</v>
      </c>
      <c r="BS87" s="138">
        <f t="shared" si="2073"/>
        <v>0</v>
      </c>
      <c r="BT87" s="110">
        <f t="shared" si="2074"/>
        <v>0</v>
      </c>
      <c r="BU87" s="110"/>
      <c r="BV87" s="139"/>
      <c r="BW87" s="140">
        <f t="shared" si="2075"/>
        <v>0</v>
      </c>
      <c r="BX87" s="198">
        <f t="shared" si="2038"/>
        <v>0</v>
      </c>
      <c r="BY87" s="225">
        <f t="shared" si="2076"/>
        <v>0</v>
      </c>
      <c r="BZ87" s="226">
        <f t="shared" si="2077"/>
        <v>0</v>
      </c>
      <c r="CA87" s="137">
        <f t="shared" si="2078"/>
        <v>0</v>
      </c>
      <c r="CB87" s="227">
        <f t="shared" si="2042"/>
        <v>2644.05</v>
      </c>
      <c r="CC87" s="138">
        <f t="shared" si="2079"/>
        <v>0</v>
      </c>
      <c r="CD87" s="110">
        <f t="shared" si="2080"/>
        <v>0</v>
      </c>
      <c r="CE87" s="110"/>
      <c r="CF87" s="139"/>
      <c r="CG87" s="140">
        <f t="shared" si="2081"/>
        <v>0</v>
      </c>
      <c r="CH87" s="198">
        <f t="shared" si="2082"/>
        <v>0</v>
      </c>
      <c r="CI87" s="225">
        <f t="shared" si="2083"/>
        <v>0</v>
      </c>
      <c r="CJ87" s="226">
        <f t="shared" si="2084"/>
        <v>0</v>
      </c>
      <c r="CK87" s="137">
        <f t="shared" si="2085"/>
        <v>0</v>
      </c>
      <c r="CL87" s="227">
        <f t="shared" si="2086"/>
        <v>2644.05</v>
      </c>
      <c r="CM87" s="138">
        <f t="shared" si="2087"/>
        <v>0</v>
      </c>
      <c r="CN87" s="110">
        <f t="shared" si="2088"/>
        <v>0</v>
      </c>
      <c r="CO87" s="110"/>
      <c r="CP87" s="139"/>
      <c r="CQ87" s="140">
        <f t="shared" si="2089"/>
        <v>0</v>
      </c>
      <c r="CR87" s="198">
        <f t="shared" si="2082"/>
        <v>0</v>
      </c>
      <c r="CS87" s="225">
        <f t="shared" si="2090"/>
        <v>0</v>
      </c>
      <c r="CT87" s="226">
        <f t="shared" si="2091"/>
        <v>0</v>
      </c>
      <c r="CU87" s="137">
        <f t="shared" si="2092"/>
        <v>0</v>
      </c>
      <c r="CV87" s="227">
        <f t="shared" si="2086"/>
        <v>3163.33</v>
      </c>
      <c r="CW87" s="138">
        <f t="shared" si="2093"/>
        <v>0</v>
      </c>
      <c r="CX87" s="110">
        <f t="shared" si="2094"/>
        <v>0</v>
      </c>
      <c r="CY87" s="110"/>
      <c r="CZ87" s="139"/>
      <c r="DA87" s="140">
        <f t="shared" si="2095"/>
        <v>0</v>
      </c>
      <c r="DB87" s="198">
        <f t="shared" si="2082"/>
        <v>0</v>
      </c>
      <c r="DC87" s="225">
        <f t="shared" si="2096"/>
        <v>0</v>
      </c>
      <c r="DD87" s="226">
        <f t="shared" si="2097"/>
        <v>0</v>
      </c>
      <c r="DE87" s="137">
        <f t="shared" si="2098"/>
        <v>0</v>
      </c>
      <c r="DF87" s="227">
        <f t="shared" si="2086"/>
        <v>2644.05</v>
      </c>
      <c r="DG87" s="138">
        <f t="shared" si="2099"/>
        <v>0</v>
      </c>
      <c r="DH87" s="110">
        <f t="shared" si="2100"/>
        <v>0</v>
      </c>
      <c r="DI87" s="110"/>
      <c r="DJ87" s="139"/>
      <c r="DK87" s="140">
        <f t="shared" si="2101"/>
        <v>0</v>
      </c>
      <c r="DL87" s="198">
        <f t="shared" si="2082"/>
        <v>5</v>
      </c>
      <c r="DM87" s="225">
        <f t="shared" si="2102"/>
        <v>1.7670000000000002E-2</v>
      </c>
      <c r="DN87" s="226">
        <f t="shared" si="2103"/>
        <v>4.13</v>
      </c>
      <c r="DO87" s="137">
        <f t="shared" si="2104"/>
        <v>0.82599999999999996</v>
      </c>
      <c r="DP87" s="227">
        <f t="shared" si="2086"/>
        <v>2644.05</v>
      </c>
      <c r="DQ87" s="138">
        <f t="shared" si="2105"/>
        <v>2183.9852999999998</v>
      </c>
      <c r="DR87" s="110">
        <f t="shared" si="2106"/>
        <v>10919.93</v>
      </c>
      <c r="DS87" s="110"/>
      <c r="DT87" s="139"/>
      <c r="DU87" s="140">
        <f t="shared" si="2107"/>
        <v>1.20045</v>
      </c>
      <c r="DV87" s="198">
        <f t="shared" si="2082"/>
        <v>0</v>
      </c>
      <c r="DW87" s="225">
        <f t="shared" si="2108"/>
        <v>0</v>
      </c>
      <c r="DX87" s="226">
        <f t="shared" si="2109"/>
        <v>0</v>
      </c>
      <c r="DY87" s="137">
        <f t="shared" si="2110"/>
        <v>0</v>
      </c>
      <c r="DZ87" s="227">
        <f t="shared" si="2086"/>
        <v>2644.05</v>
      </c>
      <c r="EA87" s="138">
        <f t="shared" si="2111"/>
        <v>0</v>
      </c>
      <c r="EB87" s="110">
        <f t="shared" si="2112"/>
        <v>0</v>
      </c>
      <c r="EC87" s="110"/>
      <c r="ED87" s="139"/>
      <c r="EE87" s="140">
        <f t="shared" si="2113"/>
        <v>0</v>
      </c>
      <c r="EF87" s="198">
        <f t="shared" si="2082"/>
        <v>0</v>
      </c>
      <c r="EG87" s="225">
        <f t="shared" si="2114"/>
        <v>0</v>
      </c>
      <c r="EH87" s="226">
        <f t="shared" si="2115"/>
        <v>0</v>
      </c>
      <c r="EI87" s="137">
        <f t="shared" si="2116"/>
        <v>0</v>
      </c>
      <c r="EJ87" s="227">
        <f t="shared" si="2086"/>
        <v>3163.33</v>
      </c>
      <c r="EK87" s="138">
        <f t="shared" si="2117"/>
        <v>0</v>
      </c>
      <c r="EL87" s="110">
        <f t="shared" si="2118"/>
        <v>0</v>
      </c>
      <c r="EM87" s="110"/>
      <c r="EN87" s="139"/>
      <c r="EO87" s="140">
        <f t="shared" si="2119"/>
        <v>0</v>
      </c>
      <c r="EP87" s="198">
        <f t="shared" si="2082"/>
        <v>0</v>
      </c>
      <c r="EQ87" s="225">
        <f t="shared" si="2120"/>
        <v>0</v>
      </c>
      <c r="ER87" s="226">
        <f t="shared" si="2121"/>
        <v>0</v>
      </c>
      <c r="ES87" s="137">
        <f t="shared" si="2122"/>
        <v>0</v>
      </c>
      <c r="ET87" s="227">
        <f t="shared" si="2086"/>
        <v>3163.33</v>
      </c>
      <c r="EU87" s="138">
        <f t="shared" si="2123"/>
        <v>0</v>
      </c>
      <c r="EV87" s="110">
        <f t="shared" si="2124"/>
        <v>0</v>
      </c>
      <c r="EW87" s="110"/>
      <c r="EX87" s="139"/>
      <c r="EY87" s="140">
        <f t="shared" si="2125"/>
        <v>0</v>
      </c>
      <c r="EZ87" s="198">
        <f t="shared" si="2126"/>
        <v>0</v>
      </c>
      <c r="FA87" s="225">
        <f t="shared" si="2127"/>
        <v>0</v>
      </c>
      <c r="FB87" s="226">
        <f t="shared" si="2128"/>
        <v>0</v>
      </c>
      <c r="FC87" s="137">
        <f t="shared" si="2129"/>
        <v>0</v>
      </c>
      <c r="FD87" s="227">
        <f t="shared" si="2130"/>
        <v>0</v>
      </c>
      <c r="FE87" s="138">
        <f t="shared" si="2131"/>
        <v>0</v>
      </c>
      <c r="FF87" s="110">
        <f t="shared" si="2132"/>
        <v>0</v>
      </c>
      <c r="FG87" s="110"/>
      <c r="FH87" s="139"/>
      <c r="FI87" s="140">
        <f t="shared" si="2133"/>
        <v>0</v>
      </c>
      <c r="FJ87" s="198">
        <f t="shared" si="2126"/>
        <v>0</v>
      </c>
      <c r="FK87" s="225">
        <f t="shared" si="2134"/>
        <v>0</v>
      </c>
      <c r="FL87" s="226">
        <f t="shared" si="2135"/>
        <v>0</v>
      </c>
      <c r="FM87" s="137">
        <f t="shared" si="2136"/>
        <v>0</v>
      </c>
      <c r="FN87" s="227">
        <f t="shared" si="2130"/>
        <v>3163.33</v>
      </c>
      <c r="FO87" s="138">
        <f t="shared" si="2137"/>
        <v>0</v>
      </c>
      <c r="FP87" s="110">
        <f t="shared" si="2138"/>
        <v>0</v>
      </c>
      <c r="FQ87" s="110"/>
      <c r="FR87" s="139"/>
      <c r="FS87" s="140">
        <f t="shared" si="2139"/>
        <v>0</v>
      </c>
      <c r="FT87" s="198">
        <f t="shared" si="2126"/>
        <v>0</v>
      </c>
      <c r="FU87" s="225">
        <f t="shared" si="2140"/>
        <v>0</v>
      </c>
      <c r="FV87" s="226">
        <f t="shared" si="2141"/>
        <v>0</v>
      </c>
      <c r="FW87" s="137">
        <f t="shared" si="2142"/>
        <v>0</v>
      </c>
      <c r="FX87" s="227">
        <f t="shared" si="2130"/>
        <v>3163.33</v>
      </c>
      <c r="FY87" s="138">
        <f t="shared" si="2143"/>
        <v>0</v>
      </c>
      <c r="FZ87" s="110">
        <f t="shared" si="2144"/>
        <v>0</v>
      </c>
      <c r="GA87" s="110"/>
      <c r="GB87" s="139"/>
      <c r="GC87" s="140">
        <f t="shared" si="2145"/>
        <v>0</v>
      </c>
      <c r="GD87" s="198">
        <f t="shared" si="2126"/>
        <v>0</v>
      </c>
      <c r="GE87" s="225">
        <f t="shared" si="2146"/>
        <v>0</v>
      </c>
      <c r="GF87" s="226">
        <f t="shared" si="2147"/>
        <v>0</v>
      </c>
      <c r="GG87" s="137">
        <f t="shared" si="2148"/>
        <v>0</v>
      </c>
      <c r="GH87" s="227">
        <f t="shared" si="2130"/>
        <v>0</v>
      </c>
      <c r="GI87" s="138">
        <f t="shared" si="2149"/>
        <v>0</v>
      </c>
      <c r="GJ87" s="110">
        <f t="shared" si="2150"/>
        <v>0</v>
      </c>
      <c r="GK87" s="110"/>
      <c r="GL87" s="139"/>
      <c r="GM87" s="140">
        <f t="shared" si="2151"/>
        <v>0</v>
      </c>
      <c r="GN87" s="198">
        <f t="shared" si="2126"/>
        <v>0</v>
      </c>
      <c r="GO87" s="225">
        <f t="shared" si="2152"/>
        <v>0</v>
      </c>
      <c r="GP87" s="226">
        <f t="shared" si="2153"/>
        <v>0</v>
      </c>
      <c r="GQ87" s="137">
        <f t="shared" si="2154"/>
        <v>0</v>
      </c>
      <c r="GR87" s="227">
        <f t="shared" si="2130"/>
        <v>2644.05</v>
      </c>
      <c r="GS87" s="138">
        <f t="shared" si="2155"/>
        <v>0</v>
      </c>
      <c r="GT87" s="110">
        <f t="shared" si="2156"/>
        <v>0</v>
      </c>
      <c r="GU87" s="110"/>
      <c r="GV87" s="139"/>
      <c r="GW87" s="140">
        <f t="shared" si="2157"/>
        <v>0</v>
      </c>
      <c r="GX87" s="198">
        <f t="shared" si="2126"/>
        <v>0</v>
      </c>
      <c r="GY87" s="225">
        <f t="shared" si="2158"/>
        <v>0</v>
      </c>
      <c r="GZ87" s="226">
        <f t="shared" si="2159"/>
        <v>0</v>
      </c>
      <c r="HA87" s="137">
        <f t="shared" si="2160"/>
        <v>0</v>
      </c>
      <c r="HB87" s="227">
        <f t="shared" si="2130"/>
        <v>2644.05</v>
      </c>
      <c r="HC87" s="138">
        <f t="shared" si="2161"/>
        <v>0</v>
      </c>
      <c r="HD87" s="110">
        <f t="shared" si="2162"/>
        <v>0</v>
      </c>
      <c r="HE87" s="110"/>
      <c r="HF87" s="139"/>
      <c r="HG87" s="140">
        <f t="shared" si="2163"/>
        <v>0</v>
      </c>
      <c r="HH87" s="198">
        <f t="shared" si="2126"/>
        <v>0</v>
      </c>
      <c r="HI87" s="225">
        <f t="shared" si="2164"/>
        <v>0</v>
      </c>
      <c r="HJ87" s="226">
        <f t="shared" si="2165"/>
        <v>0</v>
      </c>
      <c r="HK87" s="137">
        <f t="shared" si="2166"/>
        <v>0</v>
      </c>
      <c r="HL87" s="227">
        <f t="shared" si="2130"/>
        <v>2597.2199999999998</v>
      </c>
      <c r="HM87" s="138">
        <f t="shared" si="2167"/>
        <v>0</v>
      </c>
      <c r="HN87" s="110">
        <f t="shared" si="2168"/>
        <v>0</v>
      </c>
      <c r="HO87" s="110"/>
      <c r="HP87" s="139"/>
      <c r="HQ87" s="140">
        <f t="shared" si="2169"/>
        <v>0</v>
      </c>
      <c r="HR87" s="198">
        <f t="shared" si="2170"/>
        <v>0</v>
      </c>
      <c r="HS87" s="225">
        <f t="shared" si="2171"/>
        <v>0</v>
      </c>
      <c r="HT87" s="226">
        <f t="shared" si="2172"/>
        <v>0</v>
      </c>
      <c r="HU87" s="137">
        <f t="shared" si="2173"/>
        <v>0</v>
      </c>
      <c r="HV87" s="227">
        <f t="shared" si="2174"/>
        <v>3163.33</v>
      </c>
      <c r="HW87" s="138">
        <f t="shared" si="2175"/>
        <v>0</v>
      </c>
      <c r="HX87" s="110">
        <f t="shared" si="2176"/>
        <v>0</v>
      </c>
      <c r="HY87" s="110"/>
      <c r="HZ87" s="139"/>
      <c r="IA87" s="140">
        <f t="shared" si="2177"/>
        <v>0</v>
      </c>
      <c r="IB87" s="198">
        <f t="shared" si="2170"/>
        <v>0</v>
      </c>
      <c r="IC87" s="225">
        <f t="shared" si="2178"/>
        <v>0</v>
      </c>
      <c r="ID87" s="226">
        <f t="shared" si="2179"/>
        <v>0</v>
      </c>
      <c r="IE87" s="137">
        <f t="shared" si="2180"/>
        <v>0</v>
      </c>
      <c r="IF87" s="227">
        <f t="shared" si="2174"/>
        <v>3163.33</v>
      </c>
      <c r="IG87" s="138">
        <f t="shared" si="2181"/>
        <v>0</v>
      </c>
      <c r="IH87" s="110">
        <f t="shared" si="2182"/>
        <v>0</v>
      </c>
      <c r="II87" s="110"/>
      <c r="IJ87" s="139"/>
      <c r="IK87" s="140">
        <f t="shared" si="2183"/>
        <v>0</v>
      </c>
      <c r="IL87" s="198">
        <f t="shared" si="2170"/>
        <v>0</v>
      </c>
      <c r="IM87" s="225">
        <f t="shared" si="2184"/>
        <v>0</v>
      </c>
      <c r="IN87" s="226">
        <f t="shared" si="2185"/>
        <v>0</v>
      </c>
      <c r="IO87" s="137">
        <f t="shared" si="2186"/>
        <v>0</v>
      </c>
      <c r="IP87" s="227">
        <f t="shared" si="2174"/>
        <v>2644.05</v>
      </c>
      <c r="IQ87" s="138">
        <f t="shared" si="2187"/>
        <v>0</v>
      </c>
      <c r="IR87" s="110">
        <f t="shared" si="2188"/>
        <v>0</v>
      </c>
      <c r="IS87" s="110"/>
      <c r="IT87" s="139"/>
      <c r="IU87" s="140">
        <f t="shared" si="2189"/>
        <v>0</v>
      </c>
      <c r="IV87" s="198">
        <f t="shared" si="2170"/>
        <v>0</v>
      </c>
      <c r="IW87" s="225">
        <f t="shared" si="2190"/>
        <v>0</v>
      </c>
      <c r="IX87" s="226">
        <f t="shared" si="2191"/>
        <v>0</v>
      </c>
      <c r="IY87" s="137">
        <f t="shared" si="2192"/>
        <v>0</v>
      </c>
      <c r="IZ87" s="227">
        <f t="shared" si="2174"/>
        <v>3163.33</v>
      </c>
      <c r="JA87" s="138">
        <f t="shared" si="2193"/>
        <v>0</v>
      </c>
      <c r="JB87" s="110">
        <f t="shared" si="2194"/>
        <v>0</v>
      </c>
      <c r="JC87" s="110"/>
      <c r="JD87" s="139"/>
      <c r="JE87" s="140">
        <f t="shared" si="2195"/>
        <v>0</v>
      </c>
      <c r="JF87" s="198">
        <f t="shared" si="2170"/>
        <v>0</v>
      </c>
      <c r="JG87" s="225">
        <f t="shared" si="2196"/>
        <v>0</v>
      </c>
      <c r="JH87" s="226">
        <f t="shared" si="2197"/>
        <v>0</v>
      </c>
      <c r="JI87" s="137">
        <f t="shared" si="2198"/>
        <v>0</v>
      </c>
      <c r="JJ87" s="227">
        <f t="shared" si="2174"/>
        <v>2644.05</v>
      </c>
      <c r="JK87" s="138">
        <f t="shared" si="2199"/>
        <v>0</v>
      </c>
      <c r="JL87" s="110">
        <f t="shared" si="2200"/>
        <v>0</v>
      </c>
      <c r="JM87" s="110"/>
      <c r="JN87" s="139"/>
      <c r="JO87" s="140">
        <f t="shared" si="2201"/>
        <v>0</v>
      </c>
      <c r="JP87" s="198">
        <f t="shared" si="2170"/>
        <v>0</v>
      </c>
      <c r="JQ87" s="225">
        <f t="shared" si="2202"/>
        <v>0</v>
      </c>
      <c r="JR87" s="226">
        <f t="shared" si="2203"/>
        <v>0</v>
      </c>
      <c r="JS87" s="137">
        <f t="shared" si="2204"/>
        <v>0</v>
      </c>
      <c r="JT87" s="227">
        <f t="shared" si="2174"/>
        <v>2632.02</v>
      </c>
      <c r="JU87" s="138">
        <f t="shared" si="2205"/>
        <v>0</v>
      </c>
      <c r="JV87" s="110">
        <f t="shared" si="2206"/>
        <v>0</v>
      </c>
      <c r="JW87" s="110"/>
      <c r="JX87" s="139"/>
      <c r="JY87" s="140">
        <f t="shared" si="2207"/>
        <v>0</v>
      </c>
      <c r="JZ87" s="198">
        <f t="shared" si="2170"/>
        <v>0</v>
      </c>
      <c r="KA87" s="225">
        <f t="shared" si="2208"/>
        <v>0</v>
      </c>
      <c r="KB87" s="226">
        <f t="shared" si="2209"/>
        <v>0</v>
      </c>
      <c r="KC87" s="137">
        <f t="shared" si="2210"/>
        <v>0</v>
      </c>
      <c r="KD87" s="227">
        <f t="shared" si="2174"/>
        <v>3163.33</v>
      </c>
      <c r="KE87" s="138">
        <f t="shared" si="2211"/>
        <v>0</v>
      </c>
      <c r="KF87" s="110">
        <f t="shared" si="2212"/>
        <v>0</v>
      </c>
      <c r="KG87" s="110"/>
      <c r="KH87" s="139"/>
      <c r="KI87" s="140">
        <f t="shared" si="2213"/>
        <v>0</v>
      </c>
      <c r="KJ87" s="198">
        <f t="shared" si="2214"/>
        <v>0</v>
      </c>
      <c r="KK87" s="225">
        <f t="shared" si="2215"/>
        <v>0</v>
      </c>
      <c r="KL87" s="226">
        <f t="shared" si="2216"/>
        <v>0</v>
      </c>
      <c r="KM87" s="137">
        <f t="shared" si="2217"/>
        <v>0</v>
      </c>
      <c r="KN87" s="227">
        <f t="shared" si="2218"/>
        <v>2644.05</v>
      </c>
      <c r="KO87" s="138">
        <f t="shared" si="2219"/>
        <v>0</v>
      </c>
      <c r="KP87" s="110">
        <f t="shared" si="2220"/>
        <v>0</v>
      </c>
      <c r="KQ87" s="110"/>
      <c r="KR87" s="139"/>
      <c r="KS87" s="140">
        <f t="shared" si="2221"/>
        <v>0</v>
      </c>
      <c r="KT87" s="198">
        <f t="shared" si="2214"/>
        <v>0</v>
      </c>
      <c r="KU87" s="225">
        <f t="shared" si="2222"/>
        <v>0</v>
      </c>
      <c r="KV87" s="226">
        <f t="shared" si="2223"/>
        <v>0</v>
      </c>
      <c r="KW87" s="137">
        <f t="shared" si="2224"/>
        <v>0</v>
      </c>
      <c r="KX87" s="227">
        <f t="shared" si="2218"/>
        <v>3163.33</v>
      </c>
      <c r="KY87" s="138">
        <f t="shared" si="2225"/>
        <v>0</v>
      </c>
      <c r="KZ87" s="110">
        <f t="shared" si="2226"/>
        <v>0</v>
      </c>
      <c r="LA87" s="110"/>
      <c r="LB87" s="139"/>
      <c r="LC87" s="140">
        <f t="shared" si="2227"/>
        <v>0</v>
      </c>
      <c r="LD87" s="197">
        <f t="shared" si="2027"/>
        <v>5</v>
      </c>
      <c r="LE87" s="225">
        <f t="shared" si="2028"/>
        <v>1.8000000000000001E-4</v>
      </c>
      <c r="LF87" s="226">
        <f t="shared" si="2029"/>
        <v>3.17</v>
      </c>
      <c r="LG87" s="137">
        <f t="shared" si="2030"/>
        <v>0.63400000000000001</v>
      </c>
      <c r="LH87" s="227">
        <f t="shared" si="2031"/>
        <v>2869.57</v>
      </c>
      <c r="LI87" s="138">
        <f t="shared" si="2032"/>
        <v>1819.30738</v>
      </c>
      <c r="LJ87" s="110">
        <f t="shared" si="2033"/>
        <v>9096.5400000000009</v>
      </c>
      <c r="LK87" s="110"/>
      <c r="LL87" s="139"/>
    </row>
    <row r="88" spans="1:324" ht="17.25" customHeight="1" x14ac:dyDescent="0.25">
      <c r="A88" s="244"/>
      <c r="B88" s="244" t="s">
        <v>855</v>
      </c>
      <c r="C88" s="12"/>
      <c r="D88" s="12"/>
      <c r="E88" s="4"/>
      <c r="F88" s="198"/>
      <c r="G88" s="225"/>
      <c r="H88" s="226"/>
      <c r="I88" s="137"/>
      <c r="J88" s="227"/>
      <c r="K88" s="138"/>
      <c r="L88" s="110"/>
      <c r="M88" s="110"/>
      <c r="N88" s="139"/>
      <c r="O88" s="140"/>
      <c r="P88" s="198"/>
      <c r="Q88" s="225"/>
      <c r="R88" s="226"/>
      <c r="S88" s="137"/>
      <c r="T88" s="227"/>
      <c r="U88" s="138"/>
      <c r="V88" s="110"/>
      <c r="W88" s="110"/>
      <c r="X88" s="139"/>
      <c r="Y88" s="140"/>
      <c r="Z88" s="198"/>
      <c r="AA88" s="225"/>
      <c r="AB88" s="226"/>
      <c r="AC88" s="137"/>
      <c r="AD88" s="227"/>
      <c r="AE88" s="138"/>
      <c r="AF88" s="110"/>
      <c r="AG88" s="110"/>
      <c r="AH88" s="139"/>
      <c r="AI88" s="140"/>
      <c r="AJ88" s="198"/>
      <c r="AK88" s="225"/>
      <c r="AL88" s="226"/>
      <c r="AM88" s="137"/>
      <c r="AN88" s="227"/>
      <c r="AO88" s="138"/>
      <c r="AP88" s="110"/>
      <c r="AQ88" s="110"/>
      <c r="AR88" s="139"/>
      <c r="AS88" s="140"/>
      <c r="AT88" s="198"/>
      <c r="AU88" s="225"/>
      <c r="AV88" s="226"/>
      <c r="AW88" s="137"/>
      <c r="AX88" s="227"/>
      <c r="AY88" s="138"/>
      <c r="AZ88" s="110"/>
      <c r="BA88" s="110"/>
      <c r="BB88" s="139"/>
      <c r="BC88" s="140"/>
      <c r="BD88" s="198"/>
      <c r="BE88" s="225"/>
      <c r="BF88" s="226"/>
      <c r="BG88" s="137"/>
      <c r="BH88" s="227"/>
      <c r="BI88" s="138"/>
      <c r="BJ88" s="110"/>
      <c r="BK88" s="110"/>
      <c r="BL88" s="139"/>
      <c r="BM88" s="140"/>
      <c r="BN88" s="198"/>
      <c r="BO88" s="225"/>
      <c r="BP88" s="226"/>
      <c r="BQ88" s="137"/>
      <c r="BR88" s="227"/>
      <c r="BS88" s="138"/>
      <c r="BT88" s="110"/>
      <c r="BU88" s="110"/>
      <c r="BV88" s="139"/>
      <c r="BW88" s="140"/>
      <c r="BX88" s="198"/>
      <c r="BY88" s="225"/>
      <c r="BZ88" s="226"/>
      <c r="CA88" s="137"/>
      <c r="CB88" s="227"/>
      <c r="CC88" s="138"/>
      <c r="CD88" s="110"/>
      <c r="CE88" s="110"/>
      <c r="CF88" s="139"/>
      <c r="CG88" s="140"/>
      <c r="CH88" s="198"/>
      <c r="CI88" s="225"/>
      <c r="CJ88" s="226"/>
      <c r="CK88" s="137"/>
      <c r="CL88" s="227"/>
      <c r="CM88" s="138"/>
      <c r="CN88" s="110"/>
      <c r="CO88" s="110"/>
      <c r="CP88" s="139"/>
      <c r="CQ88" s="140"/>
      <c r="CR88" s="198"/>
      <c r="CS88" s="225"/>
      <c r="CT88" s="226"/>
      <c r="CU88" s="137"/>
      <c r="CV88" s="227"/>
      <c r="CW88" s="138"/>
      <c r="CX88" s="110"/>
      <c r="CY88" s="110"/>
      <c r="CZ88" s="139"/>
      <c r="DA88" s="140"/>
      <c r="DB88" s="198"/>
      <c r="DC88" s="225"/>
      <c r="DD88" s="226"/>
      <c r="DE88" s="137"/>
      <c r="DF88" s="227"/>
      <c r="DG88" s="138"/>
      <c r="DH88" s="110"/>
      <c r="DI88" s="110"/>
      <c r="DJ88" s="139"/>
      <c r="DK88" s="140"/>
      <c r="DL88" s="198"/>
      <c r="DM88" s="225"/>
      <c r="DN88" s="226"/>
      <c r="DO88" s="137"/>
      <c r="DP88" s="227"/>
      <c r="DQ88" s="138"/>
      <c r="DR88" s="110"/>
      <c r="DS88" s="110"/>
      <c r="DT88" s="139"/>
      <c r="DU88" s="140"/>
      <c r="DV88" s="198"/>
      <c r="DW88" s="225"/>
      <c r="DX88" s="226"/>
      <c r="DY88" s="137"/>
      <c r="DZ88" s="227"/>
      <c r="EA88" s="138"/>
      <c r="EB88" s="110"/>
      <c r="EC88" s="110"/>
      <c r="ED88" s="139"/>
      <c r="EE88" s="140"/>
      <c r="EF88" s="198"/>
      <c r="EG88" s="225"/>
      <c r="EH88" s="226"/>
      <c r="EI88" s="137"/>
      <c r="EJ88" s="227"/>
      <c r="EK88" s="138"/>
      <c r="EL88" s="110"/>
      <c r="EM88" s="110"/>
      <c r="EN88" s="139"/>
      <c r="EO88" s="140"/>
      <c r="EP88" s="198"/>
      <c r="EQ88" s="225"/>
      <c r="ER88" s="226"/>
      <c r="ES88" s="137"/>
      <c r="ET88" s="227"/>
      <c r="EU88" s="138"/>
      <c r="EV88" s="110"/>
      <c r="EW88" s="110"/>
      <c r="EX88" s="139"/>
      <c r="EY88" s="140"/>
      <c r="EZ88" s="198"/>
      <c r="FA88" s="225"/>
      <c r="FB88" s="226"/>
      <c r="FC88" s="137"/>
      <c r="FD88" s="227"/>
      <c r="FE88" s="138"/>
      <c r="FF88" s="110"/>
      <c r="FG88" s="110"/>
      <c r="FH88" s="139"/>
      <c r="FI88" s="140"/>
      <c r="FJ88" s="198"/>
      <c r="FK88" s="225"/>
      <c r="FL88" s="226"/>
      <c r="FM88" s="137"/>
      <c r="FN88" s="227"/>
      <c r="FO88" s="138"/>
      <c r="FP88" s="110"/>
      <c r="FQ88" s="110"/>
      <c r="FR88" s="139"/>
      <c r="FS88" s="140"/>
      <c r="FT88" s="198"/>
      <c r="FU88" s="225"/>
      <c r="FV88" s="226"/>
      <c r="FW88" s="137"/>
      <c r="FX88" s="227"/>
      <c r="FY88" s="138"/>
      <c r="FZ88" s="110"/>
      <c r="GA88" s="110"/>
      <c r="GB88" s="139"/>
      <c r="GC88" s="140"/>
      <c r="GD88" s="198"/>
      <c r="GE88" s="225"/>
      <c r="GF88" s="226"/>
      <c r="GG88" s="137"/>
      <c r="GH88" s="227"/>
      <c r="GI88" s="138"/>
      <c r="GJ88" s="110"/>
      <c r="GK88" s="110"/>
      <c r="GL88" s="139"/>
      <c r="GM88" s="140"/>
      <c r="GN88" s="198"/>
      <c r="GO88" s="225"/>
      <c r="GP88" s="226"/>
      <c r="GQ88" s="137"/>
      <c r="GR88" s="227"/>
      <c r="GS88" s="138"/>
      <c r="GT88" s="110"/>
      <c r="GU88" s="110"/>
      <c r="GV88" s="139"/>
      <c r="GW88" s="140"/>
      <c r="GX88" s="198"/>
      <c r="GY88" s="225"/>
      <c r="GZ88" s="226"/>
      <c r="HA88" s="137"/>
      <c r="HB88" s="227"/>
      <c r="HC88" s="138"/>
      <c r="HD88" s="110"/>
      <c r="HE88" s="110"/>
      <c r="HF88" s="139"/>
      <c r="HG88" s="140"/>
      <c r="HH88" s="198"/>
      <c r="HI88" s="225"/>
      <c r="HJ88" s="226"/>
      <c r="HK88" s="137"/>
      <c r="HL88" s="227"/>
      <c r="HM88" s="138"/>
      <c r="HN88" s="110"/>
      <c r="HO88" s="110"/>
      <c r="HP88" s="139"/>
      <c r="HQ88" s="140"/>
      <c r="HR88" s="198"/>
      <c r="HS88" s="225"/>
      <c r="HT88" s="226"/>
      <c r="HU88" s="137"/>
      <c r="HV88" s="227"/>
      <c r="HW88" s="138"/>
      <c r="HX88" s="110"/>
      <c r="HY88" s="110"/>
      <c r="HZ88" s="139"/>
      <c r="IA88" s="140"/>
      <c r="IB88" s="198"/>
      <c r="IC88" s="225"/>
      <c r="ID88" s="226"/>
      <c r="IE88" s="137"/>
      <c r="IF88" s="227"/>
      <c r="IG88" s="138"/>
      <c r="IH88" s="110"/>
      <c r="II88" s="110"/>
      <c r="IJ88" s="139"/>
      <c r="IK88" s="140"/>
      <c r="IL88" s="198"/>
      <c r="IM88" s="225"/>
      <c r="IN88" s="226"/>
      <c r="IO88" s="137"/>
      <c r="IP88" s="227"/>
      <c r="IQ88" s="138"/>
      <c r="IR88" s="110"/>
      <c r="IS88" s="110"/>
      <c r="IT88" s="139"/>
      <c r="IU88" s="140"/>
      <c r="IV88" s="198"/>
      <c r="IW88" s="225"/>
      <c r="IX88" s="226"/>
      <c r="IY88" s="137"/>
      <c r="IZ88" s="227"/>
      <c r="JA88" s="138"/>
      <c r="JB88" s="110"/>
      <c r="JC88" s="110"/>
      <c r="JD88" s="139"/>
      <c r="JE88" s="140"/>
      <c r="JF88" s="198"/>
      <c r="JG88" s="225"/>
      <c r="JH88" s="226"/>
      <c r="JI88" s="137"/>
      <c r="JJ88" s="227"/>
      <c r="JK88" s="138"/>
      <c r="JL88" s="110"/>
      <c r="JM88" s="110"/>
      <c r="JN88" s="139"/>
      <c r="JO88" s="140"/>
      <c r="JP88" s="198"/>
      <c r="JQ88" s="225"/>
      <c r="JR88" s="226"/>
      <c r="JS88" s="137"/>
      <c r="JT88" s="227"/>
      <c r="JU88" s="138"/>
      <c r="JV88" s="110"/>
      <c r="JW88" s="110"/>
      <c r="JX88" s="139"/>
      <c r="JY88" s="140"/>
      <c r="JZ88" s="198"/>
      <c r="KA88" s="225"/>
      <c r="KB88" s="226"/>
      <c r="KC88" s="137"/>
      <c r="KD88" s="227"/>
      <c r="KE88" s="138"/>
      <c r="KF88" s="110"/>
      <c r="KG88" s="110"/>
      <c r="KH88" s="139"/>
      <c r="KI88" s="140"/>
      <c r="KJ88" s="198"/>
      <c r="KK88" s="225"/>
      <c r="KL88" s="226"/>
      <c r="KM88" s="137"/>
      <c r="KN88" s="227"/>
      <c r="KO88" s="138"/>
      <c r="KP88" s="110"/>
      <c r="KQ88" s="110"/>
      <c r="KR88" s="139"/>
      <c r="KS88" s="140"/>
      <c r="KT88" s="198"/>
      <c r="KU88" s="225"/>
      <c r="KV88" s="226"/>
      <c r="KW88" s="137"/>
      <c r="KX88" s="227"/>
      <c r="KY88" s="138"/>
      <c r="KZ88" s="110"/>
      <c r="LA88" s="110"/>
      <c r="LB88" s="139"/>
      <c r="LC88" s="140"/>
      <c r="LD88" s="197"/>
      <c r="LE88" s="225"/>
      <c r="LF88" s="226"/>
      <c r="LG88" s="137"/>
      <c r="LH88" s="227"/>
      <c r="LI88" s="138"/>
      <c r="LJ88" s="110"/>
      <c r="LK88" s="110"/>
      <c r="LL88" s="139"/>
    </row>
    <row r="89" spans="1:324" ht="17.25" customHeight="1" x14ac:dyDescent="0.25">
      <c r="A89" s="245"/>
      <c r="B89" s="12" t="s">
        <v>609</v>
      </c>
      <c r="C89" s="12" t="s">
        <v>728</v>
      </c>
      <c r="D89" s="12" t="s">
        <v>430</v>
      </c>
      <c r="E89" s="4" t="s">
        <v>34</v>
      </c>
      <c r="F89" s="198">
        <f t="shared" ref="F89:F96" si="2228">F31</f>
        <v>49</v>
      </c>
      <c r="G89" s="225">
        <f t="shared" si="2034"/>
        <v>8.14E-2</v>
      </c>
      <c r="H89" s="226">
        <f t="shared" si="2035"/>
        <v>16.68</v>
      </c>
      <c r="I89" s="137">
        <f t="shared" si="1808"/>
        <v>0.34040816000000002</v>
      </c>
      <c r="J89" s="227">
        <f t="shared" si="2036"/>
        <v>2644.05</v>
      </c>
      <c r="K89" s="138">
        <f t="shared" si="1809"/>
        <v>900.05619999999999</v>
      </c>
      <c r="L89" s="110">
        <f t="shared" si="1810"/>
        <v>44102.75</v>
      </c>
      <c r="M89" s="110"/>
      <c r="N89" s="139"/>
      <c r="O89" s="140">
        <f t="shared" si="1811"/>
        <v>0.50861999999999996</v>
      </c>
      <c r="P89" s="198">
        <f t="shared" ref="P89:BX96" si="2229">P31</f>
        <v>79</v>
      </c>
      <c r="Q89" s="225">
        <f t="shared" ref="Q89:Q96" si="2230">P89/P$68</f>
        <v>7.2080000000000005E-2</v>
      </c>
      <c r="R89" s="226">
        <f t="shared" ref="R89:R96" si="2231">R$68*Q89</f>
        <v>39.520000000000003</v>
      </c>
      <c r="S89" s="137">
        <f t="shared" ref="S89:S97" si="2232">IF(P89&gt;0,R89/P89,0)</f>
        <v>0.50025315999999997</v>
      </c>
      <c r="T89" s="227">
        <f t="shared" ref="T89:CB96" si="2233">T$68</f>
        <v>3163.33</v>
      </c>
      <c r="U89" s="138">
        <f t="shared" ref="U89:U97" si="2234">S89*T89</f>
        <v>1582.4658300000001</v>
      </c>
      <c r="V89" s="110">
        <f t="shared" ref="V89:V97" si="2235">U89*P89</f>
        <v>125014.8</v>
      </c>
      <c r="W89" s="110"/>
      <c r="X89" s="139"/>
      <c r="Y89" s="140">
        <f t="shared" ref="Y89:Y97" si="2236">U89/$LI89</f>
        <v>0.89424000000000003</v>
      </c>
      <c r="Z89" s="198">
        <f t="shared" si="2229"/>
        <v>214</v>
      </c>
      <c r="AA89" s="225">
        <f t="shared" ref="AA89:AA96" si="2237">Z89/Z$68</f>
        <v>0.24768999999999999</v>
      </c>
      <c r="AB89" s="226">
        <f t="shared" ref="AB89:AB96" si="2238">AB$68*AA89</f>
        <v>117.2</v>
      </c>
      <c r="AC89" s="137">
        <f t="shared" ref="AC89:AC97" si="2239">IF(Z89&gt;0,AB89/Z89,0)</f>
        <v>0.54766355</v>
      </c>
      <c r="AD89" s="227">
        <f t="shared" si="2233"/>
        <v>2608.17</v>
      </c>
      <c r="AE89" s="138">
        <f t="shared" ref="AE89:AE97" si="2240">AC89*AD89</f>
        <v>1428.3996400000001</v>
      </c>
      <c r="AF89" s="110">
        <f t="shared" ref="AF89:AF97" si="2241">AE89*Z89</f>
        <v>305677.52</v>
      </c>
      <c r="AG89" s="110"/>
      <c r="AH89" s="139"/>
      <c r="AI89" s="140">
        <f t="shared" ref="AI89:AI97" si="2242">AE89/$LI89</f>
        <v>0.80718000000000001</v>
      </c>
      <c r="AJ89" s="198">
        <f t="shared" si="2229"/>
        <v>43</v>
      </c>
      <c r="AK89" s="225">
        <f t="shared" ref="AK89:AK96" si="2243">AJ89/AJ$68</f>
        <v>6.4659999999999995E-2</v>
      </c>
      <c r="AL89" s="226">
        <f t="shared" ref="AL89:AL96" si="2244">AL$68*AK89</f>
        <v>22.41</v>
      </c>
      <c r="AM89" s="137">
        <f t="shared" ref="AM89:AM97" si="2245">IF(AJ89&gt;0,AL89/AJ89,0)</f>
        <v>0.52116278999999999</v>
      </c>
      <c r="AN89" s="227">
        <f t="shared" si="2233"/>
        <v>2644.05</v>
      </c>
      <c r="AO89" s="138">
        <f t="shared" ref="AO89:AO97" si="2246">AM89*AN89</f>
        <v>1377.98047</v>
      </c>
      <c r="AP89" s="110">
        <f t="shared" ref="AP89:AP97" si="2247">AO89*AJ89</f>
        <v>59253.16</v>
      </c>
      <c r="AQ89" s="110"/>
      <c r="AR89" s="139"/>
      <c r="AS89" s="140">
        <f t="shared" ref="AS89:AS97" si="2248">AO89/$LI89</f>
        <v>0.77868999999999999</v>
      </c>
      <c r="AT89" s="198">
        <f t="shared" si="2229"/>
        <v>54</v>
      </c>
      <c r="AU89" s="225">
        <f t="shared" ref="AU89:AU96" si="2249">AT89/AT$68</f>
        <v>5.6779999999999997E-2</v>
      </c>
      <c r="AV89" s="226">
        <f t="shared" ref="AV89:AV96" si="2250">AV$68*AU89</f>
        <v>22.92</v>
      </c>
      <c r="AW89" s="137">
        <f t="shared" ref="AW89:AW97" si="2251">IF(AT89&gt;0,AV89/AT89,0)</f>
        <v>0.42444443999999998</v>
      </c>
      <c r="AX89" s="227">
        <f t="shared" si="2233"/>
        <v>1786.28</v>
      </c>
      <c r="AY89" s="138">
        <f t="shared" ref="AY89:AY97" si="2252">AW89*AX89</f>
        <v>758.17660999999998</v>
      </c>
      <c r="AZ89" s="110">
        <f t="shared" ref="AZ89:AZ97" si="2253">AY89*AT89</f>
        <v>40941.54</v>
      </c>
      <c r="BA89" s="110"/>
      <c r="BB89" s="139"/>
      <c r="BC89" s="140">
        <f t="shared" ref="BC89:BC97" si="2254">AY89/$LI89</f>
        <v>0.42843999999999999</v>
      </c>
      <c r="BD89" s="198">
        <f t="shared" si="2229"/>
        <v>38</v>
      </c>
      <c r="BE89" s="225">
        <f t="shared" ref="BE89:BE96" si="2255">BD89/BD$68</f>
        <v>5.108E-2</v>
      </c>
      <c r="BF89" s="226">
        <f t="shared" ref="BF89:BF96" si="2256">BF$68*BE89</f>
        <v>15.96</v>
      </c>
      <c r="BG89" s="137">
        <f t="shared" ref="BG89:BG97" si="2257">IF(BD89&gt;0,BF89/BD89,0)</f>
        <v>0.42</v>
      </c>
      <c r="BH89" s="227">
        <f t="shared" si="2233"/>
        <v>3163.33</v>
      </c>
      <c r="BI89" s="138">
        <f t="shared" ref="BI89:BI97" si="2258">BG89*BH89</f>
        <v>1328.5986</v>
      </c>
      <c r="BJ89" s="110">
        <f t="shared" ref="BJ89:BJ97" si="2259">BI89*BD89</f>
        <v>50486.75</v>
      </c>
      <c r="BK89" s="110"/>
      <c r="BL89" s="139"/>
      <c r="BM89" s="140">
        <f t="shared" ref="BM89:BM97" si="2260">BI89/$LI89</f>
        <v>0.75078</v>
      </c>
      <c r="BN89" s="198">
        <f t="shared" si="2229"/>
        <v>51</v>
      </c>
      <c r="BO89" s="225">
        <f t="shared" ref="BO89:BO96" si="2261">BN89/BN$68</f>
        <v>8.2659999999999997E-2</v>
      </c>
      <c r="BP89" s="226">
        <f t="shared" ref="BP89:BP96" si="2262">BP$68*BO89</f>
        <v>35.130000000000003</v>
      </c>
      <c r="BQ89" s="137">
        <f t="shared" ref="BQ89:BQ97" si="2263">IF(BN89&gt;0,BP89/BN89,0)</f>
        <v>0.68882352999999996</v>
      </c>
      <c r="BR89" s="227">
        <f t="shared" si="2233"/>
        <v>2182.42</v>
      </c>
      <c r="BS89" s="138">
        <f t="shared" ref="BS89:BS97" si="2264">BQ89*BR89</f>
        <v>1503.30225</v>
      </c>
      <c r="BT89" s="110">
        <f t="shared" ref="BT89:BT97" si="2265">BS89*BN89</f>
        <v>76668.41</v>
      </c>
      <c r="BU89" s="110"/>
      <c r="BV89" s="139"/>
      <c r="BW89" s="140">
        <f t="shared" ref="BW89:BW97" si="2266">BS89/$LI89</f>
        <v>0.84950999999999999</v>
      </c>
      <c r="BX89" s="198">
        <f t="shared" si="2229"/>
        <v>72</v>
      </c>
      <c r="BY89" s="225">
        <f t="shared" ref="BY89:BY96" si="2267">BX89/BX$68</f>
        <v>9.1370000000000007E-2</v>
      </c>
      <c r="BZ89" s="226">
        <f t="shared" ref="BZ89:BZ96" si="2268">BZ$68*BY89</f>
        <v>29.23</v>
      </c>
      <c r="CA89" s="137">
        <f t="shared" ref="CA89:CA97" si="2269">IF(BX89&gt;0,BZ89/BX89,0)</f>
        <v>0.40597221999999999</v>
      </c>
      <c r="CB89" s="227">
        <f t="shared" si="2233"/>
        <v>2644.05</v>
      </c>
      <c r="CC89" s="138">
        <f t="shared" ref="CC89:CC97" si="2270">CA89*CB89</f>
        <v>1073.41085</v>
      </c>
      <c r="CD89" s="110">
        <f t="shared" ref="CD89:CD97" si="2271">CC89*BX89</f>
        <v>77285.58</v>
      </c>
      <c r="CE89" s="110"/>
      <c r="CF89" s="139"/>
      <c r="CG89" s="140">
        <f t="shared" ref="CG89:CG97" si="2272">CC89/$LI89</f>
        <v>0.60658000000000001</v>
      </c>
      <c r="CH89" s="198">
        <f t="shared" ref="CH89:EP96" si="2273">CH31</f>
        <v>109</v>
      </c>
      <c r="CI89" s="225">
        <f t="shared" ref="CI89:CI96" si="2274">CH89/CH$68</f>
        <v>0.11797000000000001</v>
      </c>
      <c r="CJ89" s="226">
        <f t="shared" ref="CJ89:CJ96" si="2275">CJ$68*CI89</f>
        <v>44.23</v>
      </c>
      <c r="CK89" s="137">
        <f t="shared" ref="CK89:CK97" si="2276">IF(CH89&gt;0,CJ89/CH89,0)</f>
        <v>0.40577982000000001</v>
      </c>
      <c r="CL89" s="227">
        <f t="shared" ref="CL89:ET96" si="2277">CL$68</f>
        <v>2644.05</v>
      </c>
      <c r="CM89" s="138">
        <f t="shared" ref="CM89:CM97" si="2278">CK89*CL89</f>
        <v>1072.9021299999999</v>
      </c>
      <c r="CN89" s="110">
        <f t="shared" ref="CN89:CN97" si="2279">CM89*CH89</f>
        <v>116946.33</v>
      </c>
      <c r="CO89" s="110"/>
      <c r="CP89" s="139"/>
      <c r="CQ89" s="140">
        <f t="shared" ref="CQ89:CQ97" si="2280">CM89/$LI89</f>
        <v>0.60629</v>
      </c>
      <c r="CR89" s="198">
        <f t="shared" si="2273"/>
        <v>38</v>
      </c>
      <c r="CS89" s="225">
        <f t="shared" ref="CS89:CS96" si="2281">CR89/CR$68</f>
        <v>5.108E-2</v>
      </c>
      <c r="CT89" s="226">
        <f t="shared" ref="CT89:CT96" si="2282">CT$68*CS89</f>
        <v>25.54</v>
      </c>
      <c r="CU89" s="137">
        <f t="shared" ref="CU89:CU97" si="2283">IF(CR89&gt;0,CT89/CR89,0)</f>
        <v>0.67210526000000004</v>
      </c>
      <c r="CV89" s="227">
        <f t="shared" si="2277"/>
        <v>3163.33</v>
      </c>
      <c r="CW89" s="138">
        <f t="shared" ref="CW89:CW97" si="2284">CU89*CV89</f>
        <v>2126.0907299999999</v>
      </c>
      <c r="CX89" s="110">
        <f t="shared" ref="CX89:CX97" si="2285">CW89*CR89</f>
        <v>80791.45</v>
      </c>
      <c r="CY89" s="110"/>
      <c r="CZ89" s="139"/>
      <c r="DA89" s="140">
        <f t="shared" ref="DA89:DA97" si="2286">CW89/$LI89</f>
        <v>1.2014400000000001</v>
      </c>
      <c r="DB89" s="198">
        <f t="shared" si="2273"/>
        <v>86</v>
      </c>
      <c r="DC89" s="225">
        <f t="shared" ref="DC89:DC96" si="2287">DB89/DB$68</f>
        <v>0.10424</v>
      </c>
      <c r="DD89" s="226">
        <f t="shared" ref="DD89:DD96" si="2288">DD$68*DC89</f>
        <v>62.62</v>
      </c>
      <c r="DE89" s="137">
        <f t="shared" ref="DE89:DE97" si="2289">IF(DB89&gt;0,DD89/DB89,0)</f>
        <v>0.72813952999999998</v>
      </c>
      <c r="DF89" s="227">
        <f t="shared" si="2277"/>
        <v>2644.05</v>
      </c>
      <c r="DG89" s="138">
        <f t="shared" ref="DG89:DG97" si="2290">DE89*DF89</f>
        <v>1925.23732</v>
      </c>
      <c r="DH89" s="110">
        <f t="shared" ref="DH89:DH97" si="2291">DG89*DB89</f>
        <v>165570.41</v>
      </c>
      <c r="DI89" s="110"/>
      <c r="DJ89" s="139"/>
      <c r="DK89" s="140">
        <f t="shared" ref="DK89:DK97" si="2292">DG89/$LI89</f>
        <v>1.0879399999999999</v>
      </c>
      <c r="DL89" s="198">
        <f t="shared" si="2273"/>
        <v>0</v>
      </c>
      <c r="DM89" s="225">
        <f t="shared" ref="DM89:DM96" si="2293">DL89/DL$68</f>
        <v>0</v>
      </c>
      <c r="DN89" s="226">
        <f t="shared" ref="DN89:DN96" si="2294">DN$68*DM89</f>
        <v>0</v>
      </c>
      <c r="DO89" s="137">
        <f t="shared" ref="DO89:DO97" si="2295">IF(DL89&gt;0,DN89/DL89,0)</f>
        <v>0</v>
      </c>
      <c r="DP89" s="227">
        <f t="shared" si="2277"/>
        <v>2644.05</v>
      </c>
      <c r="DQ89" s="138">
        <f t="shared" ref="DQ89:DQ97" si="2296">DO89*DP89</f>
        <v>0</v>
      </c>
      <c r="DR89" s="110">
        <f t="shared" ref="DR89:DR97" si="2297">DQ89*DL89</f>
        <v>0</v>
      </c>
      <c r="DS89" s="110"/>
      <c r="DT89" s="139"/>
      <c r="DU89" s="140">
        <f t="shared" ref="DU89:DU97" si="2298">DQ89/$LI89</f>
        <v>0</v>
      </c>
      <c r="DV89" s="198">
        <f t="shared" si="2273"/>
        <v>49</v>
      </c>
      <c r="DW89" s="225">
        <f t="shared" ref="DW89:DW96" si="2299">DV89/DV$68</f>
        <v>5.5809999999999998E-2</v>
      </c>
      <c r="DX89" s="226">
        <f t="shared" ref="DX89:DX96" si="2300">DX$68*DW89</f>
        <v>15.5</v>
      </c>
      <c r="DY89" s="137">
        <f t="shared" ref="DY89:DY97" si="2301">IF(DV89&gt;0,DX89/DV89,0)</f>
        <v>0.31632652999999999</v>
      </c>
      <c r="DZ89" s="227">
        <f t="shared" si="2277"/>
        <v>2644.05</v>
      </c>
      <c r="EA89" s="138">
        <f t="shared" ref="EA89:EA97" si="2302">DY89*DZ89</f>
        <v>836.38315999999998</v>
      </c>
      <c r="EB89" s="110">
        <f t="shared" ref="EB89:EB97" si="2303">EA89*DV89</f>
        <v>40982.769999999997</v>
      </c>
      <c r="EC89" s="110"/>
      <c r="ED89" s="139"/>
      <c r="EE89" s="140">
        <f t="shared" ref="EE89:EE97" si="2304">EA89/$LI89</f>
        <v>0.47262999999999999</v>
      </c>
      <c r="EF89" s="198">
        <f t="shared" si="2273"/>
        <v>66</v>
      </c>
      <c r="EG89" s="225">
        <f t="shared" ref="EG89:EG96" si="2305">EF89/EF$68</f>
        <v>7.0290000000000005E-2</v>
      </c>
      <c r="EH89" s="226">
        <f t="shared" ref="EH89:EH96" si="2306">EH$68*EG89</f>
        <v>26.72</v>
      </c>
      <c r="EI89" s="137">
        <f t="shared" ref="EI89:EI97" si="2307">IF(EF89&gt;0,EH89/EF89,0)</f>
        <v>0.40484848000000001</v>
      </c>
      <c r="EJ89" s="227">
        <f t="shared" si="2277"/>
        <v>3163.33</v>
      </c>
      <c r="EK89" s="138">
        <f t="shared" ref="EK89:EK97" si="2308">EI89*EJ89</f>
        <v>1280.6693399999999</v>
      </c>
      <c r="EL89" s="110">
        <f t="shared" ref="EL89:EL97" si="2309">EK89*EF89</f>
        <v>84524.18</v>
      </c>
      <c r="EM89" s="110"/>
      <c r="EN89" s="139"/>
      <c r="EO89" s="140">
        <f t="shared" ref="EO89:EO97" si="2310">EK89/$LI89</f>
        <v>0.72370000000000001</v>
      </c>
      <c r="EP89" s="198">
        <f t="shared" si="2273"/>
        <v>72</v>
      </c>
      <c r="EQ89" s="225">
        <f t="shared" ref="EQ89:EQ96" si="2311">EP89/EP$68</f>
        <v>7.6350000000000001E-2</v>
      </c>
      <c r="ER89" s="226">
        <f t="shared" ref="ER89:ER96" si="2312">ER$68*EQ89</f>
        <v>54.55</v>
      </c>
      <c r="ES89" s="137">
        <f t="shared" ref="ES89:ES97" si="2313">IF(EP89&gt;0,ER89/EP89,0)</f>
        <v>0.75763888999999995</v>
      </c>
      <c r="ET89" s="227">
        <f t="shared" si="2277"/>
        <v>3163.33</v>
      </c>
      <c r="EU89" s="138">
        <f t="shared" ref="EU89:EU97" si="2314">ES89*ET89</f>
        <v>2396.66183</v>
      </c>
      <c r="EV89" s="110">
        <f t="shared" ref="EV89:EV97" si="2315">EU89*EP89</f>
        <v>172559.65</v>
      </c>
      <c r="EW89" s="110"/>
      <c r="EX89" s="139"/>
      <c r="EY89" s="140">
        <f t="shared" ref="EY89:EY97" si="2316">EU89/$LI89</f>
        <v>1.3543400000000001</v>
      </c>
      <c r="EZ89" s="198">
        <f t="shared" ref="EZ89:HH96" si="2317">EZ31</f>
        <v>45</v>
      </c>
      <c r="FA89" s="225">
        <f t="shared" ref="FA89:FA96" si="2318">EZ89/EZ$68</f>
        <v>4.0289999999999999E-2</v>
      </c>
      <c r="FB89" s="226">
        <f t="shared" ref="FB89:FB96" si="2319">FB$68*FA89</f>
        <v>0</v>
      </c>
      <c r="FC89" s="137">
        <f t="shared" ref="FC89:FC97" si="2320">IF(EZ89&gt;0,FB89/EZ89,0)</f>
        <v>0</v>
      </c>
      <c r="FD89" s="227">
        <f t="shared" ref="FD89:HL96" si="2321">FD$68</f>
        <v>0</v>
      </c>
      <c r="FE89" s="138">
        <f t="shared" ref="FE89:FE97" si="2322">FC89*FD89</f>
        <v>0</v>
      </c>
      <c r="FF89" s="110">
        <f t="shared" ref="FF89:FF97" si="2323">FE89*EZ89</f>
        <v>0</v>
      </c>
      <c r="FG89" s="110"/>
      <c r="FH89" s="139"/>
      <c r="FI89" s="140">
        <f t="shared" ref="FI89:FI97" si="2324">FE89/$LI89</f>
        <v>0</v>
      </c>
      <c r="FJ89" s="198">
        <f t="shared" si="2317"/>
        <v>102</v>
      </c>
      <c r="FK89" s="225">
        <f t="shared" ref="FK89:FK96" si="2325">FJ89/FJ$68</f>
        <v>9.98E-2</v>
      </c>
      <c r="FL89" s="226">
        <f t="shared" ref="FL89:FL96" si="2326">FL$68*FK89</f>
        <v>52.65</v>
      </c>
      <c r="FM89" s="137">
        <f t="shared" ref="FM89:FM97" si="2327">IF(FJ89&gt;0,FL89/FJ89,0)</f>
        <v>0.51617647</v>
      </c>
      <c r="FN89" s="227">
        <f t="shared" si="2321"/>
        <v>3163.33</v>
      </c>
      <c r="FO89" s="138">
        <f t="shared" ref="FO89:FO97" si="2328">FM89*FN89</f>
        <v>1632.8365100000001</v>
      </c>
      <c r="FP89" s="110">
        <f t="shared" ref="FP89:FP97" si="2329">FO89*FJ89</f>
        <v>166549.32</v>
      </c>
      <c r="FQ89" s="110"/>
      <c r="FR89" s="139"/>
      <c r="FS89" s="140">
        <f t="shared" ref="FS89:FS97" si="2330">FO89/$LI89</f>
        <v>0.92269999999999996</v>
      </c>
      <c r="FT89" s="198">
        <f t="shared" si="2317"/>
        <v>59</v>
      </c>
      <c r="FU89" s="225">
        <f t="shared" ref="FU89:FU96" si="2331">FT89/FT$68</f>
        <v>7.3469999999999994E-2</v>
      </c>
      <c r="FV89" s="226">
        <f t="shared" ref="FV89:FV96" si="2332">FV$68*FU89</f>
        <v>34.86</v>
      </c>
      <c r="FW89" s="137">
        <f t="shared" ref="FW89:FW97" si="2333">IF(FT89&gt;0,FV89/FT89,0)</f>
        <v>0.59084745999999999</v>
      </c>
      <c r="FX89" s="227">
        <f t="shared" si="2321"/>
        <v>3163.33</v>
      </c>
      <c r="FY89" s="138">
        <f t="shared" ref="FY89:FY97" si="2334">FW89*FX89</f>
        <v>1869.0454999999999</v>
      </c>
      <c r="FZ89" s="110">
        <f t="shared" ref="FZ89:FZ97" si="2335">FY89*FT89</f>
        <v>110273.68</v>
      </c>
      <c r="GA89" s="110"/>
      <c r="GB89" s="139"/>
      <c r="GC89" s="140">
        <f t="shared" ref="GC89:GC97" si="2336">FY89/$LI89</f>
        <v>1.0561799999999999</v>
      </c>
      <c r="GD89" s="198">
        <f t="shared" si="2317"/>
        <v>34</v>
      </c>
      <c r="GE89" s="225">
        <f t="shared" ref="GE89:GE96" si="2337">GD89/GD$68</f>
        <v>6.6409999999999997E-2</v>
      </c>
      <c r="GF89" s="226">
        <f t="shared" ref="GF89:GF96" si="2338">GF$68*GE89</f>
        <v>0</v>
      </c>
      <c r="GG89" s="137">
        <f t="shared" ref="GG89:GG97" si="2339">IF(GD89&gt;0,GF89/GD89,0)</f>
        <v>0</v>
      </c>
      <c r="GH89" s="227">
        <f t="shared" si="2321"/>
        <v>0</v>
      </c>
      <c r="GI89" s="138">
        <f t="shared" ref="GI89:GI97" si="2340">GG89*GH89</f>
        <v>0</v>
      </c>
      <c r="GJ89" s="110">
        <f t="shared" ref="GJ89:GJ97" si="2341">GI89*GD89</f>
        <v>0</v>
      </c>
      <c r="GK89" s="110"/>
      <c r="GL89" s="139"/>
      <c r="GM89" s="140">
        <f t="shared" ref="GM89:GM97" si="2342">GI89/$LI89</f>
        <v>0</v>
      </c>
      <c r="GN89" s="198">
        <f t="shared" si="2317"/>
        <v>86</v>
      </c>
      <c r="GO89" s="225">
        <f t="shared" ref="GO89:GO96" si="2343">GN89/GN$68</f>
        <v>9.9540000000000003E-2</v>
      </c>
      <c r="GP89" s="226">
        <f t="shared" ref="GP89:GP96" si="2344">GP$68*GO89</f>
        <v>80.63</v>
      </c>
      <c r="GQ89" s="137">
        <f t="shared" ref="GQ89:GQ97" si="2345">IF(GN89&gt;0,GP89/GN89,0)</f>
        <v>0.93755814000000004</v>
      </c>
      <c r="GR89" s="227">
        <f t="shared" si="2321"/>
        <v>2644.05</v>
      </c>
      <c r="GS89" s="138">
        <f t="shared" ref="GS89:GS97" si="2346">GQ89*GR89</f>
        <v>2478.9506000000001</v>
      </c>
      <c r="GT89" s="110">
        <f t="shared" ref="GT89:GT97" si="2347">GS89*GN89</f>
        <v>213189.75</v>
      </c>
      <c r="GU89" s="110"/>
      <c r="GV89" s="139"/>
      <c r="GW89" s="140">
        <f t="shared" ref="GW89:GW97" si="2348">GS89/$LI89</f>
        <v>1.4008400000000001</v>
      </c>
      <c r="GX89" s="198">
        <f t="shared" si="2317"/>
        <v>164</v>
      </c>
      <c r="GY89" s="225">
        <f t="shared" ref="GY89:GY96" si="2349">GX89/GX$68</f>
        <v>0.10117</v>
      </c>
      <c r="GZ89" s="226">
        <f t="shared" ref="GZ89:GZ96" si="2350">GZ$68*GY89</f>
        <v>51.6</v>
      </c>
      <c r="HA89" s="137">
        <f t="shared" ref="HA89:HA97" si="2351">IF(GX89&gt;0,GZ89/GX89,0)</f>
        <v>0.31463415</v>
      </c>
      <c r="HB89" s="227">
        <f t="shared" si="2321"/>
        <v>2644.05</v>
      </c>
      <c r="HC89" s="138">
        <f t="shared" ref="HC89:HC97" si="2352">HA89*HB89</f>
        <v>831.90841999999998</v>
      </c>
      <c r="HD89" s="110">
        <f t="shared" ref="HD89:HD97" si="2353">HC89*GX89</f>
        <v>136432.98000000001</v>
      </c>
      <c r="HE89" s="110"/>
      <c r="HF89" s="139"/>
      <c r="HG89" s="140">
        <f t="shared" ref="HG89:HG97" si="2354">HC89/$LI89</f>
        <v>0.47010999999999997</v>
      </c>
      <c r="HH89" s="198">
        <f t="shared" si="2317"/>
        <v>57</v>
      </c>
      <c r="HI89" s="225">
        <f t="shared" ref="HI89:HI96" si="2355">HH89/HH$68</f>
        <v>4.9480000000000003E-2</v>
      </c>
      <c r="HJ89" s="226">
        <f t="shared" ref="HJ89:HJ96" si="2356">HJ$68*HI89</f>
        <v>36.450000000000003</v>
      </c>
      <c r="HK89" s="137">
        <f t="shared" ref="HK89:HK97" si="2357">IF(HH89&gt;0,HJ89/HH89,0)</f>
        <v>0.63947368000000004</v>
      </c>
      <c r="HL89" s="227">
        <f t="shared" si="2321"/>
        <v>2597.2199999999998</v>
      </c>
      <c r="HM89" s="138">
        <f t="shared" ref="HM89:HM97" si="2358">HK89*HL89</f>
        <v>1660.85383</v>
      </c>
      <c r="HN89" s="110">
        <f t="shared" ref="HN89:HN97" si="2359">HM89*HH89</f>
        <v>94668.67</v>
      </c>
      <c r="HO89" s="110"/>
      <c r="HP89" s="139"/>
      <c r="HQ89" s="140">
        <f t="shared" ref="HQ89:HQ97" si="2360">HM89/$LI89</f>
        <v>0.93854000000000004</v>
      </c>
      <c r="HR89" s="198">
        <f t="shared" ref="HR89:JZ96" si="2361">HR31</f>
        <v>50</v>
      </c>
      <c r="HS89" s="225">
        <f t="shared" ref="HS89:HS96" si="2362">HR89/HR$68</f>
        <v>6.3450000000000006E-2</v>
      </c>
      <c r="HT89" s="226">
        <f t="shared" ref="HT89:HT96" si="2363">HT$68*HS89</f>
        <v>42.14</v>
      </c>
      <c r="HU89" s="137">
        <f t="shared" ref="HU89:HU97" si="2364">IF(HR89&gt;0,HT89/HR89,0)</f>
        <v>0.84279999999999999</v>
      </c>
      <c r="HV89" s="227">
        <f t="shared" ref="HV89:KD96" si="2365">HV$68</f>
        <v>3163.33</v>
      </c>
      <c r="HW89" s="138">
        <f t="shared" ref="HW89:HW97" si="2366">HU89*HV89</f>
        <v>2666.0545200000001</v>
      </c>
      <c r="HX89" s="110">
        <f t="shared" ref="HX89:HX97" si="2367">HW89*HR89</f>
        <v>133302.73000000001</v>
      </c>
      <c r="HY89" s="110"/>
      <c r="HZ89" s="139"/>
      <c r="IA89" s="140">
        <f t="shared" ref="IA89:IA97" si="2368">HW89/$LI89</f>
        <v>1.50657</v>
      </c>
      <c r="IB89" s="198">
        <f t="shared" si="2361"/>
        <v>29</v>
      </c>
      <c r="IC89" s="225">
        <f t="shared" ref="IC89:IC96" si="2369">IB89/IB$68</f>
        <v>5.2920000000000002E-2</v>
      </c>
      <c r="ID89" s="226">
        <f t="shared" ref="ID89:ID96" si="2370">ID$68*IC89</f>
        <v>35.99</v>
      </c>
      <c r="IE89" s="137">
        <f t="shared" ref="IE89:IE97" si="2371">IF(IB89&gt;0,ID89/IB89,0)</f>
        <v>1.2410344799999999</v>
      </c>
      <c r="IF89" s="227">
        <f t="shared" si="2365"/>
        <v>3163.33</v>
      </c>
      <c r="IG89" s="138">
        <f t="shared" ref="IG89:IG97" si="2372">IE89*IF89</f>
        <v>3925.8015999999998</v>
      </c>
      <c r="IH89" s="110">
        <f t="shared" ref="IH89:IH97" si="2373">IG89*IB89</f>
        <v>113848.25</v>
      </c>
      <c r="II89" s="110"/>
      <c r="IJ89" s="139"/>
      <c r="IK89" s="140">
        <f t="shared" ref="IK89:IK97" si="2374">IG89/$LI89</f>
        <v>2.2184400000000002</v>
      </c>
      <c r="IL89" s="198">
        <f t="shared" si="2361"/>
        <v>72</v>
      </c>
      <c r="IM89" s="225">
        <f t="shared" ref="IM89:IM96" si="2375">IL89/IL$68</f>
        <v>5.6919999999999998E-2</v>
      </c>
      <c r="IN89" s="226">
        <f t="shared" ref="IN89:IN96" si="2376">IN$68*IM89</f>
        <v>36.72</v>
      </c>
      <c r="IO89" s="137">
        <f t="shared" ref="IO89:IO97" si="2377">IF(IL89&gt;0,IN89/IL89,0)</f>
        <v>0.51</v>
      </c>
      <c r="IP89" s="227">
        <f t="shared" si="2365"/>
        <v>2644.05</v>
      </c>
      <c r="IQ89" s="138">
        <f t="shared" ref="IQ89:IQ97" si="2378">IO89*IP89</f>
        <v>1348.4655</v>
      </c>
      <c r="IR89" s="110">
        <f t="shared" ref="IR89:IR97" si="2379">IQ89*IL89</f>
        <v>97089.52</v>
      </c>
      <c r="IS89" s="110"/>
      <c r="IT89" s="139"/>
      <c r="IU89" s="140">
        <f t="shared" ref="IU89:IU97" si="2380">IQ89/$LI89</f>
        <v>0.76200999999999997</v>
      </c>
      <c r="IV89" s="198">
        <f t="shared" si="2361"/>
        <v>42</v>
      </c>
      <c r="IW89" s="225">
        <f t="shared" ref="IW89:IW96" si="2381">IV89/IV$68</f>
        <v>5.4469999999999998E-2</v>
      </c>
      <c r="IX89" s="226">
        <f t="shared" ref="IX89:IX96" si="2382">IX$68*IW89</f>
        <v>27.48</v>
      </c>
      <c r="IY89" s="137">
        <f t="shared" ref="IY89:IY97" si="2383">IF(IV89&gt;0,IX89/IV89,0)</f>
        <v>0.65428571000000002</v>
      </c>
      <c r="IZ89" s="227">
        <f t="shared" si="2365"/>
        <v>3163.33</v>
      </c>
      <c r="JA89" s="138">
        <f t="shared" ref="JA89:JA97" si="2384">IY89*IZ89</f>
        <v>2069.7216199999998</v>
      </c>
      <c r="JB89" s="110">
        <f t="shared" ref="JB89:JB97" si="2385">JA89*IV89</f>
        <v>86928.31</v>
      </c>
      <c r="JC89" s="110"/>
      <c r="JD89" s="139"/>
      <c r="JE89" s="140">
        <f t="shared" ref="JE89:JE97" si="2386">JA89/$LI89</f>
        <v>1.1695899999999999</v>
      </c>
      <c r="JF89" s="198">
        <f t="shared" si="2361"/>
        <v>105</v>
      </c>
      <c r="JG89" s="225">
        <f t="shared" ref="JG89:JG96" si="2387">JF89/JF$68</f>
        <v>7.8299999999999995E-2</v>
      </c>
      <c r="JH89" s="226">
        <f t="shared" ref="JH89:JH96" si="2388">JH$68*JG89</f>
        <v>70.47</v>
      </c>
      <c r="JI89" s="137">
        <f t="shared" ref="JI89:JI97" si="2389">IF(JF89&gt;0,JH89/JF89,0)</f>
        <v>0.67114286000000001</v>
      </c>
      <c r="JJ89" s="227">
        <f t="shared" si="2365"/>
        <v>2644.05</v>
      </c>
      <c r="JK89" s="138">
        <f t="shared" ref="JK89:JK97" si="2390">JI89*JJ89</f>
        <v>1774.5352800000001</v>
      </c>
      <c r="JL89" s="110">
        <f t="shared" ref="JL89:JL97" si="2391">JK89*JF89</f>
        <v>186326.2</v>
      </c>
      <c r="JM89" s="110"/>
      <c r="JN89" s="139"/>
      <c r="JO89" s="140">
        <f t="shared" ref="JO89:JO97" si="2392">JK89/$LI89</f>
        <v>1.00278</v>
      </c>
      <c r="JP89" s="198">
        <f t="shared" si="2361"/>
        <v>45</v>
      </c>
      <c r="JQ89" s="225">
        <f t="shared" ref="JQ89:JQ96" si="2393">JP89/JP$68</f>
        <v>3.603E-2</v>
      </c>
      <c r="JR89" s="226">
        <f t="shared" ref="JR89:JR96" si="2394">JR$68*JQ89</f>
        <v>27.56</v>
      </c>
      <c r="JS89" s="137">
        <f t="shared" ref="JS89:JS97" si="2395">IF(JP89&gt;0,JR89/JP89,0)</f>
        <v>0.61244443999999998</v>
      </c>
      <c r="JT89" s="227">
        <f t="shared" si="2365"/>
        <v>2632.02</v>
      </c>
      <c r="JU89" s="138">
        <f t="shared" ref="JU89:JU97" si="2396">JS89*JT89</f>
        <v>1611.9660100000001</v>
      </c>
      <c r="JV89" s="110">
        <f t="shared" ref="JV89:JV97" si="2397">JU89*JP89</f>
        <v>72538.47</v>
      </c>
      <c r="JW89" s="110"/>
      <c r="JX89" s="139"/>
      <c r="JY89" s="140">
        <f t="shared" ref="JY89:JY97" si="2398">JU89/$LI89</f>
        <v>0.91091</v>
      </c>
      <c r="JZ89" s="198">
        <f t="shared" si="2361"/>
        <v>120</v>
      </c>
      <c r="KA89" s="225">
        <f t="shared" ref="KA89:KA96" si="2399">JZ89/JZ$68</f>
        <v>0.10317999999999999</v>
      </c>
      <c r="KB89" s="226">
        <f t="shared" ref="KB89:KB96" si="2400">KB$68*KA89</f>
        <v>72.23</v>
      </c>
      <c r="KC89" s="137">
        <f t="shared" ref="KC89:KC97" si="2401">IF(JZ89&gt;0,KB89/JZ89,0)</f>
        <v>0.60191667000000004</v>
      </c>
      <c r="KD89" s="227">
        <f t="shared" si="2365"/>
        <v>3163.33</v>
      </c>
      <c r="KE89" s="138">
        <f t="shared" ref="KE89:KE97" si="2402">KC89*KD89</f>
        <v>1904.06106</v>
      </c>
      <c r="KF89" s="110">
        <f t="shared" ref="KF89:KF97" si="2403">KE89*JZ89</f>
        <v>228487.33</v>
      </c>
      <c r="KG89" s="110"/>
      <c r="KH89" s="139"/>
      <c r="KI89" s="140">
        <f t="shared" ref="KI89:KI97" si="2404">KE89/$LI89</f>
        <v>1.0759700000000001</v>
      </c>
      <c r="KJ89" s="198">
        <f t="shared" ref="KJ89:KT96" si="2405">KJ31</f>
        <v>143</v>
      </c>
      <c r="KK89" s="225">
        <f t="shared" ref="KK89:KK96" si="2406">KJ89/KJ$68</f>
        <v>0.10664</v>
      </c>
      <c r="KL89" s="226">
        <f t="shared" ref="KL89:KL96" si="2407">KL$68*KK89</f>
        <v>82.11</v>
      </c>
      <c r="KM89" s="137">
        <f t="shared" ref="KM89:KM97" si="2408">IF(KJ89&gt;0,KL89/KJ89,0)</f>
        <v>0.57419580000000003</v>
      </c>
      <c r="KN89" s="227">
        <f t="shared" ref="KN89:KX96" si="2409">KN$68</f>
        <v>2644.05</v>
      </c>
      <c r="KO89" s="138">
        <f t="shared" ref="KO89:KO97" si="2410">KM89*KN89</f>
        <v>1518.2023999999999</v>
      </c>
      <c r="KP89" s="110">
        <f t="shared" ref="KP89:KP97" si="2411">KO89*KJ89</f>
        <v>217102.94</v>
      </c>
      <c r="KQ89" s="110"/>
      <c r="KR89" s="139"/>
      <c r="KS89" s="140">
        <f t="shared" ref="KS89:KS97" si="2412">KO89/$LI89</f>
        <v>0.85792999999999997</v>
      </c>
      <c r="KT89" s="198">
        <f t="shared" si="2405"/>
        <v>56</v>
      </c>
      <c r="KU89" s="225">
        <f t="shared" ref="KU89:KU96" si="2413">KT89/KT$68</f>
        <v>4.9820000000000003E-2</v>
      </c>
      <c r="KV89" s="226">
        <f t="shared" ref="KV89:KV96" si="2414">KV$68*KU89</f>
        <v>139.5</v>
      </c>
      <c r="KW89" s="137">
        <f t="shared" ref="KW89:KW97" si="2415">IF(KT89&gt;0,KV89/KT89,0)</f>
        <v>2.4910714299999999</v>
      </c>
      <c r="KX89" s="227">
        <f t="shared" si="2409"/>
        <v>3163.33</v>
      </c>
      <c r="KY89" s="138">
        <f t="shared" ref="KY89:KY97" si="2416">KW89*KX89</f>
        <v>7880.0809900000004</v>
      </c>
      <c r="KZ89" s="110">
        <f t="shared" ref="KZ89:KZ97" si="2417">KY89*KT89</f>
        <v>441284.54</v>
      </c>
      <c r="LA89" s="110"/>
      <c r="LB89" s="139"/>
      <c r="LC89" s="140">
        <f t="shared" ref="LC89:LC97" si="2418">KY89/$LI89</f>
        <v>4.4529800000000002</v>
      </c>
      <c r="LD89" s="197">
        <f t="shared" si="2027"/>
        <v>2229</v>
      </c>
      <c r="LE89" s="225">
        <f t="shared" si="2028"/>
        <v>7.8090000000000007E-2</v>
      </c>
      <c r="LF89" s="226">
        <f t="shared" si="2029"/>
        <v>1374.59</v>
      </c>
      <c r="LG89" s="137">
        <f t="shared" si="2030"/>
        <v>0.61668460999999997</v>
      </c>
      <c r="LH89" s="227">
        <f t="shared" si="2031"/>
        <v>2869.57</v>
      </c>
      <c r="LI89" s="138">
        <f t="shared" si="2032"/>
        <v>1769.6196600000001</v>
      </c>
      <c r="LJ89" s="110">
        <f t="shared" si="2033"/>
        <v>3944482.22</v>
      </c>
      <c r="LK89" s="110"/>
      <c r="LL89" s="139"/>
    </row>
    <row r="90" spans="1:324" ht="17.25" hidden="1" customHeight="1" x14ac:dyDescent="0.25">
      <c r="A90" s="246"/>
      <c r="B90" s="92" t="s">
        <v>610</v>
      </c>
      <c r="C90" s="12" t="s">
        <v>728</v>
      </c>
      <c r="D90" s="12" t="s">
        <v>430</v>
      </c>
      <c r="E90" s="4" t="s">
        <v>34</v>
      </c>
      <c r="F90" s="198">
        <f t="shared" si="2228"/>
        <v>0</v>
      </c>
      <c r="G90" s="225">
        <f t="shared" si="2034"/>
        <v>0</v>
      </c>
      <c r="H90" s="226">
        <f t="shared" si="2035"/>
        <v>0</v>
      </c>
      <c r="I90" s="137">
        <f t="shared" si="1808"/>
        <v>0</v>
      </c>
      <c r="J90" s="227">
        <f t="shared" si="2036"/>
        <v>2644.05</v>
      </c>
      <c r="K90" s="138">
        <f t="shared" si="1809"/>
        <v>0</v>
      </c>
      <c r="L90" s="110">
        <f t="shared" si="1810"/>
        <v>0</v>
      </c>
      <c r="M90" s="110"/>
      <c r="N90" s="139"/>
      <c r="O90" s="140" t="e">
        <f t="shared" si="1811"/>
        <v>#DIV/0!</v>
      </c>
      <c r="P90" s="198">
        <f t="shared" si="2229"/>
        <v>0</v>
      </c>
      <c r="Q90" s="225">
        <f t="shared" si="2230"/>
        <v>0</v>
      </c>
      <c r="R90" s="226">
        <f t="shared" si="2231"/>
        <v>0</v>
      </c>
      <c r="S90" s="137">
        <f t="shared" si="2232"/>
        <v>0</v>
      </c>
      <c r="T90" s="227">
        <f t="shared" si="2233"/>
        <v>3163.33</v>
      </c>
      <c r="U90" s="138">
        <f t="shared" si="2234"/>
        <v>0</v>
      </c>
      <c r="V90" s="110">
        <f t="shared" si="2235"/>
        <v>0</v>
      </c>
      <c r="W90" s="110"/>
      <c r="X90" s="139"/>
      <c r="Y90" s="140" t="e">
        <f t="shared" si="2236"/>
        <v>#DIV/0!</v>
      </c>
      <c r="Z90" s="198">
        <f t="shared" si="2229"/>
        <v>0</v>
      </c>
      <c r="AA90" s="225">
        <f t="shared" si="2237"/>
        <v>0</v>
      </c>
      <c r="AB90" s="226">
        <f t="shared" si="2238"/>
        <v>0</v>
      </c>
      <c r="AC90" s="137">
        <f t="shared" si="2239"/>
        <v>0</v>
      </c>
      <c r="AD90" s="227">
        <f t="shared" si="2233"/>
        <v>2608.17</v>
      </c>
      <c r="AE90" s="138">
        <f t="shared" si="2240"/>
        <v>0</v>
      </c>
      <c r="AF90" s="110">
        <f t="shared" si="2241"/>
        <v>0</v>
      </c>
      <c r="AG90" s="110"/>
      <c r="AH90" s="139"/>
      <c r="AI90" s="140" t="e">
        <f t="shared" si="2242"/>
        <v>#DIV/0!</v>
      </c>
      <c r="AJ90" s="198">
        <f t="shared" si="2229"/>
        <v>0</v>
      </c>
      <c r="AK90" s="225">
        <f t="shared" si="2243"/>
        <v>0</v>
      </c>
      <c r="AL90" s="226">
        <f t="shared" si="2244"/>
        <v>0</v>
      </c>
      <c r="AM90" s="137">
        <f t="shared" si="2245"/>
        <v>0</v>
      </c>
      <c r="AN90" s="227">
        <f t="shared" si="2233"/>
        <v>2644.05</v>
      </c>
      <c r="AO90" s="138">
        <f t="shared" si="2246"/>
        <v>0</v>
      </c>
      <c r="AP90" s="110">
        <f t="shared" si="2247"/>
        <v>0</v>
      </c>
      <c r="AQ90" s="110"/>
      <c r="AR90" s="139"/>
      <c r="AS90" s="140" t="e">
        <f t="shared" si="2248"/>
        <v>#DIV/0!</v>
      </c>
      <c r="AT90" s="198">
        <f t="shared" si="2229"/>
        <v>0</v>
      </c>
      <c r="AU90" s="225">
        <f t="shared" si="2249"/>
        <v>0</v>
      </c>
      <c r="AV90" s="226">
        <f t="shared" si="2250"/>
        <v>0</v>
      </c>
      <c r="AW90" s="137">
        <f t="shared" si="2251"/>
        <v>0</v>
      </c>
      <c r="AX90" s="227">
        <f t="shared" si="2233"/>
        <v>1786.28</v>
      </c>
      <c r="AY90" s="138">
        <f t="shared" si="2252"/>
        <v>0</v>
      </c>
      <c r="AZ90" s="110">
        <f t="shared" si="2253"/>
        <v>0</v>
      </c>
      <c r="BA90" s="110"/>
      <c r="BB90" s="139"/>
      <c r="BC90" s="140" t="e">
        <f t="shared" si="2254"/>
        <v>#DIV/0!</v>
      </c>
      <c r="BD90" s="198">
        <f t="shared" si="2229"/>
        <v>0</v>
      </c>
      <c r="BE90" s="225">
        <f t="shared" si="2255"/>
        <v>0</v>
      </c>
      <c r="BF90" s="226">
        <f t="shared" si="2256"/>
        <v>0</v>
      </c>
      <c r="BG90" s="137">
        <f t="shared" si="2257"/>
        <v>0</v>
      </c>
      <c r="BH90" s="227">
        <f t="shared" si="2233"/>
        <v>3163.33</v>
      </c>
      <c r="BI90" s="138">
        <f t="shared" si="2258"/>
        <v>0</v>
      </c>
      <c r="BJ90" s="110">
        <f t="shared" si="2259"/>
        <v>0</v>
      </c>
      <c r="BK90" s="110"/>
      <c r="BL90" s="139"/>
      <c r="BM90" s="140" t="e">
        <f t="shared" si="2260"/>
        <v>#DIV/0!</v>
      </c>
      <c r="BN90" s="198">
        <f t="shared" si="2229"/>
        <v>0</v>
      </c>
      <c r="BO90" s="225">
        <f t="shared" si="2261"/>
        <v>0</v>
      </c>
      <c r="BP90" s="226">
        <f t="shared" si="2262"/>
        <v>0</v>
      </c>
      <c r="BQ90" s="137">
        <f t="shared" si="2263"/>
        <v>0</v>
      </c>
      <c r="BR90" s="227">
        <f t="shared" si="2233"/>
        <v>2182.42</v>
      </c>
      <c r="BS90" s="138">
        <f t="shared" si="2264"/>
        <v>0</v>
      </c>
      <c r="BT90" s="110">
        <f t="shared" si="2265"/>
        <v>0</v>
      </c>
      <c r="BU90" s="110"/>
      <c r="BV90" s="139"/>
      <c r="BW90" s="140" t="e">
        <f t="shared" si="2266"/>
        <v>#DIV/0!</v>
      </c>
      <c r="BX90" s="198">
        <f t="shared" si="2229"/>
        <v>0</v>
      </c>
      <c r="BY90" s="225">
        <f t="shared" si="2267"/>
        <v>0</v>
      </c>
      <c r="BZ90" s="226">
        <f t="shared" si="2268"/>
        <v>0</v>
      </c>
      <c r="CA90" s="137">
        <f t="shared" si="2269"/>
        <v>0</v>
      </c>
      <c r="CB90" s="227">
        <f t="shared" si="2233"/>
        <v>2644.05</v>
      </c>
      <c r="CC90" s="138">
        <f t="shared" si="2270"/>
        <v>0</v>
      </c>
      <c r="CD90" s="110">
        <f t="shared" si="2271"/>
        <v>0</v>
      </c>
      <c r="CE90" s="110"/>
      <c r="CF90" s="139"/>
      <c r="CG90" s="140" t="e">
        <f t="shared" si="2272"/>
        <v>#DIV/0!</v>
      </c>
      <c r="CH90" s="198">
        <f t="shared" si="2273"/>
        <v>0</v>
      </c>
      <c r="CI90" s="225">
        <f t="shared" si="2274"/>
        <v>0</v>
      </c>
      <c r="CJ90" s="226">
        <f t="shared" si="2275"/>
        <v>0</v>
      </c>
      <c r="CK90" s="137">
        <f t="shared" si="2276"/>
        <v>0</v>
      </c>
      <c r="CL90" s="227">
        <f t="shared" si="2277"/>
        <v>2644.05</v>
      </c>
      <c r="CM90" s="138">
        <f t="shared" si="2278"/>
        <v>0</v>
      </c>
      <c r="CN90" s="110">
        <f t="shared" si="2279"/>
        <v>0</v>
      </c>
      <c r="CO90" s="110"/>
      <c r="CP90" s="139"/>
      <c r="CQ90" s="140" t="e">
        <f t="shared" si="2280"/>
        <v>#DIV/0!</v>
      </c>
      <c r="CR90" s="198">
        <f t="shared" si="2273"/>
        <v>0</v>
      </c>
      <c r="CS90" s="225">
        <f t="shared" si="2281"/>
        <v>0</v>
      </c>
      <c r="CT90" s="226">
        <f t="shared" si="2282"/>
        <v>0</v>
      </c>
      <c r="CU90" s="137">
        <f t="shared" si="2283"/>
        <v>0</v>
      </c>
      <c r="CV90" s="227">
        <f t="shared" si="2277"/>
        <v>3163.33</v>
      </c>
      <c r="CW90" s="138">
        <f t="shared" si="2284"/>
        <v>0</v>
      </c>
      <c r="CX90" s="110">
        <f t="shared" si="2285"/>
        <v>0</v>
      </c>
      <c r="CY90" s="110"/>
      <c r="CZ90" s="139"/>
      <c r="DA90" s="140" t="e">
        <f t="shared" si="2286"/>
        <v>#DIV/0!</v>
      </c>
      <c r="DB90" s="198">
        <f t="shared" si="2273"/>
        <v>0</v>
      </c>
      <c r="DC90" s="225">
        <f t="shared" si="2287"/>
        <v>0</v>
      </c>
      <c r="DD90" s="226">
        <f t="shared" si="2288"/>
        <v>0</v>
      </c>
      <c r="DE90" s="137">
        <f t="shared" si="2289"/>
        <v>0</v>
      </c>
      <c r="DF90" s="227">
        <f t="shared" si="2277"/>
        <v>2644.05</v>
      </c>
      <c r="DG90" s="138">
        <f t="shared" si="2290"/>
        <v>0</v>
      </c>
      <c r="DH90" s="110">
        <f t="shared" si="2291"/>
        <v>0</v>
      </c>
      <c r="DI90" s="110"/>
      <c r="DJ90" s="139"/>
      <c r="DK90" s="140" t="e">
        <f t="shared" si="2292"/>
        <v>#DIV/0!</v>
      </c>
      <c r="DL90" s="198">
        <f t="shared" si="2273"/>
        <v>0</v>
      </c>
      <c r="DM90" s="225">
        <f t="shared" si="2293"/>
        <v>0</v>
      </c>
      <c r="DN90" s="226">
        <f t="shared" si="2294"/>
        <v>0</v>
      </c>
      <c r="DO90" s="137">
        <f t="shared" si="2295"/>
        <v>0</v>
      </c>
      <c r="DP90" s="227">
        <f t="shared" si="2277"/>
        <v>2644.05</v>
      </c>
      <c r="DQ90" s="138">
        <f t="shared" si="2296"/>
        <v>0</v>
      </c>
      <c r="DR90" s="110">
        <f t="shared" si="2297"/>
        <v>0</v>
      </c>
      <c r="DS90" s="110"/>
      <c r="DT90" s="139"/>
      <c r="DU90" s="140" t="e">
        <f t="shared" si="2298"/>
        <v>#DIV/0!</v>
      </c>
      <c r="DV90" s="198">
        <f t="shared" si="2273"/>
        <v>0</v>
      </c>
      <c r="DW90" s="225">
        <f t="shared" si="2299"/>
        <v>0</v>
      </c>
      <c r="DX90" s="226">
        <f t="shared" si="2300"/>
        <v>0</v>
      </c>
      <c r="DY90" s="137">
        <f t="shared" si="2301"/>
        <v>0</v>
      </c>
      <c r="DZ90" s="227">
        <f t="shared" si="2277"/>
        <v>2644.05</v>
      </c>
      <c r="EA90" s="138">
        <f t="shared" si="2302"/>
        <v>0</v>
      </c>
      <c r="EB90" s="110">
        <f t="shared" si="2303"/>
        <v>0</v>
      </c>
      <c r="EC90" s="110"/>
      <c r="ED90" s="139"/>
      <c r="EE90" s="140" t="e">
        <f t="shared" si="2304"/>
        <v>#DIV/0!</v>
      </c>
      <c r="EF90" s="198">
        <f t="shared" si="2273"/>
        <v>0</v>
      </c>
      <c r="EG90" s="225">
        <f t="shared" si="2305"/>
        <v>0</v>
      </c>
      <c r="EH90" s="226">
        <f t="shared" si="2306"/>
        <v>0</v>
      </c>
      <c r="EI90" s="137">
        <f t="shared" si="2307"/>
        <v>0</v>
      </c>
      <c r="EJ90" s="227">
        <f t="shared" si="2277"/>
        <v>3163.33</v>
      </c>
      <c r="EK90" s="138">
        <f t="shared" si="2308"/>
        <v>0</v>
      </c>
      <c r="EL90" s="110">
        <f t="shared" si="2309"/>
        <v>0</v>
      </c>
      <c r="EM90" s="110"/>
      <c r="EN90" s="139"/>
      <c r="EO90" s="140" t="e">
        <f t="shared" si="2310"/>
        <v>#DIV/0!</v>
      </c>
      <c r="EP90" s="198">
        <f t="shared" si="2273"/>
        <v>0</v>
      </c>
      <c r="EQ90" s="225">
        <f t="shared" si="2311"/>
        <v>0</v>
      </c>
      <c r="ER90" s="226">
        <f t="shared" si="2312"/>
        <v>0</v>
      </c>
      <c r="ES90" s="137">
        <f t="shared" si="2313"/>
        <v>0</v>
      </c>
      <c r="ET90" s="227">
        <f t="shared" si="2277"/>
        <v>3163.33</v>
      </c>
      <c r="EU90" s="138">
        <f t="shared" si="2314"/>
        <v>0</v>
      </c>
      <c r="EV90" s="110">
        <f t="shared" si="2315"/>
        <v>0</v>
      </c>
      <c r="EW90" s="110"/>
      <c r="EX90" s="139"/>
      <c r="EY90" s="140" t="e">
        <f t="shared" si="2316"/>
        <v>#DIV/0!</v>
      </c>
      <c r="EZ90" s="198">
        <f t="shared" si="2317"/>
        <v>0</v>
      </c>
      <c r="FA90" s="225">
        <f t="shared" si="2318"/>
        <v>0</v>
      </c>
      <c r="FB90" s="226">
        <f t="shared" si="2319"/>
        <v>0</v>
      </c>
      <c r="FC90" s="137">
        <f t="shared" si="2320"/>
        <v>0</v>
      </c>
      <c r="FD90" s="227">
        <f t="shared" si="2321"/>
        <v>0</v>
      </c>
      <c r="FE90" s="138">
        <f t="shared" si="2322"/>
        <v>0</v>
      </c>
      <c r="FF90" s="110">
        <f t="shared" si="2323"/>
        <v>0</v>
      </c>
      <c r="FG90" s="110"/>
      <c r="FH90" s="139"/>
      <c r="FI90" s="140" t="e">
        <f t="shared" si="2324"/>
        <v>#DIV/0!</v>
      </c>
      <c r="FJ90" s="198">
        <f t="shared" si="2317"/>
        <v>0</v>
      </c>
      <c r="FK90" s="225">
        <f t="shared" si="2325"/>
        <v>0</v>
      </c>
      <c r="FL90" s="226">
        <f t="shared" si="2326"/>
        <v>0</v>
      </c>
      <c r="FM90" s="137">
        <f t="shared" si="2327"/>
        <v>0</v>
      </c>
      <c r="FN90" s="227">
        <f t="shared" si="2321"/>
        <v>3163.33</v>
      </c>
      <c r="FO90" s="138">
        <f t="shared" si="2328"/>
        <v>0</v>
      </c>
      <c r="FP90" s="110">
        <f t="shared" si="2329"/>
        <v>0</v>
      </c>
      <c r="FQ90" s="110"/>
      <c r="FR90" s="139"/>
      <c r="FS90" s="140" t="e">
        <f t="shared" si="2330"/>
        <v>#DIV/0!</v>
      </c>
      <c r="FT90" s="198">
        <f t="shared" si="2317"/>
        <v>0</v>
      </c>
      <c r="FU90" s="225">
        <f t="shared" si="2331"/>
        <v>0</v>
      </c>
      <c r="FV90" s="226">
        <f t="shared" si="2332"/>
        <v>0</v>
      </c>
      <c r="FW90" s="137">
        <f t="shared" si="2333"/>
        <v>0</v>
      </c>
      <c r="FX90" s="227">
        <f t="shared" si="2321"/>
        <v>3163.33</v>
      </c>
      <c r="FY90" s="138">
        <f t="shared" si="2334"/>
        <v>0</v>
      </c>
      <c r="FZ90" s="110">
        <f t="shared" si="2335"/>
        <v>0</v>
      </c>
      <c r="GA90" s="110"/>
      <c r="GB90" s="139"/>
      <c r="GC90" s="140" t="e">
        <f t="shared" si="2336"/>
        <v>#DIV/0!</v>
      </c>
      <c r="GD90" s="198">
        <f t="shared" si="2317"/>
        <v>0</v>
      </c>
      <c r="GE90" s="225">
        <f t="shared" si="2337"/>
        <v>0</v>
      </c>
      <c r="GF90" s="226">
        <f t="shared" si="2338"/>
        <v>0</v>
      </c>
      <c r="GG90" s="137">
        <f t="shared" si="2339"/>
        <v>0</v>
      </c>
      <c r="GH90" s="227">
        <f t="shared" si="2321"/>
        <v>0</v>
      </c>
      <c r="GI90" s="138">
        <f t="shared" si="2340"/>
        <v>0</v>
      </c>
      <c r="GJ90" s="110">
        <f t="shared" si="2341"/>
        <v>0</v>
      </c>
      <c r="GK90" s="110"/>
      <c r="GL90" s="139"/>
      <c r="GM90" s="140" t="e">
        <f t="shared" si="2342"/>
        <v>#DIV/0!</v>
      </c>
      <c r="GN90" s="198">
        <f t="shared" si="2317"/>
        <v>0</v>
      </c>
      <c r="GO90" s="225">
        <f t="shared" si="2343"/>
        <v>0</v>
      </c>
      <c r="GP90" s="226">
        <f t="shared" si="2344"/>
        <v>0</v>
      </c>
      <c r="GQ90" s="137">
        <f t="shared" si="2345"/>
        <v>0</v>
      </c>
      <c r="GR90" s="227">
        <f t="shared" si="2321"/>
        <v>2644.05</v>
      </c>
      <c r="GS90" s="138">
        <f t="shared" si="2346"/>
        <v>0</v>
      </c>
      <c r="GT90" s="110">
        <f t="shared" si="2347"/>
        <v>0</v>
      </c>
      <c r="GU90" s="110"/>
      <c r="GV90" s="139"/>
      <c r="GW90" s="140" t="e">
        <f t="shared" si="2348"/>
        <v>#DIV/0!</v>
      </c>
      <c r="GX90" s="198">
        <f t="shared" si="2317"/>
        <v>0</v>
      </c>
      <c r="GY90" s="225">
        <f t="shared" si="2349"/>
        <v>0</v>
      </c>
      <c r="GZ90" s="226">
        <f t="shared" si="2350"/>
        <v>0</v>
      </c>
      <c r="HA90" s="137">
        <f t="shared" si="2351"/>
        <v>0</v>
      </c>
      <c r="HB90" s="227">
        <f t="shared" si="2321"/>
        <v>2644.05</v>
      </c>
      <c r="HC90" s="138">
        <f t="shared" si="2352"/>
        <v>0</v>
      </c>
      <c r="HD90" s="110">
        <f t="shared" si="2353"/>
        <v>0</v>
      </c>
      <c r="HE90" s="110"/>
      <c r="HF90" s="139"/>
      <c r="HG90" s="140" t="e">
        <f t="shared" si="2354"/>
        <v>#DIV/0!</v>
      </c>
      <c r="HH90" s="198">
        <f t="shared" si="2317"/>
        <v>0</v>
      </c>
      <c r="HI90" s="225">
        <f t="shared" si="2355"/>
        <v>0</v>
      </c>
      <c r="HJ90" s="226">
        <f t="shared" si="2356"/>
        <v>0</v>
      </c>
      <c r="HK90" s="137">
        <f t="shared" si="2357"/>
        <v>0</v>
      </c>
      <c r="HL90" s="227">
        <f t="shared" si="2321"/>
        <v>2597.2199999999998</v>
      </c>
      <c r="HM90" s="138">
        <f t="shared" si="2358"/>
        <v>0</v>
      </c>
      <c r="HN90" s="110">
        <f t="shared" si="2359"/>
        <v>0</v>
      </c>
      <c r="HO90" s="110"/>
      <c r="HP90" s="139"/>
      <c r="HQ90" s="140" t="e">
        <f t="shared" si="2360"/>
        <v>#DIV/0!</v>
      </c>
      <c r="HR90" s="198">
        <f t="shared" si="2361"/>
        <v>0</v>
      </c>
      <c r="HS90" s="225">
        <f t="shared" si="2362"/>
        <v>0</v>
      </c>
      <c r="HT90" s="226">
        <f t="shared" si="2363"/>
        <v>0</v>
      </c>
      <c r="HU90" s="137">
        <f t="shared" si="2364"/>
        <v>0</v>
      </c>
      <c r="HV90" s="227">
        <f t="shared" si="2365"/>
        <v>3163.33</v>
      </c>
      <c r="HW90" s="138">
        <f t="shared" si="2366"/>
        <v>0</v>
      </c>
      <c r="HX90" s="110">
        <f t="shared" si="2367"/>
        <v>0</v>
      </c>
      <c r="HY90" s="110"/>
      <c r="HZ90" s="139"/>
      <c r="IA90" s="140" t="e">
        <f t="shared" si="2368"/>
        <v>#DIV/0!</v>
      </c>
      <c r="IB90" s="198">
        <f t="shared" si="2361"/>
        <v>0</v>
      </c>
      <c r="IC90" s="225">
        <f t="shared" si="2369"/>
        <v>0</v>
      </c>
      <c r="ID90" s="226">
        <f t="shared" si="2370"/>
        <v>0</v>
      </c>
      <c r="IE90" s="137">
        <f t="shared" si="2371"/>
        <v>0</v>
      </c>
      <c r="IF90" s="227">
        <f t="shared" si="2365"/>
        <v>3163.33</v>
      </c>
      <c r="IG90" s="138">
        <f t="shared" si="2372"/>
        <v>0</v>
      </c>
      <c r="IH90" s="110">
        <f t="shared" si="2373"/>
        <v>0</v>
      </c>
      <c r="II90" s="110"/>
      <c r="IJ90" s="139"/>
      <c r="IK90" s="140" t="e">
        <f t="shared" si="2374"/>
        <v>#DIV/0!</v>
      </c>
      <c r="IL90" s="198">
        <f t="shared" si="2361"/>
        <v>0</v>
      </c>
      <c r="IM90" s="225">
        <f t="shared" si="2375"/>
        <v>0</v>
      </c>
      <c r="IN90" s="226">
        <f t="shared" si="2376"/>
        <v>0</v>
      </c>
      <c r="IO90" s="137">
        <f t="shared" si="2377"/>
        <v>0</v>
      </c>
      <c r="IP90" s="227">
        <f t="shared" si="2365"/>
        <v>2644.05</v>
      </c>
      <c r="IQ90" s="138">
        <f t="shared" si="2378"/>
        <v>0</v>
      </c>
      <c r="IR90" s="110">
        <f t="shared" si="2379"/>
        <v>0</v>
      </c>
      <c r="IS90" s="110"/>
      <c r="IT90" s="139"/>
      <c r="IU90" s="140" t="e">
        <f t="shared" si="2380"/>
        <v>#DIV/0!</v>
      </c>
      <c r="IV90" s="198">
        <f t="shared" si="2361"/>
        <v>0</v>
      </c>
      <c r="IW90" s="225">
        <f t="shared" si="2381"/>
        <v>0</v>
      </c>
      <c r="IX90" s="226">
        <f t="shared" si="2382"/>
        <v>0</v>
      </c>
      <c r="IY90" s="137">
        <f t="shared" si="2383"/>
        <v>0</v>
      </c>
      <c r="IZ90" s="227">
        <f t="shared" si="2365"/>
        <v>3163.33</v>
      </c>
      <c r="JA90" s="138">
        <f t="shared" si="2384"/>
        <v>0</v>
      </c>
      <c r="JB90" s="110">
        <f t="shared" si="2385"/>
        <v>0</v>
      </c>
      <c r="JC90" s="110"/>
      <c r="JD90" s="139"/>
      <c r="JE90" s="140" t="e">
        <f t="shared" si="2386"/>
        <v>#DIV/0!</v>
      </c>
      <c r="JF90" s="198">
        <f t="shared" si="2361"/>
        <v>0</v>
      </c>
      <c r="JG90" s="225">
        <f t="shared" si="2387"/>
        <v>0</v>
      </c>
      <c r="JH90" s="226">
        <f t="shared" si="2388"/>
        <v>0</v>
      </c>
      <c r="JI90" s="137">
        <f t="shared" si="2389"/>
        <v>0</v>
      </c>
      <c r="JJ90" s="227">
        <f t="shared" si="2365"/>
        <v>2644.05</v>
      </c>
      <c r="JK90" s="138">
        <f t="shared" si="2390"/>
        <v>0</v>
      </c>
      <c r="JL90" s="110">
        <f t="shared" si="2391"/>
        <v>0</v>
      </c>
      <c r="JM90" s="110"/>
      <c r="JN90" s="139"/>
      <c r="JO90" s="140" t="e">
        <f t="shared" si="2392"/>
        <v>#DIV/0!</v>
      </c>
      <c r="JP90" s="198">
        <f t="shared" si="2361"/>
        <v>0</v>
      </c>
      <c r="JQ90" s="225">
        <f t="shared" si="2393"/>
        <v>0</v>
      </c>
      <c r="JR90" s="226">
        <f t="shared" si="2394"/>
        <v>0</v>
      </c>
      <c r="JS90" s="137">
        <f t="shared" si="2395"/>
        <v>0</v>
      </c>
      <c r="JT90" s="227">
        <f t="shared" si="2365"/>
        <v>2632.02</v>
      </c>
      <c r="JU90" s="138">
        <f t="shared" si="2396"/>
        <v>0</v>
      </c>
      <c r="JV90" s="110">
        <f t="shared" si="2397"/>
        <v>0</v>
      </c>
      <c r="JW90" s="110"/>
      <c r="JX90" s="139"/>
      <c r="JY90" s="140" t="e">
        <f t="shared" si="2398"/>
        <v>#DIV/0!</v>
      </c>
      <c r="JZ90" s="198">
        <f t="shared" si="2361"/>
        <v>0</v>
      </c>
      <c r="KA90" s="225">
        <f t="shared" si="2399"/>
        <v>0</v>
      </c>
      <c r="KB90" s="226">
        <f t="shared" si="2400"/>
        <v>0</v>
      </c>
      <c r="KC90" s="137">
        <f t="shared" si="2401"/>
        <v>0</v>
      </c>
      <c r="KD90" s="227">
        <f t="shared" si="2365"/>
        <v>3163.33</v>
      </c>
      <c r="KE90" s="138">
        <f t="shared" si="2402"/>
        <v>0</v>
      </c>
      <c r="KF90" s="110">
        <f t="shared" si="2403"/>
        <v>0</v>
      </c>
      <c r="KG90" s="110"/>
      <c r="KH90" s="139"/>
      <c r="KI90" s="140" t="e">
        <f t="shared" si="2404"/>
        <v>#DIV/0!</v>
      </c>
      <c r="KJ90" s="198">
        <f t="shared" si="2405"/>
        <v>0</v>
      </c>
      <c r="KK90" s="225">
        <f t="shared" si="2406"/>
        <v>0</v>
      </c>
      <c r="KL90" s="226">
        <f t="shared" si="2407"/>
        <v>0</v>
      </c>
      <c r="KM90" s="137">
        <f t="shared" si="2408"/>
        <v>0</v>
      </c>
      <c r="KN90" s="227">
        <f t="shared" si="2409"/>
        <v>2644.05</v>
      </c>
      <c r="KO90" s="138">
        <f t="shared" si="2410"/>
        <v>0</v>
      </c>
      <c r="KP90" s="110">
        <f t="shared" si="2411"/>
        <v>0</v>
      </c>
      <c r="KQ90" s="110"/>
      <c r="KR90" s="139"/>
      <c r="KS90" s="140" t="e">
        <f t="shared" si="2412"/>
        <v>#DIV/0!</v>
      </c>
      <c r="KT90" s="198">
        <f t="shared" si="2405"/>
        <v>0</v>
      </c>
      <c r="KU90" s="225">
        <f t="shared" si="2413"/>
        <v>0</v>
      </c>
      <c r="KV90" s="226">
        <f t="shared" si="2414"/>
        <v>0</v>
      </c>
      <c r="KW90" s="137">
        <f t="shared" si="2415"/>
        <v>0</v>
      </c>
      <c r="KX90" s="227">
        <f t="shared" si="2409"/>
        <v>3163.33</v>
      </c>
      <c r="KY90" s="138">
        <f t="shared" si="2416"/>
        <v>0</v>
      </c>
      <c r="KZ90" s="110">
        <f t="shared" si="2417"/>
        <v>0</v>
      </c>
      <c r="LA90" s="110"/>
      <c r="LB90" s="139"/>
      <c r="LC90" s="140" t="e">
        <f t="shared" si="2418"/>
        <v>#DIV/0!</v>
      </c>
      <c r="LD90" s="197">
        <f t="shared" si="2027"/>
        <v>0</v>
      </c>
      <c r="LE90" s="225">
        <f t="shared" si="2028"/>
        <v>0</v>
      </c>
      <c r="LF90" s="226">
        <f t="shared" si="2029"/>
        <v>0</v>
      </c>
      <c r="LG90" s="137">
        <f t="shared" si="2030"/>
        <v>0</v>
      </c>
      <c r="LH90" s="227">
        <f t="shared" si="2031"/>
        <v>2869.57</v>
      </c>
      <c r="LI90" s="138">
        <f t="shared" si="2032"/>
        <v>0</v>
      </c>
      <c r="LJ90" s="110">
        <f t="shared" si="2033"/>
        <v>0</v>
      </c>
      <c r="LK90" s="110"/>
      <c r="LL90" s="139"/>
    </row>
    <row r="91" spans="1:324" ht="17.25" hidden="1" customHeight="1" x14ac:dyDescent="0.25">
      <c r="A91" s="246"/>
      <c r="B91" s="92" t="s">
        <v>625</v>
      </c>
      <c r="C91" s="12" t="s">
        <v>728</v>
      </c>
      <c r="D91" s="12" t="s">
        <v>430</v>
      </c>
      <c r="E91" s="4" t="s">
        <v>34</v>
      </c>
      <c r="F91" s="198">
        <f t="shared" si="2228"/>
        <v>0</v>
      </c>
      <c r="G91" s="225">
        <f t="shared" si="2034"/>
        <v>0</v>
      </c>
      <c r="H91" s="226">
        <f t="shared" si="2035"/>
        <v>0</v>
      </c>
      <c r="I91" s="137">
        <f t="shared" si="1808"/>
        <v>0</v>
      </c>
      <c r="J91" s="227">
        <f t="shared" si="2036"/>
        <v>2644.05</v>
      </c>
      <c r="K91" s="138">
        <f t="shared" si="1809"/>
        <v>0</v>
      </c>
      <c r="L91" s="110">
        <f t="shared" si="1810"/>
        <v>0</v>
      </c>
      <c r="M91" s="110"/>
      <c r="N91" s="139"/>
      <c r="O91" s="140" t="e">
        <f t="shared" si="1811"/>
        <v>#DIV/0!</v>
      </c>
      <c r="P91" s="198">
        <f t="shared" si="2229"/>
        <v>0</v>
      </c>
      <c r="Q91" s="225">
        <f t="shared" si="2230"/>
        <v>0</v>
      </c>
      <c r="R91" s="226">
        <f t="shared" si="2231"/>
        <v>0</v>
      </c>
      <c r="S91" s="137">
        <f t="shared" si="2232"/>
        <v>0</v>
      </c>
      <c r="T91" s="227">
        <f t="shared" si="2233"/>
        <v>3163.33</v>
      </c>
      <c r="U91" s="138">
        <f t="shared" si="2234"/>
        <v>0</v>
      </c>
      <c r="V91" s="110">
        <f t="shared" si="2235"/>
        <v>0</v>
      </c>
      <c r="W91" s="110"/>
      <c r="X91" s="139"/>
      <c r="Y91" s="140" t="e">
        <f t="shared" si="2236"/>
        <v>#DIV/0!</v>
      </c>
      <c r="Z91" s="198">
        <f t="shared" si="2229"/>
        <v>0</v>
      </c>
      <c r="AA91" s="225">
        <f t="shared" si="2237"/>
        <v>0</v>
      </c>
      <c r="AB91" s="226">
        <f t="shared" si="2238"/>
        <v>0</v>
      </c>
      <c r="AC91" s="137">
        <f t="shared" si="2239"/>
        <v>0</v>
      </c>
      <c r="AD91" s="227">
        <f t="shared" si="2233"/>
        <v>2608.17</v>
      </c>
      <c r="AE91" s="138">
        <f t="shared" si="2240"/>
        <v>0</v>
      </c>
      <c r="AF91" s="110">
        <f t="shared" si="2241"/>
        <v>0</v>
      </c>
      <c r="AG91" s="110"/>
      <c r="AH91" s="139"/>
      <c r="AI91" s="140" t="e">
        <f t="shared" si="2242"/>
        <v>#DIV/0!</v>
      </c>
      <c r="AJ91" s="198">
        <f t="shared" si="2229"/>
        <v>0</v>
      </c>
      <c r="AK91" s="225">
        <f t="shared" si="2243"/>
        <v>0</v>
      </c>
      <c r="AL91" s="226">
        <f t="shared" si="2244"/>
        <v>0</v>
      </c>
      <c r="AM91" s="137">
        <f t="shared" si="2245"/>
        <v>0</v>
      </c>
      <c r="AN91" s="227">
        <f t="shared" si="2233"/>
        <v>2644.05</v>
      </c>
      <c r="AO91" s="138">
        <f t="shared" si="2246"/>
        <v>0</v>
      </c>
      <c r="AP91" s="110">
        <f t="shared" si="2247"/>
        <v>0</v>
      </c>
      <c r="AQ91" s="110"/>
      <c r="AR91" s="139"/>
      <c r="AS91" s="140" t="e">
        <f t="shared" si="2248"/>
        <v>#DIV/0!</v>
      </c>
      <c r="AT91" s="198">
        <f t="shared" si="2229"/>
        <v>0</v>
      </c>
      <c r="AU91" s="225">
        <f t="shared" si="2249"/>
        <v>0</v>
      </c>
      <c r="AV91" s="226">
        <f t="shared" si="2250"/>
        <v>0</v>
      </c>
      <c r="AW91" s="137">
        <f t="shared" si="2251"/>
        <v>0</v>
      </c>
      <c r="AX91" s="227">
        <f t="shared" si="2233"/>
        <v>1786.28</v>
      </c>
      <c r="AY91" s="138">
        <f t="shared" si="2252"/>
        <v>0</v>
      </c>
      <c r="AZ91" s="110">
        <f t="shared" si="2253"/>
        <v>0</v>
      </c>
      <c r="BA91" s="110"/>
      <c r="BB91" s="139"/>
      <c r="BC91" s="140" t="e">
        <f t="shared" si="2254"/>
        <v>#DIV/0!</v>
      </c>
      <c r="BD91" s="198">
        <f t="shared" si="2229"/>
        <v>0</v>
      </c>
      <c r="BE91" s="225">
        <f t="shared" si="2255"/>
        <v>0</v>
      </c>
      <c r="BF91" s="226">
        <f t="shared" si="2256"/>
        <v>0</v>
      </c>
      <c r="BG91" s="137">
        <f t="shared" si="2257"/>
        <v>0</v>
      </c>
      <c r="BH91" s="227">
        <f t="shared" si="2233"/>
        <v>3163.33</v>
      </c>
      <c r="BI91" s="138">
        <f t="shared" si="2258"/>
        <v>0</v>
      </c>
      <c r="BJ91" s="110">
        <f t="shared" si="2259"/>
        <v>0</v>
      </c>
      <c r="BK91" s="110"/>
      <c r="BL91" s="139"/>
      <c r="BM91" s="140" t="e">
        <f t="shared" si="2260"/>
        <v>#DIV/0!</v>
      </c>
      <c r="BN91" s="198">
        <f t="shared" si="2229"/>
        <v>0</v>
      </c>
      <c r="BO91" s="225">
        <f t="shared" si="2261"/>
        <v>0</v>
      </c>
      <c r="BP91" s="226">
        <f t="shared" si="2262"/>
        <v>0</v>
      </c>
      <c r="BQ91" s="137">
        <f t="shared" si="2263"/>
        <v>0</v>
      </c>
      <c r="BR91" s="227">
        <f t="shared" si="2233"/>
        <v>2182.42</v>
      </c>
      <c r="BS91" s="138">
        <f t="shared" si="2264"/>
        <v>0</v>
      </c>
      <c r="BT91" s="110">
        <f t="shared" si="2265"/>
        <v>0</v>
      </c>
      <c r="BU91" s="110"/>
      <c r="BV91" s="139"/>
      <c r="BW91" s="140" t="e">
        <f t="shared" si="2266"/>
        <v>#DIV/0!</v>
      </c>
      <c r="BX91" s="198">
        <f t="shared" si="2229"/>
        <v>0</v>
      </c>
      <c r="BY91" s="225">
        <f t="shared" si="2267"/>
        <v>0</v>
      </c>
      <c r="BZ91" s="226">
        <f t="shared" si="2268"/>
        <v>0</v>
      </c>
      <c r="CA91" s="137">
        <f t="shared" si="2269"/>
        <v>0</v>
      </c>
      <c r="CB91" s="227">
        <f t="shared" si="2233"/>
        <v>2644.05</v>
      </c>
      <c r="CC91" s="138">
        <f t="shared" si="2270"/>
        <v>0</v>
      </c>
      <c r="CD91" s="110">
        <f t="shared" si="2271"/>
        <v>0</v>
      </c>
      <c r="CE91" s="110"/>
      <c r="CF91" s="139"/>
      <c r="CG91" s="140" t="e">
        <f t="shared" si="2272"/>
        <v>#DIV/0!</v>
      </c>
      <c r="CH91" s="198">
        <f t="shared" si="2273"/>
        <v>0</v>
      </c>
      <c r="CI91" s="225">
        <f t="shared" si="2274"/>
        <v>0</v>
      </c>
      <c r="CJ91" s="226">
        <f t="shared" si="2275"/>
        <v>0</v>
      </c>
      <c r="CK91" s="137">
        <f t="shared" si="2276"/>
        <v>0</v>
      </c>
      <c r="CL91" s="227">
        <f t="shared" si="2277"/>
        <v>2644.05</v>
      </c>
      <c r="CM91" s="138">
        <f t="shared" si="2278"/>
        <v>0</v>
      </c>
      <c r="CN91" s="110">
        <f t="shared" si="2279"/>
        <v>0</v>
      </c>
      <c r="CO91" s="110"/>
      <c r="CP91" s="139"/>
      <c r="CQ91" s="140" t="e">
        <f t="shared" si="2280"/>
        <v>#DIV/0!</v>
      </c>
      <c r="CR91" s="198">
        <f t="shared" si="2273"/>
        <v>0</v>
      </c>
      <c r="CS91" s="225">
        <f t="shared" si="2281"/>
        <v>0</v>
      </c>
      <c r="CT91" s="226">
        <f t="shared" si="2282"/>
        <v>0</v>
      </c>
      <c r="CU91" s="137">
        <f t="shared" si="2283"/>
        <v>0</v>
      </c>
      <c r="CV91" s="227">
        <f t="shared" si="2277"/>
        <v>3163.33</v>
      </c>
      <c r="CW91" s="138">
        <f t="shared" si="2284"/>
        <v>0</v>
      </c>
      <c r="CX91" s="110">
        <f t="shared" si="2285"/>
        <v>0</v>
      </c>
      <c r="CY91" s="110"/>
      <c r="CZ91" s="139"/>
      <c r="DA91" s="140" t="e">
        <f t="shared" si="2286"/>
        <v>#DIV/0!</v>
      </c>
      <c r="DB91" s="198">
        <f t="shared" si="2273"/>
        <v>0</v>
      </c>
      <c r="DC91" s="225">
        <f t="shared" si="2287"/>
        <v>0</v>
      </c>
      <c r="DD91" s="226">
        <f t="shared" si="2288"/>
        <v>0</v>
      </c>
      <c r="DE91" s="137">
        <f t="shared" si="2289"/>
        <v>0</v>
      </c>
      <c r="DF91" s="227">
        <f t="shared" si="2277"/>
        <v>2644.05</v>
      </c>
      <c r="DG91" s="138">
        <f t="shared" si="2290"/>
        <v>0</v>
      </c>
      <c r="DH91" s="110">
        <f t="shared" si="2291"/>
        <v>0</v>
      </c>
      <c r="DI91" s="110"/>
      <c r="DJ91" s="139"/>
      <c r="DK91" s="140" t="e">
        <f t="shared" si="2292"/>
        <v>#DIV/0!</v>
      </c>
      <c r="DL91" s="198">
        <f t="shared" si="2273"/>
        <v>0</v>
      </c>
      <c r="DM91" s="225">
        <f t="shared" si="2293"/>
        <v>0</v>
      </c>
      <c r="DN91" s="226">
        <f t="shared" si="2294"/>
        <v>0</v>
      </c>
      <c r="DO91" s="137">
        <f t="shared" si="2295"/>
        <v>0</v>
      </c>
      <c r="DP91" s="227">
        <f t="shared" si="2277"/>
        <v>2644.05</v>
      </c>
      <c r="DQ91" s="138">
        <f t="shared" si="2296"/>
        <v>0</v>
      </c>
      <c r="DR91" s="110">
        <f t="shared" si="2297"/>
        <v>0</v>
      </c>
      <c r="DS91" s="110"/>
      <c r="DT91" s="139"/>
      <c r="DU91" s="140" t="e">
        <f t="shared" si="2298"/>
        <v>#DIV/0!</v>
      </c>
      <c r="DV91" s="198">
        <f t="shared" si="2273"/>
        <v>0</v>
      </c>
      <c r="DW91" s="225">
        <f t="shared" si="2299"/>
        <v>0</v>
      </c>
      <c r="DX91" s="226">
        <f t="shared" si="2300"/>
        <v>0</v>
      </c>
      <c r="DY91" s="137">
        <f t="shared" si="2301"/>
        <v>0</v>
      </c>
      <c r="DZ91" s="227">
        <f t="shared" si="2277"/>
        <v>2644.05</v>
      </c>
      <c r="EA91" s="138">
        <f t="shared" si="2302"/>
        <v>0</v>
      </c>
      <c r="EB91" s="110">
        <f t="shared" si="2303"/>
        <v>0</v>
      </c>
      <c r="EC91" s="110"/>
      <c r="ED91" s="139"/>
      <c r="EE91" s="140" t="e">
        <f t="shared" si="2304"/>
        <v>#DIV/0!</v>
      </c>
      <c r="EF91" s="198">
        <f t="shared" si="2273"/>
        <v>0</v>
      </c>
      <c r="EG91" s="225">
        <f t="shared" si="2305"/>
        <v>0</v>
      </c>
      <c r="EH91" s="226">
        <f t="shared" si="2306"/>
        <v>0</v>
      </c>
      <c r="EI91" s="137">
        <f t="shared" si="2307"/>
        <v>0</v>
      </c>
      <c r="EJ91" s="227">
        <f t="shared" si="2277"/>
        <v>3163.33</v>
      </c>
      <c r="EK91" s="138">
        <f t="shared" si="2308"/>
        <v>0</v>
      </c>
      <c r="EL91" s="110">
        <f t="shared" si="2309"/>
        <v>0</v>
      </c>
      <c r="EM91" s="110"/>
      <c r="EN91" s="139"/>
      <c r="EO91" s="140" t="e">
        <f t="shared" si="2310"/>
        <v>#DIV/0!</v>
      </c>
      <c r="EP91" s="198">
        <f t="shared" si="2273"/>
        <v>0</v>
      </c>
      <c r="EQ91" s="225">
        <f t="shared" si="2311"/>
        <v>0</v>
      </c>
      <c r="ER91" s="226">
        <f t="shared" si="2312"/>
        <v>0</v>
      </c>
      <c r="ES91" s="137">
        <f t="shared" si="2313"/>
        <v>0</v>
      </c>
      <c r="ET91" s="227">
        <f t="shared" si="2277"/>
        <v>3163.33</v>
      </c>
      <c r="EU91" s="138">
        <f t="shared" si="2314"/>
        <v>0</v>
      </c>
      <c r="EV91" s="110">
        <f t="shared" si="2315"/>
        <v>0</v>
      </c>
      <c r="EW91" s="110"/>
      <c r="EX91" s="139"/>
      <c r="EY91" s="140" t="e">
        <f t="shared" si="2316"/>
        <v>#DIV/0!</v>
      </c>
      <c r="EZ91" s="198">
        <f t="shared" si="2317"/>
        <v>0</v>
      </c>
      <c r="FA91" s="225">
        <f t="shared" si="2318"/>
        <v>0</v>
      </c>
      <c r="FB91" s="226">
        <f t="shared" si="2319"/>
        <v>0</v>
      </c>
      <c r="FC91" s="137">
        <f t="shared" si="2320"/>
        <v>0</v>
      </c>
      <c r="FD91" s="227">
        <f t="shared" si="2321"/>
        <v>0</v>
      </c>
      <c r="FE91" s="138">
        <f t="shared" si="2322"/>
        <v>0</v>
      </c>
      <c r="FF91" s="110">
        <f t="shared" si="2323"/>
        <v>0</v>
      </c>
      <c r="FG91" s="110"/>
      <c r="FH91" s="139"/>
      <c r="FI91" s="140" t="e">
        <f t="shared" si="2324"/>
        <v>#DIV/0!</v>
      </c>
      <c r="FJ91" s="198">
        <f t="shared" si="2317"/>
        <v>0</v>
      </c>
      <c r="FK91" s="225">
        <f t="shared" si="2325"/>
        <v>0</v>
      </c>
      <c r="FL91" s="226">
        <f t="shared" si="2326"/>
        <v>0</v>
      </c>
      <c r="FM91" s="137">
        <f t="shared" si="2327"/>
        <v>0</v>
      </c>
      <c r="FN91" s="227">
        <f t="shared" si="2321"/>
        <v>3163.33</v>
      </c>
      <c r="FO91" s="138">
        <f t="shared" si="2328"/>
        <v>0</v>
      </c>
      <c r="FP91" s="110">
        <f t="shared" si="2329"/>
        <v>0</v>
      </c>
      <c r="FQ91" s="110"/>
      <c r="FR91" s="139"/>
      <c r="FS91" s="140" t="e">
        <f t="shared" si="2330"/>
        <v>#DIV/0!</v>
      </c>
      <c r="FT91" s="198">
        <f t="shared" si="2317"/>
        <v>0</v>
      </c>
      <c r="FU91" s="225">
        <f t="shared" si="2331"/>
        <v>0</v>
      </c>
      <c r="FV91" s="226">
        <f t="shared" si="2332"/>
        <v>0</v>
      </c>
      <c r="FW91" s="137">
        <f t="shared" si="2333"/>
        <v>0</v>
      </c>
      <c r="FX91" s="227">
        <f t="shared" si="2321"/>
        <v>3163.33</v>
      </c>
      <c r="FY91" s="138">
        <f t="shared" si="2334"/>
        <v>0</v>
      </c>
      <c r="FZ91" s="110">
        <f t="shared" si="2335"/>
        <v>0</v>
      </c>
      <c r="GA91" s="110"/>
      <c r="GB91" s="139"/>
      <c r="GC91" s="140" t="e">
        <f t="shared" si="2336"/>
        <v>#DIV/0!</v>
      </c>
      <c r="GD91" s="198">
        <f t="shared" si="2317"/>
        <v>0</v>
      </c>
      <c r="GE91" s="225">
        <f t="shared" si="2337"/>
        <v>0</v>
      </c>
      <c r="GF91" s="226">
        <f t="shared" si="2338"/>
        <v>0</v>
      </c>
      <c r="GG91" s="137">
        <f t="shared" si="2339"/>
        <v>0</v>
      </c>
      <c r="GH91" s="227">
        <f t="shared" si="2321"/>
        <v>0</v>
      </c>
      <c r="GI91" s="138">
        <f t="shared" si="2340"/>
        <v>0</v>
      </c>
      <c r="GJ91" s="110">
        <f t="shared" si="2341"/>
        <v>0</v>
      </c>
      <c r="GK91" s="110"/>
      <c r="GL91" s="139"/>
      <c r="GM91" s="140" t="e">
        <f t="shared" si="2342"/>
        <v>#DIV/0!</v>
      </c>
      <c r="GN91" s="198">
        <f t="shared" si="2317"/>
        <v>0</v>
      </c>
      <c r="GO91" s="225">
        <f t="shared" si="2343"/>
        <v>0</v>
      </c>
      <c r="GP91" s="226">
        <f t="shared" si="2344"/>
        <v>0</v>
      </c>
      <c r="GQ91" s="137">
        <f t="shared" si="2345"/>
        <v>0</v>
      </c>
      <c r="GR91" s="227">
        <f t="shared" si="2321"/>
        <v>2644.05</v>
      </c>
      <c r="GS91" s="138">
        <f t="shared" si="2346"/>
        <v>0</v>
      </c>
      <c r="GT91" s="110">
        <f t="shared" si="2347"/>
        <v>0</v>
      </c>
      <c r="GU91" s="110"/>
      <c r="GV91" s="139"/>
      <c r="GW91" s="140" t="e">
        <f t="shared" si="2348"/>
        <v>#DIV/0!</v>
      </c>
      <c r="GX91" s="198">
        <f t="shared" si="2317"/>
        <v>0</v>
      </c>
      <c r="GY91" s="225">
        <f t="shared" si="2349"/>
        <v>0</v>
      </c>
      <c r="GZ91" s="226">
        <f t="shared" si="2350"/>
        <v>0</v>
      </c>
      <c r="HA91" s="137">
        <f t="shared" si="2351"/>
        <v>0</v>
      </c>
      <c r="HB91" s="227">
        <f t="shared" si="2321"/>
        <v>2644.05</v>
      </c>
      <c r="HC91" s="138">
        <f t="shared" si="2352"/>
        <v>0</v>
      </c>
      <c r="HD91" s="110">
        <f t="shared" si="2353"/>
        <v>0</v>
      </c>
      <c r="HE91" s="110"/>
      <c r="HF91" s="139"/>
      <c r="HG91" s="140" t="e">
        <f t="shared" si="2354"/>
        <v>#DIV/0!</v>
      </c>
      <c r="HH91" s="198">
        <f t="shared" si="2317"/>
        <v>0</v>
      </c>
      <c r="HI91" s="225">
        <f t="shared" si="2355"/>
        <v>0</v>
      </c>
      <c r="HJ91" s="226">
        <f t="shared" si="2356"/>
        <v>0</v>
      </c>
      <c r="HK91" s="137">
        <f t="shared" si="2357"/>
        <v>0</v>
      </c>
      <c r="HL91" s="227">
        <f t="shared" si="2321"/>
        <v>2597.2199999999998</v>
      </c>
      <c r="HM91" s="138">
        <f t="shared" si="2358"/>
        <v>0</v>
      </c>
      <c r="HN91" s="110">
        <f t="shared" si="2359"/>
        <v>0</v>
      </c>
      <c r="HO91" s="110"/>
      <c r="HP91" s="139"/>
      <c r="HQ91" s="140" t="e">
        <f t="shared" si="2360"/>
        <v>#DIV/0!</v>
      </c>
      <c r="HR91" s="198">
        <f t="shared" si="2361"/>
        <v>0</v>
      </c>
      <c r="HS91" s="225">
        <f t="shared" si="2362"/>
        <v>0</v>
      </c>
      <c r="HT91" s="226">
        <f t="shared" si="2363"/>
        <v>0</v>
      </c>
      <c r="HU91" s="137">
        <f t="shared" si="2364"/>
        <v>0</v>
      </c>
      <c r="HV91" s="227">
        <f t="shared" si="2365"/>
        <v>3163.33</v>
      </c>
      <c r="HW91" s="138">
        <f t="shared" si="2366"/>
        <v>0</v>
      </c>
      <c r="HX91" s="110">
        <f t="shared" si="2367"/>
        <v>0</v>
      </c>
      <c r="HY91" s="110"/>
      <c r="HZ91" s="139"/>
      <c r="IA91" s="140" t="e">
        <f t="shared" si="2368"/>
        <v>#DIV/0!</v>
      </c>
      <c r="IB91" s="198">
        <f t="shared" si="2361"/>
        <v>0</v>
      </c>
      <c r="IC91" s="225">
        <f t="shared" si="2369"/>
        <v>0</v>
      </c>
      <c r="ID91" s="226">
        <f t="shared" si="2370"/>
        <v>0</v>
      </c>
      <c r="IE91" s="137">
        <f t="shared" si="2371"/>
        <v>0</v>
      </c>
      <c r="IF91" s="227">
        <f t="shared" si="2365"/>
        <v>3163.33</v>
      </c>
      <c r="IG91" s="138">
        <f t="shared" si="2372"/>
        <v>0</v>
      </c>
      <c r="IH91" s="110">
        <f t="shared" si="2373"/>
        <v>0</v>
      </c>
      <c r="II91" s="110"/>
      <c r="IJ91" s="139"/>
      <c r="IK91" s="140" t="e">
        <f t="shared" si="2374"/>
        <v>#DIV/0!</v>
      </c>
      <c r="IL91" s="198">
        <f t="shared" si="2361"/>
        <v>0</v>
      </c>
      <c r="IM91" s="225">
        <f t="shared" si="2375"/>
        <v>0</v>
      </c>
      <c r="IN91" s="226">
        <f t="shared" si="2376"/>
        <v>0</v>
      </c>
      <c r="IO91" s="137">
        <f t="shared" si="2377"/>
        <v>0</v>
      </c>
      <c r="IP91" s="227">
        <f t="shared" si="2365"/>
        <v>2644.05</v>
      </c>
      <c r="IQ91" s="138">
        <f t="shared" si="2378"/>
        <v>0</v>
      </c>
      <c r="IR91" s="110">
        <f t="shared" si="2379"/>
        <v>0</v>
      </c>
      <c r="IS91" s="110"/>
      <c r="IT91" s="139"/>
      <c r="IU91" s="140" t="e">
        <f t="shared" si="2380"/>
        <v>#DIV/0!</v>
      </c>
      <c r="IV91" s="198">
        <f t="shared" si="2361"/>
        <v>0</v>
      </c>
      <c r="IW91" s="225">
        <f t="shared" si="2381"/>
        <v>0</v>
      </c>
      <c r="IX91" s="226">
        <f t="shared" si="2382"/>
        <v>0</v>
      </c>
      <c r="IY91" s="137">
        <f t="shared" si="2383"/>
        <v>0</v>
      </c>
      <c r="IZ91" s="227">
        <f t="shared" si="2365"/>
        <v>3163.33</v>
      </c>
      <c r="JA91" s="138">
        <f t="shared" si="2384"/>
        <v>0</v>
      </c>
      <c r="JB91" s="110">
        <f t="shared" si="2385"/>
        <v>0</v>
      </c>
      <c r="JC91" s="110"/>
      <c r="JD91" s="139"/>
      <c r="JE91" s="140" t="e">
        <f t="shared" si="2386"/>
        <v>#DIV/0!</v>
      </c>
      <c r="JF91" s="198">
        <f t="shared" si="2361"/>
        <v>0</v>
      </c>
      <c r="JG91" s="225">
        <f t="shared" si="2387"/>
        <v>0</v>
      </c>
      <c r="JH91" s="226">
        <f t="shared" si="2388"/>
        <v>0</v>
      </c>
      <c r="JI91" s="137">
        <f t="shared" si="2389"/>
        <v>0</v>
      </c>
      <c r="JJ91" s="227">
        <f t="shared" si="2365"/>
        <v>2644.05</v>
      </c>
      <c r="JK91" s="138">
        <f t="shared" si="2390"/>
        <v>0</v>
      </c>
      <c r="JL91" s="110">
        <f t="shared" si="2391"/>
        <v>0</v>
      </c>
      <c r="JM91" s="110"/>
      <c r="JN91" s="139"/>
      <c r="JO91" s="140" t="e">
        <f t="shared" si="2392"/>
        <v>#DIV/0!</v>
      </c>
      <c r="JP91" s="198">
        <f t="shared" si="2361"/>
        <v>0</v>
      </c>
      <c r="JQ91" s="225">
        <f t="shared" si="2393"/>
        <v>0</v>
      </c>
      <c r="JR91" s="226">
        <f t="shared" si="2394"/>
        <v>0</v>
      </c>
      <c r="JS91" s="137">
        <f t="shared" si="2395"/>
        <v>0</v>
      </c>
      <c r="JT91" s="227">
        <f t="shared" si="2365"/>
        <v>2632.02</v>
      </c>
      <c r="JU91" s="138">
        <f t="shared" si="2396"/>
        <v>0</v>
      </c>
      <c r="JV91" s="110">
        <f t="shared" si="2397"/>
        <v>0</v>
      </c>
      <c r="JW91" s="110"/>
      <c r="JX91" s="139"/>
      <c r="JY91" s="140" t="e">
        <f t="shared" si="2398"/>
        <v>#DIV/0!</v>
      </c>
      <c r="JZ91" s="198">
        <f t="shared" si="2361"/>
        <v>0</v>
      </c>
      <c r="KA91" s="225">
        <f t="shared" si="2399"/>
        <v>0</v>
      </c>
      <c r="KB91" s="226">
        <f t="shared" si="2400"/>
        <v>0</v>
      </c>
      <c r="KC91" s="137">
        <f t="shared" si="2401"/>
        <v>0</v>
      </c>
      <c r="KD91" s="227">
        <f t="shared" si="2365"/>
        <v>3163.33</v>
      </c>
      <c r="KE91" s="138">
        <f t="shared" si="2402"/>
        <v>0</v>
      </c>
      <c r="KF91" s="110">
        <f t="shared" si="2403"/>
        <v>0</v>
      </c>
      <c r="KG91" s="110"/>
      <c r="KH91" s="139"/>
      <c r="KI91" s="140" t="e">
        <f t="shared" si="2404"/>
        <v>#DIV/0!</v>
      </c>
      <c r="KJ91" s="198">
        <f t="shared" si="2405"/>
        <v>0</v>
      </c>
      <c r="KK91" s="225">
        <f t="shared" si="2406"/>
        <v>0</v>
      </c>
      <c r="KL91" s="226">
        <f t="shared" si="2407"/>
        <v>0</v>
      </c>
      <c r="KM91" s="137">
        <f t="shared" si="2408"/>
        <v>0</v>
      </c>
      <c r="KN91" s="227">
        <f t="shared" si="2409"/>
        <v>2644.05</v>
      </c>
      <c r="KO91" s="138">
        <f t="shared" si="2410"/>
        <v>0</v>
      </c>
      <c r="KP91" s="110">
        <f t="shared" si="2411"/>
        <v>0</v>
      </c>
      <c r="KQ91" s="110"/>
      <c r="KR91" s="139"/>
      <c r="KS91" s="140" t="e">
        <f t="shared" si="2412"/>
        <v>#DIV/0!</v>
      </c>
      <c r="KT91" s="198">
        <f t="shared" si="2405"/>
        <v>0</v>
      </c>
      <c r="KU91" s="225">
        <f t="shared" si="2413"/>
        <v>0</v>
      </c>
      <c r="KV91" s="226">
        <f t="shared" si="2414"/>
        <v>0</v>
      </c>
      <c r="KW91" s="137">
        <f t="shared" si="2415"/>
        <v>0</v>
      </c>
      <c r="KX91" s="227">
        <f t="shared" si="2409"/>
        <v>3163.33</v>
      </c>
      <c r="KY91" s="138">
        <f t="shared" si="2416"/>
        <v>0</v>
      </c>
      <c r="KZ91" s="110">
        <f t="shared" si="2417"/>
        <v>0</v>
      </c>
      <c r="LA91" s="110"/>
      <c r="LB91" s="139"/>
      <c r="LC91" s="140" t="e">
        <f t="shared" si="2418"/>
        <v>#DIV/0!</v>
      </c>
      <c r="LD91" s="197">
        <f t="shared" si="2027"/>
        <v>0</v>
      </c>
      <c r="LE91" s="225">
        <f t="shared" si="2028"/>
        <v>0</v>
      </c>
      <c r="LF91" s="226">
        <f t="shared" si="2029"/>
        <v>0</v>
      </c>
      <c r="LG91" s="137">
        <f t="shared" si="2030"/>
        <v>0</v>
      </c>
      <c r="LH91" s="227">
        <f t="shared" si="2031"/>
        <v>2869.57</v>
      </c>
      <c r="LI91" s="138">
        <f t="shared" si="2032"/>
        <v>0</v>
      </c>
      <c r="LJ91" s="110">
        <f t="shared" si="2033"/>
        <v>0</v>
      </c>
      <c r="LK91" s="110"/>
      <c r="LL91" s="139"/>
    </row>
    <row r="92" spans="1:324" ht="17.25" hidden="1" customHeight="1" x14ac:dyDescent="0.25">
      <c r="A92" s="246"/>
      <c r="B92" s="92" t="s">
        <v>639</v>
      </c>
      <c r="C92" s="12" t="s">
        <v>728</v>
      </c>
      <c r="D92" s="12" t="s">
        <v>430</v>
      </c>
      <c r="E92" s="4" t="s">
        <v>34</v>
      </c>
      <c r="F92" s="198">
        <f t="shared" si="2228"/>
        <v>0</v>
      </c>
      <c r="G92" s="225">
        <f t="shared" si="2034"/>
        <v>0</v>
      </c>
      <c r="H92" s="226">
        <f t="shared" si="2035"/>
        <v>0</v>
      </c>
      <c r="I92" s="137">
        <f t="shared" si="1808"/>
        <v>0</v>
      </c>
      <c r="J92" s="227">
        <f t="shared" si="2036"/>
        <v>2644.05</v>
      </c>
      <c r="K92" s="138">
        <f t="shared" si="1809"/>
        <v>0</v>
      </c>
      <c r="L92" s="110">
        <f t="shared" si="1810"/>
        <v>0</v>
      </c>
      <c r="M92" s="110"/>
      <c r="N92" s="139"/>
      <c r="O92" s="140" t="e">
        <f t="shared" si="1811"/>
        <v>#DIV/0!</v>
      </c>
      <c r="P92" s="198">
        <f t="shared" si="2229"/>
        <v>0</v>
      </c>
      <c r="Q92" s="225">
        <f t="shared" si="2230"/>
        <v>0</v>
      </c>
      <c r="R92" s="226">
        <f t="shared" si="2231"/>
        <v>0</v>
      </c>
      <c r="S92" s="137">
        <f t="shared" si="2232"/>
        <v>0</v>
      </c>
      <c r="T92" s="227">
        <f t="shared" si="2233"/>
        <v>3163.33</v>
      </c>
      <c r="U92" s="138">
        <f t="shared" si="2234"/>
        <v>0</v>
      </c>
      <c r="V92" s="110">
        <f t="shared" si="2235"/>
        <v>0</v>
      </c>
      <c r="W92" s="110"/>
      <c r="X92" s="139"/>
      <c r="Y92" s="140" t="e">
        <f t="shared" si="2236"/>
        <v>#DIV/0!</v>
      </c>
      <c r="Z92" s="198">
        <f t="shared" si="2229"/>
        <v>0</v>
      </c>
      <c r="AA92" s="225">
        <f t="shared" si="2237"/>
        <v>0</v>
      </c>
      <c r="AB92" s="226">
        <f t="shared" si="2238"/>
        <v>0</v>
      </c>
      <c r="AC92" s="137">
        <f t="shared" si="2239"/>
        <v>0</v>
      </c>
      <c r="AD92" s="227">
        <f t="shared" si="2233"/>
        <v>2608.17</v>
      </c>
      <c r="AE92" s="138">
        <f t="shared" si="2240"/>
        <v>0</v>
      </c>
      <c r="AF92" s="110">
        <f t="shared" si="2241"/>
        <v>0</v>
      </c>
      <c r="AG92" s="110"/>
      <c r="AH92" s="139"/>
      <c r="AI92" s="140" t="e">
        <f t="shared" si="2242"/>
        <v>#DIV/0!</v>
      </c>
      <c r="AJ92" s="198">
        <f t="shared" si="2229"/>
        <v>0</v>
      </c>
      <c r="AK92" s="225">
        <f t="shared" si="2243"/>
        <v>0</v>
      </c>
      <c r="AL92" s="226">
        <f t="shared" si="2244"/>
        <v>0</v>
      </c>
      <c r="AM92" s="137">
        <f t="shared" si="2245"/>
        <v>0</v>
      </c>
      <c r="AN92" s="227">
        <f t="shared" si="2233"/>
        <v>2644.05</v>
      </c>
      <c r="AO92" s="138">
        <f t="shared" si="2246"/>
        <v>0</v>
      </c>
      <c r="AP92" s="110">
        <f t="shared" si="2247"/>
        <v>0</v>
      </c>
      <c r="AQ92" s="110"/>
      <c r="AR92" s="139"/>
      <c r="AS92" s="140" t="e">
        <f t="shared" si="2248"/>
        <v>#DIV/0!</v>
      </c>
      <c r="AT92" s="198">
        <f t="shared" si="2229"/>
        <v>0</v>
      </c>
      <c r="AU92" s="225">
        <f t="shared" si="2249"/>
        <v>0</v>
      </c>
      <c r="AV92" s="226">
        <f t="shared" si="2250"/>
        <v>0</v>
      </c>
      <c r="AW92" s="137">
        <f t="shared" si="2251"/>
        <v>0</v>
      </c>
      <c r="AX92" s="227">
        <f t="shared" si="2233"/>
        <v>1786.28</v>
      </c>
      <c r="AY92" s="138">
        <f t="shared" si="2252"/>
        <v>0</v>
      </c>
      <c r="AZ92" s="110">
        <f t="shared" si="2253"/>
        <v>0</v>
      </c>
      <c r="BA92" s="110"/>
      <c r="BB92" s="139"/>
      <c r="BC92" s="140" t="e">
        <f t="shared" si="2254"/>
        <v>#DIV/0!</v>
      </c>
      <c r="BD92" s="198">
        <f t="shared" si="2229"/>
        <v>0</v>
      </c>
      <c r="BE92" s="225">
        <f t="shared" si="2255"/>
        <v>0</v>
      </c>
      <c r="BF92" s="226">
        <f t="shared" si="2256"/>
        <v>0</v>
      </c>
      <c r="BG92" s="137">
        <f t="shared" si="2257"/>
        <v>0</v>
      </c>
      <c r="BH92" s="227">
        <f t="shared" si="2233"/>
        <v>3163.33</v>
      </c>
      <c r="BI92" s="138">
        <f t="shared" si="2258"/>
        <v>0</v>
      </c>
      <c r="BJ92" s="110">
        <f t="shared" si="2259"/>
        <v>0</v>
      </c>
      <c r="BK92" s="110"/>
      <c r="BL92" s="139"/>
      <c r="BM92" s="140" t="e">
        <f t="shared" si="2260"/>
        <v>#DIV/0!</v>
      </c>
      <c r="BN92" s="198">
        <f t="shared" si="2229"/>
        <v>0</v>
      </c>
      <c r="BO92" s="225">
        <f t="shared" si="2261"/>
        <v>0</v>
      </c>
      <c r="BP92" s="226">
        <f t="shared" si="2262"/>
        <v>0</v>
      </c>
      <c r="BQ92" s="137">
        <f t="shared" si="2263"/>
        <v>0</v>
      </c>
      <c r="BR92" s="227">
        <f t="shared" si="2233"/>
        <v>2182.42</v>
      </c>
      <c r="BS92" s="138">
        <f t="shared" si="2264"/>
        <v>0</v>
      </c>
      <c r="BT92" s="110">
        <f t="shared" si="2265"/>
        <v>0</v>
      </c>
      <c r="BU92" s="110"/>
      <c r="BV92" s="139"/>
      <c r="BW92" s="140" t="e">
        <f t="shared" si="2266"/>
        <v>#DIV/0!</v>
      </c>
      <c r="BX92" s="198">
        <f t="shared" si="2229"/>
        <v>0</v>
      </c>
      <c r="BY92" s="225">
        <f t="shared" si="2267"/>
        <v>0</v>
      </c>
      <c r="BZ92" s="226">
        <f t="shared" si="2268"/>
        <v>0</v>
      </c>
      <c r="CA92" s="137">
        <f t="shared" si="2269"/>
        <v>0</v>
      </c>
      <c r="CB92" s="227">
        <f t="shared" si="2233"/>
        <v>2644.05</v>
      </c>
      <c r="CC92" s="138">
        <f t="shared" si="2270"/>
        <v>0</v>
      </c>
      <c r="CD92" s="110">
        <f t="shared" si="2271"/>
        <v>0</v>
      </c>
      <c r="CE92" s="110"/>
      <c r="CF92" s="139"/>
      <c r="CG92" s="140" t="e">
        <f t="shared" si="2272"/>
        <v>#DIV/0!</v>
      </c>
      <c r="CH92" s="198">
        <f t="shared" si="2273"/>
        <v>0</v>
      </c>
      <c r="CI92" s="225">
        <f t="shared" si="2274"/>
        <v>0</v>
      </c>
      <c r="CJ92" s="226">
        <f t="shared" si="2275"/>
        <v>0</v>
      </c>
      <c r="CK92" s="137">
        <f t="shared" si="2276"/>
        <v>0</v>
      </c>
      <c r="CL92" s="227">
        <f t="shared" si="2277"/>
        <v>2644.05</v>
      </c>
      <c r="CM92" s="138">
        <f t="shared" si="2278"/>
        <v>0</v>
      </c>
      <c r="CN92" s="110">
        <f t="shared" si="2279"/>
        <v>0</v>
      </c>
      <c r="CO92" s="110"/>
      <c r="CP92" s="139"/>
      <c r="CQ92" s="140" t="e">
        <f t="shared" si="2280"/>
        <v>#DIV/0!</v>
      </c>
      <c r="CR92" s="198">
        <f t="shared" si="2273"/>
        <v>0</v>
      </c>
      <c r="CS92" s="225">
        <f t="shared" si="2281"/>
        <v>0</v>
      </c>
      <c r="CT92" s="226">
        <f t="shared" si="2282"/>
        <v>0</v>
      </c>
      <c r="CU92" s="137">
        <f t="shared" si="2283"/>
        <v>0</v>
      </c>
      <c r="CV92" s="227">
        <f t="shared" si="2277"/>
        <v>3163.33</v>
      </c>
      <c r="CW92" s="138">
        <f t="shared" si="2284"/>
        <v>0</v>
      </c>
      <c r="CX92" s="110">
        <f t="shared" si="2285"/>
        <v>0</v>
      </c>
      <c r="CY92" s="110"/>
      <c r="CZ92" s="139"/>
      <c r="DA92" s="140" t="e">
        <f t="shared" si="2286"/>
        <v>#DIV/0!</v>
      </c>
      <c r="DB92" s="198">
        <f t="shared" si="2273"/>
        <v>0</v>
      </c>
      <c r="DC92" s="225">
        <f t="shared" si="2287"/>
        <v>0</v>
      </c>
      <c r="DD92" s="226">
        <f t="shared" si="2288"/>
        <v>0</v>
      </c>
      <c r="DE92" s="137">
        <f t="shared" si="2289"/>
        <v>0</v>
      </c>
      <c r="DF92" s="227">
        <f t="shared" si="2277"/>
        <v>2644.05</v>
      </c>
      <c r="DG92" s="138">
        <f t="shared" si="2290"/>
        <v>0</v>
      </c>
      <c r="DH92" s="110">
        <f t="shared" si="2291"/>
        <v>0</v>
      </c>
      <c r="DI92" s="110"/>
      <c r="DJ92" s="139"/>
      <c r="DK92" s="140" t="e">
        <f t="shared" si="2292"/>
        <v>#DIV/0!</v>
      </c>
      <c r="DL92" s="198">
        <f t="shared" si="2273"/>
        <v>0</v>
      </c>
      <c r="DM92" s="225">
        <f t="shared" si="2293"/>
        <v>0</v>
      </c>
      <c r="DN92" s="226">
        <f t="shared" si="2294"/>
        <v>0</v>
      </c>
      <c r="DO92" s="137">
        <f t="shared" si="2295"/>
        <v>0</v>
      </c>
      <c r="DP92" s="227">
        <f t="shared" si="2277"/>
        <v>2644.05</v>
      </c>
      <c r="DQ92" s="138">
        <f t="shared" si="2296"/>
        <v>0</v>
      </c>
      <c r="DR92" s="110">
        <f t="shared" si="2297"/>
        <v>0</v>
      </c>
      <c r="DS92" s="110"/>
      <c r="DT92" s="139"/>
      <c r="DU92" s="140" t="e">
        <f t="shared" si="2298"/>
        <v>#DIV/0!</v>
      </c>
      <c r="DV92" s="198">
        <f t="shared" si="2273"/>
        <v>0</v>
      </c>
      <c r="DW92" s="225">
        <f t="shared" si="2299"/>
        <v>0</v>
      </c>
      <c r="DX92" s="226">
        <f t="shared" si="2300"/>
        <v>0</v>
      </c>
      <c r="DY92" s="137">
        <f t="shared" si="2301"/>
        <v>0</v>
      </c>
      <c r="DZ92" s="227">
        <f t="shared" si="2277"/>
        <v>2644.05</v>
      </c>
      <c r="EA92" s="138">
        <f t="shared" si="2302"/>
        <v>0</v>
      </c>
      <c r="EB92" s="110">
        <f t="shared" si="2303"/>
        <v>0</v>
      </c>
      <c r="EC92" s="110"/>
      <c r="ED92" s="139"/>
      <c r="EE92" s="140" t="e">
        <f t="shared" si="2304"/>
        <v>#DIV/0!</v>
      </c>
      <c r="EF92" s="198">
        <f t="shared" si="2273"/>
        <v>0</v>
      </c>
      <c r="EG92" s="225">
        <f t="shared" si="2305"/>
        <v>0</v>
      </c>
      <c r="EH92" s="226">
        <f t="shared" si="2306"/>
        <v>0</v>
      </c>
      <c r="EI92" s="137">
        <f t="shared" si="2307"/>
        <v>0</v>
      </c>
      <c r="EJ92" s="227">
        <f t="shared" si="2277"/>
        <v>3163.33</v>
      </c>
      <c r="EK92" s="138">
        <f t="shared" si="2308"/>
        <v>0</v>
      </c>
      <c r="EL92" s="110">
        <f t="shared" si="2309"/>
        <v>0</v>
      </c>
      <c r="EM92" s="110"/>
      <c r="EN92" s="139"/>
      <c r="EO92" s="140" t="e">
        <f t="shared" si="2310"/>
        <v>#DIV/0!</v>
      </c>
      <c r="EP92" s="198">
        <f t="shared" si="2273"/>
        <v>0</v>
      </c>
      <c r="EQ92" s="225">
        <f t="shared" si="2311"/>
        <v>0</v>
      </c>
      <c r="ER92" s="226">
        <f t="shared" si="2312"/>
        <v>0</v>
      </c>
      <c r="ES92" s="137">
        <f t="shared" si="2313"/>
        <v>0</v>
      </c>
      <c r="ET92" s="227">
        <f t="shared" si="2277"/>
        <v>3163.33</v>
      </c>
      <c r="EU92" s="138">
        <f t="shared" si="2314"/>
        <v>0</v>
      </c>
      <c r="EV92" s="110">
        <f t="shared" si="2315"/>
        <v>0</v>
      </c>
      <c r="EW92" s="110"/>
      <c r="EX92" s="139"/>
      <c r="EY92" s="140" t="e">
        <f t="shared" si="2316"/>
        <v>#DIV/0!</v>
      </c>
      <c r="EZ92" s="198">
        <f t="shared" si="2317"/>
        <v>0</v>
      </c>
      <c r="FA92" s="225">
        <f t="shared" si="2318"/>
        <v>0</v>
      </c>
      <c r="FB92" s="226">
        <f t="shared" si="2319"/>
        <v>0</v>
      </c>
      <c r="FC92" s="137">
        <f t="shared" si="2320"/>
        <v>0</v>
      </c>
      <c r="FD92" s="227">
        <f t="shared" si="2321"/>
        <v>0</v>
      </c>
      <c r="FE92" s="138">
        <f t="shared" si="2322"/>
        <v>0</v>
      </c>
      <c r="FF92" s="110">
        <f t="shared" si="2323"/>
        <v>0</v>
      </c>
      <c r="FG92" s="110"/>
      <c r="FH92" s="139"/>
      <c r="FI92" s="140" t="e">
        <f t="shared" si="2324"/>
        <v>#DIV/0!</v>
      </c>
      <c r="FJ92" s="198">
        <f t="shared" si="2317"/>
        <v>0</v>
      </c>
      <c r="FK92" s="225">
        <f t="shared" si="2325"/>
        <v>0</v>
      </c>
      <c r="FL92" s="226">
        <f t="shared" si="2326"/>
        <v>0</v>
      </c>
      <c r="FM92" s="137">
        <f t="shared" si="2327"/>
        <v>0</v>
      </c>
      <c r="FN92" s="227">
        <f t="shared" si="2321"/>
        <v>3163.33</v>
      </c>
      <c r="FO92" s="138">
        <f t="shared" si="2328"/>
        <v>0</v>
      </c>
      <c r="FP92" s="110">
        <f t="shared" si="2329"/>
        <v>0</v>
      </c>
      <c r="FQ92" s="110"/>
      <c r="FR92" s="139"/>
      <c r="FS92" s="140" t="e">
        <f t="shared" si="2330"/>
        <v>#DIV/0!</v>
      </c>
      <c r="FT92" s="198">
        <f t="shared" si="2317"/>
        <v>0</v>
      </c>
      <c r="FU92" s="225">
        <f t="shared" si="2331"/>
        <v>0</v>
      </c>
      <c r="FV92" s="226">
        <f t="shared" si="2332"/>
        <v>0</v>
      </c>
      <c r="FW92" s="137">
        <f t="shared" si="2333"/>
        <v>0</v>
      </c>
      <c r="FX92" s="227">
        <f t="shared" si="2321"/>
        <v>3163.33</v>
      </c>
      <c r="FY92" s="138">
        <f t="shared" si="2334"/>
        <v>0</v>
      </c>
      <c r="FZ92" s="110">
        <f t="shared" si="2335"/>
        <v>0</v>
      </c>
      <c r="GA92" s="110"/>
      <c r="GB92" s="139"/>
      <c r="GC92" s="140" t="e">
        <f t="shared" si="2336"/>
        <v>#DIV/0!</v>
      </c>
      <c r="GD92" s="198">
        <f t="shared" si="2317"/>
        <v>0</v>
      </c>
      <c r="GE92" s="225">
        <f t="shared" si="2337"/>
        <v>0</v>
      </c>
      <c r="GF92" s="226">
        <f t="shared" si="2338"/>
        <v>0</v>
      </c>
      <c r="GG92" s="137">
        <f t="shared" si="2339"/>
        <v>0</v>
      </c>
      <c r="GH92" s="227">
        <f t="shared" si="2321"/>
        <v>0</v>
      </c>
      <c r="GI92" s="138">
        <f t="shared" si="2340"/>
        <v>0</v>
      </c>
      <c r="GJ92" s="110">
        <f t="shared" si="2341"/>
        <v>0</v>
      </c>
      <c r="GK92" s="110"/>
      <c r="GL92" s="139"/>
      <c r="GM92" s="140" t="e">
        <f t="shared" si="2342"/>
        <v>#DIV/0!</v>
      </c>
      <c r="GN92" s="198">
        <f t="shared" si="2317"/>
        <v>0</v>
      </c>
      <c r="GO92" s="225">
        <f t="shared" si="2343"/>
        <v>0</v>
      </c>
      <c r="GP92" s="226">
        <f t="shared" si="2344"/>
        <v>0</v>
      </c>
      <c r="GQ92" s="137">
        <f t="shared" si="2345"/>
        <v>0</v>
      </c>
      <c r="GR92" s="227">
        <f t="shared" si="2321"/>
        <v>2644.05</v>
      </c>
      <c r="GS92" s="138">
        <f t="shared" si="2346"/>
        <v>0</v>
      </c>
      <c r="GT92" s="110">
        <f t="shared" si="2347"/>
        <v>0</v>
      </c>
      <c r="GU92" s="110"/>
      <c r="GV92" s="139"/>
      <c r="GW92" s="140" t="e">
        <f t="shared" si="2348"/>
        <v>#DIV/0!</v>
      </c>
      <c r="GX92" s="198">
        <f t="shared" si="2317"/>
        <v>0</v>
      </c>
      <c r="GY92" s="225">
        <f t="shared" si="2349"/>
        <v>0</v>
      </c>
      <c r="GZ92" s="226">
        <f t="shared" si="2350"/>
        <v>0</v>
      </c>
      <c r="HA92" s="137">
        <f t="shared" si="2351"/>
        <v>0</v>
      </c>
      <c r="HB92" s="227">
        <f t="shared" si="2321"/>
        <v>2644.05</v>
      </c>
      <c r="HC92" s="138">
        <f t="shared" si="2352"/>
        <v>0</v>
      </c>
      <c r="HD92" s="110">
        <f t="shared" si="2353"/>
        <v>0</v>
      </c>
      <c r="HE92" s="110"/>
      <c r="HF92" s="139"/>
      <c r="HG92" s="140" t="e">
        <f t="shared" si="2354"/>
        <v>#DIV/0!</v>
      </c>
      <c r="HH92" s="198">
        <f t="shared" si="2317"/>
        <v>0</v>
      </c>
      <c r="HI92" s="225">
        <f t="shared" si="2355"/>
        <v>0</v>
      </c>
      <c r="HJ92" s="226">
        <f t="shared" si="2356"/>
        <v>0</v>
      </c>
      <c r="HK92" s="137">
        <f t="shared" si="2357"/>
        <v>0</v>
      </c>
      <c r="HL92" s="227">
        <f t="shared" si="2321"/>
        <v>2597.2199999999998</v>
      </c>
      <c r="HM92" s="138">
        <f t="shared" si="2358"/>
        <v>0</v>
      </c>
      <c r="HN92" s="110">
        <f t="shared" si="2359"/>
        <v>0</v>
      </c>
      <c r="HO92" s="110"/>
      <c r="HP92" s="139"/>
      <c r="HQ92" s="140" t="e">
        <f t="shared" si="2360"/>
        <v>#DIV/0!</v>
      </c>
      <c r="HR92" s="198">
        <f t="shared" si="2361"/>
        <v>0</v>
      </c>
      <c r="HS92" s="225">
        <f t="shared" si="2362"/>
        <v>0</v>
      </c>
      <c r="HT92" s="226">
        <f t="shared" si="2363"/>
        <v>0</v>
      </c>
      <c r="HU92" s="137">
        <f t="shared" si="2364"/>
        <v>0</v>
      </c>
      <c r="HV92" s="227">
        <f t="shared" si="2365"/>
        <v>3163.33</v>
      </c>
      <c r="HW92" s="138">
        <f t="shared" si="2366"/>
        <v>0</v>
      </c>
      <c r="HX92" s="110">
        <f t="shared" si="2367"/>
        <v>0</v>
      </c>
      <c r="HY92" s="110"/>
      <c r="HZ92" s="139"/>
      <c r="IA92" s="140" t="e">
        <f t="shared" si="2368"/>
        <v>#DIV/0!</v>
      </c>
      <c r="IB92" s="198">
        <f t="shared" si="2361"/>
        <v>0</v>
      </c>
      <c r="IC92" s="225">
        <f t="shared" si="2369"/>
        <v>0</v>
      </c>
      <c r="ID92" s="226">
        <f t="shared" si="2370"/>
        <v>0</v>
      </c>
      <c r="IE92" s="137">
        <f t="shared" si="2371"/>
        <v>0</v>
      </c>
      <c r="IF92" s="227">
        <f t="shared" si="2365"/>
        <v>3163.33</v>
      </c>
      <c r="IG92" s="138">
        <f t="shared" si="2372"/>
        <v>0</v>
      </c>
      <c r="IH92" s="110">
        <f t="shared" si="2373"/>
        <v>0</v>
      </c>
      <c r="II92" s="110"/>
      <c r="IJ92" s="139"/>
      <c r="IK92" s="140" t="e">
        <f t="shared" si="2374"/>
        <v>#DIV/0!</v>
      </c>
      <c r="IL92" s="198">
        <f t="shared" si="2361"/>
        <v>0</v>
      </c>
      <c r="IM92" s="225">
        <f t="shared" si="2375"/>
        <v>0</v>
      </c>
      <c r="IN92" s="226">
        <f t="shared" si="2376"/>
        <v>0</v>
      </c>
      <c r="IO92" s="137">
        <f t="shared" si="2377"/>
        <v>0</v>
      </c>
      <c r="IP92" s="227">
        <f t="shared" si="2365"/>
        <v>2644.05</v>
      </c>
      <c r="IQ92" s="138">
        <f t="shared" si="2378"/>
        <v>0</v>
      </c>
      <c r="IR92" s="110">
        <f t="shared" si="2379"/>
        <v>0</v>
      </c>
      <c r="IS92" s="110"/>
      <c r="IT92" s="139"/>
      <c r="IU92" s="140" t="e">
        <f t="shared" si="2380"/>
        <v>#DIV/0!</v>
      </c>
      <c r="IV92" s="198">
        <f t="shared" si="2361"/>
        <v>0</v>
      </c>
      <c r="IW92" s="225">
        <f t="shared" si="2381"/>
        <v>0</v>
      </c>
      <c r="IX92" s="226">
        <f t="shared" si="2382"/>
        <v>0</v>
      </c>
      <c r="IY92" s="137">
        <f t="shared" si="2383"/>
        <v>0</v>
      </c>
      <c r="IZ92" s="227">
        <f t="shared" si="2365"/>
        <v>3163.33</v>
      </c>
      <c r="JA92" s="138">
        <f t="shared" si="2384"/>
        <v>0</v>
      </c>
      <c r="JB92" s="110">
        <f t="shared" si="2385"/>
        <v>0</v>
      </c>
      <c r="JC92" s="110"/>
      <c r="JD92" s="139"/>
      <c r="JE92" s="140" t="e">
        <f t="shared" si="2386"/>
        <v>#DIV/0!</v>
      </c>
      <c r="JF92" s="198">
        <f t="shared" si="2361"/>
        <v>0</v>
      </c>
      <c r="JG92" s="225">
        <f t="shared" si="2387"/>
        <v>0</v>
      </c>
      <c r="JH92" s="226">
        <f t="shared" si="2388"/>
        <v>0</v>
      </c>
      <c r="JI92" s="137">
        <f t="shared" si="2389"/>
        <v>0</v>
      </c>
      <c r="JJ92" s="227">
        <f t="shared" si="2365"/>
        <v>2644.05</v>
      </c>
      <c r="JK92" s="138">
        <f t="shared" si="2390"/>
        <v>0</v>
      </c>
      <c r="JL92" s="110">
        <f t="shared" si="2391"/>
        <v>0</v>
      </c>
      <c r="JM92" s="110"/>
      <c r="JN92" s="139"/>
      <c r="JO92" s="140" t="e">
        <f t="shared" si="2392"/>
        <v>#DIV/0!</v>
      </c>
      <c r="JP92" s="198">
        <f t="shared" si="2361"/>
        <v>0</v>
      </c>
      <c r="JQ92" s="225">
        <f t="shared" si="2393"/>
        <v>0</v>
      </c>
      <c r="JR92" s="226">
        <f t="shared" si="2394"/>
        <v>0</v>
      </c>
      <c r="JS92" s="137">
        <f t="shared" si="2395"/>
        <v>0</v>
      </c>
      <c r="JT92" s="227">
        <f t="shared" si="2365"/>
        <v>2632.02</v>
      </c>
      <c r="JU92" s="138">
        <f t="shared" si="2396"/>
        <v>0</v>
      </c>
      <c r="JV92" s="110">
        <f t="shared" si="2397"/>
        <v>0</v>
      </c>
      <c r="JW92" s="110"/>
      <c r="JX92" s="139"/>
      <c r="JY92" s="140" t="e">
        <f t="shared" si="2398"/>
        <v>#DIV/0!</v>
      </c>
      <c r="JZ92" s="198">
        <f t="shared" si="2361"/>
        <v>0</v>
      </c>
      <c r="KA92" s="225">
        <f t="shared" si="2399"/>
        <v>0</v>
      </c>
      <c r="KB92" s="226">
        <f t="shared" si="2400"/>
        <v>0</v>
      </c>
      <c r="KC92" s="137">
        <f t="shared" si="2401"/>
        <v>0</v>
      </c>
      <c r="KD92" s="227">
        <f t="shared" si="2365"/>
        <v>3163.33</v>
      </c>
      <c r="KE92" s="138">
        <f t="shared" si="2402"/>
        <v>0</v>
      </c>
      <c r="KF92" s="110">
        <f t="shared" si="2403"/>
        <v>0</v>
      </c>
      <c r="KG92" s="110"/>
      <c r="KH92" s="139"/>
      <c r="KI92" s="140" t="e">
        <f t="shared" si="2404"/>
        <v>#DIV/0!</v>
      </c>
      <c r="KJ92" s="198">
        <f t="shared" si="2405"/>
        <v>0</v>
      </c>
      <c r="KK92" s="225">
        <f t="shared" si="2406"/>
        <v>0</v>
      </c>
      <c r="KL92" s="226">
        <f t="shared" si="2407"/>
        <v>0</v>
      </c>
      <c r="KM92" s="137">
        <f t="shared" si="2408"/>
        <v>0</v>
      </c>
      <c r="KN92" s="227">
        <f t="shared" si="2409"/>
        <v>2644.05</v>
      </c>
      <c r="KO92" s="138">
        <f t="shared" si="2410"/>
        <v>0</v>
      </c>
      <c r="KP92" s="110">
        <f t="shared" si="2411"/>
        <v>0</v>
      </c>
      <c r="KQ92" s="110"/>
      <c r="KR92" s="139"/>
      <c r="KS92" s="140" t="e">
        <f t="shared" si="2412"/>
        <v>#DIV/0!</v>
      </c>
      <c r="KT92" s="198">
        <f t="shared" si="2405"/>
        <v>0</v>
      </c>
      <c r="KU92" s="225">
        <f t="shared" si="2413"/>
        <v>0</v>
      </c>
      <c r="KV92" s="226">
        <f t="shared" si="2414"/>
        <v>0</v>
      </c>
      <c r="KW92" s="137">
        <f t="shared" si="2415"/>
        <v>0</v>
      </c>
      <c r="KX92" s="227">
        <f t="shared" si="2409"/>
        <v>3163.33</v>
      </c>
      <c r="KY92" s="138">
        <f t="shared" si="2416"/>
        <v>0</v>
      </c>
      <c r="KZ92" s="110">
        <f t="shared" si="2417"/>
        <v>0</v>
      </c>
      <c r="LA92" s="110"/>
      <c r="LB92" s="139"/>
      <c r="LC92" s="140" t="e">
        <f t="shared" si="2418"/>
        <v>#DIV/0!</v>
      </c>
      <c r="LD92" s="197">
        <f t="shared" si="2027"/>
        <v>0</v>
      </c>
      <c r="LE92" s="225">
        <f t="shared" si="2028"/>
        <v>0</v>
      </c>
      <c r="LF92" s="226">
        <f t="shared" si="2029"/>
        <v>0</v>
      </c>
      <c r="LG92" s="137">
        <f t="shared" si="2030"/>
        <v>0</v>
      </c>
      <c r="LH92" s="227">
        <f t="shared" si="2031"/>
        <v>2869.57</v>
      </c>
      <c r="LI92" s="138">
        <f t="shared" si="2032"/>
        <v>0</v>
      </c>
      <c r="LJ92" s="110">
        <f t="shared" si="2033"/>
        <v>0</v>
      </c>
      <c r="LK92" s="110"/>
      <c r="LL92" s="139"/>
    </row>
    <row r="93" spans="1:324" ht="17.25" customHeight="1" x14ac:dyDescent="0.25">
      <c r="A93" s="246"/>
      <c r="B93" s="12" t="s">
        <v>626</v>
      </c>
      <c r="C93" s="12" t="s">
        <v>728</v>
      </c>
      <c r="D93" s="12" t="s">
        <v>430</v>
      </c>
      <c r="E93" s="4" t="s">
        <v>34</v>
      </c>
      <c r="F93" s="198">
        <f t="shared" si="2228"/>
        <v>0</v>
      </c>
      <c r="G93" s="225">
        <f t="shared" si="2034"/>
        <v>0</v>
      </c>
      <c r="H93" s="226">
        <f t="shared" si="2035"/>
        <v>0</v>
      </c>
      <c r="I93" s="137">
        <f t="shared" si="1808"/>
        <v>0</v>
      </c>
      <c r="J93" s="227">
        <f t="shared" si="2036"/>
        <v>2644.05</v>
      </c>
      <c r="K93" s="138">
        <f t="shared" si="1809"/>
        <v>0</v>
      </c>
      <c r="L93" s="110">
        <f t="shared" si="1810"/>
        <v>0</v>
      </c>
      <c r="M93" s="110"/>
      <c r="N93" s="139"/>
      <c r="O93" s="140">
        <f t="shared" si="1811"/>
        <v>0</v>
      </c>
      <c r="P93" s="198">
        <f t="shared" si="2229"/>
        <v>0</v>
      </c>
      <c r="Q93" s="225">
        <f t="shared" si="2230"/>
        <v>0</v>
      </c>
      <c r="R93" s="226">
        <f t="shared" si="2231"/>
        <v>0</v>
      </c>
      <c r="S93" s="137">
        <f t="shared" si="2232"/>
        <v>0</v>
      </c>
      <c r="T93" s="227">
        <f t="shared" si="2233"/>
        <v>3163.33</v>
      </c>
      <c r="U93" s="138">
        <f t="shared" si="2234"/>
        <v>0</v>
      </c>
      <c r="V93" s="110">
        <f t="shared" si="2235"/>
        <v>0</v>
      </c>
      <c r="W93" s="110"/>
      <c r="X93" s="139"/>
      <c r="Y93" s="140">
        <f t="shared" si="2236"/>
        <v>0</v>
      </c>
      <c r="Z93" s="198">
        <f t="shared" si="2229"/>
        <v>0</v>
      </c>
      <c r="AA93" s="225">
        <f t="shared" si="2237"/>
        <v>0</v>
      </c>
      <c r="AB93" s="226">
        <f t="shared" si="2238"/>
        <v>0</v>
      </c>
      <c r="AC93" s="137">
        <f t="shared" si="2239"/>
        <v>0</v>
      </c>
      <c r="AD93" s="227">
        <f t="shared" si="2233"/>
        <v>2608.17</v>
      </c>
      <c r="AE93" s="138">
        <f t="shared" si="2240"/>
        <v>0</v>
      </c>
      <c r="AF93" s="110">
        <f t="shared" si="2241"/>
        <v>0</v>
      </c>
      <c r="AG93" s="110"/>
      <c r="AH93" s="139"/>
      <c r="AI93" s="140">
        <f t="shared" si="2242"/>
        <v>0</v>
      </c>
      <c r="AJ93" s="198">
        <f t="shared" si="2229"/>
        <v>0</v>
      </c>
      <c r="AK93" s="225">
        <f t="shared" si="2243"/>
        <v>0</v>
      </c>
      <c r="AL93" s="226">
        <f t="shared" si="2244"/>
        <v>0</v>
      </c>
      <c r="AM93" s="137">
        <f t="shared" si="2245"/>
        <v>0</v>
      </c>
      <c r="AN93" s="227">
        <f t="shared" si="2233"/>
        <v>2644.05</v>
      </c>
      <c r="AO93" s="138">
        <f t="shared" si="2246"/>
        <v>0</v>
      </c>
      <c r="AP93" s="110">
        <f t="shared" si="2247"/>
        <v>0</v>
      </c>
      <c r="AQ93" s="110"/>
      <c r="AR93" s="139"/>
      <c r="AS93" s="140">
        <f t="shared" si="2248"/>
        <v>0</v>
      </c>
      <c r="AT93" s="198">
        <f t="shared" si="2229"/>
        <v>0</v>
      </c>
      <c r="AU93" s="225">
        <f t="shared" si="2249"/>
        <v>0</v>
      </c>
      <c r="AV93" s="226">
        <f t="shared" si="2250"/>
        <v>0</v>
      </c>
      <c r="AW93" s="137">
        <f t="shared" si="2251"/>
        <v>0</v>
      </c>
      <c r="AX93" s="227">
        <f t="shared" si="2233"/>
        <v>1786.28</v>
      </c>
      <c r="AY93" s="138">
        <f t="shared" si="2252"/>
        <v>0</v>
      </c>
      <c r="AZ93" s="110">
        <f t="shared" si="2253"/>
        <v>0</v>
      </c>
      <c r="BA93" s="110"/>
      <c r="BB93" s="139"/>
      <c r="BC93" s="140">
        <f t="shared" si="2254"/>
        <v>0</v>
      </c>
      <c r="BD93" s="198">
        <f t="shared" si="2229"/>
        <v>0</v>
      </c>
      <c r="BE93" s="225">
        <f t="shared" si="2255"/>
        <v>0</v>
      </c>
      <c r="BF93" s="226">
        <f t="shared" si="2256"/>
        <v>0</v>
      </c>
      <c r="BG93" s="137">
        <f t="shared" si="2257"/>
        <v>0</v>
      </c>
      <c r="BH93" s="227">
        <f t="shared" si="2233"/>
        <v>3163.33</v>
      </c>
      <c r="BI93" s="138">
        <f t="shared" si="2258"/>
        <v>0</v>
      </c>
      <c r="BJ93" s="110">
        <f t="shared" si="2259"/>
        <v>0</v>
      </c>
      <c r="BK93" s="110"/>
      <c r="BL93" s="139"/>
      <c r="BM93" s="140">
        <f t="shared" si="2260"/>
        <v>0</v>
      </c>
      <c r="BN93" s="198">
        <f t="shared" si="2229"/>
        <v>0</v>
      </c>
      <c r="BO93" s="225">
        <f t="shared" si="2261"/>
        <v>0</v>
      </c>
      <c r="BP93" s="226">
        <f t="shared" si="2262"/>
        <v>0</v>
      </c>
      <c r="BQ93" s="137">
        <f t="shared" si="2263"/>
        <v>0</v>
      </c>
      <c r="BR93" s="227">
        <f t="shared" si="2233"/>
        <v>2182.42</v>
      </c>
      <c r="BS93" s="138">
        <f t="shared" si="2264"/>
        <v>0</v>
      </c>
      <c r="BT93" s="110">
        <f t="shared" si="2265"/>
        <v>0</v>
      </c>
      <c r="BU93" s="110"/>
      <c r="BV93" s="139"/>
      <c r="BW93" s="140">
        <f t="shared" si="2266"/>
        <v>0</v>
      </c>
      <c r="BX93" s="198">
        <f t="shared" si="2229"/>
        <v>0</v>
      </c>
      <c r="BY93" s="225">
        <f t="shared" si="2267"/>
        <v>0</v>
      </c>
      <c r="BZ93" s="226">
        <f t="shared" si="2268"/>
        <v>0</v>
      </c>
      <c r="CA93" s="137">
        <f t="shared" si="2269"/>
        <v>0</v>
      </c>
      <c r="CB93" s="227">
        <f t="shared" si="2233"/>
        <v>2644.05</v>
      </c>
      <c r="CC93" s="138">
        <f t="shared" si="2270"/>
        <v>0</v>
      </c>
      <c r="CD93" s="110">
        <f t="shared" si="2271"/>
        <v>0</v>
      </c>
      <c r="CE93" s="110"/>
      <c r="CF93" s="139"/>
      <c r="CG93" s="140">
        <f t="shared" si="2272"/>
        <v>0</v>
      </c>
      <c r="CH93" s="198">
        <f t="shared" si="2273"/>
        <v>0</v>
      </c>
      <c r="CI93" s="225">
        <f t="shared" si="2274"/>
        <v>0</v>
      </c>
      <c r="CJ93" s="226">
        <f t="shared" si="2275"/>
        <v>0</v>
      </c>
      <c r="CK93" s="137">
        <f t="shared" si="2276"/>
        <v>0</v>
      </c>
      <c r="CL93" s="227">
        <f t="shared" si="2277"/>
        <v>2644.05</v>
      </c>
      <c r="CM93" s="138">
        <f t="shared" si="2278"/>
        <v>0</v>
      </c>
      <c r="CN93" s="110">
        <f t="shared" si="2279"/>
        <v>0</v>
      </c>
      <c r="CO93" s="110"/>
      <c r="CP93" s="139"/>
      <c r="CQ93" s="140">
        <f t="shared" si="2280"/>
        <v>0</v>
      </c>
      <c r="CR93" s="198">
        <f t="shared" si="2273"/>
        <v>1</v>
      </c>
      <c r="CS93" s="225">
        <f t="shared" si="2281"/>
        <v>1.34E-3</v>
      </c>
      <c r="CT93" s="226">
        <f t="shared" si="2282"/>
        <v>0.67</v>
      </c>
      <c r="CU93" s="137">
        <f t="shared" si="2283"/>
        <v>0.67</v>
      </c>
      <c r="CV93" s="227">
        <f t="shared" si="2277"/>
        <v>3163.33</v>
      </c>
      <c r="CW93" s="138">
        <f t="shared" si="2284"/>
        <v>2119.4310999999998</v>
      </c>
      <c r="CX93" s="110">
        <f t="shared" si="2285"/>
        <v>2119.4299999999998</v>
      </c>
      <c r="CY93" s="110"/>
      <c r="CZ93" s="139"/>
      <c r="DA93" s="140">
        <f t="shared" si="2286"/>
        <v>1.1977100000000001</v>
      </c>
      <c r="DB93" s="198">
        <f t="shared" si="2273"/>
        <v>1</v>
      </c>
      <c r="DC93" s="225">
        <f t="shared" si="2287"/>
        <v>1.2099999999999999E-3</v>
      </c>
      <c r="DD93" s="226">
        <f t="shared" si="2288"/>
        <v>0.73</v>
      </c>
      <c r="DE93" s="137">
        <f t="shared" si="2289"/>
        <v>0.73</v>
      </c>
      <c r="DF93" s="227">
        <f t="shared" si="2277"/>
        <v>2644.05</v>
      </c>
      <c r="DG93" s="138">
        <f t="shared" si="2290"/>
        <v>1930.1565000000001</v>
      </c>
      <c r="DH93" s="110">
        <f t="shared" si="2291"/>
        <v>1930.16</v>
      </c>
      <c r="DI93" s="110"/>
      <c r="DJ93" s="139"/>
      <c r="DK93" s="140">
        <f t="shared" si="2292"/>
        <v>1.0907500000000001</v>
      </c>
      <c r="DL93" s="198">
        <f t="shared" si="2273"/>
        <v>0</v>
      </c>
      <c r="DM93" s="225">
        <f t="shared" si="2293"/>
        <v>0</v>
      </c>
      <c r="DN93" s="226">
        <f t="shared" si="2294"/>
        <v>0</v>
      </c>
      <c r="DO93" s="137">
        <f t="shared" si="2295"/>
        <v>0</v>
      </c>
      <c r="DP93" s="227">
        <f t="shared" si="2277"/>
        <v>2644.05</v>
      </c>
      <c r="DQ93" s="138">
        <f t="shared" si="2296"/>
        <v>0</v>
      </c>
      <c r="DR93" s="110">
        <f t="shared" si="2297"/>
        <v>0</v>
      </c>
      <c r="DS93" s="110"/>
      <c r="DT93" s="139"/>
      <c r="DU93" s="140">
        <f t="shared" si="2298"/>
        <v>0</v>
      </c>
      <c r="DV93" s="198">
        <f t="shared" si="2273"/>
        <v>0</v>
      </c>
      <c r="DW93" s="225">
        <f t="shared" si="2299"/>
        <v>0</v>
      </c>
      <c r="DX93" s="226">
        <f t="shared" si="2300"/>
        <v>0</v>
      </c>
      <c r="DY93" s="137">
        <f t="shared" si="2301"/>
        <v>0</v>
      </c>
      <c r="DZ93" s="227">
        <f t="shared" si="2277"/>
        <v>2644.05</v>
      </c>
      <c r="EA93" s="138">
        <f t="shared" si="2302"/>
        <v>0</v>
      </c>
      <c r="EB93" s="110">
        <f t="shared" si="2303"/>
        <v>0</v>
      </c>
      <c r="EC93" s="110"/>
      <c r="ED93" s="139"/>
      <c r="EE93" s="140">
        <f t="shared" si="2304"/>
        <v>0</v>
      </c>
      <c r="EF93" s="198">
        <f t="shared" si="2273"/>
        <v>0</v>
      </c>
      <c r="EG93" s="225">
        <f t="shared" si="2305"/>
        <v>0</v>
      </c>
      <c r="EH93" s="226">
        <f t="shared" si="2306"/>
        <v>0</v>
      </c>
      <c r="EI93" s="137">
        <f t="shared" si="2307"/>
        <v>0</v>
      </c>
      <c r="EJ93" s="227">
        <f t="shared" si="2277"/>
        <v>3163.33</v>
      </c>
      <c r="EK93" s="138">
        <f t="shared" si="2308"/>
        <v>0</v>
      </c>
      <c r="EL93" s="110">
        <f t="shared" si="2309"/>
        <v>0</v>
      </c>
      <c r="EM93" s="110"/>
      <c r="EN93" s="139"/>
      <c r="EO93" s="140">
        <f t="shared" si="2310"/>
        <v>0</v>
      </c>
      <c r="EP93" s="198">
        <f t="shared" si="2273"/>
        <v>0</v>
      </c>
      <c r="EQ93" s="225">
        <f t="shared" si="2311"/>
        <v>0</v>
      </c>
      <c r="ER93" s="226">
        <f t="shared" si="2312"/>
        <v>0</v>
      </c>
      <c r="ES93" s="137">
        <f t="shared" si="2313"/>
        <v>0</v>
      </c>
      <c r="ET93" s="227">
        <f t="shared" si="2277"/>
        <v>3163.33</v>
      </c>
      <c r="EU93" s="138">
        <f t="shared" si="2314"/>
        <v>0</v>
      </c>
      <c r="EV93" s="110">
        <f t="shared" si="2315"/>
        <v>0</v>
      </c>
      <c r="EW93" s="110"/>
      <c r="EX93" s="139"/>
      <c r="EY93" s="140">
        <f t="shared" si="2316"/>
        <v>0</v>
      </c>
      <c r="EZ93" s="198">
        <f t="shared" si="2317"/>
        <v>0</v>
      </c>
      <c r="FA93" s="225">
        <f t="shared" si="2318"/>
        <v>0</v>
      </c>
      <c r="FB93" s="226">
        <f t="shared" si="2319"/>
        <v>0</v>
      </c>
      <c r="FC93" s="137">
        <f t="shared" si="2320"/>
        <v>0</v>
      </c>
      <c r="FD93" s="227">
        <f t="shared" si="2321"/>
        <v>0</v>
      </c>
      <c r="FE93" s="138">
        <f t="shared" si="2322"/>
        <v>0</v>
      </c>
      <c r="FF93" s="110">
        <f t="shared" si="2323"/>
        <v>0</v>
      </c>
      <c r="FG93" s="110"/>
      <c r="FH93" s="139"/>
      <c r="FI93" s="140">
        <f t="shared" si="2324"/>
        <v>0</v>
      </c>
      <c r="FJ93" s="198">
        <f t="shared" si="2317"/>
        <v>0</v>
      </c>
      <c r="FK93" s="225">
        <f t="shared" si="2325"/>
        <v>0</v>
      </c>
      <c r="FL93" s="226">
        <f t="shared" si="2326"/>
        <v>0</v>
      </c>
      <c r="FM93" s="137">
        <f t="shared" si="2327"/>
        <v>0</v>
      </c>
      <c r="FN93" s="227">
        <f t="shared" si="2321"/>
        <v>3163.33</v>
      </c>
      <c r="FO93" s="138">
        <f t="shared" si="2328"/>
        <v>0</v>
      </c>
      <c r="FP93" s="110">
        <f t="shared" si="2329"/>
        <v>0</v>
      </c>
      <c r="FQ93" s="110"/>
      <c r="FR93" s="139"/>
      <c r="FS93" s="140">
        <f t="shared" si="2330"/>
        <v>0</v>
      </c>
      <c r="FT93" s="198">
        <f t="shared" si="2317"/>
        <v>1</v>
      </c>
      <c r="FU93" s="225">
        <f t="shared" si="2331"/>
        <v>1.25E-3</v>
      </c>
      <c r="FV93" s="226">
        <f t="shared" si="2332"/>
        <v>0.59</v>
      </c>
      <c r="FW93" s="137">
        <f t="shared" si="2333"/>
        <v>0.59</v>
      </c>
      <c r="FX93" s="227">
        <f t="shared" si="2321"/>
        <v>3163.33</v>
      </c>
      <c r="FY93" s="138">
        <f t="shared" si="2334"/>
        <v>1866.3647000000001</v>
      </c>
      <c r="FZ93" s="110">
        <f t="shared" si="2335"/>
        <v>1866.36</v>
      </c>
      <c r="GA93" s="110"/>
      <c r="GB93" s="139"/>
      <c r="GC93" s="140">
        <f t="shared" si="2336"/>
        <v>1.0547</v>
      </c>
      <c r="GD93" s="198">
        <f t="shared" si="2317"/>
        <v>0</v>
      </c>
      <c r="GE93" s="225">
        <f t="shared" si="2337"/>
        <v>0</v>
      </c>
      <c r="GF93" s="226">
        <f t="shared" si="2338"/>
        <v>0</v>
      </c>
      <c r="GG93" s="137">
        <f t="shared" si="2339"/>
        <v>0</v>
      </c>
      <c r="GH93" s="227">
        <f t="shared" si="2321"/>
        <v>0</v>
      </c>
      <c r="GI93" s="138">
        <f t="shared" si="2340"/>
        <v>0</v>
      </c>
      <c r="GJ93" s="110">
        <f t="shared" si="2341"/>
        <v>0</v>
      </c>
      <c r="GK93" s="110"/>
      <c r="GL93" s="139"/>
      <c r="GM93" s="140">
        <f t="shared" si="2342"/>
        <v>0</v>
      </c>
      <c r="GN93" s="198">
        <f t="shared" si="2317"/>
        <v>0</v>
      </c>
      <c r="GO93" s="225">
        <f t="shared" si="2343"/>
        <v>0</v>
      </c>
      <c r="GP93" s="226">
        <f t="shared" si="2344"/>
        <v>0</v>
      </c>
      <c r="GQ93" s="137">
        <f t="shared" si="2345"/>
        <v>0</v>
      </c>
      <c r="GR93" s="227">
        <f t="shared" si="2321"/>
        <v>2644.05</v>
      </c>
      <c r="GS93" s="138">
        <f t="shared" si="2346"/>
        <v>0</v>
      </c>
      <c r="GT93" s="110">
        <f t="shared" si="2347"/>
        <v>0</v>
      </c>
      <c r="GU93" s="110"/>
      <c r="GV93" s="139"/>
      <c r="GW93" s="140">
        <f t="shared" si="2348"/>
        <v>0</v>
      </c>
      <c r="GX93" s="198">
        <f t="shared" si="2317"/>
        <v>1</v>
      </c>
      <c r="GY93" s="225">
        <f t="shared" si="2349"/>
        <v>6.2E-4</v>
      </c>
      <c r="GZ93" s="226">
        <f t="shared" si="2350"/>
        <v>0.32</v>
      </c>
      <c r="HA93" s="137">
        <f t="shared" si="2351"/>
        <v>0.32</v>
      </c>
      <c r="HB93" s="227">
        <f t="shared" si="2321"/>
        <v>2644.05</v>
      </c>
      <c r="HC93" s="138">
        <f t="shared" si="2352"/>
        <v>846.096</v>
      </c>
      <c r="HD93" s="110">
        <f t="shared" si="2353"/>
        <v>846.1</v>
      </c>
      <c r="HE93" s="110"/>
      <c r="HF93" s="139"/>
      <c r="HG93" s="140">
        <f t="shared" si="2354"/>
        <v>0.47814000000000001</v>
      </c>
      <c r="HH93" s="198">
        <f t="shared" si="2317"/>
        <v>1</v>
      </c>
      <c r="HI93" s="225">
        <f t="shared" si="2355"/>
        <v>8.7000000000000001E-4</v>
      </c>
      <c r="HJ93" s="226">
        <f t="shared" si="2356"/>
        <v>0.64</v>
      </c>
      <c r="HK93" s="137">
        <f t="shared" si="2357"/>
        <v>0.64</v>
      </c>
      <c r="HL93" s="227">
        <f t="shared" si="2321"/>
        <v>2597.2199999999998</v>
      </c>
      <c r="HM93" s="138">
        <f t="shared" si="2358"/>
        <v>1662.2208000000001</v>
      </c>
      <c r="HN93" s="110">
        <f t="shared" si="2359"/>
        <v>1662.22</v>
      </c>
      <c r="HO93" s="110"/>
      <c r="HP93" s="139"/>
      <c r="HQ93" s="140">
        <f t="shared" si="2360"/>
        <v>0.93933999999999995</v>
      </c>
      <c r="HR93" s="198">
        <f t="shared" si="2361"/>
        <v>0</v>
      </c>
      <c r="HS93" s="225">
        <f t="shared" si="2362"/>
        <v>0</v>
      </c>
      <c r="HT93" s="226">
        <f t="shared" si="2363"/>
        <v>0</v>
      </c>
      <c r="HU93" s="137">
        <f t="shared" si="2364"/>
        <v>0</v>
      </c>
      <c r="HV93" s="227">
        <f t="shared" si="2365"/>
        <v>3163.33</v>
      </c>
      <c r="HW93" s="138">
        <f t="shared" si="2366"/>
        <v>0</v>
      </c>
      <c r="HX93" s="110">
        <f t="shared" si="2367"/>
        <v>0</v>
      </c>
      <c r="HY93" s="110"/>
      <c r="HZ93" s="139"/>
      <c r="IA93" s="140">
        <f t="shared" si="2368"/>
        <v>0</v>
      </c>
      <c r="IB93" s="198">
        <f t="shared" si="2361"/>
        <v>0</v>
      </c>
      <c r="IC93" s="225">
        <f t="shared" si="2369"/>
        <v>0</v>
      </c>
      <c r="ID93" s="226">
        <f t="shared" si="2370"/>
        <v>0</v>
      </c>
      <c r="IE93" s="137">
        <f t="shared" si="2371"/>
        <v>0</v>
      </c>
      <c r="IF93" s="227">
        <f t="shared" si="2365"/>
        <v>3163.33</v>
      </c>
      <c r="IG93" s="138">
        <f t="shared" si="2372"/>
        <v>0</v>
      </c>
      <c r="IH93" s="110">
        <f t="shared" si="2373"/>
        <v>0</v>
      </c>
      <c r="II93" s="110"/>
      <c r="IJ93" s="139"/>
      <c r="IK93" s="140">
        <f t="shared" si="2374"/>
        <v>0</v>
      </c>
      <c r="IL93" s="198">
        <f t="shared" si="2361"/>
        <v>1</v>
      </c>
      <c r="IM93" s="225">
        <f t="shared" si="2375"/>
        <v>7.9000000000000001E-4</v>
      </c>
      <c r="IN93" s="226">
        <f t="shared" si="2376"/>
        <v>0.51</v>
      </c>
      <c r="IO93" s="137">
        <f t="shared" si="2377"/>
        <v>0.51</v>
      </c>
      <c r="IP93" s="227">
        <f t="shared" si="2365"/>
        <v>2644.05</v>
      </c>
      <c r="IQ93" s="138">
        <f t="shared" si="2378"/>
        <v>1348.4655</v>
      </c>
      <c r="IR93" s="110">
        <f t="shared" si="2379"/>
        <v>1348.47</v>
      </c>
      <c r="IS93" s="110"/>
      <c r="IT93" s="139"/>
      <c r="IU93" s="140">
        <f t="shared" si="2380"/>
        <v>0.76202999999999999</v>
      </c>
      <c r="IV93" s="198">
        <f t="shared" si="2361"/>
        <v>0</v>
      </c>
      <c r="IW93" s="225">
        <f t="shared" si="2381"/>
        <v>0</v>
      </c>
      <c r="IX93" s="226">
        <f t="shared" si="2382"/>
        <v>0</v>
      </c>
      <c r="IY93" s="137">
        <f t="shared" si="2383"/>
        <v>0</v>
      </c>
      <c r="IZ93" s="227">
        <f t="shared" si="2365"/>
        <v>3163.33</v>
      </c>
      <c r="JA93" s="138">
        <f t="shared" si="2384"/>
        <v>0</v>
      </c>
      <c r="JB93" s="110">
        <f t="shared" si="2385"/>
        <v>0</v>
      </c>
      <c r="JC93" s="110"/>
      <c r="JD93" s="139"/>
      <c r="JE93" s="140">
        <f t="shared" si="2386"/>
        <v>0</v>
      </c>
      <c r="JF93" s="198">
        <f t="shared" si="2361"/>
        <v>0</v>
      </c>
      <c r="JG93" s="225">
        <f t="shared" si="2387"/>
        <v>0</v>
      </c>
      <c r="JH93" s="226">
        <f t="shared" si="2388"/>
        <v>0</v>
      </c>
      <c r="JI93" s="137">
        <f t="shared" si="2389"/>
        <v>0</v>
      </c>
      <c r="JJ93" s="227">
        <f t="shared" si="2365"/>
        <v>2644.05</v>
      </c>
      <c r="JK93" s="138">
        <f t="shared" si="2390"/>
        <v>0</v>
      </c>
      <c r="JL93" s="110">
        <f t="shared" si="2391"/>
        <v>0</v>
      </c>
      <c r="JM93" s="110"/>
      <c r="JN93" s="139"/>
      <c r="JO93" s="140">
        <f t="shared" si="2392"/>
        <v>0</v>
      </c>
      <c r="JP93" s="198">
        <f t="shared" si="2361"/>
        <v>0</v>
      </c>
      <c r="JQ93" s="225">
        <f t="shared" si="2393"/>
        <v>0</v>
      </c>
      <c r="JR93" s="226">
        <f t="shared" si="2394"/>
        <v>0</v>
      </c>
      <c r="JS93" s="137">
        <f t="shared" si="2395"/>
        <v>0</v>
      </c>
      <c r="JT93" s="227">
        <f t="shared" si="2365"/>
        <v>2632.02</v>
      </c>
      <c r="JU93" s="138">
        <f t="shared" si="2396"/>
        <v>0</v>
      </c>
      <c r="JV93" s="110">
        <f t="shared" si="2397"/>
        <v>0</v>
      </c>
      <c r="JW93" s="110"/>
      <c r="JX93" s="139"/>
      <c r="JY93" s="140">
        <f t="shared" si="2398"/>
        <v>0</v>
      </c>
      <c r="JZ93" s="198">
        <f t="shared" si="2361"/>
        <v>0</v>
      </c>
      <c r="KA93" s="225">
        <f t="shared" si="2399"/>
        <v>0</v>
      </c>
      <c r="KB93" s="226">
        <f t="shared" si="2400"/>
        <v>0</v>
      </c>
      <c r="KC93" s="137">
        <f t="shared" si="2401"/>
        <v>0</v>
      </c>
      <c r="KD93" s="227">
        <f t="shared" si="2365"/>
        <v>3163.33</v>
      </c>
      <c r="KE93" s="138">
        <f t="shared" si="2402"/>
        <v>0</v>
      </c>
      <c r="KF93" s="110">
        <f t="shared" si="2403"/>
        <v>0</v>
      </c>
      <c r="KG93" s="110"/>
      <c r="KH93" s="139"/>
      <c r="KI93" s="140">
        <f t="shared" si="2404"/>
        <v>0</v>
      </c>
      <c r="KJ93" s="198">
        <f t="shared" si="2405"/>
        <v>0</v>
      </c>
      <c r="KK93" s="225">
        <f t="shared" si="2406"/>
        <v>0</v>
      </c>
      <c r="KL93" s="226">
        <f t="shared" si="2407"/>
        <v>0</v>
      </c>
      <c r="KM93" s="137">
        <f t="shared" si="2408"/>
        <v>0</v>
      </c>
      <c r="KN93" s="227">
        <f t="shared" si="2409"/>
        <v>2644.05</v>
      </c>
      <c r="KO93" s="138">
        <f t="shared" si="2410"/>
        <v>0</v>
      </c>
      <c r="KP93" s="110">
        <f t="shared" si="2411"/>
        <v>0</v>
      </c>
      <c r="KQ93" s="110"/>
      <c r="KR93" s="139"/>
      <c r="KS93" s="140">
        <f t="shared" si="2412"/>
        <v>0</v>
      </c>
      <c r="KT93" s="198">
        <f t="shared" si="2405"/>
        <v>0</v>
      </c>
      <c r="KU93" s="225">
        <f t="shared" si="2413"/>
        <v>0</v>
      </c>
      <c r="KV93" s="226">
        <f t="shared" si="2414"/>
        <v>0</v>
      </c>
      <c r="KW93" s="137">
        <f t="shared" si="2415"/>
        <v>0</v>
      </c>
      <c r="KX93" s="227">
        <f t="shared" si="2409"/>
        <v>3163.33</v>
      </c>
      <c r="KY93" s="138">
        <f t="shared" si="2416"/>
        <v>0</v>
      </c>
      <c r="KZ93" s="110">
        <f t="shared" si="2417"/>
        <v>0</v>
      </c>
      <c r="LA93" s="110"/>
      <c r="LB93" s="139"/>
      <c r="LC93" s="140">
        <f t="shared" si="2418"/>
        <v>0</v>
      </c>
      <c r="LD93" s="197">
        <f t="shared" si="2027"/>
        <v>6</v>
      </c>
      <c r="LE93" s="225">
        <f t="shared" si="2028"/>
        <v>2.1000000000000001E-4</v>
      </c>
      <c r="LF93" s="226">
        <f t="shared" si="2029"/>
        <v>3.7</v>
      </c>
      <c r="LG93" s="137">
        <f t="shared" si="2030"/>
        <v>0.61666666999999997</v>
      </c>
      <c r="LH93" s="227">
        <f t="shared" si="2031"/>
        <v>2869.57</v>
      </c>
      <c r="LI93" s="138">
        <f t="shared" si="2032"/>
        <v>1769.56818</v>
      </c>
      <c r="LJ93" s="110">
        <f t="shared" si="2033"/>
        <v>10617.41</v>
      </c>
      <c r="LK93" s="110"/>
      <c r="LL93" s="139"/>
    </row>
    <row r="94" spans="1:324" ht="17.25" customHeight="1" x14ac:dyDescent="0.25">
      <c r="A94" s="246"/>
      <c r="B94" s="12" t="s">
        <v>627</v>
      </c>
      <c r="C94" s="12" t="s">
        <v>728</v>
      </c>
      <c r="D94" s="12" t="s">
        <v>430</v>
      </c>
      <c r="E94" s="4" t="s">
        <v>34</v>
      </c>
      <c r="F94" s="198">
        <f t="shared" si="2228"/>
        <v>0</v>
      </c>
      <c r="G94" s="225">
        <f t="shared" si="2034"/>
        <v>0</v>
      </c>
      <c r="H94" s="226">
        <f t="shared" si="2035"/>
        <v>0</v>
      </c>
      <c r="I94" s="137">
        <f t="shared" si="1808"/>
        <v>0</v>
      </c>
      <c r="J94" s="227">
        <f t="shared" si="2036"/>
        <v>2644.05</v>
      </c>
      <c r="K94" s="138">
        <f t="shared" si="1809"/>
        <v>0</v>
      </c>
      <c r="L94" s="110">
        <f t="shared" si="1810"/>
        <v>0</v>
      </c>
      <c r="M94" s="110"/>
      <c r="N94" s="139"/>
      <c r="O94" s="140">
        <f t="shared" si="1811"/>
        <v>0</v>
      </c>
      <c r="P94" s="198">
        <f t="shared" si="2229"/>
        <v>0</v>
      </c>
      <c r="Q94" s="225">
        <f t="shared" si="2230"/>
        <v>0</v>
      </c>
      <c r="R94" s="226">
        <f t="shared" si="2231"/>
        <v>0</v>
      </c>
      <c r="S94" s="137">
        <f t="shared" si="2232"/>
        <v>0</v>
      </c>
      <c r="T94" s="227">
        <f t="shared" si="2233"/>
        <v>3163.33</v>
      </c>
      <c r="U94" s="138">
        <f t="shared" si="2234"/>
        <v>0</v>
      </c>
      <c r="V94" s="110">
        <f t="shared" si="2235"/>
        <v>0</v>
      </c>
      <c r="W94" s="110"/>
      <c r="X94" s="139"/>
      <c r="Y94" s="140">
        <f t="shared" si="2236"/>
        <v>0</v>
      </c>
      <c r="Z94" s="198">
        <f t="shared" si="2229"/>
        <v>0</v>
      </c>
      <c r="AA94" s="225">
        <f t="shared" si="2237"/>
        <v>0</v>
      </c>
      <c r="AB94" s="226">
        <f t="shared" si="2238"/>
        <v>0</v>
      </c>
      <c r="AC94" s="137">
        <f t="shared" si="2239"/>
        <v>0</v>
      </c>
      <c r="AD94" s="227">
        <f t="shared" si="2233"/>
        <v>2608.17</v>
      </c>
      <c r="AE94" s="138">
        <f t="shared" si="2240"/>
        <v>0</v>
      </c>
      <c r="AF94" s="110">
        <f t="shared" si="2241"/>
        <v>0</v>
      </c>
      <c r="AG94" s="110"/>
      <c r="AH94" s="139"/>
      <c r="AI94" s="140">
        <f t="shared" si="2242"/>
        <v>0</v>
      </c>
      <c r="AJ94" s="198">
        <f t="shared" si="2229"/>
        <v>0</v>
      </c>
      <c r="AK94" s="225">
        <f t="shared" si="2243"/>
        <v>0</v>
      </c>
      <c r="AL94" s="226">
        <f t="shared" si="2244"/>
        <v>0</v>
      </c>
      <c r="AM94" s="137">
        <f t="shared" si="2245"/>
        <v>0</v>
      </c>
      <c r="AN94" s="227">
        <f t="shared" si="2233"/>
        <v>2644.05</v>
      </c>
      <c r="AO94" s="138">
        <f t="shared" si="2246"/>
        <v>0</v>
      </c>
      <c r="AP94" s="110">
        <f t="shared" si="2247"/>
        <v>0</v>
      </c>
      <c r="AQ94" s="110"/>
      <c r="AR94" s="139"/>
      <c r="AS94" s="140">
        <f t="shared" si="2248"/>
        <v>0</v>
      </c>
      <c r="AT94" s="198">
        <f t="shared" si="2229"/>
        <v>1</v>
      </c>
      <c r="AU94" s="225">
        <f t="shared" si="2249"/>
        <v>1.0499999999999999E-3</v>
      </c>
      <c r="AV94" s="226">
        <f t="shared" si="2250"/>
        <v>0.42</v>
      </c>
      <c r="AW94" s="137">
        <f t="shared" si="2251"/>
        <v>0.42</v>
      </c>
      <c r="AX94" s="227">
        <f t="shared" si="2233"/>
        <v>1786.28</v>
      </c>
      <c r="AY94" s="138">
        <f t="shared" si="2252"/>
        <v>750.23760000000004</v>
      </c>
      <c r="AZ94" s="110">
        <f t="shared" si="2253"/>
        <v>750.24</v>
      </c>
      <c r="BA94" s="110"/>
      <c r="BB94" s="139"/>
      <c r="BC94" s="140">
        <f t="shared" si="2254"/>
        <v>0.37348999999999999</v>
      </c>
      <c r="BD94" s="198">
        <f t="shared" si="2229"/>
        <v>0</v>
      </c>
      <c r="BE94" s="225">
        <f t="shared" si="2255"/>
        <v>0</v>
      </c>
      <c r="BF94" s="226">
        <f t="shared" si="2256"/>
        <v>0</v>
      </c>
      <c r="BG94" s="137">
        <f t="shared" si="2257"/>
        <v>0</v>
      </c>
      <c r="BH94" s="227">
        <f t="shared" si="2233"/>
        <v>3163.33</v>
      </c>
      <c r="BI94" s="138">
        <f t="shared" si="2258"/>
        <v>0</v>
      </c>
      <c r="BJ94" s="110">
        <f t="shared" si="2259"/>
        <v>0</v>
      </c>
      <c r="BK94" s="110"/>
      <c r="BL94" s="139"/>
      <c r="BM94" s="140">
        <f t="shared" si="2260"/>
        <v>0</v>
      </c>
      <c r="BN94" s="198">
        <f t="shared" si="2229"/>
        <v>0</v>
      </c>
      <c r="BO94" s="225">
        <f t="shared" si="2261"/>
        <v>0</v>
      </c>
      <c r="BP94" s="226">
        <f t="shared" si="2262"/>
        <v>0</v>
      </c>
      <c r="BQ94" s="137">
        <f t="shared" si="2263"/>
        <v>0</v>
      </c>
      <c r="BR94" s="227">
        <f t="shared" si="2233"/>
        <v>2182.42</v>
      </c>
      <c r="BS94" s="138">
        <f t="shared" si="2264"/>
        <v>0</v>
      </c>
      <c r="BT94" s="110">
        <f t="shared" si="2265"/>
        <v>0</v>
      </c>
      <c r="BU94" s="110"/>
      <c r="BV94" s="139"/>
      <c r="BW94" s="140">
        <f t="shared" si="2266"/>
        <v>0</v>
      </c>
      <c r="BX94" s="198">
        <f t="shared" si="2229"/>
        <v>0</v>
      </c>
      <c r="BY94" s="225">
        <f t="shared" si="2267"/>
        <v>0</v>
      </c>
      <c r="BZ94" s="226">
        <f t="shared" si="2268"/>
        <v>0</v>
      </c>
      <c r="CA94" s="137">
        <f t="shared" si="2269"/>
        <v>0</v>
      </c>
      <c r="CB94" s="227">
        <f t="shared" si="2233"/>
        <v>2644.05</v>
      </c>
      <c r="CC94" s="138">
        <f t="shared" si="2270"/>
        <v>0</v>
      </c>
      <c r="CD94" s="110">
        <f t="shared" si="2271"/>
        <v>0</v>
      </c>
      <c r="CE94" s="110"/>
      <c r="CF94" s="139"/>
      <c r="CG94" s="140">
        <f t="shared" si="2272"/>
        <v>0</v>
      </c>
      <c r="CH94" s="198">
        <f t="shared" si="2273"/>
        <v>0</v>
      </c>
      <c r="CI94" s="225">
        <f t="shared" si="2274"/>
        <v>0</v>
      </c>
      <c r="CJ94" s="226">
        <f t="shared" si="2275"/>
        <v>0</v>
      </c>
      <c r="CK94" s="137">
        <f t="shared" si="2276"/>
        <v>0</v>
      </c>
      <c r="CL94" s="227">
        <f t="shared" si="2277"/>
        <v>2644.05</v>
      </c>
      <c r="CM94" s="138">
        <f t="shared" si="2278"/>
        <v>0</v>
      </c>
      <c r="CN94" s="110">
        <f t="shared" si="2279"/>
        <v>0</v>
      </c>
      <c r="CO94" s="110"/>
      <c r="CP94" s="139"/>
      <c r="CQ94" s="140">
        <f t="shared" si="2280"/>
        <v>0</v>
      </c>
      <c r="CR94" s="198">
        <f t="shared" si="2273"/>
        <v>0</v>
      </c>
      <c r="CS94" s="225">
        <f t="shared" si="2281"/>
        <v>0</v>
      </c>
      <c r="CT94" s="226">
        <f t="shared" si="2282"/>
        <v>0</v>
      </c>
      <c r="CU94" s="137">
        <f t="shared" si="2283"/>
        <v>0</v>
      </c>
      <c r="CV94" s="227">
        <f t="shared" si="2277"/>
        <v>3163.33</v>
      </c>
      <c r="CW94" s="138">
        <f t="shared" si="2284"/>
        <v>0</v>
      </c>
      <c r="CX94" s="110">
        <f t="shared" si="2285"/>
        <v>0</v>
      </c>
      <c r="CY94" s="110"/>
      <c r="CZ94" s="139"/>
      <c r="DA94" s="140">
        <f t="shared" si="2286"/>
        <v>0</v>
      </c>
      <c r="DB94" s="198">
        <f t="shared" si="2273"/>
        <v>0</v>
      </c>
      <c r="DC94" s="225">
        <f t="shared" si="2287"/>
        <v>0</v>
      </c>
      <c r="DD94" s="226">
        <f t="shared" si="2288"/>
        <v>0</v>
      </c>
      <c r="DE94" s="137">
        <f t="shared" si="2289"/>
        <v>0</v>
      </c>
      <c r="DF94" s="227">
        <f t="shared" si="2277"/>
        <v>2644.05</v>
      </c>
      <c r="DG94" s="138">
        <f t="shared" si="2290"/>
        <v>0</v>
      </c>
      <c r="DH94" s="110">
        <f t="shared" si="2291"/>
        <v>0</v>
      </c>
      <c r="DI94" s="110"/>
      <c r="DJ94" s="139"/>
      <c r="DK94" s="140">
        <f t="shared" si="2292"/>
        <v>0</v>
      </c>
      <c r="DL94" s="198">
        <f t="shared" si="2273"/>
        <v>0</v>
      </c>
      <c r="DM94" s="225">
        <f t="shared" si="2293"/>
        <v>0</v>
      </c>
      <c r="DN94" s="226">
        <f t="shared" si="2294"/>
        <v>0</v>
      </c>
      <c r="DO94" s="137">
        <f t="shared" si="2295"/>
        <v>0</v>
      </c>
      <c r="DP94" s="227">
        <f t="shared" si="2277"/>
        <v>2644.05</v>
      </c>
      <c r="DQ94" s="138">
        <f t="shared" si="2296"/>
        <v>0</v>
      </c>
      <c r="DR94" s="110">
        <f t="shared" si="2297"/>
        <v>0</v>
      </c>
      <c r="DS94" s="110"/>
      <c r="DT94" s="139"/>
      <c r="DU94" s="140">
        <f t="shared" si="2298"/>
        <v>0</v>
      </c>
      <c r="DV94" s="198">
        <f t="shared" si="2273"/>
        <v>0</v>
      </c>
      <c r="DW94" s="225">
        <f t="shared" si="2299"/>
        <v>0</v>
      </c>
      <c r="DX94" s="226">
        <f t="shared" si="2300"/>
        <v>0</v>
      </c>
      <c r="DY94" s="137">
        <f t="shared" si="2301"/>
        <v>0</v>
      </c>
      <c r="DZ94" s="227">
        <f t="shared" si="2277"/>
        <v>2644.05</v>
      </c>
      <c r="EA94" s="138">
        <f t="shared" si="2302"/>
        <v>0</v>
      </c>
      <c r="EB94" s="110">
        <f t="shared" si="2303"/>
        <v>0</v>
      </c>
      <c r="EC94" s="110"/>
      <c r="ED94" s="139"/>
      <c r="EE94" s="140">
        <f t="shared" si="2304"/>
        <v>0</v>
      </c>
      <c r="EF94" s="198">
        <f t="shared" si="2273"/>
        <v>0</v>
      </c>
      <c r="EG94" s="225">
        <f t="shared" si="2305"/>
        <v>0</v>
      </c>
      <c r="EH94" s="226">
        <f t="shared" si="2306"/>
        <v>0</v>
      </c>
      <c r="EI94" s="137">
        <f t="shared" si="2307"/>
        <v>0</v>
      </c>
      <c r="EJ94" s="227">
        <f t="shared" si="2277"/>
        <v>3163.33</v>
      </c>
      <c r="EK94" s="138">
        <f t="shared" si="2308"/>
        <v>0</v>
      </c>
      <c r="EL94" s="110">
        <f t="shared" si="2309"/>
        <v>0</v>
      </c>
      <c r="EM94" s="110"/>
      <c r="EN94" s="139"/>
      <c r="EO94" s="140">
        <f t="shared" si="2310"/>
        <v>0</v>
      </c>
      <c r="EP94" s="198">
        <f t="shared" si="2273"/>
        <v>0</v>
      </c>
      <c r="EQ94" s="225">
        <f t="shared" si="2311"/>
        <v>0</v>
      </c>
      <c r="ER94" s="226">
        <f t="shared" si="2312"/>
        <v>0</v>
      </c>
      <c r="ES94" s="137">
        <f t="shared" si="2313"/>
        <v>0</v>
      </c>
      <c r="ET94" s="227">
        <f t="shared" si="2277"/>
        <v>3163.33</v>
      </c>
      <c r="EU94" s="138">
        <f t="shared" si="2314"/>
        <v>0</v>
      </c>
      <c r="EV94" s="110">
        <f t="shared" si="2315"/>
        <v>0</v>
      </c>
      <c r="EW94" s="110"/>
      <c r="EX94" s="139"/>
      <c r="EY94" s="140">
        <f t="shared" si="2316"/>
        <v>0</v>
      </c>
      <c r="EZ94" s="198">
        <f t="shared" si="2317"/>
        <v>0</v>
      </c>
      <c r="FA94" s="225">
        <f t="shared" si="2318"/>
        <v>0</v>
      </c>
      <c r="FB94" s="226">
        <f t="shared" si="2319"/>
        <v>0</v>
      </c>
      <c r="FC94" s="137">
        <f t="shared" si="2320"/>
        <v>0</v>
      </c>
      <c r="FD94" s="227">
        <f t="shared" si="2321"/>
        <v>0</v>
      </c>
      <c r="FE94" s="138">
        <f t="shared" si="2322"/>
        <v>0</v>
      </c>
      <c r="FF94" s="110">
        <f t="shared" si="2323"/>
        <v>0</v>
      </c>
      <c r="FG94" s="110"/>
      <c r="FH94" s="139"/>
      <c r="FI94" s="140">
        <f t="shared" si="2324"/>
        <v>0</v>
      </c>
      <c r="FJ94" s="198">
        <f t="shared" si="2317"/>
        <v>0</v>
      </c>
      <c r="FK94" s="225">
        <f t="shared" si="2325"/>
        <v>0</v>
      </c>
      <c r="FL94" s="226">
        <f t="shared" si="2326"/>
        <v>0</v>
      </c>
      <c r="FM94" s="137">
        <f t="shared" si="2327"/>
        <v>0</v>
      </c>
      <c r="FN94" s="227">
        <f t="shared" si="2321"/>
        <v>3163.33</v>
      </c>
      <c r="FO94" s="138">
        <f t="shared" si="2328"/>
        <v>0</v>
      </c>
      <c r="FP94" s="110">
        <f t="shared" si="2329"/>
        <v>0</v>
      </c>
      <c r="FQ94" s="110"/>
      <c r="FR94" s="139"/>
      <c r="FS94" s="140">
        <f t="shared" si="2330"/>
        <v>0</v>
      </c>
      <c r="FT94" s="198">
        <f t="shared" si="2317"/>
        <v>0</v>
      </c>
      <c r="FU94" s="225">
        <f t="shared" si="2331"/>
        <v>0</v>
      </c>
      <c r="FV94" s="226">
        <f t="shared" si="2332"/>
        <v>0</v>
      </c>
      <c r="FW94" s="137">
        <f t="shared" si="2333"/>
        <v>0</v>
      </c>
      <c r="FX94" s="227">
        <f t="shared" si="2321"/>
        <v>3163.33</v>
      </c>
      <c r="FY94" s="138">
        <f t="shared" si="2334"/>
        <v>0</v>
      </c>
      <c r="FZ94" s="110">
        <f t="shared" si="2335"/>
        <v>0</v>
      </c>
      <c r="GA94" s="110"/>
      <c r="GB94" s="139"/>
      <c r="GC94" s="140">
        <f t="shared" si="2336"/>
        <v>0</v>
      </c>
      <c r="GD94" s="198">
        <f t="shared" si="2317"/>
        <v>0</v>
      </c>
      <c r="GE94" s="225">
        <f t="shared" si="2337"/>
        <v>0</v>
      </c>
      <c r="GF94" s="226">
        <f t="shared" si="2338"/>
        <v>0</v>
      </c>
      <c r="GG94" s="137">
        <f t="shared" si="2339"/>
        <v>0</v>
      </c>
      <c r="GH94" s="227">
        <f t="shared" si="2321"/>
        <v>0</v>
      </c>
      <c r="GI94" s="138">
        <f t="shared" si="2340"/>
        <v>0</v>
      </c>
      <c r="GJ94" s="110">
        <f t="shared" si="2341"/>
        <v>0</v>
      </c>
      <c r="GK94" s="110"/>
      <c r="GL94" s="139"/>
      <c r="GM94" s="140">
        <f t="shared" si="2342"/>
        <v>0</v>
      </c>
      <c r="GN94" s="198">
        <f t="shared" si="2317"/>
        <v>0</v>
      </c>
      <c r="GO94" s="225">
        <f t="shared" si="2343"/>
        <v>0</v>
      </c>
      <c r="GP94" s="226">
        <f t="shared" si="2344"/>
        <v>0</v>
      </c>
      <c r="GQ94" s="137">
        <f t="shared" si="2345"/>
        <v>0</v>
      </c>
      <c r="GR94" s="227">
        <f t="shared" si="2321"/>
        <v>2644.05</v>
      </c>
      <c r="GS94" s="138">
        <f t="shared" si="2346"/>
        <v>0</v>
      </c>
      <c r="GT94" s="110">
        <f t="shared" si="2347"/>
        <v>0</v>
      </c>
      <c r="GU94" s="110"/>
      <c r="GV94" s="139"/>
      <c r="GW94" s="140">
        <f t="shared" si="2348"/>
        <v>0</v>
      </c>
      <c r="GX94" s="198">
        <f t="shared" si="2317"/>
        <v>0</v>
      </c>
      <c r="GY94" s="225">
        <f t="shared" si="2349"/>
        <v>0</v>
      </c>
      <c r="GZ94" s="226">
        <f t="shared" si="2350"/>
        <v>0</v>
      </c>
      <c r="HA94" s="137">
        <f t="shared" si="2351"/>
        <v>0</v>
      </c>
      <c r="HB94" s="227">
        <f t="shared" si="2321"/>
        <v>2644.05</v>
      </c>
      <c r="HC94" s="138">
        <f t="shared" si="2352"/>
        <v>0</v>
      </c>
      <c r="HD94" s="110">
        <f t="shared" si="2353"/>
        <v>0</v>
      </c>
      <c r="HE94" s="110"/>
      <c r="HF94" s="139"/>
      <c r="HG94" s="140">
        <f t="shared" si="2354"/>
        <v>0</v>
      </c>
      <c r="HH94" s="198">
        <f t="shared" si="2317"/>
        <v>0</v>
      </c>
      <c r="HI94" s="225">
        <f t="shared" si="2355"/>
        <v>0</v>
      </c>
      <c r="HJ94" s="226">
        <f t="shared" si="2356"/>
        <v>0</v>
      </c>
      <c r="HK94" s="137">
        <f t="shared" si="2357"/>
        <v>0</v>
      </c>
      <c r="HL94" s="227">
        <f t="shared" si="2321"/>
        <v>2597.2199999999998</v>
      </c>
      <c r="HM94" s="138">
        <f t="shared" si="2358"/>
        <v>0</v>
      </c>
      <c r="HN94" s="110">
        <f t="shared" si="2359"/>
        <v>0</v>
      </c>
      <c r="HO94" s="110"/>
      <c r="HP94" s="139"/>
      <c r="HQ94" s="140">
        <f t="shared" si="2360"/>
        <v>0</v>
      </c>
      <c r="HR94" s="198">
        <f t="shared" si="2361"/>
        <v>0</v>
      </c>
      <c r="HS94" s="225">
        <f t="shared" si="2362"/>
        <v>0</v>
      </c>
      <c r="HT94" s="226">
        <f t="shared" si="2363"/>
        <v>0</v>
      </c>
      <c r="HU94" s="137">
        <f t="shared" si="2364"/>
        <v>0</v>
      </c>
      <c r="HV94" s="227">
        <f t="shared" si="2365"/>
        <v>3163.33</v>
      </c>
      <c r="HW94" s="138">
        <f t="shared" si="2366"/>
        <v>0</v>
      </c>
      <c r="HX94" s="110">
        <f t="shared" si="2367"/>
        <v>0</v>
      </c>
      <c r="HY94" s="110"/>
      <c r="HZ94" s="139"/>
      <c r="IA94" s="140">
        <f t="shared" si="2368"/>
        <v>0</v>
      </c>
      <c r="IB94" s="198">
        <f t="shared" si="2361"/>
        <v>0</v>
      </c>
      <c r="IC94" s="225">
        <f t="shared" si="2369"/>
        <v>0</v>
      </c>
      <c r="ID94" s="226">
        <f t="shared" si="2370"/>
        <v>0</v>
      </c>
      <c r="IE94" s="137">
        <f t="shared" si="2371"/>
        <v>0</v>
      </c>
      <c r="IF94" s="227">
        <f t="shared" si="2365"/>
        <v>3163.33</v>
      </c>
      <c r="IG94" s="138">
        <f t="shared" si="2372"/>
        <v>0</v>
      </c>
      <c r="IH94" s="110">
        <f t="shared" si="2373"/>
        <v>0</v>
      </c>
      <c r="II94" s="110"/>
      <c r="IJ94" s="139"/>
      <c r="IK94" s="140">
        <f t="shared" si="2374"/>
        <v>0</v>
      </c>
      <c r="IL94" s="198">
        <f t="shared" si="2361"/>
        <v>0</v>
      </c>
      <c r="IM94" s="225">
        <f t="shared" si="2375"/>
        <v>0</v>
      </c>
      <c r="IN94" s="226">
        <f t="shared" si="2376"/>
        <v>0</v>
      </c>
      <c r="IO94" s="137">
        <f t="shared" si="2377"/>
        <v>0</v>
      </c>
      <c r="IP94" s="227">
        <f t="shared" si="2365"/>
        <v>2644.05</v>
      </c>
      <c r="IQ94" s="138">
        <f t="shared" si="2378"/>
        <v>0</v>
      </c>
      <c r="IR94" s="110">
        <f t="shared" si="2379"/>
        <v>0</v>
      </c>
      <c r="IS94" s="110"/>
      <c r="IT94" s="139"/>
      <c r="IU94" s="140">
        <f t="shared" si="2380"/>
        <v>0</v>
      </c>
      <c r="IV94" s="198">
        <f t="shared" si="2361"/>
        <v>0</v>
      </c>
      <c r="IW94" s="225">
        <f t="shared" si="2381"/>
        <v>0</v>
      </c>
      <c r="IX94" s="226">
        <f t="shared" si="2382"/>
        <v>0</v>
      </c>
      <c r="IY94" s="137">
        <f t="shared" si="2383"/>
        <v>0</v>
      </c>
      <c r="IZ94" s="227">
        <f t="shared" si="2365"/>
        <v>3163.33</v>
      </c>
      <c r="JA94" s="138">
        <f t="shared" si="2384"/>
        <v>0</v>
      </c>
      <c r="JB94" s="110">
        <f t="shared" si="2385"/>
        <v>0</v>
      </c>
      <c r="JC94" s="110"/>
      <c r="JD94" s="139"/>
      <c r="JE94" s="140">
        <f t="shared" si="2386"/>
        <v>0</v>
      </c>
      <c r="JF94" s="198">
        <f t="shared" si="2361"/>
        <v>0</v>
      </c>
      <c r="JG94" s="225">
        <f t="shared" si="2387"/>
        <v>0</v>
      </c>
      <c r="JH94" s="226">
        <f t="shared" si="2388"/>
        <v>0</v>
      </c>
      <c r="JI94" s="137">
        <f t="shared" si="2389"/>
        <v>0</v>
      </c>
      <c r="JJ94" s="227">
        <f t="shared" si="2365"/>
        <v>2644.05</v>
      </c>
      <c r="JK94" s="138">
        <f t="shared" si="2390"/>
        <v>0</v>
      </c>
      <c r="JL94" s="110">
        <f t="shared" si="2391"/>
        <v>0</v>
      </c>
      <c r="JM94" s="110"/>
      <c r="JN94" s="139"/>
      <c r="JO94" s="140">
        <f t="shared" si="2392"/>
        <v>0</v>
      </c>
      <c r="JP94" s="198">
        <f t="shared" si="2361"/>
        <v>0</v>
      </c>
      <c r="JQ94" s="225">
        <f t="shared" si="2393"/>
        <v>0</v>
      </c>
      <c r="JR94" s="226">
        <f t="shared" si="2394"/>
        <v>0</v>
      </c>
      <c r="JS94" s="137">
        <f t="shared" si="2395"/>
        <v>0</v>
      </c>
      <c r="JT94" s="227">
        <f t="shared" si="2365"/>
        <v>2632.02</v>
      </c>
      <c r="JU94" s="138">
        <f t="shared" si="2396"/>
        <v>0</v>
      </c>
      <c r="JV94" s="110">
        <f t="shared" si="2397"/>
        <v>0</v>
      </c>
      <c r="JW94" s="110"/>
      <c r="JX94" s="139"/>
      <c r="JY94" s="140">
        <f t="shared" si="2398"/>
        <v>0</v>
      </c>
      <c r="JZ94" s="198">
        <f t="shared" si="2361"/>
        <v>0</v>
      </c>
      <c r="KA94" s="225">
        <f t="shared" si="2399"/>
        <v>0</v>
      </c>
      <c r="KB94" s="226">
        <f t="shared" si="2400"/>
        <v>0</v>
      </c>
      <c r="KC94" s="137">
        <f t="shared" si="2401"/>
        <v>0</v>
      </c>
      <c r="KD94" s="227">
        <f t="shared" si="2365"/>
        <v>3163.33</v>
      </c>
      <c r="KE94" s="138">
        <f t="shared" si="2402"/>
        <v>0</v>
      </c>
      <c r="KF94" s="110">
        <f t="shared" si="2403"/>
        <v>0</v>
      </c>
      <c r="KG94" s="110"/>
      <c r="KH94" s="139"/>
      <c r="KI94" s="140">
        <f t="shared" si="2404"/>
        <v>0</v>
      </c>
      <c r="KJ94" s="198">
        <f t="shared" si="2405"/>
        <v>0</v>
      </c>
      <c r="KK94" s="225">
        <f t="shared" si="2406"/>
        <v>0</v>
      </c>
      <c r="KL94" s="226">
        <f t="shared" si="2407"/>
        <v>0</v>
      </c>
      <c r="KM94" s="137">
        <f t="shared" si="2408"/>
        <v>0</v>
      </c>
      <c r="KN94" s="227">
        <f t="shared" si="2409"/>
        <v>2644.05</v>
      </c>
      <c r="KO94" s="138">
        <f t="shared" si="2410"/>
        <v>0</v>
      </c>
      <c r="KP94" s="110">
        <f t="shared" si="2411"/>
        <v>0</v>
      </c>
      <c r="KQ94" s="110"/>
      <c r="KR94" s="139"/>
      <c r="KS94" s="140">
        <f t="shared" si="2412"/>
        <v>0</v>
      </c>
      <c r="KT94" s="198">
        <f t="shared" si="2405"/>
        <v>0</v>
      </c>
      <c r="KU94" s="225">
        <f t="shared" si="2413"/>
        <v>0</v>
      </c>
      <c r="KV94" s="226">
        <f t="shared" si="2414"/>
        <v>0</v>
      </c>
      <c r="KW94" s="137">
        <f t="shared" si="2415"/>
        <v>0</v>
      </c>
      <c r="KX94" s="227">
        <f t="shared" si="2409"/>
        <v>3163.33</v>
      </c>
      <c r="KY94" s="138">
        <f t="shared" si="2416"/>
        <v>0</v>
      </c>
      <c r="KZ94" s="110">
        <f t="shared" si="2417"/>
        <v>0</v>
      </c>
      <c r="LA94" s="110"/>
      <c r="LB94" s="139"/>
      <c r="LC94" s="140">
        <f t="shared" si="2418"/>
        <v>0</v>
      </c>
      <c r="LD94" s="197">
        <f t="shared" si="2027"/>
        <v>1</v>
      </c>
      <c r="LE94" s="225">
        <f t="shared" si="2028"/>
        <v>4.0000000000000003E-5</v>
      </c>
      <c r="LF94" s="226">
        <f t="shared" si="2029"/>
        <v>0.7</v>
      </c>
      <c r="LG94" s="137">
        <f t="shared" si="2030"/>
        <v>0.7</v>
      </c>
      <c r="LH94" s="227">
        <f t="shared" si="2031"/>
        <v>2869.57</v>
      </c>
      <c r="LI94" s="138">
        <f t="shared" si="2032"/>
        <v>2008.6990000000001</v>
      </c>
      <c r="LJ94" s="110">
        <f t="shared" si="2033"/>
        <v>2008.7</v>
      </c>
      <c r="LK94" s="110"/>
      <c r="LL94" s="139"/>
    </row>
    <row r="95" spans="1:324" ht="17.25" customHeight="1" x14ac:dyDescent="0.25">
      <c r="A95" s="246"/>
      <c r="B95" s="174" t="s">
        <v>608</v>
      </c>
      <c r="C95" s="12" t="s">
        <v>728</v>
      </c>
      <c r="D95" s="12" t="s">
        <v>430</v>
      </c>
      <c r="E95" s="4" t="s">
        <v>34</v>
      </c>
      <c r="F95" s="198">
        <f t="shared" si="2228"/>
        <v>0</v>
      </c>
      <c r="G95" s="225">
        <f t="shared" si="2034"/>
        <v>0</v>
      </c>
      <c r="H95" s="226">
        <f t="shared" si="2035"/>
        <v>0</v>
      </c>
      <c r="I95" s="137">
        <f t="shared" si="1808"/>
        <v>0</v>
      </c>
      <c r="J95" s="227">
        <f t="shared" si="2036"/>
        <v>2644.05</v>
      </c>
      <c r="K95" s="138">
        <f t="shared" si="1809"/>
        <v>0</v>
      </c>
      <c r="L95" s="110">
        <f t="shared" si="1810"/>
        <v>0</v>
      </c>
      <c r="M95" s="110"/>
      <c r="N95" s="139"/>
      <c r="O95" s="140">
        <f t="shared" si="1811"/>
        <v>0</v>
      </c>
      <c r="P95" s="198">
        <f t="shared" si="2229"/>
        <v>0</v>
      </c>
      <c r="Q95" s="225">
        <f t="shared" si="2230"/>
        <v>0</v>
      </c>
      <c r="R95" s="226">
        <f t="shared" si="2231"/>
        <v>0</v>
      </c>
      <c r="S95" s="137">
        <f t="shared" si="2232"/>
        <v>0</v>
      </c>
      <c r="T95" s="227">
        <f t="shared" si="2233"/>
        <v>3163.33</v>
      </c>
      <c r="U95" s="138">
        <f t="shared" si="2234"/>
        <v>0</v>
      </c>
      <c r="V95" s="110">
        <f t="shared" si="2235"/>
        <v>0</v>
      </c>
      <c r="W95" s="110"/>
      <c r="X95" s="139"/>
      <c r="Y95" s="140">
        <f t="shared" si="2236"/>
        <v>0</v>
      </c>
      <c r="Z95" s="198">
        <f t="shared" si="2229"/>
        <v>0</v>
      </c>
      <c r="AA95" s="225">
        <f t="shared" si="2237"/>
        <v>0</v>
      </c>
      <c r="AB95" s="226">
        <f t="shared" si="2238"/>
        <v>0</v>
      </c>
      <c r="AC95" s="137">
        <f t="shared" si="2239"/>
        <v>0</v>
      </c>
      <c r="AD95" s="227">
        <f t="shared" si="2233"/>
        <v>2608.17</v>
      </c>
      <c r="AE95" s="138">
        <f t="shared" si="2240"/>
        <v>0</v>
      </c>
      <c r="AF95" s="110">
        <f t="shared" si="2241"/>
        <v>0</v>
      </c>
      <c r="AG95" s="110"/>
      <c r="AH95" s="139"/>
      <c r="AI95" s="140">
        <f t="shared" si="2242"/>
        <v>0</v>
      </c>
      <c r="AJ95" s="198">
        <f t="shared" si="2229"/>
        <v>0</v>
      </c>
      <c r="AK95" s="225">
        <f t="shared" si="2243"/>
        <v>0</v>
      </c>
      <c r="AL95" s="226">
        <f t="shared" si="2244"/>
        <v>0</v>
      </c>
      <c r="AM95" s="137">
        <f t="shared" si="2245"/>
        <v>0</v>
      </c>
      <c r="AN95" s="227">
        <f t="shared" si="2233"/>
        <v>2644.05</v>
      </c>
      <c r="AO95" s="138">
        <f t="shared" si="2246"/>
        <v>0</v>
      </c>
      <c r="AP95" s="110">
        <f t="shared" si="2247"/>
        <v>0</v>
      </c>
      <c r="AQ95" s="110"/>
      <c r="AR95" s="139"/>
      <c r="AS95" s="140">
        <f t="shared" si="2248"/>
        <v>0</v>
      </c>
      <c r="AT95" s="198">
        <f t="shared" si="2229"/>
        <v>0</v>
      </c>
      <c r="AU95" s="225">
        <f t="shared" si="2249"/>
        <v>0</v>
      </c>
      <c r="AV95" s="226">
        <f t="shared" si="2250"/>
        <v>0</v>
      </c>
      <c r="AW95" s="137">
        <f t="shared" si="2251"/>
        <v>0</v>
      </c>
      <c r="AX95" s="227">
        <f t="shared" si="2233"/>
        <v>1786.28</v>
      </c>
      <c r="AY95" s="138">
        <f t="shared" si="2252"/>
        <v>0</v>
      </c>
      <c r="AZ95" s="110">
        <f t="shared" si="2253"/>
        <v>0</v>
      </c>
      <c r="BA95" s="110"/>
      <c r="BB95" s="139"/>
      <c r="BC95" s="140">
        <f t="shared" si="2254"/>
        <v>0</v>
      </c>
      <c r="BD95" s="198">
        <f t="shared" si="2229"/>
        <v>0</v>
      </c>
      <c r="BE95" s="225">
        <f t="shared" si="2255"/>
        <v>0</v>
      </c>
      <c r="BF95" s="226">
        <f t="shared" si="2256"/>
        <v>0</v>
      </c>
      <c r="BG95" s="137">
        <f t="shared" si="2257"/>
        <v>0</v>
      </c>
      <c r="BH95" s="227">
        <f t="shared" si="2233"/>
        <v>3163.33</v>
      </c>
      <c r="BI95" s="138">
        <f t="shared" si="2258"/>
        <v>0</v>
      </c>
      <c r="BJ95" s="110">
        <f t="shared" si="2259"/>
        <v>0</v>
      </c>
      <c r="BK95" s="110"/>
      <c r="BL95" s="139"/>
      <c r="BM95" s="140">
        <f t="shared" si="2260"/>
        <v>0</v>
      </c>
      <c r="BN95" s="198">
        <f t="shared" si="2229"/>
        <v>0</v>
      </c>
      <c r="BO95" s="225">
        <f t="shared" si="2261"/>
        <v>0</v>
      </c>
      <c r="BP95" s="226">
        <f t="shared" si="2262"/>
        <v>0</v>
      </c>
      <c r="BQ95" s="137">
        <f t="shared" si="2263"/>
        <v>0</v>
      </c>
      <c r="BR95" s="227">
        <f t="shared" si="2233"/>
        <v>2182.42</v>
      </c>
      <c r="BS95" s="138">
        <f t="shared" si="2264"/>
        <v>0</v>
      </c>
      <c r="BT95" s="110">
        <f t="shared" si="2265"/>
        <v>0</v>
      </c>
      <c r="BU95" s="110"/>
      <c r="BV95" s="139"/>
      <c r="BW95" s="140">
        <f t="shared" si="2266"/>
        <v>0</v>
      </c>
      <c r="BX95" s="198">
        <f t="shared" si="2229"/>
        <v>0</v>
      </c>
      <c r="BY95" s="225">
        <f t="shared" si="2267"/>
        <v>0</v>
      </c>
      <c r="BZ95" s="226">
        <f t="shared" si="2268"/>
        <v>0</v>
      </c>
      <c r="CA95" s="137">
        <f t="shared" si="2269"/>
        <v>0</v>
      </c>
      <c r="CB95" s="227">
        <f t="shared" si="2233"/>
        <v>2644.05</v>
      </c>
      <c r="CC95" s="138">
        <f t="shared" si="2270"/>
        <v>0</v>
      </c>
      <c r="CD95" s="110">
        <f t="shared" si="2271"/>
        <v>0</v>
      </c>
      <c r="CE95" s="110"/>
      <c r="CF95" s="139"/>
      <c r="CG95" s="140">
        <f t="shared" si="2272"/>
        <v>0</v>
      </c>
      <c r="CH95" s="198">
        <f t="shared" si="2273"/>
        <v>0</v>
      </c>
      <c r="CI95" s="225">
        <f t="shared" si="2274"/>
        <v>0</v>
      </c>
      <c r="CJ95" s="226">
        <f t="shared" si="2275"/>
        <v>0</v>
      </c>
      <c r="CK95" s="137">
        <f t="shared" si="2276"/>
        <v>0</v>
      </c>
      <c r="CL95" s="227">
        <f t="shared" si="2277"/>
        <v>2644.05</v>
      </c>
      <c r="CM95" s="138">
        <f t="shared" si="2278"/>
        <v>0</v>
      </c>
      <c r="CN95" s="110">
        <f t="shared" si="2279"/>
        <v>0</v>
      </c>
      <c r="CO95" s="110"/>
      <c r="CP95" s="139"/>
      <c r="CQ95" s="140">
        <f t="shared" si="2280"/>
        <v>0</v>
      </c>
      <c r="CR95" s="198">
        <f t="shared" si="2273"/>
        <v>0</v>
      </c>
      <c r="CS95" s="225">
        <f t="shared" si="2281"/>
        <v>0</v>
      </c>
      <c r="CT95" s="226">
        <f t="shared" si="2282"/>
        <v>0</v>
      </c>
      <c r="CU95" s="137">
        <f t="shared" si="2283"/>
        <v>0</v>
      </c>
      <c r="CV95" s="227">
        <f t="shared" si="2277"/>
        <v>3163.33</v>
      </c>
      <c r="CW95" s="138">
        <f t="shared" si="2284"/>
        <v>0</v>
      </c>
      <c r="CX95" s="110">
        <f t="shared" si="2285"/>
        <v>0</v>
      </c>
      <c r="CY95" s="110"/>
      <c r="CZ95" s="139"/>
      <c r="DA95" s="140">
        <f t="shared" si="2286"/>
        <v>0</v>
      </c>
      <c r="DB95" s="198">
        <f t="shared" si="2273"/>
        <v>0</v>
      </c>
      <c r="DC95" s="225">
        <f t="shared" si="2287"/>
        <v>0</v>
      </c>
      <c r="DD95" s="226">
        <f t="shared" si="2288"/>
        <v>0</v>
      </c>
      <c r="DE95" s="137">
        <f t="shared" si="2289"/>
        <v>0</v>
      </c>
      <c r="DF95" s="227">
        <f t="shared" si="2277"/>
        <v>2644.05</v>
      </c>
      <c r="DG95" s="138">
        <f t="shared" si="2290"/>
        <v>0</v>
      </c>
      <c r="DH95" s="110">
        <f t="shared" si="2291"/>
        <v>0</v>
      </c>
      <c r="DI95" s="110"/>
      <c r="DJ95" s="139"/>
      <c r="DK95" s="140">
        <f t="shared" si="2292"/>
        <v>0</v>
      </c>
      <c r="DL95" s="198">
        <f t="shared" si="2273"/>
        <v>41</v>
      </c>
      <c r="DM95" s="225">
        <f t="shared" si="2293"/>
        <v>0.14488000000000001</v>
      </c>
      <c r="DN95" s="226">
        <f t="shared" si="2294"/>
        <v>33.82</v>
      </c>
      <c r="DO95" s="137">
        <f t="shared" si="2295"/>
        <v>0.82487805000000003</v>
      </c>
      <c r="DP95" s="227">
        <f t="shared" si="2277"/>
        <v>2644.05</v>
      </c>
      <c r="DQ95" s="138">
        <f t="shared" si="2296"/>
        <v>2181.01881</v>
      </c>
      <c r="DR95" s="110">
        <f t="shared" si="2297"/>
        <v>89421.77</v>
      </c>
      <c r="DS95" s="110"/>
      <c r="DT95" s="139"/>
      <c r="DU95" s="140">
        <f t="shared" si="2298"/>
        <v>1.2292700000000001</v>
      </c>
      <c r="DV95" s="198">
        <f t="shared" si="2273"/>
        <v>0</v>
      </c>
      <c r="DW95" s="225">
        <f t="shared" si="2299"/>
        <v>0</v>
      </c>
      <c r="DX95" s="226">
        <f t="shared" si="2300"/>
        <v>0</v>
      </c>
      <c r="DY95" s="137">
        <f t="shared" si="2301"/>
        <v>0</v>
      </c>
      <c r="DZ95" s="227">
        <f t="shared" si="2277"/>
        <v>2644.05</v>
      </c>
      <c r="EA95" s="138">
        <f t="shared" si="2302"/>
        <v>0</v>
      </c>
      <c r="EB95" s="110">
        <f t="shared" si="2303"/>
        <v>0</v>
      </c>
      <c r="EC95" s="110"/>
      <c r="ED95" s="139"/>
      <c r="EE95" s="140">
        <f t="shared" si="2304"/>
        <v>0</v>
      </c>
      <c r="EF95" s="198">
        <f t="shared" si="2273"/>
        <v>0</v>
      </c>
      <c r="EG95" s="225">
        <f t="shared" si="2305"/>
        <v>0</v>
      </c>
      <c r="EH95" s="226">
        <f t="shared" si="2306"/>
        <v>0</v>
      </c>
      <c r="EI95" s="137">
        <f t="shared" si="2307"/>
        <v>0</v>
      </c>
      <c r="EJ95" s="227">
        <f t="shared" si="2277"/>
        <v>3163.33</v>
      </c>
      <c r="EK95" s="138">
        <f t="shared" si="2308"/>
        <v>0</v>
      </c>
      <c r="EL95" s="110">
        <f t="shared" si="2309"/>
        <v>0</v>
      </c>
      <c r="EM95" s="110"/>
      <c r="EN95" s="139"/>
      <c r="EO95" s="140">
        <f t="shared" si="2310"/>
        <v>0</v>
      </c>
      <c r="EP95" s="198">
        <f t="shared" si="2273"/>
        <v>0</v>
      </c>
      <c r="EQ95" s="225">
        <f t="shared" si="2311"/>
        <v>0</v>
      </c>
      <c r="ER95" s="226">
        <f t="shared" si="2312"/>
        <v>0</v>
      </c>
      <c r="ES95" s="137">
        <f t="shared" si="2313"/>
        <v>0</v>
      </c>
      <c r="ET95" s="227">
        <f t="shared" si="2277"/>
        <v>3163.33</v>
      </c>
      <c r="EU95" s="138">
        <f t="shared" si="2314"/>
        <v>0</v>
      </c>
      <c r="EV95" s="110">
        <f t="shared" si="2315"/>
        <v>0</v>
      </c>
      <c r="EW95" s="110"/>
      <c r="EX95" s="139"/>
      <c r="EY95" s="140">
        <f t="shared" si="2316"/>
        <v>0</v>
      </c>
      <c r="EZ95" s="198">
        <f t="shared" si="2317"/>
        <v>0</v>
      </c>
      <c r="FA95" s="225">
        <f t="shared" si="2318"/>
        <v>0</v>
      </c>
      <c r="FB95" s="226">
        <f t="shared" si="2319"/>
        <v>0</v>
      </c>
      <c r="FC95" s="137">
        <f t="shared" si="2320"/>
        <v>0</v>
      </c>
      <c r="FD95" s="227">
        <f t="shared" si="2321"/>
        <v>0</v>
      </c>
      <c r="FE95" s="138">
        <f t="shared" si="2322"/>
        <v>0</v>
      </c>
      <c r="FF95" s="110">
        <f t="shared" si="2323"/>
        <v>0</v>
      </c>
      <c r="FG95" s="110"/>
      <c r="FH95" s="139"/>
      <c r="FI95" s="140">
        <f t="shared" si="2324"/>
        <v>0</v>
      </c>
      <c r="FJ95" s="198">
        <f t="shared" si="2317"/>
        <v>0</v>
      </c>
      <c r="FK95" s="225">
        <f t="shared" si="2325"/>
        <v>0</v>
      </c>
      <c r="FL95" s="226">
        <f t="shared" si="2326"/>
        <v>0</v>
      </c>
      <c r="FM95" s="137">
        <f t="shared" si="2327"/>
        <v>0</v>
      </c>
      <c r="FN95" s="227">
        <f t="shared" si="2321"/>
        <v>3163.33</v>
      </c>
      <c r="FO95" s="138">
        <f t="shared" si="2328"/>
        <v>0</v>
      </c>
      <c r="FP95" s="110">
        <f t="shared" si="2329"/>
        <v>0</v>
      </c>
      <c r="FQ95" s="110"/>
      <c r="FR95" s="139"/>
      <c r="FS95" s="140">
        <f t="shared" si="2330"/>
        <v>0</v>
      </c>
      <c r="FT95" s="198">
        <f t="shared" si="2317"/>
        <v>0</v>
      </c>
      <c r="FU95" s="225">
        <f t="shared" si="2331"/>
        <v>0</v>
      </c>
      <c r="FV95" s="226">
        <f t="shared" si="2332"/>
        <v>0</v>
      </c>
      <c r="FW95" s="137">
        <f t="shared" si="2333"/>
        <v>0</v>
      </c>
      <c r="FX95" s="227">
        <f t="shared" si="2321"/>
        <v>3163.33</v>
      </c>
      <c r="FY95" s="138">
        <f t="shared" si="2334"/>
        <v>0</v>
      </c>
      <c r="FZ95" s="110">
        <f t="shared" si="2335"/>
        <v>0</v>
      </c>
      <c r="GA95" s="110"/>
      <c r="GB95" s="139"/>
      <c r="GC95" s="140">
        <f t="shared" si="2336"/>
        <v>0</v>
      </c>
      <c r="GD95" s="198">
        <f t="shared" si="2317"/>
        <v>0</v>
      </c>
      <c r="GE95" s="225">
        <f t="shared" si="2337"/>
        <v>0</v>
      </c>
      <c r="GF95" s="226">
        <f t="shared" si="2338"/>
        <v>0</v>
      </c>
      <c r="GG95" s="137">
        <f t="shared" si="2339"/>
        <v>0</v>
      </c>
      <c r="GH95" s="227">
        <f t="shared" si="2321"/>
        <v>0</v>
      </c>
      <c r="GI95" s="138">
        <f t="shared" si="2340"/>
        <v>0</v>
      </c>
      <c r="GJ95" s="110">
        <f t="shared" si="2341"/>
        <v>0</v>
      </c>
      <c r="GK95" s="110"/>
      <c r="GL95" s="139"/>
      <c r="GM95" s="140">
        <f t="shared" si="2342"/>
        <v>0</v>
      </c>
      <c r="GN95" s="198">
        <f t="shared" si="2317"/>
        <v>0</v>
      </c>
      <c r="GO95" s="225">
        <f t="shared" si="2343"/>
        <v>0</v>
      </c>
      <c r="GP95" s="226">
        <f t="shared" si="2344"/>
        <v>0</v>
      </c>
      <c r="GQ95" s="137">
        <f t="shared" si="2345"/>
        <v>0</v>
      </c>
      <c r="GR95" s="227">
        <f t="shared" si="2321"/>
        <v>2644.05</v>
      </c>
      <c r="GS95" s="138">
        <f t="shared" si="2346"/>
        <v>0</v>
      </c>
      <c r="GT95" s="110">
        <f t="shared" si="2347"/>
        <v>0</v>
      </c>
      <c r="GU95" s="110"/>
      <c r="GV95" s="139"/>
      <c r="GW95" s="140">
        <f t="shared" si="2348"/>
        <v>0</v>
      </c>
      <c r="GX95" s="198">
        <f t="shared" si="2317"/>
        <v>0</v>
      </c>
      <c r="GY95" s="225">
        <f t="shared" si="2349"/>
        <v>0</v>
      </c>
      <c r="GZ95" s="226">
        <f t="shared" si="2350"/>
        <v>0</v>
      </c>
      <c r="HA95" s="137">
        <f t="shared" si="2351"/>
        <v>0</v>
      </c>
      <c r="HB95" s="227">
        <f t="shared" si="2321"/>
        <v>2644.05</v>
      </c>
      <c r="HC95" s="138">
        <f t="shared" si="2352"/>
        <v>0</v>
      </c>
      <c r="HD95" s="110">
        <f t="shared" si="2353"/>
        <v>0</v>
      </c>
      <c r="HE95" s="110"/>
      <c r="HF95" s="139"/>
      <c r="HG95" s="140">
        <f t="shared" si="2354"/>
        <v>0</v>
      </c>
      <c r="HH95" s="198">
        <f t="shared" si="2317"/>
        <v>0</v>
      </c>
      <c r="HI95" s="225">
        <f t="shared" si="2355"/>
        <v>0</v>
      </c>
      <c r="HJ95" s="226">
        <f t="shared" si="2356"/>
        <v>0</v>
      </c>
      <c r="HK95" s="137">
        <f t="shared" si="2357"/>
        <v>0</v>
      </c>
      <c r="HL95" s="227">
        <f t="shared" si="2321"/>
        <v>2597.2199999999998</v>
      </c>
      <c r="HM95" s="138">
        <f t="shared" si="2358"/>
        <v>0</v>
      </c>
      <c r="HN95" s="110">
        <f t="shared" si="2359"/>
        <v>0</v>
      </c>
      <c r="HO95" s="110"/>
      <c r="HP95" s="139"/>
      <c r="HQ95" s="140">
        <f t="shared" si="2360"/>
        <v>0</v>
      </c>
      <c r="HR95" s="198">
        <f t="shared" si="2361"/>
        <v>0</v>
      </c>
      <c r="HS95" s="225">
        <f t="shared" si="2362"/>
        <v>0</v>
      </c>
      <c r="HT95" s="226">
        <f t="shared" si="2363"/>
        <v>0</v>
      </c>
      <c r="HU95" s="137">
        <f t="shared" si="2364"/>
        <v>0</v>
      </c>
      <c r="HV95" s="227">
        <f t="shared" si="2365"/>
        <v>3163.33</v>
      </c>
      <c r="HW95" s="138">
        <f t="shared" si="2366"/>
        <v>0</v>
      </c>
      <c r="HX95" s="110">
        <f t="shared" si="2367"/>
        <v>0</v>
      </c>
      <c r="HY95" s="110"/>
      <c r="HZ95" s="139"/>
      <c r="IA95" s="140">
        <f t="shared" si="2368"/>
        <v>0</v>
      </c>
      <c r="IB95" s="198">
        <f t="shared" si="2361"/>
        <v>0</v>
      </c>
      <c r="IC95" s="225">
        <f t="shared" si="2369"/>
        <v>0</v>
      </c>
      <c r="ID95" s="226">
        <f t="shared" si="2370"/>
        <v>0</v>
      </c>
      <c r="IE95" s="137">
        <f t="shared" si="2371"/>
        <v>0</v>
      </c>
      <c r="IF95" s="227">
        <f t="shared" si="2365"/>
        <v>3163.33</v>
      </c>
      <c r="IG95" s="138">
        <f t="shared" si="2372"/>
        <v>0</v>
      </c>
      <c r="IH95" s="110">
        <f t="shared" si="2373"/>
        <v>0</v>
      </c>
      <c r="II95" s="110"/>
      <c r="IJ95" s="139"/>
      <c r="IK95" s="140">
        <f t="shared" si="2374"/>
        <v>0</v>
      </c>
      <c r="IL95" s="198">
        <f t="shared" si="2361"/>
        <v>0</v>
      </c>
      <c r="IM95" s="225">
        <f t="shared" si="2375"/>
        <v>0</v>
      </c>
      <c r="IN95" s="226">
        <f t="shared" si="2376"/>
        <v>0</v>
      </c>
      <c r="IO95" s="137">
        <f t="shared" si="2377"/>
        <v>0</v>
      </c>
      <c r="IP95" s="227">
        <f t="shared" si="2365"/>
        <v>2644.05</v>
      </c>
      <c r="IQ95" s="138">
        <f t="shared" si="2378"/>
        <v>0</v>
      </c>
      <c r="IR95" s="110">
        <f t="shared" si="2379"/>
        <v>0</v>
      </c>
      <c r="IS95" s="110"/>
      <c r="IT95" s="139"/>
      <c r="IU95" s="140">
        <f t="shared" si="2380"/>
        <v>0</v>
      </c>
      <c r="IV95" s="198">
        <f t="shared" si="2361"/>
        <v>0</v>
      </c>
      <c r="IW95" s="225">
        <f t="shared" si="2381"/>
        <v>0</v>
      </c>
      <c r="IX95" s="226">
        <f t="shared" si="2382"/>
        <v>0</v>
      </c>
      <c r="IY95" s="137">
        <f t="shared" si="2383"/>
        <v>0</v>
      </c>
      <c r="IZ95" s="227">
        <f t="shared" si="2365"/>
        <v>3163.33</v>
      </c>
      <c r="JA95" s="138">
        <f t="shared" si="2384"/>
        <v>0</v>
      </c>
      <c r="JB95" s="110">
        <f t="shared" si="2385"/>
        <v>0</v>
      </c>
      <c r="JC95" s="110"/>
      <c r="JD95" s="139"/>
      <c r="JE95" s="140">
        <f t="shared" si="2386"/>
        <v>0</v>
      </c>
      <c r="JF95" s="198">
        <f t="shared" si="2361"/>
        <v>0</v>
      </c>
      <c r="JG95" s="225">
        <f t="shared" si="2387"/>
        <v>0</v>
      </c>
      <c r="JH95" s="226">
        <f t="shared" si="2388"/>
        <v>0</v>
      </c>
      <c r="JI95" s="137">
        <f t="shared" si="2389"/>
        <v>0</v>
      </c>
      <c r="JJ95" s="227">
        <f t="shared" si="2365"/>
        <v>2644.05</v>
      </c>
      <c r="JK95" s="138">
        <f t="shared" si="2390"/>
        <v>0</v>
      </c>
      <c r="JL95" s="110">
        <f t="shared" si="2391"/>
        <v>0</v>
      </c>
      <c r="JM95" s="110"/>
      <c r="JN95" s="139"/>
      <c r="JO95" s="140">
        <f t="shared" si="2392"/>
        <v>0</v>
      </c>
      <c r="JP95" s="198">
        <f t="shared" si="2361"/>
        <v>0</v>
      </c>
      <c r="JQ95" s="225">
        <f t="shared" si="2393"/>
        <v>0</v>
      </c>
      <c r="JR95" s="226">
        <f t="shared" si="2394"/>
        <v>0</v>
      </c>
      <c r="JS95" s="137">
        <f t="shared" si="2395"/>
        <v>0</v>
      </c>
      <c r="JT95" s="227">
        <f t="shared" si="2365"/>
        <v>2632.02</v>
      </c>
      <c r="JU95" s="138">
        <f t="shared" si="2396"/>
        <v>0</v>
      </c>
      <c r="JV95" s="110">
        <f t="shared" si="2397"/>
        <v>0</v>
      </c>
      <c r="JW95" s="110"/>
      <c r="JX95" s="139"/>
      <c r="JY95" s="140">
        <f t="shared" si="2398"/>
        <v>0</v>
      </c>
      <c r="JZ95" s="198">
        <f t="shared" si="2361"/>
        <v>0</v>
      </c>
      <c r="KA95" s="225">
        <f t="shared" si="2399"/>
        <v>0</v>
      </c>
      <c r="KB95" s="226">
        <f t="shared" si="2400"/>
        <v>0</v>
      </c>
      <c r="KC95" s="137">
        <f t="shared" si="2401"/>
        <v>0</v>
      </c>
      <c r="KD95" s="227">
        <f t="shared" si="2365"/>
        <v>3163.33</v>
      </c>
      <c r="KE95" s="138">
        <f t="shared" si="2402"/>
        <v>0</v>
      </c>
      <c r="KF95" s="110">
        <f t="shared" si="2403"/>
        <v>0</v>
      </c>
      <c r="KG95" s="110"/>
      <c r="KH95" s="139"/>
      <c r="KI95" s="140">
        <f t="shared" si="2404"/>
        <v>0</v>
      </c>
      <c r="KJ95" s="198">
        <f t="shared" si="2405"/>
        <v>0</v>
      </c>
      <c r="KK95" s="225">
        <f t="shared" si="2406"/>
        <v>0</v>
      </c>
      <c r="KL95" s="226">
        <f t="shared" si="2407"/>
        <v>0</v>
      </c>
      <c r="KM95" s="137">
        <f t="shared" si="2408"/>
        <v>0</v>
      </c>
      <c r="KN95" s="227">
        <f t="shared" si="2409"/>
        <v>2644.05</v>
      </c>
      <c r="KO95" s="138">
        <f t="shared" si="2410"/>
        <v>0</v>
      </c>
      <c r="KP95" s="110">
        <f t="shared" si="2411"/>
        <v>0</v>
      </c>
      <c r="KQ95" s="110"/>
      <c r="KR95" s="139"/>
      <c r="KS95" s="140">
        <f t="shared" si="2412"/>
        <v>0</v>
      </c>
      <c r="KT95" s="198">
        <f t="shared" si="2405"/>
        <v>0</v>
      </c>
      <c r="KU95" s="225">
        <f t="shared" si="2413"/>
        <v>0</v>
      </c>
      <c r="KV95" s="226">
        <f t="shared" si="2414"/>
        <v>0</v>
      </c>
      <c r="KW95" s="137">
        <f t="shared" si="2415"/>
        <v>0</v>
      </c>
      <c r="KX95" s="227">
        <f t="shared" si="2409"/>
        <v>3163.33</v>
      </c>
      <c r="KY95" s="138">
        <f t="shared" si="2416"/>
        <v>0</v>
      </c>
      <c r="KZ95" s="110">
        <f t="shared" si="2417"/>
        <v>0</v>
      </c>
      <c r="LA95" s="110"/>
      <c r="LB95" s="139"/>
      <c r="LC95" s="140">
        <f t="shared" si="2418"/>
        <v>0</v>
      </c>
      <c r="LD95" s="197">
        <f t="shared" si="2027"/>
        <v>41</v>
      </c>
      <c r="LE95" s="225">
        <f t="shared" si="2028"/>
        <v>1.4400000000000001E-3</v>
      </c>
      <c r="LF95" s="226">
        <f t="shared" si="2029"/>
        <v>25.35</v>
      </c>
      <c r="LG95" s="137">
        <f t="shared" si="2030"/>
        <v>0.61829268000000004</v>
      </c>
      <c r="LH95" s="227">
        <f t="shared" si="2031"/>
        <v>2869.57</v>
      </c>
      <c r="LI95" s="138">
        <f t="shared" si="2032"/>
        <v>1774.2341300000001</v>
      </c>
      <c r="LJ95" s="110">
        <f t="shared" si="2033"/>
        <v>72743.600000000006</v>
      </c>
      <c r="LK95" s="110"/>
      <c r="LL95" s="139"/>
    </row>
    <row r="96" spans="1:324" hidden="1" x14ac:dyDescent="0.25">
      <c r="A96" s="247"/>
      <c r="B96" s="92" t="s">
        <v>611</v>
      </c>
      <c r="C96" s="12"/>
      <c r="D96" s="12"/>
      <c r="E96" s="4" t="s">
        <v>34</v>
      </c>
      <c r="F96" s="198">
        <f t="shared" si="2228"/>
        <v>0</v>
      </c>
      <c r="G96" s="225">
        <f t="shared" si="2034"/>
        <v>0</v>
      </c>
      <c r="H96" s="226">
        <f t="shared" si="2035"/>
        <v>0</v>
      </c>
      <c r="I96" s="137">
        <f t="shared" si="1808"/>
        <v>0</v>
      </c>
      <c r="J96" s="227">
        <f t="shared" si="2036"/>
        <v>2644.05</v>
      </c>
      <c r="K96" s="138">
        <f t="shared" si="1809"/>
        <v>0</v>
      </c>
      <c r="L96" s="110">
        <f t="shared" si="1810"/>
        <v>0</v>
      </c>
      <c r="M96" s="110"/>
      <c r="N96" s="139"/>
      <c r="O96" s="140" t="e">
        <f>K96/$LI96</f>
        <v>#DIV/0!</v>
      </c>
      <c r="P96" s="198">
        <f t="shared" si="2229"/>
        <v>0</v>
      </c>
      <c r="Q96" s="225">
        <f t="shared" si="2230"/>
        <v>0</v>
      </c>
      <c r="R96" s="226">
        <f t="shared" si="2231"/>
        <v>0</v>
      </c>
      <c r="S96" s="137">
        <f t="shared" si="2232"/>
        <v>0</v>
      </c>
      <c r="T96" s="227">
        <f t="shared" si="2233"/>
        <v>3163.33</v>
      </c>
      <c r="U96" s="138">
        <f t="shared" si="2234"/>
        <v>0</v>
      </c>
      <c r="V96" s="110">
        <f t="shared" si="2235"/>
        <v>0</v>
      </c>
      <c r="W96" s="110"/>
      <c r="X96" s="139"/>
      <c r="Y96" s="140" t="e">
        <f t="shared" si="2236"/>
        <v>#DIV/0!</v>
      </c>
      <c r="Z96" s="198">
        <f t="shared" si="2229"/>
        <v>0</v>
      </c>
      <c r="AA96" s="225">
        <f t="shared" si="2237"/>
        <v>0</v>
      </c>
      <c r="AB96" s="226">
        <f t="shared" si="2238"/>
        <v>0</v>
      </c>
      <c r="AC96" s="137">
        <f t="shared" si="2239"/>
        <v>0</v>
      </c>
      <c r="AD96" s="227">
        <f t="shared" si="2233"/>
        <v>2608.17</v>
      </c>
      <c r="AE96" s="138">
        <f t="shared" si="2240"/>
        <v>0</v>
      </c>
      <c r="AF96" s="110">
        <f t="shared" si="2241"/>
        <v>0</v>
      </c>
      <c r="AG96" s="110"/>
      <c r="AH96" s="139"/>
      <c r="AI96" s="140" t="e">
        <f t="shared" si="2242"/>
        <v>#DIV/0!</v>
      </c>
      <c r="AJ96" s="198">
        <f t="shared" si="2229"/>
        <v>0</v>
      </c>
      <c r="AK96" s="225">
        <f t="shared" si="2243"/>
        <v>0</v>
      </c>
      <c r="AL96" s="226">
        <f t="shared" si="2244"/>
        <v>0</v>
      </c>
      <c r="AM96" s="137">
        <f t="shared" si="2245"/>
        <v>0</v>
      </c>
      <c r="AN96" s="227">
        <f t="shared" si="2233"/>
        <v>2644.05</v>
      </c>
      <c r="AO96" s="138">
        <f t="shared" si="2246"/>
        <v>0</v>
      </c>
      <c r="AP96" s="110">
        <f t="shared" si="2247"/>
        <v>0</v>
      </c>
      <c r="AQ96" s="110"/>
      <c r="AR96" s="139"/>
      <c r="AS96" s="140" t="e">
        <f t="shared" si="2248"/>
        <v>#DIV/0!</v>
      </c>
      <c r="AT96" s="198">
        <f t="shared" si="2229"/>
        <v>0</v>
      </c>
      <c r="AU96" s="225">
        <f t="shared" si="2249"/>
        <v>0</v>
      </c>
      <c r="AV96" s="226">
        <f t="shared" si="2250"/>
        <v>0</v>
      </c>
      <c r="AW96" s="137">
        <f t="shared" si="2251"/>
        <v>0</v>
      </c>
      <c r="AX96" s="227">
        <f t="shared" si="2233"/>
        <v>1786.28</v>
      </c>
      <c r="AY96" s="138">
        <f t="shared" si="2252"/>
        <v>0</v>
      </c>
      <c r="AZ96" s="110">
        <f t="shared" si="2253"/>
        <v>0</v>
      </c>
      <c r="BA96" s="110"/>
      <c r="BB96" s="139"/>
      <c r="BC96" s="140" t="e">
        <f t="shared" si="2254"/>
        <v>#DIV/0!</v>
      </c>
      <c r="BD96" s="198">
        <f t="shared" si="2229"/>
        <v>0</v>
      </c>
      <c r="BE96" s="225">
        <f t="shared" si="2255"/>
        <v>0</v>
      </c>
      <c r="BF96" s="226">
        <f t="shared" si="2256"/>
        <v>0</v>
      </c>
      <c r="BG96" s="137">
        <f t="shared" si="2257"/>
        <v>0</v>
      </c>
      <c r="BH96" s="227">
        <f t="shared" si="2233"/>
        <v>3163.33</v>
      </c>
      <c r="BI96" s="138">
        <f t="shared" si="2258"/>
        <v>0</v>
      </c>
      <c r="BJ96" s="110">
        <f t="shared" si="2259"/>
        <v>0</v>
      </c>
      <c r="BK96" s="110"/>
      <c r="BL96" s="139"/>
      <c r="BM96" s="140" t="e">
        <f t="shared" si="2260"/>
        <v>#DIV/0!</v>
      </c>
      <c r="BN96" s="198">
        <f t="shared" si="2229"/>
        <v>0</v>
      </c>
      <c r="BO96" s="225">
        <f t="shared" si="2261"/>
        <v>0</v>
      </c>
      <c r="BP96" s="226">
        <f t="shared" si="2262"/>
        <v>0</v>
      </c>
      <c r="BQ96" s="137">
        <f t="shared" si="2263"/>
        <v>0</v>
      </c>
      <c r="BR96" s="227">
        <f t="shared" si="2233"/>
        <v>2182.42</v>
      </c>
      <c r="BS96" s="138">
        <f t="shared" si="2264"/>
        <v>0</v>
      </c>
      <c r="BT96" s="110">
        <f t="shared" si="2265"/>
        <v>0</v>
      </c>
      <c r="BU96" s="110"/>
      <c r="BV96" s="139"/>
      <c r="BW96" s="140" t="e">
        <f t="shared" si="2266"/>
        <v>#DIV/0!</v>
      </c>
      <c r="BX96" s="198">
        <f t="shared" si="2229"/>
        <v>0</v>
      </c>
      <c r="BY96" s="225">
        <f t="shared" si="2267"/>
        <v>0</v>
      </c>
      <c r="BZ96" s="226">
        <f t="shared" si="2268"/>
        <v>0</v>
      </c>
      <c r="CA96" s="137">
        <f t="shared" si="2269"/>
        <v>0</v>
      </c>
      <c r="CB96" s="227">
        <f t="shared" si="2233"/>
        <v>2644.05</v>
      </c>
      <c r="CC96" s="138">
        <f t="shared" si="2270"/>
        <v>0</v>
      </c>
      <c r="CD96" s="110">
        <f t="shared" si="2271"/>
        <v>0</v>
      </c>
      <c r="CE96" s="110"/>
      <c r="CF96" s="139"/>
      <c r="CG96" s="140" t="e">
        <f t="shared" si="2272"/>
        <v>#DIV/0!</v>
      </c>
      <c r="CH96" s="198">
        <f t="shared" si="2273"/>
        <v>0</v>
      </c>
      <c r="CI96" s="225">
        <f t="shared" si="2274"/>
        <v>0</v>
      </c>
      <c r="CJ96" s="226">
        <f t="shared" si="2275"/>
        <v>0</v>
      </c>
      <c r="CK96" s="137">
        <f t="shared" si="2276"/>
        <v>0</v>
      </c>
      <c r="CL96" s="227">
        <f t="shared" si="2277"/>
        <v>2644.05</v>
      </c>
      <c r="CM96" s="138">
        <f t="shared" si="2278"/>
        <v>0</v>
      </c>
      <c r="CN96" s="110">
        <f t="shared" si="2279"/>
        <v>0</v>
      </c>
      <c r="CO96" s="110"/>
      <c r="CP96" s="139"/>
      <c r="CQ96" s="140" t="e">
        <f t="shared" si="2280"/>
        <v>#DIV/0!</v>
      </c>
      <c r="CR96" s="198">
        <f t="shared" si="2273"/>
        <v>0</v>
      </c>
      <c r="CS96" s="225">
        <f t="shared" si="2281"/>
        <v>0</v>
      </c>
      <c r="CT96" s="226">
        <f t="shared" si="2282"/>
        <v>0</v>
      </c>
      <c r="CU96" s="137">
        <f t="shared" si="2283"/>
        <v>0</v>
      </c>
      <c r="CV96" s="227">
        <f t="shared" si="2277"/>
        <v>3163.33</v>
      </c>
      <c r="CW96" s="138">
        <f t="shared" si="2284"/>
        <v>0</v>
      </c>
      <c r="CX96" s="110">
        <f t="shared" si="2285"/>
        <v>0</v>
      </c>
      <c r="CY96" s="110"/>
      <c r="CZ96" s="139"/>
      <c r="DA96" s="140" t="e">
        <f t="shared" si="2286"/>
        <v>#DIV/0!</v>
      </c>
      <c r="DB96" s="198">
        <f t="shared" si="2273"/>
        <v>0</v>
      </c>
      <c r="DC96" s="225">
        <f t="shared" si="2287"/>
        <v>0</v>
      </c>
      <c r="DD96" s="226">
        <f t="shared" si="2288"/>
        <v>0</v>
      </c>
      <c r="DE96" s="137">
        <f t="shared" si="2289"/>
        <v>0</v>
      </c>
      <c r="DF96" s="227">
        <f t="shared" si="2277"/>
        <v>2644.05</v>
      </c>
      <c r="DG96" s="138">
        <f t="shared" si="2290"/>
        <v>0</v>
      </c>
      <c r="DH96" s="110">
        <f t="shared" si="2291"/>
        <v>0</v>
      </c>
      <c r="DI96" s="110"/>
      <c r="DJ96" s="139"/>
      <c r="DK96" s="140" t="e">
        <f t="shared" si="2292"/>
        <v>#DIV/0!</v>
      </c>
      <c r="DL96" s="198">
        <f t="shared" si="2273"/>
        <v>0</v>
      </c>
      <c r="DM96" s="225">
        <f t="shared" si="2293"/>
        <v>0</v>
      </c>
      <c r="DN96" s="226">
        <f t="shared" si="2294"/>
        <v>0</v>
      </c>
      <c r="DO96" s="137">
        <f t="shared" si="2295"/>
        <v>0</v>
      </c>
      <c r="DP96" s="227">
        <f t="shared" si="2277"/>
        <v>2644.05</v>
      </c>
      <c r="DQ96" s="138">
        <f t="shared" si="2296"/>
        <v>0</v>
      </c>
      <c r="DR96" s="110">
        <f t="shared" si="2297"/>
        <v>0</v>
      </c>
      <c r="DS96" s="110"/>
      <c r="DT96" s="139"/>
      <c r="DU96" s="140" t="e">
        <f t="shared" si="2298"/>
        <v>#DIV/0!</v>
      </c>
      <c r="DV96" s="198">
        <f t="shared" si="2273"/>
        <v>0</v>
      </c>
      <c r="DW96" s="225">
        <f t="shared" si="2299"/>
        <v>0</v>
      </c>
      <c r="DX96" s="226">
        <f t="shared" si="2300"/>
        <v>0</v>
      </c>
      <c r="DY96" s="137">
        <f t="shared" si="2301"/>
        <v>0</v>
      </c>
      <c r="DZ96" s="227">
        <f t="shared" si="2277"/>
        <v>2644.05</v>
      </c>
      <c r="EA96" s="138">
        <f t="shared" si="2302"/>
        <v>0</v>
      </c>
      <c r="EB96" s="110">
        <f t="shared" si="2303"/>
        <v>0</v>
      </c>
      <c r="EC96" s="110"/>
      <c r="ED96" s="139"/>
      <c r="EE96" s="140" t="e">
        <f t="shared" si="2304"/>
        <v>#DIV/0!</v>
      </c>
      <c r="EF96" s="198">
        <f t="shared" si="2273"/>
        <v>0</v>
      </c>
      <c r="EG96" s="225">
        <f t="shared" si="2305"/>
        <v>0</v>
      </c>
      <c r="EH96" s="226">
        <f t="shared" si="2306"/>
        <v>0</v>
      </c>
      <c r="EI96" s="137">
        <f t="shared" si="2307"/>
        <v>0</v>
      </c>
      <c r="EJ96" s="227">
        <f t="shared" si="2277"/>
        <v>3163.33</v>
      </c>
      <c r="EK96" s="138">
        <f t="shared" si="2308"/>
        <v>0</v>
      </c>
      <c r="EL96" s="110">
        <f t="shared" si="2309"/>
        <v>0</v>
      </c>
      <c r="EM96" s="110"/>
      <c r="EN96" s="139"/>
      <c r="EO96" s="140" t="e">
        <f t="shared" si="2310"/>
        <v>#DIV/0!</v>
      </c>
      <c r="EP96" s="198">
        <f t="shared" si="2273"/>
        <v>0</v>
      </c>
      <c r="EQ96" s="225">
        <f t="shared" si="2311"/>
        <v>0</v>
      </c>
      <c r="ER96" s="226">
        <f t="shared" si="2312"/>
        <v>0</v>
      </c>
      <c r="ES96" s="137">
        <f t="shared" si="2313"/>
        <v>0</v>
      </c>
      <c r="ET96" s="227">
        <f t="shared" si="2277"/>
        <v>3163.33</v>
      </c>
      <c r="EU96" s="138">
        <f t="shared" si="2314"/>
        <v>0</v>
      </c>
      <c r="EV96" s="110">
        <f t="shared" si="2315"/>
        <v>0</v>
      </c>
      <c r="EW96" s="110"/>
      <c r="EX96" s="139"/>
      <c r="EY96" s="140" t="e">
        <f t="shared" si="2316"/>
        <v>#DIV/0!</v>
      </c>
      <c r="EZ96" s="198">
        <f t="shared" si="2317"/>
        <v>0</v>
      </c>
      <c r="FA96" s="225">
        <f t="shared" si="2318"/>
        <v>0</v>
      </c>
      <c r="FB96" s="226">
        <f t="shared" si="2319"/>
        <v>0</v>
      </c>
      <c r="FC96" s="137">
        <f t="shared" si="2320"/>
        <v>0</v>
      </c>
      <c r="FD96" s="227">
        <f t="shared" si="2321"/>
        <v>0</v>
      </c>
      <c r="FE96" s="138">
        <f t="shared" si="2322"/>
        <v>0</v>
      </c>
      <c r="FF96" s="110">
        <f t="shared" si="2323"/>
        <v>0</v>
      </c>
      <c r="FG96" s="110"/>
      <c r="FH96" s="139"/>
      <c r="FI96" s="140" t="e">
        <f t="shared" si="2324"/>
        <v>#DIV/0!</v>
      </c>
      <c r="FJ96" s="198">
        <f t="shared" si="2317"/>
        <v>0</v>
      </c>
      <c r="FK96" s="225">
        <f t="shared" si="2325"/>
        <v>0</v>
      </c>
      <c r="FL96" s="226">
        <f t="shared" si="2326"/>
        <v>0</v>
      </c>
      <c r="FM96" s="137">
        <f t="shared" si="2327"/>
        <v>0</v>
      </c>
      <c r="FN96" s="227">
        <f t="shared" si="2321"/>
        <v>3163.33</v>
      </c>
      <c r="FO96" s="138">
        <f t="shared" si="2328"/>
        <v>0</v>
      </c>
      <c r="FP96" s="110">
        <f t="shared" si="2329"/>
        <v>0</v>
      </c>
      <c r="FQ96" s="110"/>
      <c r="FR96" s="139"/>
      <c r="FS96" s="140" t="e">
        <f t="shared" si="2330"/>
        <v>#DIV/0!</v>
      </c>
      <c r="FT96" s="198">
        <f t="shared" si="2317"/>
        <v>0</v>
      </c>
      <c r="FU96" s="225">
        <f t="shared" si="2331"/>
        <v>0</v>
      </c>
      <c r="FV96" s="226">
        <f t="shared" si="2332"/>
        <v>0</v>
      </c>
      <c r="FW96" s="137">
        <f t="shared" si="2333"/>
        <v>0</v>
      </c>
      <c r="FX96" s="227">
        <f t="shared" si="2321"/>
        <v>3163.33</v>
      </c>
      <c r="FY96" s="138">
        <f t="shared" si="2334"/>
        <v>0</v>
      </c>
      <c r="FZ96" s="110">
        <f t="shared" si="2335"/>
        <v>0</v>
      </c>
      <c r="GA96" s="110"/>
      <c r="GB96" s="139"/>
      <c r="GC96" s="140" t="e">
        <f t="shared" si="2336"/>
        <v>#DIV/0!</v>
      </c>
      <c r="GD96" s="198">
        <f t="shared" si="2317"/>
        <v>0</v>
      </c>
      <c r="GE96" s="225">
        <f t="shared" si="2337"/>
        <v>0</v>
      </c>
      <c r="GF96" s="226">
        <f t="shared" si="2338"/>
        <v>0</v>
      </c>
      <c r="GG96" s="137">
        <f t="shared" si="2339"/>
        <v>0</v>
      </c>
      <c r="GH96" s="227">
        <f t="shared" si="2321"/>
        <v>0</v>
      </c>
      <c r="GI96" s="138">
        <f t="shared" si="2340"/>
        <v>0</v>
      </c>
      <c r="GJ96" s="110">
        <f t="shared" si="2341"/>
        <v>0</v>
      </c>
      <c r="GK96" s="110"/>
      <c r="GL96" s="139"/>
      <c r="GM96" s="140" t="e">
        <f t="shared" si="2342"/>
        <v>#DIV/0!</v>
      </c>
      <c r="GN96" s="198">
        <f t="shared" si="2317"/>
        <v>0</v>
      </c>
      <c r="GO96" s="225">
        <f t="shared" si="2343"/>
        <v>0</v>
      </c>
      <c r="GP96" s="226">
        <f t="shared" si="2344"/>
        <v>0</v>
      </c>
      <c r="GQ96" s="137">
        <f t="shared" si="2345"/>
        <v>0</v>
      </c>
      <c r="GR96" s="227">
        <f t="shared" si="2321"/>
        <v>2644.05</v>
      </c>
      <c r="GS96" s="138">
        <f t="shared" si="2346"/>
        <v>0</v>
      </c>
      <c r="GT96" s="110">
        <f t="shared" si="2347"/>
        <v>0</v>
      </c>
      <c r="GU96" s="110"/>
      <c r="GV96" s="139"/>
      <c r="GW96" s="140" t="e">
        <f t="shared" si="2348"/>
        <v>#DIV/0!</v>
      </c>
      <c r="GX96" s="198">
        <f t="shared" si="2317"/>
        <v>0</v>
      </c>
      <c r="GY96" s="225">
        <f t="shared" si="2349"/>
        <v>0</v>
      </c>
      <c r="GZ96" s="226">
        <f t="shared" si="2350"/>
        <v>0</v>
      </c>
      <c r="HA96" s="137">
        <f t="shared" si="2351"/>
        <v>0</v>
      </c>
      <c r="HB96" s="227">
        <f t="shared" si="2321"/>
        <v>2644.05</v>
      </c>
      <c r="HC96" s="138">
        <f t="shared" si="2352"/>
        <v>0</v>
      </c>
      <c r="HD96" s="110">
        <f t="shared" si="2353"/>
        <v>0</v>
      </c>
      <c r="HE96" s="110"/>
      <c r="HF96" s="139"/>
      <c r="HG96" s="140" t="e">
        <f t="shared" si="2354"/>
        <v>#DIV/0!</v>
      </c>
      <c r="HH96" s="198">
        <f t="shared" si="2317"/>
        <v>0</v>
      </c>
      <c r="HI96" s="225">
        <f t="shared" si="2355"/>
        <v>0</v>
      </c>
      <c r="HJ96" s="226">
        <f t="shared" si="2356"/>
        <v>0</v>
      </c>
      <c r="HK96" s="137">
        <f t="shared" si="2357"/>
        <v>0</v>
      </c>
      <c r="HL96" s="227">
        <f t="shared" si="2321"/>
        <v>2597.2199999999998</v>
      </c>
      <c r="HM96" s="138">
        <f t="shared" si="2358"/>
        <v>0</v>
      </c>
      <c r="HN96" s="110">
        <f t="shared" si="2359"/>
        <v>0</v>
      </c>
      <c r="HO96" s="110"/>
      <c r="HP96" s="139"/>
      <c r="HQ96" s="140" t="e">
        <f t="shared" si="2360"/>
        <v>#DIV/0!</v>
      </c>
      <c r="HR96" s="198">
        <f t="shared" si="2361"/>
        <v>0</v>
      </c>
      <c r="HS96" s="225">
        <f t="shared" si="2362"/>
        <v>0</v>
      </c>
      <c r="HT96" s="226">
        <f t="shared" si="2363"/>
        <v>0</v>
      </c>
      <c r="HU96" s="137">
        <f t="shared" si="2364"/>
        <v>0</v>
      </c>
      <c r="HV96" s="227">
        <f t="shared" si="2365"/>
        <v>3163.33</v>
      </c>
      <c r="HW96" s="138">
        <f t="shared" si="2366"/>
        <v>0</v>
      </c>
      <c r="HX96" s="110">
        <f t="shared" si="2367"/>
        <v>0</v>
      </c>
      <c r="HY96" s="110"/>
      <c r="HZ96" s="139"/>
      <c r="IA96" s="140" t="e">
        <f t="shared" si="2368"/>
        <v>#DIV/0!</v>
      </c>
      <c r="IB96" s="198">
        <f t="shared" si="2361"/>
        <v>0</v>
      </c>
      <c r="IC96" s="225">
        <f t="shared" si="2369"/>
        <v>0</v>
      </c>
      <c r="ID96" s="226">
        <f t="shared" si="2370"/>
        <v>0</v>
      </c>
      <c r="IE96" s="137">
        <f t="shared" si="2371"/>
        <v>0</v>
      </c>
      <c r="IF96" s="227">
        <f t="shared" si="2365"/>
        <v>3163.33</v>
      </c>
      <c r="IG96" s="138">
        <f t="shared" si="2372"/>
        <v>0</v>
      </c>
      <c r="IH96" s="110">
        <f t="shared" si="2373"/>
        <v>0</v>
      </c>
      <c r="II96" s="110"/>
      <c r="IJ96" s="139"/>
      <c r="IK96" s="140" t="e">
        <f t="shared" si="2374"/>
        <v>#DIV/0!</v>
      </c>
      <c r="IL96" s="198">
        <f t="shared" si="2361"/>
        <v>0</v>
      </c>
      <c r="IM96" s="225">
        <f t="shared" si="2375"/>
        <v>0</v>
      </c>
      <c r="IN96" s="226">
        <f t="shared" si="2376"/>
        <v>0</v>
      </c>
      <c r="IO96" s="137">
        <f t="shared" si="2377"/>
        <v>0</v>
      </c>
      <c r="IP96" s="227">
        <f t="shared" si="2365"/>
        <v>2644.05</v>
      </c>
      <c r="IQ96" s="138">
        <f t="shared" si="2378"/>
        <v>0</v>
      </c>
      <c r="IR96" s="110">
        <f t="shared" si="2379"/>
        <v>0</v>
      </c>
      <c r="IS96" s="110"/>
      <c r="IT96" s="139"/>
      <c r="IU96" s="140" t="e">
        <f t="shared" si="2380"/>
        <v>#DIV/0!</v>
      </c>
      <c r="IV96" s="198">
        <f t="shared" si="2361"/>
        <v>0</v>
      </c>
      <c r="IW96" s="225">
        <f t="shared" si="2381"/>
        <v>0</v>
      </c>
      <c r="IX96" s="226">
        <f t="shared" si="2382"/>
        <v>0</v>
      </c>
      <c r="IY96" s="137">
        <f t="shared" si="2383"/>
        <v>0</v>
      </c>
      <c r="IZ96" s="227">
        <f t="shared" si="2365"/>
        <v>3163.33</v>
      </c>
      <c r="JA96" s="138">
        <f t="shared" si="2384"/>
        <v>0</v>
      </c>
      <c r="JB96" s="110">
        <f t="shared" si="2385"/>
        <v>0</v>
      </c>
      <c r="JC96" s="110"/>
      <c r="JD96" s="139"/>
      <c r="JE96" s="140" t="e">
        <f t="shared" si="2386"/>
        <v>#DIV/0!</v>
      </c>
      <c r="JF96" s="198">
        <f t="shared" si="2361"/>
        <v>0</v>
      </c>
      <c r="JG96" s="225">
        <f t="shared" si="2387"/>
        <v>0</v>
      </c>
      <c r="JH96" s="226">
        <f t="shared" si="2388"/>
        <v>0</v>
      </c>
      <c r="JI96" s="137">
        <f t="shared" si="2389"/>
        <v>0</v>
      </c>
      <c r="JJ96" s="227">
        <f t="shared" si="2365"/>
        <v>2644.05</v>
      </c>
      <c r="JK96" s="138">
        <f t="shared" si="2390"/>
        <v>0</v>
      </c>
      <c r="JL96" s="110">
        <f t="shared" si="2391"/>
        <v>0</v>
      </c>
      <c r="JM96" s="110"/>
      <c r="JN96" s="139"/>
      <c r="JO96" s="140" t="e">
        <f t="shared" si="2392"/>
        <v>#DIV/0!</v>
      </c>
      <c r="JP96" s="198">
        <f t="shared" si="2361"/>
        <v>0</v>
      </c>
      <c r="JQ96" s="225">
        <f t="shared" si="2393"/>
        <v>0</v>
      </c>
      <c r="JR96" s="226">
        <f t="shared" si="2394"/>
        <v>0</v>
      </c>
      <c r="JS96" s="137">
        <f t="shared" si="2395"/>
        <v>0</v>
      </c>
      <c r="JT96" s="227">
        <f t="shared" si="2365"/>
        <v>2632.02</v>
      </c>
      <c r="JU96" s="138">
        <f t="shared" si="2396"/>
        <v>0</v>
      </c>
      <c r="JV96" s="110">
        <f t="shared" si="2397"/>
        <v>0</v>
      </c>
      <c r="JW96" s="110"/>
      <c r="JX96" s="139"/>
      <c r="JY96" s="140" t="e">
        <f t="shared" si="2398"/>
        <v>#DIV/0!</v>
      </c>
      <c r="JZ96" s="198">
        <f t="shared" si="2361"/>
        <v>0</v>
      </c>
      <c r="KA96" s="225">
        <f t="shared" si="2399"/>
        <v>0</v>
      </c>
      <c r="KB96" s="226">
        <f t="shared" si="2400"/>
        <v>0</v>
      </c>
      <c r="KC96" s="137">
        <f t="shared" si="2401"/>
        <v>0</v>
      </c>
      <c r="KD96" s="227">
        <f t="shared" si="2365"/>
        <v>3163.33</v>
      </c>
      <c r="KE96" s="138">
        <f t="shared" si="2402"/>
        <v>0</v>
      </c>
      <c r="KF96" s="110">
        <f t="shared" si="2403"/>
        <v>0</v>
      </c>
      <c r="KG96" s="110"/>
      <c r="KH96" s="139"/>
      <c r="KI96" s="140" t="e">
        <f t="shared" si="2404"/>
        <v>#DIV/0!</v>
      </c>
      <c r="KJ96" s="198">
        <f t="shared" si="2405"/>
        <v>0</v>
      </c>
      <c r="KK96" s="225">
        <f t="shared" si="2406"/>
        <v>0</v>
      </c>
      <c r="KL96" s="226">
        <f t="shared" si="2407"/>
        <v>0</v>
      </c>
      <c r="KM96" s="137">
        <f t="shared" si="2408"/>
        <v>0</v>
      </c>
      <c r="KN96" s="227">
        <f t="shared" si="2409"/>
        <v>2644.05</v>
      </c>
      <c r="KO96" s="138">
        <f t="shared" si="2410"/>
        <v>0</v>
      </c>
      <c r="KP96" s="110">
        <f t="shared" si="2411"/>
        <v>0</v>
      </c>
      <c r="KQ96" s="110"/>
      <c r="KR96" s="139"/>
      <c r="KS96" s="140" t="e">
        <f t="shared" si="2412"/>
        <v>#DIV/0!</v>
      </c>
      <c r="KT96" s="198">
        <f t="shared" si="2405"/>
        <v>0</v>
      </c>
      <c r="KU96" s="225">
        <f t="shared" si="2413"/>
        <v>0</v>
      </c>
      <c r="KV96" s="226">
        <f t="shared" si="2414"/>
        <v>0</v>
      </c>
      <c r="KW96" s="137">
        <f t="shared" si="2415"/>
        <v>0</v>
      </c>
      <c r="KX96" s="227">
        <f t="shared" si="2409"/>
        <v>3163.33</v>
      </c>
      <c r="KY96" s="138">
        <f t="shared" si="2416"/>
        <v>0</v>
      </c>
      <c r="KZ96" s="110">
        <f t="shared" si="2417"/>
        <v>0</v>
      </c>
      <c r="LA96" s="110"/>
      <c r="LB96" s="139"/>
      <c r="LC96" s="140" t="e">
        <f t="shared" si="2418"/>
        <v>#DIV/0!</v>
      </c>
      <c r="LD96" s="197">
        <f t="shared" si="2027"/>
        <v>0</v>
      </c>
      <c r="LE96" s="225">
        <f t="shared" si="2028"/>
        <v>0</v>
      </c>
      <c r="LF96" s="226">
        <f t="shared" si="2029"/>
        <v>0</v>
      </c>
      <c r="LG96" s="137">
        <f t="shared" si="2030"/>
        <v>0</v>
      </c>
      <c r="LH96" s="227">
        <f t="shared" si="2031"/>
        <v>2869.57</v>
      </c>
      <c r="LI96" s="138">
        <f t="shared" si="2032"/>
        <v>0</v>
      </c>
      <c r="LJ96" s="110">
        <f t="shared" si="2033"/>
        <v>0</v>
      </c>
      <c r="LK96" s="110"/>
      <c r="LL96" s="139"/>
    </row>
    <row r="97" spans="1:324" x14ac:dyDescent="0.25">
      <c r="A97" s="248" t="s">
        <v>43</v>
      </c>
      <c r="B97" s="249" t="s">
        <v>44</v>
      </c>
      <c r="C97" s="14"/>
      <c r="D97" s="14"/>
      <c r="E97" s="4" t="s">
        <v>32</v>
      </c>
      <c r="F97" s="18">
        <f>SUM(F100:F125)</f>
        <v>602</v>
      </c>
      <c r="G97" s="4"/>
      <c r="H97" s="102">
        <v>930</v>
      </c>
      <c r="I97" s="137">
        <f>IF(F97&gt;0,H97/F97,0)</f>
        <v>1.5448504999999999</v>
      </c>
      <c r="J97" s="110">
        <f>IF(M97&gt;0,M97/H97,0)</f>
        <v>40.909999999999997</v>
      </c>
      <c r="K97" s="138">
        <f>I97*J97</f>
        <v>63.199829999999999</v>
      </c>
      <c r="L97" s="110">
        <f>K97*F97</f>
        <v>38046.300000000003</v>
      </c>
      <c r="M97" s="102">
        <f>53828.4-31572/2</f>
        <v>38042.400000000001</v>
      </c>
      <c r="N97" s="139">
        <f>M97-L97</f>
        <v>-3.9</v>
      </c>
      <c r="O97" s="140">
        <f>K97/$LI97</f>
        <v>0.58577999999999997</v>
      </c>
      <c r="P97" s="18">
        <f t="shared" ref="P97" si="2419">SUM(P100:P125)</f>
        <v>1096</v>
      </c>
      <c r="Q97" s="4"/>
      <c r="R97" s="102">
        <v>1610</v>
      </c>
      <c r="S97" s="137">
        <f t="shared" si="2232"/>
        <v>1.4689781</v>
      </c>
      <c r="T97" s="110">
        <f t="shared" ref="T97" si="2420">IF(W97&gt;0,W97/R97,0)</f>
        <v>36.11</v>
      </c>
      <c r="U97" s="138">
        <f t="shared" si="2234"/>
        <v>53.044800000000002</v>
      </c>
      <c r="V97" s="110">
        <f t="shared" si="2235"/>
        <v>58137.1</v>
      </c>
      <c r="W97" s="102">
        <f>93186.8-70097.82/2</f>
        <v>58137.89</v>
      </c>
      <c r="X97" s="139">
        <f t="shared" ref="X97" si="2421">W97-V97</f>
        <v>0.79</v>
      </c>
      <c r="Y97" s="140">
        <f t="shared" si="2236"/>
        <v>0.49165999999999999</v>
      </c>
      <c r="Z97" s="18">
        <f t="shared" ref="Z97" si="2422">SUM(Z100:Z125)</f>
        <v>864</v>
      </c>
      <c r="AA97" s="4"/>
      <c r="AB97" s="102">
        <v>1290</v>
      </c>
      <c r="AC97" s="137">
        <f t="shared" si="2239"/>
        <v>1.4930555599999999</v>
      </c>
      <c r="AD97" s="110">
        <f t="shared" ref="AD97" si="2423">IF(AG97&gt;0,AG97/AB97,0)</f>
        <v>54.87</v>
      </c>
      <c r="AE97" s="138">
        <f t="shared" si="2240"/>
        <v>81.923959999999994</v>
      </c>
      <c r="AF97" s="110">
        <f t="shared" si="2241"/>
        <v>70782.3</v>
      </c>
      <c r="AG97" s="102">
        <f>74665.2-7763/2</f>
        <v>70783.7</v>
      </c>
      <c r="AH97" s="139">
        <f t="shared" ref="AH97" si="2424">AG97-AF97</f>
        <v>1.4</v>
      </c>
      <c r="AI97" s="140">
        <f t="shared" si="2242"/>
        <v>0.75932999999999995</v>
      </c>
      <c r="AJ97" s="18">
        <f t="shared" ref="AJ97" si="2425">SUM(AJ100:AJ125)</f>
        <v>665</v>
      </c>
      <c r="AK97" s="4"/>
      <c r="AL97" s="102">
        <v>1141</v>
      </c>
      <c r="AM97" s="137">
        <f t="shared" si="2245"/>
        <v>1.71578947</v>
      </c>
      <c r="AN97" s="110">
        <f t="shared" ref="AN97" si="2426">IF(AQ97&gt;0,AQ97/AL97,0)</f>
        <v>54.42</v>
      </c>
      <c r="AO97" s="138">
        <f t="shared" si="2246"/>
        <v>93.373260000000002</v>
      </c>
      <c r="AP97" s="110">
        <f t="shared" si="2247"/>
        <v>62093.22</v>
      </c>
      <c r="AQ97" s="102">
        <f>66041.08-7893/2</f>
        <v>62094.58</v>
      </c>
      <c r="AR97" s="139">
        <f t="shared" ref="AR97" si="2427">AQ97-AP97</f>
        <v>1.36</v>
      </c>
      <c r="AS97" s="140">
        <f t="shared" si="2248"/>
        <v>0.86545000000000005</v>
      </c>
      <c r="AT97" s="18">
        <f t="shared" ref="AT97" si="2428">SUM(AT100:AT125)</f>
        <v>951</v>
      </c>
      <c r="AU97" s="4"/>
      <c r="AV97" s="102">
        <v>910</v>
      </c>
      <c r="AW97" s="137">
        <f t="shared" si="2251"/>
        <v>0.95688748999999995</v>
      </c>
      <c r="AX97" s="110">
        <f t="shared" ref="AX97" si="2429">IF(BA97&gt;0,BA97/AV97,0)</f>
        <v>49.55</v>
      </c>
      <c r="AY97" s="138">
        <f t="shared" si="2252"/>
        <v>47.413780000000003</v>
      </c>
      <c r="AZ97" s="110">
        <f t="shared" si="2253"/>
        <v>45090.5</v>
      </c>
      <c r="BA97" s="102">
        <f>52670.8-15154.56/2</f>
        <v>45093.52</v>
      </c>
      <c r="BB97" s="139">
        <f t="shared" ref="BB97" si="2430">BA97-AZ97</f>
        <v>3.02</v>
      </c>
      <c r="BC97" s="140">
        <f t="shared" si="2254"/>
        <v>0.43946000000000002</v>
      </c>
      <c r="BD97" s="18">
        <f t="shared" ref="BD97" si="2431">SUM(BD100:BD125)</f>
        <v>744</v>
      </c>
      <c r="BE97" s="4"/>
      <c r="BF97" s="102">
        <v>1420</v>
      </c>
      <c r="BG97" s="137">
        <f t="shared" si="2257"/>
        <v>1.9086021500000001</v>
      </c>
      <c r="BH97" s="110">
        <f t="shared" ref="BH97" si="2432">IF(BK97&gt;0,BK97/BF97,0)</f>
        <v>55.1</v>
      </c>
      <c r="BI97" s="138">
        <f t="shared" si="2258"/>
        <v>105.16398</v>
      </c>
      <c r="BJ97" s="110">
        <f t="shared" si="2259"/>
        <v>78242</v>
      </c>
      <c r="BK97" s="102">
        <f>82189.6-7893/2</f>
        <v>78243.100000000006</v>
      </c>
      <c r="BL97" s="139">
        <f t="shared" ref="BL97" si="2433">BK97-BJ97</f>
        <v>1.1000000000000001</v>
      </c>
      <c r="BM97" s="140">
        <f t="shared" si="2260"/>
        <v>0.97472999999999999</v>
      </c>
      <c r="BN97" s="18">
        <f t="shared" ref="BN97" si="2434">SUM(BN100:BN125)</f>
        <v>617</v>
      </c>
      <c r="BO97" s="4"/>
      <c r="BP97" s="102">
        <v>1220</v>
      </c>
      <c r="BQ97" s="137">
        <f t="shared" si="2263"/>
        <v>1.9773095599999999</v>
      </c>
      <c r="BR97" s="110">
        <f t="shared" ref="BR97" si="2435">IF(BU97&gt;0,BU97/BP97,0)</f>
        <v>54.14</v>
      </c>
      <c r="BS97" s="138">
        <f t="shared" si="2264"/>
        <v>107.05154</v>
      </c>
      <c r="BT97" s="110">
        <f t="shared" si="2265"/>
        <v>66050.8</v>
      </c>
      <c r="BU97" s="102">
        <f>70613.6-9120/2</f>
        <v>66053.600000000006</v>
      </c>
      <c r="BV97" s="139">
        <f t="shared" ref="BV97" si="2436">BU97-BT97</f>
        <v>2.8</v>
      </c>
      <c r="BW97" s="140">
        <f t="shared" si="2266"/>
        <v>0.99222999999999995</v>
      </c>
      <c r="BX97" s="18">
        <f t="shared" ref="BX97" si="2437">SUM(BX100:BX125)</f>
        <v>788</v>
      </c>
      <c r="BY97" s="4"/>
      <c r="BZ97" s="102">
        <v>1470</v>
      </c>
      <c r="CA97" s="137">
        <f t="shared" si="2269"/>
        <v>1.86548223</v>
      </c>
      <c r="CB97" s="110">
        <f t="shared" ref="CB97" si="2438">IF(CE97&gt;0,CE97/BZ97,0)</f>
        <v>51.74</v>
      </c>
      <c r="CC97" s="138">
        <f t="shared" si="2270"/>
        <v>96.520049999999998</v>
      </c>
      <c r="CD97" s="110">
        <f t="shared" si="2271"/>
        <v>76057.8</v>
      </c>
      <c r="CE97" s="102">
        <f>85083.6-18066/2</f>
        <v>76050.600000000006</v>
      </c>
      <c r="CF97" s="139">
        <f t="shared" ref="CF97" si="2439">CE97-CD97</f>
        <v>-7.2</v>
      </c>
      <c r="CG97" s="140">
        <f t="shared" si="2272"/>
        <v>0.89461999999999997</v>
      </c>
      <c r="CH97" s="18">
        <f t="shared" ref="CH97" si="2440">SUM(CH100:CH125)</f>
        <v>924</v>
      </c>
      <c r="CI97" s="4"/>
      <c r="CJ97" s="102">
        <v>2340</v>
      </c>
      <c r="CK97" s="137">
        <f t="shared" si="2276"/>
        <v>2.5324675299999999</v>
      </c>
      <c r="CL97" s="110">
        <f t="shared" ref="CL97" si="2441">IF(CO97&gt;0,CO97/CJ97,0)</f>
        <v>46.92</v>
      </c>
      <c r="CM97" s="138">
        <f t="shared" si="2278"/>
        <v>118.82338</v>
      </c>
      <c r="CN97" s="110">
        <f t="shared" si="2279"/>
        <v>109792.8</v>
      </c>
      <c r="CO97" s="102">
        <f>135439.2-51304.5/2</f>
        <v>109786.95</v>
      </c>
      <c r="CP97" s="139">
        <f t="shared" ref="CP97" si="2442">CO97-CN97</f>
        <v>-5.85</v>
      </c>
      <c r="CQ97" s="140">
        <f t="shared" si="2280"/>
        <v>1.10134</v>
      </c>
      <c r="CR97" s="18">
        <f t="shared" ref="CR97" si="2443">SUM(CR100:CR125)</f>
        <v>744</v>
      </c>
      <c r="CS97" s="4"/>
      <c r="CT97" s="102">
        <v>1201</v>
      </c>
      <c r="CU97" s="137">
        <f t="shared" si="2283"/>
        <v>1.6142473100000001</v>
      </c>
      <c r="CV97" s="110">
        <f t="shared" ref="CV97" si="2444">IF(CY97&gt;0,CY97/CT97,0)</f>
        <v>49.61</v>
      </c>
      <c r="CW97" s="138">
        <f t="shared" si="2284"/>
        <v>80.082809999999995</v>
      </c>
      <c r="CX97" s="110">
        <f t="shared" si="2285"/>
        <v>59581.61</v>
      </c>
      <c r="CY97" s="102">
        <f>69513.88-19872.6/2</f>
        <v>59577.58</v>
      </c>
      <c r="CZ97" s="139">
        <f t="shared" ref="CZ97" si="2445">CY97-CX97</f>
        <v>-4.03</v>
      </c>
      <c r="DA97" s="140">
        <f t="shared" si="2286"/>
        <v>0.74226000000000003</v>
      </c>
      <c r="DB97" s="18">
        <f t="shared" ref="DB97" si="2446">SUM(DB100:DB125)</f>
        <v>825</v>
      </c>
      <c r="DC97" s="4"/>
      <c r="DD97" s="102">
        <v>1114</v>
      </c>
      <c r="DE97" s="137">
        <f t="shared" si="2289"/>
        <v>1.3503030300000001</v>
      </c>
      <c r="DF97" s="110">
        <f t="shared" ref="DF97" si="2447">IF(DI97&gt;0,DI97/DD97,0)</f>
        <v>52.57</v>
      </c>
      <c r="DG97" s="138">
        <f t="shared" si="2290"/>
        <v>70.985429999999994</v>
      </c>
      <c r="DH97" s="110">
        <f t="shared" si="2291"/>
        <v>58562.98</v>
      </c>
      <c r="DI97" s="102">
        <f>64478.32-11839.5/2</f>
        <v>58558.57</v>
      </c>
      <c r="DJ97" s="139">
        <f t="shared" ref="DJ97" si="2448">DI97-DH97</f>
        <v>-4.41</v>
      </c>
      <c r="DK97" s="140">
        <f t="shared" si="2292"/>
        <v>0.65793999999999997</v>
      </c>
      <c r="DL97" s="18">
        <f t="shared" ref="DL97" si="2449">SUM(DL100:DL125)</f>
        <v>283</v>
      </c>
      <c r="DM97" s="4"/>
      <c r="DN97" s="102">
        <v>750</v>
      </c>
      <c r="DO97" s="137">
        <f t="shared" si="2295"/>
        <v>2.65017668</v>
      </c>
      <c r="DP97" s="110">
        <f t="shared" ref="DP97" si="2450">IF(DS97&gt;0,DS97/DN97,0)</f>
        <v>55.25</v>
      </c>
      <c r="DQ97" s="138">
        <f t="shared" si="2296"/>
        <v>146.42225999999999</v>
      </c>
      <c r="DR97" s="110">
        <f t="shared" si="2297"/>
        <v>41437.5</v>
      </c>
      <c r="DS97" s="102">
        <f>43410-3946.5/2</f>
        <v>41436.75</v>
      </c>
      <c r="DT97" s="139">
        <f t="shared" ref="DT97" si="2451">DS97-DR97</f>
        <v>-0.75</v>
      </c>
      <c r="DU97" s="140">
        <f t="shared" si="2298"/>
        <v>1.35714</v>
      </c>
      <c r="DV97" s="18">
        <f t="shared" ref="DV97" si="2452">SUM(DV100:DV125)</f>
        <v>878</v>
      </c>
      <c r="DW97" s="4"/>
      <c r="DX97" s="102">
        <v>1330</v>
      </c>
      <c r="DY97" s="137">
        <f t="shared" si="2301"/>
        <v>1.51480638</v>
      </c>
      <c r="DZ97" s="110">
        <f t="shared" ref="DZ97" si="2453">IF(EC97&gt;0,EC97/DX97,0)</f>
        <v>34.14</v>
      </c>
      <c r="EA97" s="138">
        <f t="shared" si="2302"/>
        <v>51.715490000000003</v>
      </c>
      <c r="EB97" s="110">
        <f t="shared" si="2303"/>
        <v>45406.2</v>
      </c>
      <c r="EC97" s="102">
        <f>76980.4-63144/2</f>
        <v>45408.4</v>
      </c>
      <c r="ED97" s="139">
        <f t="shared" ref="ED97" si="2454">EC97-EB97</f>
        <v>2.2000000000000002</v>
      </c>
      <c r="EE97" s="140">
        <f t="shared" si="2304"/>
        <v>0.47933999999999999</v>
      </c>
      <c r="EF97" s="18">
        <f t="shared" ref="EF97" si="2455">SUM(EF100:EF125)</f>
        <v>939</v>
      </c>
      <c r="EG97" s="4"/>
      <c r="EH97" s="102">
        <v>920</v>
      </c>
      <c r="EI97" s="137">
        <f t="shared" si="2307"/>
        <v>0.97976571000000001</v>
      </c>
      <c r="EJ97" s="110">
        <f t="shared" ref="EJ97" si="2456">IF(EM97&gt;0,EM97/EH97,0)</f>
        <v>44.53</v>
      </c>
      <c r="EK97" s="138">
        <f t="shared" si="2308"/>
        <v>43.628970000000002</v>
      </c>
      <c r="EL97" s="110">
        <f t="shared" si="2309"/>
        <v>40967.599999999999</v>
      </c>
      <c r="EM97" s="102">
        <f>53249.6-24570/2</f>
        <v>40964.6</v>
      </c>
      <c r="EN97" s="139">
        <f t="shared" ref="EN97" si="2457">EM97-EL97</f>
        <v>-3</v>
      </c>
      <c r="EO97" s="140">
        <f t="shared" si="2310"/>
        <v>0.40438000000000002</v>
      </c>
      <c r="EP97" s="18">
        <f t="shared" ref="EP97" si="2458">SUM(EP100:EP125)</f>
        <v>943</v>
      </c>
      <c r="EQ97" s="4"/>
      <c r="ER97" s="102">
        <v>2180</v>
      </c>
      <c r="ES97" s="137">
        <f t="shared" si="2313"/>
        <v>2.3117709400000002</v>
      </c>
      <c r="ET97" s="110">
        <f t="shared" ref="ET97" si="2459">IF(EW97&gt;0,EW97/ER97,0)</f>
        <v>52.01</v>
      </c>
      <c r="EU97" s="138">
        <f t="shared" si="2314"/>
        <v>120.23521</v>
      </c>
      <c r="EV97" s="110">
        <f t="shared" si="2315"/>
        <v>113381.8</v>
      </c>
      <c r="EW97" s="102">
        <f>126178.4-25578/2</f>
        <v>113389.4</v>
      </c>
      <c r="EX97" s="139">
        <f t="shared" ref="EX97" si="2460">EW97-EV97</f>
        <v>7.6</v>
      </c>
      <c r="EY97" s="140">
        <f t="shared" si="2316"/>
        <v>1.11442</v>
      </c>
      <c r="EZ97" s="18">
        <f t="shared" ref="EZ97" si="2461">SUM(EZ100:EZ125)</f>
        <v>1117</v>
      </c>
      <c r="FA97" s="4"/>
      <c r="FB97" s="102">
        <v>1800</v>
      </c>
      <c r="FC97" s="137">
        <f t="shared" si="2320"/>
        <v>1.6114592700000001</v>
      </c>
      <c r="FD97" s="110">
        <f t="shared" ref="FD97" si="2462">IF(FG97&gt;0,FG97/FB97,0)</f>
        <v>55.47</v>
      </c>
      <c r="FE97" s="138">
        <f t="shared" si="2322"/>
        <v>89.387649999999994</v>
      </c>
      <c r="FF97" s="110">
        <f t="shared" si="2323"/>
        <v>99846.01</v>
      </c>
      <c r="FG97" s="102">
        <f>104184-8682.3/2</f>
        <v>99842.85</v>
      </c>
      <c r="FH97" s="139">
        <f t="shared" ref="FH97" si="2463">FG97-FF97</f>
        <v>-3.16</v>
      </c>
      <c r="FI97" s="140">
        <f t="shared" si="2324"/>
        <v>0.82850999999999997</v>
      </c>
      <c r="FJ97" s="18">
        <f t="shared" ref="FJ97" si="2464">SUM(FJ100:FJ125)</f>
        <v>1022</v>
      </c>
      <c r="FK97" s="4"/>
      <c r="FL97" s="102">
        <v>1720</v>
      </c>
      <c r="FM97" s="137">
        <f t="shared" si="2327"/>
        <v>1.6829745599999999</v>
      </c>
      <c r="FN97" s="110">
        <f t="shared" ref="FN97" si="2465">IF(FQ97&gt;0,FQ97/FL97,0)</f>
        <v>39.74</v>
      </c>
      <c r="FO97" s="138">
        <f t="shared" si="2328"/>
        <v>66.881410000000002</v>
      </c>
      <c r="FP97" s="110">
        <f t="shared" si="2329"/>
        <v>68352.800000000003</v>
      </c>
      <c r="FQ97" s="102">
        <f>99553.6-62400/2</f>
        <v>68353.600000000006</v>
      </c>
      <c r="FR97" s="139">
        <f t="shared" ref="FR97" si="2466">FQ97-FP97</f>
        <v>0.8</v>
      </c>
      <c r="FS97" s="140">
        <f t="shared" si="2330"/>
        <v>0.61990000000000001</v>
      </c>
      <c r="FT97" s="18">
        <f t="shared" ref="FT97" si="2467">SUM(FT100:FT125)</f>
        <v>803</v>
      </c>
      <c r="FU97" s="4"/>
      <c r="FV97" s="102">
        <v>1424</v>
      </c>
      <c r="FW97" s="137">
        <f t="shared" si="2333"/>
        <v>1.7733499399999999</v>
      </c>
      <c r="FX97" s="110">
        <f t="shared" ref="FX97" si="2468">IF(GA97&gt;0,GA97/FV97,0)</f>
        <v>53.97</v>
      </c>
      <c r="FY97" s="138">
        <f t="shared" si="2334"/>
        <v>95.707700000000003</v>
      </c>
      <c r="FZ97" s="110">
        <f t="shared" si="2335"/>
        <v>76853.279999999999</v>
      </c>
      <c r="GA97" s="102">
        <f>82421.12-11130/2</f>
        <v>76856.12</v>
      </c>
      <c r="GB97" s="139">
        <f t="shared" ref="GB97" si="2469">GA97-FZ97</f>
        <v>2.84</v>
      </c>
      <c r="GC97" s="140">
        <f t="shared" si="2336"/>
        <v>0.88709000000000005</v>
      </c>
      <c r="GD97" s="18">
        <f t="shared" ref="GD97" si="2470">SUM(GD100:GD125)</f>
        <v>512</v>
      </c>
      <c r="GE97" s="4"/>
      <c r="GF97" s="102">
        <v>860</v>
      </c>
      <c r="GG97" s="137">
        <f t="shared" si="2339"/>
        <v>1.6796875</v>
      </c>
      <c r="GH97" s="110">
        <f t="shared" ref="GH97" si="2471">IF(GK97&gt;0,GK97/GF97,0)</f>
        <v>54.63</v>
      </c>
      <c r="GI97" s="138">
        <f t="shared" si="2340"/>
        <v>91.761330000000001</v>
      </c>
      <c r="GJ97" s="110">
        <f t="shared" si="2341"/>
        <v>46981.8</v>
      </c>
      <c r="GK97" s="102">
        <f>49776.8-5594.6/2</f>
        <v>46979.5</v>
      </c>
      <c r="GL97" s="139">
        <f t="shared" ref="GL97" si="2472">GK97-GJ97</f>
        <v>-2.2999999999999998</v>
      </c>
      <c r="GM97" s="140">
        <f t="shared" si="2342"/>
        <v>0.85050999999999999</v>
      </c>
      <c r="GN97" s="18">
        <f t="shared" ref="GN97" si="2473">SUM(GN100:GN125)</f>
        <v>864</v>
      </c>
      <c r="GO97" s="4"/>
      <c r="GP97" s="102">
        <v>2750</v>
      </c>
      <c r="GQ97" s="137">
        <f t="shared" si="2345"/>
        <v>3.1828703699999998</v>
      </c>
      <c r="GR97" s="110">
        <f t="shared" ref="GR97" si="2474">IF(GU97&gt;0,GU97/GP97,0)</f>
        <v>52.13</v>
      </c>
      <c r="GS97" s="138">
        <f t="shared" si="2346"/>
        <v>165.92303000000001</v>
      </c>
      <c r="GT97" s="110">
        <f t="shared" si="2347"/>
        <v>143357.5</v>
      </c>
      <c r="GU97" s="102">
        <f>159170-31615.5/2</f>
        <v>143362.25</v>
      </c>
      <c r="GV97" s="139">
        <f t="shared" ref="GV97" si="2475">GU97-GT97</f>
        <v>4.75</v>
      </c>
      <c r="GW97" s="140">
        <f t="shared" si="2348"/>
        <v>1.53789</v>
      </c>
      <c r="GX97" s="18">
        <f t="shared" ref="GX97" si="2476">SUM(GX100:GX125)</f>
        <v>1621</v>
      </c>
      <c r="GY97" s="4"/>
      <c r="GZ97" s="102">
        <v>4453</v>
      </c>
      <c r="HA97" s="137">
        <f t="shared" si="2351"/>
        <v>2.7470697099999999</v>
      </c>
      <c r="HB97" s="110">
        <f t="shared" ref="HB97" si="2477">IF(HE97&gt;0,HE97/GZ97,0)</f>
        <v>42.58</v>
      </c>
      <c r="HC97" s="138">
        <f t="shared" si="2352"/>
        <v>116.97023</v>
      </c>
      <c r="HD97" s="110">
        <f t="shared" si="2353"/>
        <v>189608.74</v>
      </c>
      <c r="HE97" s="102">
        <f>257739.64-136220/2</f>
        <v>189629.64</v>
      </c>
      <c r="HF97" s="139">
        <f t="shared" ref="HF97" si="2478">HE97-HD97</f>
        <v>20.9</v>
      </c>
      <c r="HG97" s="140">
        <f t="shared" si="2354"/>
        <v>1.08416</v>
      </c>
      <c r="HH97" s="18">
        <f t="shared" ref="HH97" si="2479">SUM(HH100:HH125)</f>
        <v>1152</v>
      </c>
      <c r="HI97" s="4"/>
      <c r="HJ97" s="102">
        <v>3330</v>
      </c>
      <c r="HK97" s="137">
        <f t="shared" si="2357"/>
        <v>2.890625</v>
      </c>
      <c r="HL97" s="110">
        <f t="shared" ref="HL97" si="2480">IF(HO97&gt;0,HO97/HJ97,0)</f>
        <v>49.58</v>
      </c>
      <c r="HM97" s="138">
        <f t="shared" si="2358"/>
        <v>143.31719000000001</v>
      </c>
      <c r="HN97" s="110">
        <f t="shared" si="2359"/>
        <v>165101.4</v>
      </c>
      <c r="HO97" s="102">
        <f>192740.4-55251/2</f>
        <v>165114.9</v>
      </c>
      <c r="HP97" s="139">
        <f t="shared" ref="HP97" si="2481">HO97-HN97</f>
        <v>13.5</v>
      </c>
      <c r="HQ97" s="140">
        <f t="shared" si="2360"/>
        <v>1.32836</v>
      </c>
      <c r="HR97" s="18">
        <f t="shared" ref="HR97" si="2482">SUM(HR100:HR125)</f>
        <v>788</v>
      </c>
      <c r="HS97" s="4"/>
      <c r="HT97" s="102">
        <v>900</v>
      </c>
      <c r="HU97" s="137">
        <f t="shared" si="2364"/>
        <v>1.14213198</v>
      </c>
      <c r="HV97" s="110">
        <f t="shared" ref="HV97" si="2483">IF(HY97&gt;0,HY97/HT97,0)</f>
        <v>52.62</v>
      </c>
      <c r="HW97" s="138">
        <f t="shared" si="2366"/>
        <v>60.098979999999997</v>
      </c>
      <c r="HX97" s="110">
        <f t="shared" si="2367"/>
        <v>47358</v>
      </c>
      <c r="HY97" s="102">
        <f>52092-9471.5/2</f>
        <v>47356.25</v>
      </c>
      <c r="HZ97" s="139">
        <f t="shared" ref="HZ97" si="2484">HY97-HX97</f>
        <v>-1.75</v>
      </c>
      <c r="IA97" s="140">
        <f t="shared" si="2368"/>
        <v>0.55703999999999998</v>
      </c>
      <c r="IB97" s="18">
        <f t="shared" ref="IB97" si="2485">SUM(IB100:IB125)</f>
        <v>548</v>
      </c>
      <c r="IC97" s="4"/>
      <c r="ID97" s="102">
        <v>430</v>
      </c>
      <c r="IE97" s="137">
        <f t="shared" si="2371"/>
        <v>0.78467153000000001</v>
      </c>
      <c r="IF97" s="110">
        <f t="shared" ref="IF97" si="2486">IF(II97&gt;0,II97/ID97,0)</f>
        <v>50</v>
      </c>
      <c r="IG97" s="138">
        <f t="shared" si="2372"/>
        <v>39.233580000000003</v>
      </c>
      <c r="IH97" s="110">
        <f t="shared" si="2373"/>
        <v>21500</v>
      </c>
      <c r="II97" s="102">
        <f>24888.4-6774.75/2</f>
        <v>21501.03</v>
      </c>
      <c r="IJ97" s="139">
        <f t="shared" ref="IJ97" si="2487">II97-IH97</f>
        <v>1.03</v>
      </c>
      <c r="IK97" s="140">
        <f t="shared" si="2374"/>
        <v>0.36364000000000002</v>
      </c>
      <c r="IL97" s="18">
        <f t="shared" ref="IL97" si="2488">SUM(IL100:IL125)</f>
        <v>1265</v>
      </c>
      <c r="IM97" s="4"/>
      <c r="IN97" s="102">
        <v>2942</v>
      </c>
      <c r="IO97" s="137">
        <f t="shared" si="2377"/>
        <v>2.3256917000000001</v>
      </c>
      <c r="IP97" s="110">
        <f t="shared" ref="IP97" si="2489">IF(IS97&gt;0,IS97/IN97,0)</f>
        <v>54.39</v>
      </c>
      <c r="IQ97" s="138">
        <f t="shared" si="2378"/>
        <v>126.49437</v>
      </c>
      <c r="IR97" s="110">
        <f t="shared" si="2379"/>
        <v>160015.38</v>
      </c>
      <c r="IS97" s="102">
        <f>170282.96-20521.8/2</f>
        <v>160022.06</v>
      </c>
      <c r="IT97" s="139">
        <f t="shared" ref="IT97" si="2490">IS97-IR97</f>
        <v>6.68</v>
      </c>
      <c r="IU97" s="140">
        <f t="shared" si="2380"/>
        <v>1.1724399999999999</v>
      </c>
      <c r="IV97" s="18">
        <f t="shared" ref="IV97" si="2491">SUM(IV100:IV125)</f>
        <v>771</v>
      </c>
      <c r="IW97" s="4"/>
      <c r="IX97" s="102">
        <v>1600</v>
      </c>
      <c r="IY97" s="137">
        <f t="shared" si="2383"/>
        <v>2.0752269800000001</v>
      </c>
      <c r="IZ97" s="110">
        <f t="shared" ref="IZ97" si="2492">IF(JC97&gt;0,JC97/IX97,0)</f>
        <v>54.71</v>
      </c>
      <c r="JA97" s="138">
        <f t="shared" si="2384"/>
        <v>113.53567</v>
      </c>
      <c r="JB97" s="110">
        <f t="shared" si="2385"/>
        <v>87536</v>
      </c>
      <c r="JC97" s="102">
        <f>92608-10131/2</f>
        <v>87542.5</v>
      </c>
      <c r="JD97" s="139">
        <f t="shared" ref="JD97" si="2493">JC97-JB97</f>
        <v>6.5</v>
      </c>
      <c r="JE97" s="140">
        <f t="shared" si="2386"/>
        <v>1.05233</v>
      </c>
      <c r="JF97" s="18">
        <f t="shared" ref="JF97" si="2494">SUM(JF100:JF125)</f>
        <v>1341</v>
      </c>
      <c r="JG97" s="4"/>
      <c r="JH97" s="102">
        <v>3820</v>
      </c>
      <c r="JI97" s="137">
        <f t="shared" si="2389"/>
        <v>2.84862043</v>
      </c>
      <c r="JJ97" s="110">
        <f t="shared" ref="JJ97" si="2495">IF(JM97&gt;0,JM97/JH97,0)</f>
        <v>43.31</v>
      </c>
      <c r="JK97" s="138">
        <f t="shared" si="2390"/>
        <v>123.37375</v>
      </c>
      <c r="JL97" s="110">
        <f t="shared" si="2391"/>
        <v>165444.20000000001</v>
      </c>
      <c r="JM97" s="102">
        <f>221101.6-111300/2</f>
        <v>165451.6</v>
      </c>
      <c r="JN97" s="139">
        <f t="shared" ref="JN97" si="2496">JM97-JL97</f>
        <v>7.4</v>
      </c>
      <c r="JO97" s="140">
        <f t="shared" si="2392"/>
        <v>1.14351</v>
      </c>
      <c r="JP97" s="18">
        <f t="shared" ref="JP97" si="2497">SUM(JP100:JP125)</f>
        <v>1249</v>
      </c>
      <c r="JQ97" s="4"/>
      <c r="JR97" s="102">
        <v>3800</v>
      </c>
      <c r="JS97" s="137">
        <f t="shared" si="2395"/>
        <v>3.0424339499999999</v>
      </c>
      <c r="JT97" s="110">
        <f t="shared" ref="JT97" si="2498">IF(JW97&gt;0,JW97/JR97,0)</f>
        <v>57.05</v>
      </c>
      <c r="JU97" s="138">
        <f t="shared" si="2396"/>
        <v>173.57086000000001</v>
      </c>
      <c r="JV97" s="110">
        <f t="shared" si="2397"/>
        <v>216790</v>
      </c>
      <c r="JW97" s="102">
        <f>219944-6314.4/2</f>
        <v>216786.8</v>
      </c>
      <c r="JX97" s="139">
        <f t="shared" ref="JX97" si="2499">JW97-JV97</f>
        <v>-3.2</v>
      </c>
      <c r="JY97" s="140">
        <f t="shared" si="2398"/>
        <v>1.6087800000000001</v>
      </c>
      <c r="JZ97" s="18">
        <f t="shared" ref="JZ97" si="2500">SUM(JZ100:JZ125)</f>
        <v>1163</v>
      </c>
      <c r="KA97" s="4"/>
      <c r="KB97" s="102">
        <v>2660</v>
      </c>
      <c r="KC97" s="137">
        <f t="shared" si="2401"/>
        <v>2.2871883099999999</v>
      </c>
      <c r="KD97" s="110">
        <f t="shared" ref="KD97" si="2501">IF(KG97&gt;0,KG97/KB97,0)</f>
        <v>51.65</v>
      </c>
      <c r="KE97" s="138">
        <f t="shared" si="2402"/>
        <v>118.13328</v>
      </c>
      <c r="KF97" s="110">
        <f t="shared" si="2403"/>
        <v>137389</v>
      </c>
      <c r="KG97" s="102">
        <f>153960.8-33150.6/2</f>
        <v>137385.5</v>
      </c>
      <c r="KH97" s="139">
        <f t="shared" ref="KH97" si="2502">KG97-KF97</f>
        <v>-3.5</v>
      </c>
      <c r="KI97" s="140">
        <f t="shared" si="2404"/>
        <v>1.09494</v>
      </c>
      <c r="KJ97" s="18">
        <f t="shared" ref="KJ97" si="2503">SUM(KJ100:KJ125)</f>
        <v>1341</v>
      </c>
      <c r="KK97" s="4"/>
      <c r="KL97" s="102">
        <v>2653</v>
      </c>
      <c r="KM97" s="137">
        <f t="shared" si="2408"/>
        <v>1.9783743499999999</v>
      </c>
      <c r="KN97" s="110">
        <f t="shared" ref="KN97" si="2504">IF(KQ97&gt;0,KQ97/KL97,0)</f>
        <v>51.78</v>
      </c>
      <c r="KO97" s="138">
        <f t="shared" si="2410"/>
        <v>102.44022</v>
      </c>
      <c r="KP97" s="110">
        <f t="shared" si="2411"/>
        <v>137372.34</v>
      </c>
      <c r="KQ97" s="102">
        <f>153555.64-32368.1/2</f>
        <v>137371.59</v>
      </c>
      <c r="KR97" s="139">
        <f t="shared" ref="KR97" si="2505">KQ97-KP97</f>
        <v>-0.75</v>
      </c>
      <c r="KS97" s="140">
        <f t="shared" si="2412"/>
        <v>0.94948999999999995</v>
      </c>
      <c r="KT97" s="18">
        <f t="shared" ref="KT97" si="2506">SUM(KT100:KT125)</f>
        <v>1124</v>
      </c>
      <c r="KU97" s="4"/>
      <c r="KV97" s="102">
        <v>6330</v>
      </c>
      <c r="KW97" s="137">
        <f t="shared" si="2415"/>
        <v>5.6316725999999999</v>
      </c>
      <c r="KX97" s="110">
        <f t="shared" ref="KX97" si="2507">IF(LA97&gt;0,LA97/KV97,0)</f>
        <v>55.65</v>
      </c>
      <c r="KY97" s="138">
        <f t="shared" si="2416"/>
        <v>313.40258</v>
      </c>
      <c r="KZ97" s="110">
        <f t="shared" si="2417"/>
        <v>352264.5</v>
      </c>
      <c r="LA97" s="102">
        <f>366380.4-28274.17/2</f>
        <v>352243.32</v>
      </c>
      <c r="LB97" s="139">
        <f t="shared" ref="LB97" si="2508">LA97-KZ97</f>
        <v>-21.18</v>
      </c>
      <c r="LC97" s="140">
        <f t="shared" si="2418"/>
        <v>2.90483</v>
      </c>
      <c r="LD97" s="18">
        <f>SUM(LD100:LD125)</f>
        <v>28544</v>
      </c>
      <c r="LE97" s="4"/>
      <c r="LF97" s="145">
        <f>H97+R97+AB97+AL97+AV97+BF97+BP97+BZ97+CJ97+CT97+DD97+DN97+DX97+EH97+ER97+FB97+FL97+FV97+GF97+GP97+GZ97+HJ97+HT97+ID97+IN97+IX97+JH97+JR97+KB97+KL97+KV97</f>
        <v>61298</v>
      </c>
      <c r="LG97" s="137">
        <f>IF(LD97&gt;0,LF97/LD97,0)</f>
        <v>2.14749159</v>
      </c>
      <c r="LH97" s="110">
        <f>IF(LK97&gt;0,LK97/LF97,0)</f>
        <v>50.24</v>
      </c>
      <c r="LI97" s="138">
        <f>LG97*LH97</f>
        <v>107.88997999999999</v>
      </c>
      <c r="LJ97" s="110">
        <f>LI97*LD97</f>
        <v>3079611.59</v>
      </c>
      <c r="LK97" s="145">
        <f>M97+W97+AG97+AQ97+BA97+BK97+BU97+CE97+CO97+CY97+DI97+DS97+EC97+EM97+EW97+FG97+FQ97+GA97+GK97+GU97+HE97+HO97+HY97+II97+IS97+JC97+JM97+JW97+KG97+KQ97+LA97</f>
        <v>3079421.15</v>
      </c>
      <c r="LL97" s="139">
        <f>LK97-LJ97</f>
        <v>-190.44</v>
      </c>
    </row>
    <row r="98" spans="1:324" s="132" customFormat="1" x14ac:dyDescent="0.25">
      <c r="A98" s="130"/>
      <c r="B98" s="131" t="s">
        <v>467</v>
      </c>
      <c r="C98" s="131"/>
      <c r="D98" s="131"/>
      <c r="E98" s="131"/>
      <c r="F98" s="141"/>
      <c r="G98" s="131"/>
      <c r="H98" s="139">
        <f>H97-(SUM(H100:H125))</f>
        <v>0.02</v>
      </c>
      <c r="I98" s="142"/>
      <c r="J98" s="139"/>
      <c r="K98" s="143"/>
      <c r="L98" s="139">
        <f>L97-(SUM(L100:L125))</f>
        <v>0.82</v>
      </c>
      <c r="M98" s="139"/>
      <c r="N98" s="139"/>
      <c r="O98" s="131"/>
      <c r="P98" s="141"/>
      <c r="Q98" s="131"/>
      <c r="R98" s="139">
        <f t="shared" ref="R98" si="2509">R97-(SUM(R100:R125))</f>
        <v>-0.02</v>
      </c>
      <c r="S98" s="142"/>
      <c r="T98" s="139"/>
      <c r="U98" s="143"/>
      <c r="V98" s="139">
        <f t="shared" ref="V98" si="2510">V97-(SUM(V100:V125))</f>
        <v>-0.73</v>
      </c>
      <c r="W98" s="139"/>
      <c r="X98" s="139"/>
      <c r="Y98" s="131"/>
      <c r="Z98" s="141"/>
      <c r="AA98" s="131"/>
      <c r="AB98" s="139">
        <f t="shared" ref="AB98" si="2511">AB97-(SUM(AB100:AB125))</f>
        <v>-0.01</v>
      </c>
      <c r="AC98" s="142"/>
      <c r="AD98" s="139"/>
      <c r="AE98" s="143"/>
      <c r="AF98" s="139">
        <f t="shared" ref="AF98" si="2512">AF97-(SUM(AF100:AF125))</f>
        <v>-0.55000000000000004</v>
      </c>
      <c r="AG98" s="139"/>
      <c r="AH98" s="139"/>
      <c r="AI98" s="131"/>
      <c r="AJ98" s="141"/>
      <c r="AK98" s="131"/>
      <c r="AL98" s="139">
        <f t="shared" ref="AL98" si="2513">AL97-(SUM(AL100:AL125))</f>
        <v>0</v>
      </c>
      <c r="AM98" s="142"/>
      <c r="AN98" s="139"/>
      <c r="AO98" s="143"/>
      <c r="AP98" s="139">
        <f t="shared" ref="AP98" si="2514">AP97-(SUM(AP100:AP125))</f>
        <v>0</v>
      </c>
      <c r="AQ98" s="139"/>
      <c r="AR98" s="139"/>
      <c r="AS98" s="131"/>
      <c r="AT98" s="141"/>
      <c r="AU98" s="131"/>
      <c r="AV98" s="139">
        <f t="shared" ref="AV98" si="2515">AV97-(SUM(AV100:AV125))</f>
        <v>0</v>
      </c>
      <c r="AW98" s="142"/>
      <c r="AX98" s="139"/>
      <c r="AY98" s="143"/>
      <c r="AZ98" s="139">
        <f t="shared" ref="AZ98" si="2516">AZ97-(SUM(AZ100:AZ125))</f>
        <v>-0.01</v>
      </c>
      <c r="BA98" s="139"/>
      <c r="BB98" s="139"/>
      <c r="BC98" s="131"/>
      <c r="BD98" s="141"/>
      <c r="BE98" s="131"/>
      <c r="BF98" s="139">
        <f t="shared" ref="BF98" si="2517">BF97-(SUM(BF100:BF125))</f>
        <v>0</v>
      </c>
      <c r="BG98" s="142"/>
      <c r="BH98" s="139"/>
      <c r="BI98" s="143"/>
      <c r="BJ98" s="139">
        <f t="shared" ref="BJ98" si="2518">BJ97-(SUM(BJ100:BJ125))</f>
        <v>0</v>
      </c>
      <c r="BK98" s="139"/>
      <c r="BL98" s="139"/>
      <c r="BM98" s="131"/>
      <c r="BN98" s="141"/>
      <c r="BO98" s="131"/>
      <c r="BP98" s="139">
        <f t="shared" ref="BP98" si="2519">BP97-(SUM(BP100:BP125))</f>
        <v>-0.01</v>
      </c>
      <c r="BQ98" s="142"/>
      <c r="BR98" s="139"/>
      <c r="BS98" s="143"/>
      <c r="BT98" s="139">
        <f t="shared" ref="BT98" si="2520">BT97-(SUM(BT100:BT125))</f>
        <v>-0.54</v>
      </c>
      <c r="BU98" s="139"/>
      <c r="BV98" s="139"/>
      <c r="BW98" s="131"/>
      <c r="BX98" s="141"/>
      <c r="BY98" s="131"/>
      <c r="BZ98" s="139">
        <f t="shared" ref="BZ98" si="2521">BZ97-(SUM(BZ100:BZ125))</f>
        <v>0</v>
      </c>
      <c r="CA98" s="142"/>
      <c r="CB98" s="139"/>
      <c r="CC98" s="143"/>
      <c r="CD98" s="139">
        <f t="shared" ref="CD98" si="2522">CD97-(SUM(CD100:CD125))</f>
        <v>0.01</v>
      </c>
      <c r="CE98" s="139"/>
      <c r="CF98" s="139"/>
      <c r="CG98" s="131"/>
      <c r="CH98" s="141"/>
      <c r="CI98" s="131"/>
      <c r="CJ98" s="139">
        <f t="shared" ref="CJ98" si="2523">CJ97-(SUM(CJ100:CJ125))</f>
        <v>0</v>
      </c>
      <c r="CK98" s="142"/>
      <c r="CL98" s="139"/>
      <c r="CM98" s="143"/>
      <c r="CN98" s="139">
        <f t="shared" ref="CN98" si="2524">CN97-(SUM(CN100:CN125))</f>
        <v>-0.01</v>
      </c>
      <c r="CO98" s="139"/>
      <c r="CP98" s="139"/>
      <c r="CQ98" s="131"/>
      <c r="CR98" s="141"/>
      <c r="CS98" s="131"/>
      <c r="CT98" s="139">
        <f t="shared" ref="CT98" si="2525">CT97-(SUM(CT100:CT125))</f>
        <v>0</v>
      </c>
      <c r="CU98" s="142"/>
      <c r="CV98" s="139"/>
      <c r="CW98" s="143"/>
      <c r="CX98" s="139">
        <f t="shared" ref="CX98" si="2526">CX97-(SUM(CX100:CX125))</f>
        <v>0</v>
      </c>
      <c r="CY98" s="139"/>
      <c r="CZ98" s="139"/>
      <c r="DA98" s="131"/>
      <c r="DB98" s="141"/>
      <c r="DC98" s="131"/>
      <c r="DD98" s="139">
        <f t="shared" ref="DD98" si="2527">DD97-(SUM(DD100:DD125))</f>
        <v>0</v>
      </c>
      <c r="DE98" s="142"/>
      <c r="DF98" s="139"/>
      <c r="DG98" s="143"/>
      <c r="DH98" s="139">
        <f t="shared" ref="DH98" si="2528">DH97-(SUM(DH100:DH125))</f>
        <v>0</v>
      </c>
      <c r="DI98" s="139"/>
      <c r="DJ98" s="139"/>
      <c r="DK98" s="131"/>
      <c r="DL98" s="141"/>
      <c r="DM98" s="131"/>
      <c r="DN98" s="139">
        <f t="shared" ref="DN98" si="2529">DN97-(SUM(DN100:DN125))</f>
        <v>0</v>
      </c>
      <c r="DO98" s="142"/>
      <c r="DP98" s="139"/>
      <c r="DQ98" s="143"/>
      <c r="DR98" s="139">
        <f t="shared" ref="DR98" si="2530">DR97-(SUM(DR100:DR125))</f>
        <v>0</v>
      </c>
      <c r="DS98" s="139"/>
      <c r="DT98" s="139"/>
      <c r="DU98" s="131"/>
      <c r="DV98" s="141"/>
      <c r="DW98" s="131"/>
      <c r="DX98" s="139">
        <f t="shared" ref="DX98" si="2531">DX97-(SUM(DX100:DX125))</f>
        <v>0.01</v>
      </c>
      <c r="DY98" s="142"/>
      <c r="DZ98" s="139"/>
      <c r="EA98" s="143"/>
      <c r="EB98" s="139">
        <f t="shared" ref="EB98" si="2532">EB97-(SUM(EB100:EB125))</f>
        <v>0.35</v>
      </c>
      <c r="EC98" s="139"/>
      <c r="ED98" s="139"/>
      <c r="EE98" s="131"/>
      <c r="EF98" s="141"/>
      <c r="EG98" s="131"/>
      <c r="EH98" s="139">
        <f t="shared" ref="EH98" si="2533">EH97-(SUM(EH100:EH125))</f>
        <v>0.03</v>
      </c>
      <c r="EI98" s="142"/>
      <c r="EJ98" s="139"/>
      <c r="EK98" s="143"/>
      <c r="EL98" s="139">
        <f t="shared" ref="EL98" si="2534">EL97-(SUM(EL100:EL125))</f>
        <v>1.34</v>
      </c>
      <c r="EM98" s="139"/>
      <c r="EN98" s="139"/>
      <c r="EO98" s="131"/>
      <c r="EP98" s="141"/>
      <c r="EQ98" s="131"/>
      <c r="ER98" s="139">
        <f t="shared" ref="ER98" si="2535">ER97-(SUM(ER100:ER125))</f>
        <v>0.04</v>
      </c>
      <c r="ES98" s="142"/>
      <c r="ET98" s="139"/>
      <c r="EU98" s="143"/>
      <c r="EV98" s="139">
        <f t="shared" ref="EV98" si="2536">EV97-(SUM(EV100:EV125))</f>
        <v>2.08</v>
      </c>
      <c r="EW98" s="139"/>
      <c r="EX98" s="139"/>
      <c r="EY98" s="131"/>
      <c r="EZ98" s="141"/>
      <c r="FA98" s="131"/>
      <c r="FB98" s="139">
        <f t="shared" ref="FB98" si="2537">FB97-(SUM(FB100:FB125))</f>
        <v>-0.04</v>
      </c>
      <c r="FC98" s="142"/>
      <c r="FD98" s="139"/>
      <c r="FE98" s="143"/>
      <c r="FF98" s="139">
        <f t="shared" ref="FF98" si="2538">FF97-(SUM(FF100:FF125))</f>
        <v>-2.21</v>
      </c>
      <c r="FG98" s="139"/>
      <c r="FH98" s="139"/>
      <c r="FI98" s="131"/>
      <c r="FJ98" s="141"/>
      <c r="FK98" s="131"/>
      <c r="FL98" s="139">
        <f t="shared" ref="FL98" si="2539">FL97-(SUM(FL100:FL125))</f>
        <v>-0.01</v>
      </c>
      <c r="FM98" s="142"/>
      <c r="FN98" s="139"/>
      <c r="FO98" s="143"/>
      <c r="FP98" s="139">
        <f t="shared" ref="FP98" si="2540">FP97-(SUM(FP100:FP125))</f>
        <v>-0.39</v>
      </c>
      <c r="FQ98" s="139"/>
      <c r="FR98" s="139"/>
      <c r="FS98" s="131"/>
      <c r="FT98" s="141"/>
      <c r="FU98" s="131"/>
      <c r="FV98" s="139">
        <f t="shared" ref="FV98" si="2541">FV97-(SUM(FV100:FV125))</f>
        <v>-0.01</v>
      </c>
      <c r="FW98" s="142"/>
      <c r="FX98" s="139"/>
      <c r="FY98" s="143"/>
      <c r="FZ98" s="139">
        <f t="shared" ref="FZ98" si="2542">FZ97-(SUM(FZ100:FZ125))</f>
        <v>-0.55000000000000004</v>
      </c>
      <c r="GA98" s="139"/>
      <c r="GB98" s="139"/>
      <c r="GC98" s="131"/>
      <c r="GD98" s="141"/>
      <c r="GE98" s="131"/>
      <c r="GF98" s="139">
        <f t="shared" ref="GF98" si="2543">GF97-(SUM(GF100:GF125))</f>
        <v>0</v>
      </c>
      <c r="GG98" s="142"/>
      <c r="GH98" s="139"/>
      <c r="GI98" s="143"/>
      <c r="GJ98" s="139">
        <f t="shared" ref="GJ98" si="2544">GJ97-(SUM(GJ100:GJ125))</f>
        <v>-0.01</v>
      </c>
      <c r="GK98" s="139"/>
      <c r="GL98" s="139"/>
      <c r="GM98" s="131"/>
      <c r="GN98" s="141"/>
      <c r="GO98" s="131"/>
      <c r="GP98" s="139">
        <f t="shared" ref="GP98" si="2545">GP97-(SUM(GP100:GP125))</f>
        <v>0.02</v>
      </c>
      <c r="GQ98" s="142"/>
      <c r="GR98" s="139"/>
      <c r="GS98" s="143"/>
      <c r="GT98" s="139">
        <f t="shared" ref="GT98" si="2546">GT97-(SUM(GT100:GT125))</f>
        <v>1.03</v>
      </c>
      <c r="GU98" s="139"/>
      <c r="GV98" s="139"/>
      <c r="GW98" s="131"/>
      <c r="GX98" s="141"/>
      <c r="GY98" s="131"/>
      <c r="GZ98" s="139">
        <f t="shared" ref="GZ98" si="2547">GZ97-(SUM(GZ100:GZ125))</f>
        <v>-0.01</v>
      </c>
      <c r="HA98" s="142"/>
      <c r="HB98" s="139"/>
      <c r="HC98" s="143"/>
      <c r="HD98" s="139">
        <f t="shared" ref="HD98" si="2548">HD97-(SUM(HD100:HD125))</f>
        <v>-0.43</v>
      </c>
      <c r="HE98" s="139"/>
      <c r="HF98" s="139"/>
      <c r="HG98" s="131"/>
      <c r="HH98" s="141"/>
      <c r="HI98" s="131"/>
      <c r="HJ98" s="139">
        <f t="shared" ref="HJ98" si="2549">HJ97-(SUM(HJ100:HJ125))</f>
        <v>0</v>
      </c>
      <c r="HK98" s="142"/>
      <c r="HL98" s="139"/>
      <c r="HM98" s="143"/>
      <c r="HN98" s="139">
        <f t="shared" ref="HN98" si="2550">HN97-(SUM(HN100:HN125))</f>
        <v>0</v>
      </c>
      <c r="HO98" s="139"/>
      <c r="HP98" s="139"/>
      <c r="HQ98" s="131"/>
      <c r="HR98" s="141"/>
      <c r="HS98" s="131"/>
      <c r="HT98" s="139">
        <f t="shared" ref="HT98" si="2551">HT97-(SUM(HT100:HT125))</f>
        <v>-0.03</v>
      </c>
      <c r="HU98" s="142"/>
      <c r="HV98" s="139"/>
      <c r="HW98" s="143"/>
      <c r="HX98" s="139">
        <f t="shared" ref="HX98" si="2552">HX97-(SUM(HX100:HX125))</f>
        <v>-1.59</v>
      </c>
      <c r="HY98" s="139"/>
      <c r="HZ98" s="139"/>
      <c r="IA98" s="131"/>
      <c r="IB98" s="141"/>
      <c r="IC98" s="131"/>
      <c r="ID98" s="139">
        <f t="shared" ref="ID98" si="2553">ID97-(SUM(ID100:ID125))</f>
        <v>0</v>
      </c>
      <c r="IE98" s="142"/>
      <c r="IF98" s="139"/>
      <c r="IG98" s="143"/>
      <c r="IH98" s="139">
        <f t="shared" ref="IH98" si="2554">IH97-(SUM(IH100:IH125))</f>
        <v>0</v>
      </c>
      <c r="II98" s="139"/>
      <c r="IJ98" s="139"/>
      <c r="IK98" s="131"/>
      <c r="IL98" s="141"/>
      <c r="IM98" s="131"/>
      <c r="IN98" s="139">
        <f t="shared" ref="IN98" si="2555">IN97-(SUM(IN100:IN125))</f>
        <v>0</v>
      </c>
      <c r="IO98" s="142"/>
      <c r="IP98" s="139"/>
      <c r="IQ98" s="143"/>
      <c r="IR98" s="139">
        <f t="shared" ref="IR98" si="2556">IR97-(SUM(IR100:IR125))</f>
        <v>0</v>
      </c>
      <c r="IS98" s="139"/>
      <c r="IT98" s="139"/>
      <c r="IU98" s="131"/>
      <c r="IV98" s="141"/>
      <c r="IW98" s="131"/>
      <c r="IX98" s="139">
        <f t="shared" ref="IX98" si="2557">IX97-(SUM(IX100:IX125))</f>
        <v>0.02</v>
      </c>
      <c r="IY98" s="142"/>
      <c r="IZ98" s="139"/>
      <c r="JA98" s="143"/>
      <c r="JB98" s="139">
        <f t="shared" ref="JB98" si="2558">JB97-(SUM(JB100:JB125))</f>
        <v>1.0900000000000001</v>
      </c>
      <c r="JC98" s="139"/>
      <c r="JD98" s="139"/>
      <c r="JE98" s="131"/>
      <c r="JF98" s="141"/>
      <c r="JG98" s="131"/>
      <c r="JH98" s="139">
        <f t="shared" ref="JH98" si="2559">JH97-(SUM(JH100:JH125))</f>
        <v>-0.01</v>
      </c>
      <c r="JI98" s="142"/>
      <c r="JJ98" s="139"/>
      <c r="JK98" s="143"/>
      <c r="JL98" s="139">
        <f t="shared" ref="JL98" si="2560">JL97-(SUM(JL100:JL125))</f>
        <v>-0.42</v>
      </c>
      <c r="JM98" s="139"/>
      <c r="JN98" s="139"/>
      <c r="JO98" s="131"/>
      <c r="JP98" s="141"/>
      <c r="JQ98" s="131"/>
      <c r="JR98" s="139">
        <f t="shared" ref="JR98" si="2561">JR97-(SUM(JR100:JR125))</f>
        <v>0.03</v>
      </c>
      <c r="JS98" s="142"/>
      <c r="JT98" s="139"/>
      <c r="JU98" s="143"/>
      <c r="JV98" s="139">
        <f t="shared" ref="JV98" si="2562">JV97-(SUM(JV100:JV125))</f>
        <v>1.72</v>
      </c>
      <c r="JW98" s="139"/>
      <c r="JX98" s="139"/>
      <c r="JY98" s="131"/>
      <c r="JZ98" s="141"/>
      <c r="KA98" s="131"/>
      <c r="KB98" s="139">
        <f t="shared" ref="KB98" si="2563">KB97-(SUM(KB100:KB125))</f>
        <v>0</v>
      </c>
      <c r="KC98" s="142"/>
      <c r="KD98" s="139"/>
      <c r="KE98" s="143"/>
      <c r="KF98" s="139">
        <f t="shared" ref="KF98" si="2564">KF97-(SUM(KF100:KF125))</f>
        <v>0</v>
      </c>
      <c r="KG98" s="139"/>
      <c r="KH98" s="139"/>
      <c r="KI98" s="131"/>
      <c r="KJ98" s="141"/>
      <c r="KK98" s="131"/>
      <c r="KL98" s="139">
        <f t="shared" ref="KL98" si="2565">KL97-(SUM(KL100:KL125))</f>
        <v>-0.03</v>
      </c>
      <c r="KM98" s="142"/>
      <c r="KN98" s="139"/>
      <c r="KO98" s="143"/>
      <c r="KP98" s="139">
        <f t="shared" ref="KP98" si="2566">KP97-(SUM(KP100:KP125))</f>
        <v>-1.55</v>
      </c>
      <c r="KQ98" s="139"/>
      <c r="KR98" s="139"/>
      <c r="KS98" s="131"/>
      <c r="KT98" s="141"/>
      <c r="KU98" s="131"/>
      <c r="KV98" s="139">
        <f t="shared" ref="KV98" si="2567">KV97-(SUM(KV100:KV125))</f>
        <v>0</v>
      </c>
      <c r="KW98" s="142"/>
      <c r="KX98" s="139"/>
      <c r="KY98" s="143"/>
      <c r="KZ98" s="139">
        <f t="shared" ref="KZ98" si="2568">KZ97-(SUM(KZ100:KZ125))</f>
        <v>-0.01</v>
      </c>
      <c r="LA98" s="139"/>
      <c r="LB98" s="139"/>
      <c r="LC98" s="131"/>
      <c r="LD98" s="141"/>
      <c r="LE98" s="131"/>
      <c r="LF98" s="139">
        <f>LF97-(SUM(LF100:LF125))</f>
        <v>-0.59</v>
      </c>
      <c r="LG98" s="142"/>
      <c r="LH98" s="139"/>
      <c r="LI98" s="143"/>
      <c r="LJ98" s="139">
        <f>LJ97-(SUM(LJ100:LJ125))</f>
        <v>-29.7</v>
      </c>
      <c r="LK98" s="139"/>
      <c r="LL98" s="139"/>
    </row>
    <row r="99" spans="1:324" s="132" customFormat="1" x14ac:dyDescent="0.25">
      <c r="A99" s="244"/>
      <c r="B99" s="244" t="s">
        <v>853</v>
      </c>
      <c r="C99" s="131"/>
      <c r="D99" s="131"/>
      <c r="E99" s="131"/>
      <c r="F99" s="141"/>
      <c r="G99" s="131"/>
      <c r="H99" s="139"/>
      <c r="I99" s="142"/>
      <c r="J99" s="139"/>
      <c r="K99" s="143"/>
      <c r="L99" s="139"/>
      <c r="M99" s="139"/>
      <c r="N99" s="139"/>
      <c r="O99" s="131"/>
      <c r="P99" s="141"/>
      <c r="Q99" s="131"/>
      <c r="R99" s="139"/>
      <c r="S99" s="142"/>
      <c r="T99" s="139"/>
      <c r="U99" s="143"/>
      <c r="V99" s="139"/>
      <c r="W99" s="139"/>
      <c r="X99" s="139"/>
      <c r="Y99" s="131"/>
      <c r="Z99" s="141"/>
      <c r="AA99" s="131"/>
      <c r="AB99" s="139"/>
      <c r="AC99" s="142"/>
      <c r="AD99" s="139"/>
      <c r="AE99" s="143"/>
      <c r="AF99" s="139"/>
      <c r="AG99" s="139"/>
      <c r="AH99" s="139"/>
      <c r="AI99" s="131"/>
      <c r="AJ99" s="141"/>
      <c r="AK99" s="131"/>
      <c r="AL99" s="139"/>
      <c r="AM99" s="142"/>
      <c r="AN99" s="139"/>
      <c r="AO99" s="143"/>
      <c r="AP99" s="139"/>
      <c r="AQ99" s="139"/>
      <c r="AR99" s="139"/>
      <c r="AS99" s="131"/>
      <c r="AT99" s="141"/>
      <c r="AU99" s="131"/>
      <c r="AV99" s="139"/>
      <c r="AW99" s="142"/>
      <c r="AX99" s="139"/>
      <c r="AY99" s="143"/>
      <c r="AZ99" s="139"/>
      <c r="BA99" s="139"/>
      <c r="BB99" s="139"/>
      <c r="BC99" s="131"/>
      <c r="BD99" s="141"/>
      <c r="BE99" s="131"/>
      <c r="BF99" s="139"/>
      <c r="BG99" s="142"/>
      <c r="BH99" s="139"/>
      <c r="BI99" s="143"/>
      <c r="BJ99" s="139"/>
      <c r="BK99" s="139"/>
      <c r="BL99" s="139"/>
      <c r="BM99" s="131"/>
      <c r="BN99" s="141"/>
      <c r="BO99" s="131"/>
      <c r="BP99" s="139"/>
      <c r="BQ99" s="142"/>
      <c r="BR99" s="139"/>
      <c r="BS99" s="143"/>
      <c r="BT99" s="139"/>
      <c r="BU99" s="139"/>
      <c r="BV99" s="139"/>
      <c r="BW99" s="131"/>
      <c r="BX99" s="141"/>
      <c r="BY99" s="131"/>
      <c r="BZ99" s="139"/>
      <c r="CA99" s="142"/>
      <c r="CB99" s="139"/>
      <c r="CC99" s="143"/>
      <c r="CD99" s="139"/>
      <c r="CE99" s="139"/>
      <c r="CF99" s="139"/>
      <c r="CG99" s="131"/>
      <c r="CH99" s="141"/>
      <c r="CI99" s="131"/>
      <c r="CJ99" s="139"/>
      <c r="CK99" s="142"/>
      <c r="CL99" s="139"/>
      <c r="CM99" s="143"/>
      <c r="CN99" s="139"/>
      <c r="CO99" s="139"/>
      <c r="CP99" s="139"/>
      <c r="CQ99" s="131"/>
      <c r="CR99" s="141"/>
      <c r="CS99" s="131"/>
      <c r="CT99" s="139"/>
      <c r="CU99" s="142"/>
      <c r="CV99" s="139"/>
      <c r="CW99" s="143"/>
      <c r="CX99" s="139"/>
      <c r="CY99" s="139"/>
      <c r="CZ99" s="139"/>
      <c r="DA99" s="131"/>
      <c r="DB99" s="141"/>
      <c r="DC99" s="131"/>
      <c r="DD99" s="139"/>
      <c r="DE99" s="142"/>
      <c r="DF99" s="139"/>
      <c r="DG99" s="143"/>
      <c r="DH99" s="139"/>
      <c r="DI99" s="139"/>
      <c r="DJ99" s="139"/>
      <c r="DK99" s="131"/>
      <c r="DL99" s="141"/>
      <c r="DM99" s="131"/>
      <c r="DN99" s="139"/>
      <c r="DO99" s="142"/>
      <c r="DP99" s="139"/>
      <c r="DQ99" s="143"/>
      <c r="DR99" s="139"/>
      <c r="DS99" s="139"/>
      <c r="DT99" s="139"/>
      <c r="DU99" s="131"/>
      <c r="DV99" s="141"/>
      <c r="DW99" s="131"/>
      <c r="DX99" s="139"/>
      <c r="DY99" s="142"/>
      <c r="DZ99" s="139"/>
      <c r="EA99" s="143"/>
      <c r="EB99" s="139"/>
      <c r="EC99" s="139"/>
      <c r="ED99" s="139"/>
      <c r="EE99" s="131"/>
      <c r="EF99" s="141"/>
      <c r="EG99" s="131"/>
      <c r="EH99" s="139"/>
      <c r="EI99" s="142"/>
      <c r="EJ99" s="139"/>
      <c r="EK99" s="143"/>
      <c r="EL99" s="139"/>
      <c r="EM99" s="139"/>
      <c r="EN99" s="139"/>
      <c r="EO99" s="131"/>
      <c r="EP99" s="141"/>
      <c r="EQ99" s="131"/>
      <c r="ER99" s="139"/>
      <c r="ES99" s="142"/>
      <c r="ET99" s="139"/>
      <c r="EU99" s="143"/>
      <c r="EV99" s="139"/>
      <c r="EW99" s="139"/>
      <c r="EX99" s="139"/>
      <c r="EY99" s="131"/>
      <c r="EZ99" s="141"/>
      <c r="FA99" s="131"/>
      <c r="FB99" s="139"/>
      <c r="FC99" s="142"/>
      <c r="FD99" s="139"/>
      <c r="FE99" s="143"/>
      <c r="FF99" s="139"/>
      <c r="FG99" s="139"/>
      <c r="FH99" s="139"/>
      <c r="FI99" s="131"/>
      <c r="FJ99" s="141"/>
      <c r="FK99" s="131"/>
      <c r="FL99" s="139"/>
      <c r="FM99" s="142"/>
      <c r="FN99" s="139"/>
      <c r="FO99" s="143"/>
      <c r="FP99" s="139"/>
      <c r="FQ99" s="139"/>
      <c r="FR99" s="139"/>
      <c r="FS99" s="131"/>
      <c r="FT99" s="141"/>
      <c r="FU99" s="131"/>
      <c r="FV99" s="139"/>
      <c r="FW99" s="142"/>
      <c r="FX99" s="139"/>
      <c r="FY99" s="143"/>
      <c r="FZ99" s="139"/>
      <c r="GA99" s="139"/>
      <c r="GB99" s="139"/>
      <c r="GC99" s="131"/>
      <c r="GD99" s="141"/>
      <c r="GE99" s="131"/>
      <c r="GF99" s="139"/>
      <c r="GG99" s="142"/>
      <c r="GH99" s="139"/>
      <c r="GI99" s="143"/>
      <c r="GJ99" s="139"/>
      <c r="GK99" s="139"/>
      <c r="GL99" s="139"/>
      <c r="GM99" s="131"/>
      <c r="GN99" s="141"/>
      <c r="GO99" s="131"/>
      <c r="GP99" s="139"/>
      <c r="GQ99" s="142"/>
      <c r="GR99" s="139"/>
      <c r="GS99" s="143"/>
      <c r="GT99" s="139"/>
      <c r="GU99" s="139"/>
      <c r="GV99" s="139"/>
      <c r="GW99" s="131"/>
      <c r="GX99" s="141"/>
      <c r="GY99" s="131"/>
      <c r="GZ99" s="139"/>
      <c r="HA99" s="142"/>
      <c r="HB99" s="139"/>
      <c r="HC99" s="143"/>
      <c r="HD99" s="139"/>
      <c r="HE99" s="139"/>
      <c r="HF99" s="139"/>
      <c r="HG99" s="131"/>
      <c r="HH99" s="141"/>
      <c r="HI99" s="131"/>
      <c r="HJ99" s="139"/>
      <c r="HK99" s="142"/>
      <c r="HL99" s="139"/>
      <c r="HM99" s="143"/>
      <c r="HN99" s="139"/>
      <c r="HO99" s="139"/>
      <c r="HP99" s="139"/>
      <c r="HQ99" s="131"/>
      <c r="HR99" s="141"/>
      <c r="HS99" s="131"/>
      <c r="HT99" s="139"/>
      <c r="HU99" s="142"/>
      <c r="HV99" s="139"/>
      <c r="HW99" s="143"/>
      <c r="HX99" s="139"/>
      <c r="HY99" s="139"/>
      <c r="HZ99" s="139"/>
      <c r="IA99" s="131"/>
      <c r="IB99" s="141"/>
      <c r="IC99" s="131"/>
      <c r="ID99" s="139"/>
      <c r="IE99" s="142"/>
      <c r="IF99" s="139"/>
      <c r="IG99" s="143"/>
      <c r="IH99" s="139"/>
      <c r="II99" s="139"/>
      <c r="IJ99" s="139"/>
      <c r="IK99" s="131"/>
      <c r="IL99" s="141"/>
      <c r="IM99" s="131"/>
      <c r="IN99" s="139"/>
      <c r="IO99" s="142"/>
      <c r="IP99" s="139"/>
      <c r="IQ99" s="143"/>
      <c r="IR99" s="139"/>
      <c r="IS99" s="139"/>
      <c r="IT99" s="139"/>
      <c r="IU99" s="131"/>
      <c r="IV99" s="141"/>
      <c r="IW99" s="131"/>
      <c r="IX99" s="139"/>
      <c r="IY99" s="142"/>
      <c r="IZ99" s="139"/>
      <c r="JA99" s="143"/>
      <c r="JB99" s="139"/>
      <c r="JC99" s="139"/>
      <c r="JD99" s="139"/>
      <c r="JE99" s="131"/>
      <c r="JF99" s="141"/>
      <c r="JG99" s="131"/>
      <c r="JH99" s="139"/>
      <c r="JI99" s="142"/>
      <c r="JJ99" s="139"/>
      <c r="JK99" s="143"/>
      <c r="JL99" s="139"/>
      <c r="JM99" s="139"/>
      <c r="JN99" s="139"/>
      <c r="JO99" s="131"/>
      <c r="JP99" s="141"/>
      <c r="JQ99" s="131"/>
      <c r="JR99" s="139"/>
      <c r="JS99" s="142"/>
      <c r="JT99" s="139"/>
      <c r="JU99" s="143"/>
      <c r="JV99" s="139"/>
      <c r="JW99" s="139"/>
      <c r="JX99" s="139"/>
      <c r="JY99" s="131"/>
      <c r="JZ99" s="141"/>
      <c r="KA99" s="131"/>
      <c r="KB99" s="139"/>
      <c r="KC99" s="142"/>
      <c r="KD99" s="139"/>
      <c r="KE99" s="143"/>
      <c r="KF99" s="139"/>
      <c r="KG99" s="139"/>
      <c r="KH99" s="139"/>
      <c r="KI99" s="131"/>
      <c r="KJ99" s="141"/>
      <c r="KK99" s="131"/>
      <c r="KL99" s="139"/>
      <c r="KM99" s="142"/>
      <c r="KN99" s="139"/>
      <c r="KO99" s="143"/>
      <c r="KP99" s="139"/>
      <c r="KQ99" s="139"/>
      <c r="KR99" s="139"/>
      <c r="KS99" s="131"/>
      <c r="KT99" s="141"/>
      <c r="KU99" s="131"/>
      <c r="KV99" s="139"/>
      <c r="KW99" s="142"/>
      <c r="KX99" s="139"/>
      <c r="KY99" s="143"/>
      <c r="KZ99" s="139"/>
      <c r="LA99" s="139"/>
      <c r="LB99" s="139"/>
      <c r="LC99" s="131"/>
      <c r="LD99" s="141"/>
      <c r="LE99" s="131"/>
      <c r="LF99" s="139"/>
      <c r="LG99" s="142"/>
      <c r="LH99" s="139"/>
      <c r="LI99" s="143"/>
      <c r="LJ99" s="139"/>
      <c r="LK99" s="139"/>
      <c r="LL99" s="139"/>
    </row>
    <row r="100" spans="1:324" ht="26.25" customHeight="1" x14ac:dyDescent="0.25">
      <c r="A100" s="245"/>
      <c r="B100" s="12" t="s">
        <v>609</v>
      </c>
      <c r="C100" s="12" t="s">
        <v>727</v>
      </c>
      <c r="D100" s="12" t="s">
        <v>427</v>
      </c>
      <c r="E100" s="4" t="s">
        <v>32</v>
      </c>
      <c r="F100" s="198">
        <f t="shared" ref="F100:F107" si="2569">F13</f>
        <v>226</v>
      </c>
      <c r="G100" s="225">
        <f>F100/F$97</f>
        <v>0.37541999999999998</v>
      </c>
      <c r="H100" s="226">
        <f>H$97*G100</f>
        <v>349.14</v>
      </c>
      <c r="I100" s="137">
        <f t="shared" ref="I100:I125" si="2570">IF(F100&gt;0,H100/F100,0)</f>
        <v>1.54486726</v>
      </c>
      <c r="J100" s="227">
        <f>J$97</f>
        <v>40.909999999999997</v>
      </c>
      <c r="K100" s="138">
        <f t="shared" ref="K100:K125" si="2571">I100*J100</f>
        <v>63.200519999999997</v>
      </c>
      <c r="L100" s="110">
        <f t="shared" ref="L100:L125" si="2572">K100*F100</f>
        <v>14283.32</v>
      </c>
      <c r="M100" s="110"/>
      <c r="N100" s="139"/>
      <c r="O100" s="140">
        <f t="shared" ref="O100:O124" si="2573">K100/$LI100</f>
        <v>0.58579000000000003</v>
      </c>
      <c r="P100" s="198">
        <f t="shared" ref="P100:BX107" si="2574">P13</f>
        <v>488</v>
      </c>
      <c r="Q100" s="225">
        <f t="shared" ref="Q100:Q107" si="2575">P100/P$97</f>
        <v>0.44525999999999999</v>
      </c>
      <c r="R100" s="226">
        <f t="shared" ref="R100:R107" si="2576">R$97*Q100</f>
        <v>716.87</v>
      </c>
      <c r="S100" s="137">
        <f t="shared" ref="S100:S107" si="2577">IF(P100&gt;0,R100/P100,0)</f>
        <v>1.4689958999999999</v>
      </c>
      <c r="T100" s="227">
        <f t="shared" ref="T100:CB107" si="2578">T$97</f>
        <v>36.11</v>
      </c>
      <c r="U100" s="138">
        <f t="shared" ref="U100:U107" si="2579">S100*T100</f>
        <v>53.045439999999999</v>
      </c>
      <c r="V100" s="110">
        <f t="shared" ref="V100:V107" si="2580">U100*P100</f>
        <v>25886.17</v>
      </c>
      <c r="W100" s="110"/>
      <c r="X100" s="139"/>
      <c r="Y100" s="140">
        <f t="shared" ref="Y100:Y107" si="2581">U100/$LI100</f>
        <v>0.49165999999999999</v>
      </c>
      <c r="Z100" s="198">
        <f t="shared" si="2574"/>
        <v>235</v>
      </c>
      <c r="AA100" s="225">
        <f t="shared" ref="AA100:AA107" si="2582">Z100/Z$97</f>
        <v>0.27199000000000001</v>
      </c>
      <c r="AB100" s="226">
        <f t="shared" ref="AB100:AB107" si="2583">AB$97*AA100</f>
        <v>350.87</v>
      </c>
      <c r="AC100" s="137">
        <f t="shared" ref="AC100:AC107" si="2584">IF(Z100&gt;0,AB100/Z100,0)</f>
        <v>1.4930638300000001</v>
      </c>
      <c r="AD100" s="227">
        <f t="shared" ref="AD100" si="2585">AD$97</f>
        <v>54.87</v>
      </c>
      <c r="AE100" s="138">
        <f t="shared" ref="AE100:AE107" si="2586">AC100*AD100</f>
        <v>81.924409999999995</v>
      </c>
      <c r="AF100" s="110">
        <f t="shared" ref="AF100:AF107" si="2587">AE100*Z100</f>
        <v>19252.240000000002</v>
      </c>
      <c r="AG100" s="110"/>
      <c r="AH100" s="139"/>
      <c r="AI100" s="140">
        <f t="shared" ref="AI100:AI107" si="2588">AE100/$LI100</f>
        <v>0.75934000000000001</v>
      </c>
      <c r="AJ100" s="198">
        <f t="shared" si="2574"/>
        <v>281</v>
      </c>
      <c r="AK100" s="225">
        <f t="shared" ref="AK100:AK107" si="2589">AJ100/AJ$97</f>
        <v>0.42255999999999999</v>
      </c>
      <c r="AL100" s="226">
        <f t="shared" ref="AL100:AL107" si="2590">AL$97*AK100</f>
        <v>482.14</v>
      </c>
      <c r="AM100" s="137">
        <f t="shared" ref="AM100:AM107" si="2591">IF(AJ100&gt;0,AL100/AJ100,0)</f>
        <v>1.7158007099999999</v>
      </c>
      <c r="AN100" s="227">
        <f t="shared" ref="AN100" si="2592">AN$97</f>
        <v>54.42</v>
      </c>
      <c r="AO100" s="138">
        <f t="shared" ref="AO100:AO107" si="2593">AM100*AN100</f>
        <v>93.373869999999997</v>
      </c>
      <c r="AP100" s="110">
        <f t="shared" ref="AP100:AP107" si="2594">AO100*AJ100</f>
        <v>26238.06</v>
      </c>
      <c r="AQ100" s="110"/>
      <c r="AR100" s="139"/>
      <c r="AS100" s="140">
        <f t="shared" ref="AS100:AS107" si="2595">AO100/$LI100</f>
        <v>0.86546000000000001</v>
      </c>
      <c r="AT100" s="198">
        <f t="shared" si="2574"/>
        <v>439</v>
      </c>
      <c r="AU100" s="225">
        <f t="shared" ref="AU100:AU107" si="2596">AT100/AT$97</f>
        <v>0.46161999999999997</v>
      </c>
      <c r="AV100" s="226">
        <f t="shared" ref="AV100:AV107" si="2597">AV$97*AU100</f>
        <v>420.07</v>
      </c>
      <c r="AW100" s="137">
        <f t="shared" ref="AW100:AW107" si="2598">IF(AT100&gt;0,AV100/AT100,0)</f>
        <v>0.95687926999999995</v>
      </c>
      <c r="AX100" s="227">
        <f t="shared" ref="AX100" si="2599">AX$97</f>
        <v>49.55</v>
      </c>
      <c r="AY100" s="138">
        <f t="shared" ref="AY100:AY107" si="2600">AW100*AX100</f>
        <v>47.41337</v>
      </c>
      <c r="AZ100" s="110">
        <f t="shared" ref="AZ100:AZ107" si="2601">AY100*AT100</f>
        <v>20814.47</v>
      </c>
      <c r="BA100" s="110"/>
      <c r="BB100" s="139"/>
      <c r="BC100" s="140">
        <f t="shared" ref="BC100:BC107" si="2602">AY100/$LI100</f>
        <v>0.43946000000000002</v>
      </c>
      <c r="BD100" s="198">
        <f t="shared" si="2574"/>
        <v>347</v>
      </c>
      <c r="BE100" s="225">
        <f t="shared" ref="BE100:BE107" si="2603">BD100/BD$97</f>
        <v>0.46639999999999998</v>
      </c>
      <c r="BF100" s="226">
        <f t="shared" ref="BF100:BF107" si="2604">BF$97*BE100</f>
        <v>662.29</v>
      </c>
      <c r="BG100" s="137">
        <f t="shared" ref="BG100:BG107" si="2605">IF(BD100&gt;0,BF100/BD100,0)</f>
        <v>1.90861671</v>
      </c>
      <c r="BH100" s="227">
        <f t="shared" ref="BH100" si="2606">BH$97</f>
        <v>55.1</v>
      </c>
      <c r="BI100" s="138">
        <f t="shared" ref="BI100:BI107" si="2607">BG100*BH100</f>
        <v>105.16477999999999</v>
      </c>
      <c r="BJ100" s="110">
        <f t="shared" ref="BJ100:BJ107" si="2608">BI100*BD100</f>
        <v>36492.18</v>
      </c>
      <c r="BK100" s="110"/>
      <c r="BL100" s="139"/>
      <c r="BM100" s="140">
        <f t="shared" ref="BM100:BM107" si="2609">BI100/$LI100</f>
        <v>0.97475000000000001</v>
      </c>
      <c r="BN100" s="198">
        <f t="shared" si="2574"/>
        <v>254</v>
      </c>
      <c r="BO100" s="225">
        <f t="shared" ref="BO100:BO107" si="2610">BN100/BN$97</f>
        <v>0.41166999999999998</v>
      </c>
      <c r="BP100" s="226">
        <f t="shared" ref="BP100:BP107" si="2611">BP$97*BO100</f>
        <v>502.24</v>
      </c>
      <c r="BQ100" s="137">
        <f t="shared" ref="BQ100:BQ107" si="2612">IF(BN100&gt;0,BP100/BN100,0)</f>
        <v>1.9773228300000001</v>
      </c>
      <c r="BR100" s="227">
        <f t="shared" ref="BR100" si="2613">BR$97</f>
        <v>54.14</v>
      </c>
      <c r="BS100" s="138">
        <f t="shared" ref="BS100:BS107" si="2614">BQ100*BR100</f>
        <v>107.05226</v>
      </c>
      <c r="BT100" s="110">
        <f t="shared" ref="BT100:BT107" si="2615">BS100*BN100</f>
        <v>27191.27</v>
      </c>
      <c r="BU100" s="110"/>
      <c r="BV100" s="139"/>
      <c r="BW100" s="140">
        <f t="shared" ref="BW100:BW107" si="2616">BS100/$LI100</f>
        <v>0.99224000000000001</v>
      </c>
      <c r="BX100" s="198">
        <f t="shared" si="2574"/>
        <v>310</v>
      </c>
      <c r="BY100" s="225">
        <f t="shared" ref="BY100:BY107" si="2617">BX100/BX$97</f>
        <v>0.39340000000000003</v>
      </c>
      <c r="BZ100" s="226">
        <f t="shared" ref="BZ100:BZ107" si="2618">BZ$97*BY100</f>
        <v>578.29999999999995</v>
      </c>
      <c r="CA100" s="137">
        <f t="shared" ref="CA100:CA107" si="2619">IF(BX100&gt;0,BZ100/BX100,0)</f>
        <v>1.86548387</v>
      </c>
      <c r="CB100" s="227">
        <f t="shared" ref="CB100" si="2620">CB$97</f>
        <v>51.74</v>
      </c>
      <c r="CC100" s="138">
        <f t="shared" ref="CC100:CC107" si="2621">CA100*CB100</f>
        <v>96.520139999999998</v>
      </c>
      <c r="CD100" s="110">
        <f t="shared" ref="CD100:CD107" si="2622">CC100*BX100</f>
        <v>29921.24</v>
      </c>
      <c r="CE100" s="110"/>
      <c r="CF100" s="139"/>
      <c r="CG100" s="140">
        <f t="shared" ref="CG100:CG107" si="2623">CC100/$LI100</f>
        <v>0.89461999999999997</v>
      </c>
      <c r="CH100" s="198">
        <f t="shared" ref="CH100:EP107" si="2624">CH13</f>
        <v>382</v>
      </c>
      <c r="CI100" s="225">
        <f t="shared" ref="CI100:CI107" si="2625">CH100/CH$97</f>
        <v>0.41342000000000001</v>
      </c>
      <c r="CJ100" s="226">
        <f t="shared" ref="CJ100:CJ107" si="2626">CJ$97*CI100</f>
        <v>967.4</v>
      </c>
      <c r="CK100" s="137">
        <f t="shared" ref="CK100:CK107" si="2627">IF(CH100&gt;0,CJ100/CH100,0)</f>
        <v>2.5324607299999999</v>
      </c>
      <c r="CL100" s="227">
        <f t="shared" ref="CL100:ET107" si="2628">CL$97</f>
        <v>46.92</v>
      </c>
      <c r="CM100" s="138">
        <f t="shared" ref="CM100:CM107" si="2629">CK100*CL100</f>
        <v>118.82306</v>
      </c>
      <c r="CN100" s="110">
        <f t="shared" ref="CN100:CN107" si="2630">CM100*CH100</f>
        <v>45390.41</v>
      </c>
      <c r="CO100" s="110"/>
      <c r="CP100" s="139"/>
      <c r="CQ100" s="140">
        <f t="shared" ref="CQ100:CQ107" si="2631">CM100/$LI100</f>
        <v>1.10134</v>
      </c>
      <c r="CR100" s="198">
        <f t="shared" si="2624"/>
        <v>310</v>
      </c>
      <c r="CS100" s="225">
        <f t="shared" ref="CS100:CS107" si="2632">CR100/CR$97</f>
        <v>0.41666999999999998</v>
      </c>
      <c r="CT100" s="226">
        <f t="shared" ref="CT100:CT107" si="2633">CT$97*CS100</f>
        <v>500.42</v>
      </c>
      <c r="CU100" s="137">
        <f t="shared" ref="CU100:CU107" si="2634">IF(CR100&gt;0,CT100/CR100,0)</f>
        <v>1.6142580600000001</v>
      </c>
      <c r="CV100" s="227">
        <f t="shared" ref="CV100" si="2635">CV$97</f>
        <v>49.61</v>
      </c>
      <c r="CW100" s="138">
        <f t="shared" ref="CW100:CW107" si="2636">CU100*CV100</f>
        <v>80.083340000000007</v>
      </c>
      <c r="CX100" s="110">
        <f t="shared" ref="CX100:CX107" si="2637">CW100*CR100</f>
        <v>24825.84</v>
      </c>
      <c r="CY100" s="110"/>
      <c r="CZ100" s="139"/>
      <c r="DA100" s="140">
        <f t="shared" ref="DA100:DA107" si="2638">CW100/$LI100</f>
        <v>0.74226999999999999</v>
      </c>
      <c r="DB100" s="198">
        <f t="shared" si="2624"/>
        <v>357</v>
      </c>
      <c r="DC100" s="225">
        <f t="shared" ref="DC100:DC107" si="2639">DB100/DB$97</f>
        <v>0.43273</v>
      </c>
      <c r="DD100" s="226">
        <f t="shared" ref="DD100:DD107" si="2640">DD$97*DC100</f>
        <v>482.06</v>
      </c>
      <c r="DE100" s="137">
        <f t="shared" ref="DE100:DE107" si="2641">IF(DB100&gt;0,DD100/DB100,0)</f>
        <v>1.35030812</v>
      </c>
      <c r="DF100" s="227">
        <f t="shared" ref="DF100" si="2642">DF$97</f>
        <v>52.57</v>
      </c>
      <c r="DG100" s="138">
        <f t="shared" ref="DG100:DG107" si="2643">DE100*DF100</f>
        <v>70.985699999999994</v>
      </c>
      <c r="DH100" s="110">
        <f t="shared" ref="DH100:DH107" si="2644">DG100*DB100</f>
        <v>25341.89</v>
      </c>
      <c r="DI100" s="110"/>
      <c r="DJ100" s="139"/>
      <c r="DK100" s="140">
        <f t="shared" ref="DK100:DK107" si="2645">DG100/$LI100</f>
        <v>0.65795000000000003</v>
      </c>
      <c r="DL100" s="198">
        <f t="shared" si="2624"/>
        <v>0</v>
      </c>
      <c r="DM100" s="225">
        <f t="shared" ref="DM100:DM107" si="2646">DL100/DL$97</f>
        <v>0</v>
      </c>
      <c r="DN100" s="226">
        <f t="shared" ref="DN100:DN107" si="2647">DN$97*DM100</f>
        <v>0</v>
      </c>
      <c r="DO100" s="137">
        <f t="shared" ref="DO100:DO107" si="2648">IF(DL100&gt;0,DN100/DL100,0)</f>
        <v>0</v>
      </c>
      <c r="DP100" s="227">
        <f t="shared" ref="DP100" si="2649">DP$97</f>
        <v>55.25</v>
      </c>
      <c r="DQ100" s="138">
        <f t="shared" ref="DQ100:DQ107" si="2650">DO100*DP100</f>
        <v>0</v>
      </c>
      <c r="DR100" s="110">
        <f t="shared" ref="DR100:DR107" si="2651">DQ100*DL100</f>
        <v>0</v>
      </c>
      <c r="DS100" s="110"/>
      <c r="DT100" s="139"/>
      <c r="DU100" s="140">
        <f t="shared" ref="DU100:DU107" si="2652">DQ100/$LI100</f>
        <v>0</v>
      </c>
      <c r="DV100" s="198">
        <f t="shared" si="2624"/>
        <v>361</v>
      </c>
      <c r="DW100" s="225">
        <f t="shared" ref="DW100:DW107" si="2653">DV100/DV$97</f>
        <v>0.41116000000000003</v>
      </c>
      <c r="DX100" s="226">
        <f t="shared" ref="DX100:DX107" si="2654">DX$97*DW100</f>
        <v>546.84</v>
      </c>
      <c r="DY100" s="137">
        <f t="shared" ref="DY100:DY107" si="2655">IF(DV100&gt;0,DX100/DV100,0)</f>
        <v>1.51479224</v>
      </c>
      <c r="DZ100" s="227">
        <f t="shared" ref="DZ100" si="2656">DZ$97</f>
        <v>34.14</v>
      </c>
      <c r="EA100" s="138">
        <f t="shared" ref="EA100:EA107" si="2657">DY100*DZ100</f>
        <v>51.715009999999999</v>
      </c>
      <c r="EB100" s="110">
        <f t="shared" ref="EB100:EB107" si="2658">EA100*DV100</f>
        <v>18669.12</v>
      </c>
      <c r="EC100" s="110"/>
      <c r="ED100" s="139"/>
      <c r="EE100" s="140">
        <f t="shared" ref="EE100:EE107" si="2659">EA100/$LI100</f>
        <v>0.47932999999999998</v>
      </c>
      <c r="EF100" s="198">
        <f t="shared" si="2624"/>
        <v>363</v>
      </c>
      <c r="EG100" s="225">
        <f t="shared" ref="EG100:EG107" si="2660">EF100/EF$97</f>
        <v>0.38657999999999998</v>
      </c>
      <c r="EH100" s="226">
        <f t="shared" ref="EH100:EH107" si="2661">EH$97*EG100</f>
        <v>355.65</v>
      </c>
      <c r="EI100" s="137">
        <f t="shared" ref="EI100:EI107" si="2662">IF(EF100&gt;0,EH100/EF100,0)</f>
        <v>0.97975206999999997</v>
      </c>
      <c r="EJ100" s="227">
        <f t="shared" ref="EJ100" si="2663">EJ$97</f>
        <v>44.53</v>
      </c>
      <c r="EK100" s="138">
        <f t="shared" ref="EK100:EK107" si="2664">EI100*EJ100</f>
        <v>43.628360000000001</v>
      </c>
      <c r="EL100" s="110">
        <f t="shared" ref="EL100:EL107" si="2665">EK100*EF100</f>
        <v>15837.09</v>
      </c>
      <c r="EM100" s="110"/>
      <c r="EN100" s="139"/>
      <c r="EO100" s="140">
        <f t="shared" ref="EO100:EO107" si="2666">EK100/$LI100</f>
        <v>0.40438000000000002</v>
      </c>
      <c r="EP100" s="198">
        <f t="shared" si="2624"/>
        <v>400</v>
      </c>
      <c r="EQ100" s="225">
        <f t="shared" ref="EQ100:EQ107" si="2667">EP100/EP$97</f>
        <v>0.42418</v>
      </c>
      <c r="ER100" s="226">
        <f t="shared" ref="ER100:ER107" si="2668">ER$97*EQ100</f>
        <v>924.71</v>
      </c>
      <c r="ES100" s="137">
        <f t="shared" ref="ES100:ES107" si="2669">IF(EP100&gt;0,ER100/EP100,0)</f>
        <v>2.3117749999999999</v>
      </c>
      <c r="ET100" s="227">
        <f t="shared" ref="ET100" si="2670">ET$97</f>
        <v>52.01</v>
      </c>
      <c r="EU100" s="138">
        <f t="shared" ref="EU100:EU107" si="2671">ES100*ET100</f>
        <v>120.23542</v>
      </c>
      <c r="EV100" s="110">
        <f t="shared" ref="EV100:EV107" si="2672">EU100*EP100</f>
        <v>48094.17</v>
      </c>
      <c r="EW100" s="110"/>
      <c r="EX100" s="139"/>
      <c r="EY100" s="140">
        <f t="shared" ref="EY100:EY107" si="2673">EU100/$LI100</f>
        <v>1.11443</v>
      </c>
      <c r="EZ100" s="198">
        <f t="shared" ref="EZ100:HH107" si="2674">EZ13</f>
        <v>576</v>
      </c>
      <c r="FA100" s="225">
        <f t="shared" ref="FA100:FA107" si="2675">EZ100/EZ$97</f>
        <v>0.51566999999999996</v>
      </c>
      <c r="FB100" s="226">
        <f t="shared" ref="FB100:FB107" si="2676">FB$97*FA100</f>
        <v>928.21</v>
      </c>
      <c r="FC100" s="137">
        <f t="shared" ref="FC100:FC107" si="2677">IF(EZ100&gt;0,FB100/EZ100,0)</f>
        <v>1.61147569</v>
      </c>
      <c r="FD100" s="227">
        <f t="shared" ref="FD100:GH107" si="2678">FD$97</f>
        <v>55.47</v>
      </c>
      <c r="FE100" s="138">
        <f t="shared" ref="FE100:FE107" si="2679">FC100*FD100</f>
        <v>89.388559999999998</v>
      </c>
      <c r="FF100" s="110">
        <f t="shared" ref="FF100:FF107" si="2680">FE100*EZ100</f>
        <v>51487.81</v>
      </c>
      <c r="FG100" s="110"/>
      <c r="FH100" s="139"/>
      <c r="FI100" s="140">
        <f t="shared" ref="FI100:FI107" si="2681">FE100/$LI100</f>
        <v>0.82852000000000003</v>
      </c>
      <c r="FJ100" s="198">
        <f t="shared" si="2674"/>
        <v>408</v>
      </c>
      <c r="FK100" s="225">
        <f t="shared" ref="FK100:FK107" si="2682">FJ100/FJ$97</f>
        <v>0.39922000000000002</v>
      </c>
      <c r="FL100" s="226">
        <f t="shared" ref="FL100:FL107" si="2683">FL$97*FK100</f>
        <v>686.66</v>
      </c>
      <c r="FM100" s="137">
        <f t="shared" ref="FM100:FM107" si="2684">IF(FJ100&gt;0,FL100/FJ100,0)</f>
        <v>1.6829902000000001</v>
      </c>
      <c r="FN100" s="227">
        <f t="shared" ref="FN100" si="2685">FN$97</f>
        <v>39.74</v>
      </c>
      <c r="FO100" s="138">
        <f t="shared" ref="FO100:FO107" si="2686">FM100*FN100</f>
        <v>66.88203</v>
      </c>
      <c r="FP100" s="110">
        <f t="shared" ref="FP100:FP107" si="2687">FO100*FJ100</f>
        <v>27287.87</v>
      </c>
      <c r="FQ100" s="110"/>
      <c r="FR100" s="139"/>
      <c r="FS100" s="140">
        <f t="shared" ref="FS100:FS107" si="2688">FO100/$LI100</f>
        <v>0.61990999999999996</v>
      </c>
      <c r="FT100" s="198">
        <f t="shared" si="2674"/>
        <v>342</v>
      </c>
      <c r="FU100" s="225">
        <f t="shared" ref="FU100:FU107" si="2689">FT100/FT$97</f>
        <v>0.4259</v>
      </c>
      <c r="FV100" s="226">
        <f t="shared" ref="FV100:FV107" si="2690">FV$97*FU100</f>
        <v>606.48</v>
      </c>
      <c r="FW100" s="137">
        <f t="shared" ref="FW100:FW107" si="2691">IF(FT100&gt;0,FV100/FT100,0)</f>
        <v>1.77333333</v>
      </c>
      <c r="FX100" s="227">
        <f t="shared" ref="FX100" si="2692">FX$97</f>
        <v>53.97</v>
      </c>
      <c r="FY100" s="138">
        <f t="shared" ref="FY100:FY107" si="2693">FW100*FX100</f>
        <v>95.706800000000001</v>
      </c>
      <c r="FZ100" s="110">
        <f t="shared" ref="FZ100:FZ107" si="2694">FY100*FT100</f>
        <v>32731.73</v>
      </c>
      <c r="GA100" s="110"/>
      <c r="GB100" s="139"/>
      <c r="GC100" s="140">
        <f t="shared" ref="GC100:GC107" si="2695">FY100/$LI100</f>
        <v>0.88707999999999998</v>
      </c>
      <c r="GD100" s="198">
        <f t="shared" si="2674"/>
        <v>164</v>
      </c>
      <c r="GE100" s="225">
        <f t="shared" ref="GE100:GE107" si="2696">GD100/GD$97</f>
        <v>0.32030999999999998</v>
      </c>
      <c r="GF100" s="226">
        <f t="shared" ref="GF100:GF107" si="2697">GF$97*GE100</f>
        <v>275.47000000000003</v>
      </c>
      <c r="GG100" s="137">
        <f t="shared" ref="GG100:GG107" si="2698">IF(GD100&gt;0,GF100/GD100,0)</f>
        <v>1.6796951200000001</v>
      </c>
      <c r="GH100" s="227">
        <f t="shared" ref="GH100" si="2699">GH$97</f>
        <v>54.63</v>
      </c>
      <c r="GI100" s="138">
        <f t="shared" ref="GI100:GI107" si="2700">GG100*GH100</f>
        <v>91.761740000000003</v>
      </c>
      <c r="GJ100" s="110">
        <f t="shared" ref="GJ100:GJ107" si="2701">GI100*GD100</f>
        <v>15048.93</v>
      </c>
      <c r="GK100" s="110"/>
      <c r="GL100" s="139"/>
      <c r="GM100" s="140">
        <f t="shared" ref="GM100:GM107" si="2702">GI100/$LI100</f>
        <v>0.85052000000000005</v>
      </c>
      <c r="GN100" s="198">
        <f t="shared" si="2674"/>
        <v>353</v>
      </c>
      <c r="GO100" s="225">
        <f t="shared" ref="GO100:GO107" si="2703">GN100/GN$97</f>
        <v>0.40855999999999998</v>
      </c>
      <c r="GP100" s="226">
        <f t="shared" ref="GP100:GP107" si="2704">GP$97*GO100</f>
        <v>1123.54</v>
      </c>
      <c r="GQ100" s="137">
        <f t="shared" ref="GQ100:GQ107" si="2705">IF(GN100&gt;0,GP100/GN100,0)</f>
        <v>3.18283286</v>
      </c>
      <c r="GR100" s="227">
        <f t="shared" ref="GR100:HV107" si="2706">GR$97</f>
        <v>52.13</v>
      </c>
      <c r="GS100" s="138">
        <f t="shared" ref="GS100:GS107" si="2707">GQ100*GR100</f>
        <v>165.92107999999999</v>
      </c>
      <c r="GT100" s="110">
        <f t="shared" ref="GT100:GT107" si="2708">GS100*GN100</f>
        <v>58570.14</v>
      </c>
      <c r="GU100" s="110"/>
      <c r="GV100" s="139"/>
      <c r="GW100" s="140">
        <f t="shared" ref="GW100:GW107" si="2709">GS100/$LI100</f>
        <v>1.5378799999999999</v>
      </c>
      <c r="GX100" s="198">
        <f t="shared" si="2674"/>
        <v>712</v>
      </c>
      <c r="GY100" s="225">
        <f t="shared" ref="GY100:GY107" si="2710">GX100/GX$97</f>
        <v>0.43924000000000002</v>
      </c>
      <c r="GZ100" s="226">
        <f t="shared" ref="GZ100:GZ107" si="2711">GZ$97*GY100</f>
        <v>1955.94</v>
      </c>
      <c r="HA100" s="137">
        <f t="shared" ref="HA100:HA107" si="2712">IF(GX100&gt;0,GZ100/GX100,0)</f>
        <v>2.74710674</v>
      </c>
      <c r="HB100" s="227">
        <f t="shared" ref="HB100" si="2713">HB$97</f>
        <v>42.58</v>
      </c>
      <c r="HC100" s="138">
        <f t="shared" ref="HC100:HC107" si="2714">HA100*HB100</f>
        <v>116.9718</v>
      </c>
      <c r="HD100" s="110">
        <f t="shared" ref="HD100:HD107" si="2715">HC100*GX100</f>
        <v>83283.92</v>
      </c>
      <c r="HE100" s="110"/>
      <c r="HF100" s="139"/>
      <c r="HG100" s="140">
        <f t="shared" ref="HG100:HG107" si="2716">HC100/$LI100</f>
        <v>1.0841799999999999</v>
      </c>
      <c r="HH100" s="198">
        <f t="shared" si="2674"/>
        <v>508</v>
      </c>
      <c r="HI100" s="225">
        <f t="shared" ref="HI100:HI107" si="2717">HH100/HH$97</f>
        <v>0.44096999999999997</v>
      </c>
      <c r="HJ100" s="226">
        <f t="shared" ref="HJ100:HJ107" si="2718">HJ$97*HI100</f>
        <v>1468.43</v>
      </c>
      <c r="HK100" s="137">
        <f t="shared" ref="HK100:HK107" si="2719">IF(HH100&gt;0,HJ100/HH100,0)</f>
        <v>2.89061024</v>
      </c>
      <c r="HL100" s="227">
        <f t="shared" ref="HL100" si="2720">HL$97</f>
        <v>49.58</v>
      </c>
      <c r="HM100" s="138">
        <f t="shared" ref="HM100:HM107" si="2721">HK100*HL100</f>
        <v>143.31646000000001</v>
      </c>
      <c r="HN100" s="110">
        <f t="shared" ref="HN100:HN107" si="2722">HM100*HH100</f>
        <v>72804.759999999995</v>
      </c>
      <c r="HO100" s="110"/>
      <c r="HP100" s="139"/>
      <c r="HQ100" s="140">
        <f t="shared" ref="HQ100:HQ107" si="2723">HM100/$LI100</f>
        <v>1.32836</v>
      </c>
      <c r="HR100" s="198">
        <f t="shared" ref="HR100:JZ107" si="2724">HR13</f>
        <v>331</v>
      </c>
      <c r="HS100" s="225">
        <f t="shared" ref="HS100:HS107" si="2725">HR100/HR$97</f>
        <v>0.42004999999999998</v>
      </c>
      <c r="HT100" s="226">
        <f t="shared" ref="HT100:HT107" si="2726">HT$97*HS100</f>
        <v>378.05</v>
      </c>
      <c r="HU100" s="137">
        <f t="shared" ref="HU100:HU107" si="2727">IF(HR100&gt;0,HT100/HR100,0)</f>
        <v>1.1421450200000001</v>
      </c>
      <c r="HV100" s="227">
        <f t="shared" ref="HV100" si="2728">HV$97</f>
        <v>52.62</v>
      </c>
      <c r="HW100" s="138">
        <f t="shared" ref="HW100:HW107" si="2729">HU100*HV100</f>
        <v>60.099670000000003</v>
      </c>
      <c r="HX100" s="110">
        <f t="shared" ref="HX100:HX107" si="2730">HW100*HR100</f>
        <v>19892.990000000002</v>
      </c>
      <c r="HY100" s="110"/>
      <c r="HZ100" s="139"/>
      <c r="IA100" s="140">
        <f t="shared" ref="IA100:IA107" si="2731">HW100/$LI100</f>
        <v>0.55705000000000005</v>
      </c>
      <c r="IB100" s="198">
        <f t="shared" si="2724"/>
        <v>208</v>
      </c>
      <c r="IC100" s="225">
        <f t="shared" ref="IC100:IC107" si="2732">IB100/IB$97</f>
        <v>0.37956000000000001</v>
      </c>
      <c r="ID100" s="226">
        <f t="shared" ref="ID100:ID107" si="2733">ID$97*IC100</f>
        <v>163.21</v>
      </c>
      <c r="IE100" s="137">
        <f t="shared" ref="IE100:IE107" si="2734">IF(IB100&gt;0,ID100/IB100,0)</f>
        <v>0.78466345999999998</v>
      </c>
      <c r="IF100" s="227">
        <f t="shared" ref="IF100:JJ107" si="2735">IF$97</f>
        <v>50</v>
      </c>
      <c r="IG100" s="138">
        <f t="shared" ref="IG100:IG107" si="2736">IE100*IF100</f>
        <v>39.233170000000001</v>
      </c>
      <c r="IH100" s="110">
        <f t="shared" ref="IH100:IH107" si="2737">IG100*IB100</f>
        <v>8160.5</v>
      </c>
      <c r="II100" s="110"/>
      <c r="IJ100" s="139"/>
      <c r="IK100" s="140">
        <f t="shared" ref="IK100:IK107" si="2738">IG100/$LI100</f>
        <v>0.36364000000000002</v>
      </c>
      <c r="IL100" s="198">
        <f t="shared" si="2724"/>
        <v>599</v>
      </c>
      <c r="IM100" s="225">
        <f t="shared" ref="IM100:IM107" si="2739">IL100/IL$97</f>
        <v>0.47352</v>
      </c>
      <c r="IN100" s="226">
        <f t="shared" ref="IN100:IN107" si="2740">IN$97*IM100</f>
        <v>1393.1</v>
      </c>
      <c r="IO100" s="137">
        <f t="shared" ref="IO100:IO107" si="2741">IF(IL100&gt;0,IN100/IL100,0)</f>
        <v>2.3257095200000002</v>
      </c>
      <c r="IP100" s="227">
        <f t="shared" ref="IP100" si="2742">IP$97</f>
        <v>54.39</v>
      </c>
      <c r="IQ100" s="138">
        <f t="shared" ref="IQ100:IQ107" si="2743">IO100*IP100</f>
        <v>126.49534</v>
      </c>
      <c r="IR100" s="110">
        <f t="shared" ref="IR100:IR107" si="2744">IQ100*IL100</f>
        <v>75770.710000000006</v>
      </c>
      <c r="IS100" s="110"/>
      <c r="IT100" s="139"/>
      <c r="IU100" s="140">
        <f t="shared" ref="IU100:IU107" si="2745">IQ100/$LI100</f>
        <v>1.17245</v>
      </c>
      <c r="IV100" s="198">
        <f t="shared" si="2724"/>
        <v>297</v>
      </c>
      <c r="IW100" s="225">
        <f t="shared" ref="IW100:IW107" si="2746">IV100/IV$97</f>
        <v>0.38521</v>
      </c>
      <c r="IX100" s="226">
        <f t="shared" ref="IX100:IX107" si="2747">IX$97*IW100</f>
        <v>616.34</v>
      </c>
      <c r="IY100" s="137">
        <f t="shared" ref="IY100:IY107" si="2748">IF(IV100&gt;0,IX100/IV100,0)</f>
        <v>2.0752188600000001</v>
      </c>
      <c r="IZ100" s="227">
        <f t="shared" ref="IZ100" si="2749">IZ$97</f>
        <v>54.71</v>
      </c>
      <c r="JA100" s="138">
        <f t="shared" ref="JA100:JA107" si="2750">IY100*IZ100</f>
        <v>113.53522</v>
      </c>
      <c r="JB100" s="110">
        <f t="shared" ref="JB100:JB107" si="2751">JA100*IV100</f>
        <v>33719.96</v>
      </c>
      <c r="JC100" s="110"/>
      <c r="JD100" s="139"/>
      <c r="JE100" s="140">
        <f t="shared" ref="JE100:JE107" si="2752">JA100/$LI100</f>
        <v>1.05233</v>
      </c>
      <c r="JF100" s="198">
        <f t="shared" si="2724"/>
        <v>607</v>
      </c>
      <c r="JG100" s="225">
        <f t="shared" ref="JG100:JG107" si="2753">JF100/JF$97</f>
        <v>0.45265</v>
      </c>
      <c r="JH100" s="226">
        <f t="shared" ref="JH100:JH107" si="2754">JH$97*JG100</f>
        <v>1729.12</v>
      </c>
      <c r="JI100" s="137">
        <f t="shared" ref="JI100:JI107" si="2755">IF(JF100&gt;0,JH100/JF100,0)</f>
        <v>2.8486326200000001</v>
      </c>
      <c r="JJ100" s="227">
        <f t="shared" ref="JJ100" si="2756">JJ$97</f>
        <v>43.31</v>
      </c>
      <c r="JK100" s="138">
        <f t="shared" ref="JK100:JK107" si="2757">JI100*JJ100</f>
        <v>123.37428</v>
      </c>
      <c r="JL100" s="110">
        <f t="shared" ref="JL100:JL107" si="2758">JK100*JF100</f>
        <v>74888.19</v>
      </c>
      <c r="JM100" s="110"/>
      <c r="JN100" s="139"/>
      <c r="JO100" s="140">
        <f t="shared" ref="JO100:JO107" si="2759">JK100/$LI100</f>
        <v>1.1435200000000001</v>
      </c>
      <c r="JP100" s="198">
        <f t="shared" si="2724"/>
        <v>567</v>
      </c>
      <c r="JQ100" s="225">
        <f t="shared" ref="JQ100:JQ107" si="2760">JP100/JP$97</f>
        <v>0.45395999999999997</v>
      </c>
      <c r="JR100" s="226">
        <f t="shared" ref="JR100:JR107" si="2761">JR$97*JQ100</f>
        <v>1725.05</v>
      </c>
      <c r="JS100" s="137">
        <f t="shared" ref="JS100:JS107" si="2762">IF(JP100&gt;0,JR100/JP100,0)</f>
        <v>3.0424162300000002</v>
      </c>
      <c r="JT100" s="227">
        <f t="shared" ref="JT100:KX107" si="2763">JT$97</f>
        <v>57.05</v>
      </c>
      <c r="JU100" s="138">
        <f t="shared" ref="JU100:JU107" si="2764">JS100*JT100</f>
        <v>173.56985</v>
      </c>
      <c r="JV100" s="110">
        <f t="shared" ref="JV100:JV107" si="2765">JU100*JP100</f>
        <v>98414.1</v>
      </c>
      <c r="JW100" s="110"/>
      <c r="JX100" s="139"/>
      <c r="JY100" s="140">
        <f t="shared" ref="JY100:JY107" si="2766">JU100/$LI100</f>
        <v>1.60877</v>
      </c>
      <c r="JZ100" s="198">
        <f t="shared" si="2724"/>
        <v>523</v>
      </c>
      <c r="KA100" s="225">
        <f t="shared" ref="KA100:KA107" si="2767">JZ100/JZ$97</f>
        <v>0.44969999999999999</v>
      </c>
      <c r="KB100" s="226">
        <f t="shared" ref="KB100:KB107" si="2768">KB$97*KA100</f>
        <v>1196.2</v>
      </c>
      <c r="KC100" s="137">
        <f t="shared" ref="KC100:KC107" si="2769">IF(JZ100&gt;0,KB100/JZ100,0)</f>
        <v>2.2871892900000002</v>
      </c>
      <c r="KD100" s="227">
        <f t="shared" ref="KD100" si="2770">KD$97</f>
        <v>51.65</v>
      </c>
      <c r="KE100" s="138">
        <f t="shared" ref="KE100:KE107" si="2771">KC100*KD100</f>
        <v>118.13333</v>
      </c>
      <c r="KF100" s="110">
        <f t="shared" ref="KF100:KF107" si="2772">KE100*JZ100</f>
        <v>61783.73</v>
      </c>
      <c r="KG100" s="110"/>
      <c r="KH100" s="139"/>
      <c r="KI100" s="140">
        <f t="shared" ref="KI100:KI107" si="2773">KE100/$LI100</f>
        <v>1.0949500000000001</v>
      </c>
      <c r="KJ100" s="198">
        <f t="shared" ref="KJ100:KT107" si="2774">KJ13</f>
        <v>600</v>
      </c>
      <c r="KK100" s="225">
        <f t="shared" ref="KK100:KK107" si="2775">KJ100/KJ$97</f>
        <v>0.44742999999999999</v>
      </c>
      <c r="KL100" s="226">
        <f t="shared" ref="KL100:KL107" si="2776">KL$97*KK100</f>
        <v>1187.03</v>
      </c>
      <c r="KM100" s="137">
        <f t="shared" ref="KM100:KM107" si="2777">IF(KJ100&gt;0,KL100/KJ100,0)</f>
        <v>1.97838333</v>
      </c>
      <c r="KN100" s="227">
        <f t="shared" ref="KN100" si="2778">KN$97</f>
        <v>51.78</v>
      </c>
      <c r="KO100" s="138">
        <f t="shared" ref="KO100:KO107" si="2779">KM100*KN100</f>
        <v>102.44069</v>
      </c>
      <c r="KP100" s="110">
        <f t="shared" ref="KP100:KP107" si="2780">KO100*KJ100</f>
        <v>61464.41</v>
      </c>
      <c r="KQ100" s="110"/>
      <c r="KR100" s="139"/>
      <c r="KS100" s="140">
        <f t="shared" ref="KS100:KS107" si="2781">KO100/$LI100</f>
        <v>0.94950000000000001</v>
      </c>
      <c r="KT100" s="198">
        <f t="shared" si="2774"/>
        <v>553</v>
      </c>
      <c r="KU100" s="225">
        <f t="shared" ref="KU100:KU107" si="2782">KT100/KT$97</f>
        <v>0.49198999999999998</v>
      </c>
      <c r="KV100" s="226">
        <f t="shared" ref="KV100:KV107" si="2783">KV$97*KU100</f>
        <v>3114.3</v>
      </c>
      <c r="KW100" s="137">
        <f t="shared" ref="KW100:KW107" si="2784">IF(KT100&gt;0,KV100/KT100,0)</f>
        <v>5.6316455699999999</v>
      </c>
      <c r="KX100" s="227">
        <f t="shared" ref="KX100" si="2785">KX$97</f>
        <v>55.65</v>
      </c>
      <c r="KY100" s="138">
        <f t="shared" ref="KY100:KY107" si="2786">KW100*KX100</f>
        <v>313.40107999999998</v>
      </c>
      <c r="KZ100" s="110">
        <f t="shared" ref="KZ100:KZ107" si="2787">KY100*KT100</f>
        <v>173310.8</v>
      </c>
      <c r="LA100" s="110"/>
      <c r="LB100" s="139"/>
      <c r="LC100" s="140">
        <f t="shared" ref="LC100:LC107" si="2788">KY100/$LI100</f>
        <v>2.9048400000000001</v>
      </c>
      <c r="LD100" s="197">
        <f t="shared" ref="LD100:LD125" si="2789">F100+P100+Z100+AJ100+AT100+BD100+BN100+BX100+CH100+CR100+DB100+DL100+DV100+EF100+EP100+EZ100+FJ100+FT100+GD100+GN100+GX100+HH100+HR100+IB100+IL100+IV100+JF100+JP100+JZ100+KJ100+KT100</f>
        <v>12101</v>
      </c>
      <c r="LE100" s="225">
        <f t="shared" ref="LE100:LE125" si="2790">LD100/LD$97</f>
        <v>0.42393999999999998</v>
      </c>
      <c r="LF100" s="226">
        <f t="shared" ref="LF100:LF125" si="2791">LF$97*LE100</f>
        <v>25986.67</v>
      </c>
      <c r="LG100" s="137">
        <f t="shared" ref="LG100:LG125" si="2792">IF(LD100&gt;0,LF100/LD100,0)</f>
        <v>2.1474812000000001</v>
      </c>
      <c r="LH100" s="227">
        <f t="shared" ref="LH100:LH125" si="2793">LH$97</f>
        <v>50.24</v>
      </c>
      <c r="LI100" s="138">
        <f t="shared" ref="LI100:LI125" si="2794">LG100*LH100</f>
        <v>107.88946</v>
      </c>
      <c r="LJ100" s="110">
        <f t="shared" ref="LJ100:LJ125" si="2795">LI100*LD100</f>
        <v>1305570.3600000001</v>
      </c>
      <c r="LK100" s="110"/>
      <c r="LL100" s="139"/>
    </row>
    <row r="101" spans="1:324" ht="24.75" hidden="1" customHeight="1" x14ac:dyDescent="0.25">
      <c r="A101" s="246"/>
      <c r="B101" s="92" t="s">
        <v>610</v>
      </c>
      <c r="C101" s="12" t="s">
        <v>728</v>
      </c>
      <c r="D101" s="12" t="s">
        <v>430</v>
      </c>
      <c r="E101" s="4" t="s">
        <v>32</v>
      </c>
      <c r="F101" s="198">
        <f t="shared" si="2569"/>
        <v>0</v>
      </c>
      <c r="G101" s="225">
        <f t="shared" ref="G101:G125" si="2796">F101/F$97</f>
        <v>0</v>
      </c>
      <c r="H101" s="226">
        <f t="shared" ref="H101:H125" si="2797">H$97*G101</f>
        <v>0</v>
      </c>
      <c r="I101" s="137">
        <f t="shared" si="2570"/>
        <v>0</v>
      </c>
      <c r="J101" s="227">
        <f t="shared" ref="J101:J125" si="2798">J$97</f>
        <v>40.909999999999997</v>
      </c>
      <c r="K101" s="138">
        <f t="shared" si="2571"/>
        <v>0</v>
      </c>
      <c r="L101" s="110">
        <f t="shared" si="2572"/>
        <v>0</v>
      </c>
      <c r="M101" s="110"/>
      <c r="N101" s="139"/>
      <c r="O101" s="140" t="e">
        <f t="shared" si="2573"/>
        <v>#DIV/0!</v>
      </c>
      <c r="P101" s="198">
        <f t="shared" si="2574"/>
        <v>0</v>
      </c>
      <c r="Q101" s="225">
        <f t="shared" si="2575"/>
        <v>0</v>
      </c>
      <c r="R101" s="226">
        <f t="shared" si="2576"/>
        <v>0</v>
      </c>
      <c r="S101" s="137">
        <f t="shared" si="2577"/>
        <v>0</v>
      </c>
      <c r="T101" s="227">
        <f t="shared" si="2578"/>
        <v>36.11</v>
      </c>
      <c r="U101" s="138">
        <f t="shared" si="2579"/>
        <v>0</v>
      </c>
      <c r="V101" s="110">
        <f t="shared" si="2580"/>
        <v>0</v>
      </c>
      <c r="W101" s="110"/>
      <c r="X101" s="139"/>
      <c r="Y101" s="140" t="e">
        <f t="shared" si="2581"/>
        <v>#DIV/0!</v>
      </c>
      <c r="Z101" s="198">
        <f t="shared" si="2574"/>
        <v>0</v>
      </c>
      <c r="AA101" s="225">
        <f t="shared" si="2582"/>
        <v>0</v>
      </c>
      <c r="AB101" s="226">
        <f t="shared" si="2583"/>
        <v>0</v>
      </c>
      <c r="AC101" s="137">
        <f t="shared" si="2584"/>
        <v>0</v>
      </c>
      <c r="AD101" s="227">
        <f t="shared" si="2578"/>
        <v>54.87</v>
      </c>
      <c r="AE101" s="138">
        <f t="shared" si="2586"/>
        <v>0</v>
      </c>
      <c r="AF101" s="110">
        <f t="shared" si="2587"/>
        <v>0</v>
      </c>
      <c r="AG101" s="110"/>
      <c r="AH101" s="139"/>
      <c r="AI101" s="140" t="e">
        <f t="shared" si="2588"/>
        <v>#DIV/0!</v>
      </c>
      <c r="AJ101" s="198">
        <f t="shared" si="2574"/>
        <v>0</v>
      </c>
      <c r="AK101" s="225">
        <f t="shared" si="2589"/>
        <v>0</v>
      </c>
      <c r="AL101" s="226">
        <f t="shared" si="2590"/>
        <v>0</v>
      </c>
      <c r="AM101" s="137">
        <f t="shared" si="2591"/>
        <v>0</v>
      </c>
      <c r="AN101" s="227">
        <f t="shared" si="2578"/>
        <v>54.42</v>
      </c>
      <c r="AO101" s="138">
        <f t="shared" si="2593"/>
        <v>0</v>
      </c>
      <c r="AP101" s="110">
        <f t="shared" si="2594"/>
        <v>0</v>
      </c>
      <c r="AQ101" s="110"/>
      <c r="AR101" s="139"/>
      <c r="AS101" s="140" t="e">
        <f t="shared" si="2595"/>
        <v>#DIV/0!</v>
      </c>
      <c r="AT101" s="198">
        <f t="shared" si="2574"/>
        <v>0</v>
      </c>
      <c r="AU101" s="225">
        <f t="shared" si="2596"/>
        <v>0</v>
      </c>
      <c r="AV101" s="226">
        <f t="shared" si="2597"/>
        <v>0</v>
      </c>
      <c r="AW101" s="137">
        <f t="shared" si="2598"/>
        <v>0</v>
      </c>
      <c r="AX101" s="227">
        <f t="shared" si="2578"/>
        <v>49.55</v>
      </c>
      <c r="AY101" s="138">
        <f t="shared" si="2600"/>
        <v>0</v>
      </c>
      <c r="AZ101" s="110">
        <f t="shared" si="2601"/>
        <v>0</v>
      </c>
      <c r="BA101" s="110"/>
      <c r="BB101" s="139"/>
      <c r="BC101" s="140" t="e">
        <f t="shared" si="2602"/>
        <v>#DIV/0!</v>
      </c>
      <c r="BD101" s="198">
        <f t="shared" si="2574"/>
        <v>0</v>
      </c>
      <c r="BE101" s="225">
        <f t="shared" si="2603"/>
        <v>0</v>
      </c>
      <c r="BF101" s="226">
        <f t="shared" si="2604"/>
        <v>0</v>
      </c>
      <c r="BG101" s="137">
        <f t="shared" si="2605"/>
        <v>0</v>
      </c>
      <c r="BH101" s="227">
        <f t="shared" si="2578"/>
        <v>55.1</v>
      </c>
      <c r="BI101" s="138">
        <f t="shared" si="2607"/>
        <v>0</v>
      </c>
      <c r="BJ101" s="110">
        <f t="shared" si="2608"/>
        <v>0</v>
      </c>
      <c r="BK101" s="110"/>
      <c r="BL101" s="139"/>
      <c r="BM101" s="140" t="e">
        <f t="shared" si="2609"/>
        <v>#DIV/0!</v>
      </c>
      <c r="BN101" s="198">
        <f t="shared" si="2574"/>
        <v>0</v>
      </c>
      <c r="BO101" s="225">
        <f t="shared" si="2610"/>
        <v>0</v>
      </c>
      <c r="BP101" s="226">
        <f t="shared" si="2611"/>
        <v>0</v>
      </c>
      <c r="BQ101" s="137">
        <f t="shared" si="2612"/>
        <v>0</v>
      </c>
      <c r="BR101" s="227">
        <f t="shared" si="2578"/>
        <v>54.14</v>
      </c>
      <c r="BS101" s="138">
        <f t="shared" si="2614"/>
        <v>0</v>
      </c>
      <c r="BT101" s="110">
        <f t="shared" si="2615"/>
        <v>0</v>
      </c>
      <c r="BU101" s="110"/>
      <c r="BV101" s="139"/>
      <c r="BW101" s="140" t="e">
        <f t="shared" si="2616"/>
        <v>#DIV/0!</v>
      </c>
      <c r="BX101" s="198">
        <f t="shared" si="2574"/>
        <v>0</v>
      </c>
      <c r="BY101" s="225">
        <f t="shared" si="2617"/>
        <v>0</v>
      </c>
      <c r="BZ101" s="226">
        <f t="shared" si="2618"/>
        <v>0</v>
      </c>
      <c r="CA101" s="137">
        <f t="shared" si="2619"/>
        <v>0</v>
      </c>
      <c r="CB101" s="227">
        <f t="shared" si="2578"/>
        <v>51.74</v>
      </c>
      <c r="CC101" s="138">
        <f t="shared" si="2621"/>
        <v>0</v>
      </c>
      <c r="CD101" s="110">
        <f t="shared" si="2622"/>
        <v>0</v>
      </c>
      <c r="CE101" s="110"/>
      <c r="CF101" s="139"/>
      <c r="CG101" s="140" t="e">
        <f t="shared" si="2623"/>
        <v>#DIV/0!</v>
      </c>
      <c r="CH101" s="198">
        <f t="shared" si="2624"/>
        <v>0</v>
      </c>
      <c r="CI101" s="225">
        <f t="shared" si="2625"/>
        <v>0</v>
      </c>
      <c r="CJ101" s="226">
        <f t="shared" si="2626"/>
        <v>0</v>
      </c>
      <c r="CK101" s="137">
        <f t="shared" si="2627"/>
        <v>0</v>
      </c>
      <c r="CL101" s="227">
        <f t="shared" si="2628"/>
        <v>46.92</v>
      </c>
      <c r="CM101" s="138">
        <f t="shared" si="2629"/>
        <v>0</v>
      </c>
      <c r="CN101" s="110">
        <f t="shared" si="2630"/>
        <v>0</v>
      </c>
      <c r="CO101" s="110"/>
      <c r="CP101" s="139"/>
      <c r="CQ101" s="140" t="e">
        <f t="shared" si="2631"/>
        <v>#DIV/0!</v>
      </c>
      <c r="CR101" s="198">
        <f t="shared" si="2624"/>
        <v>0</v>
      </c>
      <c r="CS101" s="225">
        <f t="shared" si="2632"/>
        <v>0</v>
      </c>
      <c r="CT101" s="226">
        <f t="shared" si="2633"/>
        <v>0</v>
      </c>
      <c r="CU101" s="137">
        <f t="shared" si="2634"/>
        <v>0</v>
      </c>
      <c r="CV101" s="227">
        <f t="shared" si="2628"/>
        <v>49.61</v>
      </c>
      <c r="CW101" s="138">
        <f t="shared" si="2636"/>
        <v>0</v>
      </c>
      <c r="CX101" s="110">
        <f t="shared" si="2637"/>
        <v>0</v>
      </c>
      <c r="CY101" s="110"/>
      <c r="CZ101" s="139"/>
      <c r="DA101" s="140" t="e">
        <f t="shared" si="2638"/>
        <v>#DIV/0!</v>
      </c>
      <c r="DB101" s="198">
        <f t="shared" si="2624"/>
        <v>0</v>
      </c>
      <c r="DC101" s="225">
        <f t="shared" si="2639"/>
        <v>0</v>
      </c>
      <c r="DD101" s="226">
        <f t="shared" si="2640"/>
        <v>0</v>
      </c>
      <c r="DE101" s="137">
        <f t="shared" si="2641"/>
        <v>0</v>
      </c>
      <c r="DF101" s="227">
        <f t="shared" si="2628"/>
        <v>52.57</v>
      </c>
      <c r="DG101" s="138">
        <f t="shared" si="2643"/>
        <v>0</v>
      </c>
      <c r="DH101" s="110">
        <f t="shared" si="2644"/>
        <v>0</v>
      </c>
      <c r="DI101" s="110"/>
      <c r="DJ101" s="139"/>
      <c r="DK101" s="140" t="e">
        <f t="shared" si="2645"/>
        <v>#DIV/0!</v>
      </c>
      <c r="DL101" s="198">
        <f t="shared" si="2624"/>
        <v>0</v>
      </c>
      <c r="DM101" s="225">
        <f t="shared" si="2646"/>
        <v>0</v>
      </c>
      <c r="DN101" s="226">
        <f t="shared" si="2647"/>
        <v>0</v>
      </c>
      <c r="DO101" s="137">
        <f t="shared" si="2648"/>
        <v>0</v>
      </c>
      <c r="DP101" s="227">
        <f t="shared" si="2628"/>
        <v>55.25</v>
      </c>
      <c r="DQ101" s="138">
        <f t="shared" si="2650"/>
        <v>0</v>
      </c>
      <c r="DR101" s="110">
        <f t="shared" si="2651"/>
        <v>0</v>
      </c>
      <c r="DS101" s="110"/>
      <c r="DT101" s="139"/>
      <c r="DU101" s="140" t="e">
        <f t="shared" si="2652"/>
        <v>#DIV/0!</v>
      </c>
      <c r="DV101" s="198">
        <f t="shared" si="2624"/>
        <v>0</v>
      </c>
      <c r="DW101" s="225">
        <f t="shared" si="2653"/>
        <v>0</v>
      </c>
      <c r="DX101" s="226">
        <f t="shared" si="2654"/>
        <v>0</v>
      </c>
      <c r="DY101" s="137">
        <f t="shared" si="2655"/>
        <v>0</v>
      </c>
      <c r="DZ101" s="227">
        <f t="shared" si="2628"/>
        <v>34.14</v>
      </c>
      <c r="EA101" s="138">
        <f t="shared" si="2657"/>
        <v>0</v>
      </c>
      <c r="EB101" s="110">
        <f t="shared" si="2658"/>
        <v>0</v>
      </c>
      <c r="EC101" s="110"/>
      <c r="ED101" s="139"/>
      <c r="EE101" s="140" t="e">
        <f t="shared" si="2659"/>
        <v>#DIV/0!</v>
      </c>
      <c r="EF101" s="198">
        <f t="shared" si="2624"/>
        <v>0</v>
      </c>
      <c r="EG101" s="225">
        <f t="shared" si="2660"/>
        <v>0</v>
      </c>
      <c r="EH101" s="226">
        <f t="shared" si="2661"/>
        <v>0</v>
      </c>
      <c r="EI101" s="137">
        <f t="shared" si="2662"/>
        <v>0</v>
      </c>
      <c r="EJ101" s="227">
        <f t="shared" si="2628"/>
        <v>44.53</v>
      </c>
      <c r="EK101" s="138">
        <f t="shared" si="2664"/>
        <v>0</v>
      </c>
      <c r="EL101" s="110">
        <f t="shared" si="2665"/>
        <v>0</v>
      </c>
      <c r="EM101" s="110"/>
      <c r="EN101" s="139"/>
      <c r="EO101" s="140" t="e">
        <f t="shared" si="2666"/>
        <v>#DIV/0!</v>
      </c>
      <c r="EP101" s="198">
        <f t="shared" si="2624"/>
        <v>0</v>
      </c>
      <c r="EQ101" s="225">
        <f t="shared" si="2667"/>
        <v>0</v>
      </c>
      <c r="ER101" s="226">
        <f t="shared" si="2668"/>
        <v>0</v>
      </c>
      <c r="ES101" s="137">
        <f t="shared" si="2669"/>
        <v>0</v>
      </c>
      <c r="ET101" s="227">
        <f t="shared" si="2628"/>
        <v>52.01</v>
      </c>
      <c r="EU101" s="138">
        <f t="shared" si="2671"/>
        <v>0</v>
      </c>
      <c r="EV101" s="110">
        <f t="shared" si="2672"/>
        <v>0</v>
      </c>
      <c r="EW101" s="110"/>
      <c r="EX101" s="139"/>
      <c r="EY101" s="140" t="e">
        <f t="shared" si="2673"/>
        <v>#DIV/0!</v>
      </c>
      <c r="EZ101" s="198">
        <f t="shared" si="2674"/>
        <v>0</v>
      </c>
      <c r="FA101" s="225">
        <f t="shared" si="2675"/>
        <v>0</v>
      </c>
      <c r="FB101" s="226">
        <f t="shared" si="2676"/>
        <v>0</v>
      </c>
      <c r="FC101" s="137">
        <f t="shared" si="2677"/>
        <v>0</v>
      </c>
      <c r="FD101" s="227">
        <f t="shared" si="2678"/>
        <v>55.47</v>
      </c>
      <c r="FE101" s="138">
        <f t="shared" si="2679"/>
        <v>0</v>
      </c>
      <c r="FF101" s="110">
        <f t="shared" si="2680"/>
        <v>0</v>
      </c>
      <c r="FG101" s="110"/>
      <c r="FH101" s="139"/>
      <c r="FI101" s="140" t="e">
        <f t="shared" si="2681"/>
        <v>#DIV/0!</v>
      </c>
      <c r="FJ101" s="198">
        <f t="shared" si="2674"/>
        <v>0</v>
      </c>
      <c r="FK101" s="225">
        <f t="shared" si="2682"/>
        <v>0</v>
      </c>
      <c r="FL101" s="226">
        <f t="shared" si="2683"/>
        <v>0</v>
      </c>
      <c r="FM101" s="137">
        <f t="shared" si="2684"/>
        <v>0</v>
      </c>
      <c r="FN101" s="227">
        <f t="shared" si="2678"/>
        <v>39.74</v>
      </c>
      <c r="FO101" s="138">
        <f t="shared" si="2686"/>
        <v>0</v>
      </c>
      <c r="FP101" s="110">
        <f t="shared" si="2687"/>
        <v>0</v>
      </c>
      <c r="FQ101" s="110"/>
      <c r="FR101" s="139"/>
      <c r="FS101" s="140" t="e">
        <f t="shared" si="2688"/>
        <v>#DIV/0!</v>
      </c>
      <c r="FT101" s="198">
        <f t="shared" si="2674"/>
        <v>0</v>
      </c>
      <c r="FU101" s="225">
        <f t="shared" si="2689"/>
        <v>0</v>
      </c>
      <c r="FV101" s="226">
        <f t="shared" si="2690"/>
        <v>0</v>
      </c>
      <c r="FW101" s="137">
        <f t="shared" si="2691"/>
        <v>0</v>
      </c>
      <c r="FX101" s="227">
        <f t="shared" si="2678"/>
        <v>53.97</v>
      </c>
      <c r="FY101" s="138">
        <f t="shared" si="2693"/>
        <v>0</v>
      </c>
      <c r="FZ101" s="110">
        <f t="shared" si="2694"/>
        <v>0</v>
      </c>
      <c r="GA101" s="110"/>
      <c r="GB101" s="139"/>
      <c r="GC101" s="140" t="e">
        <f t="shared" si="2695"/>
        <v>#DIV/0!</v>
      </c>
      <c r="GD101" s="198">
        <f t="shared" si="2674"/>
        <v>0</v>
      </c>
      <c r="GE101" s="225">
        <f t="shared" si="2696"/>
        <v>0</v>
      </c>
      <c r="GF101" s="226">
        <f t="shared" si="2697"/>
        <v>0</v>
      </c>
      <c r="GG101" s="137">
        <f t="shared" si="2698"/>
        <v>0</v>
      </c>
      <c r="GH101" s="227">
        <f t="shared" si="2678"/>
        <v>54.63</v>
      </c>
      <c r="GI101" s="138">
        <f t="shared" si="2700"/>
        <v>0</v>
      </c>
      <c r="GJ101" s="110">
        <f t="shared" si="2701"/>
        <v>0</v>
      </c>
      <c r="GK101" s="110"/>
      <c r="GL101" s="139"/>
      <c r="GM101" s="140" t="e">
        <f t="shared" si="2702"/>
        <v>#DIV/0!</v>
      </c>
      <c r="GN101" s="198">
        <f t="shared" si="2674"/>
        <v>0</v>
      </c>
      <c r="GO101" s="225">
        <f t="shared" si="2703"/>
        <v>0</v>
      </c>
      <c r="GP101" s="226">
        <f t="shared" si="2704"/>
        <v>0</v>
      </c>
      <c r="GQ101" s="137">
        <f t="shared" si="2705"/>
        <v>0</v>
      </c>
      <c r="GR101" s="227">
        <f t="shared" si="2706"/>
        <v>52.13</v>
      </c>
      <c r="GS101" s="138">
        <f t="shared" si="2707"/>
        <v>0</v>
      </c>
      <c r="GT101" s="110">
        <f t="shared" si="2708"/>
        <v>0</v>
      </c>
      <c r="GU101" s="110"/>
      <c r="GV101" s="139"/>
      <c r="GW101" s="140" t="e">
        <f t="shared" si="2709"/>
        <v>#DIV/0!</v>
      </c>
      <c r="GX101" s="198">
        <f t="shared" si="2674"/>
        <v>0</v>
      </c>
      <c r="GY101" s="225">
        <f t="shared" si="2710"/>
        <v>0</v>
      </c>
      <c r="GZ101" s="226">
        <f t="shared" si="2711"/>
        <v>0</v>
      </c>
      <c r="HA101" s="137">
        <f t="shared" si="2712"/>
        <v>0</v>
      </c>
      <c r="HB101" s="227">
        <f t="shared" si="2706"/>
        <v>42.58</v>
      </c>
      <c r="HC101" s="138">
        <f t="shared" si="2714"/>
        <v>0</v>
      </c>
      <c r="HD101" s="110">
        <f t="shared" si="2715"/>
        <v>0</v>
      </c>
      <c r="HE101" s="110"/>
      <c r="HF101" s="139"/>
      <c r="HG101" s="140" t="e">
        <f t="shared" si="2716"/>
        <v>#DIV/0!</v>
      </c>
      <c r="HH101" s="198">
        <f t="shared" si="2674"/>
        <v>0</v>
      </c>
      <c r="HI101" s="225">
        <f t="shared" si="2717"/>
        <v>0</v>
      </c>
      <c r="HJ101" s="226">
        <f t="shared" si="2718"/>
        <v>0</v>
      </c>
      <c r="HK101" s="137">
        <f t="shared" si="2719"/>
        <v>0</v>
      </c>
      <c r="HL101" s="227">
        <f t="shared" si="2706"/>
        <v>49.58</v>
      </c>
      <c r="HM101" s="138">
        <f t="shared" si="2721"/>
        <v>0</v>
      </c>
      <c r="HN101" s="110">
        <f t="shared" si="2722"/>
        <v>0</v>
      </c>
      <c r="HO101" s="110"/>
      <c r="HP101" s="139"/>
      <c r="HQ101" s="140" t="e">
        <f t="shared" si="2723"/>
        <v>#DIV/0!</v>
      </c>
      <c r="HR101" s="198">
        <f t="shared" si="2724"/>
        <v>0</v>
      </c>
      <c r="HS101" s="225">
        <f t="shared" si="2725"/>
        <v>0</v>
      </c>
      <c r="HT101" s="226">
        <f t="shared" si="2726"/>
        <v>0</v>
      </c>
      <c r="HU101" s="137">
        <f t="shared" si="2727"/>
        <v>0</v>
      </c>
      <c r="HV101" s="227">
        <f t="shared" si="2706"/>
        <v>52.62</v>
      </c>
      <c r="HW101" s="138">
        <f t="shared" si="2729"/>
        <v>0</v>
      </c>
      <c r="HX101" s="110">
        <f t="shared" si="2730"/>
        <v>0</v>
      </c>
      <c r="HY101" s="110"/>
      <c r="HZ101" s="139"/>
      <c r="IA101" s="140" t="e">
        <f t="shared" si="2731"/>
        <v>#DIV/0!</v>
      </c>
      <c r="IB101" s="198">
        <f t="shared" si="2724"/>
        <v>0</v>
      </c>
      <c r="IC101" s="225">
        <f t="shared" si="2732"/>
        <v>0</v>
      </c>
      <c r="ID101" s="226">
        <f t="shared" si="2733"/>
        <v>0</v>
      </c>
      <c r="IE101" s="137">
        <f t="shared" si="2734"/>
        <v>0</v>
      </c>
      <c r="IF101" s="227">
        <f t="shared" si="2735"/>
        <v>50</v>
      </c>
      <c r="IG101" s="138">
        <f t="shared" si="2736"/>
        <v>0</v>
      </c>
      <c r="IH101" s="110">
        <f t="shared" si="2737"/>
        <v>0</v>
      </c>
      <c r="II101" s="110"/>
      <c r="IJ101" s="139"/>
      <c r="IK101" s="140" t="e">
        <f t="shared" si="2738"/>
        <v>#DIV/0!</v>
      </c>
      <c r="IL101" s="198">
        <f t="shared" si="2724"/>
        <v>0</v>
      </c>
      <c r="IM101" s="225">
        <f t="shared" si="2739"/>
        <v>0</v>
      </c>
      <c r="IN101" s="226">
        <f t="shared" si="2740"/>
        <v>0</v>
      </c>
      <c r="IO101" s="137">
        <f t="shared" si="2741"/>
        <v>0</v>
      </c>
      <c r="IP101" s="227">
        <f t="shared" si="2735"/>
        <v>54.39</v>
      </c>
      <c r="IQ101" s="138">
        <f t="shared" si="2743"/>
        <v>0</v>
      </c>
      <c r="IR101" s="110">
        <f t="shared" si="2744"/>
        <v>0</v>
      </c>
      <c r="IS101" s="110"/>
      <c r="IT101" s="139"/>
      <c r="IU101" s="140" t="e">
        <f t="shared" si="2745"/>
        <v>#DIV/0!</v>
      </c>
      <c r="IV101" s="198">
        <f t="shared" si="2724"/>
        <v>0</v>
      </c>
      <c r="IW101" s="225">
        <f t="shared" si="2746"/>
        <v>0</v>
      </c>
      <c r="IX101" s="226">
        <f t="shared" si="2747"/>
        <v>0</v>
      </c>
      <c r="IY101" s="137">
        <f t="shared" si="2748"/>
        <v>0</v>
      </c>
      <c r="IZ101" s="227">
        <f t="shared" si="2735"/>
        <v>54.71</v>
      </c>
      <c r="JA101" s="138">
        <f t="shared" si="2750"/>
        <v>0</v>
      </c>
      <c r="JB101" s="110">
        <f t="shared" si="2751"/>
        <v>0</v>
      </c>
      <c r="JC101" s="110"/>
      <c r="JD101" s="139"/>
      <c r="JE101" s="140" t="e">
        <f t="shared" si="2752"/>
        <v>#DIV/0!</v>
      </c>
      <c r="JF101" s="198">
        <f t="shared" si="2724"/>
        <v>0</v>
      </c>
      <c r="JG101" s="225">
        <f t="shared" si="2753"/>
        <v>0</v>
      </c>
      <c r="JH101" s="226">
        <f t="shared" si="2754"/>
        <v>0</v>
      </c>
      <c r="JI101" s="137">
        <f t="shared" si="2755"/>
        <v>0</v>
      </c>
      <c r="JJ101" s="227">
        <f t="shared" si="2735"/>
        <v>43.31</v>
      </c>
      <c r="JK101" s="138">
        <f t="shared" si="2757"/>
        <v>0</v>
      </c>
      <c r="JL101" s="110">
        <f t="shared" si="2758"/>
        <v>0</v>
      </c>
      <c r="JM101" s="110"/>
      <c r="JN101" s="139"/>
      <c r="JO101" s="140" t="e">
        <f t="shared" si="2759"/>
        <v>#DIV/0!</v>
      </c>
      <c r="JP101" s="198">
        <f t="shared" si="2724"/>
        <v>0</v>
      </c>
      <c r="JQ101" s="225">
        <f t="shared" si="2760"/>
        <v>0</v>
      </c>
      <c r="JR101" s="226">
        <f t="shared" si="2761"/>
        <v>0</v>
      </c>
      <c r="JS101" s="137">
        <f t="shared" si="2762"/>
        <v>0</v>
      </c>
      <c r="JT101" s="227">
        <f t="shared" si="2763"/>
        <v>57.05</v>
      </c>
      <c r="JU101" s="138">
        <f t="shared" si="2764"/>
        <v>0</v>
      </c>
      <c r="JV101" s="110">
        <f t="shared" si="2765"/>
        <v>0</v>
      </c>
      <c r="JW101" s="110"/>
      <c r="JX101" s="139"/>
      <c r="JY101" s="140" t="e">
        <f t="shared" si="2766"/>
        <v>#DIV/0!</v>
      </c>
      <c r="JZ101" s="198">
        <f t="shared" si="2724"/>
        <v>0</v>
      </c>
      <c r="KA101" s="225">
        <f t="shared" si="2767"/>
        <v>0</v>
      </c>
      <c r="KB101" s="226">
        <f t="shared" si="2768"/>
        <v>0</v>
      </c>
      <c r="KC101" s="137">
        <f t="shared" si="2769"/>
        <v>0</v>
      </c>
      <c r="KD101" s="227">
        <f t="shared" si="2763"/>
        <v>51.65</v>
      </c>
      <c r="KE101" s="138">
        <f t="shared" si="2771"/>
        <v>0</v>
      </c>
      <c r="KF101" s="110">
        <f t="shared" si="2772"/>
        <v>0</v>
      </c>
      <c r="KG101" s="110"/>
      <c r="KH101" s="139"/>
      <c r="KI101" s="140" t="e">
        <f t="shared" si="2773"/>
        <v>#DIV/0!</v>
      </c>
      <c r="KJ101" s="198">
        <f t="shared" si="2774"/>
        <v>0</v>
      </c>
      <c r="KK101" s="225">
        <f t="shared" si="2775"/>
        <v>0</v>
      </c>
      <c r="KL101" s="226">
        <f t="shared" si="2776"/>
        <v>0</v>
      </c>
      <c r="KM101" s="137">
        <f t="shared" si="2777"/>
        <v>0</v>
      </c>
      <c r="KN101" s="227">
        <f t="shared" si="2763"/>
        <v>51.78</v>
      </c>
      <c r="KO101" s="138">
        <f t="shared" si="2779"/>
        <v>0</v>
      </c>
      <c r="KP101" s="110">
        <f t="shared" si="2780"/>
        <v>0</v>
      </c>
      <c r="KQ101" s="110"/>
      <c r="KR101" s="139"/>
      <c r="KS101" s="140" t="e">
        <f t="shared" si="2781"/>
        <v>#DIV/0!</v>
      </c>
      <c r="KT101" s="198">
        <f t="shared" si="2774"/>
        <v>0</v>
      </c>
      <c r="KU101" s="225">
        <f t="shared" si="2782"/>
        <v>0</v>
      </c>
      <c r="KV101" s="226">
        <f t="shared" si="2783"/>
        <v>0</v>
      </c>
      <c r="KW101" s="137">
        <f t="shared" si="2784"/>
        <v>0</v>
      </c>
      <c r="KX101" s="227">
        <f t="shared" si="2763"/>
        <v>55.65</v>
      </c>
      <c r="KY101" s="138">
        <f t="shared" si="2786"/>
        <v>0</v>
      </c>
      <c r="KZ101" s="110">
        <f t="shared" si="2787"/>
        <v>0</v>
      </c>
      <c r="LA101" s="110"/>
      <c r="LB101" s="139"/>
      <c r="LC101" s="140" t="e">
        <f t="shared" si="2788"/>
        <v>#DIV/0!</v>
      </c>
      <c r="LD101" s="197">
        <f t="shared" si="2789"/>
        <v>0</v>
      </c>
      <c r="LE101" s="225">
        <f t="shared" si="2790"/>
        <v>0</v>
      </c>
      <c r="LF101" s="226">
        <f t="shared" si="2791"/>
        <v>0</v>
      </c>
      <c r="LG101" s="137">
        <f t="shared" si="2792"/>
        <v>0</v>
      </c>
      <c r="LH101" s="227">
        <f t="shared" si="2793"/>
        <v>50.24</v>
      </c>
      <c r="LI101" s="138">
        <f t="shared" si="2794"/>
        <v>0</v>
      </c>
      <c r="LJ101" s="110">
        <f t="shared" si="2795"/>
        <v>0</v>
      </c>
      <c r="LK101" s="110"/>
      <c r="LL101" s="139"/>
    </row>
    <row r="102" spans="1:324" ht="27.75" customHeight="1" x14ac:dyDescent="0.25">
      <c r="A102" s="246"/>
      <c r="B102" s="12" t="s">
        <v>625</v>
      </c>
      <c r="C102" s="12" t="s">
        <v>727</v>
      </c>
      <c r="D102" s="12" t="s">
        <v>427</v>
      </c>
      <c r="E102" s="4" t="s">
        <v>32</v>
      </c>
      <c r="F102" s="198">
        <f t="shared" si="2569"/>
        <v>0</v>
      </c>
      <c r="G102" s="225">
        <f t="shared" si="2796"/>
        <v>0</v>
      </c>
      <c r="H102" s="226">
        <f t="shared" si="2797"/>
        <v>0</v>
      </c>
      <c r="I102" s="137">
        <f t="shared" si="2570"/>
        <v>0</v>
      </c>
      <c r="J102" s="227">
        <f t="shared" si="2798"/>
        <v>40.909999999999997</v>
      </c>
      <c r="K102" s="138">
        <f t="shared" si="2571"/>
        <v>0</v>
      </c>
      <c r="L102" s="110">
        <f t="shared" si="2572"/>
        <v>0</v>
      </c>
      <c r="M102" s="110"/>
      <c r="N102" s="139"/>
      <c r="O102" s="140">
        <f t="shared" si="2573"/>
        <v>0</v>
      </c>
      <c r="P102" s="198">
        <f t="shared" si="2574"/>
        <v>0</v>
      </c>
      <c r="Q102" s="225">
        <f t="shared" si="2575"/>
        <v>0</v>
      </c>
      <c r="R102" s="226">
        <f t="shared" si="2576"/>
        <v>0</v>
      </c>
      <c r="S102" s="137">
        <f t="shared" si="2577"/>
        <v>0</v>
      </c>
      <c r="T102" s="227">
        <f t="shared" si="2578"/>
        <v>36.11</v>
      </c>
      <c r="U102" s="138">
        <f t="shared" si="2579"/>
        <v>0</v>
      </c>
      <c r="V102" s="110">
        <f t="shared" si="2580"/>
        <v>0</v>
      </c>
      <c r="W102" s="110"/>
      <c r="X102" s="139"/>
      <c r="Y102" s="140">
        <f t="shared" si="2581"/>
        <v>0</v>
      </c>
      <c r="Z102" s="198">
        <f t="shared" si="2574"/>
        <v>0</v>
      </c>
      <c r="AA102" s="225">
        <f t="shared" si="2582"/>
        <v>0</v>
      </c>
      <c r="AB102" s="226">
        <f t="shared" si="2583"/>
        <v>0</v>
      </c>
      <c r="AC102" s="137">
        <f t="shared" si="2584"/>
        <v>0</v>
      </c>
      <c r="AD102" s="227">
        <f t="shared" si="2578"/>
        <v>54.87</v>
      </c>
      <c r="AE102" s="138">
        <f t="shared" si="2586"/>
        <v>0</v>
      </c>
      <c r="AF102" s="110">
        <f t="shared" si="2587"/>
        <v>0</v>
      </c>
      <c r="AG102" s="110"/>
      <c r="AH102" s="139"/>
      <c r="AI102" s="140">
        <f t="shared" si="2588"/>
        <v>0</v>
      </c>
      <c r="AJ102" s="198">
        <f t="shared" si="2574"/>
        <v>25</v>
      </c>
      <c r="AK102" s="225">
        <f t="shared" si="2589"/>
        <v>3.7589999999999998E-2</v>
      </c>
      <c r="AL102" s="226">
        <f t="shared" si="2590"/>
        <v>42.89</v>
      </c>
      <c r="AM102" s="137">
        <f t="shared" si="2591"/>
        <v>1.7156</v>
      </c>
      <c r="AN102" s="227">
        <f t="shared" si="2578"/>
        <v>54.42</v>
      </c>
      <c r="AO102" s="138">
        <f t="shared" si="2593"/>
        <v>93.362949999999998</v>
      </c>
      <c r="AP102" s="110">
        <f t="shared" si="2594"/>
        <v>2334.0700000000002</v>
      </c>
      <c r="AQ102" s="110"/>
      <c r="AR102" s="139"/>
      <c r="AS102" s="140">
        <f t="shared" si="2595"/>
        <v>0.86555000000000004</v>
      </c>
      <c r="AT102" s="198">
        <f t="shared" si="2574"/>
        <v>0</v>
      </c>
      <c r="AU102" s="225">
        <f t="shared" si="2596"/>
        <v>0</v>
      </c>
      <c r="AV102" s="226">
        <f t="shared" si="2597"/>
        <v>0</v>
      </c>
      <c r="AW102" s="137">
        <f t="shared" si="2598"/>
        <v>0</v>
      </c>
      <c r="AX102" s="227">
        <f t="shared" si="2578"/>
        <v>49.55</v>
      </c>
      <c r="AY102" s="138">
        <f t="shared" si="2600"/>
        <v>0</v>
      </c>
      <c r="AZ102" s="110">
        <f t="shared" si="2601"/>
        <v>0</v>
      </c>
      <c r="BA102" s="110"/>
      <c r="BB102" s="139"/>
      <c r="BC102" s="140">
        <f t="shared" si="2602"/>
        <v>0</v>
      </c>
      <c r="BD102" s="198">
        <f t="shared" si="2574"/>
        <v>0</v>
      </c>
      <c r="BE102" s="225">
        <f t="shared" si="2603"/>
        <v>0</v>
      </c>
      <c r="BF102" s="226">
        <f t="shared" si="2604"/>
        <v>0</v>
      </c>
      <c r="BG102" s="137">
        <f t="shared" si="2605"/>
        <v>0</v>
      </c>
      <c r="BH102" s="227">
        <f t="shared" si="2578"/>
        <v>55.1</v>
      </c>
      <c r="BI102" s="138">
        <f t="shared" si="2607"/>
        <v>0</v>
      </c>
      <c r="BJ102" s="110">
        <f t="shared" si="2608"/>
        <v>0</v>
      </c>
      <c r="BK102" s="110"/>
      <c r="BL102" s="139"/>
      <c r="BM102" s="140">
        <f t="shared" si="2609"/>
        <v>0</v>
      </c>
      <c r="BN102" s="198">
        <f t="shared" si="2574"/>
        <v>0</v>
      </c>
      <c r="BO102" s="225">
        <f t="shared" si="2610"/>
        <v>0</v>
      </c>
      <c r="BP102" s="226">
        <f t="shared" si="2611"/>
        <v>0</v>
      </c>
      <c r="BQ102" s="137">
        <f t="shared" si="2612"/>
        <v>0</v>
      </c>
      <c r="BR102" s="227">
        <f t="shared" si="2578"/>
        <v>54.14</v>
      </c>
      <c r="BS102" s="138">
        <f t="shared" si="2614"/>
        <v>0</v>
      </c>
      <c r="BT102" s="110">
        <f t="shared" si="2615"/>
        <v>0</v>
      </c>
      <c r="BU102" s="110"/>
      <c r="BV102" s="139"/>
      <c r="BW102" s="140">
        <f t="shared" si="2616"/>
        <v>0</v>
      </c>
      <c r="BX102" s="198">
        <f t="shared" si="2574"/>
        <v>0</v>
      </c>
      <c r="BY102" s="225">
        <f t="shared" si="2617"/>
        <v>0</v>
      </c>
      <c r="BZ102" s="226">
        <f t="shared" si="2618"/>
        <v>0</v>
      </c>
      <c r="CA102" s="137">
        <f t="shared" si="2619"/>
        <v>0</v>
      </c>
      <c r="CB102" s="227">
        <f t="shared" si="2578"/>
        <v>51.74</v>
      </c>
      <c r="CC102" s="138">
        <f t="shared" si="2621"/>
        <v>0</v>
      </c>
      <c r="CD102" s="110">
        <f t="shared" si="2622"/>
        <v>0</v>
      </c>
      <c r="CE102" s="110"/>
      <c r="CF102" s="139"/>
      <c r="CG102" s="140">
        <f t="shared" si="2623"/>
        <v>0</v>
      </c>
      <c r="CH102" s="198">
        <f t="shared" si="2624"/>
        <v>0</v>
      </c>
      <c r="CI102" s="225">
        <f t="shared" si="2625"/>
        <v>0</v>
      </c>
      <c r="CJ102" s="226">
        <f t="shared" si="2626"/>
        <v>0</v>
      </c>
      <c r="CK102" s="137">
        <f t="shared" si="2627"/>
        <v>0</v>
      </c>
      <c r="CL102" s="227">
        <f t="shared" si="2628"/>
        <v>46.92</v>
      </c>
      <c r="CM102" s="138">
        <f t="shared" si="2629"/>
        <v>0</v>
      </c>
      <c r="CN102" s="110">
        <f t="shared" si="2630"/>
        <v>0</v>
      </c>
      <c r="CO102" s="110"/>
      <c r="CP102" s="139"/>
      <c r="CQ102" s="140">
        <f t="shared" si="2631"/>
        <v>0</v>
      </c>
      <c r="CR102" s="198">
        <f t="shared" si="2624"/>
        <v>8</v>
      </c>
      <c r="CS102" s="225">
        <f t="shared" si="2632"/>
        <v>1.0749999999999999E-2</v>
      </c>
      <c r="CT102" s="226">
        <f t="shared" si="2633"/>
        <v>12.91</v>
      </c>
      <c r="CU102" s="137">
        <f t="shared" si="2634"/>
        <v>1.61375</v>
      </c>
      <c r="CV102" s="227">
        <f t="shared" si="2628"/>
        <v>49.61</v>
      </c>
      <c r="CW102" s="138">
        <f t="shared" si="2636"/>
        <v>80.058139999999995</v>
      </c>
      <c r="CX102" s="110">
        <f t="shared" si="2637"/>
        <v>640.47</v>
      </c>
      <c r="CY102" s="110"/>
      <c r="CZ102" s="139"/>
      <c r="DA102" s="140">
        <f t="shared" si="2638"/>
        <v>0.74221000000000004</v>
      </c>
      <c r="DB102" s="198">
        <f t="shared" si="2624"/>
        <v>0</v>
      </c>
      <c r="DC102" s="225">
        <f t="shared" si="2639"/>
        <v>0</v>
      </c>
      <c r="DD102" s="226">
        <f t="shared" si="2640"/>
        <v>0</v>
      </c>
      <c r="DE102" s="137">
        <f t="shared" si="2641"/>
        <v>0</v>
      </c>
      <c r="DF102" s="227">
        <f t="shared" si="2628"/>
        <v>52.57</v>
      </c>
      <c r="DG102" s="138">
        <f t="shared" si="2643"/>
        <v>0</v>
      </c>
      <c r="DH102" s="110">
        <f t="shared" si="2644"/>
        <v>0</v>
      </c>
      <c r="DI102" s="110"/>
      <c r="DJ102" s="139"/>
      <c r="DK102" s="140">
        <f t="shared" si="2645"/>
        <v>0</v>
      </c>
      <c r="DL102" s="198">
        <f t="shared" si="2624"/>
        <v>0</v>
      </c>
      <c r="DM102" s="225">
        <f t="shared" si="2646"/>
        <v>0</v>
      </c>
      <c r="DN102" s="226">
        <f t="shared" si="2647"/>
        <v>0</v>
      </c>
      <c r="DO102" s="137">
        <f t="shared" si="2648"/>
        <v>0</v>
      </c>
      <c r="DP102" s="227">
        <f t="shared" si="2628"/>
        <v>55.25</v>
      </c>
      <c r="DQ102" s="138">
        <f t="shared" si="2650"/>
        <v>0</v>
      </c>
      <c r="DR102" s="110">
        <f t="shared" si="2651"/>
        <v>0</v>
      </c>
      <c r="DS102" s="110"/>
      <c r="DT102" s="139"/>
      <c r="DU102" s="140">
        <f t="shared" si="2652"/>
        <v>0</v>
      </c>
      <c r="DV102" s="198">
        <f t="shared" si="2624"/>
        <v>20</v>
      </c>
      <c r="DW102" s="225">
        <f t="shared" si="2653"/>
        <v>2.2780000000000002E-2</v>
      </c>
      <c r="DX102" s="226">
        <f t="shared" si="2654"/>
        <v>30.3</v>
      </c>
      <c r="DY102" s="137">
        <f t="shared" si="2655"/>
        <v>1.5149999999999999</v>
      </c>
      <c r="DZ102" s="227">
        <f t="shared" si="2628"/>
        <v>34.14</v>
      </c>
      <c r="EA102" s="138">
        <f t="shared" si="2657"/>
        <v>51.722099999999998</v>
      </c>
      <c r="EB102" s="110">
        <f t="shared" si="2658"/>
        <v>1034.44</v>
      </c>
      <c r="EC102" s="110"/>
      <c r="ED102" s="139"/>
      <c r="EE102" s="140">
        <f t="shared" si="2659"/>
        <v>0.47950999999999999</v>
      </c>
      <c r="EF102" s="198">
        <f t="shared" si="2624"/>
        <v>13</v>
      </c>
      <c r="EG102" s="225">
        <f t="shared" si="2660"/>
        <v>1.384E-2</v>
      </c>
      <c r="EH102" s="226">
        <f t="shared" si="2661"/>
        <v>12.73</v>
      </c>
      <c r="EI102" s="137">
        <f t="shared" si="2662"/>
        <v>0.97923077000000003</v>
      </c>
      <c r="EJ102" s="227">
        <f t="shared" si="2628"/>
        <v>44.53</v>
      </c>
      <c r="EK102" s="138">
        <f t="shared" si="2664"/>
        <v>43.605150000000002</v>
      </c>
      <c r="EL102" s="110">
        <f t="shared" si="2665"/>
        <v>566.87</v>
      </c>
      <c r="EM102" s="110"/>
      <c r="EN102" s="139"/>
      <c r="EO102" s="140">
        <f t="shared" si="2666"/>
        <v>0.40426000000000001</v>
      </c>
      <c r="EP102" s="198">
        <f t="shared" si="2624"/>
        <v>11</v>
      </c>
      <c r="EQ102" s="225">
        <f t="shared" si="2667"/>
        <v>1.166E-2</v>
      </c>
      <c r="ER102" s="226">
        <f t="shared" si="2668"/>
        <v>25.42</v>
      </c>
      <c r="ES102" s="137">
        <f t="shared" si="2669"/>
        <v>2.31090909</v>
      </c>
      <c r="ET102" s="227">
        <f t="shared" si="2628"/>
        <v>52.01</v>
      </c>
      <c r="EU102" s="138">
        <f t="shared" si="2671"/>
        <v>120.19038</v>
      </c>
      <c r="EV102" s="110">
        <f t="shared" si="2672"/>
        <v>1322.09</v>
      </c>
      <c r="EW102" s="110"/>
      <c r="EX102" s="139"/>
      <c r="EY102" s="140">
        <f t="shared" si="2673"/>
        <v>1.1142700000000001</v>
      </c>
      <c r="EZ102" s="198">
        <f t="shared" si="2674"/>
        <v>31</v>
      </c>
      <c r="FA102" s="225">
        <f t="shared" si="2675"/>
        <v>2.775E-2</v>
      </c>
      <c r="FB102" s="226">
        <f t="shared" si="2676"/>
        <v>49.95</v>
      </c>
      <c r="FC102" s="137">
        <f t="shared" si="2677"/>
        <v>1.6112903199999999</v>
      </c>
      <c r="FD102" s="227">
        <f t="shared" si="2678"/>
        <v>55.47</v>
      </c>
      <c r="FE102" s="138">
        <f t="shared" si="2679"/>
        <v>89.378270000000001</v>
      </c>
      <c r="FF102" s="110">
        <f t="shared" si="2680"/>
        <v>2770.73</v>
      </c>
      <c r="FG102" s="110"/>
      <c r="FH102" s="139"/>
      <c r="FI102" s="140">
        <f t="shared" si="2681"/>
        <v>0.82860999999999996</v>
      </c>
      <c r="FJ102" s="198">
        <f t="shared" si="2674"/>
        <v>0</v>
      </c>
      <c r="FK102" s="225">
        <f t="shared" si="2682"/>
        <v>0</v>
      </c>
      <c r="FL102" s="226">
        <f t="shared" si="2683"/>
        <v>0</v>
      </c>
      <c r="FM102" s="137">
        <f t="shared" si="2684"/>
        <v>0</v>
      </c>
      <c r="FN102" s="227">
        <f t="shared" si="2678"/>
        <v>39.74</v>
      </c>
      <c r="FO102" s="138">
        <f t="shared" si="2686"/>
        <v>0</v>
      </c>
      <c r="FP102" s="110">
        <f t="shared" si="2687"/>
        <v>0</v>
      </c>
      <c r="FQ102" s="110"/>
      <c r="FR102" s="139"/>
      <c r="FS102" s="140">
        <f t="shared" si="2688"/>
        <v>0</v>
      </c>
      <c r="FT102" s="198">
        <f t="shared" si="2674"/>
        <v>15</v>
      </c>
      <c r="FU102" s="225">
        <f t="shared" si="2689"/>
        <v>1.8679999999999999E-2</v>
      </c>
      <c r="FV102" s="226">
        <f t="shared" si="2690"/>
        <v>26.6</v>
      </c>
      <c r="FW102" s="137">
        <f t="shared" si="2691"/>
        <v>1.77333333</v>
      </c>
      <c r="FX102" s="227">
        <f t="shared" si="2678"/>
        <v>53.97</v>
      </c>
      <c r="FY102" s="138">
        <f t="shared" si="2693"/>
        <v>95.706800000000001</v>
      </c>
      <c r="FZ102" s="110">
        <f t="shared" si="2694"/>
        <v>1435.6</v>
      </c>
      <c r="GA102" s="110"/>
      <c r="GB102" s="139"/>
      <c r="GC102" s="140">
        <f t="shared" si="2695"/>
        <v>0.88727999999999996</v>
      </c>
      <c r="GD102" s="198">
        <f t="shared" si="2674"/>
        <v>32</v>
      </c>
      <c r="GE102" s="225">
        <f t="shared" si="2696"/>
        <v>6.25E-2</v>
      </c>
      <c r="GF102" s="226">
        <f t="shared" si="2697"/>
        <v>53.75</v>
      </c>
      <c r="GG102" s="137">
        <f t="shared" si="2698"/>
        <v>1.6796875</v>
      </c>
      <c r="GH102" s="227">
        <f t="shared" si="2678"/>
        <v>54.63</v>
      </c>
      <c r="GI102" s="138">
        <f t="shared" si="2700"/>
        <v>91.761330000000001</v>
      </c>
      <c r="GJ102" s="110">
        <f t="shared" si="2701"/>
        <v>2936.36</v>
      </c>
      <c r="GK102" s="110"/>
      <c r="GL102" s="139"/>
      <c r="GM102" s="140">
        <f t="shared" si="2702"/>
        <v>0.85070999999999997</v>
      </c>
      <c r="GN102" s="198">
        <f t="shared" si="2674"/>
        <v>0</v>
      </c>
      <c r="GO102" s="225">
        <f t="shared" si="2703"/>
        <v>0</v>
      </c>
      <c r="GP102" s="226">
        <f t="shared" si="2704"/>
        <v>0</v>
      </c>
      <c r="GQ102" s="137">
        <f t="shared" si="2705"/>
        <v>0</v>
      </c>
      <c r="GR102" s="227">
        <f t="shared" si="2706"/>
        <v>52.13</v>
      </c>
      <c r="GS102" s="138">
        <f t="shared" si="2707"/>
        <v>0</v>
      </c>
      <c r="GT102" s="110">
        <f t="shared" si="2708"/>
        <v>0</v>
      </c>
      <c r="GU102" s="110"/>
      <c r="GV102" s="139"/>
      <c r="GW102" s="140">
        <f t="shared" si="2709"/>
        <v>0</v>
      </c>
      <c r="GX102" s="198">
        <f t="shared" si="2674"/>
        <v>0</v>
      </c>
      <c r="GY102" s="225">
        <f t="shared" si="2710"/>
        <v>0</v>
      </c>
      <c r="GZ102" s="226">
        <f t="shared" si="2711"/>
        <v>0</v>
      </c>
      <c r="HA102" s="137">
        <f t="shared" si="2712"/>
        <v>0</v>
      </c>
      <c r="HB102" s="227">
        <f t="shared" si="2706"/>
        <v>42.58</v>
      </c>
      <c r="HC102" s="138">
        <f t="shared" si="2714"/>
        <v>0</v>
      </c>
      <c r="HD102" s="110">
        <f t="shared" si="2715"/>
        <v>0</v>
      </c>
      <c r="HE102" s="110"/>
      <c r="HF102" s="139"/>
      <c r="HG102" s="140">
        <f t="shared" si="2716"/>
        <v>0</v>
      </c>
      <c r="HH102" s="198">
        <f t="shared" si="2674"/>
        <v>6</v>
      </c>
      <c r="HI102" s="225">
        <f t="shared" si="2717"/>
        <v>5.2100000000000002E-3</v>
      </c>
      <c r="HJ102" s="226">
        <f t="shared" si="2718"/>
        <v>17.350000000000001</v>
      </c>
      <c r="HK102" s="137">
        <f t="shared" si="2719"/>
        <v>2.8916666700000002</v>
      </c>
      <c r="HL102" s="227">
        <f t="shared" si="2706"/>
        <v>49.58</v>
      </c>
      <c r="HM102" s="138">
        <f t="shared" si="2721"/>
        <v>143.36883</v>
      </c>
      <c r="HN102" s="110">
        <f t="shared" si="2722"/>
        <v>860.21</v>
      </c>
      <c r="HO102" s="110"/>
      <c r="HP102" s="139"/>
      <c r="HQ102" s="140">
        <f t="shared" si="2723"/>
        <v>1.3291500000000001</v>
      </c>
      <c r="HR102" s="198">
        <f t="shared" si="2724"/>
        <v>0</v>
      </c>
      <c r="HS102" s="225">
        <f t="shared" si="2725"/>
        <v>0</v>
      </c>
      <c r="HT102" s="226">
        <f t="shared" si="2726"/>
        <v>0</v>
      </c>
      <c r="HU102" s="137">
        <f t="shared" si="2727"/>
        <v>0</v>
      </c>
      <c r="HV102" s="227">
        <f t="shared" si="2706"/>
        <v>52.62</v>
      </c>
      <c r="HW102" s="138">
        <f t="shared" si="2729"/>
        <v>0</v>
      </c>
      <c r="HX102" s="110">
        <f t="shared" si="2730"/>
        <v>0</v>
      </c>
      <c r="HY102" s="110"/>
      <c r="HZ102" s="139"/>
      <c r="IA102" s="140">
        <f t="shared" si="2731"/>
        <v>0</v>
      </c>
      <c r="IB102" s="198">
        <f t="shared" si="2724"/>
        <v>22</v>
      </c>
      <c r="IC102" s="225">
        <f t="shared" si="2732"/>
        <v>4.0149999999999998E-2</v>
      </c>
      <c r="ID102" s="226">
        <f t="shared" si="2733"/>
        <v>17.260000000000002</v>
      </c>
      <c r="IE102" s="137">
        <f t="shared" si="2734"/>
        <v>0.78454544999999998</v>
      </c>
      <c r="IF102" s="227">
        <f t="shared" si="2735"/>
        <v>50</v>
      </c>
      <c r="IG102" s="138">
        <f t="shared" si="2736"/>
        <v>39.227269999999997</v>
      </c>
      <c r="IH102" s="110">
        <f t="shared" si="2737"/>
        <v>863</v>
      </c>
      <c r="II102" s="110"/>
      <c r="IJ102" s="139"/>
      <c r="IK102" s="140">
        <f t="shared" si="2738"/>
        <v>0.36366999999999999</v>
      </c>
      <c r="IL102" s="198">
        <f t="shared" si="2724"/>
        <v>0</v>
      </c>
      <c r="IM102" s="225">
        <f t="shared" si="2739"/>
        <v>0</v>
      </c>
      <c r="IN102" s="226">
        <f t="shared" si="2740"/>
        <v>0</v>
      </c>
      <c r="IO102" s="137">
        <f t="shared" si="2741"/>
        <v>0</v>
      </c>
      <c r="IP102" s="227">
        <f t="shared" si="2735"/>
        <v>54.39</v>
      </c>
      <c r="IQ102" s="138">
        <f t="shared" si="2743"/>
        <v>0</v>
      </c>
      <c r="IR102" s="110">
        <f t="shared" si="2744"/>
        <v>0</v>
      </c>
      <c r="IS102" s="110"/>
      <c r="IT102" s="139"/>
      <c r="IU102" s="140">
        <f t="shared" si="2745"/>
        <v>0</v>
      </c>
      <c r="IV102" s="198">
        <f t="shared" si="2724"/>
        <v>0</v>
      </c>
      <c r="IW102" s="225">
        <f t="shared" si="2746"/>
        <v>0</v>
      </c>
      <c r="IX102" s="226">
        <f t="shared" si="2747"/>
        <v>0</v>
      </c>
      <c r="IY102" s="137">
        <f t="shared" si="2748"/>
        <v>0</v>
      </c>
      <c r="IZ102" s="227">
        <f t="shared" si="2735"/>
        <v>54.71</v>
      </c>
      <c r="JA102" s="138">
        <f t="shared" si="2750"/>
        <v>0</v>
      </c>
      <c r="JB102" s="110">
        <f t="shared" si="2751"/>
        <v>0</v>
      </c>
      <c r="JC102" s="110"/>
      <c r="JD102" s="139"/>
      <c r="JE102" s="140">
        <f t="shared" si="2752"/>
        <v>0</v>
      </c>
      <c r="JF102" s="198">
        <f t="shared" si="2724"/>
        <v>0</v>
      </c>
      <c r="JG102" s="225">
        <f t="shared" si="2753"/>
        <v>0</v>
      </c>
      <c r="JH102" s="226">
        <f t="shared" si="2754"/>
        <v>0</v>
      </c>
      <c r="JI102" s="137">
        <f t="shared" si="2755"/>
        <v>0</v>
      </c>
      <c r="JJ102" s="227">
        <f t="shared" si="2735"/>
        <v>43.31</v>
      </c>
      <c r="JK102" s="138">
        <f t="shared" si="2757"/>
        <v>0</v>
      </c>
      <c r="JL102" s="110">
        <f t="shared" si="2758"/>
        <v>0</v>
      </c>
      <c r="JM102" s="110"/>
      <c r="JN102" s="139"/>
      <c r="JO102" s="140">
        <f t="shared" si="2759"/>
        <v>0</v>
      </c>
      <c r="JP102" s="198">
        <f t="shared" si="2724"/>
        <v>10</v>
      </c>
      <c r="JQ102" s="225">
        <f t="shared" si="2760"/>
        <v>8.0099999999999998E-3</v>
      </c>
      <c r="JR102" s="226">
        <f t="shared" si="2761"/>
        <v>30.44</v>
      </c>
      <c r="JS102" s="137">
        <f t="shared" si="2762"/>
        <v>3.044</v>
      </c>
      <c r="JT102" s="227">
        <f t="shared" si="2763"/>
        <v>57.05</v>
      </c>
      <c r="JU102" s="138">
        <f t="shared" si="2764"/>
        <v>173.6602</v>
      </c>
      <c r="JV102" s="110">
        <f t="shared" si="2765"/>
        <v>1736.6</v>
      </c>
      <c r="JW102" s="110"/>
      <c r="JX102" s="139"/>
      <c r="JY102" s="140">
        <f t="shared" si="2766"/>
        <v>1.60998</v>
      </c>
      <c r="JZ102" s="198">
        <f t="shared" si="2724"/>
        <v>0</v>
      </c>
      <c r="KA102" s="225">
        <f t="shared" si="2767"/>
        <v>0</v>
      </c>
      <c r="KB102" s="226">
        <f t="shared" si="2768"/>
        <v>0</v>
      </c>
      <c r="KC102" s="137">
        <f t="shared" si="2769"/>
        <v>0</v>
      </c>
      <c r="KD102" s="227">
        <f t="shared" si="2763"/>
        <v>51.65</v>
      </c>
      <c r="KE102" s="138">
        <f t="shared" si="2771"/>
        <v>0</v>
      </c>
      <c r="KF102" s="110">
        <f t="shared" si="2772"/>
        <v>0</v>
      </c>
      <c r="KG102" s="110"/>
      <c r="KH102" s="139"/>
      <c r="KI102" s="140">
        <f t="shared" si="2773"/>
        <v>0</v>
      </c>
      <c r="KJ102" s="198">
        <f t="shared" si="2774"/>
        <v>0</v>
      </c>
      <c r="KK102" s="225">
        <f t="shared" si="2775"/>
        <v>0</v>
      </c>
      <c r="KL102" s="226">
        <f t="shared" si="2776"/>
        <v>0</v>
      </c>
      <c r="KM102" s="137">
        <f t="shared" si="2777"/>
        <v>0</v>
      </c>
      <c r="KN102" s="227">
        <f t="shared" si="2763"/>
        <v>51.78</v>
      </c>
      <c r="KO102" s="138">
        <f t="shared" si="2779"/>
        <v>0</v>
      </c>
      <c r="KP102" s="110">
        <f t="shared" si="2780"/>
        <v>0</v>
      </c>
      <c r="KQ102" s="110"/>
      <c r="KR102" s="139"/>
      <c r="KS102" s="140">
        <f t="shared" si="2781"/>
        <v>0</v>
      </c>
      <c r="KT102" s="198">
        <f t="shared" si="2774"/>
        <v>0</v>
      </c>
      <c r="KU102" s="225">
        <f t="shared" si="2782"/>
        <v>0</v>
      </c>
      <c r="KV102" s="226">
        <f t="shared" si="2783"/>
        <v>0</v>
      </c>
      <c r="KW102" s="137">
        <f t="shared" si="2784"/>
        <v>0</v>
      </c>
      <c r="KX102" s="227">
        <f t="shared" si="2763"/>
        <v>55.65</v>
      </c>
      <c r="KY102" s="138">
        <f t="shared" si="2786"/>
        <v>0</v>
      </c>
      <c r="KZ102" s="110">
        <f t="shared" si="2787"/>
        <v>0</v>
      </c>
      <c r="LA102" s="110"/>
      <c r="LB102" s="139"/>
      <c r="LC102" s="140">
        <f t="shared" si="2788"/>
        <v>0</v>
      </c>
      <c r="LD102" s="197">
        <f t="shared" si="2789"/>
        <v>193</v>
      </c>
      <c r="LE102" s="225">
        <f t="shared" si="2790"/>
        <v>6.7600000000000004E-3</v>
      </c>
      <c r="LF102" s="226">
        <f t="shared" si="2791"/>
        <v>414.37</v>
      </c>
      <c r="LG102" s="137">
        <f t="shared" si="2792"/>
        <v>2.1469948200000002</v>
      </c>
      <c r="LH102" s="227">
        <f t="shared" si="2793"/>
        <v>50.24</v>
      </c>
      <c r="LI102" s="138">
        <f t="shared" si="2794"/>
        <v>107.86502</v>
      </c>
      <c r="LJ102" s="110">
        <f t="shared" si="2795"/>
        <v>20817.95</v>
      </c>
      <c r="LK102" s="110"/>
      <c r="LL102" s="139"/>
    </row>
    <row r="103" spans="1:324" ht="26.25" customHeight="1" x14ac:dyDescent="0.25">
      <c r="A103" s="246"/>
      <c r="B103" s="12" t="s">
        <v>626</v>
      </c>
      <c r="C103" s="12" t="s">
        <v>728</v>
      </c>
      <c r="D103" s="12" t="s">
        <v>430</v>
      </c>
      <c r="E103" s="4" t="s">
        <v>32</v>
      </c>
      <c r="F103" s="198">
        <f t="shared" si="2569"/>
        <v>1</v>
      </c>
      <c r="G103" s="225">
        <f t="shared" si="2796"/>
        <v>1.66E-3</v>
      </c>
      <c r="H103" s="226">
        <f t="shared" si="2797"/>
        <v>1.54</v>
      </c>
      <c r="I103" s="137">
        <f t="shared" si="2570"/>
        <v>1.54</v>
      </c>
      <c r="J103" s="227">
        <f t="shared" si="2798"/>
        <v>40.909999999999997</v>
      </c>
      <c r="K103" s="138">
        <f t="shared" si="2571"/>
        <v>63.001399999999997</v>
      </c>
      <c r="L103" s="110">
        <f t="shared" si="2572"/>
        <v>63</v>
      </c>
      <c r="M103" s="110"/>
      <c r="N103" s="139"/>
      <c r="O103" s="140">
        <f t="shared" si="2573"/>
        <v>0.58450999999999997</v>
      </c>
      <c r="P103" s="198">
        <f t="shared" si="2574"/>
        <v>3</v>
      </c>
      <c r="Q103" s="225">
        <f t="shared" si="2575"/>
        <v>2.7399999999999998E-3</v>
      </c>
      <c r="R103" s="226">
        <f t="shared" si="2576"/>
        <v>4.41</v>
      </c>
      <c r="S103" s="137">
        <f t="shared" si="2577"/>
        <v>1.47</v>
      </c>
      <c r="T103" s="227">
        <f t="shared" si="2578"/>
        <v>36.11</v>
      </c>
      <c r="U103" s="138">
        <f t="shared" si="2579"/>
        <v>53.081699999999998</v>
      </c>
      <c r="V103" s="110">
        <f t="shared" si="2580"/>
        <v>159.25</v>
      </c>
      <c r="W103" s="110"/>
      <c r="X103" s="139"/>
      <c r="Y103" s="140">
        <f t="shared" si="2581"/>
        <v>0.49247999999999997</v>
      </c>
      <c r="Z103" s="198">
        <f t="shared" si="2574"/>
        <v>2</v>
      </c>
      <c r="AA103" s="225">
        <f t="shared" si="2582"/>
        <v>2.31E-3</v>
      </c>
      <c r="AB103" s="226">
        <f t="shared" si="2583"/>
        <v>2.98</v>
      </c>
      <c r="AC103" s="137">
        <f t="shared" si="2584"/>
        <v>1.49</v>
      </c>
      <c r="AD103" s="227">
        <f t="shared" si="2578"/>
        <v>54.87</v>
      </c>
      <c r="AE103" s="138">
        <f t="shared" si="2586"/>
        <v>81.756299999999996</v>
      </c>
      <c r="AF103" s="110">
        <f t="shared" si="2587"/>
        <v>163.51</v>
      </c>
      <c r="AG103" s="110"/>
      <c r="AH103" s="139"/>
      <c r="AI103" s="140">
        <f t="shared" si="2588"/>
        <v>0.75851000000000002</v>
      </c>
      <c r="AJ103" s="198">
        <f t="shared" si="2574"/>
        <v>0</v>
      </c>
      <c r="AK103" s="225">
        <f t="shared" si="2589"/>
        <v>0</v>
      </c>
      <c r="AL103" s="226">
        <f t="shared" si="2590"/>
        <v>0</v>
      </c>
      <c r="AM103" s="137">
        <f t="shared" si="2591"/>
        <v>0</v>
      </c>
      <c r="AN103" s="227">
        <f t="shared" si="2578"/>
        <v>54.42</v>
      </c>
      <c r="AO103" s="138">
        <f t="shared" si="2593"/>
        <v>0</v>
      </c>
      <c r="AP103" s="110">
        <f t="shared" si="2594"/>
        <v>0</v>
      </c>
      <c r="AQ103" s="110"/>
      <c r="AR103" s="139"/>
      <c r="AS103" s="140">
        <f t="shared" si="2595"/>
        <v>0</v>
      </c>
      <c r="AT103" s="198">
        <f t="shared" si="2574"/>
        <v>2</v>
      </c>
      <c r="AU103" s="225">
        <f t="shared" si="2596"/>
        <v>2.0999999999999999E-3</v>
      </c>
      <c r="AV103" s="226">
        <f t="shared" si="2597"/>
        <v>1.91</v>
      </c>
      <c r="AW103" s="137">
        <f t="shared" si="2598"/>
        <v>0.95499999999999996</v>
      </c>
      <c r="AX103" s="227">
        <f t="shared" si="2578"/>
        <v>49.55</v>
      </c>
      <c r="AY103" s="138">
        <f t="shared" si="2600"/>
        <v>47.320250000000001</v>
      </c>
      <c r="AZ103" s="110">
        <f t="shared" si="2601"/>
        <v>94.64</v>
      </c>
      <c r="BA103" s="110"/>
      <c r="BB103" s="139"/>
      <c r="BC103" s="140">
        <f t="shared" si="2602"/>
        <v>0.43902000000000002</v>
      </c>
      <c r="BD103" s="198">
        <f t="shared" si="2574"/>
        <v>0</v>
      </c>
      <c r="BE103" s="225">
        <f t="shared" si="2603"/>
        <v>0</v>
      </c>
      <c r="BF103" s="226">
        <f t="shared" si="2604"/>
        <v>0</v>
      </c>
      <c r="BG103" s="137">
        <f t="shared" si="2605"/>
        <v>0</v>
      </c>
      <c r="BH103" s="227">
        <f t="shared" si="2578"/>
        <v>55.1</v>
      </c>
      <c r="BI103" s="138">
        <f t="shared" si="2607"/>
        <v>0</v>
      </c>
      <c r="BJ103" s="110">
        <f t="shared" si="2608"/>
        <v>0</v>
      </c>
      <c r="BK103" s="110"/>
      <c r="BL103" s="139"/>
      <c r="BM103" s="140">
        <f t="shared" si="2609"/>
        <v>0</v>
      </c>
      <c r="BN103" s="198">
        <f t="shared" si="2574"/>
        <v>4</v>
      </c>
      <c r="BO103" s="225">
        <f t="shared" si="2610"/>
        <v>6.4799999999999996E-3</v>
      </c>
      <c r="BP103" s="226">
        <f t="shared" si="2611"/>
        <v>7.91</v>
      </c>
      <c r="BQ103" s="137">
        <f t="shared" si="2612"/>
        <v>1.9775</v>
      </c>
      <c r="BR103" s="227">
        <f t="shared" si="2578"/>
        <v>54.14</v>
      </c>
      <c r="BS103" s="138">
        <f t="shared" si="2614"/>
        <v>107.06185000000001</v>
      </c>
      <c r="BT103" s="110">
        <f t="shared" si="2615"/>
        <v>428.25</v>
      </c>
      <c r="BU103" s="110"/>
      <c r="BV103" s="139"/>
      <c r="BW103" s="140">
        <f t="shared" si="2616"/>
        <v>0.99329000000000001</v>
      </c>
      <c r="BX103" s="198">
        <f t="shared" si="2574"/>
        <v>1</v>
      </c>
      <c r="BY103" s="225">
        <f t="shared" si="2617"/>
        <v>1.2700000000000001E-3</v>
      </c>
      <c r="BZ103" s="226">
        <f t="shared" si="2618"/>
        <v>1.87</v>
      </c>
      <c r="CA103" s="137">
        <f t="shared" si="2619"/>
        <v>1.87</v>
      </c>
      <c r="CB103" s="227">
        <f t="shared" si="2578"/>
        <v>51.74</v>
      </c>
      <c r="CC103" s="138">
        <f t="shared" si="2621"/>
        <v>96.753799999999998</v>
      </c>
      <c r="CD103" s="110">
        <f t="shared" si="2622"/>
        <v>96.75</v>
      </c>
      <c r="CE103" s="110"/>
      <c r="CF103" s="139"/>
      <c r="CG103" s="140">
        <f t="shared" si="2623"/>
        <v>0.89764999999999995</v>
      </c>
      <c r="CH103" s="198">
        <f t="shared" si="2624"/>
        <v>0</v>
      </c>
      <c r="CI103" s="225">
        <f t="shared" si="2625"/>
        <v>0</v>
      </c>
      <c r="CJ103" s="226">
        <f t="shared" si="2626"/>
        <v>0</v>
      </c>
      <c r="CK103" s="137">
        <f t="shared" si="2627"/>
        <v>0</v>
      </c>
      <c r="CL103" s="227">
        <f t="shared" si="2628"/>
        <v>46.92</v>
      </c>
      <c r="CM103" s="138">
        <f t="shared" si="2629"/>
        <v>0</v>
      </c>
      <c r="CN103" s="110">
        <f t="shared" si="2630"/>
        <v>0</v>
      </c>
      <c r="CO103" s="110"/>
      <c r="CP103" s="139"/>
      <c r="CQ103" s="140">
        <f t="shared" si="2631"/>
        <v>0</v>
      </c>
      <c r="CR103" s="198">
        <f t="shared" si="2624"/>
        <v>5</v>
      </c>
      <c r="CS103" s="225">
        <f t="shared" si="2632"/>
        <v>6.7200000000000003E-3</v>
      </c>
      <c r="CT103" s="226">
        <f t="shared" si="2633"/>
        <v>8.07</v>
      </c>
      <c r="CU103" s="137">
        <f t="shared" si="2634"/>
        <v>1.6140000000000001</v>
      </c>
      <c r="CV103" s="227">
        <f t="shared" si="2628"/>
        <v>49.61</v>
      </c>
      <c r="CW103" s="138">
        <f t="shared" si="2636"/>
        <v>80.070539999999994</v>
      </c>
      <c r="CX103" s="110">
        <f t="shared" si="2637"/>
        <v>400.35</v>
      </c>
      <c r="CY103" s="110"/>
      <c r="CZ103" s="139"/>
      <c r="DA103" s="140">
        <f t="shared" si="2638"/>
        <v>0.74287000000000003</v>
      </c>
      <c r="DB103" s="198">
        <f t="shared" si="2624"/>
        <v>1</v>
      </c>
      <c r="DC103" s="225">
        <f t="shared" si="2639"/>
        <v>1.2099999999999999E-3</v>
      </c>
      <c r="DD103" s="226">
        <f t="shared" si="2640"/>
        <v>1.35</v>
      </c>
      <c r="DE103" s="137">
        <f t="shared" si="2641"/>
        <v>1.35</v>
      </c>
      <c r="DF103" s="227">
        <f t="shared" si="2628"/>
        <v>52.57</v>
      </c>
      <c r="DG103" s="138">
        <f t="shared" si="2643"/>
        <v>70.969499999999996</v>
      </c>
      <c r="DH103" s="110">
        <f t="shared" si="2644"/>
        <v>70.97</v>
      </c>
      <c r="DI103" s="110"/>
      <c r="DJ103" s="139"/>
      <c r="DK103" s="140">
        <f t="shared" si="2645"/>
        <v>0.65842999999999996</v>
      </c>
      <c r="DL103" s="198">
        <f t="shared" si="2624"/>
        <v>0</v>
      </c>
      <c r="DM103" s="225">
        <f t="shared" si="2646"/>
        <v>0</v>
      </c>
      <c r="DN103" s="226">
        <f t="shared" si="2647"/>
        <v>0</v>
      </c>
      <c r="DO103" s="137">
        <f t="shared" si="2648"/>
        <v>0</v>
      </c>
      <c r="DP103" s="227">
        <f t="shared" si="2628"/>
        <v>55.25</v>
      </c>
      <c r="DQ103" s="138">
        <f t="shared" si="2650"/>
        <v>0</v>
      </c>
      <c r="DR103" s="110">
        <f t="shared" si="2651"/>
        <v>0</v>
      </c>
      <c r="DS103" s="110"/>
      <c r="DT103" s="139"/>
      <c r="DU103" s="140">
        <f t="shared" si="2652"/>
        <v>0</v>
      </c>
      <c r="DV103" s="198">
        <f t="shared" si="2624"/>
        <v>2</v>
      </c>
      <c r="DW103" s="225">
        <f t="shared" si="2653"/>
        <v>2.2799999999999999E-3</v>
      </c>
      <c r="DX103" s="226">
        <f t="shared" si="2654"/>
        <v>3.03</v>
      </c>
      <c r="DY103" s="137">
        <f t="shared" si="2655"/>
        <v>1.5149999999999999</v>
      </c>
      <c r="DZ103" s="227">
        <f t="shared" si="2628"/>
        <v>34.14</v>
      </c>
      <c r="EA103" s="138">
        <f t="shared" si="2657"/>
        <v>51.722099999999998</v>
      </c>
      <c r="EB103" s="110">
        <f t="shared" si="2658"/>
        <v>103.44</v>
      </c>
      <c r="EC103" s="110"/>
      <c r="ED103" s="139"/>
      <c r="EE103" s="140">
        <f t="shared" si="2659"/>
        <v>0.47986000000000001</v>
      </c>
      <c r="EF103" s="198">
        <f t="shared" si="2624"/>
        <v>6</v>
      </c>
      <c r="EG103" s="225">
        <f t="shared" si="2660"/>
        <v>6.3899999999999998E-3</v>
      </c>
      <c r="EH103" s="226">
        <f t="shared" si="2661"/>
        <v>5.88</v>
      </c>
      <c r="EI103" s="137">
        <f t="shared" si="2662"/>
        <v>0.98</v>
      </c>
      <c r="EJ103" s="227">
        <f t="shared" si="2628"/>
        <v>44.53</v>
      </c>
      <c r="EK103" s="138">
        <f t="shared" si="2664"/>
        <v>43.639400000000002</v>
      </c>
      <c r="EL103" s="110">
        <f t="shared" si="2665"/>
        <v>261.83999999999997</v>
      </c>
      <c r="EM103" s="110"/>
      <c r="EN103" s="139"/>
      <c r="EO103" s="140">
        <f t="shared" si="2666"/>
        <v>0.40487000000000001</v>
      </c>
      <c r="EP103" s="198">
        <f t="shared" si="2624"/>
        <v>2</v>
      </c>
      <c r="EQ103" s="225">
        <f t="shared" si="2667"/>
        <v>2.1199999999999999E-3</v>
      </c>
      <c r="ER103" s="226">
        <f t="shared" si="2668"/>
        <v>4.62</v>
      </c>
      <c r="ES103" s="137">
        <f t="shared" si="2669"/>
        <v>2.31</v>
      </c>
      <c r="ET103" s="227">
        <f t="shared" si="2628"/>
        <v>52.01</v>
      </c>
      <c r="EU103" s="138">
        <f t="shared" si="2671"/>
        <v>120.1431</v>
      </c>
      <c r="EV103" s="110">
        <f t="shared" si="2672"/>
        <v>240.29</v>
      </c>
      <c r="EW103" s="110"/>
      <c r="EX103" s="139"/>
      <c r="EY103" s="140">
        <f t="shared" si="2673"/>
        <v>1.1146499999999999</v>
      </c>
      <c r="EZ103" s="198">
        <f t="shared" si="2674"/>
        <v>7</v>
      </c>
      <c r="FA103" s="225">
        <f t="shared" si="2675"/>
        <v>6.2700000000000004E-3</v>
      </c>
      <c r="FB103" s="226">
        <f t="shared" si="2676"/>
        <v>11.29</v>
      </c>
      <c r="FC103" s="137">
        <f t="shared" si="2677"/>
        <v>1.61285714</v>
      </c>
      <c r="FD103" s="227">
        <f t="shared" si="2678"/>
        <v>55.47</v>
      </c>
      <c r="FE103" s="138">
        <f t="shared" si="2679"/>
        <v>89.465190000000007</v>
      </c>
      <c r="FF103" s="110">
        <f t="shared" si="2680"/>
        <v>626.26</v>
      </c>
      <c r="FG103" s="110"/>
      <c r="FH103" s="139"/>
      <c r="FI103" s="140">
        <f t="shared" si="2681"/>
        <v>0.83003000000000005</v>
      </c>
      <c r="FJ103" s="198">
        <f t="shared" si="2674"/>
        <v>1</v>
      </c>
      <c r="FK103" s="225">
        <f t="shared" si="2682"/>
        <v>9.7999999999999997E-4</v>
      </c>
      <c r="FL103" s="226">
        <f t="shared" si="2683"/>
        <v>1.69</v>
      </c>
      <c r="FM103" s="137">
        <f t="shared" si="2684"/>
        <v>1.69</v>
      </c>
      <c r="FN103" s="227">
        <f t="shared" si="2678"/>
        <v>39.74</v>
      </c>
      <c r="FO103" s="138">
        <f t="shared" si="2686"/>
        <v>67.160600000000002</v>
      </c>
      <c r="FP103" s="110">
        <f t="shared" si="2687"/>
        <v>67.16</v>
      </c>
      <c r="FQ103" s="110"/>
      <c r="FR103" s="139"/>
      <c r="FS103" s="140">
        <f t="shared" si="2688"/>
        <v>0.62309999999999999</v>
      </c>
      <c r="FT103" s="198">
        <f t="shared" si="2674"/>
        <v>4</v>
      </c>
      <c r="FU103" s="225">
        <f t="shared" si="2689"/>
        <v>4.9800000000000001E-3</v>
      </c>
      <c r="FV103" s="226">
        <f t="shared" si="2690"/>
        <v>7.09</v>
      </c>
      <c r="FW103" s="137">
        <f t="shared" si="2691"/>
        <v>1.7725</v>
      </c>
      <c r="FX103" s="227">
        <f t="shared" si="2678"/>
        <v>53.97</v>
      </c>
      <c r="FY103" s="138">
        <f t="shared" si="2693"/>
        <v>95.661829999999995</v>
      </c>
      <c r="FZ103" s="110">
        <f t="shared" si="2694"/>
        <v>382.65</v>
      </c>
      <c r="GA103" s="110"/>
      <c r="GB103" s="139"/>
      <c r="GC103" s="140">
        <f t="shared" si="2695"/>
        <v>0.88751999999999998</v>
      </c>
      <c r="GD103" s="198">
        <f t="shared" si="2674"/>
        <v>6</v>
      </c>
      <c r="GE103" s="225">
        <f t="shared" si="2696"/>
        <v>1.172E-2</v>
      </c>
      <c r="GF103" s="226">
        <f t="shared" si="2697"/>
        <v>10.08</v>
      </c>
      <c r="GG103" s="137">
        <f t="shared" si="2698"/>
        <v>1.68</v>
      </c>
      <c r="GH103" s="227">
        <f t="shared" si="2678"/>
        <v>54.63</v>
      </c>
      <c r="GI103" s="138">
        <f t="shared" si="2700"/>
        <v>91.778400000000005</v>
      </c>
      <c r="GJ103" s="110">
        <f t="shared" si="2701"/>
        <v>550.66999999999996</v>
      </c>
      <c r="GK103" s="110"/>
      <c r="GL103" s="139"/>
      <c r="GM103" s="140">
        <f t="shared" si="2702"/>
        <v>0.85148999999999997</v>
      </c>
      <c r="GN103" s="198">
        <f t="shared" si="2674"/>
        <v>2</v>
      </c>
      <c r="GO103" s="225">
        <f t="shared" si="2703"/>
        <v>2.31E-3</v>
      </c>
      <c r="GP103" s="226">
        <f t="shared" si="2704"/>
        <v>6.35</v>
      </c>
      <c r="GQ103" s="137">
        <f t="shared" si="2705"/>
        <v>3.1749999999999998</v>
      </c>
      <c r="GR103" s="227">
        <f t="shared" si="2706"/>
        <v>52.13</v>
      </c>
      <c r="GS103" s="138">
        <f t="shared" si="2707"/>
        <v>165.51275000000001</v>
      </c>
      <c r="GT103" s="110">
        <f t="shared" si="2708"/>
        <v>331.03</v>
      </c>
      <c r="GU103" s="110"/>
      <c r="GV103" s="139"/>
      <c r="GW103" s="140">
        <f t="shared" si="2709"/>
        <v>1.5355799999999999</v>
      </c>
      <c r="GX103" s="198">
        <f t="shared" si="2674"/>
        <v>2</v>
      </c>
      <c r="GY103" s="225">
        <f t="shared" si="2710"/>
        <v>1.23E-3</v>
      </c>
      <c r="GZ103" s="226">
        <f t="shared" si="2711"/>
        <v>5.48</v>
      </c>
      <c r="HA103" s="137">
        <f t="shared" si="2712"/>
        <v>2.74</v>
      </c>
      <c r="HB103" s="227">
        <f t="shared" si="2706"/>
        <v>42.58</v>
      </c>
      <c r="HC103" s="138">
        <f t="shared" si="2714"/>
        <v>116.6692</v>
      </c>
      <c r="HD103" s="110">
        <f t="shared" si="2715"/>
        <v>233.34</v>
      </c>
      <c r="HE103" s="110"/>
      <c r="HF103" s="139"/>
      <c r="HG103" s="140">
        <f t="shared" si="2716"/>
        <v>1.0824199999999999</v>
      </c>
      <c r="HH103" s="198">
        <f t="shared" si="2674"/>
        <v>3</v>
      </c>
      <c r="HI103" s="225">
        <f t="shared" si="2717"/>
        <v>2.5999999999999999E-3</v>
      </c>
      <c r="HJ103" s="226">
        <f t="shared" si="2718"/>
        <v>8.66</v>
      </c>
      <c r="HK103" s="137">
        <f t="shared" si="2719"/>
        <v>2.8866666699999999</v>
      </c>
      <c r="HL103" s="227">
        <f t="shared" si="2706"/>
        <v>49.58</v>
      </c>
      <c r="HM103" s="138">
        <f t="shared" si="2721"/>
        <v>143.12092999999999</v>
      </c>
      <c r="HN103" s="110">
        <f t="shared" si="2722"/>
        <v>429.36</v>
      </c>
      <c r="HO103" s="110"/>
      <c r="HP103" s="139"/>
      <c r="HQ103" s="140">
        <f t="shared" si="2723"/>
        <v>1.3278399999999999</v>
      </c>
      <c r="HR103" s="198">
        <f t="shared" si="2724"/>
        <v>2</v>
      </c>
      <c r="HS103" s="225">
        <f t="shared" si="2725"/>
        <v>2.5400000000000002E-3</v>
      </c>
      <c r="HT103" s="226">
        <f t="shared" si="2726"/>
        <v>2.29</v>
      </c>
      <c r="HU103" s="137">
        <f t="shared" si="2727"/>
        <v>1.145</v>
      </c>
      <c r="HV103" s="227">
        <f t="shared" si="2706"/>
        <v>52.62</v>
      </c>
      <c r="HW103" s="138">
        <f t="shared" si="2729"/>
        <v>60.249899999999997</v>
      </c>
      <c r="HX103" s="110">
        <f t="shared" si="2730"/>
        <v>120.5</v>
      </c>
      <c r="HY103" s="110"/>
      <c r="HZ103" s="139"/>
      <c r="IA103" s="140">
        <f t="shared" si="2731"/>
        <v>0.55898000000000003</v>
      </c>
      <c r="IB103" s="198">
        <f t="shared" si="2724"/>
        <v>2</v>
      </c>
      <c r="IC103" s="225">
        <f t="shared" si="2732"/>
        <v>3.65E-3</v>
      </c>
      <c r="ID103" s="226">
        <f t="shared" si="2733"/>
        <v>1.57</v>
      </c>
      <c r="IE103" s="137">
        <f t="shared" si="2734"/>
        <v>0.78500000000000003</v>
      </c>
      <c r="IF103" s="227">
        <f t="shared" si="2735"/>
        <v>50</v>
      </c>
      <c r="IG103" s="138">
        <f t="shared" si="2736"/>
        <v>39.25</v>
      </c>
      <c r="IH103" s="110">
        <f t="shared" si="2737"/>
        <v>78.5</v>
      </c>
      <c r="II103" s="110"/>
      <c r="IJ103" s="139"/>
      <c r="IK103" s="140">
        <f t="shared" si="2738"/>
        <v>0.36414999999999997</v>
      </c>
      <c r="IL103" s="198">
        <f t="shared" si="2724"/>
        <v>4</v>
      </c>
      <c r="IM103" s="225">
        <f t="shared" si="2739"/>
        <v>3.16E-3</v>
      </c>
      <c r="IN103" s="226">
        <f t="shared" si="2740"/>
        <v>9.3000000000000007</v>
      </c>
      <c r="IO103" s="137">
        <f t="shared" si="2741"/>
        <v>2.3250000000000002</v>
      </c>
      <c r="IP103" s="227">
        <f t="shared" si="2735"/>
        <v>54.39</v>
      </c>
      <c r="IQ103" s="138">
        <f t="shared" si="2743"/>
        <v>126.45675</v>
      </c>
      <c r="IR103" s="110">
        <f t="shared" si="2744"/>
        <v>505.83</v>
      </c>
      <c r="IS103" s="110"/>
      <c r="IT103" s="139"/>
      <c r="IU103" s="140">
        <f t="shared" si="2745"/>
        <v>1.17323</v>
      </c>
      <c r="IV103" s="198">
        <f t="shared" si="2724"/>
        <v>2</v>
      </c>
      <c r="IW103" s="225">
        <f t="shared" si="2746"/>
        <v>2.5899999999999999E-3</v>
      </c>
      <c r="IX103" s="226">
        <f t="shared" si="2747"/>
        <v>4.1399999999999997</v>
      </c>
      <c r="IY103" s="137">
        <f t="shared" si="2748"/>
        <v>2.0699999999999998</v>
      </c>
      <c r="IZ103" s="227">
        <f t="shared" si="2735"/>
        <v>54.71</v>
      </c>
      <c r="JA103" s="138">
        <f t="shared" si="2750"/>
        <v>113.2497</v>
      </c>
      <c r="JB103" s="110">
        <f t="shared" si="2751"/>
        <v>226.5</v>
      </c>
      <c r="JC103" s="110"/>
      <c r="JD103" s="139"/>
      <c r="JE103" s="140">
        <f t="shared" si="2752"/>
        <v>1.0507</v>
      </c>
      <c r="JF103" s="198">
        <f t="shared" si="2724"/>
        <v>1</v>
      </c>
      <c r="JG103" s="225">
        <f t="shared" si="2753"/>
        <v>7.5000000000000002E-4</v>
      </c>
      <c r="JH103" s="226">
        <f t="shared" si="2754"/>
        <v>2.87</v>
      </c>
      <c r="JI103" s="137">
        <f t="shared" si="2755"/>
        <v>2.87</v>
      </c>
      <c r="JJ103" s="227">
        <f t="shared" si="2735"/>
        <v>43.31</v>
      </c>
      <c r="JK103" s="138">
        <f t="shared" si="2757"/>
        <v>124.2997</v>
      </c>
      <c r="JL103" s="110">
        <f t="shared" si="2758"/>
        <v>124.3</v>
      </c>
      <c r="JM103" s="110"/>
      <c r="JN103" s="139"/>
      <c r="JO103" s="140">
        <f t="shared" si="2759"/>
        <v>1.1532199999999999</v>
      </c>
      <c r="JP103" s="198">
        <f t="shared" si="2724"/>
        <v>5</v>
      </c>
      <c r="JQ103" s="225">
        <f t="shared" si="2760"/>
        <v>4.0000000000000001E-3</v>
      </c>
      <c r="JR103" s="226">
        <f t="shared" si="2761"/>
        <v>15.2</v>
      </c>
      <c r="JS103" s="137">
        <f t="shared" si="2762"/>
        <v>3.04</v>
      </c>
      <c r="JT103" s="227">
        <f t="shared" si="2763"/>
        <v>57.05</v>
      </c>
      <c r="JU103" s="138">
        <f t="shared" si="2764"/>
        <v>173.43199999999999</v>
      </c>
      <c r="JV103" s="110">
        <f t="shared" si="2765"/>
        <v>867.16</v>
      </c>
      <c r="JW103" s="110"/>
      <c r="JX103" s="139"/>
      <c r="JY103" s="140">
        <f t="shared" si="2766"/>
        <v>1.6090500000000001</v>
      </c>
      <c r="JZ103" s="198">
        <f t="shared" si="2724"/>
        <v>0</v>
      </c>
      <c r="KA103" s="225">
        <f t="shared" si="2767"/>
        <v>0</v>
      </c>
      <c r="KB103" s="226">
        <f t="shared" si="2768"/>
        <v>0</v>
      </c>
      <c r="KC103" s="137">
        <f t="shared" si="2769"/>
        <v>0</v>
      </c>
      <c r="KD103" s="227">
        <f t="shared" si="2763"/>
        <v>51.65</v>
      </c>
      <c r="KE103" s="138">
        <f t="shared" si="2771"/>
        <v>0</v>
      </c>
      <c r="KF103" s="110">
        <f t="shared" si="2772"/>
        <v>0</v>
      </c>
      <c r="KG103" s="110"/>
      <c r="KH103" s="139"/>
      <c r="KI103" s="140">
        <f t="shared" si="2773"/>
        <v>0</v>
      </c>
      <c r="KJ103" s="198">
        <f t="shared" si="2774"/>
        <v>1</v>
      </c>
      <c r="KK103" s="225">
        <f t="shared" si="2775"/>
        <v>7.5000000000000002E-4</v>
      </c>
      <c r="KL103" s="226">
        <f t="shared" si="2776"/>
        <v>1.99</v>
      </c>
      <c r="KM103" s="137">
        <f t="shared" si="2777"/>
        <v>1.99</v>
      </c>
      <c r="KN103" s="227">
        <f t="shared" si="2763"/>
        <v>51.78</v>
      </c>
      <c r="KO103" s="138">
        <f t="shared" si="2779"/>
        <v>103.04219999999999</v>
      </c>
      <c r="KP103" s="110">
        <f t="shared" si="2780"/>
        <v>103.04</v>
      </c>
      <c r="KQ103" s="110"/>
      <c r="KR103" s="139"/>
      <c r="KS103" s="140">
        <f t="shared" si="2781"/>
        <v>0.95599999999999996</v>
      </c>
      <c r="KT103" s="198">
        <f t="shared" si="2774"/>
        <v>3</v>
      </c>
      <c r="KU103" s="225">
        <f t="shared" si="2782"/>
        <v>2.6700000000000001E-3</v>
      </c>
      <c r="KV103" s="226">
        <f t="shared" si="2783"/>
        <v>16.899999999999999</v>
      </c>
      <c r="KW103" s="137">
        <f t="shared" si="2784"/>
        <v>5.6333333300000001</v>
      </c>
      <c r="KX103" s="227">
        <f t="shared" si="2763"/>
        <v>55.65</v>
      </c>
      <c r="KY103" s="138">
        <f t="shared" si="2786"/>
        <v>313.495</v>
      </c>
      <c r="KZ103" s="110">
        <f t="shared" si="2787"/>
        <v>940.49</v>
      </c>
      <c r="LA103" s="110"/>
      <c r="LB103" s="139"/>
      <c r="LC103" s="140">
        <f t="shared" si="2788"/>
        <v>2.9085200000000002</v>
      </c>
      <c r="LD103" s="197">
        <f t="shared" si="2789"/>
        <v>74</v>
      </c>
      <c r="LE103" s="225">
        <f t="shared" si="2790"/>
        <v>2.5899999999999999E-3</v>
      </c>
      <c r="LF103" s="226">
        <f t="shared" si="2791"/>
        <v>158.76</v>
      </c>
      <c r="LG103" s="137">
        <f t="shared" si="2792"/>
        <v>2.14540541</v>
      </c>
      <c r="LH103" s="227">
        <f t="shared" si="2793"/>
        <v>50.24</v>
      </c>
      <c r="LI103" s="138">
        <f t="shared" si="2794"/>
        <v>107.78516999999999</v>
      </c>
      <c r="LJ103" s="110">
        <f t="shared" si="2795"/>
        <v>7976.1</v>
      </c>
      <c r="LK103" s="110"/>
      <c r="LL103" s="139"/>
    </row>
    <row r="104" spans="1:324" ht="26.25" hidden="1" customHeight="1" x14ac:dyDescent="0.25">
      <c r="A104" s="246"/>
      <c r="B104" s="92" t="s">
        <v>639</v>
      </c>
      <c r="C104" s="12" t="s">
        <v>728</v>
      </c>
      <c r="D104" s="12" t="s">
        <v>430</v>
      </c>
      <c r="E104" s="4" t="s">
        <v>32</v>
      </c>
      <c r="F104" s="198">
        <f t="shared" si="2569"/>
        <v>0</v>
      </c>
      <c r="G104" s="225">
        <f t="shared" si="2796"/>
        <v>0</v>
      </c>
      <c r="H104" s="226">
        <f t="shared" si="2797"/>
        <v>0</v>
      </c>
      <c r="I104" s="137">
        <f t="shared" si="2570"/>
        <v>0</v>
      </c>
      <c r="J104" s="227">
        <f t="shared" si="2798"/>
        <v>40.909999999999997</v>
      </c>
      <c r="K104" s="138">
        <f t="shared" si="2571"/>
        <v>0</v>
      </c>
      <c r="L104" s="110">
        <f t="shared" si="2572"/>
        <v>0</v>
      </c>
      <c r="M104" s="110"/>
      <c r="N104" s="139"/>
      <c r="O104" s="140" t="e">
        <f t="shared" si="2573"/>
        <v>#DIV/0!</v>
      </c>
      <c r="P104" s="198">
        <f t="shared" si="2574"/>
        <v>0</v>
      </c>
      <c r="Q104" s="225">
        <f t="shared" si="2575"/>
        <v>0</v>
      </c>
      <c r="R104" s="226">
        <f t="shared" si="2576"/>
        <v>0</v>
      </c>
      <c r="S104" s="137">
        <f t="shared" si="2577"/>
        <v>0</v>
      </c>
      <c r="T104" s="227">
        <f t="shared" si="2578"/>
        <v>36.11</v>
      </c>
      <c r="U104" s="138">
        <f t="shared" si="2579"/>
        <v>0</v>
      </c>
      <c r="V104" s="110">
        <f t="shared" si="2580"/>
        <v>0</v>
      </c>
      <c r="W104" s="110"/>
      <c r="X104" s="139"/>
      <c r="Y104" s="140" t="e">
        <f t="shared" si="2581"/>
        <v>#DIV/0!</v>
      </c>
      <c r="Z104" s="198">
        <f t="shared" si="2574"/>
        <v>0</v>
      </c>
      <c r="AA104" s="225">
        <f t="shared" si="2582"/>
        <v>0</v>
      </c>
      <c r="AB104" s="226">
        <f t="shared" si="2583"/>
        <v>0</v>
      </c>
      <c r="AC104" s="137">
        <f t="shared" si="2584"/>
        <v>0</v>
      </c>
      <c r="AD104" s="227">
        <f t="shared" si="2578"/>
        <v>54.87</v>
      </c>
      <c r="AE104" s="138">
        <f t="shared" si="2586"/>
        <v>0</v>
      </c>
      <c r="AF104" s="110">
        <f t="shared" si="2587"/>
        <v>0</v>
      </c>
      <c r="AG104" s="110"/>
      <c r="AH104" s="139"/>
      <c r="AI104" s="140" t="e">
        <f t="shared" si="2588"/>
        <v>#DIV/0!</v>
      </c>
      <c r="AJ104" s="198">
        <f t="shared" si="2574"/>
        <v>0</v>
      </c>
      <c r="AK104" s="225">
        <f t="shared" si="2589"/>
        <v>0</v>
      </c>
      <c r="AL104" s="226">
        <f t="shared" si="2590"/>
        <v>0</v>
      </c>
      <c r="AM104" s="137">
        <f t="shared" si="2591"/>
        <v>0</v>
      </c>
      <c r="AN104" s="227">
        <f t="shared" si="2578"/>
        <v>54.42</v>
      </c>
      <c r="AO104" s="138">
        <f t="shared" si="2593"/>
        <v>0</v>
      </c>
      <c r="AP104" s="110">
        <f t="shared" si="2594"/>
        <v>0</v>
      </c>
      <c r="AQ104" s="110"/>
      <c r="AR104" s="139"/>
      <c r="AS104" s="140" t="e">
        <f t="shared" si="2595"/>
        <v>#DIV/0!</v>
      </c>
      <c r="AT104" s="198">
        <f t="shared" si="2574"/>
        <v>0</v>
      </c>
      <c r="AU104" s="225">
        <f t="shared" si="2596"/>
        <v>0</v>
      </c>
      <c r="AV104" s="226">
        <f t="shared" si="2597"/>
        <v>0</v>
      </c>
      <c r="AW104" s="137">
        <f t="shared" si="2598"/>
        <v>0</v>
      </c>
      <c r="AX104" s="227">
        <f t="shared" si="2578"/>
        <v>49.55</v>
      </c>
      <c r="AY104" s="138">
        <f t="shared" si="2600"/>
        <v>0</v>
      </c>
      <c r="AZ104" s="110">
        <f t="shared" si="2601"/>
        <v>0</v>
      </c>
      <c r="BA104" s="110"/>
      <c r="BB104" s="139"/>
      <c r="BC104" s="140" t="e">
        <f t="shared" si="2602"/>
        <v>#DIV/0!</v>
      </c>
      <c r="BD104" s="198">
        <f t="shared" si="2574"/>
        <v>0</v>
      </c>
      <c r="BE104" s="225">
        <f t="shared" si="2603"/>
        <v>0</v>
      </c>
      <c r="BF104" s="226">
        <f t="shared" si="2604"/>
        <v>0</v>
      </c>
      <c r="BG104" s="137">
        <f t="shared" si="2605"/>
        <v>0</v>
      </c>
      <c r="BH104" s="227">
        <f t="shared" si="2578"/>
        <v>55.1</v>
      </c>
      <c r="BI104" s="138">
        <f t="shared" si="2607"/>
        <v>0</v>
      </c>
      <c r="BJ104" s="110">
        <f t="shared" si="2608"/>
        <v>0</v>
      </c>
      <c r="BK104" s="110"/>
      <c r="BL104" s="139"/>
      <c r="BM104" s="140" t="e">
        <f t="shared" si="2609"/>
        <v>#DIV/0!</v>
      </c>
      <c r="BN104" s="198">
        <f t="shared" si="2574"/>
        <v>0</v>
      </c>
      <c r="BO104" s="225">
        <f t="shared" si="2610"/>
        <v>0</v>
      </c>
      <c r="BP104" s="226">
        <f t="shared" si="2611"/>
        <v>0</v>
      </c>
      <c r="BQ104" s="137">
        <f t="shared" si="2612"/>
        <v>0</v>
      </c>
      <c r="BR104" s="227">
        <f t="shared" si="2578"/>
        <v>54.14</v>
      </c>
      <c r="BS104" s="138">
        <f t="shared" si="2614"/>
        <v>0</v>
      </c>
      <c r="BT104" s="110">
        <f t="shared" si="2615"/>
        <v>0</v>
      </c>
      <c r="BU104" s="110"/>
      <c r="BV104" s="139"/>
      <c r="BW104" s="140" t="e">
        <f t="shared" si="2616"/>
        <v>#DIV/0!</v>
      </c>
      <c r="BX104" s="198">
        <f t="shared" si="2574"/>
        <v>0</v>
      </c>
      <c r="BY104" s="225">
        <f t="shared" si="2617"/>
        <v>0</v>
      </c>
      <c r="BZ104" s="226">
        <f t="shared" si="2618"/>
        <v>0</v>
      </c>
      <c r="CA104" s="137">
        <f t="shared" si="2619"/>
        <v>0</v>
      </c>
      <c r="CB104" s="227">
        <f t="shared" si="2578"/>
        <v>51.74</v>
      </c>
      <c r="CC104" s="138">
        <f t="shared" si="2621"/>
        <v>0</v>
      </c>
      <c r="CD104" s="110">
        <f t="shared" si="2622"/>
        <v>0</v>
      </c>
      <c r="CE104" s="110"/>
      <c r="CF104" s="139"/>
      <c r="CG104" s="140" t="e">
        <f t="shared" si="2623"/>
        <v>#DIV/0!</v>
      </c>
      <c r="CH104" s="198">
        <f t="shared" si="2624"/>
        <v>0</v>
      </c>
      <c r="CI104" s="225">
        <f t="shared" si="2625"/>
        <v>0</v>
      </c>
      <c r="CJ104" s="226">
        <f t="shared" si="2626"/>
        <v>0</v>
      </c>
      <c r="CK104" s="137">
        <f t="shared" si="2627"/>
        <v>0</v>
      </c>
      <c r="CL104" s="227">
        <f t="shared" si="2628"/>
        <v>46.92</v>
      </c>
      <c r="CM104" s="138">
        <f t="shared" si="2629"/>
        <v>0</v>
      </c>
      <c r="CN104" s="110">
        <f t="shared" si="2630"/>
        <v>0</v>
      </c>
      <c r="CO104" s="110"/>
      <c r="CP104" s="139"/>
      <c r="CQ104" s="140" t="e">
        <f t="shared" si="2631"/>
        <v>#DIV/0!</v>
      </c>
      <c r="CR104" s="198">
        <f t="shared" si="2624"/>
        <v>0</v>
      </c>
      <c r="CS104" s="225">
        <f t="shared" si="2632"/>
        <v>0</v>
      </c>
      <c r="CT104" s="226">
        <f t="shared" si="2633"/>
        <v>0</v>
      </c>
      <c r="CU104" s="137">
        <f t="shared" si="2634"/>
        <v>0</v>
      </c>
      <c r="CV104" s="227">
        <f t="shared" si="2628"/>
        <v>49.61</v>
      </c>
      <c r="CW104" s="138">
        <f t="shared" si="2636"/>
        <v>0</v>
      </c>
      <c r="CX104" s="110">
        <f t="shared" si="2637"/>
        <v>0</v>
      </c>
      <c r="CY104" s="110"/>
      <c r="CZ104" s="139"/>
      <c r="DA104" s="140" t="e">
        <f t="shared" si="2638"/>
        <v>#DIV/0!</v>
      </c>
      <c r="DB104" s="198">
        <f t="shared" si="2624"/>
        <v>0</v>
      </c>
      <c r="DC104" s="225">
        <f t="shared" si="2639"/>
        <v>0</v>
      </c>
      <c r="DD104" s="226">
        <f t="shared" si="2640"/>
        <v>0</v>
      </c>
      <c r="DE104" s="137">
        <f t="shared" si="2641"/>
        <v>0</v>
      </c>
      <c r="DF104" s="227">
        <f t="shared" si="2628"/>
        <v>52.57</v>
      </c>
      <c r="DG104" s="138">
        <f t="shared" si="2643"/>
        <v>0</v>
      </c>
      <c r="DH104" s="110">
        <f t="shared" si="2644"/>
        <v>0</v>
      </c>
      <c r="DI104" s="110"/>
      <c r="DJ104" s="139"/>
      <c r="DK104" s="140" t="e">
        <f t="shared" si="2645"/>
        <v>#DIV/0!</v>
      </c>
      <c r="DL104" s="198">
        <f t="shared" si="2624"/>
        <v>0</v>
      </c>
      <c r="DM104" s="225">
        <f t="shared" si="2646"/>
        <v>0</v>
      </c>
      <c r="DN104" s="226">
        <f t="shared" si="2647"/>
        <v>0</v>
      </c>
      <c r="DO104" s="137">
        <f t="shared" si="2648"/>
        <v>0</v>
      </c>
      <c r="DP104" s="227">
        <f t="shared" si="2628"/>
        <v>55.25</v>
      </c>
      <c r="DQ104" s="138">
        <f t="shared" si="2650"/>
        <v>0</v>
      </c>
      <c r="DR104" s="110">
        <f t="shared" si="2651"/>
        <v>0</v>
      </c>
      <c r="DS104" s="110"/>
      <c r="DT104" s="139"/>
      <c r="DU104" s="140" t="e">
        <f t="shared" si="2652"/>
        <v>#DIV/0!</v>
      </c>
      <c r="DV104" s="198">
        <f t="shared" si="2624"/>
        <v>0</v>
      </c>
      <c r="DW104" s="225">
        <f t="shared" si="2653"/>
        <v>0</v>
      </c>
      <c r="DX104" s="226">
        <f t="shared" si="2654"/>
        <v>0</v>
      </c>
      <c r="DY104" s="137">
        <f t="shared" si="2655"/>
        <v>0</v>
      </c>
      <c r="DZ104" s="227">
        <f t="shared" si="2628"/>
        <v>34.14</v>
      </c>
      <c r="EA104" s="138">
        <f t="shared" si="2657"/>
        <v>0</v>
      </c>
      <c r="EB104" s="110">
        <f t="shared" si="2658"/>
        <v>0</v>
      </c>
      <c r="EC104" s="110"/>
      <c r="ED104" s="139"/>
      <c r="EE104" s="140" t="e">
        <f t="shared" si="2659"/>
        <v>#DIV/0!</v>
      </c>
      <c r="EF104" s="198">
        <f t="shared" si="2624"/>
        <v>0</v>
      </c>
      <c r="EG104" s="225">
        <f t="shared" si="2660"/>
        <v>0</v>
      </c>
      <c r="EH104" s="226">
        <f t="shared" si="2661"/>
        <v>0</v>
      </c>
      <c r="EI104" s="137">
        <f t="shared" si="2662"/>
        <v>0</v>
      </c>
      <c r="EJ104" s="227">
        <f t="shared" si="2628"/>
        <v>44.53</v>
      </c>
      <c r="EK104" s="138">
        <f t="shared" si="2664"/>
        <v>0</v>
      </c>
      <c r="EL104" s="110">
        <f t="shared" si="2665"/>
        <v>0</v>
      </c>
      <c r="EM104" s="110"/>
      <c r="EN104" s="139"/>
      <c r="EO104" s="140" t="e">
        <f t="shared" si="2666"/>
        <v>#DIV/0!</v>
      </c>
      <c r="EP104" s="198">
        <f t="shared" si="2624"/>
        <v>0</v>
      </c>
      <c r="EQ104" s="225">
        <f t="shared" si="2667"/>
        <v>0</v>
      </c>
      <c r="ER104" s="226">
        <f t="shared" si="2668"/>
        <v>0</v>
      </c>
      <c r="ES104" s="137">
        <f t="shared" si="2669"/>
        <v>0</v>
      </c>
      <c r="ET104" s="227">
        <f t="shared" si="2628"/>
        <v>52.01</v>
      </c>
      <c r="EU104" s="138">
        <f t="shared" si="2671"/>
        <v>0</v>
      </c>
      <c r="EV104" s="110">
        <f t="shared" si="2672"/>
        <v>0</v>
      </c>
      <c r="EW104" s="110"/>
      <c r="EX104" s="139"/>
      <c r="EY104" s="140" t="e">
        <f t="shared" si="2673"/>
        <v>#DIV/0!</v>
      </c>
      <c r="EZ104" s="198">
        <f t="shared" si="2674"/>
        <v>0</v>
      </c>
      <c r="FA104" s="225">
        <f t="shared" si="2675"/>
        <v>0</v>
      </c>
      <c r="FB104" s="226">
        <f t="shared" si="2676"/>
        <v>0</v>
      </c>
      <c r="FC104" s="137">
        <f t="shared" si="2677"/>
        <v>0</v>
      </c>
      <c r="FD104" s="227">
        <f t="shared" si="2678"/>
        <v>55.47</v>
      </c>
      <c r="FE104" s="138">
        <f t="shared" si="2679"/>
        <v>0</v>
      </c>
      <c r="FF104" s="110">
        <f t="shared" si="2680"/>
        <v>0</v>
      </c>
      <c r="FG104" s="110"/>
      <c r="FH104" s="139"/>
      <c r="FI104" s="140" t="e">
        <f t="shared" si="2681"/>
        <v>#DIV/0!</v>
      </c>
      <c r="FJ104" s="198">
        <f t="shared" si="2674"/>
        <v>0</v>
      </c>
      <c r="FK104" s="225">
        <f t="shared" si="2682"/>
        <v>0</v>
      </c>
      <c r="FL104" s="226">
        <f t="shared" si="2683"/>
        <v>0</v>
      </c>
      <c r="FM104" s="137">
        <f t="shared" si="2684"/>
        <v>0</v>
      </c>
      <c r="FN104" s="227">
        <f t="shared" si="2678"/>
        <v>39.74</v>
      </c>
      <c r="FO104" s="138">
        <f t="shared" si="2686"/>
        <v>0</v>
      </c>
      <c r="FP104" s="110">
        <f t="shared" si="2687"/>
        <v>0</v>
      </c>
      <c r="FQ104" s="110"/>
      <c r="FR104" s="139"/>
      <c r="FS104" s="140" t="e">
        <f t="shared" si="2688"/>
        <v>#DIV/0!</v>
      </c>
      <c r="FT104" s="198">
        <f t="shared" si="2674"/>
        <v>0</v>
      </c>
      <c r="FU104" s="225">
        <f t="shared" si="2689"/>
        <v>0</v>
      </c>
      <c r="FV104" s="226">
        <f t="shared" si="2690"/>
        <v>0</v>
      </c>
      <c r="FW104" s="137">
        <f t="shared" si="2691"/>
        <v>0</v>
      </c>
      <c r="FX104" s="227">
        <f t="shared" si="2678"/>
        <v>53.97</v>
      </c>
      <c r="FY104" s="138">
        <f t="shared" si="2693"/>
        <v>0</v>
      </c>
      <c r="FZ104" s="110">
        <f t="shared" si="2694"/>
        <v>0</v>
      </c>
      <c r="GA104" s="110"/>
      <c r="GB104" s="139"/>
      <c r="GC104" s="140" t="e">
        <f t="shared" si="2695"/>
        <v>#DIV/0!</v>
      </c>
      <c r="GD104" s="198">
        <f t="shared" si="2674"/>
        <v>0</v>
      </c>
      <c r="GE104" s="225">
        <f t="shared" si="2696"/>
        <v>0</v>
      </c>
      <c r="GF104" s="226">
        <f t="shared" si="2697"/>
        <v>0</v>
      </c>
      <c r="GG104" s="137">
        <f t="shared" si="2698"/>
        <v>0</v>
      </c>
      <c r="GH104" s="227">
        <f t="shared" si="2678"/>
        <v>54.63</v>
      </c>
      <c r="GI104" s="138">
        <f t="shared" si="2700"/>
        <v>0</v>
      </c>
      <c r="GJ104" s="110">
        <f t="shared" si="2701"/>
        <v>0</v>
      </c>
      <c r="GK104" s="110"/>
      <c r="GL104" s="139"/>
      <c r="GM104" s="140" t="e">
        <f t="shared" si="2702"/>
        <v>#DIV/0!</v>
      </c>
      <c r="GN104" s="198">
        <f t="shared" si="2674"/>
        <v>0</v>
      </c>
      <c r="GO104" s="225">
        <f t="shared" si="2703"/>
        <v>0</v>
      </c>
      <c r="GP104" s="226">
        <f t="shared" si="2704"/>
        <v>0</v>
      </c>
      <c r="GQ104" s="137">
        <f t="shared" si="2705"/>
        <v>0</v>
      </c>
      <c r="GR104" s="227">
        <f t="shared" si="2706"/>
        <v>52.13</v>
      </c>
      <c r="GS104" s="138">
        <f t="shared" si="2707"/>
        <v>0</v>
      </c>
      <c r="GT104" s="110">
        <f t="shared" si="2708"/>
        <v>0</v>
      </c>
      <c r="GU104" s="110"/>
      <c r="GV104" s="139"/>
      <c r="GW104" s="140" t="e">
        <f t="shared" si="2709"/>
        <v>#DIV/0!</v>
      </c>
      <c r="GX104" s="198">
        <f t="shared" si="2674"/>
        <v>0</v>
      </c>
      <c r="GY104" s="225">
        <f t="shared" si="2710"/>
        <v>0</v>
      </c>
      <c r="GZ104" s="226">
        <f t="shared" si="2711"/>
        <v>0</v>
      </c>
      <c r="HA104" s="137">
        <f t="shared" si="2712"/>
        <v>0</v>
      </c>
      <c r="HB104" s="227">
        <f t="shared" si="2706"/>
        <v>42.58</v>
      </c>
      <c r="HC104" s="138">
        <f t="shared" si="2714"/>
        <v>0</v>
      </c>
      <c r="HD104" s="110">
        <f t="shared" si="2715"/>
        <v>0</v>
      </c>
      <c r="HE104" s="110"/>
      <c r="HF104" s="139"/>
      <c r="HG104" s="140" t="e">
        <f t="shared" si="2716"/>
        <v>#DIV/0!</v>
      </c>
      <c r="HH104" s="198">
        <f t="shared" si="2674"/>
        <v>0</v>
      </c>
      <c r="HI104" s="225">
        <f t="shared" si="2717"/>
        <v>0</v>
      </c>
      <c r="HJ104" s="226">
        <f t="shared" si="2718"/>
        <v>0</v>
      </c>
      <c r="HK104" s="137">
        <f t="shared" si="2719"/>
        <v>0</v>
      </c>
      <c r="HL104" s="227">
        <f t="shared" si="2706"/>
        <v>49.58</v>
      </c>
      <c r="HM104" s="138">
        <f t="shared" si="2721"/>
        <v>0</v>
      </c>
      <c r="HN104" s="110">
        <f t="shared" si="2722"/>
        <v>0</v>
      </c>
      <c r="HO104" s="110"/>
      <c r="HP104" s="139"/>
      <c r="HQ104" s="140" t="e">
        <f t="shared" si="2723"/>
        <v>#DIV/0!</v>
      </c>
      <c r="HR104" s="198">
        <f t="shared" si="2724"/>
        <v>0</v>
      </c>
      <c r="HS104" s="225">
        <f t="shared" si="2725"/>
        <v>0</v>
      </c>
      <c r="HT104" s="226">
        <f t="shared" si="2726"/>
        <v>0</v>
      </c>
      <c r="HU104" s="137">
        <f t="shared" si="2727"/>
        <v>0</v>
      </c>
      <c r="HV104" s="227">
        <f t="shared" si="2706"/>
        <v>52.62</v>
      </c>
      <c r="HW104" s="138">
        <f t="shared" si="2729"/>
        <v>0</v>
      </c>
      <c r="HX104" s="110">
        <f t="shared" si="2730"/>
        <v>0</v>
      </c>
      <c r="HY104" s="110"/>
      <c r="HZ104" s="139"/>
      <c r="IA104" s="140" t="e">
        <f t="shared" si="2731"/>
        <v>#DIV/0!</v>
      </c>
      <c r="IB104" s="198">
        <f t="shared" si="2724"/>
        <v>0</v>
      </c>
      <c r="IC104" s="225">
        <f t="shared" si="2732"/>
        <v>0</v>
      </c>
      <c r="ID104" s="226">
        <f t="shared" si="2733"/>
        <v>0</v>
      </c>
      <c r="IE104" s="137">
        <f t="shared" si="2734"/>
        <v>0</v>
      </c>
      <c r="IF104" s="227">
        <f t="shared" si="2735"/>
        <v>50</v>
      </c>
      <c r="IG104" s="138">
        <f t="shared" si="2736"/>
        <v>0</v>
      </c>
      <c r="IH104" s="110">
        <f t="shared" si="2737"/>
        <v>0</v>
      </c>
      <c r="II104" s="110"/>
      <c r="IJ104" s="139"/>
      <c r="IK104" s="140" t="e">
        <f t="shared" si="2738"/>
        <v>#DIV/0!</v>
      </c>
      <c r="IL104" s="198">
        <f t="shared" si="2724"/>
        <v>0</v>
      </c>
      <c r="IM104" s="225">
        <f t="shared" si="2739"/>
        <v>0</v>
      </c>
      <c r="IN104" s="226">
        <f t="shared" si="2740"/>
        <v>0</v>
      </c>
      <c r="IO104" s="137">
        <f t="shared" si="2741"/>
        <v>0</v>
      </c>
      <c r="IP104" s="227">
        <f t="shared" si="2735"/>
        <v>54.39</v>
      </c>
      <c r="IQ104" s="138">
        <f t="shared" si="2743"/>
        <v>0</v>
      </c>
      <c r="IR104" s="110">
        <f t="shared" si="2744"/>
        <v>0</v>
      </c>
      <c r="IS104" s="110"/>
      <c r="IT104" s="139"/>
      <c r="IU104" s="140" t="e">
        <f t="shared" si="2745"/>
        <v>#DIV/0!</v>
      </c>
      <c r="IV104" s="198">
        <f t="shared" si="2724"/>
        <v>0</v>
      </c>
      <c r="IW104" s="225">
        <f t="shared" si="2746"/>
        <v>0</v>
      </c>
      <c r="IX104" s="226">
        <f t="shared" si="2747"/>
        <v>0</v>
      </c>
      <c r="IY104" s="137">
        <f t="shared" si="2748"/>
        <v>0</v>
      </c>
      <c r="IZ104" s="227">
        <f t="shared" si="2735"/>
        <v>54.71</v>
      </c>
      <c r="JA104" s="138">
        <f t="shared" si="2750"/>
        <v>0</v>
      </c>
      <c r="JB104" s="110">
        <f t="shared" si="2751"/>
        <v>0</v>
      </c>
      <c r="JC104" s="110"/>
      <c r="JD104" s="139"/>
      <c r="JE104" s="140" t="e">
        <f t="shared" si="2752"/>
        <v>#DIV/0!</v>
      </c>
      <c r="JF104" s="198">
        <f t="shared" si="2724"/>
        <v>0</v>
      </c>
      <c r="JG104" s="225">
        <f t="shared" si="2753"/>
        <v>0</v>
      </c>
      <c r="JH104" s="226">
        <f t="shared" si="2754"/>
        <v>0</v>
      </c>
      <c r="JI104" s="137">
        <f t="shared" si="2755"/>
        <v>0</v>
      </c>
      <c r="JJ104" s="227">
        <f t="shared" si="2735"/>
        <v>43.31</v>
      </c>
      <c r="JK104" s="138">
        <f t="shared" si="2757"/>
        <v>0</v>
      </c>
      <c r="JL104" s="110">
        <f t="shared" si="2758"/>
        <v>0</v>
      </c>
      <c r="JM104" s="110"/>
      <c r="JN104" s="139"/>
      <c r="JO104" s="140" t="e">
        <f t="shared" si="2759"/>
        <v>#DIV/0!</v>
      </c>
      <c r="JP104" s="198">
        <f t="shared" si="2724"/>
        <v>0</v>
      </c>
      <c r="JQ104" s="225">
        <f t="shared" si="2760"/>
        <v>0</v>
      </c>
      <c r="JR104" s="226">
        <f t="shared" si="2761"/>
        <v>0</v>
      </c>
      <c r="JS104" s="137">
        <f t="shared" si="2762"/>
        <v>0</v>
      </c>
      <c r="JT104" s="227">
        <f t="shared" si="2763"/>
        <v>57.05</v>
      </c>
      <c r="JU104" s="138">
        <f t="shared" si="2764"/>
        <v>0</v>
      </c>
      <c r="JV104" s="110">
        <f t="shared" si="2765"/>
        <v>0</v>
      </c>
      <c r="JW104" s="110"/>
      <c r="JX104" s="139"/>
      <c r="JY104" s="140" t="e">
        <f t="shared" si="2766"/>
        <v>#DIV/0!</v>
      </c>
      <c r="JZ104" s="198">
        <f t="shared" si="2724"/>
        <v>0</v>
      </c>
      <c r="KA104" s="225">
        <f t="shared" si="2767"/>
        <v>0</v>
      </c>
      <c r="KB104" s="226">
        <f t="shared" si="2768"/>
        <v>0</v>
      </c>
      <c r="KC104" s="137">
        <f t="shared" si="2769"/>
        <v>0</v>
      </c>
      <c r="KD104" s="227">
        <f t="shared" si="2763"/>
        <v>51.65</v>
      </c>
      <c r="KE104" s="138">
        <f t="shared" si="2771"/>
        <v>0</v>
      </c>
      <c r="KF104" s="110">
        <f t="shared" si="2772"/>
        <v>0</v>
      </c>
      <c r="KG104" s="110"/>
      <c r="KH104" s="139"/>
      <c r="KI104" s="140" t="e">
        <f t="shared" si="2773"/>
        <v>#DIV/0!</v>
      </c>
      <c r="KJ104" s="198">
        <f t="shared" si="2774"/>
        <v>0</v>
      </c>
      <c r="KK104" s="225">
        <f t="shared" si="2775"/>
        <v>0</v>
      </c>
      <c r="KL104" s="226">
        <f t="shared" si="2776"/>
        <v>0</v>
      </c>
      <c r="KM104" s="137">
        <f t="shared" si="2777"/>
        <v>0</v>
      </c>
      <c r="KN104" s="227">
        <f t="shared" si="2763"/>
        <v>51.78</v>
      </c>
      <c r="KO104" s="138">
        <f t="shared" si="2779"/>
        <v>0</v>
      </c>
      <c r="KP104" s="110">
        <f t="shared" si="2780"/>
        <v>0</v>
      </c>
      <c r="KQ104" s="110"/>
      <c r="KR104" s="139"/>
      <c r="KS104" s="140" t="e">
        <f t="shared" si="2781"/>
        <v>#DIV/0!</v>
      </c>
      <c r="KT104" s="198">
        <f t="shared" si="2774"/>
        <v>0</v>
      </c>
      <c r="KU104" s="225">
        <f t="shared" si="2782"/>
        <v>0</v>
      </c>
      <c r="KV104" s="226">
        <f t="shared" si="2783"/>
        <v>0</v>
      </c>
      <c r="KW104" s="137">
        <f t="shared" si="2784"/>
        <v>0</v>
      </c>
      <c r="KX104" s="227">
        <f t="shared" si="2763"/>
        <v>55.65</v>
      </c>
      <c r="KY104" s="138">
        <f t="shared" si="2786"/>
        <v>0</v>
      </c>
      <c r="KZ104" s="110">
        <f t="shared" si="2787"/>
        <v>0</v>
      </c>
      <c r="LA104" s="110"/>
      <c r="LB104" s="139"/>
      <c r="LC104" s="140" t="e">
        <f t="shared" si="2788"/>
        <v>#DIV/0!</v>
      </c>
      <c r="LD104" s="197">
        <f t="shared" si="2789"/>
        <v>0</v>
      </c>
      <c r="LE104" s="225">
        <f t="shared" si="2790"/>
        <v>0</v>
      </c>
      <c r="LF104" s="226">
        <f t="shared" si="2791"/>
        <v>0</v>
      </c>
      <c r="LG104" s="137">
        <f t="shared" si="2792"/>
        <v>0</v>
      </c>
      <c r="LH104" s="227">
        <f t="shared" si="2793"/>
        <v>50.24</v>
      </c>
      <c r="LI104" s="138">
        <f t="shared" si="2794"/>
        <v>0</v>
      </c>
      <c r="LJ104" s="110">
        <f t="shared" si="2795"/>
        <v>0</v>
      </c>
      <c r="LK104" s="110"/>
      <c r="LL104" s="139"/>
    </row>
    <row r="105" spans="1:324" ht="24" x14ac:dyDescent="0.25">
      <c r="A105" s="246"/>
      <c r="B105" s="12" t="s">
        <v>627</v>
      </c>
      <c r="C105" s="12" t="s">
        <v>729</v>
      </c>
      <c r="D105" s="12" t="s">
        <v>429</v>
      </c>
      <c r="E105" s="4" t="s">
        <v>32</v>
      </c>
      <c r="F105" s="198">
        <f t="shared" si="2569"/>
        <v>0</v>
      </c>
      <c r="G105" s="225">
        <f t="shared" si="2796"/>
        <v>0</v>
      </c>
      <c r="H105" s="226">
        <f t="shared" si="2797"/>
        <v>0</v>
      </c>
      <c r="I105" s="137">
        <f t="shared" si="2570"/>
        <v>0</v>
      </c>
      <c r="J105" s="227">
        <f t="shared" si="2798"/>
        <v>40.909999999999997</v>
      </c>
      <c r="K105" s="138">
        <f t="shared" si="2571"/>
        <v>0</v>
      </c>
      <c r="L105" s="110">
        <f t="shared" si="2572"/>
        <v>0</v>
      </c>
      <c r="M105" s="110"/>
      <c r="N105" s="139"/>
      <c r="O105" s="140">
        <f t="shared" si="2573"/>
        <v>0</v>
      </c>
      <c r="P105" s="198">
        <f t="shared" si="2574"/>
        <v>0</v>
      </c>
      <c r="Q105" s="225">
        <f t="shared" si="2575"/>
        <v>0</v>
      </c>
      <c r="R105" s="226">
        <f t="shared" si="2576"/>
        <v>0</v>
      </c>
      <c r="S105" s="137">
        <f t="shared" si="2577"/>
        <v>0</v>
      </c>
      <c r="T105" s="227">
        <f t="shared" si="2578"/>
        <v>36.11</v>
      </c>
      <c r="U105" s="138">
        <f t="shared" si="2579"/>
        <v>0</v>
      </c>
      <c r="V105" s="110">
        <f t="shared" si="2580"/>
        <v>0</v>
      </c>
      <c r="W105" s="110"/>
      <c r="X105" s="139"/>
      <c r="Y105" s="140">
        <f t="shared" si="2581"/>
        <v>0</v>
      </c>
      <c r="Z105" s="198">
        <f t="shared" si="2574"/>
        <v>0</v>
      </c>
      <c r="AA105" s="225">
        <f t="shared" si="2582"/>
        <v>0</v>
      </c>
      <c r="AB105" s="226">
        <f t="shared" si="2583"/>
        <v>0</v>
      </c>
      <c r="AC105" s="137">
        <f t="shared" si="2584"/>
        <v>0</v>
      </c>
      <c r="AD105" s="227">
        <f t="shared" si="2578"/>
        <v>54.87</v>
      </c>
      <c r="AE105" s="138">
        <f t="shared" si="2586"/>
        <v>0</v>
      </c>
      <c r="AF105" s="110">
        <f t="shared" si="2587"/>
        <v>0</v>
      </c>
      <c r="AG105" s="110"/>
      <c r="AH105" s="139"/>
      <c r="AI105" s="140">
        <f t="shared" si="2588"/>
        <v>0</v>
      </c>
      <c r="AJ105" s="198">
        <f t="shared" si="2574"/>
        <v>3</v>
      </c>
      <c r="AK105" s="225">
        <f t="shared" si="2589"/>
        <v>4.5100000000000001E-3</v>
      </c>
      <c r="AL105" s="226">
        <f t="shared" si="2590"/>
        <v>5.15</v>
      </c>
      <c r="AM105" s="137">
        <f t="shared" si="2591"/>
        <v>1.71666667</v>
      </c>
      <c r="AN105" s="227">
        <f t="shared" si="2578"/>
        <v>54.42</v>
      </c>
      <c r="AO105" s="138">
        <f t="shared" si="2593"/>
        <v>93.421000000000006</v>
      </c>
      <c r="AP105" s="110">
        <f t="shared" si="2594"/>
        <v>280.26</v>
      </c>
      <c r="AQ105" s="110"/>
      <c r="AR105" s="139"/>
      <c r="AS105" s="140">
        <f t="shared" si="2595"/>
        <v>0.86670000000000003</v>
      </c>
      <c r="AT105" s="198">
        <f t="shared" si="2574"/>
        <v>0</v>
      </c>
      <c r="AU105" s="225">
        <f t="shared" si="2596"/>
        <v>0</v>
      </c>
      <c r="AV105" s="226">
        <f t="shared" si="2597"/>
        <v>0</v>
      </c>
      <c r="AW105" s="137">
        <f t="shared" si="2598"/>
        <v>0</v>
      </c>
      <c r="AX105" s="227">
        <f t="shared" si="2578"/>
        <v>49.55</v>
      </c>
      <c r="AY105" s="138">
        <f t="shared" si="2600"/>
        <v>0</v>
      </c>
      <c r="AZ105" s="110">
        <f t="shared" si="2601"/>
        <v>0</v>
      </c>
      <c r="BA105" s="110"/>
      <c r="BB105" s="139"/>
      <c r="BC105" s="140">
        <f t="shared" si="2602"/>
        <v>0</v>
      </c>
      <c r="BD105" s="198">
        <f t="shared" si="2574"/>
        <v>0</v>
      </c>
      <c r="BE105" s="225">
        <f t="shared" si="2603"/>
        <v>0</v>
      </c>
      <c r="BF105" s="226">
        <f t="shared" si="2604"/>
        <v>0</v>
      </c>
      <c r="BG105" s="137">
        <f t="shared" si="2605"/>
        <v>0</v>
      </c>
      <c r="BH105" s="227">
        <f t="shared" si="2578"/>
        <v>55.1</v>
      </c>
      <c r="BI105" s="138">
        <f t="shared" si="2607"/>
        <v>0</v>
      </c>
      <c r="BJ105" s="110">
        <f t="shared" si="2608"/>
        <v>0</v>
      </c>
      <c r="BK105" s="110"/>
      <c r="BL105" s="139"/>
      <c r="BM105" s="140">
        <f t="shared" si="2609"/>
        <v>0</v>
      </c>
      <c r="BN105" s="198">
        <f t="shared" si="2574"/>
        <v>0</v>
      </c>
      <c r="BO105" s="225">
        <f t="shared" si="2610"/>
        <v>0</v>
      </c>
      <c r="BP105" s="226">
        <f t="shared" si="2611"/>
        <v>0</v>
      </c>
      <c r="BQ105" s="137">
        <f t="shared" si="2612"/>
        <v>0</v>
      </c>
      <c r="BR105" s="227">
        <f t="shared" si="2578"/>
        <v>54.14</v>
      </c>
      <c r="BS105" s="138">
        <f t="shared" si="2614"/>
        <v>0</v>
      </c>
      <c r="BT105" s="110">
        <f t="shared" si="2615"/>
        <v>0</v>
      </c>
      <c r="BU105" s="110"/>
      <c r="BV105" s="139"/>
      <c r="BW105" s="140">
        <f t="shared" si="2616"/>
        <v>0</v>
      </c>
      <c r="BX105" s="198">
        <f t="shared" si="2574"/>
        <v>0</v>
      </c>
      <c r="BY105" s="225">
        <f t="shared" si="2617"/>
        <v>0</v>
      </c>
      <c r="BZ105" s="226">
        <f t="shared" si="2618"/>
        <v>0</v>
      </c>
      <c r="CA105" s="137">
        <f t="shared" si="2619"/>
        <v>0</v>
      </c>
      <c r="CB105" s="227">
        <f t="shared" si="2578"/>
        <v>51.74</v>
      </c>
      <c r="CC105" s="138">
        <f t="shared" si="2621"/>
        <v>0</v>
      </c>
      <c r="CD105" s="110">
        <f t="shared" si="2622"/>
        <v>0</v>
      </c>
      <c r="CE105" s="110"/>
      <c r="CF105" s="139"/>
      <c r="CG105" s="140">
        <f t="shared" si="2623"/>
        <v>0</v>
      </c>
      <c r="CH105" s="198">
        <f t="shared" si="2624"/>
        <v>0</v>
      </c>
      <c r="CI105" s="225">
        <f t="shared" si="2625"/>
        <v>0</v>
      </c>
      <c r="CJ105" s="226">
        <f t="shared" si="2626"/>
        <v>0</v>
      </c>
      <c r="CK105" s="137">
        <f t="shared" si="2627"/>
        <v>0</v>
      </c>
      <c r="CL105" s="227">
        <f t="shared" si="2628"/>
        <v>46.92</v>
      </c>
      <c r="CM105" s="138">
        <f t="shared" si="2629"/>
        <v>0</v>
      </c>
      <c r="CN105" s="110">
        <f t="shared" si="2630"/>
        <v>0</v>
      </c>
      <c r="CO105" s="110"/>
      <c r="CP105" s="139"/>
      <c r="CQ105" s="140">
        <f t="shared" si="2631"/>
        <v>0</v>
      </c>
      <c r="CR105" s="198">
        <f t="shared" si="2624"/>
        <v>2</v>
      </c>
      <c r="CS105" s="225">
        <f t="shared" si="2632"/>
        <v>2.6900000000000001E-3</v>
      </c>
      <c r="CT105" s="226">
        <f t="shared" si="2633"/>
        <v>3.23</v>
      </c>
      <c r="CU105" s="137">
        <f t="shared" si="2634"/>
        <v>1.615</v>
      </c>
      <c r="CV105" s="227">
        <f t="shared" si="2628"/>
        <v>49.61</v>
      </c>
      <c r="CW105" s="138">
        <f t="shared" si="2636"/>
        <v>80.120149999999995</v>
      </c>
      <c r="CX105" s="110">
        <f t="shared" si="2637"/>
        <v>160.24</v>
      </c>
      <c r="CY105" s="110"/>
      <c r="CZ105" s="139"/>
      <c r="DA105" s="140">
        <f t="shared" si="2638"/>
        <v>0.74329999999999996</v>
      </c>
      <c r="DB105" s="198">
        <f t="shared" si="2624"/>
        <v>0</v>
      </c>
      <c r="DC105" s="225">
        <f t="shared" si="2639"/>
        <v>0</v>
      </c>
      <c r="DD105" s="226">
        <f t="shared" si="2640"/>
        <v>0</v>
      </c>
      <c r="DE105" s="137">
        <f t="shared" si="2641"/>
        <v>0</v>
      </c>
      <c r="DF105" s="227">
        <f t="shared" si="2628"/>
        <v>52.57</v>
      </c>
      <c r="DG105" s="138">
        <f t="shared" si="2643"/>
        <v>0</v>
      </c>
      <c r="DH105" s="110">
        <f t="shared" si="2644"/>
        <v>0</v>
      </c>
      <c r="DI105" s="110"/>
      <c r="DJ105" s="139"/>
      <c r="DK105" s="140">
        <f t="shared" si="2645"/>
        <v>0</v>
      </c>
      <c r="DL105" s="198">
        <f t="shared" si="2624"/>
        <v>0</v>
      </c>
      <c r="DM105" s="225">
        <f t="shared" si="2646"/>
        <v>0</v>
      </c>
      <c r="DN105" s="226">
        <f t="shared" si="2647"/>
        <v>0</v>
      </c>
      <c r="DO105" s="137">
        <f t="shared" si="2648"/>
        <v>0</v>
      </c>
      <c r="DP105" s="227">
        <f t="shared" si="2628"/>
        <v>55.25</v>
      </c>
      <c r="DQ105" s="138">
        <f t="shared" si="2650"/>
        <v>0</v>
      </c>
      <c r="DR105" s="110">
        <f t="shared" si="2651"/>
        <v>0</v>
      </c>
      <c r="DS105" s="110"/>
      <c r="DT105" s="139"/>
      <c r="DU105" s="140">
        <f t="shared" si="2652"/>
        <v>0</v>
      </c>
      <c r="DV105" s="198">
        <f t="shared" si="2624"/>
        <v>0</v>
      </c>
      <c r="DW105" s="225">
        <f t="shared" si="2653"/>
        <v>0</v>
      </c>
      <c r="DX105" s="226">
        <f t="shared" si="2654"/>
        <v>0</v>
      </c>
      <c r="DY105" s="137">
        <f t="shared" si="2655"/>
        <v>0</v>
      </c>
      <c r="DZ105" s="227">
        <f t="shared" si="2628"/>
        <v>34.14</v>
      </c>
      <c r="EA105" s="138">
        <f t="shared" si="2657"/>
        <v>0</v>
      </c>
      <c r="EB105" s="110">
        <f t="shared" si="2658"/>
        <v>0</v>
      </c>
      <c r="EC105" s="110"/>
      <c r="ED105" s="139"/>
      <c r="EE105" s="140">
        <f t="shared" si="2659"/>
        <v>0</v>
      </c>
      <c r="EF105" s="198">
        <f t="shared" si="2624"/>
        <v>2</v>
      </c>
      <c r="EG105" s="225">
        <f t="shared" si="2660"/>
        <v>2.1299999999999999E-3</v>
      </c>
      <c r="EH105" s="226">
        <f t="shared" si="2661"/>
        <v>1.96</v>
      </c>
      <c r="EI105" s="137">
        <f t="shared" si="2662"/>
        <v>0.98</v>
      </c>
      <c r="EJ105" s="227">
        <f t="shared" si="2628"/>
        <v>44.53</v>
      </c>
      <c r="EK105" s="138">
        <f t="shared" si="2664"/>
        <v>43.639400000000002</v>
      </c>
      <c r="EL105" s="110">
        <f t="shared" si="2665"/>
        <v>87.28</v>
      </c>
      <c r="EM105" s="110"/>
      <c r="EN105" s="139"/>
      <c r="EO105" s="140">
        <f t="shared" si="2666"/>
        <v>0.40486</v>
      </c>
      <c r="EP105" s="198">
        <f t="shared" si="2624"/>
        <v>2</v>
      </c>
      <c r="EQ105" s="225">
        <f t="shared" si="2667"/>
        <v>2.1199999999999999E-3</v>
      </c>
      <c r="ER105" s="226">
        <f t="shared" si="2668"/>
        <v>4.62</v>
      </c>
      <c r="ES105" s="137">
        <f t="shared" si="2669"/>
        <v>2.31</v>
      </c>
      <c r="ET105" s="227">
        <f t="shared" si="2628"/>
        <v>52.01</v>
      </c>
      <c r="EU105" s="138">
        <f t="shared" si="2671"/>
        <v>120.1431</v>
      </c>
      <c r="EV105" s="110">
        <f t="shared" si="2672"/>
        <v>240.29</v>
      </c>
      <c r="EW105" s="110"/>
      <c r="EX105" s="139"/>
      <c r="EY105" s="140">
        <f t="shared" si="2673"/>
        <v>1.1146</v>
      </c>
      <c r="EZ105" s="198">
        <f t="shared" si="2674"/>
        <v>1</v>
      </c>
      <c r="FA105" s="225">
        <f t="shared" si="2675"/>
        <v>8.9999999999999998E-4</v>
      </c>
      <c r="FB105" s="226">
        <f t="shared" si="2676"/>
        <v>1.62</v>
      </c>
      <c r="FC105" s="137">
        <f t="shared" si="2677"/>
        <v>1.62</v>
      </c>
      <c r="FD105" s="227">
        <f t="shared" si="2678"/>
        <v>55.47</v>
      </c>
      <c r="FE105" s="138">
        <f t="shared" si="2679"/>
        <v>89.861400000000003</v>
      </c>
      <c r="FF105" s="110">
        <f t="shared" si="2680"/>
        <v>89.86</v>
      </c>
      <c r="FG105" s="110"/>
      <c r="FH105" s="139"/>
      <c r="FI105" s="140">
        <f t="shared" si="2681"/>
        <v>0.83367000000000002</v>
      </c>
      <c r="FJ105" s="198">
        <f t="shared" si="2674"/>
        <v>1</v>
      </c>
      <c r="FK105" s="225">
        <f t="shared" si="2682"/>
        <v>9.7999999999999997E-4</v>
      </c>
      <c r="FL105" s="226">
        <f t="shared" si="2683"/>
        <v>1.69</v>
      </c>
      <c r="FM105" s="137">
        <f t="shared" si="2684"/>
        <v>1.69</v>
      </c>
      <c r="FN105" s="227">
        <f t="shared" si="2678"/>
        <v>39.74</v>
      </c>
      <c r="FO105" s="138">
        <f t="shared" si="2686"/>
        <v>67.160600000000002</v>
      </c>
      <c r="FP105" s="110">
        <f t="shared" si="2687"/>
        <v>67.16</v>
      </c>
      <c r="FQ105" s="110"/>
      <c r="FR105" s="139"/>
      <c r="FS105" s="140">
        <f t="shared" si="2688"/>
        <v>0.62307000000000001</v>
      </c>
      <c r="FT105" s="198">
        <f t="shared" si="2674"/>
        <v>1</v>
      </c>
      <c r="FU105" s="225">
        <f t="shared" si="2689"/>
        <v>1.25E-3</v>
      </c>
      <c r="FV105" s="226">
        <f t="shared" si="2690"/>
        <v>1.78</v>
      </c>
      <c r="FW105" s="137">
        <f t="shared" si="2691"/>
        <v>1.78</v>
      </c>
      <c r="FX105" s="227">
        <f t="shared" si="2678"/>
        <v>53.97</v>
      </c>
      <c r="FY105" s="138">
        <f t="shared" si="2693"/>
        <v>96.066599999999994</v>
      </c>
      <c r="FZ105" s="110">
        <f t="shared" si="2694"/>
        <v>96.07</v>
      </c>
      <c r="GA105" s="110"/>
      <c r="GB105" s="139"/>
      <c r="GC105" s="140">
        <f t="shared" si="2695"/>
        <v>0.89124000000000003</v>
      </c>
      <c r="GD105" s="198">
        <f t="shared" si="2674"/>
        <v>2</v>
      </c>
      <c r="GE105" s="225">
        <f t="shared" si="2696"/>
        <v>3.9100000000000003E-3</v>
      </c>
      <c r="GF105" s="226">
        <f t="shared" si="2697"/>
        <v>3.36</v>
      </c>
      <c r="GG105" s="137">
        <f t="shared" si="2698"/>
        <v>1.68</v>
      </c>
      <c r="GH105" s="227">
        <f t="shared" si="2678"/>
        <v>54.63</v>
      </c>
      <c r="GI105" s="138">
        <f t="shared" si="2700"/>
        <v>91.778400000000005</v>
      </c>
      <c r="GJ105" s="110">
        <f t="shared" si="2701"/>
        <v>183.56</v>
      </c>
      <c r="GK105" s="110"/>
      <c r="GL105" s="139"/>
      <c r="GM105" s="140">
        <f t="shared" si="2702"/>
        <v>0.85145999999999999</v>
      </c>
      <c r="GN105" s="198">
        <f t="shared" si="2674"/>
        <v>0</v>
      </c>
      <c r="GO105" s="225">
        <f t="shared" si="2703"/>
        <v>0</v>
      </c>
      <c r="GP105" s="226">
        <f t="shared" si="2704"/>
        <v>0</v>
      </c>
      <c r="GQ105" s="137">
        <f t="shared" si="2705"/>
        <v>0</v>
      </c>
      <c r="GR105" s="227">
        <f t="shared" si="2706"/>
        <v>52.13</v>
      </c>
      <c r="GS105" s="138">
        <f t="shared" si="2707"/>
        <v>0</v>
      </c>
      <c r="GT105" s="110">
        <f t="shared" si="2708"/>
        <v>0</v>
      </c>
      <c r="GU105" s="110"/>
      <c r="GV105" s="139"/>
      <c r="GW105" s="140">
        <f t="shared" si="2709"/>
        <v>0</v>
      </c>
      <c r="GX105" s="198">
        <f t="shared" si="2674"/>
        <v>0</v>
      </c>
      <c r="GY105" s="225">
        <f t="shared" si="2710"/>
        <v>0</v>
      </c>
      <c r="GZ105" s="226">
        <f t="shared" si="2711"/>
        <v>0</v>
      </c>
      <c r="HA105" s="137">
        <f t="shared" si="2712"/>
        <v>0</v>
      </c>
      <c r="HB105" s="227">
        <f t="shared" si="2706"/>
        <v>42.58</v>
      </c>
      <c r="HC105" s="138">
        <f t="shared" si="2714"/>
        <v>0</v>
      </c>
      <c r="HD105" s="110">
        <f t="shared" si="2715"/>
        <v>0</v>
      </c>
      <c r="HE105" s="110"/>
      <c r="HF105" s="139"/>
      <c r="HG105" s="140">
        <f t="shared" si="2716"/>
        <v>0</v>
      </c>
      <c r="HH105" s="198">
        <f t="shared" si="2674"/>
        <v>0</v>
      </c>
      <c r="HI105" s="225">
        <f t="shared" si="2717"/>
        <v>0</v>
      </c>
      <c r="HJ105" s="226">
        <f t="shared" si="2718"/>
        <v>0</v>
      </c>
      <c r="HK105" s="137">
        <f t="shared" si="2719"/>
        <v>0</v>
      </c>
      <c r="HL105" s="227">
        <f t="shared" si="2706"/>
        <v>49.58</v>
      </c>
      <c r="HM105" s="138">
        <f t="shared" si="2721"/>
        <v>0</v>
      </c>
      <c r="HN105" s="110">
        <f t="shared" si="2722"/>
        <v>0</v>
      </c>
      <c r="HO105" s="110"/>
      <c r="HP105" s="139"/>
      <c r="HQ105" s="140">
        <f t="shared" si="2723"/>
        <v>0</v>
      </c>
      <c r="HR105" s="198">
        <f t="shared" si="2724"/>
        <v>3</v>
      </c>
      <c r="HS105" s="225">
        <f t="shared" si="2725"/>
        <v>3.81E-3</v>
      </c>
      <c r="HT105" s="226">
        <f t="shared" si="2726"/>
        <v>3.43</v>
      </c>
      <c r="HU105" s="137">
        <f t="shared" si="2727"/>
        <v>1.1433333299999999</v>
      </c>
      <c r="HV105" s="227">
        <f t="shared" si="2706"/>
        <v>52.62</v>
      </c>
      <c r="HW105" s="138">
        <f t="shared" si="2729"/>
        <v>60.162199999999999</v>
      </c>
      <c r="HX105" s="110">
        <f t="shared" si="2730"/>
        <v>180.49</v>
      </c>
      <c r="HY105" s="110"/>
      <c r="HZ105" s="139"/>
      <c r="IA105" s="140">
        <f t="shared" si="2731"/>
        <v>0.55813999999999997</v>
      </c>
      <c r="IB105" s="198">
        <f t="shared" si="2724"/>
        <v>2</v>
      </c>
      <c r="IC105" s="225">
        <f t="shared" si="2732"/>
        <v>3.65E-3</v>
      </c>
      <c r="ID105" s="226">
        <f t="shared" si="2733"/>
        <v>1.57</v>
      </c>
      <c r="IE105" s="137">
        <f t="shared" si="2734"/>
        <v>0.78500000000000003</v>
      </c>
      <c r="IF105" s="227">
        <f t="shared" si="2735"/>
        <v>50</v>
      </c>
      <c r="IG105" s="138">
        <f t="shared" si="2736"/>
        <v>39.25</v>
      </c>
      <c r="IH105" s="110">
        <f t="shared" si="2737"/>
        <v>78.5</v>
      </c>
      <c r="II105" s="110"/>
      <c r="IJ105" s="139"/>
      <c r="IK105" s="140">
        <f t="shared" si="2738"/>
        <v>0.36413000000000001</v>
      </c>
      <c r="IL105" s="198">
        <f t="shared" si="2724"/>
        <v>0</v>
      </c>
      <c r="IM105" s="225">
        <f t="shared" si="2739"/>
        <v>0</v>
      </c>
      <c r="IN105" s="226">
        <f t="shared" si="2740"/>
        <v>0</v>
      </c>
      <c r="IO105" s="137">
        <f t="shared" si="2741"/>
        <v>0</v>
      </c>
      <c r="IP105" s="227">
        <f t="shared" si="2735"/>
        <v>54.39</v>
      </c>
      <c r="IQ105" s="138">
        <f t="shared" si="2743"/>
        <v>0</v>
      </c>
      <c r="IR105" s="110">
        <f t="shared" si="2744"/>
        <v>0</v>
      </c>
      <c r="IS105" s="110"/>
      <c r="IT105" s="139"/>
      <c r="IU105" s="140">
        <f t="shared" si="2745"/>
        <v>0</v>
      </c>
      <c r="IV105" s="198">
        <f t="shared" si="2724"/>
        <v>14</v>
      </c>
      <c r="IW105" s="225">
        <f t="shared" si="2746"/>
        <v>1.8159999999999999E-2</v>
      </c>
      <c r="IX105" s="226">
        <f t="shared" si="2747"/>
        <v>29.06</v>
      </c>
      <c r="IY105" s="137">
        <f t="shared" si="2748"/>
        <v>2.0757142900000001</v>
      </c>
      <c r="IZ105" s="227">
        <f t="shared" si="2735"/>
        <v>54.71</v>
      </c>
      <c r="JA105" s="138">
        <f t="shared" si="2750"/>
        <v>113.56233</v>
      </c>
      <c r="JB105" s="110">
        <f t="shared" si="2751"/>
        <v>1589.87</v>
      </c>
      <c r="JC105" s="110"/>
      <c r="JD105" s="139"/>
      <c r="JE105" s="140">
        <f t="shared" si="2752"/>
        <v>1.05355</v>
      </c>
      <c r="JF105" s="198">
        <f t="shared" si="2724"/>
        <v>3</v>
      </c>
      <c r="JG105" s="225">
        <f t="shared" si="2753"/>
        <v>2.2399999999999998E-3</v>
      </c>
      <c r="JH105" s="226">
        <f t="shared" si="2754"/>
        <v>8.56</v>
      </c>
      <c r="JI105" s="137">
        <f t="shared" si="2755"/>
        <v>2.8533333299999999</v>
      </c>
      <c r="JJ105" s="227">
        <f t="shared" si="2735"/>
        <v>43.31</v>
      </c>
      <c r="JK105" s="138">
        <f t="shared" si="2757"/>
        <v>123.57787</v>
      </c>
      <c r="JL105" s="110">
        <f t="shared" si="2758"/>
        <v>370.73</v>
      </c>
      <c r="JM105" s="110"/>
      <c r="JN105" s="139"/>
      <c r="JO105" s="140">
        <f t="shared" si="2759"/>
        <v>1.1464700000000001</v>
      </c>
      <c r="JP105" s="198">
        <f t="shared" si="2724"/>
        <v>2</v>
      </c>
      <c r="JQ105" s="225">
        <f t="shared" si="2760"/>
        <v>1.6000000000000001E-3</v>
      </c>
      <c r="JR105" s="226">
        <f t="shared" si="2761"/>
        <v>6.08</v>
      </c>
      <c r="JS105" s="137">
        <f t="shared" si="2762"/>
        <v>3.04</v>
      </c>
      <c r="JT105" s="227">
        <f t="shared" si="2763"/>
        <v>57.05</v>
      </c>
      <c r="JU105" s="138">
        <f t="shared" si="2764"/>
        <v>173.43199999999999</v>
      </c>
      <c r="JV105" s="110">
        <f t="shared" si="2765"/>
        <v>346.86</v>
      </c>
      <c r="JW105" s="110"/>
      <c r="JX105" s="139"/>
      <c r="JY105" s="140">
        <f t="shared" si="2766"/>
        <v>1.6089800000000001</v>
      </c>
      <c r="JZ105" s="198">
        <f t="shared" si="2724"/>
        <v>0</v>
      </c>
      <c r="KA105" s="225">
        <f t="shared" si="2767"/>
        <v>0</v>
      </c>
      <c r="KB105" s="226">
        <f t="shared" si="2768"/>
        <v>0</v>
      </c>
      <c r="KC105" s="137">
        <f t="shared" si="2769"/>
        <v>0</v>
      </c>
      <c r="KD105" s="227">
        <f t="shared" si="2763"/>
        <v>51.65</v>
      </c>
      <c r="KE105" s="138">
        <f t="shared" si="2771"/>
        <v>0</v>
      </c>
      <c r="KF105" s="110">
        <f t="shared" si="2772"/>
        <v>0</v>
      </c>
      <c r="KG105" s="110"/>
      <c r="KH105" s="139"/>
      <c r="KI105" s="140">
        <f t="shared" si="2773"/>
        <v>0</v>
      </c>
      <c r="KJ105" s="198">
        <f t="shared" si="2774"/>
        <v>0</v>
      </c>
      <c r="KK105" s="225">
        <f t="shared" si="2775"/>
        <v>0</v>
      </c>
      <c r="KL105" s="226">
        <f t="shared" si="2776"/>
        <v>0</v>
      </c>
      <c r="KM105" s="137">
        <f t="shared" si="2777"/>
        <v>0</v>
      </c>
      <c r="KN105" s="227">
        <f t="shared" si="2763"/>
        <v>51.78</v>
      </c>
      <c r="KO105" s="138">
        <f t="shared" si="2779"/>
        <v>0</v>
      </c>
      <c r="KP105" s="110">
        <f t="shared" si="2780"/>
        <v>0</v>
      </c>
      <c r="KQ105" s="110"/>
      <c r="KR105" s="139"/>
      <c r="KS105" s="140">
        <f t="shared" si="2781"/>
        <v>0</v>
      </c>
      <c r="KT105" s="198">
        <f t="shared" si="2774"/>
        <v>2</v>
      </c>
      <c r="KU105" s="225">
        <f t="shared" si="2782"/>
        <v>1.7799999999999999E-3</v>
      </c>
      <c r="KV105" s="226">
        <f t="shared" si="2783"/>
        <v>11.27</v>
      </c>
      <c r="KW105" s="137">
        <f t="shared" si="2784"/>
        <v>5.6349999999999998</v>
      </c>
      <c r="KX105" s="227">
        <f t="shared" si="2763"/>
        <v>55.65</v>
      </c>
      <c r="KY105" s="138">
        <f t="shared" si="2786"/>
        <v>313.58775000000003</v>
      </c>
      <c r="KZ105" s="110">
        <f t="shared" si="2787"/>
        <v>627.17999999999995</v>
      </c>
      <c r="LA105" s="110"/>
      <c r="LB105" s="139"/>
      <c r="LC105" s="140">
        <f t="shared" si="2788"/>
        <v>2.9092500000000001</v>
      </c>
      <c r="LD105" s="197">
        <f t="shared" si="2789"/>
        <v>40</v>
      </c>
      <c r="LE105" s="225">
        <f t="shared" si="2790"/>
        <v>1.4E-3</v>
      </c>
      <c r="LF105" s="226">
        <f t="shared" si="2791"/>
        <v>85.82</v>
      </c>
      <c r="LG105" s="137">
        <f t="shared" si="2792"/>
        <v>2.1455000000000002</v>
      </c>
      <c r="LH105" s="227">
        <f t="shared" si="2793"/>
        <v>50.24</v>
      </c>
      <c r="LI105" s="138">
        <f t="shared" si="2794"/>
        <v>107.78992</v>
      </c>
      <c r="LJ105" s="110">
        <f t="shared" si="2795"/>
        <v>4311.6000000000004</v>
      </c>
      <c r="LK105" s="110"/>
      <c r="LL105" s="139"/>
    </row>
    <row r="106" spans="1:324" ht="24" hidden="1" x14ac:dyDescent="0.25">
      <c r="A106" s="246"/>
      <c r="B106" s="92" t="s">
        <v>608</v>
      </c>
      <c r="C106" s="12" t="s">
        <v>729</v>
      </c>
      <c r="D106" s="12" t="s">
        <v>429</v>
      </c>
      <c r="E106" s="4" t="s">
        <v>32</v>
      </c>
      <c r="F106" s="198">
        <f t="shared" si="2569"/>
        <v>0</v>
      </c>
      <c r="G106" s="225">
        <f t="shared" si="2796"/>
        <v>0</v>
      </c>
      <c r="H106" s="226">
        <f t="shared" si="2797"/>
        <v>0</v>
      </c>
      <c r="I106" s="137">
        <f t="shared" si="2570"/>
        <v>0</v>
      </c>
      <c r="J106" s="227">
        <f t="shared" si="2798"/>
        <v>40.909999999999997</v>
      </c>
      <c r="K106" s="138">
        <f t="shared" si="2571"/>
        <v>0</v>
      </c>
      <c r="L106" s="110">
        <f t="shared" si="2572"/>
        <v>0</v>
      </c>
      <c r="M106" s="110"/>
      <c r="N106" s="139"/>
      <c r="O106" s="140" t="e">
        <f t="shared" si="2573"/>
        <v>#DIV/0!</v>
      </c>
      <c r="P106" s="198">
        <f t="shared" si="2574"/>
        <v>0</v>
      </c>
      <c r="Q106" s="225">
        <f t="shared" si="2575"/>
        <v>0</v>
      </c>
      <c r="R106" s="226">
        <f t="shared" si="2576"/>
        <v>0</v>
      </c>
      <c r="S106" s="137">
        <f t="shared" si="2577"/>
        <v>0</v>
      </c>
      <c r="T106" s="227">
        <f t="shared" si="2578"/>
        <v>36.11</v>
      </c>
      <c r="U106" s="138">
        <f t="shared" si="2579"/>
        <v>0</v>
      </c>
      <c r="V106" s="110">
        <f t="shared" si="2580"/>
        <v>0</v>
      </c>
      <c r="W106" s="110"/>
      <c r="X106" s="139"/>
      <c r="Y106" s="140" t="e">
        <f t="shared" si="2581"/>
        <v>#DIV/0!</v>
      </c>
      <c r="Z106" s="198">
        <f t="shared" si="2574"/>
        <v>0</v>
      </c>
      <c r="AA106" s="225">
        <f t="shared" si="2582"/>
        <v>0</v>
      </c>
      <c r="AB106" s="226">
        <f t="shared" si="2583"/>
        <v>0</v>
      </c>
      <c r="AC106" s="137">
        <f t="shared" si="2584"/>
        <v>0</v>
      </c>
      <c r="AD106" s="227">
        <f t="shared" si="2578"/>
        <v>54.87</v>
      </c>
      <c r="AE106" s="138">
        <f t="shared" si="2586"/>
        <v>0</v>
      </c>
      <c r="AF106" s="110">
        <f t="shared" si="2587"/>
        <v>0</v>
      </c>
      <c r="AG106" s="110"/>
      <c r="AH106" s="139"/>
      <c r="AI106" s="140" t="e">
        <f t="shared" si="2588"/>
        <v>#DIV/0!</v>
      </c>
      <c r="AJ106" s="198">
        <f t="shared" si="2574"/>
        <v>0</v>
      </c>
      <c r="AK106" s="225">
        <f t="shared" si="2589"/>
        <v>0</v>
      </c>
      <c r="AL106" s="226">
        <f t="shared" si="2590"/>
        <v>0</v>
      </c>
      <c r="AM106" s="137">
        <f t="shared" si="2591"/>
        <v>0</v>
      </c>
      <c r="AN106" s="227">
        <f t="shared" si="2578"/>
        <v>54.42</v>
      </c>
      <c r="AO106" s="138">
        <f t="shared" si="2593"/>
        <v>0</v>
      </c>
      <c r="AP106" s="110">
        <f t="shared" si="2594"/>
        <v>0</v>
      </c>
      <c r="AQ106" s="110"/>
      <c r="AR106" s="139"/>
      <c r="AS106" s="140" t="e">
        <f t="shared" si="2595"/>
        <v>#DIV/0!</v>
      </c>
      <c r="AT106" s="198">
        <f t="shared" si="2574"/>
        <v>0</v>
      </c>
      <c r="AU106" s="225">
        <f t="shared" si="2596"/>
        <v>0</v>
      </c>
      <c r="AV106" s="226">
        <f t="shared" si="2597"/>
        <v>0</v>
      </c>
      <c r="AW106" s="137">
        <f t="shared" si="2598"/>
        <v>0</v>
      </c>
      <c r="AX106" s="227">
        <f t="shared" si="2578"/>
        <v>49.55</v>
      </c>
      <c r="AY106" s="138">
        <f t="shared" si="2600"/>
        <v>0</v>
      </c>
      <c r="AZ106" s="110">
        <f t="shared" si="2601"/>
        <v>0</v>
      </c>
      <c r="BA106" s="110"/>
      <c r="BB106" s="139"/>
      <c r="BC106" s="140" t="e">
        <f t="shared" si="2602"/>
        <v>#DIV/0!</v>
      </c>
      <c r="BD106" s="198">
        <f t="shared" si="2574"/>
        <v>0</v>
      </c>
      <c r="BE106" s="225">
        <f t="shared" si="2603"/>
        <v>0</v>
      </c>
      <c r="BF106" s="226">
        <f t="shared" si="2604"/>
        <v>0</v>
      </c>
      <c r="BG106" s="137">
        <f t="shared" si="2605"/>
        <v>0</v>
      </c>
      <c r="BH106" s="227">
        <f t="shared" si="2578"/>
        <v>55.1</v>
      </c>
      <c r="BI106" s="138">
        <f t="shared" si="2607"/>
        <v>0</v>
      </c>
      <c r="BJ106" s="110">
        <f t="shared" si="2608"/>
        <v>0</v>
      </c>
      <c r="BK106" s="110"/>
      <c r="BL106" s="139"/>
      <c r="BM106" s="140" t="e">
        <f t="shared" si="2609"/>
        <v>#DIV/0!</v>
      </c>
      <c r="BN106" s="198">
        <f t="shared" si="2574"/>
        <v>0</v>
      </c>
      <c r="BO106" s="225">
        <f t="shared" si="2610"/>
        <v>0</v>
      </c>
      <c r="BP106" s="226">
        <f t="shared" si="2611"/>
        <v>0</v>
      </c>
      <c r="BQ106" s="137">
        <f t="shared" si="2612"/>
        <v>0</v>
      </c>
      <c r="BR106" s="227">
        <f t="shared" si="2578"/>
        <v>54.14</v>
      </c>
      <c r="BS106" s="138">
        <f t="shared" si="2614"/>
        <v>0</v>
      </c>
      <c r="BT106" s="110">
        <f t="shared" si="2615"/>
        <v>0</v>
      </c>
      <c r="BU106" s="110"/>
      <c r="BV106" s="139"/>
      <c r="BW106" s="140" t="e">
        <f t="shared" si="2616"/>
        <v>#DIV/0!</v>
      </c>
      <c r="BX106" s="198">
        <f t="shared" si="2574"/>
        <v>0</v>
      </c>
      <c r="BY106" s="225">
        <f t="shared" si="2617"/>
        <v>0</v>
      </c>
      <c r="BZ106" s="226">
        <f t="shared" si="2618"/>
        <v>0</v>
      </c>
      <c r="CA106" s="137">
        <f t="shared" si="2619"/>
        <v>0</v>
      </c>
      <c r="CB106" s="227">
        <f t="shared" si="2578"/>
        <v>51.74</v>
      </c>
      <c r="CC106" s="138">
        <f t="shared" si="2621"/>
        <v>0</v>
      </c>
      <c r="CD106" s="110">
        <f t="shared" si="2622"/>
        <v>0</v>
      </c>
      <c r="CE106" s="110"/>
      <c r="CF106" s="139"/>
      <c r="CG106" s="140" t="e">
        <f t="shared" si="2623"/>
        <v>#DIV/0!</v>
      </c>
      <c r="CH106" s="198">
        <f t="shared" si="2624"/>
        <v>0</v>
      </c>
      <c r="CI106" s="225">
        <f t="shared" si="2625"/>
        <v>0</v>
      </c>
      <c r="CJ106" s="226">
        <f t="shared" si="2626"/>
        <v>0</v>
      </c>
      <c r="CK106" s="137">
        <f t="shared" si="2627"/>
        <v>0</v>
      </c>
      <c r="CL106" s="227">
        <f t="shared" si="2628"/>
        <v>46.92</v>
      </c>
      <c r="CM106" s="138">
        <f t="shared" si="2629"/>
        <v>0</v>
      </c>
      <c r="CN106" s="110">
        <f t="shared" si="2630"/>
        <v>0</v>
      </c>
      <c r="CO106" s="110"/>
      <c r="CP106" s="139"/>
      <c r="CQ106" s="140" t="e">
        <f t="shared" si="2631"/>
        <v>#DIV/0!</v>
      </c>
      <c r="CR106" s="198">
        <f t="shared" si="2624"/>
        <v>0</v>
      </c>
      <c r="CS106" s="225">
        <f t="shared" si="2632"/>
        <v>0</v>
      </c>
      <c r="CT106" s="226">
        <f t="shared" si="2633"/>
        <v>0</v>
      </c>
      <c r="CU106" s="137">
        <f t="shared" si="2634"/>
        <v>0</v>
      </c>
      <c r="CV106" s="227">
        <f t="shared" si="2628"/>
        <v>49.61</v>
      </c>
      <c r="CW106" s="138">
        <f t="shared" si="2636"/>
        <v>0</v>
      </c>
      <c r="CX106" s="110">
        <f t="shared" si="2637"/>
        <v>0</v>
      </c>
      <c r="CY106" s="110"/>
      <c r="CZ106" s="139"/>
      <c r="DA106" s="140" t="e">
        <f t="shared" si="2638"/>
        <v>#DIV/0!</v>
      </c>
      <c r="DB106" s="198">
        <f t="shared" si="2624"/>
        <v>0</v>
      </c>
      <c r="DC106" s="225">
        <f t="shared" si="2639"/>
        <v>0</v>
      </c>
      <c r="DD106" s="226">
        <f t="shared" si="2640"/>
        <v>0</v>
      </c>
      <c r="DE106" s="137">
        <f t="shared" si="2641"/>
        <v>0</v>
      </c>
      <c r="DF106" s="227">
        <f t="shared" si="2628"/>
        <v>52.57</v>
      </c>
      <c r="DG106" s="138">
        <f t="shared" si="2643"/>
        <v>0</v>
      </c>
      <c r="DH106" s="110">
        <f t="shared" si="2644"/>
        <v>0</v>
      </c>
      <c r="DI106" s="110"/>
      <c r="DJ106" s="139"/>
      <c r="DK106" s="140" t="e">
        <f t="shared" si="2645"/>
        <v>#DIV/0!</v>
      </c>
      <c r="DL106" s="198">
        <f t="shared" si="2624"/>
        <v>0</v>
      </c>
      <c r="DM106" s="225">
        <f t="shared" si="2646"/>
        <v>0</v>
      </c>
      <c r="DN106" s="226">
        <f t="shared" si="2647"/>
        <v>0</v>
      </c>
      <c r="DO106" s="137">
        <f t="shared" si="2648"/>
        <v>0</v>
      </c>
      <c r="DP106" s="227">
        <f t="shared" si="2628"/>
        <v>55.25</v>
      </c>
      <c r="DQ106" s="138">
        <f t="shared" si="2650"/>
        <v>0</v>
      </c>
      <c r="DR106" s="110">
        <f t="shared" si="2651"/>
        <v>0</v>
      </c>
      <c r="DS106" s="110"/>
      <c r="DT106" s="139"/>
      <c r="DU106" s="140" t="e">
        <f t="shared" si="2652"/>
        <v>#DIV/0!</v>
      </c>
      <c r="DV106" s="198">
        <f t="shared" si="2624"/>
        <v>0</v>
      </c>
      <c r="DW106" s="225">
        <f t="shared" si="2653"/>
        <v>0</v>
      </c>
      <c r="DX106" s="226">
        <f t="shared" si="2654"/>
        <v>0</v>
      </c>
      <c r="DY106" s="137">
        <f t="shared" si="2655"/>
        <v>0</v>
      </c>
      <c r="DZ106" s="227">
        <f t="shared" si="2628"/>
        <v>34.14</v>
      </c>
      <c r="EA106" s="138">
        <f t="shared" si="2657"/>
        <v>0</v>
      </c>
      <c r="EB106" s="110">
        <f t="shared" si="2658"/>
        <v>0</v>
      </c>
      <c r="EC106" s="110"/>
      <c r="ED106" s="139"/>
      <c r="EE106" s="140" t="e">
        <f t="shared" si="2659"/>
        <v>#DIV/0!</v>
      </c>
      <c r="EF106" s="198">
        <f t="shared" si="2624"/>
        <v>0</v>
      </c>
      <c r="EG106" s="225">
        <f t="shared" si="2660"/>
        <v>0</v>
      </c>
      <c r="EH106" s="226">
        <f t="shared" si="2661"/>
        <v>0</v>
      </c>
      <c r="EI106" s="137">
        <f t="shared" si="2662"/>
        <v>0</v>
      </c>
      <c r="EJ106" s="227">
        <f t="shared" si="2628"/>
        <v>44.53</v>
      </c>
      <c r="EK106" s="138">
        <f t="shared" si="2664"/>
        <v>0</v>
      </c>
      <c r="EL106" s="110">
        <f t="shared" si="2665"/>
        <v>0</v>
      </c>
      <c r="EM106" s="110"/>
      <c r="EN106" s="139"/>
      <c r="EO106" s="140" t="e">
        <f t="shared" si="2666"/>
        <v>#DIV/0!</v>
      </c>
      <c r="EP106" s="198">
        <f t="shared" si="2624"/>
        <v>0</v>
      </c>
      <c r="EQ106" s="225">
        <f t="shared" si="2667"/>
        <v>0</v>
      </c>
      <c r="ER106" s="226">
        <f t="shared" si="2668"/>
        <v>0</v>
      </c>
      <c r="ES106" s="137">
        <f t="shared" si="2669"/>
        <v>0</v>
      </c>
      <c r="ET106" s="227">
        <f t="shared" si="2628"/>
        <v>52.01</v>
      </c>
      <c r="EU106" s="138">
        <f t="shared" si="2671"/>
        <v>0</v>
      </c>
      <c r="EV106" s="110">
        <f t="shared" si="2672"/>
        <v>0</v>
      </c>
      <c r="EW106" s="110"/>
      <c r="EX106" s="139"/>
      <c r="EY106" s="140" t="e">
        <f t="shared" si="2673"/>
        <v>#DIV/0!</v>
      </c>
      <c r="EZ106" s="198">
        <f t="shared" si="2674"/>
        <v>0</v>
      </c>
      <c r="FA106" s="225">
        <f t="shared" si="2675"/>
        <v>0</v>
      </c>
      <c r="FB106" s="226">
        <f t="shared" si="2676"/>
        <v>0</v>
      </c>
      <c r="FC106" s="137">
        <f t="shared" si="2677"/>
        <v>0</v>
      </c>
      <c r="FD106" s="227">
        <f t="shared" si="2678"/>
        <v>55.47</v>
      </c>
      <c r="FE106" s="138">
        <f t="shared" si="2679"/>
        <v>0</v>
      </c>
      <c r="FF106" s="110">
        <f t="shared" si="2680"/>
        <v>0</v>
      </c>
      <c r="FG106" s="110"/>
      <c r="FH106" s="139"/>
      <c r="FI106" s="140" t="e">
        <f t="shared" si="2681"/>
        <v>#DIV/0!</v>
      </c>
      <c r="FJ106" s="198">
        <f t="shared" si="2674"/>
        <v>0</v>
      </c>
      <c r="FK106" s="225">
        <f t="shared" si="2682"/>
        <v>0</v>
      </c>
      <c r="FL106" s="226">
        <f t="shared" si="2683"/>
        <v>0</v>
      </c>
      <c r="FM106" s="137">
        <f t="shared" si="2684"/>
        <v>0</v>
      </c>
      <c r="FN106" s="227">
        <f t="shared" si="2678"/>
        <v>39.74</v>
      </c>
      <c r="FO106" s="138">
        <f t="shared" si="2686"/>
        <v>0</v>
      </c>
      <c r="FP106" s="110">
        <f t="shared" si="2687"/>
        <v>0</v>
      </c>
      <c r="FQ106" s="110"/>
      <c r="FR106" s="139"/>
      <c r="FS106" s="140" t="e">
        <f t="shared" si="2688"/>
        <v>#DIV/0!</v>
      </c>
      <c r="FT106" s="198">
        <f t="shared" si="2674"/>
        <v>0</v>
      </c>
      <c r="FU106" s="225">
        <f t="shared" si="2689"/>
        <v>0</v>
      </c>
      <c r="FV106" s="226">
        <f t="shared" si="2690"/>
        <v>0</v>
      </c>
      <c r="FW106" s="137">
        <f t="shared" si="2691"/>
        <v>0</v>
      </c>
      <c r="FX106" s="227">
        <f t="shared" si="2678"/>
        <v>53.97</v>
      </c>
      <c r="FY106" s="138">
        <f t="shared" si="2693"/>
        <v>0</v>
      </c>
      <c r="FZ106" s="110">
        <f t="shared" si="2694"/>
        <v>0</v>
      </c>
      <c r="GA106" s="110"/>
      <c r="GB106" s="139"/>
      <c r="GC106" s="140" t="e">
        <f t="shared" si="2695"/>
        <v>#DIV/0!</v>
      </c>
      <c r="GD106" s="198">
        <f t="shared" si="2674"/>
        <v>0</v>
      </c>
      <c r="GE106" s="225">
        <f t="shared" si="2696"/>
        <v>0</v>
      </c>
      <c r="GF106" s="226">
        <f t="shared" si="2697"/>
        <v>0</v>
      </c>
      <c r="GG106" s="137">
        <f t="shared" si="2698"/>
        <v>0</v>
      </c>
      <c r="GH106" s="227">
        <f t="shared" si="2678"/>
        <v>54.63</v>
      </c>
      <c r="GI106" s="138">
        <f t="shared" si="2700"/>
        <v>0</v>
      </c>
      <c r="GJ106" s="110">
        <f t="shared" si="2701"/>
        <v>0</v>
      </c>
      <c r="GK106" s="110"/>
      <c r="GL106" s="139"/>
      <c r="GM106" s="140" t="e">
        <f t="shared" si="2702"/>
        <v>#DIV/0!</v>
      </c>
      <c r="GN106" s="198">
        <f t="shared" si="2674"/>
        <v>0</v>
      </c>
      <c r="GO106" s="225">
        <f t="shared" si="2703"/>
        <v>0</v>
      </c>
      <c r="GP106" s="226">
        <f t="shared" si="2704"/>
        <v>0</v>
      </c>
      <c r="GQ106" s="137">
        <f t="shared" si="2705"/>
        <v>0</v>
      </c>
      <c r="GR106" s="227">
        <f t="shared" si="2706"/>
        <v>52.13</v>
      </c>
      <c r="GS106" s="138">
        <f t="shared" si="2707"/>
        <v>0</v>
      </c>
      <c r="GT106" s="110">
        <f t="shared" si="2708"/>
        <v>0</v>
      </c>
      <c r="GU106" s="110"/>
      <c r="GV106" s="139"/>
      <c r="GW106" s="140" t="e">
        <f t="shared" si="2709"/>
        <v>#DIV/0!</v>
      </c>
      <c r="GX106" s="198">
        <f t="shared" si="2674"/>
        <v>0</v>
      </c>
      <c r="GY106" s="225">
        <f t="shared" si="2710"/>
        <v>0</v>
      </c>
      <c r="GZ106" s="226">
        <f t="shared" si="2711"/>
        <v>0</v>
      </c>
      <c r="HA106" s="137">
        <f t="shared" si="2712"/>
        <v>0</v>
      </c>
      <c r="HB106" s="227">
        <f t="shared" si="2706"/>
        <v>42.58</v>
      </c>
      <c r="HC106" s="138">
        <f t="shared" si="2714"/>
        <v>0</v>
      </c>
      <c r="HD106" s="110">
        <f t="shared" si="2715"/>
        <v>0</v>
      </c>
      <c r="HE106" s="110"/>
      <c r="HF106" s="139"/>
      <c r="HG106" s="140" t="e">
        <f t="shared" si="2716"/>
        <v>#DIV/0!</v>
      </c>
      <c r="HH106" s="198">
        <f t="shared" si="2674"/>
        <v>0</v>
      </c>
      <c r="HI106" s="225">
        <f t="shared" si="2717"/>
        <v>0</v>
      </c>
      <c r="HJ106" s="226">
        <f t="shared" si="2718"/>
        <v>0</v>
      </c>
      <c r="HK106" s="137">
        <f t="shared" si="2719"/>
        <v>0</v>
      </c>
      <c r="HL106" s="227">
        <f t="shared" si="2706"/>
        <v>49.58</v>
      </c>
      <c r="HM106" s="138">
        <f t="shared" si="2721"/>
        <v>0</v>
      </c>
      <c r="HN106" s="110">
        <f t="shared" si="2722"/>
        <v>0</v>
      </c>
      <c r="HO106" s="110"/>
      <c r="HP106" s="139"/>
      <c r="HQ106" s="140" t="e">
        <f t="shared" si="2723"/>
        <v>#DIV/0!</v>
      </c>
      <c r="HR106" s="198">
        <f t="shared" si="2724"/>
        <v>0</v>
      </c>
      <c r="HS106" s="225">
        <f t="shared" si="2725"/>
        <v>0</v>
      </c>
      <c r="HT106" s="226">
        <f t="shared" si="2726"/>
        <v>0</v>
      </c>
      <c r="HU106" s="137">
        <f t="shared" si="2727"/>
        <v>0</v>
      </c>
      <c r="HV106" s="227">
        <f t="shared" si="2706"/>
        <v>52.62</v>
      </c>
      <c r="HW106" s="138">
        <f t="shared" si="2729"/>
        <v>0</v>
      </c>
      <c r="HX106" s="110">
        <f t="shared" si="2730"/>
        <v>0</v>
      </c>
      <c r="HY106" s="110"/>
      <c r="HZ106" s="139"/>
      <c r="IA106" s="140" t="e">
        <f t="shared" si="2731"/>
        <v>#DIV/0!</v>
      </c>
      <c r="IB106" s="198">
        <f t="shared" si="2724"/>
        <v>0</v>
      </c>
      <c r="IC106" s="225">
        <f t="shared" si="2732"/>
        <v>0</v>
      </c>
      <c r="ID106" s="226">
        <f t="shared" si="2733"/>
        <v>0</v>
      </c>
      <c r="IE106" s="137">
        <f t="shared" si="2734"/>
        <v>0</v>
      </c>
      <c r="IF106" s="227">
        <f t="shared" si="2735"/>
        <v>50</v>
      </c>
      <c r="IG106" s="138">
        <f t="shared" si="2736"/>
        <v>0</v>
      </c>
      <c r="IH106" s="110">
        <f t="shared" si="2737"/>
        <v>0</v>
      </c>
      <c r="II106" s="110"/>
      <c r="IJ106" s="139"/>
      <c r="IK106" s="140" t="e">
        <f t="shared" si="2738"/>
        <v>#DIV/0!</v>
      </c>
      <c r="IL106" s="198">
        <f t="shared" si="2724"/>
        <v>0</v>
      </c>
      <c r="IM106" s="225">
        <f t="shared" si="2739"/>
        <v>0</v>
      </c>
      <c r="IN106" s="226">
        <f t="shared" si="2740"/>
        <v>0</v>
      </c>
      <c r="IO106" s="137">
        <f t="shared" si="2741"/>
        <v>0</v>
      </c>
      <c r="IP106" s="227">
        <f t="shared" si="2735"/>
        <v>54.39</v>
      </c>
      <c r="IQ106" s="138">
        <f t="shared" si="2743"/>
        <v>0</v>
      </c>
      <c r="IR106" s="110">
        <f t="shared" si="2744"/>
        <v>0</v>
      </c>
      <c r="IS106" s="110"/>
      <c r="IT106" s="139"/>
      <c r="IU106" s="140" t="e">
        <f t="shared" si="2745"/>
        <v>#DIV/0!</v>
      </c>
      <c r="IV106" s="198">
        <f t="shared" si="2724"/>
        <v>0</v>
      </c>
      <c r="IW106" s="225">
        <f t="shared" si="2746"/>
        <v>0</v>
      </c>
      <c r="IX106" s="226">
        <f t="shared" si="2747"/>
        <v>0</v>
      </c>
      <c r="IY106" s="137">
        <f t="shared" si="2748"/>
        <v>0</v>
      </c>
      <c r="IZ106" s="227">
        <f t="shared" si="2735"/>
        <v>54.71</v>
      </c>
      <c r="JA106" s="138">
        <f t="shared" si="2750"/>
        <v>0</v>
      </c>
      <c r="JB106" s="110">
        <f t="shared" si="2751"/>
        <v>0</v>
      </c>
      <c r="JC106" s="110"/>
      <c r="JD106" s="139"/>
      <c r="JE106" s="140" t="e">
        <f t="shared" si="2752"/>
        <v>#DIV/0!</v>
      </c>
      <c r="JF106" s="198">
        <f t="shared" si="2724"/>
        <v>0</v>
      </c>
      <c r="JG106" s="225">
        <f t="shared" si="2753"/>
        <v>0</v>
      </c>
      <c r="JH106" s="226">
        <f t="shared" si="2754"/>
        <v>0</v>
      </c>
      <c r="JI106" s="137">
        <f t="shared" si="2755"/>
        <v>0</v>
      </c>
      <c r="JJ106" s="227">
        <f t="shared" si="2735"/>
        <v>43.31</v>
      </c>
      <c r="JK106" s="138">
        <f t="shared" si="2757"/>
        <v>0</v>
      </c>
      <c r="JL106" s="110">
        <f t="shared" si="2758"/>
        <v>0</v>
      </c>
      <c r="JM106" s="110"/>
      <c r="JN106" s="139"/>
      <c r="JO106" s="140" t="e">
        <f t="shared" si="2759"/>
        <v>#DIV/0!</v>
      </c>
      <c r="JP106" s="198">
        <f t="shared" si="2724"/>
        <v>0</v>
      </c>
      <c r="JQ106" s="225">
        <f t="shared" si="2760"/>
        <v>0</v>
      </c>
      <c r="JR106" s="226">
        <f t="shared" si="2761"/>
        <v>0</v>
      </c>
      <c r="JS106" s="137">
        <f t="shared" si="2762"/>
        <v>0</v>
      </c>
      <c r="JT106" s="227">
        <f t="shared" si="2763"/>
        <v>57.05</v>
      </c>
      <c r="JU106" s="138">
        <f t="shared" si="2764"/>
        <v>0</v>
      </c>
      <c r="JV106" s="110">
        <f t="shared" si="2765"/>
        <v>0</v>
      </c>
      <c r="JW106" s="110"/>
      <c r="JX106" s="139"/>
      <c r="JY106" s="140" t="e">
        <f t="shared" si="2766"/>
        <v>#DIV/0!</v>
      </c>
      <c r="JZ106" s="198">
        <f t="shared" si="2724"/>
        <v>0</v>
      </c>
      <c r="KA106" s="225">
        <f t="shared" si="2767"/>
        <v>0</v>
      </c>
      <c r="KB106" s="226">
        <f t="shared" si="2768"/>
        <v>0</v>
      </c>
      <c r="KC106" s="137">
        <f t="shared" si="2769"/>
        <v>0</v>
      </c>
      <c r="KD106" s="227">
        <f t="shared" si="2763"/>
        <v>51.65</v>
      </c>
      <c r="KE106" s="138">
        <f t="shared" si="2771"/>
        <v>0</v>
      </c>
      <c r="KF106" s="110">
        <f t="shared" si="2772"/>
        <v>0</v>
      </c>
      <c r="KG106" s="110"/>
      <c r="KH106" s="139"/>
      <c r="KI106" s="140" t="e">
        <f t="shared" si="2773"/>
        <v>#DIV/0!</v>
      </c>
      <c r="KJ106" s="198">
        <f t="shared" si="2774"/>
        <v>0</v>
      </c>
      <c r="KK106" s="225">
        <f t="shared" si="2775"/>
        <v>0</v>
      </c>
      <c r="KL106" s="226">
        <f t="shared" si="2776"/>
        <v>0</v>
      </c>
      <c r="KM106" s="137">
        <f t="shared" si="2777"/>
        <v>0</v>
      </c>
      <c r="KN106" s="227">
        <f t="shared" si="2763"/>
        <v>51.78</v>
      </c>
      <c r="KO106" s="138">
        <f t="shared" si="2779"/>
        <v>0</v>
      </c>
      <c r="KP106" s="110">
        <f t="shared" si="2780"/>
        <v>0</v>
      </c>
      <c r="KQ106" s="110"/>
      <c r="KR106" s="139"/>
      <c r="KS106" s="140" t="e">
        <f t="shared" si="2781"/>
        <v>#DIV/0!</v>
      </c>
      <c r="KT106" s="198">
        <f t="shared" si="2774"/>
        <v>0</v>
      </c>
      <c r="KU106" s="225">
        <f t="shared" si="2782"/>
        <v>0</v>
      </c>
      <c r="KV106" s="226">
        <f t="shared" si="2783"/>
        <v>0</v>
      </c>
      <c r="KW106" s="137">
        <f t="shared" si="2784"/>
        <v>0</v>
      </c>
      <c r="KX106" s="227">
        <f t="shared" si="2763"/>
        <v>55.65</v>
      </c>
      <c r="KY106" s="138">
        <f t="shared" si="2786"/>
        <v>0</v>
      </c>
      <c r="KZ106" s="110">
        <f t="shared" si="2787"/>
        <v>0</v>
      </c>
      <c r="LA106" s="110"/>
      <c r="LB106" s="139"/>
      <c r="LC106" s="140" t="e">
        <f t="shared" si="2788"/>
        <v>#DIV/0!</v>
      </c>
      <c r="LD106" s="197">
        <f t="shared" si="2789"/>
        <v>0</v>
      </c>
      <c r="LE106" s="225">
        <f t="shared" si="2790"/>
        <v>0</v>
      </c>
      <c r="LF106" s="226">
        <f t="shared" si="2791"/>
        <v>0</v>
      </c>
      <c r="LG106" s="137">
        <f t="shared" si="2792"/>
        <v>0</v>
      </c>
      <c r="LH106" s="227">
        <f t="shared" si="2793"/>
        <v>50.24</v>
      </c>
      <c r="LI106" s="138">
        <f t="shared" si="2794"/>
        <v>0</v>
      </c>
      <c r="LJ106" s="110">
        <f t="shared" si="2795"/>
        <v>0</v>
      </c>
      <c r="LK106" s="110"/>
      <c r="LL106" s="139"/>
    </row>
    <row r="107" spans="1:324" ht="24" hidden="1" x14ac:dyDescent="0.25">
      <c r="A107" s="247"/>
      <c r="B107" s="92" t="s">
        <v>611</v>
      </c>
      <c r="C107" s="12" t="s">
        <v>730</v>
      </c>
      <c r="D107" s="12" t="s">
        <v>428</v>
      </c>
      <c r="E107" s="4" t="s">
        <v>32</v>
      </c>
      <c r="F107" s="198">
        <f t="shared" si="2569"/>
        <v>0</v>
      </c>
      <c r="G107" s="225">
        <f t="shared" si="2796"/>
        <v>0</v>
      </c>
      <c r="H107" s="226">
        <f t="shared" si="2797"/>
        <v>0</v>
      </c>
      <c r="I107" s="137">
        <f t="shared" si="2570"/>
        <v>0</v>
      </c>
      <c r="J107" s="227">
        <f t="shared" si="2798"/>
        <v>40.909999999999997</v>
      </c>
      <c r="K107" s="138">
        <f t="shared" si="2571"/>
        <v>0</v>
      </c>
      <c r="L107" s="110">
        <f t="shared" si="2572"/>
        <v>0</v>
      </c>
      <c r="M107" s="110"/>
      <c r="N107" s="139"/>
      <c r="O107" s="140" t="e">
        <f t="shared" si="2573"/>
        <v>#DIV/0!</v>
      </c>
      <c r="P107" s="198">
        <f t="shared" si="2574"/>
        <v>0</v>
      </c>
      <c r="Q107" s="225">
        <f t="shared" si="2575"/>
        <v>0</v>
      </c>
      <c r="R107" s="226">
        <f t="shared" si="2576"/>
        <v>0</v>
      </c>
      <c r="S107" s="137">
        <f t="shared" si="2577"/>
        <v>0</v>
      </c>
      <c r="T107" s="227">
        <f t="shared" si="2578"/>
        <v>36.11</v>
      </c>
      <c r="U107" s="138">
        <f t="shared" si="2579"/>
        <v>0</v>
      </c>
      <c r="V107" s="110">
        <f t="shared" si="2580"/>
        <v>0</v>
      </c>
      <c r="W107" s="110"/>
      <c r="X107" s="139"/>
      <c r="Y107" s="140" t="e">
        <f t="shared" si="2581"/>
        <v>#DIV/0!</v>
      </c>
      <c r="Z107" s="198">
        <f t="shared" si="2574"/>
        <v>0</v>
      </c>
      <c r="AA107" s="225">
        <f t="shared" si="2582"/>
        <v>0</v>
      </c>
      <c r="AB107" s="226">
        <f t="shared" si="2583"/>
        <v>0</v>
      </c>
      <c r="AC107" s="137">
        <f t="shared" si="2584"/>
        <v>0</v>
      </c>
      <c r="AD107" s="227">
        <f t="shared" si="2578"/>
        <v>54.87</v>
      </c>
      <c r="AE107" s="138">
        <f t="shared" si="2586"/>
        <v>0</v>
      </c>
      <c r="AF107" s="110">
        <f t="shared" si="2587"/>
        <v>0</v>
      </c>
      <c r="AG107" s="110"/>
      <c r="AH107" s="139"/>
      <c r="AI107" s="140" t="e">
        <f t="shared" si="2588"/>
        <v>#DIV/0!</v>
      </c>
      <c r="AJ107" s="198">
        <f t="shared" si="2574"/>
        <v>0</v>
      </c>
      <c r="AK107" s="225">
        <f t="shared" si="2589"/>
        <v>0</v>
      </c>
      <c r="AL107" s="226">
        <f t="shared" si="2590"/>
        <v>0</v>
      </c>
      <c r="AM107" s="137">
        <f t="shared" si="2591"/>
        <v>0</v>
      </c>
      <c r="AN107" s="227">
        <f t="shared" si="2578"/>
        <v>54.42</v>
      </c>
      <c r="AO107" s="138">
        <f t="shared" si="2593"/>
        <v>0</v>
      </c>
      <c r="AP107" s="110">
        <f t="shared" si="2594"/>
        <v>0</v>
      </c>
      <c r="AQ107" s="110"/>
      <c r="AR107" s="139"/>
      <c r="AS107" s="140" t="e">
        <f t="shared" si="2595"/>
        <v>#DIV/0!</v>
      </c>
      <c r="AT107" s="198">
        <f t="shared" si="2574"/>
        <v>0</v>
      </c>
      <c r="AU107" s="225">
        <f t="shared" si="2596"/>
        <v>0</v>
      </c>
      <c r="AV107" s="226">
        <f t="shared" si="2597"/>
        <v>0</v>
      </c>
      <c r="AW107" s="137">
        <f t="shared" si="2598"/>
        <v>0</v>
      </c>
      <c r="AX107" s="227">
        <f t="shared" si="2578"/>
        <v>49.55</v>
      </c>
      <c r="AY107" s="138">
        <f t="shared" si="2600"/>
        <v>0</v>
      </c>
      <c r="AZ107" s="110">
        <f t="shared" si="2601"/>
        <v>0</v>
      </c>
      <c r="BA107" s="110"/>
      <c r="BB107" s="139"/>
      <c r="BC107" s="140" t="e">
        <f t="shared" si="2602"/>
        <v>#DIV/0!</v>
      </c>
      <c r="BD107" s="198">
        <f t="shared" si="2574"/>
        <v>0</v>
      </c>
      <c r="BE107" s="225">
        <f t="shared" si="2603"/>
        <v>0</v>
      </c>
      <c r="BF107" s="226">
        <f t="shared" si="2604"/>
        <v>0</v>
      </c>
      <c r="BG107" s="137">
        <f t="shared" si="2605"/>
        <v>0</v>
      </c>
      <c r="BH107" s="227">
        <f t="shared" si="2578"/>
        <v>55.1</v>
      </c>
      <c r="BI107" s="138">
        <f t="shared" si="2607"/>
        <v>0</v>
      </c>
      <c r="BJ107" s="110">
        <f t="shared" si="2608"/>
        <v>0</v>
      </c>
      <c r="BK107" s="110"/>
      <c r="BL107" s="139"/>
      <c r="BM107" s="140" t="e">
        <f t="shared" si="2609"/>
        <v>#DIV/0!</v>
      </c>
      <c r="BN107" s="198">
        <f t="shared" si="2574"/>
        <v>0</v>
      </c>
      <c r="BO107" s="225">
        <f t="shared" si="2610"/>
        <v>0</v>
      </c>
      <c r="BP107" s="226">
        <f t="shared" si="2611"/>
        <v>0</v>
      </c>
      <c r="BQ107" s="137">
        <f t="shared" si="2612"/>
        <v>0</v>
      </c>
      <c r="BR107" s="227">
        <f t="shared" si="2578"/>
        <v>54.14</v>
      </c>
      <c r="BS107" s="138">
        <f t="shared" si="2614"/>
        <v>0</v>
      </c>
      <c r="BT107" s="110">
        <f t="shared" si="2615"/>
        <v>0</v>
      </c>
      <c r="BU107" s="110"/>
      <c r="BV107" s="139"/>
      <c r="BW107" s="140" t="e">
        <f t="shared" si="2616"/>
        <v>#DIV/0!</v>
      </c>
      <c r="BX107" s="198">
        <f t="shared" si="2574"/>
        <v>0</v>
      </c>
      <c r="BY107" s="225">
        <f t="shared" si="2617"/>
        <v>0</v>
      </c>
      <c r="BZ107" s="226">
        <f t="shared" si="2618"/>
        <v>0</v>
      </c>
      <c r="CA107" s="137">
        <f t="shared" si="2619"/>
        <v>0</v>
      </c>
      <c r="CB107" s="227">
        <f t="shared" si="2578"/>
        <v>51.74</v>
      </c>
      <c r="CC107" s="138">
        <f t="shared" si="2621"/>
        <v>0</v>
      </c>
      <c r="CD107" s="110">
        <f t="shared" si="2622"/>
        <v>0</v>
      </c>
      <c r="CE107" s="110"/>
      <c r="CF107" s="139"/>
      <c r="CG107" s="140" t="e">
        <f t="shared" si="2623"/>
        <v>#DIV/0!</v>
      </c>
      <c r="CH107" s="198">
        <f t="shared" si="2624"/>
        <v>0</v>
      </c>
      <c r="CI107" s="225">
        <f t="shared" si="2625"/>
        <v>0</v>
      </c>
      <c r="CJ107" s="226">
        <f t="shared" si="2626"/>
        <v>0</v>
      </c>
      <c r="CK107" s="137">
        <f t="shared" si="2627"/>
        <v>0</v>
      </c>
      <c r="CL107" s="227">
        <f t="shared" si="2628"/>
        <v>46.92</v>
      </c>
      <c r="CM107" s="138">
        <f t="shared" si="2629"/>
        <v>0</v>
      </c>
      <c r="CN107" s="110">
        <f t="shared" si="2630"/>
        <v>0</v>
      </c>
      <c r="CO107" s="110"/>
      <c r="CP107" s="139"/>
      <c r="CQ107" s="140" t="e">
        <f t="shared" si="2631"/>
        <v>#DIV/0!</v>
      </c>
      <c r="CR107" s="198">
        <f t="shared" si="2624"/>
        <v>0</v>
      </c>
      <c r="CS107" s="225">
        <f t="shared" si="2632"/>
        <v>0</v>
      </c>
      <c r="CT107" s="226">
        <f t="shared" si="2633"/>
        <v>0</v>
      </c>
      <c r="CU107" s="137">
        <f t="shared" si="2634"/>
        <v>0</v>
      </c>
      <c r="CV107" s="227">
        <f t="shared" si="2628"/>
        <v>49.61</v>
      </c>
      <c r="CW107" s="138">
        <f t="shared" si="2636"/>
        <v>0</v>
      </c>
      <c r="CX107" s="110">
        <f t="shared" si="2637"/>
        <v>0</v>
      </c>
      <c r="CY107" s="110"/>
      <c r="CZ107" s="139"/>
      <c r="DA107" s="140" t="e">
        <f t="shared" si="2638"/>
        <v>#DIV/0!</v>
      </c>
      <c r="DB107" s="198">
        <f t="shared" si="2624"/>
        <v>0</v>
      </c>
      <c r="DC107" s="225">
        <f t="shared" si="2639"/>
        <v>0</v>
      </c>
      <c r="DD107" s="226">
        <f t="shared" si="2640"/>
        <v>0</v>
      </c>
      <c r="DE107" s="137">
        <f t="shared" si="2641"/>
        <v>0</v>
      </c>
      <c r="DF107" s="227">
        <f t="shared" si="2628"/>
        <v>52.57</v>
      </c>
      <c r="DG107" s="138">
        <f t="shared" si="2643"/>
        <v>0</v>
      </c>
      <c r="DH107" s="110">
        <f t="shared" si="2644"/>
        <v>0</v>
      </c>
      <c r="DI107" s="110"/>
      <c r="DJ107" s="139"/>
      <c r="DK107" s="140" t="e">
        <f t="shared" si="2645"/>
        <v>#DIV/0!</v>
      </c>
      <c r="DL107" s="198">
        <f t="shared" si="2624"/>
        <v>0</v>
      </c>
      <c r="DM107" s="225">
        <f t="shared" si="2646"/>
        <v>0</v>
      </c>
      <c r="DN107" s="226">
        <f t="shared" si="2647"/>
        <v>0</v>
      </c>
      <c r="DO107" s="137">
        <f t="shared" si="2648"/>
        <v>0</v>
      </c>
      <c r="DP107" s="227">
        <f t="shared" si="2628"/>
        <v>55.25</v>
      </c>
      <c r="DQ107" s="138">
        <f t="shared" si="2650"/>
        <v>0</v>
      </c>
      <c r="DR107" s="110">
        <f t="shared" si="2651"/>
        <v>0</v>
      </c>
      <c r="DS107" s="110"/>
      <c r="DT107" s="139"/>
      <c r="DU107" s="140" t="e">
        <f t="shared" si="2652"/>
        <v>#DIV/0!</v>
      </c>
      <c r="DV107" s="198">
        <f t="shared" si="2624"/>
        <v>0</v>
      </c>
      <c r="DW107" s="225">
        <f t="shared" si="2653"/>
        <v>0</v>
      </c>
      <c r="DX107" s="226">
        <f t="shared" si="2654"/>
        <v>0</v>
      </c>
      <c r="DY107" s="137">
        <f t="shared" si="2655"/>
        <v>0</v>
      </c>
      <c r="DZ107" s="227">
        <f t="shared" si="2628"/>
        <v>34.14</v>
      </c>
      <c r="EA107" s="138">
        <f t="shared" si="2657"/>
        <v>0</v>
      </c>
      <c r="EB107" s="110">
        <f t="shared" si="2658"/>
        <v>0</v>
      </c>
      <c r="EC107" s="110"/>
      <c r="ED107" s="139"/>
      <c r="EE107" s="140" t="e">
        <f t="shared" si="2659"/>
        <v>#DIV/0!</v>
      </c>
      <c r="EF107" s="198">
        <f t="shared" si="2624"/>
        <v>0</v>
      </c>
      <c r="EG107" s="225">
        <f t="shared" si="2660"/>
        <v>0</v>
      </c>
      <c r="EH107" s="226">
        <f t="shared" si="2661"/>
        <v>0</v>
      </c>
      <c r="EI107" s="137">
        <f t="shared" si="2662"/>
        <v>0</v>
      </c>
      <c r="EJ107" s="227">
        <f t="shared" si="2628"/>
        <v>44.53</v>
      </c>
      <c r="EK107" s="138">
        <f t="shared" si="2664"/>
        <v>0</v>
      </c>
      <c r="EL107" s="110">
        <f t="shared" si="2665"/>
        <v>0</v>
      </c>
      <c r="EM107" s="110"/>
      <c r="EN107" s="139"/>
      <c r="EO107" s="140" t="e">
        <f t="shared" si="2666"/>
        <v>#DIV/0!</v>
      </c>
      <c r="EP107" s="198">
        <f t="shared" si="2624"/>
        <v>0</v>
      </c>
      <c r="EQ107" s="225">
        <f t="shared" si="2667"/>
        <v>0</v>
      </c>
      <c r="ER107" s="226">
        <f t="shared" si="2668"/>
        <v>0</v>
      </c>
      <c r="ES107" s="137">
        <f t="shared" si="2669"/>
        <v>0</v>
      </c>
      <c r="ET107" s="227">
        <f t="shared" si="2628"/>
        <v>52.01</v>
      </c>
      <c r="EU107" s="138">
        <f t="shared" si="2671"/>
        <v>0</v>
      </c>
      <c r="EV107" s="110">
        <f t="shared" si="2672"/>
        <v>0</v>
      </c>
      <c r="EW107" s="110"/>
      <c r="EX107" s="139"/>
      <c r="EY107" s="140" t="e">
        <f t="shared" si="2673"/>
        <v>#DIV/0!</v>
      </c>
      <c r="EZ107" s="198">
        <f t="shared" si="2674"/>
        <v>0</v>
      </c>
      <c r="FA107" s="225">
        <f t="shared" si="2675"/>
        <v>0</v>
      </c>
      <c r="FB107" s="226">
        <f t="shared" si="2676"/>
        <v>0</v>
      </c>
      <c r="FC107" s="137">
        <f t="shared" si="2677"/>
        <v>0</v>
      </c>
      <c r="FD107" s="227">
        <f t="shared" si="2678"/>
        <v>55.47</v>
      </c>
      <c r="FE107" s="138">
        <f t="shared" si="2679"/>
        <v>0</v>
      </c>
      <c r="FF107" s="110">
        <f t="shared" si="2680"/>
        <v>0</v>
      </c>
      <c r="FG107" s="110"/>
      <c r="FH107" s="139"/>
      <c r="FI107" s="140" t="e">
        <f t="shared" si="2681"/>
        <v>#DIV/0!</v>
      </c>
      <c r="FJ107" s="198">
        <f t="shared" si="2674"/>
        <v>0</v>
      </c>
      <c r="FK107" s="225">
        <f t="shared" si="2682"/>
        <v>0</v>
      </c>
      <c r="FL107" s="226">
        <f t="shared" si="2683"/>
        <v>0</v>
      </c>
      <c r="FM107" s="137">
        <f t="shared" si="2684"/>
        <v>0</v>
      </c>
      <c r="FN107" s="227">
        <f t="shared" si="2678"/>
        <v>39.74</v>
      </c>
      <c r="FO107" s="138">
        <f t="shared" si="2686"/>
        <v>0</v>
      </c>
      <c r="FP107" s="110">
        <f t="shared" si="2687"/>
        <v>0</v>
      </c>
      <c r="FQ107" s="110"/>
      <c r="FR107" s="139"/>
      <c r="FS107" s="140" t="e">
        <f t="shared" si="2688"/>
        <v>#DIV/0!</v>
      </c>
      <c r="FT107" s="198">
        <f t="shared" si="2674"/>
        <v>0</v>
      </c>
      <c r="FU107" s="225">
        <f t="shared" si="2689"/>
        <v>0</v>
      </c>
      <c r="FV107" s="226">
        <f t="shared" si="2690"/>
        <v>0</v>
      </c>
      <c r="FW107" s="137">
        <f t="shared" si="2691"/>
        <v>0</v>
      </c>
      <c r="FX107" s="227">
        <f t="shared" si="2678"/>
        <v>53.97</v>
      </c>
      <c r="FY107" s="138">
        <f t="shared" si="2693"/>
        <v>0</v>
      </c>
      <c r="FZ107" s="110">
        <f t="shared" si="2694"/>
        <v>0</v>
      </c>
      <c r="GA107" s="110"/>
      <c r="GB107" s="139"/>
      <c r="GC107" s="140" t="e">
        <f t="shared" si="2695"/>
        <v>#DIV/0!</v>
      </c>
      <c r="GD107" s="198">
        <f t="shared" si="2674"/>
        <v>0</v>
      </c>
      <c r="GE107" s="225">
        <f t="shared" si="2696"/>
        <v>0</v>
      </c>
      <c r="GF107" s="226">
        <f t="shared" si="2697"/>
        <v>0</v>
      </c>
      <c r="GG107" s="137">
        <f t="shared" si="2698"/>
        <v>0</v>
      </c>
      <c r="GH107" s="227">
        <f t="shared" si="2678"/>
        <v>54.63</v>
      </c>
      <c r="GI107" s="138">
        <f t="shared" si="2700"/>
        <v>0</v>
      </c>
      <c r="GJ107" s="110">
        <f t="shared" si="2701"/>
        <v>0</v>
      </c>
      <c r="GK107" s="110"/>
      <c r="GL107" s="139"/>
      <c r="GM107" s="140" t="e">
        <f t="shared" si="2702"/>
        <v>#DIV/0!</v>
      </c>
      <c r="GN107" s="198">
        <f t="shared" si="2674"/>
        <v>0</v>
      </c>
      <c r="GO107" s="225">
        <f t="shared" si="2703"/>
        <v>0</v>
      </c>
      <c r="GP107" s="226">
        <f t="shared" si="2704"/>
        <v>0</v>
      </c>
      <c r="GQ107" s="137">
        <f t="shared" si="2705"/>
        <v>0</v>
      </c>
      <c r="GR107" s="227">
        <f t="shared" si="2706"/>
        <v>52.13</v>
      </c>
      <c r="GS107" s="138">
        <f t="shared" si="2707"/>
        <v>0</v>
      </c>
      <c r="GT107" s="110">
        <f t="shared" si="2708"/>
        <v>0</v>
      </c>
      <c r="GU107" s="110"/>
      <c r="GV107" s="139"/>
      <c r="GW107" s="140" t="e">
        <f t="shared" si="2709"/>
        <v>#DIV/0!</v>
      </c>
      <c r="GX107" s="198">
        <f t="shared" si="2674"/>
        <v>0</v>
      </c>
      <c r="GY107" s="225">
        <f t="shared" si="2710"/>
        <v>0</v>
      </c>
      <c r="GZ107" s="226">
        <f t="shared" si="2711"/>
        <v>0</v>
      </c>
      <c r="HA107" s="137">
        <f t="shared" si="2712"/>
        <v>0</v>
      </c>
      <c r="HB107" s="227">
        <f t="shared" si="2706"/>
        <v>42.58</v>
      </c>
      <c r="HC107" s="138">
        <f t="shared" si="2714"/>
        <v>0</v>
      </c>
      <c r="HD107" s="110">
        <f t="shared" si="2715"/>
        <v>0</v>
      </c>
      <c r="HE107" s="110"/>
      <c r="HF107" s="139"/>
      <c r="HG107" s="140" t="e">
        <f t="shared" si="2716"/>
        <v>#DIV/0!</v>
      </c>
      <c r="HH107" s="198">
        <f t="shared" si="2674"/>
        <v>0</v>
      </c>
      <c r="HI107" s="225">
        <f t="shared" si="2717"/>
        <v>0</v>
      </c>
      <c r="HJ107" s="226">
        <f t="shared" si="2718"/>
        <v>0</v>
      </c>
      <c r="HK107" s="137">
        <f t="shared" si="2719"/>
        <v>0</v>
      </c>
      <c r="HL107" s="227">
        <f t="shared" si="2706"/>
        <v>49.58</v>
      </c>
      <c r="HM107" s="138">
        <f t="shared" si="2721"/>
        <v>0</v>
      </c>
      <c r="HN107" s="110">
        <f t="shared" si="2722"/>
        <v>0</v>
      </c>
      <c r="HO107" s="110"/>
      <c r="HP107" s="139"/>
      <c r="HQ107" s="140" t="e">
        <f t="shared" si="2723"/>
        <v>#DIV/0!</v>
      </c>
      <c r="HR107" s="198">
        <f t="shared" si="2724"/>
        <v>0</v>
      </c>
      <c r="HS107" s="225">
        <f t="shared" si="2725"/>
        <v>0</v>
      </c>
      <c r="HT107" s="226">
        <f t="shared" si="2726"/>
        <v>0</v>
      </c>
      <c r="HU107" s="137">
        <f t="shared" si="2727"/>
        <v>0</v>
      </c>
      <c r="HV107" s="227">
        <f t="shared" si="2706"/>
        <v>52.62</v>
      </c>
      <c r="HW107" s="138">
        <f t="shared" si="2729"/>
        <v>0</v>
      </c>
      <c r="HX107" s="110">
        <f t="shared" si="2730"/>
        <v>0</v>
      </c>
      <c r="HY107" s="110"/>
      <c r="HZ107" s="139"/>
      <c r="IA107" s="140" t="e">
        <f t="shared" si="2731"/>
        <v>#DIV/0!</v>
      </c>
      <c r="IB107" s="198">
        <f t="shared" si="2724"/>
        <v>0</v>
      </c>
      <c r="IC107" s="225">
        <f t="shared" si="2732"/>
        <v>0</v>
      </c>
      <c r="ID107" s="226">
        <f t="shared" si="2733"/>
        <v>0</v>
      </c>
      <c r="IE107" s="137">
        <f t="shared" si="2734"/>
        <v>0</v>
      </c>
      <c r="IF107" s="227">
        <f t="shared" si="2735"/>
        <v>50</v>
      </c>
      <c r="IG107" s="138">
        <f t="shared" si="2736"/>
        <v>0</v>
      </c>
      <c r="IH107" s="110">
        <f t="shared" si="2737"/>
        <v>0</v>
      </c>
      <c r="II107" s="110"/>
      <c r="IJ107" s="139"/>
      <c r="IK107" s="140" t="e">
        <f t="shared" si="2738"/>
        <v>#DIV/0!</v>
      </c>
      <c r="IL107" s="198">
        <f t="shared" si="2724"/>
        <v>0</v>
      </c>
      <c r="IM107" s="225">
        <f t="shared" si="2739"/>
        <v>0</v>
      </c>
      <c r="IN107" s="226">
        <f t="shared" si="2740"/>
        <v>0</v>
      </c>
      <c r="IO107" s="137">
        <f t="shared" si="2741"/>
        <v>0</v>
      </c>
      <c r="IP107" s="227">
        <f t="shared" si="2735"/>
        <v>54.39</v>
      </c>
      <c r="IQ107" s="138">
        <f t="shared" si="2743"/>
        <v>0</v>
      </c>
      <c r="IR107" s="110">
        <f t="shared" si="2744"/>
        <v>0</v>
      </c>
      <c r="IS107" s="110"/>
      <c r="IT107" s="139"/>
      <c r="IU107" s="140" t="e">
        <f t="shared" si="2745"/>
        <v>#DIV/0!</v>
      </c>
      <c r="IV107" s="198">
        <f t="shared" si="2724"/>
        <v>0</v>
      </c>
      <c r="IW107" s="225">
        <f t="shared" si="2746"/>
        <v>0</v>
      </c>
      <c r="IX107" s="226">
        <f t="shared" si="2747"/>
        <v>0</v>
      </c>
      <c r="IY107" s="137">
        <f t="shared" si="2748"/>
        <v>0</v>
      </c>
      <c r="IZ107" s="227">
        <f t="shared" si="2735"/>
        <v>54.71</v>
      </c>
      <c r="JA107" s="138">
        <f t="shared" si="2750"/>
        <v>0</v>
      </c>
      <c r="JB107" s="110">
        <f t="shared" si="2751"/>
        <v>0</v>
      </c>
      <c r="JC107" s="110"/>
      <c r="JD107" s="139"/>
      <c r="JE107" s="140" t="e">
        <f t="shared" si="2752"/>
        <v>#DIV/0!</v>
      </c>
      <c r="JF107" s="198">
        <f t="shared" si="2724"/>
        <v>0</v>
      </c>
      <c r="JG107" s="225">
        <f t="shared" si="2753"/>
        <v>0</v>
      </c>
      <c r="JH107" s="226">
        <f t="shared" si="2754"/>
        <v>0</v>
      </c>
      <c r="JI107" s="137">
        <f t="shared" si="2755"/>
        <v>0</v>
      </c>
      <c r="JJ107" s="227">
        <f t="shared" si="2735"/>
        <v>43.31</v>
      </c>
      <c r="JK107" s="138">
        <f t="shared" si="2757"/>
        <v>0</v>
      </c>
      <c r="JL107" s="110">
        <f t="shared" si="2758"/>
        <v>0</v>
      </c>
      <c r="JM107" s="110"/>
      <c r="JN107" s="139"/>
      <c r="JO107" s="140" t="e">
        <f t="shared" si="2759"/>
        <v>#DIV/0!</v>
      </c>
      <c r="JP107" s="198">
        <f t="shared" si="2724"/>
        <v>0</v>
      </c>
      <c r="JQ107" s="225">
        <f t="shared" si="2760"/>
        <v>0</v>
      </c>
      <c r="JR107" s="226">
        <f t="shared" si="2761"/>
        <v>0</v>
      </c>
      <c r="JS107" s="137">
        <f t="shared" si="2762"/>
        <v>0</v>
      </c>
      <c r="JT107" s="227">
        <f t="shared" si="2763"/>
        <v>57.05</v>
      </c>
      <c r="JU107" s="138">
        <f t="shared" si="2764"/>
        <v>0</v>
      </c>
      <c r="JV107" s="110">
        <f t="shared" si="2765"/>
        <v>0</v>
      </c>
      <c r="JW107" s="110"/>
      <c r="JX107" s="139"/>
      <c r="JY107" s="140" t="e">
        <f t="shared" si="2766"/>
        <v>#DIV/0!</v>
      </c>
      <c r="JZ107" s="198">
        <f t="shared" si="2724"/>
        <v>0</v>
      </c>
      <c r="KA107" s="225">
        <f t="shared" si="2767"/>
        <v>0</v>
      </c>
      <c r="KB107" s="226">
        <f t="shared" si="2768"/>
        <v>0</v>
      </c>
      <c r="KC107" s="137">
        <f t="shared" si="2769"/>
        <v>0</v>
      </c>
      <c r="KD107" s="227">
        <f t="shared" si="2763"/>
        <v>51.65</v>
      </c>
      <c r="KE107" s="138">
        <f t="shared" si="2771"/>
        <v>0</v>
      </c>
      <c r="KF107" s="110">
        <f t="shared" si="2772"/>
        <v>0</v>
      </c>
      <c r="KG107" s="110"/>
      <c r="KH107" s="139"/>
      <c r="KI107" s="140" t="e">
        <f t="shared" si="2773"/>
        <v>#DIV/0!</v>
      </c>
      <c r="KJ107" s="198">
        <f t="shared" si="2774"/>
        <v>0</v>
      </c>
      <c r="KK107" s="225">
        <f t="shared" si="2775"/>
        <v>0</v>
      </c>
      <c r="KL107" s="226">
        <f t="shared" si="2776"/>
        <v>0</v>
      </c>
      <c r="KM107" s="137">
        <f t="shared" si="2777"/>
        <v>0</v>
      </c>
      <c r="KN107" s="227">
        <f t="shared" si="2763"/>
        <v>51.78</v>
      </c>
      <c r="KO107" s="138">
        <f t="shared" si="2779"/>
        <v>0</v>
      </c>
      <c r="KP107" s="110">
        <f t="shared" si="2780"/>
        <v>0</v>
      </c>
      <c r="KQ107" s="110"/>
      <c r="KR107" s="139"/>
      <c r="KS107" s="140" t="e">
        <f t="shared" si="2781"/>
        <v>#DIV/0!</v>
      </c>
      <c r="KT107" s="198">
        <f t="shared" si="2774"/>
        <v>0</v>
      </c>
      <c r="KU107" s="225">
        <f t="shared" si="2782"/>
        <v>0</v>
      </c>
      <c r="KV107" s="226">
        <f t="shared" si="2783"/>
        <v>0</v>
      </c>
      <c r="KW107" s="137">
        <f t="shared" si="2784"/>
        <v>0</v>
      </c>
      <c r="KX107" s="227">
        <f t="shared" si="2763"/>
        <v>55.65</v>
      </c>
      <c r="KY107" s="138">
        <f t="shared" si="2786"/>
        <v>0</v>
      </c>
      <c r="KZ107" s="110">
        <f t="shared" si="2787"/>
        <v>0</v>
      </c>
      <c r="LA107" s="110"/>
      <c r="LB107" s="139"/>
      <c r="LC107" s="140" t="e">
        <f t="shared" si="2788"/>
        <v>#DIV/0!</v>
      </c>
      <c r="LD107" s="197">
        <f t="shared" si="2789"/>
        <v>0</v>
      </c>
      <c r="LE107" s="225">
        <f t="shared" si="2790"/>
        <v>0</v>
      </c>
      <c r="LF107" s="226">
        <f t="shared" si="2791"/>
        <v>0</v>
      </c>
      <c r="LG107" s="137">
        <f t="shared" si="2792"/>
        <v>0</v>
      </c>
      <c r="LH107" s="227">
        <f t="shared" si="2793"/>
        <v>50.24</v>
      </c>
      <c r="LI107" s="138">
        <f t="shared" si="2794"/>
        <v>0</v>
      </c>
      <c r="LJ107" s="110">
        <f t="shared" si="2795"/>
        <v>0</v>
      </c>
      <c r="LK107" s="110"/>
      <c r="LL107" s="139"/>
    </row>
    <row r="108" spans="1:324" x14ac:dyDescent="0.25">
      <c r="A108" s="244"/>
      <c r="B108" s="250" t="s">
        <v>854</v>
      </c>
      <c r="C108" s="12"/>
      <c r="D108" s="12"/>
      <c r="E108" s="4"/>
      <c r="F108" s="198"/>
      <c r="G108" s="225"/>
      <c r="H108" s="226"/>
      <c r="I108" s="137"/>
      <c r="J108" s="227"/>
      <c r="K108" s="138"/>
      <c r="L108" s="110"/>
      <c r="M108" s="110"/>
      <c r="N108" s="139"/>
      <c r="O108" s="140"/>
      <c r="P108" s="198"/>
      <c r="Q108" s="225"/>
      <c r="R108" s="226"/>
      <c r="S108" s="137"/>
      <c r="T108" s="227"/>
      <c r="U108" s="138"/>
      <c r="V108" s="110"/>
      <c r="W108" s="110"/>
      <c r="X108" s="139"/>
      <c r="Y108" s="140"/>
      <c r="Z108" s="198"/>
      <c r="AA108" s="225"/>
      <c r="AB108" s="226"/>
      <c r="AC108" s="137"/>
      <c r="AD108" s="227"/>
      <c r="AE108" s="138"/>
      <c r="AF108" s="110"/>
      <c r="AG108" s="110"/>
      <c r="AH108" s="139"/>
      <c r="AI108" s="140"/>
      <c r="AJ108" s="198"/>
      <c r="AK108" s="225"/>
      <c r="AL108" s="226"/>
      <c r="AM108" s="137"/>
      <c r="AN108" s="227"/>
      <c r="AO108" s="138"/>
      <c r="AP108" s="110"/>
      <c r="AQ108" s="110"/>
      <c r="AR108" s="139"/>
      <c r="AS108" s="140"/>
      <c r="AT108" s="198"/>
      <c r="AU108" s="225"/>
      <c r="AV108" s="226"/>
      <c r="AW108" s="137"/>
      <c r="AX108" s="227"/>
      <c r="AY108" s="138"/>
      <c r="AZ108" s="110"/>
      <c r="BA108" s="110"/>
      <c r="BB108" s="139"/>
      <c r="BC108" s="140"/>
      <c r="BD108" s="198"/>
      <c r="BE108" s="225"/>
      <c r="BF108" s="226"/>
      <c r="BG108" s="137"/>
      <c r="BH108" s="227"/>
      <c r="BI108" s="138"/>
      <c r="BJ108" s="110"/>
      <c r="BK108" s="110"/>
      <c r="BL108" s="139"/>
      <c r="BM108" s="140"/>
      <c r="BN108" s="198"/>
      <c r="BO108" s="225"/>
      <c r="BP108" s="226"/>
      <c r="BQ108" s="137"/>
      <c r="BR108" s="227"/>
      <c r="BS108" s="138"/>
      <c r="BT108" s="110"/>
      <c r="BU108" s="110"/>
      <c r="BV108" s="139"/>
      <c r="BW108" s="140"/>
      <c r="BX108" s="198"/>
      <c r="BY108" s="225"/>
      <c r="BZ108" s="226"/>
      <c r="CA108" s="137"/>
      <c r="CB108" s="227"/>
      <c r="CC108" s="138"/>
      <c r="CD108" s="110"/>
      <c r="CE108" s="110"/>
      <c r="CF108" s="139"/>
      <c r="CG108" s="140"/>
      <c r="CH108" s="198"/>
      <c r="CI108" s="225"/>
      <c r="CJ108" s="226"/>
      <c r="CK108" s="137"/>
      <c r="CL108" s="227"/>
      <c r="CM108" s="138"/>
      <c r="CN108" s="110"/>
      <c r="CO108" s="110"/>
      <c r="CP108" s="139"/>
      <c r="CQ108" s="140"/>
      <c r="CR108" s="198"/>
      <c r="CS108" s="225"/>
      <c r="CT108" s="226"/>
      <c r="CU108" s="137"/>
      <c r="CV108" s="227"/>
      <c r="CW108" s="138"/>
      <c r="CX108" s="110"/>
      <c r="CY108" s="110"/>
      <c r="CZ108" s="139"/>
      <c r="DA108" s="140"/>
      <c r="DB108" s="198"/>
      <c r="DC108" s="225"/>
      <c r="DD108" s="226"/>
      <c r="DE108" s="137"/>
      <c r="DF108" s="227"/>
      <c r="DG108" s="138"/>
      <c r="DH108" s="110"/>
      <c r="DI108" s="110"/>
      <c r="DJ108" s="139"/>
      <c r="DK108" s="140"/>
      <c r="DL108" s="198"/>
      <c r="DM108" s="225"/>
      <c r="DN108" s="226"/>
      <c r="DO108" s="137"/>
      <c r="DP108" s="227"/>
      <c r="DQ108" s="138"/>
      <c r="DR108" s="110"/>
      <c r="DS108" s="110"/>
      <c r="DT108" s="139"/>
      <c r="DU108" s="140"/>
      <c r="DV108" s="198"/>
      <c r="DW108" s="225"/>
      <c r="DX108" s="226"/>
      <c r="DY108" s="137"/>
      <c r="DZ108" s="227"/>
      <c r="EA108" s="138"/>
      <c r="EB108" s="110"/>
      <c r="EC108" s="110"/>
      <c r="ED108" s="139"/>
      <c r="EE108" s="140"/>
      <c r="EF108" s="198"/>
      <c r="EG108" s="225"/>
      <c r="EH108" s="226"/>
      <c r="EI108" s="137"/>
      <c r="EJ108" s="227"/>
      <c r="EK108" s="138"/>
      <c r="EL108" s="110"/>
      <c r="EM108" s="110"/>
      <c r="EN108" s="139"/>
      <c r="EO108" s="140"/>
      <c r="EP108" s="198"/>
      <c r="EQ108" s="225"/>
      <c r="ER108" s="226"/>
      <c r="ES108" s="137"/>
      <c r="ET108" s="227"/>
      <c r="EU108" s="138"/>
      <c r="EV108" s="110"/>
      <c r="EW108" s="110"/>
      <c r="EX108" s="139"/>
      <c r="EY108" s="140"/>
      <c r="EZ108" s="198"/>
      <c r="FA108" s="225"/>
      <c r="FB108" s="226"/>
      <c r="FC108" s="137"/>
      <c r="FD108" s="227"/>
      <c r="FE108" s="138"/>
      <c r="FF108" s="110"/>
      <c r="FG108" s="110"/>
      <c r="FH108" s="139"/>
      <c r="FI108" s="140"/>
      <c r="FJ108" s="198"/>
      <c r="FK108" s="225"/>
      <c r="FL108" s="226"/>
      <c r="FM108" s="137"/>
      <c r="FN108" s="227"/>
      <c r="FO108" s="138"/>
      <c r="FP108" s="110"/>
      <c r="FQ108" s="110"/>
      <c r="FR108" s="139"/>
      <c r="FS108" s="140"/>
      <c r="FT108" s="198"/>
      <c r="FU108" s="225"/>
      <c r="FV108" s="226"/>
      <c r="FW108" s="137"/>
      <c r="FX108" s="227"/>
      <c r="FY108" s="138"/>
      <c r="FZ108" s="110"/>
      <c r="GA108" s="110"/>
      <c r="GB108" s="139"/>
      <c r="GC108" s="140"/>
      <c r="GD108" s="198"/>
      <c r="GE108" s="225"/>
      <c r="GF108" s="226"/>
      <c r="GG108" s="137"/>
      <c r="GH108" s="227"/>
      <c r="GI108" s="138"/>
      <c r="GJ108" s="110"/>
      <c r="GK108" s="110"/>
      <c r="GL108" s="139"/>
      <c r="GM108" s="140"/>
      <c r="GN108" s="198"/>
      <c r="GO108" s="225"/>
      <c r="GP108" s="226"/>
      <c r="GQ108" s="137"/>
      <c r="GR108" s="227"/>
      <c r="GS108" s="138"/>
      <c r="GT108" s="110"/>
      <c r="GU108" s="110"/>
      <c r="GV108" s="139"/>
      <c r="GW108" s="140"/>
      <c r="GX108" s="198"/>
      <c r="GY108" s="225"/>
      <c r="GZ108" s="226"/>
      <c r="HA108" s="137"/>
      <c r="HB108" s="227"/>
      <c r="HC108" s="138"/>
      <c r="HD108" s="110"/>
      <c r="HE108" s="110"/>
      <c r="HF108" s="139"/>
      <c r="HG108" s="140"/>
      <c r="HH108" s="198"/>
      <c r="HI108" s="225"/>
      <c r="HJ108" s="226"/>
      <c r="HK108" s="137"/>
      <c r="HL108" s="227"/>
      <c r="HM108" s="138"/>
      <c r="HN108" s="110"/>
      <c r="HO108" s="110"/>
      <c r="HP108" s="139"/>
      <c r="HQ108" s="140"/>
      <c r="HR108" s="198"/>
      <c r="HS108" s="225"/>
      <c r="HT108" s="226"/>
      <c r="HU108" s="137"/>
      <c r="HV108" s="227"/>
      <c r="HW108" s="138"/>
      <c r="HX108" s="110"/>
      <c r="HY108" s="110"/>
      <c r="HZ108" s="139"/>
      <c r="IA108" s="140"/>
      <c r="IB108" s="198"/>
      <c r="IC108" s="225"/>
      <c r="ID108" s="226"/>
      <c r="IE108" s="137"/>
      <c r="IF108" s="227"/>
      <c r="IG108" s="138"/>
      <c r="IH108" s="110"/>
      <c r="II108" s="110"/>
      <c r="IJ108" s="139"/>
      <c r="IK108" s="140"/>
      <c r="IL108" s="198"/>
      <c r="IM108" s="225"/>
      <c r="IN108" s="226"/>
      <c r="IO108" s="137"/>
      <c r="IP108" s="227"/>
      <c r="IQ108" s="138"/>
      <c r="IR108" s="110"/>
      <c r="IS108" s="110"/>
      <c r="IT108" s="139"/>
      <c r="IU108" s="140"/>
      <c r="IV108" s="198"/>
      <c r="IW108" s="225"/>
      <c r="IX108" s="226"/>
      <c r="IY108" s="137"/>
      <c r="IZ108" s="227"/>
      <c r="JA108" s="138"/>
      <c r="JB108" s="110"/>
      <c r="JC108" s="110"/>
      <c r="JD108" s="139"/>
      <c r="JE108" s="140"/>
      <c r="JF108" s="198"/>
      <c r="JG108" s="225"/>
      <c r="JH108" s="226"/>
      <c r="JI108" s="137"/>
      <c r="JJ108" s="227"/>
      <c r="JK108" s="138"/>
      <c r="JL108" s="110"/>
      <c r="JM108" s="110"/>
      <c r="JN108" s="139"/>
      <c r="JO108" s="140"/>
      <c r="JP108" s="198"/>
      <c r="JQ108" s="225"/>
      <c r="JR108" s="226"/>
      <c r="JS108" s="137"/>
      <c r="JT108" s="227"/>
      <c r="JU108" s="138"/>
      <c r="JV108" s="110"/>
      <c r="JW108" s="110"/>
      <c r="JX108" s="139"/>
      <c r="JY108" s="140"/>
      <c r="JZ108" s="198"/>
      <c r="KA108" s="225"/>
      <c r="KB108" s="226"/>
      <c r="KC108" s="137"/>
      <c r="KD108" s="227"/>
      <c r="KE108" s="138"/>
      <c r="KF108" s="110"/>
      <c r="KG108" s="110"/>
      <c r="KH108" s="139"/>
      <c r="KI108" s="140"/>
      <c r="KJ108" s="198"/>
      <c r="KK108" s="225"/>
      <c r="KL108" s="226"/>
      <c r="KM108" s="137"/>
      <c r="KN108" s="227"/>
      <c r="KO108" s="138"/>
      <c r="KP108" s="110"/>
      <c r="KQ108" s="110"/>
      <c r="KR108" s="139"/>
      <c r="KS108" s="140"/>
      <c r="KT108" s="198"/>
      <c r="KU108" s="225"/>
      <c r="KV108" s="226"/>
      <c r="KW108" s="137"/>
      <c r="KX108" s="227"/>
      <c r="KY108" s="138"/>
      <c r="KZ108" s="110"/>
      <c r="LA108" s="110"/>
      <c r="LB108" s="139"/>
      <c r="LC108" s="140"/>
      <c r="LD108" s="197"/>
      <c r="LE108" s="225"/>
      <c r="LF108" s="226"/>
      <c r="LG108" s="137"/>
      <c r="LH108" s="227"/>
      <c r="LI108" s="138"/>
      <c r="LJ108" s="110"/>
      <c r="LK108" s="110"/>
      <c r="LL108" s="139"/>
    </row>
    <row r="109" spans="1:324" ht="24" x14ac:dyDescent="0.25">
      <c r="A109" s="245"/>
      <c r="B109" s="70" t="s">
        <v>609</v>
      </c>
      <c r="C109" s="12" t="s">
        <v>729</v>
      </c>
      <c r="D109" s="12" t="s">
        <v>429</v>
      </c>
      <c r="E109" s="4" t="s">
        <v>32</v>
      </c>
      <c r="F109" s="198">
        <f t="shared" ref="F109:F116" si="2799">F22</f>
        <v>313</v>
      </c>
      <c r="G109" s="225">
        <f t="shared" si="2796"/>
        <v>0.51993</v>
      </c>
      <c r="H109" s="226">
        <f t="shared" si="2797"/>
        <v>483.53</v>
      </c>
      <c r="I109" s="137">
        <f t="shared" si="2570"/>
        <v>1.54482428</v>
      </c>
      <c r="J109" s="227">
        <f t="shared" si="2798"/>
        <v>40.909999999999997</v>
      </c>
      <c r="K109" s="138">
        <f t="shared" si="2571"/>
        <v>63.19876</v>
      </c>
      <c r="L109" s="110">
        <f t="shared" si="2572"/>
        <v>19781.21</v>
      </c>
      <c r="M109" s="110"/>
      <c r="N109" s="139"/>
      <c r="O109" s="140">
        <f t="shared" si="2573"/>
        <v>0.58577000000000001</v>
      </c>
      <c r="P109" s="198">
        <f t="shared" ref="P109:BX116" si="2800">P22</f>
        <v>523</v>
      </c>
      <c r="Q109" s="225">
        <f t="shared" ref="Q109:Q116" si="2801">P109/P$97</f>
        <v>0.47719</v>
      </c>
      <c r="R109" s="226">
        <f t="shared" ref="R109:R116" si="2802">R$97*Q109</f>
        <v>768.28</v>
      </c>
      <c r="S109" s="137">
        <f t="shared" ref="S109:S116" si="2803">IF(P109&gt;0,R109/P109,0)</f>
        <v>1.4689866199999999</v>
      </c>
      <c r="T109" s="227">
        <f t="shared" ref="T109:CB116" si="2804">T$97</f>
        <v>36.11</v>
      </c>
      <c r="U109" s="138">
        <f t="shared" ref="U109:U116" si="2805">S109*T109</f>
        <v>53.045110000000001</v>
      </c>
      <c r="V109" s="110">
        <f t="shared" ref="V109:V116" si="2806">U109*P109</f>
        <v>27742.59</v>
      </c>
      <c r="W109" s="110"/>
      <c r="X109" s="139"/>
      <c r="Y109" s="140">
        <f t="shared" ref="Y109:Y116" si="2807">U109/$LI109</f>
        <v>0.49165999999999999</v>
      </c>
      <c r="Z109" s="198">
        <f t="shared" si="2800"/>
        <v>412</v>
      </c>
      <c r="AA109" s="225">
        <f t="shared" ref="AA109:AA116" si="2808">Z109/Z$97</f>
        <v>0.47685</v>
      </c>
      <c r="AB109" s="226">
        <f t="shared" ref="AB109:AB116" si="2809">AB$97*AA109</f>
        <v>615.14</v>
      </c>
      <c r="AC109" s="137">
        <f t="shared" ref="AC109:AC116" si="2810">IF(Z109&gt;0,AB109/Z109,0)</f>
        <v>1.49305825</v>
      </c>
      <c r="AD109" s="227">
        <f t="shared" si="2804"/>
        <v>54.87</v>
      </c>
      <c r="AE109" s="138">
        <f t="shared" ref="AE109:AE116" si="2811">AC109*AD109</f>
        <v>81.924109999999999</v>
      </c>
      <c r="AF109" s="110">
        <f t="shared" ref="AF109:AF116" si="2812">AE109*Z109</f>
        <v>33752.730000000003</v>
      </c>
      <c r="AG109" s="110"/>
      <c r="AH109" s="139"/>
      <c r="AI109" s="140">
        <f t="shared" ref="AI109:AI116" si="2813">AE109/$LI109</f>
        <v>0.75932999999999995</v>
      </c>
      <c r="AJ109" s="198">
        <f t="shared" si="2800"/>
        <v>311</v>
      </c>
      <c r="AK109" s="225">
        <f t="shared" ref="AK109:AK116" si="2814">AJ109/AJ$97</f>
        <v>0.46766999999999997</v>
      </c>
      <c r="AL109" s="226">
        <f t="shared" ref="AL109:AL116" si="2815">AL$97*AK109</f>
        <v>533.61</v>
      </c>
      <c r="AM109" s="137">
        <f t="shared" ref="AM109:AM116" si="2816">IF(AJ109&gt;0,AL109/AJ109,0)</f>
        <v>1.7157877800000001</v>
      </c>
      <c r="AN109" s="227">
        <f t="shared" si="2804"/>
        <v>54.42</v>
      </c>
      <c r="AO109" s="138">
        <f t="shared" ref="AO109:AO116" si="2817">AM109*AN109</f>
        <v>93.373170000000002</v>
      </c>
      <c r="AP109" s="110">
        <f t="shared" ref="AP109:AP116" si="2818">AO109*AJ109</f>
        <v>29039.06</v>
      </c>
      <c r="AQ109" s="110"/>
      <c r="AR109" s="139"/>
      <c r="AS109" s="140">
        <f t="shared" ref="AS109:AS116" si="2819">AO109/$LI109</f>
        <v>0.86545000000000005</v>
      </c>
      <c r="AT109" s="198">
        <f t="shared" si="2800"/>
        <v>428</v>
      </c>
      <c r="AU109" s="225">
        <f t="shared" ref="AU109:AU116" si="2820">AT109/AT$97</f>
        <v>0.45005000000000001</v>
      </c>
      <c r="AV109" s="226">
        <f t="shared" ref="AV109:AV116" si="2821">AV$97*AU109</f>
        <v>409.55</v>
      </c>
      <c r="AW109" s="137">
        <f t="shared" ref="AW109:AW116" si="2822">IF(AT109&gt;0,AV109/AT109,0)</f>
        <v>0.95689252000000002</v>
      </c>
      <c r="AX109" s="227">
        <f t="shared" si="2804"/>
        <v>49.55</v>
      </c>
      <c r="AY109" s="138">
        <f t="shared" ref="AY109:AY116" si="2823">AW109*AX109</f>
        <v>47.414020000000001</v>
      </c>
      <c r="AZ109" s="110">
        <f t="shared" ref="AZ109:AZ116" si="2824">AY109*AT109</f>
        <v>20293.2</v>
      </c>
      <c r="BA109" s="110"/>
      <c r="BB109" s="139"/>
      <c r="BC109" s="140">
        <f t="shared" ref="BC109:BC116" si="2825">AY109/$LI109</f>
        <v>0.43947000000000003</v>
      </c>
      <c r="BD109" s="198">
        <f t="shared" si="2800"/>
        <v>358</v>
      </c>
      <c r="BE109" s="225">
        <f t="shared" ref="BE109:BE116" si="2826">BD109/BD$97</f>
        <v>0.48118</v>
      </c>
      <c r="BF109" s="226">
        <f t="shared" ref="BF109:BF116" si="2827">BF$97*BE109</f>
        <v>683.28</v>
      </c>
      <c r="BG109" s="137">
        <f t="shared" ref="BG109:BG116" si="2828">IF(BD109&gt;0,BF109/BD109,0)</f>
        <v>1.9086033499999999</v>
      </c>
      <c r="BH109" s="227">
        <f t="shared" si="2804"/>
        <v>55.1</v>
      </c>
      <c r="BI109" s="138">
        <f t="shared" ref="BI109:BI116" si="2829">BG109*BH109</f>
        <v>105.16404</v>
      </c>
      <c r="BJ109" s="110">
        <f t="shared" ref="BJ109:BJ116" si="2830">BI109*BD109</f>
        <v>37648.730000000003</v>
      </c>
      <c r="BK109" s="110"/>
      <c r="BL109" s="139"/>
      <c r="BM109" s="140">
        <f t="shared" ref="BM109:BM116" si="2831">BI109/$LI109</f>
        <v>0.97474000000000005</v>
      </c>
      <c r="BN109" s="198">
        <f t="shared" si="2800"/>
        <v>305</v>
      </c>
      <c r="BO109" s="225">
        <f t="shared" ref="BO109:BO116" si="2832">BN109/BN$97</f>
        <v>0.49432999999999999</v>
      </c>
      <c r="BP109" s="226">
        <f t="shared" ref="BP109:BP116" si="2833">BP$97*BO109</f>
        <v>603.08000000000004</v>
      </c>
      <c r="BQ109" s="137">
        <f t="shared" ref="BQ109:BQ116" si="2834">IF(BN109&gt;0,BP109/BN109,0)</f>
        <v>1.97731148</v>
      </c>
      <c r="BR109" s="227">
        <f t="shared" si="2804"/>
        <v>54.14</v>
      </c>
      <c r="BS109" s="138">
        <f t="shared" ref="BS109:BS116" si="2835">BQ109*BR109</f>
        <v>107.05164000000001</v>
      </c>
      <c r="BT109" s="110">
        <f t="shared" ref="BT109:BT116" si="2836">BS109*BN109</f>
        <v>32650.75</v>
      </c>
      <c r="BU109" s="110"/>
      <c r="BV109" s="139"/>
      <c r="BW109" s="140">
        <f t="shared" ref="BW109:BW116" si="2837">BS109/$LI109</f>
        <v>0.99222999999999995</v>
      </c>
      <c r="BX109" s="198">
        <f t="shared" si="2800"/>
        <v>401</v>
      </c>
      <c r="BY109" s="225">
        <f t="shared" ref="BY109:BY116" si="2838">BX109/BX$97</f>
        <v>0.50888</v>
      </c>
      <c r="BZ109" s="226">
        <f t="shared" ref="BZ109:BZ116" si="2839">BZ$97*BY109</f>
        <v>748.05</v>
      </c>
      <c r="CA109" s="137">
        <f t="shared" ref="CA109:CA116" si="2840">IF(BX109&gt;0,BZ109/BX109,0)</f>
        <v>1.8654613499999999</v>
      </c>
      <c r="CB109" s="227">
        <f t="shared" si="2804"/>
        <v>51.74</v>
      </c>
      <c r="CC109" s="138">
        <f t="shared" ref="CC109:CC116" si="2841">CA109*CB109</f>
        <v>96.518969999999996</v>
      </c>
      <c r="CD109" s="110">
        <f t="shared" ref="CD109:CD116" si="2842">CC109*BX109</f>
        <v>38704.11</v>
      </c>
      <c r="CE109" s="110"/>
      <c r="CF109" s="139"/>
      <c r="CG109" s="140">
        <f t="shared" ref="CG109:CG116" si="2843">CC109/$LI109</f>
        <v>0.89461000000000002</v>
      </c>
      <c r="CH109" s="198">
        <f t="shared" ref="CH109:EP116" si="2844">CH22</f>
        <v>428</v>
      </c>
      <c r="CI109" s="225">
        <f t="shared" ref="CI109:CI116" si="2845">CH109/CH$97</f>
        <v>0.4632</v>
      </c>
      <c r="CJ109" s="226">
        <f t="shared" ref="CJ109:CJ116" si="2846">CJ$97*CI109</f>
        <v>1083.8900000000001</v>
      </c>
      <c r="CK109" s="137">
        <f t="shared" ref="CK109:CK116" si="2847">IF(CH109&gt;0,CJ109/CH109,0)</f>
        <v>2.53245327</v>
      </c>
      <c r="CL109" s="227">
        <f t="shared" ref="CL109:ET116" si="2848">CL$97</f>
        <v>46.92</v>
      </c>
      <c r="CM109" s="138">
        <f t="shared" ref="CM109:CM116" si="2849">CK109*CL109</f>
        <v>118.82271</v>
      </c>
      <c r="CN109" s="110">
        <f t="shared" ref="CN109:CN116" si="2850">CM109*CH109</f>
        <v>50856.12</v>
      </c>
      <c r="CO109" s="110"/>
      <c r="CP109" s="139"/>
      <c r="CQ109" s="140">
        <f t="shared" ref="CQ109:CQ116" si="2851">CM109/$LI109</f>
        <v>1.10134</v>
      </c>
      <c r="CR109" s="198">
        <f t="shared" si="2844"/>
        <v>362</v>
      </c>
      <c r="CS109" s="225">
        <f t="shared" ref="CS109:CS116" si="2852">CR109/CR$97</f>
        <v>0.48655999999999999</v>
      </c>
      <c r="CT109" s="226">
        <f t="shared" ref="CT109:CT116" si="2853">CT$97*CS109</f>
        <v>584.36</v>
      </c>
      <c r="CU109" s="137">
        <f t="shared" ref="CU109:CU116" si="2854">IF(CR109&gt;0,CT109/CR109,0)</f>
        <v>1.6142541399999999</v>
      </c>
      <c r="CV109" s="227">
        <f t="shared" si="2848"/>
        <v>49.61</v>
      </c>
      <c r="CW109" s="138">
        <f t="shared" ref="CW109:CW116" si="2855">CU109*CV109</f>
        <v>80.083150000000003</v>
      </c>
      <c r="CX109" s="110">
        <f t="shared" ref="CX109:CX116" si="2856">CW109*CR109</f>
        <v>28990.1</v>
      </c>
      <c r="CY109" s="110"/>
      <c r="CZ109" s="139"/>
      <c r="DA109" s="140">
        <f t="shared" ref="DA109:DA116" si="2857">CW109/$LI109</f>
        <v>0.74226999999999999</v>
      </c>
      <c r="DB109" s="198">
        <f t="shared" si="2844"/>
        <v>380</v>
      </c>
      <c r="DC109" s="225">
        <f t="shared" ref="DC109:DC116" si="2858">DB109/DB$97</f>
        <v>0.46061000000000002</v>
      </c>
      <c r="DD109" s="226">
        <f t="shared" ref="DD109:DD116" si="2859">DD$97*DC109</f>
        <v>513.12</v>
      </c>
      <c r="DE109" s="137">
        <f t="shared" ref="DE109:DE116" si="2860">IF(DB109&gt;0,DD109/DB109,0)</f>
        <v>1.35031579</v>
      </c>
      <c r="DF109" s="227">
        <f t="shared" si="2848"/>
        <v>52.57</v>
      </c>
      <c r="DG109" s="138">
        <f t="shared" ref="DG109:DG116" si="2861">DE109*DF109</f>
        <v>70.986099999999993</v>
      </c>
      <c r="DH109" s="110">
        <f t="shared" ref="DH109:DH116" si="2862">DG109*DB109</f>
        <v>26974.720000000001</v>
      </c>
      <c r="DI109" s="110"/>
      <c r="DJ109" s="139"/>
      <c r="DK109" s="140">
        <f t="shared" ref="DK109:DK116" si="2863">DG109/$LI109</f>
        <v>0.65795000000000003</v>
      </c>
      <c r="DL109" s="198">
        <f t="shared" si="2844"/>
        <v>0</v>
      </c>
      <c r="DM109" s="225">
        <f t="shared" ref="DM109:DM116" si="2864">DL109/DL$97</f>
        <v>0</v>
      </c>
      <c r="DN109" s="226">
        <f t="shared" ref="DN109:DN116" si="2865">DN$97*DM109</f>
        <v>0</v>
      </c>
      <c r="DO109" s="137">
        <f t="shared" ref="DO109:DO116" si="2866">IF(DL109&gt;0,DN109/DL109,0)</f>
        <v>0</v>
      </c>
      <c r="DP109" s="227">
        <f t="shared" si="2848"/>
        <v>55.25</v>
      </c>
      <c r="DQ109" s="138">
        <f t="shared" ref="DQ109:DQ116" si="2867">DO109*DP109</f>
        <v>0</v>
      </c>
      <c r="DR109" s="110">
        <f t="shared" ref="DR109:DR116" si="2868">DQ109*DL109</f>
        <v>0</v>
      </c>
      <c r="DS109" s="110"/>
      <c r="DT109" s="139"/>
      <c r="DU109" s="140">
        <f t="shared" ref="DU109:DU116" si="2869">DQ109/$LI109</f>
        <v>0</v>
      </c>
      <c r="DV109" s="198">
        <f t="shared" si="2844"/>
        <v>427</v>
      </c>
      <c r="DW109" s="225">
        <f t="shared" ref="DW109:DW116" si="2870">DV109/DV$97</f>
        <v>0.48632999999999998</v>
      </c>
      <c r="DX109" s="226">
        <f t="shared" ref="DX109:DX116" si="2871">DX$97*DW109</f>
        <v>646.82000000000005</v>
      </c>
      <c r="DY109" s="137">
        <f t="shared" ref="DY109:DY116" si="2872">IF(DV109&gt;0,DX109/DV109,0)</f>
        <v>1.51480094</v>
      </c>
      <c r="DZ109" s="227">
        <f t="shared" si="2848"/>
        <v>34.14</v>
      </c>
      <c r="EA109" s="138">
        <f t="shared" ref="EA109:EA116" si="2873">DY109*DZ109</f>
        <v>51.715299999999999</v>
      </c>
      <c r="EB109" s="110">
        <f t="shared" ref="EB109:EB116" si="2874">EA109*DV109</f>
        <v>22082.43</v>
      </c>
      <c r="EC109" s="110"/>
      <c r="ED109" s="139"/>
      <c r="EE109" s="140">
        <f t="shared" ref="EE109:EE116" si="2875">EA109/$LI109</f>
        <v>0.47933999999999999</v>
      </c>
      <c r="EF109" s="198">
        <f t="shared" si="2844"/>
        <v>472</v>
      </c>
      <c r="EG109" s="225">
        <f t="shared" ref="EG109:EG116" si="2876">EF109/EF$97</f>
        <v>0.50266</v>
      </c>
      <c r="EH109" s="226">
        <f t="shared" ref="EH109:EH116" si="2877">EH$97*EG109</f>
        <v>462.45</v>
      </c>
      <c r="EI109" s="137">
        <f t="shared" ref="EI109:EI116" si="2878">IF(EF109&gt;0,EH109/EF109,0)</f>
        <v>0.97976695000000003</v>
      </c>
      <c r="EJ109" s="227">
        <f t="shared" si="2848"/>
        <v>44.53</v>
      </c>
      <c r="EK109" s="138">
        <f t="shared" ref="EK109:EK116" si="2879">EI109*EJ109</f>
        <v>43.629019999999997</v>
      </c>
      <c r="EL109" s="110">
        <f t="shared" ref="EL109:EL116" si="2880">EK109*EF109</f>
        <v>20592.900000000001</v>
      </c>
      <c r="EM109" s="110"/>
      <c r="EN109" s="139"/>
      <c r="EO109" s="140">
        <f t="shared" ref="EO109:EO116" si="2881">EK109/$LI109</f>
        <v>0.40439000000000003</v>
      </c>
      <c r="EP109" s="198">
        <f t="shared" si="2844"/>
        <v>448</v>
      </c>
      <c r="EQ109" s="225">
        <f t="shared" ref="EQ109:EQ116" si="2882">EP109/EP$97</f>
        <v>0.47508</v>
      </c>
      <c r="ER109" s="226">
        <f t="shared" ref="ER109:ER116" si="2883">ER$97*EQ109</f>
        <v>1035.67</v>
      </c>
      <c r="ES109" s="137">
        <f t="shared" ref="ES109:ES116" si="2884">IF(EP109&gt;0,ER109/EP109,0)</f>
        <v>2.3117633899999999</v>
      </c>
      <c r="ET109" s="227">
        <f t="shared" si="2848"/>
        <v>52.01</v>
      </c>
      <c r="EU109" s="138">
        <f t="shared" ref="EU109:EU116" si="2885">ES109*ET109</f>
        <v>120.23481</v>
      </c>
      <c r="EV109" s="110">
        <f t="shared" ref="EV109:EV116" si="2886">EU109*EP109</f>
        <v>53865.19</v>
      </c>
      <c r="EW109" s="110"/>
      <c r="EX109" s="139"/>
      <c r="EY109" s="140">
        <f t="shared" ref="EY109:EY116" si="2887">EU109/$LI109</f>
        <v>1.11442</v>
      </c>
      <c r="EZ109" s="198">
        <f t="shared" ref="EZ109:HH116" si="2888">EZ22</f>
        <v>443</v>
      </c>
      <c r="FA109" s="225">
        <f t="shared" ref="FA109:FA116" si="2889">EZ109/EZ$97</f>
        <v>0.39660000000000001</v>
      </c>
      <c r="FB109" s="226">
        <f t="shared" ref="FB109:FB116" si="2890">FB$97*FA109</f>
        <v>713.88</v>
      </c>
      <c r="FC109" s="137">
        <f t="shared" ref="FC109:FC116" si="2891">IF(EZ109&gt;0,FB109/EZ109,0)</f>
        <v>1.6114672699999999</v>
      </c>
      <c r="FD109" s="227">
        <f t="shared" ref="FD109:HL116" si="2892">FD$97</f>
        <v>55.47</v>
      </c>
      <c r="FE109" s="138">
        <f t="shared" ref="FE109:FE116" si="2893">FC109*FD109</f>
        <v>89.388090000000005</v>
      </c>
      <c r="FF109" s="110">
        <f t="shared" ref="FF109:FF116" si="2894">FE109*EZ109</f>
        <v>39598.92</v>
      </c>
      <c r="FG109" s="110"/>
      <c r="FH109" s="139"/>
      <c r="FI109" s="140">
        <f t="shared" ref="FI109:FI116" si="2895">FE109/$LI109</f>
        <v>0.82850999999999997</v>
      </c>
      <c r="FJ109" s="198">
        <f t="shared" si="2888"/>
        <v>508</v>
      </c>
      <c r="FK109" s="225">
        <f t="shared" ref="FK109:FK116" si="2896">FJ109/FJ$97</f>
        <v>0.49706</v>
      </c>
      <c r="FL109" s="226">
        <f t="shared" ref="FL109:FL116" si="2897">FL$97*FK109</f>
        <v>854.94</v>
      </c>
      <c r="FM109" s="137">
        <f t="shared" ref="FM109:FM116" si="2898">IF(FJ109&gt;0,FL109/FJ109,0)</f>
        <v>1.68295276</v>
      </c>
      <c r="FN109" s="227">
        <f t="shared" si="2892"/>
        <v>39.74</v>
      </c>
      <c r="FO109" s="138">
        <f t="shared" ref="FO109:FO116" si="2899">FM109*FN109</f>
        <v>66.880539999999996</v>
      </c>
      <c r="FP109" s="110">
        <f t="shared" ref="FP109:FP116" si="2900">FO109*FJ109</f>
        <v>33975.31</v>
      </c>
      <c r="FQ109" s="110"/>
      <c r="FR109" s="139"/>
      <c r="FS109" s="140">
        <f t="shared" ref="FS109:FS116" si="2901">FO109/$LI109</f>
        <v>0.61990000000000001</v>
      </c>
      <c r="FT109" s="198">
        <f t="shared" si="2888"/>
        <v>377</v>
      </c>
      <c r="FU109" s="225">
        <f t="shared" ref="FU109:FU116" si="2902">FT109/FT$97</f>
        <v>0.46949000000000002</v>
      </c>
      <c r="FV109" s="226">
        <f t="shared" ref="FV109:FV116" si="2903">FV$97*FU109</f>
        <v>668.55</v>
      </c>
      <c r="FW109" s="137">
        <f t="shared" ref="FW109:FW116" si="2904">IF(FT109&gt;0,FV109/FT109,0)</f>
        <v>1.77334218</v>
      </c>
      <c r="FX109" s="227">
        <f t="shared" si="2892"/>
        <v>53.97</v>
      </c>
      <c r="FY109" s="138">
        <f t="shared" ref="FY109:FY116" si="2905">FW109*FX109</f>
        <v>95.707279999999997</v>
      </c>
      <c r="FZ109" s="110">
        <f t="shared" ref="FZ109:FZ116" si="2906">FY109*FT109</f>
        <v>36081.64</v>
      </c>
      <c r="GA109" s="110"/>
      <c r="GB109" s="139"/>
      <c r="GC109" s="140">
        <f t="shared" ref="GC109:GC116" si="2907">FY109/$LI109</f>
        <v>0.88709000000000005</v>
      </c>
      <c r="GD109" s="198">
        <f t="shared" si="2888"/>
        <v>244</v>
      </c>
      <c r="GE109" s="225">
        <f t="shared" ref="GE109:GE116" si="2908">GD109/GD$97</f>
        <v>0.47655999999999998</v>
      </c>
      <c r="GF109" s="226">
        <f t="shared" ref="GF109:GF116" si="2909">GF$97*GE109</f>
        <v>409.84</v>
      </c>
      <c r="GG109" s="137">
        <f t="shared" ref="GG109:GG116" si="2910">IF(GD109&gt;0,GF109/GD109,0)</f>
        <v>1.6796721299999999</v>
      </c>
      <c r="GH109" s="227">
        <f t="shared" si="2892"/>
        <v>54.63</v>
      </c>
      <c r="GI109" s="138">
        <f t="shared" ref="GI109:GI116" si="2911">GG109*GH109</f>
        <v>91.760490000000004</v>
      </c>
      <c r="GJ109" s="110">
        <f t="shared" ref="GJ109:GJ116" si="2912">GI109*GD109</f>
        <v>22389.56</v>
      </c>
      <c r="GK109" s="110"/>
      <c r="GL109" s="139"/>
      <c r="GM109" s="140">
        <f t="shared" ref="GM109:GM116" si="2913">GI109/$LI109</f>
        <v>0.85050000000000003</v>
      </c>
      <c r="GN109" s="198">
        <f t="shared" si="2888"/>
        <v>413</v>
      </c>
      <c r="GO109" s="225">
        <f t="shared" ref="GO109:GO116" si="2914">GN109/GN$97</f>
        <v>0.47800999999999999</v>
      </c>
      <c r="GP109" s="226">
        <f t="shared" ref="GP109:GP116" si="2915">GP$97*GO109</f>
        <v>1314.53</v>
      </c>
      <c r="GQ109" s="137">
        <f t="shared" ref="GQ109:GQ116" si="2916">IF(GN109&gt;0,GP109/GN109,0)</f>
        <v>3.1828813600000001</v>
      </c>
      <c r="GR109" s="227">
        <f t="shared" si="2892"/>
        <v>52.13</v>
      </c>
      <c r="GS109" s="138">
        <f t="shared" ref="GS109:GS116" si="2917">GQ109*GR109</f>
        <v>165.92361</v>
      </c>
      <c r="GT109" s="110">
        <f t="shared" ref="GT109:GT116" si="2918">GS109*GN109</f>
        <v>68526.45</v>
      </c>
      <c r="GU109" s="110"/>
      <c r="GV109" s="139"/>
      <c r="GW109" s="140">
        <f t="shared" ref="GW109:GW116" si="2919">GS109/$LI109</f>
        <v>1.5379</v>
      </c>
      <c r="GX109" s="198">
        <f t="shared" si="2888"/>
        <v>742</v>
      </c>
      <c r="GY109" s="225">
        <f t="shared" ref="GY109:GY116" si="2920">GX109/GX$97</f>
        <v>0.45773999999999998</v>
      </c>
      <c r="GZ109" s="226">
        <f t="shared" ref="GZ109:GZ116" si="2921">GZ$97*GY109</f>
        <v>2038.32</v>
      </c>
      <c r="HA109" s="137">
        <f t="shared" ref="HA109:HA116" si="2922">IF(GX109&gt;0,GZ109/GX109,0)</f>
        <v>2.7470619900000002</v>
      </c>
      <c r="HB109" s="227">
        <f t="shared" si="2892"/>
        <v>42.58</v>
      </c>
      <c r="HC109" s="138">
        <f t="shared" ref="HC109:HC116" si="2923">HA109*HB109</f>
        <v>116.9699</v>
      </c>
      <c r="HD109" s="110">
        <f t="shared" ref="HD109:HD116" si="2924">HC109*GX109</f>
        <v>86791.67</v>
      </c>
      <c r="HE109" s="110"/>
      <c r="HF109" s="139"/>
      <c r="HG109" s="140">
        <f t="shared" ref="HG109:HG116" si="2925">HC109/$LI109</f>
        <v>1.08416</v>
      </c>
      <c r="HH109" s="198">
        <f t="shared" si="2888"/>
        <v>536</v>
      </c>
      <c r="HI109" s="225">
        <f t="shared" ref="HI109:HI116" si="2926">HH109/HH$97</f>
        <v>0.46528000000000003</v>
      </c>
      <c r="HJ109" s="226">
        <f t="shared" ref="HJ109:HJ116" si="2927">HJ$97*HI109</f>
        <v>1549.38</v>
      </c>
      <c r="HK109" s="137">
        <f t="shared" ref="HK109:HK116" si="2928">IF(HH109&gt;0,HJ109/HH109,0)</f>
        <v>2.8906343300000001</v>
      </c>
      <c r="HL109" s="227">
        <f t="shared" si="2892"/>
        <v>49.58</v>
      </c>
      <c r="HM109" s="138">
        <f t="shared" ref="HM109:HM116" si="2929">HK109*HL109</f>
        <v>143.31764999999999</v>
      </c>
      <c r="HN109" s="110">
        <f t="shared" ref="HN109:HN116" si="2930">HM109*HH109</f>
        <v>76818.259999999995</v>
      </c>
      <c r="HO109" s="110"/>
      <c r="HP109" s="139"/>
      <c r="HQ109" s="140">
        <f t="shared" ref="HQ109:HQ116" si="2931">HM109/$LI109</f>
        <v>1.3283700000000001</v>
      </c>
      <c r="HR109" s="198">
        <f t="shared" ref="HR109:JZ116" si="2932">HR22</f>
        <v>396</v>
      </c>
      <c r="HS109" s="225">
        <f t="shared" ref="HS109:HS116" si="2933">HR109/HR$97</f>
        <v>0.50253999999999999</v>
      </c>
      <c r="HT109" s="226">
        <f t="shared" ref="HT109:HT116" si="2934">HT$97*HS109</f>
        <v>452.29</v>
      </c>
      <c r="HU109" s="137">
        <f t="shared" ref="HU109:HU116" si="2935">IF(HR109&gt;0,HT109/HR109,0)</f>
        <v>1.14214646</v>
      </c>
      <c r="HV109" s="227">
        <f t="shared" ref="HV109:KD116" si="2936">HV$97</f>
        <v>52.62</v>
      </c>
      <c r="HW109" s="138">
        <f t="shared" ref="HW109:HW116" si="2937">HU109*HV109</f>
        <v>60.09975</v>
      </c>
      <c r="HX109" s="110">
        <f t="shared" ref="HX109:HX116" si="2938">HW109*HR109</f>
        <v>23799.5</v>
      </c>
      <c r="HY109" s="110"/>
      <c r="HZ109" s="139"/>
      <c r="IA109" s="140">
        <f t="shared" ref="IA109:IA116" si="2939">HW109/$LI109</f>
        <v>0.55705000000000005</v>
      </c>
      <c r="IB109" s="198">
        <f t="shared" si="2932"/>
        <v>242</v>
      </c>
      <c r="IC109" s="225">
        <f t="shared" ref="IC109:IC116" si="2940">IB109/IB$97</f>
        <v>0.44161</v>
      </c>
      <c r="ID109" s="226">
        <f t="shared" ref="ID109:ID116" si="2941">ID$97*IC109</f>
        <v>189.89</v>
      </c>
      <c r="IE109" s="137">
        <f t="shared" ref="IE109:IE116" si="2942">IF(IB109&gt;0,ID109/IB109,0)</f>
        <v>0.78466941999999995</v>
      </c>
      <c r="IF109" s="227">
        <f t="shared" si="2936"/>
        <v>50</v>
      </c>
      <c r="IG109" s="138">
        <f t="shared" ref="IG109:IG116" si="2943">IE109*IF109</f>
        <v>39.233469999999997</v>
      </c>
      <c r="IH109" s="110">
        <f t="shared" ref="IH109:IH116" si="2944">IG109*IB109</f>
        <v>9494.5</v>
      </c>
      <c r="II109" s="110"/>
      <c r="IJ109" s="139"/>
      <c r="IK109" s="140">
        <f t="shared" ref="IK109:IK116" si="2945">IG109/$LI109</f>
        <v>0.36364000000000002</v>
      </c>
      <c r="IL109" s="198">
        <f t="shared" si="2932"/>
        <v>584</v>
      </c>
      <c r="IM109" s="225">
        <f t="shared" ref="IM109:IM116" si="2946">IL109/IL$97</f>
        <v>0.46166000000000001</v>
      </c>
      <c r="IN109" s="226">
        <f t="shared" ref="IN109:IN116" si="2947">IN$97*IM109</f>
        <v>1358.2</v>
      </c>
      <c r="IO109" s="137">
        <f t="shared" ref="IO109:IO116" si="2948">IF(IL109&gt;0,IN109/IL109,0)</f>
        <v>2.32568493</v>
      </c>
      <c r="IP109" s="227">
        <f t="shared" si="2936"/>
        <v>54.39</v>
      </c>
      <c r="IQ109" s="138">
        <f t="shared" ref="IQ109:IQ116" si="2949">IO109*IP109</f>
        <v>126.494</v>
      </c>
      <c r="IR109" s="110">
        <f t="shared" ref="IR109:IR116" si="2950">IQ109*IL109</f>
        <v>73872.5</v>
      </c>
      <c r="IS109" s="110"/>
      <c r="IT109" s="139"/>
      <c r="IU109" s="140">
        <f t="shared" ref="IU109:IU116" si="2951">IQ109/$LI109</f>
        <v>1.1724399999999999</v>
      </c>
      <c r="IV109" s="198">
        <f t="shared" si="2932"/>
        <v>404</v>
      </c>
      <c r="IW109" s="225">
        <f t="shared" ref="IW109:IW116" si="2952">IV109/IV$97</f>
        <v>0.52398999999999996</v>
      </c>
      <c r="IX109" s="226">
        <f t="shared" ref="IX109:IX116" si="2953">IX$97*IW109</f>
        <v>838.38</v>
      </c>
      <c r="IY109" s="137">
        <f t="shared" ref="IY109:IY116" si="2954">IF(IV109&gt;0,IX109/IV109,0)</f>
        <v>2.0751980200000002</v>
      </c>
      <c r="IZ109" s="227">
        <f t="shared" si="2936"/>
        <v>54.71</v>
      </c>
      <c r="JA109" s="138">
        <f t="shared" ref="JA109:JA116" si="2955">IY109*IZ109</f>
        <v>113.53408</v>
      </c>
      <c r="JB109" s="110">
        <f t="shared" ref="JB109:JB116" si="2956">JA109*IV109</f>
        <v>45867.77</v>
      </c>
      <c r="JC109" s="110"/>
      <c r="JD109" s="139"/>
      <c r="JE109" s="140">
        <f t="shared" ref="JE109:JE116" si="2957">JA109/$LI109</f>
        <v>1.0523199999999999</v>
      </c>
      <c r="JF109" s="198">
        <f t="shared" si="2932"/>
        <v>617</v>
      </c>
      <c r="JG109" s="225">
        <f t="shared" ref="JG109:JG116" si="2958">JF109/JF$97</f>
        <v>0.46010000000000001</v>
      </c>
      <c r="JH109" s="226">
        <f t="shared" ref="JH109:JH116" si="2959">JH$97*JG109</f>
        <v>1757.58</v>
      </c>
      <c r="JI109" s="137">
        <f t="shared" ref="JI109:JI116" si="2960">IF(JF109&gt;0,JH109/JF109,0)</f>
        <v>2.84858995</v>
      </c>
      <c r="JJ109" s="227">
        <f t="shared" si="2936"/>
        <v>43.31</v>
      </c>
      <c r="JK109" s="138">
        <f t="shared" ref="JK109:JK116" si="2961">JI109*JJ109</f>
        <v>123.37242999999999</v>
      </c>
      <c r="JL109" s="110">
        <f t="shared" ref="JL109:JL116" si="2962">JK109*JF109</f>
        <v>76120.789999999994</v>
      </c>
      <c r="JM109" s="110"/>
      <c r="JN109" s="139"/>
      <c r="JO109" s="140">
        <f t="shared" ref="JO109:JO116" si="2963">JK109/$LI109</f>
        <v>1.14351</v>
      </c>
      <c r="JP109" s="198">
        <f t="shared" si="2932"/>
        <v>581</v>
      </c>
      <c r="JQ109" s="225">
        <f t="shared" ref="JQ109:JQ116" si="2964">JP109/JP$97</f>
        <v>0.46516999999999997</v>
      </c>
      <c r="JR109" s="226">
        <f t="shared" ref="JR109:JR116" si="2965">JR$97*JQ109</f>
        <v>1767.65</v>
      </c>
      <c r="JS109" s="137">
        <f t="shared" ref="JS109:JS116" si="2966">IF(JP109&gt;0,JR109/JP109,0)</f>
        <v>3.04242685</v>
      </c>
      <c r="JT109" s="227">
        <f t="shared" si="2936"/>
        <v>57.05</v>
      </c>
      <c r="JU109" s="138">
        <f t="shared" ref="JU109:JU116" si="2967">JS109*JT109</f>
        <v>173.57044999999999</v>
      </c>
      <c r="JV109" s="110">
        <f t="shared" ref="JV109:JV116" si="2968">JU109*JP109</f>
        <v>100844.43</v>
      </c>
      <c r="JW109" s="110"/>
      <c r="JX109" s="139"/>
      <c r="JY109" s="140">
        <f t="shared" ref="JY109:JY116" si="2969">JU109/$LI109</f>
        <v>1.6087800000000001</v>
      </c>
      <c r="JZ109" s="198">
        <f t="shared" si="2932"/>
        <v>520</v>
      </c>
      <c r="KA109" s="225">
        <f t="shared" ref="KA109:KA116" si="2970">JZ109/JZ$97</f>
        <v>0.44712000000000002</v>
      </c>
      <c r="KB109" s="226">
        <f t="shared" ref="KB109:KB116" si="2971">KB$97*KA109</f>
        <v>1189.3399999999999</v>
      </c>
      <c r="KC109" s="137">
        <f t="shared" ref="KC109:KC116" si="2972">IF(JZ109&gt;0,KB109/JZ109,0)</f>
        <v>2.28719231</v>
      </c>
      <c r="KD109" s="227">
        <f t="shared" si="2936"/>
        <v>51.65</v>
      </c>
      <c r="KE109" s="138">
        <f t="shared" ref="KE109:KE116" si="2973">KC109*KD109</f>
        <v>118.13348000000001</v>
      </c>
      <c r="KF109" s="110">
        <f t="shared" ref="KF109:KF116" si="2974">KE109*JZ109</f>
        <v>61429.41</v>
      </c>
      <c r="KG109" s="110"/>
      <c r="KH109" s="139"/>
      <c r="KI109" s="140">
        <f t="shared" ref="KI109:KI116" si="2975">KE109/$LI109</f>
        <v>1.0949500000000001</v>
      </c>
      <c r="KJ109" s="198">
        <f t="shared" ref="KJ109:KT116" si="2976">KJ22</f>
        <v>595</v>
      </c>
      <c r="KK109" s="225">
        <f t="shared" ref="KK109:KK116" si="2977">KJ109/KJ$97</f>
        <v>0.44369999999999998</v>
      </c>
      <c r="KL109" s="226">
        <f t="shared" ref="KL109:KL116" si="2978">KL$97*KK109</f>
        <v>1177.1400000000001</v>
      </c>
      <c r="KM109" s="137">
        <f t="shared" ref="KM109:KM116" si="2979">IF(KJ109&gt;0,KL109/KJ109,0)</f>
        <v>1.97838655</v>
      </c>
      <c r="KN109" s="227">
        <f t="shared" ref="KN109:KX116" si="2980">KN$97</f>
        <v>51.78</v>
      </c>
      <c r="KO109" s="138">
        <f t="shared" ref="KO109:KO116" si="2981">KM109*KN109</f>
        <v>102.44086</v>
      </c>
      <c r="KP109" s="110">
        <f t="shared" ref="KP109:KP116" si="2982">KO109*KJ109</f>
        <v>60952.31</v>
      </c>
      <c r="KQ109" s="110"/>
      <c r="KR109" s="139"/>
      <c r="KS109" s="140">
        <f t="shared" ref="KS109:KS116" si="2983">KO109/$LI109</f>
        <v>0.94950000000000001</v>
      </c>
      <c r="KT109" s="198">
        <f t="shared" si="2976"/>
        <v>509</v>
      </c>
      <c r="KU109" s="225">
        <f t="shared" ref="KU109:KU116" si="2984">KT109/KT$97</f>
        <v>0.45284999999999997</v>
      </c>
      <c r="KV109" s="226">
        <f t="shared" ref="KV109:KV116" si="2985">KV$97*KU109</f>
        <v>2866.54</v>
      </c>
      <c r="KW109" s="137">
        <f t="shared" ref="KW109:KW116" si="2986">IF(KT109&gt;0,KV109/KT109,0)</f>
        <v>5.6317092300000002</v>
      </c>
      <c r="KX109" s="227">
        <f t="shared" si="2980"/>
        <v>55.65</v>
      </c>
      <c r="KY109" s="138">
        <f t="shared" ref="KY109:KY116" si="2987">KW109*KX109</f>
        <v>313.40462000000002</v>
      </c>
      <c r="KZ109" s="110">
        <f t="shared" ref="KZ109:KZ116" si="2988">KY109*KT109</f>
        <v>159522.95000000001</v>
      </c>
      <c r="LA109" s="110"/>
      <c r="LB109" s="139"/>
      <c r="LC109" s="140">
        <f t="shared" ref="LC109:LC116" si="2989">KY109/$LI109</f>
        <v>2.9048600000000002</v>
      </c>
      <c r="LD109" s="197">
        <f t="shared" si="2789"/>
        <v>13279</v>
      </c>
      <c r="LE109" s="225">
        <f t="shared" si="2790"/>
        <v>0.46521000000000001</v>
      </c>
      <c r="LF109" s="226">
        <f t="shared" si="2791"/>
        <v>28516.44</v>
      </c>
      <c r="LG109" s="137">
        <f t="shared" si="2792"/>
        <v>2.1474839999999999</v>
      </c>
      <c r="LH109" s="227">
        <f t="shared" si="2793"/>
        <v>50.24</v>
      </c>
      <c r="LI109" s="138">
        <f t="shared" si="2794"/>
        <v>107.8896</v>
      </c>
      <c r="LJ109" s="110">
        <f t="shared" si="2795"/>
        <v>1432666</v>
      </c>
      <c r="LK109" s="110"/>
      <c r="LL109" s="139"/>
    </row>
    <row r="110" spans="1:324" ht="18" hidden="1" customHeight="1" x14ac:dyDescent="0.25">
      <c r="A110" s="246"/>
      <c r="B110" s="93" t="s">
        <v>610</v>
      </c>
      <c r="C110" s="12" t="s">
        <v>727</v>
      </c>
      <c r="D110" s="12" t="s">
        <v>427</v>
      </c>
      <c r="E110" s="4" t="s">
        <v>32</v>
      </c>
      <c r="F110" s="198">
        <f t="shared" si="2799"/>
        <v>0</v>
      </c>
      <c r="G110" s="225">
        <f t="shared" si="2796"/>
        <v>0</v>
      </c>
      <c r="H110" s="226">
        <f t="shared" si="2797"/>
        <v>0</v>
      </c>
      <c r="I110" s="137">
        <f t="shared" si="2570"/>
        <v>0</v>
      </c>
      <c r="J110" s="227">
        <f t="shared" si="2798"/>
        <v>40.909999999999997</v>
      </c>
      <c r="K110" s="138">
        <f t="shared" si="2571"/>
        <v>0</v>
      </c>
      <c r="L110" s="110">
        <f t="shared" si="2572"/>
        <v>0</v>
      </c>
      <c r="M110" s="110"/>
      <c r="N110" s="139"/>
      <c r="O110" s="140" t="e">
        <f t="shared" si="2573"/>
        <v>#DIV/0!</v>
      </c>
      <c r="P110" s="198">
        <f t="shared" si="2800"/>
        <v>0</v>
      </c>
      <c r="Q110" s="225">
        <f t="shared" si="2801"/>
        <v>0</v>
      </c>
      <c r="R110" s="226">
        <f t="shared" si="2802"/>
        <v>0</v>
      </c>
      <c r="S110" s="137">
        <f t="shared" si="2803"/>
        <v>0</v>
      </c>
      <c r="T110" s="227">
        <f t="shared" si="2804"/>
        <v>36.11</v>
      </c>
      <c r="U110" s="138">
        <f t="shared" si="2805"/>
        <v>0</v>
      </c>
      <c r="V110" s="110">
        <f t="shared" si="2806"/>
        <v>0</v>
      </c>
      <c r="W110" s="110"/>
      <c r="X110" s="139"/>
      <c r="Y110" s="140" t="e">
        <f t="shared" si="2807"/>
        <v>#DIV/0!</v>
      </c>
      <c r="Z110" s="198">
        <f t="shared" si="2800"/>
        <v>0</v>
      </c>
      <c r="AA110" s="225">
        <f t="shared" si="2808"/>
        <v>0</v>
      </c>
      <c r="AB110" s="226">
        <f t="shared" si="2809"/>
        <v>0</v>
      </c>
      <c r="AC110" s="137">
        <f t="shared" si="2810"/>
        <v>0</v>
      </c>
      <c r="AD110" s="227">
        <f t="shared" si="2804"/>
        <v>54.87</v>
      </c>
      <c r="AE110" s="138">
        <f t="shared" si="2811"/>
        <v>0</v>
      </c>
      <c r="AF110" s="110">
        <f t="shared" si="2812"/>
        <v>0</v>
      </c>
      <c r="AG110" s="110"/>
      <c r="AH110" s="139"/>
      <c r="AI110" s="140" t="e">
        <f t="shared" si="2813"/>
        <v>#DIV/0!</v>
      </c>
      <c r="AJ110" s="198">
        <f t="shared" si="2800"/>
        <v>0</v>
      </c>
      <c r="AK110" s="225">
        <f t="shared" si="2814"/>
        <v>0</v>
      </c>
      <c r="AL110" s="226">
        <f t="shared" si="2815"/>
        <v>0</v>
      </c>
      <c r="AM110" s="137">
        <f t="shared" si="2816"/>
        <v>0</v>
      </c>
      <c r="AN110" s="227">
        <f t="shared" si="2804"/>
        <v>54.42</v>
      </c>
      <c r="AO110" s="138">
        <f t="shared" si="2817"/>
        <v>0</v>
      </c>
      <c r="AP110" s="110">
        <f t="shared" si="2818"/>
        <v>0</v>
      </c>
      <c r="AQ110" s="110"/>
      <c r="AR110" s="139"/>
      <c r="AS110" s="140" t="e">
        <f t="shared" si="2819"/>
        <v>#DIV/0!</v>
      </c>
      <c r="AT110" s="198">
        <f t="shared" si="2800"/>
        <v>0</v>
      </c>
      <c r="AU110" s="225">
        <f t="shared" si="2820"/>
        <v>0</v>
      </c>
      <c r="AV110" s="226">
        <f t="shared" si="2821"/>
        <v>0</v>
      </c>
      <c r="AW110" s="137">
        <f t="shared" si="2822"/>
        <v>0</v>
      </c>
      <c r="AX110" s="227">
        <f t="shared" si="2804"/>
        <v>49.55</v>
      </c>
      <c r="AY110" s="138">
        <f t="shared" si="2823"/>
        <v>0</v>
      </c>
      <c r="AZ110" s="110">
        <f t="shared" si="2824"/>
        <v>0</v>
      </c>
      <c r="BA110" s="110"/>
      <c r="BB110" s="139"/>
      <c r="BC110" s="140" t="e">
        <f t="shared" si="2825"/>
        <v>#DIV/0!</v>
      </c>
      <c r="BD110" s="198">
        <f t="shared" si="2800"/>
        <v>0</v>
      </c>
      <c r="BE110" s="225">
        <f t="shared" si="2826"/>
        <v>0</v>
      </c>
      <c r="BF110" s="226">
        <f t="shared" si="2827"/>
        <v>0</v>
      </c>
      <c r="BG110" s="137">
        <f t="shared" si="2828"/>
        <v>0</v>
      </c>
      <c r="BH110" s="227">
        <f t="shared" si="2804"/>
        <v>55.1</v>
      </c>
      <c r="BI110" s="138">
        <f t="shared" si="2829"/>
        <v>0</v>
      </c>
      <c r="BJ110" s="110">
        <f t="shared" si="2830"/>
        <v>0</v>
      </c>
      <c r="BK110" s="110"/>
      <c r="BL110" s="139"/>
      <c r="BM110" s="140" t="e">
        <f t="shared" si="2831"/>
        <v>#DIV/0!</v>
      </c>
      <c r="BN110" s="198">
        <f t="shared" si="2800"/>
        <v>0</v>
      </c>
      <c r="BO110" s="225">
        <f t="shared" si="2832"/>
        <v>0</v>
      </c>
      <c r="BP110" s="226">
        <f t="shared" si="2833"/>
        <v>0</v>
      </c>
      <c r="BQ110" s="137">
        <f t="shared" si="2834"/>
        <v>0</v>
      </c>
      <c r="BR110" s="227">
        <f t="shared" si="2804"/>
        <v>54.14</v>
      </c>
      <c r="BS110" s="138">
        <f t="shared" si="2835"/>
        <v>0</v>
      </c>
      <c r="BT110" s="110">
        <f t="shared" si="2836"/>
        <v>0</v>
      </c>
      <c r="BU110" s="110"/>
      <c r="BV110" s="139"/>
      <c r="BW110" s="140" t="e">
        <f t="shared" si="2837"/>
        <v>#DIV/0!</v>
      </c>
      <c r="BX110" s="198">
        <f t="shared" si="2800"/>
        <v>0</v>
      </c>
      <c r="BY110" s="225">
        <f t="shared" si="2838"/>
        <v>0</v>
      </c>
      <c r="BZ110" s="226">
        <f t="shared" si="2839"/>
        <v>0</v>
      </c>
      <c r="CA110" s="137">
        <f t="shared" si="2840"/>
        <v>0</v>
      </c>
      <c r="CB110" s="227">
        <f t="shared" si="2804"/>
        <v>51.74</v>
      </c>
      <c r="CC110" s="138">
        <f t="shared" si="2841"/>
        <v>0</v>
      </c>
      <c r="CD110" s="110">
        <f t="shared" si="2842"/>
        <v>0</v>
      </c>
      <c r="CE110" s="110"/>
      <c r="CF110" s="139"/>
      <c r="CG110" s="140" t="e">
        <f t="shared" si="2843"/>
        <v>#DIV/0!</v>
      </c>
      <c r="CH110" s="198">
        <f t="shared" si="2844"/>
        <v>0</v>
      </c>
      <c r="CI110" s="225">
        <f t="shared" si="2845"/>
        <v>0</v>
      </c>
      <c r="CJ110" s="226">
        <f t="shared" si="2846"/>
        <v>0</v>
      </c>
      <c r="CK110" s="137">
        <f t="shared" si="2847"/>
        <v>0</v>
      </c>
      <c r="CL110" s="227">
        <f t="shared" si="2848"/>
        <v>46.92</v>
      </c>
      <c r="CM110" s="138">
        <f t="shared" si="2849"/>
        <v>0</v>
      </c>
      <c r="CN110" s="110">
        <f t="shared" si="2850"/>
        <v>0</v>
      </c>
      <c r="CO110" s="110"/>
      <c r="CP110" s="139"/>
      <c r="CQ110" s="140" t="e">
        <f t="shared" si="2851"/>
        <v>#DIV/0!</v>
      </c>
      <c r="CR110" s="198">
        <f t="shared" si="2844"/>
        <v>0</v>
      </c>
      <c r="CS110" s="225">
        <f t="shared" si="2852"/>
        <v>0</v>
      </c>
      <c r="CT110" s="226">
        <f t="shared" si="2853"/>
        <v>0</v>
      </c>
      <c r="CU110" s="137">
        <f t="shared" si="2854"/>
        <v>0</v>
      </c>
      <c r="CV110" s="227">
        <f t="shared" si="2848"/>
        <v>49.61</v>
      </c>
      <c r="CW110" s="138">
        <f t="shared" si="2855"/>
        <v>0</v>
      </c>
      <c r="CX110" s="110">
        <f t="shared" si="2856"/>
        <v>0</v>
      </c>
      <c r="CY110" s="110"/>
      <c r="CZ110" s="139"/>
      <c r="DA110" s="140" t="e">
        <f t="shared" si="2857"/>
        <v>#DIV/0!</v>
      </c>
      <c r="DB110" s="198">
        <f t="shared" si="2844"/>
        <v>0</v>
      </c>
      <c r="DC110" s="225">
        <f t="shared" si="2858"/>
        <v>0</v>
      </c>
      <c r="DD110" s="226">
        <f t="shared" si="2859"/>
        <v>0</v>
      </c>
      <c r="DE110" s="137">
        <f t="shared" si="2860"/>
        <v>0</v>
      </c>
      <c r="DF110" s="227">
        <f t="shared" si="2848"/>
        <v>52.57</v>
      </c>
      <c r="DG110" s="138">
        <f t="shared" si="2861"/>
        <v>0</v>
      </c>
      <c r="DH110" s="110">
        <f t="shared" si="2862"/>
        <v>0</v>
      </c>
      <c r="DI110" s="110"/>
      <c r="DJ110" s="139"/>
      <c r="DK110" s="140" t="e">
        <f t="shared" si="2863"/>
        <v>#DIV/0!</v>
      </c>
      <c r="DL110" s="198">
        <f t="shared" si="2844"/>
        <v>0</v>
      </c>
      <c r="DM110" s="225">
        <f t="shared" si="2864"/>
        <v>0</v>
      </c>
      <c r="DN110" s="226">
        <f t="shared" si="2865"/>
        <v>0</v>
      </c>
      <c r="DO110" s="137">
        <f t="shared" si="2866"/>
        <v>0</v>
      </c>
      <c r="DP110" s="227">
        <f t="shared" si="2848"/>
        <v>55.25</v>
      </c>
      <c r="DQ110" s="138">
        <f t="shared" si="2867"/>
        <v>0</v>
      </c>
      <c r="DR110" s="110">
        <f t="shared" si="2868"/>
        <v>0</v>
      </c>
      <c r="DS110" s="110"/>
      <c r="DT110" s="139"/>
      <c r="DU110" s="140" t="e">
        <f t="shared" si="2869"/>
        <v>#DIV/0!</v>
      </c>
      <c r="DV110" s="198">
        <f t="shared" si="2844"/>
        <v>0</v>
      </c>
      <c r="DW110" s="225">
        <f t="shared" si="2870"/>
        <v>0</v>
      </c>
      <c r="DX110" s="226">
        <f t="shared" si="2871"/>
        <v>0</v>
      </c>
      <c r="DY110" s="137">
        <f t="shared" si="2872"/>
        <v>0</v>
      </c>
      <c r="DZ110" s="227">
        <f t="shared" si="2848"/>
        <v>34.14</v>
      </c>
      <c r="EA110" s="138">
        <f t="shared" si="2873"/>
        <v>0</v>
      </c>
      <c r="EB110" s="110">
        <f t="shared" si="2874"/>
        <v>0</v>
      </c>
      <c r="EC110" s="110"/>
      <c r="ED110" s="139"/>
      <c r="EE110" s="140" t="e">
        <f t="shared" si="2875"/>
        <v>#DIV/0!</v>
      </c>
      <c r="EF110" s="198">
        <f t="shared" si="2844"/>
        <v>0</v>
      </c>
      <c r="EG110" s="225">
        <f t="shared" si="2876"/>
        <v>0</v>
      </c>
      <c r="EH110" s="226">
        <f t="shared" si="2877"/>
        <v>0</v>
      </c>
      <c r="EI110" s="137">
        <f t="shared" si="2878"/>
        <v>0</v>
      </c>
      <c r="EJ110" s="227">
        <f t="shared" si="2848"/>
        <v>44.53</v>
      </c>
      <c r="EK110" s="138">
        <f t="shared" si="2879"/>
        <v>0</v>
      </c>
      <c r="EL110" s="110">
        <f t="shared" si="2880"/>
        <v>0</v>
      </c>
      <c r="EM110" s="110"/>
      <c r="EN110" s="139"/>
      <c r="EO110" s="140" t="e">
        <f t="shared" si="2881"/>
        <v>#DIV/0!</v>
      </c>
      <c r="EP110" s="198">
        <f t="shared" si="2844"/>
        <v>0</v>
      </c>
      <c r="EQ110" s="225">
        <f t="shared" si="2882"/>
        <v>0</v>
      </c>
      <c r="ER110" s="226">
        <f t="shared" si="2883"/>
        <v>0</v>
      </c>
      <c r="ES110" s="137">
        <f t="shared" si="2884"/>
        <v>0</v>
      </c>
      <c r="ET110" s="227">
        <f t="shared" si="2848"/>
        <v>52.01</v>
      </c>
      <c r="EU110" s="138">
        <f t="shared" si="2885"/>
        <v>0</v>
      </c>
      <c r="EV110" s="110">
        <f t="shared" si="2886"/>
        <v>0</v>
      </c>
      <c r="EW110" s="110"/>
      <c r="EX110" s="139"/>
      <c r="EY110" s="140" t="e">
        <f t="shared" si="2887"/>
        <v>#DIV/0!</v>
      </c>
      <c r="EZ110" s="198">
        <f t="shared" si="2888"/>
        <v>0</v>
      </c>
      <c r="FA110" s="225">
        <f t="shared" si="2889"/>
        <v>0</v>
      </c>
      <c r="FB110" s="226">
        <f t="shared" si="2890"/>
        <v>0</v>
      </c>
      <c r="FC110" s="137">
        <f t="shared" si="2891"/>
        <v>0</v>
      </c>
      <c r="FD110" s="227">
        <f t="shared" si="2892"/>
        <v>55.47</v>
      </c>
      <c r="FE110" s="138">
        <f t="shared" si="2893"/>
        <v>0</v>
      </c>
      <c r="FF110" s="110">
        <f t="shared" si="2894"/>
        <v>0</v>
      </c>
      <c r="FG110" s="110"/>
      <c r="FH110" s="139"/>
      <c r="FI110" s="140" t="e">
        <f t="shared" si="2895"/>
        <v>#DIV/0!</v>
      </c>
      <c r="FJ110" s="198">
        <f t="shared" si="2888"/>
        <v>0</v>
      </c>
      <c r="FK110" s="225">
        <f t="shared" si="2896"/>
        <v>0</v>
      </c>
      <c r="FL110" s="226">
        <f t="shared" si="2897"/>
        <v>0</v>
      </c>
      <c r="FM110" s="137">
        <f t="shared" si="2898"/>
        <v>0</v>
      </c>
      <c r="FN110" s="227">
        <f t="shared" si="2892"/>
        <v>39.74</v>
      </c>
      <c r="FO110" s="138">
        <f t="shared" si="2899"/>
        <v>0</v>
      </c>
      <c r="FP110" s="110">
        <f t="shared" si="2900"/>
        <v>0</v>
      </c>
      <c r="FQ110" s="110"/>
      <c r="FR110" s="139"/>
      <c r="FS110" s="140" t="e">
        <f t="shared" si="2901"/>
        <v>#DIV/0!</v>
      </c>
      <c r="FT110" s="198">
        <f t="shared" si="2888"/>
        <v>0</v>
      </c>
      <c r="FU110" s="225">
        <f t="shared" si="2902"/>
        <v>0</v>
      </c>
      <c r="FV110" s="226">
        <f t="shared" si="2903"/>
        <v>0</v>
      </c>
      <c r="FW110" s="137">
        <f t="shared" si="2904"/>
        <v>0</v>
      </c>
      <c r="FX110" s="227">
        <f t="shared" si="2892"/>
        <v>53.97</v>
      </c>
      <c r="FY110" s="138">
        <f t="shared" si="2905"/>
        <v>0</v>
      </c>
      <c r="FZ110" s="110">
        <f t="shared" si="2906"/>
        <v>0</v>
      </c>
      <c r="GA110" s="110"/>
      <c r="GB110" s="139"/>
      <c r="GC110" s="140" t="e">
        <f t="shared" si="2907"/>
        <v>#DIV/0!</v>
      </c>
      <c r="GD110" s="198">
        <f t="shared" si="2888"/>
        <v>0</v>
      </c>
      <c r="GE110" s="225">
        <f t="shared" si="2908"/>
        <v>0</v>
      </c>
      <c r="GF110" s="226">
        <f t="shared" si="2909"/>
        <v>0</v>
      </c>
      <c r="GG110" s="137">
        <f t="shared" si="2910"/>
        <v>0</v>
      </c>
      <c r="GH110" s="227">
        <f t="shared" si="2892"/>
        <v>54.63</v>
      </c>
      <c r="GI110" s="138">
        <f t="shared" si="2911"/>
        <v>0</v>
      </c>
      <c r="GJ110" s="110">
        <f t="shared" si="2912"/>
        <v>0</v>
      </c>
      <c r="GK110" s="110"/>
      <c r="GL110" s="139"/>
      <c r="GM110" s="140" t="e">
        <f t="shared" si="2913"/>
        <v>#DIV/0!</v>
      </c>
      <c r="GN110" s="198">
        <f t="shared" si="2888"/>
        <v>0</v>
      </c>
      <c r="GO110" s="225">
        <f t="shared" si="2914"/>
        <v>0</v>
      </c>
      <c r="GP110" s="226">
        <f t="shared" si="2915"/>
        <v>0</v>
      </c>
      <c r="GQ110" s="137">
        <f t="shared" si="2916"/>
        <v>0</v>
      </c>
      <c r="GR110" s="227">
        <f t="shared" si="2892"/>
        <v>52.13</v>
      </c>
      <c r="GS110" s="138">
        <f t="shared" si="2917"/>
        <v>0</v>
      </c>
      <c r="GT110" s="110">
        <f t="shared" si="2918"/>
        <v>0</v>
      </c>
      <c r="GU110" s="110"/>
      <c r="GV110" s="139"/>
      <c r="GW110" s="140" t="e">
        <f t="shared" si="2919"/>
        <v>#DIV/0!</v>
      </c>
      <c r="GX110" s="198">
        <f t="shared" si="2888"/>
        <v>0</v>
      </c>
      <c r="GY110" s="225">
        <f t="shared" si="2920"/>
        <v>0</v>
      </c>
      <c r="GZ110" s="226">
        <f t="shared" si="2921"/>
        <v>0</v>
      </c>
      <c r="HA110" s="137">
        <f t="shared" si="2922"/>
        <v>0</v>
      </c>
      <c r="HB110" s="227">
        <f t="shared" si="2892"/>
        <v>42.58</v>
      </c>
      <c r="HC110" s="138">
        <f t="shared" si="2923"/>
        <v>0</v>
      </c>
      <c r="HD110" s="110">
        <f t="shared" si="2924"/>
        <v>0</v>
      </c>
      <c r="HE110" s="110"/>
      <c r="HF110" s="139"/>
      <c r="HG110" s="140" t="e">
        <f t="shared" si="2925"/>
        <v>#DIV/0!</v>
      </c>
      <c r="HH110" s="198">
        <f t="shared" si="2888"/>
        <v>0</v>
      </c>
      <c r="HI110" s="225">
        <f t="shared" si="2926"/>
        <v>0</v>
      </c>
      <c r="HJ110" s="226">
        <f t="shared" si="2927"/>
        <v>0</v>
      </c>
      <c r="HK110" s="137">
        <f t="shared" si="2928"/>
        <v>0</v>
      </c>
      <c r="HL110" s="227">
        <f t="shared" si="2892"/>
        <v>49.58</v>
      </c>
      <c r="HM110" s="138">
        <f t="shared" si="2929"/>
        <v>0</v>
      </c>
      <c r="HN110" s="110">
        <f t="shared" si="2930"/>
        <v>0</v>
      </c>
      <c r="HO110" s="110"/>
      <c r="HP110" s="139"/>
      <c r="HQ110" s="140" t="e">
        <f t="shared" si="2931"/>
        <v>#DIV/0!</v>
      </c>
      <c r="HR110" s="198">
        <f t="shared" si="2932"/>
        <v>0</v>
      </c>
      <c r="HS110" s="225">
        <f t="shared" si="2933"/>
        <v>0</v>
      </c>
      <c r="HT110" s="226">
        <f t="shared" si="2934"/>
        <v>0</v>
      </c>
      <c r="HU110" s="137">
        <f t="shared" si="2935"/>
        <v>0</v>
      </c>
      <c r="HV110" s="227">
        <f t="shared" si="2936"/>
        <v>52.62</v>
      </c>
      <c r="HW110" s="138">
        <f t="shared" si="2937"/>
        <v>0</v>
      </c>
      <c r="HX110" s="110">
        <f t="shared" si="2938"/>
        <v>0</v>
      </c>
      <c r="HY110" s="110"/>
      <c r="HZ110" s="139"/>
      <c r="IA110" s="140" t="e">
        <f t="shared" si="2939"/>
        <v>#DIV/0!</v>
      </c>
      <c r="IB110" s="198">
        <f t="shared" si="2932"/>
        <v>0</v>
      </c>
      <c r="IC110" s="225">
        <f t="shared" si="2940"/>
        <v>0</v>
      </c>
      <c r="ID110" s="226">
        <f t="shared" si="2941"/>
        <v>0</v>
      </c>
      <c r="IE110" s="137">
        <f t="shared" si="2942"/>
        <v>0</v>
      </c>
      <c r="IF110" s="227">
        <f t="shared" si="2936"/>
        <v>50</v>
      </c>
      <c r="IG110" s="138">
        <f t="shared" si="2943"/>
        <v>0</v>
      </c>
      <c r="IH110" s="110">
        <f t="shared" si="2944"/>
        <v>0</v>
      </c>
      <c r="II110" s="110"/>
      <c r="IJ110" s="139"/>
      <c r="IK110" s="140" t="e">
        <f t="shared" si="2945"/>
        <v>#DIV/0!</v>
      </c>
      <c r="IL110" s="198">
        <f t="shared" si="2932"/>
        <v>0</v>
      </c>
      <c r="IM110" s="225">
        <f t="shared" si="2946"/>
        <v>0</v>
      </c>
      <c r="IN110" s="226">
        <f t="shared" si="2947"/>
        <v>0</v>
      </c>
      <c r="IO110" s="137">
        <f t="shared" si="2948"/>
        <v>0</v>
      </c>
      <c r="IP110" s="227">
        <f t="shared" si="2936"/>
        <v>54.39</v>
      </c>
      <c r="IQ110" s="138">
        <f t="shared" si="2949"/>
        <v>0</v>
      </c>
      <c r="IR110" s="110">
        <f t="shared" si="2950"/>
        <v>0</v>
      </c>
      <c r="IS110" s="110"/>
      <c r="IT110" s="139"/>
      <c r="IU110" s="140" t="e">
        <f t="shared" si="2951"/>
        <v>#DIV/0!</v>
      </c>
      <c r="IV110" s="198">
        <f t="shared" si="2932"/>
        <v>0</v>
      </c>
      <c r="IW110" s="225">
        <f t="shared" si="2952"/>
        <v>0</v>
      </c>
      <c r="IX110" s="226">
        <f t="shared" si="2953"/>
        <v>0</v>
      </c>
      <c r="IY110" s="137">
        <f t="shared" si="2954"/>
        <v>0</v>
      </c>
      <c r="IZ110" s="227">
        <f t="shared" si="2936"/>
        <v>54.71</v>
      </c>
      <c r="JA110" s="138">
        <f t="shared" si="2955"/>
        <v>0</v>
      </c>
      <c r="JB110" s="110">
        <f t="shared" si="2956"/>
        <v>0</v>
      </c>
      <c r="JC110" s="110"/>
      <c r="JD110" s="139"/>
      <c r="JE110" s="140" t="e">
        <f t="shared" si="2957"/>
        <v>#DIV/0!</v>
      </c>
      <c r="JF110" s="198">
        <f t="shared" si="2932"/>
        <v>0</v>
      </c>
      <c r="JG110" s="225">
        <f t="shared" si="2958"/>
        <v>0</v>
      </c>
      <c r="JH110" s="226">
        <f t="shared" si="2959"/>
        <v>0</v>
      </c>
      <c r="JI110" s="137">
        <f t="shared" si="2960"/>
        <v>0</v>
      </c>
      <c r="JJ110" s="227">
        <f t="shared" si="2936"/>
        <v>43.31</v>
      </c>
      <c r="JK110" s="138">
        <f t="shared" si="2961"/>
        <v>0</v>
      </c>
      <c r="JL110" s="110">
        <f t="shared" si="2962"/>
        <v>0</v>
      </c>
      <c r="JM110" s="110"/>
      <c r="JN110" s="139"/>
      <c r="JO110" s="140" t="e">
        <f t="shared" si="2963"/>
        <v>#DIV/0!</v>
      </c>
      <c r="JP110" s="198">
        <f t="shared" si="2932"/>
        <v>0</v>
      </c>
      <c r="JQ110" s="225">
        <f t="shared" si="2964"/>
        <v>0</v>
      </c>
      <c r="JR110" s="226">
        <f t="shared" si="2965"/>
        <v>0</v>
      </c>
      <c r="JS110" s="137">
        <f t="shared" si="2966"/>
        <v>0</v>
      </c>
      <c r="JT110" s="227">
        <f t="shared" si="2936"/>
        <v>57.05</v>
      </c>
      <c r="JU110" s="138">
        <f t="shared" si="2967"/>
        <v>0</v>
      </c>
      <c r="JV110" s="110">
        <f t="shared" si="2968"/>
        <v>0</v>
      </c>
      <c r="JW110" s="110"/>
      <c r="JX110" s="139"/>
      <c r="JY110" s="140" t="e">
        <f t="shared" si="2969"/>
        <v>#DIV/0!</v>
      </c>
      <c r="JZ110" s="198">
        <f t="shared" si="2932"/>
        <v>0</v>
      </c>
      <c r="KA110" s="225">
        <f t="shared" si="2970"/>
        <v>0</v>
      </c>
      <c r="KB110" s="226">
        <f t="shared" si="2971"/>
        <v>0</v>
      </c>
      <c r="KC110" s="137">
        <f t="shared" si="2972"/>
        <v>0</v>
      </c>
      <c r="KD110" s="227">
        <f t="shared" si="2936"/>
        <v>51.65</v>
      </c>
      <c r="KE110" s="138">
        <f t="shared" si="2973"/>
        <v>0</v>
      </c>
      <c r="KF110" s="110">
        <f t="shared" si="2974"/>
        <v>0</v>
      </c>
      <c r="KG110" s="110"/>
      <c r="KH110" s="139"/>
      <c r="KI110" s="140" t="e">
        <f t="shared" si="2975"/>
        <v>#DIV/0!</v>
      </c>
      <c r="KJ110" s="198">
        <f t="shared" si="2976"/>
        <v>0</v>
      </c>
      <c r="KK110" s="225">
        <f t="shared" si="2977"/>
        <v>0</v>
      </c>
      <c r="KL110" s="226">
        <f t="shared" si="2978"/>
        <v>0</v>
      </c>
      <c r="KM110" s="137">
        <f t="shared" si="2979"/>
        <v>0</v>
      </c>
      <c r="KN110" s="227">
        <f t="shared" si="2980"/>
        <v>51.78</v>
      </c>
      <c r="KO110" s="138">
        <f t="shared" si="2981"/>
        <v>0</v>
      </c>
      <c r="KP110" s="110">
        <f t="shared" si="2982"/>
        <v>0</v>
      </c>
      <c r="KQ110" s="110"/>
      <c r="KR110" s="139"/>
      <c r="KS110" s="140" t="e">
        <f t="shared" si="2983"/>
        <v>#DIV/0!</v>
      </c>
      <c r="KT110" s="198">
        <f t="shared" si="2976"/>
        <v>0</v>
      </c>
      <c r="KU110" s="225">
        <f t="shared" si="2984"/>
        <v>0</v>
      </c>
      <c r="KV110" s="226">
        <f t="shared" si="2985"/>
        <v>0</v>
      </c>
      <c r="KW110" s="137">
        <f t="shared" si="2986"/>
        <v>0</v>
      </c>
      <c r="KX110" s="227">
        <f t="shared" si="2980"/>
        <v>55.65</v>
      </c>
      <c r="KY110" s="138">
        <f t="shared" si="2987"/>
        <v>0</v>
      </c>
      <c r="KZ110" s="110">
        <f t="shared" si="2988"/>
        <v>0</v>
      </c>
      <c r="LA110" s="110"/>
      <c r="LB110" s="139"/>
      <c r="LC110" s="140" t="e">
        <f t="shared" si="2989"/>
        <v>#DIV/0!</v>
      </c>
      <c r="LD110" s="197">
        <f t="shared" si="2789"/>
        <v>0</v>
      </c>
      <c r="LE110" s="225">
        <f t="shared" si="2790"/>
        <v>0</v>
      </c>
      <c r="LF110" s="226">
        <f t="shared" si="2791"/>
        <v>0</v>
      </c>
      <c r="LG110" s="137">
        <f t="shared" si="2792"/>
        <v>0</v>
      </c>
      <c r="LH110" s="227">
        <f t="shared" si="2793"/>
        <v>50.24</v>
      </c>
      <c r="LI110" s="138">
        <f t="shared" si="2794"/>
        <v>0</v>
      </c>
      <c r="LJ110" s="110">
        <f t="shared" si="2795"/>
        <v>0</v>
      </c>
      <c r="LK110" s="110"/>
      <c r="LL110" s="139"/>
    </row>
    <row r="111" spans="1:324" ht="18" customHeight="1" x14ac:dyDescent="0.25">
      <c r="A111" s="246"/>
      <c r="B111" s="70" t="s">
        <v>625</v>
      </c>
      <c r="C111" s="12" t="s">
        <v>728</v>
      </c>
      <c r="D111" s="12" t="s">
        <v>430</v>
      </c>
      <c r="E111" s="4" t="s">
        <v>32</v>
      </c>
      <c r="F111" s="198">
        <f t="shared" si="2799"/>
        <v>12</v>
      </c>
      <c r="G111" s="225">
        <f t="shared" si="2796"/>
        <v>1.993E-2</v>
      </c>
      <c r="H111" s="226">
        <f t="shared" si="2797"/>
        <v>18.53</v>
      </c>
      <c r="I111" s="137">
        <f t="shared" si="2570"/>
        <v>1.5441666700000001</v>
      </c>
      <c r="J111" s="227">
        <f t="shared" si="2798"/>
        <v>40.909999999999997</v>
      </c>
      <c r="K111" s="138">
        <f t="shared" si="2571"/>
        <v>63.171860000000002</v>
      </c>
      <c r="L111" s="110">
        <f t="shared" si="2572"/>
        <v>758.06</v>
      </c>
      <c r="M111" s="110"/>
      <c r="N111" s="139"/>
      <c r="O111" s="140">
        <f t="shared" si="2573"/>
        <v>0.58557000000000003</v>
      </c>
      <c r="P111" s="198">
        <f t="shared" si="2800"/>
        <v>0</v>
      </c>
      <c r="Q111" s="225">
        <f t="shared" si="2801"/>
        <v>0</v>
      </c>
      <c r="R111" s="226">
        <f t="shared" si="2802"/>
        <v>0</v>
      </c>
      <c r="S111" s="137">
        <f t="shared" si="2803"/>
        <v>0</v>
      </c>
      <c r="T111" s="227">
        <f t="shared" si="2804"/>
        <v>36.11</v>
      </c>
      <c r="U111" s="138">
        <f t="shared" si="2805"/>
        <v>0</v>
      </c>
      <c r="V111" s="110">
        <f t="shared" si="2806"/>
        <v>0</v>
      </c>
      <c r="W111" s="110"/>
      <c r="X111" s="139"/>
      <c r="Y111" s="140">
        <f t="shared" si="2807"/>
        <v>0</v>
      </c>
      <c r="Z111" s="198">
        <f t="shared" si="2800"/>
        <v>0</v>
      </c>
      <c r="AA111" s="225">
        <f t="shared" si="2808"/>
        <v>0</v>
      </c>
      <c r="AB111" s="226">
        <f t="shared" si="2809"/>
        <v>0</v>
      </c>
      <c r="AC111" s="137">
        <f t="shared" si="2810"/>
        <v>0</v>
      </c>
      <c r="AD111" s="227">
        <f t="shared" si="2804"/>
        <v>54.87</v>
      </c>
      <c r="AE111" s="138">
        <f t="shared" si="2811"/>
        <v>0</v>
      </c>
      <c r="AF111" s="110">
        <f t="shared" si="2812"/>
        <v>0</v>
      </c>
      <c r="AG111" s="110"/>
      <c r="AH111" s="139"/>
      <c r="AI111" s="140">
        <f t="shared" si="2813"/>
        <v>0</v>
      </c>
      <c r="AJ111" s="198">
        <f t="shared" si="2800"/>
        <v>0</v>
      </c>
      <c r="AK111" s="225">
        <f t="shared" si="2814"/>
        <v>0</v>
      </c>
      <c r="AL111" s="226">
        <f t="shared" si="2815"/>
        <v>0</v>
      </c>
      <c r="AM111" s="137">
        <f t="shared" si="2816"/>
        <v>0</v>
      </c>
      <c r="AN111" s="227">
        <f t="shared" si="2804"/>
        <v>54.42</v>
      </c>
      <c r="AO111" s="138">
        <f t="shared" si="2817"/>
        <v>0</v>
      </c>
      <c r="AP111" s="110">
        <f t="shared" si="2818"/>
        <v>0</v>
      </c>
      <c r="AQ111" s="110"/>
      <c r="AR111" s="139"/>
      <c r="AS111" s="140">
        <f t="shared" si="2819"/>
        <v>0</v>
      </c>
      <c r="AT111" s="198">
        <f t="shared" si="2800"/>
        <v>19</v>
      </c>
      <c r="AU111" s="225">
        <f t="shared" si="2820"/>
        <v>1.9980000000000001E-2</v>
      </c>
      <c r="AV111" s="226">
        <f t="shared" si="2821"/>
        <v>18.18</v>
      </c>
      <c r="AW111" s="137">
        <f t="shared" si="2822"/>
        <v>0.95684210999999997</v>
      </c>
      <c r="AX111" s="227">
        <f t="shared" si="2804"/>
        <v>49.55</v>
      </c>
      <c r="AY111" s="138">
        <f t="shared" si="2823"/>
        <v>47.411529999999999</v>
      </c>
      <c r="AZ111" s="110">
        <f t="shared" si="2824"/>
        <v>900.82</v>
      </c>
      <c r="BA111" s="110"/>
      <c r="BB111" s="139"/>
      <c r="BC111" s="140">
        <f t="shared" si="2825"/>
        <v>0.43947999999999998</v>
      </c>
      <c r="BD111" s="198">
        <f t="shared" si="2800"/>
        <v>0</v>
      </c>
      <c r="BE111" s="225">
        <f t="shared" si="2826"/>
        <v>0</v>
      </c>
      <c r="BF111" s="226">
        <f t="shared" si="2827"/>
        <v>0</v>
      </c>
      <c r="BG111" s="137">
        <f t="shared" si="2828"/>
        <v>0</v>
      </c>
      <c r="BH111" s="227">
        <f t="shared" si="2804"/>
        <v>55.1</v>
      </c>
      <c r="BI111" s="138">
        <f t="shared" si="2829"/>
        <v>0</v>
      </c>
      <c r="BJ111" s="110">
        <f t="shared" si="2830"/>
        <v>0</v>
      </c>
      <c r="BK111" s="110"/>
      <c r="BL111" s="139"/>
      <c r="BM111" s="140">
        <f t="shared" si="2831"/>
        <v>0</v>
      </c>
      <c r="BN111" s="198">
        <f t="shared" si="2800"/>
        <v>0</v>
      </c>
      <c r="BO111" s="225">
        <f t="shared" si="2832"/>
        <v>0</v>
      </c>
      <c r="BP111" s="226">
        <f t="shared" si="2833"/>
        <v>0</v>
      </c>
      <c r="BQ111" s="137">
        <f t="shared" si="2834"/>
        <v>0</v>
      </c>
      <c r="BR111" s="227">
        <f t="shared" si="2804"/>
        <v>54.14</v>
      </c>
      <c r="BS111" s="138">
        <f t="shared" si="2835"/>
        <v>0</v>
      </c>
      <c r="BT111" s="110">
        <f t="shared" si="2836"/>
        <v>0</v>
      </c>
      <c r="BU111" s="110"/>
      <c r="BV111" s="139"/>
      <c r="BW111" s="140">
        <f t="shared" si="2837"/>
        <v>0</v>
      </c>
      <c r="BX111" s="198">
        <f t="shared" si="2800"/>
        <v>0</v>
      </c>
      <c r="BY111" s="225">
        <f t="shared" si="2838"/>
        <v>0</v>
      </c>
      <c r="BZ111" s="226">
        <f t="shared" si="2839"/>
        <v>0</v>
      </c>
      <c r="CA111" s="137">
        <f t="shared" si="2840"/>
        <v>0</v>
      </c>
      <c r="CB111" s="227">
        <f t="shared" si="2804"/>
        <v>51.74</v>
      </c>
      <c r="CC111" s="138">
        <f t="shared" si="2841"/>
        <v>0</v>
      </c>
      <c r="CD111" s="110">
        <f t="shared" si="2842"/>
        <v>0</v>
      </c>
      <c r="CE111" s="110"/>
      <c r="CF111" s="139"/>
      <c r="CG111" s="140">
        <f t="shared" si="2843"/>
        <v>0</v>
      </c>
      <c r="CH111" s="198">
        <f t="shared" si="2844"/>
        <v>0</v>
      </c>
      <c r="CI111" s="225">
        <f t="shared" si="2845"/>
        <v>0</v>
      </c>
      <c r="CJ111" s="226">
        <f t="shared" si="2846"/>
        <v>0</v>
      </c>
      <c r="CK111" s="137">
        <f t="shared" si="2847"/>
        <v>0</v>
      </c>
      <c r="CL111" s="227">
        <f t="shared" si="2848"/>
        <v>46.92</v>
      </c>
      <c r="CM111" s="138">
        <f t="shared" si="2849"/>
        <v>0</v>
      </c>
      <c r="CN111" s="110">
        <f t="shared" si="2850"/>
        <v>0</v>
      </c>
      <c r="CO111" s="110"/>
      <c r="CP111" s="139"/>
      <c r="CQ111" s="140">
        <f t="shared" si="2851"/>
        <v>0</v>
      </c>
      <c r="CR111" s="198">
        <f t="shared" si="2844"/>
        <v>15</v>
      </c>
      <c r="CS111" s="225">
        <f t="shared" si="2852"/>
        <v>2.0160000000000001E-2</v>
      </c>
      <c r="CT111" s="226">
        <f t="shared" si="2853"/>
        <v>24.21</v>
      </c>
      <c r="CU111" s="137">
        <f t="shared" si="2854"/>
        <v>1.6140000000000001</v>
      </c>
      <c r="CV111" s="227">
        <f t="shared" si="2848"/>
        <v>49.61</v>
      </c>
      <c r="CW111" s="138">
        <f t="shared" si="2855"/>
        <v>80.070539999999994</v>
      </c>
      <c r="CX111" s="110">
        <f t="shared" si="2856"/>
        <v>1201.06</v>
      </c>
      <c r="CY111" s="110"/>
      <c r="CZ111" s="139"/>
      <c r="DA111" s="140">
        <f t="shared" si="2857"/>
        <v>0.74221000000000004</v>
      </c>
      <c r="DB111" s="198">
        <f t="shared" si="2844"/>
        <v>0</v>
      </c>
      <c r="DC111" s="225">
        <f t="shared" si="2858"/>
        <v>0</v>
      </c>
      <c r="DD111" s="226">
        <f t="shared" si="2859"/>
        <v>0</v>
      </c>
      <c r="DE111" s="137">
        <f t="shared" si="2860"/>
        <v>0</v>
      </c>
      <c r="DF111" s="227">
        <f t="shared" si="2848"/>
        <v>52.57</v>
      </c>
      <c r="DG111" s="138">
        <f t="shared" si="2861"/>
        <v>0</v>
      </c>
      <c r="DH111" s="110">
        <f t="shared" si="2862"/>
        <v>0</v>
      </c>
      <c r="DI111" s="110"/>
      <c r="DJ111" s="139"/>
      <c r="DK111" s="140">
        <f t="shared" si="2863"/>
        <v>0</v>
      </c>
      <c r="DL111" s="198">
        <f t="shared" si="2844"/>
        <v>118</v>
      </c>
      <c r="DM111" s="225">
        <f t="shared" si="2864"/>
        <v>0.41696</v>
      </c>
      <c r="DN111" s="226">
        <f t="shared" si="2865"/>
        <v>312.72000000000003</v>
      </c>
      <c r="DO111" s="137">
        <f t="shared" si="2866"/>
        <v>2.6501694900000001</v>
      </c>
      <c r="DP111" s="227">
        <f t="shared" si="2848"/>
        <v>55.25</v>
      </c>
      <c r="DQ111" s="138">
        <f t="shared" si="2867"/>
        <v>146.42186000000001</v>
      </c>
      <c r="DR111" s="110">
        <f t="shared" si="2868"/>
        <v>17277.78</v>
      </c>
      <c r="DS111" s="110"/>
      <c r="DT111" s="139"/>
      <c r="DU111" s="140">
        <f t="shared" si="2869"/>
        <v>1.3572500000000001</v>
      </c>
      <c r="DV111" s="198">
        <f t="shared" si="2844"/>
        <v>9</v>
      </c>
      <c r="DW111" s="225">
        <f t="shared" si="2870"/>
        <v>1.025E-2</v>
      </c>
      <c r="DX111" s="226">
        <f t="shared" si="2871"/>
        <v>13.63</v>
      </c>
      <c r="DY111" s="137">
        <f t="shared" si="2872"/>
        <v>1.5144444399999999</v>
      </c>
      <c r="DZ111" s="227">
        <f t="shared" si="2848"/>
        <v>34.14</v>
      </c>
      <c r="EA111" s="138">
        <f t="shared" si="2873"/>
        <v>51.703130000000002</v>
      </c>
      <c r="EB111" s="110">
        <f t="shared" si="2874"/>
        <v>465.33</v>
      </c>
      <c r="EC111" s="110"/>
      <c r="ED111" s="139"/>
      <c r="EE111" s="140">
        <f t="shared" si="2875"/>
        <v>0.47926000000000002</v>
      </c>
      <c r="EF111" s="198">
        <f t="shared" si="2844"/>
        <v>11</v>
      </c>
      <c r="EG111" s="225">
        <f t="shared" si="2876"/>
        <v>1.171E-2</v>
      </c>
      <c r="EH111" s="226">
        <f t="shared" si="2877"/>
        <v>10.77</v>
      </c>
      <c r="EI111" s="137">
        <f t="shared" si="2878"/>
        <v>0.97909091000000004</v>
      </c>
      <c r="EJ111" s="227">
        <f t="shared" si="2848"/>
        <v>44.53</v>
      </c>
      <c r="EK111" s="138">
        <f t="shared" si="2879"/>
        <v>43.59892</v>
      </c>
      <c r="EL111" s="110">
        <f t="shared" si="2880"/>
        <v>479.59</v>
      </c>
      <c r="EM111" s="110"/>
      <c r="EN111" s="139"/>
      <c r="EO111" s="140">
        <f t="shared" si="2881"/>
        <v>0.40414</v>
      </c>
      <c r="EP111" s="198">
        <f t="shared" si="2844"/>
        <v>0</v>
      </c>
      <c r="EQ111" s="225">
        <f t="shared" si="2882"/>
        <v>0</v>
      </c>
      <c r="ER111" s="226">
        <f t="shared" si="2883"/>
        <v>0</v>
      </c>
      <c r="ES111" s="137">
        <f t="shared" si="2884"/>
        <v>0</v>
      </c>
      <c r="ET111" s="227">
        <f t="shared" si="2848"/>
        <v>52.01</v>
      </c>
      <c r="EU111" s="138">
        <f t="shared" si="2885"/>
        <v>0</v>
      </c>
      <c r="EV111" s="110">
        <f t="shared" si="2886"/>
        <v>0</v>
      </c>
      <c r="EW111" s="110"/>
      <c r="EX111" s="139"/>
      <c r="EY111" s="140">
        <f t="shared" si="2887"/>
        <v>0</v>
      </c>
      <c r="EZ111" s="198">
        <f t="shared" si="2888"/>
        <v>9</v>
      </c>
      <c r="FA111" s="225">
        <f t="shared" si="2889"/>
        <v>8.0599999999999995E-3</v>
      </c>
      <c r="FB111" s="226">
        <f t="shared" si="2890"/>
        <v>14.51</v>
      </c>
      <c r="FC111" s="137">
        <f t="shared" si="2891"/>
        <v>1.61222222</v>
      </c>
      <c r="FD111" s="227">
        <f t="shared" si="2892"/>
        <v>55.47</v>
      </c>
      <c r="FE111" s="138">
        <f t="shared" si="2893"/>
        <v>89.429969999999997</v>
      </c>
      <c r="FF111" s="110">
        <f t="shared" si="2894"/>
        <v>804.87</v>
      </c>
      <c r="FG111" s="110"/>
      <c r="FH111" s="139"/>
      <c r="FI111" s="140">
        <f t="shared" si="2895"/>
        <v>0.82896999999999998</v>
      </c>
      <c r="FJ111" s="198">
        <f t="shared" si="2888"/>
        <v>0</v>
      </c>
      <c r="FK111" s="225">
        <f t="shared" si="2896"/>
        <v>0</v>
      </c>
      <c r="FL111" s="226">
        <f t="shared" si="2897"/>
        <v>0</v>
      </c>
      <c r="FM111" s="137">
        <f t="shared" si="2898"/>
        <v>0</v>
      </c>
      <c r="FN111" s="227">
        <f t="shared" si="2892"/>
        <v>39.74</v>
      </c>
      <c r="FO111" s="138">
        <f t="shared" si="2899"/>
        <v>0</v>
      </c>
      <c r="FP111" s="110">
        <f t="shared" si="2900"/>
        <v>0</v>
      </c>
      <c r="FQ111" s="110"/>
      <c r="FR111" s="139"/>
      <c r="FS111" s="140">
        <f t="shared" si="2901"/>
        <v>0</v>
      </c>
      <c r="FT111" s="198">
        <f t="shared" si="2888"/>
        <v>0</v>
      </c>
      <c r="FU111" s="225">
        <f t="shared" si="2902"/>
        <v>0</v>
      </c>
      <c r="FV111" s="226">
        <f t="shared" si="2903"/>
        <v>0</v>
      </c>
      <c r="FW111" s="137">
        <f t="shared" si="2904"/>
        <v>0</v>
      </c>
      <c r="FX111" s="227">
        <f t="shared" si="2892"/>
        <v>53.97</v>
      </c>
      <c r="FY111" s="138">
        <f t="shared" si="2905"/>
        <v>0</v>
      </c>
      <c r="FZ111" s="110">
        <f t="shared" si="2906"/>
        <v>0</v>
      </c>
      <c r="GA111" s="110"/>
      <c r="GB111" s="139"/>
      <c r="GC111" s="140">
        <f t="shared" si="2907"/>
        <v>0</v>
      </c>
      <c r="GD111" s="198">
        <f t="shared" si="2888"/>
        <v>16</v>
      </c>
      <c r="GE111" s="225">
        <f t="shared" si="2908"/>
        <v>3.125E-2</v>
      </c>
      <c r="GF111" s="226">
        <f t="shared" si="2909"/>
        <v>26.88</v>
      </c>
      <c r="GG111" s="137">
        <f t="shared" si="2910"/>
        <v>1.68</v>
      </c>
      <c r="GH111" s="227">
        <f t="shared" si="2892"/>
        <v>54.63</v>
      </c>
      <c r="GI111" s="138">
        <f t="shared" si="2911"/>
        <v>91.778400000000005</v>
      </c>
      <c r="GJ111" s="110">
        <f t="shared" si="2912"/>
        <v>1468.45</v>
      </c>
      <c r="GK111" s="110"/>
      <c r="GL111" s="139"/>
      <c r="GM111" s="140">
        <f t="shared" si="2913"/>
        <v>0.85074000000000005</v>
      </c>
      <c r="GN111" s="198">
        <f t="shared" si="2888"/>
        <v>7</v>
      </c>
      <c r="GO111" s="225">
        <f t="shared" si="2914"/>
        <v>8.0999999999999996E-3</v>
      </c>
      <c r="GP111" s="226">
        <f t="shared" si="2915"/>
        <v>22.28</v>
      </c>
      <c r="GQ111" s="137">
        <f t="shared" si="2916"/>
        <v>3.1828571399999999</v>
      </c>
      <c r="GR111" s="227">
        <f t="shared" si="2892"/>
        <v>52.13</v>
      </c>
      <c r="GS111" s="138">
        <f t="shared" si="2917"/>
        <v>165.92233999999999</v>
      </c>
      <c r="GT111" s="110">
        <f t="shared" si="2918"/>
        <v>1161.46</v>
      </c>
      <c r="GU111" s="110"/>
      <c r="GV111" s="139"/>
      <c r="GW111" s="140">
        <f t="shared" si="2919"/>
        <v>1.5380100000000001</v>
      </c>
      <c r="GX111" s="198">
        <f t="shared" si="2888"/>
        <v>0</v>
      </c>
      <c r="GY111" s="225">
        <f t="shared" si="2920"/>
        <v>0</v>
      </c>
      <c r="GZ111" s="226">
        <f t="shared" si="2921"/>
        <v>0</v>
      </c>
      <c r="HA111" s="137">
        <f t="shared" si="2922"/>
        <v>0</v>
      </c>
      <c r="HB111" s="227">
        <f t="shared" si="2892"/>
        <v>42.58</v>
      </c>
      <c r="HC111" s="138">
        <f t="shared" si="2923"/>
        <v>0</v>
      </c>
      <c r="HD111" s="110">
        <f t="shared" si="2924"/>
        <v>0</v>
      </c>
      <c r="HE111" s="110"/>
      <c r="HF111" s="139"/>
      <c r="HG111" s="140">
        <f t="shared" si="2925"/>
        <v>0</v>
      </c>
      <c r="HH111" s="198">
        <f t="shared" si="2888"/>
        <v>39</v>
      </c>
      <c r="HI111" s="225">
        <f t="shared" si="2926"/>
        <v>3.3849999999999998E-2</v>
      </c>
      <c r="HJ111" s="226">
        <f t="shared" si="2927"/>
        <v>112.72</v>
      </c>
      <c r="HK111" s="137">
        <f t="shared" si="2928"/>
        <v>2.8902564100000001</v>
      </c>
      <c r="HL111" s="227">
        <f t="shared" si="2892"/>
        <v>49.58</v>
      </c>
      <c r="HM111" s="138">
        <f t="shared" si="2929"/>
        <v>143.29891000000001</v>
      </c>
      <c r="HN111" s="110">
        <f t="shared" si="2930"/>
        <v>5588.66</v>
      </c>
      <c r="HO111" s="110"/>
      <c r="HP111" s="139"/>
      <c r="HQ111" s="140">
        <f t="shared" si="2931"/>
        <v>1.3283</v>
      </c>
      <c r="HR111" s="198">
        <f t="shared" si="2932"/>
        <v>0</v>
      </c>
      <c r="HS111" s="225">
        <f t="shared" si="2933"/>
        <v>0</v>
      </c>
      <c r="HT111" s="226">
        <f t="shared" si="2934"/>
        <v>0</v>
      </c>
      <c r="HU111" s="137">
        <f t="shared" si="2935"/>
        <v>0</v>
      </c>
      <c r="HV111" s="227">
        <f t="shared" si="2936"/>
        <v>52.62</v>
      </c>
      <c r="HW111" s="138">
        <f t="shared" si="2937"/>
        <v>0</v>
      </c>
      <c r="HX111" s="110">
        <f t="shared" si="2938"/>
        <v>0</v>
      </c>
      <c r="HY111" s="110"/>
      <c r="HZ111" s="139"/>
      <c r="IA111" s="140">
        <f t="shared" si="2939"/>
        <v>0</v>
      </c>
      <c r="IB111" s="198">
        <f t="shared" si="2932"/>
        <v>36</v>
      </c>
      <c r="IC111" s="225">
        <f t="shared" si="2940"/>
        <v>6.5689999999999998E-2</v>
      </c>
      <c r="ID111" s="226">
        <f t="shared" si="2941"/>
        <v>28.25</v>
      </c>
      <c r="IE111" s="137">
        <f t="shared" si="2942"/>
        <v>0.78472222000000003</v>
      </c>
      <c r="IF111" s="227">
        <f t="shared" si="2936"/>
        <v>50</v>
      </c>
      <c r="IG111" s="138">
        <f t="shared" si="2943"/>
        <v>39.236109999999996</v>
      </c>
      <c r="IH111" s="110">
        <f t="shared" si="2944"/>
        <v>1412.5</v>
      </c>
      <c r="II111" s="110"/>
      <c r="IJ111" s="139"/>
      <c r="IK111" s="140">
        <f t="shared" si="2945"/>
        <v>0.36370000000000002</v>
      </c>
      <c r="IL111" s="198">
        <f t="shared" si="2932"/>
        <v>0</v>
      </c>
      <c r="IM111" s="225">
        <f t="shared" si="2946"/>
        <v>0</v>
      </c>
      <c r="IN111" s="226">
        <f t="shared" si="2947"/>
        <v>0</v>
      </c>
      <c r="IO111" s="137">
        <f t="shared" si="2948"/>
        <v>0</v>
      </c>
      <c r="IP111" s="227">
        <f t="shared" si="2936"/>
        <v>54.39</v>
      </c>
      <c r="IQ111" s="138">
        <f t="shared" si="2949"/>
        <v>0</v>
      </c>
      <c r="IR111" s="110">
        <f t="shared" si="2950"/>
        <v>0</v>
      </c>
      <c r="IS111" s="110"/>
      <c r="IT111" s="139"/>
      <c r="IU111" s="140">
        <f t="shared" si="2951"/>
        <v>0</v>
      </c>
      <c r="IV111" s="198">
        <f t="shared" si="2932"/>
        <v>0</v>
      </c>
      <c r="IW111" s="225">
        <f t="shared" si="2952"/>
        <v>0</v>
      </c>
      <c r="IX111" s="226">
        <f t="shared" si="2953"/>
        <v>0</v>
      </c>
      <c r="IY111" s="137">
        <f t="shared" si="2954"/>
        <v>0</v>
      </c>
      <c r="IZ111" s="227">
        <f t="shared" si="2936"/>
        <v>54.71</v>
      </c>
      <c r="JA111" s="138">
        <f t="shared" si="2955"/>
        <v>0</v>
      </c>
      <c r="JB111" s="110">
        <f t="shared" si="2956"/>
        <v>0</v>
      </c>
      <c r="JC111" s="110"/>
      <c r="JD111" s="139"/>
      <c r="JE111" s="140">
        <f t="shared" si="2957"/>
        <v>0</v>
      </c>
      <c r="JF111" s="198">
        <f t="shared" si="2932"/>
        <v>0</v>
      </c>
      <c r="JG111" s="225">
        <f t="shared" si="2958"/>
        <v>0</v>
      </c>
      <c r="JH111" s="226">
        <f t="shared" si="2959"/>
        <v>0</v>
      </c>
      <c r="JI111" s="137">
        <f t="shared" si="2960"/>
        <v>0</v>
      </c>
      <c r="JJ111" s="227">
        <f t="shared" si="2936"/>
        <v>43.31</v>
      </c>
      <c r="JK111" s="138">
        <f t="shared" si="2961"/>
        <v>0</v>
      </c>
      <c r="JL111" s="110">
        <f t="shared" si="2962"/>
        <v>0</v>
      </c>
      <c r="JM111" s="110"/>
      <c r="JN111" s="139"/>
      <c r="JO111" s="140">
        <f t="shared" si="2963"/>
        <v>0</v>
      </c>
      <c r="JP111" s="198">
        <f t="shared" si="2932"/>
        <v>33</v>
      </c>
      <c r="JQ111" s="225">
        <f t="shared" si="2964"/>
        <v>2.6419999999999999E-2</v>
      </c>
      <c r="JR111" s="226">
        <f t="shared" si="2965"/>
        <v>100.4</v>
      </c>
      <c r="JS111" s="137">
        <f t="shared" si="2966"/>
        <v>3.0424242399999999</v>
      </c>
      <c r="JT111" s="227">
        <f t="shared" si="2936"/>
        <v>57.05</v>
      </c>
      <c r="JU111" s="138">
        <f t="shared" si="2967"/>
        <v>173.5703</v>
      </c>
      <c r="JV111" s="110">
        <f t="shared" si="2968"/>
        <v>5727.82</v>
      </c>
      <c r="JW111" s="110"/>
      <c r="JX111" s="139"/>
      <c r="JY111" s="140">
        <f t="shared" si="2969"/>
        <v>1.6089</v>
      </c>
      <c r="JZ111" s="198">
        <f t="shared" si="2932"/>
        <v>0</v>
      </c>
      <c r="KA111" s="225">
        <f t="shared" si="2970"/>
        <v>0</v>
      </c>
      <c r="KB111" s="226">
        <f t="shared" si="2971"/>
        <v>0</v>
      </c>
      <c r="KC111" s="137">
        <f t="shared" si="2972"/>
        <v>0</v>
      </c>
      <c r="KD111" s="227">
        <f t="shared" si="2936"/>
        <v>51.65</v>
      </c>
      <c r="KE111" s="138">
        <f t="shared" si="2973"/>
        <v>0</v>
      </c>
      <c r="KF111" s="110">
        <f t="shared" si="2974"/>
        <v>0</v>
      </c>
      <c r="KG111" s="110"/>
      <c r="KH111" s="139"/>
      <c r="KI111" s="140">
        <f t="shared" si="2975"/>
        <v>0</v>
      </c>
      <c r="KJ111" s="198">
        <f t="shared" si="2976"/>
        <v>0</v>
      </c>
      <c r="KK111" s="225">
        <f t="shared" si="2977"/>
        <v>0</v>
      </c>
      <c r="KL111" s="226">
        <f t="shared" si="2978"/>
        <v>0</v>
      </c>
      <c r="KM111" s="137">
        <f t="shared" si="2979"/>
        <v>0</v>
      </c>
      <c r="KN111" s="227">
        <f t="shared" si="2980"/>
        <v>51.78</v>
      </c>
      <c r="KO111" s="138">
        <f t="shared" si="2981"/>
        <v>0</v>
      </c>
      <c r="KP111" s="110">
        <f t="shared" si="2982"/>
        <v>0</v>
      </c>
      <c r="KQ111" s="110"/>
      <c r="KR111" s="139"/>
      <c r="KS111" s="140">
        <f t="shared" si="2983"/>
        <v>0</v>
      </c>
      <c r="KT111" s="198">
        <f t="shared" si="2976"/>
        <v>0</v>
      </c>
      <c r="KU111" s="225">
        <f t="shared" si="2984"/>
        <v>0</v>
      </c>
      <c r="KV111" s="226">
        <f t="shared" si="2985"/>
        <v>0</v>
      </c>
      <c r="KW111" s="137">
        <f t="shared" si="2986"/>
        <v>0</v>
      </c>
      <c r="KX111" s="227">
        <f t="shared" si="2980"/>
        <v>55.65</v>
      </c>
      <c r="KY111" s="138">
        <f t="shared" si="2987"/>
        <v>0</v>
      </c>
      <c r="KZ111" s="110">
        <f t="shared" si="2988"/>
        <v>0</v>
      </c>
      <c r="LA111" s="110"/>
      <c r="LB111" s="139"/>
      <c r="LC111" s="140">
        <f t="shared" si="2989"/>
        <v>0</v>
      </c>
      <c r="LD111" s="197">
        <f t="shared" si="2789"/>
        <v>324</v>
      </c>
      <c r="LE111" s="225">
        <f t="shared" si="2790"/>
        <v>1.1350000000000001E-2</v>
      </c>
      <c r="LF111" s="226">
        <f t="shared" si="2791"/>
        <v>695.73</v>
      </c>
      <c r="LG111" s="137">
        <f t="shared" si="2792"/>
        <v>2.1473148100000001</v>
      </c>
      <c r="LH111" s="227">
        <f t="shared" si="2793"/>
        <v>50.24</v>
      </c>
      <c r="LI111" s="138">
        <f t="shared" si="2794"/>
        <v>107.8811</v>
      </c>
      <c r="LJ111" s="110">
        <f t="shared" si="2795"/>
        <v>34953.480000000003</v>
      </c>
      <c r="LK111" s="110"/>
      <c r="LL111" s="139"/>
    </row>
    <row r="112" spans="1:324" ht="17.25" hidden="1" customHeight="1" x14ac:dyDescent="0.25">
      <c r="A112" s="246"/>
      <c r="B112" s="93" t="s">
        <v>639</v>
      </c>
      <c r="C112" s="12" t="s">
        <v>727</v>
      </c>
      <c r="D112" s="12" t="s">
        <v>427</v>
      </c>
      <c r="E112" s="4" t="s">
        <v>32</v>
      </c>
      <c r="F112" s="198">
        <f t="shared" si="2799"/>
        <v>0</v>
      </c>
      <c r="G112" s="225">
        <f t="shared" si="2796"/>
        <v>0</v>
      </c>
      <c r="H112" s="226">
        <f t="shared" si="2797"/>
        <v>0</v>
      </c>
      <c r="I112" s="137">
        <f t="shared" si="2570"/>
        <v>0</v>
      </c>
      <c r="J112" s="227">
        <f t="shared" si="2798"/>
        <v>40.909999999999997</v>
      </c>
      <c r="K112" s="138">
        <f t="shared" si="2571"/>
        <v>0</v>
      </c>
      <c r="L112" s="110">
        <f t="shared" si="2572"/>
        <v>0</v>
      </c>
      <c r="M112" s="110"/>
      <c r="N112" s="139"/>
      <c r="O112" s="140" t="e">
        <f t="shared" si="2573"/>
        <v>#DIV/0!</v>
      </c>
      <c r="P112" s="198">
        <f t="shared" si="2800"/>
        <v>0</v>
      </c>
      <c r="Q112" s="225">
        <f t="shared" si="2801"/>
        <v>0</v>
      </c>
      <c r="R112" s="226">
        <f t="shared" si="2802"/>
        <v>0</v>
      </c>
      <c r="S112" s="137">
        <f t="shared" si="2803"/>
        <v>0</v>
      </c>
      <c r="T112" s="227">
        <f t="shared" si="2804"/>
        <v>36.11</v>
      </c>
      <c r="U112" s="138">
        <f t="shared" si="2805"/>
        <v>0</v>
      </c>
      <c r="V112" s="110">
        <f t="shared" si="2806"/>
        <v>0</v>
      </c>
      <c r="W112" s="110"/>
      <c r="X112" s="139"/>
      <c r="Y112" s="140" t="e">
        <f t="shared" si="2807"/>
        <v>#DIV/0!</v>
      </c>
      <c r="Z112" s="198">
        <f t="shared" si="2800"/>
        <v>0</v>
      </c>
      <c r="AA112" s="225">
        <f t="shared" si="2808"/>
        <v>0</v>
      </c>
      <c r="AB112" s="226">
        <f t="shared" si="2809"/>
        <v>0</v>
      </c>
      <c r="AC112" s="137">
        <f t="shared" si="2810"/>
        <v>0</v>
      </c>
      <c r="AD112" s="227">
        <f t="shared" si="2804"/>
        <v>54.87</v>
      </c>
      <c r="AE112" s="138">
        <f t="shared" si="2811"/>
        <v>0</v>
      </c>
      <c r="AF112" s="110">
        <f t="shared" si="2812"/>
        <v>0</v>
      </c>
      <c r="AG112" s="110"/>
      <c r="AH112" s="139"/>
      <c r="AI112" s="140" t="e">
        <f t="shared" si="2813"/>
        <v>#DIV/0!</v>
      </c>
      <c r="AJ112" s="198">
        <f t="shared" si="2800"/>
        <v>0</v>
      </c>
      <c r="AK112" s="225">
        <f t="shared" si="2814"/>
        <v>0</v>
      </c>
      <c r="AL112" s="226">
        <f t="shared" si="2815"/>
        <v>0</v>
      </c>
      <c r="AM112" s="137">
        <f t="shared" si="2816"/>
        <v>0</v>
      </c>
      <c r="AN112" s="227">
        <f t="shared" si="2804"/>
        <v>54.42</v>
      </c>
      <c r="AO112" s="138">
        <f t="shared" si="2817"/>
        <v>0</v>
      </c>
      <c r="AP112" s="110">
        <f t="shared" si="2818"/>
        <v>0</v>
      </c>
      <c r="AQ112" s="110"/>
      <c r="AR112" s="139"/>
      <c r="AS112" s="140" t="e">
        <f t="shared" si="2819"/>
        <v>#DIV/0!</v>
      </c>
      <c r="AT112" s="198">
        <f t="shared" si="2800"/>
        <v>0</v>
      </c>
      <c r="AU112" s="225">
        <f t="shared" si="2820"/>
        <v>0</v>
      </c>
      <c r="AV112" s="226">
        <f t="shared" si="2821"/>
        <v>0</v>
      </c>
      <c r="AW112" s="137">
        <f t="shared" si="2822"/>
        <v>0</v>
      </c>
      <c r="AX112" s="227">
        <f t="shared" si="2804"/>
        <v>49.55</v>
      </c>
      <c r="AY112" s="138">
        <f t="shared" si="2823"/>
        <v>0</v>
      </c>
      <c r="AZ112" s="110">
        <f t="shared" si="2824"/>
        <v>0</v>
      </c>
      <c r="BA112" s="110"/>
      <c r="BB112" s="139"/>
      <c r="BC112" s="140" t="e">
        <f t="shared" si="2825"/>
        <v>#DIV/0!</v>
      </c>
      <c r="BD112" s="198">
        <f t="shared" si="2800"/>
        <v>0</v>
      </c>
      <c r="BE112" s="225">
        <f t="shared" si="2826"/>
        <v>0</v>
      </c>
      <c r="BF112" s="226">
        <f t="shared" si="2827"/>
        <v>0</v>
      </c>
      <c r="BG112" s="137">
        <f t="shared" si="2828"/>
        <v>0</v>
      </c>
      <c r="BH112" s="227">
        <f t="shared" si="2804"/>
        <v>55.1</v>
      </c>
      <c r="BI112" s="138">
        <f t="shared" si="2829"/>
        <v>0</v>
      </c>
      <c r="BJ112" s="110">
        <f t="shared" si="2830"/>
        <v>0</v>
      </c>
      <c r="BK112" s="110"/>
      <c r="BL112" s="139"/>
      <c r="BM112" s="140" t="e">
        <f t="shared" si="2831"/>
        <v>#DIV/0!</v>
      </c>
      <c r="BN112" s="198">
        <f t="shared" si="2800"/>
        <v>0</v>
      </c>
      <c r="BO112" s="225">
        <f t="shared" si="2832"/>
        <v>0</v>
      </c>
      <c r="BP112" s="226">
        <f t="shared" si="2833"/>
        <v>0</v>
      </c>
      <c r="BQ112" s="137">
        <f t="shared" si="2834"/>
        <v>0</v>
      </c>
      <c r="BR112" s="227">
        <f t="shared" si="2804"/>
        <v>54.14</v>
      </c>
      <c r="BS112" s="138">
        <f t="shared" si="2835"/>
        <v>0</v>
      </c>
      <c r="BT112" s="110">
        <f t="shared" si="2836"/>
        <v>0</v>
      </c>
      <c r="BU112" s="110"/>
      <c r="BV112" s="139"/>
      <c r="BW112" s="140" t="e">
        <f t="shared" si="2837"/>
        <v>#DIV/0!</v>
      </c>
      <c r="BX112" s="198">
        <f t="shared" si="2800"/>
        <v>0</v>
      </c>
      <c r="BY112" s="225">
        <f t="shared" si="2838"/>
        <v>0</v>
      </c>
      <c r="BZ112" s="226">
        <f t="shared" si="2839"/>
        <v>0</v>
      </c>
      <c r="CA112" s="137">
        <f t="shared" si="2840"/>
        <v>0</v>
      </c>
      <c r="CB112" s="227">
        <f t="shared" si="2804"/>
        <v>51.74</v>
      </c>
      <c r="CC112" s="138">
        <f t="shared" si="2841"/>
        <v>0</v>
      </c>
      <c r="CD112" s="110">
        <f t="shared" si="2842"/>
        <v>0</v>
      </c>
      <c r="CE112" s="110"/>
      <c r="CF112" s="139"/>
      <c r="CG112" s="140" t="e">
        <f t="shared" si="2843"/>
        <v>#DIV/0!</v>
      </c>
      <c r="CH112" s="198">
        <f t="shared" si="2844"/>
        <v>0</v>
      </c>
      <c r="CI112" s="225">
        <f t="shared" si="2845"/>
        <v>0</v>
      </c>
      <c r="CJ112" s="226">
        <f t="shared" si="2846"/>
        <v>0</v>
      </c>
      <c r="CK112" s="137">
        <f t="shared" si="2847"/>
        <v>0</v>
      </c>
      <c r="CL112" s="227">
        <f t="shared" si="2848"/>
        <v>46.92</v>
      </c>
      <c r="CM112" s="138">
        <f t="shared" si="2849"/>
        <v>0</v>
      </c>
      <c r="CN112" s="110">
        <f t="shared" si="2850"/>
        <v>0</v>
      </c>
      <c r="CO112" s="110"/>
      <c r="CP112" s="139"/>
      <c r="CQ112" s="140" t="e">
        <f t="shared" si="2851"/>
        <v>#DIV/0!</v>
      </c>
      <c r="CR112" s="198">
        <f t="shared" si="2844"/>
        <v>0</v>
      </c>
      <c r="CS112" s="225">
        <f t="shared" si="2852"/>
        <v>0</v>
      </c>
      <c r="CT112" s="226">
        <f t="shared" si="2853"/>
        <v>0</v>
      </c>
      <c r="CU112" s="137">
        <f t="shared" si="2854"/>
        <v>0</v>
      </c>
      <c r="CV112" s="227">
        <f t="shared" si="2848"/>
        <v>49.61</v>
      </c>
      <c r="CW112" s="138">
        <f t="shared" si="2855"/>
        <v>0</v>
      </c>
      <c r="CX112" s="110">
        <f t="shared" si="2856"/>
        <v>0</v>
      </c>
      <c r="CY112" s="110"/>
      <c r="CZ112" s="139"/>
      <c r="DA112" s="140" t="e">
        <f t="shared" si="2857"/>
        <v>#DIV/0!</v>
      </c>
      <c r="DB112" s="198">
        <f t="shared" si="2844"/>
        <v>0</v>
      </c>
      <c r="DC112" s="225">
        <f t="shared" si="2858"/>
        <v>0</v>
      </c>
      <c r="DD112" s="226">
        <f t="shared" si="2859"/>
        <v>0</v>
      </c>
      <c r="DE112" s="137">
        <f t="shared" si="2860"/>
        <v>0</v>
      </c>
      <c r="DF112" s="227">
        <f t="shared" si="2848"/>
        <v>52.57</v>
      </c>
      <c r="DG112" s="138">
        <f t="shared" si="2861"/>
        <v>0</v>
      </c>
      <c r="DH112" s="110">
        <f t="shared" si="2862"/>
        <v>0</v>
      </c>
      <c r="DI112" s="110"/>
      <c r="DJ112" s="139"/>
      <c r="DK112" s="140" t="e">
        <f t="shared" si="2863"/>
        <v>#DIV/0!</v>
      </c>
      <c r="DL112" s="198">
        <f t="shared" si="2844"/>
        <v>0</v>
      </c>
      <c r="DM112" s="225">
        <f t="shared" si="2864"/>
        <v>0</v>
      </c>
      <c r="DN112" s="226">
        <f t="shared" si="2865"/>
        <v>0</v>
      </c>
      <c r="DO112" s="137">
        <f t="shared" si="2866"/>
        <v>0</v>
      </c>
      <c r="DP112" s="227">
        <f t="shared" si="2848"/>
        <v>55.25</v>
      </c>
      <c r="DQ112" s="138">
        <f t="shared" si="2867"/>
        <v>0</v>
      </c>
      <c r="DR112" s="110">
        <f t="shared" si="2868"/>
        <v>0</v>
      </c>
      <c r="DS112" s="110"/>
      <c r="DT112" s="139"/>
      <c r="DU112" s="140" t="e">
        <f t="shared" si="2869"/>
        <v>#DIV/0!</v>
      </c>
      <c r="DV112" s="198">
        <f t="shared" si="2844"/>
        <v>0</v>
      </c>
      <c r="DW112" s="225">
        <f t="shared" si="2870"/>
        <v>0</v>
      </c>
      <c r="DX112" s="226">
        <f t="shared" si="2871"/>
        <v>0</v>
      </c>
      <c r="DY112" s="137">
        <f t="shared" si="2872"/>
        <v>0</v>
      </c>
      <c r="DZ112" s="227">
        <f t="shared" si="2848"/>
        <v>34.14</v>
      </c>
      <c r="EA112" s="138">
        <f t="shared" si="2873"/>
        <v>0</v>
      </c>
      <c r="EB112" s="110">
        <f t="shared" si="2874"/>
        <v>0</v>
      </c>
      <c r="EC112" s="110"/>
      <c r="ED112" s="139"/>
      <c r="EE112" s="140" t="e">
        <f t="shared" si="2875"/>
        <v>#DIV/0!</v>
      </c>
      <c r="EF112" s="198">
        <f t="shared" si="2844"/>
        <v>0</v>
      </c>
      <c r="EG112" s="225">
        <f t="shared" si="2876"/>
        <v>0</v>
      </c>
      <c r="EH112" s="226">
        <f t="shared" si="2877"/>
        <v>0</v>
      </c>
      <c r="EI112" s="137">
        <f t="shared" si="2878"/>
        <v>0</v>
      </c>
      <c r="EJ112" s="227">
        <f t="shared" si="2848"/>
        <v>44.53</v>
      </c>
      <c r="EK112" s="138">
        <f t="shared" si="2879"/>
        <v>0</v>
      </c>
      <c r="EL112" s="110">
        <f t="shared" si="2880"/>
        <v>0</v>
      </c>
      <c r="EM112" s="110"/>
      <c r="EN112" s="139"/>
      <c r="EO112" s="140" t="e">
        <f t="shared" si="2881"/>
        <v>#DIV/0!</v>
      </c>
      <c r="EP112" s="198">
        <f t="shared" si="2844"/>
        <v>0</v>
      </c>
      <c r="EQ112" s="225">
        <f t="shared" si="2882"/>
        <v>0</v>
      </c>
      <c r="ER112" s="226">
        <f t="shared" si="2883"/>
        <v>0</v>
      </c>
      <c r="ES112" s="137">
        <f t="shared" si="2884"/>
        <v>0</v>
      </c>
      <c r="ET112" s="227">
        <f t="shared" si="2848"/>
        <v>52.01</v>
      </c>
      <c r="EU112" s="138">
        <f t="shared" si="2885"/>
        <v>0</v>
      </c>
      <c r="EV112" s="110">
        <f t="shared" si="2886"/>
        <v>0</v>
      </c>
      <c r="EW112" s="110"/>
      <c r="EX112" s="139"/>
      <c r="EY112" s="140" t="e">
        <f t="shared" si="2887"/>
        <v>#DIV/0!</v>
      </c>
      <c r="EZ112" s="198">
        <f t="shared" si="2888"/>
        <v>0</v>
      </c>
      <c r="FA112" s="225">
        <f t="shared" si="2889"/>
        <v>0</v>
      </c>
      <c r="FB112" s="226">
        <f t="shared" si="2890"/>
        <v>0</v>
      </c>
      <c r="FC112" s="137">
        <f t="shared" si="2891"/>
        <v>0</v>
      </c>
      <c r="FD112" s="227">
        <f t="shared" si="2892"/>
        <v>55.47</v>
      </c>
      <c r="FE112" s="138">
        <f t="shared" si="2893"/>
        <v>0</v>
      </c>
      <c r="FF112" s="110">
        <f t="shared" si="2894"/>
        <v>0</v>
      </c>
      <c r="FG112" s="110"/>
      <c r="FH112" s="139"/>
      <c r="FI112" s="140" t="e">
        <f t="shared" si="2895"/>
        <v>#DIV/0!</v>
      </c>
      <c r="FJ112" s="198">
        <f t="shared" si="2888"/>
        <v>0</v>
      </c>
      <c r="FK112" s="225">
        <f t="shared" si="2896"/>
        <v>0</v>
      </c>
      <c r="FL112" s="226">
        <f t="shared" si="2897"/>
        <v>0</v>
      </c>
      <c r="FM112" s="137">
        <f t="shared" si="2898"/>
        <v>0</v>
      </c>
      <c r="FN112" s="227">
        <f t="shared" si="2892"/>
        <v>39.74</v>
      </c>
      <c r="FO112" s="138">
        <f t="shared" si="2899"/>
        <v>0</v>
      </c>
      <c r="FP112" s="110">
        <f t="shared" si="2900"/>
        <v>0</v>
      </c>
      <c r="FQ112" s="110"/>
      <c r="FR112" s="139"/>
      <c r="FS112" s="140" t="e">
        <f t="shared" si="2901"/>
        <v>#DIV/0!</v>
      </c>
      <c r="FT112" s="198">
        <f t="shared" si="2888"/>
        <v>0</v>
      </c>
      <c r="FU112" s="225">
        <f t="shared" si="2902"/>
        <v>0</v>
      </c>
      <c r="FV112" s="226">
        <f t="shared" si="2903"/>
        <v>0</v>
      </c>
      <c r="FW112" s="137">
        <f t="shared" si="2904"/>
        <v>0</v>
      </c>
      <c r="FX112" s="227">
        <f t="shared" si="2892"/>
        <v>53.97</v>
      </c>
      <c r="FY112" s="138">
        <f t="shared" si="2905"/>
        <v>0</v>
      </c>
      <c r="FZ112" s="110">
        <f t="shared" si="2906"/>
        <v>0</v>
      </c>
      <c r="GA112" s="110"/>
      <c r="GB112" s="139"/>
      <c r="GC112" s="140" t="e">
        <f t="shared" si="2907"/>
        <v>#DIV/0!</v>
      </c>
      <c r="GD112" s="198">
        <f t="shared" si="2888"/>
        <v>0</v>
      </c>
      <c r="GE112" s="225">
        <f t="shared" si="2908"/>
        <v>0</v>
      </c>
      <c r="GF112" s="226">
        <f t="shared" si="2909"/>
        <v>0</v>
      </c>
      <c r="GG112" s="137">
        <f t="shared" si="2910"/>
        <v>0</v>
      </c>
      <c r="GH112" s="227">
        <f t="shared" si="2892"/>
        <v>54.63</v>
      </c>
      <c r="GI112" s="138">
        <f t="shared" si="2911"/>
        <v>0</v>
      </c>
      <c r="GJ112" s="110">
        <f t="shared" si="2912"/>
        <v>0</v>
      </c>
      <c r="GK112" s="110"/>
      <c r="GL112" s="139"/>
      <c r="GM112" s="140" t="e">
        <f t="shared" si="2913"/>
        <v>#DIV/0!</v>
      </c>
      <c r="GN112" s="198">
        <f t="shared" si="2888"/>
        <v>0</v>
      </c>
      <c r="GO112" s="225">
        <f t="shared" si="2914"/>
        <v>0</v>
      </c>
      <c r="GP112" s="226">
        <f t="shared" si="2915"/>
        <v>0</v>
      </c>
      <c r="GQ112" s="137">
        <f t="shared" si="2916"/>
        <v>0</v>
      </c>
      <c r="GR112" s="227">
        <f t="shared" si="2892"/>
        <v>52.13</v>
      </c>
      <c r="GS112" s="138">
        <f t="shared" si="2917"/>
        <v>0</v>
      </c>
      <c r="GT112" s="110">
        <f t="shared" si="2918"/>
        <v>0</v>
      </c>
      <c r="GU112" s="110"/>
      <c r="GV112" s="139"/>
      <c r="GW112" s="140" t="e">
        <f t="shared" si="2919"/>
        <v>#DIV/0!</v>
      </c>
      <c r="GX112" s="198">
        <f t="shared" si="2888"/>
        <v>0</v>
      </c>
      <c r="GY112" s="225">
        <f t="shared" si="2920"/>
        <v>0</v>
      </c>
      <c r="GZ112" s="226">
        <f t="shared" si="2921"/>
        <v>0</v>
      </c>
      <c r="HA112" s="137">
        <f t="shared" si="2922"/>
        <v>0</v>
      </c>
      <c r="HB112" s="227">
        <f t="shared" si="2892"/>
        <v>42.58</v>
      </c>
      <c r="HC112" s="138">
        <f t="shared" si="2923"/>
        <v>0</v>
      </c>
      <c r="HD112" s="110">
        <f t="shared" si="2924"/>
        <v>0</v>
      </c>
      <c r="HE112" s="110"/>
      <c r="HF112" s="139"/>
      <c r="HG112" s="140" t="e">
        <f t="shared" si="2925"/>
        <v>#DIV/0!</v>
      </c>
      <c r="HH112" s="198">
        <f t="shared" si="2888"/>
        <v>0</v>
      </c>
      <c r="HI112" s="225">
        <f t="shared" si="2926"/>
        <v>0</v>
      </c>
      <c r="HJ112" s="226">
        <f t="shared" si="2927"/>
        <v>0</v>
      </c>
      <c r="HK112" s="137">
        <f t="shared" si="2928"/>
        <v>0</v>
      </c>
      <c r="HL112" s="227">
        <f t="shared" si="2892"/>
        <v>49.58</v>
      </c>
      <c r="HM112" s="138">
        <f t="shared" si="2929"/>
        <v>0</v>
      </c>
      <c r="HN112" s="110">
        <f t="shared" si="2930"/>
        <v>0</v>
      </c>
      <c r="HO112" s="110"/>
      <c r="HP112" s="139"/>
      <c r="HQ112" s="140" t="e">
        <f t="shared" si="2931"/>
        <v>#DIV/0!</v>
      </c>
      <c r="HR112" s="198">
        <f t="shared" si="2932"/>
        <v>0</v>
      </c>
      <c r="HS112" s="225">
        <f t="shared" si="2933"/>
        <v>0</v>
      </c>
      <c r="HT112" s="226">
        <f t="shared" si="2934"/>
        <v>0</v>
      </c>
      <c r="HU112" s="137">
        <f t="shared" si="2935"/>
        <v>0</v>
      </c>
      <c r="HV112" s="227">
        <f t="shared" si="2936"/>
        <v>52.62</v>
      </c>
      <c r="HW112" s="138">
        <f t="shared" si="2937"/>
        <v>0</v>
      </c>
      <c r="HX112" s="110">
        <f t="shared" si="2938"/>
        <v>0</v>
      </c>
      <c r="HY112" s="110"/>
      <c r="HZ112" s="139"/>
      <c r="IA112" s="140" t="e">
        <f t="shared" si="2939"/>
        <v>#DIV/0!</v>
      </c>
      <c r="IB112" s="198">
        <f t="shared" si="2932"/>
        <v>0</v>
      </c>
      <c r="IC112" s="225">
        <f t="shared" si="2940"/>
        <v>0</v>
      </c>
      <c r="ID112" s="226">
        <f t="shared" si="2941"/>
        <v>0</v>
      </c>
      <c r="IE112" s="137">
        <f t="shared" si="2942"/>
        <v>0</v>
      </c>
      <c r="IF112" s="227">
        <f t="shared" si="2936"/>
        <v>50</v>
      </c>
      <c r="IG112" s="138">
        <f t="shared" si="2943"/>
        <v>0</v>
      </c>
      <c r="IH112" s="110">
        <f t="shared" si="2944"/>
        <v>0</v>
      </c>
      <c r="II112" s="110"/>
      <c r="IJ112" s="139"/>
      <c r="IK112" s="140" t="e">
        <f t="shared" si="2945"/>
        <v>#DIV/0!</v>
      </c>
      <c r="IL112" s="198">
        <f t="shared" si="2932"/>
        <v>0</v>
      </c>
      <c r="IM112" s="225">
        <f t="shared" si="2946"/>
        <v>0</v>
      </c>
      <c r="IN112" s="226">
        <f t="shared" si="2947"/>
        <v>0</v>
      </c>
      <c r="IO112" s="137">
        <f t="shared" si="2948"/>
        <v>0</v>
      </c>
      <c r="IP112" s="227">
        <f t="shared" si="2936"/>
        <v>54.39</v>
      </c>
      <c r="IQ112" s="138">
        <f t="shared" si="2949"/>
        <v>0</v>
      </c>
      <c r="IR112" s="110">
        <f t="shared" si="2950"/>
        <v>0</v>
      </c>
      <c r="IS112" s="110"/>
      <c r="IT112" s="139"/>
      <c r="IU112" s="140" t="e">
        <f t="shared" si="2951"/>
        <v>#DIV/0!</v>
      </c>
      <c r="IV112" s="198">
        <f t="shared" si="2932"/>
        <v>0</v>
      </c>
      <c r="IW112" s="225">
        <f t="shared" si="2952"/>
        <v>0</v>
      </c>
      <c r="IX112" s="226">
        <f t="shared" si="2953"/>
        <v>0</v>
      </c>
      <c r="IY112" s="137">
        <f t="shared" si="2954"/>
        <v>0</v>
      </c>
      <c r="IZ112" s="227">
        <f t="shared" si="2936"/>
        <v>54.71</v>
      </c>
      <c r="JA112" s="138">
        <f t="shared" si="2955"/>
        <v>0</v>
      </c>
      <c r="JB112" s="110">
        <f t="shared" si="2956"/>
        <v>0</v>
      </c>
      <c r="JC112" s="110"/>
      <c r="JD112" s="139"/>
      <c r="JE112" s="140" t="e">
        <f t="shared" si="2957"/>
        <v>#DIV/0!</v>
      </c>
      <c r="JF112" s="198">
        <f t="shared" si="2932"/>
        <v>0</v>
      </c>
      <c r="JG112" s="225">
        <f t="shared" si="2958"/>
        <v>0</v>
      </c>
      <c r="JH112" s="226">
        <f t="shared" si="2959"/>
        <v>0</v>
      </c>
      <c r="JI112" s="137">
        <f t="shared" si="2960"/>
        <v>0</v>
      </c>
      <c r="JJ112" s="227">
        <f t="shared" si="2936"/>
        <v>43.31</v>
      </c>
      <c r="JK112" s="138">
        <f t="shared" si="2961"/>
        <v>0</v>
      </c>
      <c r="JL112" s="110">
        <f t="shared" si="2962"/>
        <v>0</v>
      </c>
      <c r="JM112" s="110"/>
      <c r="JN112" s="139"/>
      <c r="JO112" s="140" t="e">
        <f t="shared" si="2963"/>
        <v>#DIV/0!</v>
      </c>
      <c r="JP112" s="198">
        <f t="shared" si="2932"/>
        <v>0</v>
      </c>
      <c r="JQ112" s="225">
        <f t="shared" si="2964"/>
        <v>0</v>
      </c>
      <c r="JR112" s="226">
        <f t="shared" si="2965"/>
        <v>0</v>
      </c>
      <c r="JS112" s="137">
        <f t="shared" si="2966"/>
        <v>0</v>
      </c>
      <c r="JT112" s="227">
        <f t="shared" si="2936"/>
        <v>57.05</v>
      </c>
      <c r="JU112" s="138">
        <f t="shared" si="2967"/>
        <v>0</v>
      </c>
      <c r="JV112" s="110">
        <f t="shared" si="2968"/>
        <v>0</v>
      </c>
      <c r="JW112" s="110"/>
      <c r="JX112" s="139"/>
      <c r="JY112" s="140" t="e">
        <f t="shared" si="2969"/>
        <v>#DIV/0!</v>
      </c>
      <c r="JZ112" s="198">
        <f t="shared" si="2932"/>
        <v>0</v>
      </c>
      <c r="KA112" s="225">
        <f t="shared" si="2970"/>
        <v>0</v>
      </c>
      <c r="KB112" s="226">
        <f t="shared" si="2971"/>
        <v>0</v>
      </c>
      <c r="KC112" s="137">
        <f t="shared" si="2972"/>
        <v>0</v>
      </c>
      <c r="KD112" s="227">
        <f t="shared" si="2936"/>
        <v>51.65</v>
      </c>
      <c r="KE112" s="138">
        <f t="shared" si="2973"/>
        <v>0</v>
      </c>
      <c r="KF112" s="110">
        <f t="shared" si="2974"/>
        <v>0</v>
      </c>
      <c r="KG112" s="110"/>
      <c r="KH112" s="139"/>
      <c r="KI112" s="140" t="e">
        <f t="shared" si="2975"/>
        <v>#DIV/0!</v>
      </c>
      <c r="KJ112" s="198">
        <f t="shared" si="2976"/>
        <v>0</v>
      </c>
      <c r="KK112" s="225">
        <f t="shared" si="2977"/>
        <v>0</v>
      </c>
      <c r="KL112" s="226">
        <f t="shared" si="2978"/>
        <v>0</v>
      </c>
      <c r="KM112" s="137">
        <f t="shared" si="2979"/>
        <v>0</v>
      </c>
      <c r="KN112" s="227">
        <f t="shared" si="2980"/>
        <v>51.78</v>
      </c>
      <c r="KO112" s="138">
        <f t="shared" si="2981"/>
        <v>0</v>
      </c>
      <c r="KP112" s="110">
        <f t="shared" si="2982"/>
        <v>0</v>
      </c>
      <c r="KQ112" s="110"/>
      <c r="KR112" s="139"/>
      <c r="KS112" s="140" t="e">
        <f t="shared" si="2983"/>
        <v>#DIV/0!</v>
      </c>
      <c r="KT112" s="198">
        <f t="shared" si="2976"/>
        <v>0</v>
      </c>
      <c r="KU112" s="225">
        <f t="shared" si="2984"/>
        <v>0</v>
      </c>
      <c r="KV112" s="226">
        <f t="shared" si="2985"/>
        <v>0</v>
      </c>
      <c r="KW112" s="137">
        <f t="shared" si="2986"/>
        <v>0</v>
      </c>
      <c r="KX112" s="227">
        <f t="shared" si="2980"/>
        <v>55.65</v>
      </c>
      <c r="KY112" s="138">
        <f t="shared" si="2987"/>
        <v>0</v>
      </c>
      <c r="KZ112" s="110">
        <f t="shared" si="2988"/>
        <v>0</v>
      </c>
      <c r="LA112" s="110"/>
      <c r="LB112" s="139"/>
      <c r="LC112" s="140" t="e">
        <f t="shared" si="2989"/>
        <v>#DIV/0!</v>
      </c>
      <c r="LD112" s="197">
        <f t="shared" si="2789"/>
        <v>0</v>
      </c>
      <c r="LE112" s="225">
        <f t="shared" si="2790"/>
        <v>0</v>
      </c>
      <c r="LF112" s="226">
        <f t="shared" si="2791"/>
        <v>0</v>
      </c>
      <c r="LG112" s="137">
        <f t="shared" si="2792"/>
        <v>0</v>
      </c>
      <c r="LH112" s="227">
        <f t="shared" si="2793"/>
        <v>50.24</v>
      </c>
      <c r="LI112" s="138">
        <f t="shared" si="2794"/>
        <v>0</v>
      </c>
      <c r="LJ112" s="110">
        <f t="shared" si="2795"/>
        <v>0</v>
      </c>
      <c r="LK112" s="110"/>
      <c r="LL112" s="139"/>
    </row>
    <row r="113" spans="1:324" ht="18" customHeight="1" x14ac:dyDescent="0.25">
      <c r="A113" s="246"/>
      <c r="B113" s="70" t="s">
        <v>626</v>
      </c>
      <c r="C113" s="12" t="s">
        <v>728</v>
      </c>
      <c r="D113" s="12" t="s">
        <v>430</v>
      </c>
      <c r="E113" s="4" t="s">
        <v>32</v>
      </c>
      <c r="F113" s="198">
        <f t="shared" si="2799"/>
        <v>1</v>
      </c>
      <c r="G113" s="225">
        <f t="shared" si="2796"/>
        <v>1.66E-3</v>
      </c>
      <c r="H113" s="226">
        <f t="shared" si="2797"/>
        <v>1.54</v>
      </c>
      <c r="I113" s="137">
        <f t="shared" si="2570"/>
        <v>1.54</v>
      </c>
      <c r="J113" s="227">
        <f t="shared" si="2798"/>
        <v>40.909999999999997</v>
      </c>
      <c r="K113" s="138">
        <f t="shared" si="2571"/>
        <v>63.001399999999997</v>
      </c>
      <c r="L113" s="110">
        <f t="shared" si="2572"/>
        <v>63</v>
      </c>
      <c r="M113" s="110"/>
      <c r="N113" s="139"/>
      <c r="O113" s="140">
        <f t="shared" si="2573"/>
        <v>0.58330000000000004</v>
      </c>
      <c r="P113" s="198">
        <f t="shared" si="2800"/>
        <v>3</v>
      </c>
      <c r="Q113" s="225">
        <f t="shared" si="2801"/>
        <v>2.7399999999999998E-3</v>
      </c>
      <c r="R113" s="226">
        <f t="shared" si="2802"/>
        <v>4.41</v>
      </c>
      <c r="S113" s="137">
        <f t="shared" si="2803"/>
        <v>1.47</v>
      </c>
      <c r="T113" s="227">
        <f t="shared" si="2804"/>
        <v>36.11</v>
      </c>
      <c r="U113" s="138">
        <f t="shared" si="2805"/>
        <v>53.081699999999998</v>
      </c>
      <c r="V113" s="110">
        <f t="shared" si="2806"/>
        <v>159.25</v>
      </c>
      <c r="W113" s="110"/>
      <c r="X113" s="139"/>
      <c r="Y113" s="140">
        <f t="shared" si="2807"/>
        <v>0.49146000000000001</v>
      </c>
      <c r="Z113" s="198">
        <f t="shared" si="2800"/>
        <v>1</v>
      </c>
      <c r="AA113" s="225">
        <f t="shared" si="2808"/>
        <v>1.16E-3</v>
      </c>
      <c r="AB113" s="226">
        <f t="shared" si="2809"/>
        <v>1.5</v>
      </c>
      <c r="AC113" s="137">
        <f t="shared" si="2810"/>
        <v>1.5</v>
      </c>
      <c r="AD113" s="227">
        <f t="shared" si="2804"/>
        <v>54.87</v>
      </c>
      <c r="AE113" s="138">
        <f t="shared" si="2811"/>
        <v>82.305000000000007</v>
      </c>
      <c r="AF113" s="110">
        <f t="shared" si="2812"/>
        <v>82.31</v>
      </c>
      <c r="AG113" s="110"/>
      <c r="AH113" s="139"/>
      <c r="AI113" s="140">
        <f t="shared" si="2813"/>
        <v>0.76202000000000003</v>
      </c>
      <c r="AJ113" s="198">
        <f t="shared" si="2800"/>
        <v>2</v>
      </c>
      <c r="AK113" s="225">
        <f t="shared" si="2814"/>
        <v>3.0100000000000001E-3</v>
      </c>
      <c r="AL113" s="226">
        <f t="shared" si="2815"/>
        <v>3.43</v>
      </c>
      <c r="AM113" s="137">
        <f t="shared" si="2816"/>
        <v>1.7150000000000001</v>
      </c>
      <c r="AN113" s="227">
        <f t="shared" si="2804"/>
        <v>54.42</v>
      </c>
      <c r="AO113" s="138">
        <f t="shared" si="2817"/>
        <v>93.330299999999994</v>
      </c>
      <c r="AP113" s="110">
        <f t="shared" si="2818"/>
        <v>186.66</v>
      </c>
      <c r="AQ113" s="110"/>
      <c r="AR113" s="139"/>
      <c r="AS113" s="140">
        <f t="shared" si="2819"/>
        <v>0.86409999999999998</v>
      </c>
      <c r="AT113" s="198">
        <f t="shared" si="2800"/>
        <v>4</v>
      </c>
      <c r="AU113" s="225">
        <f t="shared" si="2820"/>
        <v>4.2100000000000002E-3</v>
      </c>
      <c r="AV113" s="226">
        <f t="shared" si="2821"/>
        <v>3.83</v>
      </c>
      <c r="AW113" s="137">
        <f t="shared" si="2822"/>
        <v>0.95750000000000002</v>
      </c>
      <c r="AX113" s="227">
        <f t="shared" si="2804"/>
        <v>49.55</v>
      </c>
      <c r="AY113" s="138">
        <f t="shared" si="2823"/>
        <v>47.444130000000001</v>
      </c>
      <c r="AZ113" s="110">
        <f t="shared" si="2824"/>
        <v>189.78</v>
      </c>
      <c r="BA113" s="110"/>
      <c r="BB113" s="139"/>
      <c r="BC113" s="140">
        <f t="shared" si="2825"/>
        <v>0.43925999999999998</v>
      </c>
      <c r="BD113" s="198">
        <f t="shared" si="2800"/>
        <v>1</v>
      </c>
      <c r="BE113" s="225">
        <f t="shared" si="2826"/>
        <v>1.34E-3</v>
      </c>
      <c r="BF113" s="226">
        <f t="shared" si="2827"/>
        <v>1.9</v>
      </c>
      <c r="BG113" s="137">
        <f t="shared" si="2828"/>
        <v>1.9</v>
      </c>
      <c r="BH113" s="227">
        <f t="shared" si="2804"/>
        <v>55.1</v>
      </c>
      <c r="BI113" s="138">
        <f t="shared" si="2829"/>
        <v>104.69</v>
      </c>
      <c r="BJ113" s="110">
        <f t="shared" si="2830"/>
        <v>104.69</v>
      </c>
      <c r="BK113" s="110"/>
      <c r="BL113" s="139"/>
      <c r="BM113" s="140">
        <f t="shared" si="2831"/>
        <v>0.96926999999999996</v>
      </c>
      <c r="BN113" s="198">
        <f t="shared" si="2800"/>
        <v>3</v>
      </c>
      <c r="BO113" s="225">
        <f t="shared" si="2832"/>
        <v>4.8599999999999997E-3</v>
      </c>
      <c r="BP113" s="226">
        <f t="shared" si="2833"/>
        <v>5.93</v>
      </c>
      <c r="BQ113" s="137">
        <f t="shared" si="2834"/>
        <v>1.97666667</v>
      </c>
      <c r="BR113" s="227">
        <f t="shared" si="2804"/>
        <v>54.14</v>
      </c>
      <c r="BS113" s="138">
        <f t="shared" si="2835"/>
        <v>107.01673</v>
      </c>
      <c r="BT113" s="110">
        <f t="shared" si="2836"/>
        <v>321.05</v>
      </c>
      <c r="BU113" s="110"/>
      <c r="BV113" s="139"/>
      <c r="BW113" s="140">
        <f t="shared" si="2837"/>
        <v>0.99082000000000003</v>
      </c>
      <c r="BX113" s="198">
        <f t="shared" si="2800"/>
        <v>1</v>
      </c>
      <c r="BY113" s="225">
        <f t="shared" si="2838"/>
        <v>1.2700000000000001E-3</v>
      </c>
      <c r="BZ113" s="226">
        <f t="shared" si="2839"/>
        <v>1.87</v>
      </c>
      <c r="CA113" s="137">
        <f t="shared" si="2840"/>
        <v>1.87</v>
      </c>
      <c r="CB113" s="227">
        <f t="shared" si="2804"/>
        <v>51.74</v>
      </c>
      <c r="CC113" s="138">
        <f t="shared" si="2841"/>
        <v>96.753799999999998</v>
      </c>
      <c r="CD113" s="110">
        <f t="shared" si="2842"/>
        <v>96.75</v>
      </c>
      <c r="CE113" s="110"/>
      <c r="CF113" s="139"/>
      <c r="CG113" s="140">
        <f t="shared" si="2843"/>
        <v>0.89580000000000004</v>
      </c>
      <c r="CH113" s="198">
        <f t="shared" si="2844"/>
        <v>5</v>
      </c>
      <c r="CI113" s="225">
        <f t="shared" si="2845"/>
        <v>5.4099999999999999E-3</v>
      </c>
      <c r="CJ113" s="226">
        <f t="shared" si="2846"/>
        <v>12.66</v>
      </c>
      <c r="CK113" s="137">
        <f t="shared" si="2847"/>
        <v>2.532</v>
      </c>
      <c r="CL113" s="227">
        <f t="shared" si="2848"/>
        <v>46.92</v>
      </c>
      <c r="CM113" s="138">
        <f t="shared" si="2849"/>
        <v>118.80144</v>
      </c>
      <c r="CN113" s="110">
        <f t="shared" si="2850"/>
        <v>594.01</v>
      </c>
      <c r="CO113" s="110"/>
      <c r="CP113" s="139"/>
      <c r="CQ113" s="140">
        <f t="shared" si="2851"/>
        <v>1.09992</v>
      </c>
      <c r="CR113" s="198">
        <f t="shared" si="2844"/>
        <v>2</v>
      </c>
      <c r="CS113" s="225">
        <f t="shared" si="2852"/>
        <v>2.6900000000000001E-3</v>
      </c>
      <c r="CT113" s="226">
        <f t="shared" si="2853"/>
        <v>3.23</v>
      </c>
      <c r="CU113" s="137">
        <f t="shared" si="2854"/>
        <v>1.615</v>
      </c>
      <c r="CV113" s="227">
        <f t="shared" si="2848"/>
        <v>49.61</v>
      </c>
      <c r="CW113" s="138">
        <f t="shared" si="2855"/>
        <v>80.120149999999995</v>
      </c>
      <c r="CX113" s="110">
        <f t="shared" si="2856"/>
        <v>160.24</v>
      </c>
      <c r="CY113" s="110"/>
      <c r="CZ113" s="139"/>
      <c r="DA113" s="140">
        <f t="shared" si="2857"/>
        <v>0.74178999999999995</v>
      </c>
      <c r="DB113" s="198">
        <f t="shared" si="2844"/>
        <v>0</v>
      </c>
      <c r="DC113" s="225">
        <f t="shared" si="2858"/>
        <v>0</v>
      </c>
      <c r="DD113" s="226">
        <f t="shared" si="2859"/>
        <v>0</v>
      </c>
      <c r="DE113" s="137">
        <f t="shared" si="2860"/>
        <v>0</v>
      </c>
      <c r="DF113" s="227">
        <f t="shared" si="2848"/>
        <v>52.57</v>
      </c>
      <c r="DG113" s="138">
        <f t="shared" si="2861"/>
        <v>0</v>
      </c>
      <c r="DH113" s="110">
        <f t="shared" si="2862"/>
        <v>0</v>
      </c>
      <c r="DI113" s="110"/>
      <c r="DJ113" s="139"/>
      <c r="DK113" s="140">
        <f t="shared" si="2863"/>
        <v>0</v>
      </c>
      <c r="DL113" s="198">
        <f t="shared" si="2844"/>
        <v>0</v>
      </c>
      <c r="DM113" s="225">
        <f t="shared" si="2864"/>
        <v>0</v>
      </c>
      <c r="DN113" s="226">
        <f t="shared" si="2865"/>
        <v>0</v>
      </c>
      <c r="DO113" s="137">
        <f t="shared" si="2866"/>
        <v>0</v>
      </c>
      <c r="DP113" s="227">
        <f t="shared" si="2848"/>
        <v>55.25</v>
      </c>
      <c r="DQ113" s="138">
        <f t="shared" si="2867"/>
        <v>0</v>
      </c>
      <c r="DR113" s="110">
        <f t="shared" si="2868"/>
        <v>0</v>
      </c>
      <c r="DS113" s="110"/>
      <c r="DT113" s="139"/>
      <c r="DU113" s="140">
        <f t="shared" si="2869"/>
        <v>0</v>
      </c>
      <c r="DV113" s="198">
        <f t="shared" si="2844"/>
        <v>4</v>
      </c>
      <c r="DW113" s="225">
        <f t="shared" si="2870"/>
        <v>4.5599999999999998E-3</v>
      </c>
      <c r="DX113" s="226">
        <f t="shared" si="2871"/>
        <v>6.06</v>
      </c>
      <c r="DY113" s="137">
        <f t="shared" si="2872"/>
        <v>1.5149999999999999</v>
      </c>
      <c r="DZ113" s="227">
        <f t="shared" si="2848"/>
        <v>34.14</v>
      </c>
      <c r="EA113" s="138">
        <f t="shared" si="2873"/>
        <v>51.722099999999998</v>
      </c>
      <c r="EB113" s="110">
        <f t="shared" si="2874"/>
        <v>206.89</v>
      </c>
      <c r="EC113" s="110"/>
      <c r="ED113" s="139"/>
      <c r="EE113" s="140">
        <f t="shared" si="2875"/>
        <v>0.47887000000000002</v>
      </c>
      <c r="EF113" s="198">
        <f t="shared" si="2844"/>
        <v>3</v>
      </c>
      <c r="EG113" s="225">
        <f t="shared" si="2876"/>
        <v>3.1900000000000001E-3</v>
      </c>
      <c r="EH113" s="226">
        <f t="shared" si="2877"/>
        <v>2.93</v>
      </c>
      <c r="EI113" s="137">
        <f t="shared" si="2878"/>
        <v>0.97666666999999996</v>
      </c>
      <c r="EJ113" s="227">
        <f t="shared" si="2848"/>
        <v>44.53</v>
      </c>
      <c r="EK113" s="138">
        <f t="shared" si="2879"/>
        <v>43.490969999999997</v>
      </c>
      <c r="EL113" s="110">
        <f t="shared" si="2880"/>
        <v>130.47</v>
      </c>
      <c r="EM113" s="110"/>
      <c r="EN113" s="139"/>
      <c r="EO113" s="140">
        <f t="shared" si="2881"/>
        <v>0.40266000000000002</v>
      </c>
      <c r="EP113" s="198">
        <f t="shared" si="2844"/>
        <v>2</v>
      </c>
      <c r="EQ113" s="225">
        <f t="shared" si="2882"/>
        <v>2.1199999999999999E-3</v>
      </c>
      <c r="ER113" s="226">
        <f t="shared" si="2883"/>
        <v>4.62</v>
      </c>
      <c r="ES113" s="137">
        <f t="shared" si="2884"/>
        <v>2.31</v>
      </c>
      <c r="ET113" s="227">
        <f t="shared" si="2848"/>
        <v>52.01</v>
      </c>
      <c r="EU113" s="138">
        <f t="shared" si="2885"/>
        <v>120.1431</v>
      </c>
      <c r="EV113" s="110">
        <f t="shared" si="2886"/>
        <v>240.29</v>
      </c>
      <c r="EW113" s="110"/>
      <c r="EX113" s="139"/>
      <c r="EY113" s="140">
        <f t="shared" si="2887"/>
        <v>1.1123499999999999</v>
      </c>
      <c r="EZ113" s="198">
        <f t="shared" si="2888"/>
        <v>1</v>
      </c>
      <c r="FA113" s="225">
        <f t="shared" si="2889"/>
        <v>8.9999999999999998E-4</v>
      </c>
      <c r="FB113" s="226">
        <f t="shared" si="2890"/>
        <v>1.62</v>
      </c>
      <c r="FC113" s="137">
        <f t="shared" si="2891"/>
        <v>1.62</v>
      </c>
      <c r="FD113" s="227">
        <f t="shared" si="2892"/>
        <v>55.47</v>
      </c>
      <c r="FE113" s="138">
        <f t="shared" si="2893"/>
        <v>89.861400000000003</v>
      </c>
      <c r="FF113" s="110">
        <f t="shared" si="2894"/>
        <v>89.86</v>
      </c>
      <c r="FG113" s="110"/>
      <c r="FH113" s="139"/>
      <c r="FI113" s="140">
        <f t="shared" si="2895"/>
        <v>0.83198000000000005</v>
      </c>
      <c r="FJ113" s="198">
        <f t="shared" si="2888"/>
        <v>2</v>
      </c>
      <c r="FK113" s="225">
        <f t="shared" si="2896"/>
        <v>1.9599999999999999E-3</v>
      </c>
      <c r="FL113" s="226">
        <f t="shared" si="2897"/>
        <v>3.37</v>
      </c>
      <c r="FM113" s="137">
        <f t="shared" si="2898"/>
        <v>1.6850000000000001</v>
      </c>
      <c r="FN113" s="227">
        <f t="shared" si="2892"/>
        <v>39.74</v>
      </c>
      <c r="FO113" s="138">
        <f t="shared" si="2899"/>
        <v>66.9619</v>
      </c>
      <c r="FP113" s="110">
        <f t="shared" si="2900"/>
        <v>133.91999999999999</v>
      </c>
      <c r="FQ113" s="110"/>
      <c r="FR113" s="139"/>
      <c r="FS113" s="140">
        <f t="shared" si="2901"/>
        <v>0.61997000000000002</v>
      </c>
      <c r="FT113" s="198">
        <f t="shared" si="2888"/>
        <v>3</v>
      </c>
      <c r="FU113" s="225">
        <f t="shared" si="2902"/>
        <v>3.7399999999999998E-3</v>
      </c>
      <c r="FV113" s="226">
        <f t="shared" si="2903"/>
        <v>5.33</v>
      </c>
      <c r="FW113" s="137">
        <f t="shared" si="2904"/>
        <v>1.77666667</v>
      </c>
      <c r="FX113" s="227">
        <f t="shared" si="2892"/>
        <v>53.97</v>
      </c>
      <c r="FY113" s="138">
        <f t="shared" si="2905"/>
        <v>95.886700000000005</v>
      </c>
      <c r="FZ113" s="110">
        <f t="shared" si="2906"/>
        <v>287.66000000000003</v>
      </c>
      <c r="GA113" s="110"/>
      <c r="GB113" s="139"/>
      <c r="GC113" s="140">
        <f t="shared" si="2907"/>
        <v>0.88776999999999995</v>
      </c>
      <c r="GD113" s="198">
        <f t="shared" si="2888"/>
        <v>3</v>
      </c>
      <c r="GE113" s="225">
        <f t="shared" si="2908"/>
        <v>5.8599999999999998E-3</v>
      </c>
      <c r="GF113" s="226">
        <f t="shared" si="2909"/>
        <v>5.04</v>
      </c>
      <c r="GG113" s="137">
        <f t="shared" si="2910"/>
        <v>1.68</v>
      </c>
      <c r="GH113" s="227">
        <f t="shared" si="2892"/>
        <v>54.63</v>
      </c>
      <c r="GI113" s="138">
        <f t="shared" si="2911"/>
        <v>91.778400000000005</v>
      </c>
      <c r="GJ113" s="110">
        <f t="shared" si="2912"/>
        <v>275.33999999999997</v>
      </c>
      <c r="GK113" s="110"/>
      <c r="GL113" s="139"/>
      <c r="GM113" s="140">
        <f t="shared" si="2913"/>
        <v>0.84972999999999999</v>
      </c>
      <c r="GN113" s="198">
        <f t="shared" si="2888"/>
        <v>2</v>
      </c>
      <c r="GO113" s="225">
        <f t="shared" si="2914"/>
        <v>2.31E-3</v>
      </c>
      <c r="GP113" s="226">
        <f t="shared" si="2915"/>
        <v>6.35</v>
      </c>
      <c r="GQ113" s="137">
        <f t="shared" si="2916"/>
        <v>3.1749999999999998</v>
      </c>
      <c r="GR113" s="227">
        <f t="shared" si="2892"/>
        <v>52.13</v>
      </c>
      <c r="GS113" s="138">
        <f t="shared" si="2917"/>
        <v>165.51275000000001</v>
      </c>
      <c r="GT113" s="110">
        <f t="shared" si="2918"/>
        <v>331.03</v>
      </c>
      <c r="GU113" s="110"/>
      <c r="GV113" s="139"/>
      <c r="GW113" s="140">
        <f t="shared" si="2919"/>
        <v>1.5324</v>
      </c>
      <c r="GX113" s="198">
        <f t="shared" si="2888"/>
        <v>0</v>
      </c>
      <c r="GY113" s="225">
        <f t="shared" si="2920"/>
        <v>0</v>
      </c>
      <c r="GZ113" s="226">
        <f t="shared" si="2921"/>
        <v>0</v>
      </c>
      <c r="HA113" s="137">
        <f t="shared" si="2922"/>
        <v>0</v>
      </c>
      <c r="HB113" s="227">
        <f t="shared" si="2892"/>
        <v>42.58</v>
      </c>
      <c r="HC113" s="138">
        <f t="shared" si="2923"/>
        <v>0</v>
      </c>
      <c r="HD113" s="110">
        <f t="shared" si="2924"/>
        <v>0</v>
      </c>
      <c r="HE113" s="110"/>
      <c r="HF113" s="139"/>
      <c r="HG113" s="140">
        <f t="shared" si="2925"/>
        <v>0</v>
      </c>
      <c r="HH113" s="198">
        <f t="shared" si="2888"/>
        <v>2</v>
      </c>
      <c r="HI113" s="225">
        <f t="shared" si="2926"/>
        <v>1.74E-3</v>
      </c>
      <c r="HJ113" s="226">
        <f t="shared" si="2927"/>
        <v>5.79</v>
      </c>
      <c r="HK113" s="137">
        <f t="shared" si="2928"/>
        <v>2.895</v>
      </c>
      <c r="HL113" s="227">
        <f t="shared" si="2892"/>
        <v>49.58</v>
      </c>
      <c r="HM113" s="138">
        <f t="shared" si="2929"/>
        <v>143.5341</v>
      </c>
      <c r="HN113" s="110">
        <f t="shared" si="2930"/>
        <v>287.07</v>
      </c>
      <c r="HO113" s="110"/>
      <c r="HP113" s="139"/>
      <c r="HQ113" s="140">
        <f t="shared" si="2931"/>
        <v>1.32891</v>
      </c>
      <c r="HR113" s="198">
        <f t="shared" si="2932"/>
        <v>3</v>
      </c>
      <c r="HS113" s="225">
        <f t="shared" si="2933"/>
        <v>3.81E-3</v>
      </c>
      <c r="HT113" s="226">
        <f t="shared" si="2934"/>
        <v>3.43</v>
      </c>
      <c r="HU113" s="137">
        <f t="shared" si="2935"/>
        <v>1.1433333299999999</v>
      </c>
      <c r="HV113" s="227">
        <f t="shared" si="2936"/>
        <v>52.62</v>
      </c>
      <c r="HW113" s="138">
        <f t="shared" si="2937"/>
        <v>60.162199999999999</v>
      </c>
      <c r="HX113" s="110">
        <f t="shared" si="2938"/>
        <v>180.49</v>
      </c>
      <c r="HY113" s="110"/>
      <c r="HZ113" s="139"/>
      <c r="IA113" s="140">
        <f t="shared" si="2939"/>
        <v>0.55701000000000001</v>
      </c>
      <c r="IB113" s="198">
        <f t="shared" si="2932"/>
        <v>4</v>
      </c>
      <c r="IC113" s="225">
        <f t="shared" si="2940"/>
        <v>7.3000000000000001E-3</v>
      </c>
      <c r="ID113" s="226">
        <f t="shared" si="2941"/>
        <v>3.14</v>
      </c>
      <c r="IE113" s="137">
        <f t="shared" si="2942"/>
        <v>0.78500000000000003</v>
      </c>
      <c r="IF113" s="227">
        <f t="shared" si="2936"/>
        <v>50</v>
      </c>
      <c r="IG113" s="138">
        <f t="shared" si="2943"/>
        <v>39.25</v>
      </c>
      <c r="IH113" s="110">
        <f t="shared" si="2944"/>
        <v>157</v>
      </c>
      <c r="II113" s="110"/>
      <c r="IJ113" s="139"/>
      <c r="IK113" s="140">
        <f t="shared" si="2945"/>
        <v>0.3634</v>
      </c>
      <c r="IL113" s="198">
        <f t="shared" si="2932"/>
        <v>4</v>
      </c>
      <c r="IM113" s="225">
        <f t="shared" si="2946"/>
        <v>3.16E-3</v>
      </c>
      <c r="IN113" s="226">
        <f t="shared" si="2947"/>
        <v>9.3000000000000007</v>
      </c>
      <c r="IO113" s="137">
        <f t="shared" si="2948"/>
        <v>2.3250000000000002</v>
      </c>
      <c r="IP113" s="227">
        <f t="shared" si="2936"/>
        <v>54.39</v>
      </c>
      <c r="IQ113" s="138">
        <f t="shared" si="2949"/>
        <v>126.45675</v>
      </c>
      <c r="IR113" s="110">
        <f t="shared" si="2950"/>
        <v>505.83</v>
      </c>
      <c r="IS113" s="110"/>
      <c r="IT113" s="139"/>
      <c r="IU113" s="140">
        <f t="shared" si="2951"/>
        <v>1.1708000000000001</v>
      </c>
      <c r="IV113" s="198">
        <f t="shared" si="2932"/>
        <v>5</v>
      </c>
      <c r="IW113" s="225">
        <f t="shared" si="2952"/>
        <v>6.4900000000000001E-3</v>
      </c>
      <c r="IX113" s="226">
        <f t="shared" si="2953"/>
        <v>10.38</v>
      </c>
      <c r="IY113" s="137">
        <f t="shared" si="2954"/>
        <v>2.0760000000000001</v>
      </c>
      <c r="IZ113" s="227">
        <f t="shared" si="2936"/>
        <v>54.71</v>
      </c>
      <c r="JA113" s="138">
        <f t="shared" si="2955"/>
        <v>113.57796</v>
      </c>
      <c r="JB113" s="110">
        <f t="shared" si="2956"/>
        <v>567.89</v>
      </c>
      <c r="JC113" s="110"/>
      <c r="JD113" s="139"/>
      <c r="JE113" s="140">
        <f t="shared" si="2957"/>
        <v>1.0515600000000001</v>
      </c>
      <c r="JF113" s="198">
        <f t="shared" si="2932"/>
        <v>2</v>
      </c>
      <c r="JG113" s="225">
        <f t="shared" si="2958"/>
        <v>1.49E-3</v>
      </c>
      <c r="JH113" s="226">
        <f t="shared" si="2959"/>
        <v>5.69</v>
      </c>
      <c r="JI113" s="137">
        <f t="shared" si="2960"/>
        <v>2.8450000000000002</v>
      </c>
      <c r="JJ113" s="227">
        <f t="shared" si="2936"/>
        <v>43.31</v>
      </c>
      <c r="JK113" s="138">
        <f t="shared" si="2961"/>
        <v>123.21695</v>
      </c>
      <c r="JL113" s="110">
        <f t="shared" si="2962"/>
        <v>246.43</v>
      </c>
      <c r="JM113" s="110"/>
      <c r="JN113" s="139"/>
      <c r="JO113" s="140">
        <f t="shared" si="2963"/>
        <v>1.1408100000000001</v>
      </c>
      <c r="JP113" s="198">
        <f t="shared" si="2932"/>
        <v>4</v>
      </c>
      <c r="JQ113" s="225">
        <f t="shared" si="2964"/>
        <v>3.2000000000000002E-3</v>
      </c>
      <c r="JR113" s="226">
        <f t="shared" si="2965"/>
        <v>12.16</v>
      </c>
      <c r="JS113" s="137">
        <f t="shared" si="2966"/>
        <v>3.04</v>
      </c>
      <c r="JT113" s="227">
        <f t="shared" si="2936"/>
        <v>57.05</v>
      </c>
      <c r="JU113" s="138">
        <f t="shared" si="2967"/>
        <v>173.43199999999999</v>
      </c>
      <c r="JV113" s="110">
        <f t="shared" si="2968"/>
        <v>693.73</v>
      </c>
      <c r="JW113" s="110"/>
      <c r="JX113" s="139"/>
      <c r="JY113" s="140">
        <f t="shared" si="2969"/>
        <v>1.60572</v>
      </c>
      <c r="JZ113" s="198">
        <f t="shared" si="2932"/>
        <v>0</v>
      </c>
      <c r="KA113" s="225">
        <f t="shared" si="2970"/>
        <v>0</v>
      </c>
      <c r="KB113" s="226">
        <f t="shared" si="2971"/>
        <v>0</v>
      </c>
      <c r="KC113" s="137">
        <f t="shared" si="2972"/>
        <v>0</v>
      </c>
      <c r="KD113" s="227">
        <f t="shared" si="2936"/>
        <v>51.65</v>
      </c>
      <c r="KE113" s="138">
        <f t="shared" si="2973"/>
        <v>0</v>
      </c>
      <c r="KF113" s="110">
        <f t="shared" si="2974"/>
        <v>0</v>
      </c>
      <c r="KG113" s="110"/>
      <c r="KH113" s="139"/>
      <c r="KI113" s="140">
        <f t="shared" si="2975"/>
        <v>0</v>
      </c>
      <c r="KJ113" s="198">
        <f t="shared" si="2976"/>
        <v>2</v>
      </c>
      <c r="KK113" s="225">
        <f t="shared" si="2977"/>
        <v>1.49E-3</v>
      </c>
      <c r="KL113" s="226">
        <f t="shared" si="2978"/>
        <v>3.95</v>
      </c>
      <c r="KM113" s="137">
        <f t="shared" si="2979"/>
        <v>1.9750000000000001</v>
      </c>
      <c r="KN113" s="227">
        <f t="shared" si="2980"/>
        <v>51.78</v>
      </c>
      <c r="KO113" s="138">
        <f t="shared" si="2981"/>
        <v>102.2655</v>
      </c>
      <c r="KP113" s="110">
        <f t="shared" si="2982"/>
        <v>204.53</v>
      </c>
      <c r="KQ113" s="110"/>
      <c r="KR113" s="139"/>
      <c r="KS113" s="140">
        <f t="shared" si="2983"/>
        <v>0.94682999999999995</v>
      </c>
      <c r="KT113" s="198">
        <f t="shared" si="2976"/>
        <v>0</v>
      </c>
      <c r="KU113" s="225">
        <f t="shared" si="2984"/>
        <v>0</v>
      </c>
      <c r="KV113" s="226">
        <f t="shared" si="2985"/>
        <v>0</v>
      </c>
      <c r="KW113" s="137">
        <f t="shared" si="2986"/>
        <v>0</v>
      </c>
      <c r="KX113" s="227">
        <f t="shared" si="2980"/>
        <v>55.65</v>
      </c>
      <c r="KY113" s="138">
        <f t="shared" si="2987"/>
        <v>0</v>
      </c>
      <c r="KZ113" s="110">
        <f t="shared" si="2988"/>
        <v>0</v>
      </c>
      <c r="LA113" s="110"/>
      <c r="LB113" s="139"/>
      <c r="LC113" s="140">
        <f t="shared" si="2989"/>
        <v>0</v>
      </c>
      <c r="LD113" s="197">
        <f t="shared" si="2789"/>
        <v>69</v>
      </c>
      <c r="LE113" s="225">
        <f t="shared" si="2790"/>
        <v>2.4199999999999998E-3</v>
      </c>
      <c r="LF113" s="226">
        <f t="shared" si="2791"/>
        <v>148.34</v>
      </c>
      <c r="LG113" s="137">
        <f t="shared" si="2792"/>
        <v>2.1498550700000001</v>
      </c>
      <c r="LH113" s="227">
        <f t="shared" si="2793"/>
        <v>50.24</v>
      </c>
      <c r="LI113" s="138">
        <f t="shared" si="2794"/>
        <v>108.00872</v>
      </c>
      <c r="LJ113" s="110">
        <f t="shared" si="2795"/>
        <v>7452.6</v>
      </c>
      <c r="LK113" s="110"/>
      <c r="LL113" s="139"/>
    </row>
    <row r="114" spans="1:324" ht="18" customHeight="1" x14ac:dyDescent="0.25">
      <c r="A114" s="246"/>
      <c r="B114" s="70" t="s">
        <v>627</v>
      </c>
      <c r="C114" s="12" t="s">
        <v>728</v>
      </c>
      <c r="D114" s="12" t="s">
        <v>430</v>
      </c>
      <c r="E114" s="4" t="s">
        <v>32</v>
      </c>
      <c r="F114" s="198">
        <f t="shared" si="2799"/>
        <v>0</v>
      </c>
      <c r="G114" s="225">
        <f t="shared" si="2796"/>
        <v>0</v>
      </c>
      <c r="H114" s="226">
        <f t="shared" si="2797"/>
        <v>0</v>
      </c>
      <c r="I114" s="137">
        <f t="shared" si="2570"/>
        <v>0</v>
      </c>
      <c r="J114" s="227">
        <f t="shared" si="2798"/>
        <v>40.909999999999997</v>
      </c>
      <c r="K114" s="138">
        <f t="shared" si="2571"/>
        <v>0</v>
      </c>
      <c r="L114" s="110">
        <f t="shared" si="2572"/>
        <v>0</v>
      </c>
      <c r="M114" s="110"/>
      <c r="N114" s="139"/>
      <c r="O114" s="140">
        <f t="shared" si="2573"/>
        <v>0</v>
      </c>
      <c r="P114" s="198">
        <f t="shared" si="2800"/>
        <v>0</v>
      </c>
      <c r="Q114" s="225">
        <f t="shared" si="2801"/>
        <v>0</v>
      </c>
      <c r="R114" s="226">
        <f t="shared" si="2802"/>
        <v>0</v>
      </c>
      <c r="S114" s="137">
        <f t="shared" si="2803"/>
        <v>0</v>
      </c>
      <c r="T114" s="227">
        <f t="shared" si="2804"/>
        <v>36.11</v>
      </c>
      <c r="U114" s="138">
        <f t="shared" si="2805"/>
        <v>0</v>
      </c>
      <c r="V114" s="110">
        <f t="shared" si="2806"/>
        <v>0</v>
      </c>
      <c r="W114" s="110"/>
      <c r="X114" s="139"/>
      <c r="Y114" s="140">
        <f t="shared" si="2807"/>
        <v>0</v>
      </c>
      <c r="Z114" s="198">
        <f t="shared" si="2800"/>
        <v>0</v>
      </c>
      <c r="AA114" s="225">
        <f t="shared" si="2808"/>
        <v>0</v>
      </c>
      <c r="AB114" s="226">
        <f t="shared" si="2809"/>
        <v>0</v>
      </c>
      <c r="AC114" s="137">
        <f t="shared" si="2810"/>
        <v>0</v>
      </c>
      <c r="AD114" s="227">
        <f t="shared" si="2804"/>
        <v>54.87</v>
      </c>
      <c r="AE114" s="138">
        <f t="shared" si="2811"/>
        <v>0</v>
      </c>
      <c r="AF114" s="110">
        <f t="shared" si="2812"/>
        <v>0</v>
      </c>
      <c r="AG114" s="110"/>
      <c r="AH114" s="139"/>
      <c r="AI114" s="140">
        <f t="shared" si="2813"/>
        <v>0</v>
      </c>
      <c r="AJ114" s="198">
        <f t="shared" si="2800"/>
        <v>0</v>
      </c>
      <c r="AK114" s="225">
        <f t="shared" si="2814"/>
        <v>0</v>
      </c>
      <c r="AL114" s="226">
        <f t="shared" si="2815"/>
        <v>0</v>
      </c>
      <c r="AM114" s="137">
        <f t="shared" si="2816"/>
        <v>0</v>
      </c>
      <c r="AN114" s="227">
        <f t="shared" si="2804"/>
        <v>54.42</v>
      </c>
      <c r="AO114" s="138">
        <f t="shared" si="2817"/>
        <v>0</v>
      </c>
      <c r="AP114" s="110">
        <f t="shared" si="2818"/>
        <v>0</v>
      </c>
      <c r="AQ114" s="110"/>
      <c r="AR114" s="139"/>
      <c r="AS114" s="140">
        <f t="shared" si="2819"/>
        <v>0</v>
      </c>
      <c r="AT114" s="198">
        <f t="shared" si="2800"/>
        <v>4</v>
      </c>
      <c r="AU114" s="225">
        <f t="shared" si="2820"/>
        <v>4.2100000000000002E-3</v>
      </c>
      <c r="AV114" s="226">
        <f t="shared" si="2821"/>
        <v>3.83</v>
      </c>
      <c r="AW114" s="137">
        <f t="shared" si="2822"/>
        <v>0.95750000000000002</v>
      </c>
      <c r="AX114" s="227">
        <f t="shared" si="2804"/>
        <v>49.55</v>
      </c>
      <c r="AY114" s="138">
        <f t="shared" si="2823"/>
        <v>47.444130000000001</v>
      </c>
      <c r="AZ114" s="110">
        <f t="shared" si="2824"/>
        <v>189.78</v>
      </c>
      <c r="BA114" s="110"/>
      <c r="BB114" s="139"/>
      <c r="BC114" s="140">
        <f t="shared" si="2825"/>
        <v>0.43917</v>
      </c>
      <c r="BD114" s="198">
        <f t="shared" si="2800"/>
        <v>0</v>
      </c>
      <c r="BE114" s="225">
        <f t="shared" si="2826"/>
        <v>0</v>
      </c>
      <c r="BF114" s="226">
        <f t="shared" si="2827"/>
        <v>0</v>
      </c>
      <c r="BG114" s="137">
        <f t="shared" si="2828"/>
        <v>0</v>
      </c>
      <c r="BH114" s="227">
        <f t="shared" si="2804"/>
        <v>55.1</v>
      </c>
      <c r="BI114" s="138">
        <f t="shared" si="2829"/>
        <v>0</v>
      </c>
      <c r="BJ114" s="110">
        <f t="shared" si="2830"/>
        <v>0</v>
      </c>
      <c r="BK114" s="110"/>
      <c r="BL114" s="139"/>
      <c r="BM114" s="140">
        <f t="shared" si="2831"/>
        <v>0</v>
      </c>
      <c r="BN114" s="198">
        <f t="shared" si="2800"/>
        <v>0</v>
      </c>
      <c r="BO114" s="225">
        <f t="shared" si="2832"/>
        <v>0</v>
      </c>
      <c r="BP114" s="226">
        <f t="shared" si="2833"/>
        <v>0</v>
      </c>
      <c r="BQ114" s="137">
        <f t="shared" si="2834"/>
        <v>0</v>
      </c>
      <c r="BR114" s="227">
        <f t="shared" si="2804"/>
        <v>54.14</v>
      </c>
      <c r="BS114" s="138">
        <f t="shared" si="2835"/>
        <v>0</v>
      </c>
      <c r="BT114" s="110">
        <f t="shared" si="2836"/>
        <v>0</v>
      </c>
      <c r="BU114" s="110"/>
      <c r="BV114" s="139"/>
      <c r="BW114" s="140">
        <f t="shared" si="2837"/>
        <v>0</v>
      </c>
      <c r="BX114" s="198">
        <f t="shared" si="2800"/>
        <v>3</v>
      </c>
      <c r="BY114" s="225">
        <f t="shared" si="2838"/>
        <v>3.81E-3</v>
      </c>
      <c r="BZ114" s="226">
        <f t="shared" si="2839"/>
        <v>5.6</v>
      </c>
      <c r="CA114" s="137">
        <f t="shared" si="2840"/>
        <v>1.8666666700000001</v>
      </c>
      <c r="CB114" s="227">
        <f t="shared" si="2804"/>
        <v>51.74</v>
      </c>
      <c r="CC114" s="138">
        <f t="shared" si="2841"/>
        <v>96.581329999999994</v>
      </c>
      <c r="CD114" s="110">
        <f t="shared" si="2842"/>
        <v>289.74</v>
      </c>
      <c r="CE114" s="110"/>
      <c r="CF114" s="139"/>
      <c r="CG114" s="140">
        <f t="shared" si="2843"/>
        <v>0.89400999999999997</v>
      </c>
      <c r="CH114" s="198">
        <f t="shared" si="2844"/>
        <v>0</v>
      </c>
      <c r="CI114" s="225">
        <f t="shared" si="2845"/>
        <v>0</v>
      </c>
      <c r="CJ114" s="226">
        <f t="shared" si="2846"/>
        <v>0</v>
      </c>
      <c r="CK114" s="137">
        <f t="shared" si="2847"/>
        <v>0</v>
      </c>
      <c r="CL114" s="227">
        <f t="shared" si="2848"/>
        <v>46.92</v>
      </c>
      <c r="CM114" s="138">
        <f t="shared" si="2849"/>
        <v>0</v>
      </c>
      <c r="CN114" s="110">
        <f t="shared" si="2850"/>
        <v>0</v>
      </c>
      <c r="CO114" s="110"/>
      <c r="CP114" s="139"/>
      <c r="CQ114" s="140">
        <f t="shared" si="2851"/>
        <v>0</v>
      </c>
      <c r="CR114" s="198">
        <f t="shared" si="2844"/>
        <v>1</v>
      </c>
      <c r="CS114" s="225">
        <f t="shared" si="2852"/>
        <v>1.34E-3</v>
      </c>
      <c r="CT114" s="226">
        <f t="shared" si="2853"/>
        <v>1.61</v>
      </c>
      <c r="CU114" s="137">
        <f t="shared" si="2854"/>
        <v>1.61</v>
      </c>
      <c r="CV114" s="227">
        <f t="shared" si="2848"/>
        <v>49.61</v>
      </c>
      <c r="CW114" s="138">
        <f t="shared" si="2855"/>
        <v>79.872100000000003</v>
      </c>
      <c r="CX114" s="110">
        <f t="shared" si="2856"/>
        <v>79.87</v>
      </c>
      <c r="CY114" s="110"/>
      <c r="CZ114" s="139"/>
      <c r="DA114" s="140">
        <f t="shared" si="2857"/>
        <v>0.73934</v>
      </c>
      <c r="DB114" s="198">
        <f t="shared" si="2844"/>
        <v>0</v>
      </c>
      <c r="DC114" s="225">
        <f t="shared" si="2858"/>
        <v>0</v>
      </c>
      <c r="DD114" s="226">
        <f t="shared" si="2859"/>
        <v>0</v>
      </c>
      <c r="DE114" s="137">
        <f t="shared" si="2860"/>
        <v>0</v>
      </c>
      <c r="DF114" s="227">
        <f t="shared" si="2848"/>
        <v>52.57</v>
      </c>
      <c r="DG114" s="138">
        <f t="shared" si="2861"/>
        <v>0</v>
      </c>
      <c r="DH114" s="110">
        <f t="shared" si="2862"/>
        <v>0</v>
      </c>
      <c r="DI114" s="110"/>
      <c r="DJ114" s="139"/>
      <c r="DK114" s="140">
        <f t="shared" si="2863"/>
        <v>0</v>
      </c>
      <c r="DL114" s="198">
        <f t="shared" si="2844"/>
        <v>0</v>
      </c>
      <c r="DM114" s="225">
        <f t="shared" si="2864"/>
        <v>0</v>
      </c>
      <c r="DN114" s="226">
        <f t="shared" si="2865"/>
        <v>0</v>
      </c>
      <c r="DO114" s="137">
        <f t="shared" si="2866"/>
        <v>0</v>
      </c>
      <c r="DP114" s="227">
        <f t="shared" si="2848"/>
        <v>55.25</v>
      </c>
      <c r="DQ114" s="138">
        <f t="shared" si="2867"/>
        <v>0</v>
      </c>
      <c r="DR114" s="110">
        <f t="shared" si="2868"/>
        <v>0</v>
      </c>
      <c r="DS114" s="110"/>
      <c r="DT114" s="139"/>
      <c r="DU114" s="140">
        <f t="shared" si="2869"/>
        <v>0</v>
      </c>
      <c r="DV114" s="198">
        <f t="shared" si="2844"/>
        <v>6</v>
      </c>
      <c r="DW114" s="225">
        <f t="shared" si="2870"/>
        <v>6.8300000000000001E-3</v>
      </c>
      <c r="DX114" s="226">
        <f t="shared" si="2871"/>
        <v>9.08</v>
      </c>
      <c r="DY114" s="137">
        <f t="shared" si="2872"/>
        <v>1.51333333</v>
      </c>
      <c r="DZ114" s="227">
        <f t="shared" si="2848"/>
        <v>34.14</v>
      </c>
      <c r="EA114" s="138">
        <f t="shared" si="2873"/>
        <v>51.665199999999999</v>
      </c>
      <c r="EB114" s="110">
        <f t="shared" si="2874"/>
        <v>309.99</v>
      </c>
      <c r="EC114" s="110"/>
      <c r="ED114" s="139"/>
      <c r="EE114" s="140">
        <f t="shared" si="2875"/>
        <v>0.47824</v>
      </c>
      <c r="EF114" s="198">
        <f t="shared" si="2844"/>
        <v>3</v>
      </c>
      <c r="EG114" s="225">
        <f t="shared" si="2876"/>
        <v>3.1900000000000001E-3</v>
      </c>
      <c r="EH114" s="226">
        <f t="shared" si="2877"/>
        <v>2.93</v>
      </c>
      <c r="EI114" s="137">
        <f t="shared" si="2878"/>
        <v>0.97666666999999996</v>
      </c>
      <c r="EJ114" s="227">
        <f t="shared" si="2848"/>
        <v>44.53</v>
      </c>
      <c r="EK114" s="138">
        <f t="shared" si="2879"/>
        <v>43.490969999999997</v>
      </c>
      <c r="EL114" s="110">
        <f t="shared" si="2880"/>
        <v>130.47</v>
      </c>
      <c r="EM114" s="110"/>
      <c r="EN114" s="139"/>
      <c r="EO114" s="140">
        <f t="shared" si="2881"/>
        <v>0.40257999999999999</v>
      </c>
      <c r="EP114" s="198">
        <f t="shared" si="2844"/>
        <v>6</v>
      </c>
      <c r="EQ114" s="225">
        <f t="shared" si="2882"/>
        <v>6.3600000000000002E-3</v>
      </c>
      <c r="ER114" s="226">
        <f t="shared" si="2883"/>
        <v>13.86</v>
      </c>
      <c r="ES114" s="137">
        <f t="shared" si="2884"/>
        <v>2.31</v>
      </c>
      <c r="ET114" s="227">
        <f t="shared" si="2848"/>
        <v>52.01</v>
      </c>
      <c r="EU114" s="138">
        <f t="shared" si="2885"/>
        <v>120.1431</v>
      </c>
      <c r="EV114" s="110">
        <f t="shared" si="2886"/>
        <v>720.86</v>
      </c>
      <c r="EW114" s="110"/>
      <c r="EX114" s="139"/>
      <c r="EY114" s="140">
        <f t="shared" si="2887"/>
        <v>1.1121099999999999</v>
      </c>
      <c r="EZ114" s="198">
        <f t="shared" si="2888"/>
        <v>4</v>
      </c>
      <c r="FA114" s="225">
        <f t="shared" si="2889"/>
        <v>3.5799999999999998E-3</v>
      </c>
      <c r="FB114" s="226">
        <f t="shared" si="2890"/>
        <v>6.44</v>
      </c>
      <c r="FC114" s="137">
        <f t="shared" si="2891"/>
        <v>1.61</v>
      </c>
      <c r="FD114" s="227">
        <f t="shared" si="2892"/>
        <v>55.47</v>
      </c>
      <c r="FE114" s="138">
        <f t="shared" si="2893"/>
        <v>89.306700000000006</v>
      </c>
      <c r="FF114" s="110">
        <f t="shared" si="2894"/>
        <v>357.23</v>
      </c>
      <c r="FG114" s="110"/>
      <c r="FH114" s="139"/>
      <c r="FI114" s="140">
        <f t="shared" si="2895"/>
        <v>0.82667000000000002</v>
      </c>
      <c r="FJ114" s="198">
        <f t="shared" si="2888"/>
        <v>0</v>
      </c>
      <c r="FK114" s="225">
        <f t="shared" si="2896"/>
        <v>0</v>
      </c>
      <c r="FL114" s="226">
        <f t="shared" si="2897"/>
        <v>0</v>
      </c>
      <c r="FM114" s="137">
        <f t="shared" si="2898"/>
        <v>0</v>
      </c>
      <c r="FN114" s="227">
        <f t="shared" si="2892"/>
        <v>39.74</v>
      </c>
      <c r="FO114" s="138">
        <f t="shared" si="2899"/>
        <v>0</v>
      </c>
      <c r="FP114" s="110">
        <f t="shared" si="2900"/>
        <v>0</v>
      </c>
      <c r="FQ114" s="110"/>
      <c r="FR114" s="139"/>
      <c r="FS114" s="140">
        <f t="shared" si="2901"/>
        <v>0</v>
      </c>
      <c r="FT114" s="198">
        <f t="shared" si="2888"/>
        <v>1</v>
      </c>
      <c r="FU114" s="225">
        <f t="shared" si="2902"/>
        <v>1.25E-3</v>
      </c>
      <c r="FV114" s="226">
        <f t="shared" si="2903"/>
        <v>1.78</v>
      </c>
      <c r="FW114" s="137">
        <f t="shared" si="2904"/>
        <v>1.78</v>
      </c>
      <c r="FX114" s="227">
        <f t="shared" si="2892"/>
        <v>53.97</v>
      </c>
      <c r="FY114" s="138">
        <f t="shared" si="2905"/>
        <v>96.066599999999994</v>
      </c>
      <c r="FZ114" s="110">
        <f t="shared" si="2906"/>
        <v>96.07</v>
      </c>
      <c r="GA114" s="110"/>
      <c r="GB114" s="139"/>
      <c r="GC114" s="140">
        <f t="shared" si="2907"/>
        <v>0.88924000000000003</v>
      </c>
      <c r="GD114" s="198">
        <f t="shared" si="2888"/>
        <v>11</v>
      </c>
      <c r="GE114" s="225">
        <f t="shared" si="2908"/>
        <v>2.1479999999999999E-2</v>
      </c>
      <c r="GF114" s="226">
        <f t="shared" si="2909"/>
        <v>18.47</v>
      </c>
      <c r="GG114" s="137">
        <f t="shared" si="2910"/>
        <v>1.67909091</v>
      </c>
      <c r="GH114" s="227">
        <f t="shared" si="2892"/>
        <v>54.63</v>
      </c>
      <c r="GI114" s="138">
        <f t="shared" si="2911"/>
        <v>91.728740000000002</v>
      </c>
      <c r="GJ114" s="110">
        <f t="shared" si="2912"/>
        <v>1009.02</v>
      </c>
      <c r="GK114" s="110"/>
      <c r="GL114" s="139"/>
      <c r="GM114" s="140">
        <f t="shared" si="2913"/>
        <v>0.84909000000000001</v>
      </c>
      <c r="GN114" s="198">
        <f t="shared" si="2888"/>
        <v>1</v>
      </c>
      <c r="GO114" s="225">
        <f t="shared" si="2914"/>
        <v>1.16E-3</v>
      </c>
      <c r="GP114" s="226">
        <f t="shared" si="2915"/>
        <v>3.19</v>
      </c>
      <c r="GQ114" s="137">
        <f t="shared" si="2916"/>
        <v>3.19</v>
      </c>
      <c r="GR114" s="227">
        <f t="shared" si="2892"/>
        <v>52.13</v>
      </c>
      <c r="GS114" s="138">
        <f t="shared" si="2917"/>
        <v>166.29470000000001</v>
      </c>
      <c r="GT114" s="110">
        <f t="shared" si="2918"/>
        <v>166.29</v>
      </c>
      <c r="GU114" s="110"/>
      <c r="GV114" s="139"/>
      <c r="GW114" s="140">
        <f t="shared" si="2919"/>
        <v>1.53931</v>
      </c>
      <c r="GX114" s="198">
        <f t="shared" si="2888"/>
        <v>0</v>
      </c>
      <c r="GY114" s="225">
        <f t="shared" si="2920"/>
        <v>0</v>
      </c>
      <c r="GZ114" s="226">
        <f t="shared" si="2921"/>
        <v>0</v>
      </c>
      <c r="HA114" s="137">
        <f t="shared" si="2922"/>
        <v>0</v>
      </c>
      <c r="HB114" s="227">
        <f t="shared" si="2892"/>
        <v>42.58</v>
      </c>
      <c r="HC114" s="138">
        <f t="shared" si="2923"/>
        <v>0</v>
      </c>
      <c r="HD114" s="110">
        <f t="shared" si="2924"/>
        <v>0</v>
      </c>
      <c r="HE114" s="110"/>
      <c r="HF114" s="139"/>
      <c r="HG114" s="140">
        <f t="shared" si="2925"/>
        <v>0</v>
      </c>
      <c r="HH114" s="198">
        <f t="shared" si="2888"/>
        <v>0</v>
      </c>
      <c r="HI114" s="225">
        <f t="shared" si="2926"/>
        <v>0</v>
      </c>
      <c r="HJ114" s="226">
        <f t="shared" si="2927"/>
        <v>0</v>
      </c>
      <c r="HK114" s="137">
        <f t="shared" si="2928"/>
        <v>0</v>
      </c>
      <c r="HL114" s="227">
        <f t="shared" si="2892"/>
        <v>49.58</v>
      </c>
      <c r="HM114" s="138">
        <f t="shared" si="2929"/>
        <v>0</v>
      </c>
      <c r="HN114" s="110">
        <f t="shared" si="2930"/>
        <v>0</v>
      </c>
      <c r="HO114" s="110"/>
      <c r="HP114" s="139"/>
      <c r="HQ114" s="140">
        <f t="shared" si="2931"/>
        <v>0</v>
      </c>
      <c r="HR114" s="198">
        <f t="shared" si="2932"/>
        <v>3</v>
      </c>
      <c r="HS114" s="225">
        <f t="shared" si="2933"/>
        <v>3.81E-3</v>
      </c>
      <c r="HT114" s="226">
        <f t="shared" si="2934"/>
        <v>3.43</v>
      </c>
      <c r="HU114" s="137">
        <f t="shared" si="2935"/>
        <v>1.1433333299999999</v>
      </c>
      <c r="HV114" s="227">
        <f t="shared" si="2936"/>
        <v>52.62</v>
      </c>
      <c r="HW114" s="138">
        <f t="shared" si="2937"/>
        <v>60.162199999999999</v>
      </c>
      <c r="HX114" s="110">
        <f t="shared" si="2938"/>
        <v>180.49</v>
      </c>
      <c r="HY114" s="110"/>
      <c r="HZ114" s="139"/>
      <c r="IA114" s="140">
        <f t="shared" si="2939"/>
        <v>0.55689</v>
      </c>
      <c r="IB114" s="198">
        <f t="shared" si="2932"/>
        <v>3</v>
      </c>
      <c r="IC114" s="225">
        <f t="shared" si="2940"/>
        <v>5.47E-3</v>
      </c>
      <c r="ID114" s="226">
        <f t="shared" si="2941"/>
        <v>2.35</v>
      </c>
      <c r="IE114" s="137">
        <f t="shared" si="2942"/>
        <v>0.78333333000000005</v>
      </c>
      <c r="IF114" s="227">
        <f t="shared" si="2936"/>
        <v>50</v>
      </c>
      <c r="IG114" s="138">
        <f t="shared" si="2943"/>
        <v>39.166670000000003</v>
      </c>
      <c r="IH114" s="110">
        <f t="shared" si="2944"/>
        <v>117.5</v>
      </c>
      <c r="II114" s="110"/>
      <c r="IJ114" s="139"/>
      <c r="IK114" s="140">
        <f t="shared" si="2945"/>
        <v>0.36254999999999998</v>
      </c>
      <c r="IL114" s="198">
        <f t="shared" si="2932"/>
        <v>1</v>
      </c>
      <c r="IM114" s="225">
        <f t="shared" si="2946"/>
        <v>7.9000000000000001E-4</v>
      </c>
      <c r="IN114" s="226">
        <f t="shared" si="2947"/>
        <v>2.3199999999999998</v>
      </c>
      <c r="IO114" s="137">
        <f t="shared" si="2948"/>
        <v>2.3199999999999998</v>
      </c>
      <c r="IP114" s="227">
        <f t="shared" si="2936"/>
        <v>54.39</v>
      </c>
      <c r="IQ114" s="138">
        <f t="shared" si="2949"/>
        <v>126.1848</v>
      </c>
      <c r="IR114" s="110">
        <f t="shared" si="2950"/>
        <v>126.18</v>
      </c>
      <c r="IS114" s="110"/>
      <c r="IT114" s="139"/>
      <c r="IU114" s="140">
        <f t="shared" si="2951"/>
        <v>1.1680299999999999</v>
      </c>
      <c r="IV114" s="198">
        <f t="shared" si="2932"/>
        <v>7</v>
      </c>
      <c r="IW114" s="225">
        <f t="shared" si="2952"/>
        <v>9.0799999999999995E-3</v>
      </c>
      <c r="IX114" s="226">
        <f t="shared" si="2953"/>
        <v>14.53</v>
      </c>
      <c r="IY114" s="137">
        <f t="shared" si="2954"/>
        <v>2.0757142900000001</v>
      </c>
      <c r="IZ114" s="227">
        <f t="shared" si="2936"/>
        <v>54.71</v>
      </c>
      <c r="JA114" s="138">
        <f t="shared" si="2955"/>
        <v>113.56233</v>
      </c>
      <c r="JB114" s="110">
        <f t="shared" si="2956"/>
        <v>794.94</v>
      </c>
      <c r="JC114" s="110"/>
      <c r="JD114" s="139"/>
      <c r="JE114" s="140">
        <f t="shared" si="2957"/>
        <v>1.0511900000000001</v>
      </c>
      <c r="JF114" s="198">
        <f t="shared" si="2932"/>
        <v>6</v>
      </c>
      <c r="JG114" s="225">
        <f t="shared" si="2958"/>
        <v>4.47E-3</v>
      </c>
      <c r="JH114" s="226">
        <f t="shared" si="2959"/>
        <v>17.079999999999998</v>
      </c>
      <c r="JI114" s="137">
        <f t="shared" si="2960"/>
        <v>2.8466666699999998</v>
      </c>
      <c r="JJ114" s="227">
        <f t="shared" si="2936"/>
        <v>43.31</v>
      </c>
      <c r="JK114" s="138">
        <f t="shared" si="2961"/>
        <v>123.28913</v>
      </c>
      <c r="JL114" s="110">
        <f t="shared" si="2962"/>
        <v>739.73</v>
      </c>
      <c r="JM114" s="110"/>
      <c r="JN114" s="139"/>
      <c r="JO114" s="140">
        <f t="shared" si="2963"/>
        <v>1.14123</v>
      </c>
      <c r="JP114" s="198">
        <f t="shared" si="2932"/>
        <v>2</v>
      </c>
      <c r="JQ114" s="225">
        <f t="shared" si="2964"/>
        <v>1.6000000000000001E-3</v>
      </c>
      <c r="JR114" s="226">
        <f t="shared" si="2965"/>
        <v>6.08</v>
      </c>
      <c r="JS114" s="137">
        <f t="shared" si="2966"/>
        <v>3.04</v>
      </c>
      <c r="JT114" s="227">
        <f t="shared" si="2936"/>
        <v>57.05</v>
      </c>
      <c r="JU114" s="138">
        <f t="shared" si="2967"/>
        <v>173.43199999999999</v>
      </c>
      <c r="JV114" s="110">
        <f t="shared" si="2968"/>
        <v>346.86</v>
      </c>
      <c r="JW114" s="110"/>
      <c r="JX114" s="139"/>
      <c r="JY114" s="140">
        <f t="shared" si="2969"/>
        <v>1.60538</v>
      </c>
      <c r="JZ114" s="198">
        <f t="shared" si="2932"/>
        <v>0</v>
      </c>
      <c r="KA114" s="225">
        <f t="shared" si="2970"/>
        <v>0</v>
      </c>
      <c r="KB114" s="226">
        <f t="shared" si="2971"/>
        <v>0</v>
      </c>
      <c r="KC114" s="137">
        <f t="shared" si="2972"/>
        <v>0</v>
      </c>
      <c r="KD114" s="227">
        <f t="shared" si="2936"/>
        <v>51.65</v>
      </c>
      <c r="KE114" s="138">
        <f t="shared" si="2973"/>
        <v>0</v>
      </c>
      <c r="KF114" s="110">
        <f t="shared" si="2974"/>
        <v>0</v>
      </c>
      <c r="KG114" s="110"/>
      <c r="KH114" s="139"/>
      <c r="KI114" s="140">
        <f t="shared" si="2975"/>
        <v>0</v>
      </c>
      <c r="KJ114" s="198">
        <f t="shared" si="2976"/>
        <v>0</v>
      </c>
      <c r="KK114" s="225">
        <f t="shared" si="2977"/>
        <v>0</v>
      </c>
      <c r="KL114" s="226">
        <f t="shared" si="2978"/>
        <v>0</v>
      </c>
      <c r="KM114" s="137">
        <f t="shared" si="2979"/>
        <v>0</v>
      </c>
      <c r="KN114" s="227">
        <f t="shared" si="2980"/>
        <v>51.78</v>
      </c>
      <c r="KO114" s="138">
        <f t="shared" si="2981"/>
        <v>0</v>
      </c>
      <c r="KP114" s="110">
        <f t="shared" si="2982"/>
        <v>0</v>
      </c>
      <c r="KQ114" s="110"/>
      <c r="KR114" s="139"/>
      <c r="KS114" s="140">
        <f t="shared" si="2983"/>
        <v>0</v>
      </c>
      <c r="KT114" s="198">
        <f t="shared" si="2976"/>
        <v>1</v>
      </c>
      <c r="KU114" s="225">
        <f t="shared" si="2984"/>
        <v>8.8999999999999995E-4</v>
      </c>
      <c r="KV114" s="226">
        <f t="shared" si="2985"/>
        <v>5.63</v>
      </c>
      <c r="KW114" s="137">
        <f t="shared" si="2986"/>
        <v>5.63</v>
      </c>
      <c r="KX114" s="227">
        <f t="shared" si="2980"/>
        <v>55.65</v>
      </c>
      <c r="KY114" s="138">
        <f t="shared" si="2987"/>
        <v>313.30950000000001</v>
      </c>
      <c r="KZ114" s="110">
        <f t="shared" si="2988"/>
        <v>313.31</v>
      </c>
      <c r="LA114" s="110"/>
      <c r="LB114" s="139"/>
      <c r="LC114" s="140">
        <f t="shared" si="2989"/>
        <v>2.9001600000000001</v>
      </c>
      <c r="LD114" s="197">
        <f t="shared" si="2789"/>
        <v>63</v>
      </c>
      <c r="LE114" s="225">
        <f t="shared" si="2790"/>
        <v>2.2100000000000002E-3</v>
      </c>
      <c r="LF114" s="226">
        <f t="shared" si="2791"/>
        <v>135.47</v>
      </c>
      <c r="LG114" s="137">
        <f t="shared" si="2792"/>
        <v>2.1503174600000001</v>
      </c>
      <c r="LH114" s="227">
        <f t="shared" si="2793"/>
        <v>50.24</v>
      </c>
      <c r="LI114" s="138">
        <f t="shared" si="2794"/>
        <v>108.03194999999999</v>
      </c>
      <c r="LJ114" s="110">
        <f t="shared" si="2795"/>
        <v>6806.01</v>
      </c>
      <c r="LK114" s="110"/>
      <c r="LL114" s="139"/>
    </row>
    <row r="115" spans="1:324" ht="18" customHeight="1" x14ac:dyDescent="0.25">
      <c r="A115" s="246"/>
      <c r="B115" s="229" t="s">
        <v>608</v>
      </c>
      <c r="C115" s="12" t="s">
        <v>728</v>
      </c>
      <c r="D115" s="12" t="s">
        <v>430</v>
      </c>
      <c r="E115" s="4" t="s">
        <v>32</v>
      </c>
      <c r="F115" s="198">
        <f t="shared" si="2799"/>
        <v>0</v>
      </c>
      <c r="G115" s="225">
        <f t="shared" si="2796"/>
        <v>0</v>
      </c>
      <c r="H115" s="226">
        <f t="shared" si="2797"/>
        <v>0</v>
      </c>
      <c r="I115" s="137">
        <f t="shared" si="2570"/>
        <v>0</v>
      </c>
      <c r="J115" s="227">
        <f t="shared" si="2798"/>
        <v>40.909999999999997</v>
      </c>
      <c r="K115" s="138">
        <f t="shared" si="2571"/>
        <v>0</v>
      </c>
      <c r="L115" s="110">
        <f t="shared" si="2572"/>
        <v>0</v>
      </c>
      <c r="M115" s="110"/>
      <c r="N115" s="139"/>
      <c r="O115" s="140">
        <f t="shared" si="2573"/>
        <v>0</v>
      </c>
      <c r="P115" s="198">
        <f t="shared" si="2800"/>
        <v>0</v>
      </c>
      <c r="Q115" s="225">
        <f t="shared" si="2801"/>
        <v>0</v>
      </c>
      <c r="R115" s="226">
        <f t="shared" si="2802"/>
        <v>0</v>
      </c>
      <c r="S115" s="137">
        <f t="shared" si="2803"/>
        <v>0</v>
      </c>
      <c r="T115" s="227">
        <f t="shared" si="2804"/>
        <v>36.11</v>
      </c>
      <c r="U115" s="138">
        <f t="shared" si="2805"/>
        <v>0</v>
      </c>
      <c r="V115" s="110">
        <f t="shared" si="2806"/>
        <v>0</v>
      </c>
      <c r="W115" s="110"/>
      <c r="X115" s="139"/>
      <c r="Y115" s="140">
        <f t="shared" si="2807"/>
        <v>0</v>
      </c>
      <c r="Z115" s="198">
        <f t="shared" si="2800"/>
        <v>0</v>
      </c>
      <c r="AA115" s="225">
        <f t="shared" si="2808"/>
        <v>0</v>
      </c>
      <c r="AB115" s="226">
        <f t="shared" si="2809"/>
        <v>0</v>
      </c>
      <c r="AC115" s="137">
        <f t="shared" si="2810"/>
        <v>0</v>
      </c>
      <c r="AD115" s="227">
        <f t="shared" si="2804"/>
        <v>54.87</v>
      </c>
      <c r="AE115" s="138">
        <f t="shared" si="2811"/>
        <v>0</v>
      </c>
      <c r="AF115" s="110">
        <f t="shared" si="2812"/>
        <v>0</v>
      </c>
      <c r="AG115" s="110"/>
      <c r="AH115" s="139"/>
      <c r="AI115" s="140">
        <f t="shared" si="2813"/>
        <v>0</v>
      </c>
      <c r="AJ115" s="198">
        <f t="shared" si="2800"/>
        <v>0</v>
      </c>
      <c r="AK115" s="225">
        <f t="shared" si="2814"/>
        <v>0</v>
      </c>
      <c r="AL115" s="226">
        <f t="shared" si="2815"/>
        <v>0</v>
      </c>
      <c r="AM115" s="137">
        <f t="shared" si="2816"/>
        <v>0</v>
      </c>
      <c r="AN115" s="227">
        <f t="shared" si="2804"/>
        <v>54.42</v>
      </c>
      <c r="AO115" s="138">
        <f t="shared" si="2817"/>
        <v>0</v>
      </c>
      <c r="AP115" s="110">
        <f t="shared" si="2818"/>
        <v>0</v>
      </c>
      <c r="AQ115" s="110"/>
      <c r="AR115" s="139"/>
      <c r="AS115" s="140">
        <f t="shared" si="2819"/>
        <v>0</v>
      </c>
      <c r="AT115" s="198">
        <f t="shared" si="2800"/>
        <v>0</v>
      </c>
      <c r="AU115" s="225">
        <f t="shared" si="2820"/>
        <v>0</v>
      </c>
      <c r="AV115" s="226">
        <f t="shared" si="2821"/>
        <v>0</v>
      </c>
      <c r="AW115" s="137">
        <f t="shared" si="2822"/>
        <v>0</v>
      </c>
      <c r="AX115" s="227">
        <f t="shared" si="2804"/>
        <v>49.55</v>
      </c>
      <c r="AY115" s="138">
        <f t="shared" si="2823"/>
        <v>0</v>
      </c>
      <c r="AZ115" s="110">
        <f t="shared" si="2824"/>
        <v>0</v>
      </c>
      <c r="BA115" s="110"/>
      <c r="BB115" s="139"/>
      <c r="BC115" s="140">
        <f t="shared" si="2825"/>
        <v>0</v>
      </c>
      <c r="BD115" s="198">
        <f t="shared" si="2800"/>
        <v>0</v>
      </c>
      <c r="BE115" s="225">
        <f t="shared" si="2826"/>
        <v>0</v>
      </c>
      <c r="BF115" s="226">
        <f t="shared" si="2827"/>
        <v>0</v>
      </c>
      <c r="BG115" s="137">
        <f t="shared" si="2828"/>
        <v>0</v>
      </c>
      <c r="BH115" s="227">
        <f t="shared" si="2804"/>
        <v>55.1</v>
      </c>
      <c r="BI115" s="138">
        <f t="shared" si="2829"/>
        <v>0</v>
      </c>
      <c r="BJ115" s="110">
        <f t="shared" si="2830"/>
        <v>0</v>
      </c>
      <c r="BK115" s="110"/>
      <c r="BL115" s="139"/>
      <c r="BM115" s="140">
        <f t="shared" si="2831"/>
        <v>0</v>
      </c>
      <c r="BN115" s="198">
        <f t="shared" si="2800"/>
        <v>0</v>
      </c>
      <c r="BO115" s="225">
        <f t="shared" si="2832"/>
        <v>0</v>
      </c>
      <c r="BP115" s="226">
        <f t="shared" si="2833"/>
        <v>0</v>
      </c>
      <c r="BQ115" s="137">
        <f t="shared" si="2834"/>
        <v>0</v>
      </c>
      <c r="BR115" s="227">
        <f t="shared" si="2804"/>
        <v>54.14</v>
      </c>
      <c r="BS115" s="138">
        <f t="shared" si="2835"/>
        <v>0</v>
      </c>
      <c r="BT115" s="110">
        <f t="shared" si="2836"/>
        <v>0</v>
      </c>
      <c r="BU115" s="110"/>
      <c r="BV115" s="139"/>
      <c r="BW115" s="140">
        <f t="shared" si="2837"/>
        <v>0</v>
      </c>
      <c r="BX115" s="198">
        <f t="shared" si="2800"/>
        <v>0</v>
      </c>
      <c r="BY115" s="225">
        <f t="shared" si="2838"/>
        <v>0</v>
      </c>
      <c r="BZ115" s="226">
        <f t="shared" si="2839"/>
        <v>0</v>
      </c>
      <c r="CA115" s="137">
        <f t="shared" si="2840"/>
        <v>0</v>
      </c>
      <c r="CB115" s="227">
        <f t="shared" si="2804"/>
        <v>51.74</v>
      </c>
      <c r="CC115" s="138">
        <f t="shared" si="2841"/>
        <v>0</v>
      </c>
      <c r="CD115" s="110">
        <f t="shared" si="2842"/>
        <v>0</v>
      </c>
      <c r="CE115" s="110"/>
      <c r="CF115" s="139"/>
      <c r="CG115" s="140">
        <f t="shared" si="2843"/>
        <v>0</v>
      </c>
      <c r="CH115" s="198">
        <f t="shared" si="2844"/>
        <v>0</v>
      </c>
      <c r="CI115" s="225">
        <f t="shared" si="2845"/>
        <v>0</v>
      </c>
      <c r="CJ115" s="226">
        <f t="shared" si="2846"/>
        <v>0</v>
      </c>
      <c r="CK115" s="137">
        <f t="shared" si="2847"/>
        <v>0</v>
      </c>
      <c r="CL115" s="227">
        <f t="shared" si="2848"/>
        <v>46.92</v>
      </c>
      <c r="CM115" s="138">
        <f t="shared" si="2849"/>
        <v>0</v>
      </c>
      <c r="CN115" s="110">
        <f t="shared" si="2850"/>
        <v>0</v>
      </c>
      <c r="CO115" s="110"/>
      <c r="CP115" s="139"/>
      <c r="CQ115" s="140">
        <f t="shared" si="2851"/>
        <v>0</v>
      </c>
      <c r="CR115" s="198">
        <f t="shared" si="2844"/>
        <v>0</v>
      </c>
      <c r="CS115" s="225">
        <f t="shared" si="2852"/>
        <v>0</v>
      </c>
      <c r="CT115" s="226">
        <f t="shared" si="2853"/>
        <v>0</v>
      </c>
      <c r="CU115" s="137">
        <f t="shared" si="2854"/>
        <v>0</v>
      </c>
      <c r="CV115" s="227">
        <f t="shared" si="2848"/>
        <v>49.61</v>
      </c>
      <c r="CW115" s="138">
        <f t="shared" si="2855"/>
        <v>0</v>
      </c>
      <c r="CX115" s="110">
        <f t="shared" si="2856"/>
        <v>0</v>
      </c>
      <c r="CY115" s="110"/>
      <c r="CZ115" s="139"/>
      <c r="DA115" s="140">
        <f t="shared" si="2857"/>
        <v>0</v>
      </c>
      <c r="DB115" s="198">
        <f t="shared" si="2844"/>
        <v>0</v>
      </c>
      <c r="DC115" s="225">
        <f t="shared" si="2858"/>
        <v>0</v>
      </c>
      <c r="DD115" s="226">
        <f t="shared" si="2859"/>
        <v>0</v>
      </c>
      <c r="DE115" s="137">
        <f t="shared" si="2860"/>
        <v>0</v>
      </c>
      <c r="DF115" s="227">
        <f t="shared" si="2848"/>
        <v>52.57</v>
      </c>
      <c r="DG115" s="138">
        <f t="shared" si="2861"/>
        <v>0</v>
      </c>
      <c r="DH115" s="110">
        <f t="shared" si="2862"/>
        <v>0</v>
      </c>
      <c r="DI115" s="110"/>
      <c r="DJ115" s="139"/>
      <c r="DK115" s="140">
        <f t="shared" si="2863"/>
        <v>0</v>
      </c>
      <c r="DL115" s="198">
        <f t="shared" si="2844"/>
        <v>119</v>
      </c>
      <c r="DM115" s="225">
        <f t="shared" si="2864"/>
        <v>0.42048999999999997</v>
      </c>
      <c r="DN115" s="226">
        <f t="shared" si="2865"/>
        <v>315.37</v>
      </c>
      <c r="DO115" s="137">
        <f t="shared" si="2866"/>
        <v>2.6501680699999999</v>
      </c>
      <c r="DP115" s="227">
        <f t="shared" si="2848"/>
        <v>55.25</v>
      </c>
      <c r="DQ115" s="138">
        <f t="shared" si="2867"/>
        <v>146.42178999999999</v>
      </c>
      <c r="DR115" s="110">
        <f t="shared" si="2868"/>
        <v>17424.189999999999</v>
      </c>
      <c r="DS115" s="110"/>
      <c r="DT115" s="139"/>
      <c r="DU115" s="140">
        <f t="shared" si="2869"/>
        <v>1.35683</v>
      </c>
      <c r="DV115" s="198">
        <f t="shared" si="2844"/>
        <v>0</v>
      </c>
      <c r="DW115" s="225">
        <f t="shared" si="2870"/>
        <v>0</v>
      </c>
      <c r="DX115" s="226">
        <f t="shared" si="2871"/>
        <v>0</v>
      </c>
      <c r="DY115" s="137">
        <f t="shared" si="2872"/>
        <v>0</v>
      </c>
      <c r="DZ115" s="227">
        <f t="shared" si="2848"/>
        <v>34.14</v>
      </c>
      <c r="EA115" s="138">
        <f t="shared" si="2873"/>
        <v>0</v>
      </c>
      <c r="EB115" s="110">
        <f t="shared" si="2874"/>
        <v>0</v>
      </c>
      <c r="EC115" s="110"/>
      <c r="ED115" s="139"/>
      <c r="EE115" s="140">
        <f t="shared" si="2875"/>
        <v>0</v>
      </c>
      <c r="EF115" s="198">
        <f t="shared" si="2844"/>
        <v>0</v>
      </c>
      <c r="EG115" s="225">
        <f t="shared" si="2876"/>
        <v>0</v>
      </c>
      <c r="EH115" s="226">
        <f t="shared" si="2877"/>
        <v>0</v>
      </c>
      <c r="EI115" s="137">
        <f t="shared" si="2878"/>
        <v>0</v>
      </c>
      <c r="EJ115" s="227">
        <f t="shared" si="2848"/>
        <v>44.53</v>
      </c>
      <c r="EK115" s="138">
        <f t="shared" si="2879"/>
        <v>0</v>
      </c>
      <c r="EL115" s="110">
        <f t="shared" si="2880"/>
        <v>0</v>
      </c>
      <c r="EM115" s="110"/>
      <c r="EN115" s="139"/>
      <c r="EO115" s="140">
        <f t="shared" si="2881"/>
        <v>0</v>
      </c>
      <c r="EP115" s="198">
        <f t="shared" si="2844"/>
        <v>0</v>
      </c>
      <c r="EQ115" s="225">
        <f t="shared" si="2882"/>
        <v>0</v>
      </c>
      <c r="ER115" s="226">
        <f t="shared" si="2883"/>
        <v>0</v>
      </c>
      <c r="ES115" s="137">
        <f t="shared" si="2884"/>
        <v>0</v>
      </c>
      <c r="ET115" s="227">
        <f t="shared" si="2848"/>
        <v>52.01</v>
      </c>
      <c r="EU115" s="138">
        <f t="shared" si="2885"/>
        <v>0</v>
      </c>
      <c r="EV115" s="110">
        <f t="shared" si="2886"/>
        <v>0</v>
      </c>
      <c r="EW115" s="110"/>
      <c r="EX115" s="139"/>
      <c r="EY115" s="140">
        <f t="shared" si="2887"/>
        <v>0</v>
      </c>
      <c r="EZ115" s="198">
        <f t="shared" si="2888"/>
        <v>0</v>
      </c>
      <c r="FA115" s="225">
        <f t="shared" si="2889"/>
        <v>0</v>
      </c>
      <c r="FB115" s="226">
        <f t="shared" si="2890"/>
        <v>0</v>
      </c>
      <c r="FC115" s="137">
        <f t="shared" si="2891"/>
        <v>0</v>
      </c>
      <c r="FD115" s="227">
        <f t="shared" si="2892"/>
        <v>55.47</v>
      </c>
      <c r="FE115" s="138">
        <f t="shared" si="2893"/>
        <v>0</v>
      </c>
      <c r="FF115" s="110">
        <f t="shared" si="2894"/>
        <v>0</v>
      </c>
      <c r="FG115" s="110"/>
      <c r="FH115" s="139"/>
      <c r="FI115" s="140">
        <f t="shared" si="2895"/>
        <v>0</v>
      </c>
      <c r="FJ115" s="198">
        <f t="shared" si="2888"/>
        <v>0</v>
      </c>
      <c r="FK115" s="225">
        <f t="shared" si="2896"/>
        <v>0</v>
      </c>
      <c r="FL115" s="226">
        <f t="shared" si="2897"/>
        <v>0</v>
      </c>
      <c r="FM115" s="137">
        <f t="shared" si="2898"/>
        <v>0</v>
      </c>
      <c r="FN115" s="227">
        <f t="shared" si="2892"/>
        <v>39.74</v>
      </c>
      <c r="FO115" s="138">
        <f t="shared" si="2899"/>
        <v>0</v>
      </c>
      <c r="FP115" s="110">
        <f t="shared" si="2900"/>
        <v>0</v>
      </c>
      <c r="FQ115" s="110"/>
      <c r="FR115" s="139"/>
      <c r="FS115" s="140">
        <f t="shared" si="2901"/>
        <v>0</v>
      </c>
      <c r="FT115" s="198">
        <f t="shared" si="2888"/>
        <v>0</v>
      </c>
      <c r="FU115" s="225">
        <f t="shared" si="2902"/>
        <v>0</v>
      </c>
      <c r="FV115" s="226">
        <f t="shared" si="2903"/>
        <v>0</v>
      </c>
      <c r="FW115" s="137">
        <f t="shared" si="2904"/>
        <v>0</v>
      </c>
      <c r="FX115" s="227">
        <f t="shared" si="2892"/>
        <v>53.97</v>
      </c>
      <c r="FY115" s="138">
        <f t="shared" si="2905"/>
        <v>0</v>
      </c>
      <c r="FZ115" s="110">
        <f t="shared" si="2906"/>
        <v>0</v>
      </c>
      <c r="GA115" s="110"/>
      <c r="GB115" s="139"/>
      <c r="GC115" s="140">
        <f t="shared" si="2907"/>
        <v>0</v>
      </c>
      <c r="GD115" s="198">
        <f t="shared" si="2888"/>
        <v>0</v>
      </c>
      <c r="GE115" s="225">
        <f t="shared" si="2908"/>
        <v>0</v>
      </c>
      <c r="GF115" s="226">
        <f t="shared" si="2909"/>
        <v>0</v>
      </c>
      <c r="GG115" s="137">
        <f t="shared" si="2910"/>
        <v>0</v>
      </c>
      <c r="GH115" s="227">
        <f t="shared" si="2892"/>
        <v>54.63</v>
      </c>
      <c r="GI115" s="138">
        <f t="shared" si="2911"/>
        <v>0</v>
      </c>
      <c r="GJ115" s="110">
        <f t="shared" si="2912"/>
        <v>0</v>
      </c>
      <c r="GK115" s="110"/>
      <c r="GL115" s="139"/>
      <c r="GM115" s="140">
        <f t="shared" si="2913"/>
        <v>0</v>
      </c>
      <c r="GN115" s="198">
        <f t="shared" si="2888"/>
        <v>0</v>
      </c>
      <c r="GO115" s="225">
        <f t="shared" si="2914"/>
        <v>0</v>
      </c>
      <c r="GP115" s="226">
        <f t="shared" si="2915"/>
        <v>0</v>
      </c>
      <c r="GQ115" s="137">
        <f t="shared" si="2916"/>
        <v>0</v>
      </c>
      <c r="GR115" s="227">
        <f t="shared" si="2892"/>
        <v>52.13</v>
      </c>
      <c r="GS115" s="138">
        <f t="shared" si="2917"/>
        <v>0</v>
      </c>
      <c r="GT115" s="110">
        <f t="shared" si="2918"/>
        <v>0</v>
      </c>
      <c r="GU115" s="110"/>
      <c r="GV115" s="139"/>
      <c r="GW115" s="140">
        <f t="shared" si="2919"/>
        <v>0</v>
      </c>
      <c r="GX115" s="198">
        <f t="shared" si="2888"/>
        <v>0</v>
      </c>
      <c r="GY115" s="225">
        <f t="shared" si="2920"/>
        <v>0</v>
      </c>
      <c r="GZ115" s="226">
        <f t="shared" si="2921"/>
        <v>0</v>
      </c>
      <c r="HA115" s="137">
        <f t="shared" si="2922"/>
        <v>0</v>
      </c>
      <c r="HB115" s="227">
        <f t="shared" si="2892"/>
        <v>42.58</v>
      </c>
      <c r="HC115" s="138">
        <f t="shared" si="2923"/>
        <v>0</v>
      </c>
      <c r="HD115" s="110">
        <f t="shared" si="2924"/>
        <v>0</v>
      </c>
      <c r="HE115" s="110"/>
      <c r="HF115" s="139"/>
      <c r="HG115" s="140">
        <f t="shared" si="2925"/>
        <v>0</v>
      </c>
      <c r="HH115" s="198">
        <f t="shared" si="2888"/>
        <v>0</v>
      </c>
      <c r="HI115" s="225">
        <f t="shared" si="2926"/>
        <v>0</v>
      </c>
      <c r="HJ115" s="226">
        <f t="shared" si="2927"/>
        <v>0</v>
      </c>
      <c r="HK115" s="137">
        <f t="shared" si="2928"/>
        <v>0</v>
      </c>
      <c r="HL115" s="227">
        <f t="shared" si="2892"/>
        <v>49.58</v>
      </c>
      <c r="HM115" s="138">
        <f t="shared" si="2929"/>
        <v>0</v>
      </c>
      <c r="HN115" s="110">
        <f t="shared" si="2930"/>
        <v>0</v>
      </c>
      <c r="HO115" s="110"/>
      <c r="HP115" s="139"/>
      <c r="HQ115" s="140">
        <f t="shared" si="2931"/>
        <v>0</v>
      </c>
      <c r="HR115" s="198">
        <f t="shared" si="2932"/>
        <v>0</v>
      </c>
      <c r="HS115" s="225">
        <f t="shared" si="2933"/>
        <v>0</v>
      </c>
      <c r="HT115" s="226">
        <f t="shared" si="2934"/>
        <v>0</v>
      </c>
      <c r="HU115" s="137">
        <f t="shared" si="2935"/>
        <v>0</v>
      </c>
      <c r="HV115" s="227">
        <f t="shared" si="2936"/>
        <v>52.62</v>
      </c>
      <c r="HW115" s="138">
        <f t="shared" si="2937"/>
        <v>0</v>
      </c>
      <c r="HX115" s="110">
        <f t="shared" si="2938"/>
        <v>0</v>
      </c>
      <c r="HY115" s="110"/>
      <c r="HZ115" s="139"/>
      <c r="IA115" s="140">
        <f t="shared" si="2939"/>
        <v>0</v>
      </c>
      <c r="IB115" s="198">
        <f t="shared" si="2932"/>
        <v>0</v>
      </c>
      <c r="IC115" s="225">
        <f t="shared" si="2940"/>
        <v>0</v>
      </c>
      <c r="ID115" s="226">
        <f t="shared" si="2941"/>
        <v>0</v>
      </c>
      <c r="IE115" s="137">
        <f t="shared" si="2942"/>
        <v>0</v>
      </c>
      <c r="IF115" s="227">
        <f t="shared" si="2936"/>
        <v>50</v>
      </c>
      <c r="IG115" s="138">
        <f t="shared" si="2943"/>
        <v>0</v>
      </c>
      <c r="IH115" s="110">
        <f t="shared" si="2944"/>
        <v>0</v>
      </c>
      <c r="II115" s="110"/>
      <c r="IJ115" s="139"/>
      <c r="IK115" s="140">
        <f t="shared" si="2945"/>
        <v>0</v>
      </c>
      <c r="IL115" s="198">
        <f t="shared" si="2932"/>
        <v>0</v>
      </c>
      <c r="IM115" s="225">
        <f t="shared" si="2946"/>
        <v>0</v>
      </c>
      <c r="IN115" s="226">
        <f t="shared" si="2947"/>
        <v>0</v>
      </c>
      <c r="IO115" s="137">
        <f t="shared" si="2948"/>
        <v>0</v>
      </c>
      <c r="IP115" s="227">
        <f t="shared" si="2936"/>
        <v>54.39</v>
      </c>
      <c r="IQ115" s="138">
        <f t="shared" si="2949"/>
        <v>0</v>
      </c>
      <c r="IR115" s="110">
        <f t="shared" si="2950"/>
        <v>0</v>
      </c>
      <c r="IS115" s="110"/>
      <c r="IT115" s="139"/>
      <c r="IU115" s="140">
        <f t="shared" si="2951"/>
        <v>0</v>
      </c>
      <c r="IV115" s="198">
        <f t="shared" si="2932"/>
        <v>0</v>
      </c>
      <c r="IW115" s="225">
        <f t="shared" si="2952"/>
        <v>0</v>
      </c>
      <c r="IX115" s="226">
        <f t="shared" si="2953"/>
        <v>0</v>
      </c>
      <c r="IY115" s="137">
        <f t="shared" si="2954"/>
        <v>0</v>
      </c>
      <c r="IZ115" s="227">
        <f t="shared" si="2936"/>
        <v>54.71</v>
      </c>
      <c r="JA115" s="138">
        <f t="shared" si="2955"/>
        <v>0</v>
      </c>
      <c r="JB115" s="110">
        <f t="shared" si="2956"/>
        <v>0</v>
      </c>
      <c r="JC115" s="110"/>
      <c r="JD115" s="139"/>
      <c r="JE115" s="140">
        <f t="shared" si="2957"/>
        <v>0</v>
      </c>
      <c r="JF115" s="198">
        <f t="shared" si="2932"/>
        <v>0</v>
      </c>
      <c r="JG115" s="225">
        <f t="shared" si="2958"/>
        <v>0</v>
      </c>
      <c r="JH115" s="226">
        <f t="shared" si="2959"/>
        <v>0</v>
      </c>
      <c r="JI115" s="137">
        <f t="shared" si="2960"/>
        <v>0</v>
      </c>
      <c r="JJ115" s="227">
        <f t="shared" si="2936"/>
        <v>43.31</v>
      </c>
      <c r="JK115" s="138">
        <f t="shared" si="2961"/>
        <v>0</v>
      </c>
      <c r="JL115" s="110">
        <f t="shared" si="2962"/>
        <v>0</v>
      </c>
      <c r="JM115" s="110"/>
      <c r="JN115" s="139"/>
      <c r="JO115" s="140">
        <f t="shared" si="2963"/>
        <v>0</v>
      </c>
      <c r="JP115" s="198">
        <f t="shared" si="2932"/>
        <v>0</v>
      </c>
      <c r="JQ115" s="225">
        <f t="shared" si="2964"/>
        <v>0</v>
      </c>
      <c r="JR115" s="226">
        <f t="shared" si="2965"/>
        <v>0</v>
      </c>
      <c r="JS115" s="137">
        <f t="shared" si="2966"/>
        <v>0</v>
      </c>
      <c r="JT115" s="227">
        <f t="shared" si="2936"/>
        <v>57.05</v>
      </c>
      <c r="JU115" s="138">
        <f t="shared" si="2967"/>
        <v>0</v>
      </c>
      <c r="JV115" s="110">
        <f t="shared" si="2968"/>
        <v>0</v>
      </c>
      <c r="JW115" s="110"/>
      <c r="JX115" s="139"/>
      <c r="JY115" s="140">
        <f t="shared" si="2969"/>
        <v>0</v>
      </c>
      <c r="JZ115" s="198">
        <f t="shared" si="2932"/>
        <v>0</v>
      </c>
      <c r="KA115" s="225">
        <f t="shared" si="2970"/>
        <v>0</v>
      </c>
      <c r="KB115" s="226">
        <f t="shared" si="2971"/>
        <v>0</v>
      </c>
      <c r="KC115" s="137">
        <f t="shared" si="2972"/>
        <v>0</v>
      </c>
      <c r="KD115" s="227">
        <f t="shared" si="2936"/>
        <v>51.65</v>
      </c>
      <c r="KE115" s="138">
        <f t="shared" si="2973"/>
        <v>0</v>
      </c>
      <c r="KF115" s="110">
        <f t="shared" si="2974"/>
        <v>0</v>
      </c>
      <c r="KG115" s="110"/>
      <c r="KH115" s="139"/>
      <c r="KI115" s="140">
        <f t="shared" si="2975"/>
        <v>0</v>
      </c>
      <c r="KJ115" s="198">
        <f t="shared" si="2976"/>
        <v>0</v>
      </c>
      <c r="KK115" s="225">
        <f t="shared" si="2977"/>
        <v>0</v>
      </c>
      <c r="KL115" s="226">
        <f t="shared" si="2978"/>
        <v>0</v>
      </c>
      <c r="KM115" s="137">
        <f t="shared" si="2979"/>
        <v>0</v>
      </c>
      <c r="KN115" s="227">
        <f t="shared" si="2980"/>
        <v>51.78</v>
      </c>
      <c r="KO115" s="138">
        <f t="shared" si="2981"/>
        <v>0</v>
      </c>
      <c r="KP115" s="110">
        <f t="shared" si="2982"/>
        <v>0</v>
      </c>
      <c r="KQ115" s="110"/>
      <c r="KR115" s="139"/>
      <c r="KS115" s="140">
        <f t="shared" si="2983"/>
        <v>0</v>
      </c>
      <c r="KT115" s="198">
        <f t="shared" si="2976"/>
        <v>0</v>
      </c>
      <c r="KU115" s="225">
        <f t="shared" si="2984"/>
        <v>0</v>
      </c>
      <c r="KV115" s="226">
        <f t="shared" si="2985"/>
        <v>0</v>
      </c>
      <c r="KW115" s="137">
        <f t="shared" si="2986"/>
        <v>0</v>
      </c>
      <c r="KX115" s="227">
        <f t="shared" si="2980"/>
        <v>55.65</v>
      </c>
      <c r="KY115" s="138">
        <f t="shared" si="2987"/>
        <v>0</v>
      </c>
      <c r="KZ115" s="110">
        <f t="shared" si="2988"/>
        <v>0</v>
      </c>
      <c r="LA115" s="110"/>
      <c r="LB115" s="139"/>
      <c r="LC115" s="140">
        <f t="shared" si="2989"/>
        <v>0</v>
      </c>
      <c r="LD115" s="197">
        <f t="shared" si="2789"/>
        <v>119</v>
      </c>
      <c r="LE115" s="225">
        <f t="shared" si="2790"/>
        <v>4.1700000000000001E-3</v>
      </c>
      <c r="LF115" s="226">
        <f t="shared" si="2791"/>
        <v>255.61</v>
      </c>
      <c r="LG115" s="137">
        <f t="shared" si="2792"/>
        <v>2.1479831900000002</v>
      </c>
      <c r="LH115" s="227">
        <f t="shared" si="2793"/>
        <v>50.24</v>
      </c>
      <c r="LI115" s="138">
        <f t="shared" si="2794"/>
        <v>107.91468</v>
      </c>
      <c r="LJ115" s="110">
        <f t="shared" si="2795"/>
        <v>12841.85</v>
      </c>
      <c r="LK115" s="110"/>
      <c r="LL115" s="139"/>
    </row>
    <row r="116" spans="1:324" ht="18" hidden="1" customHeight="1" x14ac:dyDescent="0.25">
      <c r="A116" s="247"/>
      <c r="B116" s="93" t="s">
        <v>611</v>
      </c>
      <c r="C116" s="12" t="s">
        <v>728</v>
      </c>
      <c r="D116" s="12" t="s">
        <v>430</v>
      </c>
      <c r="E116" s="4" t="s">
        <v>32</v>
      </c>
      <c r="F116" s="198">
        <f t="shared" si="2799"/>
        <v>0</v>
      </c>
      <c r="G116" s="225">
        <f t="shared" si="2796"/>
        <v>0</v>
      </c>
      <c r="H116" s="226">
        <f t="shared" si="2797"/>
        <v>0</v>
      </c>
      <c r="I116" s="137">
        <f t="shared" si="2570"/>
        <v>0</v>
      </c>
      <c r="J116" s="227">
        <f t="shared" si="2798"/>
        <v>40.909999999999997</v>
      </c>
      <c r="K116" s="138">
        <f t="shared" si="2571"/>
        <v>0</v>
      </c>
      <c r="L116" s="110">
        <f t="shared" si="2572"/>
        <v>0</v>
      </c>
      <c r="M116" s="110"/>
      <c r="N116" s="139"/>
      <c r="O116" s="140">
        <f t="shared" si="2573"/>
        <v>0</v>
      </c>
      <c r="P116" s="198">
        <f t="shared" si="2800"/>
        <v>0</v>
      </c>
      <c r="Q116" s="225">
        <f t="shared" si="2801"/>
        <v>0</v>
      </c>
      <c r="R116" s="226">
        <f t="shared" si="2802"/>
        <v>0</v>
      </c>
      <c r="S116" s="137">
        <f t="shared" si="2803"/>
        <v>0</v>
      </c>
      <c r="T116" s="227">
        <f t="shared" si="2804"/>
        <v>36.11</v>
      </c>
      <c r="U116" s="138">
        <f t="shared" si="2805"/>
        <v>0</v>
      </c>
      <c r="V116" s="110">
        <f t="shared" si="2806"/>
        <v>0</v>
      </c>
      <c r="W116" s="110"/>
      <c r="X116" s="139"/>
      <c r="Y116" s="140">
        <f t="shared" si="2807"/>
        <v>0</v>
      </c>
      <c r="Z116" s="198">
        <f t="shared" si="2800"/>
        <v>0</v>
      </c>
      <c r="AA116" s="225">
        <f t="shared" si="2808"/>
        <v>0</v>
      </c>
      <c r="AB116" s="226">
        <f t="shared" si="2809"/>
        <v>0</v>
      </c>
      <c r="AC116" s="137">
        <f t="shared" si="2810"/>
        <v>0</v>
      </c>
      <c r="AD116" s="227">
        <f t="shared" si="2804"/>
        <v>54.87</v>
      </c>
      <c r="AE116" s="138">
        <f t="shared" si="2811"/>
        <v>0</v>
      </c>
      <c r="AF116" s="110">
        <f t="shared" si="2812"/>
        <v>0</v>
      </c>
      <c r="AG116" s="110"/>
      <c r="AH116" s="139"/>
      <c r="AI116" s="140">
        <f t="shared" si="2813"/>
        <v>0</v>
      </c>
      <c r="AJ116" s="198">
        <f t="shared" si="2800"/>
        <v>0</v>
      </c>
      <c r="AK116" s="225">
        <f t="shared" si="2814"/>
        <v>0</v>
      </c>
      <c r="AL116" s="226">
        <f t="shared" si="2815"/>
        <v>0</v>
      </c>
      <c r="AM116" s="137">
        <f t="shared" si="2816"/>
        <v>0</v>
      </c>
      <c r="AN116" s="227">
        <f t="shared" si="2804"/>
        <v>54.42</v>
      </c>
      <c r="AO116" s="138">
        <f t="shared" si="2817"/>
        <v>0</v>
      </c>
      <c r="AP116" s="110">
        <f t="shared" si="2818"/>
        <v>0</v>
      </c>
      <c r="AQ116" s="110"/>
      <c r="AR116" s="139"/>
      <c r="AS116" s="140">
        <f t="shared" si="2819"/>
        <v>0</v>
      </c>
      <c r="AT116" s="198">
        <f t="shared" si="2800"/>
        <v>0</v>
      </c>
      <c r="AU116" s="225">
        <f t="shared" si="2820"/>
        <v>0</v>
      </c>
      <c r="AV116" s="226">
        <f t="shared" si="2821"/>
        <v>0</v>
      </c>
      <c r="AW116" s="137">
        <f t="shared" si="2822"/>
        <v>0</v>
      </c>
      <c r="AX116" s="227">
        <f t="shared" si="2804"/>
        <v>49.55</v>
      </c>
      <c r="AY116" s="138">
        <f t="shared" si="2823"/>
        <v>0</v>
      </c>
      <c r="AZ116" s="110">
        <f t="shared" si="2824"/>
        <v>0</v>
      </c>
      <c r="BA116" s="110"/>
      <c r="BB116" s="139"/>
      <c r="BC116" s="140">
        <f t="shared" si="2825"/>
        <v>0</v>
      </c>
      <c r="BD116" s="198">
        <f t="shared" si="2800"/>
        <v>0</v>
      </c>
      <c r="BE116" s="225">
        <f t="shared" si="2826"/>
        <v>0</v>
      </c>
      <c r="BF116" s="226">
        <f t="shared" si="2827"/>
        <v>0</v>
      </c>
      <c r="BG116" s="137">
        <f t="shared" si="2828"/>
        <v>0</v>
      </c>
      <c r="BH116" s="227">
        <f t="shared" si="2804"/>
        <v>55.1</v>
      </c>
      <c r="BI116" s="138">
        <f t="shared" si="2829"/>
        <v>0</v>
      </c>
      <c r="BJ116" s="110">
        <f t="shared" si="2830"/>
        <v>0</v>
      </c>
      <c r="BK116" s="110"/>
      <c r="BL116" s="139"/>
      <c r="BM116" s="140">
        <f t="shared" si="2831"/>
        <v>0</v>
      </c>
      <c r="BN116" s="198">
        <f t="shared" si="2800"/>
        <v>0</v>
      </c>
      <c r="BO116" s="225">
        <f t="shared" si="2832"/>
        <v>0</v>
      </c>
      <c r="BP116" s="226">
        <f t="shared" si="2833"/>
        <v>0</v>
      </c>
      <c r="BQ116" s="137">
        <f t="shared" si="2834"/>
        <v>0</v>
      </c>
      <c r="BR116" s="227">
        <f t="shared" si="2804"/>
        <v>54.14</v>
      </c>
      <c r="BS116" s="138">
        <f t="shared" si="2835"/>
        <v>0</v>
      </c>
      <c r="BT116" s="110">
        <f t="shared" si="2836"/>
        <v>0</v>
      </c>
      <c r="BU116" s="110"/>
      <c r="BV116" s="139"/>
      <c r="BW116" s="140">
        <f t="shared" si="2837"/>
        <v>0</v>
      </c>
      <c r="BX116" s="198">
        <f t="shared" si="2800"/>
        <v>0</v>
      </c>
      <c r="BY116" s="225">
        <f t="shared" si="2838"/>
        <v>0</v>
      </c>
      <c r="BZ116" s="226">
        <f t="shared" si="2839"/>
        <v>0</v>
      </c>
      <c r="CA116" s="137">
        <f t="shared" si="2840"/>
        <v>0</v>
      </c>
      <c r="CB116" s="227">
        <f t="shared" si="2804"/>
        <v>51.74</v>
      </c>
      <c r="CC116" s="138">
        <f t="shared" si="2841"/>
        <v>0</v>
      </c>
      <c r="CD116" s="110">
        <f t="shared" si="2842"/>
        <v>0</v>
      </c>
      <c r="CE116" s="110"/>
      <c r="CF116" s="139"/>
      <c r="CG116" s="140">
        <f t="shared" si="2843"/>
        <v>0</v>
      </c>
      <c r="CH116" s="198">
        <f t="shared" si="2844"/>
        <v>0</v>
      </c>
      <c r="CI116" s="225">
        <f t="shared" si="2845"/>
        <v>0</v>
      </c>
      <c r="CJ116" s="226">
        <f t="shared" si="2846"/>
        <v>0</v>
      </c>
      <c r="CK116" s="137">
        <f t="shared" si="2847"/>
        <v>0</v>
      </c>
      <c r="CL116" s="227">
        <f t="shared" si="2848"/>
        <v>46.92</v>
      </c>
      <c r="CM116" s="138">
        <f t="shared" si="2849"/>
        <v>0</v>
      </c>
      <c r="CN116" s="110">
        <f t="shared" si="2850"/>
        <v>0</v>
      </c>
      <c r="CO116" s="110"/>
      <c r="CP116" s="139"/>
      <c r="CQ116" s="140">
        <f t="shared" si="2851"/>
        <v>0</v>
      </c>
      <c r="CR116" s="198">
        <f t="shared" si="2844"/>
        <v>0</v>
      </c>
      <c r="CS116" s="225">
        <f t="shared" si="2852"/>
        <v>0</v>
      </c>
      <c r="CT116" s="226">
        <f t="shared" si="2853"/>
        <v>0</v>
      </c>
      <c r="CU116" s="137">
        <f t="shared" si="2854"/>
        <v>0</v>
      </c>
      <c r="CV116" s="227">
        <f t="shared" si="2848"/>
        <v>49.61</v>
      </c>
      <c r="CW116" s="138">
        <f t="shared" si="2855"/>
        <v>0</v>
      </c>
      <c r="CX116" s="110">
        <f t="shared" si="2856"/>
        <v>0</v>
      </c>
      <c r="CY116" s="110"/>
      <c r="CZ116" s="139"/>
      <c r="DA116" s="140">
        <f t="shared" si="2857"/>
        <v>0</v>
      </c>
      <c r="DB116" s="198">
        <f t="shared" si="2844"/>
        <v>0</v>
      </c>
      <c r="DC116" s="225">
        <f t="shared" si="2858"/>
        <v>0</v>
      </c>
      <c r="DD116" s="226">
        <f t="shared" si="2859"/>
        <v>0</v>
      </c>
      <c r="DE116" s="137">
        <f t="shared" si="2860"/>
        <v>0</v>
      </c>
      <c r="DF116" s="227">
        <f t="shared" si="2848"/>
        <v>52.57</v>
      </c>
      <c r="DG116" s="138">
        <f t="shared" si="2861"/>
        <v>0</v>
      </c>
      <c r="DH116" s="110">
        <f t="shared" si="2862"/>
        <v>0</v>
      </c>
      <c r="DI116" s="110"/>
      <c r="DJ116" s="139"/>
      <c r="DK116" s="140">
        <f t="shared" si="2863"/>
        <v>0</v>
      </c>
      <c r="DL116" s="198">
        <f t="shared" si="2844"/>
        <v>5</v>
      </c>
      <c r="DM116" s="225">
        <f t="shared" si="2864"/>
        <v>1.7670000000000002E-2</v>
      </c>
      <c r="DN116" s="226">
        <f t="shared" si="2865"/>
        <v>13.25</v>
      </c>
      <c r="DO116" s="137">
        <f t="shared" si="2866"/>
        <v>2.65</v>
      </c>
      <c r="DP116" s="227">
        <f t="shared" si="2848"/>
        <v>55.25</v>
      </c>
      <c r="DQ116" s="138">
        <f t="shared" si="2867"/>
        <v>146.41249999999999</v>
      </c>
      <c r="DR116" s="110">
        <f t="shared" si="2868"/>
        <v>732.06</v>
      </c>
      <c r="DS116" s="110"/>
      <c r="DT116" s="139"/>
      <c r="DU116" s="140">
        <f t="shared" si="2869"/>
        <v>1.3210599999999999</v>
      </c>
      <c r="DV116" s="198">
        <f t="shared" si="2844"/>
        <v>0</v>
      </c>
      <c r="DW116" s="225">
        <f t="shared" si="2870"/>
        <v>0</v>
      </c>
      <c r="DX116" s="226">
        <f t="shared" si="2871"/>
        <v>0</v>
      </c>
      <c r="DY116" s="137">
        <f t="shared" si="2872"/>
        <v>0</v>
      </c>
      <c r="DZ116" s="227">
        <f t="shared" si="2848"/>
        <v>34.14</v>
      </c>
      <c r="EA116" s="138">
        <f t="shared" si="2873"/>
        <v>0</v>
      </c>
      <c r="EB116" s="110">
        <f t="shared" si="2874"/>
        <v>0</v>
      </c>
      <c r="EC116" s="110"/>
      <c r="ED116" s="139"/>
      <c r="EE116" s="140">
        <f t="shared" si="2875"/>
        <v>0</v>
      </c>
      <c r="EF116" s="198">
        <f t="shared" si="2844"/>
        <v>0</v>
      </c>
      <c r="EG116" s="225">
        <f t="shared" si="2876"/>
        <v>0</v>
      </c>
      <c r="EH116" s="226">
        <f t="shared" si="2877"/>
        <v>0</v>
      </c>
      <c r="EI116" s="137">
        <f t="shared" si="2878"/>
        <v>0</v>
      </c>
      <c r="EJ116" s="227">
        <f t="shared" si="2848"/>
        <v>44.53</v>
      </c>
      <c r="EK116" s="138">
        <f t="shared" si="2879"/>
        <v>0</v>
      </c>
      <c r="EL116" s="110">
        <f t="shared" si="2880"/>
        <v>0</v>
      </c>
      <c r="EM116" s="110"/>
      <c r="EN116" s="139"/>
      <c r="EO116" s="140">
        <f t="shared" si="2881"/>
        <v>0</v>
      </c>
      <c r="EP116" s="198">
        <f t="shared" si="2844"/>
        <v>0</v>
      </c>
      <c r="EQ116" s="225">
        <f t="shared" si="2882"/>
        <v>0</v>
      </c>
      <c r="ER116" s="226">
        <f t="shared" si="2883"/>
        <v>0</v>
      </c>
      <c r="ES116" s="137">
        <f t="shared" si="2884"/>
        <v>0</v>
      </c>
      <c r="ET116" s="227">
        <f t="shared" si="2848"/>
        <v>52.01</v>
      </c>
      <c r="EU116" s="138">
        <f t="shared" si="2885"/>
        <v>0</v>
      </c>
      <c r="EV116" s="110">
        <f t="shared" si="2886"/>
        <v>0</v>
      </c>
      <c r="EW116" s="110"/>
      <c r="EX116" s="139"/>
      <c r="EY116" s="140">
        <f t="shared" si="2887"/>
        <v>0</v>
      </c>
      <c r="EZ116" s="198">
        <f t="shared" si="2888"/>
        <v>0</v>
      </c>
      <c r="FA116" s="225">
        <f t="shared" si="2889"/>
        <v>0</v>
      </c>
      <c r="FB116" s="226">
        <f t="shared" si="2890"/>
        <v>0</v>
      </c>
      <c r="FC116" s="137">
        <f t="shared" si="2891"/>
        <v>0</v>
      </c>
      <c r="FD116" s="227">
        <f t="shared" si="2892"/>
        <v>55.47</v>
      </c>
      <c r="FE116" s="138">
        <f t="shared" si="2893"/>
        <v>0</v>
      </c>
      <c r="FF116" s="110">
        <f t="shared" si="2894"/>
        <v>0</v>
      </c>
      <c r="FG116" s="110"/>
      <c r="FH116" s="139"/>
      <c r="FI116" s="140">
        <f t="shared" si="2895"/>
        <v>0</v>
      </c>
      <c r="FJ116" s="198">
        <f t="shared" si="2888"/>
        <v>0</v>
      </c>
      <c r="FK116" s="225">
        <f t="shared" si="2896"/>
        <v>0</v>
      </c>
      <c r="FL116" s="226">
        <f t="shared" si="2897"/>
        <v>0</v>
      </c>
      <c r="FM116" s="137">
        <f t="shared" si="2898"/>
        <v>0</v>
      </c>
      <c r="FN116" s="227">
        <f t="shared" si="2892"/>
        <v>39.74</v>
      </c>
      <c r="FO116" s="138">
        <f t="shared" si="2899"/>
        <v>0</v>
      </c>
      <c r="FP116" s="110">
        <f t="shared" si="2900"/>
        <v>0</v>
      </c>
      <c r="FQ116" s="110"/>
      <c r="FR116" s="139"/>
      <c r="FS116" s="140">
        <f t="shared" si="2901"/>
        <v>0</v>
      </c>
      <c r="FT116" s="198">
        <f t="shared" si="2888"/>
        <v>0</v>
      </c>
      <c r="FU116" s="225">
        <f t="shared" si="2902"/>
        <v>0</v>
      </c>
      <c r="FV116" s="226">
        <f t="shared" si="2903"/>
        <v>0</v>
      </c>
      <c r="FW116" s="137">
        <f t="shared" si="2904"/>
        <v>0</v>
      </c>
      <c r="FX116" s="227">
        <f t="shared" si="2892"/>
        <v>53.97</v>
      </c>
      <c r="FY116" s="138">
        <f t="shared" si="2905"/>
        <v>0</v>
      </c>
      <c r="FZ116" s="110">
        <f t="shared" si="2906"/>
        <v>0</v>
      </c>
      <c r="GA116" s="110"/>
      <c r="GB116" s="139"/>
      <c r="GC116" s="140">
        <f t="shared" si="2907"/>
        <v>0</v>
      </c>
      <c r="GD116" s="198">
        <f t="shared" si="2888"/>
        <v>0</v>
      </c>
      <c r="GE116" s="225">
        <f t="shared" si="2908"/>
        <v>0</v>
      </c>
      <c r="GF116" s="226">
        <f t="shared" si="2909"/>
        <v>0</v>
      </c>
      <c r="GG116" s="137">
        <f t="shared" si="2910"/>
        <v>0</v>
      </c>
      <c r="GH116" s="227">
        <f t="shared" si="2892"/>
        <v>54.63</v>
      </c>
      <c r="GI116" s="138">
        <f t="shared" si="2911"/>
        <v>0</v>
      </c>
      <c r="GJ116" s="110">
        <f t="shared" si="2912"/>
        <v>0</v>
      </c>
      <c r="GK116" s="110"/>
      <c r="GL116" s="139"/>
      <c r="GM116" s="140">
        <f t="shared" si="2913"/>
        <v>0</v>
      </c>
      <c r="GN116" s="198">
        <f t="shared" si="2888"/>
        <v>0</v>
      </c>
      <c r="GO116" s="225">
        <f t="shared" si="2914"/>
        <v>0</v>
      </c>
      <c r="GP116" s="226">
        <f t="shared" si="2915"/>
        <v>0</v>
      </c>
      <c r="GQ116" s="137">
        <f t="shared" si="2916"/>
        <v>0</v>
      </c>
      <c r="GR116" s="227">
        <f t="shared" si="2892"/>
        <v>52.13</v>
      </c>
      <c r="GS116" s="138">
        <f t="shared" si="2917"/>
        <v>0</v>
      </c>
      <c r="GT116" s="110">
        <f t="shared" si="2918"/>
        <v>0</v>
      </c>
      <c r="GU116" s="110"/>
      <c r="GV116" s="139"/>
      <c r="GW116" s="140">
        <f t="shared" si="2919"/>
        <v>0</v>
      </c>
      <c r="GX116" s="198">
        <f t="shared" si="2888"/>
        <v>0</v>
      </c>
      <c r="GY116" s="225">
        <f t="shared" si="2920"/>
        <v>0</v>
      </c>
      <c r="GZ116" s="226">
        <f t="shared" si="2921"/>
        <v>0</v>
      </c>
      <c r="HA116" s="137">
        <f t="shared" si="2922"/>
        <v>0</v>
      </c>
      <c r="HB116" s="227">
        <f t="shared" si="2892"/>
        <v>42.58</v>
      </c>
      <c r="HC116" s="138">
        <f t="shared" si="2923"/>
        <v>0</v>
      </c>
      <c r="HD116" s="110">
        <f t="shared" si="2924"/>
        <v>0</v>
      </c>
      <c r="HE116" s="110"/>
      <c r="HF116" s="139"/>
      <c r="HG116" s="140">
        <f t="shared" si="2925"/>
        <v>0</v>
      </c>
      <c r="HH116" s="198">
        <f t="shared" si="2888"/>
        <v>0</v>
      </c>
      <c r="HI116" s="225">
        <f t="shared" si="2926"/>
        <v>0</v>
      </c>
      <c r="HJ116" s="226">
        <f t="shared" si="2927"/>
        <v>0</v>
      </c>
      <c r="HK116" s="137">
        <f t="shared" si="2928"/>
        <v>0</v>
      </c>
      <c r="HL116" s="227">
        <f t="shared" si="2892"/>
        <v>49.58</v>
      </c>
      <c r="HM116" s="138">
        <f t="shared" si="2929"/>
        <v>0</v>
      </c>
      <c r="HN116" s="110">
        <f t="shared" si="2930"/>
        <v>0</v>
      </c>
      <c r="HO116" s="110"/>
      <c r="HP116" s="139"/>
      <c r="HQ116" s="140">
        <f t="shared" si="2931"/>
        <v>0</v>
      </c>
      <c r="HR116" s="198">
        <f t="shared" si="2932"/>
        <v>0</v>
      </c>
      <c r="HS116" s="225">
        <f t="shared" si="2933"/>
        <v>0</v>
      </c>
      <c r="HT116" s="226">
        <f t="shared" si="2934"/>
        <v>0</v>
      </c>
      <c r="HU116" s="137">
        <f t="shared" si="2935"/>
        <v>0</v>
      </c>
      <c r="HV116" s="227">
        <f t="shared" si="2936"/>
        <v>52.62</v>
      </c>
      <c r="HW116" s="138">
        <f t="shared" si="2937"/>
        <v>0</v>
      </c>
      <c r="HX116" s="110">
        <f t="shared" si="2938"/>
        <v>0</v>
      </c>
      <c r="HY116" s="110"/>
      <c r="HZ116" s="139"/>
      <c r="IA116" s="140">
        <f t="shared" si="2939"/>
        <v>0</v>
      </c>
      <c r="IB116" s="198">
        <f t="shared" si="2932"/>
        <v>0</v>
      </c>
      <c r="IC116" s="225">
        <f t="shared" si="2940"/>
        <v>0</v>
      </c>
      <c r="ID116" s="226">
        <f t="shared" si="2941"/>
        <v>0</v>
      </c>
      <c r="IE116" s="137">
        <f t="shared" si="2942"/>
        <v>0</v>
      </c>
      <c r="IF116" s="227">
        <f t="shared" si="2936"/>
        <v>50</v>
      </c>
      <c r="IG116" s="138">
        <f t="shared" si="2943"/>
        <v>0</v>
      </c>
      <c r="IH116" s="110">
        <f t="shared" si="2944"/>
        <v>0</v>
      </c>
      <c r="II116" s="110"/>
      <c r="IJ116" s="139"/>
      <c r="IK116" s="140">
        <f t="shared" si="2945"/>
        <v>0</v>
      </c>
      <c r="IL116" s="198">
        <f t="shared" si="2932"/>
        <v>0</v>
      </c>
      <c r="IM116" s="225">
        <f t="shared" si="2946"/>
        <v>0</v>
      </c>
      <c r="IN116" s="226">
        <f t="shared" si="2947"/>
        <v>0</v>
      </c>
      <c r="IO116" s="137">
        <f t="shared" si="2948"/>
        <v>0</v>
      </c>
      <c r="IP116" s="227">
        <f t="shared" si="2936"/>
        <v>54.39</v>
      </c>
      <c r="IQ116" s="138">
        <f t="shared" si="2949"/>
        <v>0</v>
      </c>
      <c r="IR116" s="110">
        <f t="shared" si="2950"/>
        <v>0</v>
      </c>
      <c r="IS116" s="110"/>
      <c r="IT116" s="139"/>
      <c r="IU116" s="140">
        <f t="shared" si="2951"/>
        <v>0</v>
      </c>
      <c r="IV116" s="198">
        <f t="shared" si="2932"/>
        <v>0</v>
      </c>
      <c r="IW116" s="225">
        <f t="shared" si="2952"/>
        <v>0</v>
      </c>
      <c r="IX116" s="226">
        <f t="shared" si="2953"/>
        <v>0</v>
      </c>
      <c r="IY116" s="137">
        <f t="shared" si="2954"/>
        <v>0</v>
      </c>
      <c r="IZ116" s="227">
        <f t="shared" si="2936"/>
        <v>54.71</v>
      </c>
      <c r="JA116" s="138">
        <f t="shared" si="2955"/>
        <v>0</v>
      </c>
      <c r="JB116" s="110">
        <f t="shared" si="2956"/>
        <v>0</v>
      </c>
      <c r="JC116" s="110"/>
      <c r="JD116" s="139"/>
      <c r="JE116" s="140">
        <f t="shared" si="2957"/>
        <v>0</v>
      </c>
      <c r="JF116" s="198">
        <f t="shared" si="2932"/>
        <v>0</v>
      </c>
      <c r="JG116" s="225">
        <f t="shared" si="2958"/>
        <v>0</v>
      </c>
      <c r="JH116" s="226">
        <f t="shared" si="2959"/>
        <v>0</v>
      </c>
      <c r="JI116" s="137">
        <f t="shared" si="2960"/>
        <v>0</v>
      </c>
      <c r="JJ116" s="227">
        <f t="shared" si="2936"/>
        <v>43.31</v>
      </c>
      <c r="JK116" s="138">
        <f t="shared" si="2961"/>
        <v>0</v>
      </c>
      <c r="JL116" s="110">
        <f t="shared" si="2962"/>
        <v>0</v>
      </c>
      <c r="JM116" s="110"/>
      <c r="JN116" s="139"/>
      <c r="JO116" s="140">
        <f t="shared" si="2963"/>
        <v>0</v>
      </c>
      <c r="JP116" s="198">
        <f t="shared" si="2932"/>
        <v>0</v>
      </c>
      <c r="JQ116" s="225">
        <f t="shared" si="2964"/>
        <v>0</v>
      </c>
      <c r="JR116" s="226">
        <f t="shared" si="2965"/>
        <v>0</v>
      </c>
      <c r="JS116" s="137">
        <f t="shared" si="2966"/>
        <v>0</v>
      </c>
      <c r="JT116" s="227">
        <f t="shared" si="2936"/>
        <v>57.05</v>
      </c>
      <c r="JU116" s="138">
        <f t="shared" si="2967"/>
        <v>0</v>
      </c>
      <c r="JV116" s="110">
        <f t="shared" si="2968"/>
        <v>0</v>
      </c>
      <c r="JW116" s="110"/>
      <c r="JX116" s="139"/>
      <c r="JY116" s="140">
        <f t="shared" si="2969"/>
        <v>0</v>
      </c>
      <c r="JZ116" s="198">
        <f t="shared" si="2932"/>
        <v>0</v>
      </c>
      <c r="KA116" s="225">
        <f t="shared" si="2970"/>
        <v>0</v>
      </c>
      <c r="KB116" s="226">
        <f t="shared" si="2971"/>
        <v>0</v>
      </c>
      <c r="KC116" s="137">
        <f t="shared" si="2972"/>
        <v>0</v>
      </c>
      <c r="KD116" s="227">
        <f t="shared" si="2936"/>
        <v>51.65</v>
      </c>
      <c r="KE116" s="138">
        <f t="shared" si="2973"/>
        <v>0</v>
      </c>
      <c r="KF116" s="110">
        <f t="shared" si="2974"/>
        <v>0</v>
      </c>
      <c r="KG116" s="110"/>
      <c r="KH116" s="139"/>
      <c r="KI116" s="140">
        <f t="shared" si="2975"/>
        <v>0</v>
      </c>
      <c r="KJ116" s="198">
        <f t="shared" si="2976"/>
        <v>0</v>
      </c>
      <c r="KK116" s="225">
        <f t="shared" si="2977"/>
        <v>0</v>
      </c>
      <c r="KL116" s="226">
        <f t="shared" si="2978"/>
        <v>0</v>
      </c>
      <c r="KM116" s="137">
        <f t="shared" si="2979"/>
        <v>0</v>
      </c>
      <c r="KN116" s="227">
        <f t="shared" si="2980"/>
        <v>51.78</v>
      </c>
      <c r="KO116" s="138">
        <f t="shared" si="2981"/>
        <v>0</v>
      </c>
      <c r="KP116" s="110">
        <f t="shared" si="2982"/>
        <v>0</v>
      </c>
      <c r="KQ116" s="110"/>
      <c r="KR116" s="139"/>
      <c r="KS116" s="140">
        <f t="shared" si="2983"/>
        <v>0</v>
      </c>
      <c r="KT116" s="198">
        <f t="shared" si="2976"/>
        <v>0</v>
      </c>
      <c r="KU116" s="225">
        <f t="shared" si="2984"/>
        <v>0</v>
      </c>
      <c r="KV116" s="226">
        <f t="shared" si="2985"/>
        <v>0</v>
      </c>
      <c r="KW116" s="137">
        <f t="shared" si="2986"/>
        <v>0</v>
      </c>
      <c r="KX116" s="227">
        <f t="shared" si="2980"/>
        <v>55.65</v>
      </c>
      <c r="KY116" s="138">
        <f t="shared" si="2987"/>
        <v>0</v>
      </c>
      <c r="KZ116" s="110">
        <f t="shared" si="2988"/>
        <v>0</v>
      </c>
      <c r="LA116" s="110"/>
      <c r="LB116" s="139"/>
      <c r="LC116" s="140">
        <f t="shared" si="2989"/>
        <v>0</v>
      </c>
      <c r="LD116" s="197">
        <f t="shared" si="2789"/>
        <v>5</v>
      </c>
      <c r="LE116" s="225">
        <f t="shared" si="2790"/>
        <v>1.8000000000000001E-4</v>
      </c>
      <c r="LF116" s="226">
        <f t="shared" si="2791"/>
        <v>11.03</v>
      </c>
      <c r="LG116" s="137">
        <f t="shared" si="2792"/>
        <v>2.206</v>
      </c>
      <c r="LH116" s="227">
        <f t="shared" si="2793"/>
        <v>50.24</v>
      </c>
      <c r="LI116" s="138">
        <f t="shared" si="2794"/>
        <v>110.82944000000001</v>
      </c>
      <c r="LJ116" s="110">
        <f t="shared" si="2795"/>
        <v>554.15</v>
      </c>
      <c r="LK116" s="110"/>
      <c r="LL116" s="139"/>
    </row>
    <row r="117" spans="1:324" ht="18" customHeight="1" x14ac:dyDescent="0.25">
      <c r="A117" s="244"/>
      <c r="B117" s="244" t="s">
        <v>855</v>
      </c>
      <c r="C117" s="12"/>
      <c r="D117" s="12"/>
      <c r="E117" s="4"/>
      <c r="F117" s="198"/>
      <c r="G117" s="225"/>
      <c r="H117" s="226"/>
      <c r="I117" s="137"/>
      <c r="J117" s="227"/>
      <c r="K117" s="138"/>
      <c r="L117" s="110"/>
      <c r="M117" s="110"/>
      <c r="N117" s="139"/>
      <c r="O117" s="140"/>
      <c r="P117" s="198"/>
      <c r="Q117" s="225"/>
      <c r="R117" s="226"/>
      <c r="S117" s="137"/>
      <c r="T117" s="227"/>
      <c r="U117" s="138"/>
      <c r="V117" s="110"/>
      <c r="W117" s="110"/>
      <c r="X117" s="139"/>
      <c r="Y117" s="140"/>
      <c r="Z117" s="198"/>
      <c r="AA117" s="225"/>
      <c r="AB117" s="226"/>
      <c r="AC117" s="137"/>
      <c r="AD117" s="227"/>
      <c r="AE117" s="138"/>
      <c r="AF117" s="110"/>
      <c r="AG117" s="110"/>
      <c r="AH117" s="139"/>
      <c r="AI117" s="140"/>
      <c r="AJ117" s="198"/>
      <c r="AK117" s="225"/>
      <c r="AL117" s="226"/>
      <c r="AM117" s="137"/>
      <c r="AN117" s="227"/>
      <c r="AO117" s="138"/>
      <c r="AP117" s="110"/>
      <c r="AQ117" s="110"/>
      <c r="AR117" s="139"/>
      <c r="AS117" s="140"/>
      <c r="AT117" s="198"/>
      <c r="AU117" s="225"/>
      <c r="AV117" s="226"/>
      <c r="AW117" s="137"/>
      <c r="AX117" s="227"/>
      <c r="AY117" s="138"/>
      <c r="AZ117" s="110"/>
      <c r="BA117" s="110"/>
      <c r="BB117" s="139"/>
      <c r="BC117" s="140"/>
      <c r="BD117" s="198"/>
      <c r="BE117" s="225"/>
      <c r="BF117" s="226"/>
      <c r="BG117" s="137"/>
      <c r="BH117" s="227"/>
      <c r="BI117" s="138"/>
      <c r="BJ117" s="110"/>
      <c r="BK117" s="110"/>
      <c r="BL117" s="139"/>
      <c r="BM117" s="140"/>
      <c r="BN117" s="198"/>
      <c r="BO117" s="225"/>
      <c r="BP117" s="226"/>
      <c r="BQ117" s="137"/>
      <c r="BR117" s="227"/>
      <c r="BS117" s="138"/>
      <c r="BT117" s="110"/>
      <c r="BU117" s="110"/>
      <c r="BV117" s="139"/>
      <c r="BW117" s="140"/>
      <c r="BX117" s="198"/>
      <c r="BY117" s="225"/>
      <c r="BZ117" s="226"/>
      <c r="CA117" s="137"/>
      <c r="CB117" s="227"/>
      <c r="CC117" s="138"/>
      <c r="CD117" s="110"/>
      <c r="CE117" s="110"/>
      <c r="CF117" s="139"/>
      <c r="CG117" s="140"/>
      <c r="CH117" s="198"/>
      <c r="CI117" s="225"/>
      <c r="CJ117" s="226"/>
      <c r="CK117" s="137"/>
      <c r="CL117" s="227"/>
      <c r="CM117" s="138"/>
      <c r="CN117" s="110"/>
      <c r="CO117" s="110"/>
      <c r="CP117" s="139"/>
      <c r="CQ117" s="140"/>
      <c r="CR117" s="198"/>
      <c r="CS117" s="225"/>
      <c r="CT117" s="226"/>
      <c r="CU117" s="137"/>
      <c r="CV117" s="227"/>
      <c r="CW117" s="138"/>
      <c r="CX117" s="110"/>
      <c r="CY117" s="110"/>
      <c r="CZ117" s="139"/>
      <c r="DA117" s="140"/>
      <c r="DB117" s="198"/>
      <c r="DC117" s="225"/>
      <c r="DD117" s="226"/>
      <c r="DE117" s="137"/>
      <c r="DF117" s="227"/>
      <c r="DG117" s="138"/>
      <c r="DH117" s="110"/>
      <c r="DI117" s="110"/>
      <c r="DJ117" s="139"/>
      <c r="DK117" s="140"/>
      <c r="DL117" s="198"/>
      <c r="DM117" s="225"/>
      <c r="DN117" s="226"/>
      <c r="DO117" s="137"/>
      <c r="DP117" s="227"/>
      <c r="DQ117" s="138"/>
      <c r="DR117" s="110"/>
      <c r="DS117" s="110"/>
      <c r="DT117" s="139"/>
      <c r="DU117" s="140"/>
      <c r="DV117" s="198"/>
      <c r="DW117" s="225"/>
      <c r="DX117" s="226"/>
      <c r="DY117" s="137"/>
      <c r="DZ117" s="227"/>
      <c r="EA117" s="138"/>
      <c r="EB117" s="110"/>
      <c r="EC117" s="110"/>
      <c r="ED117" s="139"/>
      <c r="EE117" s="140"/>
      <c r="EF117" s="198"/>
      <c r="EG117" s="225"/>
      <c r="EH117" s="226"/>
      <c r="EI117" s="137"/>
      <c r="EJ117" s="227"/>
      <c r="EK117" s="138"/>
      <c r="EL117" s="110"/>
      <c r="EM117" s="110"/>
      <c r="EN117" s="139"/>
      <c r="EO117" s="140"/>
      <c r="EP117" s="198"/>
      <c r="EQ117" s="225"/>
      <c r="ER117" s="226"/>
      <c r="ES117" s="137"/>
      <c r="ET117" s="227"/>
      <c r="EU117" s="138"/>
      <c r="EV117" s="110"/>
      <c r="EW117" s="110"/>
      <c r="EX117" s="139"/>
      <c r="EY117" s="140"/>
      <c r="EZ117" s="198"/>
      <c r="FA117" s="225"/>
      <c r="FB117" s="226"/>
      <c r="FC117" s="137"/>
      <c r="FD117" s="227"/>
      <c r="FE117" s="138"/>
      <c r="FF117" s="110"/>
      <c r="FG117" s="110"/>
      <c r="FH117" s="139"/>
      <c r="FI117" s="140"/>
      <c r="FJ117" s="198"/>
      <c r="FK117" s="225"/>
      <c r="FL117" s="226"/>
      <c r="FM117" s="137"/>
      <c r="FN117" s="227"/>
      <c r="FO117" s="138"/>
      <c r="FP117" s="110"/>
      <c r="FQ117" s="110"/>
      <c r="FR117" s="139"/>
      <c r="FS117" s="140"/>
      <c r="FT117" s="198"/>
      <c r="FU117" s="225"/>
      <c r="FV117" s="226"/>
      <c r="FW117" s="137"/>
      <c r="FX117" s="227"/>
      <c r="FY117" s="138"/>
      <c r="FZ117" s="110"/>
      <c r="GA117" s="110"/>
      <c r="GB117" s="139"/>
      <c r="GC117" s="140"/>
      <c r="GD117" s="198"/>
      <c r="GE117" s="225"/>
      <c r="GF117" s="226"/>
      <c r="GG117" s="137"/>
      <c r="GH117" s="227"/>
      <c r="GI117" s="138"/>
      <c r="GJ117" s="110"/>
      <c r="GK117" s="110"/>
      <c r="GL117" s="139"/>
      <c r="GM117" s="140"/>
      <c r="GN117" s="198"/>
      <c r="GO117" s="225"/>
      <c r="GP117" s="226"/>
      <c r="GQ117" s="137"/>
      <c r="GR117" s="227"/>
      <c r="GS117" s="138"/>
      <c r="GT117" s="110"/>
      <c r="GU117" s="110"/>
      <c r="GV117" s="139"/>
      <c r="GW117" s="140"/>
      <c r="GX117" s="198"/>
      <c r="GY117" s="225"/>
      <c r="GZ117" s="226"/>
      <c r="HA117" s="137"/>
      <c r="HB117" s="227"/>
      <c r="HC117" s="138"/>
      <c r="HD117" s="110"/>
      <c r="HE117" s="110"/>
      <c r="HF117" s="139"/>
      <c r="HG117" s="140"/>
      <c r="HH117" s="198"/>
      <c r="HI117" s="225"/>
      <c r="HJ117" s="226"/>
      <c r="HK117" s="137"/>
      <c r="HL117" s="227"/>
      <c r="HM117" s="138"/>
      <c r="HN117" s="110"/>
      <c r="HO117" s="110"/>
      <c r="HP117" s="139"/>
      <c r="HQ117" s="140"/>
      <c r="HR117" s="198"/>
      <c r="HS117" s="225"/>
      <c r="HT117" s="226"/>
      <c r="HU117" s="137"/>
      <c r="HV117" s="227"/>
      <c r="HW117" s="138"/>
      <c r="HX117" s="110"/>
      <c r="HY117" s="110"/>
      <c r="HZ117" s="139"/>
      <c r="IA117" s="140"/>
      <c r="IB117" s="198"/>
      <c r="IC117" s="225"/>
      <c r="ID117" s="226"/>
      <c r="IE117" s="137"/>
      <c r="IF117" s="227"/>
      <c r="IG117" s="138"/>
      <c r="IH117" s="110"/>
      <c r="II117" s="110"/>
      <c r="IJ117" s="139"/>
      <c r="IK117" s="140"/>
      <c r="IL117" s="198"/>
      <c r="IM117" s="225"/>
      <c r="IN117" s="226"/>
      <c r="IO117" s="137"/>
      <c r="IP117" s="227"/>
      <c r="IQ117" s="138"/>
      <c r="IR117" s="110"/>
      <c r="IS117" s="110"/>
      <c r="IT117" s="139"/>
      <c r="IU117" s="140"/>
      <c r="IV117" s="198"/>
      <c r="IW117" s="225"/>
      <c r="IX117" s="226"/>
      <c r="IY117" s="137"/>
      <c r="IZ117" s="227"/>
      <c r="JA117" s="138"/>
      <c r="JB117" s="110"/>
      <c r="JC117" s="110"/>
      <c r="JD117" s="139"/>
      <c r="JE117" s="140"/>
      <c r="JF117" s="198"/>
      <c r="JG117" s="225"/>
      <c r="JH117" s="226"/>
      <c r="JI117" s="137"/>
      <c r="JJ117" s="227"/>
      <c r="JK117" s="138"/>
      <c r="JL117" s="110"/>
      <c r="JM117" s="110"/>
      <c r="JN117" s="139"/>
      <c r="JO117" s="140"/>
      <c r="JP117" s="198"/>
      <c r="JQ117" s="225"/>
      <c r="JR117" s="226"/>
      <c r="JS117" s="137"/>
      <c r="JT117" s="227"/>
      <c r="JU117" s="138"/>
      <c r="JV117" s="110"/>
      <c r="JW117" s="110"/>
      <c r="JX117" s="139"/>
      <c r="JY117" s="140"/>
      <c r="JZ117" s="198"/>
      <c r="KA117" s="225"/>
      <c r="KB117" s="226"/>
      <c r="KC117" s="137"/>
      <c r="KD117" s="227"/>
      <c r="KE117" s="138"/>
      <c r="KF117" s="110"/>
      <c r="KG117" s="110"/>
      <c r="KH117" s="139"/>
      <c r="KI117" s="140"/>
      <c r="KJ117" s="198"/>
      <c r="KK117" s="225"/>
      <c r="KL117" s="226"/>
      <c r="KM117" s="137"/>
      <c r="KN117" s="227"/>
      <c r="KO117" s="138"/>
      <c r="KP117" s="110"/>
      <c r="KQ117" s="110"/>
      <c r="KR117" s="139"/>
      <c r="KS117" s="140"/>
      <c r="KT117" s="198"/>
      <c r="KU117" s="225"/>
      <c r="KV117" s="226"/>
      <c r="KW117" s="137"/>
      <c r="KX117" s="227"/>
      <c r="KY117" s="138"/>
      <c r="KZ117" s="110"/>
      <c r="LA117" s="110"/>
      <c r="LB117" s="139"/>
      <c r="LC117" s="140"/>
      <c r="LD117" s="197"/>
      <c r="LE117" s="225"/>
      <c r="LF117" s="226"/>
      <c r="LG117" s="137"/>
      <c r="LH117" s="227"/>
      <c r="LI117" s="138"/>
      <c r="LJ117" s="110"/>
      <c r="LK117" s="110"/>
      <c r="LL117" s="139"/>
    </row>
    <row r="118" spans="1:324" ht="18" customHeight="1" x14ac:dyDescent="0.25">
      <c r="A118" s="245"/>
      <c r="B118" s="12" t="s">
        <v>609</v>
      </c>
      <c r="C118" s="12" t="s">
        <v>728</v>
      </c>
      <c r="D118" s="12" t="s">
        <v>430</v>
      </c>
      <c r="E118" s="4" t="s">
        <v>32</v>
      </c>
      <c r="F118" s="198">
        <f t="shared" ref="F118:F124" si="2990">F31</f>
        <v>49</v>
      </c>
      <c r="G118" s="225">
        <f t="shared" si="2796"/>
        <v>8.14E-2</v>
      </c>
      <c r="H118" s="226">
        <f t="shared" si="2797"/>
        <v>75.7</v>
      </c>
      <c r="I118" s="137">
        <f t="shared" si="2570"/>
        <v>1.5448979599999999</v>
      </c>
      <c r="J118" s="227">
        <f t="shared" si="2798"/>
        <v>40.909999999999997</v>
      </c>
      <c r="K118" s="138">
        <f t="shared" si="2571"/>
        <v>63.201779999999999</v>
      </c>
      <c r="L118" s="110">
        <f t="shared" si="2572"/>
        <v>3096.89</v>
      </c>
      <c r="M118" s="110"/>
      <c r="N118" s="139"/>
      <c r="O118" s="140">
        <f t="shared" si="2573"/>
        <v>0.58579999999999999</v>
      </c>
      <c r="P118" s="198">
        <f t="shared" ref="P118:BX124" si="2991">P31</f>
        <v>79</v>
      </c>
      <c r="Q118" s="225">
        <f t="shared" ref="Q118:Q125" si="2992">P118/P$97</f>
        <v>7.2080000000000005E-2</v>
      </c>
      <c r="R118" s="226">
        <f t="shared" ref="R118:R125" si="2993">R$97*Q118</f>
        <v>116.05</v>
      </c>
      <c r="S118" s="137">
        <f t="shared" ref="S118:S126" si="2994">IF(P118&gt;0,R118/P118,0)</f>
        <v>1.46898734</v>
      </c>
      <c r="T118" s="227">
        <f t="shared" ref="T118:CB125" si="2995">T$97</f>
        <v>36.11</v>
      </c>
      <c r="U118" s="138">
        <f t="shared" ref="U118:U126" si="2996">S118*T118</f>
        <v>53.04513</v>
      </c>
      <c r="V118" s="110">
        <f t="shared" ref="V118:V126" si="2997">U118*P118</f>
        <v>4190.57</v>
      </c>
      <c r="W118" s="110"/>
      <c r="X118" s="139"/>
      <c r="Y118" s="140">
        <f t="shared" ref="Y118:Y126" si="2998">U118/$LI118</f>
        <v>0.49165999999999999</v>
      </c>
      <c r="Z118" s="198">
        <f t="shared" si="2991"/>
        <v>214</v>
      </c>
      <c r="AA118" s="225">
        <f t="shared" ref="AA118:AA125" si="2999">Z118/Z$97</f>
        <v>0.24768999999999999</v>
      </c>
      <c r="AB118" s="226">
        <f t="shared" ref="AB118:AB125" si="3000">AB$97*AA118</f>
        <v>319.52</v>
      </c>
      <c r="AC118" s="137">
        <f t="shared" ref="AC118:AC126" si="3001">IF(Z118&gt;0,AB118/Z118,0)</f>
        <v>1.4930841100000001</v>
      </c>
      <c r="AD118" s="227">
        <f t="shared" si="2995"/>
        <v>54.87</v>
      </c>
      <c r="AE118" s="138">
        <f t="shared" ref="AE118:AE126" si="3002">AC118*AD118</f>
        <v>81.925529999999995</v>
      </c>
      <c r="AF118" s="110">
        <f t="shared" ref="AF118:AF126" si="3003">AE118*Z118</f>
        <v>17532.060000000001</v>
      </c>
      <c r="AG118" s="110"/>
      <c r="AH118" s="139"/>
      <c r="AI118" s="140">
        <f t="shared" ref="AI118:AI126" si="3004">AE118/$LI118</f>
        <v>0.75934000000000001</v>
      </c>
      <c r="AJ118" s="198">
        <f t="shared" si="2991"/>
        <v>43</v>
      </c>
      <c r="AK118" s="225">
        <f t="shared" ref="AK118:AK125" si="3005">AJ118/AJ$97</f>
        <v>6.4659999999999995E-2</v>
      </c>
      <c r="AL118" s="226">
        <f t="shared" ref="AL118:AL125" si="3006">AL$97*AK118</f>
        <v>73.78</v>
      </c>
      <c r="AM118" s="137">
        <f t="shared" ref="AM118:AM126" si="3007">IF(AJ118&gt;0,AL118/AJ118,0)</f>
        <v>1.71581395</v>
      </c>
      <c r="AN118" s="227">
        <f t="shared" si="2995"/>
        <v>54.42</v>
      </c>
      <c r="AO118" s="138">
        <f t="shared" ref="AO118:AO126" si="3008">AM118*AN118</f>
        <v>93.374600000000001</v>
      </c>
      <c r="AP118" s="110">
        <f t="shared" ref="AP118:AP126" si="3009">AO118*AJ118</f>
        <v>4015.11</v>
      </c>
      <c r="AQ118" s="110"/>
      <c r="AR118" s="139"/>
      <c r="AS118" s="140">
        <f t="shared" ref="AS118:AS126" si="3010">AO118/$LI118</f>
        <v>0.86546000000000001</v>
      </c>
      <c r="AT118" s="198">
        <f t="shared" si="2991"/>
        <v>54</v>
      </c>
      <c r="AU118" s="225">
        <f t="shared" ref="AU118:AU125" si="3011">AT118/AT$97</f>
        <v>5.6779999999999997E-2</v>
      </c>
      <c r="AV118" s="226">
        <f t="shared" ref="AV118:AV125" si="3012">AV$97*AU118</f>
        <v>51.67</v>
      </c>
      <c r="AW118" s="137">
        <f t="shared" ref="AW118:AW126" si="3013">IF(AT118&gt;0,AV118/AT118,0)</f>
        <v>0.95685184999999995</v>
      </c>
      <c r="AX118" s="227">
        <f t="shared" si="2995"/>
        <v>49.55</v>
      </c>
      <c r="AY118" s="138">
        <f t="shared" ref="AY118:AY126" si="3014">AW118*AX118</f>
        <v>47.412010000000002</v>
      </c>
      <c r="AZ118" s="110">
        <f t="shared" ref="AZ118:AZ126" si="3015">AY118*AT118</f>
        <v>2560.25</v>
      </c>
      <c r="BA118" s="110"/>
      <c r="BB118" s="139"/>
      <c r="BC118" s="140">
        <f t="shared" ref="BC118:BC126" si="3016">AY118/$LI118</f>
        <v>0.43945000000000001</v>
      </c>
      <c r="BD118" s="198">
        <f t="shared" si="2991"/>
        <v>38</v>
      </c>
      <c r="BE118" s="225">
        <f t="shared" ref="BE118:BE125" si="3017">BD118/BD$97</f>
        <v>5.108E-2</v>
      </c>
      <c r="BF118" s="226">
        <f t="shared" ref="BF118:BF125" si="3018">BF$97*BE118</f>
        <v>72.53</v>
      </c>
      <c r="BG118" s="137">
        <f t="shared" ref="BG118:BG126" si="3019">IF(BD118&gt;0,BF118/BD118,0)</f>
        <v>1.9086842100000001</v>
      </c>
      <c r="BH118" s="227">
        <f t="shared" si="2995"/>
        <v>55.1</v>
      </c>
      <c r="BI118" s="138">
        <f t="shared" ref="BI118:BI126" si="3020">BG118*BH118</f>
        <v>105.16849999999999</v>
      </c>
      <c r="BJ118" s="110">
        <f t="shared" ref="BJ118:BJ126" si="3021">BI118*BD118</f>
        <v>3996.4</v>
      </c>
      <c r="BK118" s="110"/>
      <c r="BL118" s="139"/>
      <c r="BM118" s="140">
        <f t="shared" ref="BM118:BM126" si="3022">BI118/$LI118</f>
        <v>0.97477999999999998</v>
      </c>
      <c r="BN118" s="198">
        <f t="shared" si="2991"/>
        <v>51</v>
      </c>
      <c r="BO118" s="225">
        <f t="shared" ref="BO118:BO125" si="3023">BN118/BN$97</f>
        <v>8.2659999999999997E-2</v>
      </c>
      <c r="BP118" s="226">
        <f t="shared" ref="BP118:BP125" si="3024">BP$97*BO118</f>
        <v>100.85</v>
      </c>
      <c r="BQ118" s="137">
        <f t="shared" ref="BQ118:BQ126" si="3025">IF(BN118&gt;0,BP118/BN118,0)</f>
        <v>1.97745098</v>
      </c>
      <c r="BR118" s="227">
        <f t="shared" si="2995"/>
        <v>54.14</v>
      </c>
      <c r="BS118" s="138">
        <f t="shared" ref="BS118:BS126" si="3026">BQ118*BR118</f>
        <v>107.0592</v>
      </c>
      <c r="BT118" s="110">
        <f t="shared" ref="BT118:BT126" si="3027">BS118*BN118</f>
        <v>5460.02</v>
      </c>
      <c r="BU118" s="110"/>
      <c r="BV118" s="139"/>
      <c r="BW118" s="140">
        <f t="shared" ref="BW118:BW126" si="3028">BS118/$LI118</f>
        <v>0.99229999999999996</v>
      </c>
      <c r="BX118" s="198">
        <f t="shared" si="2991"/>
        <v>72</v>
      </c>
      <c r="BY118" s="225">
        <f t="shared" ref="BY118:BY125" si="3029">BX118/BX$97</f>
        <v>9.1370000000000007E-2</v>
      </c>
      <c r="BZ118" s="226">
        <f t="shared" ref="BZ118:BZ125" si="3030">BZ$97*BY118</f>
        <v>134.31</v>
      </c>
      <c r="CA118" s="137">
        <f t="shared" ref="CA118:CA126" si="3031">IF(BX118&gt;0,BZ118/BX118,0)</f>
        <v>1.8654166700000001</v>
      </c>
      <c r="CB118" s="227">
        <f t="shared" si="2995"/>
        <v>51.74</v>
      </c>
      <c r="CC118" s="138">
        <f t="shared" ref="CC118:CC126" si="3032">CA118*CB118</f>
        <v>96.516660000000002</v>
      </c>
      <c r="CD118" s="110">
        <f t="shared" ref="CD118:CD126" si="3033">CC118*BX118</f>
        <v>6949.2</v>
      </c>
      <c r="CE118" s="110"/>
      <c r="CF118" s="139"/>
      <c r="CG118" s="140">
        <f t="shared" ref="CG118:CG126" si="3034">CC118/$LI118</f>
        <v>0.89458000000000004</v>
      </c>
      <c r="CH118" s="198">
        <f t="shared" ref="CH118:EP124" si="3035">CH31</f>
        <v>109</v>
      </c>
      <c r="CI118" s="225">
        <f t="shared" ref="CI118:CI125" si="3036">CH118/CH$97</f>
        <v>0.11797000000000001</v>
      </c>
      <c r="CJ118" s="226">
        <f t="shared" ref="CJ118:CJ125" si="3037">CJ$97*CI118</f>
        <v>276.05</v>
      </c>
      <c r="CK118" s="137">
        <f t="shared" ref="CK118:CK126" si="3038">IF(CH118&gt;0,CJ118/CH118,0)</f>
        <v>2.5325688099999999</v>
      </c>
      <c r="CL118" s="227">
        <f t="shared" ref="CL118:ET125" si="3039">CL$97</f>
        <v>46.92</v>
      </c>
      <c r="CM118" s="138">
        <f t="shared" ref="CM118:CM126" si="3040">CK118*CL118</f>
        <v>118.82813</v>
      </c>
      <c r="CN118" s="110">
        <f t="shared" ref="CN118:CN126" si="3041">CM118*CH118</f>
        <v>12952.27</v>
      </c>
      <c r="CO118" s="110"/>
      <c r="CP118" s="139"/>
      <c r="CQ118" s="140">
        <f t="shared" ref="CQ118:CQ126" si="3042">CM118/$LI118</f>
        <v>1.10138</v>
      </c>
      <c r="CR118" s="198">
        <f t="shared" si="3035"/>
        <v>38</v>
      </c>
      <c r="CS118" s="225">
        <f t="shared" ref="CS118:CS125" si="3043">CR118/CR$97</f>
        <v>5.108E-2</v>
      </c>
      <c r="CT118" s="226">
        <f t="shared" ref="CT118:CT125" si="3044">CT$97*CS118</f>
        <v>61.35</v>
      </c>
      <c r="CU118" s="137">
        <f t="shared" ref="CU118:CU126" si="3045">IF(CR118&gt;0,CT118/CR118,0)</f>
        <v>1.6144736799999999</v>
      </c>
      <c r="CV118" s="227">
        <f t="shared" si="3039"/>
        <v>49.61</v>
      </c>
      <c r="CW118" s="138">
        <f t="shared" ref="CW118:CW126" si="3046">CU118*CV118</f>
        <v>80.094040000000007</v>
      </c>
      <c r="CX118" s="110">
        <f t="shared" ref="CX118:CX126" si="3047">CW118*CR118</f>
        <v>3043.57</v>
      </c>
      <c r="CY118" s="110"/>
      <c r="CZ118" s="139"/>
      <c r="DA118" s="140">
        <f t="shared" ref="DA118:DA126" si="3048">CW118/$LI118</f>
        <v>0.74236999999999997</v>
      </c>
      <c r="DB118" s="198">
        <f t="shared" si="3035"/>
        <v>86</v>
      </c>
      <c r="DC118" s="225">
        <f t="shared" ref="DC118:DC125" si="3049">DB118/DB$97</f>
        <v>0.10424</v>
      </c>
      <c r="DD118" s="226">
        <f t="shared" ref="DD118:DD125" si="3050">DD$97*DC118</f>
        <v>116.12</v>
      </c>
      <c r="DE118" s="137">
        <f t="shared" ref="DE118:DE126" si="3051">IF(DB118&gt;0,DD118/DB118,0)</f>
        <v>1.35023256</v>
      </c>
      <c r="DF118" s="227">
        <f t="shared" si="3039"/>
        <v>52.57</v>
      </c>
      <c r="DG118" s="138">
        <f t="shared" ref="DG118:DG126" si="3052">DE118*DF118</f>
        <v>70.981729999999999</v>
      </c>
      <c r="DH118" s="110">
        <f t="shared" ref="DH118:DH126" si="3053">DG118*DB118</f>
        <v>6104.43</v>
      </c>
      <c r="DI118" s="110"/>
      <c r="DJ118" s="139"/>
      <c r="DK118" s="140">
        <f t="shared" ref="DK118:DK126" si="3054">DG118/$LI118</f>
        <v>0.65790999999999999</v>
      </c>
      <c r="DL118" s="198">
        <f t="shared" si="3035"/>
        <v>0</v>
      </c>
      <c r="DM118" s="225">
        <f t="shared" ref="DM118:DM125" si="3055">DL118/DL$97</f>
        <v>0</v>
      </c>
      <c r="DN118" s="226">
        <f t="shared" ref="DN118:DN125" si="3056">DN$97*DM118</f>
        <v>0</v>
      </c>
      <c r="DO118" s="137">
        <f t="shared" ref="DO118:DO126" si="3057">IF(DL118&gt;0,DN118/DL118,0)</f>
        <v>0</v>
      </c>
      <c r="DP118" s="227">
        <f t="shared" si="3039"/>
        <v>55.25</v>
      </c>
      <c r="DQ118" s="138">
        <f t="shared" ref="DQ118:DQ126" si="3058">DO118*DP118</f>
        <v>0</v>
      </c>
      <c r="DR118" s="110">
        <f t="shared" ref="DR118:DR126" si="3059">DQ118*DL118</f>
        <v>0</v>
      </c>
      <c r="DS118" s="110"/>
      <c r="DT118" s="139"/>
      <c r="DU118" s="140">
        <f t="shared" ref="DU118:DU126" si="3060">DQ118/$LI118</f>
        <v>0</v>
      </c>
      <c r="DV118" s="198">
        <f t="shared" si="3035"/>
        <v>49</v>
      </c>
      <c r="DW118" s="225">
        <f t="shared" ref="DW118:DW125" si="3061">DV118/DV$97</f>
        <v>5.5809999999999998E-2</v>
      </c>
      <c r="DX118" s="226">
        <f t="shared" ref="DX118:DX125" si="3062">DX$97*DW118</f>
        <v>74.23</v>
      </c>
      <c r="DY118" s="137">
        <f t="shared" ref="DY118:DY126" si="3063">IF(DV118&gt;0,DX118/DV118,0)</f>
        <v>1.5148979600000001</v>
      </c>
      <c r="DZ118" s="227">
        <f t="shared" si="3039"/>
        <v>34.14</v>
      </c>
      <c r="EA118" s="138">
        <f t="shared" ref="EA118:EA126" si="3064">DY118*DZ118</f>
        <v>51.718620000000001</v>
      </c>
      <c r="EB118" s="110">
        <f t="shared" ref="EB118:EB126" si="3065">EA118*DV118</f>
        <v>2534.21</v>
      </c>
      <c r="EC118" s="110"/>
      <c r="ED118" s="139"/>
      <c r="EE118" s="140">
        <f t="shared" ref="EE118:EE126" si="3066">EA118/$LI118</f>
        <v>0.47936000000000001</v>
      </c>
      <c r="EF118" s="198">
        <f t="shared" si="3035"/>
        <v>66</v>
      </c>
      <c r="EG118" s="225">
        <f t="shared" ref="EG118:EG125" si="3067">EF118/EF$97</f>
        <v>7.0290000000000005E-2</v>
      </c>
      <c r="EH118" s="226">
        <f t="shared" ref="EH118:EH125" si="3068">EH$97*EG118</f>
        <v>64.67</v>
      </c>
      <c r="EI118" s="137">
        <f t="shared" ref="EI118:EI126" si="3069">IF(EF118&gt;0,EH118/EF118,0)</f>
        <v>0.97984848000000002</v>
      </c>
      <c r="EJ118" s="227">
        <f t="shared" si="3039"/>
        <v>44.53</v>
      </c>
      <c r="EK118" s="138">
        <f t="shared" ref="EK118:EK126" si="3070">EI118*EJ118</f>
        <v>43.632649999999998</v>
      </c>
      <c r="EL118" s="110">
        <f t="shared" ref="EL118:EL126" si="3071">EK118*EF118</f>
        <v>2879.75</v>
      </c>
      <c r="EM118" s="110"/>
      <c r="EN118" s="139"/>
      <c r="EO118" s="140">
        <f t="shared" ref="EO118:EO126" si="3072">EK118/$LI118</f>
        <v>0.40442</v>
      </c>
      <c r="EP118" s="198">
        <f t="shared" si="3035"/>
        <v>72</v>
      </c>
      <c r="EQ118" s="225">
        <f t="shared" ref="EQ118:EQ125" si="3073">EP118/EP$97</f>
        <v>7.6350000000000001E-2</v>
      </c>
      <c r="ER118" s="226">
        <f t="shared" ref="ER118:ER125" si="3074">ER$97*EQ118</f>
        <v>166.44</v>
      </c>
      <c r="ES118" s="137">
        <f t="shared" ref="ES118:ES126" si="3075">IF(EP118&gt;0,ER118/EP118,0)</f>
        <v>2.3116666700000001</v>
      </c>
      <c r="ET118" s="227">
        <f t="shared" si="3039"/>
        <v>52.01</v>
      </c>
      <c r="EU118" s="138">
        <f t="shared" ref="EU118:EU126" si="3076">ES118*ET118</f>
        <v>120.22978000000001</v>
      </c>
      <c r="EV118" s="110">
        <f t="shared" ref="EV118:EV126" si="3077">EU118*EP118</f>
        <v>8656.5400000000009</v>
      </c>
      <c r="EW118" s="110"/>
      <c r="EX118" s="139"/>
      <c r="EY118" s="140">
        <f t="shared" ref="EY118:EY126" si="3078">EU118/$LI118</f>
        <v>1.1143700000000001</v>
      </c>
      <c r="EZ118" s="198">
        <f t="shared" ref="EZ118:HH124" si="3079">EZ31</f>
        <v>45</v>
      </c>
      <c r="FA118" s="225">
        <f t="shared" ref="FA118:FA125" si="3080">EZ118/EZ$97</f>
        <v>4.0289999999999999E-2</v>
      </c>
      <c r="FB118" s="226">
        <f t="shared" ref="FB118:FB125" si="3081">FB$97*FA118</f>
        <v>72.52</v>
      </c>
      <c r="FC118" s="137">
        <f t="shared" ref="FC118:FC126" si="3082">IF(EZ118&gt;0,FB118/EZ118,0)</f>
        <v>1.61155556</v>
      </c>
      <c r="FD118" s="227">
        <f t="shared" ref="FD118:HL125" si="3083">FD$97</f>
        <v>55.47</v>
      </c>
      <c r="FE118" s="138">
        <f t="shared" ref="FE118:FE126" si="3084">FC118*FD118</f>
        <v>89.392989999999998</v>
      </c>
      <c r="FF118" s="110">
        <f t="shared" ref="FF118:FF126" si="3085">FE118*EZ118</f>
        <v>4022.68</v>
      </c>
      <c r="FG118" s="110"/>
      <c r="FH118" s="139"/>
      <c r="FI118" s="140">
        <f t="shared" ref="FI118:FI126" si="3086">FE118/$LI118</f>
        <v>0.82855999999999996</v>
      </c>
      <c r="FJ118" s="198">
        <f t="shared" si="3079"/>
        <v>102</v>
      </c>
      <c r="FK118" s="225">
        <f t="shared" ref="FK118:FK125" si="3087">FJ118/FJ$97</f>
        <v>9.98E-2</v>
      </c>
      <c r="FL118" s="226">
        <f t="shared" ref="FL118:FL125" si="3088">FL$97*FK118</f>
        <v>171.66</v>
      </c>
      <c r="FM118" s="137">
        <f t="shared" ref="FM118:FM126" si="3089">IF(FJ118&gt;0,FL118/FJ118,0)</f>
        <v>1.68294118</v>
      </c>
      <c r="FN118" s="227">
        <f t="shared" si="3083"/>
        <v>39.74</v>
      </c>
      <c r="FO118" s="138">
        <f t="shared" ref="FO118:FO126" si="3090">FM118*FN118</f>
        <v>66.880080000000007</v>
      </c>
      <c r="FP118" s="110">
        <f t="shared" ref="FP118:FP126" si="3091">FO118*FJ118</f>
        <v>6821.77</v>
      </c>
      <c r="FQ118" s="110"/>
      <c r="FR118" s="139"/>
      <c r="FS118" s="140">
        <f t="shared" ref="FS118:FS126" si="3092">FO118/$LI118</f>
        <v>0.61989000000000005</v>
      </c>
      <c r="FT118" s="198">
        <f t="shared" si="3079"/>
        <v>59</v>
      </c>
      <c r="FU118" s="225">
        <f t="shared" ref="FU118:FU125" si="3093">FT118/FT$97</f>
        <v>7.3469999999999994E-2</v>
      </c>
      <c r="FV118" s="226">
        <f t="shared" ref="FV118:FV125" si="3094">FV$97*FU118</f>
        <v>104.62</v>
      </c>
      <c r="FW118" s="137">
        <f t="shared" ref="FW118:FW126" si="3095">IF(FT118&gt;0,FV118/FT118,0)</f>
        <v>1.77322034</v>
      </c>
      <c r="FX118" s="227">
        <f t="shared" si="3083"/>
        <v>53.97</v>
      </c>
      <c r="FY118" s="138">
        <f t="shared" ref="FY118:FY126" si="3096">FW118*FX118</f>
        <v>95.700699999999998</v>
      </c>
      <c r="FZ118" s="110">
        <f t="shared" ref="FZ118:FZ126" si="3097">FY118*FT118</f>
        <v>5646.34</v>
      </c>
      <c r="GA118" s="110"/>
      <c r="GB118" s="139"/>
      <c r="GC118" s="140">
        <f t="shared" ref="GC118:GC126" si="3098">FY118/$LI118</f>
        <v>0.88702000000000003</v>
      </c>
      <c r="GD118" s="198">
        <f t="shared" si="3079"/>
        <v>34</v>
      </c>
      <c r="GE118" s="225">
        <f t="shared" ref="GE118:GE125" si="3099">GD118/GD$97</f>
        <v>6.6409999999999997E-2</v>
      </c>
      <c r="GF118" s="226">
        <f t="shared" ref="GF118:GF125" si="3100">GF$97*GE118</f>
        <v>57.11</v>
      </c>
      <c r="GG118" s="137">
        <f t="shared" ref="GG118:GG126" si="3101">IF(GD118&gt;0,GF118/GD118,0)</f>
        <v>1.67970588</v>
      </c>
      <c r="GH118" s="227">
        <f t="shared" si="3083"/>
        <v>54.63</v>
      </c>
      <c r="GI118" s="138">
        <f t="shared" ref="GI118:GI126" si="3102">GG118*GH118</f>
        <v>91.762330000000006</v>
      </c>
      <c r="GJ118" s="110">
        <f t="shared" ref="GJ118:GJ126" si="3103">GI118*GD118</f>
        <v>3119.92</v>
      </c>
      <c r="GK118" s="110"/>
      <c r="GL118" s="139"/>
      <c r="GM118" s="140">
        <f t="shared" ref="GM118:GM126" si="3104">GI118/$LI118</f>
        <v>0.85052000000000005</v>
      </c>
      <c r="GN118" s="198">
        <f t="shared" si="3079"/>
        <v>86</v>
      </c>
      <c r="GO118" s="225">
        <f t="shared" ref="GO118:GO125" si="3105">GN118/GN$97</f>
        <v>9.9540000000000003E-2</v>
      </c>
      <c r="GP118" s="226">
        <f t="shared" ref="GP118:GP125" si="3106">GP$97*GO118</f>
        <v>273.74</v>
      </c>
      <c r="GQ118" s="137">
        <f t="shared" ref="GQ118:GQ126" si="3107">IF(GN118&gt;0,GP118/GN118,0)</f>
        <v>3.1830232600000001</v>
      </c>
      <c r="GR118" s="227">
        <f t="shared" si="3083"/>
        <v>52.13</v>
      </c>
      <c r="GS118" s="138">
        <f t="shared" ref="GS118:GS126" si="3108">GQ118*GR118</f>
        <v>165.93100000000001</v>
      </c>
      <c r="GT118" s="110">
        <f t="shared" ref="GT118:GT126" si="3109">GS118*GN118</f>
        <v>14270.07</v>
      </c>
      <c r="GU118" s="110"/>
      <c r="GV118" s="139"/>
      <c r="GW118" s="140">
        <f t="shared" ref="GW118:GW126" si="3110">GS118/$LI118</f>
        <v>1.53796</v>
      </c>
      <c r="GX118" s="198">
        <f t="shared" si="3079"/>
        <v>164</v>
      </c>
      <c r="GY118" s="225">
        <f t="shared" ref="GY118:GY125" si="3111">GX118/GX$97</f>
        <v>0.10117</v>
      </c>
      <c r="GZ118" s="226">
        <f t="shared" ref="GZ118:GZ125" si="3112">GZ$97*GY118</f>
        <v>450.51</v>
      </c>
      <c r="HA118" s="137">
        <f t="shared" ref="HA118:HA126" si="3113">IF(GX118&gt;0,GZ118/GX118,0)</f>
        <v>2.7470121999999999</v>
      </c>
      <c r="HB118" s="227">
        <f t="shared" si="3083"/>
        <v>42.58</v>
      </c>
      <c r="HC118" s="138">
        <f t="shared" ref="HC118:HC126" si="3114">HA118*HB118</f>
        <v>116.96778</v>
      </c>
      <c r="HD118" s="110">
        <f t="shared" ref="HD118:HD126" si="3115">HC118*GX118</f>
        <v>19182.72</v>
      </c>
      <c r="HE118" s="110"/>
      <c r="HF118" s="139"/>
      <c r="HG118" s="140">
        <f t="shared" ref="HG118:HG126" si="3116">HC118/$LI118</f>
        <v>1.0841400000000001</v>
      </c>
      <c r="HH118" s="198">
        <f t="shared" si="3079"/>
        <v>57</v>
      </c>
      <c r="HI118" s="225">
        <f t="shared" ref="HI118:HI125" si="3117">HH118/HH$97</f>
        <v>4.9480000000000003E-2</v>
      </c>
      <c r="HJ118" s="226">
        <f t="shared" ref="HJ118:HJ125" si="3118">HJ$97*HI118</f>
        <v>164.77</v>
      </c>
      <c r="HK118" s="137">
        <f t="shared" ref="HK118:HK126" si="3119">IF(HH118&gt;0,HJ118/HH118,0)</f>
        <v>2.8907017499999998</v>
      </c>
      <c r="HL118" s="227">
        <f t="shared" si="3083"/>
        <v>49.58</v>
      </c>
      <c r="HM118" s="138">
        <f t="shared" ref="HM118:HM126" si="3120">HK118*HL118</f>
        <v>143.32098999999999</v>
      </c>
      <c r="HN118" s="110">
        <f t="shared" ref="HN118:HN126" si="3121">HM118*HH118</f>
        <v>8169.3</v>
      </c>
      <c r="HO118" s="110"/>
      <c r="HP118" s="139"/>
      <c r="HQ118" s="140">
        <f t="shared" ref="HQ118:HQ126" si="3122">HM118/$LI118</f>
        <v>1.3284</v>
      </c>
      <c r="HR118" s="198">
        <f t="shared" ref="HR118:JZ124" si="3123">HR31</f>
        <v>50</v>
      </c>
      <c r="HS118" s="225">
        <f t="shared" ref="HS118:HS125" si="3124">HR118/HR$97</f>
        <v>6.3450000000000006E-2</v>
      </c>
      <c r="HT118" s="226">
        <f t="shared" ref="HT118:HT125" si="3125">HT$97*HS118</f>
        <v>57.11</v>
      </c>
      <c r="HU118" s="137">
        <f t="shared" ref="HU118:HU126" si="3126">IF(HR118&gt;0,HT118/HR118,0)</f>
        <v>1.1422000000000001</v>
      </c>
      <c r="HV118" s="227">
        <f t="shared" ref="HV118:KD125" si="3127">HV$97</f>
        <v>52.62</v>
      </c>
      <c r="HW118" s="138">
        <f t="shared" ref="HW118:HW126" si="3128">HU118*HV118</f>
        <v>60.102559999999997</v>
      </c>
      <c r="HX118" s="110">
        <f t="shared" ref="HX118:HX126" si="3129">HW118*HR118</f>
        <v>3005.13</v>
      </c>
      <c r="HY118" s="110"/>
      <c r="HZ118" s="139"/>
      <c r="IA118" s="140">
        <f t="shared" ref="IA118:IA126" si="3130">HW118/$LI118</f>
        <v>0.55706999999999995</v>
      </c>
      <c r="IB118" s="198">
        <f t="shared" si="3123"/>
        <v>29</v>
      </c>
      <c r="IC118" s="225">
        <f t="shared" ref="IC118:IC125" si="3131">IB118/IB$97</f>
        <v>5.2920000000000002E-2</v>
      </c>
      <c r="ID118" s="226">
        <f t="shared" ref="ID118:ID125" si="3132">ID$97*IC118</f>
        <v>22.76</v>
      </c>
      <c r="IE118" s="137">
        <f t="shared" ref="IE118:IE126" si="3133">IF(IB118&gt;0,ID118/IB118,0)</f>
        <v>0.78482759000000002</v>
      </c>
      <c r="IF118" s="227">
        <f t="shared" si="3127"/>
        <v>50</v>
      </c>
      <c r="IG118" s="138">
        <f t="shared" ref="IG118:IG126" si="3134">IE118*IF118</f>
        <v>39.241379999999999</v>
      </c>
      <c r="IH118" s="110">
        <f t="shared" ref="IH118:IH126" si="3135">IG118*IB118</f>
        <v>1138</v>
      </c>
      <c r="II118" s="110"/>
      <c r="IJ118" s="139"/>
      <c r="IK118" s="140">
        <f t="shared" ref="IK118:IK126" si="3136">IG118/$LI118</f>
        <v>0.36371999999999999</v>
      </c>
      <c r="IL118" s="198">
        <f t="shared" si="3123"/>
        <v>72</v>
      </c>
      <c r="IM118" s="225">
        <f t="shared" ref="IM118:IM125" si="3137">IL118/IL$97</f>
        <v>5.6919999999999998E-2</v>
      </c>
      <c r="IN118" s="226">
        <f t="shared" ref="IN118:IN125" si="3138">IN$97*IM118</f>
        <v>167.46</v>
      </c>
      <c r="IO118" s="137">
        <f t="shared" ref="IO118:IO126" si="3139">IF(IL118&gt;0,IN118/IL118,0)</f>
        <v>2.32583333</v>
      </c>
      <c r="IP118" s="227">
        <f t="shared" si="3127"/>
        <v>54.39</v>
      </c>
      <c r="IQ118" s="138">
        <f t="shared" ref="IQ118:IQ126" si="3140">IO118*IP118</f>
        <v>126.50207</v>
      </c>
      <c r="IR118" s="110">
        <f t="shared" ref="IR118:IR126" si="3141">IQ118*IL118</f>
        <v>9108.15</v>
      </c>
      <c r="IS118" s="110"/>
      <c r="IT118" s="139"/>
      <c r="IU118" s="140">
        <f t="shared" ref="IU118:IU126" si="3142">IQ118/$LI118</f>
        <v>1.1725099999999999</v>
      </c>
      <c r="IV118" s="198">
        <f t="shared" si="3123"/>
        <v>42</v>
      </c>
      <c r="IW118" s="225">
        <f t="shared" ref="IW118:IW125" si="3143">IV118/IV$97</f>
        <v>5.4469999999999998E-2</v>
      </c>
      <c r="IX118" s="226">
        <f t="shared" ref="IX118:IX125" si="3144">IX$97*IW118</f>
        <v>87.15</v>
      </c>
      <c r="IY118" s="137">
        <f t="shared" ref="IY118:IY126" si="3145">IF(IV118&gt;0,IX118/IV118,0)</f>
        <v>2.0750000000000002</v>
      </c>
      <c r="IZ118" s="227">
        <f t="shared" si="3127"/>
        <v>54.71</v>
      </c>
      <c r="JA118" s="138">
        <f t="shared" ref="JA118:JA126" si="3146">IY118*IZ118</f>
        <v>113.52325</v>
      </c>
      <c r="JB118" s="110">
        <f t="shared" ref="JB118:JB126" si="3147">JA118*IV118</f>
        <v>4767.9799999999996</v>
      </c>
      <c r="JC118" s="110"/>
      <c r="JD118" s="139"/>
      <c r="JE118" s="140">
        <f t="shared" ref="JE118:JE126" si="3148">JA118/$LI118</f>
        <v>1.0522100000000001</v>
      </c>
      <c r="JF118" s="198">
        <f t="shared" si="3123"/>
        <v>105</v>
      </c>
      <c r="JG118" s="225">
        <f t="shared" ref="JG118:JG125" si="3149">JF118/JF$97</f>
        <v>7.8299999999999995E-2</v>
      </c>
      <c r="JH118" s="226">
        <f t="shared" ref="JH118:JH125" si="3150">JH$97*JG118</f>
        <v>299.11</v>
      </c>
      <c r="JI118" s="137">
        <f t="shared" ref="JI118:JI126" si="3151">IF(JF118&gt;0,JH118/JF118,0)</f>
        <v>2.8486666700000001</v>
      </c>
      <c r="JJ118" s="227">
        <f t="shared" si="3127"/>
        <v>43.31</v>
      </c>
      <c r="JK118" s="138">
        <f t="shared" ref="JK118:JK126" si="3152">JI118*JJ118</f>
        <v>123.37575</v>
      </c>
      <c r="JL118" s="110">
        <f t="shared" ref="JL118:JL126" si="3153">JK118*JF118</f>
        <v>12954.45</v>
      </c>
      <c r="JM118" s="110"/>
      <c r="JN118" s="139"/>
      <c r="JO118" s="140">
        <f t="shared" ref="JO118:JO126" si="3154">JK118/$LI118</f>
        <v>1.1435299999999999</v>
      </c>
      <c r="JP118" s="198">
        <f t="shared" si="3123"/>
        <v>45</v>
      </c>
      <c r="JQ118" s="225">
        <f t="shared" ref="JQ118:JQ125" si="3155">JP118/JP$97</f>
        <v>3.603E-2</v>
      </c>
      <c r="JR118" s="226">
        <f t="shared" ref="JR118:JR125" si="3156">JR$97*JQ118</f>
        <v>136.91</v>
      </c>
      <c r="JS118" s="137">
        <f t="shared" ref="JS118:JS126" si="3157">IF(JP118&gt;0,JR118/JP118,0)</f>
        <v>3.0424444400000001</v>
      </c>
      <c r="JT118" s="227">
        <f t="shared" si="3127"/>
        <v>57.05</v>
      </c>
      <c r="JU118" s="138">
        <f t="shared" ref="JU118:JU126" si="3158">JS118*JT118</f>
        <v>173.57146</v>
      </c>
      <c r="JV118" s="110">
        <f t="shared" ref="JV118:JV126" si="3159">JU118*JP118</f>
        <v>7810.72</v>
      </c>
      <c r="JW118" s="110"/>
      <c r="JX118" s="139"/>
      <c r="JY118" s="140">
        <f t="shared" ref="JY118:JY126" si="3160">JU118/$LI118</f>
        <v>1.6087800000000001</v>
      </c>
      <c r="JZ118" s="198">
        <f t="shared" si="3123"/>
        <v>120</v>
      </c>
      <c r="KA118" s="225">
        <f t="shared" ref="KA118:KA125" si="3161">JZ118/JZ$97</f>
        <v>0.10317999999999999</v>
      </c>
      <c r="KB118" s="226">
        <f t="shared" ref="KB118:KB125" si="3162">KB$97*KA118</f>
        <v>274.45999999999998</v>
      </c>
      <c r="KC118" s="137">
        <f t="shared" ref="KC118:KC126" si="3163">IF(JZ118&gt;0,KB118/JZ118,0)</f>
        <v>2.28716667</v>
      </c>
      <c r="KD118" s="227">
        <f t="shared" si="3127"/>
        <v>51.65</v>
      </c>
      <c r="KE118" s="138">
        <f t="shared" ref="KE118:KE126" si="3164">KC118*KD118</f>
        <v>118.13216</v>
      </c>
      <c r="KF118" s="110">
        <f t="shared" ref="KF118:KF126" si="3165">KE118*JZ118</f>
        <v>14175.86</v>
      </c>
      <c r="KG118" s="110"/>
      <c r="KH118" s="139"/>
      <c r="KI118" s="140">
        <f t="shared" ref="KI118:KI126" si="3166">KE118/$LI118</f>
        <v>1.09493</v>
      </c>
      <c r="KJ118" s="198">
        <f t="shared" ref="KJ118:KT124" si="3167">KJ31</f>
        <v>143</v>
      </c>
      <c r="KK118" s="225">
        <f t="shared" ref="KK118:KK125" si="3168">KJ118/KJ$97</f>
        <v>0.10664</v>
      </c>
      <c r="KL118" s="226">
        <f t="shared" ref="KL118:KL125" si="3169">KL$97*KK118</f>
        <v>282.92</v>
      </c>
      <c r="KM118" s="137">
        <f t="shared" ref="KM118:KM126" si="3170">IF(KJ118&gt;0,KL118/KJ118,0)</f>
        <v>1.9784615400000001</v>
      </c>
      <c r="KN118" s="227">
        <f t="shared" ref="KN118:KX125" si="3171">KN$97</f>
        <v>51.78</v>
      </c>
      <c r="KO118" s="138">
        <f t="shared" ref="KO118:KO126" si="3172">KM118*KN118</f>
        <v>102.44474</v>
      </c>
      <c r="KP118" s="110">
        <f t="shared" ref="KP118:KP126" si="3173">KO118*KJ118</f>
        <v>14649.6</v>
      </c>
      <c r="KQ118" s="110"/>
      <c r="KR118" s="139"/>
      <c r="KS118" s="140">
        <f t="shared" ref="KS118:KS126" si="3174">KO118/$LI118</f>
        <v>0.94952999999999999</v>
      </c>
      <c r="KT118" s="198">
        <f t="shared" si="3167"/>
        <v>56</v>
      </c>
      <c r="KU118" s="225">
        <f t="shared" ref="KU118:KU125" si="3175">KT118/KT$97</f>
        <v>4.9820000000000003E-2</v>
      </c>
      <c r="KV118" s="226">
        <f t="shared" ref="KV118:KV125" si="3176">KV$97*KU118</f>
        <v>315.36</v>
      </c>
      <c r="KW118" s="137">
        <f t="shared" ref="KW118:KW126" si="3177">IF(KT118&gt;0,KV118/KT118,0)</f>
        <v>5.6314285699999997</v>
      </c>
      <c r="KX118" s="227">
        <f t="shared" si="3171"/>
        <v>55.65</v>
      </c>
      <c r="KY118" s="138">
        <f t="shared" ref="KY118:KY126" si="3178">KW118*KX118</f>
        <v>313.38900000000001</v>
      </c>
      <c r="KZ118" s="110">
        <f t="shared" ref="KZ118:KZ126" si="3179">KY118*KT118</f>
        <v>17549.78</v>
      </c>
      <c r="LA118" s="110"/>
      <c r="LB118" s="139"/>
      <c r="LC118" s="140">
        <f t="shared" ref="LC118:LC126" si="3180">KY118/$LI118</f>
        <v>2.9047100000000001</v>
      </c>
      <c r="LD118" s="197">
        <f t="shared" si="2789"/>
        <v>2229</v>
      </c>
      <c r="LE118" s="225">
        <f t="shared" si="2790"/>
        <v>7.8090000000000007E-2</v>
      </c>
      <c r="LF118" s="226">
        <f t="shared" si="2791"/>
        <v>4786.76</v>
      </c>
      <c r="LG118" s="137">
        <f t="shared" si="2792"/>
        <v>2.1474921500000002</v>
      </c>
      <c r="LH118" s="227">
        <f t="shared" si="2793"/>
        <v>50.24</v>
      </c>
      <c r="LI118" s="138">
        <f t="shared" si="2794"/>
        <v>107.89001</v>
      </c>
      <c r="LJ118" s="110">
        <f t="shared" si="2795"/>
        <v>240486.83</v>
      </c>
      <c r="LK118" s="110"/>
      <c r="LL118" s="139"/>
    </row>
    <row r="119" spans="1:324" ht="18" hidden="1" customHeight="1" x14ac:dyDescent="0.25">
      <c r="A119" s="246"/>
      <c r="B119" s="92" t="s">
        <v>610</v>
      </c>
      <c r="C119" s="12" t="s">
        <v>728</v>
      </c>
      <c r="D119" s="12" t="s">
        <v>430</v>
      </c>
      <c r="E119" s="4" t="s">
        <v>32</v>
      </c>
      <c r="F119" s="198">
        <f t="shared" si="2990"/>
        <v>0</v>
      </c>
      <c r="G119" s="225">
        <f t="shared" si="2796"/>
        <v>0</v>
      </c>
      <c r="H119" s="226">
        <f t="shared" si="2797"/>
        <v>0</v>
      </c>
      <c r="I119" s="137">
        <f t="shared" si="2570"/>
        <v>0</v>
      </c>
      <c r="J119" s="227">
        <f t="shared" si="2798"/>
        <v>40.909999999999997</v>
      </c>
      <c r="K119" s="138">
        <f t="shared" si="2571"/>
        <v>0</v>
      </c>
      <c r="L119" s="110">
        <f t="shared" si="2572"/>
        <v>0</v>
      </c>
      <c r="M119" s="110"/>
      <c r="N119" s="139"/>
      <c r="O119" s="140" t="e">
        <f t="shared" si="2573"/>
        <v>#DIV/0!</v>
      </c>
      <c r="P119" s="198">
        <f t="shared" si="2991"/>
        <v>0</v>
      </c>
      <c r="Q119" s="225">
        <f t="shared" si="2992"/>
        <v>0</v>
      </c>
      <c r="R119" s="226">
        <f t="shared" si="2993"/>
        <v>0</v>
      </c>
      <c r="S119" s="137">
        <f t="shared" si="2994"/>
        <v>0</v>
      </c>
      <c r="T119" s="227">
        <f t="shared" si="2995"/>
        <v>36.11</v>
      </c>
      <c r="U119" s="138">
        <f t="shared" si="2996"/>
        <v>0</v>
      </c>
      <c r="V119" s="110">
        <f t="shared" si="2997"/>
        <v>0</v>
      </c>
      <c r="W119" s="110"/>
      <c r="X119" s="139"/>
      <c r="Y119" s="140" t="e">
        <f t="shared" si="2998"/>
        <v>#DIV/0!</v>
      </c>
      <c r="Z119" s="198">
        <f t="shared" si="2991"/>
        <v>0</v>
      </c>
      <c r="AA119" s="225">
        <f t="shared" si="2999"/>
        <v>0</v>
      </c>
      <c r="AB119" s="226">
        <f t="shared" si="3000"/>
        <v>0</v>
      </c>
      <c r="AC119" s="137">
        <f t="shared" si="3001"/>
        <v>0</v>
      </c>
      <c r="AD119" s="227">
        <f t="shared" si="2995"/>
        <v>54.87</v>
      </c>
      <c r="AE119" s="138">
        <f t="shared" si="3002"/>
        <v>0</v>
      </c>
      <c r="AF119" s="110">
        <f t="shared" si="3003"/>
        <v>0</v>
      </c>
      <c r="AG119" s="110"/>
      <c r="AH119" s="139"/>
      <c r="AI119" s="140" t="e">
        <f t="shared" si="3004"/>
        <v>#DIV/0!</v>
      </c>
      <c r="AJ119" s="198">
        <f t="shared" si="2991"/>
        <v>0</v>
      </c>
      <c r="AK119" s="225">
        <f t="shared" si="3005"/>
        <v>0</v>
      </c>
      <c r="AL119" s="226">
        <f t="shared" si="3006"/>
        <v>0</v>
      </c>
      <c r="AM119" s="137">
        <f t="shared" si="3007"/>
        <v>0</v>
      </c>
      <c r="AN119" s="227">
        <f t="shared" si="2995"/>
        <v>54.42</v>
      </c>
      <c r="AO119" s="138">
        <f t="shared" si="3008"/>
        <v>0</v>
      </c>
      <c r="AP119" s="110">
        <f t="shared" si="3009"/>
        <v>0</v>
      </c>
      <c r="AQ119" s="110"/>
      <c r="AR119" s="139"/>
      <c r="AS119" s="140" t="e">
        <f t="shared" si="3010"/>
        <v>#DIV/0!</v>
      </c>
      <c r="AT119" s="198">
        <f t="shared" si="2991"/>
        <v>0</v>
      </c>
      <c r="AU119" s="225">
        <f t="shared" si="3011"/>
        <v>0</v>
      </c>
      <c r="AV119" s="226">
        <f t="shared" si="3012"/>
        <v>0</v>
      </c>
      <c r="AW119" s="137">
        <f t="shared" si="3013"/>
        <v>0</v>
      </c>
      <c r="AX119" s="227">
        <f t="shared" si="2995"/>
        <v>49.55</v>
      </c>
      <c r="AY119" s="138">
        <f t="shared" si="3014"/>
        <v>0</v>
      </c>
      <c r="AZ119" s="110">
        <f t="shared" si="3015"/>
        <v>0</v>
      </c>
      <c r="BA119" s="110"/>
      <c r="BB119" s="139"/>
      <c r="BC119" s="140" t="e">
        <f t="shared" si="3016"/>
        <v>#DIV/0!</v>
      </c>
      <c r="BD119" s="198">
        <f t="shared" si="2991"/>
        <v>0</v>
      </c>
      <c r="BE119" s="225">
        <f t="shared" si="3017"/>
        <v>0</v>
      </c>
      <c r="BF119" s="226">
        <f t="shared" si="3018"/>
        <v>0</v>
      </c>
      <c r="BG119" s="137">
        <f t="shared" si="3019"/>
        <v>0</v>
      </c>
      <c r="BH119" s="227">
        <f t="shared" si="2995"/>
        <v>55.1</v>
      </c>
      <c r="BI119" s="138">
        <f t="shared" si="3020"/>
        <v>0</v>
      </c>
      <c r="BJ119" s="110">
        <f t="shared" si="3021"/>
        <v>0</v>
      </c>
      <c r="BK119" s="110"/>
      <c r="BL119" s="139"/>
      <c r="BM119" s="140" t="e">
        <f t="shared" si="3022"/>
        <v>#DIV/0!</v>
      </c>
      <c r="BN119" s="198">
        <f t="shared" si="2991"/>
        <v>0</v>
      </c>
      <c r="BO119" s="225">
        <f t="shared" si="3023"/>
        <v>0</v>
      </c>
      <c r="BP119" s="226">
        <f t="shared" si="3024"/>
        <v>0</v>
      </c>
      <c r="BQ119" s="137">
        <f t="shared" si="3025"/>
        <v>0</v>
      </c>
      <c r="BR119" s="227">
        <f t="shared" si="2995"/>
        <v>54.14</v>
      </c>
      <c r="BS119" s="138">
        <f t="shared" si="3026"/>
        <v>0</v>
      </c>
      <c r="BT119" s="110">
        <f t="shared" si="3027"/>
        <v>0</v>
      </c>
      <c r="BU119" s="110"/>
      <c r="BV119" s="139"/>
      <c r="BW119" s="140" t="e">
        <f t="shared" si="3028"/>
        <v>#DIV/0!</v>
      </c>
      <c r="BX119" s="198">
        <f t="shared" si="2991"/>
        <v>0</v>
      </c>
      <c r="BY119" s="225">
        <f t="shared" si="3029"/>
        <v>0</v>
      </c>
      <c r="BZ119" s="226">
        <f t="shared" si="3030"/>
        <v>0</v>
      </c>
      <c r="CA119" s="137">
        <f t="shared" si="3031"/>
        <v>0</v>
      </c>
      <c r="CB119" s="227">
        <f t="shared" si="2995"/>
        <v>51.74</v>
      </c>
      <c r="CC119" s="138">
        <f t="shared" si="3032"/>
        <v>0</v>
      </c>
      <c r="CD119" s="110">
        <f t="shared" si="3033"/>
        <v>0</v>
      </c>
      <c r="CE119" s="110"/>
      <c r="CF119" s="139"/>
      <c r="CG119" s="140" t="e">
        <f t="shared" si="3034"/>
        <v>#DIV/0!</v>
      </c>
      <c r="CH119" s="198">
        <f t="shared" si="3035"/>
        <v>0</v>
      </c>
      <c r="CI119" s="225">
        <f t="shared" si="3036"/>
        <v>0</v>
      </c>
      <c r="CJ119" s="226">
        <f t="shared" si="3037"/>
        <v>0</v>
      </c>
      <c r="CK119" s="137">
        <f t="shared" si="3038"/>
        <v>0</v>
      </c>
      <c r="CL119" s="227">
        <f t="shared" si="3039"/>
        <v>46.92</v>
      </c>
      <c r="CM119" s="138">
        <f t="shared" si="3040"/>
        <v>0</v>
      </c>
      <c r="CN119" s="110">
        <f t="shared" si="3041"/>
        <v>0</v>
      </c>
      <c r="CO119" s="110"/>
      <c r="CP119" s="139"/>
      <c r="CQ119" s="140" t="e">
        <f t="shared" si="3042"/>
        <v>#DIV/0!</v>
      </c>
      <c r="CR119" s="198">
        <f t="shared" si="3035"/>
        <v>0</v>
      </c>
      <c r="CS119" s="225">
        <f t="shared" si="3043"/>
        <v>0</v>
      </c>
      <c r="CT119" s="226">
        <f t="shared" si="3044"/>
        <v>0</v>
      </c>
      <c r="CU119" s="137">
        <f t="shared" si="3045"/>
        <v>0</v>
      </c>
      <c r="CV119" s="227">
        <f t="shared" si="3039"/>
        <v>49.61</v>
      </c>
      <c r="CW119" s="138">
        <f t="shared" si="3046"/>
        <v>0</v>
      </c>
      <c r="CX119" s="110">
        <f t="shared" si="3047"/>
        <v>0</v>
      </c>
      <c r="CY119" s="110"/>
      <c r="CZ119" s="139"/>
      <c r="DA119" s="140" t="e">
        <f t="shared" si="3048"/>
        <v>#DIV/0!</v>
      </c>
      <c r="DB119" s="198">
        <f t="shared" si="3035"/>
        <v>0</v>
      </c>
      <c r="DC119" s="225">
        <f t="shared" si="3049"/>
        <v>0</v>
      </c>
      <c r="DD119" s="226">
        <f t="shared" si="3050"/>
        <v>0</v>
      </c>
      <c r="DE119" s="137">
        <f t="shared" si="3051"/>
        <v>0</v>
      </c>
      <c r="DF119" s="227">
        <f t="shared" si="3039"/>
        <v>52.57</v>
      </c>
      <c r="DG119" s="138">
        <f t="shared" si="3052"/>
        <v>0</v>
      </c>
      <c r="DH119" s="110">
        <f t="shared" si="3053"/>
        <v>0</v>
      </c>
      <c r="DI119" s="110"/>
      <c r="DJ119" s="139"/>
      <c r="DK119" s="140" t="e">
        <f t="shared" si="3054"/>
        <v>#DIV/0!</v>
      </c>
      <c r="DL119" s="198">
        <f t="shared" si="3035"/>
        <v>0</v>
      </c>
      <c r="DM119" s="225">
        <f t="shared" si="3055"/>
        <v>0</v>
      </c>
      <c r="DN119" s="226">
        <f t="shared" si="3056"/>
        <v>0</v>
      </c>
      <c r="DO119" s="137">
        <f t="shared" si="3057"/>
        <v>0</v>
      </c>
      <c r="DP119" s="227">
        <f t="shared" si="3039"/>
        <v>55.25</v>
      </c>
      <c r="DQ119" s="138">
        <f t="shared" si="3058"/>
        <v>0</v>
      </c>
      <c r="DR119" s="110">
        <f t="shared" si="3059"/>
        <v>0</v>
      </c>
      <c r="DS119" s="110"/>
      <c r="DT119" s="139"/>
      <c r="DU119" s="140" t="e">
        <f t="shared" si="3060"/>
        <v>#DIV/0!</v>
      </c>
      <c r="DV119" s="198">
        <f t="shared" si="3035"/>
        <v>0</v>
      </c>
      <c r="DW119" s="225">
        <f t="shared" si="3061"/>
        <v>0</v>
      </c>
      <c r="DX119" s="226">
        <f t="shared" si="3062"/>
        <v>0</v>
      </c>
      <c r="DY119" s="137">
        <f t="shared" si="3063"/>
        <v>0</v>
      </c>
      <c r="DZ119" s="227">
        <f t="shared" si="3039"/>
        <v>34.14</v>
      </c>
      <c r="EA119" s="138">
        <f t="shared" si="3064"/>
        <v>0</v>
      </c>
      <c r="EB119" s="110">
        <f t="shared" si="3065"/>
        <v>0</v>
      </c>
      <c r="EC119" s="110"/>
      <c r="ED119" s="139"/>
      <c r="EE119" s="140" t="e">
        <f t="shared" si="3066"/>
        <v>#DIV/0!</v>
      </c>
      <c r="EF119" s="198">
        <f t="shared" si="3035"/>
        <v>0</v>
      </c>
      <c r="EG119" s="225">
        <f t="shared" si="3067"/>
        <v>0</v>
      </c>
      <c r="EH119" s="226">
        <f t="shared" si="3068"/>
        <v>0</v>
      </c>
      <c r="EI119" s="137">
        <f t="shared" si="3069"/>
        <v>0</v>
      </c>
      <c r="EJ119" s="227">
        <f t="shared" si="3039"/>
        <v>44.53</v>
      </c>
      <c r="EK119" s="138">
        <f t="shared" si="3070"/>
        <v>0</v>
      </c>
      <c r="EL119" s="110">
        <f t="shared" si="3071"/>
        <v>0</v>
      </c>
      <c r="EM119" s="110"/>
      <c r="EN119" s="139"/>
      <c r="EO119" s="140" t="e">
        <f t="shared" si="3072"/>
        <v>#DIV/0!</v>
      </c>
      <c r="EP119" s="198">
        <f t="shared" si="3035"/>
        <v>0</v>
      </c>
      <c r="EQ119" s="225">
        <f t="shared" si="3073"/>
        <v>0</v>
      </c>
      <c r="ER119" s="226">
        <f t="shared" si="3074"/>
        <v>0</v>
      </c>
      <c r="ES119" s="137">
        <f t="shared" si="3075"/>
        <v>0</v>
      </c>
      <c r="ET119" s="227">
        <f t="shared" si="3039"/>
        <v>52.01</v>
      </c>
      <c r="EU119" s="138">
        <f t="shared" si="3076"/>
        <v>0</v>
      </c>
      <c r="EV119" s="110">
        <f t="shared" si="3077"/>
        <v>0</v>
      </c>
      <c r="EW119" s="110"/>
      <c r="EX119" s="139"/>
      <c r="EY119" s="140" t="e">
        <f t="shared" si="3078"/>
        <v>#DIV/0!</v>
      </c>
      <c r="EZ119" s="198">
        <f t="shared" si="3079"/>
        <v>0</v>
      </c>
      <c r="FA119" s="225">
        <f t="shared" si="3080"/>
        <v>0</v>
      </c>
      <c r="FB119" s="226">
        <f t="shared" si="3081"/>
        <v>0</v>
      </c>
      <c r="FC119" s="137">
        <f t="shared" si="3082"/>
        <v>0</v>
      </c>
      <c r="FD119" s="227">
        <f t="shared" si="3083"/>
        <v>55.47</v>
      </c>
      <c r="FE119" s="138">
        <f t="shared" si="3084"/>
        <v>0</v>
      </c>
      <c r="FF119" s="110">
        <f t="shared" si="3085"/>
        <v>0</v>
      </c>
      <c r="FG119" s="110"/>
      <c r="FH119" s="139"/>
      <c r="FI119" s="140" t="e">
        <f t="shared" si="3086"/>
        <v>#DIV/0!</v>
      </c>
      <c r="FJ119" s="198">
        <f t="shared" si="3079"/>
        <v>0</v>
      </c>
      <c r="FK119" s="225">
        <f t="shared" si="3087"/>
        <v>0</v>
      </c>
      <c r="FL119" s="226">
        <f t="shared" si="3088"/>
        <v>0</v>
      </c>
      <c r="FM119" s="137">
        <f t="shared" si="3089"/>
        <v>0</v>
      </c>
      <c r="FN119" s="227">
        <f t="shared" si="3083"/>
        <v>39.74</v>
      </c>
      <c r="FO119" s="138">
        <f t="shared" si="3090"/>
        <v>0</v>
      </c>
      <c r="FP119" s="110">
        <f t="shared" si="3091"/>
        <v>0</v>
      </c>
      <c r="FQ119" s="110"/>
      <c r="FR119" s="139"/>
      <c r="FS119" s="140" t="e">
        <f t="shared" si="3092"/>
        <v>#DIV/0!</v>
      </c>
      <c r="FT119" s="198">
        <f t="shared" si="3079"/>
        <v>0</v>
      </c>
      <c r="FU119" s="225">
        <f t="shared" si="3093"/>
        <v>0</v>
      </c>
      <c r="FV119" s="226">
        <f t="shared" si="3094"/>
        <v>0</v>
      </c>
      <c r="FW119" s="137">
        <f t="shared" si="3095"/>
        <v>0</v>
      </c>
      <c r="FX119" s="227">
        <f t="shared" si="3083"/>
        <v>53.97</v>
      </c>
      <c r="FY119" s="138">
        <f t="shared" si="3096"/>
        <v>0</v>
      </c>
      <c r="FZ119" s="110">
        <f t="shared" si="3097"/>
        <v>0</v>
      </c>
      <c r="GA119" s="110"/>
      <c r="GB119" s="139"/>
      <c r="GC119" s="140" t="e">
        <f t="shared" si="3098"/>
        <v>#DIV/0!</v>
      </c>
      <c r="GD119" s="198">
        <f t="shared" si="3079"/>
        <v>0</v>
      </c>
      <c r="GE119" s="225">
        <f t="shared" si="3099"/>
        <v>0</v>
      </c>
      <c r="GF119" s="226">
        <f t="shared" si="3100"/>
        <v>0</v>
      </c>
      <c r="GG119" s="137">
        <f t="shared" si="3101"/>
        <v>0</v>
      </c>
      <c r="GH119" s="227">
        <f t="shared" si="3083"/>
        <v>54.63</v>
      </c>
      <c r="GI119" s="138">
        <f t="shared" si="3102"/>
        <v>0</v>
      </c>
      <c r="GJ119" s="110">
        <f t="shared" si="3103"/>
        <v>0</v>
      </c>
      <c r="GK119" s="110"/>
      <c r="GL119" s="139"/>
      <c r="GM119" s="140" t="e">
        <f t="shared" si="3104"/>
        <v>#DIV/0!</v>
      </c>
      <c r="GN119" s="198">
        <f t="shared" si="3079"/>
        <v>0</v>
      </c>
      <c r="GO119" s="225">
        <f t="shared" si="3105"/>
        <v>0</v>
      </c>
      <c r="GP119" s="226">
        <f t="shared" si="3106"/>
        <v>0</v>
      </c>
      <c r="GQ119" s="137">
        <f t="shared" si="3107"/>
        <v>0</v>
      </c>
      <c r="GR119" s="227">
        <f t="shared" si="3083"/>
        <v>52.13</v>
      </c>
      <c r="GS119" s="138">
        <f t="shared" si="3108"/>
        <v>0</v>
      </c>
      <c r="GT119" s="110">
        <f t="shared" si="3109"/>
        <v>0</v>
      </c>
      <c r="GU119" s="110"/>
      <c r="GV119" s="139"/>
      <c r="GW119" s="140" t="e">
        <f t="shared" si="3110"/>
        <v>#DIV/0!</v>
      </c>
      <c r="GX119" s="198">
        <f t="shared" si="3079"/>
        <v>0</v>
      </c>
      <c r="GY119" s="225">
        <f t="shared" si="3111"/>
        <v>0</v>
      </c>
      <c r="GZ119" s="226">
        <f t="shared" si="3112"/>
        <v>0</v>
      </c>
      <c r="HA119" s="137">
        <f t="shared" si="3113"/>
        <v>0</v>
      </c>
      <c r="HB119" s="227">
        <f t="shared" si="3083"/>
        <v>42.58</v>
      </c>
      <c r="HC119" s="138">
        <f t="shared" si="3114"/>
        <v>0</v>
      </c>
      <c r="HD119" s="110">
        <f t="shared" si="3115"/>
        <v>0</v>
      </c>
      <c r="HE119" s="110"/>
      <c r="HF119" s="139"/>
      <c r="HG119" s="140" t="e">
        <f t="shared" si="3116"/>
        <v>#DIV/0!</v>
      </c>
      <c r="HH119" s="198">
        <f t="shared" si="3079"/>
        <v>0</v>
      </c>
      <c r="HI119" s="225">
        <f t="shared" si="3117"/>
        <v>0</v>
      </c>
      <c r="HJ119" s="226">
        <f t="shared" si="3118"/>
        <v>0</v>
      </c>
      <c r="HK119" s="137">
        <f t="shared" si="3119"/>
        <v>0</v>
      </c>
      <c r="HL119" s="227">
        <f t="shared" si="3083"/>
        <v>49.58</v>
      </c>
      <c r="HM119" s="138">
        <f t="shared" si="3120"/>
        <v>0</v>
      </c>
      <c r="HN119" s="110">
        <f t="shared" si="3121"/>
        <v>0</v>
      </c>
      <c r="HO119" s="110"/>
      <c r="HP119" s="139"/>
      <c r="HQ119" s="140" t="e">
        <f t="shared" si="3122"/>
        <v>#DIV/0!</v>
      </c>
      <c r="HR119" s="198">
        <f t="shared" si="3123"/>
        <v>0</v>
      </c>
      <c r="HS119" s="225">
        <f t="shared" si="3124"/>
        <v>0</v>
      </c>
      <c r="HT119" s="226">
        <f t="shared" si="3125"/>
        <v>0</v>
      </c>
      <c r="HU119" s="137">
        <f t="shared" si="3126"/>
        <v>0</v>
      </c>
      <c r="HV119" s="227">
        <f t="shared" si="3127"/>
        <v>52.62</v>
      </c>
      <c r="HW119" s="138">
        <f t="shared" si="3128"/>
        <v>0</v>
      </c>
      <c r="HX119" s="110">
        <f t="shared" si="3129"/>
        <v>0</v>
      </c>
      <c r="HY119" s="110"/>
      <c r="HZ119" s="139"/>
      <c r="IA119" s="140" t="e">
        <f t="shared" si="3130"/>
        <v>#DIV/0!</v>
      </c>
      <c r="IB119" s="198">
        <f t="shared" si="3123"/>
        <v>0</v>
      </c>
      <c r="IC119" s="225">
        <f t="shared" si="3131"/>
        <v>0</v>
      </c>
      <c r="ID119" s="226">
        <f t="shared" si="3132"/>
        <v>0</v>
      </c>
      <c r="IE119" s="137">
        <f t="shared" si="3133"/>
        <v>0</v>
      </c>
      <c r="IF119" s="227">
        <f t="shared" si="3127"/>
        <v>50</v>
      </c>
      <c r="IG119" s="138">
        <f t="shared" si="3134"/>
        <v>0</v>
      </c>
      <c r="IH119" s="110">
        <f t="shared" si="3135"/>
        <v>0</v>
      </c>
      <c r="II119" s="110"/>
      <c r="IJ119" s="139"/>
      <c r="IK119" s="140" t="e">
        <f t="shared" si="3136"/>
        <v>#DIV/0!</v>
      </c>
      <c r="IL119" s="198">
        <f t="shared" si="3123"/>
        <v>0</v>
      </c>
      <c r="IM119" s="225">
        <f t="shared" si="3137"/>
        <v>0</v>
      </c>
      <c r="IN119" s="226">
        <f t="shared" si="3138"/>
        <v>0</v>
      </c>
      <c r="IO119" s="137">
        <f t="shared" si="3139"/>
        <v>0</v>
      </c>
      <c r="IP119" s="227">
        <f t="shared" si="3127"/>
        <v>54.39</v>
      </c>
      <c r="IQ119" s="138">
        <f t="shared" si="3140"/>
        <v>0</v>
      </c>
      <c r="IR119" s="110">
        <f t="shared" si="3141"/>
        <v>0</v>
      </c>
      <c r="IS119" s="110"/>
      <c r="IT119" s="139"/>
      <c r="IU119" s="140" t="e">
        <f t="shared" si="3142"/>
        <v>#DIV/0!</v>
      </c>
      <c r="IV119" s="198">
        <f t="shared" si="3123"/>
        <v>0</v>
      </c>
      <c r="IW119" s="225">
        <f t="shared" si="3143"/>
        <v>0</v>
      </c>
      <c r="IX119" s="226">
        <f t="shared" si="3144"/>
        <v>0</v>
      </c>
      <c r="IY119" s="137">
        <f t="shared" si="3145"/>
        <v>0</v>
      </c>
      <c r="IZ119" s="227">
        <f t="shared" si="3127"/>
        <v>54.71</v>
      </c>
      <c r="JA119" s="138">
        <f t="shared" si="3146"/>
        <v>0</v>
      </c>
      <c r="JB119" s="110">
        <f t="shared" si="3147"/>
        <v>0</v>
      </c>
      <c r="JC119" s="110"/>
      <c r="JD119" s="139"/>
      <c r="JE119" s="140" t="e">
        <f t="shared" si="3148"/>
        <v>#DIV/0!</v>
      </c>
      <c r="JF119" s="198">
        <f t="shared" si="3123"/>
        <v>0</v>
      </c>
      <c r="JG119" s="225">
        <f t="shared" si="3149"/>
        <v>0</v>
      </c>
      <c r="JH119" s="226">
        <f t="shared" si="3150"/>
        <v>0</v>
      </c>
      <c r="JI119" s="137">
        <f t="shared" si="3151"/>
        <v>0</v>
      </c>
      <c r="JJ119" s="227">
        <f t="shared" si="3127"/>
        <v>43.31</v>
      </c>
      <c r="JK119" s="138">
        <f t="shared" si="3152"/>
        <v>0</v>
      </c>
      <c r="JL119" s="110">
        <f t="shared" si="3153"/>
        <v>0</v>
      </c>
      <c r="JM119" s="110"/>
      <c r="JN119" s="139"/>
      <c r="JO119" s="140" t="e">
        <f t="shared" si="3154"/>
        <v>#DIV/0!</v>
      </c>
      <c r="JP119" s="198">
        <f t="shared" si="3123"/>
        <v>0</v>
      </c>
      <c r="JQ119" s="225">
        <f t="shared" si="3155"/>
        <v>0</v>
      </c>
      <c r="JR119" s="226">
        <f t="shared" si="3156"/>
        <v>0</v>
      </c>
      <c r="JS119" s="137">
        <f t="shared" si="3157"/>
        <v>0</v>
      </c>
      <c r="JT119" s="227">
        <f t="shared" si="3127"/>
        <v>57.05</v>
      </c>
      <c r="JU119" s="138">
        <f t="shared" si="3158"/>
        <v>0</v>
      </c>
      <c r="JV119" s="110">
        <f t="shared" si="3159"/>
        <v>0</v>
      </c>
      <c r="JW119" s="110"/>
      <c r="JX119" s="139"/>
      <c r="JY119" s="140" t="e">
        <f t="shared" si="3160"/>
        <v>#DIV/0!</v>
      </c>
      <c r="JZ119" s="198">
        <f t="shared" si="3123"/>
        <v>0</v>
      </c>
      <c r="KA119" s="225">
        <f t="shared" si="3161"/>
        <v>0</v>
      </c>
      <c r="KB119" s="226">
        <f t="shared" si="3162"/>
        <v>0</v>
      </c>
      <c r="KC119" s="137">
        <f t="shared" si="3163"/>
        <v>0</v>
      </c>
      <c r="KD119" s="227">
        <f t="shared" si="3127"/>
        <v>51.65</v>
      </c>
      <c r="KE119" s="138">
        <f t="shared" si="3164"/>
        <v>0</v>
      </c>
      <c r="KF119" s="110">
        <f t="shared" si="3165"/>
        <v>0</v>
      </c>
      <c r="KG119" s="110"/>
      <c r="KH119" s="139"/>
      <c r="KI119" s="140" t="e">
        <f t="shared" si="3166"/>
        <v>#DIV/0!</v>
      </c>
      <c r="KJ119" s="198">
        <f t="shared" si="3167"/>
        <v>0</v>
      </c>
      <c r="KK119" s="225">
        <f t="shared" si="3168"/>
        <v>0</v>
      </c>
      <c r="KL119" s="226">
        <f t="shared" si="3169"/>
        <v>0</v>
      </c>
      <c r="KM119" s="137">
        <f t="shared" si="3170"/>
        <v>0</v>
      </c>
      <c r="KN119" s="227">
        <f t="shared" si="3171"/>
        <v>51.78</v>
      </c>
      <c r="KO119" s="138">
        <f t="shared" si="3172"/>
        <v>0</v>
      </c>
      <c r="KP119" s="110">
        <f t="shared" si="3173"/>
        <v>0</v>
      </c>
      <c r="KQ119" s="110"/>
      <c r="KR119" s="139"/>
      <c r="KS119" s="140" t="e">
        <f t="shared" si="3174"/>
        <v>#DIV/0!</v>
      </c>
      <c r="KT119" s="198">
        <f t="shared" si="3167"/>
        <v>0</v>
      </c>
      <c r="KU119" s="225">
        <f t="shared" si="3175"/>
        <v>0</v>
      </c>
      <c r="KV119" s="226">
        <f t="shared" si="3176"/>
        <v>0</v>
      </c>
      <c r="KW119" s="137">
        <f t="shared" si="3177"/>
        <v>0</v>
      </c>
      <c r="KX119" s="227">
        <f t="shared" si="3171"/>
        <v>55.65</v>
      </c>
      <c r="KY119" s="138">
        <f t="shared" si="3178"/>
        <v>0</v>
      </c>
      <c r="KZ119" s="110">
        <f t="shared" si="3179"/>
        <v>0</v>
      </c>
      <c r="LA119" s="110"/>
      <c r="LB119" s="139"/>
      <c r="LC119" s="140" t="e">
        <f t="shared" si="3180"/>
        <v>#DIV/0!</v>
      </c>
      <c r="LD119" s="197">
        <f t="shared" si="2789"/>
        <v>0</v>
      </c>
      <c r="LE119" s="225">
        <f t="shared" si="2790"/>
        <v>0</v>
      </c>
      <c r="LF119" s="226">
        <f t="shared" si="2791"/>
        <v>0</v>
      </c>
      <c r="LG119" s="137">
        <f t="shared" si="2792"/>
        <v>0</v>
      </c>
      <c r="LH119" s="227">
        <f t="shared" si="2793"/>
        <v>50.24</v>
      </c>
      <c r="LI119" s="138">
        <f t="shared" si="2794"/>
        <v>0</v>
      </c>
      <c r="LJ119" s="110">
        <f t="shared" si="2795"/>
        <v>0</v>
      </c>
      <c r="LK119" s="110"/>
      <c r="LL119" s="139"/>
    </row>
    <row r="120" spans="1:324" ht="18" hidden="1" customHeight="1" x14ac:dyDescent="0.25">
      <c r="A120" s="246"/>
      <c r="B120" s="92" t="s">
        <v>625</v>
      </c>
      <c r="C120" s="12" t="s">
        <v>728</v>
      </c>
      <c r="D120" s="12" t="s">
        <v>430</v>
      </c>
      <c r="E120" s="4" t="s">
        <v>32</v>
      </c>
      <c r="F120" s="198">
        <f t="shared" si="2990"/>
        <v>0</v>
      </c>
      <c r="G120" s="225">
        <f t="shared" si="2796"/>
        <v>0</v>
      </c>
      <c r="H120" s="226">
        <f t="shared" si="2797"/>
        <v>0</v>
      </c>
      <c r="I120" s="137">
        <f t="shared" si="2570"/>
        <v>0</v>
      </c>
      <c r="J120" s="227">
        <f t="shared" si="2798"/>
        <v>40.909999999999997</v>
      </c>
      <c r="K120" s="138">
        <f t="shared" si="2571"/>
        <v>0</v>
      </c>
      <c r="L120" s="110">
        <f t="shared" si="2572"/>
        <v>0</v>
      </c>
      <c r="M120" s="110"/>
      <c r="N120" s="139"/>
      <c r="O120" s="140" t="e">
        <f t="shared" si="2573"/>
        <v>#DIV/0!</v>
      </c>
      <c r="P120" s="198">
        <f t="shared" si="2991"/>
        <v>0</v>
      </c>
      <c r="Q120" s="225">
        <f t="shared" si="2992"/>
        <v>0</v>
      </c>
      <c r="R120" s="226">
        <f t="shared" si="2993"/>
        <v>0</v>
      </c>
      <c r="S120" s="137">
        <f t="shared" si="2994"/>
        <v>0</v>
      </c>
      <c r="T120" s="227">
        <f t="shared" si="2995"/>
        <v>36.11</v>
      </c>
      <c r="U120" s="138">
        <f t="shared" si="2996"/>
        <v>0</v>
      </c>
      <c r="V120" s="110">
        <f t="shared" si="2997"/>
        <v>0</v>
      </c>
      <c r="W120" s="110"/>
      <c r="X120" s="139"/>
      <c r="Y120" s="140" t="e">
        <f t="shared" si="2998"/>
        <v>#DIV/0!</v>
      </c>
      <c r="Z120" s="198">
        <f t="shared" si="2991"/>
        <v>0</v>
      </c>
      <c r="AA120" s="225">
        <f t="shared" si="2999"/>
        <v>0</v>
      </c>
      <c r="AB120" s="226">
        <f t="shared" si="3000"/>
        <v>0</v>
      </c>
      <c r="AC120" s="137">
        <f t="shared" si="3001"/>
        <v>0</v>
      </c>
      <c r="AD120" s="227">
        <f t="shared" si="2995"/>
        <v>54.87</v>
      </c>
      <c r="AE120" s="138">
        <f t="shared" si="3002"/>
        <v>0</v>
      </c>
      <c r="AF120" s="110">
        <f t="shared" si="3003"/>
        <v>0</v>
      </c>
      <c r="AG120" s="110"/>
      <c r="AH120" s="139"/>
      <c r="AI120" s="140" t="e">
        <f t="shared" si="3004"/>
        <v>#DIV/0!</v>
      </c>
      <c r="AJ120" s="198">
        <f t="shared" si="2991"/>
        <v>0</v>
      </c>
      <c r="AK120" s="225">
        <f t="shared" si="3005"/>
        <v>0</v>
      </c>
      <c r="AL120" s="226">
        <f t="shared" si="3006"/>
        <v>0</v>
      </c>
      <c r="AM120" s="137">
        <f t="shared" si="3007"/>
        <v>0</v>
      </c>
      <c r="AN120" s="227">
        <f t="shared" si="2995"/>
        <v>54.42</v>
      </c>
      <c r="AO120" s="138">
        <f t="shared" si="3008"/>
        <v>0</v>
      </c>
      <c r="AP120" s="110">
        <f t="shared" si="3009"/>
        <v>0</v>
      </c>
      <c r="AQ120" s="110"/>
      <c r="AR120" s="139"/>
      <c r="AS120" s="140" t="e">
        <f t="shared" si="3010"/>
        <v>#DIV/0!</v>
      </c>
      <c r="AT120" s="198">
        <f t="shared" si="2991"/>
        <v>0</v>
      </c>
      <c r="AU120" s="225">
        <f t="shared" si="3011"/>
        <v>0</v>
      </c>
      <c r="AV120" s="226">
        <f t="shared" si="3012"/>
        <v>0</v>
      </c>
      <c r="AW120" s="137">
        <f t="shared" si="3013"/>
        <v>0</v>
      </c>
      <c r="AX120" s="227">
        <f t="shared" si="2995"/>
        <v>49.55</v>
      </c>
      <c r="AY120" s="138">
        <f t="shared" si="3014"/>
        <v>0</v>
      </c>
      <c r="AZ120" s="110">
        <f t="shared" si="3015"/>
        <v>0</v>
      </c>
      <c r="BA120" s="110"/>
      <c r="BB120" s="139"/>
      <c r="BC120" s="140" t="e">
        <f t="shared" si="3016"/>
        <v>#DIV/0!</v>
      </c>
      <c r="BD120" s="198">
        <f t="shared" si="2991"/>
        <v>0</v>
      </c>
      <c r="BE120" s="225">
        <f t="shared" si="3017"/>
        <v>0</v>
      </c>
      <c r="BF120" s="226">
        <f t="shared" si="3018"/>
        <v>0</v>
      </c>
      <c r="BG120" s="137">
        <f t="shared" si="3019"/>
        <v>0</v>
      </c>
      <c r="BH120" s="227">
        <f t="shared" si="2995"/>
        <v>55.1</v>
      </c>
      <c r="BI120" s="138">
        <f t="shared" si="3020"/>
        <v>0</v>
      </c>
      <c r="BJ120" s="110">
        <f t="shared" si="3021"/>
        <v>0</v>
      </c>
      <c r="BK120" s="110"/>
      <c r="BL120" s="139"/>
      <c r="BM120" s="140" t="e">
        <f t="shared" si="3022"/>
        <v>#DIV/0!</v>
      </c>
      <c r="BN120" s="198">
        <f t="shared" si="2991"/>
        <v>0</v>
      </c>
      <c r="BO120" s="225">
        <f t="shared" si="3023"/>
        <v>0</v>
      </c>
      <c r="BP120" s="226">
        <f t="shared" si="3024"/>
        <v>0</v>
      </c>
      <c r="BQ120" s="137">
        <f t="shared" si="3025"/>
        <v>0</v>
      </c>
      <c r="BR120" s="227">
        <f t="shared" si="2995"/>
        <v>54.14</v>
      </c>
      <c r="BS120" s="138">
        <f t="shared" si="3026"/>
        <v>0</v>
      </c>
      <c r="BT120" s="110">
        <f t="shared" si="3027"/>
        <v>0</v>
      </c>
      <c r="BU120" s="110"/>
      <c r="BV120" s="139"/>
      <c r="BW120" s="140" t="e">
        <f t="shared" si="3028"/>
        <v>#DIV/0!</v>
      </c>
      <c r="BX120" s="198">
        <f t="shared" si="2991"/>
        <v>0</v>
      </c>
      <c r="BY120" s="225">
        <f t="shared" si="3029"/>
        <v>0</v>
      </c>
      <c r="BZ120" s="226">
        <f t="shared" si="3030"/>
        <v>0</v>
      </c>
      <c r="CA120" s="137">
        <f t="shared" si="3031"/>
        <v>0</v>
      </c>
      <c r="CB120" s="227">
        <f t="shared" si="2995"/>
        <v>51.74</v>
      </c>
      <c r="CC120" s="138">
        <f t="shared" si="3032"/>
        <v>0</v>
      </c>
      <c r="CD120" s="110">
        <f t="shared" si="3033"/>
        <v>0</v>
      </c>
      <c r="CE120" s="110"/>
      <c r="CF120" s="139"/>
      <c r="CG120" s="140" t="e">
        <f t="shared" si="3034"/>
        <v>#DIV/0!</v>
      </c>
      <c r="CH120" s="198">
        <f t="shared" si="3035"/>
        <v>0</v>
      </c>
      <c r="CI120" s="225">
        <f t="shared" si="3036"/>
        <v>0</v>
      </c>
      <c r="CJ120" s="226">
        <f t="shared" si="3037"/>
        <v>0</v>
      </c>
      <c r="CK120" s="137">
        <f t="shared" si="3038"/>
        <v>0</v>
      </c>
      <c r="CL120" s="227">
        <f t="shared" si="3039"/>
        <v>46.92</v>
      </c>
      <c r="CM120" s="138">
        <f t="shared" si="3040"/>
        <v>0</v>
      </c>
      <c r="CN120" s="110">
        <f t="shared" si="3041"/>
        <v>0</v>
      </c>
      <c r="CO120" s="110"/>
      <c r="CP120" s="139"/>
      <c r="CQ120" s="140" t="e">
        <f t="shared" si="3042"/>
        <v>#DIV/0!</v>
      </c>
      <c r="CR120" s="198">
        <f t="shared" si="3035"/>
        <v>0</v>
      </c>
      <c r="CS120" s="225">
        <f t="shared" si="3043"/>
        <v>0</v>
      </c>
      <c r="CT120" s="226">
        <f t="shared" si="3044"/>
        <v>0</v>
      </c>
      <c r="CU120" s="137">
        <f t="shared" si="3045"/>
        <v>0</v>
      </c>
      <c r="CV120" s="227">
        <f t="shared" si="3039"/>
        <v>49.61</v>
      </c>
      <c r="CW120" s="138">
        <f t="shared" si="3046"/>
        <v>0</v>
      </c>
      <c r="CX120" s="110">
        <f t="shared" si="3047"/>
        <v>0</v>
      </c>
      <c r="CY120" s="110"/>
      <c r="CZ120" s="139"/>
      <c r="DA120" s="140" t="e">
        <f t="shared" si="3048"/>
        <v>#DIV/0!</v>
      </c>
      <c r="DB120" s="198">
        <f t="shared" si="3035"/>
        <v>0</v>
      </c>
      <c r="DC120" s="225">
        <f t="shared" si="3049"/>
        <v>0</v>
      </c>
      <c r="DD120" s="226">
        <f t="shared" si="3050"/>
        <v>0</v>
      </c>
      <c r="DE120" s="137">
        <f t="shared" si="3051"/>
        <v>0</v>
      </c>
      <c r="DF120" s="227">
        <f t="shared" si="3039"/>
        <v>52.57</v>
      </c>
      <c r="DG120" s="138">
        <f t="shared" si="3052"/>
        <v>0</v>
      </c>
      <c r="DH120" s="110">
        <f t="shared" si="3053"/>
        <v>0</v>
      </c>
      <c r="DI120" s="110"/>
      <c r="DJ120" s="139"/>
      <c r="DK120" s="140" t="e">
        <f t="shared" si="3054"/>
        <v>#DIV/0!</v>
      </c>
      <c r="DL120" s="198">
        <f t="shared" si="3035"/>
        <v>0</v>
      </c>
      <c r="DM120" s="225">
        <f t="shared" si="3055"/>
        <v>0</v>
      </c>
      <c r="DN120" s="226">
        <f t="shared" si="3056"/>
        <v>0</v>
      </c>
      <c r="DO120" s="137">
        <f t="shared" si="3057"/>
        <v>0</v>
      </c>
      <c r="DP120" s="227">
        <f t="shared" si="3039"/>
        <v>55.25</v>
      </c>
      <c r="DQ120" s="138">
        <f t="shared" si="3058"/>
        <v>0</v>
      </c>
      <c r="DR120" s="110">
        <f t="shared" si="3059"/>
        <v>0</v>
      </c>
      <c r="DS120" s="110"/>
      <c r="DT120" s="139"/>
      <c r="DU120" s="140" t="e">
        <f t="shared" si="3060"/>
        <v>#DIV/0!</v>
      </c>
      <c r="DV120" s="198">
        <f t="shared" si="3035"/>
        <v>0</v>
      </c>
      <c r="DW120" s="225">
        <f t="shared" si="3061"/>
        <v>0</v>
      </c>
      <c r="DX120" s="226">
        <f t="shared" si="3062"/>
        <v>0</v>
      </c>
      <c r="DY120" s="137">
        <f t="shared" si="3063"/>
        <v>0</v>
      </c>
      <c r="DZ120" s="227">
        <f t="shared" si="3039"/>
        <v>34.14</v>
      </c>
      <c r="EA120" s="138">
        <f t="shared" si="3064"/>
        <v>0</v>
      </c>
      <c r="EB120" s="110">
        <f t="shared" si="3065"/>
        <v>0</v>
      </c>
      <c r="EC120" s="110"/>
      <c r="ED120" s="139"/>
      <c r="EE120" s="140" t="e">
        <f t="shared" si="3066"/>
        <v>#DIV/0!</v>
      </c>
      <c r="EF120" s="198">
        <f t="shared" si="3035"/>
        <v>0</v>
      </c>
      <c r="EG120" s="225">
        <f t="shared" si="3067"/>
        <v>0</v>
      </c>
      <c r="EH120" s="226">
        <f t="shared" si="3068"/>
        <v>0</v>
      </c>
      <c r="EI120" s="137">
        <f t="shared" si="3069"/>
        <v>0</v>
      </c>
      <c r="EJ120" s="227">
        <f t="shared" si="3039"/>
        <v>44.53</v>
      </c>
      <c r="EK120" s="138">
        <f t="shared" si="3070"/>
        <v>0</v>
      </c>
      <c r="EL120" s="110">
        <f t="shared" si="3071"/>
        <v>0</v>
      </c>
      <c r="EM120" s="110"/>
      <c r="EN120" s="139"/>
      <c r="EO120" s="140" t="e">
        <f t="shared" si="3072"/>
        <v>#DIV/0!</v>
      </c>
      <c r="EP120" s="198">
        <f t="shared" si="3035"/>
        <v>0</v>
      </c>
      <c r="EQ120" s="225">
        <f t="shared" si="3073"/>
        <v>0</v>
      </c>
      <c r="ER120" s="226">
        <f t="shared" si="3074"/>
        <v>0</v>
      </c>
      <c r="ES120" s="137">
        <f t="shared" si="3075"/>
        <v>0</v>
      </c>
      <c r="ET120" s="227">
        <f t="shared" si="3039"/>
        <v>52.01</v>
      </c>
      <c r="EU120" s="138">
        <f t="shared" si="3076"/>
        <v>0</v>
      </c>
      <c r="EV120" s="110">
        <f t="shared" si="3077"/>
        <v>0</v>
      </c>
      <c r="EW120" s="110"/>
      <c r="EX120" s="139"/>
      <c r="EY120" s="140" t="e">
        <f t="shared" si="3078"/>
        <v>#DIV/0!</v>
      </c>
      <c r="EZ120" s="198">
        <f t="shared" si="3079"/>
        <v>0</v>
      </c>
      <c r="FA120" s="225">
        <f t="shared" si="3080"/>
        <v>0</v>
      </c>
      <c r="FB120" s="226">
        <f t="shared" si="3081"/>
        <v>0</v>
      </c>
      <c r="FC120" s="137">
        <f t="shared" si="3082"/>
        <v>0</v>
      </c>
      <c r="FD120" s="227">
        <f t="shared" si="3083"/>
        <v>55.47</v>
      </c>
      <c r="FE120" s="138">
        <f t="shared" si="3084"/>
        <v>0</v>
      </c>
      <c r="FF120" s="110">
        <f t="shared" si="3085"/>
        <v>0</v>
      </c>
      <c r="FG120" s="110"/>
      <c r="FH120" s="139"/>
      <c r="FI120" s="140" t="e">
        <f t="shared" si="3086"/>
        <v>#DIV/0!</v>
      </c>
      <c r="FJ120" s="198">
        <f t="shared" si="3079"/>
        <v>0</v>
      </c>
      <c r="FK120" s="225">
        <f t="shared" si="3087"/>
        <v>0</v>
      </c>
      <c r="FL120" s="226">
        <f t="shared" si="3088"/>
        <v>0</v>
      </c>
      <c r="FM120" s="137">
        <f t="shared" si="3089"/>
        <v>0</v>
      </c>
      <c r="FN120" s="227">
        <f t="shared" si="3083"/>
        <v>39.74</v>
      </c>
      <c r="FO120" s="138">
        <f t="shared" si="3090"/>
        <v>0</v>
      </c>
      <c r="FP120" s="110">
        <f t="shared" si="3091"/>
        <v>0</v>
      </c>
      <c r="FQ120" s="110"/>
      <c r="FR120" s="139"/>
      <c r="FS120" s="140" t="e">
        <f t="shared" si="3092"/>
        <v>#DIV/0!</v>
      </c>
      <c r="FT120" s="198">
        <f t="shared" si="3079"/>
        <v>0</v>
      </c>
      <c r="FU120" s="225">
        <f t="shared" si="3093"/>
        <v>0</v>
      </c>
      <c r="FV120" s="226">
        <f t="shared" si="3094"/>
        <v>0</v>
      </c>
      <c r="FW120" s="137">
        <f t="shared" si="3095"/>
        <v>0</v>
      </c>
      <c r="FX120" s="227">
        <f t="shared" si="3083"/>
        <v>53.97</v>
      </c>
      <c r="FY120" s="138">
        <f t="shared" si="3096"/>
        <v>0</v>
      </c>
      <c r="FZ120" s="110">
        <f t="shared" si="3097"/>
        <v>0</v>
      </c>
      <c r="GA120" s="110"/>
      <c r="GB120" s="139"/>
      <c r="GC120" s="140" t="e">
        <f t="shared" si="3098"/>
        <v>#DIV/0!</v>
      </c>
      <c r="GD120" s="198">
        <f t="shared" si="3079"/>
        <v>0</v>
      </c>
      <c r="GE120" s="225">
        <f t="shared" si="3099"/>
        <v>0</v>
      </c>
      <c r="GF120" s="226">
        <f t="shared" si="3100"/>
        <v>0</v>
      </c>
      <c r="GG120" s="137">
        <f t="shared" si="3101"/>
        <v>0</v>
      </c>
      <c r="GH120" s="227">
        <f t="shared" si="3083"/>
        <v>54.63</v>
      </c>
      <c r="GI120" s="138">
        <f t="shared" si="3102"/>
        <v>0</v>
      </c>
      <c r="GJ120" s="110">
        <f t="shared" si="3103"/>
        <v>0</v>
      </c>
      <c r="GK120" s="110"/>
      <c r="GL120" s="139"/>
      <c r="GM120" s="140" t="e">
        <f t="shared" si="3104"/>
        <v>#DIV/0!</v>
      </c>
      <c r="GN120" s="198">
        <f t="shared" si="3079"/>
        <v>0</v>
      </c>
      <c r="GO120" s="225">
        <f t="shared" si="3105"/>
        <v>0</v>
      </c>
      <c r="GP120" s="226">
        <f t="shared" si="3106"/>
        <v>0</v>
      </c>
      <c r="GQ120" s="137">
        <f t="shared" si="3107"/>
        <v>0</v>
      </c>
      <c r="GR120" s="227">
        <f t="shared" si="3083"/>
        <v>52.13</v>
      </c>
      <c r="GS120" s="138">
        <f t="shared" si="3108"/>
        <v>0</v>
      </c>
      <c r="GT120" s="110">
        <f t="shared" si="3109"/>
        <v>0</v>
      </c>
      <c r="GU120" s="110"/>
      <c r="GV120" s="139"/>
      <c r="GW120" s="140" t="e">
        <f t="shared" si="3110"/>
        <v>#DIV/0!</v>
      </c>
      <c r="GX120" s="198">
        <f t="shared" si="3079"/>
        <v>0</v>
      </c>
      <c r="GY120" s="225">
        <f t="shared" si="3111"/>
        <v>0</v>
      </c>
      <c r="GZ120" s="226">
        <f t="shared" si="3112"/>
        <v>0</v>
      </c>
      <c r="HA120" s="137">
        <f t="shared" si="3113"/>
        <v>0</v>
      </c>
      <c r="HB120" s="227">
        <f t="shared" si="3083"/>
        <v>42.58</v>
      </c>
      <c r="HC120" s="138">
        <f t="shared" si="3114"/>
        <v>0</v>
      </c>
      <c r="HD120" s="110">
        <f t="shared" si="3115"/>
        <v>0</v>
      </c>
      <c r="HE120" s="110"/>
      <c r="HF120" s="139"/>
      <c r="HG120" s="140" t="e">
        <f t="shared" si="3116"/>
        <v>#DIV/0!</v>
      </c>
      <c r="HH120" s="198">
        <f t="shared" si="3079"/>
        <v>0</v>
      </c>
      <c r="HI120" s="225">
        <f t="shared" si="3117"/>
        <v>0</v>
      </c>
      <c r="HJ120" s="226">
        <f t="shared" si="3118"/>
        <v>0</v>
      </c>
      <c r="HK120" s="137">
        <f t="shared" si="3119"/>
        <v>0</v>
      </c>
      <c r="HL120" s="227">
        <f t="shared" si="3083"/>
        <v>49.58</v>
      </c>
      <c r="HM120" s="138">
        <f t="shared" si="3120"/>
        <v>0</v>
      </c>
      <c r="HN120" s="110">
        <f t="shared" si="3121"/>
        <v>0</v>
      </c>
      <c r="HO120" s="110"/>
      <c r="HP120" s="139"/>
      <c r="HQ120" s="140" t="e">
        <f t="shared" si="3122"/>
        <v>#DIV/0!</v>
      </c>
      <c r="HR120" s="198">
        <f t="shared" si="3123"/>
        <v>0</v>
      </c>
      <c r="HS120" s="225">
        <f t="shared" si="3124"/>
        <v>0</v>
      </c>
      <c r="HT120" s="226">
        <f t="shared" si="3125"/>
        <v>0</v>
      </c>
      <c r="HU120" s="137">
        <f t="shared" si="3126"/>
        <v>0</v>
      </c>
      <c r="HV120" s="227">
        <f t="shared" si="3127"/>
        <v>52.62</v>
      </c>
      <c r="HW120" s="138">
        <f t="shared" si="3128"/>
        <v>0</v>
      </c>
      <c r="HX120" s="110">
        <f t="shared" si="3129"/>
        <v>0</v>
      </c>
      <c r="HY120" s="110"/>
      <c r="HZ120" s="139"/>
      <c r="IA120" s="140" t="e">
        <f t="shared" si="3130"/>
        <v>#DIV/0!</v>
      </c>
      <c r="IB120" s="198">
        <f t="shared" si="3123"/>
        <v>0</v>
      </c>
      <c r="IC120" s="225">
        <f t="shared" si="3131"/>
        <v>0</v>
      </c>
      <c r="ID120" s="226">
        <f t="shared" si="3132"/>
        <v>0</v>
      </c>
      <c r="IE120" s="137">
        <f t="shared" si="3133"/>
        <v>0</v>
      </c>
      <c r="IF120" s="227">
        <f t="shared" si="3127"/>
        <v>50</v>
      </c>
      <c r="IG120" s="138">
        <f t="shared" si="3134"/>
        <v>0</v>
      </c>
      <c r="IH120" s="110">
        <f t="shared" si="3135"/>
        <v>0</v>
      </c>
      <c r="II120" s="110"/>
      <c r="IJ120" s="139"/>
      <c r="IK120" s="140" t="e">
        <f t="shared" si="3136"/>
        <v>#DIV/0!</v>
      </c>
      <c r="IL120" s="198">
        <f t="shared" si="3123"/>
        <v>0</v>
      </c>
      <c r="IM120" s="225">
        <f t="shared" si="3137"/>
        <v>0</v>
      </c>
      <c r="IN120" s="226">
        <f t="shared" si="3138"/>
        <v>0</v>
      </c>
      <c r="IO120" s="137">
        <f t="shared" si="3139"/>
        <v>0</v>
      </c>
      <c r="IP120" s="227">
        <f t="shared" si="3127"/>
        <v>54.39</v>
      </c>
      <c r="IQ120" s="138">
        <f t="shared" si="3140"/>
        <v>0</v>
      </c>
      <c r="IR120" s="110">
        <f t="shared" si="3141"/>
        <v>0</v>
      </c>
      <c r="IS120" s="110"/>
      <c r="IT120" s="139"/>
      <c r="IU120" s="140" t="e">
        <f t="shared" si="3142"/>
        <v>#DIV/0!</v>
      </c>
      <c r="IV120" s="198">
        <f t="shared" si="3123"/>
        <v>0</v>
      </c>
      <c r="IW120" s="225">
        <f t="shared" si="3143"/>
        <v>0</v>
      </c>
      <c r="IX120" s="226">
        <f t="shared" si="3144"/>
        <v>0</v>
      </c>
      <c r="IY120" s="137">
        <f t="shared" si="3145"/>
        <v>0</v>
      </c>
      <c r="IZ120" s="227">
        <f t="shared" si="3127"/>
        <v>54.71</v>
      </c>
      <c r="JA120" s="138">
        <f t="shared" si="3146"/>
        <v>0</v>
      </c>
      <c r="JB120" s="110">
        <f t="shared" si="3147"/>
        <v>0</v>
      </c>
      <c r="JC120" s="110"/>
      <c r="JD120" s="139"/>
      <c r="JE120" s="140" t="e">
        <f t="shared" si="3148"/>
        <v>#DIV/0!</v>
      </c>
      <c r="JF120" s="198">
        <f t="shared" si="3123"/>
        <v>0</v>
      </c>
      <c r="JG120" s="225">
        <f t="shared" si="3149"/>
        <v>0</v>
      </c>
      <c r="JH120" s="226">
        <f t="shared" si="3150"/>
        <v>0</v>
      </c>
      <c r="JI120" s="137">
        <f t="shared" si="3151"/>
        <v>0</v>
      </c>
      <c r="JJ120" s="227">
        <f t="shared" si="3127"/>
        <v>43.31</v>
      </c>
      <c r="JK120" s="138">
        <f t="shared" si="3152"/>
        <v>0</v>
      </c>
      <c r="JL120" s="110">
        <f t="shared" si="3153"/>
        <v>0</v>
      </c>
      <c r="JM120" s="110"/>
      <c r="JN120" s="139"/>
      <c r="JO120" s="140" t="e">
        <f t="shared" si="3154"/>
        <v>#DIV/0!</v>
      </c>
      <c r="JP120" s="198">
        <f t="shared" si="3123"/>
        <v>0</v>
      </c>
      <c r="JQ120" s="225">
        <f t="shared" si="3155"/>
        <v>0</v>
      </c>
      <c r="JR120" s="226">
        <f t="shared" si="3156"/>
        <v>0</v>
      </c>
      <c r="JS120" s="137">
        <f t="shared" si="3157"/>
        <v>0</v>
      </c>
      <c r="JT120" s="227">
        <f t="shared" si="3127"/>
        <v>57.05</v>
      </c>
      <c r="JU120" s="138">
        <f t="shared" si="3158"/>
        <v>0</v>
      </c>
      <c r="JV120" s="110">
        <f t="shared" si="3159"/>
        <v>0</v>
      </c>
      <c r="JW120" s="110"/>
      <c r="JX120" s="139"/>
      <c r="JY120" s="140" t="e">
        <f t="shared" si="3160"/>
        <v>#DIV/0!</v>
      </c>
      <c r="JZ120" s="198">
        <f t="shared" si="3123"/>
        <v>0</v>
      </c>
      <c r="KA120" s="225">
        <f t="shared" si="3161"/>
        <v>0</v>
      </c>
      <c r="KB120" s="226">
        <f t="shared" si="3162"/>
        <v>0</v>
      </c>
      <c r="KC120" s="137">
        <f t="shared" si="3163"/>
        <v>0</v>
      </c>
      <c r="KD120" s="227">
        <f t="shared" si="3127"/>
        <v>51.65</v>
      </c>
      <c r="KE120" s="138">
        <f t="shared" si="3164"/>
        <v>0</v>
      </c>
      <c r="KF120" s="110">
        <f t="shared" si="3165"/>
        <v>0</v>
      </c>
      <c r="KG120" s="110"/>
      <c r="KH120" s="139"/>
      <c r="KI120" s="140" t="e">
        <f t="shared" si="3166"/>
        <v>#DIV/0!</v>
      </c>
      <c r="KJ120" s="198">
        <f t="shared" si="3167"/>
        <v>0</v>
      </c>
      <c r="KK120" s="225">
        <f t="shared" si="3168"/>
        <v>0</v>
      </c>
      <c r="KL120" s="226">
        <f t="shared" si="3169"/>
        <v>0</v>
      </c>
      <c r="KM120" s="137">
        <f t="shared" si="3170"/>
        <v>0</v>
      </c>
      <c r="KN120" s="227">
        <f t="shared" si="3171"/>
        <v>51.78</v>
      </c>
      <c r="KO120" s="138">
        <f t="shared" si="3172"/>
        <v>0</v>
      </c>
      <c r="KP120" s="110">
        <f t="shared" si="3173"/>
        <v>0</v>
      </c>
      <c r="KQ120" s="110"/>
      <c r="KR120" s="139"/>
      <c r="KS120" s="140" t="e">
        <f t="shared" si="3174"/>
        <v>#DIV/0!</v>
      </c>
      <c r="KT120" s="198">
        <f t="shared" si="3167"/>
        <v>0</v>
      </c>
      <c r="KU120" s="225">
        <f t="shared" si="3175"/>
        <v>0</v>
      </c>
      <c r="KV120" s="226">
        <f t="shared" si="3176"/>
        <v>0</v>
      </c>
      <c r="KW120" s="137">
        <f t="shared" si="3177"/>
        <v>0</v>
      </c>
      <c r="KX120" s="227">
        <f t="shared" si="3171"/>
        <v>55.65</v>
      </c>
      <c r="KY120" s="138">
        <f t="shared" si="3178"/>
        <v>0</v>
      </c>
      <c r="KZ120" s="110">
        <f t="shared" si="3179"/>
        <v>0</v>
      </c>
      <c r="LA120" s="110"/>
      <c r="LB120" s="139"/>
      <c r="LC120" s="140" t="e">
        <f t="shared" si="3180"/>
        <v>#DIV/0!</v>
      </c>
      <c r="LD120" s="197">
        <f t="shared" si="2789"/>
        <v>0</v>
      </c>
      <c r="LE120" s="225">
        <f t="shared" si="2790"/>
        <v>0</v>
      </c>
      <c r="LF120" s="226">
        <f t="shared" si="2791"/>
        <v>0</v>
      </c>
      <c r="LG120" s="137">
        <f t="shared" si="2792"/>
        <v>0</v>
      </c>
      <c r="LH120" s="227">
        <f t="shared" si="2793"/>
        <v>50.24</v>
      </c>
      <c r="LI120" s="138">
        <f t="shared" si="2794"/>
        <v>0</v>
      </c>
      <c r="LJ120" s="110">
        <f t="shared" si="2795"/>
        <v>0</v>
      </c>
      <c r="LK120" s="110"/>
      <c r="LL120" s="139"/>
    </row>
    <row r="121" spans="1:324" ht="18" hidden="1" customHeight="1" x14ac:dyDescent="0.25">
      <c r="A121" s="246"/>
      <c r="B121" s="92" t="s">
        <v>639</v>
      </c>
      <c r="C121" s="12" t="s">
        <v>728</v>
      </c>
      <c r="D121" s="12" t="s">
        <v>430</v>
      </c>
      <c r="E121" s="4" t="s">
        <v>32</v>
      </c>
      <c r="F121" s="198">
        <f t="shared" si="2990"/>
        <v>0</v>
      </c>
      <c r="G121" s="225">
        <f t="shared" si="2796"/>
        <v>0</v>
      </c>
      <c r="H121" s="226">
        <f t="shared" si="2797"/>
        <v>0</v>
      </c>
      <c r="I121" s="137">
        <f t="shared" si="2570"/>
        <v>0</v>
      </c>
      <c r="J121" s="227">
        <f t="shared" si="2798"/>
        <v>40.909999999999997</v>
      </c>
      <c r="K121" s="138">
        <f t="shared" si="2571"/>
        <v>0</v>
      </c>
      <c r="L121" s="110">
        <f t="shared" si="2572"/>
        <v>0</v>
      </c>
      <c r="M121" s="110"/>
      <c r="N121" s="139"/>
      <c r="O121" s="140" t="e">
        <f t="shared" si="2573"/>
        <v>#DIV/0!</v>
      </c>
      <c r="P121" s="198">
        <f t="shared" si="2991"/>
        <v>0</v>
      </c>
      <c r="Q121" s="225">
        <f t="shared" si="2992"/>
        <v>0</v>
      </c>
      <c r="R121" s="226">
        <f t="shared" si="2993"/>
        <v>0</v>
      </c>
      <c r="S121" s="137">
        <f t="shared" si="2994"/>
        <v>0</v>
      </c>
      <c r="T121" s="227">
        <f t="shared" si="2995"/>
        <v>36.11</v>
      </c>
      <c r="U121" s="138">
        <f t="shared" si="2996"/>
        <v>0</v>
      </c>
      <c r="V121" s="110">
        <f t="shared" si="2997"/>
        <v>0</v>
      </c>
      <c r="W121" s="110"/>
      <c r="X121" s="139"/>
      <c r="Y121" s="140" t="e">
        <f t="shared" si="2998"/>
        <v>#DIV/0!</v>
      </c>
      <c r="Z121" s="198">
        <f t="shared" si="2991"/>
        <v>0</v>
      </c>
      <c r="AA121" s="225">
        <f t="shared" si="2999"/>
        <v>0</v>
      </c>
      <c r="AB121" s="226">
        <f t="shared" si="3000"/>
        <v>0</v>
      </c>
      <c r="AC121" s="137">
        <f t="shared" si="3001"/>
        <v>0</v>
      </c>
      <c r="AD121" s="227">
        <f t="shared" si="2995"/>
        <v>54.87</v>
      </c>
      <c r="AE121" s="138">
        <f t="shared" si="3002"/>
        <v>0</v>
      </c>
      <c r="AF121" s="110">
        <f t="shared" si="3003"/>
        <v>0</v>
      </c>
      <c r="AG121" s="110"/>
      <c r="AH121" s="139"/>
      <c r="AI121" s="140" t="e">
        <f t="shared" si="3004"/>
        <v>#DIV/0!</v>
      </c>
      <c r="AJ121" s="198">
        <f t="shared" si="2991"/>
        <v>0</v>
      </c>
      <c r="AK121" s="225">
        <f t="shared" si="3005"/>
        <v>0</v>
      </c>
      <c r="AL121" s="226">
        <f t="shared" si="3006"/>
        <v>0</v>
      </c>
      <c r="AM121" s="137">
        <f t="shared" si="3007"/>
        <v>0</v>
      </c>
      <c r="AN121" s="227">
        <f t="shared" si="2995"/>
        <v>54.42</v>
      </c>
      <c r="AO121" s="138">
        <f t="shared" si="3008"/>
        <v>0</v>
      </c>
      <c r="AP121" s="110">
        <f t="shared" si="3009"/>
        <v>0</v>
      </c>
      <c r="AQ121" s="110"/>
      <c r="AR121" s="139"/>
      <c r="AS121" s="140" t="e">
        <f t="shared" si="3010"/>
        <v>#DIV/0!</v>
      </c>
      <c r="AT121" s="198">
        <f t="shared" si="2991"/>
        <v>0</v>
      </c>
      <c r="AU121" s="225">
        <f t="shared" si="3011"/>
        <v>0</v>
      </c>
      <c r="AV121" s="226">
        <f t="shared" si="3012"/>
        <v>0</v>
      </c>
      <c r="AW121" s="137">
        <f t="shared" si="3013"/>
        <v>0</v>
      </c>
      <c r="AX121" s="227">
        <f t="shared" si="2995"/>
        <v>49.55</v>
      </c>
      <c r="AY121" s="138">
        <f t="shared" si="3014"/>
        <v>0</v>
      </c>
      <c r="AZ121" s="110">
        <f t="shared" si="3015"/>
        <v>0</v>
      </c>
      <c r="BA121" s="110"/>
      <c r="BB121" s="139"/>
      <c r="BC121" s="140" t="e">
        <f t="shared" si="3016"/>
        <v>#DIV/0!</v>
      </c>
      <c r="BD121" s="198">
        <f t="shared" si="2991"/>
        <v>0</v>
      </c>
      <c r="BE121" s="225">
        <f t="shared" si="3017"/>
        <v>0</v>
      </c>
      <c r="BF121" s="226">
        <f t="shared" si="3018"/>
        <v>0</v>
      </c>
      <c r="BG121" s="137">
        <f t="shared" si="3019"/>
        <v>0</v>
      </c>
      <c r="BH121" s="227">
        <f t="shared" si="2995"/>
        <v>55.1</v>
      </c>
      <c r="BI121" s="138">
        <f t="shared" si="3020"/>
        <v>0</v>
      </c>
      <c r="BJ121" s="110">
        <f t="shared" si="3021"/>
        <v>0</v>
      </c>
      <c r="BK121" s="110"/>
      <c r="BL121" s="139"/>
      <c r="BM121" s="140" t="e">
        <f t="shared" si="3022"/>
        <v>#DIV/0!</v>
      </c>
      <c r="BN121" s="198">
        <f t="shared" si="2991"/>
        <v>0</v>
      </c>
      <c r="BO121" s="225">
        <f t="shared" si="3023"/>
        <v>0</v>
      </c>
      <c r="BP121" s="226">
        <f t="shared" si="3024"/>
        <v>0</v>
      </c>
      <c r="BQ121" s="137">
        <f t="shared" si="3025"/>
        <v>0</v>
      </c>
      <c r="BR121" s="227">
        <f t="shared" si="2995"/>
        <v>54.14</v>
      </c>
      <c r="BS121" s="138">
        <f t="shared" si="3026"/>
        <v>0</v>
      </c>
      <c r="BT121" s="110">
        <f t="shared" si="3027"/>
        <v>0</v>
      </c>
      <c r="BU121" s="110"/>
      <c r="BV121" s="139"/>
      <c r="BW121" s="140" t="e">
        <f t="shared" si="3028"/>
        <v>#DIV/0!</v>
      </c>
      <c r="BX121" s="198">
        <f t="shared" si="2991"/>
        <v>0</v>
      </c>
      <c r="BY121" s="225">
        <f t="shared" si="3029"/>
        <v>0</v>
      </c>
      <c r="BZ121" s="226">
        <f t="shared" si="3030"/>
        <v>0</v>
      </c>
      <c r="CA121" s="137">
        <f t="shared" si="3031"/>
        <v>0</v>
      </c>
      <c r="CB121" s="227">
        <f t="shared" si="2995"/>
        <v>51.74</v>
      </c>
      <c r="CC121" s="138">
        <f t="shared" si="3032"/>
        <v>0</v>
      </c>
      <c r="CD121" s="110">
        <f t="shared" si="3033"/>
        <v>0</v>
      </c>
      <c r="CE121" s="110"/>
      <c r="CF121" s="139"/>
      <c r="CG121" s="140" t="e">
        <f t="shared" si="3034"/>
        <v>#DIV/0!</v>
      </c>
      <c r="CH121" s="198">
        <f t="shared" si="3035"/>
        <v>0</v>
      </c>
      <c r="CI121" s="225">
        <f t="shared" si="3036"/>
        <v>0</v>
      </c>
      <c r="CJ121" s="226">
        <f t="shared" si="3037"/>
        <v>0</v>
      </c>
      <c r="CK121" s="137">
        <f t="shared" si="3038"/>
        <v>0</v>
      </c>
      <c r="CL121" s="227">
        <f t="shared" si="3039"/>
        <v>46.92</v>
      </c>
      <c r="CM121" s="138">
        <f t="shared" si="3040"/>
        <v>0</v>
      </c>
      <c r="CN121" s="110">
        <f t="shared" si="3041"/>
        <v>0</v>
      </c>
      <c r="CO121" s="110"/>
      <c r="CP121" s="139"/>
      <c r="CQ121" s="140" t="e">
        <f t="shared" si="3042"/>
        <v>#DIV/0!</v>
      </c>
      <c r="CR121" s="198">
        <f t="shared" si="3035"/>
        <v>0</v>
      </c>
      <c r="CS121" s="225">
        <f t="shared" si="3043"/>
        <v>0</v>
      </c>
      <c r="CT121" s="226">
        <f t="shared" si="3044"/>
        <v>0</v>
      </c>
      <c r="CU121" s="137">
        <f t="shared" si="3045"/>
        <v>0</v>
      </c>
      <c r="CV121" s="227">
        <f t="shared" si="3039"/>
        <v>49.61</v>
      </c>
      <c r="CW121" s="138">
        <f t="shared" si="3046"/>
        <v>0</v>
      </c>
      <c r="CX121" s="110">
        <f t="shared" si="3047"/>
        <v>0</v>
      </c>
      <c r="CY121" s="110"/>
      <c r="CZ121" s="139"/>
      <c r="DA121" s="140" t="e">
        <f t="shared" si="3048"/>
        <v>#DIV/0!</v>
      </c>
      <c r="DB121" s="198">
        <f t="shared" si="3035"/>
        <v>0</v>
      </c>
      <c r="DC121" s="225">
        <f t="shared" si="3049"/>
        <v>0</v>
      </c>
      <c r="DD121" s="226">
        <f t="shared" si="3050"/>
        <v>0</v>
      </c>
      <c r="DE121" s="137">
        <f t="shared" si="3051"/>
        <v>0</v>
      </c>
      <c r="DF121" s="227">
        <f t="shared" si="3039"/>
        <v>52.57</v>
      </c>
      <c r="DG121" s="138">
        <f t="shared" si="3052"/>
        <v>0</v>
      </c>
      <c r="DH121" s="110">
        <f t="shared" si="3053"/>
        <v>0</v>
      </c>
      <c r="DI121" s="110"/>
      <c r="DJ121" s="139"/>
      <c r="DK121" s="140" t="e">
        <f t="shared" si="3054"/>
        <v>#DIV/0!</v>
      </c>
      <c r="DL121" s="198">
        <f t="shared" si="3035"/>
        <v>0</v>
      </c>
      <c r="DM121" s="225">
        <f t="shared" si="3055"/>
        <v>0</v>
      </c>
      <c r="DN121" s="226">
        <f t="shared" si="3056"/>
        <v>0</v>
      </c>
      <c r="DO121" s="137">
        <f t="shared" si="3057"/>
        <v>0</v>
      </c>
      <c r="DP121" s="227">
        <f t="shared" si="3039"/>
        <v>55.25</v>
      </c>
      <c r="DQ121" s="138">
        <f t="shared" si="3058"/>
        <v>0</v>
      </c>
      <c r="DR121" s="110">
        <f t="shared" si="3059"/>
        <v>0</v>
      </c>
      <c r="DS121" s="110"/>
      <c r="DT121" s="139"/>
      <c r="DU121" s="140" t="e">
        <f t="shared" si="3060"/>
        <v>#DIV/0!</v>
      </c>
      <c r="DV121" s="198">
        <f t="shared" si="3035"/>
        <v>0</v>
      </c>
      <c r="DW121" s="225">
        <f t="shared" si="3061"/>
        <v>0</v>
      </c>
      <c r="DX121" s="226">
        <f t="shared" si="3062"/>
        <v>0</v>
      </c>
      <c r="DY121" s="137">
        <f t="shared" si="3063"/>
        <v>0</v>
      </c>
      <c r="DZ121" s="227">
        <f t="shared" si="3039"/>
        <v>34.14</v>
      </c>
      <c r="EA121" s="138">
        <f t="shared" si="3064"/>
        <v>0</v>
      </c>
      <c r="EB121" s="110">
        <f t="shared" si="3065"/>
        <v>0</v>
      </c>
      <c r="EC121" s="110"/>
      <c r="ED121" s="139"/>
      <c r="EE121" s="140" t="e">
        <f t="shared" si="3066"/>
        <v>#DIV/0!</v>
      </c>
      <c r="EF121" s="198">
        <f t="shared" si="3035"/>
        <v>0</v>
      </c>
      <c r="EG121" s="225">
        <f t="shared" si="3067"/>
        <v>0</v>
      </c>
      <c r="EH121" s="226">
        <f t="shared" si="3068"/>
        <v>0</v>
      </c>
      <c r="EI121" s="137">
        <f t="shared" si="3069"/>
        <v>0</v>
      </c>
      <c r="EJ121" s="227">
        <f t="shared" si="3039"/>
        <v>44.53</v>
      </c>
      <c r="EK121" s="138">
        <f t="shared" si="3070"/>
        <v>0</v>
      </c>
      <c r="EL121" s="110">
        <f t="shared" si="3071"/>
        <v>0</v>
      </c>
      <c r="EM121" s="110"/>
      <c r="EN121" s="139"/>
      <c r="EO121" s="140" t="e">
        <f t="shared" si="3072"/>
        <v>#DIV/0!</v>
      </c>
      <c r="EP121" s="198">
        <f t="shared" si="3035"/>
        <v>0</v>
      </c>
      <c r="EQ121" s="225">
        <f t="shared" si="3073"/>
        <v>0</v>
      </c>
      <c r="ER121" s="226">
        <f t="shared" si="3074"/>
        <v>0</v>
      </c>
      <c r="ES121" s="137">
        <f t="shared" si="3075"/>
        <v>0</v>
      </c>
      <c r="ET121" s="227">
        <f t="shared" si="3039"/>
        <v>52.01</v>
      </c>
      <c r="EU121" s="138">
        <f t="shared" si="3076"/>
        <v>0</v>
      </c>
      <c r="EV121" s="110">
        <f t="shared" si="3077"/>
        <v>0</v>
      </c>
      <c r="EW121" s="110"/>
      <c r="EX121" s="139"/>
      <c r="EY121" s="140" t="e">
        <f t="shared" si="3078"/>
        <v>#DIV/0!</v>
      </c>
      <c r="EZ121" s="198">
        <f t="shared" si="3079"/>
        <v>0</v>
      </c>
      <c r="FA121" s="225">
        <f t="shared" si="3080"/>
        <v>0</v>
      </c>
      <c r="FB121" s="226">
        <f t="shared" si="3081"/>
        <v>0</v>
      </c>
      <c r="FC121" s="137">
        <f t="shared" si="3082"/>
        <v>0</v>
      </c>
      <c r="FD121" s="227">
        <f t="shared" si="3083"/>
        <v>55.47</v>
      </c>
      <c r="FE121" s="138">
        <f t="shared" si="3084"/>
        <v>0</v>
      </c>
      <c r="FF121" s="110">
        <f t="shared" si="3085"/>
        <v>0</v>
      </c>
      <c r="FG121" s="110"/>
      <c r="FH121" s="139"/>
      <c r="FI121" s="140" t="e">
        <f t="shared" si="3086"/>
        <v>#DIV/0!</v>
      </c>
      <c r="FJ121" s="198">
        <f t="shared" si="3079"/>
        <v>0</v>
      </c>
      <c r="FK121" s="225">
        <f t="shared" si="3087"/>
        <v>0</v>
      </c>
      <c r="FL121" s="226">
        <f t="shared" si="3088"/>
        <v>0</v>
      </c>
      <c r="FM121" s="137">
        <f t="shared" si="3089"/>
        <v>0</v>
      </c>
      <c r="FN121" s="227">
        <f t="shared" si="3083"/>
        <v>39.74</v>
      </c>
      <c r="FO121" s="138">
        <f t="shared" si="3090"/>
        <v>0</v>
      </c>
      <c r="FP121" s="110">
        <f t="shared" si="3091"/>
        <v>0</v>
      </c>
      <c r="FQ121" s="110"/>
      <c r="FR121" s="139"/>
      <c r="FS121" s="140" t="e">
        <f t="shared" si="3092"/>
        <v>#DIV/0!</v>
      </c>
      <c r="FT121" s="198">
        <f t="shared" si="3079"/>
        <v>0</v>
      </c>
      <c r="FU121" s="225">
        <f t="shared" si="3093"/>
        <v>0</v>
      </c>
      <c r="FV121" s="226">
        <f t="shared" si="3094"/>
        <v>0</v>
      </c>
      <c r="FW121" s="137">
        <f t="shared" si="3095"/>
        <v>0</v>
      </c>
      <c r="FX121" s="227">
        <f t="shared" si="3083"/>
        <v>53.97</v>
      </c>
      <c r="FY121" s="138">
        <f t="shared" si="3096"/>
        <v>0</v>
      </c>
      <c r="FZ121" s="110">
        <f t="shared" si="3097"/>
        <v>0</v>
      </c>
      <c r="GA121" s="110"/>
      <c r="GB121" s="139"/>
      <c r="GC121" s="140" t="e">
        <f t="shared" si="3098"/>
        <v>#DIV/0!</v>
      </c>
      <c r="GD121" s="198">
        <f t="shared" si="3079"/>
        <v>0</v>
      </c>
      <c r="GE121" s="225">
        <f t="shared" si="3099"/>
        <v>0</v>
      </c>
      <c r="GF121" s="226">
        <f t="shared" si="3100"/>
        <v>0</v>
      </c>
      <c r="GG121" s="137">
        <f t="shared" si="3101"/>
        <v>0</v>
      </c>
      <c r="GH121" s="227">
        <f t="shared" si="3083"/>
        <v>54.63</v>
      </c>
      <c r="GI121" s="138">
        <f t="shared" si="3102"/>
        <v>0</v>
      </c>
      <c r="GJ121" s="110">
        <f t="shared" si="3103"/>
        <v>0</v>
      </c>
      <c r="GK121" s="110"/>
      <c r="GL121" s="139"/>
      <c r="GM121" s="140" t="e">
        <f t="shared" si="3104"/>
        <v>#DIV/0!</v>
      </c>
      <c r="GN121" s="198">
        <f t="shared" si="3079"/>
        <v>0</v>
      </c>
      <c r="GO121" s="225">
        <f t="shared" si="3105"/>
        <v>0</v>
      </c>
      <c r="GP121" s="226">
        <f t="shared" si="3106"/>
        <v>0</v>
      </c>
      <c r="GQ121" s="137">
        <f t="shared" si="3107"/>
        <v>0</v>
      </c>
      <c r="GR121" s="227">
        <f t="shared" si="3083"/>
        <v>52.13</v>
      </c>
      <c r="GS121" s="138">
        <f t="shared" si="3108"/>
        <v>0</v>
      </c>
      <c r="GT121" s="110">
        <f t="shared" si="3109"/>
        <v>0</v>
      </c>
      <c r="GU121" s="110"/>
      <c r="GV121" s="139"/>
      <c r="GW121" s="140" t="e">
        <f t="shared" si="3110"/>
        <v>#DIV/0!</v>
      </c>
      <c r="GX121" s="198">
        <f t="shared" si="3079"/>
        <v>0</v>
      </c>
      <c r="GY121" s="225">
        <f t="shared" si="3111"/>
        <v>0</v>
      </c>
      <c r="GZ121" s="226">
        <f t="shared" si="3112"/>
        <v>0</v>
      </c>
      <c r="HA121" s="137">
        <f t="shared" si="3113"/>
        <v>0</v>
      </c>
      <c r="HB121" s="227">
        <f t="shared" si="3083"/>
        <v>42.58</v>
      </c>
      <c r="HC121" s="138">
        <f t="shared" si="3114"/>
        <v>0</v>
      </c>
      <c r="HD121" s="110">
        <f t="shared" si="3115"/>
        <v>0</v>
      </c>
      <c r="HE121" s="110"/>
      <c r="HF121" s="139"/>
      <c r="HG121" s="140" t="e">
        <f t="shared" si="3116"/>
        <v>#DIV/0!</v>
      </c>
      <c r="HH121" s="198">
        <f t="shared" si="3079"/>
        <v>0</v>
      </c>
      <c r="HI121" s="225">
        <f t="shared" si="3117"/>
        <v>0</v>
      </c>
      <c r="HJ121" s="226">
        <f t="shared" si="3118"/>
        <v>0</v>
      </c>
      <c r="HK121" s="137">
        <f t="shared" si="3119"/>
        <v>0</v>
      </c>
      <c r="HL121" s="227">
        <f t="shared" si="3083"/>
        <v>49.58</v>
      </c>
      <c r="HM121" s="138">
        <f t="shared" si="3120"/>
        <v>0</v>
      </c>
      <c r="HN121" s="110">
        <f t="shared" si="3121"/>
        <v>0</v>
      </c>
      <c r="HO121" s="110"/>
      <c r="HP121" s="139"/>
      <c r="HQ121" s="140" t="e">
        <f t="shared" si="3122"/>
        <v>#DIV/0!</v>
      </c>
      <c r="HR121" s="198">
        <f t="shared" si="3123"/>
        <v>0</v>
      </c>
      <c r="HS121" s="225">
        <f t="shared" si="3124"/>
        <v>0</v>
      </c>
      <c r="HT121" s="226">
        <f t="shared" si="3125"/>
        <v>0</v>
      </c>
      <c r="HU121" s="137">
        <f t="shared" si="3126"/>
        <v>0</v>
      </c>
      <c r="HV121" s="227">
        <f t="shared" si="3127"/>
        <v>52.62</v>
      </c>
      <c r="HW121" s="138">
        <f t="shared" si="3128"/>
        <v>0</v>
      </c>
      <c r="HX121" s="110">
        <f t="shared" si="3129"/>
        <v>0</v>
      </c>
      <c r="HY121" s="110"/>
      <c r="HZ121" s="139"/>
      <c r="IA121" s="140" t="e">
        <f t="shared" si="3130"/>
        <v>#DIV/0!</v>
      </c>
      <c r="IB121" s="198">
        <f t="shared" si="3123"/>
        <v>0</v>
      </c>
      <c r="IC121" s="225">
        <f t="shared" si="3131"/>
        <v>0</v>
      </c>
      <c r="ID121" s="226">
        <f t="shared" si="3132"/>
        <v>0</v>
      </c>
      <c r="IE121" s="137">
        <f t="shared" si="3133"/>
        <v>0</v>
      </c>
      <c r="IF121" s="227">
        <f t="shared" si="3127"/>
        <v>50</v>
      </c>
      <c r="IG121" s="138">
        <f t="shared" si="3134"/>
        <v>0</v>
      </c>
      <c r="IH121" s="110">
        <f t="shared" si="3135"/>
        <v>0</v>
      </c>
      <c r="II121" s="110"/>
      <c r="IJ121" s="139"/>
      <c r="IK121" s="140" t="e">
        <f t="shared" si="3136"/>
        <v>#DIV/0!</v>
      </c>
      <c r="IL121" s="198">
        <f t="shared" si="3123"/>
        <v>0</v>
      </c>
      <c r="IM121" s="225">
        <f t="shared" si="3137"/>
        <v>0</v>
      </c>
      <c r="IN121" s="226">
        <f t="shared" si="3138"/>
        <v>0</v>
      </c>
      <c r="IO121" s="137">
        <f t="shared" si="3139"/>
        <v>0</v>
      </c>
      <c r="IP121" s="227">
        <f t="shared" si="3127"/>
        <v>54.39</v>
      </c>
      <c r="IQ121" s="138">
        <f t="shared" si="3140"/>
        <v>0</v>
      </c>
      <c r="IR121" s="110">
        <f t="shared" si="3141"/>
        <v>0</v>
      </c>
      <c r="IS121" s="110"/>
      <c r="IT121" s="139"/>
      <c r="IU121" s="140" t="e">
        <f t="shared" si="3142"/>
        <v>#DIV/0!</v>
      </c>
      <c r="IV121" s="198">
        <f t="shared" si="3123"/>
        <v>0</v>
      </c>
      <c r="IW121" s="225">
        <f t="shared" si="3143"/>
        <v>0</v>
      </c>
      <c r="IX121" s="226">
        <f t="shared" si="3144"/>
        <v>0</v>
      </c>
      <c r="IY121" s="137">
        <f t="shared" si="3145"/>
        <v>0</v>
      </c>
      <c r="IZ121" s="227">
        <f t="shared" si="3127"/>
        <v>54.71</v>
      </c>
      <c r="JA121" s="138">
        <f t="shared" si="3146"/>
        <v>0</v>
      </c>
      <c r="JB121" s="110">
        <f t="shared" si="3147"/>
        <v>0</v>
      </c>
      <c r="JC121" s="110"/>
      <c r="JD121" s="139"/>
      <c r="JE121" s="140" t="e">
        <f t="shared" si="3148"/>
        <v>#DIV/0!</v>
      </c>
      <c r="JF121" s="198">
        <f t="shared" si="3123"/>
        <v>0</v>
      </c>
      <c r="JG121" s="225">
        <f t="shared" si="3149"/>
        <v>0</v>
      </c>
      <c r="JH121" s="226">
        <f t="shared" si="3150"/>
        <v>0</v>
      </c>
      <c r="JI121" s="137">
        <f t="shared" si="3151"/>
        <v>0</v>
      </c>
      <c r="JJ121" s="227">
        <f t="shared" si="3127"/>
        <v>43.31</v>
      </c>
      <c r="JK121" s="138">
        <f t="shared" si="3152"/>
        <v>0</v>
      </c>
      <c r="JL121" s="110">
        <f t="shared" si="3153"/>
        <v>0</v>
      </c>
      <c r="JM121" s="110"/>
      <c r="JN121" s="139"/>
      <c r="JO121" s="140" t="e">
        <f t="shared" si="3154"/>
        <v>#DIV/0!</v>
      </c>
      <c r="JP121" s="198">
        <f t="shared" si="3123"/>
        <v>0</v>
      </c>
      <c r="JQ121" s="225">
        <f t="shared" si="3155"/>
        <v>0</v>
      </c>
      <c r="JR121" s="226">
        <f t="shared" si="3156"/>
        <v>0</v>
      </c>
      <c r="JS121" s="137">
        <f t="shared" si="3157"/>
        <v>0</v>
      </c>
      <c r="JT121" s="227">
        <f t="shared" si="3127"/>
        <v>57.05</v>
      </c>
      <c r="JU121" s="138">
        <f t="shared" si="3158"/>
        <v>0</v>
      </c>
      <c r="JV121" s="110">
        <f t="shared" si="3159"/>
        <v>0</v>
      </c>
      <c r="JW121" s="110"/>
      <c r="JX121" s="139"/>
      <c r="JY121" s="140" t="e">
        <f t="shared" si="3160"/>
        <v>#DIV/0!</v>
      </c>
      <c r="JZ121" s="198">
        <f t="shared" si="3123"/>
        <v>0</v>
      </c>
      <c r="KA121" s="225">
        <f t="shared" si="3161"/>
        <v>0</v>
      </c>
      <c r="KB121" s="226">
        <f t="shared" si="3162"/>
        <v>0</v>
      </c>
      <c r="KC121" s="137">
        <f t="shared" si="3163"/>
        <v>0</v>
      </c>
      <c r="KD121" s="227">
        <f t="shared" si="3127"/>
        <v>51.65</v>
      </c>
      <c r="KE121" s="138">
        <f t="shared" si="3164"/>
        <v>0</v>
      </c>
      <c r="KF121" s="110">
        <f t="shared" si="3165"/>
        <v>0</v>
      </c>
      <c r="KG121" s="110"/>
      <c r="KH121" s="139"/>
      <c r="KI121" s="140" t="e">
        <f t="shared" si="3166"/>
        <v>#DIV/0!</v>
      </c>
      <c r="KJ121" s="198">
        <f t="shared" si="3167"/>
        <v>0</v>
      </c>
      <c r="KK121" s="225">
        <f t="shared" si="3168"/>
        <v>0</v>
      </c>
      <c r="KL121" s="226">
        <f t="shared" si="3169"/>
        <v>0</v>
      </c>
      <c r="KM121" s="137">
        <f t="shared" si="3170"/>
        <v>0</v>
      </c>
      <c r="KN121" s="227">
        <f t="shared" si="3171"/>
        <v>51.78</v>
      </c>
      <c r="KO121" s="138">
        <f t="shared" si="3172"/>
        <v>0</v>
      </c>
      <c r="KP121" s="110">
        <f t="shared" si="3173"/>
        <v>0</v>
      </c>
      <c r="KQ121" s="110"/>
      <c r="KR121" s="139"/>
      <c r="KS121" s="140" t="e">
        <f t="shared" si="3174"/>
        <v>#DIV/0!</v>
      </c>
      <c r="KT121" s="198">
        <f t="shared" si="3167"/>
        <v>0</v>
      </c>
      <c r="KU121" s="225">
        <f t="shared" si="3175"/>
        <v>0</v>
      </c>
      <c r="KV121" s="226">
        <f t="shared" si="3176"/>
        <v>0</v>
      </c>
      <c r="KW121" s="137">
        <f t="shared" si="3177"/>
        <v>0</v>
      </c>
      <c r="KX121" s="227">
        <f t="shared" si="3171"/>
        <v>55.65</v>
      </c>
      <c r="KY121" s="138">
        <f t="shared" si="3178"/>
        <v>0</v>
      </c>
      <c r="KZ121" s="110">
        <f t="shared" si="3179"/>
        <v>0</v>
      </c>
      <c r="LA121" s="110"/>
      <c r="LB121" s="139"/>
      <c r="LC121" s="140" t="e">
        <f t="shared" si="3180"/>
        <v>#DIV/0!</v>
      </c>
      <c r="LD121" s="197">
        <f t="shared" si="2789"/>
        <v>0</v>
      </c>
      <c r="LE121" s="225">
        <f t="shared" si="2790"/>
        <v>0</v>
      </c>
      <c r="LF121" s="226">
        <f t="shared" si="2791"/>
        <v>0</v>
      </c>
      <c r="LG121" s="137">
        <f t="shared" si="2792"/>
        <v>0</v>
      </c>
      <c r="LH121" s="227">
        <f t="shared" si="2793"/>
        <v>50.24</v>
      </c>
      <c r="LI121" s="138">
        <f t="shared" si="2794"/>
        <v>0</v>
      </c>
      <c r="LJ121" s="110">
        <f t="shared" si="2795"/>
        <v>0</v>
      </c>
      <c r="LK121" s="110"/>
      <c r="LL121" s="139"/>
    </row>
    <row r="122" spans="1:324" ht="18" customHeight="1" x14ac:dyDescent="0.25">
      <c r="A122" s="246"/>
      <c r="B122" s="12" t="s">
        <v>626</v>
      </c>
      <c r="C122" s="12" t="s">
        <v>728</v>
      </c>
      <c r="D122" s="12" t="s">
        <v>430</v>
      </c>
      <c r="E122" s="4" t="s">
        <v>32</v>
      </c>
      <c r="F122" s="198">
        <f t="shared" si="2990"/>
        <v>0</v>
      </c>
      <c r="G122" s="225">
        <f t="shared" si="2796"/>
        <v>0</v>
      </c>
      <c r="H122" s="226">
        <f t="shared" si="2797"/>
        <v>0</v>
      </c>
      <c r="I122" s="137">
        <f t="shared" si="2570"/>
        <v>0</v>
      </c>
      <c r="J122" s="227">
        <f t="shared" si="2798"/>
        <v>40.909999999999997</v>
      </c>
      <c r="K122" s="138">
        <f t="shared" si="2571"/>
        <v>0</v>
      </c>
      <c r="L122" s="110">
        <f t="shared" si="2572"/>
        <v>0</v>
      </c>
      <c r="M122" s="110"/>
      <c r="N122" s="139"/>
      <c r="O122" s="140">
        <f t="shared" si="2573"/>
        <v>0</v>
      </c>
      <c r="P122" s="198">
        <f t="shared" si="2991"/>
        <v>0</v>
      </c>
      <c r="Q122" s="225">
        <f t="shared" si="2992"/>
        <v>0</v>
      </c>
      <c r="R122" s="226">
        <f t="shared" si="2993"/>
        <v>0</v>
      </c>
      <c r="S122" s="137">
        <f t="shared" si="2994"/>
        <v>0</v>
      </c>
      <c r="T122" s="227">
        <f t="shared" si="2995"/>
        <v>36.11</v>
      </c>
      <c r="U122" s="138">
        <f t="shared" si="2996"/>
        <v>0</v>
      </c>
      <c r="V122" s="110">
        <f t="shared" si="2997"/>
        <v>0</v>
      </c>
      <c r="W122" s="110"/>
      <c r="X122" s="139"/>
      <c r="Y122" s="140">
        <f t="shared" si="2998"/>
        <v>0</v>
      </c>
      <c r="Z122" s="198">
        <f t="shared" si="2991"/>
        <v>0</v>
      </c>
      <c r="AA122" s="225">
        <f t="shared" si="2999"/>
        <v>0</v>
      </c>
      <c r="AB122" s="226">
        <f t="shared" si="3000"/>
        <v>0</v>
      </c>
      <c r="AC122" s="137">
        <f t="shared" si="3001"/>
        <v>0</v>
      </c>
      <c r="AD122" s="227">
        <f t="shared" si="2995"/>
        <v>54.87</v>
      </c>
      <c r="AE122" s="138">
        <f t="shared" si="3002"/>
        <v>0</v>
      </c>
      <c r="AF122" s="110">
        <f t="shared" si="3003"/>
        <v>0</v>
      </c>
      <c r="AG122" s="110"/>
      <c r="AH122" s="139"/>
      <c r="AI122" s="140">
        <f t="shared" si="3004"/>
        <v>0</v>
      </c>
      <c r="AJ122" s="198">
        <f t="shared" si="2991"/>
        <v>0</v>
      </c>
      <c r="AK122" s="225">
        <f t="shared" si="3005"/>
        <v>0</v>
      </c>
      <c r="AL122" s="226">
        <f t="shared" si="3006"/>
        <v>0</v>
      </c>
      <c r="AM122" s="137">
        <f t="shared" si="3007"/>
        <v>0</v>
      </c>
      <c r="AN122" s="227">
        <f t="shared" si="2995"/>
        <v>54.42</v>
      </c>
      <c r="AO122" s="138">
        <f t="shared" si="3008"/>
        <v>0</v>
      </c>
      <c r="AP122" s="110">
        <f t="shared" si="3009"/>
        <v>0</v>
      </c>
      <c r="AQ122" s="110"/>
      <c r="AR122" s="139"/>
      <c r="AS122" s="140">
        <f t="shared" si="3010"/>
        <v>0</v>
      </c>
      <c r="AT122" s="198">
        <f t="shared" si="2991"/>
        <v>0</v>
      </c>
      <c r="AU122" s="225">
        <f t="shared" si="3011"/>
        <v>0</v>
      </c>
      <c r="AV122" s="226">
        <f t="shared" si="3012"/>
        <v>0</v>
      </c>
      <c r="AW122" s="137">
        <f t="shared" si="3013"/>
        <v>0</v>
      </c>
      <c r="AX122" s="227">
        <f t="shared" si="2995"/>
        <v>49.55</v>
      </c>
      <c r="AY122" s="138">
        <f t="shared" si="3014"/>
        <v>0</v>
      </c>
      <c r="AZ122" s="110">
        <f t="shared" si="3015"/>
        <v>0</v>
      </c>
      <c r="BA122" s="110"/>
      <c r="BB122" s="139"/>
      <c r="BC122" s="140">
        <f t="shared" si="3016"/>
        <v>0</v>
      </c>
      <c r="BD122" s="198">
        <f t="shared" si="2991"/>
        <v>0</v>
      </c>
      <c r="BE122" s="225">
        <f t="shared" si="3017"/>
        <v>0</v>
      </c>
      <c r="BF122" s="226">
        <f t="shared" si="3018"/>
        <v>0</v>
      </c>
      <c r="BG122" s="137">
        <f t="shared" si="3019"/>
        <v>0</v>
      </c>
      <c r="BH122" s="227">
        <f t="shared" si="2995"/>
        <v>55.1</v>
      </c>
      <c r="BI122" s="138">
        <f t="shared" si="3020"/>
        <v>0</v>
      </c>
      <c r="BJ122" s="110">
        <f t="shared" si="3021"/>
        <v>0</v>
      </c>
      <c r="BK122" s="110"/>
      <c r="BL122" s="139"/>
      <c r="BM122" s="140">
        <f t="shared" si="3022"/>
        <v>0</v>
      </c>
      <c r="BN122" s="198">
        <f t="shared" si="2991"/>
        <v>0</v>
      </c>
      <c r="BO122" s="225">
        <f t="shared" si="3023"/>
        <v>0</v>
      </c>
      <c r="BP122" s="226">
        <f t="shared" si="3024"/>
        <v>0</v>
      </c>
      <c r="BQ122" s="137">
        <f t="shared" si="3025"/>
        <v>0</v>
      </c>
      <c r="BR122" s="227">
        <f t="shared" si="2995"/>
        <v>54.14</v>
      </c>
      <c r="BS122" s="138">
        <f t="shared" si="3026"/>
        <v>0</v>
      </c>
      <c r="BT122" s="110">
        <f t="shared" si="3027"/>
        <v>0</v>
      </c>
      <c r="BU122" s="110"/>
      <c r="BV122" s="139"/>
      <c r="BW122" s="140">
        <f t="shared" si="3028"/>
        <v>0</v>
      </c>
      <c r="BX122" s="198">
        <f t="shared" si="2991"/>
        <v>0</v>
      </c>
      <c r="BY122" s="225">
        <f t="shared" si="3029"/>
        <v>0</v>
      </c>
      <c r="BZ122" s="226">
        <f t="shared" si="3030"/>
        <v>0</v>
      </c>
      <c r="CA122" s="137">
        <f t="shared" si="3031"/>
        <v>0</v>
      </c>
      <c r="CB122" s="227">
        <f t="shared" si="2995"/>
        <v>51.74</v>
      </c>
      <c r="CC122" s="138">
        <f t="shared" si="3032"/>
        <v>0</v>
      </c>
      <c r="CD122" s="110">
        <f t="shared" si="3033"/>
        <v>0</v>
      </c>
      <c r="CE122" s="110"/>
      <c r="CF122" s="139"/>
      <c r="CG122" s="140">
        <f t="shared" si="3034"/>
        <v>0</v>
      </c>
      <c r="CH122" s="198">
        <f t="shared" si="3035"/>
        <v>0</v>
      </c>
      <c r="CI122" s="225">
        <f t="shared" si="3036"/>
        <v>0</v>
      </c>
      <c r="CJ122" s="226">
        <f t="shared" si="3037"/>
        <v>0</v>
      </c>
      <c r="CK122" s="137">
        <f t="shared" si="3038"/>
        <v>0</v>
      </c>
      <c r="CL122" s="227">
        <f t="shared" si="3039"/>
        <v>46.92</v>
      </c>
      <c r="CM122" s="138">
        <f t="shared" si="3040"/>
        <v>0</v>
      </c>
      <c r="CN122" s="110">
        <f t="shared" si="3041"/>
        <v>0</v>
      </c>
      <c r="CO122" s="110"/>
      <c r="CP122" s="139"/>
      <c r="CQ122" s="140">
        <f t="shared" si="3042"/>
        <v>0</v>
      </c>
      <c r="CR122" s="198">
        <f t="shared" si="3035"/>
        <v>1</v>
      </c>
      <c r="CS122" s="225">
        <f t="shared" si="3043"/>
        <v>1.34E-3</v>
      </c>
      <c r="CT122" s="226">
        <f t="shared" si="3044"/>
        <v>1.61</v>
      </c>
      <c r="CU122" s="137">
        <f t="shared" si="3045"/>
        <v>1.61</v>
      </c>
      <c r="CV122" s="227">
        <f t="shared" si="3039"/>
        <v>49.61</v>
      </c>
      <c r="CW122" s="138">
        <f t="shared" si="3046"/>
        <v>79.872100000000003</v>
      </c>
      <c r="CX122" s="110">
        <f t="shared" si="3047"/>
        <v>79.87</v>
      </c>
      <c r="CY122" s="110"/>
      <c r="CZ122" s="139"/>
      <c r="DA122" s="140">
        <f t="shared" si="3048"/>
        <v>0.74117</v>
      </c>
      <c r="DB122" s="198">
        <f t="shared" si="3035"/>
        <v>1</v>
      </c>
      <c r="DC122" s="225">
        <f t="shared" si="3049"/>
        <v>1.2099999999999999E-3</v>
      </c>
      <c r="DD122" s="226">
        <f t="shared" si="3050"/>
        <v>1.35</v>
      </c>
      <c r="DE122" s="137">
        <f t="shared" si="3051"/>
        <v>1.35</v>
      </c>
      <c r="DF122" s="227">
        <f t="shared" si="3039"/>
        <v>52.57</v>
      </c>
      <c r="DG122" s="138">
        <f t="shared" si="3052"/>
        <v>70.969499999999996</v>
      </c>
      <c r="DH122" s="110">
        <f t="shared" si="3053"/>
        <v>70.97</v>
      </c>
      <c r="DI122" s="110"/>
      <c r="DJ122" s="139"/>
      <c r="DK122" s="140">
        <f t="shared" si="3054"/>
        <v>0.65856000000000003</v>
      </c>
      <c r="DL122" s="198">
        <f t="shared" si="3035"/>
        <v>0</v>
      </c>
      <c r="DM122" s="225">
        <f t="shared" si="3055"/>
        <v>0</v>
      </c>
      <c r="DN122" s="226">
        <f t="shared" si="3056"/>
        <v>0</v>
      </c>
      <c r="DO122" s="137">
        <f t="shared" si="3057"/>
        <v>0</v>
      </c>
      <c r="DP122" s="227">
        <f t="shared" si="3039"/>
        <v>55.25</v>
      </c>
      <c r="DQ122" s="138">
        <f t="shared" si="3058"/>
        <v>0</v>
      </c>
      <c r="DR122" s="110">
        <f t="shared" si="3059"/>
        <v>0</v>
      </c>
      <c r="DS122" s="110"/>
      <c r="DT122" s="139"/>
      <c r="DU122" s="140">
        <f t="shared" si="3060"/>
        <v>0</v>
      </c>
      <c r="DV122" s="198">
        <f t="shared" si="3035"/>
        <v>0</v>
      </c>
      <c r="DW122" s="225">
        <f t="shared" si="3061"/>
        <v>0</v>
      </c>
      <c r="DX122" s="226">
        <f t="shared" si="3062"/>
        <v>0</v>
      </c>
      <c r="DY122" s="137">
        <f t="shared" si="3063"/>
        <v>0</v>
      </c>
      <c r="DZ122" s="227">
        <f t="shared" si="3039"/>
        <v>34.14</v>
      </c>
      <c r="EA122" s="138">
        <f t="shared" si="3064"/>
        <v>0</v>
      </c>
      <c r="EB122" s="110">
        <f t="shared" si="3065"/>
        <v>0</v>
      </c>
      <c r="EC122" s="110"/>
      <c r="ED122" s="139"/>
      <c r="EE122" s="140">
        <f t="shared" si="3066"/>
        <v>0</v>
      </c>
      <c r="EF122" s="198">
        <f t="shared" si="3035"/>
        <v>0</v>
      </c>
      <c r="EG122" s="225">
        <f t="shared" si="3067"/>
        <v>0</v>
      </c>
      <c r="EH122" s="226">
        <f t="shared" si="3068"/>
        <v>0</v>
      </c>
      <c r="EI122" s="137">
        <f t="shared" si="3069"/>
        <v>0</v>
      </c>
      <c r="EJ122" s="227">
        <f t="shared" si="3039"/>
        <v>44.53</v>
      </c>
      <c r="EK122" s="138">
        <f t="shared" si="3070"/>
        <v>0</v>
      </c>
      <c r="EL122" s="110">
        <f t="shared" si="3071"/>
        <v>0</v>
      </c>
      <c r="EM122" s="110"/>
      <c r="EN122" s="139"/>
      <c r="EO122" s="140">
        <f t="shared" si="3072"/>
        <v>0</v>
      </c>
      <c r="EP122" s="198">
        <f t="shared" si="3035"/>
        <v>0</v>
      </c>
      <c r="EQ122" s="225">
        <f t="shared" si="3073"/>
        <v>0</v>
      </c>
      <c r="ER122" s="226">
        <f t="shared" si="3074"/>
        <v>0</v>
      </c>
      <c r="ES122" s="137">
        <f t="shared" si="3075"/>
        <v>0</v>
      </c>
      <c r="ET122" s="227">
        <f t="shared" si="3039"/>
        <v>52.01</v>
      </c>
      <c r="EU122" s="138">
        <f t="shared" si="3076"/>
        <v>0</v>
      </c>
      <c r="EV122" s="110">
        <f t="shared" si="3077"/>
        <v>0</v>
      </c>
      <c r="EW122" s="110"/>
      <c r="EX122" s="139"/>
      <c r="EY122" s="140">
        <f t="shared" si="3078"/>
        <v>0</v>
      </c>
      <c r="EZ122" s="198">
        <f t="shared" si="3079"/>
        <v>0</v>
      </c>
      <c r="FA122" s="225">
        <f t="shared" si="3080"/>
        <v>0</v>
      </c>
      <c r="FB122" s="226">
        <f t="shared" si="3081"/>
        <v>0</v>
      </c>
      <c r="FC122" s="137">
        <f t="shared" si="3082"/>
        <v>0</v>
      </c>
      <c r="FD122" s="227">
        <f t="shared" si="3083"/>
        <v>55.47</v>
      </c>
      <c r="FE122" s="138">
        <f t="shared" si="3084"/>
        <v>0</v>
      </c>
      <c r="FF122" s="110">
        <f t="shared" si="3085"/>
        <v>0</v>
      </c>
      <c r="FG122" s="110"/>
      <c r="FH122" s="139"/>
      <c r="FI122" s="140">
        <f t="shared" si="3086"/>
        <v>0</v>
      </c>
      <c r="FJ122" s="198">
        <f t="shared" si="3079"/>
        <v>0</v>
      </c>
      <c r="FK122" s="225">
        <f t="shared" si="3087"/>
        <v>0</v>
      </c>
      <c r="FL122" s="226">
        <f t="shared" si="3088"/>
        <v>0</v>
      </c>
      <c r="FM122" s="137">
        <f t="shared" si="3089"/>
        <v>0</v>
      </c>
      <c r="FN122" s="227">
        <f t="shared" si="3083"/>
        <v>39.74</v>
      </c>
      <c r="FO122" s="138">
        <f t="shared" si="3090"/>
        <v>0</v>
      </c>
      <c r="FP122" s="110">
        <f t="shared" si="3091"/>
        <v>0</v>
      </c>
      <c r="FQ122" s="110"/>
      <c r="FR122" s="139"/>
      <c r="FS122" s="140">
        <f t="shared" si="3092"/>
        <v>0</v>
      </c>
      <c r="FT122" s="198">
        <f t="shared" si="3079"/>
        <v>1</v>
      </c>
      <c r="FU122" s="225">
        <f t="shared" si="3093"/>
        <v>1.25E-3</v>
      </c>
      <c r="FV122" s="226">
        <f t="shared" si="3094"/>
        <v>1.78</v>
      </c>
      <c r="FW122" s="137">
        <f t="shared" si="3095"/>
        <v>1.78</v>
      </c>
      <c r="FX122" s="227">
        <f t="shared" si="3083"/>
        <v>53.97</v>
      </c>
      <c r="FY122" s="138">
        <f t="shared" si="3096"/>
        <v>96.066599999999994</v>
      </c>
      <c r="FZ122" s="110">
        <f t="shared" si="3097"/>
        <v>96.07</v>
      </c>
      <c r="GA122" s="110"/>
      <c r="GB122" s="139"/>
      <c r="GC122" s="140">
        <f t="shared" si="3098"/>
        <v>0.89144999999999996</v>
      </c>
      <c r="GD122" s="198">
        <f t="shared" si="3079"/>
        <v>0</v>
      </c>
      <c r="GE122" s="225">
        <f t="shared" si="3099"/>
        <v>0</v>
      </c>
      <c r="GF122" s="226">
        <f t="shared" si="3100"/>
        <v>0</v>
      </c>
      <c r="GG122" s="137">
        <f t="shared" si="3101"/>
        <v>0</v>
      </c>
      <c r="GH122" s="227">
        <f t="shared" si="3083"/>
        <v>54.63</v>
      </c>
      <c r="GI122" s="138">
        <f t="shared" si="3102"/>
        <v>0</v>
      </c>
      <c r="GJ122" s="110">
        <f t="shared" si="3103"/>
        <v>0</v>
      </c>
      <c r="GK122" s="110"/>
      <c r="GL122" s="139"/>
      <c r="GM122" s="140">
        <f t="shared" si="3104"/>
        <v>0</v>
      </c>
      <c r="GN122" s="198">
        <f t="shared" si="3079"/>
        <v>0</v>
      </c>
      <c r="GO122" s="225">
        <f t="shared" si="3105"/>
        <v>0</v>
      </c>
      <c r="GP122" s="226">
        <f t="shared" si="3106"/>
        <v>0</v>
      </c>
      <c r="GQ122" s="137">
        <f t="shared" si="3107"/>
        <v>0</v>
      </c>
      <c r="GR122" s="227">
        <f t="shared" si="3083"/>
        <v>52.13</v>
      </c>
      <c r="GS122" s="138">
        <f t="shared" si="3108"/>
        <v>0</v>
      </c>
      <c r="GT122" s="110">
        <f t="shared" si="3109"/>
        <v>0</v>
      </c>
      <c r="GU122" s="110"/>
      <c r="GV122" s="139"/>
      <c r="GW122" s="140">
        <f t="shared" si="3110"/>
        <v>0</v>
      </c>
      <c r="GX122" s="198">
        <f t="shared" si="3079"/>
        <v>1</v>
      </c>
      <c r="GY122" s="225">
        <f t="shared" si="3111"/>
        <v>6.2E-4</v>
      </c>
      <c r="GZ122" s="226">
        <f t="shared" si="3112"/>
        <v>2.76</v>
      </c>
      <c r="HA122" s="137">
        <f t="shared" si="3113"/>
        <v>2.76</v>
      </c>
      <c r="HB122" s="227">
        <f t="shared" si="3083"/>
        <v>42.58</v>
      </c>
      <c r="HC122" s="138">
        <f t="shared" si="3114"/>
        <v>117.52079999999999</v>
      </c>
      <c r="HD122" s="110">
        <f t="shared" si="3115"/>
        <v>117.52</v>
      </c>
      <c r="HE122" s="110"/>
      <c r="HF122" s="139"/>
      <c r="HG122" s="140">
        <f t="shared" si="3116"/>
        <v>1.09053</v>
      </c>
      <c r="HH122" s="198">
        <f t="shared" si="3079"/>
        <v>1</v>
      </c>
      <c r="HI122" s="225">
        <f t="shared" si="3117"/>
        <v>8.7000000000000001E-4</v>
      </c>
      <c r="HJ122" s="226">
        <f t="shared" si="3118"/>
        <v>2.9</v>
      </c>
      <c r="HK122" s="137">
        <f t="shared" si="3119"/>
        <v>2.9</v>
      </c>
      <c r="HL122" s="227">
        <f t="shared" si="3083"/>
        <v>49.58</v>
      </c>
      <c r="HM122" s="138">
        <f t="shared" si="3120"/>
        <v>143.78200000000001</v>
      </c>
      <c r="HN122" s="110">
        <f t="shared" si="3121"/>
        <v>143.78</v>
      </c>
      <c r="HO122" s="110"/>
      <c r="HP122" s="139"/>
      <c r="HQ122" s="140">
        <f t="shared" si="3122"/>
        <v>1.33422</v>
      </c>
      <c r="HR122" s="198">
        <f t="shared" si="3123"/>
        <v>0</v>
      </c>
      <c r="HS122" s="225">
        <f t="shared" si="3124"/>
        <v>0</v>
      </c>
      <c r="HT122" s="226">
        <f t="shared" si="3125"/>
        <v>0</v>
      </c>
      <c r="HU122" s="137">
        <f t="shared" si="3126"/>
        <v>0</v>
      </c>
      <c r="HV122" s="227">
        <f t="shared" si="3127"/>
        <v>52.62</v>
      </c>
      <c r="HW122" s="138">
        <f t="shared" si="3128"/>
        <v>0</v>
      </c>
      <c r="HX122" s="110">
        <f t="shared" si="3129"/>
        <v>0</v>
      </c>
      <c r="HY122" s="110"/>
      <c r="HZ122" s="139"/>
      <c r="IA122" s="140">
        <f t="shared" si="3130"/>
        <v>0</v>
      </c>
      <c r="IB122" s="198">
        <f t="shared" si="3123"/>
        <v>0</v>
      </c>
      <c r="IC122" s="225">
        <f t="shared" si="3131"/>
        <v>0</v>
      </c>
      <c r="ID122" s="226">
        <f t="shared" si="3132"/>
        <v>0</v>
      </c>
      <c r="IE122" s="137">
        <f t="shared" si="3133"/>
        <v>0</v>
      </c>
      <c r="IF122" s="227">
        <f t="shared" si="3127"/>
        <v>50</v>
      </c>
      <c r="IG122" s="138">
        <f t="shared" si="3134"/>
        <v>0</v>
      </c>
      <c r="IH122" s="110">
        <f t="shared" si="3135"/>
        <v>0</v>
      </c>
      <c r="II122" s="110"/>
      <c r="IJ122" s="139"/>
      <c r="IK122" s="140">
        <f t="shared" si="3136"/>
        <v>0</v>
      </c>
      <c r="IL122" s="198">
        <f t="shared" si="3123"/>
        <v>1</v>
      </c>
      <c r="IM122" s="225">
        <f t="shared" si="3137"/>
        <v>7.9000000000000001E-4</v>
      </c>
      <c r="IN122" s="226">
        <f t="shared" si="3138"/>
        <v>2.3199999999999998</v>
      </c>
      <c r="IO122" s="137">
        <f t="shared" si="3139"/>
        <v>2.3199999999999998</v>
      </c>
      <c r="IP122" s="227">
        <f t="shared" si="3127"/>
        <v>54.39</v>
      </c>
      <c r="IQ122" s="138">
        <f t="shared" si="3140"/>
        <v>126.1848</v>
      </c>
      <c r="IR122" s="110">
        <f t="shared" si="3141"/>
        <v>126.18</v>
      </c>
      <c r="IS122" s="110"/>
      <c r="IT122" s="139"/>
      <c r="IU122" s="140">
        <f t="shared" si="3142"/>
        <v>1.17093</v>
      </c>
      <c r="IV122" s="198">
        <f t="shared" si="3123"/>
        <v>0</v>
      </c>
      <c r="IW122" s="225">
        <f t="shared" si="3143"/>
        <v>0</v>
      </c>
      <c r="IX122" s="226">
        <f t="shared" si="3144"/>
        <v>0</v>
      </c>
      <c r="IY122" s="137">
        <f t="shared" si="3145"/>
        <v>0</v>
      </c>
      <c r="IZ122" s="227">
        <f t="shared" si="3127"/>
        <v>54.71</v>
      </c>
      <c r="JA122" s="138">
        <f t="shared" si="3146"/>
        <v>0</v>
      </c>
      <c r="JB122" s="110">
        <f t="shared" si="3147"/>
        <v>0</v>
      </c>
      <c r="JC122" s="110"/>
      <c r="JD122" s="139"/>
      <c r="JE122" s="140">
        <f t="shared" si="3148"/>
        <v>0</v>
      </c>
      <c r="JF122" s="198">
        <f t="shared" si="3123"/>
        <v>0</v>
      </c>
      <c r="JG122" s="225">
        <f t="shared" si="3149"/>
        <v>0</v>
      </c>
      <c r="JH122" s="226">
        <f t="shared" si="3150"/>
        <v>0</v>
      </c>
      <c r="JI122" s="137">
        <f t="shared" si="3151"/>
        <v>0</v>
      </c>
      <c r="JJ122" s="227">
        <f t="shared" si="3127"/>
        <v>43.31</v>
      </c>
      <c r="JK122" s="138">
        <f t="shared" si="3152"/>
        <v>0</v>
      </c>
      <c r="JL122" s="110">
        <f t="shared" si="3153"/>
        <v>0</v>
      </c>
      <c r="JM122" s="110"/>
      <c r="JN122" s="139"/>
      <c r="JO122" s="140">
        <f t="shared" si="3154"/>
        <v>0</v>
      </c>
      <c r="JP122" s="198">
        <f t="shared" si="3123"/>
        <v>0</v>
      </c>
      <c r="JQ122" s="225">
        <f t="shared" si="3155"/>
        <v>0</v>
      </c>
      <c r="JR122" s="226">
        <f t="shared" si="3156"/>
        <v>0</v>
      </c>
      <c r="JS122" s="137">
        <f t="shared" si="3157"/>
        <v>0</v>
      </c>
      <c r="JT122" s="227">
        <f t="shared" si="3127"/>
        <v>57.05</v>
      </c>
      <c r="JU122" s="138">
        <f t="shared" si="3158"/>
        <v>0</v>
      </c>
      <c r="JV122" s="110">
        <f t="shared" si="3159"/>
        <v>0</v>
      </c>
      <c r="JW122" s="110"/>
      <c r="JX122" s="139"/>
      <c r="JY122" s="140">
        <f t="shared" si="3160"/>
        <v>0</v>
      </c>
      <c r="JZ122" s="198">
        <f t="shared" si="3123"/>
        <v>0</v>
      </c>
      <c r="KA122" s="225">
        <f t="shared" si="3161"/>
        <v>0</v>
      </c>
      <c r="KB122" s="226">
        <f t="shared" si="3162"/>
        <v>0</v>
      </c>
      <c r="KC122" s="137">
        <f t="shared" si="3163"/>
        <v>0</v>
      </c>
      <c r="KD122" s="227">
        <f t="shared" si="3127"/>
        <v>51.65</v>
      </c>
      <c r="KE122" s="138">
        <f t="shared" si="3164"/>
        <v>0</v>
      </c>
      <c r="KF122" s="110">
        <f t="shared" si="3165"/>
        <v>0</v>
      </c>
      <c r="KG122" s="110"/>
      <c r="KH122" s="139"/>
      <c r="KI122" s="140">
        <f t="shared" si="3166"/>
        <v>0</v>
      </c>
      <c r="KJ122" s="198">
        <f t="shared" si="3167"/>
        <v>0</v>
      </c>
      <c r="KK122" s="225">
        <f t="shared" si="3168"/>
        <v>0</v>
      </c>
      <c r="KL122" s="226">
        <f t="shared" si="3169"/>
        <v>0</v>
      </c>
      <c r="KM122" s="137">
        <f t="shared" si="3170"/>
        <v>0</v>
      </c>
      <c r="KN122" s="227">
        <f t="shared" si="3171"/>
        <v>51.78</v>
      </c>
      <c r="KO122" s="138">
        <f t="shared" si="3172"/>
        <v>0</v>
      </c>
      <c r="KP122" s="110">
        <f t="shared" si="3173"/>
        <v>0</v>
      </c>
      <c r="KQ122" s="110"/>
      <c r="KR122" s="139"/>
      <c r="KS122" s="140">
        <f t="shared" si="3174"/>
        <v>0</v>
      </c>
      <c r="KT122" s="198">
        <f t="shared" si="3167"/>
        <v>0</v>
      </c>
      <c r="KU122" s="225">
        <f t="shared" si="3175"/>
        <v>0</v>
      </c>
      <c r="KV122" s="226">
        <f t="shared" si="3176"/>
        <v>0</v>
      </c>
      <c r="KW122" s="137">
        <f t="shared" si="3177"/>
        <v>0</v>
      </c>
      <c r="KX122" s="227">
        <f t="shared" si="3171"/>
        <v>55.65</v>
      </c>
      <c r="KY122" s="138">
        <f t="shared" si="3178"/>
        <v>0</v>
      </c>
      <c r="KZ122" s="110">
        <f t="shared" si="3179"/>
        <v>0</v>
      </c>
      <c r="LA122" s="110"/>
      <c r="LB122" s="139"/>
      <c r="LC122" s="140">
        <f t="shared" si="3180"/>
        <v>0</v>
      </c>
      <c r="LD122" s="197">
        <f t="shared" si="2789"/>
        <v>6</v>
      </c>
      <c r="LE122" s="225">
        <f t="shared" si="2790"/>
        <v>2.1000000000000001E-4</v>
      </c>
      <c r="LF122" s="226">
        <f t="shared" si="2791"/>
        <v>12.87</v>
      </c>
      <c r="LG122" s="137">
        <f t="shared" si="2792"/>
        <v>2.145</v>
      </c>
      <c r="LH122" s="227">
        <f t="shared" si="2793"/>
        <v>50.24</v>
      </c>
      <c r="LI122" s="138">
        <f t="shared" si="2794"/>
        <v>107.76479999999999</v>
      </c>
      <c r="LJ122" s="110">
        <f t="shared" si="2795"/>
        <v>646.59</v>
      </c>
      <c r="LK122" s="110"/>
      <c r="LL122" s="139"/>
    </row>
    <row r="123" spans="1:324" ht="18" customHeight="1" x14ac:dyDescent="0.25">
      <c r="A123" s="246"/>
      <c r="B123" s="12" t="s">
        <v>627</v>
      </c>
      <c r="C123" s="12" t="s">
        <v>728</v>
      </c>
      <c r="D123" s="12" t="s">
        <v>430</v>
      </c>
      <c r="E123" s="4" t="s">
        <v>32</v>
      </c>
      <c r="F123" s="198">
        <f t="shared" si="2990"/>
        <v>0</v>
      </c>
      <c r="G123" s="225">
        <f t="shared" si="2796"/>
        <v>0</v>
      </c>
      <c r="H123" s="226">
        <f t="shared" si="2797"/>
        <v>0</v>
      </c>
      <c r="I123" s="137">
        <f t="shared" si="2570"/>
        <v>0</v>
      </c>
      <c r="J123" s="227">
        <f t="shared" si="2798"/>
        <v>40.909999999999997</v>
      </c>
      <c r="K123" s="138">
        <f t="shared" si="2571"/>
        <v>0</v>
      </c>
      <c r="L123" s="110">
        <f t="shared" si="2572"/>
        <v>0</v>
      </c>
      <c r="M123" s="110"/>
      <c r="N123" s="139"/>
      <c r="O123" s="140">
        <f t="shared" si="2573"/>
        <v>0</v>
      </c>
      <c r="P123" s="198">
        <f t="shared" si="2991"/>
        <v>0</v>
      </c>
      <c r="Q123" s="225">
        <f t="shared" si="2992"/>
        <v>0</v>
      </c>
      <c r="R123" s="226">
        <f t="shared" si="2993"/>
        <v>0</v>
      </c>
      <c r="S123" s="137">
        <f t="shared" si="2994"/>
        <v>0</v>
      </c>
      <c r="T123" s="227">
        <f t="shared" si="2995"/>
        <v>36.11</v>
      </c>
      <c r="U123" s="138">
        <f t="shared" si="2996"/>
        <v>0</v>
      </c>
      <c r="V123" s="110">
        <f t="shared" si="2997"/>
        <v>0</v>
      </c>
      <c r="W123" s="110"/>
      <c r="X123" s="139"/>
      <c r="Y123" s="140">
        <f t="shared" si="2998"/>
        <v>0</v>
      </c>
      <c r="Z123" s="198">
        <f t="shared" si="2991"/>
        <v>0</v>
      </c>
      <c r="AA123" s="225">
        <f t="shared" si="2999"/>
        <v>0</v>
      </c>
      <c r="AB123" s="226">
        <f t="shared" si="3000"/>
        <v>0</v>
      </c>
      <c r="AC123" s="137">
        <f t="shared" si="3001"/>
        <v>0</v>
      </c>
      <c r="AD123" s="227">
        <f t="shared" si="2995"/>
        <v>54.87</v>
      </c>
      <c r="AE123" s="138">
        <f t="shared" si="3002"/>
        <v>0</v>
      </c>
      <c r="AF123" s="110">
        <f t="shared" si="3003"/>
        <v>0</v>
      </c>
      <c r="AG123" s="110"/>
      <c r="AH123" s="139"/>
      <c r="AI123" s="140">
        <f t="shared" si="3004"/>
        <v>0</v>
      </c>
      <c r="AJ123" s="198">
        <f t="shared" si="2991"/>
        <v>0</v>
      </c>
      <c r="AK123" s="225">
        <f t="shared" si="3005"/>
        <v>0</v>
      </c>
      <c r="AL123" s="226">
        <f t="shared" si="3006"/>
        <v>0</v>
      </c>
      <c r="AM123" s="137">
        <f t="shared" si="3007"/>
        <v>0</v>
      </c>
      <c r="AN123" s="227">
        <f t="shared" si="2995"/>
        <v>54.42</v>
      </c>
      <c r="AO123" s="138">
        <f t="shared" si="3008"/>
        <v>0</v>
      </c>
      <c r="AP123" s="110">
        <f t="shared" si="3009"/>
        <v>0</v>
      </c>
      <c r="AQ123" s="110"/>
      <c r="AR123" s="139"/>
      <c r="AS123" s="140">
        <f t="shared" si="3010"/>
        <v>0</v>
      </c>
      <c r="AT123" s="198">
        <f t="shared" si="2991"/>
        <v>1</v>
      </c>
      <c r="AU123" s="225">
        <f t="shared" si="3011"/>
        <v>1.0499999999999999E-3</v>
      </c>
      <c r="AV123" s="226">
        <f t="shared" si="3012"/>
        <v>0.96</v>
      </c>
      <c r="AW123" s="137">
        <f t="shared" si="3013"/>
        <v>0.96</v>
      </c>
      <c r="AX123" s="227">
        <f t="shared" si="2995"/>
        <v>49.55</v>
      </c>
      <c r="AY123" s="138">
        <f t="shared" si="3014"/>
        <v>47.567999999999998</v>
      </c>
      <c r="AZ123" s="110">
        <f t="shared" si="3015"/>
        <v>47.57</v>
      </c>
      <c r="BA123" s="110"/>
      <c r="BB123" s="139"/>
      <c r="BC123" s="140">
        <f t="shared" si="3016"/>
        <v>0.38646000000000003</v>
      </c>
      <c r="BD123" s="198">
        <f t="shared" si="2991"/>
        <v>0</v>
      </c>
      <c r="BE123" s="225">
        <f t="shared" si="3017"/>
        <v>0</v>
      </c>
      <c r="BF123" s="226">
        <f t="shared" si="3018"/>
        <v>0</v>
      </c>
      <c r="BG123" s="137">
        <f t="shared" si="3019"/>
        <v>0</v>
      </c>
      <c r="BH123" s="227">
        <f t="shared" si="2995"/>
        <v>55.1</v>
      </c>
      <c r="BI123" s="138">
        <f t="shared" si="3020"/>
        <v>0</v>
      </c>
      <c r="BJ123" s="110">
        <f t="shared" si="3021"/>
        <v>0</v>
      </c>
      <c r="BK123" s="110"/>
      <c r="BL123" s="139"/>
      <c r="BM123" s="140">
        <f t="shared" si="3022"/>
        <v>0</v>
      </c>
      <c r="BN123" s="198">
        <f t="shared" si="2991"/>
        <v>0</v>
      </c>
      <c r="BO123" s="225">
        <f t="shared" si="3023"/>
        <v>0</v>
      </c>
      <c r="BP123" s="226">
        <f t="shared" si="3024"/>
        <v>0</v>
      </c>
      <c r="BQ123" s="137">
        <f t="shared" si="3025"/>
        <v>0</v>
      </c>
      <c r="BR123" s="227">
        <f t="shared" si="2995"/>
        <v>54.14</v>
      </c>
      <c r="BS123" s="138">
        <f t="shared" si="3026"/>
        <v>0</v>
      </c>
      <c r="BT123" s="110">
        <f t="shared" si="3027"/>
        <v>0</v>
      </c>
      <c r="BU123" s="110"/>
      <c r="BV123" s="139"/>
      <c r="BW123" s="140">
        <f t="shared" si="3028"/>
        <v>0</v>
      </c>
      <c r="BX123" s="198">
        <f t="shared" si="2991"/>
        <v>0</v>
      </c>
      <c r="BY123" s="225">
        <f t="shared" si="3029"/>
        <v>0</v>
      </c>
      <c r="BZ123" s="226">
        <f t="shared" si="3030"/>
        <v>0</v>
      </c>
      <c r="CA123" s="137">
        <f t="shared" si="3031"/>
        <v>0</v>
      </c>
      <c r="CB123" s="227">
        <f t="shared" si="2995"/>
        <v>51.74</v>
      </c>
      <c r="CC123" s="138">
        <f t="shared" si="3032"/>
        <v>0</v>
      </c>
      <c r="CD123" s="110">
        <f t="shared" si="3033"/>
        <v>0</v>
      </c>
      <c r="CE123" s="110"/>
      <c r="CF123" s="139"/>
      <c r="CG123" s="140">
        <f t="shared" si="3034"/>
        <v>0</v>
      </c>
      <c r="CH123" s="198">
        <f t="shared" si="3035"/>
        <v>0</v>
      </c>
      <c r="CI123" s="225">
        <f t="shared" si="3036"/>
        <v>0</v>
      </c>
      <c r="CJ123" s="226">
        <f t="shared" si="3037"/>
        <v>0</v>
      </c>
      <c r="CK123" s="137">
        <f t="shared" si="3038"/>
        <v>0</v>
      </c>
      <c r="CL123" s="227">
        <f t="shared" si="3039"/>
        <v>46.92</v>
      </c>
      <c r="CM123" s="138">
        <f t="shared" si="3040"/>
        <v>0</v>
      </c>
      <c r="CN123" s="110">
        <f t="shared" si="3041"/>
        <v>0</v>
      </c>
      <c r="CO123" s="110"/>
      <c r="CP123" s="139"/>
      <c r="CQ123" s="140">
        <f t="shared" si="3042"/>
        <v>0</v>
      </c>
      <c r="CR123" s="198">
        <f t="shared" si="3035"/>
        <v>0</v>
      </c>
      <c r="CS123" s="225">
        <f t="shared" si="3043"/>
        <v>0</v>
      </c>
      <c r="CT123" s="226">
        <f t="shared" si="3044"/>
        <v>0</v>
      </c>
      <c r="CU123" s="137">
        <f t="shared" si="3045"/>
        <v>0</v>
      </c>
      <c r="CV123" s="227">
        <f t="shared" si="3039"/>
        <v>49.61</v>
      </c>
      <c r="CW123" s="138">
        <f t="shared" si="3046"/>
        <v>0</v>
      </c>
      <c r="CX123" s="110">
        <f t="shared" si="3047"/>
        <v>0</v>
      </c>
      <c r="CY123" s="110"/>
      <c r="CZ123" s="139"/>
      <c r="DA123" s="140">
        <f t="shared" si="3048"/>
        <v>0</v>
      </c>
      <c r="DB123" s="198">
        <f t="shared" si="3035"/>
        <v>0</v>
      </c>
      <c r="DC123" s="225">
        <f t="shared" si="3049"/>
        <v>0</v>
      </c>
      <c r="DD123" s="226">
        <f t="shared" si="3050"/>
        <v>0</v>
      </c>
      <c r="DE123" s="137">
        <f t="shared" si="3051"/>
        <v>0</v>
      </c>
      <c r="DF123" s="227">
        <f t="shared" si="3039"/>
        <v>52.57</v>
      </c>
      <c r="DG123" s="138">
        <f t="shared" si="3052"/>
        <v>0</v>
      </c>
      <c r="DH123" s="110">
        <f t="shared" si="3053"/>
        <v>0</v>
      </c>
      <c r="DI123" s="110"/>
      <c r="DJ123" s="139"/>
      <c r="DK123" s="140">
        <f t="shared" si="3054"/>
        <v>0</v>
      </c>
      <c r="DL123" s="198">
        <f t="shared" si="3035"/>
        <v>0</v>
      </c>
      <c r="DM123" s="225">
        <f t="shared" si="3055"/>
        <v>0</v>
      </c>
      <c r="DN123" s="226">
        <f t="shared" si="3056"/>
        <v>0</v>
      </c>
      <c r="DO123" s="137">
        <f t="shared" si="3057"/>
        <v>0</v>
      </c>
      <c r="DP123" s="227">
        <f t="shared" si="3039"/>
        <v>55.25</v>
      </c>
      <c r="DQ123" s="138">
        <f t="shared" si="3058"/>
        <v>0</v>
      </c>
      <c r="DR123" s="110">
        <f t="shared" si="3059"/>
        <v>0</v>
      </c>
      <c r="DS123" s="110"/>
      <c r="DT123" s="139"/>
      <c r="DU123" s="140">
        <f t="shared" si="3060"/>
        <v>0</v>
      </c>
      <c r="DV123" s="198">
        <f t="shared" si="3035"/>
        <v>0</v>
      </c>
      <c r="DW123" s="225">
        <f t="shared" si="3061"/>
        <v>0</v>
      </c>
      <c r="DX123" s="226">
        <f t="shared" si="3062"/>
        <v>0</v>
      </c>
      <c r="DY123" s="137">
        <f t="shared" si="3063"/>
        <v>0</v>
      </c>
      <c r="DZ123" s="227">
        <f t="shared" si="3039"/>
        <v>34.14</v>
      </c>
      <c r="EA123" s="138">
        <f t="shared" si="3064"/>
        <v>0</v>
      </c>
      <c r="EB123" s="110">
        <f t="shared" si="3065"/>
        <v>0</v>
      </c>
      <c r="EC123" s="110"/>
      <c r="ED123" s="139"/>
      <c r="EE123" s="140">
        <f t="shared" si="3066"/>
        <v>0</v>
      </c>
      <c r="EF123" s="198">
        <f t="shared" si="3035"/>
        <v>0</v>
      </c>
      <c r="EG123" s="225">
        <f t="shared" si="3067"/>
        <v>0</v>
      </c>
      <c r="EH123" s="226">
        <f t="shared" si="3068"/>
        <v>0</v>
      </c>
      <c r="EI123" s="137">
        <f t="shared" si="3069"/>
        <v>0</v>
      </c>
      <c r="EJ123" s="227">
        <f t="shared" si="3039"/>
        <v>44.53</v>
      </c>
      <c r="EK123" s="138">
        <f t="shared" si="3070"/>
        <v>0</v>
      </c>
      <c r="EL123" s="110">
        <f t="shared" si="3071"/>
        <v>0</v>
      </c>
      <c r="EM123" s="110"/>
      <c r="EN123" s="139"/>
      <c r="EO123" s="140">
        <f t="shared" si="3072"/>
        <v>0</v>
      </c>
      <c r="EP123" s="198">
        <f t="shared" si="3035"/>
        <v>0</v>
      </c>
      <c r="EQ123" s="225">
        <f t="shared" si="3073"/>
        <v>0</v>
      </c>
      <c r="ER123" s="226">
        <f t="shared" si="3074"/>
        <v>0</v>
      </c>
      <c r="ES123" s="137">
        <f t="shared" si="3075"/>
        <v>0</v>
      </c>
      <c r="ET123" s="227">
        <f t="shared" si="3039"/>
        <v>52.01</v>
      </c>
      <c r="EU123" s="138">
        <f t="shared" si="3076"/>
        <v>0</v>
      </c>
      <c r="EV123" s="110">
        <f t="shared" si="3077"/>
        <v>0</v>
      </c>
      <c r="EW123" s="110"/>
      <c r="EX123" s="139"/>
      <c r="EY123" s="140">
        <f t="shared" si="3078"/>
        <v>0</v>
      </c>
      <c r="EZ123" s="198">
        <f t="shared" si="3079"/>
        <v>0</v>
      </c>
      <c r="FA123" s="225">
        <f t="shared" si="3080"/>
        <v>0</v>
      </c>
      <c r="FB123" s="226">
        <f t="shared" si="3081"/>
        <v>0</v>
      </c>
      <c r="FC123" s="137">
        <f t="shared" si="3082"/>
        <v>0</v>
      </c>
      <c r="FD123" s="227">
        <f t="shared" si="3083"/>
        <v>55.47</v>
      </c>
      <c r="FE123" s="138">
        <f t="shared" si="3084"/>
        <v>0</v>
      </c>
      <c r="FF123" s="110">
        <f t="shared" si="3085"/>
        <v>0</v>
      </c>
      <c r="FG123" s="110"/>
      <c r="FH123" s="139"/>
      <c r="FI123" s="140">
        <f t="shared" si="3086"/>
        <v>0</v>
      </c>
      <c r="FJ123" s="198">
        <f t="shared" si="3079"/>
        <v>0</v>
      </c>
      <c r="FK123" s="225">
        <f t="shared" si="3087"/>
        <v>0</v>
      </c>
      <c r="FL123" s="226">
        <f t="shared" si="3088"/>
        <v>0</v>
      </c>
      <c r="FM123" s="137">
        <f t="shared" si="3089"/>
        <v>0</v>
      </c>
      <c r="FN123" s="227">
        <f t="shared" si="3083"/>
        <v>39.74</v>
      </c>
      <c r="FO123" s="138">
        <f t="shared" si="3090"/>
        <v>0</v>
      </c>
      <c r="FP123" s="110">
        <f t="shared" si="3091"/>
        <v>0</v>
      </c>
      <c r="FQ123" s="110"/>
      <c r="FR123" s="139"/>
      <c r="FS123" s="140">
        <f t="shared" si="3092"/>
        <v>0</v>
      </c>
      <c r="FT123" s="198">
        <f t="shared" si="3079"/>
        <v>0</v>
      </c>
      <c r="FU123" s="225">
        <f t="shared" si="3093"/>
        <v>0</v>
      </c>
      <c r="FV123" s="226">
        <f t="shared" si="3094"/>
        <v>0</v>
      </c>
      <c r="FW123" s="137">
        <f t="shared" si="3095"/>
        <v>0</v>
      </c>
      <c r="FX123" s="227">
        <f t="shared" si="3083"/>
        <v>53.97</v>
      </c>
      <c r="FY123" s="138">
        <f t="shared" si="3096"/>
        <v>0</v>
      </c>
      <c r="FZ123" s="110">
        <f t="shared" si="3097"/>
        <v>0</v>
      </c>
      <c r="GA123" s="110"/>
      <c r="GB123" s="139"/>
      <c r="GC123" s="140">
        <f t="shared" si="3098"/>
        <v>0</v>
      </c>
      <c r="GD123" s="198">
        <f t="shared" si="3079"/>
        <v>0</v>
      </c>
      <c r="GE123" s="225">
        <f t="shared" si="3099"/>
        <v>0</v>
      </c>
      <c r="GF123" s="226">
        <f t="shared" si="3100"/>
        <v>0</v>
      </c>
      <c r="GG123" s="137">
        <f t="shared" si="3101"/>
        <v>0</v>
      </c>
      <c r="GH123" s="227">
        <f t="shared" si="3083"/>
        <v>54.63</v>
      </c>
      <c r="GI123" s="138">
        <f t="shared" si="3102"/>
        <v>0</v>
      </c>
      <c r="GJ123" s="110">
        <f t="shared" si="3103"/>
        <v>0</v>
      </c>
      <c r="GK123" s="110"/>
      <c r="GL123" s="139"/>
      <c r="GM123" s="140">
        <f t="shared" si="3104"/>
        <v>0</v>
      </c>
      <c r="GN123" s="198">
        <f t="shared" si="3079"/>
        <v>0</v>
      </c>
      <c r="GO123" s="225">
        <f t="shared" si="3105"/>
        <v>0</v>
      </c>
      <c r="GP123" s="226">
        <f t="shared" si="3106"/>
        <v>0</v>
      </c>
      <c r="GQ123" s="137">
        <f t="shared" si="3107"/>
        <v>0</v>
      </c>
      <c r="GR123" s="227">
        <f t="shared" si="3083"/>
        <v>52.13</v>
      </c>
      <c r="GS123" s="138">
        <f t="shared" si="3108"/>
        <v>0</v>
      </c>
      <c r="GT123" s="110">
        <f t="shared" si="3109"/>
        <v>0</v>
      </c>
      <c r="GU123" s="110"/>
      <c r="GV123" s="139"/>
      <c r="GW123" s="140">
        <f t="shared" si="3110"/>
        <v>0</v>
      </c>
      <c r="GX123" s="198">
        <f t="shared" si="3079"/>
        <v>0</v>
      </c>
      <c r="GY123" s="225">
        <f t="shared" si="3111"/>
        <v>0</v>
      </c>
      <c r="GZ123" s="226">
        <f t="shared" si="3112"/>
        <v>0</v>
      </c>
      <c r="HA123" s="137">
        <f t="shared" si="3113"/>
        <v>0</v>
      </c>
      <c r="HB123" s="227">
        <f t="shared" si="3083"/>
        <v>42.58</v>
      </c>
      <c r="HC123" s="138">
        <f t="shared" si="3114"/>
        <v>0</v>
      </c>
      <c r="HD123" s="110">
        <f t="shared" si="3115"/>
        <v>0</v>
      </c>
      <c r="HE123" s="110"/>
      <c r="HF123" s="139"/>
      <c r="HG123" s="140">
        <f t="shared" si="3116"/>
        <v>0</v>
      </c>
      <c r="HH123" s="198">
        <f t="shared" si="3079"/>
        <v>0</v>
      </c>
      <c r="HI123" s="225">
        <f t="shared" si="3117"/>
        <v>0</v>
      </c>
      <c r="HJ123" s="226">
        <f t="shared" si="3118"/>
        <v>0</v>
      </c>
      <c r="HK123" s="137">
        <f t="shared" si="3119"/>
        <v>0</v>
      </c>
      <c r="HL123" s="227">
        <f t="shared" si="3083"/>
        <v>49.58</v>
      </c>
      <c r="HM123" s="138">
        <f t="shared" si="3120"/>
        <v>0</v>
      </c>
      <c r="HN123" s="110">
        <f t="shared" si="3121"/>
        <v>0</v>
      </c>
      <c r="HO123" s="110"/>
      <c r="HP123" s="139"/>
      <c r="HQ123" s="140">
        <f t="shared" si="3122"/>
        <v>0</v>
      </c>
      <c r="HR123" s="198">
        <f t="shared" si="3123"/>
        <v>0</v>
      </c>
      <c r="HS123" s="225">
        <f t="shared" si="3124"/>
        <v>0</v>
      </c>
      <c r="HT123" s="226">
        <f t="shared" si="3125"/>
        <v>0</v>
      </c>
      <c r="HU123" s="137">
        <f t="shared" si="3126"/>
        <v>0</v>
      </c>
      <c r="HV123" s="227">
        <f t="shared" si="3127"/>
        <v>52.62</v>
      </c>
      <c r="HW123" s="138">
        <f t="shared" si="3128"/>
        <v>0</v>
      </c>
      <c r="HX123" s="110">
        <f t="shared" si="3129"/>
        <v>0</v>
      </c>
      <c r="HY123" s="110"/>
      <c r="HZ123" s="139"/>
      <c r="IA123" s="140">
        <f t="shared" si="3130"/>
        <v>0</v>
      </c>
      <c r="IB123" s="198">
        <f t="shared" si="3123"/>
        <v>0</v>
      </c>
      <c r="IC123" s="225">
        <f t="shared" si="3131"/>
        <v>0</v>
      </c>
      <c r="ID123" s="226">
        <f t="shared" si="3132"/>
        <v>0</v>
      </c>
      <c r="IE123" s="137">
        <f t="shared" si="3133"/>
        <v>0</v>
      </c>
      <c r="IF123" s="227">
        <f t="shared" si="3127"/>
        <v>50</v>
      </c>
      <c r="IG123" s="138">
        <f t="shared" si="3134"/>
        <v>0</v>
      </c>
      <c r="IH123" s="110">
        <f t="shared" si="3135"/>
        <v>0</v>
      </c>
      <c r="II123" s="110"/>
      <c r="IJ123" s="139"/>
      <c r="IK123" s="140">
        <f t="shared" si="3136"/>
        <v>0</v>
      </c>
      <c r="IL123" s="198">
        <f t="shared" si="3123"/>
        <v>0</v>
      </c>
      <c r="IM123" s="225">
        <f t="shared" si="3137"/>
        <v>0</v>
      </c>
      <c r="IN123" s="226">
        <f t="shared" si="3138"/>
        <v>0</v>
      </c>
      <c r="IO123" s="137">
        <f t="shared" si="3139"/>
        <v>0</v>
      </c>
      <c r="IP123" s="227">
        <f t="shared" si="3127"/>
        <v>54.39</v>
      </c>
      <c r="IQ123" s="138">
        <f t="shared" si="3140"/>
        <v>0</v>
      </c>
      <c r="IR123" s="110">
        <f t="shared" si="3141"/>
        <v>0</v>
      </c>
      <c r="IS123" s="110"/>
      <c r="IT123" s="139"/>
      <c r="IU123" s="140">
        <f t="shared" si="3142"/>
        <v>0</v>
      </c>
      <c r="IV123" s="198">
        <f t="shared" si="3123"/>
        <v>0</v>
      </c>
      <c r="IW123" s="225">
        <f t="shared" si="3143"/>
        <v>0</v>
      </c>
      <c r="IX123" s="226">
        <f t="shared" si="3144"/>
        <v>0</v>
      </c>
      <c r="IY123" s="137">
        <f t="shared" si="3145"/>
        <v>0</v>
      </c>
      <c r="IZ123" s="227">
        <f t="shared" si="3127"/>
        <v>54.71</v>
      </c>
      <c r="JA123" s="138">
        <f t="shared" si="3146"/>
        <v>0</v>
      </c>
      <c r="JB123" s="110">
        <f t="shared" si="3147"/>
        <v>0</v>
      </c>
      <c r="JC123" s="110"/>
      <c r="JD123" s="139"/>
      <c r="JE123" s="140">
        <f t="shared" si="3148"/>
        <v>0</v>
      </c>
      <c r="JF123" s="198">
        <f t="shared" si="3123"/>
        <v>0</v>
      </c>
      <c r="JG123" s="225">
        <f t="shared" si="3149"/>
        <v>0</v>
      </c>
      <c r="JH123" s="226">
        <f t="shared" si="3150"/>
        <v>0</v>
      </c>
      <c r="JI123" s="137">
        <f t="shared" si="3151"/>
        <v>0</v>
      </c>
      <c r="JJ123" s="227">
        <f t="shared" si="3127"/>
        <v>43.31</v>
      </c>
      <c r="JK123" s="138">
        <f t="shared" si="3152"/>
        <v>0</v>
      </c>
      <c r="JL123" s="110">
        <f t="shared" si="3153"/>
        <v>0</v>
      </c>
      <c r="JM123" s="110"/>
      <c r="JN123" s="139"/>
      <c r="JO123" s="140">
        <f t="shared" si="3154"/>
        <v>0</v>
      </c>
      <c r="JP123" s="198">
        <f t="shared" si="3123"/>
        <v>0</v>
      </c>
      <c r="JQ123" s="225">
        <f t="shared" si="3155"/>
        <v>0</v>
      </c>
      <c r="JR123" s="226">
        <f t="shared" si="3156"/>
        <v>0</v>
      </c>
      <c r="JS123" s="137">
        <f t="shared" si="3157"/>
        <v>0</v>
      </c>
      <c r="JT123" s="227">
        <f t="shared" si="3127"/>
        <v>57.05</v>
      </c>
      <c r="JU123" s="138">
        <f t="shared" si="3158"/>
        <v>0</v>
      </c>
      <c r="JV123" s="110">
        <f t="shared" si="3159"/>
        <v>0</v>
      </c>
      <c r="JW123" s="110"/>
      <c r="JX123" s="139"/>
      <c r="JY123" s="140">
        <f t="shared" si="3160"/>
        <v>0</v>
      </c>
      <c r="JZ123" s="198">
        <f t="shared" si="3123"/>
        <v>0</v>
      </c>
      <c r="KA123" s="225">
        <f t="shared" si="3161"/>
        <v>0</v>
      </c>
      <c r="KB123" s="226">
        <f t="shared" si="3162"/>
        <v>0</v>
      </c>
      <c r="KC123" s="137">
        <f t="shared" si="3163"/>
        <v>0</v>
      </c>
      <c r="KD123" s="227">
        <f t="shared" si="3127"/>
        <v>51.65</v>
      </c>
      <c r="KE123" s="138">
        <f t="shared" si="3164"/>
        <v>0</v>
      </c>
      <c r="KF123" s="110">
        <f t="shared" si="3165"/>
        <v>0</v>
      </c>
      <c r="KG123" s="110"/>
      <c r="KH123" s="139"/>
      <c r="KI123" s="140">
        <f t="shared" si="3166"/>
        <v>0</v>
      </c>
      <c r="KJ123" s="198">
        <f t="shared" si="3167"/>
        <v>0</v>
      </c>
      <c r="KK123" s="225">
        <f t="shared" si="3168"/>
        <v>0</v>
      </c>
      <c r="KL123" s="226">
        <f t="shared" si="3169"/>
        <v>0</v>
      </c>
      <c r="KM123" s="137">
        <f t="shared" si="3170"/>
        <v>0</v>
      </c>
      <c r="KN123" s="227">
        <f t="shared" si="3171"/>
        <v>51.78</v>
      </c>
      <c r="KO123" s="138">
        <f t="shared" si="3172"/>
        <v>0</v>
      </c>
      <c r="KP123" s="110">
        <f t="shared" si="3173"/>
        <v>0</v>
      </c>
      <c r="KQ123" s="110"/>
      <c r="KR123" s="139"/>
      <c r="KS123" s="140">
        <f t="shared" si="3174"/>
        <v>0</v>
      </c>
      <c r="KT123" s="198">
        <f t="shared" si="3167"/>
        <v>0</v>
      </c>
      <c r="KU123" s="225">
        <f t="shared" si="3175"/>
        <v>0</v>
      </c>
      <c r="KV123" s="226">
        <f t="shared" si="3176"/>
        <v>0</v>
      </c>
      <c r="KW123" s="137">
        <f t="shared" si="3177"/>
        <v>0</v>
      </c>
      <c r="KX123" s="227">
        <f t="shared" si="3171"/>
        <v>55.65</v>
      </c>
      <c r="KY123" s="138">
        <f t="shared" si="3178"/>
        <v>0</v>
      </c>
      <c r="KZ123" s="110">
        <f t="shared" si="3179"/>
        <v>0</v>
      </c>
      <c r="LA123" s="110"/>
      <c r="LB123" s="139"/>
      <c r="LC123" s="140">
        <f t="shared" si="3180"/>
        <v>0</v>
      </c>
      <c r="LD123" s="197">
        <f t="shared" si="2789"/>
        <v>1</v>
      </c>
      <c r="LE123" s="225">
        <f t="shared" si="2790"/>
        <v>4.0000000000000003E-5</v>
      </c>
      <c r="LF123" s="226">
        <f t="shared" si="2791"/>
        <v>2.4500000000000002</v>
      </c>
      <c r="LG123" s="137">
        <f t="shared" si="2792"/>
        <v>2.4500000000000002</v>
      </c>
      <c r="LH123" s="227">
        <f t="shared" si="2793"/>
        <v>50.24</v>
      </c>
      <c r="LI123" s="138">
        <f t="shared" si="2794"/>
        <v>123.08799999999999</v>
      </c>
      <c r="LJ123" s="110">
        <f t="shared" si="2795"/>
        <v>123.09</v>
      </c>
      <c r="LK123" s="110"/>
      <c r="LL123" s="139"/>
    </row>
    <row r="124" spans="1:324" ht="18" customHeight="1" x14ac:dyDescent="0.25">
      <c r="A124" s="246"/>
      <c r="B124" s="174" t="s">
        <v>608</v>
      </c>
      <c r="C124" s="12" t="s">
        <v>728</v>
      </c>
      <c r="D124" s="12" t="s">
        <v>430</v>
      </c>
      <c r="E124" s="4" t="s">
        <v>32</v>
      </c>
      <c r="F124" s="198">
        <f t="shared" si="2990"/>
        <v>0</v>
      </c>
      <c r="G124" s="225">
        <f t="shared" si="2796"/>
        <v>0</v>
      </c>
      <c r="H124" s="226">
        <f t="shared" si="2797"/>
        <v>0</v>
      </c>
      <c r="I124" s="137">
        <f t="shared" si="2570"/>
        <v>0</v>
      </c>
      <c r="J124" s="227">
        <f t="shared" si="2798"/>
        <v>40.909999999999997</v>
      </c>
      <c r="K124" s="138">
        <f t="shared" si="2571"/>
        <v>0</v>
      </c>
      <c r="L124" s="110">
        <f t="shared" si="2572"/>
        <v>0</v>
      </c>
      <c r="M124" s="110"/>
      <c r="N124" s="139"/>
      <c r="O124" s="140">
        <f t="shared" si="2573"/>
        <v>0</v>
      </c>
      <c r="P124" s="198">
        <f t="shared" si="2991"/>
        <v>0</v>
      </c>
      <c r="Q124" s="225">
        <f t="shared" si="2992"/>
        <v>0</v>
      </c>
      <c r="R124" s="226">
        <f t="shared" si="2993"/>
        <v>0</v>
      </c>
      <c r="S124" s="137">
        <f t="shared" si="2994"/>
        <v>0</v>
      </c>
      <c r="T124" s="227">
        <f t="shared" si="2995"/>
        <v>36.11</v>
      </c>
      <c r="U124" s="138">
        <f t="shared" si="2996"/>
        <v>0</v>
      </c>
      <c r="V124" s="110">
        <f t="shared" si="2997"/>
        <v>0</v>
      </c>
      <c r="W124" s="110"/>
      <c r="X124" s="139"/>
      <c r="Y124" s="140">
        <f t="shared" si="2998"/>
        <v>0</v>
      </c>
      <c r="Z124" s="198">
        <f t="shared" si="2991"/>
        <v>0</v>
      </c>
      <c r="AA124" s="225">
        <f t="shared" si="2999"/>
        <v>0</v>
      </c>
      <c r="AB124" s="226">
        <f t="shared" si="3000"/>
        <v>0</v>
      </c>
      <c r="AC124" s="137">
        <f t="shared" si="3001"/>
        <v>0</v>
      </c>
      <c r="AD124" s="227">
        <f t="shared" si="2995"/>
        <v>54.87</v>
      </c>
      <c r="AE124" s="138">
        <f t="shared" si="3002"/>
        <v>0</v>
      </c>
      <c r="AF124" s="110">
        <f t="shared" si="3003"/>
        <v>0</v>
      </c>
      <c r="AG124" s="110"/>
      <c r="AH124" s="139"/>
      <c r="AI124" s="140">
        <f t="shared" si="3004"/>
        <v>0</v>
      </c>
      <c r="AJ124" s="198">
        <f t="shared" si="2991"/>
        <v>0</v>
      </c>
      <c r="AK124" s="225">
        <f t="shared" si="3005"/>
        <v>0</v>
      </c>
      <c r="AL124" s="226">
        <f t="shared" si="3006"/>
        <v>0</v>
      </c>
      <c r="AM124" s="137">
        <f t="shared" si="3007"/>
        <v>0</v>
      </c>
      <c r="AN124" s="227">
        <f t="shared" si="2995"/>
        <v>54.42</v>
      </c>
      <c r="AO124" s="138">
        <f t="shared" si="3008"/>
        <v>0</v>
      </c>
      <c r="AP124" s="110">
        <f t="shared" si="3009"/>
        <v>0</v>
      </c>
      <c r="AQ124" s="110"/>
      <c r="AR124" s="139"/>
      <c r="AS124" s="140">
        <f t="shared" si="3010"/>
        <v>0</v>
      </c>
      <c r="AT124" s="198">
        <f t="shared" si="2991"/>
        <v>0</v>
      </c>
      <c r="AU124" s="225">
        <f t="shared" si="3011"/>
        <v>0</v>
      </c>
      <c r="AV124" s="226">
        <f t="shared" si="3012"/>
        <v>0</v>
      </c>
      <c r="AW124" s="137">
        <f t="shared" si="3013"/>
        <v>0</v>
      </c>
      <c r="AX124" s="227">
        <f t="shared" si="2995"/>
        <v>49.55</v>
      </c>
      <c r="AY124" s="138">
        <f t="shared" si="3014"/>
        <v>0</v>
      </c>
      <c r="AZ124" s="110">
        <f t="shared" si="3015"/>
        <v>0</v>
      </c>
      <c r="BA124" s="110"/>
      <c r="BB124" s="139"/>
      <c r="BC124" s="140">
        <f t="shared" si="3016"/>
        <v>0</v>
      </c>
      <c r="BD124" s="198">
        <f t="shared" si="2991"/>
        <v>0</v>
      </c>
      <c r="BE124" s="225">
        <f t="shared" si="3017"/>
        <v>0</v>
      </c>
      <c r="BF124" s="226">
        <f t="shared" si="3018"/>
        <v>0</v>
      </c>
      <c r="BG124" s="137">
        <f t="shared" si="3019"/>
        <v>0</v>
      </c>
      <c r="BH124" s="227">
        <f t="shared" si="2995"/>
        <v>55.1</v>
      </c>
      <c r="BI124" s="138">
        <f t="shared" si="3020"/>
        <v>0</v>
      </c>
      <c r="BJ124" s="110">
        <f t="shared" si="3021"/>
        <v>0</v>
      </c>
      <c r="BK124" s="110"/>
      <c r="BL124" s="139"/>
      <c r="BM124" s="140">
        <f t="shared" si="3022"/>
        <v>0</v>
      </c>
      <c r="BN124" s="198">
        <f t="shared" si="2991"/>
        <v>0</v>
      </c>
      <c r="BO124" s="225">
        <f t="shared" si="3023"/>
        <v>0</v>
      </c>
      <c r="BP124" s="226">
        <f t="shared" si="3024"/>
        <v>0</v>
      </c>
      <c r="BQ124" s="137">
        <f t="shared" si="3025"/>
        <v>0</v>
      </c>
      <c r="BR124" s="227">
        <f t="shared" si="2995"/>
        <v>54.14</v>
      </c>
      <c r="BS124" s="138">
        <f t="shared" si="3026"/>
        <v>0</v>
      </c>
      <c r="BT124" s="110">
        <f t="shared" si="3027"/>
        <v>0</v>
      </c>
      <c r="BU124" s="110"/>
      <c r="BV124" s="139"/>
      <c r="BW124" s="140">
        <f t="shared" si="3028"/>
        <v>0</v>
      </c>
      <c r="BX124" s="198">
        <f t="shared" si="2991"/>
        <v>0</v>
      </c>
      <c r="BY124" s="225">
        <f t="shared" si="3029"/>
        <v>0</v>
      </c>
      <c r="BZ124" s="226">
        <f t="shared" si="3030"/>
        <v>0</v>
      </c>
      <c r="CA124" s="137">
        <f t="shared" si="3031"/>
        <v>0</v>
      </c>
      <c r="CB124" s="227">
        <f t="shared" si="2995"/>
        <v>51.74</v>
      </c>
      <c r="CC124" s="138">
        <f t="shared" si="3032"/>
        <v>0</v>
      </c>
      <c r="CD124" s="110">
        <f t="shared" si="3033"/>
        <v>0</v>
      </c>
      <c r="CE124" s="110"/>
      <c r="CF124" s="139"/>
      <c r="CG124" s="140">
        <f t="shared" si="3034"/>
        <v>0</v>
      </c>
      <c r="CH124" s="198">
        <f t="shared" si="3035"/>
        <v>0</v>
      </c>
      <c r="CI124" s="225">
        <f t="shared" si="3036"/>
        <v>0</v>
      </c>
      <c r="CJ124" s="226">
        <f t="shared" si="3037"/>
        <v>0</v>
      </c>
      <c r="CK124" s="137">
        <f t="shared" si="3038"/>
        <v>0</v>
      </c>
      <c r="CL124" s="227">
        <f t="shared" si="3039"/>
        <v>46.92</v>
      </c>
      <c r="CM124" s="138">
        <f t="shared" si="3040"/>
        <v>0</v>
      </c>
      <c r="CN124" s="110">
        <f t="shared" si="3041"/>
        <v>0</v>
      </c>
      <c r="CO124" s="110"/>
      <c r="CP124" s="139"/>
      <c r="CQ124" s="140">
        <f t="shared" si="3042"/>
        <v>0</v>
      </c>
      <c r="CR124" s="198">
        <f t="shared" si="3035"/>
        <v>0</v>
      </c>
      <c r="CS124" s="225">
        <f t="shared" si="3043"/>
        <v>0</v>
      </c>
      <c r="CT124" s="226">
        <f t="shared" si="3044"/>
        <v>0</v>
      </c>
      <c r="CU124" s="137">
        <f t="shared" si="3045"/>
        <v>0</v>
      </c>
      <c r="CV124" s="227">
        <f t="shared" si="3039"/>
        <v>49.61</v>
      </c>
      <c r="CW124" s="138">
        <f t="shared" si="3046"/>
        <v>0</v>
      </c>
      <c r="CX124" s="110">
        <f t="shared" si="3047"/>
        <v>0</v>
      </c>
      <c r="CY124" s="110"/>
      <c r="CZ124" s="139"/>
      <c r="DA124" s="140">
        <f t="shared" si="3048"/>
        <v>0</v>
      </c>
      <c r="DB124" s="198">
        <f t="shared" si="3035"/>
        <v>0</v>
      </c>
      <c r="DC124" s="225">
        <f t="shared" si="3049"/>
        <v>0</v>
      </c>
      <c r="DD124" s="226">
        <f t="shared" si="3050"/>
        <v>0</v>
      </c>
      <c r="DE124" s="137">
        <f t="shared" si="3051"/>
        <v>0</v>
      </c>
      <c r="DF124" s="227">
        <f t="shared" si="3039"/>
        <v>52.57</v>
      </c>
      <c r="DG124" s="138">
        <f t="shared" si="3052"/>
        <v>0</v>
      </c>
      <c r="DH124" s="110">
        <f t="shared" si="3053"/>
        <v>0</v>
      </c>
      <c r="DI124" s="110"/>
      <c r="DJ124" s="139"/>
      <c r="DK124" s="140">
        <f t="shared" si="3054"/>
        <v>0</v>
      </c>
      <c r="DL124" s="198">
        <f t="shared" si="3035"/>
        <v>41</v>
      </c>
      <c r="DM124" s="225">
        <f t="shared" si="3055"/>
        <v>0.14488000000000001</v>
      </c>
      <c r="DN124" s="226">
        <f t="shared" si="3056"/>
        <v>108.66</v>
      </c>
      <c r="DO124" s="137">
        <f t="shared" si="3057"/>
        <v>2.6502439</v>
      </c>
      <c r="DP124" s="227">
        <f t="shared" si="3039"/>
        <v>55.25</v>
      </c>
      <c r="DQ124" s="138">
        <f t="shared" si="3058"/>
        <v>146.42598000000001</v>
      </c>
      <c r="DR124" s="110">
        <f t="shared" si="3059"/>
        <v>6003.47</v>
      </c>
      <c r="DS124" s="110"/>
      <c r="DT124" s="139"/>
      <c r="DU124" s="140">
        <f t="shared" si="3060"/>
        <v>1.35375</v>
      </c>
      <c r="DV124" s="198">
        <f t="shared" si="3035"/>
        <v>0</v>
      </c>
      <c r="DW124" s="225">
        <f t="shared" si="3061"/>
        <v>0</v>
      </c>
      <c r="DX124" s="226">
        <f t="shared" si="3062"/>
        <v>0</v>
      </c>
      <c r="DY124" s="137">
        <f t="shared" si="3063"/>
        <v>0</v>
      </c>
      <c r="DZ124" s="227">
        <f t="shared" si="3039"/>
        <v>34.14</v>
      </c>
      <c r="EA124" s="138">
        <f t="shared" si="3064"/>
        <v>0</v>
      </c>
      <c r="EB124" s="110">
        <f t="shared" si="3065"/>
        <v>0</v>
      </c>
      <c r="EC124" s="110"/>
      <c r="ED124" s="139"/>
      <c r="EE124" s="140">
        <f t="shared" si="3066"/>
        <v>0</v>
      </c>
      <c r="EF124" s="198">
        <f t="shared" si="3035"/>
        <v>0</v>
      </c>
      <c r="EG124" s="225">
        <f t="shared" si="3067"/>
        <v>0</v>
      </c>
      <c r="EH124" s="226">
        <f t="shared" si="3068"/>
        <v>0</v>
      </c>
      <c r="EI124" s="137">
        <f t="shared" si="3069"/>
        <v>0</v>
      </c>
      <c r="EJ124" s="227">
        <f t="shared" si="3039"/>
        <v>44.53</v>
      </c>
      <c r="EK124" s="138">
        <f t="shared" si="3070"/>
        <v>0</v>
      </c>
      <c r="EL124" s="110">
        <f t="shared" si="3071"/>
        <v>0</v>
      </c>
      <c r="EM124" s="110"/>
      <c r="EN124" s="139"/>
      <c r="EO124" s="140">
        <f t="shared" si="3072"/>
        <v>0</v>
      </c>
      <c r="EP124" s="198">
        <f t="shared" si="3035"/>
        <v>0</v>
      </c>
      <c r="EQ124" s="225">
        <f t="shared" si="3073"/>
        <v>0</v>
      </c>
      <c r="ER124" s="226">
        <f t="shared" si="3074"/>
        <v>0</v>
      </c>
      <c r="ES124" s="137">
        <f t="shared" si="3075"/>
        <v>0</v>
      </c>
      <c r="ET124" s="227">
        <f t="shared" si="3039"/>
        <v>52.01</v>
      </c>
      <c r="EU124" s="138">
        <f t="shared" si="3076"/>
        <v>0</v>
      </c>
      <c r="EV124" s="110">
        <f t="shared" si="3077"/>
        <v>0</v>
      </c>
      <c r="EW124" s="110"/>
      <c r="EX124" s="139"/>
      <c r="EY124" s="140">
        <f t="shared" si="3078"/>
        <v>0</v>
      </c>
      <c r="EZ124" s="198">
        <f t="shared" si="3079"/>
        <v>0</v>
      </c>
      <c r="FA124" s="225">
        <f t="shared" si="3080"/>
        <v>0</v>
      </c>
      <c r="FB124" s="226">
        <f t="shared" si="3081"/>
        <v>0</v>
      </c>
      <c r="FC124" s="137">
        <f t="shared" si="3082"/>
        <v>0</v>
      </c>
      <c r="FD124" s="227">
        <f t="shared" si="3083"/>
        <v>55.47</v>
      </c>
      <c r="FE124" s="138">
        <f t="shared" si="3084"/>
        <v>0</v>
      </c>
      <c r="FF124" s="110">
        <f t="shared" si="3085"/>
        <v>0</v>
      </c>
      <c r="FG124" s="110"/>
      <c r="FH124" s="139"/>
      <c r="FI124" s="140">
        <f t="shared" si="3086"/>
        <v>0</v>
      </c>
      <c r="FJ124" s="198">
        <f t="shared" si="3079"/>
        <v>0</v>
      </c>
      <c r="FK124" s="225">
        <f t="shared" si="3087"/>
        <v>0</v>
      </c>
      <c r="FL124" s="226">
        <f t="shared" si="3088"/>
        <v>0</v>
      </c>
      <c r="FM124" s="137">
        <f t="shared" si="3089"/>
        <v>0</v>
      </c>
      <c r="FN124" s="227">
        <f t="shared" si="3083"/>
        <v>39.74</v>
      </c>
      <c r="FO124" s="138">
        <f t="shared" si="3090"/>
        <v>0</v>
      </c>
      <c r="FP124" s="110">
        <f t="shared" si="3091"/>
        <v>0</v>
      </c>
      <c r="FQ124" s="110"/>
      <c r="FR124" s="139"/>
      <c r="FS124" s="140">
        <f t="shared" si="3092"/>
        <v>0</v>
      </c>
      <c r="FT124" s="198">
        <f t="shared" si="3079"/>
        <v>0</v>
      </c>
      <c r="FU124" s="225">
        <f t="shared" si="3093"/>
        <v>0</v>
      </c>
      <c r="FV124" s="226">
        <f t="shared" si="3094"/>
        <v>0</v>
      </c>
      <c r="FW124" s="137">
        <f t="shared" si="3095"/>
        <v>0</v>
      </c>
      <c r="FX124" s="227">
        <f t="shared" si="3083"/>
        <v>53.97</v>
      </c>
      <c r="FY124" s="138">
        <f t="shared" si="3096"/>
        <v>0</v>
      </c>
      <c r="FZ124" s="110">
        <f t="shared" si="3097"/>
        <v>0</v>
      </c>
      <c r="GA124" s="110"/>
      <c r="GB124" s="139"/>
      <c r="GC124" s="140">
        <f t="shared" si="3098"/>
        <v>0</v>
      </c>
      <c r="GD124" s="198">
        <f t="shared" si="3079"/>
        <v>0</v>
      </c>
      <c r="GE124" s="225">
        <f t="shared" si="3099"/>
        <v>0</v>
      </c>
      <c r="GF124" s="226">
        <f t="shared" si="3100"/>
        <v>0</v>
      </c>
      <c r="GG124" s="137">
        <f t="shared" si="3101"/>
        <v>0</v>
      </c>
      <c r="GH124" s="227">
        <f t="shared" si="3083"/>
        <v>54.63</v>
      </c>
      <c r="GI124" s="138">
        <f t="shared" si="3102"/>
        <v>0</v>
      </c>
      <c r="GJ124" s="110">
        <f t="shared" si="3103"/>
        <v>0</v>
      </c>
      <c r="GK124" s="110"/>
      <c r="GL124" s="139"/>
      <c r="GM124" s="140">
        <f t="shared" si="3104"/>
        <v>0</v>
      </c>
      <c r="GN124" s="198">
        <f t="shared" si="3079"/>
        <v>0</v>
      </c>
      <c r="GO124" s="225">
        <f t="shared" si="3105"/>
        <v>0</v>
      </c>
      <c r="GP124" s="226">
        <f t="shared" si="3106"/>
        <v>0</v>
      </c>
      <c r="GQ124" s="137">
        <f t="shared" si="3107"/>
        <v>0</v>
      </c>
      <c r="GR124" s="227">
        <f t="shared" si="3083"/>
        <v>52.13</v>
      </c>
      <c r="GS124" s="138">
        <f t="shared" si="3108"/>
        <v>0</v>
      </c>
      <c r="GT124" s="110">
        <f t="shared" si="3109"/>
        <v>0</v>
      </c>
      <c r="GU124" s="110"/>
      <c r="GV124" s="139"/>
      <c r="GW124" s="140">
        <f t="shared" si="3110"/>
        <v>0</v>
      </c>
      <c r="GX124" s="198">
        <f t="shared" si="3079"/>
        <v>0</v>
      </c>
      <c r="GY124" s="225">
        <f t="shared" si="3111"/>
        <v>0</v>
      </c>
      <c r="GZ124" s="226">
        <f t="shared" si="3112"/>
        <v>0</v>
      </c>
      <c r="HA124" s="137">
        <f t="shared" si="3113"/>
        <v>0</v>
      </c>
      <c r="HB124" s="227">
        <f t="shared" si="3083"/>
        <v>42.58</v>
      </c>
      <c r="HC124" s="138">
        <f t="shared" si="3114"/>
        <v>0</v>
      </c>
      <c r="HD124" s="110">
        <f t="shared" si="3115"/>
        <v>0</v>
      </c>
      <c r="HE124" s="110"/>
      <c r="HF124" s="139"/>
      <c r="HG124" s="140">
        <f t="shared" si="3116"/>
        <v>0</v>
      </c>
      <c r="HH124" s="198">
        <f t="shared" si="3079"/>
        <v>0</v>
      </c>
      <c r="HI124" s="225">
        <f t="shared" si="3117"/>
        <v>0</v>
      </c>
      <c r="HJ124" s="226">
        <f t="shared" si="3118"/>
        <v>0</v>
      </c>
      <c r="HK124" s="137">
        <f t="shared" si="3119"/>
        <v>0</v>
      </c>
      <c r="HL124" s="227">
        <f t="shared" si="3083"/>
        <v>49.58</v>
      </c>
      <c r="HM124" s="138">
        <f t="shared" si="3120"/>
        <v>0</v>
      </c>
      <c r="HN124" s="110">
        <f t="shared" si="3121"/>
        <v>0</v>
      </c>
      <c r="HO124" s="110"/>
      <c r="HP124" s="139"/>
      <c r="HQ124" s="140">
        <f t="shared" si="3122"/>
        <v>0</v>
      </c>
      <c r="HR124" s="198">
        <f t="shared" si="3123"/>
        <v>0</v>
      </c>
      <c r="HS124" s="225">
        <f t="shared" si="3124"/>
        <v>0</v>
      </c>
      <c r="HT124" s="226">
        <f t="shared" si="3125"/>
        <v>0</v>
      </c>
      <c r="HU124" s="137">
        <f t="shared" si="3126"/>
        <v>0</v>
      </c>
      <c r="HV124" s="227">
        <f t="shared" si="3127"/>
        <v>52.62</v>
      </c>
      <c r="HW124" s="138">
        <f t="shared" si="3128"/>
        <v>0</v>
      </c>
      <c r="HX124" s="110">
        <f t="shared" si="3129"/>
        <v>0</v>
      </c>
      <c r="HY124" s="110"/>
      <c r="HZ124" s="139"/>
      <c r="IA124" s="140">
        <f t="shared" si="3130"/>
        <v>0</v>
      </c>
      <c r="IB124" s="198">
        <f t="shared" si="3123"/>
        <v>0</v>
      </c>
      <c r="IC124" s="225">
        <f t="shared" si="3131"/>
        <v>0</v>
      </c>
      <c r="ID124" s="226">
        <f t="shared" si="3132"/>
        <v>0</v>
      </c>
      <c r="IE124" s="137">
        <f t="shared" si="3133"/>
        <v>0</v>
      </c>
      <c r="IF124" s="227">
        <f t="shared" si="3127"/>
        <v>50</v>
      </c>
      <c r="IG124" s="138">
        <f t="shared" si="3134"/>
        <v>0</v>
      </c>
      <c r="IH124" s="110">
        <f t="shared" si="3135"/>
        <v>0</v>
      </c>
      <c r="II124" s="110"/>
      <c r="IJ124" s="139"/>
      <c r="IK124" s="140">
        <f t="shared" si="3136"/>
        <v>0</v>
      </c>
      <c r="IL124" s="198">
        <f t="shared" si="3123"/>
        <v>0</v>
      </c>
      <c r="IM124" s="225">
        <f t="shared" si="3137"/>
        <v>0</v>
      </c>
      <c r="IN124" s="226">
        <f t="shared" si="3138"/>
        <v>0</v>
      </c>
      <c r="IO124" s="137">
        <f t="shared" si="3139"/>
        <v>0</v>
      </c>
      <c r="IP124" s="227">
        <f t="shared" si="3127"/>
        <v>54.39</v>
      </c>
      <c r="IQ124" s="138">
        <f t="shared" si="3140"/>
        <v>0</v>
      </c>
      <c r="IR124" s="110">
        <f t="shared" si="3141"/>
        <v>0</v>
      </c>
      <c r="IS124" s="110"/>
      <c r="IT124" s="139"/>
      <c r="IU124" s="140">
        <f t="shared" si="3142"/>
        <v>0</v>
      </c>
      <c r="IV124" s="198">
        <f t="shared" si="3123"/>
        <v>0</v>
      </c>
      <c r="IW124" s="225">
        <f t="shared" si="3143"/>
        <v>0</v>
      </c>
      <c r="IX124" s="226">
        <f t="shared" si="3144"/>
        <v>0</v>
      </c>
      <c r="IY124" s="137">
        <f t="shared" si="3145"/>
        <v>0</v>
      </c>
      <c r="IZ124" s="227">
        <f t="shared" si="3127"/>
        <v>54.71</v>
      </c>
      <c r="JA124" s="138">
        <f t="shared" si="3146"/>
        <v>0</v>
      </c>
      <c r="JB124" s="110">
        <f t="shared" si="3147"/>
        <v>0</v>
      </c>
      <c r="JC124" s="110"/>
      <c r="JD124" s="139"/>
      <c r="JE124" s="140">
        <f t="shared" si="3148"/>
        <v>0</v>
      </c>
      <c r="JF124" s="198">
        <f t="shared" si="3123"/>
        <v>0</v>
      </c>
      <c r="JG124" s="225">
        <f t="shared" si="3149"/>
        <v>0</v>
      </c>
      <c r="JH124" s="226">
        <f t="shared" si="3150"/>
        <v>0</v>
      </c>
      <c r="JI124" s="137">
        <f t="shared" si="3151"/>
        <v>0</v>
      </c>
      <c r="JJ124" s="227">
        <f t="shared" si="3127"/>
        <v>43.31</v>
      </c>
      <c r="JK124" s="138">
        <f t="shared" si="3152"/>
        <v>0</v>
      </c>
      <c r="JL124" s="110">
        <f t="shared" si="3153"/>
        <v>0</v>
      </c>
      <c r="JM124" s="110"/>
      <c r="JN124" s="139"/>
      <c r="JO124" s="140">
        <f t="shared" si="3154"/>
        <v>0</v>
      </c>
      <c r="JP124" s="198">
        <f t="shared" si="3123"/>
        <v>0</v>
      </c>
      <c r="JQ124" s="225">
        <f t="shared" si="3155"/>
        <v>0</v>
      </c>
      <c r="JR124" s="226">
        <f t="shared" si="3156"/>
        <v>0</v>
      </c>
      <c r="JS124" s="137">
        <f t="shared" si="3157"/>
        <v>0</v>
      </c>
      <c r="JT124" s="227">
        <f t="shared" si="3127"/>
        <v>57.05</v>
      </c>
      <c r="JU124" s="138">
        <f t="shared" si="3158"/>
        <v>0</v>
      </c>
      <c r="JV124" s="110">
        <f t="shared" si="3159"/>
        <v>0</v>
      </c>
      <c r="JW124" s="110"/>
      <c r="JX124" s="139"/>
      <c r="JY124" s="140">
        <f t="shared" si="3160"/>
        <v>0</v>
      </c>
      <c r="JZ124" s="198">
        <f t="shared" si="3123"/>
        <v>0</v>
      </c>
      <c r="KA124" s="225">
        <f t="shared" si="3161"/>
        <v>0</v>
      </c>
      <c r="KB124" s="226">
        <f t="shared" si="3162"/>
        <v>0</v>
      </c>
      <c r="KC124" s="137">
        <f t="shared" si="3163"/>
        <v>0</v>
      </c>
      <c r="KD124" s="227">
        <f t="shared" si="3127"/>
        <v>51.65</v>
      </c>
      <c r="KE124" s="138">
        <f t="shared" si="3164"/>
        <v>0</v>
      </c>
      <c r="KF124" s="110">
        <f t="shared" si="3165"/>
        <v>0</v>
      </c>
      <c r="KG124" s="110"/>
      <c r="KH124" s="139"/>
      <c r="KI124" s="140">
        <f t="shared" si="3166"/>
        <v>0</v>
      </c>
      <c r="KJ124" s="198">
        <f t="shared" si="3167"/>
        <v>0</v>
      </c>
      <c r="KK124" s="225">
        <f t="shared" si="3168"/>
        <v>0</v>
      </c>
      <c r="KL124" s="226">
        <f t="shared" si="3169"/>
        <v>0</v>
      </c>
      <c r="KM124" s="137">
        <f t="shared" si="3170"/>
        <v>0</v>
      </c>
      <c r="KN124" s="227">
        <f t="shared" si="3171"/>
        <v>51.78</v>
      </c>
      <c r="KO124" s="138">
        <f t="shared" si="3172"/>
        <v>0</v>
      </c>
      <c r="KP124" s="110">
        <f t="shared" si="3173"/>
        <v>0</v>
      </c>
      <c r="KQ124" s="110"/>
      <c r="KR124" s="139"/>
      <c r="KS124" s="140">
        <f t="shared" si="3174"/>
        <v>0</v>
      </c>
      <c r="KT124" s="198">
        <f t="shared" si="3167"/>
        <v>0</v>
      </c>
      <c r="KU124" s="225">
        <f t="shared" si="3175"/>
        <v>0</v>
      </c>
      <c r="KV124" s="226">
        <f t="shared" si="3176"/>
        <v>0</v>
      </c>
      <c r="KW124" s="137">
        <f t="shared" si="3177"/>
        <v>0</v>
      </c>
      <c r="KX124" s="227">
        <f t="shared" si="3171"/>
        <v>55.65</v>
      </c>
      <c r="KY124" s="138">
        <f t="shared" si="3178"/>
        <v>0</v>
      </c>
      <c r="KZ124" s="110">
        <f t="shared" si="3179"/>
        <v>0</v>
      </c>
      <c r="LA124" s="110"/>
      <c r="LB124" s="139"/>
      <c r="LC124" s="140">
        <f t="shared" si="3180"/>
        <v>0</v>
      </c>
      <c r="LD124" s="197">
        <f t="shared" si="2789"/>
        <v>41</v>
      </c>
      <c r="LE124" s="225">
        <f t="shared" si="2790"/>
        <v>1.4400000000000001E-3</v>
      </c>
      <c r="LF124" s="226">
        <f t="shared" si="2791"/>
        <v>88.27</v>
      </c>
      <c r="LG124" s="137">
        <f t="shared" si="2792"/>
        <v>2.1529268300000002</v>
      </c>
      <c r="LH124" s="227">
        <f t="shared" si="2793"/>
        <v>50.24</v>
      </c>
      <c r="LI124" s="138">
        <f t="shared" si="2794"/>
        <v>108.16304</v>
      </c>
      <c r="LJ124" s="110">
        <f t="shared" si="2795"/>
        <v>4434.68</v>
      </c>
      <c r="LK124" s="110"/>
      <c r="LL124" s="139"/>
    </row>
    <row r="125" spans="1:324" ht="18" hidden="1" customHeight="1" x14ac:dyDescent="0.25">
      <c r="A125" s="247"/>
      <c r="B125" s="92" t="s">
        <v>611</v>
      </c>
      <c r="C125" s="12" t="s">
        <v>728</v>
      </c>
      <c r="D125" s="12" t="s">
        <v>430</v>
      </c>
      <c r="E125" s="4" t="s">
        <v>32</v>
      </c>
      <c r="F125" s="198">
        <f>F38</f>
        <v>0</v>
      </c>
      <c r="G125" s="225">
        <f t="shared" si="2796"/>
        <v>0</v>
      </c>
      <c r="H125" s="226">
        <f t="shared" si="2797"/>
        <v>0</v>
      </c>
      <c r="I125" s="137">
        <f t="shared" si="2570"/>
        <v>0</v>
      </c>
      <c r="J125" s="227">
        <f t="shared" si="2798"/>
        <v>40.909999999999997</v>
      </c>
      <c r="K125" s="138">
        <f t="shared" si="2571"/>
        <v>0</v>
      </c>
      <c r="L125" s="110">
        <f t="shared" si="2572"/>
        <v>0</v>
      </c>
      <c r="M125" s="110"/>
      <c r="N125" s="139"/>
      <c r="O125" s="140" t="e">
        <f>K125/$LI125</f>
        <v>#DIV/0!</v>
      </c>
      <c r="P125" s="198">
        <f t="shared" ref="P125" si="3181">P38</f>
        <v>0</v>
      </c>
      <c r="Q125" s="225">
        <f t="shared" si="2992"/>
        <v>0</v>
      </c>
      <c r="R125" s="226">
        <f t="shared" si="2993"/>
        <v>0</v>
      </c>
      <c r="S125" s="137">
        <f t="shared" si="2994"/>
        <v>0</v>
      </c>
      <c r="T125" s="227">
        <f t="shared" si="2995"/>
        <v>36.11</v>
      </c>
      <c r="U125" s="138">
        <f t="shared" si="2996"/>
        <v>0</v>
      </c>
      <c r="V125" s="110">
        <f t="shared" si="2997"/>
        <v>0</v>
      </c>
      <c r="W125" s="110"/>
      <c r="X125" s="139"/>
      <c r="Y125" s="140" t="e">
        <f t="shared" si="2998"/>
        <v>#DIV/0!</v>
      </c>
      <c r="Z125" s="198">
        <f t="shared" ref="Z125" si="3182">Z38</f>
        <v>0</v>
      </c>
      <c r="AA125" s="225">
        <f t="shared" si="2999"/>
        <v>0</v>
      </c>
      <c r="AB125" s="226">
        <f t="shared" si="3000"/>
        <v>0</v>
      </c>
      <c r="AC125" s="137">
        <f t="shared" si="3001"/>
        <v>0</v>
      </c>
      <c r="AD125" s="227">
        <f t="shared" si="2995"/>
        <v>54.87</v>
      </c>
      <c r="AE125" s="138">
        <f t="shared" si="3002"/>
        <v>0</v>
      </c>
      <c r="AF125" s="110">
        <f t="shared" si="3003"/>
        <v>0</v>
      </c>
      <c r="AG125" s="110"/>
      <c r="AH125" s="139"/>
      <c r="AI125" s="140" t="e">
        <f t="shared" si="3004"/>
        <v>#DIV/0!</v>
      </c>
      <c r="AJ125" s="198">
        <f t="shared" ref="AJ125" si="3183">AJ38</f>
        <v>0</v>
      </c>
      <c r="AK125" s="225">
        <f t="shared" si="3005"/>
        <v>0</v>
      </c>
      <c r="AL125" s="226">
        <f t="shared" si="3006"/>
        <v>0</v>
      </c>
      <c r="AM125" s="137">
        <f t="shared" si="3007"/>
        <v>0</v>
      </c>
      <c r="AN125" s="227">
        <f t="shared" si="2995"/>
        <v>54.42</v>
      </c>
      <c r="AO125" s="138">
        <f t="shared" si="3008"/>
        <v>0</v>
      </c>
      <c r="AP125" s="110">
        <f t="shared" si="3009"/>
        <v>0</v>
      </c>
      <c r="AQ125" s="110"/>
      <c r="AR125" s="139"/>
      <c r="AS125" s="140" t="e">
        <f t="shared" si="3010"/>
        <v>#DIV/0!</v>
      </c>
      <c r="AT125" s="198">
        <f t="shared" ref="AT125" si="3184">AT38</f>
        <v>0</v>
      </c>
      <c r="AU125" s="225">
        <f t="shared" si="3011"/>
        <v>0</v>
      </c>
      <c r="AV125" s="226">
        <f t="shared" si="3012"/>
        <v>0</v>
      </c>
      <c r="AW125" s="137">
        <f t="shared" si="3013"/>
        <v>0</v>
      </c>
      <c r="AX125" s="227">
        <f t="shared" si="2995"/>
        <v>49.55</v>
      </c>
      <c r="AY125" s="138">
        <f t="shared" si="3014"/>
        <v>0</v>
      </c>
      <c r="AZ125" s="110">
        <f t="shared" si="3015"/>
        <v>0</v>
      </c>
      <c r="BA125" s="110"/>
      <c r="BB125" s="139"/>
      <c r="BC125" s="140" t="e">
        <f t="shared" si="3016"/>
        <v>#DIV/0!</v>
      </c>
      <c r="BD125" s="198">
        <f t="shared" ref="BD125" si="3185">BD38</f>
        <v>0</v>
      </c>
      <c r="BE125" s="225">
        <f t="shared" si="3017"/>
        <v>0</v>
      </c>
      <c r="BF125" s="226">
        <f t="shared" si="3018"/>
        <v>0</v>
      </c>
      <c r="BG125" s="137">
        <f t="shared" si="3019"/>
        <v>0</v>
      </c>
      <c r="BH125" s="227">
        <f t="shared" si="2995"/>
        <v>55.1</v>
      </c>
      <c r="BI125" s="138">
        <f t="shared" si="3020"/>
        <v>0</v>
      </c>
      <c r="BJ125" s="110">
        <f t="shared" si="3021"/>
        <v>0</v>
      </c>
      <c r="BK125" s="110"/>
      <c r="BL125" s="139"/>
      <c r="BM125" s="140" t="e">
        <f t="shared" si="3022"/>
        <v>#DIV/0!</v>
      </c>
      <c r="BN125" s="198">
        <f t="shared" ref="BN125" si="3186">BN38</f>
        <v>0</v>
      </c>
      <c r="BO125" s="225">
        <f t="shared" si="3023"/>
        <v>0</v>
      </c>
      <c r="BP125" s="226">
        <f t="shared" si="3024"/>
        <v>0</v>
      </c>
      <c r="BQ125" s="137">
        <f t="shared" si="3025"/>
        <v>0</v>
      </c>
      <c r="BR125" s="227">
        <f t="shared" si="2995"/>
        <v>54.14</v>
      </c>
      <c r="BS125" s="138">
        <f t="shared" si="3026"/>
        <v>0</v>
      </c>
      <c r="BT125" s="110">
        <f t="shared" si="3027"/>
        <v>0</v>
      </c>
      <c r="BU125" s="110"/>
      <c r="BV125" s="139"/>
      <c r="BW125" s="140" t="e">
        <f t="shared" si="3028"/>
        <v>#DIV/0!</v>
      </c>
      <c r="BX125" s="198">
        <f t="shared" ref="BX125" si="3187">BX38</f>
        <v>0</v>
      </c>
      <c r="BY125" s="225">
        <f t="shared" si="3029"/>
        <v>0</v>
      </c>
      <c r="BZ125" s="226">
        <f t="shared" si="3030"/>
        <v>0</v>
      </c>
      <c r="CA125" s="137">
        <f t="shared" si="3031"/>
        <v>0</v>
      </c>
      <c r="CB125" s="227">
        <f t="shared" si="2995"/>
        <v>51.74</v>
      </c>
      <c r="CC125" s="138">
        <f t="shared" si="3032"/>
        <v>0</v>
      </c>
      <c r="CD125" s="110">
        <f t="shared" si="3033"/>
        <v>0</v>
      </c>
      <c r="CE125" s="110"/>
      <c r="CF125" s="139"/>
      <c r="CG125" s="140" t="e">
        <f t="shared" si="3034"/>
        <v>#DIV/0!</v>
      </c>
      <c r="CH125" s="198">
        <f t="shared" ref="CH125" si="3188">CH38</f>
        <v>0</v>
      </c>
      <c r="CI125" s="225">
        <f t="shared" si="3036"/>
        <v>0</v>
      </c>
      <c r="CJ125" s="226">
        <f t="shared" si="3037"/>
        <v>0</v>
      </c>
      <c r="CK125" s="137">
        <f t="shared" si="3038"/>
        <v>0</v>
      </c>
      <c r="CL125" s="227">
        <f t="shared" si="3039"/>
        <v>46.92</v>
      </c>
      <c r="CM125" s="138">
        <f t="shared" si="3040"/>
        <v>0</v>
      </c>
      <c r="CN125" s="110">
        <f t="shared" si="3041"/>
        <v>0</v>
      </c>
      <c r="CO125" s="110"/>
      <c r="CP125" s="139"/>
      <c r="CQ125" s="140" t="e">
        <f t="shared" si="3042"/>
        <v>#DIV/0!</v>
      </c>
      <c r="CR125" s="198">
        <f t="shared" ref="CR125" si="3189">CR38</f>
        <v>0</v>
      </c>
      <c r="CS125" s="225">
        <f t="shared" si="3043"/>
        <v>0</v>
      </c>
      <c r="CT125" s="226">
        <f t="shared" si="3044"/>
        <v>0</v>
      </c>
      <c r="CU125" s="137">
        <f t="shared" si="3045"/>
        <v>0</v>
      </c>
      <c r="CV125" s="227">
        <f t="shared" si="3039"/>
        <v>49.61</v>
      </c>
      <c r="CW125" s="138">
        <f t="shared" si="3046"/>
        <v>0</v>
      </c>
      <c r="CX125" s="110">
        <f t="shared" si="3047"/>
        <v>0</v>
      </c>
      <c r="CY125" s="110"/>
      <c r="CZ125" s="139"/>
      <c r="DA125" s="140" t="e">
        <f t="shared" si="3048"/>
        <v>#DIV/0!</v>
      </c>
      <c r="DB125" s="198">
        <f t="shared" ref="DB125" si="3190">DB38</f>
        <v>0</v>
      </c>
      <c r="DC125" s="225">
        <f t="shared" si="3049"/>
        <v>0</v>
      </c>
      <c r="DD125" s="226">
        <f t="shared" si="3050"/>
        <v>0</v>
      </c>
      <c r="DE125" s="137">
        <f t="shared" si="3051"/>
        <v>0</v>
      </c>
      <c r="DF125" s="227">
        <f t="shared" si="3039"/>
        <v>52.57</v>
      </c>
      <c r="DG125" s="138">
        <f t="shared" si="3052"/>
        <v>0</v>
      </c>
      <c r="DH125" s="110">
        <f t="shared" si="3053"/>
        <v>0</v>
      </c>
      <c r="DI125" s="110"/>
      <c r="DJ125" s="139"/>
      <c r="DK125" s="140" t="e">
        <f t="shared" si="3054"/>
        <v>#DIV/0!</v>
      </c>
      <c r="DL125" s="198">
        <f t="shared" ref="DL125" si="3191">DL38</f>
        <v>0</v>
      </c>
      <c r="DM125" s="225">
        <f t="shared" si="3055"/>
        <v>0</v>
      </c>
      <c r="DN125" s="226">
        <f t="shared" si="3056"/>
        <v>0</v>
      </c>
      <c r="DO125" s="137">
        <f t="shared" si="3057"/>
        <v>0</v>
      </c>
      <c r="DP125" s="227">
        <f t="shared" si="3039"/>
        <v>55.25</v>
      </c>
      <c r="DQ125" s="138">
        <f t="shared" si="3058"/>
        <v>0</v>
      </c>
      <c r="DR125" s="110">
        <f t="shared" si="3059"/>
        <v>0</v>
      </c>
      <c r="DS125" s="110"/>
      <c r="DT125" s="139"/>
      <c r="DU125" s="140" t="e">
        <f t="shared" si="3060"/>
        <v>#DIV/0!</v>
      </c>
      <c r="DV125" s="198">
        <f t="shared" ref="DV125" si="3192">DV38</f>
        <v>0</v>
      </c>
      <c r="DW125" s="225">
        <f t="shared" si="3061"/>
        <v>0</v>
      </c>
      <c r="DX125" s="226">
        <f t="shared" si="3062"/>
        <v>0</v>
      </c>
      <c r="DY125" s="137">
        <f t="shared" si="3063"/>
        <v>0</v>
      </c>
      <c r="DZ125" s="227">
        <f t="shared" si="3039"/>
        <v>34.14</v>
      </c>
      <c r="EA125" s="138">
        <f t="shared" si="3064"/>
        <v>0</v>
      </c>
      <c r="EB125" s="110">
        <f t="shared" si="3065"/>
        <v>0</v>
      </c>
      <c r="EC125" s="110"/>
      <c r="ED125" s="139"/>
      <c r="EE125" s="140" t="e">
        <f t="shared" si="3066"/>
        <v>#DIV/0!</v>
      </c>
      <c r="EF125" s="198">
        <f t="shared" ref="EF125" si="3193">EF38</f>
        <v>0</v>
      </c>
      <c r="EG125" s="225">
        <f t="shared" si="3067"/>
        <v>0</v>
      </c>
      <c r="EH125" s="226">
        <f t="shared" si="3068"/>
        <v>0</v>
      </c>
      <c r="EI125" s="137">
        <f t="shared" si="3069"/>
        <v>0</v>
      </c>
      <c r="EJ125" s="227">
        <f t="shared" si="3039"/>
        <v>44.53</v>
      </c>
      <c r="EK125" s="138">
        <f t="shared" si="3070"/>
        <v>0</v>
      </c>
      <c r="EL125" s="110">
        <f t="shared" si="3071"/>
        <v>0</v>
      </c>
      <c r="EM125" s="110"/>
      <c r="EN125" s="139"/>
      <c r="EO125" s="140" t="e">
        <f t="shared" si="3072"/>
        <v>#DIV/0!</v>
      </c>
      <c r="EP125" s="198">
        <f t="shared" ref="EP125" si="3194">EP38</f>
        <v>0</v>
      </c>
      <c r="EQ125" s="225">
        <f t="shared" si="3073"/>
        <v>0</v>
      </c>
      <c r="ER125" s="226">
        <f t="shared" si="3074"/>
        <v>0</v>
      </c>
      <c r="ES125" s="137">
        <f t="shared" si="3075"/>
        <v>0</v>
      </c>
      <c r="ET125" s="227">
        <f t="shared" si="3039"/>
        <v>52.01</v>
      </c>
      <c r="EU125" s="138">
        <f t="shared" si="3076"/>
        <v>0</v>
      </c>
      <c r="EV125" s="110">
        <f t="shared" si="3077"/>
        <v>0</v>
      </c>
      <c r="EW125" s="110"/>
      <c r="EX125" s="139"/>
      <c r="EY125" s="140" t="e">
        <f t="shared" si="3078"/>
        <v>#DIV/0!</v>
      </c>
      <c r="EZ125" s="198">
        <f t="shared" ref="EZ125" si="3195">EZ38</f>
        <v>0</v>
      </c>
      <c r="FA125" s="225">
        <f t="shared" si="3080"/>
        <v>0</v>
      </c>
      <c r="FB125" s="226">
        <f t="shared" si="3081"/>
        <v>0</v>
      </c>
      <c r="FC125" s="137">
        <f t="shared" si="3082"/>
        <v>0</v>
      </c>
      <c r="FD125" s="227">
        <f t="shared" si="3083"/>
        <v>55.47</v>
      </c>
      <c r="FE125" s="138">
        <f t="shared" si="3084"/>
        <v>0</v>
      </c>
      <c r="FF125" s="110">
        <f t="shared" si="3085"/>
        <v>0</v>
      </c>
      <c r="FG125" s="110"/>
      <c r="FH125" s="139"/>
      <c r="FI125" s="140" t="e">
        <f t="shared" si="3086"/>
        <v>#DIV/0!</v>
      </c>
      <c r="FJ125" s="198">
        <f t="shared" ref="FJ125" si="3196">FJ38</f>
        <v>0</v>
      </c>
      <c r="FK125" s="225">
        <f t="shared" si="3087"/>
        <v>0</v>
      </c>
      <c r="FL125" s="226">
        <f t="shared" si="3088"/>
        <v>0</v>
      </c>
      <c r="FM125" s="137">
        <f t="shared" si="3089"/>
        <v>0</v>
      </c>
      <c r="FN125" s="227">
        <f t="shared" si="3083"/>
        <v>39.74</v>
      </c>
      <c r="FO125" s="138">
        <f t="shared" si="3090"/>
        <v>0</v>
      </c>
      <c r="FP125" s="110">
        <f t="shared" si="3091"/>
        <v>0</v>
      </c>
      <c r="FQ125" s="110"/>
      <c r="FR125" s="139"/>
      <c r="FS125" s="140" t="e">
        <f t="shared" si="3092"/>
        <v>#DIV/0!</v>
      </c>
      <c r="FT125" s="198">
        <f t="shared" ref="FT125" si="3197">FT38</f>
        <v>0</v>
      </c>
      <c r="FU125" s="225">
        <f t="shared" si="3093"/>
        <v>0</v>
      </c>
      <c r="FV125" s="226">
        <f t="shared" si="3094"/>
        <v>0</v>
      </c>
      <c r="FW125" s="137">
        <f t="shared" si="3095"/>
        <v>0</v>
      </c>
      <c r="FX125" s="227">
        <f t="shared" si="3083"/>
        <v>53.97</v>
      </c>
      <c r="FY125" s="138">
        <f t="shared" si="3096"/>
        <v>0</v>
      </c>
      <c r="FZ125" s="110">
        <f t="shared" si="3097"/>
        <v>0</v>
      </c>
      <c r="GA125" s="110"/>
      <c r="GB125" s="139"/>
      <c r="GC125" s="140" t="e">
        <f t="shared" si="3098"/>
        <v>#DIV/0!</v>
      </c>
      <c r="GD125" s="198">
        <f t="shared" ref="GD125" si="3198">GD38</f>
        <v>0</v>
      </c>
      <c r="GE125" s="225">
        <f t="shared" si="3099"/>
        <v>0</v>
      </c>
      <c r="GF125" s="226">
        <f t="shared" si="3100"/>
        <v>0</v>
      </c>
      <c r="GG125" s="137">
        <f t="shared" si="3101"/>
        <v>0</v>
      </c>
      <c r="GH125" s="227">
        <f t="shared" si="3083"/>
        <v>54.63</v>
      </c>
      <c r="GI125" s="138">
        <f t="shared" si="3102"/>
        <v>0</v>
      </c>
      <c r="GJ125" s="110">
        <f t="shared" si="3103"/>
        <v>0</v>
      </c>
      <c r="GK125" s="110"/>
      <c r="GL125" s="139"/>
      <c r="GM125" s="140" t="e">
        <f t="shared" si="3104"/>
        <v>#DIV/0!</v>
      </c>
      <c r="GN125" s="198">
        <f t="shared" ref="GN125" si="3199">GN38</f>
        <v>0</v>
      </c>
      <c r="GO125" s="225">
        <f t="shared" si="3105"/>
        <v>0</v>
      </c>
      <c r="GP125" s="226">
        <f t="shared" si="3106"/>
        <v>0</v>
      </c>
      <c r="GQ125" s="137">
        <f t="shared" si="3107"/>
        <v>0</v>
      </c>
      <c r="GR125" s="227">
        <f t="shared" si="3083"/>
        <v>52.13</v>
      </c>
      <c r="GS125" s="138">
        <f t="shared" si="3108"/>
        <v>0</v>
      </c>
      <c r="GT125" s="110">
        <f t="shared" si="3109"/>
        <v>0</v>
      </c>
      <c r="GU125" s="110"/>
      <c r="GV125" s="139"/>
      <c r="GW125" s="140" t="e">
        <f t="shared" si="3110"/>
        <v>#DIV/0!</v>
      </c>
      <c r="GX125" s="198">
        <f t="shared" ref="GX125" si="3200">GX38</f>
        <v>0</v>
      </c>
      <c r="GY125" s="225">
        <f t="shared" si="3111"/>
        <v>0</v>
      </c>
      <c r="GZ125" s="226">
        <f t="shared" si="3112"/>
        <v>0</v>
      </c>
      <c r="HA125" s="137">
        <f t="shared" si="3113"/>
        <v>0</v>
      </c>
      <c r="HB125" s="227">
        <f t="shared" si="3083"/>
        <v>42.58</v>
      </c>
      <c r="HC125" s="138">
        <f t="shared" si="3114"/>
        <v>0</v>
      </c>
      <c r="HD125" s="110">
        <f t="shared" si="3115"/>
        <v>0</v>
      </c>
      <c r="HE125" s="110"/>
      <c r="HF125" s="139"/>
      <c r="HG125" s="140" t="e">
        <f t="shared" si="3116"/>
        <v>#DIV/0!</v>
      </c>
      <c r="HH125" s="198">
        <f t="shared" ref="HH125" si="3201">HH38</f>
        <v>0</v>
      </c>
      <c r="HI125" s="225">
        <f t="shared" si="3117"/>
        <v>0</v>
      </c>
      <c r="HJ125" s="226">
        <f t="shared" si="3118"/>
        <v>0</v>
      </c>
      <c r="HK125" s="137">
        <f t="shared" si="3119"/>
        <v>0</v>
      </c>
      <c r="HL125" s="227">
        <f t="shared" si="3083"/>
        <v>49.58</v>
      </c>
      <c r="HM125" s="138">
        <f t="shared" si="3120"/>
        <v>0</v>
      </c>
      <c r="HN125" s="110">
        <f t="shared" si="3121"/>
        <v>0</v>
      </c>
      <c r="HO125" s="110"/>
      <c r="HP125" s="139"/>
      <c r="HQ125" s="140" t="e">
        <f t="shared" si="3122"/>
        <v>#DIV/0!</v>
      </c>
      <c r="HR125" s="198">
        <f t="shared" ref="HR125" si="3202">HR38</f>
        <v>0</v>
      </c>
      <c r="HS125" s="225">
        <f t="shared" si="3124"/>
        <v>0</v>
      </c>
      <c r="HT125" s="226">
        <f t="shared" si="3125"/>
        <v>0</v>
      </c>
      <c r="HU125" s="137">
        <f t="shared" si="3126"/>
        <v>0</v>
      </c>
      <c r="HV125" s="227">
        <f t="shared" si="3127"/>
        <v>52.62</v>
      </c>
      <c r="HW125" s="138">
        <f t="shared" si="3128"/>
        <v>0</v>
      </c>
      <c r="HX125" s="110">
        <f t="shared" si="3129"/>
        <v>0</v>
      </c>
      <c r="HY125" s="110"/>
      <c r="HZ125" s="139"/>
      <c r="IA125" s="140" t="e">
        <f t="shared" si="3130"/>
        <v>#DIV/0!</v>
      </c>
      <c r="IB125" s="198">
        <f t="shared" ref="IB125" si="3203">IB38</f>
        <v>0</v>
      </c>
      <c r="IC125" s="225">
        <f t="shared" si="3131"/>
        <v>0</v>
      </c>
      <c r="ID125" s="226">
        <f t="shared" si="3132"/>
        <v>0</v>
      </c>
      <c r="IE125" s="137">
        <f t="shared" si="3133"/>
        <v>0</v>
      </c>
      <c r="IF125" s="227">
        <f t="shared" si="3127"/>
        <v>50</v>
      </c>
      <c r="IG125" s="138">
        <f t="shared" si="3134"/>
        <v>0</v>
      </c>
      <c r="IH125" s="110">
        <f t="shared" si="3135"/>
        <v>0</v>
      </c>
      <c r="II125" s="110"/>
      <c r="IJ125" s="139"/>
      <c r="IK125" s="140" t="e">
        <f t="shared" si="3136"/>
        <v>#DIV/0!</v>
      </c>
      <c r="IL125" s="198">
        <f t="shared" ref="IL125" si="3204">IL38</f>
        <v>0</v>
      </c>
      <c r="IM125" s="225">
        <f t="shared" si="3137"/>
        <v>0</v>
      </c>
      <c r="IN125" s="226">
        <f t="shared" si="3138"/>
        <v>0</v>
      </c>
      <c r="IO125" s="137">
        <f t="shared" si="3139"/>
        <v>0</v>
      </c>
      <c r="IP125" s="227">
        <f t="shared" si="3127"/>
        <v>54.39</v>
      </c>
      <c r="IQ125" s="138">
        <f t="shared" si="3140"/>
        <v>0</v>
      </c>
      <c r="IR125" s="110">
        <f t="shared" si="3141"/>
        <v>0</v>
      </c>
      <c r="IS125" s="110"/>
      <c r="IT125" s="139"/>
      <c r="IU125" s="140" t="e">
        <f t="shared" si="3142"/>
        <v>#DIV/0!</v>
      </c>
      <c r="IV125" s="198">
        <f t="shared" ref="IV125" si="3205">IV38</f>
        <v>0</v>
      </c>
      <c r="IW125" s="225">
        <f t="shared" si="3143"/>
        <v>0</v>
      </c>
      <c r="IX125" s="226">
        <f t="shared" si="3144"/>
        <v>0</v>
      </c>
      <c r="IY125" s="137">
        <f t="shared" si="3145"/>
        <v>0</v>
      </c>
      <c r="IZ125" s="227">
        <f t="shared" si="3127"/>
        <v>54.71</v>
      </c>
      <c r="JA125" s="138">
        <f t="shared" si="3146"/>
        <v>0</v>
      </c>
      <c r="JB125" s="110">
        <f t="shared" si="3147"/>
        <v>0</v>
      </c>
      <c r="JC125" s="110"/>
      <c r="JD125" s="139"/>
      <c r="JE125" s="140" t="e">
        <f t="shared" si="3148"/>
        <v>#DIV/0!</v>
      </c>
      <c r="JF125" s="198">
        <f t="shared" ref="JF125" si="3206">JF38</f>
        <v>0</v>
      </c>
      <c r="JG125" s="225">
        <f t="shared" si="3149"/>
        <v>0</v>
      </c>
      <c r="JH125" s="226">
        <f t="shared" si="3150"/>
        <v>0</v>
      </c>
      <c r="JI125" s="137">
        <f t="shared" si="3151"/>
        <v>0</v>
      </c>
      <c r="JJ125" s="227">
        <f t="shared" si="3127"/>
        <v>43.31</v>
      </c>
      <c r="JK125" s="138">
        <f t="shared" si="3152"/>
        <v>0</v>
      </c>
      <c r="JL125" s="110">
        <f t="shared" si="3153"/>
        <v>0</v>
      </c>
      <c r="JM125" s="110"/>
      <c r="JN125" s="139"/>
      <c r="JO125" s="140" t="e">
        <f t="shared" si="3154"/>
        <v>#DIV/0!</v>
      </c>
      <c r="JP125" s="198">
        <f t="shared" ref="JP125" si="3207">JP38</f>
        <v>0</v>
      </c>
      <c r="JQ125" s="225">
        <f t="shared" si="3155"/>
        <v>0</v>
      </c>
      <c r="JR125" s="226">
        <f t="shared" si="3156"/>
        <v>0</v>
      </c>
      <c r="JS125" s="137">
        <f t="shared" si="3157"/>
        <v>0</v>
      </c>
      <c r="JT125" s="227">
        <f t="shared" si="3127"/>
        <v>57.05</v>
      </c>
      <c r="JU125" s="138">
        <f t="shared" si="3158"/>
        <v>0</v>
      </c>
      <c r="JV125" s="110">
        <f t="shared" si="3159"/>
        <v>0</v>
      </c>
      <c r="JW125" s="110"/>
      <c r="JX125" s="139"/>
      <c r="JY125" s="140" t="e">
        <f t="shared" si="3160"/>
        <v>#DIV/0!</v>
      </c>
      <c r="JZ125" s="198">
        <f t="shared" ref="JZ125" si="3208">JZ38</f>
        <v>0</v>
      </c>
      <c r="KA125" s="225">
        <f t="shared" si="3161"/>
        <v>0</v>
      </c>
      <c r="KB125" s="226">
        <f t="shared" si="3162"/>
        <v>0</v>
      </c>
      <c r="KC125" s="137">
        <f t="shared" si="3163"/>
        <v>0</v>
      </c>
      <c r="KD125" s="227">
        <f t="shared" si="3127"/>
        <v>51.65</v>
      </c>
      <c r="KE125" s="138">
        <f t="shared" si="3164"/>
        <v>0</v>
      </c>
      <c r="KF125" s="110">
        <f t="shared" si="3165"/>
        <v>0</v>
      </c>
      <c r="KG125" s="110"/>
      <c r="KH125" s="139"/>
      <c r="KI125" s="140" t="e">
        <f t="shared" si="3166"/>
        <v>#DIV/0!</v>
      </c>
      <c r="KJ125" s="198">
        <f t="shared" ref="KJ125" si="3209">KJ38</f>
        <v>0</v>
      </c>
      <c r="KK125" s="225">
        <f t="shared" si="3168"/>
        <v>0</v>
      </c>
      <c r="KL125" s="226">
        <f t="shared" si="3169"/>
        <v>0</v>
      </c>
      <c r="KM125" s="137">
        <f t="shared" si="3170"/>
        <v>0</v>
      </c>
      <c r="KN125" s="227">
        <f t="shared" si="3171"/>
        <v>51.78</v>
      </c>
      <c r="KO125" s="138">
        <f t="shared" si="3172"/>
        <v>0</v>
      </c>
      <c r="KP125" s="110">
        <f t="shared" si="3173"/>
        <v>0</v>
      </c>
      <c r="KQ125" s="110"/>
      <c r="KR125" s="139"/>
      <c r="KS125" s="140" t="e">
        <f t="shared" si="3174"/>
        <v>#DIV/0!</v>
      </c>
      <c r="KT125" s="198">
        <f t="shared" ref="KT125" si="3210">KT38</f>
        <v>0</v>
      </c>
      <c r="KU125" s="225">
        <f t="shared" si="3175"/>
        <v>0</v>
      </c>
      <c r="KV125" s="226">
        <f t="shared" si="3176"/>
        <v>0</v>
      </c>
      <c r="KW125" s="137">
        <f t="shared" si="3177"/>
        <v>0</v>
      </c>
      <c r="KX125" s="227">
        <f t="shared" si="3171"/>
        <v>55.65</v>
      </c>
      <c r="KY125" s="138">
        <f t="shared" si="3178"/>
        <v>0</v>
      </c>
      <c r="KZ125" s="110">
        <f t="shared" si="3179"/>
        <v>0</v>
      </c>
      <c r="LA125" s="110"/>
      <c r="LB125" s="139"/>
      <c r="LC125" s="140" t="e">
        <f t="shared" si="3180"/>
        <v>#DIV/0!</v>
      </c>
      <c r="LD125" s="197">
        <f t="shared" si="2789"/>
        <v>0</v>
      </c>
      <c r="LE125" s="225">
        <f t="shared" si="2790"/>
        <v>0</v>
      </c>
      <c r="LF125" s="226">
        <f t="shared" si="2791"/>
        <v>0</v>
      </c>
      <c r="LG125" s="137">
        <f t="shared" si="2792"/>
        <v>0</v>
      </c>
      <c r="LH125" s="227">
        <f t="shared" si="2793"/>
        <v>50.24</v>
      </c>
      <c r="LI125" s="138">
        <f t="shared" si="2794"/>
        <v>0</v>
      </c>
      <c r="LJ125" s="110">
        <f t="shared" si="2795"/>
        <v>0</v>
      </c>
      <c r="LK125" s="110"/>
      <c r="LL125" s="139"/>
    </row>
    <row r="126" spans="1:324" x14ac:dyDescent="0.25">
      <c r="A126" s="248" t="s">
        <v>45</v>
      </c>
      <c r="B126" s="249" t="s">
        <v>731</v>
      </c>
      <c r="C126" s="14"/>
      <c r="D126" s="14"/>
      <c r="E126" s="4" t="s">
        <v>32</v>
      </c>
      <c r="F126" s="18">
        <f>SUM(F129:F154)</f>
        <v>602</v>
      </c>
      <c r="G126" s="4"/>
      <c r="H126" s="102">
        <v>930</v>
      </c>
      <c r="I126" s="137">
        <f>IF(F126&gt;0,H126/F126,0)</f>
        <v>1.5448504999999999</v>
      </c>
      <c r="J126" s="110">
        <f>IF(M126&gt;0,M126/H126,0)</f>
        <v>19.559999999999999</v>
      </c>
      <c r="K126" s="138">
        <f>I126*J126</f>
        <v>30.217279999999999</v>
      </c>
      <c r="L126" s="110">
        <f>K126*F126</f>
        <v>18190.8</v>
      </c>
      <c r="M126" s="102">
        <f>22645.5+11327.4-31572/2</f>
        <v>18186.900000000001</v>
      </c>
      <c r="N126" s="139">
        <f>M126-L126</f>
        <v>-3.9</v>
      </c>
      <c r="O126" s="140">
        <f>K126/$LI126</f>
        <v>0.48704999999999998</v>
      </c>
      <c r="P126" s="18">
        <f t="shared" ref="P126" si="3211">SUM(P129:P154)</f>
        <v>1096</v>
      </c>
      <c r="Q126" s="4"/>
      <c r="R126" s="102">
        <v>1610</v>
      </c>
      <c r="S126" s="137">
        <f t="shared" si="2994"/>
        <v>1.4689781</v>
      </c>
      <c r="T126" s="110">
        <f t="shared" ref="T126" si="3212">IF(W126&gt;0,W126/R126,0)</f>
        <v>14.76</v>
      </c>
      <c r="U126" s="138">
        <f t="shared" si="2996"/>
        <v>21.682120000000001</v>
      </c>
      <c r="V126" s="110">
        <f t="shared" si="2997"/>
        <v>23763.599999999999</v>
      </c>
      <c r="W126" s="102">
        <f>39203.5+19609.8-70097.82/2</f>
        <v>23764.39</v>
      </c>
      <c r="X126" s="139">
        <f t="shared" ref="X126" si="3213">W126-V126</f>
        <v>0.79</v>
      </c>
      <c r="Y126" s="140">
        <f t="shared" si="2998"/>
        <v>0.34948000000000001</v>
      </c>
      <c r="Z126" s="18">
        <f t="shared" ref="Z126" si="3214">SUM(Z129:Z154)</f>
        <v>864</v>
      </c>
      <c r="AA126" s="4"/>
      <c r="AB126" s="102">
        <v>1290</v>
      </c>
      <c r="AC126" s="137">
        <f t="shared" si="3001"/>
        <v>1.4930555599999999</v>
      </c>
      <c r="AD126" s="110">
        <f t="shared" ref="AD126" si="3215">IF(AG126&gt;0,AG126/AB126,0)</f>
        <v>33.520000000000003</v>
      </c>
      <c r="AE126" s="138">
        <f t="shared" si="3002"/>
        <v>50.047220000000003</v>
      </c>
      <c r="AF126" s="110">
        <f t="shared" si="3003"/>
        <v>43240.800000000003</v>
      </c>
      <c r="AG126" s="102">
        <f>31411.5+15712.2-7763/2</f>
        <v>43242.2</v>
      </c>
      <c r="AH126" s="139">
        <f t="shared" ref="AH126" si="3216">AG126-AF126</f>
        <v>1.4</v>
      </c>
      <c r="AI126" s="140">
        <f t="shared" si="3004"/>
        <v>0.80667999999999995</v>
      </c>
      <c r="AJ126" s="18">
        <f t="shared" ref="AJ126" si="3217">SUM(AJ129:AJ154)</f>
        <v>665</v>
      </c>
      <c r="AK126" s="4"/>
      <c r="AL126" s="102">
        <v>1141</v>
      </c>
      <c r="AM126" s="137">
        <f t="shared" si="3007"/>
        <v>1.71578947</v>
      </c>
      <c r="AN126" s="110">
        <f t="shared" ref="AN126" si="3218">IF(AQ126&gt;0,AQ126/AL126,0)</f>
        <v>33.07</v>
      </c>
      <c r="AO126" s="138">
        <f t="shared" si="3008"/>
        <v>56.741160000000001</v>
      </c>
      <c r="AP126" s="110">
        <f t="shared" si="3009"/>
        <v>37732.870000000003</v>
      </c>
      <c r="AQ126" s="102">
        <f>27783.35+13897.38-7893/2</f>
        <v>37734.230000000003</v>
      </c>
      <c r="AR126" s="139">
        <f t="shared" ref="AR126" si="3219">AQ126-AP126</f>
        <v>1.36</v>
      </c>
      <c r="AS126" s="140">
        <f t="shared" si="3010"/>
        <v>0.91456999999999999</v>
      </c>
      <c r="AT126" s="18">
        <f t="shared" ref="AT126" si="3220">SUM(AT129:AT154)</f>
        <v>951</v>
      </c>
      <c r="AU126" s="4"/>
      <c r="AV126" s="102">
        <v>910</v>
      </c>
      <c r="AW126" s="137">
        <f t="shared" si="3013"/>
        <v>0.95688748999999995</v>
      </c>
      <c r="AX126" s="110">
        <f t="shared" ref="AX126" si="3221">IF(BA126&gt;0,BA126/AV126,0)</f>
        <v>28.2</v>
      </c>
      <c r="AY126" s="138">
        <f t="shared" si="3014"/>
        <v>26.98423</v>
      </c>
      <c r="AZ126" s="110">
        <f t="shared" si="3015"/>
        <v>25662</v>
      </c>
      <c r="BA126" s="102">
        <f>22158.5+11083.8-15154.56/2</f>
        <v>25665.02</v>
      </c>
      <c r="BB126" s="139">
        <f t="shared" ref="BB126" si="3222">BA126-AZ126</f>
        <v>3.02</v>
      </c>
      <c r="BC126" s="140">
        <f t="shared" si="3016"/>
        <v>0.43493999999999999</v>
      </c>
      <c r="BD126" s="18">
        <f t="shared" ref="BD126" si="3223">SUM(BD129:BD154)</f>
        <v>744</v>
      </c>
      <c r="BE126" s="4"/>
      <c r="BF126" s="102">
        <v>1420</v>
      </c>
      <c r="BG126" s="137">
        <f t="shared" si="3019"/>
        <v>1.9086021500000001</v>
      </c>
      <c r="BH126" s="110">
        <f t="shared" ref="BH126" si="3224">IF(BK126&gt;0,BK126/BF126,0)</f>
        <v>33.75</v>
      </c>
      <c r="BI126" s="138">
        <f t="shared" si="3020"/>
        <v>64.415319999999994</v>
      </c>
      <c r="BJ126" s="110">
        <f t="shared" si="3021"/>
        <v>47925</v>
      </c>
      <c r="BK126" s="102">
        <f>34577+17295.6-7893/2</f>
        <v>47926.1</v>
      </c>
      <c r="BL126" s="139">
        <f t="shared" ref="BL126" si="3225">BK126-BJ126</f>
        <v>1.1000000000000001</v>
      </c>
      <c r="BM126" s="140">
        <f t="shared" si="3022"/>
        <v>1.03827</v>
      </c>
      <c r="BN126" s="18">
        <f t="shared" ref="BN126" si="3226">SUM(BN129:BN154)</f>
        <v>617</v>
      </c>
      <c r="BO126" s="4"/>
      <c r="BP126" s="102">
        <v>1220</v>
      </c>
      <c r="BQ126" s="137">
        <f t="shared" si="3025"/>
        <v>1.9773095599999999</v>
      </c>
      <c r="BR126" s="110">
        <f t="shared" ref="BR126" si="3227">IF(BU126&gt;0,BU126/BP126,0)</f>
        <v>32.79</v>
      </c>
      <c r="BS126" s="138">
        <f t="shared" si="3026"/>
        <v>64.835980000000006</v>
      </c>
      <c r="BT126" s="110">
        <f t="shared" si="3027"/>
        <v>40003.800000000003</v>
      </c>
      <c r="BU126" s="102">
        <f>29707+14859.6-9120/2</f>
        <v>40006.6</v>
      </c>
      <c r="BV126" s="139">
        <f t="shared" ref="BV126" si="3228">BU126-BT126</f>
        <v>2.8</v>
      </c>
      <c r="BW126" s="140">
        <f t="shared" si="3028"/>
        <v>1.04505</v>
      </c>
      <c r="BX126" s="18">
        <f t="shared" ref="BX126" si="3229">SUM(BX129:BX154)</f>
        <v>788</v>
      </c>
      <c r="BY126" s="4"/>
      <c r="BZ126" s="102">
        <v>1470</v>
      </c>
      <c r="CA126" s="137">
        <f t="shared" si="3031"/>
        <v>1.86548223</v>
      </c>
      <c r="CB126" s="110">
        <f t="shared" ref="CB126" si="3230">IF(CE126&gt;0,CE126/BZ126,0)</f>
        <v>30.39</v>
      </c>
      <c r="CC126" s="138">
        <f t="shared" si="3032"/>
        <v>56.692</v>
      </c>
      <c r="CD126" s="110">
        <f t="shared" si="3033"/>
        <v>44673.3</v>
      </c>
      <c r="CE126" s="102">
        <f>35794.5+17904.6-18066/2</f>
        <v>44666.1</v>
      </c>
      <c r="CF126" s="139">
        <f t="shared" ref="CF126" si="3231">CE126-CD126</f>
        <v>-7.2</v>
      </c>
      <c r="CG126" s="140">
        <f t="shared" si="3034"/>
        <v>0.91378000000000004</v>
      </c>
      <c r="CH126" s="18">
        <f t="shared" ref="CH126" si="3232">SUM(CH129:CH154)</f>
        <v>924</v>
      </c>
      <c r="CI126" s="4"/>
      <c r="CJ126" s="102">
        <v>2340</v>
      </c>
      <c r="CK126" s="137">
        <f t="shared" si="3038"/>
        <v>2.5324675299999999</v>
      </c>
      <c r="CL126" s="110">
        <f t="shared" ref="CL126" si="3233">IF(CO126&gt;0,CO126/CJ126,0)</f>
        <v>25.57</v>
      </c>
      <c r="CM126" s="138">
        <f t="shared" si="3040"/>
        <v>64.755189999999999</v>
      </c>
      <c r="CN126" s="110">
        <f t="shared" si="3041"/>
        <v>59833.8</v>
      </c>
      <c r="CO126" s="102">
        <f>56979+28501.2-51304.5/2</f>
        <v>59827.95</v>
      </c>
      <c r="CP126" s="139">
        <f t="shared" ref="CP126" si="3234">CO126-CN126</f>
        <v>-5.85</v>
      </c>
      <c r="CQ126" s="140">
        <f t="shared" si="3042"/>
        <v>1.04375</v>
      </c>
      <c r="CR126" s="18">
        <f t="shared" ref="CR126" si="3235">SUM(CR129:CR154)</f>
        <v>744</v>
      </c>
      <c r="CS126" s="4"/>
      <c r="CT126" s="102">
        <v>1201</v>
      </c>
      <c r="CU126" s="137">
        <f t="shared" si="3045"/>
        <v>1.6142473100000001</v>
      </c>
      <c r="CV126" s="110">
        <f t="shared" ref="CV126" si="3236">IF(CY126&gt;0,CY126/CT126,0)</f>
        <v>28.26</v>
      </c>
      <c r="CW126" s="138">
        <f t="shared" si="3046"/>
        <v>45.618630000000003</v>
      </c>
      <c r="CX126" s="110">
        <f t="shared" si="3047"/>
        <v>33940.26</v>
      </c>
      <c r="CY126" s="102">
        <f>29244.35+14628.18-19872.6/2</f>
        <v>33936.230000000003</v>
      </c>
      <c r="CZ126" s="139">
        <f t="shared" ref="CZ126" si="3237">CY126-CX126</f>
        <v>-4.03</v>
      </c>
      <c r="DA126" s="140">
        <f t="shared" si="3048"/>
        <v>0.73529999999999995</v>
      </c>
      <c r="DB126" s="18">
        <f t="shared" ref="DB126" si="3238">SUM(DB129:DB154)</f>
        <v>825</v>
      </c>
      <c r="DC126" s="4"/>
      <c r="DD126" s="102">
        <v>1114</v>
      </c>
      <c r="DE126" s="137">
        <f t="shared" si="3051"/>
        <v>1.3503030300000001</v>
      </c>
      <c r="DF126" s="110">
        <f t="shared" ref="DF126" si="3239">IF(DI126&gt;0,DI126/DD126,0)</f>
        <v>31.22</v>
      </c>
      <c r="DG126" s="138">
        <f t="shared" si="3052"/>
        <v>42.156460000000003</v>
      </c>
      <c r="DH126" s="110">
        <f t="shared" si="3053"/>
        <v>34779.08</v>
      </c>
      <c r="DI126" s="102">
        <f>27125.9+13568.52-11839.5/2</f>
        <v>34774.67</v>
      </c>
      <c r="DJ126" s="139">
        <f t="shared" ref="DJ126" si="3240">DI126-DH126</f>
        <v>-4.41</v>
      </c>
      <c r="DK126" s="140">
        <f t="shared" si="3054"/>
        <v>0.67949000000000004</v>
      </c>
      <c r="DL126" s="18">
        <f t="shared" ref="DL126" si="3241">SUM(DL129:DL154)</f>
        <v>283</v>
      </c>
      <c r="DM126" s="4"/>
      <c r="DN126" s="102">
        <v>750</v>
      </c>
      <c r="DO126" s="137">
        <f t="shared" si="3057"/>
        <v>2.65017668</v>
      </c>
      <c r="DP126" s="110">
        <f t="shared" ref="DP126" si="3242">IF(DS126&gt;0,DS126/DN126,0)</f>
        <v>33.9</v>
      </c>
      <c r="DQ126" s="138">
        <f t="shared" si="3058"/>
        <v>89.840990000000005</v>
      </c>
      <c r="DR126" s="110">
        <f t="shared" si="3059"/>
        <v>25425</v>
      </c>
      <c r="DS126" s="102">
        <f>18262.5+9135-3946.5/2</f>
        <v>25424.25</v>
      </c>
      <c r="DT126" s="139">
        <f t="shared" ref="DT126" si="3243">DS126-DR126</f>
        <v>-0.75</v>
      </c>
      <c r="DU126" s="140">
        <f t="shared" si="3060"/>
        <v>1.4480900000000001</v>
      </c>
      <c r="DV126" s="18">
        <f t="shared" ref="DV126" si="3244">SUM(DV129:DV154)</f>
        <v>878</v>
      </c>
      <c r="DW126" s="4"/>
      <c r="DX126" s="102">
        <v>1330</v>
      </c>
      <c r="DY126" s="137">
        <f t="shared" si="3063"/>
        <v>1.51480638</v>
      </c>
      <c r="DZ126" s="110">
        <f t="shared" ref="DZ126" si="3245">IF(EC126&gt;0,EC126/DX126,0)</f>
        <v>12.79</v>
      </c>
      <c r="EA126" s="138">
        <f t="shared" si="3064"/>
        <v>19.374369999999999</v>
      </c>
      <c r="EB126" s="110">
        <f t="shared" si="3065"/>
        <v>17010.7</v>
      </c>
      <c r="EC126" s="102">
        <f>32385.5+16199.4-63144/2</f>
        <v>17012.900000000001</v>
      </c>
      <c r="ED126" s="139">
        <f t="shared" ref="ED126" si="3246">EC126-EB126</f>
        <v>2.2000000000000002</v>
      </c>
      <c r="EE126" s="140">
        <f t="shared" si="3066"/>
        <v>0.31228</v>
      </c>
      <c r="EF126" s="18">
        <f t="shared" ref="EF126" si="3247">SUM(EF129:EF154)</f>
        <v>939</v>
      </c>
      <c r="EG126" s="4"/>
      <c r="EH126" s="102">
        <v>920</v>
      </c>
      <c r="EI126" s="137">
        <f t="shared" si="3069"/>
        <v>0.97976571000000001</v>
      </c>
      <c r="EJ126" s="110">
        <f t="shared" ref="EJ126" si="3248">IF(EM126&gt;0,EM126/EH126,0)</f>
        <v>23.18</v>
      </c>
      <c r="EK126" s="138">
        <f t="shared" si="3070"/>
        <v>22.71097</v>
      </c>
      <c r="EL126" s="110">
        <f t="shared" si="3071"/>
        <v>21325.599999999999</v>
      </c>
      <c r="EM126" s="102">
        <f>22402+11205.6-24570/2</f>
        <v>21322.6</v>
      </c>
      <c r="EN126" s="139">
        <f t="shared" ref="EN126" si="3249">EM126-EL126</f>
        <v>-3</v>
      </c>
      <c r="EO126" s="140">
        <f t="shared" si="3072"/>
        <v>0.36606</v>
      </c>
      <c r="EP126" s="18">
        <f t="shared" ref="EP126" si="3250">SUM(EP129:EP154)</f>
        <v>943</v>
      </c>
      <c r="EQ126" s="4"/>
      <c r="ER126" s="102">
        <v>2180</v>
      </c>
      <c r="ES126" s="137">
        <f t="shared" si="3075"/>
        <v>2.3117709400000002</v>
      </c>
      <c r="ET126" s="110">
        <f t="shared" ref="ET126" si="3251">IF(EW126&gt;0,EW126/ER126,0)</f>
        <v>30.66</v>
      </c>
      <c r="EU126" s="138">
        <f t="shared" si="3076"/>
        <v>70.878900000000002</v>
      </c>
      <c r="EV126" s="110">
        <f t="shared" si="3077"/>
        <v>66838.8</v>
      </c>
      <c r="EW126" s="102">
        <f>53083+26552.4-25578/2</f>
        <v>66846.399999999994</v>
      </c>
      <c r="EX126" s="139">
        <f t="shared" ref="EX126" si="3252">EW126-EV126</f>
        <v>7.6</v>
      </c>
      <c r="EY126" s="140">
        <f t="shared" si="3078"/>
        <v>1.14245</v>
      </c>
      <c r="EZ126" s="18">
        <f t="shared" ref="EZ126" si="3253">SUM(EZ129:EZ154)</f>
        <v>1117</v>
      </c>
      <c r="FA126" s="4"/>
      <c r="FB126" s="102">
        <v>1800</v>
      </c>
      <c r="FC126" s="137">
        <f t="shared" si="3082"/>
        <v>1.6114592700000001</v>
      </c>
      <c r="FD126" s="110">
        <f t="shared" ref="FD126" si="3254">IF(FG126&gt;0,FG126/FB126,0)</f>
        <v>34.119999999999997</v>
      </c>
      <c r="FE126" s="138">
        <f t="shared" si="3084"/>
        <v>54.982990000000001</v>
      </c>
      <c r="FF126" s="110">
        <f t="shared" si="3085"/>
        <v>61416</v>
      </c>
      <c r="FG126" s="102">
        <f>43830+21924-8682.3/2</f>
        <v>61412.85</v>
      </c>
      <c r="FH126" s="139">
        <f t="shared" ref="FH126" si="3255">FG126-FF126</f>
        <v>-3.15</v>
      </c>
      <c r="FI126" s="140">
        <f t="shared" si="3086"/>
        <v>0.88624000000000003</v>
      </c>
      <c r="FJ126" s="18">
        <f t="shared" ref="FJ126" si="3256">SUM(FJ129:FJ154)</f>
        <v>1022</v>
      </c>
      <c r="FK126" s="4"/>
      <c r="FL126" s="102">
        <v>1720</v>
      </c>
      <c r="FM126" s="137">
        <f t="shared" si="3089"/>
        <v>1.6829745599999999</v>
      </c>
      <c r="FN126" s="110">
        <f t="shared" ref="FN126" si="3257">IF(FQ126&gt;0,FQ126/FL126,0)</f>
        <v>18.39</v>
      </c>
      <c r="FO126" s="138">
        <f t="shared" si="3090"/>
        <v>30.9499</v>
      </c>
      <c r="FP126" s="110">
        <f t="shared" si="3091"/>
        <v>31630.799999999999</v>
      </c>
      <c r="FQ126" s="102">
        <f>41882+20949.6-62400/2</f>
        <v>31631.599999999999</v>
      </c>
      <c r="FR126" s="139">
        <f t="shared" ref="FR126" si="3258">FQ126-FP126</f>
        <v>0.8</v>
      </c>
      <c r="FS126" s="140">
        <f t="shared" si="3092"/>
        <v>0.49886000000000003</v>
      </c>
      <c r="FT126" s="18">
        <f t="shared" ref="FT126" si="3259">SUM(FT129:FT154)</f>
        <v>803</v>
      </c>
      <c r="FU126" s="4"/>
      <c r="FV126" s="102">
        <v>1424</v>
      </c>
      <c r="FW126" s="137">
        <f t="shared" si="3095"/>
        <v>1.7733499399999999</v>
      </c>
      <c r="FX126" s="110">
        <f t="shared" ref="FX126" si="3260">IF(GA126&gt;0,GA126/FV126,0)</f>
        <v>32.619999999999997</v>
      </c>
      <c r="FY126" s="138">
        <f t="shared" si="3096"/>
        <v>57.846679999999999</v>
      </c>
      <c r="FZ126" s="110">
        <f t="shared" si="3097"/>
        <v>46450.879999999997</v>
      </c>
      <c r="GA126" s="102">
        <f>34674.4+17344.32-11130/2</f>
        <v>46453.72</v>
      </c>
      <c r="GB126" s="139">
        <f t="shared" ref="GB126" si="3261">GA126-FZ126</f>
        <v>2.84</v>
      </c>
      <c r="GC126" s="140">
        <f t="shared" si="3098"/>
        <v>0.93239000000000005</v>
      </c>
      <c r="GD126" s="18">
        <f t="shared" ref="GD126" si="3262">SUM(GD129:GD154)</f>
        <v>512</v>
      </c>
      <c r="GE126" s="4"/>
      <c r="GF126" s="102">
        <v>860</v>
      </c>
      <c r="GG126" s="137">
        <f t="shared" si="3101"/>
        <v>1.6796875</v>
      </c>
      <c r="GH126" s="110">
        <f t="shared" ref="GH126" si="3263">IF(GK126&gt;0,GK126/GF126,0)</f>
        <v>33.28</v>
      </c>
      <c r="GI126" s="138">
        <f t="shared" si="3102"/>
        <v>55.9</v>
      </c>
      <c r="GJ126" s="110">
        <f t="shared" si="3103"/>
        <v>28620.799999999999</v>
      </c>
      <c r="GK126" s="102">
        <f>20941+10474.8-5594.6/2</f>
        <v>28618.5</v>
      </c>
      <c r="GL126" s="139">
        <f t="shared" ref="GL126" si="3264">GK126-GJ126</f>
        <v>-2.2999999999999998</v>
      </c>
      <c r="GM126" s="140">
        <f t="shared" si="3104"/>
        <v>0.90102000000000004</v>
      </c>
      <c r="GN126" s="18">
        <f t="shared" ref="GN126" si="3265">SUM(GN129:GN154)</f>
        <v>864</v>
      </c>
      <c r="GO126" s="4"/>
      <c r="GP126" s="102">
        <v>2750</v>
      </c>
      <c r="GQ126" s="137">
        <f t="shared" si="3107"/>
        <v>3.1828703699999998</v>
      </c>
      <c r="GR126" s="110">
        <f t="shared" ref="GR126" si="3266">IF(GU126&gt;0,GU126/GP126,0)</f>
        <v>30.78</v>
      </c>
      <c r="GS126" s="138">
        <f t="shared" si="3108"/>
        <v>97.96875</v>
      </c>
      <c r="GT126" s="110">
        <f t="shared" si="3109"/>
        <v>84645</v>
      </c>
      <c r="GU126" s="102">
        <f>66962.5+33495-31615.5/2</f>
        <v>84649.75</v>
      </c>
      <c r="GV126" s="139">
        <f t="shared" ref="GV126" si="3267">GU126-GT126</f>
        <v>4.75</v>
      </c>
      <c r="GW126" s="140">
        <f t="shared" si="3110"/>
        <v>1.5790999999999999</v>
      </c>
      <c r="GX126" s="18">
        <f t="shared" ref="GX126" si="3268">SUM(GX129:GX154)</f>
        <v>1621</v>
      </c>
      <c r="GY126" s="4"/>
      <c r="GZ126" s="102">
        <v>4453</v>
      </c>
      <c r="HA126" s="137">
        <f t="shared" si="3113"/>
        <v>2.7470697099999999</v>
      </c>
      <c r="HB126" s="110">
        <f t="shared" ref="HB126" si="3269">IF(HE126&gt;0,HE126/GZ126,0)</f>
        <v>21.23</v>
      </c>
      <c r="HC126" s="138">
        <f t="shared" si="3114"/>
        <v>58.32029</v>
      </c>
      <c r="HD126" s="110">
        <f t="shared" si="3115"/>
        <v>94537.19</v>
      </c>
      <c r="HE126" s="102">
        <f>108430.55+54237.54-136220/2</f>
        <v>94558.09</v>
      </c>
      <c r="HF126" s="139">
        <f t="shared" ref="HF126" si="3270">HE126-HD126</f>
        <v>20.9</v>
      </c>
      <c r="HG126" s="140">
        <f t="shared" si="3116"/>
        <v>0.94003000000000003</v>
      </c>
      <c r="HH126" s="18">
        <f t="shared" ref="HH126" si="3271">SUM(HH129:HH154)</f>
        <v>1152</v>
      </c>
      <c r="HI126" s="4"/>
      <c r="HJ126" s="102">
        <v>3330</v>
      </c>
      <c r="HK126" s="137">
        <f t="shared" si="3119"/>
        <v>2.890625</v>
      </c>
      <c r="HL126" s="110">
        <f t="shared" ref="HL126" si="3272">IF(HO126&gt;0,HO126/HJ126,0)</f>
        <v>28.23</v>
      </c>
      <c r="HM126" s="138">
        <f t="shared" si="3120"/>
        <v>81.602339999999998</v>
      </c>
      <c r="HN126" s="110">
        <f t="shared" si="3121"/>
        <v>94005.9</v>
      </c>
      <c r="HO126" s="102">
        <f>81085.5+40559.4-55251/2</f>
        <v>94019.4</v>
      </c>
      <c r="HP126" s="139">
        <f t="shared" ref="HP126" si="3273">HO126-HN126</f>
        <v>13.5</v>
      </c>
      <c r="HQ126" s="140">
        <f t="shared" si="3122"/>
        <v>1.3152999999999999</v>
      </c>
      <c r="HR126" s="18">
        <f t="shared" ref="HR126" si="3274">SUM(HR129:HR154)</f>
        <v>788</v>
      </c>
      <c r="HS126" s="4"/>
      <c r="HT126" s="102">
        <v>900</v>
      </c>
      <c r="HU126" s="137">
        <f t="shared" si="3126"/>
        <v>1.14213198</v>
      </c>
      <c r="HV126" s="110">
        <f t="shared" ref="HV126" si="3275">IF(HY126&gt;0,HY126/HT126,0)</f>
        <v>31.27</v>
      </c>
      <c r="HW126" s="138">
        <f t="shared" si="3128"/>
        <v>35.714469999999999</v>
      </c>
      <c r="HX126" s="110">
        <f t="shared" si="3129"/>
        <v>28143</v>
      </c>
      <c r="HY126" s="102">
        <f>21915+10962-9471.6/2</f>
        <v>28141.200000000001</v>
      </c>
      <c r="HZ126" s="139">
        <f t="shared" ref="HZ126" si="3276">HY126-HX126</f>
        <v>-1.8</v>
      </c>
      <c r="IA126" s="140">
        <f t="shared" si="3130"/>
        <v>0.57565999999999995</v>
      </c>
      <c r="IB126" s="18">
        <f t="shared" ref="IB126" si="3277">SUM(IB129:IB154)</f>
        <v>548</v>
      </c>
      <c r="IC126" s="4"/>
      <c r="ID126" s="102">
        <v>430</v>
      </c>
      <c r="IE126" s="137">
        <f t="shared" si="3133"/>
        <v>0.78467153000000001</v>
      </c>
      <c r="IF126" s="110">
        <f t="shared" ref="IF126" si="3278">IF(II126&gt;0,II126/ID126,0)</f>
        <v>28.65</v>
      </c>
      <c r="IG126" s="138">
        <f t="shared" si="3134"/>
        <v>22.480840000000001</v>
      </c>
      <c r="IH126" s="110">
        <f t="shared" si="3135"/>
        <v>12319.5</v>
      </c>
      <c r="II126" s="102">
        <f>10470.5+5237.4-6774.75/2</f>
        <v>12320.53</v>
      </c>
      <c r="IJ126" s="139">
        <f t="shared" ref="IJ126" si="3279">II126-IH126</f>
        <v>1.03</v>
      </c>
      <c r="IK126" s="140">
        <f t="shared" si="3136"/>
        <v>0.36235000000000001</v>
      </c>
      <c r="IL126" s="18">
        <f t="shared" ref="IL126" si="3280">SUM(IL129:IL154)</f>
        <v>1265</v>
      </c>
      <c r="IM126" s="4"/>
      <c r="IN126" s="102">
        <v>2942</v>
      </c>
      <c r="IO126" s="137">
        <f t="shared" si="3139"/>
        <v>2.3256917000000001</v>
      </c>
      <c r="IP126" s="110">
        <f t="shared" ref="IP126" si="3281">IF(IS126&gt;0,IS126/IN126,0)</f>
        <v>33.04</v>
      </c>
      <c r="IQ126" s="138">
        <f t="shared" si="3140"/>
        <v>76.840850000000003</v>
      </c>
      <c r="IR126" s="110">
        <f t="shared" si="3141"/>
        <v>97203.68</v>
      </c>
      <c r="IS126" s="102">
        <f>71637.7+35833.56-20521.8/2</f>
        <v>97210.36</v>
      </c>
      <c r="IT126" s="139">
        <f t="shared" ref="IT126" si="3282">IS126-IR126</f>
        <v>6.68</v>
      </c>
      <c r="IU126" s="140">
        <f t="shared" si="3142"/>
        <v>1.23855</v>
      </c>
      <c r="IV126" s="18">
        <f t="shared" ref="IV126" si="3283">SUM(IV129:IV154)</f>
        <v>771</v>
      </c>
      <c r="IW126" s="4"/>
      <c r="IX126" s="102">
        <v>1600</v>
      </c>
      <c r="IY126" s="137">
        <f t="shared" si="3145"/>
        <v>2.0752269800000001</v>
      </c>
      <c r="IZ126" s="110">
        <f t="shared" ref="IZ126" si="3284">IF(JC126&gt;0,JC126/IX126,0)</f>
        <v>33.36</v>
      </c>
      <c r="JA126" s="138">
        <f t="shared" si="3146"/>
        <v>69.229569999999995</v>
      </c>
      <c r="JB126" s="110">
        <f t="shared" si="3147"/>
        <v>53376</v>
      </c>
      <c r="JC126" s="102">
        <f>38960+19488-10131/2</f>
        <v>53382.5</v>
      </c>
      <c r="JD126" s="139">
        <f t="shared" ref="JD126" si="3285">JC126-JB126</f>
        <v>6.5</v>
      </c>
      <c r="JE126" s="140">
        <f t="shared" si="3148"/>
        <v>1.1158699999999999</v>
      </c>
      <c r="JF126" s="18">
        <f t="shared" ref="JF126" si="3286">SUM(JF129:JF154)</f>
        <v>1341</v>
      </c>
      <c r="JG126" s="4"/>
      <c r="JH126" s="102">
        <v>3820</v>
      </c>
      <c r="JI126" s="137">
        <f t="shared" si="3151"/>
        <v>2.84862043</v>
      </c>
      <c r="JJ126" s="110">
        <f t="shared" ref="JJ126" si="3287">IF(JM126&gt;0,JM126/JH126,0)</f>
        <v>21.96</v>
      </c>
      <c r="JK126" s="138">
        <f t="shared" si="3152"/>
        <v>62.555700000000002</v>
      </c>
      <c r="JL126" s="110">
        <f t="shared" si="3153"/>
        <v>83887.19</v>
      </c>
      <c r="JM126" s="102">
        <f>93017+46527.6-111300/2</f>
        <v>83894.6</v>
      </c>
      <c r="JN126" s="139">
        <f t="shared" ref="JN126" si="3288">JM126-JL126</f>
        <v>7.41</v>
      </c>
      <c r="JO126" s="140">
        <f t="shared" si="3154"/>
        <v>1.0083</v>
      </c>
      <c r="JP126" s="18">
        <f t="shared" ref="JP126" si="3289">SUM(JP129:JP154)</f>
        <v>1249</v>
      </c>
      <c r="JQ126" s="4"/>
      <c r="JR126" s="102">
        <v>3800</v>
      </c>
      <c r="JS126" s="137">
        <f t="shared" si="3157"/>
        <v>3.0424339499999999</v>
      </c>
      <c r="JT126" s="110">
        <f t="shared" ref="JT126" si="3290">IF(JW126&gt;0,JW126/JR126,0)</f>
        <v>35.700000000000003</v>
      </c>
      <c r="JU126" s="138">
        <f t="shared" si="3158"/>
        <v>108.61489</v>
      </c>
      <c r="JV126" s="110">
        <f t="shared" si="3159"/>
        <v>135660</v>
      </c>
      <c r="JW126" s="102">
        <f>92530+46284-6314.4/2</f>
        <v>135656.79999999999</v>
      </c>
      <c r="JX126" s="139">
        <f t="shared" ref="JX126" si="3291">JW126-JV126</f>
        <v>-3.2</v>
      </c>
      <c r="JY126" s="140">
        <f t="shared" si="3160"/>
        <v>1.7506900000000001</v>
      </c>
      <c r="JZ126" s="18">
        <f t="shared" ref="JZ126" si="3292">SUM(JZ129:JZ154)</f>
        <v>1163</v>
      </c>
      <c r="KA126" s="4"/>
      <c r="KB126" s="102">
        <v>2660</v>
      </c>
      <c r="KC126" s="137">
        <f t="shared" si="3163"/>
        <v>2.2871883099999999</v>
      </c>
      <c r="KD126" s="110">
        <f t="shared" ref="KD126" si="3293">IF(KG126&gt;0,KG126/KB126,0)</f>
        <v>30.3</v>
      </c>
      <c r="KE126" s="138">
        <f t="shared" si="3164"/>
        <v>69.301810000000003</v>
      </c>
      <c r="KF126" s="110">
        <f t="shared" si="3165"/>
        <v>80598.009999999995</v>
      </c>
      <c r="KG126" s="102">
        <f>64771+32398.8-33150.6/2</f>
        <v>80594.5</v>
      </c>
      <c r="KH126" s="139">
        <f t="shared" ref="KH126" si="3294">KG126-KF126</f>
        <v>-3.51</v>
      </c>
      <c r="KI126" s="140">
        <f t="shared" si="3166"/>
        <v>1.11703</v>
      </c>
      <c r="KJ126" s="18">
        <f t="shared" ref="KJ126" si="3295">SUM(KJ129:KJ154)</f>
        <v>1341</v>
      </c>
      <c r="KK126" s="4"/>
      <c r="KL126" s="102">
        <v>2653</v>
      </c>
      <c r="KM126" s="137">
        <f t="shared" si="3170"/>
        <v>1.9783743499999999</v>
      </c>
      <c r="KN126" s="110">
        <f t="shared" ref="KN126" si="3296">IF(KQ126&gt;0,KQ126/KL126,0)</f>
        <v>30.43</v>
      </c>
      <c r="KO126" s="138">
        <f t="shared" si="3172"/>
        <v>60.201929999999997</v>
      </c>
      <c r="KP126" s="110">
        <f t="shared" si="3173"/>
        <v>80730.789999999994</v>
      </c>
      <c r="KQ126" s="102">
        <f>64600.55+32313.54-32368.1/2</f>
        <v>80730.039999999994</v>
      </c>
      <c r="KR126" s="139">
        <f t="shared" ref="KR126" si="3297">KQ126-KP126</f>
        <v>-0.75</v>
      </c>
      <c r="KS126" s="140">
        <f t="shared" si="3174"/>
        <v>0.97036</v>
      </c>
      <c r="KT126" s="18">
        <f t="shared" ref="KT126" si="3298">SUM(KT129:KT154)</f>
        <v>1124</v>
      </c>
      <c r="KU126" s="4"/>
      <c r="KV126" s="102">
        <v>6330</v>
      </c>
      <c r="KW126" s="137">
        <f t="shared" si="3177"/>
        <v>5.6316725999999999</v>
      </c>
      <c r="KX126" s="110">
        <f t="shared" ref="KX126" si="3299">IF(LA126&gt;0,LA126/KV126,0)</f>
        <v>34.299999999999997</v>
      </c>
      <c r="KY126" s="138">
        <f t="shared" si="3178"/>
        <v>193.16637</v>
      </c>
      <c r="KZ126" s="110">
        <f t="shared" si="3179"/>
        <v>217119</v>
      </c>
      <c r="LA126" s="102">
        <f>154135.5+77099.4-28274.17/2</f>
        <v>217097.82</v>
      </c>
      <c r="LB126" s="139">
        <f t="shared" ref="LB126" si="3300">LA126-KZ126</f>
        <v>-21.18</v>
      </c>
      <c r="LC126" s="140">
        <f t="shared" si="3180"/>
        <v>3.1135299999999999</v>
      </c>
      <c r="LD126" s="18">
        <f>SUM(LD129:LD154)</f>
        <v>28544</v>
      </c>
      <c r="LE126" s="4"/>
      <c r="LF126" s="145">
        <f>H126+R126+AB126+AL126+AV126+BF126+BP126+BZ126+CJ126+CT126+DD126+DN126+DX126+EH126+ER126+FB126+FL126+FV126+GF126+GP126+GZ126+HJ126+HT126+ID126+IN126+IX126+JH126+JR126+KB126+KL126+KV126</f>
        <v>61298</v>
      </c>
      <c r="LG126" s="137">
        <f>IF(LD126&gt;0,LF126/LD126,0)</f>
        <v>2.14749159</v>
      </c>
      <c r="LH126" s="110">
        <f>IF(LK126&gt;0,LK126/LF126,0)</f>
        <v>28.89</v>
      </c>
      <c r="LI126" s="138">
        <f>LG126*LH126</f>
        <v>62.041029999999999</v>
      </c>
      <c r="LJ126" s="110">
        <f>LI126*LD126</f>
        <v>1770899.16</v>
      </c>
      <c r="LK126" s="145">
        <f>M126+W126+AG126+AQ126+BA126+BK126+BU126+CE126+CO126+CY126+DI126+DS126+EC126+EM126+EW126+FG126+FQ126+GA126+GK126+GU126+HE126+HO126+HY126+II126+IS126+JC126+JM126+JW126+KG126+KQ126+LA126</f>
        <v>1770708.8</v>
      </c>
      <c r="LL126" s="139">
        <f>LK126-LJ126</f>
        <v>-190.36</v>
      </c>
    </row>
    <row r="127" spans="1:324" s="132" customFormat="1" x14ac:dyDescent="0.25">
      <c r="A127" s="130"/>
      <c r="B127" s="131" t="s">
        <v>467</v>
      </c>
      <c r="C127" s="131"/>
      <c r="D127" s="131"/>
      <c r="E127" s="131"/>
      <c r="F127" s="141"/>
      <c r="G127" s="131"/>
      <c r="H127" s="139">
        <f>H126-(SUM(H129:H154))</f>
        <v>0.02</v>
      </c>
      <c r="I127" s="142"/>
      <c r="J127" s="139"/>
      <c r="K127" s="143"/>
      <c r="L127" s="139">
        <f>L126-(SUM(L129:L154))</f>
        <v>0.39</v>
      </c>
      <c r="M127" s="139"/>
      <c r="N127" s="139"/>
      <c r="O127" s="131"/>
      <c r="P127" s="141"/>
      <c r="Q127" s="131"/>
      <c r="R127" s="139">
        <f t="shared" ref="R127" si="3301">R126-(SUM(R129:R154))</f>
        <v>-0.02</v>
      </c>
      <c r="S127" s="142"/>
      <c r="T127" s="139"/>
      <c r="U127" s="143"/>
      <c r="V127" s="139">
        <f t="shared" ref="V127" si="3302">V126-(SUM(V129:V154))</f>
        <v>-0.28999999999999998</v>
      </c>
      <c r="W127" s="139"/>
      <c r="X127" s="139"/>
      <c r="Y127" s="131"/>
      <c r="Z127" s="141"/>
      <c r="AA127" s="131"/>
      <c r="AB127" s="139">
        <f t="shared" ref="AB127" si="3303">AB126-(SUM(AB129:AB154))</f>
        <v>-0.01</v>
      </c>
      <c r="AC127" s="142"/>
      <c r="AD127" s="139"/>
      <c r="AE127" s="143"/>
      <c r="AF127" s="139">
        <f t="shared" ref="AF127" si="3304">AF126-(SUM(AF129:AF154))</f>
        <v>-0.33</v>
      </c>
      <c r="AG127" s="139"/>
      <c r="AH127" s="139"/>
      <c r="AI127" s="131"/>
      <c r="AJ127" s="141"/>
      <c r="AK127" s="131"/>
      <c r="AL127" s="139">
        <f t="shared" ref="AL127" si="3305">AL126-(SUM(AL129:AL154))</f>
        <v>0</v>
      </c>
      <c r="AM127" s="142"/>
      <c r="AN127" s="139"/>
      <c r="AO127" s="143"/>
      <c r="AP127" s="139">
        <f t="shared" ref="AP127" si="3306">AP126-(SUM(AP129:AP154))</f>
        <v>0.01</v>
      </c>
      <c r="AQ127" s="139"/>
      <c r="AR127" s="139"/>
      <c r="AS127" s="131"/>
      <c r="AT127" s="141"/>
      <c r="AU127" s="131"/>
      <c r="AV127" s="139">
        <f t="shared" ref="AV127" si="3307">AV126-(SUM(AV129:AV154))</f>
        <v>0</v>
      </c>
      <c r="AW127" s="142"/>
      <c r="AX127" s="139"/>
      <c r="AY127" s="143"/>
      <c r="AZ127" s="139">
        <f t="shared" ref="AZ127" si="3308">AZ126-(SUM(AZ129:AZ154))</f>
        <v>-0.01</v>
      </c>
      <c r="BA127" s="139"/>
      <c r="BB127" s="139"/>
      <c r="BC127" s="131"/>
      <c r="BD127" s="141"/>
      <c r="BE127" s="131"/>
      <c r="BF127" s="139">
        <f t="shared" ref="BF127" si="3309">BF126-(SUM(BF129:BF154))</f>
        <v>0</v>
      </c>
      <c r="BG127" s="142"/>
      <c r="BH127" s="139"/>
      <c r="BI127" s="143"/>
      <c r="BJ127" s="139">
        <f t="shared" ref="BJ127" si="3310">BJ126-(SUM(BJ129:BJ154))</f>
        <v>-0.01</v>
      </c>
      <c r="BK127" s="139"/>
      <c r="BL127" s="139"/>
      <c r="BM127" s="131"/>
      <c r="BN127" s="141"/>
      <c r="BO127" s="131"/>
      <c r="BP127" s="139">
        <f t="shared" ref="BP127" si="3311">BP126-(SUM(BP129:BP154))</f>
        <v>-0.01</v>
      </c>
      <c r="BQ127" s="142"/>
      <c r="BR127" s="139"/>
      <c r="BS127" s="143"/>
      <c r="BT127" s="139">
        <f t="shared" ref="BT127" si="3312">BT126-(SUM(BT129:BT154))</f>
        <v>-0.32</v>
      </c>
      <c r="BU127" s="139"/>
      <c r="BV127" s="139"/>
      <c r="BW127" s="131"/>
      <c r="BX127" s="141"/>
      <c r="BY127" s="131"/>
      <c r="BZ127" s="139">
        <f t="shared" ref="BZ127" si="3313">BZ126-(SUM(BZ129:BZ154))</f>
        <v>0</v>
      </c>
      <c r="CA127" s="142"/>
      <c r="CB127" s="139"/>
      <c r="CC127" s="143"/>
      <c r="CD127" s="139">
        <f t="shared" ref="CD127" si="3314">CD126-(SUM(CD129:CD154))</f>
        <v>0</v>
      </c>
      <c r="CE127" s="139"/>
      <c r="CF127" s="139"/>
      <c r="CG127" s="131"/>
      <c r="CH127" s="141"/>
      <c r="CI127" s="131"/>
      <c r="CJ127" s="139">
        <f t="shared" ref="CJ127" si="3315">CJ126-(SUM(CJ129:CJ154))</f>
        <v>0</v>
      </c>
      <c r="CK127" s="142"/>
      <c r="CL127" s="139"/>
      <c r="CM127" s="143"/>
      <c r="CN127" s="139">
        <f t="shared" ref="CN127" si="3316">CN126-(SUM(CN129:CN154))</f>
        <v>-0.01</v>
      </c>
      <c r="CO127" s="139"/>
      <c r="CP127" s="139"/>
      <c r="CQ127" s="131"/>
      <c r="CR127" s="141"/>
      <c r="CS127" s="131"/>
      <c r="CT127" s="139">
        <f t="shared" ref="CT127" si="3317">CT126-(SUM(CT129:CT154))</f>
        <v>0</v>
      </c>
      <c r="CU127" s="142"/>
      <c r="CV127" s="139"/>
      <c r="CW127" s="143"/>
      <c r="CX127" s="139">
        <f t="shared" ref="CX127" si="3318">CX126-(SUM(CX129:CX154))</f>
        <v>0</v>
      </c>
      <c r="CY127" s="139"/>
      <c r="CZ127" s="139"/>
      <c r="DA127" s="131"/>
      <c r="DB127" s="141"/>
      <c r="DC127" s="131"/>
      <c r="DD127" s="139">
        <f t="shared" ref="DD127" si="3319">DD126-(SUM(DD129:DD154))</f>
        <v>0</v>
      </c>
      <c r="DE127" s="142"/>
      <c r="DF127" s="139"/>
      <c r="DG127" s="143"/>
      <c r="DH127" s="139">
        <f t="shared" ref="DH127" si="3320">DH126-(SUM(DH129:DH154))</f>
        <v>-0.01</v>
      </c>
      <c r="DI127" s="139"/>
      <c r="DJ127" s="139"/>
      <c r="DK127" s="131"/>
      <c r="DL127" s="141"/>
      <c r="DM127" s="131"/>
      <c r="DN127" s="139">
        <f t="shared" ref="DN127" si="3321">DN126-(SUM(DN129:DN154))</f>
        <v>0</v>
      </c>
      <c r="DO127" s="142"/>
      <c r="DP127" s="139"/>
      <c r="DQ127" s="143"/>
      <c r="DR127" s="139">
        <f t="shared" ref="DR127" si="3322">DR126-(SUM(DR129:DR154))</f>
        <v>0</v>
      </c>
      <c r="DS127" s="139"/>
      <c r="DT127" s="139"/>
      <c r="DU127" s="131"/>
      <c r="DV127" s="141"/>
      <c r="DW127" s="131"/>
      <c r="DX127" s="139">
        <f t="shared" ref="DX127" si="3323">DX126-(SUM(DX129:DX154))</f>
        <v>0.01</v>
      </c>
      <c r="DY127" s="142"/>
      <c r="DZ127" s="139"/>
      <c r="EA127" s="143"/>
      <c r="EB127" s="139">
        <f t="shared" ref="EB127" si="3324">EB126-(SUM(EB129:EB154))</f>
        <v>0.13</v>
      </c>
      <c r="EC127" s="139"/>
      <c r="ED127" s="139"/>
      <c r="EE127" s="131"/>
      <c r="EF127" s="141"/>
      <c r="EG127" s="131"/>
      <c r="EH127" s="139">
        <f t="shared" ref="EH127" si="3325">EH126-(SUM(EH129:EH154))</f>
        <v>0.03</v>
      </c>
      <c r="EI127" s="142"/>
      <c r="EJ127" s="139"/>
      <c r="EK127" s="143"/>
      <c r="EL127" s="139">
        <f t="shared" ref="EL127" si="3326">EL126-(SUM(EL129:EL154))</f>
        <v>0.69</v>
      </c>
      <c r="EM127" s="139"/>
      <c r="EN127" s="139"/>
      <c r="EO127" s="131"/>
      <c r="EP127" s="141"/>
      <c r="EQ127" s="131"/>
      <c r="ER127" s="139">
        <f t="shared" ref="ER127" si="3327">ER126-(SUM(ER129:ER154))</f>
        <v>0.04</v>
      </c>
      <c r="ES127" s="142"/>
      <c r="ET127" s="139"/>
      <c r="EU127" s="143"/>
      <c r="EV127" s="139">
        <f t="shared" ref="EV127" si="3328">EV126-(SUM(EV129:EV154))</f>
        <v>1.22</v>
      </c>
      <c r="EW127" s="139"/>
      <c r="EX127" s="139"/>
      <c r="EY127" s="131"/>
      <c r="EZ127" s="141"/>
      <c r="FA127" s="131"/>
      <c r="FB127" s="139">
        <f t="shared" ref="FB127" si="3329">FB126-(SUM(FB129:FB154))</f>
        <v>-0.04</v>
      </c>
      <c r="FC127" s="142"/>
      <c r="FD127" s="139"/>
      <c r="FE127" s="143"/>
      <c r="FF127" s="139">
        <f t="shared" ref="FF127" si="3330">FF126-(SUM(FF129:FF154))</f>
        <v>-1.33</v>
      </c>
      <c r="FG127" s="139"/>
      <c r="FH127" s="139"/>
      <c r="FI127" s="131"/>
      <c r="FJ127" s="141"/>
      <c r="FK127" s="131"/>
      <c r="FL127" s="139">
        <f t="shared" ref="FL127" si="3331">FL126-(SUM(FL129:FL154))</f>
        <v>-0.01</v>
      </c>
      <c r="FM127" s="142"/>
      <c r="FN127" s="139"/>
      <c r="FO127" s="143"/>
      <c r="FP127" s="139">
        <f t="shared" ref="FP127" si="3332">FP126-(SUM(FP129:FP154))</f>
        <v>-0.19</v>
      </c>
      <c r="FQ127" s="139"/>
      <c r="FR127" s="139"/>
      <c r="FS127" s="131"/>
      <c r="FT127" s="141"/>
      <c r="FU127" s="131"/>
      <c r="FV127" s="139">
        <f t="shared" ref="FV127" si="3333">FV126-(SUM(FV129:FV154))</f>
        <v>-0.01</v>
      </c>
      <c r="FW127" s="142"/>
      <c r="FX127" s="139"/>
      <c r="FY127" s="143"/>
      <c r="FZ127" s="139">
        <f t="shared" ref="FZ127" si="3334">FZ126-(SUM(FZ129:FZ154))</f>
        <v>-0.31</v>
      </c>
      <c r="GA127" s="139"/>
      <c r="GB127" s="139"/>
      <c r="GC127" s="131"/>
      <c r="GD127" s="141"/>
      <c r="GE127" s="131"/>
      <c r="GF127" s="139">
        <f t="shared" ref="GF127" si="3335">GF126-(SUM(GF129:GF154))</f>
        <v>0</v>
      </c>
      <c r="GG127" s="142"/>
      <c r="GH127" s="139"/>
      <c r="GI127" s="143"/>
      <c r="GJ127" s="139">
        <f t="shared" ref="GJ127" si="3336">GJ126-(SUM(GJ129:GJ154))</f>
        <v>0</v>
      </c>
      <c r="GK127" s="139"/>
      <c r="GL127" s="139"/>
      <c r="GM127" s="131"/>
      <c r="GN127" s="141"/>
      <c r="GO127" s="131"/>
      <c r="GP127" s="139">
        <f t="shared" ref="GP127" si="3337">GP126-(SUM(GP129:GP154))</f>
        <v>0.02</v>
      </c>
      <c r="GQ127" s="142"/>
      <c r="GR127" s="139"/>
      <c r="GS127" s="143"/>
      <c r="GT127" s="139">
        <f t="shared" ref="GT127" si="3338">GT126-(SUM(GT129:GT154))</f>
        <v>0.62</v>
      </c>
      <c r="GU127" s="139"/>
      <c r="GV127" s="139"/>
      <c r="GW127" s="131"/>
      <c r="GX127" s="141"/>
      <c r="GY127" s="131"/>
      <c r="GZ127" s="139">
        <f t="shared" ref="GZ127" si="3339">GZ126-(SUM(GZ129:GZ154))</f>
        <v>-0.01</v>
      </c>
      <c r="HA127" s="142"/>
      <c r="HB127" s="139"/>
      <c r="HC127" s="143"/>
      <c r="HD127" s="139">
        <f t="shared" ref="HD127" si="3340">HD126-(SUM(HD129:HD154))</f>
        <v>-0.22</v>
      </c>
      <c r="HE127" s="139"/>
      <c r="HF127" s="139"/>
      <c r="HG127" s="131"/>
      <c r="HH127" s="141"/>
      <c r="HI127" s="131"/>
      <c r="HJ127" s="139">
        <f t="shared" ref="HJ127" si="3341">HJ126-(SUM(HJ129:HJ154))</f>
        <v>0</v>
      </c>
      <c r="HK127" s="142"/>
      <c r="HL127" s="139"/>
      <c r="HM127" s="143"/>
      <c r="HN127" s="139">
        <f t="shared" ref="HN127" si="3342">HN126-(SUM(HN129:HN154))</f>
        <v>-0.01</v>
      </c>
      <c r="HO127" s="139"/>
      <c r="HP127" s="139"/>
      <c r="HQ127" s="131"/>
      <c r="HR127" s="141"/>
      <c r="HS127" s="131"/>
      <c r="HT127" s="139">
        <f t="shared" ref="HT127" si="3343">HT126-(SUM(HT129:HT154))</f>
        <v>-0.03</v>
      </c>
      <c r="HU127" s="142"/>
      <c r="HV127" s="139"/>
      <c r="HW127" s="143"/>
      <c r="HX127" s="139">
        <f t="shared" ref="HX127" si="3344">HX126-(SUM(HX129:HX154))</f>
        <v>-0.95</v>
      </c>
      <c r="HY127" s="139"/>
      <c r="HZ127" s="139"/>
      <c r="IA127" s="131"/>
      <c r="IB127" s="141"/>
      <c r="IC127" s="131"/>
      <c r="ID127" s="139">
        <f t="shared" ref="ID127" si="3345">ID126-(SUM(ID129:ID154))</f>
        <v>0</v>
      </c>
      <c r="IE127" s="142"/>
      <c r="IF127" s="139"/>
      <c r="IG127" s="143"/>
      <c r="IH127" s="139">
        <f t="shared" ref="IH127" si="3346">IH126-(SUM(IH129:IH154))</f>
        <v>0</v>
      </c>
      <c r="II127" s="139"/>
      <c r="IJ127" s="139"/>
      <c r="IK127" s="131"/>
      <c r="IL127" s="141"/>
      <c r="IM127" s="131"/>
      <c r="IN127" s="139">
        <f t="shared" ref="IN127" si="3347">IN126-(SUM(IN129:IN154))</f>
        <v>0</v>
      </c>
      <c r="IO127" s="142"/>
      <c r="IP127" s="139"/>
      <c r="IQ127" s="143"/>
      <c r="IR127" s="139">
        <f t="shared" ref="IR127" si="3348">IR126-(SUM(IR129:IR154))</f>
        <v>0.01</v>
      </c>
      <c r="IS127" s="139"/>
      <c r="IT127" s="139"/>
      <c r="IU127" s="131"/>
      <c r="IV127" s="141"/>
      <c r="IW127" s="131"/>
      <c r="IX127" s="139">
        <f t="shared" ref="IX127" si="3349">IX126-(SUM(IX129:IX154))</f>
        <v>0.02</v>
      </c>
      <c r="IY127" s="142"/>
      <c r="IZ127" s="139"/>
      <c r="JA127" s="143"/>
      <c r="JB127" s="139">
        <f t="shared" ref="JB127" si="3350">JB126-(SUM(JB129:JB154))</f>
        <v>0.67</v>
      </c>
      <c r="JC127" s="139"/>
      <c r="JD127" s="139"/>
      <c r="JE127" s="131"/>
      <c r="JF127" s="141"/>
      <c r="JG127" s="131"/>
      <c r="JH127" s="139">
        <f t="shared" ref="JH127" si="3351">JH126-(SUM(JH129:JH154))</f>
        <v>-0.01</v>
      </c>
      <c r="JI127" s="142"/>
      <c r="JJ127" s="139"/>
      <c r="JK127" s="143"/>
      <c r="JL127" s="139">
        <f t="shared" ref="JL127" si="3352">JL126-(SUM(JL129:JL154))</f>
        <v>-0.24</v>
      </c>
      <c r="JM127" s="139"/>
      <c r="JN127" s="139"/>
      <c r="JO127" s="131"/>
      <c r="JP127" s="141"/>
      <c r="JQ127" s="131"/>
      <c r="JR127" s="139">
        <f t="shared" ref="JR127" si="3353">JR126-(SUM(JR129:JR154))</f>
        <v>0.03</v>
      </c>
      <c r="JS127" s="142"/>
      <c r="JT127" s="139"/>
      <c r="JU127" s="143"/>
      <c r="JV127" s="139">
        <f t="shared" ref="JV127" si="3354">JV126-(SUM(JV129:JV154))</f>
        <v>1.05</v>
      </c>
      <c r="JW127" s="139"/>
      <c r="JX127" s="139"/>
      <c r="JY127" s="131"/>
      <c r="JZ127" s="141"/>
      <c r="KA127" s="131"/>
      <c r="KB127" s="139">
        <f t="shared" ref="KB127" si="3355">KB126-(SUM(KB129:KB154))</f>
        <v>0</v>
      </c>
      <c r="KC127" s="142"/>
      <c r="KD127" s="139"/>
      <c r="KE127" s="143"/>
      <c r="KF127" s="139">
        <f t="shared" ref="KF127" si="3356">KF126-(SUM(KF129:KF154))</f>
        <v>0.01</v>
      </c>
      <c r="KG127" s="139"/>
      <c r="KH127" s="139"/>
      <c r="KI127" s="131"/>
      <c r="KJ127" s="141"/>
      <c r="KK127" s="131"/>
      <c r="KL127" s="139">
        <f t="shared" ref="KL127" si="3357">KL126-(SUM(KL129:KL154))</f>
        <v>-0.03</v>
      </c>
      <c r="KM127" s="142"/>
      <c r="KN127" s="139"/>
      <c r="KO127" s="143"/>
      <c r="KP127" s="139">
        <f t="shared" ref="KP127" si="3358">KP126-(SUM(KP129:KP154))</f>
        <v>-0.91</v>
      </c>
      <c r="KQ127" s="139"/>
      <c r="KR127" s="139"/>
      <c r="KS127" s="131"/>
      <c r="KT127" s="141"/>
      <c r="KU127" s="131"/>
      <c r="KV127" s="139">
        <f t="shared" ref="KV127" si="3359">KV126-(SUM(KV129:KV154))</f>
        <v>0</v>
      </c>
      <c r="KW127" s="142"/>
      <c r="KX127" s="139"/>
      <c r="KY127" s="143"/>
      <c r="KZ127" s="139">
        <f t="shared" ref="KZ127" si="3360">KZ126-(SUM(KZ129:KZ154))</f>
        <v>0</v>
      </c>
      <c r="LA127" s="139"/>
      <c r="LB127" s="139"/>
      <c r="LC127" s="131"/>
      <c r="LD127" s="141"/>
      <c r="LE127" s="131"/>
      <c r="LF127" s="139">
        <f>LF126-(SUM(LF129:LF154))</f>
        <v>-0.59</v>
      </c>
      <c r="LG127" s="142"/>
      <c r="LH127" s="139"/>
      <c r="LI127" s="143"/>
      <c r="LJ127" s="139">
        <f>LJ126-(SUM(LJ129:LJ154))</f>
        <v>-17.05</v>
      </c>
      <c r="LK127" s="139"/>
      <c r="LL127" s="139"/>
    </row>
    <row r="128" spans="1:324" s="132" customFormat="1" x14ac:dyDescent="0.25">
      <c r="A128" s="244"/>
      <c r="B128" s="244" t="s">
        <v>853</v>
      </c>
      <c r="C128" s="131"/>
      <c r="D128" s="131"/>
      <c r="E128" s="131"/>
      <c r="F128" s="141"/>
      <c r="G128" s="131"/>
      <c r="H128" s="139"/>
      <c r="I128" s="142"/>
      <c r="J128" s="139"/>
      <c r="K128" s="143"/>
      <c r="L128" s="139"/>
      <c r="M128" s="139"/>
      <c r="N128" s="139"/>
      <c r="O128" s="131"/>
      <c r="P128" s="141"/>
      <c r="Q128" s="131"/>
      <c r="R128" s="139"/>
      <c r="S128" s="142"/>
      <c r="T128" s="139"/>
      <c r="U128" s="143"/>
      <c r="V128" s="139"/>
      <c r="W128" s="139"/>
      <c r="X128" s="139"/>
      <c r="Y128" s="131"/>
      <c r="Z128" s="141"/>
      <c r="AA128" s="131"/>
      <c r="AB128" s="139"/>
      <c r="AC128" s="142"/>
      <c r="AD128" s="139"/>
      <c r="AE128" s="143"/>
      <c r="AF128" s="139"/>
      <c r="AG128" s="139"/>
      <c r="AH128" s="139"/>
      <c r="AI128" s="131"/>
      <c r="AJ128" s="141"/>
      <c r="AK128" s="131"/>
      <c r="AL128" s="139"/>
      <c r="AM128" s="142"/>
      <c r="AN128" s="139"/>
      <c r="AO128" s="143"/>
      <c r="AP128" s="139"/>
      <c r="AQ128" s="139"/>
      <c r="AR128" s="139"/>
      <c r="AS128" s="131"/>
      <c r="AT128" s="141"/>
      <c r="AU128" s="131"/>
      <c r="AV128" s="139"/>
      <c r="AW128" s="142"/>
      <c r="AX128" s="139"/>
      <c r="AY128" s="143"/>
      <c r="AZ128" s="139"/>
      <c r="BA128" s="139"/>
      <c r="BB128" s="139"/>
      <c r="BC128" s="131"/>
      <c r="BD128" s="141"/>
      <c r="BE128" s="131"/>
      <c r="BF128" s="139"/>
      <c r="BG128" s="142"/>
      <c r="BH128" s="139"/>
      <c r="BI128" s="143"/>
      <c r="BJ128" s="139"/>
      <c r="BK128" s="139"/>
      <c r="BL128" s="139"/>
      <c r="BM128" s="131"/>
      <c r="BN128" s="141"/>
      <c r="BO128" s="131"/>
      <c r="BP128" s="139"/>
      <c r="BQ128" s="142"/>
      <c r="BR128" s="139"/>
      <c r="BS128" s="143"/>
      <c r="BT128" s="139"/>
      <c r="BU128" s="139"/>
      <c r="BV128" s="139"/>
      <c r="BW128" s="131"/>
      <c r="BX128" s="141"/>
      <c r="BY128" s="131"/>
      <c r="BZ128" s="139"/>
      <c r="CA128" s="142"/>
      <c r="CB128" s="139"/>
      <c r="CC128" s="143"/>
      <c r="CD128" s="139"/>
      <c r="CE128" s="139"/>
      <c r="CF128" s="139"/>
      <c r="CG128" s="131"/>
      <c r="CH128" s="141"/>
      <c r="CI128" s="131"/>
      <c r="CJ128" s="139"/>
      <c r="CK128" s="142"/>
      <c r="CL128" s="139"/>
      <c r="CM128" s="143"/>
      <c r="CN128" s="139"/>
      <c r="CO128" s="139"/>
      <c r="CP128" s="139"/>
      <c r="CQ128" s="131"/>
      <c r="CR128" s="141"/>
      <c r="CS128" s="131"/>
      <c r="CT128" s="139"/>
      <c r="CU128" s="142"/>
      <c r="CV128" s="139"/>
      <c r="CW128" s="143"/>
      <c r="CX128" s="139"/>
      <c r="CY128" s="139"/>
      <c r="CZ128" s="139"/>
      <c r="DA128" s="131"/>
      <c r="DB128" s="141"/>
      <c r="DC128" s="131"/>
      <c r="DD128" s="139"/>
      <c r="DE128" s="142"/>
      <c r="DF128" s="139"/>
      <c r="DG128" s="143"/>
      <c r="DH128" s="139"/>
      <c r="DI128" s="139"/>
      <c r="DJ128" s="139"/>
      <c r="DK128" s="131"/>
      <c r="DL128" s="141"/>
      <c r="DM128" s="131"/>
      <c r="DN128" s="139"/>
      <c r="DO128" s="142"/>
      <c r="DP128" s="139"/>
      <c r="DQ128" s="143"/>
      <c r="DR128" s="139"/>
      <c r="DS128" s="139"/>
      <c r="DT128" s="139"/>
      <c r="DU128" s="131"/>
      <c r="DV128" s="141"/>
      <c r="DW128" s="131"/>
      <c r="DX128" s="139"/>
      <c r="DY128" s="142"/>
      <c r="DZ128" s="139"/>
      <c r="EA128" s="143"/>
      <c r="EB128" s="139"/>
      <c r="EC128" s="139"/>
      <c r="ED128" s="139"/>
      <c r="EE128" s="131"/>
      <c r="EF128" s="141"/>
      <c r="EG128" s="131"/>
      <c r="EH128" s="139"/>
      <c r="EI128" s="142"/>
      <c r="EJ128" s="139"/>
      <c r="EK128" s="143"/>
      <c r="EL128" s="139"/>
      <c r="EM128" s="139"/>
      <c r="EN128" s="139"/>
      <c r="EO128" s="131"/>
      <c r="EP128" s="141"/>
      <c r="EQ128" s="131"/>
      <c r="ER128" s="139"/>
      <c r="ES128" s="142"/>
      <c r="ET128" s="139"/>
      <c r="EU128" s="143"/>
      <c r="EV128" s="139"/>
      <c r="EW128" s="139"/>
      <c r="EX128" s="139"/>
      <c r="EY128" s="131"/>
      <c r="EZ128" s="141"/>
      <c r="FA128" s="131"/>
      <c r="FB128" s="139"/>
      <c r="FC128" s="142"/>
      <c r="FD128" s="139"/>
      <c r="FE128" s="143"/>
      <c r="FF128" s="139"/>
      <c r="FG128" s="139"/>
      <c r="FH128" s="139"/>
      <c r="FI128" s="131"/>
      <c r="FJ128" s="141"/>
      <c r="FK128" s="131"/>
      <c r="FL128" s="139"/>
      <c r="FM128" s="142"/>
      <c r="FN128" s="139"/>
      <c r="FO128" s="143"/>
      <c r="FP128" s="139"/>
      <c r="FQ128" s="139"/>
      <c r="FR128" s="139"/>
      <c r="FS128" s="131"/>
      <c r="FT128" s="141"/>
      <c r="FU128" s="131"/>
      <c r="FV128" s="139"/>
      <c r="FW128" s="142"/>
      <c r="FX128" s="139"/>
      <c r="FY128" s="143"/>
      <c r="FZ128" s="139"/>
      <c r="GA128" s="139"/>
      <c r="GB128" s="139"/>
      <c r="GC128" s="131"/>
      <c r="GD128" s="141"/>
      <c r="GE128" s="131"/>
      <c r="GF128" s="139"/>
      <c r="GG128" s="142"/>
      <c r="GH128" s="139"/>
      <c r="GI128" s="143"/>
      <c r="GJ128" s="139"/>
      <c r="GK128" s="139"/>
      <c r="GL128" s="139"/>
      <c r="GM128" s="131"/>
      <c r="GN128" s="141"/>
      <c r="GO128" s="131"/>
      <c r="GP128" s="139"/>
      <c r="GQ128" s="142"/>
      <c r="GR128" s="139"/>
      <c r="GS128" s="143"/>
      <c r="GT128" s="139"/>
      <c r="GU128" s="139"/>
      <c r="GV128" s="139"/>
      <c r="GW128" s="131"/>
      <c r="GX128" s="141"/>
      <c r="GY128" s="131"/>
      <c r="GZ128" s="139"/>
      <c r="HA128" s="142"/>
      <c r="HB128" s="139"/>
      <c r="HC128" s="143"/>
      <c r="HD128" s="139"/>
      <c r="HE128" s="139"/>
      <c r="HF128" s="139"/>
      <c r="HG128" s="131"/>
      <c r="HH128" s="141"/>
      <c r="HI128" s="131"/>
      <c r="HJ128" s="139"/>
      <c r="HK128" s="142"/>
      <c r="HL128" s="139"/>
      <c r="HM128" s="143"/>
      <c r="HN128" s="139"/>
      <c r="HO128" s="139"/>
      <c r="HP128" s="139"/>
      <c r="HQ128" s="131"/>
      <c r="HR128" s="141"/>
      <c r="HS128" s="131"/>
      <c r="HT128" s="139"/>
      <c r="HU128" s="142"/>
      <c r="HV128" s="139"/>
      <c r="HW128" s="143"/>
      <c r="HX128" s="139"/>
      <c r="HY128" s="139"/>
      <c r="HZ128" s="139"/>
      <c r="IA128" s="131"/>
      <c r="IB128" s="141"/>
      <c r="IC128" s="131"/>
      <c r="ID128" s="139"/>
      <c r="IE128" s="142"/>
      <c r="IF128" s="139"/>
      <c r="IG128" s="143"/>
      <c r="IH128" s="139"/>
      <c r="II128" s="139"/>
      <c r="IJ128" s="139"/>
      <c r="IK128" s="131"/>
      <c r="IL128" s="141"/>
      <c r="IM128" s="131"/>
      <c r="IN128" s="139"/>
      <c r="IO128" s="142"/>
      <c r="IP128" s="139"/>
      <c r="IQ128" s="143"/>
      <c r="IR128" s="139"/>
      <c r="IS128" s="139"/>
      <c r="IT128" s="139"/>
      <c r="IU128" s="131"/>
      <c r="IV128" s="141"/>
      <c r="IW128" s="131"/>
      <c r="IX128" s="139"/>
      <c r="IY128" s="142"/>
      <c r="IZ128" s="139"/>
      <c r="JA128" s="143"/>
      <c r="JB128" s="139"/>
      <c r="JC128" s="139"/>
      <c r="JD128" s="139"/>
      <c r="JE128" s="131"/>
      <c r="JF128" s="141"/>
      <c r="JG128" s="131"/>
      <c r="JH128" s="139"/>
      <c r="JI128" s="142"/>
      <c r="JJ128" s="139"/>
      <c r="JK128" s="143"/>
      <c r="JL128" s="139"/>
      <c r="JM128" s="139"/>
      <c r="JN128" s="139"/>
      <c r="JO128" s="131"/>
      <c r="JP128" s="141"/>
      <c r="JQ128" s="131"/>
      <c r="JR128" s="139"/>
      <c r="JS128" s="142"/>
      <c r="JT128" s="139"/>
      <c r="JU128" s="143"/>
      <c r="JV128" s="139"/>
      <c r="JW128" s="139"/>
      <c r="JX128" s="139"/>
      <c r="JY128" s="131"/>
      <c r="JZ128" s="141"/>
      <c r="KA128" s="131"/>
      <c r="KB128" s="139"/>
      <c r="KC128" s="142"/>
      <c r="KD128" s="139"/>
      <c r="KE128" s="143"/>
      <c r="KF128" s="139"/>
      <c r="KG128" s="139"/>
      <c r="KH128" s="139"/>
      <c r="KI128" s="131"/>
      <c r="KJ128" s="141"/>
      <c r="KK128" s="131"/>
      <c r="KL128" s="139"/>
      <c r="KM128" s="142"/>
      <c r="KN128" s="139"/>
      <c r="KO128" s="143"/>
      <c r="KP128" s="139"/>
      <c r="KQ128" s="139"/>
      <c r="KR128" s="139"/>
      <c r="KS128" s="131"/>
      <c r="KT128" s="141"/>
      <c r="KU128" s="131"/>
      <c r="KV128" s="139"/>
      <c r="KW128" s="142"/>
      <c r="KX128" s="139"/>
      <c r="KY128" s="143"/>
      <c r="KZ128" s="139"/>
      <c r="LA128" s="139"/>
      <c r="LB128" s="139"/>
      <c r="LC128" s="131"/>
      <c r="LD128" s="141"/>
      <c r="LE128" s="131"/>
      <c r="LF128" s="139"/>
      <c r="LG128" s="142"/>
      <c r="LH128" s="139"/>
      <c r="LI128" s="143"/>
      <c r="LJ128" s="139"/>
      <c r="LK128" s="139"/>
      <c r="LL128" s="139"/>
    </row>
    <row r="129" spans="1:324" ht="27.75" customHeight="1" x14ac:dyDescent="0.25">
      <c r="A129" s="245"/>
      <c r="B129" s="12" t="s">
        <v>609</v>
      </c>
      <c r="C129" s="12" t="s">
        <v>727</v>
      </c>
      <c r="D129" s="12" t="s">
        <v>427</v>
      </c>
      <c r="E129" s="4" t="s">
        <v>32</v>
      </c>
      <c r="F129" s="198">
        <f t="shared" ref="F129:F136" si="3361">F13</f>
        <v>226</v>
      </c>
      <c r="G129" s="225">
        <f>F129/F$126</f>
        <v>0.37541999999999998</v>
      </c>
      <c r="H129" s="226">
        <f>H$126*G129</f>
        <v>349.14</v>
      </c>
      <c r="I129" s="137">
        <f t="shared" ref="I129:I154" si="3362">IF(F129&gt;0,H129/F129,0)</f>
        <v>1.54486726</v>
      </c>
      <c r="J129" s="227">
        <f>J$126</f>
        <v>19.559999999999999</v>
      </c>
      <c r="K129" s="138">
        <f t="shared" ref="K129:K154" si="3363">I129*J129</f>
        <v>30.217600000000001</v>
      </c>
      <c r="L129" s="110">
        <f t="shared" ref="L129:L155" si="3364">K129*F129</f>
        <v>6829.18</v>
      </c>
      <c r="M129" s="110"/>
      <c r="N129" s="139"/>
      <c r="O129" s="140">
        <f t="shared" ref="O129:O153" si="3365">K129/$LI129</f>
        <v>0.48705999999999999</v>
      </c>
      <c r="P129" s="198">
        <f t="shared" ref="P129:BX136" si="3366">P13</f>
        <v>488</v>
      </c>
      <c r="Q129" s="225">
        <f t="shared" ref="Q129:Q136" si="3367">P129/P$126</f>
        <v>0.44525999999999999</v>
      </c>
      <c r="R129" s="226">
        <f t="shared" ref="R129:R136" si="3368">R$126*Q129</f>
        <v>716.87</v>
      </c>
      <c r="S129" s="137">
        <f t="shared" ref="S129:S136" si="3369">IF(P129&gt;0,R129/P129,0)</f>
        <v>1.4689958999999999</v>
      </c>
      <c r="T129" s="227">
        <f t="shared" ref="T129:CB136" si="3370">T$126</f>
        <v>14.76</v>
      </c>
      <c r="U129" s="138">
        <f t="shared" ref="U129:U136" si="3371">S129*T129</f>
        <v>21.682379999999998</v>
      </c>
      <c r="V129" s="110">
        <f t="shared" ref="V129:V136" si="3372">U129*P129</f>
        <v>10581</v>
      </c>
      <c r="W129" s="110"/>
      <c r="X129" s="139"/>
      <c r="Y129" s="140">
        <f t="shared" ref="Y129:Y136" si="3373">U129/$LI129</f>
        <v>0.34949000000000002</v>
      </c>
      <c r="Z129" s="198">
        <f t="shared" si="3366"/>
        <v>235</v>
      </c>
      <c r="AA129" s="225">
        <f t="shared" ref="AA129:AA136" si="3374">Z129/Z$126</f>
        <v>0.27199000000000001</v>
      </c>
      <c r="AB129" s="226">
        <f t="shared" ref="AB129:AB136" si="3375">AB$126*AA129</f>
        <v>350.87</v>
      </c>
      <c r="AC129" s="137">
        <f t="shared" ref="AC129:AC136" si="3376">IF(Z129&gt;0,AB129/Z129,0)</f>
        <v>1.4930638300000001</v>
      </c>
      <c r="AD129" s="227">
        <f t="shared" ref="AD129" si="3377">AD$126</f>
        <v>33.520000000000003</v>
      </c>
      <c r="AE129" s="138">
        <f t="shared" ref="AE129:AE136" si="3378">AC129*AD129</f>
        <v>50.047499999999999</v>
      </c>
      <c r="AF129" s="110">
        <f t="shared" ref="AF129:AF136" si="3379">AE129*Z129</f>
        <v>11761.16</v>
      </c>
      <c r="AG129" s="110"/>
      <c r="AH129" s="139"/>
      <c r="AI129" s="140">
        <f t="shared" ref="AI129:AI136" si="3380">AE129/$LI129</f>
        <v>0.80669000000000002</v>
      </c>
      <c r="AJ129" s="198">
        <f t="shared" si="3366"/>
        <v>281</v>
      </c>
      <c r="AK129" s="225">
        <f t="shared" ref="AK129:AK136" si="3381">AJ129/AJ$126</f>
        <v>0.42255999999999999</v>
      </c>
      <c r="AL129" s="226">
        <f t="shared" ref="AL129:AL136" si="3382">AL$126*AK129</f>
        <v>482.14</v>
      </c>
      <c r="AM129" s="137">
        <f t="shared" ref="AM129:AM136" si="3383">IF(AJ129&gt;0,AL129/AJ129,0)</f>
        <v>1.7158007099999999</v>
      </c>
      <c r="AN129" s="227">
        <f t="shared" ref="AN129" si="3384">AN$126</f>
        <v>33.07</v>
      </c>
      <c r="AO129" s="138">
        <f t="shared" ref="AO129:AO136" si="3385">AM129*AN129</f>
        <v>56.741529999999997</v>
      </c>
      <c r="AP129" s="110">
        <f t="shared" ref="AP129:AP136" si="3386">AO129*AJ129</f>
        <v>15944.37</v>
      </c>
      <c r="AQ129" s="110"/>
      <c r="AR129" s="139"/>
      <c r="AS129" s="140">
        <f t="shared" ref="AS129:AS136" si="3387">AO129/$LI129</f>
        <v>0.91459000000000001</v>
      </c>
      <c r="AT129" s="198">
        <f t="shared" si="3366"/>
        <v>439</v>
      </c>
      <c r="AU129" s="225">
        <f t="shared" ref="AU129:AU136" si="3388">AT129/AT$126</f>
        <v>0.46161999999999997</v>
      </c>
      <c r="AV129" s="226">
        <f t="shared" ref="AV129:AV136" si="3389">AV$126*AU129</f>
        <v>420.07</v>
      </c>
      <c r="AW129" s="137">
        <f t="shared" ref="AW129:AW136" si="3390">IF(AT129&gt;0,AV129/AT129,0)</f>
        <v>0.95687926999999995</v>
      </c>
      <c r="AX129" s="227">
        <f t="shared" ref="AX129" si="3391">AX$126</f>
        <v>28.2</v>
      </c>
      <c r="AY129" s="138">
        <f t="shared" ref="AY129:AY136" si="3392">AW129*AX129</f>
        <v>26.984000000000002</v>
      </c>
      <c r="AZ129" s="110">
        <f t="shared" ref="AZ129:AZ136" si="3393">AY129*AT129</f>
        <v>11845.98</v>
      </c>
      <c r="BA129" s="110"/>
      <c r="BB129" s="139"/>
      <c r="BC129" s="140">
        <f t="shared" ref="BC129:BC136" si="3394">AY129/$LI129</f>
        <v>0.43493999999999999</v>
      </c>
      <c r="BD129" s="198">
        <f t="shared" si="3366"/>
        <v>347</v>
      </c>
      <c r="BE129" s="225">
        <f t="shared" ref="BE129:BE136" si="3395">BD129/BD$126</f>
        <v>0.46639999999999998</v>
      </c>
      <c r="BF129" s="226">
        <f t="shared" ref="BF129:BF136" si="3396">BF$126*BE129</f>
        <v>662.29</v>
      </c>
      <c r="BG129" s="137">
        <f t="shared" ref="BG129:BG136" si="3397">IF(BD129&gt;0,BF129/BD129,0)</f>
        <v>1.90861671</v>
      </c>
      <c r="BH129" s="227">
        <f t="shared" ref="BH129" si="3398">BH$126</f>
        <v>33.75</v>
      </c>
      <c r="BI129" s="138">
        <f t="shared" ref="BI129:BI136" si="3399">BG129*BH129</f>
        <v>64.415809999999993</v>
      </c>
      <c r="BJ129" s="110">
        <f t="shared" ref="BJ129:BJ136" si="3400">BI129*BD129</f>
        <v>22352.29</v>
      </c>
      <c r="BK129" s="110"/>
      <c r="BL129" s="139"/>
      <c r="BM129" s="140">
        <f t="shared" ref="BM129:BM136" si="3401">BI129/$LI129</f>
        <v>1.0382800000000001</v>
      </c>
      <c r="BN129" s="198">
        <f t="shared" si="3366"/>
        <v>254</v>
      </c>
      <c r="BO129" s="225">
        <f t="shared" ref="BO129:BO136" si="3402">BN129/BN$126</f>
        <v>0.41166999999999998</v>
      </c>
      <c r="BP129" s="226">
        <f t="shared" ref="BP129:BP136" si="3403">BP$126*BO129</f>
        <v>502.24</v>
      </c>
      <c r="BQ129" s="137">
        <f t="shared" ref="BQ129:BQ136" si="3404">IF(BN129&gt;0,BP129/BN129,0)</f>
        <v>1.9773228300000001</v>
      </c>
      <c r="BR129" s="227">
        <f t="shared" ref="BR129" si="3405">BR$126</f>
        <v>32.79</v>
      </c>
      <c r="BS129" s="138">
        <f t="shared" ref="BS129:BS136" si="3406">BQ129*BR129</f>
        <v>64.836420000000004</v>
      </c>
      <c r="BT129" s="110">
        <f t="shared" ref="BT129:BT136" si="3407">BS129*BN129</f>
        <v>16468.45</v>
      </c>
      <c r="BU129" s="110"/>
      <c r="BV129" s="139"/>
      <c r="BW129" s="140">
        <f t="shared" ref="BW129:BW136" si="3408">BS129/$LI129</f>
        <v>1.0450600000000001</v>
      </c>
      <c r="BX129" s="198">
        <f t="shared" si="3366"/>
        <v>310</v>
      </c>
      <c r="BY129" s="225">
        <f t="shared" ref="BY129:BY136" si="3409">BX129/BX$126</f>
        <v>0.39340000000000003</v>
      </c>
      <c r="BZ129" s="226">
        <f t="shared" ref="BZ129:BZ136" si="3410">BZ$126*BY129</f>
        <v>578.29999999999995</v>
      </c>
      <c r="CA129" s="137">
        <f t="shared" ref="CA129:CA136" si="3411">IF(BX129&gt;0,BZ129/BX129,0)</f>
        <v>1.86548387</v>
      </c>
      <c r="CB129" s="227">
        <f t="shared" ref="CB129" si="3412">CB$126</f>
        <v>30.39</v>
      </c>
      <c r="CC129" s="138">
        <f t="shared" ref="CC129:CC136" si="3413">CA129*CB129</f>
        <v>56.692050000000002</v>
      </c>
      <c r="CD129" s="110">
        <f t="shared" ref="CD129:CD136" si="3414">CC129*BX129</f>
        <v>17574.54</v>
      </c>
      <c r="CE129" s="110"/>
      <c r="CF129" s="139"/>
      <c r="CG129" s="140">
        <f t="shared" ref="CG129:CG136" si="3415">CC129/$LI129</f>
        <v>0.91378999999999999</v>
      </c>
      <c r="CH129" s="198">
        <f t="shared" ref="CH129:EP136" si="3416">CH13</f>
        <v>382</v>
      </c>
      <c r="CI129" s="225">
        <f t="shared" ref="CI129:CI136" si="3417">CH129/CH$126</f>
        <v>0.41342000000000001</v>
      </c>
      <c r="CJ129" s="226">
        <f t="shared" ref="CJ129:CJ136" si="3418">CJ$126*CI129</f>
        <v>967.4</v>
      </c>
      <c r="CK129" s="137">
        <f t="shared" ref="CK129:CK136" si="3419">IF(CH129&gt;0,CJ129/CH129,0)</f>
        <v>2.5324607299999999</v>
      </c>
      <c r="CL129" s="227">
        <f t="shared" ref="CL129:ET136" si="3420">CL$126</f>
        <v>25.57</v>
      </c>
      <c r="CM129" s="138">
        <f t="shared" ref="CM129:CM136" si="3421">CK129*CL129</f>
        <v>64.755020000000002</v>
      </c>
      <c r="CN129" s="110">
        <f t="shared" ref="CN129:CN136" si="3422">CM129*CH129</f>
        <v>24736.42</v>
      </c>
      <c r="CO129" s="110"/>
      <c r="CP129" s="139"/>
      <c r="CQ129" s="140">
        <f t="shared" ref="CQ129:CQ136" si="3423">CM129/$LI129</f>
        <v>1.04375</v>
      </c>
      <c r="CR129" s="198">
        <f t="shared" si="3416"/>
        <v>310</v>
      </c>
      <c r="CS129" s="225">
        <f t="shared" ref="CS129:CS136" si="3424">CR129/CR$126</f>
        <v>0.41666999999999998</v>
      </c>
      <c r="CT129" s="226">
        <f t="shared" ref="CT129:CT136" si="3425">CT$126*CS129</f>
        <v>500.42</v>
      </c>
      <c r="CU129" s="137">
        <f t="shared" ref="CU129:CU136" si="3426">IF(CR129&gt;0,CT129/CR129,0)</f>
        <v>1.6142580600000001</v>
      </c>
      <c r="CV129" s="227">
        <f t="shared" ref="CV129" si="3427">CV$126</f>
        <v>28.26</v>
      </c>
      <c r="CW129" s="138">
        <f t="shared" ref="CW129:CW136" si="3428">CU129*CV129</f>
        <v>45.618929999999999</v>
      </c>
      <c r="CX129" s="110">
        <f t="shared" ref="CX129:CX136" si="3429">CW129*CR129</f>
        <v>14141.87</v>
      </c>
      <c r="CY129" s="110"/>
      <c r="CZ129" s="139"/>
      <c r="DA129" s="140">
        <f t="shared" ref="DA129:DA136" si="3430">CW129/$LI129</f>
        <v>0.73531000000000002</v>
      </c>
      <c r="DB129" s="198">
        <f t="shared" si="3416"/>
        <v>357</v>
      </c>
      <c r="DC129" s="225">
        <f t="shared" ref="DC129:DC136" si="3431">DB129/DB$126</f>
        <v>0.43273</v>
      </c>
      <c r="DD129" s="226">
        <f t="shared" ref="DD129:DD136" si="3432">DD$126*DC129</f>
        <v>482.06</v>
      </c>
      <c r="DE129" s="137">
        <f t="shared" ref="DE129:DE136" si="3433">IF(DB129&gt;0,DD129/DB129,0)</f>
        <v>1.35030812</v>
      </c>
      <c r="DF129" s="227">
        <f t="shared" ref="DF129" si="3434">DF$126</f>
        <v>31.22</v>
      </c>
      <c r="DG129" s="138">
        <f t="shared" ref="DG129:DG136" si="3435">DE129*DF129</f>
        <v>42.156619999999997</v>
      </c>
      <c r="DH129" s="110">
        <f t="shared" ref="DH129:DH136" si="3436">DG129*DB129</f>
        <v>15049.91</v>
      </c>
      <c r="DI129" s="110"/>
      <c r="DJ129" s="139"/>
      <c r="DK129" s="140">
        <f t="shared" ref="DK129:DK136" si="3437">DG129/$LI129</f>
        <v>0.67949999999999999</v>
      </c>
      <c r="DL129" s="198">
        <f t="shared" si="3416"/>
        <v>0</v>
      </c>
      <c r="DM129" s="225">
        <f t="shared" ref="DM129:DM136" si="3438">DL129/DL$126</f>
        <v>0</v>
      </c>
      <c r="DN129" s="226">
        <f t="shared" ref="DN129:DN136" si="3439">DN$126*DM129</f>
        <v>0</v>
      </c>
      <c r="DO129" s="137">
        <f t="shared" ref="DO129:DO136" si="3440">IF(DL129&gt;0,DN129/DL129,0)</f>
        <v>0</v>
      </c>
      <c r="DP129" s="227">
        <f t="shared" ref="DP129" si="3441">DP$126</f>
        <v>33.9</v>
      </c>
      <c r="DQ129" s="138">
        <f t="shared" ref="DQ129:DQ136" si="3442">DO129*DP129</f>
        <v>0</v>
      </c>
      <c r="DR129" s="110">
        <f t="shared" ref="DR129:DR136" si="3443">DQ129*DL129</f>
        <v>0</v>
      </c>
      <c r="DS129" s="110"/>
      <c r="DT129" s="139"/>
      <c r="DU129" s="140">
        <f t="shared" ref="DU129:DU136" si="3444">DQ129/$LI129</f>
        <v>0</v>
      </c>
      <c r="DV129" s="198">
        <f t="shared" si="3416"/>
        <v>361</v>
      </c>
      <c r="DW129" s="225">
        <f t="shared" ref="DW129:DW136" si="3445">DV129/DV$126</f>
        <v>0.41116000000000003</v>
      </c>
      <c r="DX129" s="226">
        <f t="shared" ref="DX129:DX136" si="3446">DX$126*DW129</f>
        <v>546.84</v>
      </c>
      <c r="DY129" s="137">
        <f t="shared" ref="DY129:DY136" si="3447">IF(DV129&gt;0,DX129/DV129,0)</f>
        <v>1.51479224</v>
      </c>
      <c r="DZ129" s="227">
        <f t="shared" ref="DZ129" si="3448">DZ$126</f>
        <v>12.79</v>
      </c>
      <c r="EA129" s="138">
        <f t="shared" ref="EA129:EA136" si="3449">DY129*DZ129</f>
        <v>19.374189999999999</v>
      </c>
      <c r="EB129" s="110">
        <f t="shared" ref="EB129:EB136" si="3450">EA129*DV129</f>
        <v>6994.08</v>
      </c>
      <c r="EC129" s="110"/>
      <c r="ED129" s="139"/>
      <c r="EE129" s="140">
        <f t="shared" ref="EE129:EE136" si="3451">EA129/$LI129</f>
        <v>0.31228</v>
      </c>
      <c r="EF129" s="198">
        <f t="shared" si="3416"/>
        <v>363</v>
      </c>
      <c r="EG129" s="225">
        <f t="shared" ref="EG129:EG136" si="3452">EF129/EF$126</f>
        <v>0.38657999999999998</v>
      </c>
      <c r="EH129" s="226">
        <f t="shared" ref="EH129:EH136" si="3453">EH$126*EG129</f>
        <v>355.65</v>
      </c>
      <c r="EI129" s="137">
        <f t="shared" ref="EI129:EI136" si="3454">IF(EF129&gt;0,EH129/EF129,0)</f>
        <v>0.97975206999999997</v>
      </c>
      <c r="EJ129" s="227">
        <f t="shared" ref="EJ129" si="3455">EJ$126</f>
        <v>23.18</v>
      </c>
      <c r="EK129" s="138">
        <f t="shared" ref="EK129:EK136" si="3456">EI129*EJ129</f>
        <v>22.710650000000001</v>
      </c>
      <c r="EL129" s="110">
        <f t="shared" ref="EL129:EL136" si="3457">EK129*EF129</f>
        <v>8243.9699999999993</v>
      </c>
      <c r="EM129" s="110"/>
      <c r="EN129" s="139"/>
      <c r="EO129" s="140">
        <f t="shared" ref="EO129:EO136" si="3458">EK129/$LI129</f>
        <v>0.36606</v>
      </c>
      <c r="EP129" s="198">
        <f t="shared" si="3416"/>
        <v>400</v>
      </c>
      <c r="EQ129" s="225">
        <f t="shared" ref="EQ129:EQ136" si="3459">EP129/EP$126</f>
        <v>0.42418</v>
      </c>
      <c r="ER129" s="226">
        <f t="shared" ref="ER129:ER136" si="3460">ER$126*EQ129</f>
        <v>924.71</v>
      </c>
      <c r="ES129" s="137">
        <f t="shared" ref="ES129:ES136" si="3461">IF(EP129&gt;0,ER129/EP129,0)</f>
        <v>2.3117749999999999</v>
      </c>
      <c r="ET129" s="227">
        <f t="shared" ref="ET129" si="3462">ET$126</f>
        <v>30.66</v>
      </c>
      <c r="EU129" s="138">
        <f t="shared" ref="EU129:EU136" si="3463">ES129*ET129</f>
        <v>70.879019999999997</v>
      </c>
      <c r="EV129" s="110">
        <f t="shared" ref="EV129:EV136" si="3464">EU129*EP129</f>
        <v>28351.61</v>
      </c>
      <c r="EW129" s="110"/>
      <c r="EX129" s="139"/>
      <c r="EY129" s="140">
        <f t="shared" ref="EY129:EY136" si="3465">EU129/$LI129</f>
        <v>1.14246</v>
      </c>
      <c r="EZ129" s="198">
        <f t="shared" ref="EZ129:HH136" si="3466">EZ13</f>
        <v>576</v>
      </c>
      <c r="FA129" s="225">
        <f t="shared" ref="FA129:FA136" si="3467">EZ129/EZ$126</f>
        <v>0.51566999999999996</v>
      </c>
      <c r="FB129" s="226">
        <f t="shared" ref="FB129:FB136" si="3468">FB$126*FA129</f>
        <v>928.21</v>
      </c>
      <c r="FC129" s="137">
        <f t="shared" ref="FC129:FC136" si="3469">IF(EZ129&gt;0,FB129/EZ129,0)</f>
        <v>1.61147569</v>
      </c>
      <c r="FD129" s="227">
        <f t="shared" ref="FD129:GH136" si="3470">FD$126</f>
        <v>34.119999999999997</v>
      </c>
      <c r="FE129" s="138">
        <f t="shared" ref="FE129:FE136" si="3471">FC129*FD129</f>
        <v>54.983550000000001</v>
      </c>
      <c r="FF129" s="110">
        <f t="shared" ref="FF129:FF136" si="3472">FE129*EZ129</f>
        <v>31670.52</v>
      </c>
      <c r="FG129" s="110"/>
      <c r="FH129" s="139"/>
      <c r="FI129" s="140">
        <f t="shared" ref="FI129:FI136" si="3473">FE129/$LI129</f>
        <v>0.88624999999999998</v>
      </c>
      <c r="FJ129" s="198">
        <f t="shared" si="3466"/>
        <v>408</v>
      </c>
      <c r="FK129" s="225">
        <f t="shared" ref="FK129:FK136" si="3474">FJ129/FJ$126</f>
        <v>0.39922000000000002</v>
      </c>
      <c r="FL129" s="226">
        <f t="shared" ref="FL129:FL136" si="3475">FL$126*FK129</f>
        <v>686.66</v>
      </c>
      <c r="FM129" s="137">
        <f t="shared" ref="FM129:FM136" si="3476">IF(FJ129&gt;0,FL129/FJ129,0)</f>
        <v>1.6829902000000001</v>
      </c>
      <c r="FN129" s="227">
        <f t="shared" ref="FN129" si="3477">FN$126</f>
        <v>18.39</v>
      </c>
      <c r="FO129" s="138">
        <f t="shared" ref="FO129:FO136" si="3478">FM129*FN129</f>
        <v>30.950189999999999</v>
      </c>
      <c r="FP129" s="110">
        <f t="shared" ref="FP129:FP136" si="3479">FO129*FJ129</f>
        <v>12627.68</v>
      </c>
      <c r="FQ129" s="110"/>
      <c r="FR129" s="139"/>
      <c r="FS129" s="140">
        <f t="shared" ref="FS129:FS136" si="3480">FO129/$LI129</f>
        <v>0.49886999999999998</v>
      </c>
      <c r="FT129" s="198">
        <f t="shared" si="3466"/>
        <v>342</v>
      </c>
      <c r="FU129" s="225">
        <f t="shared" ref="FU129:FU136" si="3481">FT129/FT$126</f>
        <v>0.4259</v>
      </c>
      <c r="FV129" s="226">
        <f t="shared" ref="FV129:FV136" si="3482">FV$126*FU129</f>
        <v>606.48</v>
      </c>
      <c r="FW129" s="137">
        <f t="shared" ref="FW129:FW136" si="3483">IF(FT129&gt;0,FV129/FT129,0)</f>
        <v>1.77333333</v>
      </c>
      <c r="FX129" s="227">
        <f t="shared" ref="FX129" si="3484">FX$126</f>
        <v>32.619999999999997</v>
      </c>
      <c r="FY129" s="138">
        <f t="shared" ref="FY129:FY136" si="3485">FW129*FX129</f>
        <v>57.846130000000002</v>
      </c>
      <c r="FZ129" s="110">
        <f t="shared" ref="FZ129:FZ136" si="3486">FY129*FT129</f>
        <v>19783.38</v>
      </c>
      <c r="GA129" s="110"/>
      <c r="GB129" s="139"/>
      <c r="GC129" s="140">
        <f t="shared" ref="GC129:GC136" si="3487">FY129/$LI129</f>
        <v>0.93239000000000005</v>
      </c>
      <c r="GD129" s="198">
        <f t="shared" si="3466"/>
        <v>164</v>
      </c>
      <c r="GE129" s="225">
        <f t="shared" ref="GE129:GE136" si="3488">GD129/GD$126</f>
        <v>0.32030999999999998</v>
      </c>
      <c r="GF129" s="226">
        <f t="shared" ref="GF129:GF136" si="3489">GF$126*GE129</f>
        <v>275.47000000000003</v>
      </c>
      <c r="GG129" s="137">
        <f t="shared" ref="GG129:GG136" si="3490">IF(GD129&gt;0,GF129/GD129,0)</f>
        <v>1.6796951200000001</v>
      </c>
      <c r="GH129" s="227">
        <f t="shared" ref="GH129" si="3491">GH$126</f>
        <v>33.28</v>
      </c>
      <c r="GI129" s="138">
        <f t="shared" ref="GI129:GI136" si="3492">GG129*GH129</f>
        <v>55.90025</v>
      </c>
      <c r="GJ129" s="110">
        <f t="shared" ref="GJ129:GJ136" si="3493">GI129*GD129</f>
        <v>9167.64</v>
      </c>
      <c r="GK129" s="110"/>
      <c r="GL129" s="139"/>
      <c r="GM129" s="140">
        <f t="shared" ref="GM129:GM136" si="3494">GI129/$LI129</f>
        <v>0.90103</v>
      </c>
      <c r="GN129" s="198">
        <f t="shared" si="3466"/>
        <v>353</v>
      </c>
      <c r="GO129" s="225">
        <f t="shared" ref="GO129:GO136" si="3495">GN129/GN$126</f>
        <v>0.40855999999999998</v>
      </c>
      <c r="GP129" s="226">
        <f t="shared" ref="GP129:GP136" si="3496">GP$126*GO129</f>
        <v>1123.54</v>
      </c>
      <c r="GQ129" s="137">
        <f t="shared" ref="GQ129:GQ136" si="3497">IF(GN129&gt;0,GP129/GN129,0)</f>
        <v>3.18283286</v>
      </c>
      <c r="GR129" s="227">
        <f t="shared" ref="GR129:HV136" si="3498">GR$126</f>
        <v>30.78</v>
      </c>
      <c r="GS129" s="138">
        <f t="shared" ref="GS129:GS136" si="3499">GQ129*GR129</f>
        <v>97.967600000000004</v>
      </c>
      <c r="GT129" s="110">
        <f t="shared" ref="GT129:GT136" si="3500">GS129*GN129</f>
        <v>34582.559999999998</v>
      </c>
      <c r="GU129" s="110"/>
      <c r="GV129" s="139"/>
      <c r="GW129" s="140">
        <f t="shared" ref="GW129:GW136" si="3501">GS129/$LI129</f>
        <v>1.5790900000000001</v>
      </c>
      <c r="GX129" s="198">
        <f t="shared" si="3466"/>
        <v>712</v>
      </c>
      <c r="GY129" s="225">
        <f t="shared" ref="GY129:GY136" si="3502">GX129/GX$126</f>
        <v>0.43924000000000002</v>
      </c>
      <c r="GZ129" s="226">
        <f t="shared" ref="GZ129:GZ136" si="3503">GZ$126*GY129</f>
        <v>1955.94</v>
      </c>
      <c r="HA129" s="137">
        <f t="shared" ref="HA129:HA136" si="3504">IF(GX129&gt;0,GZ129/GX129,0)</f>
        <v>2.74710674</v>
      </c>
      <c r="HB129" s="227">
        <f t="shared" ref="HB129" si="3505">HB$126</f>
        <v>21.23</v>
      </c>
      <c r="HC129" s="138">
        <f t="shared" ref="HC129:HC136" si="3506">HA129*HB129</f>
        <v>58.321080000000002</v>
      </c>
      <c r="HD129" s="110">
        <f t="shared" ref="HD129:HD136" si="3507">HC129*GX129</f>
        <v>41524.61</v>
      </c>
      <c r="HE129" s="110"/>
      <c r="HF129" s="139"/>
      <c r="HG129" s="140">
        <f t="shared" ref="HG129:HG136" si="3508">HC129/$LI129</f>
        <v>0.94005000000000005</v>
      </c>
      <c r="HH129" s="198">
        <f t="shared" si="3466"/>
        <v>508</v>
      </c>
      <c r="HI129" s="225">
        <f t="shared" ref="HI129:HI136" si="3509">HH129/HH$126</f>
        <v>0.44096999999999997</v>
      </c>
      <c r="HJ129" s="226">
        <f t="shared" ref="HJ129:HJ136" si="3510">HJ$126*HI129</f>
        <v>1468.43</v>
      </c>
      <c r="HK129" s="137">
        <f t="shared" ref="HK129:HK136" si="3511">IF(HH129&gt;0,HJ129/HH129,0)</f>
        <v>2.89061024</v>
      </c>
      <c r="HL129" s="227">
        <f t="shared" ref="HL129" si="3512">HL$126</f>
        <v>28.23</v>
      </c>
      <c r="HM129" s="138">
        <f t="shared" ref="HM129:HM136" si="3513">HK129*HL129</f>
        <v>81.601929999999996</v>
      </c>
      <c r="HN129" s="110">
        <f t="shared" ref="HN129:HN136" si="3514">HM129*HH129</f>
        <v>41453.78</v>
      </c>
      <c r="HO129" s="110"/>
      <c r="HP129" s="139"/>
      <c r="HQ129" s="140">
        <f t="shared" ref="HQ129:HQ136" si="3515">HM129/$LI129</f>
        <v>1.3152999999999999</v>
      </c>
      <c r="HR129" s="198">
        <f t="shared" ref="HR129:JZ136" si="3516">HR13</f>
        <v>331</v>
      </c>
      <c r="HS129" s="225">
        <f t="shared" ref="HS129:HS136" si="3517">HR129/HR$126</f>
        <v>0.42004999999999998</v>
      </c>
      <c r="HT129" s="226">
        <f t="shared" ref="HT129:HT136" si="3518">HT$126*HS129</f>
        <v>378.05</v>
      </c>
      <c r="HU129" s="137">
        <f t="shared" ref="HU129:HU136" si="3519">IF(HR129&gt;0,HT129/HR129,0)</f>
        <v>1.1421450200000001</v>
      </c>
      <c r="HV129" s="227">
        <f t="shared" ref="HV129" si="3520">HV$126</f>
        <v>31.27</v>
      </c>
      <c r="HW129" s="138">
        <f t="shared" ref="HW129:HW136" si="3521">HU129*HV129</f>
        <v>35.714869999999998</v>
      </c>
      <c r="HX129" s="110">
        <f t="shared" ref="HX129:HX136" si="3522">HW129*HR129</f>
        <v>11821.62</v>
      </c>
      <c r="HY129" s="110"/>
      <c r="HZ129" s="139"/>
      <c r="IA129" s="140">
        <f t="shared" ref="IA129:IA136" si="3523">HW129/$LI129</f>
        <v>0.57567000000000002</v>
      </c>
      <c r="IB129" s="198">
        <f t="shared" si="3516"/>
        <v>208</v>
      </c>
      <c r="IC129" s="225">
        <f t="shared" ref="IC129:IC136" si="3524">IB129/IB$126</f>
        <v>0.37956000000000001</v>
      </c>
      <c r="ID129" s="226">
        <f t="shared" ref="ID129:ID136" si="3525">ID$126*IC129</f>
        <v>163.21</v>
      </c>
      <c r="IE129" s="137">
        <f t="shared" ref="IE129:IE136" si="3526">IF(IB129&gt;0,ID129/IB129,0)</f>
        <v>0.78466345999999998</v>
      </c>
      <c r="IF129" s="227">
        <f t="shared" ref="IF129:JJ136" si="3527">IF$126</f>
        <v>28.65</v>
      </c>
      <c r="IG129" s="138">
        <f t="shared" ref="IG129:IG136" si="3528">IE129*IF129</f>
        <v>22.480609999999999</v>
      </c>
      <c r="IH129" s="110">
        <f t="shared" ref="IH129:IH136" si="3529">IG129*IB129</f>
        <v>4675.97</v>
      </c>
      <c r="II129" s="110"/>
      <c r="IJ129" s="139"/>
      <c r="IK129" s="140">
        <f t="shared" ref="IK129:IK136" si="3530">IG129/$LI129</f>
        <v>0.36235000000000001</v>
      </c>
      <c r="IL129" s="198">
        <f t="shared" si="3516"/>
        <v>599</v>
      </c>
      <c r="IM129" s="225">
        <f t="shared" ref="IM129:IM136" si="3531">IL129/IL$126</f>
        <v>0.47352</v>
      </c>
      <c r="IN129" s="226">
        <f t="shared" ref="IN129:IN136" si="3532">IN$126*IM129</f>
        <v>1393.1</v>
      </c>
      <c r="IO129" s="137">
        <f t="shared" ref="IO129:IO136" si="3533">IF(IL129&gt;0,IN129/IL129,0)</f>
        <v>2.3257095200000002</v>
      </c>
      <c r="IP129" s="227">
        <f t="shared" ref="IP129" si="3534">IP$126</f>
        <v>33.04</v>
      </c>
      <c r="IQ129" s="138">
        <f t="shared" ref="IQ129:IQ136" si="3535">IO129*IP129</f>
        <v>76.841440000000006</v>
      </c>
      <c r="IR129" s="110">
        <f t="shared" ref="IR129:IR136" si="3536">IQ129*IL129</f>
        <v>46028.02</v>
      </c>
      <c r="IS129" s="110"/>
      <c r="IT129" s="139"/>
      <c r="IU129" s="140">
        <f t="shared" ref="IU129:IU136" si="3537">IQ129/$LI129</f>
        <v>1.2385600000000001</v>
      </c>
      <c r="IV129" s="198">
        <f t="shared" si="3516"/>
        <v>297</v>
      </c>
      <c r="IW129" s="225">
        <f t="shared" ref="IW129:IW136" si="3538">IV129/IV$126</f>
        <v>0.38521</v>
      </c>
      <c r="IX129" s="226">
        <f t="shared" ref="IX129:IX136" si="3539">IX$126*IW129</f>
        <v>616.34</v>
      </c>
      <c r="IY129" s="137">
        <f t="shared" ref="IY129:IY136" si="3540">IF(IV129&gt;0,IX129/IV129,0)</f>
        <v>2.0752188600000001</v>
      </c>
      <c r="IZ129" s="227">
        <f t="shared" ref="IZ129" si="3541">IZ$126</f>
        <v>33.36</v>
      </c>
      <c r="JA129" s="138">
        <f t="shared" ref="JA129:JA136" si="3542">IY129*IZ129</f>
        <v>69.229299999999995</v>
      </c>
      <c r="JB129" s="110">
        <f t="shared" ref="JB129:JB136" si="3543">JA129*IV129</f>
        <v>20561.099999999999</v>
      </c>
      <c r="JC129" s="110"/>
      <c r="JD129" s="139"/>
      <c r="JE129" s="140">
        <f t="shared" ref="JE129:JE136" si="3544">JA129/$LI129</f>
        <v>1.1158699999999999</v>
      </c>
      <c r="JF129" s="198">
        <f t="shared" si="3516"/>
        <v>607</v>
      </c>
      <c r="JG129" s="225">
        <f t="shared" ref="JG129:JG136" si="3545">JF129/JF$126</f>
        <v>0.45265</v>
      </c>
      <c r="JH129" s="226">
        <f t="shared" ref="JH129:JH136" si="3546">JH$126*JG129</f>
        <v>1729.12</v>
      </c>
      <c r="JI129" s="137">
        <f t="shared" ref="JI129:JI136" si="3547">IF(JF129&gt;0,JH129/JF129,0)</f>
        <v>2.8486326200000001</v>
      </c>
      <c r="JJ129" s="227">
        <f t="shared" ref="JJ129" si="3548">JJ$126</f>
        <v>21.96</v>
      </c>
      <c r="JK129" s="138">
        <f t="shared" ref="JK129:JK136" si="3549">JI129*JJ129</f>
        <v>62.555970000000002</v>
      </c>
      <c r="JL129" s="110">
        <f t="shared" ref="JL129:JL136" si="3550">JK129*JF129</f>
        <v>37971.47</v>
      </c>
      <c r="JM129" s="110"/>
      <c r="JN129" s="139"/>
      <c r="JO129" s="140">
        <f t="shared" ref="JO129:JO136" si="3551">JK129/$LI129</f>
        <v>1.0083</v>
      </c>
      <c r="JP129" s="198">
        <f t="shared" si="3516"/>
        <v>567</v>
      </c>
      <c r="JQ129" s="225">
        <f t="shared" ref="JQ129:JQ136" si="3552">JP129/JP$126</f>
        <v>0.45395999999999997</v>
      </c>
      <c r="JR129" s="226">
        <f t="shared" ref="JR129:JR136" si="3553">JR$126*JQ129</f>
        <v>1725.05</v>
      </c>
      <c r="JS129" s="137">
        <f t="shared" ref="JS129:JS136" si="3554">IF(JP129&gt;0,JR129/JP129,0)</f>
        <v>3.0424162300000002</v>
      </c>
      <c r="JT129" s="227">
        <f t="shared" ref="JT129:KX136" si="3555">JT$126</f>
        <v>35.700000000000003</v>
      </c>
      <c r="JU129" s="138">
        <f t="shared" ref="JU129:JU136" si="3556">JS129*JT129</f>
        <v>108.61426</v>
      </c>
      <c r="JV129" s="110">
        <f t="shared" ref="JV129:JV136" si="3557">JU129*JP129</f>
        <v>61584.29</v>
      </c>
      <c r="JW129" s="110"/>
      <c r="JX129" s="139"/>
      <c r="JY129" s="140">
        <f t="shared" ref="JY129:JY136" si="3558">JU129/$LI129</f>
        <v>1.7506900000000001</v>
      </c>
      <c r="JZ129" s="198">
        <f t="shared" si="3516"/>
        <v>523</v>
      </c>
      <c r="KA129" s="225">
        <f t="shared" ref="KA129:KA136" si="3559">JZ129/JZ$126</f>
        <v>0.44969999999999999</v>
      </c>
      <c r="KB129" s="226">
        <f t="shared" ref="KB129:KB136" si="3560">KB$126*KA129</f>
        <v>1196.2</v>
      </c>
      <c r="KC129" s="137">
        <f t="shared" ref="KC129:KC136" si="3561">IF(JZ129&gt;0,KB129/JZ129,0)</f>
        <v>2.2871892900000002</v>
      </c>
      <c r="KD129" s="227">
        <f t="shared" ref="KD129" si="3562">KD$126</f>
        <v>30.3</v>
      </c>
      <c r="KE129" s="138">
        <f t="shared" ref="KE129:KE136" si="3563">KC129*KD129</f>
        <v>69.301839999999999</v>
      </c>
      <c r="KF129" s="110">
        <f t="shared" ref="KF129:KF136" si="3564">KE129*JZ129</f>
        <v>36244.86</v>
      </c>
      <c r="KG129" s="110"/>
      <c r="KH129" s="139"/>
      <c r="KI129" s="140">
        <f t="shared" ref="KI129:KI136" si="3565">KE129/$LI129</f>
        <v>1.11704</v>
      </c>
      <c r="KJ129" s="198">
        <f t="shared" ref="KJ129:KT136" si="3566">KJ13</f>
        <v>600</v>
      </c>
      <c r="KK129" s="225">
        <f t="shared" ref="KK129:KK136" si="3567">KJ129/KJ$126</f>
        <v>0.44742999999999999</v>
      </c>
      <c r="KL129" s="226">
        <f t="shared" ref="KL129:KL136" si="3568">KL$126*KK129</f>
        <v>1187.03</v>
      </c>
      <c r="KM129" s="137">
        <f t="shared" ref="KM129:KM136" si="3569">IF(KJ129&gt;0,KL129/KJ129,0)</f>
        <v>1.97838333</v>
      </c>
      <c r="KN129" s="227">
        <f t="shared" ref="KN129" si="3570">KN$126</f>
        <v>30.43</v>
      </c>
      <c r="KO129" s="138">
        <f t="shared" ref="KO129:KO136" si="3571">KM129*KN129</f>
        <v>60.202199999999998</v>
      </c>
      <c r="KP129" s="110">
        <f t="shared" ref="KP129:KP136" si="3572">KO129*KJ129</f>
        <v>36121.32</v>
      </c>
      <c r="KQ129" s="110"/>
      <c r="KR129" s="139"/>
      <c r="KS129" s="140">
        <f t="shared" ref="KS129:KS136" si="3573">KO129/$LI129</f>
        <v>0.97036999999999995</v>
      </c>
      <c r="KT129" s="198">
        <f t="shared" si="3566"/>
        <v>553</v>
      </c>
      <c r="KU129" s="225">
        <f t="shared" ref="KU129:KU136" si="3574">KT129/KT$126</f>
        <v>0.49198999999999998</v>
      </c>
      <c r="KV129" s="226">
        <f t="shared" ref="KV129:KV136" si="3575">KV$126*KU129</f>
        <v>3114.3</v>
      </c>
      <c r="KW129" s="137">
        <f t="shared" ref="KW129:KW136" si="3576">IF(KT129&gt;0,KV129/KT129,0)</f>
        <v>5.6316455699999999</v>
      </c>
      <c r="KX129" s="227">
        <f t="shared" ref="KX129" si="3577">KX$126</f>
        <v>34.299999999999997</v>
      </c>
      <c r="KY129" s="138">
        <f t="shared" ref="KY129:KY136" si="3578">KW129*KX129</f>
        <v>193.16543999999999</v>
      </c>
      <c r="KZ129" s="110">
        <f t="shared" ref="KZ129:KZ136" si="3579">KY129*KT129</f>
        <v>106820.49</v>
      </c>
      <c r="LA129" s="110"/>
      <c r="LB129" s="139"/>
      <c r="LC129" s="140">
        <f t="shared" ref="LC129:LC136" si="3580">KY129/$LI129</f>
        <v>3.1135299999999999</v>
      </c>
      <c r="LD129" s="197">
        <f t="shared" ref="LD129:LD154" si="3581">F129+P129+Z129+AJ129+AT129+BD129+BN129+BX129+CH129+CR129+DB129+DL129+DV129+EF129+EP129+EZ129+FJ129+FT129+GD129+GN129+GX129+HH129+HR129+IB129+IL129+IV129+JF129+JP129+JZ129+KJ129+KT129</f>
        <v>12101</v>
      </c>
      <c r="LE129" s="225">
        <f t="shared" ref="LE129:LE154" si="3582">LD129/LD$126</f>
        <v>0.42393999999999998</v>
      </c>
      <c r="LF129" s="226">
        <f t="shared" ref="LF129:LF154" si="3583">LF$126*LE129</f>
        <v>25986.67</v>
      </c>
      <c r="LG129" s="137">
        <f t="shared" ref="LG129:LG154" si="3584">IF(LD129&gt;0,LF129/LD129,0)</f>
        <v>2.1474812000000001</v>
      </c>
      <c r="LH129" s="227">
        <f t="shared" ref="LH129:LH154" si="3585">LH$126</f>
        <v>28.89</v>
      </c>
      <c r="LI129" s="138">
        <f t="shared" ref="LI129:LI154" si="3586">LG129*LH129</f>
        <v>62.040730000000003</v>
      </c>
      <c r="LJ129" s="110">
        <f t="shared" ref="LJ129:LJ155" si="3587">LI129*LD129</f>
        <v>750754.87</v>
      </c>
      <c r="LK129" s="110"/>
      <c r="LL129" s="139"/>
    </row>
    <row r="130" spans="1:324" ht="26.25" hidden="1" customHeight="1" x14ac:dyDescent="0.25">
      <c r="A130" s="246"/>
      <c r="B130" s="92" t="s">
        <v>610</v>
      </c>
      <c r="C130" s="12" t="s">
        <v>728</v>
      </c>
      <c r="D130" s="12" t="s">
        <v>430</v>
      </c>
      <c r="E130" s="4" t="s">
        <v>32</v>
      </c>
      <c r="F130" s="198">
        <f t="shared" si="3361"/>
        <v>0</v>
      </c>
      <c r="G130" s="225">
        <f t="shared" ref="G130:G154" si="3588">F130/F$126</f>
        <v>0</v>
      </c>
      <c r="H130" s="226">
        <f t="shared" ref="H130:H154" si="3589">H$126*G130</f>
        <v>0</v>
      </c>
      <c r="I130" s="137">
        <f t="shared" si="3362"/>
        <v>0</v>
      </c>
      <c r="J130" s="227">
        <f t="shared" ref="J130:J154" si="3590">J$126</f>
        <v>19.559999999999999</v>
      </c>
      <c r="K130" s="138">
        <f t="shared" si="3363"/>
        <v>0</v>
      </c>
      <c r="L130" s="110">
        <f t="shared" si="3364"/>
        <v>0</v>
      </c>
      <c r="M130" s="110"/>
      <c r="N130" s="139"/>
      <c r="O130" s="140" t="e">
        <f t="shared" si="3365"/>
        <v>#DIV/0!</v>
      </c>
      <c r="P130" s="198">
        <f t="shared" si="3366"/>
        <v>0</v>
      </c>
      <c r="Q130" s="225">
        <f t="shared" si="3367"/>
        <v>0</v>
      </c>
      <c r="R130" s="226">
        <f t="shared" si="3368"/>
        <v>0</v>
      </c>
      <c r="S130" s="137">
        <f t="shared" si="3369"/>
        <v>0</v>
      </c>
      <c r="T130" s="227">
        <f t="shared" si="3370"/>
        <v>14.76</v>
      </c>
      <c r="U130" s="138">
        <f t="shared" si="3371"/>
        <v>0</v>
      </c>
      <c r="V130" s="110">
        <f t="shared" si="3372"/>
        <v>0</v>
      </c>
      <c r="W130" s="110"/>
      <c r="X130" s="139"/>
      <c r="Y130" s="140" t="e">
        <f t="shared" si="3373"/>
        <v>#DIV/0!</v>
      </c>
      <c r="Z130" s="198">
        <f t="shared" si="3366"/>
        <v>0</v>
      </c>
      <c r="AA130" s="225">
        <f t="shared" si="3374"/>
        <v>0</v>
      </c>
      <c r="AB130" s="226">
        <f t="shared" si="3375"/>
        <v>0</v>
      </c>
      <c r="AC130" s="137">
        <f t="shared" si="3376"/>
        <v>0</v>
      </c>
      <c r="AD130" s="227">
        <f t="shared" si="3370"/>
        <v>33.520000000000003</v>
      </c>
      <c r="AE130" s="138">
        <f t="shared" si="3378"/>
        <v>0</v>
      </c>
      <c r="AF130" s="110">
        <f t="shared" si="3379"/>
        <v>0</v>
      </c>
      <c r="AG130" s="110"/>
      <c r="AH130" s="139"/>
      <c r="AI130" s="140" t="e">
        <f t="shared" si="3380"/>
        <v>#DIV/0!</v>
      </c>
      <c r="AJ130" s="198">
        <f t="shared" si="3366"/>
        <v>0</v>
      </c>
      <c r="AK130" s="225">
        <f t="shared" si="3381"/>
        <v>0</v>
      </c>
      <c r="AL130" s="226">
        <f t="shared" si="3382"/>
        <v>0</v>
      </c>
      <c r="AM130" s="137">
        <f t="shared" si="3383"/>
        <v>0</v>
      </c>
      <c r="AN130" s="227">
        <f t="shared" si="3370"/>
        <v>33.07</v>
      </c>
      <c r="AO130" s="138">
        <f t="shared" si="3385"/>
        <v>0</v>
      </c>
      <c r="AP130" s="110">
        <f t="shared" si="3386"/>
        <v>0</v>
      </c>
      <c r="AQ130" s="110"/>
      <c r="AR130" s="139"/>
      <c r="AS130" s="140" t="e">
        <f t="shared" si="3387"/>
        <v>#DIV/0!</v>
      </c>
      <c r="AT130" s="198">
        <f t="shared" si="3366"/>
        <v>0</v>
      </c>
      <c r="AU130" s="225">
        <f t="shared" si="3388"/>
        <v>0</v>
      </c>
      <c r="AV130" s="226">
        <f t="shared" si="3389"/>
        <v>0</v>
      </c>
      <c r="AW130" s="137">
        <f t="shared" si="3390"/>
        <v>0</v>
      </c>
      <c r="AX130" s="227">
        <f t="shared" si="3370"/>
        <v>28.2</v>
      </c>
      <c r="AY130" s="138">
        <f t="shared" si="3392"/>
        <v>0</v>
      </c>
      <c r="AZ130" s="110">
        <f t="shared" si="3393"/>
        <v>0</v>
      </c>
      <c r="BA130" s="110"/>
      <c r="BB130" s="139"/>
      <c r="BC130" s="140" t="e">
        <f t="shared" si="3394"/>
        <v>#DIV/0!</v>
      </c>
      <c r="BD130" s="198">
        <f t="shared" si="3366"/>
        <v>0</v>
      </c>
      <c r="BE130" s="225">
        <f t="shared" si="3395"/>
        <v>0</v>
      </c>
      <c r="BF130" s="226">
        <f t="shared" si="3396"/>
        <v>0</v>
      </c>
      <c r="BG130" s="137">
        <f t="shared" si="3397"/>
        <v>0</v>
      </c>
      <c r="BH130" s="227">
        <f t="shared" si="3370"/>
        <v>33.75</v>
      </c>
      <c r="BI130" s="138">
        <f t="shared" si="3399"/>
        <v>0</v>
      </c>
      <c r="BJ130" s="110">
        <f t="shared" si="3400"/>
        <v>0</v>
      </c>
      <c r="BK130" s="110"/>
      <c r="BL130" s="139"/>
      <c r="BM130" s="140" t="e">
        <f t="shared" si="3401"/>
        <v>#DIV/0!</v>
      </c>
      <c r="BN130" s="198">
        <f t="shared" si="3366"/>
        <v>0</v>
      </c>
      <c r="BO130" s="225">
        <f t="shared" si="3402"/>
        <v>0</v>
      </c>
      <c r="BP130" s="226">
        <f t="shared" si="3403"/>
        <v>0</v>
      </c>
      <c r="BQ130" s="137">
        <f t="shared" si="3404"/>
        <v>0</v>
      </c>
      <c r="BR130" s="227">
        <f t="shared" si="3370"/>
        <v>32.79</v>
      </c>
      <c r="BS130" s="138">
        <f t="shared" si="3406"/>
        <v>0</v>
      </c>
      <c r="BT130" s="110">
        <f t="shared" si="3407"/>
        <v>0</v>
      </c>
      <c r="BU130" s="110"/>
      <c r="BV130" s="139"/>
      <c r="BW130" s="140" t="e">
        <f t="shared" si="3408"/>
        <v>#DIV/0!</v>
      </c>
      <c r="BX130" s="198">
        <f t="shared" si="3366"/>
        <v>0</v>
      </c>
      <c r="BY130" s="225">
        <f t="shared" si="3409"/>
        <v>0</v>
      </c>
      <c r="BZ130" s="226">
        <f t="shared" si="3410"/>
        <v>0</v>
      </c>
      <c r="CA130" s="137">
        <f t="shared" si="3411"/>
        <v>0</v>
      </c>
      <c r="CB130" s="227">
        <f t="shared" si="3370"/>
        <v>30.39</v>
      </c>
      <c r="CC130" s="138">
        <f t="shared" si="3413"/>
        <v>0</v>
      </c>
      <c r="CD130" s="110">
        <f t="shared" si="3414"/>
        <v>0</v>
      </c>
      <c r="CE130" s="110"/>
      <c r="CF130" s="139"/>
      <c r="CG130" s="140" t="e">
        <f t="shared" si="3415"/>
        <v>#DIV/0!</v>
      </c>
      <c r="CH130" s="198">
        <f t="shared" si="3416"/>
        <v>0</v>
      </c>
      <c r="CI130" s="225">
        <f t="shared" si="3417"/>
        <v>0</v>
      </c>
      <c r="CJ130" s="226">
        <f t="shared" si="3418"/>
        <v>0</v>
      </c>
      <c r="CK130" s="137">
        <f t="shared" si="3419"/>
        <v>0</v>
      </c>
      <c r="CL130" s="227">
        <f t="shared" si="3420"/>
        <v>25.57</v>
      </c>
      <c r="CM130" s="138">
        <f t="shared" si="3421"/>
        <v>0</v>
      </c>
      <c r="CN130" s="110">
        <f t="shared" si="3422"/>
        <v>0</v>
      </c>
      <c r="CO130" s="110"/>
      <c r="CP130" s="139"/>
      <c r="CQ130" s="140" t="e">
        <f t="shared" si="3423"/>
        <v>#DIV/0!</v>
      </c>
      <c r="CR130" s="198">
        <f t="shared" si="3416"/>
        <v>0</v>
      </c>
      <c r="CS130" s="225">
        <f t="shared" si="3424"/>
        <v>0</v>
      </c>
      <c r="CT130" s="226">
        <f t="shared" si="3425"/>
        <v>0</v>
      </c>
      <c r="CU130" s="137">
        <f t="shared" si="3426"/>
        <v>0</v>
      </c>
      <c r="CV130" s="227">
        <f t="shared" si="3420"/>
        <v>28.26</v>
      </c>
      <c r="CW130" s="138">
        <f t="shared" si="3428"/>
        <v>0</v>
      </c>
      <c r="CX130" s="110">
        <f t="shared" si="3429"/>
        <v>0</v>
      </c>
      <c r="CY130" s="110"/>
      <c r="CZ130" s="139"/>
      <c r="DA130" s="140" t="e">
        <f t="shared" si="3430"/>
        <v>#DIV/0!</v>
      </c>
      <c r="DB130" s="198">
        <f t="shared" si="3416"/>
        <v>0</v>
      </c>
      <c r="DC130" s="225">
        <f t="shared" si="3431"/>
        <v>0</v>
      </c>
      <c r="DD130" s="226">
        <f t="shared" si="3432"/>
        <v>0</v>
      </c>
      <c r="DE130" s="137">
        <f t="shared" si="3433"/>
        <v>0</v>
      </c>
      <c r="DF130" s="227">
        <f t="shared" si="3420"/>
        <v>31.22</v>
      </c>
      <c r="DG130" s="138">
        <f t="shared" si="3435"/>
        <v>0</v>
      </c>
      <c r="DH130" s="110">
        <f t="shared" si="3436"/>
        <v>0</v>
      </c>
      <c r="DI130" s="110"/>
      <c r="DJ130" s="139"/>
      <c r="DK130" s="140" t="e">
        <f t="shared" si="3437"/>
        <v>#DIV/0!</v>
      </c>
      <c r="DL130" s="198">
        <f t="shared" si="3416"/>
        <v>0</v>
      </c>
      <c r="DM130" s="225">
        <f t="shared" si="3438"/>
        <v>0</v>
      </c>
      <c r="DN130" s="226">
        <f t="shared" si="3439"/>
        <v>0</v>
      </c>
      <c r="DO130" s="137">
        <f t="shared" si="3440"/>
        <v>0</v>
      </c>
      <c r="DP130" s="227">
        <f t="shared" si="3420"/>
        <v>33.9</v>
      </c>
      <c r="DQ130" s="138">
        <f t="shared" si="3442"/>
        <v>0</v>
      </c>
      <c r="DR130" s="110">
        <f t="shared" si="3443"/>
        <v>0</v>
      </c>
      <c r="DS130" s="110"/>
      <c r="DT130" s="139"/>
      <c r="DU130" s="140" t="e">
        <f t="shared" si="3444"/>
        <v>#DIV/0!</v>
      </c>
      <c r="DV130" s="198">
        <f t="shared" si="3416"/>
        <v>0</v>
      </c>
      <c r="DW130" s="225">
        <f t="shared" si="3445"/>
        <v>0</v>
      </c>
      <c r="DX130" s="226">
        <f t="shared" si="3446"/>
        <v>0</v>
      </c>
      <c r="DY130" s="137">
        <f t="shared" si="3447"/>
        <v>0</v>
      </c>
      <c r="DZ130" s="227">
        <f t="shared" si="3420"/>
        <v>12.79</v>
      </c>
      <c r="EA130" s="138">
        <f t="shared" si="3449"/>
        <v>0</v>
      </c>
      <c r="EB130" s="110">
        <f t="shared" si="3450"/>
        <v>0</v>
      </c>
      <c r="EC130" s="110"/>
      <c r="ED130" s="139"/>
      <c r="EE130" s="140" t="e">
        <f t="shared" si="3451"/>
        <v>#DIV/0!</v>
      </c>
      <c r="EF130" s="198">
        <f t="shared" si="3416"/>
        <v>0</v>
      </c>
      <c r="EG130" s="225">
        <f t="shared" si="3452"/>
        <v>0</v>
      </c>
      <c r="EH130" s="226">
        <f t="shared" si="3453"/>
        <v>0</v>
      </c>
      <c r="EI130" s="137">
        <f t="shared" si="3454"/>
        <v>0</v>
      </c>
      <c r="EJ130" s="227">
        <f t="shared" si="3420"/>
        <v>23.18</v>
      </c>
      <c r="EK130" s="138">
        <f t="shared" si="3456"/>
        <v>0</v>
      </c>
      <c r="EL130" s="110">
        <f t="shared" si="3457"/>
        <v>0</v>
      </c>
      <c r="EM130" s="110"/>
      <c r="EN130" s="139"/>
      <c r="EO130" s="140" t="e">
        <f t="shared" si="3458"/>
        <v>#DIV/0!</v>
      </c>
      <c r="EP130" s="198">
        <f t="shared" si="3416"/>
        <v>0</v>
      </c>
      <c r="EQ130" s="225">
        <f t="shared" si="3459"/>
        <v>0</v>
      </c>
      <c r="ER130" s="226">
        <f t="shared" si="3460"/>
        <v>0</v>
      </c>
      <c r="ES130" s="137">
        <f t="shared" si="3461"/>
        <v>0</v>
      </c>
      <c r="ET130" s="227">
        <f t="shared" si="3420"/>
        <v>30.66</v>
      </c>
      <c r="EU130" s="138">
        <f t="shared" si="3463"/>
        <v>0</v>
      </c>
      <c r="EV130" s="110">
        <f t="shared" si="3464"/>
        <v>0</v>
      </c>
      <c r="EW130" s="110"/>
      <c r="EX130" s="139"/>
      <c r="EY130" s="140" t="e">
        <f t="shared" si="3465"/>
        <v>#DIV/0!</v>
      </c>
      <c r="EZ130" s="198">
        <f t="shared" si="3466"/>
        <v>0</v>
      </c>
      <c r="FA130" s="225">
        <f t="shared" si="3467"/>
        <v>0</v>
      </c>
      <c r="FB130" s="226">
        <f t="shared" si="3468"/>
        <v>0</v>
      </c>
      <c r="FC130" s="137">
        <f t="shared" si="3469"/>
        <v>0</v>
      </c>
      <c r="FD130" s="227">
        <f t="shared" si="3470"/>
        <v>34.119999999999997</v>
      </c>
      <c r="FE130" s="138">
        <f t="shared" si="3471"/>
        <v>0</v>
      </c>
      <c r="FF130" s="110">
        <f t="shared" si="3472"/>
        <v>0</v>
      </c>
      <c r="FG130" s="110"/>
      <c r="FH130" s="139"/>
      <c r="FI130" s="140" t="e">
        <f t="shared" si="3473"/>
        <v>#DIV/0!</v>
      </c>
      <c r="FJ130" s="198">
        <f t="shared" si="3466"/>
        <v>0</v>
      </c>
      <c r="FK130" s="225">
        <f t="shared" si="3474"/>
        <v>0</v>
      </c>
      <c r="FL130" s="226">
        <f t="shared" si="3475"/>
        <v>0</v>
      </c>
      <c r="FM130" s="137">
        <f t="shared" si="3476"/>
        <v>0</v>
      </c>
      <c r="FN130" s="227">
        <f t="shared" si="3470"/>
        <v>18.39</v>
      </c>
      <c r="FO130" s="138">
        <f t="shared" si="3478"/>
        <v>0</v>
      </c>
      <c r="FP130" s="110">
        <f t="shared" si="3479"/>
        <v>0</v>
      </c>
      <c r="FQ130" s="110"/>
      <c r="FR130" s="139"/>
      <c r="FS130" s="140" t="e">
        <f t="shared" si="3480"/>
        <v>#DIV/0!</v>
      </c>
      <c r="FT130" s="198">
        <f t="shared" si="3466"/>
        <v>0</v>
      </c>
      <c r="FU130" s="225">
        <f t="shared" si="3481"/>
        <v>0</v>
      </c>
      <c r="FV130" s="226">
        <f t="shared" si="3482"/>
        <v>0</v>
      </c>
      <c r="FW130" s="137">
        <f t="shared" si="3483"/>
        <v>0</v>
      </c>
      <c r="FX130" s="227">
        <f t="shared" si="3470"/>
        <v>32.619999999999997</v>
      </c>
      <c r="FY130" s="138">
        <f t="shared" si="3485"/>
        <v>0</v>
      </c>
      <c r="FZ130" s="110">
        <f t="shared" si="3486"/>
        <v>0</v>
      </c>
      <c r="GA130" s="110"/>
      <c r="GB130" s="139"/>
      <c r="GC130" s="140" t="e">
        <f t="shared" si="3487"/>
        <v>#DIV/0!</v>
      </c>
      <c r="GD130" s="198">
        <f t="shared" si="3466"/>
        <v>0</v>
      </c>
      <c r="GE130" s="225">
        <f t="shared" si="3488"/>
        <v>0</v>
      </c>
      <c r="GF130" s="226">
        <f t="shared" si="3489"/>
        <v>0</v>
      </c>
      <c r="GG130" s="137">
        <f t="shared" si="3490"/>
        <v>0</v>
      </c>
      <c r="GH130" s="227">
        <f t="shared" si="3470"/>
        <v>33.28</v>
      </c>
      <c r="GI130" s="138">
        <f t="shared" si="3492"/>
        <v>0</v>
      </c>
      <c r="GJ130" s="110">
        <f t="shared" si="3493"/>
        <v>0</v>
      </c>
      <c r="GK130" s="110"/>
      <c r="GL130" s="139"/>
      <c r="GM130" s="140" t="e">
        <f t="shared" si="3494"/>
        <v>#DIV/0!</v>
      </c>
      <c r="GN130" s="198">
        <f t="shared" si="3466"/>
        <v>0</v>
      </c>
      <c r="GO130" s="225">
        <f t="shared" si="3495"/>
        <v>0</v>
      </c>
      <c r="GP130" s="226">
        <f t="shared" si="3496"/>
        <v>0</v>
      </c>
      <c r="GQ130" s="137">
        <f t="shared" si="3497"/>
        <v>0</v>
      </c>
      <c r="GR130" s="227">
        <f t="shared" si="3498"/>
        <v>30.78</v>
      </c>
      <c r="GS130" s="138">
        <f t="shared" si="3499"/>
        <v>0</v>
      </c>
      <c r="GT130" s="110">
        <f t="shared" si="3500"/>
        <v>0</v>
      </c>
      <c r="GU130" s="110"/>
      <c r="GV130" s="139"/>
      <c r="GW130" s="140" t="e">
        <f t="shared" si="3501"/>
        <v>#DIV/0!</v>
      </c>
      <c r="GX130" s="198">
        <f t="shared" si="3466"/>
        <v>0</v>
      </c>
      <c r="GY130" s="225">
        <f t="shared" si="3502"/>
        <v>0</v>
      </c>
      <c r="GZ130" s="226">
        <f t="shared" si="3503"/>
        <v>0</v>
      </c>
      <c r="HA130" s="137">
        <f t="shared" si="3504"/>
        <v>0</v>
      </c>
      <c r="HB130" s="227">
        <f t="shared" si="3498"/>
        <v>21.23</v>
      </c>
      <c r="HC130" s="138">
        <f t="shared" si="3506"/>
        <v>0</v>
      </c>
      <c r="HD130" s="110">
        <f t="shared" si="3507"/>
        <v>0</v>
      </c>
      <c r="HE130" s="110"/>
      <c r="HF130" s="139"/>
      <c r="HG130" s="140" t="e">
        <f t="shared" si="3508"/>
        <v>#DIV/0!</v>
      </c>
      <c r="HH130" s="198">
        <f t="shared" si="3466"/>
        <v>0</v>
      </c>
      <c r="HI130" s="225">
        <f t="shared" si="3509"/>
        <v>0</v>
      </c>
      <c r="HJ130" s="226">
        <f t="shared" si="3510"/>
        <v>0</v>
      </c>
      <c r="HK130" s="137">
        <f t="shared" si="3511"/>
        <v>0</v>
      </c>
      <c r="HL130" s="227">
        <f t="shared" si="3498"/>
        <v>28.23</v>
      </c>
      <c r="HM130" s="138">
        <f t="shared" si="3513"/>
        <v>0</v>
      </c>
      <c r="HN130" s="110">
        <f t="shared" si="3514"/>
        <v>0</v>
      </c>
      <c r="HO130" s="110"/>
      <c r="HP130" s="139"/>
      <c r="HQ130" s="140" t="e">
        <f t="shared" si="3515"/>
        <v>#DIV/0!</v>
      </c>
      <c r="HR130" s="198">
        <f t="shared" si="3516"/>
        <v>0</v>
      </c>
      <c r="HS130" s="225">
        <f t="shared" si="3517"/>
        <v>0</v>
      </c>
      <c r="HT130" s="226">
        <f t="shared" si="3518"/>
        <v>0</v>
      </c>
      <c r="HU130" s="137">
        <f t="shared" si="3519"/>
        <v>0</v>
      </c>
      <c r="HV130" s="227">
        <f t="shared" si="3498"/>
        <v>31.27</v>
      </c>
      <c r="HW130" s="138">
        <f t="shared" si="3521"/>
        <v>0</v>
      </c>
      <c r="HX130" s="110">
        <f t="shared" si="3522"/>
        <v>0</v>
      </c>
      <c r="HY130" s="110"/>
      <c r="HZ130" s="139"/>
      <c r="IA130" s="140" t="e">
        <f t="shared" si="3523"/>
        <v>#DIV/0!</v>
      </c>
      <c r="IB130" s="198">
        <f t="shared" si="3516"/>
        <v>0</v>
      </c>
      <c r="IC130" s="225">
        <f t="shared" si="3524"/>
        <v>0</v>
      </c>
      <c r="ID130" s="226">
        <f t="shared" si="3525"/>
        <v>0</v>
      </c>
      <c r="IE130" s="137">
        <f t="shared" si="3526"/>
        <v>0</v>
      </c>
      <c r="IF130" s="227">
        <f t="shared" si="3527"/>
        <v>28.65</v>
      </c>
      <c r="IG130" s="138">
        <f t="shared" si="3528"/>
        <v>0</v>
      </c>
      <c r="IH130" s="110">
        <f t="shared" si="3529"/>
        <v>0</v>
      </c>
      <c r="II130" s="110"/>
      <c r="IJ130" s="139"/>
      <c r="IK130" s="140" t="e">
        <f t="shared" si="3530"/>
        <v>#DIV/0!</v>
      </c>
      <c r="IL130" s="198">
        <f t="shared" si="3516"/>
        <v>0</v>
      </c>
      <c r="IM130" s="225">
        <f t="shared" si="3531"/>
        <v>0</v>
      </c>
      <c r="IN130" s="226">
        <f t="shared" si="3532"/>
        <v>0</v>
      </c>
      <c r="IO130" s="137">
        <f t="shared" si="3533"/>
        <v>0</v>
      </c>
      <c r="IP130" s="227">
        <f t="shared" si="3527"/>
        <v>33.04</v>
      </c>
      <c r="IQ130" s="138">
        <f t="shared" si="3535"/>
        <v>0</v>
      </c>
      <c r="IR130" s="110">
        <f t="shared" si="3536"/>
        <v>0</v>
      </c>
      <c r="IS130" s="110"/>
      <c r="IT130" s="139"/>
      <c r="IU130" s="140" t="e">
        <f t="shared" si="3537"/>
        <v>#DIV/0!</v>
      </c>
      <c r="IV130" s="198">
        <f t="shared" si="3516"/>
        <v>0</v>
      </c>
      <c r="IW130" s="225">
        <f t="shared" si="3538"/>
        <v>0</v>
      </c>
      <c r="IX130" s="226">
        <f t="shared" si="3539"/>
        <v>0</v>
      </c>
      <c r="IY130" s="137">
        <f t="shared" si="3540"/>
        <v>0</v>
      </c>
      <c r="IZ130" s="227">
        <f t="shared" si="3527"/>
        <v>33.36</v>
      </c>
      <c r="JA130" s="138">
        <f t="shared" si="3542"/>
        <v>0</v>
      </c>
      <c r="JB130" s="110">
        <f t="shared" si="3543"/>
        <v>0</v>
      </c>
      <c r="JC130" s="110"/>
      <c r="JD130" s="139"/>
      <c r="JE130" s="140" t="e">
        <f t="shared" si="3544"/>
        <v>#DIV/0!</v>
      </c>
      <c r="JF130" s="198">
        <f t="shared" si="3516"/>
        <v>0</v>
      </c>
      <c r="JG130" s="225">
        <f t="shared" si="3545"/>
        <v>0</v>
      </c>
      <c r="JH130" s="226">
        <f t="shared" si="3546"/>
        <v>0</v>
      </c>
      <c r="JI130" s="137">
        <f t="shared" si="3547"/>
        <v>0</v>
      </c>
      <c r="JJ130" s="227">
        <f t="shared" si="3527"/>
        <v>21.96</v>
      </c>
      <c r="JK130" s="138">
        <f t="shared" si="3549"/>
        <v>0</v>
      </c>
      <c r="JL130" s="110">
        <f t="shared" si="3550"/>
        <v>0</v>
      </c>
      <c r="JM130" s="110"/>
      <c r="JN130" s="139"/>
      <c r="JO130" s="140" t="e">
        <f t="shared" si="3551"/>
        <v>#DIV/0!</v>
      </c>
      <c r="JP130" s="198">
        <f t="shared" si="3516"/>
        <v>0</v>
      </c>
      <c r="JQ130" s="225">
        <f t="shared" si="3552"/>
        <v>0</v>
      </c>
      <c r="JR130" s="226">
        <f t="shared" si="3553"/>
        <v>0</v>
      </c>
      <c r="JS130" s="137">
        <f t="shared" si="3554"/>
        <v>0</v>
      </c>
      <c r="JT130" s="227">
        <f t="shared" si="3555"/>
        <v>35.700000000000003</v>
      </c>
      <c r="JU130" s="138">
        <f t="shared" si="3556"/>
        <v>0</v>
      </c>
      <c r="JV130" s="110">
        <f t="shared" si="3557"/>
        <v>0</v>
      </c>
      <c r="JW130" s="110"/>
      <c r="JX130" s="139"/>
      <c r="JY130" s="140" t="e">
        <f t="shared" si="3558"/>
        <v>#DIV/0!</v>
      </c>
      <c r="JZ130" s="198">
        <f t="shared" si="3516"/>
        <v>0</v>
      </c>
      <c r="KA130" s="225">
        <f t="shared" si="3559"/>
        <v>0</v>
      </c>
      <c r="KB130" s="226">
        <f t="shared" si="3560"/>
        <v>0</v>
      </c>
      <c r="KC130" s="137">
        <f t="shared" si="3561"/>
        <v>0</v>
      </c>
      <c r="KD130" s="227">
        <f t="shared" si="3555"/>
        <v>30.3</v>
      </c>
      <c r="KE130" s="138">
        <f t="shared" si="3563"/>
        <v>0</v>
      </c>
      <c r="KF130" s="110">
        <f t="shared" si="3564"/>
        <v>0</v>
      </c>
      <c r="KG130" s="110"/>
      <c r="KH130" s="139"/>
      <c r="KI130" s="140" t="e">
        <f t="shared" si="3565"/>
        <v>#DIV/0!</v>
      </c>
      <c r="KJ130" s="198">
        <f t="shared" si="3566"/>
        <v>0</v>
      </c>
      <c r="KK130" s="225">
        <f t="shared" si="3567"/>
        <v>0</v>
      </c>
      <c r="KL130" s="226">
        <f t="shared" si="3568"/>
        <v>0</v>
      </c>
      <c r="KM130" s="137">
        <f t="shared" si="3569"/>
        <v>0</v>
      </c>
      <c r="KN130" s="227">
        <f t="shared" si="3555"/>
        <v>30.43</v>
      </c>
      <c r="KO130" s="138">
        <f t="shared" si="3571"/>
        <v>0</v>
      </c>
      <c r="KP130" s="110">
        <f t="shared" si="3572"/>
        <v>0</v>
      </c>
      <c r="KQ130" s="110"/>
      <c r="KR130" s="139"/>
      <c r="KS130" s="140" t="e">
        <f t="shared" si="3573"/>
        <v>#DIV/0!</v>
      </c>
      <c r="KT130" s="198">
        <f t="shared" si="3566"/>
        <v>0</v>
      </c>
      <c r="KU130" s="225">
        <f t="shared" si="3574"/>
        <v>0</v>
      </c>
      <c r="KV130" s="226">
        <f t="shared" si="3575"/>
        <v>0</v>
      </c>
      <c r="KW130" s="137">
        <f t="shared" si="3576"/>
        <v>0</v>
      </c>
      <c r="KX130" s="227">
        <f t="shared" si="3555"/>
        <v>34.299999999999997</v>
      </c>
      <c r="KY130" s="138">
        <f t="shared" si="3578"/>
        <v>0</v>
      </c>
      <c r="KZ130" s="110">
        <f t="shared" si="3579"/>
        <v>0</v>
      </c>
      <c r="LA130" s="110"/>
      <c r="LB130" s="139"/>
      <c r="LC130" s="140" t="e">
        <f t="shared" si="3580"/>
        <v>#DIV/0!</v>
      </c>
      <c r="LD130" s="197">
        <f t="shared" si="3581"/>
        <v>0</v>
      </c>
      <c r="LE130" s="225">
        <f t="shared" si="3582"/>
        <v>0</v>
      </c>
      <c r="LF130" s="226">
        <f t="shared" si="3583"/>
        <v>0</v>
      </c>
      <c r="LG130" s="137">
        <f t="shared" si="3584"/>
        <v>0</v>
      </c>
      <c r="LH130" s="227">
        <f t="shared" si="3585"/>
        <v>28.89</v>
      </c>
      <c r="LI130" s="138">
        <f t="shared" si="3586"/>
        <v>0</v>
      </c>
      <c r="LJ130" s="110">
        <f t="shared" si="3587"/>
        <v>0</v>
      </c>
      <c r="LK130" s="110"/>
      <c r="LL130" s="139"/>
    </row>
    <row r="131" spans="1:324" ht="26.25" customHeight="1" x14ac:dyDescent="0.25">
      <c r="A131" s="246"/>
      <c r="B131" s="12" t="s">
        <v>625</v>
      </c>
      <c r="C131" s="12" t="s">
        <v>727</v>
      </c>
      <c r="D131" s="12" t="s">
        <v>427</v>
      </c>
      <c r="E131" s="4" t="s">
        <v>32</v>
      </c>
      <c r="F131" s="198">
        <f t="shared" si="3361"/>
        <v>0</v>
      </c>
      <c r="G131" s="225">
        <f t="shared" si="3588"/>
        <v>0</v>
      </c>
      <c r="H131" s="226">
        <f t="shared" si="3589"/>
        <v>0</v>
      </c>
      <c r="I131" s="137">
        <f t="shared" si="3362"/>
        <v>0</v>
      </c>
      <c r="J131" s="227">
        <f t="shared" si="3590"/>
        <v>19.559999999999999</v>
      </c>
      <c r="K131" s="138">
        <f t="shared" si="3363"/>
        <v>0</v>
      </c>
      <c r="L131" s="110">
        <f t="shared" si="3364"/>
        <v>0</v>
      </c>
      <c r="M131" s="110"/>
      <c r="N131" s="139"/>
      <c r="O131" s="140">
        <f t="shared" si="3365"/>
        <v>0</v>
      </c>
      <c r="P131" s="198">
        <f t="shared" si="3366"/>
        <v>0</v>
      </c>
      <c r="Q131" s="225">
        <f t="shared" si="3367"/>
        <v>0</v>
      </c>
      <c r="R131" s="226">
        <f t="shared" si="3368"/>
        <v>0</v>
      </c>
      <c r="S131" s="137">
        <f t="shared" si="3369"/>
        <v>0</v>
      </c>
      <c r="T131" s="227">
        <f t="shared" si="3370"/>
        <v>14.76</v>
      </c>
      <c r="U131" s="138">
        <f t="shared" si="3371"/>
        <v>0</v>
      </c>
      <c r="V131" s="110">
        <f t="shared" si="3372"/>
        <v>0</v>
      </c>
      <c r="W131" s="110"/>
      <c r="X131" s="139"/>
      <c r="Y131" s="140">
        <f t="shared" si="3373"/>
        <v>0</v>
      </c>
      <c r="Z131" s="198">
        <f t="shared" si="3366"/>
        <v>0</v>
      </c>
      <c r="AA131" s="225">
        <f t="shared" si="3374"/>
        <v>0</v>
      </c>
      <c r="AB131" s="226">
        <f t="shared" si="3375"/>
        <v>0</v>
      </c>
      <c r="AC131" s="137">
        <f t="shared" si="3376"/>
        <v>0</v>
      </c>
      <c r="AD131" s="227">
        <f t="shared" si="3370"/>
        <v>33.520000000000003</v>
      </c>
      <c r="AE131" s="138">
        <f t="shared" si="3378"/>
        <v>0</v>
      </c>
      <c r="AF131" s="110">
        <f t="shared" si="3379"/>
        <v>0</v>
      </c>
      <c r="AG131" s="110"/>
      <c r="AH131" s="139"/>
      <c r="AI131" s="140">
        <f t="shared" si="3380"/>
        <v>0</v>
      </c>
      <c r="AJ131" s="198">
        <f t="shared" si="3366"/>
        <v>25</v>
      </c>
      <c r="AK131" s="225">
        <f t="shared" si="3381"/>
        <v>3.7589999999999998E-2</v>
      </c>
      <c r="AL131" s="226">
        <f t="shared" si="3382"/>
        <v>42.89</v>
      </c>
      <c r="AM131" s="137">
        <f t="shared" si="3383"/>
        <v>1.7156</v>
      </c>
      <c r="AN131" s="227">
        <f t="shared" si="3370"/>
        <v>33.07</v>
      </c>
      <c r="AO131" s="138">
        <f t="shared" si="3385"/>
        <v>56.73489</v>
      </c>
      <c r="AP131" s="110">
        <f t="shared" si="3386"/>
        <v>1418.37</v>
      </c>
      <c r="AQ131" s="110"/>
      <c r="AR131" s="139"/>
      <c r="AS131" s="140">
        <f t="shared" si="3387"/>
        <v>0.91469</v>
      </c>
      <c r="AT131" s="198">
        <f t="shared" si="3366"/>
        <v>0</v>
      </c>
      <c r="AU131" s="225">
        <f t="shared" si="3388"/>
        <v>0</v>
      </c>
      <c r="AV131" s="226">
        <f t="shared" si="3389"/>
        <v>0</v>
      </c>
      <c r="AW131" s="137">
        <f t="shared" si="3390"/>
        <v>0</v>
      </c>
      <c r="AX131" s="227">
        <f t="shared" si="3370"/>
        <v>28.2</v>
      </c>
      <c r="AY131" s="138">
        <f t="shared" si="3392"/>
        <v>0</v>
      </c>
      <c r="AZ131" s="110">
        <f t="shared" si="3393"/>
        <v>0</v>
      </c>
      <c r="BA131" s="110"/>
      <c r="BB131" s="139"/>
      <c r="BC131" s="140">
        <f t="shared" si="3394"/>
        <v>0</v>
      </c>
      <c r="BD131" s="198">
        <f t="shared" si="3366"/>
        <v>0</v>
      </c>
      <c r="BE131" s="225">
        <f t="shared" si="3395"/>
        <v>0</v>
      </c>
      <c r="BF131" s="226">
        <f t="shared" si="3396"/>
        <v>0</v>
      </c>
      <c r="BG131" s="137">
        <f t="shared" si="3397"/>
        <v>0</v>
      </c>
      <c r="BH131" s="227">
        <f t="shared" si="3370"/>
        <v>33.75</v>
      </c>
      <c r="BI131" s="138">
        <f t="shared" si="3399"/>
        <v>0</v>
      </c>
      <c r="BJ131" s="110">
        <f t="shared" si="3400"/>
        <v>0</v>
      </c>
      <c r="BK131" s="110"/>
      <c r="BL131" s="139"/>
      <c r="BM131" s="140">
        <f t="shared" si="3401"/>
        <v>0</v>
      </c>
      <c r="BN131" s="198">
        <f t="shared" si="3366"/>
        <v>0</v>
      </c>
      <c r="BO131" s="225">
        <f t="shared" si="3402"/>
        <v>0</v>
      </c>
      <c r="BP131" s="226">
        <f t="shared" si="3403"/>
        <v>0</v>
      </c>
      <c r="BQ131" s="137">
        <f t="shared" si="3404"/>
        <v>0</v>
      </c>
      <c r="BR131" s="227">
        <f t="shared" si="3370"/>
        <v>32.79</v>
      </c>
      <c r="BS131" s="138">
        <f t="shared" si="3406"/>
        <v>0</v>
      </c>
      <c r="BT131" s="110">
        <f t="shared" si="3407"/>
        <v>0</v>
      </c>
      <c r="BU131" s="110"/>
      <c r="BV131" s="139"/>
      <c r="BW131" s="140">
        <f t="shared" si="3408"/>
        <v>0</v>
      </c>
      <c r="BX131" s="198">
        <f t="shared" si="3366"/>
        <v>0</v>
      </c>
      <c r="BY131" s="225">
        <f t="shared" si="3409"/>
        <v>0</v>
      </c>
      <c r="BZ131" s="226">
        <f t="shared" si="3410"/>
        <v>0</v>
      </c>
      <c r="CA131" s="137">
        <f t="shared" si="3411"/>
        <v>0</v>
      </c>
      <c r="CB131" s="227">
        <f t="shared" si="3370"/>
        <v>30.39</v>
      </c>
      <c r="CC131" s="138">
        <f t="shared" si="3413"/>
        <v>0</v>
      </c>
      <c r="CD131" s="110">
        <f t="shared" si="3414"/>
        <v>0</v>
      </c>
      <c r="CE131" s="110"/>
      <c r="CF131" s="139"/>
      <c r="CG131" s="140">
        <f t="shared" si="3415"/>
        <v>0</v>
      </c>
      <c r="CH131" s="198">
        <f t="shared" si="3416"/>
        <v>0</v>
      </c>
      <c r="CI131" s="225">
        <f t="shared" si="3417"/>
        <v>0</v>
      </c>
      <c r="CJ131" s="226">
        <f t="shared" si="3418"/>
        <v>0</v>
      </c>
      <c r="CK131" s="137">
        <f t="shared" si="3419"/>
        <v>0</v>
      </c>
      <c r="CL131" s="227">
        <f t="shared" si="3420"/>
        <v>25.57</v>
      </c>
      <c r="CM131" s="138">
        <f t="shared" si="3421"/>
        <v>0</v>
      </c>
      <c r="CN131" s="110">
        <f t="shared" si="3422"/>
        <v>0</v>
      </c>
      <c r="CO131" s="110"/>
      <c r="CP131" s="139"/>
      <c r="CQ131" s="140">
        <f t="shared" si="3423"/>
        <v>0</v>
      </c>
      <c r="CR131" s="198">
        <f t="shared" si="3416"/>
        <v>8</v>
      </c>
      <c r="CS131" s="225">
        <f t="shared" si="3424"/>
        <v>1.0749999999999999E-2</v>
      </c>
      <c r="CT131" s="226">
        <f t="shared" si="3425"/>
        <v>12.91</v>
      </c>
      <c r="CU131" s="137">
        <f t="shared" si="3426"/>
        <v>1.61375</v>
      </c>
      <c r="CV131" s="227">
        <f t="shared" si="3420"/>
        <v>28.26</v>
      </c>
      <c r="CW131" s="138">
        <f t="shared" si="3428"/>
        <v>45.604579999999999</v>
      </c>
      <c r="CX131" s="110">
        <f t="shared" si="3429"/>
        <v>364.84</v>
      </c>
      <c r="CY131" s="110"/>
      <c r="CZ131" s="139"/>
      <c r="DA131" s="140">
        <f t="shared" si="3430"/>
        <v>0.73524</v>
      </c>
      <c r="DB131" s="198">
        <f t="shared" si="3416"/>
        <v>0</v>
      </c>
      <c r="DC131" s="225">
        <f t="shared" si="3431"/>
        <v>0</v>
      </c>
      <c r="DD131" s="226">
        <f t="shared" si="3432"/>
        <v>0</v>
      </c>
      <c r="DE131" s="137">
        <f t="shared" si="3433"/>
        <v>0</v>
      </c>
      <c r="DF131" s="227">
        <f t="shared" si="3420"/>
        <v>31.22</v>
      </c>
      <c r="DG131" s="138">
        <f t="shared" si="3435"/>
        <v>0</v>
      </c>
      <c r="DH131" s="110">
        <f t="shared" si="3436"/>
        <v>0</v>
      </c>
      <c r="DI131" s="110"/>
      <c r="DJ131" s="139"/>
      <c r="DK131" s="140">
        <f t="shared" si="3437"/>
        <v>0</v>
      </c>
      <c r="DL131" s="198">
        <f t="shared" si="3416"/>
        <v>0</v>
      </c>
      <c r="DM131" s="225">
        <f t="shared" si="3438"/>
        <v>0</v>
      </c>
      <c r="DN131" s="226">
        <f t="shared" si="3439"/>
        <v>0</v>
      </c>
      <c r="DO131" s="137">
        <f t="shared" si="3440"/>
        <v>0</v>
      </c>
      <c r="DP131" s="227">
        <f t="shared" si="3420"/>
        <v>33.9</v>
      </c>
      <c r="DQ131" s="138">
        <f t="shared" si="3442"/>
        <v>0</v>
      </c>
      <c r="DR131" s="110">
        <f t="shared" si="3443"/>
        <v>0</v>
      </c>
      <c r="DS131" s="110"/>
      <c r="DT131" s="139"/>
      <c r="DU131" s="140">
        <f t="shared" si="3444"/>
        <v>0</v>
      </c>
      <c r="DV131" s="198">
        <f t="shared" si="3416"/>
        <v>20</v>
      </c>
      <c r="DW131" s="225">
        <f t="shared" si="3445"/>
        <v>2.2780000000000002E-2</v>
      </c>
      <c r="DX131" s="226">
        <f t="shared" si="3446"/>
        <v>30.3</v>
      </c>
      <c r="DY131" s="137">
        <f t="shared" si="3447"/>
        <v>1.5149999999999999</v>
      </c>
      <c r="DZ131" s="227">
        <f t="shared" si="3420"/>
        <v>12.79</v>
      </c>
      <c r="EA131" s="138">
        <f t="shared" si="3449"/>
        <v>19.376850000000001</v>
      </c>
      <c r="EB131" s="110">
        <f t="shared" si="3450"/>
        <v>387.54</v>
      </c>
      <c r="EC131" s="110"/>
      <c r="ED131" s="139"/>
      <c r="EE131" s="140">
        <f t="shared" si="3451"/>
        <v>0.31240000000000001</v>
      </c>
      <c r="EF131" s="198">
        <f t="shared" si="3416"/>
        <v>13</v>
      </c>
      <c r="EG131" s="225">
        <f t="shared" si="3452"/>
        <v>1.384E-2</v>
      </c>
      <c r="EH131" s="226">
        <f t="shared" si="3453"/>
        <v>12.73</v>
      </c>
      <c r="EI131" s="137">
        <f t="shared" si="3454"/>
        <v>0.97923077000000003</v>
      </c>
      <c r="EJ131" s="227">
        <f t="shared" si="3420"/>
        <v>23.18</v>
      </c>
      <c r="EK131" s="138">
        <f t="shared" si="3456"/>
        <v>22.69857</v>
      </c>
      <c r="EL131" s="110">
        <f t="shared" si="3457"/>
        <v>295.08</v>
      </c>
      <c r="EM131" s="110"/>
      <c r="EN131" s="139"/>
      <c r="EO131" s="140">
        <f t="shared" si="3458"/>
        <v>0.36595</v>
      </c>
      <c r="EP131" s="198">
        <f t="shared" si="3416"/>
        <v>11</v>
      </c>
      <c r="EQ131" s="225">
        <f t="shared" si="3459"/>
        <v>1.166E-2</v>
      </c>
      <c r="ER131" s="226">
        <f t="shared" si="3460"/>
        <v>25.42</v>
      </c>
      <c r="ES131" s="137">
        <f t="shared" si="3461"/>
        <v>2.31090909</v>
      </c>
      <c r="ET131" s="227">
        <f t="shared" si="3420"/>
        <v>30.66</v>
      </c>
      <c r="EU131" s="138">
        <f t="shared" si="3463"/>
        <v>70.852469999999997</v>
      </c>
      <c r="EV131" s="110">
        <f t="shared" si="3464"/>
        <v>779.38</v>
      </c>
      <c r="EW131" s="110"/>
      <c r="EX131" s="139"/>
      <c r="EY131" s="140">
        <f t="shared" si="3465"/>
        <v>1.14229</v>
      </c>
      <c r="EZ131" s="198">
        <f t="shared" si="3466"/>
        <v>31</v>
      </c>
      <c r="FA131" s="225">
        <f t="shared" si="3467"/>
        <v>2.775E-2</v>
      </c>
      <c r="FB131" s="226">
        <f t="shared" si="3468"/>
        <v>49.95</v>
      </c>
      <c r="FC131" s="137">
        <f t="shared" si="3469"/>
        <v>1.6112903199999999</v>
      </c>
      <c r="FD131" s="227">
        <f t="shared" si="3470"/>
        <v>34.119999999999997</v>
      </c>
      <c r="FE131" s="138">
        <f t="shared" si="3471"/>
        <v>54.977229999999999</v>
      </c>
      <c r="FF131" s="110">
        <f t="shared" si="3472"/>
        <v>1704.29</v>
      </c>
      <c r="FG131" s="110"/>
      <c r="FH131" s="139"/>
      <c r="FI131" s="140">
        <f t="shared" si="3473"/>
        <v>0.88634999999999997</v>
      </c>
      <c r="FJ131" s="198">
        <f t="shared" si="3466"/>
        <v>0</v>
      </c>
      <c r="FK131" s="225">
        <f t="shared" si="3474"/>
        <v>0</v>
      </c>
      <c r="FL131" s="226">
        <f t="shared" si="3475"/>
        <v>0</v>
      </c>
      <c r="FM131" s="137">
        <f t="shared" si="3476"/>
        <v>0</v>
      </c>
      <c r="FN131" s="227">
        <f t="shared" si="3470"/>
        <v>18.39</v>
      </c>
      <c r="FO131" s="138">
        <f t="shared" si="3478"/>
        <v>0</v>
      </c>
      <c r="FP131" s="110">
        <f t="shared" si="3479"/>
        <v>0</v>
      </c>
      <c r="FQ131" s="110"/>
      <c r="FR131" s="139"/>
      <c r="FS131" s="140">
        <f t="shared" si="3480"/>
        <v>0</v>
      </c>
      <c r="FT131" s="198">
        <f t="shared" si="3466"/>
        <v>15</v>
      </c>
      <c r="FU131" s="225">
        <f t="shared" si="3481"/>
        <v>1.8679999999999999E-2</v>
      </c>
      <c r="FV131" s="226">
        <f t="shared" si="3482"/>
        <v>26.6</v>
      </c>
      <c r="FW131" s="137">
        <f t="shared" si="3483"/>
        <v>1.77333333</v>
      </c>
      <c r="FX131" s="227">
        <f t="shared" si="3470"/>
        <v>32.619999999999997</v>
      </c>
      <c r="FY131" s="138">
        <f t="shared" si="3485"/>
        <v>57.846130000000002</v>
      </c>
      <c r="FZ131" s="110">
        <f t="shared" si="3486"/>
        <v>867.69</v>
      </c>
      <c r="GA131" s="110"/>
      <c r="GB131" s="139"/>
      <c r="GC131" s="140">
        <f t="shared" si="3487"/>
        <v>0.93259999999999998</v>
      </c>
      <c r="GD131" s="198">
        <f t="shared" si="3466"/>
        <v>32</v>
      </c>
      <c r="GE131" s="225">
        <f t="shared" si="3488"/>
        <v>6.25E-2</v>
      </c>
      <c r="GF131" s="226">
        <f t="shared" si="3489"/>
        <v>53.75</v>
      </c>
      <c r="GG131" s="137">
        <f t="shared" si="3490"/>
        <v>1.6796875</v>
      </c>
      <c r="GH131" s="227">
        <f t="shared" si="3470"/>
        <v>33.28</v>
      </c>
      <c r="GI131" s="138">
        <f t="shared" si="3492"/>
        <v>55.9</v>
      </c>
      <c r="GJ131" s="110">
        <f t="shared" si="3493"/>
        <v>1788.8</v>
      </c>
      <c r="GK131" s="110"/>
      <c r="GL131" s="139"/>
      <c r="GM131" s="140">
        <f t="shared" si="3494"/>
        <v>0.90122999999999998</v>
      </c>
      <c r="GN131" s="198">
        <f t="shared" si="3466"/>
        <v>0</v>
      </c>
      <c r="GO131" s="225">
        <f t="shared" si="3495"/>
        <v>0</v>
      </c>
      <c r="GP131" s="226">
        <f t="shared" si="3496"/>
        <v>0</v>
      </c>
      <c r="GQ131" s="137">
        <f t="shared" si="3497"/>
        <v>0</v>
      </c>
      <c r="GR131" s="227">
        <f t="shared" si="3498"/>
        <v>30.78</v>
      </c>
      <c r="GS131" s="138">
        <f t="shared" si="3499"/>
        <v>0</v>
      </c>
      <c r="GT131" s="110">
        <f t="shared" si="3500"/>
        <v>0</v>
      </c>
      <c r="GU131" s="110"/>
      <c r="GV131" s="139"/>
      <c r="GW131" s="140">
        <f t="shared" si="3501"/>
        <v>0</v>
      </c>
      <c r="GX131" s="198">
        <f t="shared" si="3466"/>
        <v>0</v>
      </c>
      <c r="GY131" s="225">
        <f t="shared" si="3502"/>
        <v>0</v>
      </c>
      <c r="GZ131" s="226">
        <f t="shared" si="3503"/>
        <v>0</v>
      </c>
      <c r="HA131" s="137">
        <f t="shared" si="3504"/>
        <v>0</v>
      </c>
      <c r="HB131" s="227">
        <f t="shared" si="3498"/>
        <v>21.23</v>
      </c>
      <c r="HC131" s="138">
        <f t="shared" si="3506"/>
        <v>0</v>
      </c>
      <c r="HD131" s="110">
        <f t="shared" si="3507"/>
        <v>0</v>
      </c>
      <c r="HE131" s="110"/>
      <c r="HF131" s="139"/>
      <c r="HG131" s="140">
        <f t="shared" si="3508"/>
        <v>0</v>
      </c>
      <c r="HH131" s="198">
        <f t="shared" si="3466"/>
        <v>6</v>
      </c>
      <c r="HI131" s="225">
        <f t="shared" si="3509"/>
        <v>5.2100000000000002E-3</v>
      </c>
      <c r="HJ131" s="226">
        <f t="shared" si="3510"/>
        <v>17.350000000000001</v>
      </c>
      <c r="HK131" s="137">
        <f t="shared" si="3511"/>
        <v>2.8916666700000002</v>
      </c>
      <c r="HL131" s="227">
        <f t="shared" si="3498"/>
        <v>28.23</v>
      </c>
      <c r="HM131" s="138">
        <f t="shared" si="3513"/>
        <v>81.631749999999997</v>
      </c>
      <c r="HN131" s="110">
        <f t="shared" si="3514"/>
        <v>489.79</v>
      </c>
      <c r="HO131" s="110"/>
      <c r="HP131" s="139"/>
      <c r="HQ131" s="140">
        <f t="shared" si="3515"/>
        <v>1.3160700000000001</v>
      </c>
      <c r="HR131" s="198">
        <f t="shared" si="3516"/>
        <v>0</v>
      </c>
      <c r="HS131" s="225">
        <f t="shared" si="3517"/>
        <v>0</v>
      </c>
      <c r="HT131" s="226">
        <f t="shared" si="3518"/>
        <v>0</v>
      </c>
      <c r="HU131" s="137">
        <f t="shared" si="3519"/>
        <v>0</v>
      </c>
      <c r="HV131" s="227">
        <f t="shared" si="3498"/>
        <v>31.27</v>
      </c>
      <c r="HW131" s="138">
        <f t="shared" si="3521"/>
        <v>0</v>
      </c>
      <c r="HX131" s="110">
        <f t="shared" si="3522"/>
        <v>0</v>
      </c>
      <c r="HY131" s="110"/>
      <c r="HZ131" s="139"/>
      <c r="IA131" s="140">
        <f t="shared" si="3523"/>
        <v>0</v>
      </c>
      <c r="IB131" s="198">
        <f t="shared" si="3516"/>
        <v>22</v>
      </c>
      <c r="IC131" s="225">
        <f t="shared" si="3524"/>
        <v>4.0149999999999998E-2</v>
      </c>
      <c r="ID131" s="226">
        <f t="shared" si="3525"/>
        <v>17.260000000000002</v>
      </c>
      <c r="IE131" s="137">
        <f t="shared" si="3526"/>
        <v>0.78454544999999998</v>
      </c>
      <c r="IF131" s="227">
        <f t="shared" si="3527"/>
        <v>28.65</v>
      </c>
      <c r="IG131" s="138">
        <f t="shared" si="3528"/>
        <v>22.477229999999999</v>
      </c>
      <c r="IH131" s="110">
        <f t="shared" si="3529"/>
        <v>494.5</v>
      </c>
      <c r="II131" s="110"/>
      <c r="IJ131" s="139"/>
      <c r="IK131" s="140">
        <f t="shared" si="3530"/>
        <v>0.36237999999999998</v>
      </c>
      <c r="IL131" s="198">
        <f t="shared" si="3516"/>
        <v>0</v>
      </c>
      <c r="IM131" s="225">
        <f t="shared" si="3531"/>
        <v>0</v>
      </c>
      <c r="IN131" s="226">
        <f t="shared" si="3532"/>
        <v>0</v>
      </c>
      <c r="IO131" s="137">
        <f t="shared" si="3533"/>
        <v>0</v>
      </c>
      <c r="IP131" s="227">
        <f t="shared" si="3527"/>
        <v>33.04</v>
      </c>
      <c r="IQ131" s="138">
        <f t="shared" si="3535"/>
        <v>0</v>
      </c>
      <c r="IR131" s="110">
        <f t="shared" si="3536"/>
        <v>0</v>
      </c>
      <c r="IS131" s="110"/>
      <c r="IT131" s="139"/>
      <c r="IU131" s="140">
        <f t="shared" si="3537"/>
        <v>0</v>
      </c>
      <c r="IV131" s="198">
        <f t="shared" si="3516"/>
        <v>0</v>
      </c>
      <c r="IW131" s="225">
        <f t="shared" si="3538"/>
        <v>0</v>
      </c>
      <c r="IX131" s="226">
        <f t="shared" si="3539"/>
        <v>0</v>
      </c>
      <c r="IY131" s="137">
        <f t="shared" si="3540"/>
        <v>0</v>
      </c>
      <c r="IZ131" s="227">
        <f t="shared" si="3527"/>
        <v>33.36</v>
      </c>
      <c r="JA131" s="138">
        <f t="shared" si="3542"/>
        <v>0</v>
      </c>
      <c r="JB131" s="110">
        <f t="shared" si="3543"/>
        <v>0</v>
      </c>
      <c r="JC131" s="110"/>
      <c r="JD131" s="139"/>
      <c r="JE131" s="140">
        <f t="shared" si="3544"/>
        <v>0</v>
      </c>
      <c r="JF131" s="198">
        <f t="shared" si="3516"/>
        <v>0</v>
      </c>
      <c r="JG131" s="225">
        <f t="shared" si="3545"/>
        <v>0</v>
      </c>
      <c r="JH131" s="226">
        <f t="shared" si="3546"/>
        <v>0</v>
      </c>
      <c r="JI131" s="137">
        <f t="shared" si="3547"/>
        <v>0</v>
      </c>
      <c r="JJ131" s="227">
        <f t="shared" si="3527"/>
        <v>21.96</v>
      </c>
      <c r="JK131" s="138">
        <f t="shared" si="3549"/>
        <v>0</v>
      </c>
      <c r="JL131" s="110">
        <f t="shared" si="3550"/>
        <v>0</v>
      </c>
      <c r="JM131" s="110"/>
      <c r="JN131" s="139"/>
      <c r="JO131" s="140">
        <f t="shared" si="3551"/>
        <v>0</v>
      </c>
      <c r="JP131" s="198">
        <f t="shared" si="3516"/>
        <v>10</v>
      </c>
      <c r="JQ131" s="225">
        <f t="shared" si="3552"/>
        <v>8.0099999999999998E-3</v>
      </c>
      <c r="JR131" s="226">
        <f t="shared" si="3553"/>
        <v>30.44</v>
      </c>
      <c r="JS131" s="137">
        <f t="shared" si="3554"/>
        <v>3.044</v>
      </c>
      <c r="JT131" s="227">
        <f t="shared" si="3555"/>
        <v>35.700000000000003</v>
      </c>
      <c r="JU131" s="138">
        <f t="shared" si="3556"/>
        <v>108.6708</v>
      </c>
      <c r="JV131" s="110">
        <f t="shared" si="3557"/>
        <v>1086.71</v>
      </c>
      <c r="JW131" s="110"/>
      <c r="JX131" s="139"/>
      <c r="JY131" s="140">
        <f t="shared" si="3558"/>
        <v>1.752</v>
      </c>
      <c r="JZ131" s="198">
        <f t="shared" si="3516"/>
        <v>0</v>
      </c>
      <c r="KA131" s="225">
        <f t="shared" si="3559"/>
        <v>0</v>
      </c>
      <c r="KB131" s="226">
        <f t="shared" si="3560"/>
        <v>0</v>
      </c>
      <c r="KC131" s="137">
        <f t="shared" si="3561"/>
        <v>0</v>
      </c>
      <c r="KD131" s="227">
        <f t="shared" si="3555"/>
        <v>30.3</v>
      </c>
      <c r="KE131" s="138">
        <f t="shared" si="3563"/>
        <v>0</v>
      </c>
      <c r="KF131" s="110">
        <f t="shared" si="3564"/>
        <v>0</v>
      </c>
      <c r="KG131" s="110"/>
      <c r="KH131" s="139"/>
      <c r="KI131" s="140">
        <f t="shared" si="3565"/>
        <v>0</v>
      </c>
      <c r="KJ131" s="198">
        <f t="shared" si="3566"/>
        <v>0</v>
      </c>
      <c r="KK131" s="225">
        <f t="shared" si="3567"/>
        <v>0</v>
      </c>
      <c r="KL131" s="226">
        <f t="shared" si="3568"/>
        <v>0</v>
      </c>
      <c r="KM131" s="137">
        <f t="shared" si="3569"/>
        <v>0</v>
      </c>
      <c r="KN131" s="227">
        <f t="shared" si="3555"/>
        <v>30.43</v>
      </c>
      <c r="KO131" s="138">
        <f t="shared" si="3571"/>
        <v>0</v>
      </c>
      <c r="KP131" s="110">
        <f t="shared" si="3572"/>
        <v>0</v>
      </c>
      <c r="KQ131" s="110"/>
      <c r="KR131" s="139"/>
      <c r="KS131" s="140">
        <f t="shared" si="3573"/>
        <v>0</v>
      </c>
      <c r="KT131" s="198">
        <f t="shared" si="3566"/>
        <v>0</v>
      </c>
      <c r="KU131" s="225">
        <f t="shared" si="3574"/>
        <v>0</v>
      </c>
      <c r="KV131" s="226">
        <f t="shared" si="3575"/>
        <v>0</v>
      </c>
      <c r="KW131" s="137">
        <f t="shared" si="3576"/>
        <v>0</v>
      </c>
      <c r="KX131" s="227">
        <f t="shared" si="3555"/>
        <v>34.299999999999997</v>
      </c>
      <c r="KY131" s="138">
        <f t="shared" si="3578"/>
        <v>0</v>
      </c>
      <c r="KZ131" s="110">
        <f t="shared" si="3579"/>
        <v>0</v>
      </c>
      <c r="LA131" s="110"/>
      <c r="LB131" s="139"/>
      <c r="LC131" s="140">
        <f t="shared" si="3580"/>
        <v>0</v>
      </c>
      <c r="LD131" s="197">
        <f t="shared" si="3581"/>
        <v>193</v>
      </c>
      <c r="LE131" s="225">
        <f t="shared" si="3582"/>
        <v>6.7600000000000004E-3</v>
      </c>
      <c r="LF131" s="226">
        <f t="shared" si="3583"/>
        <v>414.37</v>
      </c>
      <c r="LG131" s="137">
        <f t="shared" si="3584"/>
        <v>2.1469948200000002</v>
      </c>
      <c r="LH131" s="227">
        <f t="shared" si="3585"/>
        <v>28.89</v>
      </c>
      <c r="LI131" s="138">
        <f t="shared" si="3586"/>
        <v>62.026679999999999</v>
      </c>
      <c r="LJ131" s="110">
        <f t="shared" si="3587"/>
        <v>11971.15</v>
      </c>
      <c r="LK131" s="110"/>
      <c r="LL131" s="139"/>
    </row>
    <row r="132" spans="1:324" ht="25.5" customHeight="1" x14ac:dyDescent="0.25">
      <c r="A132" s="246"/>
      <c r="B132" s="12" t="s">
        <v>626</v>
      </c>
      <c r="C132" s="12" t="s">
        <v>728</v>
      </c>
      <c r="D132" s="12" t="s">
        <v>430</v>
      </c>
      <c r="E132" s="4" t="s">
        <v>32</v>
      </c>
      <c r="F132" s="198">
        <f t="shared" si="3361"/>
        <v>1</v>
      </c>
      <c r="G132" s="225">
        <f t="shared" si="3588"/>
        <v>1.66E-3</v>
      </c>
      <c r="H132" s="226">
        <f t="shared" si="3589"/>
        <v>1.54</v>
      </c>
      <c r="I132" s="137">
        <f t="shared" si="3362"/>
        <v>1.54</v>
      </c>
      <c r="J132" s="227">
        <f t="shared" si="3590"/>
        <v>19.559999999999999</v>
      </c>
      <c r="K132" s="138">
        <f t="shared" si="3363"/>
        <v>30.122399999999999</v>
      </c>
      <c r="L132" s="110">
        <f t="shared" si="3364"/>
        <v>30.12</v>
      </c>
      <c r="M132" s="110"/>
      <c r="N132" s="139"/>
      <c r="O132" s="140">
        <f t="shared" si="3365"/>
        <v>0.48599999999999999</v>
      </c>
      <c r="P132" s="198">
        <f t="shared" si="3366"/>
        <v>3</v>
      </c>
      <c r="Q132" s="225">
        <f t="shared" si="3367"/>
        <v>2.7399999999999998E-3</v>
      </c>
      <c r="R132" s="226">
        <f t="shared" si="3368"/>
        <v>4.41</v>
      </c>
      <c r="S132" s="137">
        <f t="shared" si="3369"/>
        <v>1.47</v>
      </c>
      <c r="T132" s="227">
        <f t="shared" si="3370"/>
        <v>14.76</v>
      </c>
      <c r="U132" s="138">
        <f t="shared" si="3371"/>
        <v>21.697199999999999</v>
      </c>
      <c r="V132" s="110">
        <f t="shared" si="3372"/>
        <v>65.09</v>
      </c>
      <c r="W132" s="110"/>
      <c r="X132" s="139"/>
      <c r="Y132" s="140">
        <f t="shared" si="3373"/>
        <v>0.35005999999999998</v>
      </c>
      <c r="Z132" s="198">
        <f t="shared" si="3366"/>
        <v>2</v>
      </c>
      <c r="AA132" s="225">
        <f t="shared" si="3374"/>
        <v>2.31E-3</v>
      </c>
      <c r="AB132" s="226">
        <f t="shared" si="3375"/>
        <v>2.98</v>
      </c>
      <c r="AC132" s="137">
        <f t="shared" si="3376"/>
        <v>1.49</v>
      </c>
      <c r="AD132" s="227">
        <f t="shared" si="3370"/>
        <v>33.520000000000003</v>
      </c>
      <c r="AE132" s="138">
        <f t="shared" si="3378"/>
        <v>49.944800000000001</v>
      </c>
      <c r="AF132" s="110">
        <f t="shared" si="3379"/>
        <v>99.89</v>
      </c>
      <c r="AG132" s="110"/>
      <c r="AH132" s="139"/>
      <c r="AI132" s="140">
        <f t="shared" si="3380"/>
        <v>0.80581000000000003</v>
      </c>
      <c r="AJ132" s="198">
        <f t="shared" si="3366"/>
        <v>0</v>
      </c>
      <c r="AK132" s="225">
        <f t="shared" si="3381"/>
        <v>0</v>
      </c>
      <c r="AL132" s="226">
        <f t="shared" si="3382"/>
        <v>0</v>
      </c>
      <c r="AM132" s="137">
        <f t="shared" si="3383"/>
        <v>0</v>
      </c>
      <c r="AN132" s="227">
        <f t="shared" si="3370"/>
        <v>33.07</v>
      </c>
      <c r="AO132" s="138">
        <f t="shared" si="3385"/>
        <v>0</v>
      </c>
      <c r="AP132" s="110">
        <f t="shared" si="3386"/>
        <v>0</v>
      </c>
      <c r="AQ132" s="110"/>
      <c r="AR132" s="139"/>
      <c r="AS132" s="140">
        <f t="shared" si="3387"/>
        <v>0</v>
      </c>
      <c r="AT132" s="198">
        <f t="shared" si="3366"/>
        <v>2</v>
      </c>
      <c r="AU132" s="225">
        <f t="shared" si="3388"/>
        <v>2.0999999999999999E-3</v>
      </c>
      <c r="AV132" s="226">
        <f t="shared" si="3389"/>
        <v>1.91</v>
      </c>
      <c r="AW132" s="137">
        <f t="shared" si="3390"/>
        <v>0.95499999999999996</v>
      </c>
      <c r="AX132" s="227">
        <f t="shared" si="3370"/>
        <v>28.2</v>
      </c>
      <c r="AY132" s="138">
        <f t="shared" si="3392"/>
        <v>26.931000000000001</v>
      </c>
      <c r="AZ132" s="110">
        <f t="shared" si="3393"/>
        <v>53.86</v>
      </c>
      <c r="BA132" s="110"/>
      <c r="BB132" s="139"/>
      <c r="BC132" s="140">
        <f t="shared" si="3394"/>
        <v>0.43451000000000001</v>
      </c>
      <c r="BD132" s="198">
        <f t="shared" si="3366"/>
        <v>0</v>
      </c>
      <c r="BE132" s="225">
        <f t="shared" si="3395"/>
        <v>0</v>
      </c>
      <c r="BF132" s="226">
        <f t="shared" si="3396"/>
        <v>0</v>
      </c>
      <c r="BG132" s="137">
        <f t="shared" si="3397"/>
        <v>0</v>
      </c>
      <c r="BH132" s="227">
        <f t="shared" si="3370"/>
        <v>33.75</v>
      </c>
      <c r="BI132" s="138">
        <f t="shared" si="3399"/>
        <v>0</v>
      </c>
      <c r="BJ132" s="110">
        <f t="shared" si="3400"/>
        <v>0</v>
      </c>
      <c r="BK132" s="110"/>
      <c r="BL132" s="139"/>
      <c r="BM132" s="140">
        <f t="shared" si="3401"/>
        <v>0</v>
      </c>
      <c r="BN132" s="198">
        <f t="shared" si="3366"/>
        <v>4</v>
      </c>
      <c r="BO132" s="225">
        <f t="shared" si="3402"/>
        <v>6.4799999999999996E-3</v>
      </c>
      <c r="BP132" s="226">
        <f t="shared" si="3403"/>
        <v>7.91</v>
      </c>
      <c r="BQ132" s="137">
        <f t="shared" si="3404"/>
        <v>1.9775</v>
      </c>
      <c r="BR132" s="227">
        <f t="shared" si="3370"/>
        <v>32.79</v>
      </c>
      <c r="BS132" s="138">
        <f t="shared" si="3406"/>
        <v>64.842230000000001</v>
      </c>
      <c r="BT132" s="110">
        <f t="shared" si="3407"/>
        <v>259.37</v>
      </c>
      <c r="BU132" s="110"/>
      <c r="BV132" s="139"/>
      <c r="BW132" s="140">
        <f t="shared" si="3408"/>
        <v>1.04617</v>
      </c>
      <c r="BX132" s="198">
        <f t="shared" si="3366"/>
        <v>1</v>
      </c>
      <c r="BY132" s="225">
        <f t="shared" si="3409"/>
        <v>1.2700000000000001E-3</v>
      </c>
      <c r="BZ132" s="226">
        <f t="shared" si="3410"/>
        <v>1.87</v>
      </c>
      <c r="CA132" s="137">
        <f t="shared" si="3411"/>
        <v>1.87</v>
      </c>
      <c r="CB132" s="227">
        <f t="shared" si="3370"/>
        <v>30.39</v>
      </c>
      <c r="CC132" s="138">
        <f t="shared" si="3413"/>
        <v>56.829300000000003</v>
      </c>
      <c r="CD132" s="110">
        <f t="shared" si="3414"/>
        <v>56.83</v>
      </c>
      <c r="CE132" s="110"/>
      <c r="CF132" s="139"/>
      <c r="CG132" s="140">
        <f t="shared" si="3415"/>
        <v>0.91688999999999998</v>
      </c>
      <c r="CH132" s="198">
        <f t="shared" si="3416"/>
        <v>0</v>
      </c>
      <c r="CI132" s="225">
        <f t="shared" si="3417"/>
        <v>0</v>
      </c>
      <c r="CJ132" s="226">
        <f t="shared" si="3418"/>
        <v>0</v>
      </c>
      <c r="CK132" s="137">
        <f t="shared" si="3419"/>
        <v>0</v>
      </c>
      <c r="CL132" s="227">
        <f t="shared" si="3420"/>
        <v>25.57</v>
      </c>
      <c r="CM132" s="138">
        <f t="shared" si="3421"/>
        <v>0</v>
      </c>
      <c r="CN132" s="110">
        <f t="shared" si="3422"/>
        <v>0</v>
      </c>
      <c r="CO132" s="110"/>
      <c r="CP132" s="139"/>
      <c r="CQ132" s="140">
        <f t="shared" si="3423"/>
        <v>0</v>
      </c>
      <c r="CR132" s="198">
        <f t="shared" si="3416"/>
        <v>5</v>
      </c>
      <c r="CS132" s="225">
        <f t="shared" si="3424"/>
        <v>6.7200000000000003E-3</v>
      </c>
      <c r="CT132" s="226">
        <f t="shared" si="3425"/>
        <v>8.07</v>
      </c>
      <c r="CU132" s="137">
        <f t="shared" si="3426"/>
        <v>1.6140000000000001</v>
      </c>
      <c r="CV132" s="227">
        <f t="shared" si="3420"/>
        <v>28.26</v>
      </c>
      <c r="CW132" s="138">
        <f t="shared" si="3428"/>
        <v>45.611640000000001</v>
      </c>
      <c r="CX132" s="110">
        <f t="shared" si="3429"/>
        <v>228.06</v>
      </c>
      <c r="CY132" s="110"/>
      <c r="CZ132" s="139"/>
      <c r="DA132" s="140">
        <f t="shared" si="3430"/>
        <v>0.7359</v>
      </c>
      <c r="DB132" s="198">
        <f t="shared" si="3416"/>
        <v>1</v>
      </c>
      <c r="DC132" s="225">
        <f t="shared" si="3431"/>
        <v>1.2099999999999999E-3</v>
      </c>
      <c r="DD132" s="226">
        <f t="shared" si="3432"/>
        <v>1.35</v>
      </c>
      <c r="DE132" s="137">
        <f t="shared" si="3433"/>
        <v>1.35</v>
      </c>
      <c r="DF132" s="227">
        <f t="shared" si="3420"/>
        <v>31.22</v>
      </c>
      <c r="DG132" s="138">
        <f t="shared" si="3435"/>
        <v>42.146999999999998</v>
      </c>
      <c r="DH132" s="110">
        <f t="shared" si="3436"/>
        <v>42.15</v>
      </c>
      <c r="DI132" s="110"/>
      <c r="DJ132" s="139"/>
      <c r="DK132" s="140">
        <f t="shared" si="3437"/>
        <v>0.68</v>
      </c>
      <c r="DL132" s="198">
        <f t="shared" si="3416"/>
        <v>0</v>
      </c>
      <c r="DM132" s="225">
        <f t="shared" si="3438"/>
        <v>0</v>
      </c>
      <c r="DN132" s="226">
        <f t="shared" si="3439"/>
        <v>0</v>
      </c>
      <c r="DO132" s="137">
        <f t="shared" si="3440"/>
        <v>0</v>
      </c>
      <c r="DP132" s="227">
        <f t="shared" si="3420"/>
        <v>33.9</v>
      </c>
      <c r="DQ132" s="138">
        <f t="shared" si="3442"/>
        <v>0</v>
      </c>
      <c r="DR132" s="110">
        <f t="shared" si="3443"/>
        <v>0</v>
      </c>
      <c r="DS132" s="110"/>
      <c r="DT132" s="139"/>
      <c r="DU132" s="140">
        <f t="shared" si="3444"/>
        <v>0</v>
      </c>
      <c r="DV132" s="198">
        <f t="shared" si="3416"/>
        <v>2</v>
      </c>
      <c r="DW132" s="225">
        <f t="shared" si="3445"/>
        <v>2.2799999999999999E-3</v>
      </c>
      <c r="DX132" s="226">
        <f t="shared" si="3446"/>
        <v>3.03</v>
      </c>
      <c r="DY132" s="137">
        <f t="shared" si="3447"/>
        <v>1.5149999999999999</v>
      </c>
      <c r="DZ132" s="227">
        <f t="shared" si="3420"/>
        <v>12.79</v>
      </c>
      <c r="EA132" s="138">
        <f t="shared" si="3449"/>
        <v>19.376850000000001</v>
      </c>
      <c r="EB132" s="110">
        <f t="shared" si="3450"/>
        <v>38.75</v>
      </c>
      <c r="EC132" s="110"/>
      <c r="ED132" s="139"/>
      <c r="EE132" s="140">
        <f t="shared" si="3451"/>
        <v>0.31263000000000002</v>
      </c>
      <c r="EF132" s="198">
        <f t="shared" si="3416"/>
        <v>6</v>
      </c>
      <c r="EG132" s="225">
        <f t="shared" si="3452"/>
        <v>6.3899999999999998E-3</v>
      </c>
      <c r="EH132" s="226">
        <f t="shared" si="3453"/>
        <v>5.88</v>
      </c>
      <c r="EI132" s="137">
        <f t="shared" si="3454"/>
        <v>0.98</v>
      </c>
      <c r="EJ132" s="227">
        <f t="shared" si="3420"/>
        <v>23.18</v>
      </c>
      <c r="EK132" s="138">
        <f t="shared" si="3456"/>
        <v>22.7164</v>
      </c>
      <c r="EL132" s="110">
        <f t="shared" si="3457"/>
        <v>136.30000000000001</v>
      </c>
      <c r="EM132" s="110"/>
      <c r="EN132" s="139"/>
      <c r="EO132" s="140">
        <f t="shared" si="3458"/>
        <v>0.36651</v>
      </c>
      <c r="EP132" s="198">
        <f t="shared" si="3416"/>
        <v>2</v>
      </c>
      <c r="EQ132" s="225">
        <f t="shared" si="3459"/>
        <v>2.1199999999999999E-3</v>
      </c>
      <c r="ER132" s="226">
        <f t="shared" si="3460"/>
        <v>4.62</v>
      </c>
      <c r="ES132" s="137">
        <f t="shared" si="3461"/>
        <v>2.31</v>
      </c>
      <c r="ET132" s="227">
        <f t="shared" si="3420"/>
        <v>30.66</v>
      </c>
      <c r="EU132" s="138">
        <f t="shared" si="3463"/>
        <v>70.824600000000004</v>
      </c>
      <c r="EV132" s="110">
        <f t="shared" si="3464"/>
        <v>141.65</v>
      </c>
      <c r="EW132" s="110"/>
      <c r="EX132" s="139"/>
      <c r="EY132" s="140">
        <f t="shared" si="3465"/>
        <v>1.14269</v>
      </c>
      <c r="EZ132" s="198">
        <f t="shared" si="3466"/>
        <v>7</v>
      </c>
      <c r="FA132" s="225">
        <f t="shared" si="3467"/>
        <v>6.2700000000000004E-3</v>
      </c>
      <c r="FB132" s="226">
        <f t="shared" si="3468"/>
        <v>11.29</v>
      </c>
      <c r="FC132" s="137">
        <f t="shared" si="3469"/>
        <v>1.61285714</v>
      </c>
      <c r="FD132" s="227">
        <f t="shared" si="3470"/>
        <v>34.119999999999997</v>
      </c>
      <c r="FE132" s="138">
        <f t="shared" si="3471"/>
        <v>55.03069</v>
      </c>
      <c r="FF132" s="110">
        <f t="shared" si="3472"/>
        <v>385.21</v>
      </c>
      <c r="FG132" s="110"/>
      <c r="FH132" s="139"/>
      <c r="FI132" s="140">
        <f t="shared" si="3473"/>
        <v>0.88787000000000005</v>
      </c>
      <c r="FJ132" s="198">
        <f t="shared" si="3466"/>
        <v>1</v>
      </c>
      <c r="FK132" s="225">
        <f t="shared" si="3474"/>
        <v>9.7999999999999997E-4</v>
      </c>
      <c r="FL132" s="226">
        <f t="shared" si="3475"/>
        <v>1.69</v>
      </c>
      <c r="FM132" s="137">
        <f t="shared" si="3476"/>
        <v>1.69</v>
      </c>
      <c r="FN132" s="227">
        <f t="shared" si="3470"/>
        <v>18.39</v>
      </c>
      <c r="FO132" s="138">
        <f t="shared" si="3478"/>
        <v>31.0791</v>
      </c>
      <c r="FP132" s="110">
        <f t="shared" si="3479"/>
        <v>31.08</v>
      </c>
      <c r="FQ132" s="110"/>
      <c r="FR132" s="139"/>
      <c r="FS132" s="140">
        <f t="shared" si="3480"/>
        <v>0.50143000000000004</v>
      </c>
      <c r="FT132" s="198">
        <f t="shared" si="3466"/>
        <v>4</v>
      </c>
      <c r="FU132" s="225">
        <f t="shared" si="3481"/>
        <v>4.9800000000000001E-3</v>
      </c>
      <c r="FV132" s="226">
        <f t="shared" si="3482"/>
        <v>7.09</v>
      </c>
      <c r="FW132" s="137">
        <f t="shared" si="3483"/>
        <v>1.7725</v>
      </c>
      <c r="FX132" s="227">
        <f t="shared" si="3470"/>
        <v>32.619999999999997</v>
      </c>
      <c r="FY132" s="138">
        <f t="shared" si="3485"/>
        <v>57.818950000000001</v>
      </c>
      <c r="FZ132" s="110">
        <f t="shared" si="3486"/>
        <v>231.28</v>
      </c>
      <c r="GA132" s="110"/>
      <c r="GB132" s="139"/>
      <c r="GC132" s="140">
        <f t="shared" si="3487"/>
        <v>0.93284999999999996</v>
      </c>
      <c r="GD132" s="198">
        <f t="shared" si="3466"/>
        <v>6</v>
      </c>
      <c r="GE132" s="225">
        <f t="shared" si="3488"/>
        <v>1.172E-2</v>
      </c>
      <c r="GF132" s="226">
        <f t="shared" si="3489"/>
        <v>10.08</v>
      </c>
      <c r="GG132" s="137">
        <f t="shared" si="3490"/>
        <v>1.68</v>
      </c>
      <c r="GH132" s="227">
        <f t="shared" si="3470"/>
        <v>33.28</v>
      </c>
      <c r="GI132" s="138">
        <f t="shared" si="3492"/>
        <v>55.910400000000003</v>
      </c>
      <c r="GJ132" s="110">
        <f t="shared" si="3493"/>
        <v>335.46</v>
      </c>
      <c r="GK132" s="110"/>
      <c r="GL132" s="139"/>
      <c r="GM132" s="140">
        <f t="shared" si="3494"/>
        <v>0.90205999999999997</v>
      </c>
      <c r="GN132" s="198">
        <f t="shared" si="3466"/>
        <v>2</v>
      </c>
      <c r="GO132" s="225">
        <f t="shared" si="3495"/>
        <v>2.31E-3</v>
      </c>
      <c r="GP132" s="226">
        <f t="shared" si="3496"/>
        <v>6.35</v>
      </c>
      <c r="GQ132" s="137">
        <f t="shared" si="3497"/>
        <v>3.1749999999999998</v>
      </c>
      <c r="GR132" s="227">
        <f t="shared" si="3498"/>
        <v>30.78</v>
      </c>
      <c r="GS132" s="138">
        <f t="shared" si="3499"/>
        <v>97.726500000000001</v>
      </c>
      <c r="GT132" s="110">
        <f t="shared" si="3500"/>
        <v>195.45</v>
      </c>
      <c r="GU132" s="110"/>
      <c r="GV132" s="139"/>
      <c r="GW132" s="140">
        <f t="shared" si="3501"/>
        <v>1.5767199999999999</v>
      </c>
      <c r="GX132" s="198">
        <f t="shared" si="3466"/>
        <v>2</v>
      </c>
      <c r="GY132" s="225">
        <f t="shared" si="3502"/>
        <v>1.23E-3</v>
      </c>
      <c r="GZ132" s="226">
        <f t="shared" si="3503"/>
        <v>5.48</v>
      </c>
      <c r="HA132" s="137">
        <f t="shared" si="3504"/>
        <v>2.74</v>
      </c>
      <c r="HB132" s="227">
        <f t="shared" si="3498"/>
        <v>21.23</v>
      </c>
      <c r="HC132" s="138">
        <f t="shared" si="3506"/>
        <v>58.170200000000001</v>
      </c>
      <c r="HD132" s="110">
        <f t="shared" si="3507"/>
        <v>116.34</v>
      </c>
      <c r="HE132" s="110"/>
      <c r="HF132" s="139"/>
      <c r="HG132" s="140">
        <f t="shared" si="3508"/>
        <v>0.93852000000000002</v>
      </c>
      <c r="HH132" s="198">
        <f t="shared" si="3466"/>
        <v>3</v>
      </c>
      <c r="HI132" s="225">
        <f t="shared" si="3509"/>
        <v>2.5999999999999999E-3</v>
      </c>
      <c r="HJ132" s="226">
        <f t="shared" si="3510"/>
        <v>8.66</v>
      </c>
      <c r="HK132" s="137">
        <f t="shared" si="3511"/>
        <v>2.8866666699999999</v>
      </c>
      <c r="HL132" s="227">
        <f t="shared" si="3498"/>
        <v>28.23</v>
      </c>
      <c r="HM132" s="138">
        <f t="shared" si="3513"/>
        <v>81.490600000000001</v>
      </c>
      <c r="HN132" s="110">
        <f t="shared" si="3514"/>
        <v>244.47</v>
      </c>
      <c r="HO132" s="110"/>
      <c r="HP132" s="139"/>
      <c r="HQ132" s="140">
        <f t="shared" si="3515"/>
        <v>1.31477</v>
      </c>
      <c r="HR132" s="198">
        <f t="shared" si="3516"/>
        <v>2</v>
      </c>
      <c r="HS132" s="225">
        <f t="shared" si="3517"/>
        <v>2.5400000000000002E-3</v>
      </c>
      <c r="HT132" s="226">
        <f t="shared" si="3518"/>
        <v>2.29</v>
      </c>
      <c r="HU132" s="137">
        <f t="shared" si="3519"/>
        <v>1.145</v>
      </c>
      <c r="HV132" s="227">
        <f t="shared" si="3498"/>
        <v>31.27</v>
      </c>
      <c r="HW132" s="138">
        <f t="shared" si="3521"/>
        <v>35.80415</v>
      </c>
      <c r="HX132" s="110">
        <f t="shared" si="3522"/>
        <v>71.61</v>
      </c>
      <c r="HY132" s="110"/>
      <c r="HZ132" s="139"/>
      <c r="IA132" s="140">
        <f t="shared" si="3523"/>
        <v>0.57767000000000002</v>
      </c>
      <c r="IB132" s="198">
        <f t="shared" si="3516"/>
        <v>2</v>
      </c>
      <c r="IC132" s="225">
        <f t="shared" si="3524"/>
        <v>3.65E-3</v>
      </c>
      <c r="ID132" s="226">
        <f t="shared" si="3525"/>
        <v>1.57</v>
      </c>
      <c r="IE132" s="137">
        <f t="shared" si="3526"/>
        <v>0.78500000000000003</v>
      </c>
      <c r="IF132" s="227">
        <f t="shared" si="3527"/>
        <v>28.65</v>
      </c>
      <c r="IG132" s="138">
        <f t="shared" si="3528"/>
        <v>22.49025</v>
      </c>
      <c r="IH132" s="110">
        <f t="shared" si="3529"/>
        <v>44.98</v>
      </c>
      <c r="II132" s="110"/>
      <c r="IJ132" s="139"/>
      <c r="IK132" s="140">
        <f t="shared" si="3530"/>
        <v>0.36286000000000002</v>
      </c>
      <c r="IL132" s="198">
        <f t="shared" si="3516"/>
        <v>4</v>
      </c>
      <c r="IM132" s="225">
        <f t="shared" si="3531"/>
        <v>3.16E-3</v>
      </c>
      <c r="IN132" s="226">
        <f t="shared" si="3532"/>
        <v>9.3000000000000007</v>
      </c>
      <c r="IO132" s="137">
        <f t="shared" si="3533"/>
        <v>2.3250000000000002</v>
      </c>
      <c r="IP132" s="227">
        <f t="shared" si="3527"/>
        <v>33.04</v>
      </c>
      <c r="IQ132" s="138">
        <f t="shared" si="3535"/>
        <v>76.817999999999998</v>
      </c>
      <c r="IR132" s="110">
        <f t="shared" si="3536"/>
        <v>307.27</v>
      </c>
      <c r="IS132" s="110"/>
      <c r="IT132" s="139"/>
      <c r="IU132" s="140">
        <f t="shared" si="3537"/>
        <v>1.2393799999999999</v>
      </c>
      <c r="IV132" s="198">
        <f t="shared" si="3516"/>
        <v>2</v>
      </c>
      <c r="IW132" s="225">
        <f t="shared" si="3538"/>
        <v>2.5899999999999999E-3</v>
      </c>
      <c r="IX132" s="226">
        <f t="shared" si="3539"/>
        <v>4.1399999999999997</v>
      </c>
      <c r="IY132" s="137">
        <f t="shared" si="3540"/>
        <v>2.0699999999999998</v>
      </c>
      <c r="IZ132" s="227">
        <f t="shared" si="3527"/>
        <v>33.36</v>
      </c>
      <c r="JA132" s="138">
        <f t="shared" si="3542"/>
        <v>69.055199999999999</v>
      </c>
      <c r="JB132" s="110">
        <f t="shared" si="3543"/>
        <v>138.11000000000001</v>
      </c>
      <c r="JC132" s="110"/>
      <c r="JD132" s="139"/>
      <c r="JE132" s="140">
        <f t="shared" si="3544"/>
        <v>1.1141399999999999</v>
      </c>
      <c r="JF132" s="198">
        <f t="shared" si="3516"/>
        <v>1</v>
      </c>
      <c r="JG132" s="225">
        <f t="shared" si="3545"/>
        <v>7.5000000000000002E-4</v>
      </c>
      <c r="JH132" s="226">
        <f t="shared" si="3546"/>
        <v>2.87</v>
      </c>
      <c r="JI132" s="137">
        <f t="shared" si="3547"/>
        <v>2.87</v>
      </c>
      <c r="JJ132" s="227">
        <f t="shared" si="3527"/>
        <v>21.96</v>
      </c>
      <c r="JK132" s="138">
        <f t="shared" si="3549"/>
        <v>63.025199999999998</v>
      </c>
      <c r="JL132" s="110">
        <f t="shared" si="3550"/>
        <v>63.03</v>
      </c>
      <c r="JM132" s="110"/>
      <c r="JN132" s="139"/>
      <c r="JO132" s="140">
        <f t="shared" si="3551"/>
        <v>1.01685</v>
      </c>
      <c r="JP132" s="198">
        <f t="shared" si="3516"/>
        <v>5</v>
      </c>
      <c r="JQ132" s="225">
        <f t="shared" si="3552"/>
        <v>4.0000000000000001E-3</v>
      </c>
      <c r="JR132" s="226">
        <f t="shared" si="3553"/>
        <v>15.2</v>
      </c>
      <c r="JS132" s="137">
        <f t="shared" si="3554"/>
        <v>3.04</v>
      </c>
      <c r="JT132" s="227">
        <f t="shared" si="3555"/>
        <v>35.700000000000003</v>
      </c>
      <c r="JU132" s="138">
        <f t="shared" si="3556"/>
        <v>108.52800000000001</v>
      </c>
      <c r="JV132" s="110">
        <f t="shared" si="3557"/>
        <v>542.64</v>
      </c>
      <c r="JW132" s="110"/>
      <c r="JX132" s="139"/>
      <c r="JY132" s="140">
        <f t="shared" si="3558"/>
        <v>1.75099</v>
      </c>
      <c r="JZ132" s="198">
        <f t="shared" si="3516"/>
        <v>0</v>
      </c>
      <c r="KA132" s="225">
        <f t="shared" si="3559"/>
        <v>0</v>
      </c>
      <c r="KB132" s="226">
        <f t="shared" si="3560"/>
        <v>0</v>
      </c>
      <c r="KC132" s="137">
        <f t="shared" si="3561"/>
        <v>0</v>
      </c>
      <c r="KD132" s="227">
        <f t="shared" si="3555"/>
        <v>30.3</v>
      </c>
      <c r="KE132" s="138">
        <f t="shared" si="3563"/>
        <v>0</v>
      </c>
      <c r="KF132" s="110">
        <f t="shared" si="3564"/>
        <v>0</v>
      </c>
      <c r="KG132" s="110"/>
      <c r="KH132" s="139"/>
      <c r="KI132" s="140">
        <f t="shared" si="3565"/>
        <v>0</v>
      </c>
      <c r="KJ132" s="198">
        <f t="shared" si="3566"/>
        <v>1</v>
      </c>
      <c r="KK132" s="225">
        <f t="shared" si="3567"/>
        <v>7.5000000000000002E-4</v>
      </c>
      <c r="KL132" s="226">
        <f t="shared" si="3568"/>
        <v>1.99</v>
      </c>
      <c r="KM132" s="137">
        <f t="shared" si="3569"/>
        <v>1.99</v>
      </c>
      <c r="KN132" s="227">
        <f t="shared" si="3555"/>
        <v>30.43</v>
      </c>
      <c r="KO132" s="138">
        <f t="shared" si="3571"/>
        <v>60.555700000000002</v>
      </c>
      <c r="KP132" s="110">
        <f t="shared" si="3572"/>
        <v>60.56</v>
      </c>
      <c r="KQ132" s="110"/>
      <c r="KR132" s="139"/>
      <c r="KS132" s="140">
        <f t="shared" si="3573"/>
        <v>0.97701000000000005</v>
      </c>
      <c r="KT132" s="198">
        <f t="shared" si="3566"/>
        <v>3</v>
      </c>
      <c r="KU132" s="225">
        <f t="shared" si="3574"/>
        <v>2.6700000000000001E-3</v>
      </c>
      <c r="KV132" s="226">
        <f t="shared" si="3575"/>
        <v>16.899999999999999</v>
      </c>
      <c r="KW132" s="137">
        <f t="shared" si="3576"/>
        <v>5.6333333300000001</v>
      </c>
      <c r="KX132" s="227">
        <f t="shared" si="3555"/>
        <v>34.299999999999997</v>
      </c>
      <c r="KY132" s="138">
        <f t="shared" si="3578"/>
        <v>193.22333</v>
      </c>
      <c r="KZ132" s="110">
        <f t="shared" si="3579"/>
        <v>579.66999999999996</v>
      </c>
      <c r="LA132" s="110"/>
      <c r="LB132" s="139"/>
      <c r="LC132" s="140">
        <f t="shared" si="3580"/>
        <v>3.11747</v>
      </c>
      <c r="LD132" s="197">
        <f t="shared" si="3581"/>
        <v>74</v>
      </c>
      <c r="LE132" s="225">
        <f t="shared" si="3582"/>
        <v>2.5899999999999999E-3</v>
      </c>
      <c r="LF132" s="226">
        <f t="shared" si="3583"/>
        <v>158.76</v>
      </c>
      <c r="LG132" s="137">
        <f t="shared" si="3584"/>
        <v>2.14540541</v>
      </c>
      <c r="LH132" s="227">
        <f t="shared" si="3585"/>
        <v>28.89</v>
      </c>
      <c r="LI132" s="138">
        <f t="shared" si="3586"/>
        <v>61.980759999999997</v>
      </c>
      <c r="LJ132" s="110">
        <f t="shared" si="3587"/>
        <v>4586.58</v>
      </c>
      <c r="LK132" s="110"/>
      <c r="LL132" s="139"/>
    </row>
    <row r="133" spans="1:324" ht="26.25" hidden="1" customHeight="1" x14ac:dyDescent="0.25">
      <c r="A133" s="246"/>
      <c r="B133" s="92" t="s">
        <v>639</v>
      </c>
      <c r="C133" s="12" t="s">
        <v>728</v>
      </c>
      <c r="D133" s="12" t="s">
        <v>430</v>
      </c>
      <c r="E133" s="4" t="s">
        <v>32</v>
      </c>
      <c r="F133" s="198">
        <f t="shared" si="3361"/>
        <v>0</v>
      </c>
      <c r="G133" s="225">
        <f t="shared" si="3588"/>
        <v>0</v>
      </c>
      <c r="H133" s="226">
        <f t="shared" si="3589"/>
        <v>0</v>
      </c>
      <c r="I133" s="137">
        <f t="shared" si="3362"/>
        <v>0</v>
      </c>
      <c r="J133" s="227">
        <f t="shared" si="3590"/>
        <v>19.559999999999999</v>
      </c>
      <c r="K133" s="138">
        <f t="shared" si="3363"/>
        <v>0</v>
      </c>
      <c r="L133" s="110">
        <f t="shared" si="3364"/>
        <v>0</v>
      </c>
      <c r="M133" s="110"/>
      <c r="N133" s="139"/>
      <c r="O133" s="140" t="e">
        <f t="shared" si="3365"/>
        <v>#DIV/0!</v>
      </c>
      <c r="P133" s="198">
        <f t="shared" si="3366"/>
        <v>0</v>
      </c>
      <c r="Q133" s="225">
        <f t="shared" si="3367"/>
        <v>0</v>
      </c>
      <c r="R133" s="226">
        <f t="shared" si="3368"/>
        <v>0</v>
      </c>
      <c r="S133" s="137">
        <f t="shared" si="3369"/>
        <v>0</v>
      </c>
      <c r="T133" s="227">
        <f t="shared" si="3370"/>
        <v>14.76</v>
      </c>
      <c r="U133" s="138">
        <f t="shared" si="3371"/>
        <v>0</v>
      </c>
      <c r="V133" s="110">
        <f t="shared" si="3372"/>
        <v>0</v>
      </c>
      <c r="W133" s="110"/>
      <c r="X133" s="139"/>
      <c r="Y133" s="140" t="e">
        <f t="shared" si="3373"/>
        <v>#DIV/0!</v>
      </c>
      <c r="Z133" s="198">
        <f t="shared" si="3366"/>
        <v>0</v>
      </c>
      <c r="AA133" s="225">
        <f t="shared" si="3374"/>
        <v>0</v>
      </c>
      <c r="AB133" s="226">
        <f t="shared" si="3375"/>
        <v>0</v>
      </c>
      <c r="AC133" s="137">
        <f t="shared" si="3376"/>
        <v>0</v>
      </c>
      <c r="AD133" s="227">
        <f t="shared" si="3370"/>
        <v>33.520000000000003</v>
      </c>
      <c r="AE133" s="138">
        <f t="shared" si="3378"/>
        <v>0</v>
      </c>
      <c r="AF133" s="110">
        <f t="shared" si="3379"/>
        <v>0</v>
      </c>
      <c r="AG133" s="110"/>
      <c r="AH133" s="139"/>
      <c r="AI133" s="140" t="e">
        <f t="shared" si="3380"/>
        <v>#DIV/0!</v>
      </c>
      <c r="AJ133" s="198">
        <f t="shared" si="3366"/>
        <v>0</v>
      </c>
      <c r="AK133" s="225">
        <f t="shared" si="3381"/>
        <v>0</v>
      </c>
      <c r="AL133" s="226">
        <f t="shared" si="3382"/>
        <v>0</v>
      </c>
      <c r="AM133" s="137">
        <f t="shared" si="3383"/>
        <v>0</v>
      </c>
      <c r="AN133" s="227">
        <f t="shared" si="3370"/>
        <v>33.07</v>
      </c>
      <c r="AO133" s="138">
        <f t="shared" si="3385"/>
        <v>0</v>
      </c>
      <c r="AP133" s="110">
        <f t="shared" si="3386"/>
        <v>0</v>
      </c>
      <c r="AQ133" s="110"/>
      <c r="AR133" s="139"/>
      <c r="AS133" s="140" t="e">
        <f t="shared" si="3387"/>
        <v>#DIV/0!</v>
      </c>
      <c r="AT133" s="198">
        <f t="shared" si="3366"/>
        <v>0</v>
      </c>
      <c r="AU133" s="225">
        <f t="shared" si="3388"/>
        <v>0</v>
      </c>
      <c r="AV133" s="226">
        <f t="shared" si="3389"/>
        <v>0</v>
      </c>
      <c r="AW133" s="137">
        <f t="shared" si="3390"/>
        <v>0</v>
      </c>
      <c r="AX133" s="227">
        <f t="shared" si="3370"/>
        <v>28.2</v>
      </c>
      <c r="AY133" s="138">
        <f t="shared" si="3392"/>
        <v>0</v>
      </c>
      <c r="AZ133" s="110">
        <f t="shared" si="3393"/>
        <v>0</v>
      </c>
      <c r="BA133" s="110"/>
      <c r="BB133" s="139"/>
      <c r="BC133" s="140" t="e">
        <f t="shared" si="3394"/>
        <v>#DIV/0!</v>
      </c>
      <c r="BD133" s="198">
        <f t="shared" si="3366"/>
        <v>0</v>
      </c>
      <c r="BE133" s="225">
        <f t="shared" si="3395"/>
        <v>0</v>
      </c>
      <c r="BF133" s="226">
        <f t="shared" si="3396"/>
        <v>0</v>
      </c>
      <c r="BG133" s="137">
        <f t="shared" si="3397"/>
        <v>0</v>
      </c>
      <c r="BH133" s="227">
        <f t="shared" si="3370"/>
        <v>33.75</v>
      </c>
      <c r="BI133" s="138">
        <f t="shared" si="3399"/>
        <v>0</v>
      </c>
      <c r="BJ133" s="110">
        <f t="shared" si="3400"/>
        <v>0</v>
      </c>
      <c r="BK133" s="110"/>
      <c r="BL133" s="139"/>
      <c r="BM133" s="140" t="e">
        <f t="shared" si="3401"/>
        <v>#DIV/0!</v>
      </c>
      <c r="BN133" s="198">
        <f t="shared" si="3366"/>
        <v>0</v>
      </c>
      <c r="BO133" s="225">
        <f t="shared" si="3402"/>
        <v>0</v>
      </c>
      <c r="BP133" s="226">
        <f t="shared" si="3403"/>
        <v>0</v>
      </c>
      <c r="BQ133" s="137">
        <f t="shared" si="3404"/>
        <v>0</v>
      </c>
      <c r="BR133" s="227">
        <f t="shared" si="3370"/>
        <v>32.79</v>
      </c>
      <c r="BS133" s="138">
        <f t="shared" si="3406"/>
        <v>0</v>
      </c>
      <c r="BT133" s="110">
        <f t="shared" si="3407"/>
        <v>0</v>
      </c>
      <c r="BU133" s="110"/>
      <c r="BV133" s="139"/>
      <c r="BW133" s="140" t="e">
        <f t="shared" si="3408"/>
        <v>#DIV/0!</v>
      </c>
      <c r="BX133" s="198">
        <f t="shared" si="3366"/>
        <v>0</v>
      </c>
      <c r="BY133" s="225">
        <f t="shared" si="3409"/>
        <v>0</v>
      </c>
      <c r="BZ133" s="226">
        <f t="shared" si="3410"/>
        <v>0</v>
      </c>
      <c r="CA133" s="137">
        <f t="shared" si="3411"/>
        <v>0</v>
      </c>
      <c r="CB133" s="227">
        <f t="shared" si="3370"/>
        <v>30.39</v>
      </c>
      <c r="CC133" s="138">
        <f t="shared" si="3413"/>
        <v>0</v>
      </c>
      <c r="CD133" s="110">
        <f t="shared" si="3414"/>
        <v>0</v>
      </c>
      <c r="CE133" s="110"/>
      <c r="CF133" s="139"/>
      <c r="CG133" s="140" t="e">
        <f t="shared" si="3415"/>
        <v>#DIV/0!</v>
      </c>
      <c r="CH133" s="198">
        <f t="shared" si="3416"/>
        <v>0</v>
      </c>
      <c r="CI133" s="225">
        <f t="shared" si="3417"/>
        <v>0</v>
      </c>
      <c r="CJ133" s="226">
        <f t="shared" si="3418"/>
        <v>0</v>
      </c>
      <c r="CK133" s="137">
        <f t="shared" si="3419"/>
        <v>0</v>
      </c>
      <c r="CL133" s="227">
        <f t="shared" si="3420"/>
        <v>25.57</v>
      </c>
      <c r="CM133" s="138">
        <f t="shared" si="3421"/>
        <v>0</v>
      </c>
      <c r="CN133" s="110">
        <f t="shared" si="3422"/>
        <v>0</v>
      </c>
      <c r="CO133" s="110"/>
      <c r="CP133" s="139"/>
      <c r="CQ133" s="140" t="e">
        <f t="shared" si="3423"/>
        <v>#DIV/0!</v>
      </c>
      <c r="CR133" s="198">
        <f t="shared" si="3416"/>
        <v>0</v>
      </c>
      <c r="CS133" s="225">
        <f t="shared" si="3424"/>
        <v>0</v>
      </c>
      <c r="CT133" s="226">
        <f t="shared" si="3425"/>
        <v>0</v>
      </c>
      <c r="CU133" s="137">
        <f t="shared" si="3426"/>
        <v>0</v>
      </c>
      <c r="CV133" s="227">
        <f t="shared" si="3420"/>
        <v>28.26</v>
      </c>
      <c r="CW133" s="138">
        <f t="shared" si="3428"/>
        <v>0</v>
      </c>
      <c r="CX133" s="110">
        <f t="shared" si="3429"/>
        <v>0</v>
      </c>
      <c r="CY133" s="110"/>
      <c r="CZ133" s="139"/>
      <c r="DA133" s="140" t="e">
        <f t="shared" si="3430"/>
        <v>#DIV/0!</v>
      </c>
      <c r="DB133" s="198">
        <f t="shared" si="3416"/>
        <v>0</v>
      </c>
      <c r="DC133" s="225">
        <f t="shared" si="3431"/>
        <v>0</v>
      </c>
      <c r="DD133" s="226">
        <f t="shared" si="3432"/>
        <v>0</v>
      </c>
      <c r="DE133" s="137">
        <f t="shared" si="3433"/>
        <v>0</v>
      </c>
      <c r="DF133" s="227">
        <f t="shared" si="3420"/>
        <v>31.22</v>
      </c>
      <c r="DG133" s="138">
        <f t="shared" si="3435"/>
        <v>0</v>
      </c>
      <c r="DH133" s="110">
        <f t="shared" si="3436"/>
        <v>0</v>
      </c>
      <c r="DI133" s="110"/>
      <c r="DJ133" s="139"/>
      <c r="DK133" s="140" t="e">
        <f t="shared" si="3437"/>
        <v>#DIV/0!</v>
      </c>
      <c r="DL133" s="198">
        <f t="shared" si="3416"/>
        <v>0</v>
      </c>
      <c r="DM133" s="225">
        <f t="shared" si="3438"/>
        <v>0</v>
      </c>
      <c r="DN133" s="226">
        <f t="shared" si="3439"/>
        <v>0</v>
      </c>
      <c r="DO133" s="137">
        <f t="shared" si="3440"/>
        <v>0</v>
      </c>
      <c r="DP133" s="227">
        <f t="shared" si="3420"/>
        <v>33.9</v>
      </c>
      <c r="DQ133" s="138">
        <f t="shared" si="3442"/>
        <v>0</v>
      </c>
      <c r="DR133" s="110">
        <f t="shared" si="3443"/>
        <v>0</v>
      </c>
      <c r="DS133" s="110"/>
      <c r="DT133" s="139"/>
      <c r="DU133" s="140" t="e">
        <f t="shared" si="3444"/>
        <v>#DIV/0!</v>
      </c>
      <c r="DV133" s="198">
        <f t="shared" si="3416"/>
        <v>0</v>
      </c>
      <c r="DW133" s="225">
        <f t="shared" si="3445"/>
        <v>0</v>
      </c>
      <c r="DX133" s="226">
        <f t="shared" si="3446"/>
        <v>0</v>
      </c>
      <c r="DY133" s="137">
        <f t="shared" si="3447"/>
        <v>0</v>
      </c>
      <c r="DZ133" s="227">
        <f t="shared" si="3420"/>
        <v>12.79</v>
      </c>
      <c r="EA133" s="138">
        <f t="shared" si="3449"/>
        <v>0</v>
      </c>
      <c r="EB133" s="110">
        <f t="shared" si="3450"/>
        <v>0</v>
      </c>
      <c r="EC133" s="110"/>
      <c r="ED133" s="139"/>
      <c r="EE133" s="140" t="e">
        <f t="shared" si="3451"/>
        <v>#DIV/0!</v>
      </c>
      <c r="EF133" s="198">
        <f t="shared" si="3416"/>
        <v>0</v>
      </c>
      <c r="EG133" s="225">
        <f t="shared" si="3452"/>
        <v>0</v>
      </c>
      <c r="EH133" s="226">
        <f t="shared" si="3453"/>
        <v>0</v>
      </c>
      <c r="EI133" s="137">
        <f t="shared" si="3454"/>
        <v>0</v>
      </c>
      <c r="EJ133" s="227">
        <f t="shared" si="3420"/>
        <v>23.18</v>
      </c>
      <c r="EK133" s="138">
        <f t="shared" si="3456"/>
        <v>0</v>
      </c>
      <c r="EL133" s="110">
        <f t="shared" si="3457"/>
        <v>0</v>
      </c>
      <c r="EM133" s="110"/>
      <c r="EN133" s="139"/>
      <c r="EO133" s="140" t="e">
        <f t="shared" si="3458"/>
        <v>#DIV/0!</v>
      </c>
      <c r="EP133" s="198">
        <f t="shared" si="3416"/>
        <v>0</v>
      </c>
      <c r="EQ133" s="225">
        <f t="shared" si="3459"/>
        <v>0</v>
      </c>
      <c r="ER133" s="226">
        <f t="shared" si="3460"/>
        <v>0</v>
      </c>
      <c r="ES133" s="137">
        <f t="shared" si="3461"/>
        <v>0</v>
      </c>
      <c r="ET133" s="227">
        <f t="shared" si="3420"/>
        <v>30.66</v>
      </c>
      <c r="EU133" s="138">
        <f t="shared" si="3463"/>
        <v>0</v>
      </c>
      <c r="EV133" s="110">
        <f t="shared" si="3464"/>
        <v>0</v>
      </c>
      <c r="EW133" s="110"/>
      <c r="EX133" s="139"/>
      <c r="EY133" s="140" t="e">
        <f t="shared" si="3465"/>
        <v>#DIV/0!</v>
      </c>
      <c r="EZ133" s="198">
        <f t="shared" si="3466"/>
        <v>0</v>
      </c>
      <c r="FA133" s="225">
        <f t="shared" si="3467"/>
        <v>0</v>
      </c>
      <c r="FB133" s="226">
        <f t="shared" si="3468"/>
        <v>0</v>
      </c>
      <c r="FC133" s="137">
        <f t="shared" si="3469"/>
        <v>0</v>
      </c>
      <c r="FD133" s="227">
        <f t="shared" si="3470"/>
        <v>34.119999999999997</v>
      </c>
      <c r="FE133" s="138">
        <f t="shared" si="3471"/>
        <v>0</v>
      </c>
      <c r="FF133" s="110">
        <f t="shared" si="3472"/>
        <v>0</v>
      </c>
      <c r="FG133" s="110"/>
      <c r="FH133" s="139"/>
      <c r="FI133" s="140" t="e">
        <f t="shared" si="3473"/>
        <v>#DIV/0!</v>
      </c>
      <c r="FJ133" s="198">
        <f t="shared" si="3466"/>
        <v>0</v>
      </c>
      <c r="FK133" s="225">
        <f t="shared" si="3474"/>
        <v>0</v>
      </c>
      <c r="FL133" s="226">
        <f t="shared" si="3475"/>
        <v>0</v>
      </c>
      <c r="FM133" s="137">
        <f t="shared" si="3476"/>
        <v>0</v>
      </c>
      <c r="FN133" s="227">
        <f t="shared" si="3470"/>
        <v>18.39</v>
      </c>
      <c r="FO133" s="138">
        <f t="shared" si="3478"/>
        <v>0</v>
      </c>
      <c r="FP133" s="110">
        <f t="shared" si="3479"/>
        <v>0</v>
      </c>
      <c r="FQ133" s="110"/>
      <c r="FR133" s="139"/>
      <c r="FS133" s="140" t="e">
        <f t="shared" si="3480"/>
        <v>#DIV/0!</v>
      </c>
      <c r="FT133" s="198">
        <f t="shared" si="3466"/>
        <v>0</v>
      </c>
      <c r="FU133" s="225">
        <f t="shared" si="3481"/>
        <v>0</v>
      </c>
      <c r="FV133" s="226">
        <f t="shared" si="3482"/>
        <v>0</v>
      </c>
      <c r="FW133" s="137">
        <f t="shared" si="3483"/>
        <v>0</v>
      </c>
      <c r="FX133" s="227">
        <f t="shared" si="3470"/>
        <v>32.619999999999997</v>
      </c>
      <c r="FY133" s="138">
        <f t="shared" si="3485"/>
        <v>0</v>
      </c>
      <c r="FZ133" s="110">
        <f t="shared" si="3486"/>
        <v>0</v>
      </c>
      <c r="GA133" s="110"/>
      <c r="GB133" s="139"/>
      <c r="GC133" s="140" t="e">
        <f t="shared" si="3487"/>
        <v>#DIV/0!</v>
      </c>
      <c r="GD133" s="198">
        <f t="shared" si="3466"/>
        <v>0</v>
      </c>
      <c r="GE133" s="225">
        <f t="shared" si="3488"/>
        <v>0</v>
      </c>
      <c r="GF133" s="226">
        <f t="shared" si="3489"/>
        <v>0</v>
      </c>
      <c r="GG133" s="137">
        <f t="shared" si="3490"/>
        <v>0</v>
      </c>
      <c r="GH133" s="227">
        <f t="shared" si="3470"/>
        <v>33.28</v>
      </c>
      <c r="GI133" s="138">
        <f t="shared" si="3492"/>
        <v>0</v>
      </c>
      <c r="GJ133" s="110">
        <f t="shared" si="3493"/>
        <v>0</v>
      </c>
      <c r="GK133" s="110"/>
      <c r="GL133" s="139"/>
      <c r="GM133" s="140" t="e">
        <f t="shared" si="3494"/>
        <v>#DIV/0!</v>
      </c>
      <c r="GN133" s="198">
        <f t="shared" si="3466"/>
        <v>0</v>
      </c>
      <c r="GO133" s="225">
        <f t="shared" si="3495"/>
        <v>0</v>
      </c>
      <c r="GP133" s="226">
        <f t="shared" si="3496"/>
        <v>0</v>
      </c>
      <c r="GQ133" s="137">
        <f t="shared" si="3497"/>
        <v>0</v>
      </c>
      <c r="GR133" s="227">
        <f t="shared" si="3498"/>
        <v>30.78</v>
      </c>
      <c r="GS133" s="138">
        <f t="shared" si="3499"/>
        <v>0</v>
      </c>
      <c r="GT133" s="110">
        <f t="shared" si="3500"/>
        <v>0</v>
      </c>
      <c r="GU133" s="110"/>
      <c r="GV133" s="139"/>
      <c r="GW133" s="140" t="e">
        <f t="shared" si="3501"/>
        <v>#DIV/0!</v>
      </c>
      <c r="GX133" s="198">
        <f t="shared" si="3466"/>
        <v>0</v>
      </c>
      <c r="GY133" s="225">
        <f t="shared" si="3502"/>
        <v>0</v>
      </c>
      <c r="GZ133" s="226">
        <f t="shared" si="3503"/>
        <v>0</v>
      </c>
      <c r="HA133" s="137">
        <f t="shared" si="3504"/>
        <v>0</v>
      </c>
      <c r="HB133" s="227">
        <f t="shared" si="3498"/>
        <v>21.23</v>
      </c>
      <c r="HC133" s="138">
        <f t="shared" si="3506"/>
        <v>0</v>
      </c>
      <c r="HD133" s="110">
        <f t="shared" si="3507"/>
        <v>0</v>
      </c>
      <c r="HE133" s="110"/>
      <c r="HF133" s="139"/>
      <c r="HG133" s="140" t="e">
        <f t="shared" si="3508"/>
        <v>#DIV/0!</v>
      </c>
      <c r="HH133" s="198">
        <f t="shared" si="3466"/>
        <v>0</v>
      </c>
      <c r="HI133" s="225">
        <f t="shared" si="3509"/>
        <v>0</v>
      </c>
      <c r="HJ133" s="226">
        <f t="shared" si="3510"/>
        <v>0</v>
      </c>
      <c r="HK133" s="137">
        <f t="shared" si="3511"/>
        <v>0</v>
      </c>
      <c r="HL133" s="227">
        <f t="shared" si="3498"/>
        <v>28.23</v>
      </c>
      <c r="HM133" s="138">
        <f t="shared" si="3513"/>
        <v>0</v>
      </c>
      <c r="HN133" s="110">
        <f t="shared" si="3514"/>
        <v>0</v>
      </c>
      <c r="HO133" s="110"/>
      <c r="HP133" s="139"/>
      <c r="HQ133" s="140" t="e">
        <f t="shared" si="3515"/>
        <v>#DIV/0!</v>
      </c>
      <c r="HR133" s="198">
        <f t="shared" si="3516"/>
        <v>0</v>
      </c>
      <c r="HS133" s="225">
        <f t="shared" si="3517"/>
        <v>0</v>
      </c>
      <c r="HT133" s="226">
        <f t="shared" si="3518"/>
        <v>0</v>
      </c>
      <c r="HU133" s="137">
        <f t="shared" si="3519"/>
        <v>0</v>
      </c>
      <c r="HV133" s="227">
        <f t="shared" si="3498"/>
        <v>31.27</v>
      </c>
      <c r="HW133" s="138">
        <f t="shared" si="3521"/>
        <v>0</v>
      </c>
      <c r="HX133" s="110">
        <f t="shared" si="3522"/>
        <v>0</v>
      </c>
      <c r="HY133" s="110"/>
      <c r="HZ133" s="139"/>
      <c r="IA133" s="140" t="e">
        <f t="shared" si="3523"/>
        <v>#DIV/0!</v>
      </c>
      <c r="IB133" s="198">
        <f t="shared" si="3516"/>
        <v>0</v>
      </c>
      <c r="IC133" s="225">
        <f t="shared" si="3524"/>
        <v>0</v>
      </c>
      <c r="ID133" s="226">
        <f t="shared" si="3525"/>
        <v>0</v>
      </c>
      <c r="IE133" s="137">
        <f t="shared" si="3526"/>
        <v>0</v>
      </c>
      <c r="IF133" s="227">
        <f t="shared" si="3527"/>
        <v>28.65</v>
      </c>
      <c r="IG133" s="138">
        <f t="shared" si="3528"/>
        <v>0</v>
      </c>
      <c r="IH133" s="110">
        <f t="shared" si="3529"/>
        <v>0</v>
      </c>
      <c r="II133" s="110"/>
      <c r="IJ133" s="139"/>
      <c r="IK133" s="140" t="e">
        <f t="shared" si="3530"/>
        <v>#DIV/0!</v>
      </c>
      <c r="IL133" s="198">
        <f t="shared" si="3516"/>
        <v>0</v>
      </c>
      <c r="IM133" s="225">
        <f t="shared" si="3531"/>
        <v>0</v>
      </c>
      <c r="IN133" s="226">
        <f t="shared" si="3532"/>
        <v>0</v>
      </c>
      <c r="IO133" s="137">
        <f t="shared" si="3533"/>
        <v>0</v>
      </c>
      <c r="IP133" s="227">
        <f t="shared" si="3527"/>
        <v>33.04</v>
      </c>
      <c r="IQ133" s="138">
        <f t="shared" si="3535"/>
        <v>0</v>
      </c>
      <c r="IR133" s="110">
        <f t="shared" si="3536"/>
        <v>0</v>
      </c>
      <c r="IS133" s="110"/>
      <c r="IT133" s="139"/>
      <c r="IU133" s="140" t="e">
        <f t="shared" si="3537"/>
        <v>#DIV/0!</v>
      </c>
      <c r="IV133" s="198">
        <f t="shared" si="3516"/>
        <v>0</v>
      </c>
      <c r="IW133" s="225">
        <f t="shared" si="3538"/>
        <v>0</v>
      </c>
      <c r="IX133" s="226">
        <f t="shared" si="3539"/>
        <v>0</v>
      </c>
      <c r="IY133" s="137">
        <f t="shared" si="3540"/>
        <v>0</v>
      </c>
      <c r="IZ133" s="227">
        <f t="shared" si="3527"/>
        <v>33.36</v>
      </c>
      <c r="JA133" s="138">
        <f t="shared" si="3542"/>
        <v>0</v>
      </c>
      <c r="JB133" s="110">
        <f t="shared" si="3543"/>
        <v>0</v>
      </c>
      <c r="JC133" s="110"/>
      <c r="JD133" s="139"/>
      <c r="JE133" s="140" t="e">
        <f t="shared" si="3544"/>
        <v>#DIV/0!</v>
      </c>
      <c r="JF133" s="198">
        <f t="shared" si="3516"/>
        <v>0</v>
      </c>
      <c r="JG133" s="225">
        <f t="shared" si="3545"/>
        <v>0</v>
      </c>
      <c r="JH133" s="226">
        <f t="shared" si="3546"/>
        <v>0</v>
      </c>
      <c r="JI133" s="137">
        <f t="shared" si="3547"/>
        <v>0</v>
      </c>
      <c r="JJ133" s="227">
        <f t="shared" si="3527"/>
        <v>21.96</v>
      </c>
      <c r="JK133" s="138">
        <f t="shared" si="3549"/>
        <v>0</v>
      </c>
      <c r="JL133" s="110">
        <f t="shared" si="3550"/>
        <v>0</v>
      </c>
      <c r="JM133" s="110"/>
      <c r="JN133" s="139"/>
      <c r="JO133" s="140" t="e">
        <f t="shared" si="3551"/>
        <v>#DIV/0!</v>
      </c>
      <c r="JP133" s="198">
        <f t="shared" si="3516"/>
        <v>0</v>
      </c>
      <c r="JQ133" s="225">
        <f t="shared" si="3552"/>
        <v>0</v>
      </c>
      <c r="JR133" s="226">
        <f t="shared" si="3553"/>
        <v>0</v>
      </c>
      <c r="JS133" s="137">
        <f t="shared" si="3554"/>
        <v>0</v>
      </c>
      <c r="JT133" s="227">
        <f t="shared" si="3555"/>
        <v>35.700000000000003</v>
      </c>
      <c r="JU133" s="138">
        <f t="shared" si="3556"/>
        <v>0</v>
      </c>
      <c r="JV133" s="110">
        <f t="shared" si="3557"/>
        <v>0</v>
      </c>
      <c r="JW133" s="110"/>
      <c r="JX133" s="139"/>
      <c r="JY133" s="140" t="e">
        <f t="shared" si="3558"/>
        <v>#DIV/0!</v>
      </c>
      <c r="JZ133" s="198">
        <f t="shared" si="3516"/>
        <v>0</v>
      </c>
      <c r="KA133" s="225">
        <f t="shared" si="3559"/>
        <v>0</v>
      </c>
      <c r="KB133" s="226">
        <f t="shared" si="3560"/>
        <v>0</v>
      </c>
      <c r="KC133" s="137">
        <f t="shared" si="3561"/>
        <v>0</v>
      </c>
      <c r="KD133" s="227">
        <f t="shared" si="3555"/>
        <v>30.3</v>
      </c>
      <c r="KE133" s="138">
        <f t="shared" si="3563"/>
        <v>0</v>
      </c>
      <c r="KF133" s="110">
        <f t="shared" si="3564"/>
        <v>0</v>
      </c>
      <c r="KG133" s="110"/>
      <c r="KH133" s="139"/>
      <c r="KI133" s="140" t="e">
        <f t="shared" si="3565"/>
        <v>#DIV/0!</v>
      </c>
      <c r="KJ133" s="198">
        <f t="shared" si="3566"/>
        <v>0</v>
      </c>
      <c r="KK133" s="225">
        <f t="shared" si="3567"/>
        <v>0</v>
      </c>
      <c r="KL133" s="226">
        <f t="shared" si="3568"/>
        <v>0</v>
      </c>
      <c r="KM133" s="137">
        <f t="shared" si="3569"/>
        <v>0</v>
      </c>
      <c r="KN133" s="227">
        <f t="shared" si="3555"/>
        <v>30.43</v>
      </c>
      <c r="KO133" s="138">
        <f t="shared" si="3571"/>
        <v>0</v>
      </c>
      <c r="KP133" s="110">
        <f t="shared" si="3572"/>
        <v>0</v>
      </c>
      <c r="KQ133" s="110"/>
      <c r="KR133" s="139"/>
      <c r="KS133" s="140" t="e">
        <f t="shared" si="3573"/>
        <v>#DIV/0!</v>
      </c>
      <c r="KT133" s="198">
        <f t="shared" si="3566"/>
        <v>0</v>
      </c>
      <c r="KU133" s="225">
        <f t="shared" si="3574"/>
        <v>0</v>
      </c>
      <c r="KV133" s="226">
        <f t="shared" si="3575"/>
        <v>0</v>
      </c>
      <c r="KW133" s="137">
        <f t="shared" si="3576"/>
        <v>0</v>
      </c>
      <c r="KX133" s="227">
        <f t="shared" si="3555"/>
        <v>34.299999999999997</v>
      </c>
      <c r="KY133" s="138">
        <f t="shared" si="3578"/>
        <v>0</v>
      </c>
      <c r="KZ133" s="110">
        <f t="shared" si="3579"/>
        <v>0</v>
      </c>
      <c r="LA133" s="110"/>
      <c r="LB133" s="139"/>
      <c r="LC133" s="140" t="e">
        <f t="shared" si="3580"/>
        <v>#DIV/0!</v>
      </c>
      <c r="LD133" s="197">
        <f t="shared" si="3581"/>
        <v>0</v>
      </c>
      <c r="LE133" s="225">
        <f t="shared" si="3582"/>
        <v>0</v>
      </c>
      <c r="LF133" s="226">
        <f t="shared" si="3583"/>
        <v>0</v>
      </c>
      <c r="LG133" s="137">
        <f t="shared" si="3584"/>
        <v>0</v>
      </c>
      <c r="LH133" s="227">
        <f t="shared" si="3585"/>
        <v>28.89</v>
      </c>
      <c r="LI133" s="138">
        <f t="shared" si="3586"/>
        <v>0</v>
      </c>
      <c r="LJ133" s="110">
        <f t="shared" si="3587"/>
        <v>0</v>
      </c>
      <c r="LK133" s="110"/>
      <c r="LL133" s="139"/>
    </row>
    <row r="134" spans="1:324" ht="24" x14ac:dyDescent="0.25">
      <c r="A134" s="246"/>
      <c r="B134" s="12" t="s">
        <v>627</v>
      </c>
      <c r="C134" s="12" t="s">
        <v>729</v>
      </c>
      <c r="D134" s="12" t="s">
        <v>429</v>
      </c>
      <c r="E134" s="4" t="s">
        <v>32</v>
      </c>
      <c r="F134" s="198">
        <f t="shared" si="3361"/>
        <v>0</v>
      </c>
      <c r="G134" s="225">
        <f t="shared" si="3588"/>
        <v>0</v>
      </c>
      <c r="H134" s="226">
        <f t="shared" si="3589"/>
        <v>0</v>
      </c>
      <c r="I134" s="137">
        <f t="shared" si="3362"/>
        <v>0</v>
      </c>
      <c r="J134" s="227">
        <f t="shared" si="3590"/>
        <v>19.559999999999999</v>
      </c>
      <c r="K134" s="138">
        <f t="shared" si="3363"/>
        <v>0</v>
      </c>
      <c r="L134" s="110">
        <f t="shared" si="3364"/>
        <v>0</v>
      </c>
      <c r="M134" s="110"/>
      <c r="N134" s="139"/>
      <c r="O134" s="140">
        <f t="shared" si="3365"/>
        <v>0</v>
      </c>
      <c r="P134" s="198">
        <f t="shared" si="3366"/>
        <v>0</v>
      </c>
      <c r="Q134" s="225">
        <f t="shared" si="3367"/>
        <v>0</v>
      </c>
      <c r="R134" s="226">
        <f t="shared" si="3368"/>
        <v>0</v>
      </c>
      <c r="S134" s="137">
        <f t="shared" si="3369"/>
        <v>0</v>
      </c>
      <c r="T134" s="227">
        <f t="shared" si="3370"/>
        <v>14.76</v>
      </c>
      <c r="U134" s="138">
        <f t="shared" si="3371"/>
        <v>0</v>
      </c>
      <c r="V134" s="110">
        <f t="shared" si="3372"/>
        <v>0</v>
      </c>
      <c r="W134" s="110"/>
      <c r="X134" s="139"/>
      <c r="Y134" s="140">
        <f t="shared" si="3373"/>
        <v>0</v>
      </c>
      <c r="Z134" s="198">
        <f t="shared" si="3366"/>
        <v>0</v>
      </c>
      <c r="AA134" s="225">
        <f t="shared" si="3374"/>
        <v>0</v>
      </c>
      <c r="AB134" s="226">
        <f t="shared" si="3375"/>
        <v>0</v>
      </c>
      <c r="AC134" s="137">
        <f t="shared" si="3376"/>
        <v>0</v>
      </c>
      <c r="AD134" s="227">
        <f t="shared" si="3370"/>
        <v>33.520000000000003</v>
      </c>
      <c r="AE134" s="138">
        <f t="shared" si="3378"/>
        <v>0</v>
      </c>
      <c r="AF134" s="110">
        <f t="shared" si="3379"/>
        <v>0</v>
      </c>
      <c r="AG134" s="110"/>
      <c r="AH134" s="139"/>
      <c r="AI134" s="140">
        <f t="shared" si="3380"/>
        <v>0</v>
      </c>
      <c r="AJ134" s="198">
        <f t="shared" si="3366"/>
        <v>3</v>
      </c>
      <c r="AK134" s="225">
        <f t="shared" si="3381"/>
        <v>4.5100000000000001E-3</v>
      </c>
      <c r="AL134" s="226">
        <f t="shared" si="3382"/>
        <v>5.15</v>
      </c>
      <c r="AM134" s="137">
        <f t="shared" si="3383"/>
        <v>1.71666667</v>
      </c>
      <c r="AN134" s="227">
        <f t="shared" si="3370"/>
        <v>33.07</v>
      </c>
      <c r="AO134" s="138">
        <f t="shared" si="3385"/>
        <v>56.77017</v>
      </c>
      <c r="AP134" s="110">
        <f t="shared" si="3386"/>
        <v>170.31</v>
      </c>
      <c r="AQ134" s="110"/>
      <c r="AR134" s="139"/>
      <c r="AS134" s="140">
        <f t="shared" si="3387"/>
        <v>0.91588999999999998</v>
      </c>
      <c r="AT134" s="198">
        <f t="shared" si="3366"/>
        <v>0</v>
      </c>
      <c r="AU134" s="225">
        <f t="shared" si="3388"/>
        <v>0</v>
      </c>
      <c r="AV134" s="226">
        <f t="shared" si="3389"/>
        <v>0</v>
      </c>
      <c r="AW134" s="137">
        <f t="shared" si="3390"/>
        <v>0</v>
      </c>
      <c r="AX134" s="227">
        <f t="shared" si="3370"/>
        <v>28.2</v>
      </c>
      <c r="AY134" s="138">
        <f t="shared" si="3392"/>
        <v>0</v>
      </c>
      <c r="AZ134" s="110">
        <f t="shared" si="3393"/>
        <v>0</v>
      </c>
      <c r="BA134" s="110"/>
      <c r="BB134" s="139"/>
      <c r="BC134" s="140">
        <f t="shared" si="3394"/>
        <v>0</v>
      </c>
      <c r="BD134" s="198">
        <f t="shared" si="3366"/>
        <v>0</v>
      </c>
      <c r="BE134" s="225">
        <f t="shared" si="3395"/>
        <v>0</v>
      </c>
      <c r="BF134" s="226">
        <f t="shared" si="3396"/>
        <v>0</v>
      </c>
      <c r="BG134" s="137">
        <f t="shared" si="3397"/>
        <v>0</v>
      </c>
      <c r="BH134" s="227">
        <f t="shared" si="3370"/>
        <v>33.75</v>
      </c>
      <c r="BI134" s="138">
        <f t="shared" si="3399"/>
        <v>0</v>
      </c>
      <c r="BJ134" s="110">
        <f t="shared" si="3400"/>
        <v>0</v>
      </c>
      <c r="BK134" s="110"/>
      <c r="BL134" s="139"/>
      <c r="BM134" s="140">
        <f t="shared" si="3401"/>
        <v>0</v>
      </c>
      <c r="BN134" s="198">
        <f t="shared" si="3366"/>
        <v>0</v>
      </c>
      <c r="BO134" s="225">
        <f t="shared" si="3402"/>
        <v>0</v>
      </c>
      <c r="BP134" s="226">
        <f t="shared" si="3403"/>
        <v>0</v>
      </c>
      <c r="BQ134" s="137">
        <f t="shared" si="3404"/>
        <v>0</v>
      </c>
      <c r="BR134" s="227">
        <f t="shared" si="3370"/>
        <v>32.79</v>
      </c>
      <c r="BS134" s="138">
        <f t="shared" si="3406"/>
        <v>0</v>
      </c>
      <c r="BT134" s="110">
        <f t="shared" si="3407"/>
        <v>0</v>
      </c>
      <c r="BU134" s="110"/>
      <c r="BV134" s="139"/>
      <c r="BW134" s="140">
        <f t="shared" si="3408"/>
        <v>0</v>
      </c>
      <c r="BX134" s="198">
        <f t="shared" si="3366"/>
        <v>0</v>
      </c>
      <c r="BY134" s="225">
        <f t="shared" si="3409"/>
        <v>0</v>
      </c>
      <c r="BZ134" s="226">
        <f t="shared" si="3410"/>
        <v>0</v>
      </c>
      <c r="CA134" s="137">
        <f t="shared" si="3411"/>
        <v>0</v>
      </c>
      <c r="CB134" s="227">
        <f t="shared" si="3370"/>
        <v>30.39</v>
      </c>
      <c r="CC134" s="138">
        <f t="shared" si="3413"/>
        <v>0</v>
      </c>
      <c r="CD134" s="110">
        <f t="shared" si="3414"/>
        <v>0</v>
      </c>
      <c r="CE134" s="110"/>
      <c r="CF134" s="139"/>
      <c r="CG134" s="140">
        <f t="shared" si="3415"/>
        <v>0</v>
      </c>
      <c r="CH134" s="198">
        <f t="shared" si="3416"/>
        <v>0</v>
      </c>
      <c r="CI134" s="225">
        <f t="shared" si="3417"/>
        <v>0</v>
      </c>
      <c r="CJ134" s="226">
        <f t="shared" si="3418"/>
        <v>0</v>
      </c>
      <c r="CK134" s="137">
        <f t="shared" si="3419"/>
        <v>0</v>
      </c>
      <c r="CL134" s="227">
        <f t="shared" si="3420"/>
        <v>25.57</v>
      </c>
      <c r="CM134" s="138">
        <f t="shared" si="3421"/>
        <v>0</v>
      </c>
      <c r="CN134" s="110">
        <f t="shared" si="3422"/>
        <v>0</v>
      </c>
      <c r="CO134" s="110"/>
      <c r="CP134" s="139"/>
      <c r="CQ134" s="140">
        <f t="shared" si="3423"/>
        <v>0</v>
      </c>
      <c r="CR134" s="198">
        <f t="shared" si="3416"/>
        <v>2</v>
      </c>
      <c r="CS134" s="225">
        <f t="shared" si="3424"/>
        <v>2.6900000000000001E-3</v>
      </c>
      <c r="CT134" s="226">
        <f t="shared" si="3425"/>
        <v>3.23</v>
      </c>
      <c r="CU134" s="137">
        <f t="shared" si="3426"/>
        <v>1.615</v>
      </c>
      <c r="CV134" s="227">
        <f t="shared" si="3420"/>
        <v>28.26</v>
      </c>
      <c r="CW134" s="138">
        <f t="shared" si="3428"/>
        <v>45.639899999999997</v>
      </c>
      <c r="CX134" s="110">
        <f t="shared" si="3429"/>
        <v>91.28</v>
      </c>
      <c r="CY134" s="110"/>
      <c r="CZ134" s="139"/>
      <c r="DA134" s="140">
        <f t="shared" si="3430"/>
        <v>0.73631999999999997</v>
      </c>
      <c r="DB134" s="198">
        <f t="shared" si="3416"/>
        <v>0</v>
      </c>
      <c r="DC134" s="225">
        <f t="shared" si="3431"/>
        <v>0</v>
      </c>
      <c r="DD134" s="226">
        <f t="shared" si="3432"/>
        <v>0</v>
      </c>
      <c r="DE134" s="137">
        <f t="shared" si="3433"/>
        <v>0</v>
      </c>
      <c r="DF134" s="227">
        <f t="shared" si="3420"/>
        <v>31.22</v>
      </c>
      <c r="DG134" s="138">
        <f t="shared" si="3435"/>
        <v>0</v>
      </c>
      <c r="DH134" s="110">
        <f t="shared" si="3436"/>
        <v>0</v>
      </c>
      <c r="DI134" s="110"/>
      <c r="DJ134" s="139"/>
      <c r="DK134" s="140">
        <f t="shared" si="3437"/>
        <v>0</v>
      </c>
      <c r="DL134" s="198">
        <f t="shared" si="3416"/>
        <v>0</v>
      </c>
      <c r="DM134" s="225">
        <f t="shared" si="3438"/>
        <v>0</v>
      </c>
      <c r="DN134" s="226">
        <f t="shared" si="3439"/>
        <v>0</v>
      </c>
      <c r="DO134" s="137">
        <f t="shared" si="3440"/>
        <v>0</v>
      </c>
      <c r="DP134" s="227">
        <f t="shared" si="3420"/>
        <v>33.9</v>
      </c>
      <c r="DQ134" s="138">
        <f t="shared" si="3442"/>
        <v>0</v>
      </c>
      <c r="DR134" s="110">
        <f t="shared" si="3443"/>
        <v>0</v>
      </c>
      <c r="DS134" s="110"/>
      <c r="DT134" s="139"/>
      <c r="DU134" s="140">
        <f t="shared" si="3444"/>
        <v>0</v>
      </c>
      <c r="DV134" s="198">
        <f t="shared" si="3416"/>
        <v>0</v>
      </c>
      <c r="DW134" s="225">
        <f t="shared" si="3445"/>
        <v>0</v>
      </c>
      <c r="DX134" s="226">
        <f t="shared" si="3446"/>
        <v>0</v>
      </c>
      <c r="DY134" s="137">
        <f t="shared" si="3447"/>
        <v>0</v>
      </c>
      <c r="DZ134" s="227">
        <f t="shared" si="3420"/>
        <v>12.79</v>
      </c>
      <c r="EA134" s="138">
        <f t="shared" si="3449"/>
        <v>0</v>
      </c>
      <c r="EB134" s="110">
        <f t="shared" si="3450"/>
        <v>0</v>
      </c>
      <c r="EC134" s="110"/>
      <c r="ED134" s="139"/>
      <c r="EE134" s="140">
        <f t="shared" si="3451"/>
        <v>0</v>
      </c>
      <c r="EF134" s="198">
        <f t="shared" si="3416"/>
        <v>2</v>
      </c>
      <c r="EG134" s="225">
        <f t="shared" si="3452"/>
        <v>2.1299999999999999E-3</v>
      </c>
      <c r="EH134" s="226">
        <f t="shared" si="3453"/>
        <v>1.96</v>
      </c>
      <c r="EI134" s="137">
        <f t="shared" si="3454"/>
        <v>0.98</v>
      </c>
      <c r="EJ134" s="227">
        <f t="shared" si="3420"/>
        <v>23.18</v>
      </c>
      <c r="EK134" s="138">
        <f t="shared" si="3456"/>
        <v>22.7164</v>
      </c>
      <c r="EL134" s="110">
        <f t="shared" si="3457"/>
        <v>45.43</v>
      </c>
      <c r="EM134" s="110"/>
      <c r="EN134" s="139"/>
      <c r="EO134" s="140">
        <f t="shared" si="3458"/>
        <v>0.36648999999999998</v>
      </c>
      <c r="EP134" s="198">
        <f t="shared" si="3416"/>
        <v>2</v>
      </c>
      <c r="EQ134" s="225">
        <f t="shared" si="3459"/>
        <v>2.1199999999999999E-3</v>
      </c>
      <c r="ER134" s="226">
        <f t="shared" si="3460"/>
        <v>4.62</v>
      </c>
      <c r="ES134" s="137">
        <f t="shared" si="3461"/>
        <v>2.31</v>
      </c>
      <c r="ET134" s="227">
        <f t="shared" si="3420"/>
        <v>30.66</v>
      </c>
      <c r="EU134" s="138">
        <f t="shared" si="3463"/>
        <v>70.824600000000004</v>
      </c>
      <c r="EV134" s="110">
        <f t="shared" si="3464"/>
        <v>141.65</v>
      </c>
      <c r="EW134" s="110"/>
      <c r="EX134" s="139"/>
      <c r="EY134" s="140">
        <f t="shared" si="3465"/>
        <v>1.1426400000000001</v>
      </c>
      <c r="EZ134" s="198">
        <f t="shared" si="3466"/>
        <v>1</v>
      </c>
      <c r="FA134" s="225">
        <f t="shared" si="3467"/>
        <v>8.9999999999999998E-4</v>
      </c>
      <c r="FB134" s="226">
        <f t="shared" si="3468"/>
        <v>1.62</v>
      </c>
      <c r="FC134" s="137">
        <f t="shared" si="3469"/>
        <v>1.62</v>
      </c>
      <c r="FD134" s="227">
        <f t="shared" si="3470"/>
        <v>34.119999999999997</v>
      </c>
      <c r="FE134" s="138">
        <f t="shared" si="3471"/>
        <v>55.2744</v>
      </c>
      <c r="FF134" s="110">
        <f t="shared" si="3472"/>
        <v>55.27</v>
      </c>
      <c r="FG134" s="110"/>
      <c r="FH134" s="139"/>
      <c r="FI134" s="140">
        <f t="shared" si="3473"/>
        <v>0.89176</v>
      </c>
      <c r="FJ134" s="198">
        <f t="shared" si="3466"/>
        <v>1</v>
      </c>
      <c r="FK134" s="225">
        <f t="shared" si="3474"/>
        <v>9.7999999999999997E-4</v>
      </c>
      <c r="FL134" s="226">
        <f t="shared" si="3475"/>
        <v>1.69</v>
      </c>
      <c r="FM134" s="137">
        <f t="shared" si="3476"/>
        <v>1.69</v>
      </c>
      <c r="FN134" s="227">
        <f t="shared" si="3470"/>
        <v>18.39</v>
      </c>
      <c r="FO134" s="138">
        <f t="shared" si="3478"/>
        <v>31.0791</v>
      </c>
      <c r="FP134" s="110">
        <f t="shared" si="3479"/>
        <v>31.08</v>
      </c>
      <c r="FQ134" s="110"/>
      <c r="FR134" s="139"/>
      <c r="FS134" s="140">
        <f t="shared" si="3480"/>
        <v>0.50141000000000002</v>
      </c>
      <c r="FT134" s="198">
        <f t="shared" si="3466"/>
        <v>1</v>
      </c>
      <c r="FU134" s="225">
        <f t="shared" si="3481"/>
        <v>1.25E-3</v>
      </c>
      <c r="FV134" s="226">
        <f t="shared" si="3482"/>
        <v>1.78</v>
      </c>
      <c r="FW134" s="137">
        <f t="shared" si="3483"/>
        <v>1.78</v>
      </c>
      <c r="FX134" s="227">
        <f t="shared" si="3470"/>
        <v>32.619999999999997</v>
      </c>
      <c r="FY134" s="138">
        <f t="shared" si="3485"/>
        <v>58.063600000000001</v>
      </c>
      <c r="FZ134" s="110">
        <f t="shared" si="3486"/>
        <v>58.06</v>
      </c>
      <c r="GA134" s="110"/>
      <c r="GB134" s="139"/>
      <c r="GC134" s="140">
        <f t="shared" si="3487"/>
        <v>0.93676000000000004</v>
      </c>
      <c r="GD134" s="198">
        <f t="shared" si="3466"/>
        <v>2</v>
      </c>
      <c r="GE134" s="225">
        <f t="shared" si="3488"/>
        <v>3.9100000000000003E-3</v>
      </c>
      <c r="GF134" s="226">
        <f t="shared" si="3489"/>
        <v>3.36</v>
      </c>
      <c r="GG134" s="137">
        <f t="shared" si="3490"/>
        <v>1.68</v>
      </c>
      <c r="GH134" s="227">
        <f t="shared" si="3470"/>
        <v>33.28</v>
      </c>
      <c r="GI134" s="138">
        <f t="shared" si="3492"/>
        <v>55.910400000000003</v>
      </c>
      <c r="GJ134" s="110">
        <f t="shared" si="3493"/>
        <v>111.82</v>
      </c>
      <c r="GK134" s="110"/>
      <c r="GL134" s="139"/>
      <c r="GM134" s="140">
        <f t="shared" si="3494"/>
        <v>0.90202000000000004</v>
      </c>
      <c r="GN134" s="198">
        <f t="shared" si="3466"/>
        <v>0</v>
      </c>
      <c r="GO134" s="225">
        <f t="shared" si="3495"/>
        <v>0</v>
      </c>
      <c r="GP134" s="226">
        <f t="shared" si="3496"/>
        <v>0</v>
      </c>
      <c r="GQ134" s="137">
        <f t="shared" si="3497"/>
        <v>0</v>
      </c>
      <c r="GR134" s="227">
        <f t="shared" si="3498"/>
        <v>30.78</v>
      </c>
      <c r="GS134" s="138">
        <f t="shared" si="3499"/>
        <v>0</v>
      </c>
      <c r="GT134" s="110">
        <f t="shared" si="3500"/>
        <v>0</v>
      </c>
      <c r="GU134" s="110"/>
      <c r="GV134" s="139"/>
      <c r="GW134" s="140">
        <f t="shared" si="3501"/>
        <v>0</v>
      </c>
      <c r="GX134" s="198">
        <f t="shared" si="3466"/>
        <v>0</v>
      </c>
      <c r="GY134" s="225">
        <f t="shared" si="3502"/>
        <v>0</v>
      </c>
      <c r="GZ134" s="226">
        <f t="shared" si="3503"/>
        <v>0</v>
      </c>
      <c r="HA134" s="137">
        <f t="shared" si="3504"/>
        <v>0</v>
      </c>
      <c r="HB134" s="227">
        <f t="shared" si="3498"/>
        <v>21.23</v>
      </c>
      <c r="HC134" s="138">
        <f t="shared" si="3506"/>
        <v>0</v>
      </c>
      <c r="HD134" s="110">
        <f t="shared" si="3507"/>
        <v>0</v>
      </c>
      <c r="HE134" s="110"/>
      <c r="HF134" s="139"/>
      <c r="HG134" s="140">
        <f t="shared" si="3508"/>
        <v>0</v>
      </c>
      <c r="HH134" s="198">
        <f t="shared" si="3466"/>
        <v>0</v>
      </c>
      <c r="HI134" s="225">
        <f t="shared" si="3509"/>
        <v>0</v>
      </c>
      <c r="HJ134" s="226">
        <f t="shared" si="3510"/>
        <v>0</v>
      </c>
      <c r="HK134" s="137">
        <f t="shared" si="3511"/>
        <v>0</v>
      </c>
      <c r="HL134" s="227">
        <f t="shared" si="3498"/>
        <v>28.23</v>
      </c>
      <c r="HM134" s="138">
        <f t="shared" si="3513"/>
        <v>0</v>
      </c>
      <c r="HN134" s="110">
        <f t="shared" si="3514"/>
        <v>0</v>
      </c>
      <c r="HO134" s="110"/>
      <c r="HP134" s="139"/>
      <c r="HQ134" s="140">
        <f t="shared" si="3515"/>
        <v>0</v>
      </c>
      <c r="HR134" s="198">
        <f t="shared" si="3516"/>
        <v>3</v>
      </c>
      <c r="HS134" s="225">
        <f t="shared" si="3517"/>
        <v>3.81E-3</v>
      </c>
      <c r="HT134" s="226">
        <f t="shared" si="3518"/>
        <v>3.43</v>
      </c>
      <c r="HU134" s="137">
        <f t="shared" si="3519"/>
        <v>1.1433333299999999</v>
      </c>
      <c r="HV134" s="227">
        <f t="shared" si="3498"/>
        <v>31.27</v>
      </c>
      <c r="HW134" s="138">
        <f t="shared" si="3521"/>
        <v>35.752029999999998</v>
      </c>
      <c r="HX134" s="110">
        <f t="shared" si="3522"/>
        <v>107.26</v>
      </c>
      <c r="HY134" s="110"/>
      <c r="HZ134" s="139"/>
      <c r="IA134" s="140">
        <f t="shared" si="3523"/>
        <v>0.57679999999999998</v>
      </c>
      <c r="IB134" s="198">
        <f t="shared" si="3516"/>
        <v>2</v>
      </c>
      <c r="IC134" s="225">
        <f t="shared" si="3524"/>
        <v>3.65E-3</v>
      </c>
      <c r="ID134" s="226">
        <f t="shared" si="3525"/>
        <v>1.57</v>
      </c>
      <c r="IE134" s="137">
        <f t="shared" si="3526"/>
        <v>0.78500000000000003</v>
      </c>
      <c r="IF134" s="227">
        <f t="shared" si="3527"/>
        <v>28.65</v>
      </c>
      <c r="IG134" s="138">
        <f t="shared" si="3528"/>
        <v>22.49025</v>
      </c>
      <c r="IH134" s="110">
        <f t="shared" si="3529"/>
        <v>44.98</v>
      </c>
      <c r="II134" s="110"/>
      <c r="IJ134" s="139"/>
      <c r="IK134" s="140">
        <f t="shared" si="3530"/>
        <v>0.36284</v>
      </c>
      <c r="IL134" s="198">
        <f t="shared" si="3516"/>
        <v>0</v>
      </c>
      <c r="IM134" s="225">
        <f t="shared" si="3531"/>
        <v>0</v>
      </c>
      <c r="IN134" s="226">
        <f t="shared" si="3532"/>
        <v>0</v>
      </c>
      <c r="IO134" s="137">
        <f t="shared" si="3533"/>
        <v>0</v>
      </c>
      <c r="IP134" s="227">
        <f t="shared" si="3527"/>
        <v>33.04</v>
      </c>
      <c r="IQ134" s="138">
        <f t="shared" si="3535"/>
        <v>0</v>
      </c>
      <c r="IR134" s="110">
        <f t="shared" si="3536"/>
        <v>0</v>
      </c>
      <c r="IS134" s="110"/>
      <c r="IT134" s="139"/>
      <c r="IU134" s="140">
        <f t="shared" si="3537"/>
        <v>0</v>
      </c>
      <c r="IV134" s="198">
        <f t="shared" si="3516"/>
        <v>14</v>
      </c>
      <c r="IW134" s="225">
        <f t="shared" si="3538"/>
        <v>1.8159999999999999E-2</v>
      </c>
      <c r="IX134" s="226">
        <f t="shared" si="3539"/>
        <v>29.06</v>
      </c>
      <c r="IY134" s="137">
        <f t="shared" si="3540"/>
        <v>2.0757142900000001</v>
      </c>
      <c r="IZ134" s="227">
        <f t="shared" si="3527"/>
        <v>33.36</v>
      </c>
      <c r="JA134" s="138">
        <f t="shared" si="3542"/>
        <v>69.245829999999998</v>
      </c>
      <c r="JB134" s="110">
        <f t="shared" si="3543"/>
        <v>969.44</v>
      </c>
      <c r="JC134" s="110"/>
      <c r="JD134" s="139"/>
      <c r="JE134" s="140">
        <f t="shared" si="3544"/>
        <v>1.11717</v>
      </c>
      <c r="JF134" s="198">
        <f t="shared" si="3516"/>
        <v>3</v>
      </c>
      <c r="JG134" s="225">
        <f t="shared" si="3545"/>
        <v>2.2399999999999998E-3</v>
      </c>
      <c r="JH134" s="226">
        <f t="shared" si="3546"/>
        <v>8.56</v>
      </c>
      <c r="JI134" s="137">
        <f t="shared" si="3547"/>
        <v>2.8533333299999999</v>
      </c>
      <c r="JJ134" s="227">
        <f t="shared" si="3527"/>
        <v>21.96</v>
      </c>
      <c r="JK134" s="138">
        <f t="shared" si="3549"/>
        <v>62.659199999999998</v>
      </c>
      <c r="JL134" s="110">
        <f t="shared" si="3550"/>
        <v>187.98</v>
      </c>
      <c r="JM134" s="110"/>
      <c r="JN134" s="139"/>
      <c r="JO134" s="140">
        <f t="shared" si="3551"/>
        <v>1.0108999999999999</v>
      </c>
      <c r="JP134" s="198">
        <f t="shared" si="3516"/>
        <v>2</v>
      </c>
      <c r="JQ134" s="225">
        <f t="shared" si="3552"/>
        <v>1.6000000000000001E-3</v>
      </c>
      <c r="JR134" s="226">
        <f t="shared" si="3553"/>
        <v>6.08</v>
      </c>
      <c r="JS134" s="137">
        <f t="shared" si="3554"/>
        <v>3.04</v>
      </c>
      <c r="JT134" s="227">
        <f t="shared" si="3555"/>
        <v>35.700000000000003</v>
      </c>
      <c r="JU134" s="138">
        <f t="shared" si="3556"/>
        <v>108.52800000000001</v>
      </c>
      <c r="JV134" s="110">
        <f t="shared" si="3557"/>
        <v>217.06</v>
      </c>
      <c r="JW134" s="110"/>
      <c r="JX134" s="139"/>
      <c r="JY134" s="140">
        <f t="shared" si="3558"/>
        <v>1.75092</v>
      </c>
      <c r="JZ134" s="198">
        <f t="shared" si="3516"/>
        <v>0</v>
      </c>
      <c r="KA134" s="225">
        <f t="shared" si="3559"/>
        <v>0</v>
      </c>
      <c r="KB134" s="226">
        <f t="shared" si="3560"/>
        <v>0</v>
      </c>
      <c r="KC134" s="137">
        <f t="shared" si="3561"/>
        <v>0</v>
      </c>
      <c r="KD134" s="227">
        <f t="shared" si="3555"/>
        <v>30.3</v>
      </c>
      <c r="KE134" s="138">
        <f t="shared" si="3563"/>
        <v>0</v>
      </c>
      <c r="KF134" s="110">
        <f t="shared" si="3564"/>
        <v>0</v>
      </c>
      <c r="KG134" s="110"/>
      <c r="KH134" s="139"/>
      <c r="KI134" s="140">
        <f t="shared" si="3565"/>
        <v>0</v>
      </c>
      <c r="KJ134" s="198">
        <f t="shared" si="3566"/>
        <v>0</v>
      </c>
      <c r="KK134" s="225">
        <f t="shared" si="3567"/>
        <v>0</v>
      </c>
      <c r="KL134" s="226">
        <f t="shared" si="3568"/>
        <v>0</v>
      </c>
      <c r="KM134" s="137">
        <f t="shared" si="3569"/>
        <v>0</v>
      </c>
      <c r="KN134" s="227">
        <f t="shared" si="3555"/>
        <v>30.43</v>
      </c>
      <c r="KO134" s="138">
        <f t="shared" si="3571"/>
        <v>0</v>
      </c>
      <c r="KP134" s="110">
        <f t="shared" si="3572"/>
        <v>0</v>
      </c>
      <c r="KQ134" s="110"/>
      <c r="KR134" s="139"/>
      <c r="KS134" s="140">
        <f t="shared" si="3573"/>
        <v>0</v>
      </c>
      <c r="KT134" s="198">
        <f t="shared" si="3566"/>
        <v>2</v>
      </c>
      <c r="KU134" s="225">
        <f t="shared" si="3574"/>
        <v>1.7799999999999999E-3</v>
      </c>
      <c r="KV134" s="226">
        <f t="shared" si="3575"/>
        <v>11.27</v>
      </c>
      <c r="KW134" s="137">
        <f t="shared" si="3576"/>
        <v>5.6349999999999998</v>
      </c>
      <c r="KX134" s="227">
        <f t="shared" si="3555"/>
        <v>34.299999999999997</v>
      </c>
      <c r="KY134" s="138">
        <f t="shared" si="3578"/>
        <v>193.28049999999999</v>
      </c>
      <c r="KZ134" s="110">
        <f t="shared" si="3579"/>
        <v>386.56</v>
      </c>
      <c r="LA134" s="110"/>
      <c r="LB134" s="139"/>
      <c r="LC134" s="140">
        <f t="shared" si="3580"/>
        <v>3.1182599999999998</v>
      </c>
      <c r="LD134" s="197">
        <f t="shared" si="3581"/>
        <v>40</v>
      </c>
      <c r="LE134" s="225">
        <f t="shared" si="3582"/>
        <v>1.4E-3</v>
      </c>
      <c r="LF134" s="226">
        <f t="shared" si="3583"/>
        <v>85.82</v>
      </c>
      <c r="LG134" s="137">
        <f t="shared" si="3584"/>
        <v>2.1455000000000002</v>
      </c>
      <c r="LH134" s="227">
        <f t="shared" si="3585"/>
        <v>28.89</v>
      </c>
      <c r="LI134" s="138">
        <f t="shared" si="3586"/>
        <v>61.983499999999999</v>
      </c>
      <c r="LJ134" s="110">
        <f t="shared" si="3587"/>
        <v>2479.34</v>
      </c>
      <c r="LK134" s="110"/>
      <c r="LL134" s="139"/>
    </row>
    <row r="135" spans="1:324" ht="24" hidden="1" x14ac:dyDescent="0.25">
      <c r="A135" s="246"/>
      <c r="B135" s="92" t="s">
        <v>608</v>
      </c>
      <c r="C135" s="12" t="s">
        <v>729</v>
      </c>
      <c r="D135" s="12" t="s">
        <v>429</v>
      </c>
      <c r="E135" s="4" t="s">
        <v>32</v>
      </c>
      <c r="F135" s="198">
        <f t="shared" si="3361"/>
        <v>0</v>
      </c>
      <c r="G135" s="225">
        <f t="shared" si="3588"/>
        <v>0</v>
      </c>
      <c r="H135" s="226">
        <f t="shared" si="3589"/>
        <v>0</v>
      </c>
      <c r="I135" s="137">
        <f t="shared" si="3362"/>
        <v>0</v>
      </c>
      <c r="J135" s="227">
        <f t="shared" si="3590"/>
        <v>19.559999999999999</v>
      </c>
      <c r="K135" s="138">
        <f t="shared" si="3363"/>
        <v>0</v>
      </c>
      <c r="L135" s="110">
        <f t="shared" si="3364"/>
        <v>0</v>
      </c>
      <c r="M135" s="110"/>
      <c r="N135" s="139"/>
      <c r="O135" s="140" t="e">
        <f t="shared" si="3365"/>
        <v>#DIV/0!</v>
      </c>
      <c r="P135" s="198">
        <f t="shared" si="3366"/>
        <v>0</v>
      </c>
      <c r="Q135" s="225">
        <f t="shared" si="3367"/>
        <v>0</v>
      </c>
      <c r="R135" s="226">
        <f t="shared" si="3368"/>
        <v>0</v>
      </c>
      <c r="S135" s="137">
        <f t="shared" si="3369"/>
        <v>0</v>
      </c>
      <c r="T135" s="227">
        <f t="shared" si="3370"/>
        <v>14.76</v>
      </c>
      <c r="U135" s="138">
        <f t="shared" si="3371"/>
        <v>0</v>
      </c>
      <c r="V135" s="110">
        <f t="shared" si="3372"/>
        <v>0</v>
      </c>
      <c r="W135" s="110"/>
      <c r="X135" s="139"/>
      <c r="Y135" s="140" t="e">
        <f t="shared" si="3373"/>
        <v>#DIV/0!</v>
      </c>
      <c r="Z135" s="198">
        <f t="shared" si="3366"/>
        <v>0</v>
      </c>
      <c r="AA135" s="225">
        <f t="shared" si="3374"/>
        <v>0</v>
      </c>
      <c r="AB135" s="226">
        <f t="shared" si="3375"/>
        <v>0</v>
      </c>
      <c r="AC135" s="137">
        <f t="shared" si="3376"/>
        <v>0</v>
      </c>
      <c r="AD135" s="227">
        <f t="shared" si="3370"/>
        <v>33.520000000000003</v>
      </c>
      <c r="AE135" s="138">
        <f t="shared" si="3378"/>
        <v>0</v>
      </c>
      <c r="AF135" s="110">
        <f t="shared" si="3379"/>
        <v>0</v>
      </c>
      <c r="AG135" s="110"/>
      <c r="AH135" s="139"/>
      <c r="AI135" s="140" t="e">
        <f t="shared" si="3380"/>
        <v>#DIV/0!</v>
      </c>
      <c r="AJ135" s="198">
        <f t="shared" si="3366"/>
        <v>0</v>
      </c>
      <c r="AK135" s="225">
        <f t="shared" si="3381"/>
        <v>0</v>
      </c>
      <c r="AL135" s="226">
        <f t="shared" si="3382"/>
        <v>0</v>
      </c>
      <c r="AM135" s="137">
        <f t="shared" si="3383"/>
        <v>0</v>
      </c>
      <c r="AN135" s="227">
        <f t="shared" si="3370"/>
        <v>33.07</v>
      </c>
      <c r="AO135" s="138">
        <f t="shared" si="3385"/>
        <v>0</v>
      </c>
      <c r="AP135" s="110">
        <f t="shared" si="3386"/>
        <v>0</v>
      </c>
      <c r="AQ135" s="110"/>
      <c r="AR135" s="139"/>
      <c r="AS135" s="140" t="e">
        <f t="shared" si="3387"/>
        <v>#DIV/0!</v>
      </c>
      <c r="AT135" s="198">
        <f t="shared" si="3366"/>
        <v>0</v>
      </c>
      <c r="AU135" s="225">
        <f t="shared" si="3388"/>
        <v>0</v>
      </c>
      <c r="AV135" s="226">
        <f t="shared" si="3389"/>
        <v>0</v>
      </c>
      <c r="AW135" s="137">
        <f t="shared" si="3390"/>
        <v>0</v>
      </c>
      <c r="AX135" s="227">
        <f t="shared" si="3370"/>
        <v>28.2</v>
      </c>
      <c r="AY135" s="138">
        <f t="shared" si="3392"/>
        <v>0</v>
      </c>
      <c r="AZ135" s="110">
        <f t="shared" si="3393"/>
        <v>0</v>
      </c>
      <c r="BA135" s="110"/>
      <c r="BB135" s="139"/>
      <c r="BC135" s="140" t="e">
        <f t="shared" si="3394"/>
        <v>#DIV/0!</v>
      </c>
      <c r="BD135" s="198">
        <f t="shared" si="3366"/>
        <v>0</v>
      </c>
      <c r="BE135" s="225">
        <f t="shared" si="3395"/>
        <v>0</v>
      </c>
      <c r="BF135" s="226">
        <f t="shared" si="3396"/>
        <v>0</v>
      </c>
      <c r="BG135" s="137">
        <f t="shared" si="3397"/>
        <v>0</v>
      </c>
      <c r="BH135" s="227">
        <f t="shared" si="3370"/>
        <v>33.75</v>
      </c>
      <c r="BI135" s="138">
        <f t="shared" si="3399"/>
        <v>0</v>
      </c>
      <c r="BJ135" s="110">
        <f t="shared" si="3400"/>
        <v>0</v>
      </c>
      <c r="BK135" s="110"/>
      <c r="BL135" s="139"/>
      <c r="BM135" s="140" t="e">
        <f t="shared" si="3401"/>
        <v>#DIV/0!</v>
      </c>
      <c r="BN135" s="198">
        <f t="shared" si="3366"/>
        <v>0</v>
      </c>
      <c r="BO135" s="225">
        <f t="shared" si="3402"/>
        <v>0</v>
      </c>
      <c r="BP135" s="226">
        <f t="shared" si="3403"/>
        <v>0</v>
      </c>
      <c r="BQ135" s="137">
        <f t="shared" si="3404"/>
        <v>0</v>
      </c>
      <c r="BR135" s="227">
        <f t="shared" si="3370"/>
        <v>32.79</v>
      </c>
      <c r="BS135" s="138">
        <f t="shared" si="3406"/>
        <v>0</v>
      </c>
      <c r="BT135" s="110">
        <f t="shared" si="3407"/>
        <v>0</v>
      </c>
      <c r="BU135" s="110"/>
      <c r="BV135" s="139"/>
      <c r="BW135" s="140" t="e">
        <f t="shared" si="3408"/>
        <v>#DIV/0!</v>
      </c>
      <c r="BX135" s="198">
        <f t="shared" si="3366"/>
        <v>0</v>
      </c>
      <c r="BY135" s="225">
        <f t="shared" si="3409"/>
        <v>0</v>
      </c>
      <c r="BZ135" s="226">
        <f t="shared" si="3410"/>
        <v>0</v>
      </c>
      <c r="CA135" s="137">
        <f t="shared" si="3411"/>
        <v>0</v>
      </c>
      <c r="CB135" s="227">
        <f t="shared" si="3370"/>
        <v>30.39</v>
      </c>
      <c r="CC135" s="138">
        <f t="shared" si="3413"/>
        <v>0</v>
      </c>
      <c r="CD135" s="110">
        <f t="shared" si="3414"/>
        <v>0</v>
      </c>
      <c r="CE135" s="110"/>
      <c r="CF135" s="139"/>
      <c r="CG135" s="140" t="e">
        <f t="shared" si="3415"/>
        <v>#DIV/0!</v>
      </c>
      <c r="CH135" s="198">
        <f t="shared" si="3416"/>
        <v>0</v>
      </c>
      <c r="CI135" s="225">
        <f t="shared" si="3417"/>
        <v>0</v>
      </c>
      <c r="CJ135" s="226">
        <f t="shared" si="3418"/>
        <v>0</v>
      </c>
      <c r="CK135" s="137">
        <f t="shared" si="3419"/>
        <v>0</v>
      </c>
      <c r="CL135" s="227">
        <f t="shared" si="3420"/>
        <v>25.57</v>
      </c>
      <c r="CM135" s="138">
        <f t="shared" si="3421"/>
        <v>0</v>
      </c>
      <c r="CN135" s="110">
        <f t="shared" si="3422"/>
        <v>0</v>
      </c>
      <c r="CO135" s="110"/>
      <c r="CP135" s="139"/>
      <c r="CQ135" s="140" t="e">
        <f t="shared" si="3423"/>
        <v>#DIV/0!</v>
      </c>
      <c r="CR135" s="198">
        <f t="shared" si="3416"/>
        <v>0</v>
      </c>
      <c r="CS135" s="225">
        <f t="shared" si="3424"/>
        <v>0</v>
      </c>
      <c r="CT135" s="226">
        <f t="shared" si="3425"/>
        <v>0</v>
      </c>
      <c r="CU135" s="137">
        <f t="shared" si="3426"/>
        <v>0</v>
      </c>
      <c r="CV135" s="227">
        <f t="shared" si="3420"/>
        <v>28.26</v>
      </c>
      <c r="CW135" s="138">
        <f t="shared" si="3428"/>
        <v>0</v>
      </c>
      <c r="CX135" s="110">
        <f t="shared" si="3429"/>
        <v>0</v>
      </c>
      <c r="CY135" s="110"/>
      <c r="CZ135" s="139"/>
      <c r="DA135" s="140" t="e">
        <f t="shared" si="3430"/>
        <v>#DIV/0!</v>
      </c>
      <c r="DB135" s="198">
        <f t="shared" si="3416"/>
        <v>0</v>
      </c>
      <c r="DC135" s="225">
        <f t="shared" si="3431"/>
        <v>0</v>
      </c>
      <c r="DD135" s="226">
        <f t="shared" si="3432"/>
        <v>0</v>
      </c>
      <c r="DE135" s="137">
        <f t="shared" si="3433"/>
        <v>0</v>
      </c>
      <c r="DF135" s="227">
        <f t="shared" si="3420"/>
        <v>31.22</v>
      </c>
      <c r="DG135" s="138">
        <f t="shared" si="3435"/>
        <v>0</v>
      </c>
      <c r="DH135" s="110">
        <f t="shared" si="3436"/>
        <v>0</v>
      </c>
      <c r="DI135" s="110"/>
      <c r="DJ135" s="139"/>
      <c r="DK135" s="140" t="e">
        <f t="shared" si="3437"/>
        <v>#DIV/0!</v>
      </c>
      <c r="DL135" s="198">
        <f t="shared" si="3416"/>
        <v>0</v>
      </c>
      <c r="DM135" s="225">
        <f t="shared" si="3438"/>
        <v>0</v>
      </c>
      <c r="DN135" s="226">
        <f t="shared" si="3439"/>
        <v>0</v>
      </c>
      <c r="DO135" s="137">
        <f t="shared" si="3440"/>
        <v>0</v>
      </c>
      <c r="DP135" s="227">
        <f t="shared" si="3420"/>
        <v>33.9</v>
      </c>
      <c r="DQ135" s="138">
        <f t="shared" si="3442"/>
        <v>0</v>
      </c>
      <c r="DR135" s="110">
        <f t="shared" si="3443"/>
        <v>0</v>
      </c>
      <c r="DS135" s="110"/>
      <c r="DT135" s="139"/>
      <c r="DU135" s="140" t="e">
        <f t="shared" si="3444"/>
        <v>#DIV/0!</v>
      </c>
      <c r="DV135" s="198">
        <f t="shared" si="3416"/>
        <v>0</v>
      </c>
      <c r="DW135" s="225">
        <f t="shared" si="3445"/>
        <v>0</v>
      </c>
      <c r="DX135" s="226">
        <f t="shared" si="3446"/>
        <v>0</v>
      </c>
      <c r="DY135" s="137">
        <f t="shared" si="3447"/>
        <v>0</v>
      </c>
      <c r="DZ135" s="227">
        <f t="shared" si="3420"/>
        <v>12.79</v>
      </c>
      <c r="EA135" s="138">
        <f t="shared" si="3449"/>
        <v>0</v>
      </c>
      <c r="EB135" s="110">
        <f t="shared" si="3450"/>
        <v>0</v>
      </c>
      <c r="EC135" s="110"/>
      <c r="ED135" s="139"/>
      <c r="EE135" s="140" t="e">
        <f t="shared" si="3451"/>
        <v>#DIV/0!</v>
      </c>
      <c r="EF135" s="198">
        <f t="shared" si="3416"/>
        <v>0</v>
      </c>
      <c r="EG135" s="225">
        <f t="shared" si="3452"/>
        <v>0</v>
      </c>
      <c r="EH135" s="226">
        <f t="shared" si="3453"/>
        <v>0</v>
      </c>
      <c r="EI135" s="137">
        <f t="shared" si="3454"/>
        <v>0</v>
      </c>
      <c r="EJ135" s="227">
        <f t="shared" si="3420"/>
        <v>23.18</v>
      </c>
      <c r="EK135" s="138">
        <f t="shared" si="3456"/>
        <v>0</v>
      </c>
      <c r="EL135" s="110">
        <f t="shared" si="3457"/>
        <v>0</v>
      </c>
      <c r="EM135" s="110"/>
      <c r="EN135" s="139"/>
      <c r="EO135" s="140" t="e">
        <f t="shared" si="3458"/>
        <v>#DIV/0!</v>
      </c>
      <c r="EP135" s="198">
        <f t="shared" si="3416"/>
        <v>0</v>
      </c>
      <c r="EQ135" s="225">
        <f t="shared" si="3459"/>
        <v>0</v>
      </c>
      <c r="ER135" s="226">
        <f t="shared" si="3460"/>
        <v>0</v>
      </c>
      <c r="ES135" s="137">
        <f t="shared" si="3461"/>
        <v>0</v>
      </c>
      <c r="ET135" s="227">
        <f t="shared" si="3420"/>
        <v>30.66</v>
      </c>
      <c r="EU135" s="138">
        <f t="shared" si="3463"/>
        <v>0</v>
      </c>
      <c r="EV135" s="110">
        <f t="shared" si="3464"/>
        <v>0</v>
      </c>
      <c r="EW135" s="110"/>
      <c r="EX135" s="139"/>
      <c r="EY135" s="140" t="e">
        <f t="shared" si="3465"/>
        <v>#DIV/0!</v>
      </c>
      <c r="EZ135" s="198">
        <f t="shared" si="3466"/>
        <v>0</v>
      </c>
      <c r="FA135" s="225">
        <f t="shared" si="3467"/>
        <v>0</v>
      </c>
      <c r="FB135" s="226">
        <f t="shared" si="3468"/>
        <v>0</v>
      </c>
      <c r="FC135" s="137">
        <f t="shared" si="3469"/>
        <v>0</v>
      </c>
      <c r="FD135" s="227">
        <f t="shared" si="3470"/>
        <v>34.119999999999997</v>
      </c>
      <c r="FE135" s="138">
        <f t="shared" si="3471"/>
        <v>0</v>
      </c>
      <c r="FF135" s="110">
        <f t="shared" si="3472"/>
        <v>0</v>
      </c>
      <c r="FG135" s="110"/>
      <c r="FH135" s="139"/>
      <c r="FI135" s="140" t="e">
        <f t="shared" si="3473"/>
        <v>#DIV/0!</v>
      </c>
      <c r="FJ135" s="198">
        <f t="shared" si="3466"/>
        <v>0</v>
      </c>
      <c r="FK135" s="225">
        <f t="shared" si="3474"/>
        <v>0</v>
      </c>
      <c r="FL135" s="226">
        <f t="shared" si="3475"/>
        <v>0</v>
      </c>
      <c r="FM135" s="137">
        <f t="shared" si="3476"/>
        <v>0</v>
      </c>
      <c r="FN135" s="227">
        <f t="shared" si="3470"/>
        <v>18.39</v>
      </c>
      <c r="FO135" s="138">
        <f t="shared" si="3478"/>
        <v>0</v>
      </c>
      <c r="FP135" s="110">
        <f t="shared" si="3479"/>
        <v>0</v>
      </c>
      <c r="FQ135" s="110"/>
      <c r="FR135" s="139"/>
      <c r="FS135" s="140" t="e">
        <f t="shared" si="3480"/>
        <v>#DIV/0!</v>
      </c>
      <c r="FT135" s="198">
        <f t="shared" si="3466"/>
        <v>0</v>
      </c>
      <c r="FU135" s="225">
        <f t="shared" si="3481"/>
        <v>0</v>
      </c>
      <c r="FV135" s="226">
        <f t="shared" si="3482"/>
        <v>0</v>
      </c>
      <c r="FW135" s="137">
        <f t="shared" si="3483"/>
        <v>0</v>
      </c>
      <c r="FX135" s="227">
        <f t="shared" si="3470"/>
        <v>32.619999999999997</v>
      </c>
      <c r="FY135" s="138">
        <f t="shared" si="3485"/>
        <v>0</v>
      </c>
      <c r="FZ135" s="110">
        <f t="shared" si="3486"/>
        <v>0</v>
      </c>
      <c r="GA135" s="110"/>
      <c r="GB135" s="139"/>
      <c r="GC135" s="140" t="e">
        <f t="shared" si="3487"/>
        <v>#DIV/0!</v>
      </c>
      <c r="GD135" s="198">
        <f t="shared" si="3466"/>
        <v>0</v>
      </c>
      <c r="GE135" s="225">
        <f t="shared" si="3488"/>
        <v>0</v>
      </c>
      <c r="GF135" s="226">
        <f t="shared" si="3489"/>
        <v>0</v>
      </c>
      <c r="GG135" s="137">
        <f t="shared" si="3490"/>
        <v>0</v>
      </c>
      <c r="GH135" s="227">
        <f t="shared" si="3470"/>
        <v>33.28</v>
      </c>
      <c r="GI135" s="138">
        <f t="shared" si="3492"/>
        <v>0</v>
      </c>
      <c r="GJ135" s="110">
        <f t="shared" si="3493"/>
        <v>0</v>
      </c>
      <c r="GK135" s="110"/>
      <c r="GL135" s="139"/>
      <c r="GM135" s="140" t="e">
        <f t="shared" si="3494"/>
        <v>#DIV/0!</v>
      </c>
      <c r="GN135" s="198">
        <f t="shared" si="3466"/>
        <v>0</v>
      </c>
      <c r="GO135" s="225">
        <f t="shared" si="3495"/>
        <v>0</v>
      </c>
      <c r="GP135" s="226">
        <f t="shared" si="3496"/>
        <v>0</v>
      </c>
      <c r="GQ135" s="137">
        <f t="shared" si="3497"/>
        <v>0</v>
      </c>
      <c r="GR135" s="227">
        <f t="shared" si="3498"/>
        <v>30.78</v>
      </c>
      <c r="GS135" s="138">
        <f t="shared" si="3499"/>
        <v>0</v>
      </c>
      <c r="GT135" s="110">
        <f t="shared" si="3500"/>
        <v>0</v>
      </c>
      <c r="GU135" s="110"/>
      <c r="GV135" s="139"/>
      <c r="GW135" s="140" t="e">
        <f t="shared" si="3501"/>
        <v>#DIV/0!</v>
      </c>
      <c r="GX135" s="198">
        <f t="shared" si="3466"/>
        <v>0</v>
      </c>
      <c r="GY135" s="225">
        <f t="shared" si="3502"/>
        <v>0</v>
      </c>
      <c r="GZ135" s="226">
        <f t="shared" si="3503"/>
        <v>0</v>
      </c>
      <c r="HA135" s="137">
        <f t="shared" si="3504"/>
        <v>0</v>
      </c>
      <c r="HB135" s="227">
        <f t="shared" si="3498"/>
        <v>21.23</v>
      </c>
      <c r="HC135" s="138">
        <f t="shared" si="3506"/>
        <v>0</v>
      </c>
      <c r="HD135" s="110">
        <f t="shared" si="3507"/>
        <v>0</v>
      </c>
      <c r="HE135" s="110"/>
      <c r="HF135" s="139"/>
      <c r="HG135" s="140" t="e">
        <f t="shared" si="3508"/>
        <v>#DIV/0!</v>
      </c>
      <c r="HH135" s="198">
        <f t="shared" si="3466"/>
        <v>0</v>
      </c>
      <c r="HI135" s="225">
        <f t="shared" si="3509"/>
        <v>0</v>
      </c>
      <c r="HJ135" s="226">
        <f t="shared" si="3510"/>
        <v>0</v>
      </c>
      <c r="HK135" s="137">
        <f t="shared" si="3511"/>
        <v>0</v>
      </c>
      <c r="HL135" s="227">
        <f t="shared" si="3498"/>
        <v>28.23</v>
      </c>
      <c r="HM135" s="138">
        <f t="shared" si="3513"/>
        <v>0</v>
      </c>
      <c r="HN135" s="110">
        <f t="shared" si="3514"/>
        <v>0</v>
      </c>
      <c r="HO135" s="110"/>
      <c r="HP135" s="139"/>
      <c r="HQ135" s="140" t="e">
        <f t="shared" si="3515"/>
        <v>#DIV/0!</v>
      </c>
      <c r="HR135" s="198">
        <f t="shared" si="3516"/>
        <v>0</v>
      </c>
      <c r="HS135" s="225">
        <f t="shared" si="3517"/>
        <v>0</v>
      </c>
      <c r="HT135" s="226">
        <f t="shared" si="3518"/>
        <v>0</v>
      </c>
      <c r="HU135" s="137">
        <f t="shared" si="3519"/>
        <v>0</v>
      </c>
      <c r="HV135" s="227">
        <f t="shared" si="3498"/>
        <v>31.27</v>
      </c>
      <c r="HW135" s="138">
        <f t="shared" si="3521"/>
        <v>0</v>
      </c>
      <c r="HX135" s="110">
        <f t="shared" si="3522"/>
        <v>0</v>
      </c>
      <c r="HY135" s="110"/>
      <c r="HZ135" s="139"/>
      <c r="IA135" s="140" t="e">
        <f t="shared" si="3523"/>
        <v>#DIV/0!</v>
      </c>
      <c r="IB135" s="198">
        <f t="shared" si="3516"/>
        <v>0</v>
      </c>
      <c r="IC135" s="225">
        <f t="shared" si="3524"/>
        <v>0</v>
      </c>
      <c r="ID135" s="226">
        <f t="shared" si="3525"/>
        <v>0</v>
      </c>
      <c r="IE135" s="137">
        <f t="shared" si="3526"/>
        <v>0</v>
      </c>
      <c r="IF135" s="227">
        <f t="shared" si="3527"/>
        <v>28.65</v>
      </c>
      <c r="IG135" s="138">
        <f t="shared" si="3528"/>
        <v>0</v>
      </c>
      <c r="IH135" s="110">
        <f t="shared" si="3529"/>
        <v>0</v>
      </c>
      <c r="II135" s="110"/>
      <c r="IJ135" s="139"/>
      <c r="IK135" s="140" t="e">
        <f t="shared" si="3530"/>
        <v>#DIV/0!</v>
      </c>
      <c r="IL135" s="198">
        <f t="shared" si="3516"/>
        <v>0</v>
      </c>
      <c r="IM135" s="225">
        <f t="shared" si="3531"/>
        <v>0</v>
      </c>
      <c r="IN135" s="226">
        <f t="shared" si="3532"/>
        <v>0</v>
      </c>
      <c r="IO135" s="137">
        <f t="shared" si="3533"/>
        <v>0</v>
      </c>
      <c r="IP135" s="227">
        <f t="shared" si="3527"/>
        <v>33.04</v>
      </c>
      <c r="IQ135" s="138">
        <f t="shared" si="3535"/>
        <v>0</v>
      </c>
      <c r="IR135" s="110">
        <f t="shared" si="3536"/>
        <v>0</v>
      </c>
      <c r="IS135" s="110"/>
      <c r="IT135" s="139"/>
      <c r="IU135" s="140" t="e">
        <f t="shared" si="3537"/>
        <v>#DIV/0!</v>
      </c>
      <c r="IV135" s="198">
        <f t="shared" si="3516"/>
        <v>0</v>
      </c>
      <c r="IW135" s="225">
        <f t="shared" si="3538"/>
        <v>0</v>
      </c>
      <c r="IX135" s="226">
        <f t="shared" si="3539"/>
        <v>0</v>
      </c>
      <c r="IY135" s="137">
        <f t="shared" si="3540"/>
        <v>0</v>
      </c>
      <c r="IZ135" s="227">
        <f t="shared" si="3527"/>
        <v>33.36</v>
      </c>
      <c r="JA135" s="138">
        <f t="shared" si="3542"/>
        <v>0</v>
      </c>
      <c r="JB135" s="110">
        <f t="shared" si="3543"/>
        <v>0</v>
      </c>
      <c r="JC135" s="110"/>
      <c r="JD135" s="139"/>
      <c r="JE135" s="140" t="e">
        <f t="shared" si="3544"/>
        <v>#DIV/0!</v>
      </c>
      <c r="JF135" s="198">
        <f t="shared" si="3516"/>
        <v>0</v>
      </c>
      <c r="JG135" s="225">
        <f t="shared" si="3545"/>
        <v>0</v>
      </c>
      <c r="JH135" s="226">
        <f t="shared" si="3546"/>
        <v>0</v>
      </c>
      <c r="JI135" s="137">
        <f t="shared" si="3547"/>
        <v>0</v>
      </c>
      <c r="JJ135" s="227">
        <f t="shared" si="3527"/>
        <v>21.96</v>
      </c>
      <c r="JK135" s="138">
        <f t="shared" si="3549"/>
        <v>0</v>
      </c>
      <c r="JL135" s="110">
        <f t="shared" si="3550"/>
        <v>0</v>
      </c>
      <c r="JM135" s="110"/>
      <c r="JN135" s="139"/>
      <c r="JO135" s="140" t="e">
        <f t="shared" si="3551"/>
        <v>#DIV/0!</v>
      </c>
      <c r="JP135" s="198">
        <f t="shared" si="3516"/>
        <v>0</v>
      </c>
      <c r="JQ135" s="225">
        <f t="shared" si="3552"/>
        <v>0</v>
      </c>
      <c r="JR135" s="226">
        <f t="shared" si="3553"/>
        <v>0</v>
      </c>
      <c r="JS135" s="137">
        <f t="shared" si="3554"/>
        <v>0</v>
      </c>
      <c r="JT135" s="227">
        <f t="shared" si="3555"/>
        <v>35.700000000000003</v>
      </c>
      <c r="JU135" s="138">
        <f t="shared" si="3556"/>
        <v>0</v>
      </c>
      <c r="JV135" s="110">
        <f t="shared" si="3557"/>
        <v>0</v>
      </c>
      <c r="JW135" s="110"/>
      <c r="JX135" s="139"/>
      <c r="JY135" s="140" t="e">
        <f t="shared" si="3558"/>
        <v>#DIV/0!</v>
      </c>
      <c r="JZ135" s="198">
        <f t="shared" si="3516"/>
        <v>0</v>
      </c>
      <c r="KA135" s="225">
        <f t="shared" si="3559"/>
        <v>0</v>
      </c>
      <c r="KB135" s="226">
        <f t="shared" si="3560"/>
        <v>0</v>
      </c>
      <c r="KC135" s="137">
        <f t="shared" si="3561"/>
        <v>0</v>
      </c>
      <c r="KD135" s="227">
        <f t="shared" si="3555"/>
        <v>30.3</v>
      </c>
      <c r="KE135" s="138">
        <f t="shared" si="3563"/>
        <v>0</v>
      </c>
      <c r="KF135" s="110">
        <f t="shared" si="3564"/>
        <v>0</v>
      </c>
      <c r="KG135" s="110"/>
      <c r="KH135" s="139"/>
      <c r="KI135" s="140" t="e">
        <f t="shared" si="3565"/>
        <v>#DIV/0!</v>
      </c>
      <c r="KJ135" s="198">
        <f t="shared" si="3566"/>
        <v>0</v>
      </c>
      <c r="KK135" s="225">
        <f t="shared" si="3567"/>
        <v>0</v>
      </c>
      <c r="KL135" s="226">
        <f t="shared" si="3568"/>
        <v>0</v>
      </c>
      <c r="KM135" s="137">
        <f t="shared" si="3569"/>
        <v>0</v>
      </c>
      <c r="KN135" s="227">
        <f t="shared" si="3555"/>
        <v>30.43</v>
      </c>
      <c r="KO135" s="138">
        <f t="shared" si="3571"/>
        <v>0</v>
      </c>
      <c r="KP135" s="110">
        <f t="shared" si="3572"/>
        <v>0</v>
      </c>
      <c r="KQ135" s="110"/>
      <c r="KR135" s="139"/>
      <c r="KS135" s="140" t="e">
        <f t="shared" si="3573"/>
        <v>#DIV/0!</v>
      </c>
      <c r="KT135" s="198">
        <f t="shared" si="3566"/>
        <v>0</v>
      </c>
      <c r="KU135" s="225">
        <f t="shared" si="3574"/>
        <v>0</v>
      </c>
      <c r="KV135" s="226">
        <f t="shared" si="3575"/>
        <v>0</v>
      </c>
      <c r="KW135" s="137">
        <f t="shared" si="3576"/>
        <v>0</v>
      </c>
      <c r="KX135" s="227">
        <f t="shared" si="3555"/>
        <v>34.299999999999997</v>
      </c>
      <c r="KY135" s="138">
        <f t="shared" si="3578"/>
        <v>0</v>
      </c>
      <c r="KZ135" s="110">
        <f t="shared" si="3579"/>
        <v>0</v>
      </c>
      <c r="LA135" s="110"/>
      <c r="LB135" s="139"/>
      <c r="LC135" s="140" t="e">
        <f t="shared" si="3580"/>
        <v>#DIV/0!</v>
      </c>
      <c r="LD135" s="197">
        <f t="shared" si="3581"/>
        <v>0</v>
      </c>
      <c r="LE135" s="225">
        <f t="shared" si="3582"/>
        <v>0</v>
      </c>
      <c r="LF135" s="226">
        <f t="shared" si="3583"/>
        <v>0</v>
      </c>
      <c r="LG135" s="137">
        <f t="shared" si="3584"/>
        <v>0</v>
      </c>
      <c r="LH135" s="227">
        <f t="shared" si="3585"/>
        <v>28.89</v>
      </c>
      <c r="LI135" s="138">
        <f t="shared" si="3586"/>
        <v>0</v>
      </c>
      <c r="LJ135" s="110">
        <f t="shared" si="3587"/>
        <v>0</v>
      </c>
      <c r="LK135" s="110"/>
      <c r="LL135" s="139"/>
    </row>
    <row r="136" spans="1:324" ht="24" hidden="1" x14ac:dyDescent="0.25">
      <c r="A136" s="247"/>
      <c r="B136" s="92" t="s">
        <v>611</v>
      </c>
      <c r="C136" s="12" t="s">
        <v>730</v>
      </c>
      <c r="D136" s="12" t="s">
        <v>428</v>
      </c>
      <c r="E136" s="4" t="s">
        <v>32</v>
      </c>
      <c r="F136" s="198">
        <f t="shared" si="3361"/>
        <v>0</v>
      </c>
      <c r="G136" s="225">
        <f t="shared" si="3588"/>
        <v>0</v>
      </c>
      <c r="H136" s="226">
        <f t="shared" si="3589"/>
        <v>0</v>
      </c>
      <c r="I136" s="137">
        <f t="shared" si="3362"/>
        <v>0</v>
      </c>
      <c r="J136" s="227">
        <f t="shared" si="3590"/>
        <v>19.559999999999999</v>
      </c>
      <c r="K136" s="138">
        <f t="shared" si="3363"/>
        <v>0</v>
      </c>
      <c r="L136" s="110">
        <f t="shared" si="3364"/>
        <v>0</v>
      </c>
      <c r="M136" s="110"/>
      <c r="N136" s="139"/>
      <c r="O136" s="140" t="e">
        <f t="shared" si="3365"/>
        <v>#DIV/0!</v>
      </c>
      <c r="P136" s="198">
        <f t="shared" si="3366"/>
        <v>0</v>
      </c>
      <c r="Q136" s="225">
        <f t="shared" si="3367"/>
        <v>0</v>
      </c>
      <c r="R136" s="226">
        <f t="shared" si="3368"/>
        <v>0</v>
      </c>
      <c r="S136" s="137">
        <f t="shared" si="3369"/>
        <v>0</v>
      </c>
      <c r="T136" s="227">
        <f t="shared" si="3370"/>
        <v>14.76</v>
      </c>
      <c r="U136" s="138">
        <f t="shared" si="3371"/>
        <v>0</v>
      </c>
      <c r="V136" s="110">
        <f t="shared" si="3372"/>
        <v>0</v>
      </c>
      <c r="W136" s="110"/>
      <c r="X136" s="139"/>
      <c r="Y136" s="140" t="e">
        <f t="shared" si="3373"/>
        <v>#DIV/0!</v>
      </c>
      <c r="Z136" s="198">
        <f t="shared" si="3366"/>
        <v>0</v>
      </c>
      <c r="AA136" s="225">
        <f t="shared" si="3374"/>
        <v>0</v>
      </c>
      <c r="AB136" s="226">
        <f t="shared" si="3375"/>
        <v>0</v>
      </c>
      <c r="AC136" s="137">
        <f t="shared" si="3376"/>
        <v>0</v>
      </c>
      <c r="AD136" s="227">
        <f t="shared" si="3370"/>
        <v>33.520000000000003</v>
      </c>
      <c r="AE136" s="138">
        <f t="shared" si="3378"/>
        <v>0</v>
      </c>
      <c r="AF136" s="110">
        <f t="shared" si="3379"/>
        <v>0</v>
      </c>
      <c r="AG136" s="110"/>
      <c r="AH136" s="139"/>
      <c r="AI136" s="140" t="e">
        <f t="shared" si="3380"/>
        <v>#DIV/0!</v>
      </c>
      <c r="AJ136" s="198">
        <f t="shared" si="3366"/>
        <v>0</v>
      </c>
      <c r="AK136" s="225">
        <f t="shared" si="3381"/>
        <v>0</v>
      </c>
      <c r="AL136" s="226">
        <f t="shared" si="3382"/>
        <v>0</v>
      </c>
      <c r="AM136" s="137">
        <f t="shared" si="3383"/>
        <v>0</v>
      </c>
      <c r="AN136" s="227">
        <f t="shared" si="3370"/>
        <v>33.07</v>
      </c>
      <c r="AO136" s="138">
        <f t="shared" si="3385"/>
        <v>0</v>
      </c>
      <c r="AP136" s="110">
        <f t="shared" si="3386"/>
        <v>0</v>
      </c>
      <c r="AQ136" s="110"/>
      <c r="AR136" s="139"/>
      <c r="AS136" s="140" t="e">
        <f t="shared" si="3387"/>
        <v>#DIV/0!</v>
      </c>
      <c r="AT136" s="198">
        <f t="shared" si="3366"/>
        <v>0</v>
      </c>
      <c r="AU136" s="225">
        <f t="shared" si="3388"/>
        <v>0</v>
      </c>
      <c r="AV136" s="226">
        <f t="shared" si="3389"/>
        <v>0</v>
      </c>
      <c r="AW136" s="137">
        <f t="shared" si="3390"/>
        <v>0</v>
      </c>
      <c r="AX136" s="227">
        <f t="shared" si="3370"/>
        <v>28.2</v>
      </c>
      <c r="AY136" s="138">
        <f t="shared" si="3392"/>
        <v>0</v>
      </c>
      <c r="AZ136" s="110">
        <f t="shared" si="3393"/>
        <v>0</v>
      </c>
      <c r="BA136" s="110"/>
      <c r="BB136" s="139"/>
      <c r="BC136" s="140" t="e">
        <f t="shared" si="3394"/>
        <v>#DIV/0!</v>
      </c>
      <c r="BD136" s="198">
        <f t="shared" si="3366"/>
        <v>0</v>
      </c>
      <c r="BE136" s="225">
        <f t="shared" si="3395"/>
        <v>0</v>
      </c>
      <c r="BF136" s="226">
        <f t="shared" si="3396"/>
        <v>0</v>
      </c>
      <c r="BG136" s="137">
        <f t="shared" si="3397"/>
        <v>0</v>
      </c>
      <c r="BH136" s="227">
        <f t="shared" si="3370"/>
        <v>33.75</v>
      </c>
      <c r="BI136" s="138">
        <f t="shared" si="3399"/>
        <v>0</v>
      </c>
      <c r="BJ136" s="110">
        <f t="shared" si="3400"/>
        <v>0</v>
      </c>
      <c r="BK136" s="110"/>
      <c r="BL136" s="139"/>
      <c r="BM136" s="140" t="e">
        <f t="shared" si="3401"/>
        <v>#DIV/0!</v>
      </c>
      <c r="BN136" s="198">
        <f t="shared" si="3366"/>
        <v>0</v>
      </c>
      <c r="BO136" s="225">
        <f t="shared" si="3402"/>
        <v>0</v>
      </c>
      <c r="BP136" s="226">
        <f t="shared" si="3403"/>
        <v>0</v>
      </c>
      <c r="BQ136" s="137">
        <f t="shared" si="3404"/>
        <v>0</v>
      </c>
      <c r="BR136" s="227">
        <f t="shared" si="3370"/>
        <v>32.79</v>
      </c>
      <c r="BS136" s="138">
        <f t="shared" si="3406"/>
        <v>0</v>
      </c>
      <c r="BT136" s="110">
        <f t="shared" si="3407"/>
        <v>0</v>
      </c>
      <c r="BU136" s="110"/>
      <c r="BV136" s="139"/>
      <c r="BW136" s="140" t="e">
        <f t="shared" si="3408"/>
        <v>#DIV/0!</v>
      </c>
      <c r="BX136" s="198">
        <f t="shared" si="3366"/>
        <v>0</v>
      </c>
      <c r="BY136" s="225">
        <f t="shared" si="3409"/>
        <v>0</v>
      </c>
      <c r="BZ136" s="226">
        <f t="shared" si="3410"/>
        <v>0</v>
      </c>
      <c r="CA136" s="137">
        <f t="shared" si="3411"/>
        <v>0</v>
      </c>
      <c r="CB136" s="227">
        <f t="shared" si="3370"/>
        <v>30.39</v>
      </c>
      <c r="CC136" s="138">
        <f t="shared" si="3413"/>
        <v>0</v>
      </c>
      <c r="CD136" s="110">
        <f t="shared" si="3414"/>
        <v>0</v>
      </c>
      <c r="CE136" s="110"/>
      <c r="CF136" s="139"/>
      <c r="CG136" s="140" t="e">
        <f t="shared" si="3415"/>
        <v>#DIV/0!</v>
      </c>
      <c r="CH136" s="198">
        <f t="shared" si="3416"/>
        <v>0</v>
      </c>
      <c r="CI136" s="225">
        <f t="shared" si="3417"/>
        <v>0</v>
      </c>
      <c r="CJ136" s="226">
        <f t="shared" si="3418"/>
        <v>0</v>
      </c>
      <c r="CK136" s="137">
        <f t="shared" si="3419"/>
        <v>0</v>
      </c>
      <c r="CL136" s="227">
        <f t="shared" si="3420"/>
        <v>25.57</v>
      </c>
      <c r="CM136" s="138">
        <f t="shared" si="3421"/>
        <v>0</v>
      </c>
      <c r="CN136" s="110">
        <f t="shared" si="3422"/>
        <v>0</v>
      </c>
      <c r="CO136" s="110"/>
      <c r="CP136" s="139"/>
      <c r="CQ136" s="140" t="e">
        <f t="shared" si="3423"/>
        <v>#DIV/0!</v>
      </c>
      <c r="CR136" s="198">
        <f t="shared" si="3416"/>
        <v>0</v>
      </c>
      <c r="CS136" s="225">
        <f t="shared" si="3424"/>
        <v>0</v>
      </c>
      <c r="CT136" s="226">
        <f t="shared" si="3425"/>
        <v>0</v>
      </c>
      <c r="CU136" s="137">
        <f t="shared" si="3426"/>
        <v>0</v>
      </c>
      <c r="CV136" s="227">
        <f t="shared" si="3420"/>
        <v>28.26</v>
      </c>
      <c r="CW136" s="138">
        <f t="shared" si="3428"/>
        <v>0</v>
      </c>
      <c r="CX136" s="110">
        <f t="shared" si="3429"/>
        <v>0</v>
      </c>
      <c r="CY136" s="110"/>
      <c r="CZ136" s="139"/>
      <c r="DA136" s="140" t="e">
        <f t="shared" si="3430"/>
        <v>#DIV/0!</v>
      </c>
      <c r="DB136" s="198">
        <f t="shared" si="3416"/>
        <v>0</v>
      </c>
      <c r="DC136" s="225">
        <f t="shared" si="3431"/>
        <v>0</v>
      </c>
      <c r="DD136" s="226">
        <f t="shared" si="3432"/>
        <v>0</v>
      </c>
      <c r="DE136" s="137">
        <f t="shared" si="3433"/>
        <v>0</v>
      </c>
      <c r="DF136" s="227">
        <f t="shared" si="3420"/>
        <v>31.22</v>
      </c>
      <c r="DG136" s="138">
        <f t="shared" si="3435"/>
        <v>0</v>
      </c>
      <c r="DH136" s="110">
        <f t="shared" si="3436"/>
        <v>0</v>
      </c>
      <c r="DI136" s="110"/>
      <c r="DJ136" s="139"/>
      <c r="DK136" s="140" t="e">
        <f t="shared" si="3437"/>
        <v>#DIV/0!</v>
      </c>
      <c r="DL136" s="198">
        <f t="shared" si="3416"/>
        <v>0</v>
      </c>
      <c r="DM136" s="225">
        <f t="shared" si="3438"/>
        <v>0</v>
      </c>
      <c r="DN136" s="226">
        <f t="shared" si="3439"/>
        <v>0</v>
      </c>
      <c r="DO136" s="137">
        <f t="shared" si="3440"/>
        <v>0</v>
      </c>
      <c r="DP136" s="227">
        <f t="shared" si="3420"/>
        <v>33.9</v>
      </c>
      <c r="DQ136" s="138">
        <f t="shared" si="3442"/>
        <v>0</v>
      </c>
      <c r="DR136" s="110">
        <f t="shared" si="3443"/>
        <v>0</v>
      </c>
      <c r="DS136" s="110"/>
      <c r="DT136" s="139"/>
      <c r="DU136" s="140" t="e">
        <f t="shared" si="3444"/>
        <v>#DIV/0!</v>
      </c>
      <c r="DV136" s="198">
        <f t="shared" si="3416"/>
        <v>0</v>
      </c>
      <c r="DW136" s="225">
        <f t="shared" si="3445"/>
        <v>0</v>
      </c>
      <c r="DX136" s="226">
        <f t="shared" si="3446"/>
        <v>0</v>
      </c>
      <c r="DY136" s="137">
        <f t="shared" si="3447"/>
        <v>0</v>
      </c>
      <c r="DZ136" s="227">
        <f t="shared" si="3420"/>
        <v>12.79</v>
      </c>
      <c r="EA136" s="138">
        <f t="shared" si="3449"/>
        <v>0</v>
      </c>
      <c r="EB136" s="110">
        <f t="shared" si="3450"/>
        <v>0</v>
      </c>
      <c r="EC136" s="110"/>
      <c r="ED136" s="139"/>
      <c r="EE136" s="140" t="e">
        <f t="shared" si="3451"/>
        <v>#DIV/0!</v>
      </c>
      <c r="EF136" s="198">
        <f t="shared" si="3416"/>
        <v>0</v>
      </c>
      <c r="EG136" s="225">
        <f t="shared" si="3452"/>
        <v>0</v>
      </c>
      <c r="EH136" s="226">
        <f t="shared" si="3453"/>
        <v>0</v>
      </c>
      <c r="EI136" s="137">
        <f t="shared" si="3454"/>
        <v>0</v>
      </c>
      <c r="EJ136" s="227">
        <f t="shared" si="3420"/>
        <v>23.18</v>
      </c>
      <c r="EK136" s="138">
        <f t="shared" si="3456"/>
        <v>0</v>
      </c>
      <c r="EL136" s="110">
        <f t="shared" si="3457"/>
        <v>0</v>
      </c>
      <c r="EM136" s="110"/>
      <c r="EN136" s="139"/>
      <c r="EO136" s="140" t="e">
        <f t="shared" si="3458"/>
        <v>#DIV/0!</v>
      </c>
      <c r="EP136" s="198">
        <f t="shared" si="3416"/>
        <v>0</v>
      </c>
      <c r="EQ136" s="225">
        <f t="shared" si="3459"/>
        <v>0</v>
      </c>
      <c r="ER136" s="226">
        <f t="shared" si="3460"/>
        <v>0</v>
      </c>
      <c r="ES136" s="137">
        <f t="shared" si="3461"/>
        <v>0</v>
      </c>
      <c r="ET136" s="227">
        <f t="shared" si="3420"/>
        <v>30.66</v>
      </c>
      <c r="EU136" s="138">
        <f t="shared" si="3463"/>
        <v>0</v>
      </c>
      <c r="EV136" s="110">
        <f t="shared" si="3464"/>
        <v>0</v>
      </c>
      <c r="EW136" s="110"/>
      <c r="EX136" s="139"/>
      <c r="EY136" s="140" t="e">
        <f t="shared" si="3465"/>
        <v>#DIV/0!</v>
      </c>
      <c r="EZ136" s="198">
        <f t="shared" si="3466"/>
        <v>0</v>
      </c>
      <c r="FA136" s="225">
        <f t="shared" si="3467"/>
        <v>0</v>
      </c>
      <c r="FB136" s="226">
        <f t="shared" si="3468"/>
        <v>0</v>
      </c>
      <c r="FC136" s="137">
        <f t="shared" si="3469"/>
        <v>0</v>
      </c>
      <c r="FD136" s="227">
        <f t="shared" si="3470"/>
        <v>34.119999999999997</v>
      </c>
      <c r="FE136" s="138">
        <f t="shared" si="3471"/>
        <v>0</v>
      </c>
      <c r="FF136" s="110">
        <f t="shared" si="3472"/>
        <v>0</v>
      </c>
      <c r="FG136" s="110"/>
      <c r="FH136" s="139"/>
      <c r="FI136" s="140" t="e">
        <f t="shared" si="3473"/>
        <v>#DIV/0!</v>
      </c>
      <c r="FJ136" s="198">
        <f t="shared" si="3466"/>
        <v>0</v>
      </c>
      <c r="FK136" s="225">
        <f t="shared" si="3474"/>
        <v>0</v>
      </c>
      <c r="FL136" s="226">
        <f t="shared" si="3475"/>
        <v>0</v>
      </c>
      <c r="FM136" s="137">
        <f t="shared" si="3476"/>
        <v>0</v>
      </c>
      <c r="FN136" s="227">
        <f t="shared" si="3470"/>
        <v>18.39</v>
      </c>
      <c r="FO136" s="138">
        <f t="shared" si="3478"/>
        <v>0</v>
      </c>
      <c r="FP136" s="110">
        <f t="shared" si="3479"/>
        <v>0</v>
      </c>
      <c r="FQ136" s="110"/>
      <c r="FR136" s="139"/>
      <c r="FS136" s="140" t="e">
        <f t="shared" si="3480"/>
        <v>#DIV/0!</v>
      </c>
      <c r="FT136" s="198">
        <f t="shared" si="3466"/>
        <v>0</v>
      </c>
      <c r="FU136" s="225">
        <f t="shared" si="3481"/>
        <v>0</v>
      </c>
      <c r="FV136" s="226">
        <f t="shared" si="3482"/>
        <v>0</v>
      </c>
      <c r="FW136" s="137">
        <f t="shared" si="3483"/>
        <v>0</v>
      </c>
      <c r="FX136" s="227">
        <f t="shared" si="3470"/>
        <v>32.619999999999997</v>
      </c>
      <c r="FY136" s="138">
        <f t="shared" si="3485"/>
        <v>0</v>
      </c>
      <c r="FZ136" s="110">
        <f t="shared" si="3486"/>
        <v>0</v>
      </c>
      <c r="GA136" s="110"/>
      <c r="GB136" s="139"/>
      <c r="GC136" s="140" t="e">
        <f t="shared" si="3487"/>
        <v>#DIV/0!</v>
      </c>
      <c r="GD136" s="198">
        <f t="shared" si="3466"/>
        <v>0</v>
      </c>
      <c r="GE136" s="225">
        <f t="shared" si="3488"/>
        <v>0</v>
      </c>
      <c r="GF136" s="226">
        <f t="shared" si="3489"/>
        <v>0</v>
      </c>
      <c r="GG136" s="137">
        <f t="shared" si="3490"/>
        <v>0</v>
      </c>
      <c r="GH136" s="227">
        <f t="shared" si="3470"/>
        <v>33.28</v>
      </c>
      <c r="GI136" s="138">
        <f t="shared" si="3492"/>
        <v>0</v>
      </c>
      <c r="GJ136" s="110">
        <f t="shared" si="3493"/>
        <v>0</v>
      </c>
      <c r="GK136" s="110"/>
      <c r="GL136" s="139"/>
      <c r="GM136" s="140" t="e">
        <f t="shared" si="3494"/>
        <v>#DIV/0!</v>
      </c>
      <c r="GN136" s="198">
        <f t="shared" si="3466"/>
        <v>0</v>
      </c>
      <c r="GO136" s="225">
        <f t="shared" si="3495"/>
        <v>0</v>
      </c>
      <c r="GP136" s="226">
        <f t="shared" si="3496"/>
        <v>0</v>
      </c>
      <c r="GQ136" s="137">
        <f t="shared" si="3497"/>
        <v>0</v>
      </c>
      <c r="GR136" s="227">
        <f t="shared" si="3498"/>
        <v>30.78</v>
      </c>
      <c r="GS136" s="138">
        <f t="shared" si="3499"/>
        <v>0</v>
      </c>
      <c r="GT136" s="110">
        <f t="shared" si="3500"/>
        <v>0</v>
      </c>
      <c r="GU136" s="110"/>
      <c r="GV136" s="139"/>
      <c r="GW136" s="140" t="e">
        <f t="shared" si="3501"/>
        <v>#DIV/0!</v>
      </c>
      <c r="GX136" s="198">
        <f t="shared" si="3466"/>
        <v>0</v>
      </c>
      <c r="GY136" s="225">
        <f t="shared" si="3502"/>
        <v>0</v>
      </c>
      <c r="GZ136" s="226">
        <f t="shared" si="3503"/>
        <v>0</v>
      </c>
      <c r="HA136" s="137">
        <f t="shared" si="3504"/>
        <v>0</v>
      </c>
      <c r="HB136" s="227">
        <f t="shared" si="3498"/>
        <v>21.23</v>
      </c>
      <c r="HC136" s="138">
        <f t="shared" si="3506"/>
        <v>0</v>
      </c>
      <c r="HD136" s="110">
        <f t="shared" si="3507"/>
        <v>0</v>
      </c>
      <c r="HE136" s="110"/>
      <c r="HF136" s="139"/>
      <c r="HG136" s="140" t="e">
        <f t="shared" si="3508"/>
        <v>#DIV/0!</v>
      </c>
      <c r="HH136" s="198">
        <f t="shared" si="3466"/>
        <v>0</v>
      </c>
      <c r="HI136" s="225">
        <f t="shared" si="3509"/>
        <v>0</v>
      </c>
      <c r="HJ136" s="226">
        <f t="shared" si="3510"/>
        <v>0</v>
      </c>
      <c r="HK136" s="137">
        <f t="shared" si="3511"/>
        <v>0</v>
      </c>
      <c r="HL136" s="227">
        <f t="shared" si="3498"/>
        <v>28.23</v>
      </c>
      <c r="HM136" s="138">
        <f t="shared" si="3513"/>
        <v>0</v>
      </c>
      <c r="HN136" s="110">
        <f t="shared" si="3514"/>
        <v>0</v>
      </c>
      <c r="HO136" s="110"/>
      <c r="HP136" s="139"/>
      <c r="HQ136" s="140" t="e">
        <f t="shared" si="3515"/>
        <v>#DIV/0!</v>
      </c>
      <c r="HR136" s="198">
        <f t="shared" si="3516"/>
        <v>0</v>
      </c>
      <c r="HS136" s="225">
        <f t="shared" si="3517"/>
        <v>0</v>
      </c>
      <c r="HT136" s="226">
        <f t="shared" si="3518"/>
        <v>0</v>
      </c>
      <c r="HU136" s="137">
        <f t="shared" si="3519"/>
        <v>0</v>
      </c>
      <c r="HV136" s="227">
        <f t="shared" si="3498"/>
        <v>31.27</v>
      </c>
      <c r="HW136" s="138">
        <f t="shared" si="3521"/>
        <v>0</v>
      </c>
      <c r="HX136" s="110">
        <f t="shared" si="3522"/>
        <v>0</v>
      </c>
      <c r="HY136" s="110"/>
      <c r="HZ136" s="139"/>
      <c r="IA136" s="140" t="e">
        <f t="shared" si="3523"/>
        <v>#DIV/0!</v>
      </c>
      <c r="IB136" s="198">
        <f t="shared" si="3516"/>
        <v>0</v>
      </c>
      <c r="IC136" s="225">
        <f t="shared" si="3524"/>
        <v>0</v>
      </c>
      <c r="ID136" s="226">
        <f t="shared" si="3525"/>
        <v>0</v>
      </c>
      <c r="IE136" s="137">
        <f t="shared" si="3526"/>
        <v>0</v>
      </c>
      <c r="IF136" s="227">
        <f t="shared" si="3527"/>
        <v>28.65</v>
      </c>
      <c r="IG136" s="138">
        <f t="shared" si="3528"/>
        <v>0</v>
      </c>
      <c r="IH136" s="110">
        <f t="shared" si="3529"/>
        <v>0</v>
      </c>
      <c r="II136" s="110"/>
      <c r="IJ136" s="139"/>
      <c r="IK136" s="140" t="e">
        <f t="shared" si="3530"/>
        <v>#DIV/0!</v>
      </c>
      <c r="IL136" s="198">
        <f t="shared" si="3516"/>
        <v>0</v>
      </c>
      <c r="IM136" s="225">
        <f t="shared" si="3531"/>
        <v>0</v>
      </c>
      <c r="IN136" s="226">
        <f t="shared" si="3532"/>
        <v>0</v>
      </c>
      <c r="IO136" s="137">
        <f t="shared" si="3533"/>
        <v>0</v>
      </c>
      <c r="IP136" s="227">
        <f t="shared" si="3527"/>
        <v>33.04</v>
      </c>
      <c r="IQ136" s="138">
        <f t="shared" si="3535"/>
        <v>0</v>
      </c>
      <c r="IR136" s="110">
        <f t="shared" si="3536"/>
        <v>0</v>
      </c>
      <c r="IS136" s="110"/>
      <c r="IT136" s="139"/>
      <c r="IU136" s="140" t="e">
        <f t="shared" si="3537"/>
        <v>#DIV/0!</v>
      </c>
      <c r="IV136" s="198">
        <f t="shared" si="3516"/>
        <v>0</v>
      </c>
      <c r="IW136" s="225">
        <f t="shared" si="3538"/>
        <v>0</v>
      </c>
      <c r="IX136" s="226">
        <f t="shared" si="3539"/>
        <v>0</v>
      </c>
      <c r="IY136" s="137">
        <f t="shared" si="3540"/>
        <v>0</v>
      </c>
      <c r="IZ136" s="227">
        <f t="shared" si="3527"/>
        <v>33.36</v>
      </c>
      <c r="JA136" s="138">
        <f t="shared" si="3542"/>
        <v>0</v>
      </c>
      <c r="JB136" s="110">
        <f t="shared" si="3543"/>
        <v>0</v>
      </c>
      <c r="JC136" s="110"/>
      <c r="JD136" s="139"/>
      <c r="JE136" s="140" t="e">
        <f t="shared" si="3544"/>
        <v>#DIV/0!</v>
      </c>
      <c r="JF136" s="198">
        <f t="shared" si="3516"/>
        <v>0</v>
      </c>
      <c r="JG136" s="225">
        <f t="shared" si="3545"/>
        <v>0</v>
      </c>
      <c r="JH136" s="226">
        <f t="shared" si="3546"/>
        <v>0</v>
      </c>
      <c r="JI136" s="137">
        <f t="shared" si="3547"/>
        <v>0</v>
      </c>
      <c r="JJ136" s="227">
        <f t="shared" si="3527"/>
        <v>21.96</v>
      </c>
      <c r="JK136" s="138">
        <f t="shared" si="3549"/>
        <v>0</v>
      </c>
      <c r="JL136" s="110">
        <f t="shared" si="3550"/>
        <v>0</v>
      </c>
      <c r="JM136" s="110"/>
      <c r="JN136" s="139"/>
      <c r="JO136" s="140" t="e">
        <f t="shared" si="3551"/>
        <v>#DIV/0!</v>
      </c>
      <c r="JP136" s="198">
        <f t="shared" si="3516"/>
        <v>0</v>
      </c>
      <c r="JQ136" s="225">
        <f t="shared" si="3552"/>
        <v>0</v>
      </c>
      <c r="JR136" s="226">
        <f t="shared" si="3553"/>
        <v>0</v>
      </c>
      <c r="JS136" s="137">
        <f t="shared" si="3554"/>
        <v>0</v>
      </c>
      <c r="JT136" s="227">
        <f t="shared" si="3555"/>
        <v>35.700000000000003</v>
      </c>
      <c r="JU136" s="138">
        <f t="shared" si="3556"/>
        <v>0</v>
      </c>
      <c r="JV136" s="110">
        <f t="shared" si="3557"/>
        <v>0</v>
      </c>
      <c r="JW136" s="110"/>
      <c r="JX136" s="139"/>
      <c r="JY136" s="140" t="e">
        <f t="shared" si="3558"/>
        <v>#DIV/0!</v>
      </c>
      <c r="JZ136" s="198">
        <f t="shared" si="3516"/>
        <v>0</v>
      </c>
      <c r="KA136" s="225">
        <f t="shared" si="3559"/>
        <v>0</v>
      </c>
      <c r="KB136" s="226">
        <f t="shared" si="3560"/>
        <v>0</v>
      </c>
      <c r="KC136" s="137">
        <f t="shared" si="3561"/>
        <v>0</v>
      </c>
      <c r="KD136" s="227">
        <f t="shared" si="3555"/>
        <v>30.3</v>
      </c>
      <c r="KE136" s="138">
        <f t="shared" si="3563"/>
        <v>0</v>
      </c>
      <c r="KF136" s="110">
        <f t="shared" si="3564"/>
        <v>0</v>
      </c>
      <c r="KG136" s="110"/>
      <c r="KH136" s="139"/>
      <c r="KI136" s="140" t="e">
        <f t="shared" si="3565"/>
        <v>#DIV/0!</v>
      </c>
      <c r="KJ136" s="198">
        <f t="shared" si="3566"/>
        <v>0</v>
      </c>
      <c r="KK136" s="225">
        <f t="shared" si="3567"/>
        <v>0</v>
      </c>
      <c r="KL136" s="226">
        <f t="shared" si="3568"/>
        <v>0</v>
      </c>
      <c r="KM136" s="137">
        <f t="shared" si="3569"/>
        <v>0</v>
      </c>
      <c r="KN136" s="227">
        <f t="shared" si="3555"/>
        <v>30.43</v>
      </c>
      <c r="KO136" s="138">
        <f t="shared" si="3571"/>
        <v>0</v>
      </c>
      <c r="KP136" s="110">
        <f t="shared" si="3572"/>
        <v>0</v>
      </c>
      <c r="KQ136" s="110"/>
      <c r="KR136" s="139"/>
      <c r="KS136" s="140" t="e">
        <f t="shared" si="3573"/>
        <v>#DIV/0!</v>
      </c>
      <c r="KT136" s="198">
        <f t="shared" si="3566"/>
        <v>0</v>
      </c>
      <c r="KU136" s="225">
        <f t="shared" si="3574"/>
        <v>0</v>
      </c>
      <c r="KV136" s="226">
        <f t="shared" si="3575"/>
        <v>0</v>
      </c>
      <c r="KW136" s="137">
        <f t="shared" si="3576"/>
        <v>0</v>
      </c>
      <c r="KX136" s="227">
        <f t="shared" si="3555"/>
        <v>34.299999999999997</v>
      </c>
      <c r="KY136" s="138">
        <f t="shared" si="3578"/>
        <v>0</v>
      </c>
      <c r="KZ136" s="110">
        <f t="shared" si="3579"/>
        <v>0</v>
      </c>
      <c r="LA136" s="110"/>
      <c r="LB136" s="139"/>
      <c r="LC136" s="140" t="e">
        <f t="shared" si="3580"/>
        <v>#DIV/0!</v>
      </c>
      <c r="LD136" s="197">
        <f t="shared" si="3581"/>
        <v>0</v>
      </c>
      <c r="LE136" s="225">
        <f t="shared" si="3582"/>
        <v>0</v>
      </c>
      <c r="LF136" s="226">
        <f t="shared" si="3583"/>
        <v>0</v>
      </c>
      <c r="LG136" s="137">
        <f t="shared" si="3584"/>
        <v>0</v>
      </c>
      <c r="LH136" s="227">
        <f t="shared" si="3585"/>
        <v>28.89</v>
      </c>
      <c r="LI136" s="138">
        <f t="shared" si="3586"/>
        <v>0</v>
      </c>
      <c r="LJ136" s="110">
        <f t="shared" si="3587"/>
        <v>0</v>
      </c>
      <c r="LK136" s="110"/>
      <c r="LL136" s="139"/>
    </row>
    <row r="137" spans="1:324" x14ac:dyDescent="0.25">
      <c r="A137" s="244"/>
      <c r="B137" s="250" t="s">
        <v>854</v>
      </c>
      <c r="C137" s="12"/>
      <c r="D137" s="12"/>
      <c r="E137" s="4"/>
      <c r="F137" s="198"/>
      <c r="G137" s="225"/>
      <c r="H137" s="226"/>
      <c r="I137" s="137"/>
      <c r="J137" s="227"/>
      <c r="K137" s="138"/>
      <c r="L137" s="110"/>
      <c r="M137" s="110"/>
      <c r="N137" s="139"/>
      <c r="O137" s="140"/>
      <c r="P137" s="198"/>
      <c r="Q137" s="225"/>
      <c r="R137" s="226"/>
      <c r="S137" s="137"/>
      <c r="T137" s="227"/>
      <c r="U137" s="138"/>
      <c r="V137" s="110"/>
      <c r="W137" s="110"/>
      <c r="X137" s="139"/>
      <c r="Y137" s="140"/>
      <c r="Z137" s="198"/>
      <c r="AA137" s="225"/>
      <c r="AB137" s="226"/>
      <c r="AC137" s="137"/>
      <c r="AD137" s="227"/>
      <c r="AE137" s="138"/>
      <c r="AF137" s="110"/>
      <c r="AG137" s="110"/>
      <c r="AH137" s="139"/>
      <c r="AI137" s="140"/>
      <c r="AJ137" s="198"/>
      <c r="AK137" s="225"/>
      <c r="AL137" s="226"/>
      <c r="AM137" s="137"/>
      <c r="AN137" s="227"/>
      <c r="AO137" s="138"/>
      <c r="AP137" s="110"/>
      <c r="AQ137" s="110"/>
      <c r="AR137" s="139"/>
      <c r="AS137" s="140"/>
      <c r="AT137" s="198"/>
      <c r="AU137" s="225"/>
      <c r="AV137" s="226"/>
      <c r="AW137" s="137"/>
      <c r="AX137" s="227"/>
      <c r="AY137" s="138"/>
      <c r="AZ137" s="110"/>
      <c r="BA137" s="110"/>
      <c r="BB137" s="139"/>
      <c r="BC137" s="140"/>
      <c r="BD137" s="198"/>
      <c r="BE137" s="225"/>
      <c r="BF137" s="226"/>
      <c r="BG137" s="137"/>
      <c r="BH137" s="227"/>
      <c r="BI137" s="138"/>
      <c r="BJ137" s="110"/>
      <c r="BK137" s="110"/>
      <c r="BL137" s="139"/>
      <c r="BM137" s="140"/>
      <c r="BN137" s="198"/>
      <c r="BO137" s="225"/>
      <c r="BP137" s="226"/>
      <c r="BQ137" s="137"/>
      <c r="BR137" s="227"/>
      <c r="BS137" s="138"/>
      <c r="BT137" s="110"/>
      <c r="BU137" s="110"/>
      <c r="BV137" s="139"/>
      <c r="BW137" s="140"/>
      <c r="BX137" s="198"/>
      <c r="BY137" s="225"/>
      <c r="BZ137" s="226"/>
      <c r="CA137" s="137"/>
      <c r="CB137" s="227"/>
      <c r="CC137" s="138"/>
      <c r="CD137" s="110"/>
      <c r="CE137" s="110"/>
      <c r="CF137" s="139"/>
      <c r="CG137" s="140"/>
      <c r="CH137" s="198"/>
      <c r="CI137" s="225"/>
      <c r="CJ137" s="226"/>
      <c r="CK137" s="137"/>
      <c r="CL137" s="227"/>
      <c r="CM137" s="138"/>
      <c r="CN137" s="110"/>
      <c r="CO137" s="110"/>
      <c r="CP137" s="139"/>
      <c r="CQ137" s="140"/>
      <c r="CR137" s="198"/>
      <c r="CS137" s="225"/>
      <c r="CT137" s="226"/>
      <c r="CU137" s="137"/>
      <c r="CV137" s="227"/>
      <c r="CW137" s="138"/>
      <c r="CX137" s="110"/>
      <c r="CY137" s="110"/>
      <c r="CZ137" s="139"/>
      <c r="DA137" s="140"/>
      <c r="DB137" s="198"/>
      <c r="DC137" s="225"/>
      <c r="DD137" s="226"/>
      <c r="DE137" s="137"/>
      <c r="DF137" s="227"/>
      <c r="DG137" s="138"/>
      <c r="DH137" s="110"/>
      <c r="DI137" s="110"/>
      <c r="DJ137" s="139"/>
      <c r="DK137" s="140"/>
      <c r="DL137" s="198"/>
      <c r="DM137" s="225"/>
      <c r="DN137" s="226"/>
      <c r="DO137" s="137"/>
      <c r="DP137" s="227"/>
      <c r="DQ137" s="138"/>
      <c r="DR137" s="110"/>
      <c r="DS137" s="110"/>
      <c r="DT137" s="139"/>
      <c r="DU137" s="140"/>
      <c r="DV137" s="198"/>
      <c r="DW137" s="225"/>
      <c r="DX137" s="226"/>
      <c r="DY137" s="137"/>
      <c r="DZ137" s="227"/>
      <c r="EA137" s="138"/>
      <c r="EB137" s="110"/>
      <c r="EC137" s="110"/>
      <c r="ED137" s="139"/>
      <c r="EE137" s="140"/>
      <c r="EF137" s="198"/>
      <c r="EG137" s="225"/>
      <c r="EH137" s="226"/>
      <c r="EI137" s="137"/>
      <c r="EJ137" s="227"/>
      <c r="EK137" s="138"/>
      <c r="EL137" s="110"/>
      <c r="EM137" s="110"/>
      <c r="EN137" s="139"/>
      <c r="EO137" s="140"/>
      <c r="EP137" s="198"/>
      <c r="EQ137" s="225"/>
      <c r="ER137" s="226"/>
      <c r="ES137" s="137"/>
      <c r="ET137" s="227"/>
      <c r="EU137" s="138"/>
      <c r="EV137" s="110"/>
      <c r="EW137" s="110"/>
      <c r="EX137" s="139"/>
      <c r="EY137" s="140"/>
      <c r="EZ137" s="198"/>
      <c r="FA137" s="225"/>
      <c r="FB137" s="226"/>
      <c r="FC137" s="137"/>
      <c r="FD137" s="227"/>
      <c r="FE137" s="138"/>
      <c r="FF137" s="110"/>
      <c r="FG137" s="110"/>
      <c r="FH137" s="139"/>
      <c r="FI137" s="140"/>
      <c r="FJ137" s="198"/>
      <c r="FK137" s="225"/>
      <c r="FL137" s="226"/>
      <c r="FM137" s="137"/>
      <c r="FN137" s="227"/>
      <c r="FO137" s="138"/>
      <c r="FP137" s="110"/>
      <c r="FQ137" s="110"/>
      <c r="FR137" s="139"/>
      <c r="FS137" s="140"/>
      <c r="FT137" s="198"/>
      <c r="FU137" s="225"/>
      <c r="FV137" s="226"/>
      <c r="FW137" s="137"/>
      <c r="FX137" s="227"/>
      <c r="FY137" s="138"/>
      <c r="FZ137" s="110"/>
      <c r="GA137" s="110"/>
      <c r="GB137" s="139"/>
      <c r="GC137" s="140"/>
      <c r="GD137" s="198"/>
      <c r="GE137" s="225"/>
      <c r="GF137" s="226"/>
      <c r="GG137" s="137"/>
      <c r="GH137" s="227"/>
      <c r="GI137" s="138"/>
      <c r="GJ137" s="110"/>
      <c r="GK137" s="110"/>
      <c r="GL137" s="139"/>
      <c r="GM137" s="140"/>
      <c r="GN137" s="198"/>
      <c r="GO137" s="225"/>
      <c r="GP137" s="226"/>
      <c r="GQ137" s="137"/>
      <c r="GR137" s="227"/>
      <c r="GS137" s="138"/>
      <c r="GT137" s="110"/>
      <c r="GU137" s="110"/>
      <c r="GV137" s="139"/>
      <c r="GW137" s="140"/>
      <c r="GX137" s="198"/>
      <c r="GY137" s="225"/>
      <c r="GZ137" s="226"/>
      <c r="HA137" s="137"/>
      <c r="HB137" s="227"/>
      <c r="HC137" s="138"/>
      <c r="HD137" s="110"/>
      <c r="HE137" s="110"/>
      <c r="HF137" s="139"/>
      <c r="HG137" s="140"/>
      <c r="HH137" s="198"/>
      <c r="HI137" s="225"/>
      <c r="HJ137" s="226"/>
      <c r="HK137" s="137"/>
      <c r="HL137" s="227"/>
      <c r="HM137" s="138"/>
      <c r="HN137" s="110"/>
      <c r="HO137" s="110"/>
      <c r="HP137" s="139"/>
      <c r="HQ137" s="140"/>
      <c r="HR137" s="198"/>
      <c r="HS137" s="225"/>
      <c r="HT137" s="226"/>
      <c r="HU137" s="137"/>
      <c r="HV137" s="227"/>
      <c r="HW137" s="138"/>
      <c r="HX137" s="110"/>
      <c r="HY137" s="110"/>
      <c r="HZ137" s="139"/>
      <c r="IA137" s="140"/>
      <c r="IB137" s="198"/>
      <c r="IC137" s="225"/>
      <c r="ID137" s="226"/>
      <c r="IE137" s="137"/>
      <c r="IF137" s="227"/>
      <c r="IG137" s="138"/>
      <c r="IH137" s="110"/>
      <c r="II137" s="110"/>
      <c r="IJ137" s="139"/>
      <c r="IK137" s="140"/>
      <c r="IL137" s="198"/>
      <c r="IM137" s="225"/>
      <c r="IN137" s="226"/>
      <c r="IO137" s="137"/>
      <c r="IP137" s="227"/>
      <c r="IQ137" s="138"/>
      <c r="IR137" s="110"/>
      <c r="IS137" s="110"/>
      <c r="IT137" s="139"/>
      <c r="IU137" s="140"/>
      <c r="IV137" s="198"/>
      <c r="IW137" s="225"/>
      <c r="IX137" s="226"/>
      <c r="IY137" s="137"/>
      <c r="IZ137" s="227"/>
      <c r="JA137" s="138"/>
      <c r="JB137" s="110"/>
      <c r="JC137" s="110"/>
      <c r="JD137" s="139"/>
      <c r="JE137" s="140"/>
      <c r="JF137" s="198"/>
      <c r="JG137" s="225"/>
      <c r="JH137" s="226"/>
      <c r="JI137" s="137"/>
      <c r="JJ137" s="227"/>
      <c r="JK137" s="138"/>
      <c r="JL137" s="110"/>
      <c r="JM137" s="110"/>
      <c r="JN137" s="139"/>
      <c r="JO137" s="140"/>
      <c r="JP137" s="198"/>
      <c r="JQ137" s="225"/>
      <c r="JR137" s="226"/>
      <c r="JS137" s="137"/>
      <c r="JT137" s="227"/>
      <c r="JU137" s="138"/>
      <c r="JV137" s="110"/>
      <c r="JW137" s="110"/>
      <c r="JX137" s="139"/>
      <c r="JY137" s="140"/>
      <c r="JZ137" s="198"/>
      <c r="KA137" s="225"/>
      <c r="KB137" s="226"/>
      <c r="KC137" s="137"/>
      <c r="KD137" s="227"/>
      <c r="KE137" s="138"/>
      <c r="KF137" s="110"/>
      <c r="KG137" s="110"/>
      <c r="KH137" s="139"/>
      <c r="KI137" s="140"/>
      <c r="KJ137" s="198"/>
      <c r="KK137" s="225"/>
      <c r="KL137" s="226"/>
      <c r="KM137" s="137"/>
      <c r="KN137" s="227"/>
      <c r="KO137" s="138"/>
      <c r="KP137" s="110"/>
      <c r="KQ137" s="110"/>
      <c r="KR137" s="139"/>
      <c r="KS137" s="140"/>
      <c r="KT137" s="198"/>
      <c r="KU137" s="225"/>
      <c r="KV137" s="226"/>
      <c r="KW137" s="137"/>
      <c r="KX137" s="227"/>
      <c r="KY137" s="138"/>
      <c r="KZ137" s="110"/>
      <c r="LA137" s="110"/>
      <c r="LB137" s="139"/>
      <c r="LC137" s="140"/>
      <c r="LD137" s="197"/>
      <c r="LE137" s="225"/>
      <c r="LF137" s="226"/>
      <c r="LG137" s="137"/>
      <c r="LH137" s="227"/>
      <c r="LI137" s="138"/>
      <c r="LJ137" s="110"/>
      <c r="LK137" s="110"/>
      <c r="LL137" s="139"/>
    </row>
    <row r="138" spans="1:324" ht="24" x14ac:dyDescent="0.25">
      <c r="A138" s="245"/>
      <c r="B138" s="70" t="s">
        <v>609</v>
      </c>
      <c r="C138" s="12" t="s">
        <v>729</v>
      </c>
      <c r="D138" s="12" t="s">
        <v>429</v>
      </c>
      <c r="E138" s="4" t="s">
        <v>32</v>
      </c>
      <c r="F138" s="198">
        <f t="shared" ref="F138:F145" si="3591">F22</f>
        <v>313</v>
      </c>
      <c r="G138" s="225">
        <f t="shared" si="3588"/>
        <v>0.51993</v>
      </c>
      <c r="H138" s="226">
        <f t="shared" si="3589"/>
        <v>483.53</v>
      </c>
      <c r="I138" s="137">
        <f t="shared" si="3362"/>
        <v>1.54482428</v>
      </c>
      <c r="J138" s="227">
        <f t="shared" si="3590"/>
        <v>19.559999999999999</v>
      </c>
      <c r="K138" s="138">
        <f t="shared" si="3363"/>
        <v>30.216760000000001</v>
      </c>
      <c r="L138" s="110">
        <f t="shared" si="3364"/>
        <v>9457.85</v>
      </c>
      <c r="M138" s="110"/>
      <c r="N138" s="139"/>
      <c r="O138" s="140">
        <f t="shared" si="3365"/>
        <v>0.48704999999999998</v>
      </c>
      <c r="P138" s="198">
        <f t="shared" ref="P138:BX145" si="3592">P22</f>
        <v>523</v>
      </c>
      <c r="Q138" s="225">
        <f t="shared" ref="Q138:Q145" si="3593">P138/P$126</f>
        <v>0.47719</v>
      </c>
      <c r="R138" s="226">
        <f t="shared" ref="R138:R145" si="3594">R$126*Q138</f>
        <v>768.28</v>
      </c>
      <c r="S138" s="137">
        <f t="shared" ref="S138:S145" si="3595">IF(P138&gt;0,R138/P138,0)</f>
        <v>1.4689866199999999</v>
      </c>
      <c r="T138" s="227">
        <f t="shared" ref="T138:CB145" si="3596">T$126</f>
        <v>14.76</v>
      </c>
      <c r="U138" s="138">
        <f t="shared" ref="U138:U145" si="3597">S138*T138</f>
        <v>21.68224</v>
      </c>
      <c r="V138" s="110">
        <f t="shared" ref="V138:V145" si="3598">U138*P138</f>
        <v>11339.81</v>
      </c>
      <c r="W138" s="110"/>
      <c r="X138" s="139"/>
      <c r="Y138" s="140">
        <f t="shared" ref="Y138:Y145" si="3599">U138/$LI138</f>
        <v>0.34948000000000001</v>
      </c>
      <c r="Z138" s="198">
        <f t="shared" si="3592"/>
        <v>412</v>
      </c>
      <c r="AA138" s="225">
        <f t="shared" ref="AA138:AA145" si="3600">Z138/Z$126</f>
        <v>0.47685</v>
      </c>
      <c r="AB138" s="226">
        <f t="shared" ref="AB138:AB145" si="3601">AB$126*AA138</f>
        <v>615.14</v>
      </c>
      <c r="AC138" s="137">
        <f t="shared" ref="AC138:AC145" si="3602">IF(Z138&gt;0,AB138/Z138,0)</f>
        <v>1.49305825</v>
      </c>
      <c r="AD138" s="227">
        <f t="shared" si="3596"/>
        <v>33.520000000000003</v>
      </c>
      <c r="AE138" s="138">
        <f t="shared" ref="AE138:AE145" si="3603">AC138*AD138</f>
        <v>50.047310000000003</v>
      </c>
      <c r="AF138" s="110">
        <f t="shared" ref="AF138:AF145" si="3604">AE138*Z138</f>
        <v>20619.490000000002</v>
      </c>
      <c r="AG138" s="110"/>
      <c r="AH138" s="139"/>
      <c r="AI138" s="140">
        <f t="shared" ref="AI138:AI145" si="3605">AE138/$LI138</f>
        <v>0.80667999999999995</v>
      </c>
      <c r="AJ138" s="198">
        <f t="shared" si="3592"/>
        <v>311</v>
      </c>
      <c r="AK138" s="225">
        <f t="shared" ref="AK138:AK145" si="3606">AJ138/AJ$126</f>
        <v>0.46766999999999997</v>
      </c>
      <c r="AL138" s="226">
        <f t="shared" ref="AL138:AL145" si="3607">AL$126*AK138</f>
        <v>533.61</v>
      </c>
      <c r="AM138" s="137">
        <f t="shared" ref="AM138:AM145" si="3608">IF(AJ138&gt;0,AL138/AJ138,0)</f>
        <v>1.7157877800000001</v>
      </c>
      <c r="AN138" s="227">
        <f t="shared" si="3596"/>
        <v>33.07</v>
      </c>
      <c r="AO138" s="138">
        <f t="shared" ref="AO138:AO145" si="3609">AM138*AN138</f>
        <v>56.741100000000003</v>
      </c>
      <c r="AP138" s="110">
        <f t="shared" ref="AP138:AP145" si="3610">AO138*AJ138</f>
        <v>17646.48</v>
      </c>
      <c r="AQ138" s="110"/>
      <c r="AR138" s="139"/>
      <c r="AS138" s="140">
        <f t="shared" ref="AS138:AS145" si="3611">AO138/$LI138</f>
        <v>0.91457999999999995</v>
      </c>
      <c r="AT138" s="198">
        <f t="shared" si="3592"/>
        <v>428</v>
      </c>
      <c r="AU138" s="225">
        <f t="shared" ref="AU138:AU145" si="3612">AT138/AT$126</f>
        <v>0.45005000000000001</v>
      </c>
      <c r="AV138" s="226">
        <f t="shared" ref="AV138:AV145" si="3613">AV$126*AU138</f>
        <v>409.55</v>
      </c>
      <c r="AW138" s="137">
        <f t="shared" ref="AW138:AW145" si="3614">IF(AT138&gt;0,AV138/AT138,0)</f>
        <v>0.95689252000000002</v>
      </c>
      <c r="AX138" s="227">
        <f t="shared" si="3596"/>
        <v>28.2</v>
      </c>
      <c r="AY138" s="138">
        <f t="shared" ref="AY138:AY145" si="3615">AW138*AX138</f>
        <v>26.984369999999998</v>
      </c>
      <c r="AZ138" s="110">
        <f t="shared" ref="AZ138:AZ145" si="3616">AY138*AT138</f>
        <v>11549.31</v>
      </c>
      <c r="BA138" s="110"/>
      <c r="BB138" s="139"/>
      <c r="BC138" s="140">
        <f t="shared" ref="BC138:BC145" si="3617">AY138/$LI138</f>
        <v>0.43495</v>
      </c>
      <c r="BD138" s="198">
        <f t="shared" si="3592"/>
        <v>358</v>
      </c>
      <c r="BE138" s="225">
        <f t="shared" ref="BE138:BE145" si="3618">BD138/BD$126</f>
        <v>0.48118</v>
      </c>
      <c r="BF138" s="226">
        <f t="shared" ref="BF138:BF145" si="3619">BF$126*BE138</f>
        <v>683.28</v>
      </c>
      <c r="BG138" s="137">
        <f t="shared" ref="BG138:BG145" si="3620">IF(BD138&gt;0,BF138/BD138,0)</f>
        <v>1.9086033499999999</v>
      </c>
      <c r="BH138" s="227">
        <f t="shared" si="3596"/>
        <v>33.75</v>
      </c>
      <c r="BI138" s="138">
        <f t="shared" ref="BI138:BI145" si="3621">BG138*BH138</f>
        <v>64.415360000000007</v>
      </c>
      <c r="BJ138" s="110">
        <f t="shared" ref="BJ138:BJ145" si="3622">BI138*BD138</f>
        <v>23060.7</v>
      </c>
      <c r="BK138" s="110"/>
      <c r="BL138" s="139"/>
      <c r="BM138" s="140">
        <f t="shared" ref="BM138:BM145" si="3623">BI138/$LI138</f>
        <v>1.03827</v>
      </c>
      <c r="BN138" s="198">
        <f t="shared" si="3592"/>
        <v>305</v>
      </c>
      <c r="BO138" s="225">
        <f t="shared" ref="BO138:BO145" si="3624">BN138/BN$126</f>
        <v>0.49432999999999999</v>
      </c>
      <c r="BP138" s="226">
        <f t="shared" ref="BP138:BP145" si="3625">BP$126*BO138</f>
        <v>603.08000000000004</v>
      </c>
      <c r="BQ138" s="137">
        <f t="shared" ref="BQ138:BQ145" si="3626">IF(BN138&gt;0,BP138/BN138,0)</f>
        <v>1.97731148</v>
      </c>
      <c r="BR138" s="227">
        <f t="shared" si="3596"/>
        <v>32.79</v>
      </c>
      <c r="BS138" s="138">
        <f t="shared" ref="BS138:BS145" si="3627">BQ138*BR138</f>
        <v>64.836039999999997</v>
      </c>
      <c r="BT138" s="110">
        <f t="shared" ref="BT138:BT145" si="3628">BS138*BN138</f>
        <v>19774.990000000002</v>
      </c>
      <c r="BU138" s="110"/>
      <c r="BV138" s="139"/>
      <c r="BW138" s="140">
        <f t="shared" ref="BW138:BW145" si="3629">BS138/$LI138</f>
        <v>1.04505</v>
      </c>
      <c r="BX138" s="198">
        <f t="shared" si="3592"/>
        <v>401</v>
      </c>
      <c r="BY138" s="225">
        <f t="shared" ref="BY138:BY145" si="3630">BX138/BX$126</f>
        <v>0.50888</v>
      </c>
      <c r="BZ138" s="226">
        <f t="shared" ref="BZ138:BZ145" si="3631">BZ$126*BY138</f>
        <v>748.05</v>
      </c>
      <c r="CA138" s="137">
        <f t="shared" ref="CA138:CA145" si="3632">IF(BX138&gt;0,BZ138/BX138,0)</f>
        <v>1.8654613499999999</v>
      </c>
      <c r="CB138" s="227">
        <f t="shared" si="3596"/>
        <v>30.39</v>
      </c>
      <c r="CC138" s="138">
        <f t="shared" ref="CC138:CC145" si="3633">CA138*CB138</f>
        <v>56.691369999999999</v>
      </c>
      <c r="CD138" s="110">
        <f t="shared" ref="CD138:CD145" si="3634">CC138*BX138</f>
        <v>22733.24</v>
      </c>
      <c r="CE138" s="110"/>
      <c r="CF138" s="139"/>
      <c r="CG138" s="140">
        <f t="shared" ref="CG138:CG145" si="3635">CC138/$LI138</f>
        <v>0.91378000000000004</v>
      </c>
      <c r="CH138" s="198">
        <f t="shared" ref="CH138:EP145" si="3636">CH22</f>
        <v>428</v>
      </c>
      <c r="CI138" s="225">
        <f t="shared" ref="CI138:CI145" si="3637">CH138/CH$126</f>
        <v>0.4632</v>
      </c>
      <c r="CJ138" s="226">
        <f t="shared" ref="CJ138:CJ145" si="3638">CJ$126*CI138</f>
        <v>1083.8900000000001</v>
      </c>
      <c r="CK138" s="137">
        <f t="shared" ref="CK138:CK145" si="3639">IF(CH138&gt;0,CJ138/CH138,0)</f>
        <v>2.53245327</v>
      </c>
      <c r="CL138" s="227">
        <f t="shared" ref="CL138:ET145" si="3640">CL$126</f>
        <v>25.57</v>
      </c>
      <c r="CM138" s="138">
        <f t="shared" ref="CM138:CM145" si="3641">CK138*CL138</f>
        <v>64.754829999999998</v>
      </c>
      <c r="CN138" s="110">
        <f t="shared" ref="CN138:CN145" si="3642">CM138*CH138</f>
        <v>27715.07</v>
      </c>
      <c r="CO138" s="110"/>
      <c r="CP138" s="139"/>
      <c r="CQ138" s="140">
        <f t="shared" ref="CQ138:CQ145" si="3643">CM138/$LI138</f>
        <v>1.04375</v>
      </c>
      <c r="CR138" s="198">
        <f t="shared" si="3636"/>
        <v>362</v>
      </c>
      <c r="CS138" s="225">
        <f t="shared" ref="CS138:CS145" si="3644">CR138/CR$126</f>
        <v>0.48655999999999999</v>
      </c>
      <c r="CT138" s="226">
        <f t="shared" ref="CT138:CT145" si="3645">CT$126*CS138</f>
        <v>584.36</v>
      </c>
      <c r="CU138" s="137">
        <f t="shared" ref="CU138:CU145" si="3646">IF(CR138&gt;0,CT138/CR138,0)</f>
        <v>1.6142541399999999</v>
      </c>
      <c r="CV138" s="227">
        <f t="shared" si="3640"/>
        <v>28.26</v>
      </c>
      <c r="CW138" s="138">
        <f t="shared" ref="CW138:CW145" si="3647">CU138*CV138</f>
        <v>45.618819999999999</v>
      </c>
      <c r="CX138" s="110">
        <f t="shared" ref="CX138:CX145" si="3648">CW138*CR138</f>
        <v>16514.009999999998</v>
      </c>
      <c r="CY138" s="110"/>
      <c r="CZ138" s="139"/>
      <c r="DA138" s="140">
        <f t="shared" ref="DA138:DA145" si="3649">CW138/$LI138</f>
        <v>0.73529999999999995</v>
      </c>
      <c r="DB138" s="198">
        <f t="shared" si="3636"/>
        <v>380</v>
      </c>
      <c r="DC138" s="225">
        <f t="shared" ref="DC138:DC145" si="3650">DB138/DB$126</f>
        <v>0.46061000000000002</v>
      </c>
      <c r="DD138" s="226">
        <f t="shared" ref="DD138:DD145" si="3651">DD$126*DC138</f>
        <v>513.12</v>
      </c>
      <c r="DE138" s="137">
        <f t="shared" ref="DE138:DE145" si="3652">IF(DB138&gt;0,DD138/DB138,0)</f>
        <v>1.35031579</v>
      </c>
      <c r="DF138" s="227">
        <f t="shared" si="3640"/>
        <v>31.22</v>
      </c>
      <c r="DG138" s="138">
        <f t="shared" ref="DG138:DG145" si="3653">DE138*DF138</f>
        <v>42.156860000000002</v>
      </c>
      <c r="DH138" s="110">
        <f t="shared" ref="DH138:DH145" si="3654">DG138*DB138</f>
        <v>16019.61</v>
      </c>
      <c r="DI138" s="110"/>
      <c r="DJ138" s="139"/>
      <c r="DK138" s="140">
        <f t="shared" ref="DK138:DK145" si="3655">DG138/$LI138</f>
        <v>0.67949999999999999</v>
      </c>
      <c r="DL138" s="198">
        <f t="shared" si="3636"/>
        <v>0</v>
      </c>
      <c r="DM138" s="225">
        <f t="shared" ref="DM138:DM145" si="3656">DL138/DL$126</f>
        <v>0</v>
      </c>
      <c r="DN138" s="226">
        <f t="shared" ref="DN138:DN145" si="3657">DN$126*DM138</f>
        <v>0</v>
      </c>
      <c r="DO138" s="137">
        <f t="shared" ref="DO138:DO145" si="3658">IF(DL138&gt;0,DN138/DL138,0)</f>
        <v>0</v>
      </c>
      <c r="DP138" s="227">
        <f t="shared" si="3640"/>
        <v>33.9</v>
      </c>
      <c r="DQ138" s="138">
        <f t="shared" ref="DQ138:DQ145" si="3659">DO138*DP138</f>
        <v>0</v>
      </c>
      <c r="DR138" s="110">
        <f t="shared" ref="DR138:DR145" si="3660">DQ138*DL138</f>
        <v>0</v>
      </c>
      <c r="DS138" s="110"/>
      <c r="DT138" s="139"/>
      <c r="DU138" s="140">
        <f t="shared" ref="DU138:DU145" si="3661">DQ138/$LI138</f>
        <v>0</v>
      </c>
      <c r="DV138" s="198">
        <f t="shared" si="3636"/>
        <v>427</v>
      </c>
      <c r="DW138" s="225">
        <f t="shared" ref="DW138:DW145" si="3662">DV138/DV$126</f>
        <v>0.48632999999999998</v>
      </c>
      <c r="DX138" s="226">
        <f t="shared" ref="DX138:DX145" si="3663">DX$126*DW138</f>
        <v>646.82000000000005</v>
      </c>
      <c r="DY138" s="137">
        <f t="shared" ref="DY138:DY145" si="3664">IF(DV138&gt;0,DX138/DV138,0)</f>
        <v>1.51480094</v>
      </c>
      <c r="DZ138" s="227">
        <f t="shared" si="3640"/>
        <v>12.79</v>
      </c>
      <c r="EA138" s="138">
        <f t="shared" ref="EA138:EA145" si="3665">DY138*DZ138</f>
        <v>19.374300000000002</v>
      </c>
      <c r="EB138" s="110">
        <f t="shared" ref="EB138:EB145" si="3666">EA138*DV138</f>
        <v>8272.83</v>
      </c>
      <c r="EC138" s="110"/>
      <c r="ED138" s="139"/>
      <c r="EE138" s="140">
        <f t="shared" ref="EE138:EE145" si="3667">EA138/$LI138</f>
        <v>0.31228</v>
      </c>
      <c r="EF138" s="198">
        <f t="shared" si="3636"/>
        <v>472</v>
      </c>
      <c r="EG138" s="225">
        <f t="shared" ref="EG138:EG145" si="3668">EF138/EF$126</f>
        <v>0.50266</v>
      </c>
      <c r="EH138" s="226">
        <f t="shared" ref="EH138:EH145" si="3669">EH$126*EG138</f>
        <v>462.45</v>
      </c>
      <c r="EI138" s="137">
        <f t="shared" ref="EI138:EI145" si="3670">IF(EF138&gt;0,EH138/EF138,0)</f>
        <v>0.97976695000000003</v>
      </c>
      <c r="EJ138" s="227">
        <f t="shared" si="3640"/>
        <v>23.18</v>
      </c>
      <c r="EK138" s="138">
        <f t="shared" ref="EK138:EK145" si="3671">EI138*EJ138</f>
        <v>22.710999999999999</v>
      </c>
      <c r="EL138" s="110">
        <f t="shared" ref="EL138:EL145" si="3672">EK138*EF138</f>
        <v>10719.59</v>
      </c>
      <c r="EM138" s="110"/>
      <c r="EN138" s="139"/>
      <c r="EO138" s="140">
        <f t="shared" ref="EO138:EO145" si="3673">EK138/$LI138</f>
        <v>0.36607000000000001</v>
      </c>
      <c r="EP138" s="198">
        <f t="shared" si="3636"/>
        <v>448</v>
      </c>
      <c r="EQ138" s="225">
        <f t="shared" ref="EQ138:EQ145" si="3674">EP138/EP$126</f>
        <v>0.47508</v>
      </c>
      <c r="ER138" s="226">
        <f t="shared" ref="ER138:ER145" si="3675">ER$126*EQ138</f>
        <v>1035.67</v>
      </c>
      <c r="ES138" s="137">
        <f t="shared" ref="ES138:ES145" si="3676">IF(EP138&gt;0,ER138/EP138,0)</f>
        <v>2.3117633899999999</v>
      </c>
      <c r="ET138" s="227">
        <f t="shared" si="3640"/>
        <v>30.66</v>
      </c>
      <c r="EU138" s="138">
        <f t="shared" ref="EU138:EU145" si="3677">ES138*ET138</f>
        <v>70.87867</v>
      </c>
      <c r="EV138" s="110">
        <f t="shared" ref="EV138:EV145" si="3678">EU138*EP138</f>
        <v>31753.64</v>
      </c>
      <c r="EW138" s="110"/>
      <c r="EX138" s="139"/>
      <c r="EY138" s="140">
        <f t="shared" ref="EY138:EY145" si="3679">EU138/$LI138</f>
        <v>1.14245</v>
      </c>
      <c r="EZ138" s="198">
        <f t="shared" ref="EZ138:HH145" si="3680">EZ22</f>
        <v>443</v>
      </c>
      <c r="FA138" s="225">
        <f t="shared" ref="FA138:FA145" si="3681">EZ138/EZ$126</f>
        <v>0.39660000000000001</v>
      </c>
      <c r="FB138" s="226">
        <f t="shared" ref="FB138:FB145" si="3682">FB$126*FA138</f>
        <v>713.88</v>
      </c>
      <c r="FC138" s="137">
        <f t="shared" ref="FC138:FC145" si="3683">IF(EZ138&gt;0,FB138/EZ138,0)</f>
        <v>1.6114672699999999</v>
      </c>
      <c r="FD138" s="227">
        <f t="shared" ref="FD138:HL145" si="3684">FD$126</f>
        <v>34.119999999999997</v>
      </c>
      <c r="FE138" s="138">
        <f t="shared" ref="FE138:FE145" si="3685">FC138*FD138</f>
        <v>54.983260000000001</v>
      </c>
      <c r="FF138" s="110">
        <f t="shared" ref="FF138:FF145" si="3686">FE138*EZ138</f>
        <v>24357.58</v>
      </c>
      <c r="FG138" s="110"/>
      <c r="FH138" s="139"/>
      <c r="FI138" s="140">
        <f t="shared" ref="FI138:FI145" si="3687">FE138/$LI138</f>
        <v>0.88624000000000003</v>
      </c>
      <c r="FJ138" s="198">
        <f t="shared" si="3680"/>
        <v>508</v>
      </c>
      <c r="FK138" s="225">
        <f t="shared" ref="FK138:FK145" si="3688">FJ138/FJ$126</f>
        <v>0.49706</v>
      </c>
      <c r="FL138" s="226">
        <f t="shared" ref="FL138:FL145" si="3689">FL$126*FK138</f>
        <v>854.94</v>
      </c>
      <c r="FM138" s="137">
        <f t="shared" ref="FM138:FM145" si="3690">IF(FJ138&gt;0,FL138/FJ138,0)</f>
        <v>1.68295276</v>
      </c>
      <c r="FN138" s="227">
        <f t="shared" si="3684"/>
        <v>18.39</v>
      </c>
      <c r="FO138" s="138">
        <f t="shared" ref="FO138:FO145" si="3691">FM138*FN138</f>
        <v>30.9495</v>
      </c>
      <c r="FP138" s="110">
        <f t="shared" ref="FP138:FP145" si="3692">FO138*FJ138</f>
        <v>15722.35</v>
      </c>
      <c r="FQ138" s="110"/>
      <c r="FR138" s="139"/>
      <c r="FS138" s="140">
        <f t="shared" ref="FS138:FS145" si="3693">FO138/$LI138</f>
        <v>0.49886000000000003</v>
      </c>
      <c r="FT138" s="198">
        <f t="shared" si="3680"/>
        <v>377</v>
      </c>
      <c r="FU138" s="225">
        <f t="shared" ref="FU138:FU145" si="3694">FT138/FT$126</f>
        <v>0.46949000000000002</v>
      </c>
      <c r="FV138" s="226">
        <f t="shared" ref="FV138:FV145" si="3695">FV$126*FU138</f>
        <v>668.55</v>
      </c>
      <c r="FW138" s="137">
        <f t="shared" ref="FW138:FW145" si="3696">IF(FT138&gt;0,FV138/FT138,0)</f>
        <v>1.77334218</v>
      </c>
      <c r="FX138" s="227">
        <f t="shared" si="3684"/>
        <v>32.619999999999997</v>
      </c>
      <c r="FY138" s="138">
        <f t="shared" ref="FY138:FY145" si="3697">FW138*FX138</f>
        <v>57.846420000000002</v>
      </c>
      <c r="FZ138" s="110">
        <f t="shared" ref="FZ138:FZ145" si="3698">FY138*FT138</f>
        <v>21808.1</v>
      </c>
      <c r="GA138" s="110"/>
      <c r="GB138" s="139"/>
      <c r="GC138" s="140">
        <f t="shared" ref="GC138:GC145" si="3699">FY138/$LI138</f>
        <v>0.93239000000000005</v>
      </c>
      <c r="GD138" s="198">
        <f t="shared" si="3680"/>
        <v>244</v>
      </c>
      <c r="GE138" s="225">
        <f t="shared" ref="GE138:GE145" si="3700">GD138/GD$126</f>
        <v>0.47655999999999998</v>
      </c>
      <c r="GF138" s="226">
        <f t="shared" ref="GF138:GF145" si="3701">GF$126*GE138</f>
        <v>409.84</v>
      </c>
      <c r="GG138" s="137">
        <f t="shared" ref="GG138:GG145" si="3702">IF(GD138&gt;0,GF138/GD138,0)</f>
        <v>1.6796721299999999</v>
      </c>
      <c r="GH138" s="227">
        <f t="shared" si="3684"/>
        <v>33.28</v>
      </c>
      <c r="GI138" s="138">
        <f t="shared" ref="GI138:GI145" si="3703">GG138*GH138</f>
        <v>55.89949</v>
      </c>
      <c r="GJ138" s="110">
        <f t="shared" ref="GJ138:GJ145" si="3704">GI138*GD138</f>
        <v>13639.48</v>
      </c>
      <c r="GK138" s="110"/>
      <c r="GL138" s="139"/>
      <c r="GM138" s="140">
        <f t="shared" ref="GM138:GM145" si="3705">GI138/$LI138</f>
        <v>0.90100999999999998</v>
      </c>
      <c r="GN138" s="198">
        <f t="shared" si="3680"/>
        <v>413</v>
      </c>
      <c r="GO138" s="225">
        <f t="shared" ref="GO138:GO145" si="3706">GN138/GN$126</f>
        <v>0.47800999999999999</v>
      </c>
      <c r="GP138" s="226">
        <f t="shared" ref="GP138:GP145" si="3707">GP$126*GO138</f>
        <v>1314.53</v>
      </c>
      <c r="GQ138" s="137">
        <f t="shared" ref="GQ138:GQ145" si="3708">IF(GN138&gt;0,GP138/GN138,0)</f>
        <v>3.1828813600000001</v>
      </c>
      <c r="GR138" s="227">
        <f t="shared" si="3684"/>
        <v>30.78</v>
      </c>
      <c r="GS138" s="138">
        <f t="shared" ref="GS138:GS145" si="3709">GQ138*GR138</f>
        <v>97.969089999999994</v>
      </c>
      <c r="GT138" s="110">
        <f t="shared" ref="GT138:GT145" si="3710">GS138*GN138</f>
        <v>40461.230000000003</v>
      </c>
      <c r="GU138" s="110"/>
      <c r="GV138" s="139"/>
      <c r="GW138" s="140">
        <f t="shared" ref="GW138:GW145" si="3711">GS138/$LI138</f>
        <v>1.57911</v>
      </c>
      <c r="GX138" s="198">
        <f t="shared" si="3680"/>
        <v>742</v>
      </c>
      <c r="GY138" s="225">
        <f t="shared" ref="GY138:GY145" si="3712">GX138/GX$126</f>
        <v>0.45773999999999998</v>
      </c>
      <c r="GZ138" s="226">
        <f t="shared" ref="GZ138:GZ145" si="3713">GZ$126*GY138</f>
        <v>2038.32</v>
      </c>
      <c r="HA138" s="137">
        <f t="shared" ref="HA138:HA145" si="3714">IF(GX138&gt;0,GZ138/GX138,0)</f>
        <v>2.7470619900000002</v>
      </c>
      <c r="HB138" s="227">
        <f t="shared" si="3684"/>
        <v>21.23</v>
      </c>
      <c r="HC138" s="138">
        <f t="shared" ref="HC138:HC145" si="3715">HA138*HB138</f>
        <v>58.320129999999999</v>
      </c>
      <c r="HD138" s="110">
        <f t="shared" ref="HD138:HD145" si="3716">HC138*GX138</f>
        <v>43273.54</v>
      </c>
      <c r="HE138" s="110"/>
      <c r="HF138" s="139"/>
      <c r="HG138" s="140">
        <f t="shared" ref="HG138:HG145" si="3717">HC138/$LI138</f>
        <v>0.94003000000000003</v>
      </c>
      <c r="HH138" s="198">
        <f t="shared" si="3680"/>
        <v>536</v>
      </c>
      <c r="HI138" s="225">
        <f t="shared" ref="HI138:HI145" si="3718">HH138/HH$126</f>
        <v>0.46528000000000003</v>
      </c>
      <c r="HJ138" s="226">
        <f t="shared" ref="HJ138:HJ145" si="3719">HJ$126*HI138</f>
        <v>1549.38</v>
      </c>
      <c r="HK138" s="137">
        <f t="shared" ref="HK138:HK145" si="3720">IF(HH138&gt;0,HJ138/HH138,0)</f>
        <v>2.8906343300000001</v>
      </c>
      <c r="HL138" s="227">
        <f t="shared" si="3684"/>
        <v>28.23</v>
      </c>
      <c r="HM138" s="138">
        <f t="shared" ref="HM138:HM145" si="3721">HK138*HL138</f>
        <v>81.602609999999999</v>
      </c>
      <c r="HN138" s="110">
        <f t="shared" ref="HN138:HN145" si="3722">HM138*HH138</f>
        <v>43739</v>
      </c>
      <c r="HO138" s="110"/>
      <c r="HP138" s="139"/>
      <c r="HQ138" s="140">
        <f t="shared" ref="HQ138:HQ145" si="3723">HM138/$LI138</f>
        <v>1.31531</v>
      </c>
      <c r="HR138" s="198">
        <f t="shared" ref="HR138:JZ145" si="3724">HR22</f>
        <v>396</v>
      </c>
      <c r="HS138" s="225">
        <f t="shared" ref="HS138:HS145" si="3725">HR138/HR$126</f>
        <v>0.50253999999999999</v>
      </c>
      <c r="HT138" s="226">
        <f t="shared" ref="HT138:HT145" si="3726">HT$126*HS138</f>
        <v>452.29</v>
      </c>
      <c r="HU138" s="137">
        <f t="shared" ref="HU138:HU145" si="3727">IF(HR138&gt;0,HT138/HR138,0)</f>
        <v>1.14214646</v>
      </c>
      <c r="HV138" s="227">
        <f t="shared" ref="HV138:KD145" si="3728">HV$126</f>
        <v>31.27</v>
      </c>
      <c r="HW138" s="138">
        <f t="shared" ref="HW138:HW145" si="3729">HU138*HV138</f>
        <v>35.714919999999999</v>
      </c>
      <c r="HX138" s="110">
        <f t="shared" ref="HX138:HX145" si="3730">HW138*HR138</f>
        <v>14143.11</v>
      </c>
      <c r="HY138" s="110"/>
      <c r="HZ138" s="139"/>
      <c r="IA138" s="140">
        <f t="shared" ref="IA138:IA145" si="3731">HW138/$LI138</f>
        <v>0.57567000000000002</v>
      </c>
      <c r="IB138" s="198">
        <f t="shared" si="3724"/>
        <v>242</v>
      </c>
      <c r="IC138" s="225">
        <f t="shared" ref="IC138:IC145" si="3732">IB138/IB$126</f>
        <v>0.44161</v>
      </c>
      <c r="ID138" s="226">
        <f t="shared" ref="ID138:ID145" si="3733">ID$126*IC138</f>
        <v>189.89</v>
      </c>
      <c r="IE138" s="137">
        <f t="shared" ref="IE138:IE145" si="3734">IF(IB138&gt;0,ID138/IB138,0)</f>
        <v>0.78466941999999995</v>
      </c>
      <c r="IF138" s="227">
        <f t="shared" si="3728"/>
        <v>28.65</v>
      </c>
      <c r="IG138" s="138">
        <f t="shared" ref="IG138:IG145" si="3735">IE138*IF138</f>
        <v>22.480779999999999</v>
      </c>
      <c r="IH138" s="110">
        <f t="shared" ref="IH138:IH145" si="3736">IG138*IB138</f>
        <v>5440.35</v>
      </c>
      <c r="II138" s="110"/>
      <c r="IJ138" s="139"/>
      <c r="IK138" s="140">
        <f t="shared" ref="IK138:IK145" si="3737">IG138/$LI138</f>
        <v>0.36235000000000001</v>
      </c>
      <c r="IL138" s="198">
        <f t="shared" si="3724"/>
        <v>584</v>
      </c>
      <c r="IM138" s="225">
        <f t="shared" ref="IM138:IM145" si="3738">IL138/IL$126</f>
        <v>0.46166000000000001</v>
      </c>
      <c r="IN138" s="226">
        <f t="shared" ref="IN138:IN145" si="3739">IN$126*IM138</f>
        <v>1358.2</v>
      </c>
      <c r="IO138" s="137">
        <f t="shared" ref="IO138:IO145" si="3740">IF(IL138&gt;0,IN138/IL138,0)</f>
        <v>2.32568493</v>
      </c>
      <c r="IP138" s="227">
        <f t="shared" si="3728"/>
        <v>33.04</v>
      </c>
      <c r="IQ138" s="138">
        <f t="shared" ref="IQ138:IQ145" si="3741">IO138*IP138</f>
        <v>76.840630000000004</v>
      </c>
      <c r="IR138" s="110">
        <f t="shared" ref="IR138:IR145" si="3742">IQ138*IL138</f>
        <v>44874.93</v>
      </c>
      <c r="IS138" s="110"/>
      <c r="IT138" s="139"/>
      <c r="IU138" s="140">
        <f t="shared" ref="IU138:IU145" si="3743">IQ138/$LI138</f>
        <v>1.23855</v>
      </c>
      <c r="IV138" s="198">
        <f t="shared" si="3724"/>
        <v>404</v>
      </c>
      <c r="IW138" s="225">
        <f t="shared" ref="IW138:IW145" si="3744">IV138/IV$126</f>
        <v>0.52398999999999996</v>
      </c>
      <c r="IX138" s="226">
        <f t="shared" ref="IX138:IX145" si="3745">IX$126*IW138</f>
        <v>838.38</v>
      </c>
      <c r="IY138" s="137">
        <f t="shared" ref="IY138:IY145" si="3746">IF(IV138&gt;0,IX138/IV138,0)</f>
        <v>2.0751980200000002</v>
      </c>
      <c r="IZ138" s="227">
        <f t="shared" si="3728"/>
        <v>33.36</v>
      </c>
      <c r="JA138" s="138">
        <f t="shared" ref="JA138:JA145" si="3747">IY138*IZ138</f>
        <v>69.228610000000003</v>
      </c>
      <c r="JB138" s="110">
        <f t="shared" ref="JB138:JB145" si="3748">JA138*IV138</f>
        <v>27968.36</v>
      </c>
      <c r="JC138" s="110"/>
      <c r="JD138" s="139"/>
      <c r="JE138" s="140">
        <f t="shared" ref="JE138:JE145" si="3749">JA138/$LI138</f>
        <v>1.1158600000000001</v>
      </c>
      <c r="JF138" s="198">
        <f t="shared" si="3724"/>
        <v>617</v>
      </c>
      <c r="JG138" s="225">
        <f t="shared" ref="JG138:JG145" si="3750">JF138/JF$126</f>
        <v>0.46010000000000001</v>
      </c>
      <c r="JH138" s="226">
        <f t="shared" ref="JH138:JH145" si="3751">JH$126*JG138</f>
        <v>1757.58</v>
      </c>
      <c r="JI138" s="137">
        <f t="shared" ref="JI138:JI145" si="3752">IF(JF138&gt;0,JH138/JF138,0)</f>
        <v>2.84858995</v>
      </c>
      <c r="JJ138" s="227">
        <f t="shared" si="3728"/>
        <v>21.96</v>
      </c>
      <c r="JK138" s="138">
        <f t="shared" ref="JK138:JK145" si="3753">JI138*JJ138</f>
        <v>62.555039999999998</v>
      </c>
      <c r="JL138" s="110">
        <f t="shared" ref="JL138:JL145" si="3754">JK138*JF138</f>
        <v>38596.46</v>
      </c>
      <c r="JM138" s="110"/>
      <c r="JN138" s="139"/>
      <c r="JO138" s="140">
        <f t="shared" ref="JO138:JO145" si="3755">JK138/$LI138</f>
        <v>1.0082899999999999</v>
      </c>
      <c r="JP138" s="198">
        <f t="shared" si="3724"/>
        <v>581</v>
      </c>
      <c r="JQ138" s="225">
        <f t="shared" ref="JQ138:JQ145" si="3756">JP138/JP$126</f>
        <v>0.46516999999999997</v>
      </c>
      <c r="JR138" s="226">
        <f t="shared" ref="JR138:JR145" si="3757">JR$126*JQ138</f>
        <v>1767.65</v>
      </c>
      <c r="JS138" s="137">
        <f t="shared" ref="JS138:JS145" si="3758">IF(JP138&gt;0,JR138/JP138,0)</f>
        <v>3.04242685</v>
      </c>
      <c r="JT138" s="227">
        <f t="shared" si="3728"/>
        <v>35.700000000000003</v>
      </c>
      <c r="JU138" s="138">
        <f t="shared" ref="JU138:JU145" si="3759">JS138*JT138</f>
        <v>108.61463999999999</v>
      </c>
      <c r="JV138" s="110">
        <f t="shared" ref="JV138:JV145" si="3760">JU138*JP138</f>
        <v>63105.11</v>
      </c>
      <c r="JW138" s="110"/>
      <c r="JX138" s="139"/>
      <c r="JY138" s="140">
        <f t="shared" ref="JY138:JY145" si="3761">JU138/$LI138</f>
        <v>1.7506999999999999</v>
      </c>
      <c r="JZ138" s="198">
        <f t="shared" si="3724"/>
        <v>520</v>
      </c>
      <c r="KA138" s="225">
        <f t="shared" ref="KA138:KA145" si="3762">JZ138/JZ$126</f>
        <v>0.44712000000000002</v>
      </c>
      <c r="KB138" s="226">
        <f t="shared" ref="KB138:KB145" si="3763">KB$126*KA138</f>
        <v>1189.3399999999999</v>
      </c>
      <c r="KC138" s="137">
        <f t="shared" ref="KC138:KC145" si="3764">IF(JZ138&gt;0,KB138/JZ138,0)</f>
        <v>2.28719231</v>
      </c>
      <c r="KD138" s="227">
        <f t="shared" si="3728"/>
        <v>30.3</v>
      </c>
      <c r="KE138" s="138">
        <f t="shared" ref="KE138:KE145" si="3765">KC138*KD138</f>
        <v>69.301929999999999</v>
      </c>
      <c r="KF138" s="110">
        <f t="shared" ref="KF138:KF145" si="3766">KE138*JZ138</f>
        <v>36037</v>
      </c>
      <c r="KG138" s="110"/>
      <c r="KH138" s="139"/>
      <c r="KI138" s="140">
        <f t="shared" ref="KI138:KI145" si="3767">KE138/$LI138</f>
        <v>1.11704</v>
      </c>
      <c r="KJ138" s="198">
        <f t="shared" ref="KJ138:KT145" si="3768">KJ22</f>
        <v>595</v>
      </c>
      <c r="KK138" s="225">
        <f t="shared" ref="KK138:KK145" si="3769">KJ138/KJ$126</f>
        <v>0.44369999999999998</v>
      </c>
      <c r="KL138" s="226">
        <f t="shared" ref="KL138:KL145" si="3770">KL$126*KK138</f>
        <v>1177.1400000000001</v>
      </c>
      <c r="KM138" s="137">
        <f t="shared" ref="KM138:KM145" si="3771">IF(KJ138&gt;0,KL138/KJ138,0)</f>
        <v>1.97838655</v>
      </c>
      <c r="KN138" s="227">
        <f t="shared" ref="KN138:KX145" si="3772">KN$126</f>
        <v>30.43</v>
      </c>
      <c r="KO138" s="138">
        <f t="shared" ref="KO138:KO145" si="3773">KM138*KN138</f>
        <v>60.202300000000001</v>
      </c>
      <c r="KP138" s="110">
        <f t="shared" ref="KP138:KP145" si="3774">KO138*KJ138</f>
        <v>35820.370000000003</v>
      </c>
      <c r="KQ138" s="110"/>
      <c r="KR138" s="139"/>
      <c r="KS138" s="140">
        <f t="shared" ref="KS138:KS145" si="3775">KO138/$LI138</f>
        <v>0.97036999999999995</v>
      </c>
      <c r="KT138" s="198">
        <f t="shared" si="3768"/>
        <v>509</v>
      </c>
      <c r="KU138" s="225">
        <f t="shared" ref="KU138:KU145" si="3776">KT138/KT$126</f>
        <v>0.45284999999999997</v>
      </c>
      <c r="KV138" s="226">
        <f t="shared" ref="KV138:KV145" si="3777">KV$126*KU138</f>
        <v>2866.54</v>
      </c>
      <c r="KW138" s="137">
        <f t="shared" ref="KW138:KW145" si="3778">IF(KT138&gt;0,KV138/KT138,0)</f>
        <v>5.6317092300000002</v>
      </c>
      <c r="KX138" s="227">
        <f t="shared" si="3772"/>
        <v>34.299999999999997</v>
      </c>
      <c r="KY138" s="138">
        <f t="shared" ref="KY138:KY145" si="3779">KW138*KX138</f>
        <v>193.16763</v>
      </c>
      <c r="KZ138" s="110">
        <f t="shared" ref="KZ138:KZ145" si="3780">KY138*KT138</f>
        <v>98322.32</v>
      </c>
      <c r="LA138" s="110"/>
      <c r="LB138" s="139"/>
      <c r="LC138" s="140">
        <f t="shared" ref="LC138:LC145" si="3781">KY138/$LI138</f>
        <v>3.1135600000000001</v>
      </c>
      <c r="LD138" s="197">
        <f t="shared" si="3581"/>
        <v>13279</v>
      </c>
      <c r="LE138" s="225">
        <f t="shared" si="3582"/>
        <v>0.46521000000000001</v>
      </c>
      <c r="LF138" s="226">
        <f t="shared" si="3583"/>
        <v>28516.44</v>
      </c>
      <c r="LG138" s="137">
        <f t="shared" si="3584"/>
        <v>2.1474839999999999</v>
      </c>
      <c r="LH138" s="227">
        <f t="shared" si="3585"/>
        <v>28.89</v>
      </c>
      <c r="LI138" s="138">
        <f t="shared" si="3586"/>
        <v>62.04081</v>
      </c>
      <c r="LJ138" s="110">
        <f t="shared" si="3587"/>
        <v>823839.92</v>
      </c>
      <c r="LK138" s="110"/>
      <c r="LL138" s="139"/>
    </row>
    <row r="139" spans="1:324" ht="16.5" hidden="1" customHeight="1" x14ac:dyDescent="0.25">
      <c r="A139" s="246"/>
      <c r="B139" s="93" t="s">
        <v>610</v>
      </c>
      <c r="C139" s="12" t="s">
        <v>727</v>
      </c>
      <c r="D139" s="12" t="s">
        <v>427</v>
      </c>
      <c r="E139" s="4" t="s">
        <v>32</v>
      </c>
      <c r="F139" s="198">
        <f t="shared" si="3591"/>
        <v>0</v>
      </c>
      <c r="G139" s="225">
        <f t="shared" si="3588"/>
        <v>0</v>
      </c>
      <c r="H139" s="226">
        <f t="shared" si="3589"/>
        <v>0</v>
      </c>
      <c r="I139" s="137">
        <f t="shared" si="3362"/>
        <v>0</v>
      </c>
      <c r="J139" s="227">
        <f t="shared" si="3590"/>
        <v>19.559999999999999</v>
      </c>
      <c r="K139" s="138">
        <f t="shared" si="3363"/>
        <v>0</v>
      </c>
      <c r="L139" s="110">
        <f t="shared" si="3364"/>
        <v>0</v>
      </c>
      <c r="M139" s="110"/>
      <c r="N139" s="139"/>
      <c r="O139" s="140" t="e">
        <f t="shared" si="3365"/>
        <v>#DIV/0!</v>
      </c>
      <c r="P139" s="198">
        <f t="shared" si="3592"/>
        <v>0</v>
      </c>
      <c r="Q139" s="225">
        <f t="shared" si="3593"/>
        <v>0</v>
      </c>
      <c r="R139" s="226">
        <f t="shared" si="3594"/>
        <v>0</v>
      </c>
      <c r="S139" s="137">
        <f t="shared" si="3595"/>
        <v>0</v>
      </c>
      <c r="T139" s="227">
        <f t="shared" si="3596"/>
        <v>14.76</v>
      </c>
      <c r="U139" s="138">
        <f t="shared" si="3597"/>
        <v>0</v>
      </c>
      <c r="V139" s="110">
        <f t="shared" si="3598"/>
        <v>0</v>
      </c>
      <c r="W139" s="110"/>
      <c r="X139" s="139"/>
      <c r="Y139" s="140" t="e">
        <f t="shared" si="3599"/>
        <v>#DIV/0!</v>
      </c>
      <c r="Z139" s="198">
        <f t="shared" si="3592"/>
        <v>0</v>
      </c>
      <c r="AA139" s="225">
        <f t="shared" si="3600"/>
        <v>0</v>
      </c>
      <c r="AB139" s="226">
        <f t="shared" si="3601"/>
        <v>0</v>
      </c>
      <c r="AC139" s="137">
        <f t="shared" si="3602"/>
        <v>0</v>
      </c>
      <c r="AD139" s="227">
        <f t="shared" si="3596"/>
        <v>33.520000000000003</v>
      </c>
      <c r="AE139" s="138">
        <f t="shared" si="3603"/>
        <v>0</v>
      </c>
      <c r="AF139" s="110">
        <f t="shared" si="3604"/>
        <v>0</v>
      </c>
      <c r="AG139" s="110"/>
      <c r="AH139" s="139"/>
      <c r="AI139" s="140" t="e">
        <f t="shared" si="3605"/>
        <v>#DIV/0!</v>
      </c>
      <c r="AJ139" s="198">
        <f t="shared" si="3592"/>
        <v>0</v>
      </c>
      <c r="AK139" s="225">
        <f t="shared" si="3606"/>
        <v>0</v>
      </c>
      <c r="AL139" s="226">
        <f t="shared" si="3607"/>
        <v>0</v>
      </c>
      <c r="AM139" s="137">
        <f t="shared" si="3608"/>
        <v>0</v>
      </c>
      <c r="AN139" s="227">
        <f t="shared" si="3596"/>
        <v>33.07</v>
      </c>
      <c r="AO139" s="138">
        <f t="shared" si="3609"/>
        <v>0</v>
      </c>
      <c r="AP139" s="110">
        <f t="shared" si="3610"/>
        <v>0</v>
      </c>
      <c r="AQ139" s="110"/>
      <c r="AR139" s="139"/>
      <c r="AS139" s="140" t="e">
        <f t="shared" si="3611"/>
        <v>#DIV/0!</v>
      </c>
      <c r="AT139" s="198">
        <f t="shared" si="3592"/>
        <v>0</v>
      </c>
      <c r="AU139" s="225">
        <f t="shared" si="3612"/>
        <v>0</v>
      </c>
      <c r="AV139" s="226">
        <f t="shared" si="3613"/>
        <v>0</v>
      </c>
      <c r="AW139" s="137">
        <f t="shared" si="3614"/>
        <v>0</v>
      </c>
      <c r="AX139" s="227">
        <f t="shared" si="3596"/>
        <v>28.2</v>
      </c>
      <c r="AY139" s="138">
        <f t="shared" si="3615"/>
        <v>0</v>
      </c>
      <c r="AZ139" s="110">
        <f t="shared" si="3616"/>
        <v>0</v>
      </c>
      <c r="BA139" s="110"/>
      <c r="BB139" s="139"/>
      <c r="BC139" s="140" t="e">
        <f t="shared" si="3617"/>
        <v>#DIV/0!</v>
      </c>
      <c r="BD139" s="198">
        <f t="shared" si="3592"/>
        <v>0</v>
      </c>
      <c r="BE139" s="225">
        <f t="shared" si="3618"/>
        <v>0</v>
      </c>
      <c r="BF139" s="226">
        <f t="shared" si="3619"/>
        <v>0</v>
      </c>
      <c r="BG139" s="137">
        <f t="shared" si="3620"/>
        <v>0</v>
      </c>
      <c r="BH139" s="227">
        <f t="shared" si="3596"/>
        <v>33.75</v>
      </c>
      <c r="BI139" s="138">
        <f t="shared" si="3621"/>
        <v>0</v>
      </c>
      <c r="BJ139" s="110">
        <f t="shared" si="3622"/>
        <v>0</v>
      </c>
      <c r="BK139" s="110"/>
      <c r="BL139" s="139"/>
      <c r="BM139" s="140" t="e">
        <f t="shared" si="3623"/>
        <v>#DIV/0!</v>
      </c>
      <c r="BN139" s="198">
        <f t="shared" si="3592"/>
        <v>0</v>
      </c>
      <c r="BO139" s="225">
        <f t="shared" si="3624"/>
        <v>0</v>
      </c>
      <c r="BP139" s="226">
        <f t="shared" si="3625"/>
        <v>0</v>
      </c>
      <c r="BQ139" s="137">
        <f t="shared" si="3626"/>
        <v>0</v>
      </c>
      <c r="BR139" s="227">
        <f t="shared" si="3596"/>
        <v>32.79</v>
      </c>
      <c r="BS139" s="138">
        <f t="shared" si="3627"/>
        <v>0</v>
      </c>
      <c r="BT139" s="110">
        <f t="shared" si="3628"/>
        <v>0</v>
      </c>
      <c r="BU139" s="110"/>
      <c r="BV139" s="139"/>
      <c r="BW139" s="140" t="e">
        <f t="shared" si="3629"/>
        <v>#DIV/0!</v>
      </c>
      <c r="BX139" s="198">
        <f t="shared" si="3592"/>
        <v>0</v>
      </c>
      <c r="BY139" s="225">
        <f t="shared" si="3630"/>
        <v>0</v>
      </c>
      <c r="BZ139" s="226">
        <f t="shared" si="3631"/>
        <v>0</v>
      </c>
      <c r="CA139" s="137">
        <f t="shared" si="3632"/>
        <v>0</v>
      </c>
      <c r="CB139" s="227">
        <f t="shared" si="3596"/>
        <v>30.39</v>
      </c>
      <c r="CC139" s="138">
        <f t="shared" si="3633"/>
        <v>0</v>
      </c>
      <c r="CD139" s="110">
        <f t="shared" si="3634"/>
        <v>0</v>
      </c>
      <c r="CE139" s="110"/>
      <c r="CF139" s="139"/>
      <c r="CG139" s="140" t="e">
        <f t="shared" si="3635"/>
        <v>#DIV/0!</v>
      </c>
      <c r="CH139" s="198">
        <f t="shared" si="3636"/>
        <v>0</v>
      </c>
      <c r="CI139" s="225">
        <f t="shared" si="3637"/>
        <v>0</v>
      </c>
      <c r="CJ139" s="226">
        <f t="shared" si="3638"/>
        <v>0</v>
      </c>
      <c r="CK139" s="137">
        <f t="shared" si="3639"/>
        <v>0</v>
      </c>
      <c r="CL139" s="227">
        <f t="shared" si="3640"/>
        <v>25.57</v>
      </c>
      <c r="CM139" s="138">
        <f t="shared" si="3641"/>
        <v>0</v>
      </c>
      <c r="CN139" s="110">
        <f t="shared" si="3642"/>
        <v>0</v>
      </c>
      <c r="CO139" s="110"/>
      <c r="CP139" s="139"/>
      <c r="CQ139" s="140" t="e">
        <f t="shared" si="3643"/>
        <v>#DIV/0!</v>
      </c>
      <c r="CR139" s="198">
        <f t="shared" si="3636"/>
        <v>0</v>
      </c>
      <c r="CS139" s="225">
        <f t="shared" si="3644"/>
        <v>0</v>
      </c>
      <c r="CT139" s="226">
        <f t="shared" si="3645"/>
        <v>0</v>
      </c>
      <c r="CU139" s="137">
        <f t="shared" si="3646"/>
        <v>0</v>
      </c>
      <c r="CV139" s="227">
        <f t="shared" si="3640"/>
        <v>28.26</v>
      </c>
      <c r="CW139" s="138">
        <f t="shared" si="3647"/>
        <v>0</v>
      </c>
      <c r="CX139" s="110">
        <f t="shared" si="3648"/>
        <v>0</v>
      </c>
      <c r="CY139" s="110"/>
      <c r="CZ139" s="139"/>
      <c r="DA139" s="140" t="e">
        <f t="shared" si="3649"/>
        <v>#DIV/0!</v>
      </c>
      <c r="DB139" s="198">
        <f t="shared" si="3636"/>
        <v>0</v>
      </c>
      <c r="DC139" s="225">
        <f t="shared" si="3650"/>
        <v>0</v>
      </c>
      <c r="DD139" s="226">
        <f t="shared" si="3651"/>
        <v>0</v>
      </c>
      <c r="DE139" s="137">
        <f t="shared" si="3652"/>
        <v>0</v>
      </c>
      <c r="DF139" s="227">
        <f t="shared" si="3640"/>
        <v>31.22</v>
      </c>
      <c r="DG139" s="138">
        <f t="shared" si="3653"/>
        <v>0</v>
      </c>
      <c r="DH139" s="110">
        <f t="shared" si="3654"/>
        <v>0</v>
      </c>
      <c r="DI139" s="110"/>
      <c r="DJ139" s="139"/>
      <c r="DK139" s="140" t="e">
        <f t="shared" si="3655"/>
        <v>#DIV/0!</v>
      </c>
      <c r="DL139" s="198">
        <f t="shared" si="3636"/>
        <v>0</v>
      </c>
      <c r="DM139" s="225">
        <f t="shared" si="3656"/>
        <v>0</v>
      </c>
      <c r="DN139" s="226">
        <f t="shared" si="3657"/>
        <v>0</v>
      </c>
      <c r="DO139" s="137">
        <f t="shared" si="3658"/>
        <v>0</v>
      </c>
      <c r="DP139" s="227">
        <f t="shared" si="3640"/>
        <v>33.9</v>
      </c>
      <c r="DQ139" s="138">
        <f t="shared" si="3659"/>
        <v>0</v>
      </c>
      <c r="DR139" s="110">
        <f t="shared" si="3660"/>
        <v>0</v>
      </c>
      <c r="DS139" s="110"/>
      <c r="DT139" s="139"/>
      <c r="DU139" s="140" t="e">
        <f t="shared" si="3661"/>
        <v>#DIV/0!</v>
      </c>
      <c r="DV139" s="198">
        <f t="shared" si="3636"/>
        <v>0</v>
      </c>
      <c r="DW139" s="225">
        <f t="shared" si="3662"/>
        <v>0</v>
      </c>
      <c r="DX139" s="226">
        <f t="shared" si="3663"/>
        <v>0</v>
      </c>
      <c r="DY139" s="137">
        <f t="shared" si="3664"/>
        <v>0</v>
      </c>
      <c r="DZ139" s="227">
        <f t="shared" si="3640"/>
        <v>12.79</v>
      </c>
      <c r="EA139" s="138">
        <f t="shared" si="3665"/>
        <v>0</v>
      </c>
      <c r="EB139" s="110">
        <f t="shared" si="3666"/>
        <v>0</v>
      </c>
      <c r="EC139" s="110"/>
      <c r="ED139" s="139"/>
      <c r="EE139" s="140" t="e">
        <f t="shared" si="3667"/>
        <v>#DIV/0!</v>
      </c>
      <c r="EF139" s="198">
        <f t="shared" si="3636"/>
        <v>0</v>
      </c>
      <c r="EG139" s="225">
        <f t="shared" si="3668"/>
        <v>0</v>
      </c>
      <c r="EH139" s="226">
        <f t="shared" si="3669"/>
        <v>0</v>
      </c>
      <c r="EI139" s="137">
        <f t="shared" si="3670"/>
        <v>0</v>
      </c>
      <c r="EJ139" s="227">
        <f t="shared" si="3640"/>
        <v>23.18</v>
      </c>
      <c r="EK139" s="138">
        <f t="shared" si="3671"/>
        <v>0</v>
      </c>
      <c r="EL139" s="110">
        <f t="shared" si="3672"/>
        <v>0</v>
      </c>
      <c r="EM139" s="110"/>
      <c r="EN139" s="139"/>
      <c r="EO139" s="140" t="e">
        <f t="shared" si="3673"/>
        <v>#DIV/0!</v>
      </c>
      <c r="EP139" s="198">
        <f t="shared" si="3636"/>
        <v>0</v>
      </c>
      <c r="EQ139" s="225">
        <f t="shared" si="3674"/>
        <v>0</v>
      </c>
      <c r="ER139" s="226">
        <f t="shared" si="3675"/>
        <v>0</v>
      </c>
      <c r="ES139" s="137">
        <f t="shared" si="3676"/>
        <v>0</v>
      </c>
      <c r="ET139" s="227">
        <f t="shared" si="3640"/>
        <v>30.66</v>
      </c>
      <c r="EU139" s="138">
        <f t="shared" si="3677"/>
        <v>0</v>
      </c>
      <c r="EV139" s="110">
        <f t="shared" si="3678"/>
        <v>0</v>
      </c>
      <c r="EW139" s="110"/>
      <c r="EX139" s="139"/>
      <c r="EY139" s="140" t="e">
        <f t="shared" si="3679"/>
        <v>#DIV/0!</v>
      </c>
      <c r="EZ139" s="198">
        <f t="shared" si="3680"/>
        <v>0</v>
      </c>
      <c r="FA139" s="225">
        <f t="shared" si="3681"/>
        <v>0</v>
      </c>
      <c r="FB139" s="226">
        <f t="shared" si="3682"/>
        <v>0</v>
      </c>
      <c r="FC139" s="137">
        <f t="shared" si="3683"/>
        <v>0</v>
      </c>
      <c r="FD139" s="227">
        <f t="shared" si="3684"/>
        <v>34.119999999999997</v>
      </c>
      <c r="FE139" s="138">
        <f t="shared" si="3685"/>
        <v>0</v>
      </c>
      <c r="FF139" s="110">
        <f t="shared" si="3686"/>
        <v>0</v>
      </c>
      <c r="FG139" s="110"/>
      <c r="FH139" s="139"/>
      <c r="FI139" s="140" t="e">
        <f t="shared" si="3687"/>
        <v>#DIV/0!</v>
      </c>
      <c r="FJ139" s="198">
        <f t="shared" si="3680"/>
        <v>0</v>
      </c>
      <c r="FK139" s="225">
        <f t="shared" si="3688"/>
        <v>0</v>
      </c>
      <c r="FL139" s="226">
        <f t="shared" si="3689"/>
        <v>0</v>
      </c>
      <c r="FM139" s="137">
        <f t="shared" si="3690"/>
        <v>0</v>
      </c>
      <c r="FN139" s="227">
        <f t="shared" si="3684"/>
        <v>18.39</v>
      </c>
      <c r="FO139" s="138">
        <f t="shared" si="3691"/>
        <v>0</v>
      </c>
      <c r="FP139" s="110">
        <f t="shared" si="3692"/>
        <v>0</v>
      </c>
      <c r="FQ139" s="110"/>
      <c r="FR139" s="139"/>
      <c r="FS139" s="140" t="e">
        <f t="shared" si="3693"/>
        <v>#DIV/0!</v>
      </c>
      <c r="FT139" s="198">
        <f t="shared" si="3680"/>
        <v>0</v>
      </c>
      <c r="FU139" s="225">
        <f t="shared" si="3694"/>
        <v>0</v>
      </c>
      <c r="FV139" s="226">
        <f t="shared" si="3695"/>
        <v>0</v>
      </c>
      <c r="FW139" s="137">
        <f t="shared" si="3696"/>
        <v>0</v>
      </c>
      <c r="FX139" s="227">
        <f t="shared" si="3684"/>
        <v>32.619999999999997</v>
      </c>
      <c r="FY139" s="138">
        <f t="shared" si="3697"/>
        <v>0</v>
      </c>
      <c r="FZ139" s="110">
        <f t="shared" si="3698"/>
        <v>0</v>
      </c>
      <c r="GA139" s="110"/>
      <c r="GB139" s="139"/>
      <c r="GC139" s="140" t="e">
        <f t="shared" si="3699"/>
        <v>#DIV/0!</v>
      </c>
      <c r="GD139" s="198">
        <f t="shared" si="3680"/>
        <v>0</v>
      </c>
      <c r="GE139" s="225">
        <f t="shared" si="3700"/>
        <v>0</v>
      </c>
      <c r="GF139" s="226">
        <f t="shared" si="3701"/>
        <v>0</v>
      </c>
      <c r="GG139" s="137">
        <f t="shared" si="3702"/>
        <v>0</v>
      </c>
      <c r="GH139" s="227">
        <f t="shared" si="3684"/>
        <v>33.28</v>
      </c>
      <c r="GI139" s="138">
        <f t="shared" si="3703"/>
        <v>0</v>
      </c>
      <c r="GJ139" s="110">
        <f t="shared" si="3704"/>
        <v>0</v>
      </c>
      <c r="GK139" s="110"/>
      <c r="GL139" s="139"/>
      <c r="GM139" s="140" t="e">
        <f t="shared" si="3705"/>
        <v>#DIV/0!</v>
      </c>
      <c r="GN139" s="198">
        <f t="shared" si="3680"/>
        <v>0</v>
      </c>
      <c r="GO139" s="225">
        <f t="shared" si="3706"/>
        <v>0</v>
      </c>
      <c r="GP139" s="226">
        <f t="shared" si="3707"/>
        <v>0</v>
      </c>
      <c r="GQ139" s="137">
        <f t="shared" si="3708"/>
        <v>0</v>
      </c>
      <c r="GR139" s="227">
        <f t="shared" si="3684"/>
        <v>30.78</v>
      </c>
      <c r="GS139" s="138">
        <f t="shared" si="3709"/>
        <v>0</v>
      </c>
      <c r="GT139" s="110">
        <f t="shared" si="3710"/>
        <v>0</v>
      </c>
      <c r="GU139" s="110"/>
      <c r="GV139" s="139"/>
      <c r="GW139" s="140" t="e">
        <f t="shared" si="3711"/>
        <v>#DIV/0!</v>
      </c>
      <c r="GX139" s="198">
        <f t="shared" si="3680"/>
        <v>0</v>
      </c>
      <c r="GY139" s="225">
        <f t="shared" si="3712"/>
        <v>0</v>
      </c>
      <c r="GZ139" s="226">
        <f t="shared" si="3713"/>
        <v>0</v>
      </c>
      <c r="HA139" s="137">
        <f t="shared" si="3714"/>
        <v>0</v>
      </c>
      <c r="HB139" s="227">
        <f t="shared" si="3684"/>
        <v>21.23</v>
      </c>
      <c r="HC139" s="138">
        <f t="shared" si="3715"/>
        <v>0</v>
      </c>
      <c r="HD139" s="110">
        <f t="shared" si="3716"/>
        <v>0</v>
      </c>
      <c r="HE139" s="110"/>
      <c r="HF139" s="139"/>
      <c r="HG139" s="140" t="e">
        <f t="shared" si="3717"/>
        <v>#DIV/0!</v>
      </c>
      <c r="HH139" s="198">
        <f t="shared" si="3680"/>
        <v>0</v>
      </c>
      <c r="HI139" s="225">
        <f t="shared" si="3718"/>
        <v>0</v>
      </c>
      <c r="HJ139" s="226">
        <f t="shared" si="3719"/>
        <v>0</v>
      </c>
      <c r="HK139" s="137">
        <f t="shared" si="3720"/>
        <v>0</v>
      </c>
      <c r="HL139" s="227">
        <f t="shared" si="3684"/>
        <v>28.23</v>
      </c>
      <c r="HM139" s="138">
        <f t="shared" si="3721"/>
        <v>0</v>
      </c>
      <c r="HN139" s="110">
        <f t="shared" si="3722"/>
        <v>0</v>
      </c>
      <c r="HO139" s="110"/>
      <c r="HP139" s="139"/>
      <c r="HQ139" s="140" t="e">
        <f t="shared" si="3723"/>
        <v>#DIV/0!</v>
      </c>
      <c r="HR139" s="198">
        <f t="shared" si="3724"/>
        <v>0</v>
      </c>
      <c r="HS139" s="225">
        <f t="shared" si="3725"/>
        <v>0</v>
      </c>
      <c r="HT139" s="226">
        <f t="shared" si="3726"/>
        <v>0</v>
      </c>
      <c r="HU139" s="137">
        <f t="shared" si="3727"/>
        <v>0</v>
      </c>
      <c r="HV139" s="227">
        <f t="shared" si="3728"/>
        <v>31.27</v>
      </c>
      <c r="HW139" s="138">
        <f t="shared" si="3729"/>
        <v>0</v>
      </c>
      <c r="HX139" s="110">
        <f t="shared" si="3730"/>
        <v>0</v>
      </c>
      <c r="HY139" s="110"/>
      <c r="HZ139" s="139"/>
      <c r="IA139" s="140" t="e">
        <f t="shared" si="3731"/>
        <v>#DIV/0!</v>
      </c>
      <c r="IB139" s="198">
        <f t="shared" si="3724"/>
        <v>0</v>
      </c>
      <c r="IC139" s="225">
        <f t="shared" si="3732"/>
        <v>0</v>
      </c>
      <c r="ID139" s="226">
        <f t="shared" si="3733"/>
        <v>0</v>
      </c>
      <c r="IE139" s="137">
        <f t="shared" si="3734"/>
        <v>0</v>
      </c>
      <c r="IF139" s="227">
        <f t="shared" si="3728"/>
        <v>28.65</v>
      </c>
      <c r="IG139" s="138">
        <f t="shared" si="3735"/>
        <v>0</v>
      </c>
      <c r="IH139" s="110">
        <f t="shared" si="3736"/>
        <v>0</v>
      </c>
      <c r="II139" s="110"/>
      <c r="IJ139" s="139"/>
      <c r="IK139" s="140" t="e">
        <f t="shared" si="3737"/>
        <v>#DIV/0!</v>
      </c>
      <c r="IL139" s="198">
        <f t="shared" si="3724"/>
        <v>0</v>
      </c>
      <c r="IM139" s="225">
        <f t="shared" si="3738"/>
        <v>0</v>
      </c>
      <c r="IN139" s="226">
        <f t="shared" si="3739"/>
        <v>0</v>
      </c>
      <c r="IO139" s="137">
        <f t="shared" si="3740"/>
        <v>0</v>
      </c>
      <c r="IP139" s="227">
        <f t="shared" si="3728"/>
        <v>33.04</v>
      </c>
      <c r="IQ139" s="138">
        <f t="shared" si="3741"/>
        <v>0</v>
      </c>
      <c r="IR139" s="110">
        <f t="shared" si="3742"/>
        <v>0</v>
      </c>
      <c r="IS139" s="110"/>
      <c r="IT139" s="139"/>
      <c r="IU139" s="140" t="e">
        <f t="shared" si="3743"/>
        <v>#DIV/0!</v>
      </c>
      <c r="IV139" s="198">
        <f t="shared" si="3724"/>
        <v>0</v>
      </c>
      <c r="IW139" s="225">
        <f t="shared" si="3744"/>
        <v>0</v>
      </c>
      <c r="IX139" s="226">
        <f t="shared" si="3745"/>
        <v>0</v>
      </c>
      <c r="IY139" s="137">
        <f t="shared" si="3746"/>
        <v>0</v>
      </c>
      <c r="IZ139" s="227">
        <f t="shared" si="3728"/>
        <v>33.36</v>
      </c>
      <c r="JA139" s="138">
        <f t="shared" si="3747"/>
        <v>0</v>
      </c>
      <c r="JB139" s="110">
        <f t="shared" si="3748"/>
        <v>0</v>
      </c>
      <c r="JC139" s="110"/>
      <c r="JD139" s="139"/>
      <c r="JE139" s="140" t="e">
        <f t="shared" si="3749"/>
        <v>#DIV/0!</v>
      </c>
      <c r="JF139" s="198">
        <f t="shared" si="3724"/>
        <v>0</v>
      </c>
      <c r="JG139" s="225">
        <f t="shared" si="3750"/>
        <v>0</v>
      </c>
      <c r="JH139" s="226">
        <f t="shared" si="3751"/>
        <v>0</v>
      </c>
      <c r="JI139" s="137">
        <f t="shared" si="3752"/>
        <v>0</v>
      </c>
      <c r="JJ139" s="227">
        <f t="shared" si="3728"/>
        <v>21.96</v>
      </c>
      <c r="JK139" s="138">
        <f t="shared" si="3753"/>
        <v>0</v>
      </c>
      <c r="JL139" s="110">
        <f t="shared" si="3754"/>
        <v>0</v>
      </c>
      <c r="JM139" s="110"/>
      <c r="JN139" s="139"/>
      <c r="JO139" s="140" t="e">
        <f t="shared" si="3755"/>
        <v>#DIV/0!</v>
      </c>
      <c r="JP139" s="198">
        <f t="shared" si="3724"/>
        <v>0</v>
      </c>
      <c r="JQ139" s="225">
        <f t="shared" si="3756"/>
        <v>0</v>
      </c>
      <c r="JR139" s="226">
        <f t="shared" si="3757"/>
        <v>0</v>
      </c>
      <c r="JS139" s="137">
        <f t="shared" si="3758"/>
        <v>0</v>
      </c>
      <c r="JT139" s="227">
        <f t="shared" si="3728"/>
        <v>35.700000000000003</v>
      </c>
      <c r="JU139" s="138">
        <f t="shared" si="3759"/>
        <v>0</v>
      </c>
      <c r="JV139" s="110">
        <f t="shared" si="3760"/>
        <v>0</v>
      </c>
      <c r="JW139" s="110"/>
      <c r="JX139" s="139"/>
      <c r="JY139" s="140" t="e">
        <f t="shared" si="3761"/>
        <v>#DIV/0!</v>
      </c>
      <c r="JZ139" s="198">
        <f t="shared" si="3724"/>
        <v>0</v>
      </c>
      <c r="KA139" s="225">
        <f t="shared" si="3762"/>
        <v>0</v>
      </c>
      <c r="KB139" s="226">
        <f t="shared" si="3763"/>
        <v>0</v>
      </c>
      <c r="KC139" s="137">
        <f t="shared" si="3764"/>
        <v>0</v>
      </c>
      <c r="KD139" s="227">
        <f t="shared" si="3728"/>
        <v>30.3</v>
      </c>
      <c r="KE139" s="138">
        <f t="shared" si="3765"/>
        <v>0</v>
      </c>
      <c r="KF139" s="110">
        <f t="shared" si="3766"/>
        <v>0</v>
      </c>
      <c r="KG139" s="110"/>
      <c r="KH139" s="139"/>
      <c r="KI139" s="140" t="e">
        <f t="shared" si="3767"/>
        <v>#DIV/0!</v>
      </c>
      <c r="KJ139" s="198">
        <f t="shared" si="3768"/>
        <v>0</v>
      </c>
      <c r="KK139" s="225">
        <f t="shared" si="3769"/>
        <v>0</v>
      </c>
      <c r="KL139" s="226">
        <f t="shared" si="3770"/>
        <v>0</v>
      </c>
      <c r="KM139" s="137">
        <f t="shared" si="3771"/>
        <v>0</v>
      </c>
      <c r="KN139" s="227">
        <f t="shared" si="3772"/>
        <v>30.43</v>
      </c>
      <c r="KO139" s="138">
        <f t="shared" si="3773"/>
        <v>0</v>
      </c>
      <c r="KP139" s="110">
        <f t="shared" si="3774"/>
        <v>0</v>
      </c>
      <c r="KQ139" s="110"/>
      <c r="KR139" s="139"/>
      <c r="KS139" s="140" t="e">
        <f t="shared" si="3775"/>
        <v>#DIV/0!</v>
      </c>
      <c r="KT139" s="198">
        <f t="shared" si="3768"/>
        <v>0</v>
      </c>
      <c r="KU139" s="225">
        <f t="shared" si="3776"/>
        <v>0</v>
      </c>
      <c r="KV139" s="226">
        <f t="shared" si="3777"/>
        <v>0</v>
      </c>
      <c r="KW139" s="137">
        <f t="shared" si="3778"/>
        <v>0</v>
      </c>
      <c r="KX139" s="227">
        <f t="shared" si="3772"/>
        <v>34.299999999999997</v>
      </c>
      <c r="KY139" s="138">
        <f t="shared" si="3779"/>
        <v>0</v>
      </c>
      <c r="KZ139" s="110">
        <f t="shared" si="3780"/>
        <v>0</v>
      </c>
      <c r="LA139" s="110"/>
      <c r="LB139" s="139"/>
      <c r="LC139" s="140" t="e">
        <f t="shared" si="3781"/>
        <v>#DIV/0!</v>
      </c>
      <c r="LD139" s="197">
        <f t="shared" si="3581"/>
        <v>0</v>
      </c>
      <c r="LE139" s="225">
        <f t="shared" si="3582"/>
        <v>0</v>
      </c>
      <c r="LF139" s="226">
        <f t="shared" si="3583"/>
        <v>0</v>
      </c>
      <c r="LG139" s="137">
        <f t="shared" si="3584"/>
        <v>0</v>
      </c>
      <c r="LH139" s="227">
        <f t="shared" si="3585"/>
        <v>28.89</v>
      </c>
      <c r="LI139" s="138">
        <f t="shared" si="3586"/>
        <v>0</v>
      </c>
      <c r="LJ139" s="110">
        <f t="shared" si="3587"/>
        <v>0</v>
      </c>
      <c r="LK139" s="110"/>
      <c r="LL139" s="139"/>
    </row>
    <row r="140" spans="1:324" ht="18" customHeight="1" x14ac:dyDescent="0.25">
      <c r="A140" s="246"/>
      <c r="B140" s="70" t="s">
        <v>625</v>
      </c>
      <c r="C140" s="12" t="s">
        <v>728</v>
      </c>
      <c r="D140" s="12" t="s">
        <v>430</v>
      </c>
      <c r="E140" s="4" t="s">
        <v>32</v>
      </c>
      <c r="F140" s="198">
        <f t="shared" si="3591"/>
        <v>12</v>
      </c>
      <c r="G140" s="225">
        <f t="shared" si="3588"/>
        <v>1.993E-2</v>
      </c>
      <c r="H140" s="226">
        <f t="shared" si="3589"/>
        <v>18.53</v>
      </c>
      <c r="I140" s="137">
        <f t="shared" si="3362"/>
        <v>1.5441666700000001</v>
      </c>
      <c r="J140" s="227">
        <f t="shared" si="3590"/>
        <v>19.559999999999999</v>
      </c>
      <c r="K140" s="138">
        <f t="shared" si="3363"/>
        <v>30.203900000000001</v>
      </c>
      <c r="L140" s="110">
        <f t="shared" si="3364"/>
        <v>362.45</v>
      </c>
      <c r="M140" s="110"/>
      <c r="N140" s="139"/>
      <c r="O140" s="140">
        <f t="shared" si="3365"/>
        <v>0.48687999999999998</v>
      </c>
      <c r="P140" s="198">
        <f t="shared" si="3592"/>
        <v>0</v>
      </c>
      <c r="Q140" s="225">
        <f t="shared" si="3593"/>
        <v>0</v>
      </c>
      <c r="R140" s="226">
        <f t="shared" si="3594"/>
        <v>0</v>
      </c>
      <c r="S140" s="137">
        <f t="shared" si="3595"/>
        <v>0</v>
      </c>
      <c r="T140" s="227">
        <f t="shared" si="3596"/>
        <v>14.76</v>
      </c>
      <c r="U140" s="138">
        <f t="shared" si="3597"/>
        <v>0</v>
      </c>
      <c r="V140" s="110">
        <f t="shared" si="3598"/>
        <v>0</v>
      </c>
      <c r="W140" s="110"/>
      <c r="X140" s="139"/>
      <c r="Y140" s="140">
        <f t="shared" si="3599"/>
        <v>0</v>
      </c>
      <c r="Z140" s="198">
        <f t="shared" si="3592"/>
        <v>0</v>
      </c>
      <c r="AA140" s="225">
        <f t="shared" si="3600"/>
        <v>0</v>
      </c>
      <c r="AB140" s="226">
        <f t="shared" si="3601"/>
        <v>0</v>
      </c>
      <c r="AC140" s="137">
        <f t="shared" si="3602"/>
        <v>0</v>
      </c>
      <c r="AD140" s="227">
        <f t="shared" si="3596"/>
        <v>33.520000000000003</v>
      </c>
      <c r="AE140" s="138">
        <f t="shared" si="3603"/>
        <v>0</v>
      </c>
      <c r="AF140" s="110">
        <f t="shared" si="3604"/>
        <v>0</v>
      </c>
      <c r="AG140" s="110"/>
      <c r="AH140" s="139"/>
      <c r="AI140" s="140">
        <f t="shared" si="3605"/>
        <v>0</v>
      </c>
      <c r="AJ140" s="198">
        <f t="shared" si="3592"/>
        <v>0</v>
      </c>
      <c r="AK140" s="225">
        <f t="shared" si="3606"/>
        <v>0</v>
      </c>
      <c r="AL140" s="226">
        <f t="shared" si="3607"/>
        <v>0</v>
      </c>
      <c r="AM140" s="137">
        <f t="shared" si="3608"/>
        <v>0</v>
      </c>
      <c r="AN140" s="227">
        <f t="shared" si="3596"/>
        <v>33.07</v>
      </c>
      <c r="AO140" s="138">
        <f t="shared" si="3609"/>
        <v>0</v>
      </c>
      <c r="AP140" s="110">
        <f t="shared" si="3610"/>
        <v>0</v>
      </c>
      <c r="AQ140" s="110"/>
      <c r="AR140" s="139"/>
      <c r="AS140" s="140">
        <f t="shared" si="3611"/>
        <v>0</v>
      </c>
      <c r="AT140" s="198">
        <f t="shared" si="3592"/>
        <v>19</v>
      </c>
      <c r="AU140" s="225">
        <f t="shared" si="3612"/>
        <v>1.9980000000000001E-2</v>
      </c>
      <c r="AV140" s="226">
        <f t="shared" si="3613"/>
        <v>18.18</v>
      </c>
      <c r="AW140" s="137">
        <f t="shared" si="3614"/>
        <v>0.95684210999999997</v>
      </c>
      <c r="AX140" s="227">
        <f t="shared" si="3596"/>
        <v>28.2</v>
      </c>
      <c r="AY140" s="138">
        <f t="shared" si="3615"/>
        <v>26.982949999999999</v>
      </c>
      <c r="AZ140" s="110">
        <f t="shared" si="3616"/>
        <v>512.67999999999995</v>
      </c>
      <c r="BA140" s="110"/>
      <c r="BB140" s="139"/>
      <c r="BC140" s="140">
        <f t="shared" si="3617"/>
        <v>0.43496000000000001</v>
      </c>
      <c r="BD140" s="198">
        <f t="shared" si="3592"/>
        <v>0</v>
      </c>
      <c r="BE140" s="225">
        <f t="shared" si="3618"/>
        <v>0</v>
      </c>
      <c r="BF140" s="226">
        <f t="shared" si="3619"/>
        <v>0</v>
      </c>
      <c r="BG140" s="137">
        <f t="shared" si="3620"/>
        <v>0</v>
      </c>
      <c r="BH140" s="227">
        <f t="shared" si="3596"/>
        <v>33.75</v>
      </c>
      <c r="BI140" s="138">
        <f t="shared" si="3621"/>
        <v>0</v>
      </c>
      <c r="BJ140" s="110">
        <f t="shared" si="3622"/>
        <v>0</v>
      </c>
      <c r="BK140" s="110"/>
      <c r="BL140" s="139"/>
      <c r="BM140" s="140">
        <f t="shared" si="3623"/>
        <v>0</v>
      </c>
      <c r="BN140" s="198">
        <f t="shared" si="3592"/>
        <v>0</v>
      </c>
      <c r="BO140" s="225">
        <f t="shared" si="3624"/>
        <v>0</v>
      </c>
      <c r="BP140" s="226">
        <f t="shared" si="3625"/>
        <v>0</v>
      </c>
      <c r="BQ140" s="137">
        <f t="shared" si="3626"/>
        <v>0</v>
      </c>
      <c r="BR140" s="227">
        <f t="shared" si="3596"/>
        <v>32.79</v>
      </c>
      <c r="BS140" s="138">
        <f t="shared" si="3627"/>
        <v>0</v>
      </c>
      <c r="BT140" s="110">
        <f t="shared" si="3628"/>
        <v>0</v>
      </c>
      <c r="BU140" s="110"/>
      <c r="BV140" s="139"/>
      <c r="BW140" s="140">
        <f t="shared" si="3629"/>
        <v>0</v>
      </c>
      <c r="BX140" s="198">
        <f t="shared" si="3592"/>
        <v>0</v>
      </c>
      <c r="BY140" s="225">
        <f t="shared" si="3630"/>
        <v>0</v>
      </c>
      <c r="BZ140" s="226">
        <f t="shared" si="3631"/>
        <v>0</v>
      </c>
      <c r="CA140" s="137">
        <f t="shared" si="3632"/>
        <v>0</v>
      </c>
      <c r="CB140" s="227">
        <f t="shared" si="3596"/>
        <v>30.39</v>
      </c>
      <c r="CC140" s="138">
        <f t="shared" si="3633"/>
        <v>0</v>
      </c>
      <c r="CD140" s="110">
        <f t="shared" si="3634"/>
        <v>0</v>
      </c>
      <c r="CE140" s="110"/>
      <c r="CF140" s="139"/>
      <c r="CG140" s="140">
        <f t="shared" si="3635"/>
        <v>0</v>
      </c>
      <c r="CH140" s="198">
        <f t="shared" si="3636"/>
        <v>0</v>
      </c>
      <c r="CI140" s="225">
        <f t="shared" si="3637"/>
        <v>0</v>
      </c>
      <c r="CJ140" s="226">
        <f t="shared" si="3638"/>
        <v>0</v>
      </c>
      <c r="CK140" s="137">
        <f t="shared" si="3639"/>
        <v>0</v>
      </c>
      <c r="CL140" s="227">
        <f t="shared" si="3640"/>
        <v>25.57</v>
      </c>
      <c r="CM140" s="138">
        <f t="shared" si="3641"/>
        <v>0</v>
      </c>
      <c r="CN140" s="110">
        <f t="shared" si="3642"/>
        <v>0</v>
      </c>
      <c r="CO140" s="110"/>
      <c r="CP140" s="139"/>
      <c r="CQ140" s="140">
        <f t="shared" si="3643"/>
        <v>0</v>
      </c>
      <c r="CR140" s="198">
        <f t="shared" si="3636"/>
        <v>15</v>
      </c>
      <c r="CS140" s="225">
        <f t="shared" si="3644"/>
        <v>2.0160000000000001E-2</v>
      </c>
      <c r="CT140" s="226">
        <f t="shared" si="3645"/>
        <v>24.21</v>
      </c>
      <c r="CU140" s="137">
        <f t="shared" si="3646"/>
        <v>1.6140000000000001</v>
      </c>
      <c r="CV140" s="227">
        <f t="shared" si="3640"/>
        <v>28.26</v>
      </c>
      <c r="CW140" s="138">
        <f t="shared" si="3647"/>
        <v>45.611640000000001</v>
      </c>
      <c r="CX140" s="110">
        <f t="shared" si="3648"/>
        <v>684.17</v>
      </c>
      <c r="CY140" s="110"/>
      <c r="CZ140" s="139"/>
      <c r="DA140" s="140">
        <f t="shared" si="3649"/>
        <v>0.73524999999999996</v>
      </c>
      <c r="DB140" s="198">
        <f t="shared" si="3636"/>
        <v>0</v>
      </c>
      <c r="DC140" s="225">
        <f t="shared" si="3650"/>
        <v>0</v>
      </c>
      <c r="DD140" s="226">
        <f t="shared" si="3651"/>
        <v>0</v>
      </c>
      <c r="DE140" s="137">
        <f t="shared" si="3652"/>
        <v>0</v>
      </c>
      <c r="DF140" s="227">
        <f t="shared" si="3640"/>
        <v>31.22</v>
      </c>
      <c r="DG140" s="138">
        <f t="shared" si="3653"/>
        <v>0</v>
      </c>
      <c r="DH140" s="110">
        <f t="shared" si="3654"/>
        <v>0</v>
      </c>
      <c r="DI140" s="110"/>
      <c r="DJ140" s="139"/>
      <c r="DK140" s="140">
        <f t="shared" si="3655"/>
        <v>0</v>
      </c>
      <c r="DL140" s="198">
        <f t="shared" si="3636"/>
        <v>118</v>
      </c>
      <c r="DM140" s="225">
        <f t="shared" si="3656"/>
        <v>0.41696</v>
      </c>
      <c r="DN140" s="226">
        <f t="shared" si="3657"/>
        <v>312.72000000000003</v>
      </c>
      <c r="DO140" s="137">
        <f t="shared" si="3658"/>
        <v>2.6501694900000001</v>
      </c>
      <c r="DP140" s="227">
        <f t="shared" si="3640"/>
        <v>33.9</v>
      </c>
      <c r="DQ140" s="138">
        <f t="shared" si="3659"/>
        <v>89.84075</v>
      </c>
      <c r="DR140" s="110">
        <f t="shared" si="3660"/>
        <v>10601.21</v>
      </c>
      <c r="DS140" s="110"/>
      <c r="DT140" s="139"/>
      <c r="DU140" s="140">
        <f t="shared" si="3661"/>
        <v>1.44821</v>
      </c>
      <c r="DV140" s="198">
        <f t="shared" si="3636"/>
        <v>9</v>
      </c>
      <c r="DW140" s="225">
        <f t="shared" si="3662"/>
        <v>1.025E-2</v>
      </c>
      <c r="DX140" s="226">
        <f t="shared" si="3663"/>
        <v>13.63</v>
      </c>
      <c r="DY140" s="137">
        <f t="shared" si="3664"/>
        <v>1.5144444399999999</v>
      </c>
      <c r="DZ140" s="227">
        <f t="shared" si="3640"/>
        <v>12.79</v>
      </c>
      <c r="EA140" s="138">
        <f t="shared" si="3665"/>
        <v>19.36974</v>
      </c>
      <c r="EB140" s="110">
        <f t="shared" si="3666"/>
        <v>174.33</v>
      </c>
      <c r="EC140" s="110"/>
      <c r="ED140" s="139"/>
      <c r="EE140" s="140">
        <f t="shared" si="3667"/>
        <v>0.31223000000000001</v>
      </c>
      <c r="EF140" s="198">
        <f t="shared" si="3636"/>
        <v>11</v>
      </c>
      <c r="EG140" s="225">
        <f t="shared" si="3668"/>
        <v>1.171E-2</v>
      </c>
      <c r="EH140" s="226">
        <f t="shared" si="3669"/>
        <v>10.77</v>
      </c>
      <c r="EI140" s="137">
        <f t="shared" si="3670"/>
        <v>0.97909091000000004</v>
      </c>
      <c r="EJ140" s="227">
        <f t="shared" si="3640"/>
        <v>23.18</v>
      </c>
      <c r="EK140" s="138">
        <f t="shared" si="3671"/>
        <v>22.695329999999998</v>
      </c>
      <c r="EL140" s="110">
        <f t="shared" si="3672"/>
        <v>249.65</v>
      </c>
      <c r="EM140" s="110"/>
      <c r="EN140" s="139"/>
      <c r="EO140" s="140">
        <f t="shared" si="3673"/>
        <v>0.36584</v>
      </c>
      <c r="EP140" s="198">
        <f t="shared" si="3636"/>
        <v>0</v>
      </c>
      <c r="EQ140" s="225">
        <f t="shared" si="3674"/>
        <v>0</v>
      </c>
      <c r="ER140" s="226">
        <f t="shared" si="3675"/>
        <v>0</v>
      </c>
      <c r="ES140" s="137">
        <f t="shared" si="3676"/>
        <v>0</v>
      </c>
      <c r="ET140" s="227">
        <f t="shared" si="3640"/>
        <v>30.66</v>
      </c>
      <c r="EU140" s="138">
        <f t="shared" si="3677"/>
        <v>0</v>
      </c>
      <c r="EV140" s="110">
        <f t="shared" si="3678"/>
        <v>0</v>
      </c>
      <c r="EW140" s="110"/>
      <c r="EX140" s="139"/>
      <c r="EY140" s="140">
        <f t="shared" si="3679"/>
        <v>0</v>
      </c>
      <c r="EZ140" s="198">
        <f t="shared" si="3680"/>
        <v>9</v>
      </c>
      <c r="FA140" s="225">
        <f t="shared" si="3681"/>
        <v>8.0599999999999995E-3</v>
      </c>
      <c r="FB140" s="226">
        <f t="shared" si="3682"/>
        <v>14.51</v>
      </c>
      <c r="FC140" s="137">
        <f t="shared" si="3683"/>
        <v>1.61222222</v>
      </c>
      <c r="FD140" s="227">
        <f t="shared" si="3684"/>
        <v>34.119999999999997</v>
      </c>
      <c r="FE140" s="138">
        <f t="shared" si="3685"/>
        <v>55.00902</v>
      </c>
      <c r="FF140" s="110">
        <f t="shared" si="3686"/>
        <v>495.08</v>
      </c>
      <c r="FG140" s="110"/>
      <c r="FH140" s="139"/>
      <c r="FI140" s="140">
        <f t="shared" si="3687"/>
        <v>0.88673000000000002</v>
      </c>
      <c r="FJ140" s="198">
        <f t="shared" si="3680"/>
        <v>0</v>
      </c>
      <c r="FK140" s="225">
        <f t="shared" si="3688"/>
        <v>0</v>
      </c>
      <c r="FL140" s="226">
        <f t="shared" si="3689"/>
        <v>0</v>
      </c>
      <c r="FM140" s="137">
        <f t="shared" si="3690"/>
        <v>0</v>
      </c>
      <c r="FN140" s="227">
        <f t="shared" si="3684"/>
        <v>18.39</v>
      </c>
      <c r="FO140" s="138">
        <f t="shared" si="3691"/>
        <v>0</v>
      </c>
      <c r="FP140" s="110">
        <f t="shared" si="3692"/>
        <v>0</v>
      </c>
      <c r="FQ140" s="110"/>
      <c r="FR140" s="139"/>
      <c r="FS140" s="140">
        <f t="shared" si="3693"/>
        <v>0</v>
      </c>
      <c r="FT140" s="198">
        <f t="shared" si="3680"/>
        <v>0</v>
      </c>
      <c r="FU140" s="225">
        <f t="shared" si="3694"/>
        <v>0</v>
      </c>
      <c r="FV140" s="226">
        <f t="shared" si="3695"/>
        <v>0</v>
      </c>
      <c r="FW140" s="137">
        <f t="shared" si="3696"/>
        <v>0</v>
      </c>
      <c r="FX140" s="227">
        <f t="shared" si="3684"/>
        <v>32.619999999999997</v>
      </c>
      <c r="FY140" s="138">
        <f t="shared" si="3697"/>
        <v>0</v>
      </c>
      <c r="FZ140" s="110">
        <f t="shared" si="3698"/>
        <v>0</v>
      </c>
      <c r="GA140" s="110"/>
      <c r="GB140" s="139"/>
      <c r="GC140" s="140">
        <f t="shared" si="3699"/>
        <v>0</v>
      </c>
      <c r="GD140" s="198">
        <f t="shared" si="3680"/>
        <v>16</v>
      </c>
      <c r="GE140" s="225">
        <f t="shared" si="3700"/>
        <v>3.125E-2</v>
      </c>
      <c r="GF140" s="226">
        <f t="shared" si="3701"/>
        <v>26.88</v>
      </c>
      <c r="GG140" s="137">
        <f t="shared" si="3702"/>
        <v>1.68</v>
      </c>
      <c r="GH140" s="227">
        <f t="shared" si="3684"/>
        <v>33.28</v>
      </c>
      <c r="GI140" s="138">
        <f t="shared" si="3703"/>
        <v>55.910400000000003</v>
      </c>
      <c r="GJ140" s="110">
        <f t="shared" si="3704"/>
        <v>894.57</v>
      </c>
      <c r="GK140" s="110"/>
      <c r="GL140" s="139"/>
      <c r="GM140" s="140">
        <f t="shared" si="3705"/>
        <v>0.90125999999999995</v>
      </c>
      <c r="GN140" s="198">
        <f t="shared" si="3680"/>
        <v>7</v>
      </c>
      <c r="GO140" s="225">
        <f t="shared" si="3706"/>
        <v>8.0999999999999996E-3</v>
      </c>
      <c r="GP140" s="226">
        <f t="shared" si="3707"/>
        <v>22.28</v>
      </c>
      <c r="GQ140" s="137">
        <f t="shared" si="3708"/>
        <v>3.1828571399999999</v>
      </c>
      <c r="GR140" s="227">
        <f t="shared" si="3684"/>
        <v>30.78</v>
      </c>
      <c r="GS140" s="138">
        <f t="shared" si="3709"/>
        <v>97.968339999999998</v>
      </c>
      <c r="GT140" s="110">
        <f t="shared" si="3710"/>
        <v>685.78</v>
      </c>
      <c r="GU140" s="110"/>
      <c r="GV140" s="139"/>
      <c r="GW140" s="140">
        <f t="shared" si="3711"/>
        <v>1.5792200000000001</v>
      </c>
      <c r="GX140" s="198">
        <f t="shared" si="3680"/>
        <v>0</v>
      </c>
      <c r="GY140" s="225">
        <f t="shared" si="3712"/>
        <v>0</v>
      </c>
      <c r="GZ140" s="226">
        <f t="shared" si="3713"/>
        <v>0</v>
      </c>
      <c r="HA140" s="137">
        <f t="shared" si="3714"/>
        <v>0</v>
      </c>
      <c r="HB140" s="227">
        <f t="shared" si="3684"/>
        <v>21.23</v>
      </c>
      <c r="HC140" s="138">
        <f t="shared" si="3715"/>
        <v>0</v>
      </c>
      <c r="HD140" s="110">
        <f t="shared" si="3716"/>
        <v>0</v>
      </c>
      <c r="HE140" s="110"/>
      <c r="HF140" s="139"/>
      <c r="HG140" s="140">
        <f t="shared" si="3717"/>
        <v>0</v>
      </c>
      <c r="HH140" s="198">
        <f t="shared" si="3680"/>
        <v>39</v>
      </c>
      <c r="HI140" s="225">
        <f t="shared" si="3718"/>
        <v>3.3849999999999998E-2</v>
      </c>
      <c r="HJ140" s="226">
        <f t="shared" si="3719"/>
        <v>112.72</v>
      </c>
      <c r="HK140" s="137">
        <f t="shared" si="3720"/>
        <v>2.8902564100000001</v>
      </c>
      <c r="HL140" s="227">
        <f t="shared" si="3684"/>
        <v>28.23</v>
      </c>
      <c r="HM140" s="138">
        <f t="shared" si="3721"/>
        <v>81.591939999999994</v>
      </c>
      <c r="HN140" s="110">
        <f t="shared" si="3722"/>
        <v>3182.09</v>
      </c>
      <c r="HO140" s="110"/>
      <c r="HP140" s="139"/>
      <c r="HQ140" s="140">
        <f t="shared" si="3723"/>
        <v>1.31524</v>
      </c>
      <c r="HR140" s="198">
        <f t="shared" si="3724"/>
        <v>0</v>
      </c>
      <c r="HS140" s="225">
        <f t="shared" si="3725"/>
        <v>0</v>
      </c>
      <c r="HT140" s="226">
        <f t="shared" si="3726"/>
        <v>0</v>
      </c>
      <c r="HU140" s="137">
        <f t="shared" si="3727"/>
        <v>0</v>
      </c>
      <c r="HV140" s="227">
        <f t="shared" si="3728"/>
        <v>31.27</v>
      </c>
      <c r="HW140" s="138">
        <f t="shared" si="3729"/>
        <v>0</v>
      </c>
      <c r="HX140" s="110">
        <f t="shared" si="3730"/>
        <v>0</v>
      </c>
      <c r="HY140" s="110"/>
      <c r="HZ140" s="139"/>
      <c r="IA140" s="140">
        <f t="shared" si="3731"/>
        <v>0</v>
      </c>
      <c r="IB140" s="198">
        <f t="shared" si="3724"/>
        <v>36</v>
      </c>
      <c r="IC140" s="225">
        <f t="shared" si="3732"/>
        <v>6.5689999999999998E-2</v>
      </c>
      <c r="ID140" s="226">
        <f t="shared" si="3733"/>
        <v>28.25</v>
      </c>
      <c r="IE140" s="137">
        <f t="shared" si="3734"/>
        <v>0.78472222000000003</v>
      </c>
      <c r="IF140" s="227">
        <f t="shared" si="3728"/>
        <v>28.65</v>
      </c>
      <c r="IG140" s="138">
        <f t="shared" si="3735"/>
        <v>22.482289999999999</v>
      </c>
      <c r="IH140" s="110">
        <f t="shared" si="3736"/>
        <v>809.36</v>
      </c>
      <c r="II140" s="110"/>
      <c r="IJ140" s="139"/>
      <c r="IK140" s="140">
        <f t="shared" si="3737"/>
        <v>0.36241000000000001</v>
      </c>
      <c r="IL140" s="198">
        <f t="shared" si="3724"/>
        <v>0</v>
      </c>
      <c r="IM140" s="225">
        <f t="shared" si="3738"/>
        <v>0</v>
      </c>
      <c r="IN140" s="226">
        <f t="shared" si="3739"/>
        <v>0</v>
      </c>
      <c r="IO140" s="137">
        <f t="shared" si="3740"/>
        <v>0</v>
      </c>
      <c r="IP140" s="227">
        <f t="shared" si="3728"/>
        <v>33.04</v>
      </c>
      <c r="IQ140" s="138">
        <f t="shared" si="3741"/>
        <v>0</v>
      </c>
      <c r="IR140" s="110">
        <f t="shared" si="3742"/>
        <v>0</v>
      </c>
      <c r="IS140" s="110"/>
      <c r="IT140" s="139"/>
      <c r="IU140" s="140">
        <f t="shared" si="3743"/>
        <v>0</v>
      </c>
      <c r="IV140" s="198">
        <f t="shared" si="3724"/>
        <v>0</v>
      </c>
      <c r="IW140" s="225">
        <f t="shared" si="3744"/>
        <v>0</v>
      </c>
      <c r="IX140" s="226">
        <f t="shared" si="3745"/>
        <v>0</v>
      </c>
      <c r="IY140" s="137">
        <f t="shared" si="3746"/>
        <v>0</v>
      </c>
      <c r="IZ140" s="227">
        <f t="shared" si="3728"/>
        <v>33.36</v>
      </c>
      <c r="JA140" s="138">
        <f t="shared" si="3747"/>
        <v>0</v>
      </c>
      <c r="JB140" s="110">
        <f t="shared" si="3748"/>
        <v>0</v>
      </c>
      <c r="JC140" s="110"/>
      <c r="JD140" s="139"/>
      <c r="JE140" s="140">
        <f t="shared" si="3749"/>
        <v>0</v>
      </c>
      <c r="JF140" s="198">
        <f t="shared" si="3724"/>
        <v>0</v>
      </c>
      <c r="JG140" s="225">
        <f t="shared" si="3750"/>
        <v>0</v>
      </c>
      <c r="JH140" s="226">
        <f t="shared" si="3751"/>
        <v>0</v>
      </c>
      <c r="JI140" s="137">
        <f t="shared" si="3752"/>
        <v>0</v>
      </c>
      <c r="JJ140" s="227">
        <f t="shared" si="3728"/>
        <v>21.96</v>
      </c>
      <c r="JK140" s="138">
        <f t="shared" si="3753"/>
        <v>0</v>
      </c>
      <c r="JL140" s="110">
        <f t="shared" si="3754"/>
        <v>0</v>
      </c>
      <c r="JM140" s="110"/>
      <c r="JN140" s="139"/>
      <c r="JO140" s="140">
        <f t="shared" si="3755"/>
        <v>0</v>
      </c>
      <c r="JP140" s="198">
        <f t="shared" si="3724"/>
        <v>33</v>
      </c>
      <c r="JQ140" s="225">
        <f t="shared" si="3756"/>
        <v>2.6419999999999999E-2</v>
      </c>
      <c r="JR140" s="226">
        <f t="shared" si="3757"/>
        <v>100.4</v>
      </c>
      <c r="JS140" s="137">
        <f t="shared" si="3758"/>
        <v>3.0424242399999999</v>
      </c>
      <c r="JT140" s="227">
        <f t="shared" si="3728"/>
        <v>35.700000000000003</v>
      </c>
      <c r="JU140" s="138">
        <f t="shared" si="3759"/>
        <v>108.61454999999999</v>
      </c>
      <c r="JV140" s="110">
        <f t="shared" si="3760"/>
        <v>3584.28</v>
      </c>
      <c r="JW140" s="110"/>
      <c r="JX140" s="139"/>
      <c r="JY140" s="140">
        <f t="shared" si="3761"/>
        <v>1.7508300000000001</v>
      </c>
      <c r="JZ140" s="198">
        <f t="shared" si="3724"/>
        <v>0</v>
      </c>
      <c r="KA140" s="225">
        <f t="shared" si="3762"/>
        <v>0</v>
      </c>
      <c r="KB140" s="226">
        <f t="shared" si="3763"/>
        <v>0</v>
      </c>
      <c r="KC140" s="137">
        <f t="shared" si="3764"/>
        <v>0</v>
      </c>
      <c r="KD140" s="227">
        <f t="shared" si="3728"/>
        <v>30.3</v>
      </c>
      <c r="KE140" s="138">
        <f t="shared" si="3765"/>
        <v>0</v>
      </c>
      <c r="KF140" s="110">
        <f t="shared" si="3766"/>
        <v>0</v>
      </c>
      <c r="KG140" s="110"/>
      <c r="KH140" s="139"/>
      <c r="KI140" s="140">
        <f t="shared" si="3767"/>
        <v>0</v>
      </c>
      <c r="KJ140" s="198">
        <f t="shared" si="3768"/>
        <v>0</v>
      </c>
      <c r="KK140" s="225">
        <f t="shared" si="3769"/>
        <v>0</v>
      </c>
      <c r="KL140" s="226">
        <f t="shared" si="3770"/>
        <v>0</v>
      </c>
      <c r="KM140" s="137">
        <f t="shared" si="3771"/>
        <v>0</v>
      </c>
      <c r="KN140" s="227">
        <f t="shared" si="3772"/>
        <v>30.43</v>
      </c>
      <c r="KO140" s="138">
        <f t="shared" si="3773"/>
        <v>0</v>
      </c>
      <c r="KP140" s="110">
        <f t="shared" si="3774"/>
        <v>0</v>
      </c>
      <c r="KQ140" s="110"/>
      <c r="KR140" s="139"/>
      <c r="KS140" s="140">
        <f t="shared" si="3775"/>
        <v>0</v>
      </c>
      <c r="KT140" s="198">
        <f t="shared" si="3768"/>
        <v>0</v>
      </c>
      <c r="KU140" s="225">
        <f t="shared" si="3776"/>
        <v>0</v>
      </c>
      <c r="KV140" s="226">
        <f t="shared" si="3777"/>
        <v>0</v>
      </c>
      <c r="KW140" s="137">
        <f t="shared" si="3778"/>
        <v>0</v>
      </c>
      <c r="KX140" s="227">
        <f t="shared" si="3772"/>
        <v>34.299999999999997</v>
      </c>
      <c r="KY140" s="138">
        <f t="shared" si="3779"/>
        <v>0</v>
      </c>
      <c r="KZ140" s="110">
        <f t="shared" si="3780"/>
        <v>0</v>
      </c>
      <c r="LA140" s="110"/>
      <c r="LB140" s="139"/>
      <c r="LC140" s="140">
        <f t="shared" si="3781"/>
        <v>0</v>
      </c>
      <c r="LD140" s="197">
        <f t="shared" si="3581"/>
        <v>324</v>
      </c>
      <c r="LE140" s="225">
        <f t="shared" si="3582"/>
        <v>1.1350000000000001E-2</v>
      </c>
      <c r="LF140" s="226">
        <f t="shared" si="3583"/>
        <v>695.73</v>
      </c>
      <c r="LG140" s="137">
        <f t="shared" si="3584"/>
        <v>2.1473148100000001</v>
      </c>
      <c r="LH140" s="227">
        <f t="shared" si="3585"/>
        <v>28.89</v>
      </c>
      <c r="LI140" s="138">
        <f t="shared" si="3586"/>
        <v>62.035919999999997</v>
      </c>
      <c r="LJ140" s="110">
        <f t="shared" si="3587"/>
        <v>20099.64</v>
      </c>
      <c r="LK140" s="110"/>
      <c r="LL140" s="139"/>
    </row>
    <row r="141" spans="1:324" ht="16.5" hidden="1" customHeight="1" x14ac:dyDescent="0.25">
      <c r="A141" s="246"/>
      <c r="B141" s="93" t="s">
        <v>639</v>
      </c>
      <c r="C141" s="12" t="s">
        <v>727</v>
      </c>
      <c r="D141" s="12" t="s">
        <v>427</v>
      </c>
      <c r="E141" s="4" t="s">
        <v>32</v>
      </c>
      <c r="F141" s="198">
        <f t="shared" si="3591"/>
        <v>0</v>
      </c>
      <c r="G141" s="225">
        <f t="shared" si="3588"/>
        <v>0</v>
      </c>
      <c r="H141" s="226">
        <f t="shared" si="3589"/>
        <v>0</v>
      </c>
      <c r="I141" s="137">
        <f t="shared" si="3362"/>
        <v>0</v>
      </c>
      <c r="J141" s="227">
        <f t="shared" si="3590"/>
        <v>19.559999999999999</v>
      </c>
      <c r="K141" s="138">
        <f t="shared" si="3363"/>
        <v>0</v>
      </c>
      <c r="L141" s="110">
        <f t="shared" si="3364"/>
        <v>0</v>
      </c>
      <c r="M141" s="110"/>
      <c r="N141" s="139"/>
      <c r="O141" s="140" t="e">
        <f t="shared" si="3365"/>
        <v>#DIV/0!</v>
      </c>
      <c r="P141" s="198">
        <f t="shared" si="3592"/>
        <v>0</v>
      </c>
      <c r="Q141" s="225">
        <f t="shared" si="3593"/>
        <v>0</v>
      </c>
      <c r="R141" s="226">
        <f t="shared" si="3594"/>
        <v>0</v>
      </c>
      <c r="S141" s="137">
        <f t="shared" si="3595"/>
        <v>0</v>
      </c>
      <c r="T141" s="227">
        <f t="shared" si="3596"/>
        <v>14.76</v>
      </c>
      <c r="U141" s="138">
        <f t="shared" si="3597"/>
        <v>0</v>
      </c>
      <c r="V141" s="110">
        <f t="shared" si="3598"/>
        <v>0</v>
      </c>
      <c r="W141" s="110"/>
      <c r="X141" s="139"/>
      <c r="Y141" s="140" t="e">
        <f t="shared" si="3599"/>
        <v>#DIV/0!</v>
      </c>
      <c r="Z141" s="198">
        <f t="shared" si="3592"/>
        <v>0</v>
      </c>
      <c r="AA141" s="225">
        <f t="shared" si="3600"/>
        <v>0</v>
      </c>
      <c r="AB141" s="226">
        <f t="shared" si="3601"/>
        <v>0</v>
      </c>
      <c r="AC141" s="137">
        <f t="shared" si="3602"/>
        <v>0</v>
      </c>
      <c r="AD141" s="227">
        <f t="shared" si="3596"/>
        <v>33.520000000000003</v>
      </c>
      <c r="AE141" s="138">
        <f t="shared" si="3603"/>
        <v>0</v>
      </c>
      <c r="AF141" s="110">
        <f t="shared" si="3604"/>
        <v>0</v>
      </c>
      <c r="AG141" s="110"/>
      <c r="AH141" s="139"/>
      <c r="AI141" s="140" t="e">
        <f t="shared" si="3605"/>
        <v>#DIV/0!</v>
      </c>
      <c r="AJ141" s="198">
        <f t="shared" si="3592"/>
        <v>0</v>
      </c>
      <c r="AK141" s="225">
        <f t="shared" si="3606"/>
        <v>0</v>
      </c>
      <c r="AL141" s="226">
        <f t="shared" si="3607"/>
        <v>0</v>
      </c>
      <c r="AM141" s="137">
        <f t="shared" si="3608"/>
        <v>0</v>
      </c>
      <c r="AN141" s="227">
        <f t="shared" si="3596"/>
        <v>33.07</v>
      </c>
      <c r="AO141" s="138">
        <f t="shared" si="3609"/>
        <v>0</v>
      </c>
      <c r="AP141" s="110">
        <f t="shared" si="3610"/>
        <v>0</v>
      </c>
      <c r="AQ141" s="110"/>
      <c r="AR141" s="139"/>
      <c r="AS141" s="140" t="e">
        <f t="shared" si="3611"/>
        <v>#DIV/0!</v>
      </c>
      <c r="AT141" s="198">
        <f t="shared" si="3592"/>
        <v>0</v>
      </c>
      <c r="AU141" s="225">
        <f t="shared" si="3612"/>
        <v>0</v>
      </c>
      <c r="AV141" s="226">
        <f t="shared" si="3613"/>
        <v>0</v>
      </c>
      <c r="AW141" s="137">
        <f t="shared" si="3614"/>
        <v>0</v>
      </c>
      <c r="AX141" s="227">
        <f t="shared" si="3596"/>
        <v>28.2</v>
      </c>
      <c r="AY141" s="138">
        <f t="shared" si="3615"/>
        <v>0</v>
      </c>
      <c r="AZ141" s="110">
        <f t="shared" si="3616"/>
        <v>0</v>
      </c>
      <c r="BA141" s="110"/>
      <c r="BB141" s="139"/>
      <c r="BC141" s="140" t="e">
        <f t="shared" si="3617"/>
        <v>#DIV/0!</v>
      </c>
      <c r="BD141" s="198">
        <f t="shared" si="3592"/>
        <v>0</v>
      </c>
      <c r="BE141" s="225">
        <f t="shared" si="3618"/>
        <v>0</v>
      </c>
      <c r="BF141" s="226">
        <f t="shared" si="3619"/>
        <v>0</v>
      </c>
      <c r="BG141" s="137">
        <f t="shared" si="3620"/>
        <v>0</v>
      </c>
      <c r="BH141" s="227">
        <f t="shared" si="3596"/>
        <v>33.75</v>
      </c>
      <c r="BI141" s="138">
        <f t="shared" si="3621"/>
        <v>0</v>
      </c>
      <c r="BJ141" s="110">
        <f t="shared" si="3622"/>
        <v>0</v>
      </c>
      <c r="BK141" s="110"/>
      <c r="BL141" s="139"/>
      <c r="BM141" s="140" t="e">
        <f t="shared" si="3623"/>
        <v>#DIV/0!</v>
      </c>
      <c r="BN141" s="198">
        <f t="shared" si="3592"/>
        <v>0</v>
      </c>
      <c r="BO141" s="225">
        <f t="shared" si="3624"/>
        <v>0</v>
      </c>
      <c r="BP141" s="226">
        <f t="shared" si="3625"/>
        <v>0</v>
      </c>
      <c r="BQ141" s="137">
        <f t="shared" si="3626"/>
        <v>0</v>
      </c>
      <c r="BR141" s="227">
        <f t="shared" si="3596"/>
        <v>32.79</v>
      </c>
      <c r="BS141" s="138">
        <f t="shared" si="3627"/>
        <v>0</v>
      </c>
      <c r="BT141" s="110">
        <f t="shared" si="3628"/>
        <v>0</v>
      </c>
      <c r="BU141" s="110"/>
      <c r="BV141" s="139"/>
      <c r="BW141" s="140" t="e">
        <f t="shared" si="3629"/>
        <v>#DIV/0!</v>
      </c>
      <c r="BX141" s="198">
        <f t="shared" si="3592"/>
        <v>0</v>
      </c>
      <c r="BY141" s="225">
        <f t="shared" si="3630"/>
        <v>0</v>
      </c>
      <c r="BZ141" s="226">
        <f t="shared" si="3631"/>
        <v>0</v>
      </c>
      <c r="CA141" s="137">
        <f t="shared" si="3632"/>
        <v>0</v>
      </c>
      <c r="CB141" s="227">
        <f t="shared" si="3596"/>
        <v>30.39</v>
      </c>
      <c r="CC141" s="138">
        <f t="shared" si="3633"/>
        <v>0</v>
      </c>
      <c r="CD141" s="110">
        <f t="shared" si="3634"/>
        <v>0</v>
      </c>
      <c r="CE141" s="110"/>
      <c r="CF141" s="139"/>
      <c r="CG141" s="140" t="e">
        <f t="shared" si="3635"/>
        <v>#DIV/0!</v>
      </c>
      <c r="CH141" s="198">
        <f t="shared" si="3636"/>
        <v>0</v>
      </c>
      <c r="CI141" s="225">
        <f t="shared" si="3637"/>
        <v>0</v>
      </c>
      <c r="CJ141" s="226">
        <f t="shared" si="3638"/>
        <v>0</v>
      </c>
      <c r="CK141" s="137">
        <f t="shared" si="3639"/>
        <v>0</v>
      </c>
      <c r="CL141" s="227">
        <f t="shared" si="3640"/>
        <v>25.57</v>
      </c>
      <c r="CM141" s="138">
        <f t="shared" si="3641"/>
        <v>0</v>
      </c>
      <c r="CN141" s="110">
        <f t="shared" si="3642"/>
        <v>0</v>
      </c>
      <c r="CO141" s="110"/>
      <c r="CP141" s="139"/>
      <c r="CQ141" s="140" t="e">
        <f t="shared" si="3643"/>
        <v>#DIV/0!</v>
      </c>
      <c r="CR141" s="198">
        <f t="shared" si="3636"/>
        <v>0</v>
      </c>
      <c r="CS141" s="225">
        <f t="shared" si="3644"/>
        <v>0</v>
      </c>
      <c r="CT141" s="226">
        <f t="shared" si="3645"/>
        <v>0</v>
      </c>
      <c r="CU141" s="137">
        <f t="shared" si="3646"/>
        <v>0</v>
      </c>
      <c r="CV141" s="227">
        <f t="shared" si="3640"/>
        <v>28.26</v>
      </c>
      <c r="CW141" s="138">
        <f t="shared" si="3647"/>
        <v>0</v>
      </c>
      <c r="CX141" s="110">
        <f t="shared" si="3648"/>
        <v>0</v>
      </c>
      <c r="CY141" s="110"/>
      <c r="CZ141" s="139"/>
      <c r="DA141" s="140" t="e">
        <f t="shared" si="3649"/>
        <v>#DIV/0!</v>
      </c>
      <c r="DB141" s="198">
        <f t="shared" si="3636"/>
        <v>0</v>
      </c>
      <c r="DC141" s="225">
        <f t="shared" si="3650"/>
        <v>0</v>
      </c>
      <c r="DD141" s="226">
        <f t="shared" si="3651"/>
        <v>0</v>
      </c>
      <c r="DE141" s="137">
        <f t="shared" si="3652"/>
        <v>0</v>
      </c>
      <c r="DF141" s="227">
        <f t="shared" si="3640"/>
        <v>31.22</v>
      </c>
      <c r="DG141" s="138">
        <f t="shared" si="3653"/>
        <v>0</v>
      </c>
      <c r="DH141" s="110">
        <f t="shared" si="3654"/>
        <v>0</v>
      </c>
      <c r="DI141" s="110"/>
      <c r="DJ141" s="139"/>
      <c r="DK141" s="140" t="e">
        <f t="shared" si="3655"/>
        <v>#DIV/0!</v>
      </c>
      <c r="DL141" s="198">
        <f t="shared" si="3636"/>
        <v>0</v>
      </c>
      <c r="DM141" s="225">
        <f t="shared" si="3656"/>
        <v>0</v>
      </c>
      <c r="DN141" s="226">
        <f t="shared" si="3657"/>
        <v>0</v>
      </c>
      <c r="DO141" s="137">
        <f t="shared" si="3658"/>
        <v>0</v>
      </c>
      <c r="DP141" s="227">
        <f t="shared" si="3640"/>
        <v>33.9</v>
      </c>
      <c r="DQ141" s="138">
        <f t="shared" si="3659"/>
        <v>0</v>
      </c>
      <c r="DR141" s="110">
        <f t="shared" si="3660"/>
        <v>0</v>
      </c>
      <c r="DS141" s="110"/>
      <c r="DT141" s="139"/>
      <c r="DU141" s="140" t="e">
        <f t="shared" si="3661"/>
        <v>#DIV/0!</v>
      </c>
      <c r="DV141" s="198">
        <f t="shared" si="3636"/>
        <v>0</v>
      </c>
      <c r="DW141" s="225">
        <f t="shared" si="3662"/>
        <v>0</v>
      </c>
      <c r="DX141" s="226">
        <f t="shared" si="3663"/>
        <v>0</v>
      </c>
      <c r="DY141" s="137">
        <f t="shared" si="3664"/>
        <v>0</v>
      </c>
      <c r="DZ141" s="227">
        <f t="shared" si="3640"/>
        <v>12.79</v>
      </c>
      <c r="EA141" s="138">
        <f t="shared" si="3665"/>
        <v>0</v>
      </c>
      <c r="EB141" s="110">
        <f t="shared" si="3666"/>
        <v>0</v>
      </c>
      <c r="EC141" s="110"/>
      <c r="ED141" s="139"/>
      <c r="EE141" s="140" t="e">
        <f t="shared" si="3667"/>
        <v>#DIV/0!</v>
      </c>
      <c r="EF141" s="198">
        <f t="shared" si="3636"/>
        <v>0</v>
      </c>
      <c r="EG141" s="225">
        <f t="shared" si="3668"/>
        <v>0</v>
      </c>
      <c r="EH141" s="226">
        <f t="shared" si="3669"/>
        <v>0</v>
      </c>
      <c r="EI141" s="137">
        <f t="shared" si="3670"/>
        <v>0</v>
      </c>
      <c r="EJ141" s="227">
        <f t="shared" si="3640"/>
        <v>23.18</v>
      </c>
      <c r="EK141" s="138">
        <f t="shared" si="3671"/>
        <v>0</v>
      </c>
      <c r="EL141" s="110">
        <f t="shared" si="3672"/>
        <v>0</v>
      </c>
      <c r="EM141" s="110"/>
      <c r="EN141" s="139"/>
      <c r="EO141" s="140" t="e">
        <f t="shared" si="3673"/>
        <v>#DIV/0!</v>
      </c>
      <c r="EP141" s="198">
        <f t="shared" si="3636"/>
        <v>0</v>
      </c>
      <c r="EQ141" s="225">
        <f t="shared" si="3674"/>
        <v>0</v>
      </c>
      <c r="ER141" s="226">
        <f t="shared" si="3675"/>
        <v>0</v>
      </c>
      <c r="ES141" s="137">
        <f t="shared" si="3676"/>
        <v>0</v>
      </c>
      <c r="ET141" s="227">
        <f t="shared" si="3640"/>
        <v>30.66</v>
      </c>
      <c r="EU141" s="138">
        <f t="shared" si="3677"/>
        <v>0</v>
      </c>
      <c r="EV141" s="110">
        <f t="shared" si="3678"/>
        <v>0</v>
      </c>
      <c r="EW141" s="110"/>
      <c r="EX141" s="139"/>
      <c r="EY141" s="140" t="e">
        <f t="shared" si="3679"/>
        <v>#DIV/0!</v>
      </c>
      <c r="EZ141" s="198">
        <f t="shared" si="3680"/>
        <v>0</v>
      </c>
      <c r="FA141" s="225">
        <f t="shared" si="3681"/>
        <v>0</v>
      </c>
      <c r="FB141" s="226">
        <f t="shared" si="3682"/>
        <v>0</v>
      </c>
      <c r="FC141" s="137">
        <f t="shared" si="3683"/>
        <v>0</v>
      </c>
      <c r="FD141" s="227">
        <f t="shared" si="3684"/>
        <v>34.119999999999997</v>
      </c>
      <c r="FE141" s="138">
        <f t="shared" si="3685"/>
        <v>0</v>
      </c>
      <c r="FF141" s="110">
        <f t="shared" si="3686"/>
        <v>0</v>
      </c>
      <c r="FG141" s="110"/>
      <c r="FH141" s="139"/>
      <c r="FI141" s="140" t="e">
        <f t="shared" si="3687"/>
        <v>#DIV/0!</v>
      </c>
      <c r="FJ141" s="198">
        <f t="shared" si="3680"/>
        <v>0</v>
      </c>
      <c r="FK141" s="225">
        <f t="shared" si="3688"/>
        <v>0</v>
      </c>
      <c r="FL141" s="226">
        <f t="shared" si="3689"/>
        <v>0</v>
      </c>
      <c r="FM141" s="137">
        <f t="shared" si="3690"/>
        <v>0</v>
      </c>
      <c r="FN141" s="227">
        <f t="shared" si="3684"/>
        <v>18.39</v>
      </c>
      <c r="FO141" s="138">
        <f t="shared" si="3691"/>
        <v>0</v>
      </c>
      <c r="FP141" s="110">
        <f t="shared" si="3692"/>
        <v>0</v>
      </c>
      <c r="FQ141" s="110"/>
      <c r="FR141" s="139"/>
      <c r="FS141" s="140" t="e">
        <f t="shared" si="3693"/>
        <v>#DIV/0!</v>
      </c>
      <c r="FT141" s="198">
        <f t="shared" si="3680"/>
        <v>0</v>
      </c>
      <c r="FU141" s="225">
        <f t="shared" si="3694"/>
        <v>0</v>
      </c>
      <c r="FV141" s="226">
        <f t="shared" si="3695"/>
        <v>0</v>
      </c>
      <c r="FW141" s="137">
        <f t="shared" si="3696"/>
        <v>0</v>
      </c>
      <c r="FX141" s="227">
        <f t="shared" si="3684"/>
        <v>32.619999999999997</v>
      </c>
      <c r="FY141" s="138">
        <f t="shared" si="3697"/>
        <v>0</v>
      </c>
      <c r="FZ141" s="110">
        <f t="shared" si="3698"/>
        <v>0</v>
      </c>
      <c r="GA141" s="110"/>
      <c r="GB141" s="139"/>
      <c r="GC141" s="140" t="e">
        <f t="shared" si="3699"/>
        <v>#DIV/0!</v>
      </c>
      <c r="GD141" s="198">
        <f t="shared" si="3680"/>
        <v>0</v>
      </c>
      <c r="GE141" s="225">
        <f t="shared" si="3700"/>
        <v>0</v>
      </c>
      <c r="GF141" s="226">
        <f t="shared" si="3701"/>
        <v>0</v>
      </c>
      <c r="GG141" s="137">
        <f t="shared" si="3702"/>
        <v>0</v>
      </c>
      <c r="GH141" s="227">
        <f t="shared" si="3684"/>
        <v>33.28</v>
      </c>
      <c r="GI141" s="138">
        <f t="shared" si="3703"/>
        <v>0</v>
      </c>
      <c r="GJ141" s="110">
        <f t="shared" si="3704"/>
        <v>0</v>
      </c>
      <c r="GK141" s="110"/>
      <c r="GL141" s="139"/>
      <c r="GM141" s="140" t="e">
        <f t="shared" si="3705"/>
        <v>#DIV/0!</v>
      </c>
      <c r="GN141" s="198">
        <f t="shared" si="3680"/>
        <v>0</v>
      </c>
      <c r="GO141" s="225">
        <f t="shared" si="3706"/>
        <v>0</v>
      </c>
      <c r="GP141" s="226">
        <f t="shared" si="3707"/>
        <v>0</v>
      </c>
      <c r="GQ141" s="137">
        <f t="shared" si="3708"/>
        <v>0</v>
      </c>
      <c r="GR141" s="227">
        <f t="shared" si="3684"/>
        <v>30.78</v>
      </c>
      <c r="GS141" s="138">
        <f t="shared" si="3709"/>
        <v>0</v>
      </c>
      <c r="GT141" s="110">
        <f t="shared" si="3710"/>
        <v>0</v>
      </c>
      <c r="GU141" s="110"/>
      <c r="GV141" s="139"/>
      <c r="GW141" s="140" t="e">
        <f t="shared" si="3711"/>
        <v>#DIV/0!</v>
      </c>
      <c r="GX141" s="198">
        <f t="shared" si="3680"/>
        <v>0</v>
      </c>
      <c r="GY141" s="225">
        <f t="shared" si="3712"/>
        <v>0</v>
      </c>
      <c r="GZ141" s="226">
        <f t="shared" si="3713"/>
        <v>0</v>
      </c>
      <c r="HA141" s="137">
        <f t="shared" si="3714"/>
        <v>0</v>
      </c>
      <c r="HB141" s="227">
        <f t="shared" si="3684"/>
        <v>21.23</v>
      </c>
      <c r="HC141" s="138">
        <f t="shared" si="3715"/>
        <v>0</v>
      </c>
      <c r="HD141" s="110">
        <f t="shared" si="3716"/>
        <v>0</v>
      </c>
      <c r="HE141" s="110"/>
      <c r="HF141" s="139"/>
      <c r="HG141" s="140" t="e">
        <f t="shared" si="3717"/>
        <v>#DIV/0!</v>
      </c>
      <c r="HH141" s="198">
        <f t="shared" si="3680"/>
        <v>0</v>
      </c>
      <c r="HI141" s="225">
        <f t="shared" si="3718"/>
        <v>0</v>
      </c>
      <c r="HJ141" s="226">
        <f t="shared" si="3719"/>
        <v>0</v>
      </c>
      <c r="HK141" s="137">
        <f t="shared" si="3720"/>
        <v>0</v>
      </c>
      <c r="HL141" s="227">
        <f t="shared" si="3684"/>
        <v>28.23</v>
      </c>
      <c r="HM141" s="138">
        <f t="shared" si="3721"/>
        <v>0</v>
      </c>
      <c r="HN141" s="110">
        <f t="shared" si="3722"/>
        <v>0</v>
      </c>
      <c r="HO141" s="110"/>
      <c r="HP141" s="139"/>
      <c r="HQ141" s="140" t="e">
        <f t="shared" si="3723"/>
        <v>#DIV/0!</v>
      </c>
      <c r="HR141" s="198">
        <f t="shared" si="3724"/>
        <v>0</v>
      </c>
      <c r="HS141" s="225">
        <f t="shared" si="3725"/>
        <v>0</v>
      </c>
      <c r="HT141" s="226">
        <f t="shared" si="3726"/>
        <v>0</v>
      </c>
      <c r="HU141" s="137">
        <f t="shared" si="3727"/>
        <v>0</v>
      </c>
      <c r="HV141" s="227">
        <f t="shared" si="3728"/>
        <v>31.27</v>
      </c>
      <c r="HW141" s="138">
        <f t="shared" si="3729"/>
        <v>0</v>
      </c>
      <c r="HX141" s="110">
        <f t="shared" si="3730"/>
        <v>0</v>
      </c>
      <c r="HY141" s="110"/>
      <c r="HZ141" s="139"/>
      <c r="IA141" s="140" t="e">
        <f t="shared" si="3731"/>
        <v>#DIV/0!</v>
      </c>
      <c r="IB141" s="198">
        <f t="shared" si="3724"/>
        <v>0</v>
      </c>
      <c r="IC141" s="225">
        <f t="shared" si="3732"/>
        <v>0</v>
      </c>
      <c r="ID141" s="226">
        <f t="shared" si="3733"/>
        <v>0</v>
      </c>
      <c r="IE141" s="137">
        <f t="shared" si="3734"/>
        <v>0</v>
      </c>
      <c r="IF141" s="227">
        <f t="shared" si="3728"/>
        <v>28.65</v>
      </c>
      <c r="IG141" s="138">
        <f t="shared" si="3735"/>
        <v>0</v>
      </c>
      <c r="IH141" s="110">
        <f t="shared" si="3736"/>
        <v>0</v>
      </c>
      <c r="II141" s="110"/>
      <c r="IJ141" s="139"/>
      <c r="IK141" s="140" t="e">
        <f t="shared" si="3737"/>
        <v>#DIV/0!</v>
      </c>
      <c r="IL141" s="198">
        <f t="shared" si="3724"/>
        <v>0</v>
      </c>
      <c r="IM141" s="225">
        <f t="shared" si="3738"/>
        <v>0</v>
      </c>
      <c r="IN141" s="226">
        <f t="shared" si="3739"/>
        <v>0</v>
      </c>
      <c r="IO141" s="137">
        <f t="shared" si="3740"/>
        <v>0</v>
      </c>
      <c r="IP141" s="227">
        <f t="shared" si="3728"/>
        <v>33.04</v>
      </c>
      <c r="IQ141" s="138">
        <f t="shared" si="3741"/>
        <v>0</v>
      </c>
      <c r="IR141" s="110">
        <f t="shared" si="3742"/>
        <v>0</v>
      </c>
      <c r="IS141" s="110"/>
      <c r="IT141" s="139"/>
      <c r="IU141" s="140" t="e">
        <f t="shared" si="3743"/>
        <v>#DIV/0!</v>
      </c>
      <c r="IV141" s="198">
        <f t="shared" si="3724"/>
        <v>0</v>
      </c>
      <c r="IW141" s="225">
        <f t="shared" si="3744"/>
        <v>0</v>
      </c>
      <c r="IX141" s="226">
        <f t="shared" si="3745"/>
        <v>0</v>
      </c>
      <c r="IY141" s="137">
        <f t="shared" si="3746"/>
        <v>0</v>
      </c>
      <c r="IZ141" s="227">
        <f t="shared" si="3728"/>
        <v>33.36</v>
      </c>
      <c r="JA141" s="138">
        <f t="shared" si="3747"/>
        <v>0</v>
      </c>
      <c r="JB141" s="110">
        <f t="shared" si="3748"/>
        <v>0</v>
      </c>
      <c r="JC141" s="110"/>
      <c r="JD141" s="139"/>
      <c r="JE141" s="140" t="e">
        <f t="shared" si="3749"/>
        <v>#DIV/0!</v>
      </c>
      <c r="JF141" s="198">
        <f t="shared" si="3724"/>
        <v>0</v>
      </c>
      <c r="JG141" s="225">
        <f t="shared" si="3750"/>
        <v>0</v>
      </c>
      <c r="JH141" s="226">
        <f t="shared" si="3751"/>
        <v>0</v>
      </c>
      <c r="JI141" s="137">
        <f t="shared" si="3752"/>
        <v>0</v>
      </c>
      <c r="JJ141" s="227">
        <f t="shared" si="3728"/>
        <v>21.96</v>
      </c>
      <c r="JK141" s="138">
        <f t="shared" si="3753"/>
        <v>0</v>
      </c>
      <c r="JL141" s="110">
        <f t="shared" si="3754"/>
        <v>0</v>
      </c>
      <c r="JM141" s="110"/>
      <c r="JN141" s="139"/>
      <c r="JO141" s="140" t="e">
        <f t="shared" si="3755"/>
        <v>#DIV/0!</v>
      </c>
      <c r="JP141" s="198">
        <f t="shared" si="3724"/>
        <v>0</v>
      </c>
      <c r="JQ141" s="225">
        <f t="shared" si="3756"/>
        <v>0</v>
      </c>
      <c r="JR141" s="226">
        <f t="shared" si="3757"/>
        <v>0</v>
      </c>
      <c r="JS141" s="137">
        <f t="shared" si="3758"/>
        <v>0</v>
      </c>
      <c r="JT141" s="227">
        <f t="shared" si="3728"/>
        <v>35.700000000000003</v>
      </c>
      <c r="JU141" s="138">
        <f t="shared" si="3759"/>
        <v>0</v>
      </c>
      <c r="JV141" s="110">
        <f t="shared" si="3760"/>
        <v>0</v>
      </c>
      <c r="JW141" s="110"/>
      <c r="JX141" s="139"/>
      <c r="JY141" s="140" t="e">
        <f t="shared" si="3761"/>
        <v>#DIV/0!</v>
      </c>
      <c r="JZ141" s="198">
        <f t="shared" si="3724"/>
        <v>0</v>
      </c>
      <c r="KA141" s="225">
        <f t="shared" si="3762"/>
        <v>0</v>
      </c>
      <c r="KB141" s="226">
        <f t="shared" si="3763"/>
        <v>0</v>
      </c>
      <c r="KC141" s="137">
        <f t="shared" si="3764"/>
        <v>0</v>
      </c>
      <c r="KD141" s="227">
        <f t="shared" si="3728"/>
        <v>30.3</v>
      </c>
      <c r="KE141" s="138">
        <f t="shared" si="3765"/>
        <v>0</v>
      </c>
      <c r="KF141" s="110">
        <f t="shared" si="3766"/>
        <v>0</v>
      </c>
      <c r="KG141" s="110"/>
      <c r="KH141" s="139"/>
      <c r="KI141" s="140" t="e">
        <f t="shared" si="3767"/>
        <v>#DIV/0!</v>
      </c>
      <c r="KJ141" s="198">
        <f t="shared" si="3768"/>
        <v>0</v>
      </c>
      <c r="KK141" s="225">
        <f t="shared" si="3769"/>
        <v>0</v>
      </c>
      <c r="KL141" s="226">
        <f t="shared" si="3770"/>
        <v>0</v>
      </c>
      <c r="KM141" s="137">
        <f t="shared" si="3771"/>
        <v>0</v>
      </c>
      <c r="KN141" s="227">
        <f t="shared" si="3772"/>
        <v>30.43</v>
      </c>
      <c r="KO141" s="138">
        <f t="shared" si="3773"/>
        <v>0</v>
      </c>
      <c r="KP141" s="110">
        <f t="shared" si="3774"/>
        <v>0</v>
      </c>
      <c r="KQ141" s="110"/>
      <c r="KR141" s="139"/>
      <c r="KS141" s="140" t="e">
        <f t="shared" si="3775"/>
        <v>#DIV/0!</v>
      </c>
      <c r="KT141" s="198">
        <f t="shared" si="3768"/>
        <v>0</v>
      </c>
      <c r="KU141" s="225">
        <f t="shared" si="3776"/>
        <v>0</v>
      </c>
      <c r="KV141" s="226">
        <f t="shared" si="3777"/>
        <v>0</v>
      </c>
      <c r="KW141" s="137">
        <f t="shared" si="3778"/>
        <v>0</v>
      </c>
      <c r="KX141" s="227">
        <f t="shared" si="3772"/>
        <v>34.299999999999997</v>
      </c>
      <c r="KY141" s="138">
        <f t="shared" si="3779"/>
        <v>0</v>
      </c>
      <c r="KZ141" s="110">
        <f t="shared" si="3780"/>
        <v>0</v>
      </c>
      <c r="LA141" s="110"/>
      <c r="LB141" s="139"/>
      <c r="LC141" s="140" t="e">
        <f t="shared" si="3781"/>
        <v>#DIV/0!</v>
      </c>
      <c r="LD141" s="197">
        <f t="shared" si="3581"/>
        <v>0</v>
      </c>
      <c r="LE141" s="225">
        <f t="shared" si="3582"/>
        <v>0</v>
      </c>
      <c r="LF141" s="226">
        <f t="shared" si="3583"/>
        <v>0</v>
      </c>
      <c r="LG141" s="137">
        <f t="shared" si="3584"/>
        <v>0</v>
      </c>
      <c r="LH141" s="227">
        <f t="shared" si="3585"/>
        <v>28.89</v>
      </c>
      <c r="LI141" s="138">
        <f t="shared" si="3586"/>
        <v>0</v>
      </c>
      <c r="LJ141" s="110">
        <f t="shared" si="3587"/>
        <v>0</v>
      </c>
      <c r="LK141" s="110"/>
      <c r="LL141" s="139"/>
    </row>
    <row r="142" spans="1:324" ht="16.5" customHeight="1" x14ac:dyDescent="0.25">
      <c r="A142" s="246"/>
      <c r="B142" s="70" t="s">
        <v>626</v>
      </c>
      <c r="C142" s="12" t="s">
        <v>728</v>
      </c>
      <c r="D142" s="12" t="s">
        <v>430</v>
      </c>
      <c r="E142" s="4" t="s">
        <v>32</v>
      </c>
      <c r="F142" s="198">
        <f t="shared" si="3591"/>
        <v>1</v>
      </c>
      <c r="G142" s="225">
        <f t="shared" si="3588"/>
        <v>1.66E-3</v>
      </c>
      <c r="H142" s="226">
        <f t="shared" si="3589"/>
        <v>1.54</v>
      </c>
      <c r="I142" s="137">
        <f t="shared" si="3362"/>
        <v>1.54</v>
      </c>
      <c r="J142" s="227">
        <f t="shared" si="3590"/>
        <v>19.559999999999999</v>
      </c>
      <c r="K142" s="138">
        <f t="shared" si="3363"/>
        <v>30.122399999999999</v>
      </c>
      <c r="L142" s="110">
        <f t="shared" si="3364"/>
        <v>30.12</v>
      </c>
      <c r="M142" s="110"/>
      <c r="N142" s="139"/>
      <c r="O142" s="140">
        <f t="shared" si="3365"/>
        <v>0.48498999999999998</v>
      </c>
      <c r="P142" s="198">
        <f t="shared" si="3592"/>
        <v>3</v>
      </c>
      <c r="Q142" s="225">
        <f t="shared" si="3593"/>
        <v>2.7399999999999998E-3</v>
      </c>
      <c r="R142" s="226">
        <f t="shared" si="3594"/>
        <v>4.41</v>
      </c>
      <c r="S142" s="137">
        <f t="shared" si="3595"/>
        <v>1.47</v>
      </c>
      <c r="T142" s="227">
        <f t="shared" si="3596"/>
        <v>14.76</v>
      </c>
      <c r="U142" s="138">
        <f t="shared" si="3597"/>
        <v>21.697199999999999</v>
      </c>
      <c r="V142" s="110">
        <f t="shared" si="3598"/>
        <v>65.09</v>
      </c>
      <c r="W142" s="110"/>
      <c r="X142" s="139"/>
      <c r="Y142" s="140">
        <f t="shared" si="3599"/>
        <v>0.34933999999999998</v>
      </c>
      <c r="Z142" s="198">
        <f t="shared" si="3592"/>
        <v>1</v>
      </c>
      <c r="AA142" s="225">
        <f t="shared" si="3600"/>
        <v>1.16E-3</v>
      </c>
      <c r="AB142" s="226">
        <f t="shared" si="3601"/>
        <v>1.5</v>
      </c>
      <c r="AC142" s="137">
        <f t="shared" si="3602"/>
        <v>1.5</v>
      </c>
      <c r="AD142" s="227">
        <f t="shared" si="3596"/>
        <v>33.520000000000003</v>
      </c>
      <c r="AE142" s="138">
        <f t="shared" si="3603"/>
        <v>50.28</v>
      </c>
      <c r="AF142" s="110">
        <f t="shared" si="3604"/>
        <v>50.28</v>
      </c>
      <c r="AG142" s="110"/>
      <c r="AH142" s="139"/>
      <c r="AI142" s="140">
        <f t="shared" si="3605"/>
        <v>0.80954000000000004</v>
      </c>
      <c r="AJ142" s="198">
        <f t="shared" si="3592"/>
        <v>2</v>
      </c>
      <c r="AK142" s="225">
        <f t="shared" si="3606"/>
        <v>3.0100000000000001E-3</v>
      </c>
      <c r="AL142" s="226">
        <f t="shared" si="3607"/>
        <v>3.43</v>
      </c>
      <c r="AM142" s="137">
        <f t="shared" si="3608"/>
        <v>1.7150000000000001</v>
      </c>
      <c r="AN142" s="227">
        <f t="shared" si="3596"/>
        <v>33.07</v>
      </c>
      <c r="AO142" s="138">
        <f t="shared" si="3609"/>
        <v>56.715049999999998</v>
      </c>
      <c r="AP142" s="110">
        <f t="shared" si="3610"/>
        <v>113.43</v>
      </c>
      <c r="AQ142" s="110"/>
      <c r="AR142" s="139"/>
      <c r="AS142" s="140">
        <f t="shared" si="3611"/>
        <v>0.91315000000000002</v>
      </c>
      <c r="AT142" s="198">
        <f t="shared" si="3592"/>
        <v>4</v>
      </c>
      <c r="AU142" s="225">
        <f t="shared" si="3612"/>
        <v>4.2100000000000002E-3</v>
      </c>
      <c r="AV142" s="226">
        <f t="shared" si="3613"/>
        <v>3.83</v>
      </c>
      <c r="AW142" s="137">
        <f t="shared" si="3614"/>
        <v>0.95750000000000002</v>
      </c>
      <c r="AX142" s="227">
        <f t="shared" si="3596"/>
        <v>28.2</v>
      </c>
      <c r="AY142" s="138">
        <f t="shared" si="3615"/>
        <v>27.0015</v>
      </c>
      <c r="AZ142" s="110">
        <f t="shared" si="3616"/>
        <v>108.01</v>
      </c>
      <c r="BA142" s="110"/>
      <c r="BB142" s="139"/>
      <c r="BC142" s="140">
        <f t="shared" si="3617"/>
        <v>0.43474000000000002</v>
      </c>
      <c r="BD142" s="198">
        <f t="shared" si="3592"/>
        <v>1</v>
      </c>
      <c r="BE142" s="225">
        <f t="shared" si="3618"/>
        <v>1.34E-3</v>
      </c>
      <c r="BF142" s="226">
        <f t="shared" si="3619"/>
        <v>1.9</v>
      </c>
      <c r="BG142" s="137">
        <f t="shared" si="3620"/>
        <v>1.9</v>
      </c>
      <c r="BH142" s="227">
        <f t="shared" si="3596"/>
        <v>33.75</v>
      </c>
      <c r="BI142" s="138">
        <f t="shared" si="3621"/>
        <v>64.125</v>
      </c>
      <c r="BJ142" s="110">
        <f t="shared" si="3622"/>
        <v>64.13</v>
      </c>
      <c r="BK142" s="110"/>
      <c r="BL142" s="139"/>
      <c r="BM142" s="140">
        <f t="shared" si="3623"/>
        <v>1.0324500000000001</v>
      </c>
      <c r="BN142" s="198">
        <f t="shared" si="3592"/>
        <v>3</v>
      </c>
      <c r="BO142" s="225">
        <f t="shared" si="3624"/>
        <v>4.8599999999999997E-3</v>
      </c>
      <c r="BP142" s="226">
        <f t="shared" si="3625"/>
        <v>5.93</v>
      </c>
      <c r="BQ142" s="137">
        <f t="shared" si="3626"/>
        <v>1.97666667</v>
      </c>
      <c r="BR142" s="227">
        <f t="shared" si="3596"/>
        <v>32.79</v>
      </c>
      <c r="BS142" s="138">
        <f t="shared" si="3627"/>
        <v>64.814899999999994</v>
      </c>
      <c r="BT142" s="110">
        <f t="shared" si="3628"/>
        <v>194.44</v>
      </c>
      <c r="BU142" s="110"/>
      <c r="BV142" s="139"/>
      <c r="BW142" s="140">
        <f t="shared" si="3629"/>
        <v>1.04356</v>
      </c>
      <c r="BX142" s="198">
        <f t="shared" si="3592"/>
        <v>1</v>
      </c>
      <c r="BY142" s="225">
        <f t="shared" si="3630"/>
        <v>1.2700000000000001E-3</v>
      </c>
      <c r="BZ142" s="226">
        <f t="shared" si="3631"/>
        <v>1.87</v>
      </c>
      <c r="CA142" s="137">
        <f t="shared" si="3632"/>
        <v>1.87</v>
      </c>
      <c r="CB142" s="227">
        <f t="shared" si="3596"/>
        <v>30.39</v>
      </c>
      <c r="CC142" s="138">
        <f t="shared" si="3633"/>
        <v>56.829300000000003</v>
      </c>
      <c r="CD142" s="110">
        <f t="shared" si="3634"/>
        <v>56.83</v>
      </c>
      <c r="CE142" s="110"/>
      <c r="CF142" s="139"/>
      <c r="CG142" s="140">
        <f t="shared" si="3635"/>
        <v>0.91498999999999997</v>
      </c>
      <c r="CH142" s="198">
        <f t="shared" si="3636"/>
        <v>5</v>
      </c>
      <c r="CI142" s="225">
        <f t="shared" si="3637"/>
        <v>5.4099999999999999E-3</v>
      </c>
      <c r="CJ142" s="226">
        <f t="shared" si="3638"/>
        <v>12.66</v>
      </c>
      <c r="CK142" s="137">
        <f t="shared" si="3639"/>
        <v>2.532</v>
      </c>
      <c r="CL142" s="227">
        <f t="shared" si="3640"/>
        <v>25.57</v>
      </c>
      <c r="CM142" s="138">
        <f t="shared" si="3641"/>
        <v>64.74324</v>
      </c>
      <c r="CN142" s="110">
        <f t="shared" si="3642"/>
        <v>323.72000000000003</v>
      </c>
      <c r="CO142" s="110"/>
      <c r="CP142" s="139"/>
      <c r="CQ142" s="140">
        <f t="shared" si="3643"/>
        <v>1.0424100000000001</v>
      </c>
      <c r="CR142" s="198">
        <f t="shared" si="3636"/>
        <v>2</v>
      </c>
      <c r="CS142" s="225">
        <f t="shared" si="3644"/>
        <v>2.6900000000000001E-3</v>
      </c>
      <c r="CT142" s="226">
        <f t="shared" si="3645"/>
        <v>3.23</v>
      </c>
      <c r="CU142" s="137">
        <f t="shared" si="3646"/>
        <v>1.615</v>
      </c>
      <c r="CV142" s="227">
        <f t="shared" si="3640"/>
        <v>28.26</v>
      </c>
      <c r="CW142" s="138">
        <f t="shared" si="3647"/>
        <v>45.639899999999997</v>
      </c>
      <c r="CX142" s="110">
        <f t="shared" si="3648"/>
        <v>91.28</v>
      </c>
      <c r="CY142" s="110"/>
      <c r="CZ142" s="139"/>
      <c r="DA142" s="140">
        <f t="shared" si="3649"/>
        <v>0.73482999999999998</v>
      </c>
      <c r="DB142" s="198">
        <f t="shared" si="3636"/>
        <v>0</v>
      </c>
      <c r="DC142" s="225">
        <f t="shared" si="3650"/>
        <v>0</v>
      </c>
      <c r="DD142" s="226">
        <f t="shared" si="3651"/>
        <v>0</v>
      </c>
      <c r="DE142" s="137">
        <f t="shared" si="3652"/>
        <v>0</v>
      </c>
      <c r="DF142" s="227">
        <f t="shared" si="3640"/>
        <v>31.22</v>
      </c>
      <c r="DG142" s="138">
        <f t="shared" si="3653"/>
        <v>0</v>
      </c>
      <c r="DH142" s="110">
        <f t="shared" si="3654"/>
        <v>0</v>
      </c>
      <c r="DI142" s="110"/>
      <c r="DJ142" s="139"/>
      <c r="DK142" s="140">
        <f t="shared" si="3655"/>
        <v>0</v>
      </c>
      <c r="DL142" s="198">
        <f t="shared" si="3636"/>
        <v>0</v>
      </c>
      <c r="DM142" s="225">
        <f t="shared" si="3656"/>
        <v>0</v>
      </c>
      <c r="DN142" s="226">
        <f t="shared" si="3657"/>
        <v>0</v>
      </c>
      <c r="DO142" s="137">
        <f t="shared" si="3658"/>
        <v>0</v>
      </c>
      <c r="DP142" s="227">
        <f t="shared" si="3640"/>
        <v>33.9</v>
      </c>
      <c r="DQ142" s="138">
        <f t="shared" si="3659"/>
        <v>0</v>
      </c>
      <c r="DR142" s="110">
        <f t="shared" si="3660"/>
        <v>0</v>
      </c>
      <c r="DS142" s="110"/>
      <c r="DT142" s="139"/>
      <c r="DU142" s="140">
        <f t="shared" si="3661"/>
        <v>0</v>
      </c>
      <c r="DV142" s="198">
        <f t="shared" si="3636"/>
        <v>4</v>
      </c>
      <c r="DW142" s="225">
        <f t="shared" si="3662"/>
        <v>4.5599999999999998E-3</v>
      </c>
      <c r="DX142" s="226">
        <f t="shared" si="3663"/>
        <v>6.06</v>
      </c>
      <c r="DY142" s="137">
        <f t="shared" si="3664"/>
        <v>1.5149999999999999</v>
      </c>
      <c r="DZ142" s="227">
        <f t="shared" si="3640"/>
        <v>12.79</v>
      </c>
      <c r="EA142" s="138">
        <f t="shared" si="3665"/>
        <v>19.376850000000001</v>
      </c>
      <c r="EB142" s="110">
        <f t="shared" si="3666"/>
        <v>77.510000000000005</v>
      </c>
      <c r="EC142" s="110"/>
      <c r="ED142" s="139"/>
      <c r="EE142" s="140">
        <f t="shared" si="3667"/>
        <v>0.31197999999999998</v>
      </c>
      <c r="EF142" s="198">
        <f t="shared" si="3636"/>
        <v>3</v>
      </c>
      <c r="EG142" s="225">
        <f t="shared" si="3668"/>
        <v>3.1900000000000001E-3</v>
      </c>
      <c r="EH142" s="226">
        <f t="shared" si="3669"/>
        <v>2.93</v>
      </c>
      <c r="EI142" s="137">
        <f t="shared" si="3670"/>
        <v>0.97666666999999996</v>
      </c>
      <c r="EJ142" s="227">
        <f t="shared" si="3640"/>
        <v>23.18</v>
      </c>
      <c r="EK142" s="138">
        <f t="shared" si="3671"/>
        <v>22.639130000000002</v>
      </c>
      <c r="EL142" s="110">
        <f t="shared" si="3672"/>
        <v>67.92</v>
      </c>
      <c r="EM142" s="110"/>
      <c r="EN142" s="139"/>
      <c r="EO142" s="140">
        <f t="shared" si="3673"/>
        <v>0.36449999999999999</v>
      </c>
      <c r="EP142" s="198">
        <f t="shared" si="3636"/>
        <v>2</v>
      </c>
      <c r="EQ142" s="225">
        <f t="shared" si="3674"/>
        <v>2.1199999999999999E-3</v>
      </c>
      <c r="ER142" s="226">
        <f t="shared" si="3675"/>
        <v>4.62</v>
      </c>
      <c r="ES142" s="137">
        <f t="shared" si="3676"/>
        <v>2.31</v>
      </c>
      <c r="ET142" s="227">
        <f t="shared" si="3640"/>
        <v>30.66</v>
      </c>
      <c r="EU142" s="138">
        <f t="shared" si="3677"/>
        <v>70.824600000000004</v>
      </c>
      <c r="EV142" s="110">
        <f t="shared" si="3678"/>
        <v>141.65</v>
      </c>
      <c r="EW142" s="110"/>
      <c r="EX142" s="139"/>
      <c r="EY142" s="140">
        <f t="shared" si="3679"/>
        <v>1.14032</v>
      </c>
      <c r="EZ142" s="198">
        <f t="shared" si="3680"/>
        <v>1</v>
      </c>
      <c r="FA142" s="225">
        <f t="shared" si="3681"/>
        <v>8.9999999999999998E-4</v>
      </c>
      <c r="FB142" s="226">
        <f t="shared" si="3682"/>
        <v>1.62</v>
      </c>
      <c r="FC142" s="137">
        <f t="shared" si="3683"/>
        <v>1.62</v>
      </c>
      <c r="FD142" s="227">
        <f t="shared" si="3684"/>
        <v>34.119999999999997</v>
      </c>
      <c r="FE142" s="138">
        <f t="shared" si="3685"/>
        <v>55.2744</v>
      </c>
      <c r="FF142" s="110">
        <f t="shared" si="3686"/>
        <v>55.27</v>
      </c>
      <c r="FG142" s="110"/>
      <c r="FH142" s="139"/>
      <c r="FI142" s="140">
        <f t="shared" si="3687"/>
        <v>0.88995000000000002</v>
      </c>
      <c r="FJ142" s="198">
        <f t="shared" si="3680"/>
        <v>2</v>
      </c>
      <c r="FK142" s="225">
        <f t="shared" si="3688"/>
        <v>1.9599999999999999E-3</v>
      </c>
      <c r="FL142" s="226">
        <f t="shared" si="3689"/>
        <v>3.37</v>
      </c>
      <c r="FM142" s="137">
        <f t="shared" si="3690"/>
        <v>1.6850000000000001</v>
      </c>
      <c r="FN142" s="227">
        <f t="shared" si="3684"/>
        <v>18.39</v>
      </c>
      <c r="FO142" s="138">
        <f t="shared" si="3691"/>
        <v>30.98715</v>
      </c>
      <c r="FP142" s="110">
        <f t="shared" si="3692"/>
        <v>61.97</v>
      </c>
      <c r="FQ142" s="110"/>
      <c r="FR142" s="139"/>
      <c r="FS142" s="140">
        <f t="shared" si="3693"/>
        <v>0.49891000000000002</v>
      </c>
      <c r="FT142" s="198">
        <f t="shared" si="3680"/>
        <v>3</v>
      </c>
      <c r="FU142" s="225">
        <f t="shared" si="3694"/>
        <v>3.7399999999999998E-3</v>
      </c>
      <c r="FV142" s="226">
        <f t="shared" si="3695"/>
        <v>5.33</v>
      </c>
      <c r="FW142" s="137">
        <f t="shared" si="3696"/>
        <v>1.77666667</v>
      </c>
      <c r="FX142" s="227">
        <f t="shared" si="3684"/>
        <v>32.619999999999997</v>
      </c>
      <c r="FY142" s="138">
        <f t="shared" si="3697"/>
        <v>57.95487</v>
      </c>
      <c r="FZ142" s="110">
        <f t="shared" si="3698"/>
        <v>173.86</v>
      </c>
      <c r="GA142" s="110"/>
      <c r="GB142" s="139"/>
      <c r="GC142" s="140">
        <f t="shared" si="3699"/>
        <v>0.93310999999999999</v>
      </c>
      <c r="GD142" s="198">
        <f t="shared" si="3680"/>
        <v>3</v>
      </c>
      <c r="GE142" s="225">
        <f t="shared" si="3700"/>
        <v>5.8599999999999998E-3</v>
      </c>
      <c r="GF142" s="226">
        <f t="shared" si="3701"/>
        <v>5.04</v>
      </c>
      <c r="GG142" s="137">
        <f t="shared" si="3702"/>
        <v>1.68</v>
      </c>
      <c r="GH142" s="227">
        <f t="shared" si="3684"/>
        <v>33.28</v>
      </c>
      <c r="GI142" s="138">
        <f t="shared" si="3703"/>
        <v>55.910400000000003</v>
      </c>
      <c r="GJ142" s="110">
        <f t="shared" si="3704"/>
        <v>167.73</v>
      </c>
      <c r="GK142" s="110"/>
      <c r="GL142" s="139"/>
      <c r="GM142" s="140">
        <f t="shared" si="3705"/>
        <v>0.90019000000000005</v>
      </c>
      <c r="GN142" s="198">
        <f t="shared" si="3680"/>
        <v>2</v>
      </c>
      <c r="GO142" s="225">
        <f t="shared" si="3706"/>
        <v>2.31E-3</v>
      </c>
      <c r="GP142" s="226">
        <f t="shared" si="3707"/>
        <v>6.35</v>
      </c>
      <c r="GQ142" s="137">
        <f t="shared" si="3708"/>
        <v>3.1749999999999998</v>
      </c>
      <c r="GR142" s="227">
        <f t="shared" si="3684"/>
        <v>30.78</v>
      </c>
      <c r="GS142" s="138">
        <f t="shared" si="3709"/>
        <v>97.726500000000001</v>
      </c>
      <c r="GT142" s="110">
        <f t="shared" si="3710"/>
        <v>195.45</v>
      </c>
      <c r="GU142" s="110"/>
      <c r="GV142" s="139"/>
      <c r="GW142" s="140">
        <f t="shared" si="3711"/>
        <v>1.5734600000000001</v>
      </c>
      <c r="GX142" s="198">
        <f t="shared" si="3680"/>
        <v>0</v>
      </c>
      <c r="GY142" s="225">
        <f t="shared" si="3712"/>
        <v>0</v>
      </c>
      <c r="GZ142" s="226">
        <f t="shared" si="3713"/>
        <v>0</v>
      </c>
      <c r="HA142" s="137">
        <f t="shared" si="3714"/>
        <v>0</v>
      </c>
      <c r="HB142" s="227">
        <f t="shared" si="3684"/>
        <v>21.23</v>
      </c>
      <c r="HC142" s="138">
        <f t="shared" si="3715"/>
        <v>0</v>
      </c>
      <c r="HD142" s="110">
        <f t="shared" si="3716"/>
        <v>0</v>
      </c>
      <c r="HE142" s="110"/>
      <c r="HF142" s="139"/>
      <c r="HG142" s="140">
        <f t="shared" si="3717"/>
        <v>0</v>
      </c>
      <c r="HH142" s="198">
        <f t="shared" si="3680"/>
        <v>2</v>
      </c>
      <c r="HI142" s="225">
        <f t="shared" si="3718"/>
        <v>1.74E-3</v>
      </c>
      <c r="HJ142" s="226">
        <f t="shared" si="3719"/>
        <v>5.79</v>
      </c>
      <c r="HK142" s="137">
        <f t="shared" si="3720"/>
        <v>2.895</v>
      </c>
      <c r="HL142" s="227">
        <f t="shared" si="3684"/>
        <v>28.23</v>
      </c>
      <c r="HM142" s="138">
        <f t="shared" si="3721"/>
        <v>81.725849999999994</v>
      </c>
      <c r="HN142" s="110">
        <f t="shared" si="3722"/>
        <v>163.44999999999999</v>
      </c>
      <c r="HO142" s="110"/>
      <c r="HP142" s="139"/>
      <c r="HQ142" s="140">
        <f t="shared" si="3723"/>
        <v>1.3158399999999999</v>
      </c>
      <c r="HR142" s="198">
        <f t="shared" si="3724"/>
        <v>3</v>
      </c>
      <c r="HS142" s="225">
        <f t="shared" si="3725"/>
        <v>3.81E-3</v>
      </c>
      <c r="HT142" s="226">
        <f t="shared" si="3726"/>
        <v>3.43</v>
      </c>
      <c r="HU142" s="137">
        <f t="shared" si="3727"/>
        <v>1.1433333299999999</v>
      </c>
      <c r="HV142" s="227">
        <f t="shared" si="3728"/>
        <v>31.27</v>
      </c>
      <c r="HW142" s="138">
        <f t="shared" si="3729"/>
        <v>35.752029999999998</v>
      </c>
      <c r="HX142" s="110">
        <f t="shared" si="3730"/>
        <v>107.26</v>
      </c>
      <c r="HY142" s="110"/>
      <c r="HZ142" s="139"/>
      <c r="IA142" s="140">
        <f t="shared" si="3731"/>
        <v>0.57562999999999998</v>
      </c>
      <c r="IB142" s="198">
        <f t="shared" si="3724"/>
        <v>4</v>
      </c>
      <c r="IC142" s="225">
        <f t="shared" si="3732"/>
        <v>7.3000000000000001E-3</v>
      </c>
      <c r="ID142" s="226">
        <f t="shared" si="3733"/>
        <v>3.14</v>
      </c>
      <c r="IE142" s="137">
        <f t="shared" si="3734"/>
        <v>0.78500000000000003</v>
      </c>
      <c r="IF142" s="227">
        <f t="shared" si="3728"/>
        <v>28.65</v>
      </c>
      <c r="IG142" s="138">
        <f t="shared" si="3735"/>
        <v>22.49025</v>
      </c>
      <c r="IH142" s="110">
        <f t="shared" si="3736"/>
        <v>89.96</v>
      </c>
      <c r="II142" s="110"/>
      <c r="IJ142" s="139"/>
      <c r="IK142" s="140">
        <f t="shared" si="3737"/>
        <v>0.36210999999999999</v>
      </c>
      <c r="IL142" s="198">
        <f t="shared" si="3724"/>
        <v>4</v>
      </c>
      <c r="IM142" s="225">
        <f t="shared" si="3738"/>
        <v>3.16E-3</v>
      </c>
      <c r="IN142" s="226">
        <f t="shared" si="3739"/>
        <v>9.3000000000000007</v>
      </c>
      <c r="IO142" s="137">
        <f t="shared" si="3740"/>
        <v>2.3250000000000002</v>
      </c>
      <c r="IP142" s="227">
        <f t="shared" si="3728"/>
        <v>33.04</v>
      </c>
      <c r="IQ142" s="138">
        <f t="shared" si="3741"/>
        <v>76.817999999999998</v>
      </c>
      <c r="IR142" s="110">
        <f t="shared" si="3742"/>
        <v>307.27</v>
      </c>
      <c r="IS142" s="110"/>
      <c r="IT142" s="139"/>
      <c r="IU142" s="140">
        <f t="shared" si="3743"/>
        <v>1.23682</v>
      </c>
      <c r="IV142" s="198">
        <f t="shared" si="3724"/>
        <v>5</v>
      </c>
      <c r="IW142" s="225">
        <f t="shared" si="3744"/>
        <v>6.4900000000000001E-3</v>
      </c>
      <c r="IX142" s="226">
        <f t="shared" si="3745"/>
        <v>10.38</v>
      </c>
      <c r="IY142" s="137">
        <f t="shared" si="3746"/>
        <v>2.0760000000000001</v>
      </c>
      <c r="IZ142" s="227">
        <f t="shared" si="3728"/>
        <v>33.36</v>
      </c>
      <c r="JA142" s="138">
        <f t="shared" si="3747"/>
        <v>69.255359999999996</v>
      </c>
      <c r="JB142" s="110">
        <f t="shared" si="3748"/>
        <v>346.28</v>
      </c>
      <c r="JC142" s="110"/>
      <c r="JD142" s="139"/>
      <c r="JE142" s="140">
        <f t="shared" si="3749"/>
        <v>1.1150599999999999</v>
      </c>
      <c r="JF142" s="198">
        <f t="shared" si="3724"/>
        <v>2</v>
      </c>
      <c r="JG142" s="225">
        <f t="shared" si="3750"/>
        <v>1.49E-3</v>
      </c>
      <c r="JH142" s="226">
        <f t="shared" si="3751"/>
        <v>5.69</v>
      </c>
      <c r="JI142" s="137">
        <f t="shared" si="3752"/>
        <v>2.8450000000000002</v>
      </c>
      <c r="JJ142" s="227">
        <f t="shared" si="3728"/>
        <v>21.96</v>
      </c>
      <c r="JK142" s="138">
        <f t="shared" si="3753"/>
        <v>62.476199999999999</v>
      </c>
      <c r="JL142" s="110">
        <f t="shared" si="3754"/>
        <v>124.95</v>
      </c>
      <c r="JM142" s="110"/>
      <c r="JN142" s="139"/>
      <c r="JO142" s="140">
        <f t="shared" si="3755"/>
        <v>1.0059100000000001</v>
      </c>
      <c r="JP142" s="198">
        <f t="shared" si="3724"/>
        <v>4</v>
      </c>
      <c r="JQ142" s="225">
        <f t="shared" si="3756"/>
        <v>3.2000000000000002E-3</v>
      </c>
      <c r="JR142" s="226">
        <f t="shared" si="3757"/>
        <v>12.16</v>
      </c>
      <c r="JS142" s="137">
        <f t="shared" si="3758"/>
        <v>3.04</v>
      </c>
      <c r="JT142" s="227">
        <f t="shared" si="3728"/>
        <v>35.700000000000003</v>
      </c>
      <c r="JU142" s="138">
        <f t="shared" si="3759"/>
        <v>108.52800000000001</v>
      </c>
      <c r="JV142" s="110">
        <f t="shared" si="3760"/>
        <v>434.11</v>
      </c>
      <c r="JW142" s="110"/>
      <c r="JX142" s="139"/>
      <c r="JY142" s="140">
        <f t="shared" si="3761"/>
        <v>1.7473700000000001</v>
      </c>
      <c r="JZ142" s="198">
        <f t="shared" si="3724"/>
        <v>0</v>
      </c>
      <c r="KA142" s="225">
        <f t="shared" si="3762"/>
        <v>0</v>
      </c>
      <c r="KB142" s="226">
        <f t="shared" si="3763"/>
        <v>0</v>
      </c>
      <c r="KC142" s="137">
        <f t="shared" si="3764"/>
        <v>0</v>
      </c>
      <c r="KD142" s="227">
        <f t="shared" si="3728"/>
        <v>30.3</v>
      </c>
      <c r="KE142" s="138">
        <f t="shared" si="3765"/>
        <v>0</v>
      </c>
      <c r="KF142" s="110">
        <f t="shared" si="3766"/>
        <v>0</v>
      </c>
      <c r="KG142" s="110"/>
      <c r="KH142" s="139"/>
      <c r="KI142" s="140">
        <f t="shared" si="3767"/>
        <v>0</v>
      </c>
      <c r="KJ142" s="198">
        <f t="shared" si="3768"/>
        <v>2</v>
      </c>
      <c r="KK142" s="225">
        <f t="shared" si="3769"/>
        <v>1.49E-3</v>
      </c>
      <c r="KL142" s="226">
        <f t="shared" si="3770"/>
        <v>3.95</v>
      </c>
      <c r="KM142" s="137">
        <f t="shared" si="3771"/>
        <v>1.9750000000000001</v>
      </c>
      <c r="KN142" s="227">
        <f t="shared" si="3772"/>
        <v>30.43</v>
      </c>
      <c r="KO142" s="138">
        <f t="shared" si="3773"/>
        <v>60.099249999999998</v>
      </c>
      <c r="KP142" s="110">
        <f t="shared" si="3774"/>
        <v>120.2</v>
      </c>
      <c r="KQ142" s="110"/>
      <c r="KR142" s="139"/>
      <c r="KS142" s="140">
        <f t="shared" si="3775"/>
        <v>0.96763999999999994</v>
      </c>
      <c r="KT142" s="198">
        <f t="shared" si="3768"/>
        <v>0</v>
      </c>
      <c r="KU142" s="225">
        <f t="shared" si="3776"/>
        <v>0</v>
      </c>
      <c r="KV142" s="226">
        <f t="shared" si="3777"/>
        <v>0</v>
      </c>
      <c r="KW142" s="137">
        <f t="shared" si="3778"/>
        <v>0</v>
      </c>
      <c r="KX142" s="227">
        <f t="shared" si="3772"/>
        <v>34.299999999999997</v>
      </c>
      <c r="KY142" s="138">
        <f t="shared" si="3779"/>
        <v>0</v>
      </c>
      <c r="KZ142" s="110">
        <f t="shared" si="3780"/>
        <v>0</v>
      </c>
      <c r="LA142" s="110"/>
      <c r="LB142" s="139"/>
      <c r="LC142" s="140">
        <f t="shared" si="3781"/>
        <v>0</v>
      </c>
      <c r="LD142" s="197">
        <f t="shared" si="3581"/>
        <v>69</v>
      </c>
      <c r="LE142" s="225">
        <f t="shared" si="3582"/>
        <v>2.4199999999999998E-3</v>
      </c>
      <c r="LF142" s="226">
        <f t="shared" si="3583"/>
        <v>148.34</v>
      </c>
      <c r="LG142" s="137">
        <f t="shared" si="3584"/>
        <v>2.1498550700000001</v>
      </c>
      <c r="LH142" s="227">
        <f t="shared" si="3585"/>
        <v>28.89</v>
      </c>
      <c r="LI142" s="138">
        <f t="shared" si="3586"/>
        <v>62.109310000000001</v>
      </c>
      <c r="LJ142" s="110">
        <f t="shared" si="3587"/>
        <v>4285.54</v>
      </c>
      <c r="LK142" s="110"/>
      <c r="LL142" s="139"/>
    </row>
    <row r="143" spans="1:324" ht="16.5" customHeight="1" x14ac:dyDescent="0.25">
      <c r="A143" s="246"/>
      <c r="B143" s="70" t="s">
        <v>627</v>
      </c>
      <c r="C143" s="12" t="s">
        <v>728</v>
      </c>
      <c r="D143" s="12" t="s">
        <v>430</v>
      </c>
      <c r="E143" s="4" t="s">
        <v>32</v>
      </c>
      <c r="F143" s="198">
        <f t="shared" si="3591"/>
        <v>0</v>
      </c>
      <c r="G143" s="225">
        <f t="shared" si="3588"/>
        <v>0</v>
      </c>
      <c r="H143" s="226">
        <f t="shared" si="3589"/>
        <v>0</v>
      </c>
      <c r="I143" s="137">
        <f t="shared" si="3362"/>
        <v>0</v>
      </c>
      <c r="J143" s="227">
        <f t="shared" si="3590"/>
        <v>19.559999999999999</v>
      </c>
      <c r="K143" s="138">
        <f t="shared" si="3363"/>
        <v>0</v>
      </c>
      <c r="L143" s="110">
        <f t="shared" si="3364"/>
        <v>0</v>
      </c>
      <c r="M143" s="110"/>
      <c r="N143" s="139"/>
      <c r="O143" s="140">
        <f t="shared" si="3365"/>
        <v>0</v>
      </c>
      <c r="P143" s="198">
        <f t="shared" si="3592"/>
        <v>0</v>
      </c>
      <c r="Q143" s="225">
        <f t="shared" si="3593"/>
        <v>0</v>
      </c>
      <c r="R143" s="226">
        <f t="shared" si="3594"/>
        <v>0</v>
      </c>
      <c r="S143" s="137">
        <f t="shared" si="3595"/>
        <v>0</v>
      </c>
      <c r="T143" s="227">
        <f t="shared" si="3596"/>
        <v>14.76</v>
      </c>
      <c r="U143" s="138">
        <f t="shared" si="3597"/>
        <v>0</v>
      </c>
      <c r="V143" s="110">
        <f t="shared" si="3598"/>
        <v>0</v>
      </c>
      <c r="W143" s="110"/>
      <c r="X143" s="139"/>
      <c r="Y143" s="140">
        <f t="shared" si="3599"/>
        <v>0</v>
      </c>
      <c r="Z143" s="198">
        <f t="shared" si="3592"/>
        <v>0</v>
      </c>
      <c r="AA143" s="225">
        <f t="shared" si="3600"/>
        <v>0</v>
      </c>
      <c r="AB143" s="226">
        <f t="shared" si="3601"/>
        <v>0</v>
      </c>
      <c r="AC143" s="137">
        <f t="shared" si="3602"/>
        <v>0</v>
      </c>
      <c r="AD143" s="227">
        <f t="shared" si="3596"/>
        <v>33.520000000000003</v>
      </c>
      <c r="AE143" s="138">
        <f t="shared" si="3603"/>
        <v>0</v>
      </c>
      <c r="AF143" s="110">
        <f t="shared" si="3604"/>
        <v>0</v>
      </c>
      <c r="AG143" s="110"/>
      <c r="AH143" s="139"/>
      <c r="AI143" s="140">
        <f t="shared" si="3605"/>
        <v>0</v>
      </c>
      <c r="AJ143" s="198">
        <f t="shared" si="3592"/>
        <v>0</v>
      </c>
      <c r="AK143" s="225">
        <f t="shared" si="3606"/>
        <v>0</v>
      </c>
      <c r="AL143" s="226">
        <f t="shared" si="3607"/>
        <v>0</v>
      </c>
      <c r="AM143" s="137">
        <f t="shared" si="3608"/>
        <v>0</v>
      </c>
      <c r="AN143" s="227">
        <f t="shared" si="3596"/>
        <v>33.07</v>
      </c>
      <c r="AO143" s="138">
        <f t="shared" si="3609"/>
        <v>0</v>
      </c>
      <c r="AP143" s="110">
        <f t="shared" si="3610"/>
        <v>0</v>
      </c>
      <c r="AQ143" s="110"/>
      <c r="AR143" s="139"/>
      <c r="AS143" s="140">
        <f t="shared" si="3611"/>
        <v>0</v>
      </c>
      <c r="AT143" s="198">
        <f t="shared" si="3592"/>
        <v>4</v>
      </c>
      <c r="AU143" s="225">
        <f t="shared" si="3612"/>
        <v>4.2100000000000002E-3</v>
      </c>
      <c r="AV143" s="226">
        <f t="shared" si="3613"/>
        <v>3.83</v>
      </c>
      <c r="AW143" s="137">
        <f t="shared" si="3614"/>
        <v>0.95750000000000002</v>
      </c>
      <c r="AX143" s="227">
        <f t="shared" si="3596"/>
        <v>28.2</v>
      </c>
      <c r="AY143" s="138">
        <f t="shared" si="3615"/>
        <v>27.0015</v>
      </c>
      <c r="AZ143" s="110">
        <f t="shared" si="3616"/>
        <v>108.01</v>
      </c>
      <c r="BA143" s="110"/>
      <c r="BB143" s="139"/>
      <c r="BC143" s="140">
        <f t="shared" si="3617"/>
        <v>0.43464999999999998</v>
      </c>
      <c r="BD143" s="198">
        <f t="shared" si="3592"/>
        <v>0</v>
      </c>
      <c r="BE143" s="225">
        <f t="shared" si="3618"/>
        <v>0</v>
      </c>
      <c r="BF143" s="226">
        <f t="shared" si="3619"/>
        <v>0</v>
      </c>
      <c r="BG143" s="137">
        <f t="shared" si="3620"/>
        <v>0</v>
      </c>
      <c r="BH143" s="227">
        <f t="shared" si="3596"/>
        <v>33.75</v>
      </c>
      <c r="BI143" s="138">
        <f t="shared" si="3621"/>
        <v>0</v>
      </c>
      <c r="BJ143" s="110">
        <f t="shared" si="3622"/>
        <v>0</v>
      </c>
      <c r="BK143" s="110"/>
      <c r="BL143" s="139"/>
      <c r="BM143" s="140">
        <f t="shared" si="3623"/>
        <v>0</v>
      </c>
      <c r="BN143" s="198">
        <f t="shared" si="3592"/>
        <v>0</v>
      </c>
      <c r="BO143" s="225">
        <f t="shared" si="3624"/>
        <v>0</v>
      </c>
      <c r="BP143" s="226">
        <f t="shared" si="3625"/>
        <v>0</v>
      </c>
      <c r="BQ143" s="137">
        <f t="shared" si="3626"/>
        <v>0</v>
      </c>
      <c r="BR143" s="227">
        <f t="shared" si="3596"/>
        <v>32.79</v>
      </c>
      <c r="BS143" s="138">
        <f t="shared" si="3627"/>
        <v>0</v>
      </c>
      <c r="BT143" s="110">
        <f t="shared" si="3628"/>
        <v>0</v>
      </c>
      <c r="BU143" s="110"/>
      <c r="BV143" s="139"/>
      <c r="BW143" s="140">
        <f t="shared" si="3629"/>
        <v>0</v>
      </c>
      <c r="BX143" s="198">
        <f t="shared" si="3592"/>
        <v>3</v>
      </c>
      <c r="BY143" s="225">
        <f t="shared" si="3630"/>
        <v>3.81E-3</v>
      </c>
      <c r="BZ143" s="226">
        <f t="shared" si="3631"/>
        <v>5.6</v>
      </c>
      <c r="CA143" s="137">
        <f t="shared" si="3632"/>
        <v>1.8666666700000001</v>
      </c>
      <c r="CB143" s="227">
        <f t="shared" si="3596"/>
        <v>30.39</v>
      </c>
      <c r="CC143" s="138">
        <f t="shared" si="3633"/>
        <v>56.728000000000002</v>
      </c>
      <c r="CD143" s="110">
        <f t="shared" si="3634"/>
        <v>170.18</v>
      </c>
      <c r="CE143" s="110"/>
      <c r="CF143" s="139"/>
      <c r="CG143" s="140">
        <f t="shared" si="3635"/>
        <v>0.91315999999999997</v>
      </c>
      <c r="CH143" s="198">
        <f t="shared" si="3636"/>
        <v>0</v>
      </c>
      <c r="CI143" s="225">
        <f t="shared" si="3637"/>
        <v>0</v>
      </c>
      <c r="CJ143" s="226">
        <f t="shared" si="3638"/>
        <v>0</v>
      </c>
      <c r="CK143" s="137">
        <f t="shared" si="3639"/>
        <v>0</v>
      </c>
      <c r="CL143" s="227">
        <f t="shared" si="3640"/>
        <v>25.57</v>
      </c>
      <c r="CM143" s="138">
        <f t="shared" si="3641"/>
        <v>0</v>
      </c>
      <c r="CN143" s="110">
        <f t="shared" si="3642"/>
        <v>0</v>
      </c>
      <c r="CO143" s="110"/>
      <c r="CP143" s="139"/>
      <c r="CQ143" s="140">
        <f t="shared" si="3643"/>
        <v>0</v>
      </c>
      <c r="CR143" s="198">
        <f t="shared" si="3636"/>
        <v>1</v>
      </c>
      <c r="CS143" s="225">
        <f t="shared" si="3644"/>
        <v>1.34E-3</v>
      </c>
      <c r="CT143" s="226">
        <f t="shared" si="3645"/>
        <v>1.61</v>
      </c>
      <c r="CU143" s="137">
        <f t="shared" si="3646"/>
        <v>1.61</v>
      </c>
      <c r="CV143" s="227">
        <f t="shared" si="3640"/>
        <v>28.26</v>
      </c>
      <c r="CW143" s="138">
        <f t="shared" si="3647"/>
        <v>45.498600000000003</v>
      </c>
      <c r="CX143" s="110">
        <f t="shared" si="3648"/>
        <v>45.5</v>
      </c>
      <c r="CY143" s="110"/>
      <c r="CZ143" s="139"/>
      <c r="DA143" s="140">
        <f t="shared" si="3649"/>
        <v>0.73240000000000005</v>
      </c>
      <c r="DB143" s="198">
        <f t="shared" si="3636"/>
        <v>0</v>
      </c>
      <c r="DC143" s="225">
        <f t="shared" si="3650"/>
        <v>0</v>
      </c>
      <c r="DD143" s="226">
        <f t="shared" si="3651"/>
        <v>0</v>
      </c>
      <c r="DE143" s="137">
        <f t="shared" si="3652"/>
        <v>0</v>
      </c>
      <c r="DF143" s="227">
        <f t="shared" si="3640"/>
        <v>31.22</v>
      </c>
      <c r="DG143" s="138">
        <f t="shared" si="3653"/>
        <v>0</v>
      </c>
      <c r="DH143" s="110">
        <f t="shared" si="3654"/>
        <v>0</v>
      </c>
      <c r="DI143" s="110"/>
      <c r="DJ143" s="139"/>
      <c r="DK143" s="140">
        <f t="shared" si="3655"/>
        <v>0</v>
      </c>
      <c r="DL143" s="198">
        <f t="shared" si="3636"/>
        <v>0</v>
      </c>
      <c r="DM143" s="225">
        <f t="shared" si="3656"/>
        <v>0</v>
      </c>
      <c r="DN143" s="226">
        <f t="shared" si="3657"/>
        <v>0</v>
      </c>
      <c r="DO143" s="137">
        <f t="shared" si="3658"/>
        <v>0</v>
      </c>
      <c r="DP143" s="227">
        <f t="shared" si="3640"/>
        <v>33.9</v>
      </c>
      <c r="DQ143" s="138">
        <f t="shared" si="3659"/>
        <v>0</v>
      </c>
      <c r="DR143" s="110">
        <f t="shared" si="3660"/>
        <v>0</v>
      </c>
      <c r="DS143" s="110"/>
      <c r="DT143" s="139"/>
      <c r="DU143" s="140">
        <f t="shared" si="3661"/>
        <v>0</v>
      </c>
      <c r="DV143" s="198">
        <f t="shared" si="3636"/>
        <v>6</v>
      </c>
      <c r="DW143" s="225">
        <f t="shared" si="3662"/>
        <v>6.8300000000000001E-3</v>
      </c>
      <c r="DX143" s="226">
        <f t="shared" si="3663"/>
        <v>9.08</v>
      </c>
      <c r="DY143" s="137">
        <f t="shared" si="3664"/>
        <v>1.51333333</v>
      </c>
      <c r="DZ143" s="227">
        <f t="shared" si="3640"/>
        <v>12.79</v>
      </c>
      <c r="EA143" s="138">
        <f t="shared" si="3665"/>
        <v>19.355530000000002</v>
      </c>
      <c r="EB143" s="110">
        <f t="shared" si="3666"/>
        <v>116.13</v>
      </c>
      <c r="EC143" s="110"/>
      <c r="ED143" s="139"/>
      <c r="EE143" s="140">
        <f t="shared" si="3667"/>
        <v>0.31157000000000001</v>
      </c>
      <c r="EF143" s="198">
        <f t="shared" si="3636"/>
        <v>3</v>
      </c>
      <c r="EG143" s="225">
        <f t="shared" si="3668"/>
        <v>3.1900000000000001E-3</v>
      </c>
      <c r="EH143" s="226">
        <f t="shared" si="3669"/>
        <v>2.93</v>
      </c>
      <c r="EI143" s="137">
        <f t="shared" si="3670"/>
        <v>0.97666666999999996</v>
      </c>
      <c r="EJ143" s="227">
        <f t="shared" si="3640"/>
        <v>23.18</v>
      </c>
      <c r="EK143" s="138">
        <f t="shared" si="3671"/>
        <v>22.639130000000002</v>
      </c>
      <c r="EL143" s="110">
        <f t="shared" si="3672"/>
        <v>67.92</v>
      </c>
      <c r="EM143" s="110"/>
      <c r="EN143" s="139"/>
      <c r="EO143" s="140">
        <f t="shared" si="3673"/>
        <v>0.36442999999999998</v>
      </c>
      <c r="EP143" s="198">
        <f t="shared" si="3636"/>
        <v>6</v>
      </c>
      <c r="EQ143" s="225">
        <f t="shared" si="3674"/>
        <v>6.3600000000000002E-3</v>
      </c>
      <c r="ER143" s="226">
        <f t="shared" si="3675"/>
        <v>13.86</v>
      </c>
      <c r="ES143" s="137">
        <f t="shared" si="3676"/>
        <v>2.31</v>
      </c>
      <c r="ET143" s="227">
        <f t="shared" si="3640"/>
        <v>30.66</v>
      </c>
      <c r="EU143" s="138">
        <f t="shared" si="3677"/>
        <v>70.824600000000004</v>
      </c>
      <c r="EV143" s="110">
        <f t="shared" si="3678"/>
        <v>424.95</v>
      </c>
      <c r="EW143" s="110"/>
      <c r="EX143" s="139"/>
      <c r="EY143" s="140">
        <f t="shared" si="3679"/>
        <v>1.14008</v>
      </c>
      <c r="EZ143" s="198">
        <f t="shared" si="3680"/>
        <v>4</v>
      </c>
      <c r="FA143" s="225">
        <f t="shared" si="3681"/>
        <v>3.5799999999999998E-3</v>
      </c>
      <c r="FB143" s="226">
        <f t="shared" si="3682"/>
        <v>6.44</v>
      </c>
      <c r="FC143" s="137">
        <f t="shared" si="3683"/>
        <v>1.61</v>
      </c>
      <c r="FD143" s="227">
        <f t="shared" si="3684"/>
        <v>34.119999999999997</v>
      </c>
      <c r="FE143" s="138">
        <f t="shared" si="3685"/>
        <v>54.933199999999999</v>
      </c>
      <c r="FF143" s="110">
        <f t="shared" si="3686"/>
        <v>219.73</v>
      </c>
      <c r="FG143" s="110"/>
      <c r="FH143" s="139"/>
      <c r="FI143" s="140">
        <f t="shared" si="3687"/>
        <v>0.88427</v>
      </c>
      <c r="FJ143" s="198">
        <f t="shared" si="3680"/>
        <v>0</v>
      </c>
      <c r="FK143" s="225">
        <f t="shared" si="3688"/>
        <v>0</v>
      </c>
      <c r="FL143" s="226">
        <f t="shared" si="3689"/>
        <v>0</v>
      </c>
      <c r="FM143" s="137">
        <f t="shared" si="3690"/>
        <v>0</v>
      </c>
      <c r="FN143" s="227">
        <f t="shared" si="3684"/>
        <v>18.39</v>
      </c>
      <c r="FO143" s="138">
        <f t="shared" si="3691"/>
        <v>0</v>
      </c>
      <c r="FP143" s="110">
        <f t="shared" si="3692"/>
        <v>0</v>
      </c>
      <c r="FQ143" s="110"/>
      <c r="FR143" s="139"/>
      <c r="FS143" s="140">
        <f t="shared" si="3693"/>
        <v>0</v>
      </c>
      <c r="FT143" s="198">
        <f t="shared" si="3680"/>
        <v>1</v>
      </c>
      <c r="FU143" s="225">
        <f t="shared" si="3694"/>
        <v>1.25E-3</v>
      </c>
      <c r="FV143" s="226">
        <f t="shared" si="3695"/>
        <v>1.78</v>
      </c>
      <c r="FW143" s="137">
        <f t="shared" si="3696"/>
        <v>1.78</v>
      </c>
      <c r="FX143" s="227">
        <f t="shared" si="3684"/>
        <v>32.619999999999997</v>
      </c>
      <c r="FY143" s="138">
        <f t="shared" si="3697"/>
        <v>58.063600000000001</v>
      </c>
      <c r="FZ143" s="110">
        <f t="shared" si="3698"/>
        <v>58.06</v>
      </c>
      <c r="GA143" s="110"/>
      <c r="GB143" s="139"/>
      <c r="GC143" s="140">
        <f t="shared" si="3699"/>
        <v>0.93466000000000005</v>
      </c>
      <c r="GD143" s="198">
        <f t="shared" si="3680"/>
        <v>11</v>
      </c>
      <c r="GE143" s="225">
        <f t="shared" si="3700"/>
        <v>2.1479999999999999E-2</v>
      </c>
      <c r="GF143" s="226">
        <f t="shared" si="3701"/>
        <v>18.47</v>
      </c>
      <c r="GG143" s="137">
        <f t="shared" si="3702"/>
        <v>1.67909091</v>
      </c>
      <c r="GH143" s="227">
        <f t="shared" si="3684"/>
        <v>33.28</v>
      </c>
      <c r="GI143" s="138">
        <f t="shared" si="3703"/>
        <v>55.88015</v>
      </c>
      <c r="GJ143" s="110">
        <f t="shared" si="3704"/>
        <v>614.67999999999995</v>
      </c>
      <c r="GK143" s="110"/>
      <c r="GL143" s="139"/>
      <c r="GM143" s="140">
        <f t="shared" si="3705"/>
        <v>0.89951000000000003</v>
      </c>
      <c r="GN143" s="198">
        <f t="shared" si="3680"/>
        <v>1</v>
      </c>
      <c r="GO143" s="225">
        <f t="shared" si="3706"/>
        <v>1.16E-3</v>
      </c>
      <c r="GP143" s="226">
        <f t="shared" si="3707"/>
        <v>3.19</v>
      </c>
      <c r="GQ143" s="137">
        <f t="shared" si="3708"/>
        <v>3.19</v>
      </c>
      <c r="GR143" s="227">
        <f t="shared" si="3684"/>
        <v>30.78</v>
      </c>
      <c r="GS143" s="138">
        <f t="shared" si="3709"/>
        <v>98.188199999999995</v>
      </c>
      <c r="GT143" s="110">
        <f t="shared" si="3710"/>
        <v>98.19</v>
      </c>
      <c r="GU143" s="110"/>
      <c r="GV143" s="139"/>
      <c r="GW143" s="140">
        <f t="shared" si="3711"/>
        <v>1.5805499999999999</v>
      </c>
      <c r="GX143" s="198">
        <f t="shared" si="3680"/>
        <v>0</v>
      </c>
      <c r="GY143" s="225">
        <f t="shared" si="3712"/>
        <v>0</v>
      </c>
      <c r="GZ143" s="226">
        <f t="shared" si="3713"/>
        <v>0</v>
      </c>
      <c r="HA143" s="137">
        <f t="shared" si="3714"/>
        <v>0</v>
      </c>
      <c r="HB143" s="227">
        <f t="shared" si="3684"/>
        <v>21.23</v>
      </c>
      <c r="HC143" s="138">
        <f t="shared" si="3715"/>
        <v>0</v>
      </c>
      <c r="HD143" s="110">
        <f t="shared" si="3716"/>
        <v>0</v>
      </c>
      <c r="HE143" s="110"/>
      <c r="HF143" s="139"/>
      <c r="HG143" s="140">
        <f t="shared" si="3717"/>
        <v>0</v>
      </c>
      <c r="HH143" s="198">
        <f t="shared" si="3680"/>
        <v>0</v>
      </c>
      <c r="HI143" s="225">
        <f t="shared" si="3718"/>
        <v>0</v>
      </c>
      <c r="HJ143" s="226">
        <f t="shared" si="3719"/>
        <v>0</v>
      </c>
      <c r="HK143" s="137">
        <f t="shared" si="3720"/>
        <v>0</v>
      </c>
      <c r="HL143" s="227">
        <f t="shared" si="3684"/>
        <v>28.23</v>
      </c>
      <c r="HM143" s="138">
        <f t="shared" si="3721"/>
        <v>0</v>
      </c>
      <c r="HN143" s="110">
        <f t="shared" si="3722"/>
        <v>0</v>
      </c>
      <c r="HO143" s="110"/>
      <c r="HP143" s="139"/>
      <c r="HQ143" s="140">
        <f t="shared" si="3723"/>
        <v>0</v>
      </c>
      <c r="HR143" s="198">
        <f t="shared" si="3724"/>
        <v>3</v>
      </c>
      <c r="HS143" s="225">
        <f t="shared" si="3725"/>
        <v>3.81E-3</v>
      </c>
      <c r="HT143" s="226">
        <f t="shared" si="3726"/>
        <v>3.43</v>
      </c>
      <c r="HU143" s="137">
        <f t="shared" si="3727"/>
        <v>1.1433333299999999</v>
      </c>
      <c r="HV143" s="227">
        <f t="shared" si="3728"/>
        <v>31.27</v>
      </c>
      <c r="HW143" s="138">
        <f t="shared" si="3729"/>
        <v>35.752029999999998</v>
      </c>
      <c r="HX143" s="110">
        <f t="shared" si="3730"/>
        <v>107.26</v>
      </c>
      <c r="HY143" s="110"/>
      <c r="HZ143" s="139"/>
      <c r="IA143" s="140">
        <f t="shared" si="3731"/>
        <v>0.57550999999999997</v>
      </c>
      <c r="IB143" s="198">
        <f t="shared" si="3724"/>
        <v>3</v>
      </c>
      <c r="IC143" s="225">
        <f t="shared" si="3732"/>
        <v>5.47E-3</v>
      </c>
      <c r="ID143" s="226">
        <f t="shared" si="3733"/>
        <v>2.35</v>
      </c>
      <c r="IE143" s="137">
        <f t="shared" si="3734"/>
        <v>0.78333333000000005</v>
      </c>
      <c r="IF143" s="227">
        <f t="shared" si="3728"/>
        <v>28.65</v>
      </c>
      <c r="IG143" s="138">
        <f t="shared" si="3735"/>
        <v>22.442499999999999</v>
      </c>
      <c r="IH143" s="110">
        <f t="shared" si="3736"/>
        <v>67.33</v>
      </c>
      <c r="II143" s="110"/>
      <c r="IJ143" s="139"/>
      <c r="IK143" s="140">
        <f t="shared" si="3737"/>
        <v>0.36126000000000003</v>
      </c>
      <c r="IL143" s="198">
        <f t="shared" si="3724"/>
        <v>1</v>
      </c>
      <c r="IM143" s="225">
        <f t="shared" si="3738"/>
        <v>7.9000000000000001E-4</v>
      </c>
      <c r="IN143" s="226">
        <f t="shared" si="3739"/>
        <v>2.3199999999999998</v>
      </c>
      <c r="IO143" s="137">
        <f t="shared" si="3740"/>
        <v>2.3199999999999998</v>
      </c>
      <c r="IP143" s="227">
        <f t="shared" si="3728"/>
        <v>33.04</v>
      </c>
      <c r="IQ143" s="138">
        <f t="shared" si="3741"/>
        <v>76.652799999999999</v>
      </c>
      <c r="IR143" s="110">
        <f t="shared" si="3742"/>
        <v>76.650000000000006</v>
      </c>
      <c r="IS143" s="110"/>
      <c r="IT143" s="139"/>
      <c r="IU143" s="140">
        <f t="shared" si="3743"/>
        <v>1.2338899999999999</v>
      </c>
      <c r="IV143" s="198">
        <f t="shared" si="3724"/>
        <v>7</v>
      </c>
      <c r="IW143" s="225">
        <f t="shared" si="3744"/>
        <v>9.0799999999999995E-3</v>
      </c>
      <c r="IX143" s="226">
        <f t="shared" si="3745"/>
        <v>14.53</v>
      </c>
      <c r="IY143" s="137">
        <f t="shared" si="3746"/>
        <v>2.0757142900000001</v>
      </c>
      <c r="IZ143" s="227">
        <f t="shared" si="3728"/>
        <v>33.36</v>
      </c>
      <c r="JA143" s="138">
        <f t="shared" si="3747"/>
        <v>69.245829999999998</v>
      </c>
      <c r="JB143" s="110">
        <f t="shared" si="3748"/>
        <v>484.72</v>
      </c>
      <c r="JC143" s="110"/>
      <c r="JD143" s="139"/>
      <c r="JE143" s="140">
        <f t="shared" si="3749"/>
        <v>1.11466</v>
      </c>
      <c r="JF143" s="198">
        <f t="shared" si="3724"/>
        <v>6</v>
      </c>
      <c r="JG143" s="225">
        <f t="shared" si="3750"/>
        <v>4.47E-3</v>
      </c>
      <c r="JH143" s="226">
        <f t="shared" si="3751"/>
        <v>17.079999999999998</v>
      </c>
      <c r="JI143" s="137">
        <f t="shared" si="3752"/>
        <v>2.8466666699999998</v>
      </c>
      <c r="JJ143" s="227">
        <f t="shared" si="3728"/>
        <v>21.96</v>
      </c>
      <c r="JK143" s="138">
        <f t="shared" si="3753"/>
        <v>62.512799999999999</v>
      </c>
      <c r="JL143" s="110">
        <f t="shared" si="3754"/>
        <v>375.08</v>
      </c>
      <c r="JM143" s="110"/>
      <c r="JN143" s="139"/>
      <c r="JO143" s="140">
        <f t="shared" si="3755"/>
        <v>1.0062800000000001</v>
      </c>
      <c r="JP143" s="198">
        <f t="shared" si="3724"/>
        <v>2</v>
      </c>
      <c r="JQ143" s="225">
        <f t="shared" si="3756"/>
        <v>1.6000000000000001E-3</v>
      </c>
      <c r="JR143" s="226">
        <f t="shared" si="3757"/>
        <v>6.08</v>
      </c>
      <c r="JS143" s="137">
        <f t="shared" si="3758"/>
        <v>3.04</v>
      </c>
      <c r="JT143" s="227">
        <f t="shared" si="3728"/>
        <v>35.700000000000003</v>
      </c>
      <c r="JU143" s="138">
        <f t="shared" si="3759"/>
        <v>108.52800000000001</v>
      </c>
      <c r="JV143" s="110">
        <f t="shared" si="3760"/>
        <v>217.06</v>
      </c>
      <c r="JW143" s="110"/>
      <c r="JX143" s="139"/>
      <c r="JY143" s="140">
        <f t="shared" si="3761"/>
        <v>1.7470000000000001</v>
      </c>
      <c r="JZ143" s="198">
        <f t="shared" si="3724"/>
        <v>0</v>
      </c>
      <c r="KA143" s="225">
        <f t="shared" si="3762"/>
        <v>0</v>
      </c>
      <c r="KB143" s="226">
        <f t="shared" si="3763"/>
        <v>0</v>
      </c>
      <c r="KC143" s="137">
        <f t="shared" si="3764"/>
        <v>0</v>
      </c>
      <c r="KD143" s="227">
        <f t="shared" si="3728"/>
        <v>30.3</v>
      </c>
      <c r="KE143" s="138">
        <f t="shared" si="3765"/>
        <v>0</v>
      </c>
      <c r="KF143" s="110">
        <f t="shared" si="3766"/>
        <v>0</v>
      </c>
      <c r="KG143" s="110"/>
      <c r="KH143" s="139"/>
      <c r="KI143" s="140">
        <f t="shared" si="3767"/>
        <v>0</v>
      </c>
      <c r="KJ143" s="198">
        <f t="shared" si="3768"/>
        <v>0</v>
      </c>
      <c r="KK143" s="225">
        <f t="shared" si="3769"/>
        <v>0</v>
      </c>
      <c r="KL143" s="226">
        <f t="shared" si="3770"/>
        <v>0</v>
      </c>
      <c r="KM143" s="137">
        <f t="shared" si="3771"/>
        <v>0</v>
      </c>
      <c r="KN143" s="227">
        <f t="shared" si="3772"/>
        <v>30.43</v>
      </c>
      <c r="KO143" s="138">
        <f t="shared" si="3773"/>
        <v>0</v>
      </c>
      <c r="KP143" s="110">
        <f t="shared" si="3774"/>
        <v>0</v>
      </c>
      <c r="KQ143" s="110"/>
      <c r="KR143" s="139"/>
      <c r="KS143" s="140">
        <f t="shared" si="3775"/>
        <v>0</v>
      </c>
      <c r="KT143" s="198">
        <f t="shared" si="3768"/>
        <v>1</v>
      </c>
      <c r="KU143" s="225">
        <f t="shared" si="3776"/>
        <v>8.8999999999999995E-4</v>
      </c>
      <c r="KV143" s="226">
        <f t="shared" si="3777"/>
        <v>5.63</v>
      </c>
      <c r="KW143" s="137">
        <f t="shared" si="3778"/>
        <v>5.63</v>
      </c>
      <c r="KX143" s="227">
        <f t="shared" si="3772"/>
        <v>34.299999999999997</v>
      </c>
      <c r="KY143" s="138">
        <f t="shared" si="3779"/>
        <v>193.10900000000001</v>
      </c>
      <c r="KZ143" s="110">
        <f t="shared" si="3780"/>
        <v>193.11</v>
      </c>
      <c r="LA143" s="110"/>
      <c r="LB143" s="139"/>
      <c r="LC143" s="140">
        <f t="shared" si="3781"/>
        <v>3.1085099999999999</v>
      </c>
      <c r="LD143" s="197">
        <f t="shared" si="3581"/>
        <v>63</v>
      </c>
      <c r="LE143" s="225">
        <f t="shared" si="3582"/>
        <v>2.2100000000000002E-3</v>
      </c>
      <c r="LF143" s="226">
        <f t="shared" si="3583"/>
        <v>135.47</v>
      </c>
      <c r="LG143" s="137">
        <f t="shared" si="3584"/>
        <v>2.1503174600000001</v>
      </c>
      <c r="LH143" s="227">
        <f t="shared" si="3585"/>
        <v>28.89</v>
      </c>
      <c r="LI143" s="138">
        <f t="shared" si="3586"/>
        <v>62.122669999999999</v>
      </c>
      <c r="LJ143" s="110">
        <f t="shared" si="3587"/>
        <v>3913.73</v>
      </c>
      <c r="LK143" s="110"/>
      <c r="LL143" s="139"/>
    </row>
    <row r="144" spans="1:324" ht="16.5" customHeight="1" x14ac:dyDescent="0.25">
      <c r="A144" s="246"/>
      <c r="B144" s="229" t="s">
        <v>608</v>
      </c>
      <c r="C144" s="12" t="s">
        <v>728</v>
      </c>
      <c r="D144" s="12" t="s">
        <v>430</v>
      </c>
      <c r="E144" s="4" t="s">
        <v>32</v>
      </c>
      <c r="F144" s="198">
        <f t="shared" si="3591"/>
        <v>0</v>
      </c>
      <c r="G144" s="225">
        <f t="shared" si="3588"/>
        <v>0</v>
      </c>
      <c r="H144" s="226">
        <f t="shared" si="3589"/>
        <v>0</v>
      </c>
      <c r="I144" s="137">
        <f t="shared" si="3362"/>
        <v>0</v>
      </c>
      <c r="J144" s="227">
        <f t="shared" si="3590"/>
        <v>19.559999999999999</v>
      </c>
      <c r="K144" s="138">
        <f t="shared" si="3363"/>
        <v>0</v>
      </c>
      <c r="L144" s="110">
        <f t="shared" si="3364"/>
        <v>0</v>
      </c>
      <c r="M144" s="110"/>
      <c r="N144" s="139"/>
      <c r="O144" s="140">
        <f t="shared" si="3365"/>
        <v>0</v>
      </c>
      <c r="P144" s="198">
        <f t="shared" si="3592"/>
        <v>0</v>
      </c>
      <c r="Q144" s="225">
        <f t="shared" si="3593"/>
        <v>0</v>
      </c>
      <c r="R144" s="226">
        <f t="shared" si="3594"/>
        <v>0</v>
      </c>
      <c r="S144" s="137">
        <f t="shared" si="3595"/>
        <v>0</v>
      </c>
      <c r="T144" s="227">
        <f t="shared" si="3596"/>
        <v>14.76</v>
      </c>
      <c r="U144" s="138">
        <f t="shared" si="3597"/>
        <v>0</v>
      </c>
      <c r="V144" s="110">
        <f t="shared" si="3598"/>
        <v>0</v>
      </c>
      <c r="W144" s="110"/>
      <c r="X144" s="139"/>
      <c r="Y144" s="140">
        <f t="shared" si="3599"/>
        <v>0</v>
      </c>
      <c r="Z144" s="198">
        <f t="shared" si="3592"/>
        <v>0</v>
      </c>
      <c r="AA144" s="225">
        <f t="shared" si="3600"/>
        <v>0</v>
      </c>
      <c r="AB144" s="226">
        <f t="shared" si="3601"/>
        <v>0</v>
      </c>
      <c r="AC144" s="137">
        <f t="shared" si="3602"/>
        <v>0</v>
      </c>
      <c r="AD144" s="227">
        <f t="shared" si="3596"/>
        <v>33.520000000000003</v>
      </c>
      <c r="AE144" s="138">
        <f t="shared" si="3603"/>
        <v>0</v>
      </c>
      <c r="AF144" s="110">
        <f t="shared" si="3604"/>
        <v>0</v>
      </c>
      <c r="AG144" s="110"/>
      <c r="AH144" s="139"/>
      <c r="AI144" s="140">
        <f t="shared" si="3605"/>
        <v>0</v>
      </c>
      <c r="AJ144" s="198">
        <f t="shared" si="3592"/>
        <v>0</v>
      </c>
      <c r="AK144" s="225">
        <f t="shared" si="3606"/>
        <v>0</v>
      </c>
      <c r="AL144" s="226">
        <f t="shared" si="3607"/>
        <v>0</v>
      </c>
      <c r="AM144" s="137">
        <f t="shared" si="3608"/>
        <v>0</v>
      </c>
      <c r="AN144" s="227">
        <f t="shared" si="3596"/>
        <v>33.07</v>
      </c>
      <c r="AO144" s="138">
        <f t="shared" si="3609"/>
        <v>0</v>
      </c>
      <c r="AP144" s="110">
        <f t="shared" si="3610"/>
        <v>0</v>
      </c>
      <c r="AQ144" s="110"/>
      <c r="AR144" s="139"/>
      <c r="AS144" s="140">
        <f t="shared" si="3611"/>
        <v>0</v>
      </c>
      <c r="AT144" s="198">
        <f t="shared" si="3592"/>
        <v>0</v>
      </c>
      <c r="AU144" s="225">
        <f t="shared" si="3612"/>
        <v>0</v>
      </c>
      <c r="AV144" s="226">
        <f t="shared" si="3613"/>
        <v>0</v>
      </c>
      <c r="AW144" s="137">
        <f t="shared" si="3614"/>
        <v>0</v>
      </c>
      <c r="AX144" s="227">
        <f t="shared" si="3596"/>
        <v>28.2</v>
      </c>
      <c r="AY144" s="138">
        <f t="shared" si="3615"/>
        <v>0</v>
      </c>
      <c r="AZ144" s="110">
        <f t="shared" si="3616"/>
        <v>0</v>
      </c>
      <c r="BA144" s="110"/>
      <c r="BB144" s="139"/>
      <c r="BC144" s="140">
        <f t="shared" si="3617"/>
        <v>0</v>
      </c>
      <c r="BD144" s="198">
        <f t="shared" si="3592"/>
        <v>0</v>
      </c>
      <c r="BE144" s="225">
        <f t="shared" si="3618"/>
        <v>0</v>
      </c>
      <c r="BF144" s="226">
        <f t="shared" si="3619"/>
        <v>0</v>
      </c>
      <c r="BG144" s="137">
        <f t="shared" si="3620"/>
        <v>0</v>
      </c>
      <c r="BH144" s="227">
        <f t="shared" si="3596"/>
        <v>33.75</v>
      </c>
      <c r="BI144" s="138">
        <f t="shared" si="3621"/>
        <v>0</v>
      </c>
      <c r="BJ144" s="110">
        <f t="shared" si="3622"/>
        <v>0</v>
      </c>
      <c r="BK144" s="110"/>
      <c r="BL144" s="139"/>
      <c r="BM144" s="140">
        <f t="shared" si="3623"/>
        <v>0</v>
      </c>
      <c r="BN144" s="198">
        <f t="shared" si="3592"/>
        <v>0</v>
      </c>
      <c r="BO144" s="225">
        <f t="shared" si="3624"/>
        <v>0</v>
      </c>
      <c r="BP144" s="226">
        <f t="shared" si="3625"/>
        <v>0</v>
      </c>
      <c r="BQ144" s="137">
        <f t="shared" si="3626"/>
        <v>0</v>
      </c>
      <c r="BR144" s="227">
        <f t="shared" si="3596"/>
        <v>32.79</v>
      </c>
      <c r="BS144" s="138">
        <f t="shared" si="3627"/>
        <v>0</v>
      </c>
      <c r="BT144" s="110">
        <f t="shared" si="3628"/>
        <v>0</v>
      </c>
      <c r="BU144" s="110"/>
      <c r="BV144" s="139"/>
      <c r="BW144" s="140">
        <f t="shared" si="3629"/>
        <v>0</v>
      </c>
      <c r="BX144" s="198">
        <f t="shared" si="3592"/>
        <v>0</v>
      </c>
      <c r="BY144" s="225">
        <f t="shared" si="3630"/>
        <v>0</v>
      </c>
      <c r="BZ144" s="226">
        <f t="shared" si="3631"/>
        <v>0</v>
      </c>
      <c r="CA144" s="137">
        <f t="shared" si="3632"/>
        <v>0</v>
      </c>
      <c r="CB144" s="227">
        <f t="shared" si="3596"/>
        <v>30.39</v>
      </c>
      <c r="CC144" s="138">
        <f t="shared" si="3633"/>
        <v>0</v>
      </c>
      <c r="CD144" s="110">
        <f t="shared" si="3634"/>
        <v>0</v>
      </c>
      <c r="CE144" s="110"/>
      <c r="CF144" s="139"/>
      <c r="CG144" s="140">
        <f t="shared" si="3635"/>
        <v>0</v>
      </c>
      <c r="CH144" s="198">
        <f t="shared" si="3636"/>
        <v>0</v>
      </c>
      <c r="CI144" s="225">
        <f t="shared" si="3637"/>
        <v>0</v>
      </c>
      <c r="CJ144" s="226">
        <f t="shared" si="3638"/>
        <v>0</v>
      </c>
      <c r="CK144" s="137">
        <f t="shared" si="3639"/>
        <v>0</v>
      </c>
      <c r="CL144" s="227">
        <f t="shared" si="3640"/>
        <v>25.57</v>
      </c>
      <c r="CM144" s="138">
        <f t="shared" si="3641"/>
        <v>0</v>
      </c>
      <c r="CN144" s="110">
        <f t="shared" si="3642"/>
        <v>0</v>
      </c>
      <c r="CO144" s="110"/>
      <c r="CP144" s="139"/>
      <c r="CQ144" s="140">
        <f t="shared" si="3643"/>
        <v>0</v>
      </c>
      <c r="CR144" s="198">
        <f t="shared" si="3636"/>
        <v>0</v>
      </c>
      <c r="CS144" s="225">
        <f t="shared" si="3644"/>
        <v>0</v>
      </c>
      <c r="CT144" s="226">
        <f t="shared" si="3645"/>
        <v>0</v>
      </c>
      <c r="CU144" s="137">
        <f t="shared" si="3646"/>
        <v>0</v>
      </c>
      <c r="CV144" s="227">
        <f t="shared" si="3640"/>
        <v>28.26</v>
      </c>
      <c r="CW144" s="138">
        <f t="shared" si="3647"/>
        <v>0</v>
      </c>
      <c r="CX144" s="110">
        <f t="shared" si="3648"/>
        <v>0</v>
      </c>
      <c r="CY144" s="110"/>
      <c r="CZ144" s="139"/>
      <c r="DA144" s="140">
        <f t="shared" si="3649"/>
        <v>0</v>
      </c>
      <c r="DB144" s="198">
        <f t="shared" si="3636"/>
        <v>0</v>
      </c>
      <c r="DC144" s="225">
        <f t="shared" si="3650"/>
        <v>0</v>
      </c>
      <c r="DD144" s="226">
        <f t="shared" si="3651"/>
        <v>0</v>
      </c>
      <c r="DE144" s="137">
        <f t="shared" si="3652"/>
        <v>0</v>
      </c>
      <c r="DF144" s="227">
        <f t="shared" si="3640"/>
        <v>31.22</v>
      </c>
      <c r="DG144" s="138">
        <f t="shared" si="3653"/>
        <v>0</v>
      </c>
      <c r="DH144" s="110">
        <f t="shared" si="3654"/>
        <v>0</v>
      </c>
      <c r="DI144" s="110"/>
      <c r="DJ144" s="139"/>
      <c r="DK144" s="140">
        <f t="shared" si="3655"/>
        <v>0</v>
      </c>
      <c r="DL144" s="198">
        <f t="shared" si="3636"/>
        <v>119</v>
      </c>
      <c r="DM144" s="225">
        <f t="shared" si="3656"/>
        <v>0.42048999999999997</v>
      </c>
      <c r="DN144" s="226">
        <f t="shared" si="3657"/>
        <v>315.37</v>
      </c>
      <c r="DO144" s="137">
        <f t="shared" si="3658"/>
        <v>2.6501680699999999</v>
      </c>
      <c r="DP144" s="227">
        <f t="shared" si="3640"/>
        <v>33.9</v>
      </c>
      <c r="DQ144" s="138">
        <f t="shared" si="3659"/>
        <v>89.840699999999998</v>
      </c>
      <c r="DR144" s="110">
        <f t="shared" si="3660"/>
        <v>10691.04</v>
      </c>
      <c r="DS144" s="110"/>
      <c r="DT144" s="139"/>
      <c r="DU144" s="140">
        <f t="shared" si="3661"/>
        <v>1.4477500000000001</v>
      </c>
      <c r="DV144" s="198">
        <f t="shared" si="3636"/>
        <v>0</v>
      </c>
      <c r="DW144" s="225">
        <f t="shared" si="3662"/>
        <v>0</v>
      </c>
      <c r="DX144" s="226">
        <f t="shared" si="3663"/>
        <v>0</v>
      </c>
      <c r="DY144" s="137">
        <f t="shared" si="3664"/>
        <v>0</v>
      </c>
      <c r="DZ144" s="227">
        <f t="shared" si="3640"/>
        <v>12.79</v>
      </c>
      <c r="EA144" s="138">
        <f t="shared" si="3665"/>
        <v>0</v>
      </c>
      <c r="EB144" s="110">
        <f t="shared" si="3666"/>
        <v>0</v>
      </c>
      <c r="EC144" s="110"/>
      <c r="ED144" s="139"/>
      <c r="EE144" s="140">
        <f t="shared" si="3667"/>
        <v>0</v>
      </c>
      <c r="EF144" s="198">
        <f t="shared" si="3636"/>
        <v>0</v>
      </c>
      <c r="EG144" s="225">
        <f t="shared" si="3668"/>
        <v>0</v>
      </c>
      <c r="EH144" s="226">
        <f t="shared" si="3669"/>
        <v>0</v>
      </c>
      <c r="EI144" s="137">
        <f t="shared" si="3670"/>
        <v>0</v>
      </c>
      <c r="EJ144" s="227">
        <f t="shared" si="3640"/>
        <v>23.18</v>
      </c>
      <c r="EK144" s="138">
        <f t="shared" si="3671"/>
        <v>0</v>
      </c>
      <c r="EL144" s="110">
        <f t="shared" si="3672"/>
        <v>0</v>
      </c>
      <c r="EM144" s="110"/>
      <c r="EN144" s="139"/>
      <c r="EO144" s="140">
        <f t="shared" si="3673"/>
        <v>0</v>
      </c>
      <c r="EP144" s="198">
        <f t="shared" si="3636"/>
        <v>0</v>
      </c>
      <c r="EQ144" s="225">
        <f t="shared" si="3674"/>
        <v>0</v>
      </c>
      <c r="ER144" s="226">
        <f t="shared" si="3675"/>
        <v>0</v>
      </c>
      <c r="ES144" s="137">
        <f t="shared" si="3676"/>
        <v>0</v>
      </c>
      <c r="ET144" s="227">
        <f t="shared" si="3640"/>
        <v>30.66</v>
      </c>
      <c r="EU144" s="138">
        <f t="shared" si="3677"/>
        <v>0</v>
      </c>
      <c r="EV144" s="110">
        <f t="shared" si="3678"/>
        <v>0</v>
      </c>
      <c r="EW144" s="110"/>
      <c r="EX144" s="139"/>
      <c r="EY144" s="140">
        <f t="shared" si="3679"/>
        <v>0</v>
      </c>
      <c r="EZ144" s="198">
        <f t="shared" si="3680"/>
        <v>0</v>
      </c>
      <c r="FA144" s="225">
        <f t="shared" si="3681"/>
        <v>0</v>
      </c>
      <c r="FB144" s="226">
        <f t="shared" si="3682"/>
        <v>0</v>
      </c>
      <c r="FC144" s="137">
        <f t="shared" si="3683"/>
        <v>0</v>
      </c>
      <c r="FD144" s="227">
        <f t="shared" si="3684"/>
        <v>34.119999999999997</v>
      </c>
      <c r="FE144" s="138">
        <f t="shared" si="3685"/>
        <v>0</v>
      </c>
      <c r="FF144" s="110">
        <f t="shared" si="3686"/>
        <v>0</v>
      </c>
      <c r="FG144" s="110"/>
      <c r="FH144" s="139"/>
      <c r="FI144" s="140">
        <f t="shared" si="3687"/>
        <v>0</v>
      </c>
      <c r="FJ144" s="198">
        <f t="shared" si="3680"/>
        <v>0</v>
      </c>
      <c r="FK144" s="225">
        <f t="shared" si="3688"/>
        <v>0</v>
      </c>
      <c r="FL144" s="226">
        <f t="shared" si="3689"/>
        <v>0</v>
      </c>
      <c r="FM144" s="137">
        <f t="shared" si="3690"/>
        <v>0</v>
      </c>
      <c r="FN144" s="227">
        <f t="shared" si="3684"/>
        <v>18.39</v>
      </c>
      <c r="FO144" s="138">
        <f t="shared" si="3691"/>
        <v>0</v>
      </c>
      <c r="FP144" s="110">
        <f t="shared" si="3692"/>
        <v>0</v>
      </c>
      <c r="FQ144" s="110"/>
      <c r="FR144" s="139"/>
      <c r="FS144" s="140">
        <f t="shared" si="3693"/>
        <v>0</v>
      </c>
      <c r="FT144" s="198">
        <f t="shared" si="3680"/>
        <v>0</v>
      </c>
      <c r="FU144" s="225">
        <f t="shared" si="3694"/>
        <v>0</v>
      </c>
      <c r="FV144" s="226">
        <f t="shared" si="3695"/>
        <v>0</v>
      </c>
      <c r="FW144" s="137">
        <f t="shared" si="3696"/>
        <v>0</v>
      </c>
      <c r="FX144" s="227">
        <f t="shared" si="3684"/>
        <v>32.619999999999997</v>
      </c>
      <c r="FY144" s="138">
        <f t="shared" si="3697"/>
        <v>0</v>
      </c>
      <c r="FZ144" s="110">
        <f t="shared" si="3698"/>
        <v>0</v>
      </c>
      <c r="GA144" s="110"/>
      <c r="GB144" s="139"/>
      <c r="GC144" s="140">
        <f t="shared" si="3699"/>
        <v>0</v>
      </c>
      <c r="GD144" s="198">
        <f t="shared" si="3680"/>
        <v>0</v>
      </c>
      <c r="GE144" s="225">
        <f t="shared" si="3700"/>
        <v>0</v>
      </c>
      <c r="GF144" s="226">
        <f t="shared" si="3701"/>
        <v>0</v>
      </c>
      <c r="GG144" s="137">
        <f t="shared" si="3702"/>
        <v>0</v>
      </c>
      <c r="GH144" s="227">
        <f t="shared" si="3684"/>
        <v>33.28</v>
      </c>
      <c r="GI144" s="138">
        <f t="shared" si="3703"/>
        <v>0</v>
      </c>
      <c r="GJ144" s="110">
        <f t="shared" si="3704"/>
        <v>0</v>
      </c>
      <c r="GK144" s="110"/>
      <c r="GL144" s="139"/>
      <c r="GM144" s="140">
        <f t="shared" si="3705"/>
        <v>0</v>
      </c>
      <c r="GN144" s="198">
        <f t="shared" si="3680"/>
        <v>0</v>
      </c>
      <c r="GO144" s="225">
        <f t="shared" si="3706"/>
        <v>0</v>
      </c>
      <c r="GP144" s="226">
        <f t="shared" si="3707"/>
        <v>0</v>
      </c>
      <c r="GQ144" s="137">
        <f t="shared" si="3708"/>
        <v>0</v>
      </c>
      <c r="GR144" s="227">
        <f t="shared" si="3684"/>
        <v>30.78</v>
      </c>
      <c r="GS144" s="138">
        <f t="shared" si="3709"/>
        <v>0</v>
      </c>
      <c r="GT144" s="110">
        <f t="shared" si="3710"/>
        <v>0</v>
      </c>
      <c r="GU144" s="110"/>
      <c r="GV144" s="139"/>
      <c r="GW144" s="140">
        <f t="shared" si="3711"/>
        <v>0</v>
      </c>
      <c r="GX144" s="198">
        <f t="shared" si="3680"/>
        <v>0</v>
      </c>
      <c r="GY144" s="225">
        <f t="shared" si="3712"/>
        <v>0</v>
      </c>
      <c r="GZ144" s="226">
        <f t="shared" si="3713"/>
        <v>0</v>
      </c>
      <c r="HA144" s="137">
        <f t="shared" si="3714"/>
        <v>0</v>
      </c>
      <c r="HB144" s="227">
        <f t="shared" si="3684"/>
        <v>21.23</v>
      </c>
      <c r="HC144" s="138">
        <f t="shared" si="3715"/>
        <v>0</v>
      </c>
      <c r="HD144" s="110">
        <f t="shared" si="3716"/>
        <v>0</v>
      </c>
      <c r="HE144" s="110"/>
      <c r="HF144" s="139"/>
      <c r="HG144" s="140">
        <f t="shared" si="3717"/>
        <v>0</v>
      </c>
      <c r="HH144" s="198">
        <f t="shared" si="3680"/>
        <v>0</v>
      </c>
      <c r="HI144" s="225">
        <f t="shared" si="3718"/>
        <v>0</v>
      </c>
      <c r="HJ144" s="226">
        <f t="shared" si="3719"/>
        <v>0</v>
      </c>
      <c r="HK144" s="137">
        <f t="shared" si="3720"/>
        <v>0</v>
      </c>
      <c r="HL144" s="227">
        <f t="shared" si="3684"/>
        <v>28.23</v>
      </c>
      <c r="HM144" s="138">
        <f t="shared" si="3721"/>
        <v>0</v>
      </c>
      <c r="HN144" s="110">
        <f t="shared" si="3722"/>
        <v>0</v>
      </c>
      <c r="HO144" s="110"/>
      <c r="HP144" s="139"/>
      <c r="HQ144" s="140">
        <f t="shared" si="3723"/>
        <v>0</v>
      </c>
      <c r="HR144" s="198">
        <f t="shared" si="3724"/>
        <v>0</v>
      </c>
      <c r="HS144" s="225">
        <f t="shared" si="3725"/>
        <v>0</v>
      </c>
      <c r="HT144" s="226">
        <f t="shared" si="3726"/>
        <v>0</v>
      </c>
      <c r="HU144" s="137">
        <f t="shared" si="3727"/>
        <v>0</v>
      </c>
      <c r="HV144" s="227">
        <f t="shared" si="3728"/>
        <v>31.27</v>
      </c>
      <c r="HW144" s="138">
        <f t="shared" si="3729"/>
        <v>0</v>
      </c>
      <c r="HX144" s="110">
        <f t="shared" si="3730"/>
        <v>0</v>
      </c>
      <c r="HY144" s="110"/>
      <c r="HZ144" s="139"/>
      <c r="IA144" s="140">
        <f t="shared" si="3731"/>
        <v>0</v>
      </c>
      <c r="IB144" s="198">
        <f t="shared" si="3724"/>
        <v>0</v>
      </c>
      <c r="IC144" s="225">
        <f t="shared" si="3732"/>
        <v>0</v>
      </c>
      <c r="ID144" s="226">
        <f t="shared" si="3733"/>
        <v>0</v>
      </c>
      <c r="IE144" s="137">
        <f t="shared" si="3734"/>
        <v>0</v>
      </c>
      <c r="IF144" s="227">
        <f t="shared" si="3728"/>
        <v>28.65</v>
      </c>
      <c r="IG144" s="138">
        <f t="shared" si="3735"/>
        <v>0</v>
      </c>
      <c r="IH144" s="110">
        <f t="shared" si="3736"/>
        <v>0</v>
      </c>
      <c r="II144" s="110"/>
      <c r="IJ144" s="139"/>
      <c r="IK144" s="140">
        <f t="shared" si="3737"/>
        <v>0</v>
      </c>
      <c r="IL144" s="198">
        <f t="shared" si="3724"/>
        <v>0</v>
      </c>
      <c r="IM144" s="225">
        <f t="shared" si="3738"/>
        <v>0</v>
      </c>
      <c r="IN144" s="226">
        <f t="shared" si="3739"/>
        <v>0</v>
      </c>
      <c r="IO144" s="137">
        <f t="shared" si="3740"/>
        <v>0</v>
      </c>
      <c r="IP144" s="227">
        <f t="shared" si="3728"/>
        <v>33.04</v>
      </c>
      <c r="IQ144" s="138">
        <f t="shared" si="3741"/>
        <v>0</v>
      </c>
      <c r="IR144" s="110">
        <f t="shared" si="3742"/>
        <v>0</v>
      </c>
      <c r="IS144" s="110"/>
      <c r="IT144" s="139"/>
      <c r="IU144" s="140">
        <f t="shared" si="3743"/>
        <v>0</v>
      </c>
      <c r="IV144" s="198">
        <f t="shared" si="3724"/>
        <v>0</v>
      </c>
      <c r="IW144" s="225">
        <f t="shared" si="3744"/>
        <v>0</v>
      </c>
      <c r="IX144" s="226">
        <f t="shared" si="3745"/>
        <v>0</v>
      </c>
      <c r="IY144" s="137">
        <f t="shared" si="3746"/>
        <v>0</v>
      </c>
      <c r="IZ144" s="227">
        <f t="shared" si="3728"/>
        <v>33.36</v>
      </c>
      <c r="JA144" s="138">
        <f t="shared" si="3747"/>
        <v>0</v>
      </c>
      <c r="JB144" s="110">
        <f t="shared" si="3748"/>
        <v>0</v>
      </c>
      <c r="JC144" s="110"/>
      <c r="JD144" s="139"/>
      <c r="JE144" s="140">
        <f t="shared" si="3749"/>
        <v>0</v>
      </c>
      <c r="JF144" s="198">
        <f t="shared" si="3724"/>
        <v>0</v>
      </c>
      <c r="JG144" s="225">
        <f t="shared" si="3750"/>
        <v>0</v>
      </c>
      <c r="JH144" s="226">
        <f t="shared" si="3751"/>
        <v>0</v>
      </c>
      <c r="JI144" s="137">
        <f t="shared" si="3752"/>
        <v>0</v>
      </c>
      <c r="JJ144" s="227">
        <f t="shared" si="3728"/>
        <v>21.96</v>
      </c>
      <c r="JK144" s="138">
        <f t="shared" si="3753"/>
        <v>0</v>
      </c>
      <c r="JL144" s="110">
        <f t="shared" si="3754"/>
        <v>0</v>
      </c>
      <c r="JM144" s="110"/>
      <c r="JN144" s="139"/>
      <c r="JO144" s="140">
        <f t="shared" si="3755"/>
        <v>0</v>
      </c>
      <c r="JP144" s="198">
        <f t="shared" si="3724"/>
        <v>0</v>
      </c>
      <c r="JQ144" s="225">
        <f t="shared" si="3756"/>
        <v>0</v>
      </c>
      <c r="JR144" s="226">
        <f t="shared" si="3757"/>
        <v>0</v>
      </c>
      <c r="JS144" s="137">
        <f t="shared" si="3758"/>
        <v>0</v>
      </c>
      <c r="JT144" s="227">
        <f t="shared" si="3728"/>
        <v>35.700000000000003</v>
      </c>
      <c r="JU144" s="138">
        <f t="shared" si="3759"/>
        <v>0</v>
      </c>
      <c r="JV144" s="110">
        <f t="shared" si="3760"/>
        <v>0</v>
      </c>
      <c r="JW144" s="110"/>
      <c r="JX144" s="139"/>
      <c r="JY144" s="140">
        <f t="shared" si="3761"/>
        <v>0</v>
      </c>
      <c r="JZ144" s="198">
        <f t="shared" si="3724"/>
        <v>0</v>
      </c>
      <c r="KA144" s="225">
        <f t="shared" si="3762"/>
        <v>0</v>
      </c>
      <c r="KB144" s="226">
        <f t="shared" si="3763"/>
        <v>0</v>
      </c>
      <c r="KC144" s="137">
        <f t="shared" si="3764"/>
        <v>0</v>
      </c>
      <c r="KD144" s="227">
        <f t="shared" si="3728"/>
        <v>30.3</v>
      </c>
      <c r="KE144" s="138">
        <f t="shared" si="3765"/>
        <v>0</v>
      </c>
      <c r="KF144" s="110">
        <f t="shared" si="3766"/>
        <v>0</v>
      </c>
      <c r="KG144" s="110"/>
      <c r="KH144" s="139"/>
      <c r="KI144" s="140">
        <f t="shared" si="3767"/>
        <v>0</v>
      </c>
      <c r="KJ144" s="198">
        <f t="shared" si="3768"/>
        <v>0</v>
      </c>
      <c r="KK144" s="225">
        <f t="shared" si="3769"/>
        <v>0</v>
      </c>
      <c r="KL144" s="226">
        <f t="shared" si="3770"/>
        <v>0</v>
      </c>
      <c r="KM144" s="137">
        <f t="shared" si="3771"/>
        <v>0</v>
      </c>
      <c r="KN144" s="227">
        <f t="shared" si="3772"/>
        <v>30.43</v>
      </c>
      <c r="KO144" s="138">
        <f t="shared" si="3773"/>
        <v>0</v>
      </c>
      <c r="KP144" s="110">
        <f t="shared" si="3774"/>
        <v>0</v>
      </c>
      <c r="KQ144" s="110"/>
      <c r="KR144" s="139"/>
      <c r="KS144" s="140">
        <f t="shared" si="3775"/>
        <v>0</v>
      </c>
      <c r="KT144" s="198">
        <f t="shared" si="3768"/>
        <v>0</v>
      </c>
      <c r="KU144" s="225">
        <f t="shared" si="3776"/>
        <v>0</v>
      </c>
      <c r="KV144" s="226">
        <f t="shared" si="3777"/>
        <v>0</v>
      </c>
      <c r="KW144" s="137">
        <f t="shared" si="3778"/>
        <v>0</v>
      </c>
      <c r="KX144" s="227">
        <f t="shared" si="3772"/>
        <v>34.299999999999997</v>
      </c>
      <c r="KY144" s="138">
        <f t="shared" si="3779"/>
        <v>0</v>
      </c>
      <c r="KZ144" s="110">
        <f t="shared" si="3780"/>
        <v>0</v>
      </c>
      <c r="LA144" s="110"/>
      <c r="LB144" s="139"/>
      <c r="LC144" s="140">
        <f t="shared" si="3781"/>
        <v>0</v>
      </c>
      <c r="LD144" s="197">
        <f t="shared" si="3581"/>
        <v>119</v>
      </c>
      <c r="LE144" s="225">
        <f t="shared" si="3582"/>
        <v>4.1700000000000001E-3</v>
      </c>
      <c r="LF144" s="226">
        <f t="shared" si="3583"/>
        <v>255.61</v>
      </c>
      <c r="LG144" s="137">
        <f t="shared" si="3584"/>
        <v>2.1479831900000002</v>
      </c>
      <c r="LH144" s="227">
        <f t="shared" si="3585"/>
        <v>28.89</v>
      </c>
      <c r="LI144" s="138">
        <f t="shared" si="3586"/>
        <v>62.055230000000002</v>
      </c>
      <c r="LJ144" s="110">
        <f t="shared" si="3587"/>
        <v>7384.57</v>
      </c>
      <c r="LK144" s="110"/>
      <c r="LL144" s="139"/>
    </row>
    <row r="145" spans="1:324" ht="16.5" hidden="1" customHeight="1" x14ac:dyDescent="0.25">
      <c r="A145" s="247"/>
      <c r="B145" s="93" t="s">
        <v>611</v>
      </c>
      <c r="C145" s="12" t="s">
        <v>728</v>
      </c>
      <c r="D145" s="12" t="s">
        <v>430</v>
      </c>
      <c r="E145" s="4" t="s">
        <v>32</v>
      </c>
      <c r="F145" s="198">
        <f t="shared" si="3591"/>
        <v>0</v>
      </c>
      <c r="G145" s="225">
        <f t="shared" si="3588"/>
        <v>0</v>
      </c>
      <c r="H145" s="226">
        <f t="shared" si="3589"/>
        <v>0</v>
      </c>
      <c r="I145" s="137">
        <f t="shared" si="3362"/>
        <v>0</v>
      </c>
      <c r="J145" s="227">
        <f t="shared" si="3590"/>
        <v>19.559999999999999</v>
      </c>
      <c r="K145" s="138">
        <f t="shared" si="3363"/>
        <v>0</v>
      </c>
      <c r="L145" s="110">
        <f t="shared" si="3364"/>
        <v>0</v>
      </c>
      <c r="M145" s="110"/>
      <c r="N145" s="139"/>
      <c r="O145" s="140">
        <f t="shared" si="3365"/>
        <v>0</v>
      </c>
      <c r="P145" s="198">
        <f t="shared" si="3592"/>
        <v>0</v>
      </c>
      <c r="Q145" s="225">
        <f t="shared" si="3593"/>
        <v>0</v>
      </c>
      <c r="R145" s="226">
        <f t="shared" si="3594"/>
        <v>0</v>
      </c>
      <c r="S145" s="137">
        <f t="shared" si="3595"/>
        <v>0</v>
      </c>
      <c r="T145" s="227">
        <f t="shared" si="3596"/>
        <v>14.76</v>
      </c>
      <c r="U145" s="138">
        <f t="shared" si="3597"/>
        <v>0</v>
      </c>
      <c r="V145" s="110">
        <f t="shared" si="3598"/>
        <v>0</v>
      </c>
      <c r="W145" s="110"/>
      <c r="X145" s="139"/>
      <c r="Y145" s="140">
        <f t="shared" si="3599"/>
        <v>0</v>
      </c>
      <c r="Z145" s="198">
        <f t="shared" si="3592"/>
        <v>0</v>
      </c>
      <c r="AA145" s="225">
        <f t="shared" si="3600"/>
        <v>0</v>
      </c>
      <c r="AB145" s="226">
        <f t="shared" si="3601"/>
        <v>0</v>
      </c>
      <c r="AC145" s="137">
        <f t="shared" si="3602"/>
        <v>0</v>
      </c>
      <c r="AD145" s="227">
        <f t="shared" si="3596"/>
        <v>33.520000000000003</v>
      </c>
      <c r="AE145" s="138">
        <f t="shared" si="3603"/>
        <v>0</v>
      </c>
      <c r="AF145" s="110">
        <f t="shared" si="3604"/>
        <v>0</v>
      </c>
      <c r="AG145" s="110"/>
      <c r="AH145" s="139"/>
      <c r="AI145" s="140">
        <f t="shared" si="3605"/>
        <v>0</v>
      </c>
      <c r="AJ145" s="198">
        <f t="shared" si="3592"/>
        <v>0</v>
      </c>
      <c r="AK145" s="225">
        <f t="shared" si="3606"/>
        <v>0</v>
      </c>
      <c r="AL145" s="226">
        <f t="shared" si="3607"/>
        <v>0</v>
      </c>
      <c r="AM145" s="137">
        <f t="shared" si="3608"/>
        <v>0</v>
      </c>
      <c r="AN145" s="227">
        <f t="shared" si="3596"/>
        <v>33.07</v>
      </c>
      <c r="AO145" s="138">
        <f t="shared" si="3609"/>
        <v>0</v>
      </c>
      <c r="AP145" s="110">
        <f t="shared" si="3610"/>
        <v>0</v>
      </c>
      <c r="AQ145" s="110"/>
      <c r="AR145" s="139"/>
      <c r="AS145" s="140">
        <f t="shared" si="3611"/>
        <v>0</v>
      </c>
      <c r="AT145" s="198">
        <f t="shared" si="3592"/>
        <v>0</v>
      </c>
      <c r="AU145" s="225">
        <f t="shared" si="3612"/>
        <v>0</v>
      </c>
      <c r="AV145" s="226">
        <f t="shared" si="3613"/>
        <v>0</v>
      </c>
      <c r="AW145" s="137">
        <f t="shared" si="3614"/>
        <v>0</v>
      </c>
      <c r="AX145" s="227">
        <f t="shared" si="3596"/>
        <v>28.2</v>
      </c>
      <c r="AY145" s="138">
        <f t="shared" si="3615"/>
        <v>0</v>
      </c>
      <c r="AZ145" s="110">
        <f t="shared" si="3616"/>
        <v>0</v>
      </c>
      <c r="BA145" s="110"/>
      <c r="BB145" s="139"/>
      <c r="BC145" s="140">
        <f t="shared" si="3617"/>
        <v>0</v>
      </c>
      <c r="BD145" s="198">
        <f t="shared" si="3592"/>
        <v>0</v>
      </c>
      <c r="BE145" s="225">
        <f t="shared" si="3618"/>
        <v>0</v>
      </c>
      <c r="BF145" s="226">
        <f t="shared" si="3619"/>
        <v>0</v>
      </c>
      <c r="BG145" s="137">
        <f t="shared" si="3620"/>
        <v>0</v>
      </c>
      <c r="BH145" s="227">
        <f t="shared" si="3596"/>
        <v>33.75</v>
      </c>
      <c r="BI145" s="138">
        <f t="shared" si="3621"/>
        <v>0</v>
      </c>
      <c r="BJ145" s="110">
        <f t="shared" si="3622"/>
        <v>0</v>
      </c>
      <c r="BK145" s="110"/>
      <c r="BL145" s="139"/>
      <c r="BM145" s="140">
        <f t="shared" si="3623"/>
        <v>0</v>
      </c>
      <c r="BN145" s="198">
        <f t="shared" si="3592"/>
        <v>0</v>
      </c>
      <c r="BO145" s="225">
        <f t="shared" si="3624"/>
        <v>0</v>
      </c>
      <c r="BP145" s="226">
        <f t="shared" si="3625"/>
        <v>0</v>
      </c>
      <c r="BQ145" s="137">
        <f t="shared" si="3626"/>
        <v>0</v>
      </c>
      <c r="BR145" s="227">
        <f t="shared" si="3596"/>
        <v>32.79</v>
      </c>
      <c r="BS145" s="138">
        <f t="shared" si="3627"/>
        <v>0</v>
      </c>
      <c r="BT145" s="110">
        <f t="shared" si="3628"/>
        <v>0</v>
      </c>
      <c r="BU145" s="110"/>
      <c r="BV145" s="139"/>
      <c r="BW145" s="140">
        <f t="shared" si="3629"/>
        <v>0</v>
      </c>
      <c r="BX145" s="198">
        <f t="shared" si="3592"/>
        <v>0</v>
      </c>
      <c r="BY145" s="225">
        <f t="shared" si="3630"/>
        <v>0</v>
      </c>
      <c r="BZ145" s="226">
        <f t="shared" si="3631"/>
        <v>0</v>
      </c>
      <c r="CA145" s="137">
        <f t="shared" si="3632"/>
        <v>0</v>
      </c>
      <c r="CB145" s="227">
        <f t="shared" si="3596"/>
        <v>30.39</v>
      </c>
      <c r="CC145" s="138">
        <f t="shared" si="3633"/>
        <v>0</v>
      </c>
      <c r="CD145" s="110">
        <f t="shared" si="3634"/>
        <v>0</v>
      </c>
      <c r="CE145" s="110"/>
      <c r="CF145" s="139"/>
      <c r="CG145" s="140">
        <f t="shared" si="3635"/>
        <v>0</v>
      </c>
      <c r="CH145" s="198">
        <f t="shared" si="3636"/>
        <v>0</v>
      </c>
      <c r="CI145" s="225">
        <f t="shared" si="3637"/>
        <v>0</v>
      </c>
      <c r="CJ145" s="226">
        <f t="shared" si="3638"/>
        <v>0</v>
      </c>
      <c r="CK145" s="137">
        <f t="shared" si="3639"/>
        <v>0</v>
      </c>
      <c r="CL145" s="227">
        <f t="shared" si="3640"/>
        <v>25.57</v>
      </c>
      <c r="CM145" s="138">
        <f t="shared" si="3641"/>
        <v>0</v>
      </c>
      <c r="CN145" s="110">
        <f t="shared" si="3642"/>
        <v>0</v>
      </c>
      <c r="CO145" s="110"/>
      <c r="CP145" s="139"/>
      <c r="CQ145" s="140">
        <f t="shared" si="3643"/>
        <v>0</v>
      </c>
      <c r="CR145" s="198">
        <f t="shared" si="3636"/>
        <v>0</v>
      </c>
      <c r="CS145" s="225">
        <f t="shared" si="3644"/>
        <v>0</v>
      </c>
      <c r="CT145" s="226">
        <f t="shared" si="3645"/>
        <v>0</v>
      </c>
      <c r="CU145" s="137">
        <f t="shared" si="3646"/>
        <v>0</v>
      </c>
      <c r="CV145" s="227">
        <f t="shared" si="3640"/>
        <v>28.26</v>
      </c>
      <c r="CW145" s="138">
        <f t="shared" si="3647"/>
        <v>0</v>
      </c>
      <c r="CX145" s="110">
        <f t="shared" si="3648"/>
        <v>0</v>
      </c>
      <c r="CY145" s="110"/>
      <c r="CZ145" s="139"/>
      <c r="DA145" s="140">
        <f t="shared" si="3649"/>
        <v>0</v>
      </c>
      <c r="DB145" s="198">
        <f t="shared" si="3636"/>
        <v>0</v>
      </c>
      <c r="DC145" s="225">
        <f t="shared" si="3650"/>
        <v>0</v>
      </c>
      <c r="DD145" s="226">
        <f t="shared" si="3651"/>
        <v>0</v>
      </c>
      <c r="DE145" s="137">
        <f t="shared" si="3652"/>
        <v>0</v>
      </c>
      <c r="DF145" s="227">
        <f t="shared" si="3640"/>
        <v>31.22</v>
      </c>
      <c r="DG145" s="138">
        <f t="shared" si="3653"/>
        <v>0</v>
      </c>
      <c r="DH145" s="110">
        <f t="shared" si="3654"/>
        <v>0</v>
      </c>
      <c r="DI145" s="110"/>
      <c r="DJ145" s="139"/>
      <c r="DK145" s="140">
        <f t="shared" si="3655"/>
        <v>0</v>
      </c>
      <c r="DL145" s="198">
        <f t="shared" si="3636"/>
        <v>5</v>
      </c>
      <c r="DM145" s="225">
        <f t="shared" si="3656"/>
        <v>1.7670000000000002E-2</v>
      </c>
      <c r="DN145" s="226">
        <f t="shared" si="3657"/>
        <v>13.25</v>
      </c>
      <c r="DO145" s="137">
        <f t="shared" si="3658"/>
        <v>2.65</v>
      </c>
      <c r="DP145" s="227">
        <f t="shared" si="3640"/>
        <v>33.9</v>
      </c>
      <c r="DQ145" s="138">
        <f t="shared" si="3659"/>
        <v>89.834999999999994</v>
      </c>
      <c r="DR145" s="110">
        <f t="shared" si="3660"/>
        <v>449.18</v>
      </c>
      <c r="DS145" s="110"/>
      <c r="DT145" s="139"/>
      <c r="DU145" s="140">
        <f t="shared" si="3661"/>
        <v>1.4095899999999999</v>
      </c>
      <c r="DV145" s="198">
        <f t="shared" si="3636"/>
        <v>0</v>
      </c>
      <c r="DW145" s="225">
        <f t="shared" si="3662"/>
        <v>0</v>
      </c>
      <c r="DX145" s="226">
        <f t="shared" si="3663"/>
        <v>0</v>
      </c>
      <c r="DY145" s="137">
        <f t="shared" si="3664"/>
        <v>0</v>
      </c>
      <c r="DZ145" s="227">
        <f t="shared" si="3640"/>
        <v>12.79</v>
      </c>
      <c r="EA145" s="138">
        <f t="shared" si="3665"/>
        <v>0</v>
      </c>
      <c r="EB145" s="110">
        <f t="shared" si="3666"/>
        <v>0</v>
      </c>
      <c r="EC145" s="110"/>
      <c r="ED145" s="139"/>
      <c r="EE145" s="140">
        <f t="shared" si="3667"/>
        <v>0</v>
      </c>
      <c r="EF145" s="198">
        <f t="shared" si="3636"/>
        <v>0</v>
      </c>
      <c r="EG145" s="225">
        <f t="shared" si="3668"/>
        <v>0</v>
      </c>
      <c r="EH145" s="226">
        <f t="shared" si="3669"/>
        <v>0</v>
      </c>
      <c r="EI145" s="137">
        <f t="shared" si="3670"/>
        <v>0</v>
      </c>
      <c r="EJ145" s="227">
        <f t="shared" si="3640"/>
        <v>23.18</v>
      </c>
      <c r="EK145" s="138">
        <f t="shared" si="3671"/>
        <v>0</v>
      </c>
      <c r="EL145" s="110">
        <f t="shared" si="3672"/>
        <v>0</v>
      </c>
      <c r="EM145" s="110"/>
      <c r="EN145" s="139"/>
      <c r="EO145" s="140">
        <f t="shared" si="3673"/>
        <v>0</v>
      </c>
      <c r="EP145" s="198">
        <f t="shared" si="3636"/>
        <v>0</v>
      </c>
      <c r="EQ145" s="225">
        <f t="shared" si="3674"/>
        <v>0</v>
      </c>
      <c r="ER145" s="226">
        <f t="shared" si="3675"/>
        <v>0</v>
      </c>
      <c r="ES145" s="137">
        <f t="shared" si="3676"/>
        <v>0</v>
      </c>
      <c r="ET145" s="227">
        <f t="shared" si="3640"/>
        <v>30.66</v>
      </c>
      <c r="EU145" s="138">
        <f t="shared" si="3677"/>
        <v>0</v>
      </c>
      <c r="EV145" s="110">
        <f t="shared" si="3678"/>
        <v>0</v>
      </c>
      <c r="EW145" s="110"/>
      <c r="EX145" s="139"/>
      <c r="EY145" s="140">
        <f t="shared" si="3679"/>
        <v>0</v>
      </c>
      <c r="EZ145" s="198">
        <f t="shared" si="3680"/>
        <v>0</v>
      </c>
      <c r="FA145" s="225">
        <f t="shared" si="3681"/>
        <v>0</v>
      </c>
      <c r="FB145" s="226">
        <f t="shared" si="3682"/>
        <v>0</v>
      </c>
      <c r="FC145" s="137">
        <f t="shared" si="3683"/>
        <v>0</v>
      </c>
      <c r="FD145" s="227">
        <f t="shared" si="3684"/>
        <v>34.119999999999997</v>
      </c>
      <c r="FE145" s="138">
        <f t="shared" si="3685"/>
        <v>0</v>
      </c>
      <c r="FF145" s="110">
        <f t="shared" si="3686"/>
        <v>0</v>
      </c>
      <c r="FG145" s="110"/>
      <c r="FH145" s="139"/>
      <c r="FI145" s="140">
        <f t="shared" si="3687"/>
        <v>0</v>
      </c>
      <c r="FJ145" s="198">
        <f t="shared" si="3680"/>
        <v>0</v>
      </c>
      <c r="FK145" s="225">
        <f t="shared" si="3688"/>
        <v>0</v>
      </c>
      <c r="FL145" s="226">
        <f t="shared" si="3689"/>
        <v>0</v>
      </c>
      <c r="FM145" s="137">
        <f t="shared" si="3690"/>
        <v>0</v>
      </c>
      <c r="FN145" s="227">
        <f t="shared" si="3684"/>
        <v>18.39</v>
      </c>
      <c r="FO145" s="138">
        <f t="shared" si="3691"/>
        <v>0</v>
      </c>
      <c r="FP145" s="110">
        <f t="shared" si="3692"/>
        <v>0</v>
      </c>
      <c r="FQ145" s="110"/>
      <c r="FR145" s="139"/>
      <c r="FS145" s="140">
        <f t="shared" si="3693"/>
        <v>0</v>
      </c>
      <c r="FT145" s="198">
        <f t="shared" si="3680"/>
        <v>0</v>
      </c>
      <c r="FU145" s="225">
        <f t="shared" si="3694"/>
        <v>0</v>
      </c>
      <c r="FV145" s="226">
        <f t="shared" si="3695"/>
        <v>0</v>
      </c>
      <c r="FW145" s="137">
        <f t="shared" si="3696"/>
        <v>0</v>
      </c>
      <c r="FX145" s="227">
        <f t="shared" si="3684"/>
        <v>32.619999999999997</v>
      </c>
      <c r="FY145" s="138">
        <f t="shared" si="3697"/>
        <v>0</v>
      </c>
      <c r="FZ145" s="110">
        <f t="shared" si="3698"/>
        <v>0</v>
      </c>
      <c r="GA145" s="110"/>
      <c r="GB145" s="139"/>
      <c r="GC145" s="140">
        <f t="shared" si="3699"/>
        <v>0</v>
      </c>
      <c r="GD145" s="198">
        <f t="shared" si="3680"/>
        <v>0</v>
      </c>
      <c r="GE145" s="225">
        <f t="shared" si="3700"/>
        <v>0</v>
      </c>
      <c r="GF145" s="226">
        <f t="shared" si="3701"/>
        <v>0</v>
      </c>
      <c r="GG145" s="137">
        <f t="shared" si="3702"/>
        <v>0</v>
      </c>
      <c r="GH145" s="227">
        <f t="shared" si="3684"/>
        <v>33.28</v>
      </c>
      <c r="GI145" s="138">
        <f t="shared" si="3703"/>
        <v>0</v>
      </c>
      <c r="GJ145" s="110">
        <f t="shared" si="3704"/>
        <v>0</v>
      </c>
      <c r="GK145" s="110"/>
      <c r="GL145" s="139"/>
      <c r="GM145" s="140">
        <f t="shared" si="3705"/>
        <v>0</v>
      </c>
      <c r="GN145" s="198">
        <f t="shared" si="3680"/>
        <v>0</v>
      </c>
      <c r="GO145" s="225">
        <f t="shared" si="3706"/>
        <v>0</v>
      </c>
      <c r="GP145" s="226">
        <f t="shared" si="3707"/>
        <v>0</v>
      </c>
      <c r="GQ145" s="137">
        <f t="shared" si="3708"/>
        <v>0</v>
      </c>
      <c r="GR145" s="227">
        <f t="shared" si="3684"/>
        <v>30.78</v>
      </c>
      <c r="GS145" s="138">
        <f t="shared" si="3709"/>
        <v>0</v>
      </c>
      <c r="GT145" s="110">
        <f t="shared" si="3710"/>
        <v>0</v>
      </c>
      <c r="GU145" s="110"/>
      <c r="GV145" s="139"/>
      <c r="GW145" s="140">
        <f t="shared" si="3711"/>
        <v>0</v>
      </c>
      <c r="GX145" s="198">
        <f t="shared" si="3680"/>
        <v>0</v>
      </c>
      <c r="GY145" s="225">
        <f t="shared" si="3712"/>
        <v>0</v>
      </c>
      <c r="GZ145" s="226">
        <f t="shared" si="3713"/>
        <v>0</v>
      </c>
      <c r="HA145" s="137">
        <f t="shared" si="3714"/>
        <v>0</v>
      </c>
      <c r="HB145" s="227">
        <f t="shared" si="3684"/>
        <v>21.23</v>
      </c>
      <c r="HC145" s="138">
        <f t="shared" si="3715"/>
        <v>0</v>
      </c>
      <c r="HD145" s="110">
        <f t="shared" si="3716"/>
        <v>0</v>
      </c>
      <c r="HE145" s="110"/>
      <c r="HF145" s="139"/>
      <c r="HG145" s="140">
        <f t="shared" si="3717"/>
        <v>0</v>
      </c>
      <c r="HH145" s="198">
        <f t="shared" si="3680"/>
        <v>0</v>
      </c>
      <c r="HI145" s="225">
        <f t="shared" si="3718"/>
        <v>0</v>
      </c>
      <c r="HJ145" s="226">
        <f t="shared" si="3719"/>
        <v>0</v>
      </c>
      <c r="HK145" s="137">
        <f t="shared" si="3720"/>
        <v>0</v>
      </c>
      <c r="HL145" s="227">
        <f t="shared" si="3684"/>
        <v>28.23</v>
      </c>
      <c r="HM145" s="138">
        <f t="shared" si="3721"/>
        <v>0</v>
      </c>
      <c r="HN145" s="110">
        <f t="shared" si="3722"/>
        <v>0</v>
      </c>
      <c r="HO145" s="110"/>
      <c r="HP145" s="139"/>
      <c r="HQ145" s="140">
        <f t="shared" si="3723"/>
        <v>0</v>
      </c>
      <c r="HR145" s="198">
        <f t="shared" si="3724"/>
        <v>0</v>
      </c>
      <c r="HS145" s="225">
        <f t="shared" si="3725"/>
        <v>0</v>
      </c>
      <c r="HT145" s="226">
        <f t="shared" si="3726"/>
        <v>0</v>
      </c>
      <c r="HU145" s="137">
        <f t="shared" si="3727"/>
        <v>0</v>
      </c>
      <c r="HV145" s="227">
        <f t="shared" si="3728"/>
        <v>31.27</v>
      </c>
      <c r="HW145" s="138">
        <f t="shared" si="3729"/>
        <v>0</v>
      </c>
      <c r="HX145" s="110">
        <f t="shared" si="3730"/>
        <v>0</v>
      </c>
      <c r="HY145" s="110"/>
      <c r="HZ145" s="139"/>
      <c r="IA145" s="140">
        <f t="shared" si="3731"/>
        <v>0</v>
      </c>
      <c r="IB145" s="198">
        <f t="shared" si="3724"/>
        <v>0</v>
      </c>
      <c r="IC145" s="225">
        <f t="shared" si="3732"/>
        <v>0</v>
      </c>
      <c r="ID145" s="226">
        <f t="shared" si="3733"/>
        <v>0</v>
      </c>
      <c r="IE145" s="137">
        <f t="shared" si="3734"/>
        <v>0</v>
      </c>
      <c r="IF145" s="227">
        <f t="shared" si="3728"/>
        <v>28.65</v>
      </c>
      <c r="IG145" s="138">
        <f t="shared" si="3735"/>
        <v>0</v>
      </c>
      <c r="IH145" s="110">
        <f t="shared" si="3736"/>
        <v>0</v>
      </c>
      <c r="II145" s="110"/>
      <c r="IJ145" s="139"/>
      <c r="IK145" s="140">
        <f t="shared" si="3737"/>
        <v>0</v>
      </c>
      <c r="IL145" s="198">
        <f t="shared" si="3724"/>
        <v>0</v>
      </c>
      <c r="IM145" s="225">
        <f t="shared" si="3738"/>
        <v>0</v>
      </c>
      <c r="IN145" s="226">
        <f t="shared" si="3739"/>
        <v>0</v>
      </c>
      <c r="IO145" s="137">
        <f t="shared" si="3740"/>
        <v>0</v>
      </c>
      <c r="IP145" s="227">
        <f t="shared" si="3728"/>
        <v>33.04</v>
      </c>
      <c r="IQ145" s="138">
        <f t="shared" si="3741"/>
        <v>0</v>
      </c>
      <c r="IR145" s="110">
        <f t="shared" si="3742"/>
        <v>0</v>
      </c>
      <c r="IS145" s="110"/>
      <c r="IT145" s="139"/>
      <c r="IU145" s="140">
        <f t="shared" si="3743"/>
        <v>0</v>
      </c>
      <c r="IV145" s="198">
        <f t="shared" si="3724"/>
        <v>0</v>
      </c>
      <c r="IW145" s="225">
        <f t="shared" si="3744"/>
        <v>0</v>
      </c>
      <c r="IX145" s="226">
        <f t="shared" si="3745"/>
        <v>0</v>
      </c>
      <c r="IY145" s="137">
        <f t="shared" si="3746"/>
        <v>0</v>
      </c>
      <c r="IZ145" s="227">
        <f t="shared" si="3728"/>
        <v>33.36</v>
      </c>
      <c r="JA145" s="138">
        <f t="shared" si="3747"/>
        <v>0</v>
      </c>
      <c r="JB145" s="110">
        <f t="shared" si="3748"/>
        <v>0</v>
      </c>
      <c r="JC145" s="110"/>
      <c r="JD145" s="139"/>
      <c r="JE145" s="140">
        <f t="shared" si="3749"/>
        <v>0</v>
      </c>
      <c r="JF145" s="198">
        <f t="shared" si="3724"/>
        <v>0</v>
      </c>
      <c r="JG145" s="225">
        <f t="shared" si="3750"/>
        <v>0</v>
      </c>
      <c r="JH145" s="226">
        <f t="shared" si="3751"/>
        <v>0</v>
      </c>
      <c r="JI145" s="137">
        <f t="shared" si="3752"/>
        <v>0</v>
      </c>
      <c r="JJ145" s="227">
        <f t="shared" si="3728"/>
        <v>21.96</v>
      </c>
      <c r="JK145" s="138">
        <f t="shared" si="3753"/>
        <v>0</v>
      </c>
      <c r="JL145" s="110">
        <f t="shared" si="3754"/>
        <v>0</v>
      </c>
      <c r="JM145" s="110"/>
      <c r="JN145" s="139"/>
      <c r="JO145" s="140">
        <f t="shared" si="3755"/>
        <v>0</v>
      </c>
      <c r="JP145" s="198">
        <f t="shared" si="3724"/>
        <v>0</v>
      </c>
      <c r="JQ145" s="225">
        <f t="shared" si="3756"/>
        <v>0</v>
      </c>
      <c r="JR145" s="226">
        <f t="shared" si="3757"/>
        <v>0</v>
      </c>
      <c r="JS145" s="137">
        <f t="shared" si="3758"/>
        <v>0</v>
      </c>
      <c r="JT145" s="227">
        <f t="shared" si="3728"/>
        <v>35.700000000000003</v>
      </c>
      <c r="JU145" s="138">
        <f t="shared" si="3759"/>
        <v>0</v>
      </c>
      <c r="JV145" s="110">
        <f t="shared" si="3760"/>
        <v>0</v>
      </c>
      <c r="JW145" s="110"/>
      <c r="JX145" s="139"/>
      <c r="JY145" s="140">
        <f t="shared" si="3761"/>
        <v>0</v>
      </c>
      <c r="JZ145" s="198">
        <f t="shared" si="3724"/>
        <v>0</v>
      </c>
      <c r="KA145" s="225">
        <f t="shared" si="3762"/>
        <v>0</v>
      </c>
      <c r="KB145" s="226">
        <f t="shared" si="3763"/>
        <v>0</v>
      </c>
      <c r="KC145" s="137">
        <f t="shared" si="3764"/>
        <v>0</v>
      </c>
      <c r="KD145" s="227">
        <f t="shared" si="3728"/>
        <v>30.3</v>
      </c>
      <c r="KE145" s="138">
        <f t="shared" si="3765"/>
        <v>0</v>
      </c>
      <c r="KF145" s="110">
        <f t="shared" si="3766"/>
        <v>0</v>
      </c>
      <c r="KG145" s="110"/>
      <c r="KH145" s="139"/>
      <c r="KI145" s="140">
        <f t="shared" si="3767"/>
        <v>0</v>
      </c>
      <c r="KJ145" s="198">
        <f t="shared" si="3768"/>
        <v>0</v>
      </c>
      <c r="KK145" s="225">
        <f t="shared" si="3769"/>
        <v>0</v>
      </c>
      <c r="KL145" s="226">
        <f t="shared" si="3770"/>
        <v>0</v>
      </c>
      <c r="KM145" s="137">
        <f t="shared" si="3771"/>
        <v>0</v>
      </c>
      <c r="KN145" s="227">
        <f t="shared" si="3772"/>
        <v>30.43</v>
      </c>
      <c r="KO145" s="138">
        <f t="shared" si="3773"/>
        <v>0</v>
      </c>
      <c r="KP145" s="110">
        <f t="shared" si="3774"/>
        <v>0</v>
      </c>
      <c r="KQ145" s="110"/>
      <c r="KR145" s="139"/>
      <c r="KS145" s="140">
        <f t="shared" si="3775"/>
        <v>0</v>
      </c>
      <c r="KT145" s="198">
        <f t="shared" si="3768"/>
        <v>0</v>
      </c>
      <c r="KU145" s="225">
        <f t="shared" si="3776"/>
        <v>0</v>
      </c>
      <c r="KV145" s="226">
        <f t="shared" si="3777"/>
        <v>0</v>
      </c>
      <c r="KW145" s="137">
        <f t="shared" si="3778"/>
        <v>0</v>
      </c>
      <c r="KX145" s="227">
        <f t="shared" si="3772"/>
        <v>34.299999999999997</v>
      </c>
      <c r="KY145" s="138">
        <f t="shared" si="3779"/>
        <v>0</v>
      </c>
      <c r="KZ145" s="110">
        <f t="shared" si="3780"/>
        <v>0</v>
      </c>
      <c r="LA145" s="110"/>
      <c r="LB145" s="139"/>
      <c r="LC145" s="140">
        <f t="shared" si="3781"/>
        <v>0</v>
      </c>
      <c r="LD145" s="197">
        <f t="shared" si="3581"/>
        <v>5</v>
      </c>
      <c r="LE145" s="225">
        <f t="shared" si="3582"/>
        <v>1.8000000000000001E-4</v>
      </c>
      <c r="LF145" s="226">
        <f t="shared" si="3583"/>
        <v>11.03</v>
      </c>
      <c r="LG145" s="137">
        <f t="shared" si="3584"/>
        <v>2.206</v>
      </c>
      <c r="LH145" s="227">
        <f t="shared" si="3585"/>
        <v>28.89</v>
      </c>
      <c r="LI145" s="138">
        <f t="shared" si="3586"/>
        <v>63.731340000000003</v>
      </c>
      <c r="LJ145" s="110">
        <f t="shared" si="3587"/>
        <v>318.66000000000003</v>
      </c>
      <c r="LK145" s="110"/>
      <c r="LL145" s="139"/>
    </row>
    <row r="146" spans="1:324" ht="16.5" customHeight="1" x14ac:dyDescent="0.25">
      <c r="A146" s="244"/>
      <c r="B146" s="244" t="s">
        <v>855</v>
      </c>
      <c r="C146" s="12"/>
      <c r="D146" s="12"/>
      <c r="E146" s="4"/>
      <c r="F146" s="198"/>
      <c r="G146" s="225"/>
      <c r="H146" s="226"/>
      <c r="I146" s="137"/>
      <c r="J146" s="227"/>
      <c r="K146" s="138"/>
      <c r="L146" s="110"/>
      <c r="M146" s="110"/>
      <c r="N146" s="139"/>
      <c r="O146" s="140"/>
      <c r="P146" s="198"/>
      <c r="Q146" s="225"/>
      <c r="R146" s="226"/>
      <c r="S146" s="137"/>
      <c r="T146" s="227"/>
      <c r="U146" s="138"/>
      <c r="V146" s="110"/>
      <c r="W146" s="110"/>
      <c r="X146" s="139"/>
      <c r="Y146" s="140"/>
      <c r="Z146" s="198"/>
      <c r="AA146" s="225"/>
      <c r="AB146" s="226"/>
      <c r="AC146" s="137"/>
      <c r="AD146" s="227"/>
      <c r="AE146" s="138"/>
      <c r="AF146" s="110"/>
      <c r="AG146" s="110"/>
      <c r="AH146" s="139"/>
      <c r="AI146" s="140"/>
      <c r="AJ146" s="198"/>
      <c r="AK146" s="225"/>
      <c r="AL146" s="226"/>
      <c r="AM146" s="137"/>
      <c r="AN146" s="227"/>
      <c r="AO146" s="138"/>
      <c r="AP146" s="110"/>
      <c r="AQ146" s="110"/>
      <c r="AR146" s="139"/>
      <c r="AS146" s="140"/>
      <c r="AT146" s="198"/>
      <c r="AU146" s="225"/>
      <c r="AV146" s="226"/>
      <c r="AW146" s="137"/>
      <c r="AX146" s="227"/>
      <c r="AY146" s="138"/>
      <c r="AZ146" s="110"/>
      <c r="BA146" s="110"/>
      <c r="BB146" s="139"/>
      <c r="BC146" s="140"/>
      <c r="BD146" s="198"/>
      <c r="BE146" s="225"/>
      <c r="BF146" s="226"/>
      <c r="BG146" s="137"/>
      <c r="BH146" s="227"/>
      <c r="BI146" s="138"/>
      <c r="BJ146" s="110"/>
      <c r="BK146" s="110"/>
      <c r="BL146" s="139"/>
      <c r="BM146" s="140"/>
      <c r="BN146" s="198"/>
      <c r="BO146" s="225"/>
      <c r="BP146" s="226"/>
      <c r="BQ146" s="137"/>
      <c r="BR146" s="227"/>
      <c r="BS146" s="138"/>
      <c r="BT146" s="110"/>
      <c r="BU146" s="110"/>
      <c r="BV146" s="139"/>
      <c r="BW146" s="140"/>
      <c r="BX146" s="198"/>
      <c r="BY146" s="225"/>
      <c r="BZ146" s="226"/>
      <c r="CA146" s="137"/>
      <c r="CB146" s="227"/>
      <c r="CC146" s="138"/>
      <c r="CD146" s="110"/>
      <c r="CE146" s="110"/>
      <c r="CF146" s="139"/>
      <c r="CG146" s="140"/>
      <c r="CH146" s="198"/>
      <c r="CI146" s="225"/>
      <c r="CJ146" s="226"/>
      <c r="CK146" s="137"/>
      <c r="CL146" s="227"/>
      <c r="CM146" s="138"/>
      <c r="CN146" s="110"/>
      <c r="CO146" s="110"/>
      <c r="CP146" s="139"/>
      <c r="CQ146" s="140"/>
      <c r="CR146" s="198"/>
      <c r="CS146" s="225"/>
      <c r="CT146" s="226"/>
      <c r="CU146" s="137"/>
      <c r="CV146" s="227"/>
      <c r="CW146" s="138"/>
      <c r="CX146" s="110"/>
      <c r="CY146" s="110"/>
      <c r="CZ146" s="139"/>
      <c r="DA146" s="140"/>
      <c r="DB146" s="198"/>
      <c r="DC146" s="225"/>
      <c r="DD146" s="226"/>
      <c r="DE146" s="137"/>
      <c r="DF146" s="227"/>
      <c r="DG146" s="138"/>
      <c r="DH146" s="110"/>
      <c r="DI146" s="110"/>
      <c r="DJ146" s="139"/>
      <c r="DK146" s="140"/>
      <c r="DL146" s="198"/>
      <c r="DM146" s="225"/>
      <c r="DN146" s="226"/>
      <c r="DO146" s="137"/>
      <c r="DP146" s="227"/>
      <c r="DQ146" s="138"/>
      <c r="DR146" s="110"/>
      <c r="DS146" s="110"/>
      <c r="DT146" s="139"/>
      <c r="DU146" s="140"/>
      <c r="DV146" s="198"/>
      <c r="DW146" s="225"/>
      <c r="DX146" s="226"/>
      <c r="DY146" s="137"/>
      <c r="DZ146" s="227"/>
      <c r="EA146" s="138"/>
      <c r="EB146" s="110"/>
      <c r="EC146" s="110"/>
      <c r="ED146" s="139"/>
      <c r="EE146" s="140"/>
      <c r="EF146" s="198"/>
      <c r="EG146" s="225"/>
      <c r="EH146" s="226"/>
      <c r="EI146" s="137"/>
      <c r="EJ146" s="227"/>
      <c r="EK146" s="138"/>
      <c r="EL146" s="110"/>
      <c r="EM146" s="110"/>
      <c r="EN146" s="139"/>
      <c r="EO146" s="140"/>
      <c r="EP146" s="198"/>
      <c r="EQ146" s="225"/>
      <c r="ER146" s="226"/>
      <c r="ES146" s="137"/>
      <c r="ET146" s="227"/>
      <c r="EU146" s="138"/>
      <c r="EV146" s="110"/>
      <c r="EW146" s="110"/>
      <c r="EX146" s="139"/>
      <c r="EY146" s="140"/>
      <c r="EZ146" s="198"/>
      <c r="FA146" s="225"/>
      <c r="FB146" s="226"/>
      <c r="FC146" s="137"/>
      <c r="FD146" s="227"/>
      <c r="FE146" s="138"/>
      <c r="FF146" s="110"/>
      <c r="FG146" s="110"/>
      <c r="FH146" s="139"/>
      <c r="FI146" s="140"/>
      <c r="FJ146" s="198"/>
      <c r="FK146" s="225"/>
      <c r="FL146" s="226"/>
      <c r="FM146" s="137"/>
      <c r="FN146" s="227"/>
      <c r="FO146" s="138"/>
      <c r="FP146" s="110"/>
      <c r="FQ146" s="110"/>
      <c r="FR146" s="139"/>
      <c r="FS146" s="140"/>
      <c r="FT146" s="198"/>
      <c r="FU146" s="225"/>
      <c r="FV146" s="226"/>
      <c r="FW146" s="137"/>
      <c r="FX146" s="227"/>
      <c r="FY146" s="138"/>
      <c r="FZ146" s="110"/>
      <c r="GA146" s="110"/>
      <c r="GB146" s="139"/>
      <c r="GC146" s="140"/>
      <c r="GD146" s="198"/>
      <c r="GE146" s="225"/>
      <c r="GF146" s="226"/>
      <c r="GG146" s="137"/>
      <c r="GH146" s="227"/>
      <c r="GI146" s="138"/>
      <c r="GJ146" s="110"/>
      <c r="GK146" s="110"/>
      <c r="GL146" s="139"/>
      <c r="GM146" s="140"/>
      <c r="GN146" s="198"/>
      <c r="GO146" s="225"/>
      <c r="GP146" s="226"/>
      <c r="GQ146" s="137"/>
      <c r="GR146" s="227"/>
      <c r="GS146" s="138"/>
      <c r="GT146" s="110"/>
      <c r="GU146" s="110"/>
      <c r="GV146" s="139"/>
      <c r="GW146" s="140"/>
      <c r="GX146" s="198"/>
      <c r="GY146" s="225"/>
      <c r="GZ146" s="226"/>
      <c r="HA146" s="137"/>
      <c r="HB146" s="227"/>
      <c r="HC146" s="138"/>
      <c r="HD146" s="110"/>
      <c r="HE146" s="110"/>
      <c r="HF146" s="139"/>
      <c r="HG146" s="140"/>
      <c r="HH146" s="198"/>
      <c r="HI146" s="225"/>
      <c r="HJ146" s="226"/>
      <c r="HK146" s="137"/>
      <c r="HL146" s="227"/>
      <c r="HM146" s="138"/>
      <c r="HN146" s="110"/>
      <c r="HO146" s="110"/>
      <c r="HP146" s="139"/>
      <c r="HQ146" s="140"/>
      <c r="HR146" s="198"/>
      <c r="HS146" s="225"/>
      <c r="HT146" s="226"/>
      <c r="HU146" s="137"/>
      <c r="HV146" s="227"/>
      <c r="HW146" s="138"/>
      <c r="HX146" s="110"/>
      <c r="HY146" s="110"/>
      <c r="HZ146" s="139"/>
      <c r="IA146" s="140"/>
      <c r="IB146" s="198"/>
      <c r="IC146" s="225"/>
      <c r="ID146" s="226"/>
      <c r="IE146" s="137"/>
      <c r="IF146" s="227"/>
      <c r="IG146" s="138"/>
      <c r="IH146" s="110"/>
      <c r="II146" s="110"/>
      <c r="IJ146" s="139"/>
      <c r="IK146" s="140"/>
      <c r="IL146" s="198"/>
      <c r="IM146" s="225"/>
      <c r="IN146" s="226"/>
      <c r="IO146" s="137"/>
      <c r="IP146" s="227"/>
      <c r="IQ146" s="138"/>
      <c r="IR146" s="110"/>
      <c r="IS146" s="110"/>
      <c r="IT146" s="139"/>
      <c r="IU146" s="140"/>
      <c r="IV146" s="198"/>
      <c r="IW146" s="225"/>
      <c r="IX146" s="226"/>
      <c r="IY146" s="137"/>
      <c r="IZ146" s="227"/>
      <c r="JA146" s="138"/>
      <c r="JB146" s="110"/>
      <c r="JC146" s="110"/>
      <c r="JD146" s="139"/>
      <c r="JE146" s="140"/>
      <c r="JF146" s="198"/>
      <c r="JG146" s="225"/>
      <c r="JH146" s="226"/>
      <c r="JI146" s="137"/>
      <c r="JJ146" s="227"/>
      <c r="JK146" s="138"/>
      <c r="JL146" s="110"/>
      <c r="JM146" s="110"/>
      <c r="JN146" s="139"/>
      <c r="JO146" s="140"/>
      <c r="JP146" s="198"/>
      <c r="JQ146" s="225"/>
      <c r="JR146" s="226"/>
      <c r="JS146" s="137"/>
      <c r="JT146" s="227"/>
      <c r="JU146" s="138"/>
      <c r="JV146" s="110"/>
      <c r="JW146" s="110"/>
      <c r="JX146" s="139"/>
      <c r="JY146" s="140"/>
      <c r="JZ146" s="198"/>
      <c r="KA146" s="225"/>
      <c r="KB146" s="226"/>
      <c r="KC146" s="137"/>
      <c r="KD146" s="227"/>
      <c r="KE146" s="138"/>
      <c r="KF146" s="110"/>
      <c r="KG146" s="110"/>
      <c r="KH146" s="139"/>
      <c r="KI146" s="140"/>
      <c r="KJ146" s="198"/>
      <c r="KK146" s="225"/>
      <c r="KL146" s="226"/>
      <c r="KM146" s="137"/>
      <c r="KN146" s="227"/>
      <c r="KO146" s="138"/>
      <c r="KP146" s="110"/>
      <c r="KQ146" s="110"/>
      <c r="KR146" s="139"/>
      <c r="KS146" s="140"/>
      <c r="KT146" s="198"/>
      <c r="KU146" s="225"/>
      <c r="KV146" s="226"/>
      <c r="KW146" s="137"/>
      <c r="KX146" s="227"/>
      <c r="KY146" s="138"/>
      <c r="KZ146" s="110"/>
      <c r="LA146" s="110"/>
      <c r="LB146" s="139"/>
      <c r="LC146" s="140"/>
      <c r="LD146" s="197"/>
      <c r="LE146" s="225"/>
      <c r="LF146" s="226"/>
      <c r="LG146" s="137"/>
      <c r="LH146" s="227"/>
      <c r="LI146" s="138"/>
      <c r="LJ146" s="110"/>
      <c r="LK146" s="110"/>
      <c r="LL146" s="139"/>
    </row>
    <row r="147" spans="1:324" ht="16.5" customHeight="1" x14ac:dyDescent="0.25">
      <c r="A147" s="245"/>
      <c r="B147" s="12" t="s">
        <v>609</v>
      </c>
      <c r="C147" s="12" t="s">
        <v>728</v>
      </c>
      <c r="D147" s="12" t="s">
        <v>430</v>
      </c>
      <c r="E147" s="4" t="s">
        <v>32</v>
      </c>
      <c r="F147" s="198">
        <f t="shared" ref="F147:F153" si="3782">F31</f>
        <v>49</v>
      </c>
      <c r="G147" s="225">
        <f t="shared" si="3588"/>
        <v>8.14E-2</v>
      </c>
      <c r="H147" s="226">
        <f t="shared" si="3589"/>
        <v>75.7</v>
      </c>
      <c r="I147" s="137">
        <f t="shared" si="3362"/>
        <v>1.5448979599999999</v>
      </c>
      <c r="J147" s="227">
        <f t="shared" si="3590"/>
        <v>19.559999999999999</v>
      </c>
      <c r="K147" s="138">
        <f t="shared" si="3363"/>
        <v>30.2182</v>
      </c>
      <c r="L147" s="110">
        <f t="shared" si="3364"/>
        <v>1480.69</v>
      </c>
      <c r="M147" s="110"/>
      <c r="N147" s="139"/>
      <c r="O147" s="140">
        <f t="shared" si="3365"/>
        <v>0.48707</v>
      </c>
      <c r="P147" s="198">
        <f t="shared" ref="P147:BX153" si="3783">P31</f>
        <v>79</v>
      </c>
      <c r="Q147" s="225">
        <f t="shared" ref="Q147:Q154" si="3784">P147/P$126</f>
        <v>7.2080000000000005E-2</v>
      </c>
      <c r="R147" s="226">
        <f t="shared" ref="R147:R154" si="3785">R$126*Q147</f>
        <v>116.05</v>
      </c>
      <c r="S147" s="137">
        <f t="shared" ref="S147:S154" si="3786">IF(P147&gt;0,R147/P147,0)</f>
        <v>1.46898734</v>
      </c>
      <c r="T147" s="227">
        <f t="shared" ref="T147:CB154" si="3787">T$126</f>
        <v>14.76</v>
      </c>
      <c r="U147" s="138">
        <f t="shared" ref="U147:U154" si="3788">S147*T147</f>
        <v>21.68225</v>
      </c>
      <c r="V147" s="110">
        <f t="shared" ref="V147:V155" si="3789">U147*P147</f>
        <v>1712.9</v>
      </c>
      <c r="W147" s="110"/>
      <c r="X147" s="139"/>
      <c r="Y147" s="140">
        <f t="shared" ref="Y147:Y155" si="3790">U147/$LI147</f>
        <v>0.34948000000000001</v>
      </c>
      <c r="Z147" s="198">
        <f t="shared" si="3783"/>
        <v>214</v>
      </c>
      <c r="AA147" s="225">
        <f t="shared" ref="AA147:AA154" si="3791">Z147/Z$126</f>
        <v>0.24768999999999999</v>
      </c>
      <c r="AB147" s="226">
        <f t="shared" ref="AB147:AB154" si="3792">AB$126*AA147</f>
        <v>319.52</v>
      </c>
      <c r="AC147" s="137">
        <f t="shared" ref="AC147:AC154" si="3793">IF(Z147&gt;0,AB147/Z147,0)</f>
        <v>1.4930841100000001</v>
      </c>
      <c r="AD147" s="227">
        <f t="shared" si="3787"/>
        <v>33.520000000000003</v>
      </c>
      <c r="AE147" s="138">
        <f t="shared" ref="AE147:AE154" si="3794">AC147*AD147</f>
        <v>50.048180000000002</v>
      </c>
      <c r="AF147" s="110">
        <f t="shared" ref="AF147:AF155" si="3795">AE147*Z147</f>
        <v>10710.31</v>
      </c>
      <c r="AG147" s="110"/>
      <c r="AH147" s="139"/>
      <c r="AI147" s="140">
        <f t="shared" ref="AI147:AI155" si="3796">AE147/$LI147</f>
        <v>0.80669000000000002</v>
      </c>
      <c r="AJ147" s="198">
        <f t="shared" si="3783"/>
        <v>43</v>
      </c>
      <c r="AK147" s="225">
        <f t="shared" ref="AK147:AK154" si="3797">AJ147/AJ$126</f>
        <v>6.4659999999999995E-2</v>
      </c>
      <c r="AL147" s="226">
        <f t="shared" ref="AL147:AL154" si="3798">AL$126*AK147</f>
        <v>73.78</v>
      </c>
      <c r="AM147" s="137">
        <f t="shared" ref="AM147:AM154" si="3799">IF(AJ147&gt;0,AL147/AJ147,0)</f>
        <v>1.71581395</v>
      </c>
      <c r="AN147" s="227">
        <f t="shared" si="3787"/>
        <v>33.07</v>
      </c>
      <c r="AO147" s="138">
        <f t="shared" ref="AO147:AO154" si="3800">AM147*AN147</f>
        <v>56.741970000000002</v>
      </c>
      <c r="AP147" s="110">
        <f t="shared" ref="AP147:AP155" si="3801">AO147*AJ147</f>
        <v>2439.9</v>
      </c>
      <c r="AQ147" s="110"/>
      <c r="AR147" s="139"/>
      <c r="AS147" s="140">
        <f t="shared" ref="AS147:AS155" si="3802">AO147/$LI147</f>
        <v>0.91459000000000001</v>
      </c>
      <c r="AT147" s="198">
        <f t="shared" si="3783"/>
        <v>54</v>
      </c>
      <c r="AU147" s="225">
        <f t="shared" ref="AU147:AU154" si="3803">AT147/AT$126</f>
        <v>5.6779999999999997E-2</v>
      </c>
      <c r="AV147" s="226">
        <f t="shared" ref="AV147:AV154" si="3804">AV$126*AU147</f>
        <v>51.67</v>
      </c>
      <c r="AW147" s="137">
        <f t="shared" ref="AW147:AW154" si="3805">IF(AT147&gt;0,AV147/AT147,0)</f>
        <v>0.95685184999999995</v>
      </c>
      <c r="AX147" s="227">
        <f t="shared" si="3787"/>
        <v>28.2</v>
      </c>
      <c r="AY147" s="138">
        <f t="shared" ref="AY147:AY154" si="3806">AW147*AX147</f>
        <v>26.983219999999999</v>
      </c>
      <c r="AZ147" s="110">
        <f t="shared" ref="AZ147:AZ155" si="3807">AY147*AT147</f>
        <v>1457.09</v>
      </c>
      <c r="BA147" s="110"/>
      <c r="BB147" s="139"/>
      <c r="BC147" s="140">
        <f t="shared" ref="BC147:BC155" si="3808">AY147/$LI147</f>
        <v>0.43492999999999998</v>
      </c>
      <c r="BD147" s="198">
        <f t="shared" si="3783"/>
        <v>38</v>
      </c>
      <c r="BE147" s="225">
        <f t="shared" ref="BE147:BE154" si="3809">BD147/BD$126</f>
        <v>5.108E-2</v>
      </c>
      <c r="BF147" s="226">
        <f t="shared" ref="BF147:BF154" si="3810">BF$126*BE147</f>
        <v>72.53</v>
      </c>
      <c r="BG147" s="137">
        <f t="shared" ref="BG147:BG154" si="3811">IF(BD147&gt;0,BF147/BD147,0)</f>
        <v>1.9086842100000001</v>
      </c>
      <c r="BH147" s="227">
        <f t="shared" si="3787"/>
        <v>33.75</v>
      </c>
      <c r="BI147" s="138">
        <f t="shared" ref="BI147:BI154" si="3812">BG147*BH147</f>
        <v>64.418090000000007</v>
      </c>
      <c r="BJ147" s="110">
        <f t="shared" ref="BJ147:BJ155" si="3813">BI147*BD147</f>
        <v>2447.89</v>
      </c>
      <c r="BK147" s="110"/>
      <c r="BL147" s="139"/>
      <c r="BM147" s="140">
        <f t="shared" ref="BM147:BM155" si="3814">BI147/$LI147</f>
        <v>1.0383100000000001</v>
      </c>
      <c r="BN147" s="198">
        <f t="shared" si="3783"/>
        <v>51</v>
      </c>
      <c r="BO147" s="225">
        <f t="shared" ref="BO147:BO154" si="3815">BN147/BN$126</f>
        <v>8.2659999999999997E-2</v>
      </c>
      <c r="BP147" s="226">
        <f t="shared" ref="BP147:BP154" si="3816">BP$126*BO147</f>
        <v>100.85</v>
      </c>
      <c r="BQ147" s="137">
        <f t="shared" ref="BQ147:BQ154" si="3817">IF(BN147&gt;0,BP147/BN147,0)</f>
        <v>1.97745098</v>
      </c>
      <c r="BR147" s="227">
        <f t="shared" si="3787"/>
        <v>32.79</v>
      </c>
      <c r="BS147" s="138">
        <f t="shared" ref="BS147:BS154" si="3818">BQ147*BR147</f>
        <v>64.840620000000001</v>
      </c>
      <c r="BT147" s="110">
        <f t="shared" ref="BT147:BT155" si="3819">BS147*BN147</f>
        <v>3306.87</v>
      </c>
      <c r="BU147" s="110"/>
      <c r="BV147" s="139"/>
      <c r="BW147" s="140">
        <f t="shared" ref="BW147:BW155" si="3820">BS147/$LI147</f>
        <v>1.04512</v>
      </c>
      <c r="BX147" s="198">
        <f t="shared" si="3783"/>
        <v>72</v>
      </c>
      <c r="BY147" s="225">
        <f t="shared" ref="BY147:BY154" si="3821">BX147/BX$126</f>
        <v>9.1370000000000007E-2</v>
      </c>
      <c r="BZ147" s="226">
        <f t="shared" ref="BZ147:BZ154" si="3822">BZ$126*BY147</f>
        <v>134.31</v>
      </c>
      <c r="CA147" s="137">
        <f t="shared" ref="CA147:CA154" si="3823">IF(BX147&gt;0,BZ147/BX147,0)</f>
        <v>1.8654166700000001</v>
      </c>
      <c r="CB147" s="227">
        <f t="shared" si="3787"/>
        <v>30.39</v>
      </c>
      <c r="CC147" s="138">
        <f t="shared" ref="CC147:CC154" si="3824">CA147*CB147</f>
        <v>56.690010000000001</v>
      </c>
      <c r="CD147" s="110">
        <f t="shared" ref="CD147:CD155" si="3825">CC147*BX147</f>
        <v>4081.68</v>
      </c>
      <c r="CE147" s="110"/>
      <c r="CF147" s="139"/>
      <c r="CG147" s="140">
        <f t="shared" ref="CG147:CG155" si="3826">CC147/$LI147</f>
        <v>0.91374999999999995</v>
      </c>
      <c r="CH147" s="198">
        <f t="shared" ref="CH147:EP153" si="3827">CH31</f>
        <v>109</v>
      </c>
      <c r="CI147" s="225">
        <f t="shared" ref="CI147:CI154" si="3828">CH147/CH$126</f>
        <v>0.11797000000000001</v>
      </c>
      <c r="CJ147" s="226">
        <f t="shared" ref="CJ147:CJ154" si="3829">CJ$126*CI147</f>
        <v>276.05</v>
      </c>
      <c r="CK147" s="137">
        <f t="shared" ref="CK147:CK154" si="3830">IF(CH147&gt;0,CJ147/CH147,0)</f>
        <v>2.5325688099999999</v>
      </c>
      <c r="CL147" s="227">
        <f t="shared" ref="CL147:ET154" si="3831">CL$126</f>
        <v>25.57</v>
      </c>
      <c r="CM147" s="138">
        <f t="shared" ref="CM147:CM154" si="3832">CK147*CL147</f>
        <v>64.757779999999997</v>
      </c>
      <c r="CN147" s="110">
        <f t="shared" ref="CN147:CN155" si="3833">CM147*CH147</f>
        <v>7058.6</v>
      </c>
      <c r="CO147" s="110"/>
      <c r="CP147" s="139"/>
      <c r="CQ147" s="140">
        <f t="shared" ref="CQ147:CQ155" si="3834">CM147/$LI147</f>
        <v>1.04379</v>
      </c>
      <c r="CR147" s="198">
        <f t="shared" si="3827"/>
        <v>38</v>
      </c>
      <c r="CS147" s="225">
        <f t="shared" ref="CS147:CS154" si="3835">CR147/CR$126</f>
        <v>5.108E-2</v>
      </c>
      <c r="CT147" s="226">
        <f t="shared" ref="CT147:CT154" si="3836">CT$126*CS147</f>
        <v>61.35</v>
      </c>
      <c r="CU147" s="137">
        <f t="shared" ref="CU147:CU154" si="3837">IF(CR147&gt;0,CT147/CR147,0)</f>
        <v>1.6144736799999999</v>
      </c>
      <c r="CV147" s="227">
        <f t="shared" si="3831"/>
        <v>28.26</v>
      </c>
      <c r="CW147" s="138">
        <f t="shared" ref="CW147:CW154" si="3838">CU147*CV147</f>
        <v>45.625030000000002</v>
      </c>
      <c r="CX147" s="110">
        <f t="shared" ref="CX147:CX155" si="3839">CW147*CR147</f>
        <v>1733.75</v>
      </c>
      <c r="CY147" s="110"/>
      <c r="CZ147" s="139"/>
      <c r="DA147" s="140">
        <f t="shared" ref="DA147:DA155" si="3840">CW147/$LI147</f>
        <v>0.73540000000000005</v>
      </c>
      <c r="DB147" s="198">
        <f t="shared" si="3827"/>
        <v>86</v>
      </c>
      <c r="DC147" s="225">
        <f t="shared" ref="DC147:DC154" si="3841">DB147/DB$126</f>
        <v>0.10424</v>
      </c>
      <c r="DD147" s="226">
        <f t="shared" ref="DD147:DD154" si="3842">DD$126*DC147</f>
        <v>116.12</v>
      </c>
      <c r="DE147" s="137">
        <f t="shared" ref="DE147:DE154" si="3843">IF(DB147&gt;0,DD147/DB147,0)</f>
        <v>1.35023256</v>
      </c>
      <c r="DF147" s="227">
        <f t="shared" si="3831"/>
        <v>31.22</v>
      </c>
      <c r="DG147" s="138">
        <f t="shared" ref="DG147:DG154" si="3844">DE147*DF147</f>
        <v>42.154260000000001</v>
      </c>
      <c r="DH147" s="110">
        <f t="shared" ref="DH147:DH155" si="3845">DG147*DB147</f>
        <v>3625.27</v>
      </c>
      <c r="DI147" s="110"/>
      <c r="DJ147" s="139"/>
      <c r="DK147" s="140">
        <f t="shared" ref="DK147:DK155" si="3846">DG147/$LI147</f>
        <v>0.67945999999999995</v>
      </c>
      <c r="DL147" s="198">
        <f t="shared" si="3827"/>
        <v>0</v>
      </c>
      <c r="DM147" s="225">
        <f t="shared" ref="DM147:DM154" si="3847">DL147/DL$126</f>
        <v>0</v>
      </c>
      <c r="DN147" s="226">
        <f t="shared" ref="DN147:DN154" si="3848">DN$126*DM147</f>
        <v>0</v>
      </c>
      <c r="DO147" s="137">
        <f t="shared" ref="DO147:DO154" si="3849">IF(DL147&gt;0,DN147/DL147,0)</f>
        <v>0</v>
      </c>
      <c r="DP147" s="227">
        <f t="shared" si="3831"/>
        <v>33.9</v>
      </c>
      <c r="DQ147" s="138">
        <f t="shared" ref="DQ147:DQ154" si="3850">DO147*DP147</f>
        <v>0</v>
      </c>
      <c r="DR147" s="110">
        <f t="shared" ref="DR147:DR155" si="3851">DQ147*DL147</f>
        <v>0</v>
      </c>
      <c r="DS147" s="110"/>
      <c r="DT147" s="139"/>
      <c r="DU147" s="140">
        <f t="shared" ref="DU147:DU155" si="3852">DQ147/$LI147</f>
        <v>0</v>
      </c>
      <c r="DV147" s="198">
        <f t="shared" si="3827"/>
        <v>49</v>
      </c>
      <c r="DW147" s="225">
        <f t="shared" ref="DW147:DW154" si="3853">DV147/DV$126</f>
        <v>5.5809999999999998E-2</v>
      </c>
      <c r="DX147" s="226">
        <f t="shared" ref="DX147:DX154" si="3854">DX$126*DW147</f>
        <v>74.23</v>
      </c>
      <c r="DY147" s="137">
        <f t="shared" ref="DY147:DY154" si="3855">IF(DV147&gt;0,DX147/DV147,0)</f>
        <v>1.5148979600000001</v>
      </c>
      <c r="DZ147" s="227">
        <f t="shared" si="3831"/>
        <v>12.79</v>
      </c>
      <c r="EA147" s="138">
        <f t="shared" ref="EA147:EA154" si="3856">DY147*DZ147</f>
        <v>19.375540000000001</v>
      </c>
      <c r="EB147" s="110">
        <f t="shared" ref="EB147:EB155" si="3857">EA147*DV147</f>
        <v>949.4</v>
      </c>
      <c r="EC147" s="110"/>
      <c r="ED147" s="139"/>
      <c r="EE147" s="140">
        <f t="shared" ref="EE147:EE155" si="3858">EA147/$LI147</f>
        <v>0.31230000000000002</v>
      </c>
      <c r="EF147" s="198">
        <f t="shared" si="3827"/>
        <v>66</v>
      </c>
      <c r="EG147" s="225">
        <f t="shared" ref="EG147:EG154" si="3859">EF147/EF$126</f>
        <v>7.0290000000000005E-2</v>
      </c>
      <c r="EH147" s="226">
        <f t="shared" ref="EH147:EH154" si="3860">EH$126*EG147</f>
        <v>64.67</v>
      </c>
      <c r="EI147" s="137">
        <f t="shared" ref="EI147:EI154" si="3861">IF(EF147&gt;0,EH147/EF147,0)</f>
        <v>0.97984848000000002</v>
      </c>
      <c r="EJ147" s="227">
        <f t="shared" si="3831"/>
        <v>23.18</v>
      </c>
      <c r="EK147" s="138">
        <f t="shared" ref="EK147:EK154" si="3862">EI147*EJ147</f>
        <v>22.712890000000002</v>
      </c>
      <c r="EL147" s="110">
        <f t="shared" ref="EL147:EL155" si="3863">EK147*EF147</f>
        <v>1499.05</v>
      </c>
      <c r="EM147" s="110"/>
      <c r="EN147" s="139"/>
      <c r="EO147" s="140">
        <f t="shared" ref="EO147:EO155" si="3864">EK147/$LI147</f>
        <v>0.36609000000000003</v>
      </c>
      <c r="EP147" s="198">
        <f t="shared" si="3827"/>
        <v>72</v>
      </c>
      <c r="EQ147" s="225">
        <f t="shared" ref="EQ147:EQ154" si="3865">EP147/EP$126</f>
        <v>7.6350000000000001E-2</v>
      </c>
      <c r="ER147" s="226">
        <f t="shared" ref="ER147:ER154" si="3866">ER$126*EQ147</f>
        <v>166.44</v>
      </c>
      <c r="ES147" s="137">
        <f t="shared" ref="ES147:ES154" si="3867">IF(EP147&gt;0,ER147/EP147,0)</f>
        <v>2.3116666700000001</v>
      </c>
      <c r="ET147" s="227">
        <f t="shared" si="3831"/>
        <v>30.66</v>
      </c>
      <c r="EU147" s="138">
        <f t="shared" ref="EU147:EU154" si="3868">ES147*ET147</f>
        <v>70.875699999999995</v>
      </c>
      <c r="EV147" s="110">
        <f t="shared" ref="EV147:EV155" si="3869">EU147*EP147</f>
        <v>5103.05</v>
      </c>
      <c r="EW147" s="110"/>
      <c r="EX147" s="139"/>
      <c r="EY147" s="140">
        <f t="shared" ref="EY147:EY155" si="3870">EU147/$LI147</f>
        <v>1.1424000000000001</v>
      </c>
      <c r="EZ147" s="198">
        <f t="shared" ref="EZ147:HH153" si="3871">EZ31</f>
        <v>45</v>
      </c>
      <c r="FA147" s="225">
        <f t="shared" ref="FA147:FA154" si="3872">EZ147/EZ$126</f>
        <v>4.0289999999999999E-2</v>
      </c>
      <c r="FB147" s="226">
        <f t="shared" ref="FB147:FB154" si="3873">FB$126*FA147</f>
        <v>72.52</v>
      </c>
      <c r="FC147" s="137">
        <f t="shared" ref="FC147:FC154" si="3874">IF(EZ147&gt;0,FB147/EZ147,0)</f>
        <v>1.61155556</v>
      </c>
      <c r="FD147" s="227">
        <f t="shared" ref="FD147:HL154" si="3875">FD$126</f>
        <v>34.119999999999997</v>
      </c>
      <c r="FE147" s="138">
        <f t="shared" ref="FE147:FE154" si="3876">FC147*FD147</f>
        <v>54.986280000000001</v>
      </c>
      <c r="FF147" s="110">
        <f t="shared" ref="FF147:FF155" si="3877">FE147*EZ147</f>
        <v>2474.38</v>
      </c>
      <c r="FG147" s="110"/>
      <c r="FH147" s="139"/>
      <c r="FI147" s="140">
        <f t="shared" ref="FI147:FI155" si="3878">FE147/$LI147</f>
        <v>0.88629000000000002</v>
      </c>
      <c r="FJ147" s="198">
        <f t="shared" si="3871"/>
        <v>102</v>
      </c>
      <c r="FK147" s="225">
        <f t="shared" ref="FK147:FK154" si="3879">FJ147/FJ$126</f>
        <v>9.98E-2</v>
      </c>
      <c r="FL147" s="226">
        <f t="shared" ref="FL147:FL154" si="3880">FL$126*FK147</f>
        <v>171.66</v>
      </c>
      <c r="FM147" s="137">
        <f t="shared" ref="FM147:FM154" si="3881">IF(FJ147&gt;0,FL147/FJ147,0)</f>
        <v>1.68294118</v>
      </c>
      <c r="FN147" s="227">
        <f t="shared" si="3875"/>
        <v>18.39</v>
      </c>
      <c r="FO147" s="138">
        <f t="shared" ref="FO147:FO154" si="3882">FM147*FN147</f>
        <v>30.949290000000001</v>
      </c>
      <c r="FP147" s="110">
        <f t="shared" ref="FP147:FP155" si="3883">FO147*FJ147</f>
        <v>3156.83</v>
      </c>
      <c r="FQ147" s="110"/>
      <c r="FR147" s="139"/>
      <c r="FS147" s="140">
        <f t="shared" ref="FS147:FS155" si="3884">FO147/$LI147</f>
        <v>0.49885000000000002</v>
      </c>
      <c r="FT147" s="198">
        <f t="shared" si="3871"/>
        <v>59</v>
      </c>
      <c r="FU147" s="225">
        <f t="shared" ref="FU147:FU154" si="3885">FT147/FT$126</f>
        <v>7.3469999999999994E-2</v>
      </c>
      <c r="FV147" s="226">
        <f t="shared" ref="FV147:FV154" si="3886">FV$126*FU147</f>
        <v>104.62</v>
      </c>
      <c r="FW147" s="137">
        <f t="shared" ref="FW147:FW154" si="3887">IF(FT147&gt;0,FV147/FT147,0)</f>
        <v>1.77322034</v>
      </c>
      <c r="FX147" s="227">
        <f t="shared" si="3875"/>
        <v>32.619999999999997</v>
      </c>
      <c r="FY147" s="138">
        <f t="shared" ref="FY147:FY154" si="3888">FW147*FX147</f>
        <v>57.842449999999999</v>
      </c>
      <c r="FZ147" s="110">
        <f t="shared" ref="FZ147:FZ155" si="3889">FY147*FT147</f>
        <v>3412.7</v>
      </c>
      <c r="GA147" s="110"/>
      <c r="GB147" s="139"/>
      <c r="GC147" s="140">
        <f t="shared" ref="GC147:GC155" si="3890">FY147/$LI147</f>
        <v>0.93232999999999999</v>
      </c>
      <c r="GD147" s="198">
        <f t="shared" si="3871"/>
        <v>34</v>
      </c>
      <c r="GE147" s="225">
        <f t="shared" ref="GE147:GE154" si="3891">GD147/GD$126</f>
        <v>6.6409999999999997E-2</v>
      </c>
      <c r="GF147" s="226">
        <f t="shared" ref="GF147:GF154" si="3892">GF$126*GE147</f>
        <v>57.11</v>
      </c>
      <c r="GG147" s="137">
        <f t="shared" ref="GG147:GG154" si="3893">IF(GD147&gt;0,GF147/GD147,0)</f>
        <v>1.67970588</v>
      </c>
      <c r="GH147" s="227">
        <f t="shared" si="3875"/>
        <v>33.28</v>
      </c>
      <c r="GI147" s="138">
        <f t="shared" ref="GI147:GI154" si="3894">GG147*GH147</f>
        <v>55.90061</v>
      </c>
      <c r="GJ147" s="110">
        <f t="shared" ref="GJ147:GJ155" si="3895">GI147*GD147</f>
        <v>1900.62</v>
      </c>
      <c r="GK147" s="110"/>
      <c r="GL147" s="139"/>
      <c r="GM147" s="140">
        <f t="shared" ref="GM147:GM155" si="3896">GI147/$LI147</f>
        <v>0.90103</v>
      </c>
      <c r="GN147" s="198">
        <f t="shared" si="3871"/>
        <v>86</v>
      </c>
      <c r="GO147" s="225">
        <f t="shared" ref="GO147:GO154" si="3897">GN147/GN$126</f>
        <v>9.9540000000000003E-2</v>
      </c>
      <c r="GP147" s="226">
        <f t="shared" ref="GP147:GP154" si="3898">GP$126*GO147</f>
        <v>273.74</v>
      </c>
      <c r="GQ147" s="137">
        <f t="shared" ref="GQ147:GQ154" si="3899">IF(GN147&gt;0,GP147/GN147,0)</f>
        <v>3.1830232600000001</v>
      </c>
      <c r="GR147" s="227">
        <f t="shared" si="3875"/>
        <v>30.78</v>
      </c>
      <c r="GS147" s="138">
        <f t="shared" ref="GS147:GS154" si="3900">GQ147*GR147</f>
        <v>97.973460000000003</v>
      </c>
      <c r="GT147" s="110">
        <f t="shared" ref="GT147:GT155" si="3901">GS147*GN147</f>
        <v>8425.7199999999993</v>
      </c>
      <c r="GU147" s="110"/>
      <c r="GV147" s="139"/>
      <c r="GW147" s="140">
        <f t="shared" ref="GW147:GW155" si="3902">GS147/$LI147</f>
        <v>1.57917</v>
      </c>
      <c r="GX147" s="198">
        <f t="shared" si="3871"/>
        <v>164</v>
      </c>
      <c r="GY147" s="225">
        <f t="shared" ref="GY147:GY154" si="3903">GX147/GX$126</f>
        <v>0.10117</v>
      </c>
      <c r="GZ147" s="226">
        <f t="shared" ref="GZ147:GZ154" si="3904">GZ$126*GY147</f>
        <v>450.51</v>
      </c>
      <c r="HA147" s="137">
        <f t="shared" ref="HA147:HA154" si="3905">IF(GX147&gt;0,GZ147/GX147,0)</f>
        <v>2.7470121999999999</v>
      </c>
      <c r="HB147" s="227">
        <f t="shared" si="3875"/>
        <v>21.23</v>
      </c>
      <c r="HC147" s="138">
        <f t="shared" ref="HC147:HC154" si="3906">HA147*HB147</f>
        <v>58.319070000000004</v>
      </c>
      <c r="HD147" s="110">
        <f t="shared" ref="HD147:HD155" si="3907">HC147*GX147</f>
        <v>9564.33</v>
      </c>
      <c r="HE147" s="110"/>
      <c r="HF147" s="139"/>
      <c r="HG147" s="140">
        <f t="shared" ref="HG147:HG155" si="3908">HC147/$LI147</f>
        <v>0.94001000000000001</v>
      </c>
      <c r="HH147" s="198">
        <f t="shared" si="3871"/>
        <v>57</v>
      </c>
      <c r="HI147" s="225">
        <f t="shared" ref="HI147:HI154" si="3909">HH147/HH$126</f>
        <v>4.9480000000000003E-2</v>
      </c>
      <c r="HJ147" s="226">
        <f t="shared" ref="HJ147:HJ154" si="3910">HJ$126*HI147</f>
        <v>164.77</v>
      </c>
      <c r="HK147" s="137">
        <f t="shared" ref="HK147:HK154" si="3911">IF(HH147&gt;0,HJ147/HH147,0)</f>
        <v>2.8907017499999998</v>
      </c>
      <c r="HL147" s="227">
        <f t="shared" si="3875"/>
        <v>28.23</v>
      </c>
      <c r="HM147" s="138">
        <f t="shared" ref="HM147:HM154" si="3912">HK147*HL147</f>
        <v>81.604510000000005</v>
      </c>
      <c r="HN147" s="110">
        <f t="shared" ref="HN147:HN155" si="3913">HM147*HH147</f>
        <v>4651.46</v>
      </c>
      <c r="HO147" s="110"/>
      <c r="HP147" s="139"/>
      <c r="HQ147" s="140">
        <f t="shared" ref="HQ147:HQ155" si="3914">HM147/$LI147</f>
        <v>1.3153300000000001</v>
      </c>
      <c r="HR147" s="198">
        <f t="shared" ref="HR147:JZ153" si="3915">HR31</f>
        <v>50</v>
      </c>
      <c r="HS147" s="225">
        <f t="shared" ref="HS147:HS154" si="3916">HR147/HR$126</f>
        <v>6.3450000000000006E-2</v>
      </c>
      <c r="HT147" s="226">
        <f t="shared" ref="HT147:HT154" si="3917">HT$126*HS147</f>
        <v>57.11</v>
      </c>
      <c r="HU147" s="137">
        <f t="shared" ref="HU147:HU154" si="3918">IF(HR147&gt;0,HT147/HR147,0)</f>
        <v>1.1422000000000001</v>
      </c>
      <c r="HV147" s="227">
        <f t="shared" ref="HV147:KD154" si="3919">HV$126</f>
        <v>31.27</v>
      </c>
      <c r="HW147" s="138">
        <f t="shared" ref="HW147:HW154" si="3920">HU147*HV147</f>
        <v>35.716589999999997</v>
      </c>
      <c r="HX147" s="110">
        <f t="shared" ref="HX147:HX155" si="3921">HW147*HR147</f>
        <v>1785.83</v>
      </c>
      <c r="HY147" s="110"/>
      <c r="HZ147" s="139"/>
      <c r="IA147" s="140">
        <f t="shared" ref="IA147:IA155" si="3922">HW147/$LI147</f>
        <v>0.57569000000000004</v>
      </c>
      <c r="IB147" s="198">
        <f t="shared" si="3915"/>
        <v>29</v>
      </c>
      <c r="IC147" s="225">
        <f t="shared" ref="IC147:IC154" si="3923">IB147/IB$126</f>
        <v>5.2920000000000002E-2</v>
      </c>
      <c r="ID147" s="226">
        <f t="shared" ref="ID147:ID154" si="3924">ID$126*IC147</f>
        <v>22.76</v>
      </c>
      <c r="IE147" s="137">
        <f t="shared" ref="IE147:IE154" si="3925">IF(IB147&gt;0,ID147/IB147,0)</f>
        <v>0.78482759000000002</v>
      </c>
      <c r="IF147" s="227">
        <f t="shared" si="3919"/>
        <v>28.65</v>
      </c>
      <c r="IG147" s="138">
        <f t="shared" ref="IG147:IG154" si="3926">IE147*IF147</f>
        <v>22.485309999999998</v>
      </c>
      <c r="IH147" s="110">
        <f t="shared" ref="IH147:IH155" si="3927">IG147*IB147</f>
        <v>652.07000000000005</v>
      </c>
      <c r="II147" s="110"/>
      <c r="IJ147" s="139"/>
      <c r="IK147" s="140">
        <f t="shared" ref="IK147:IK155" si="3928">IG147/$LI147</f>
        <v>0.36242999999999997</v>
      </c>
      <c r="IL147" s="198">
        <f t="shared" si="3915"/>
        <v>72</v>
      </c>
      <c r="IM147" s="225">
        <f t="shared" ref="IM147:IM154" si="3929">IL147/IL$126</f>
        <v>5.6919999999999998E-2</v>
      </c>
      <c r="IN147" s="226">
        <f t="shared" ref="IN147:IN154" si="3930">IN$126*IM147</f>
        <v>167.46</v>
      </c>
      <c r="IO147" s="137">
        <f t="shared" ref="IO147:IO154" si="3931">IF(IL147&gt;0,IN147/IL147,0)</f>
        <v>2.32583333</v>
      </c>
      <c r="IP147" s="227">
        <f t="shared" si="3919"/>
        <v>33.04</v>
      </c>
      <c r="IQ147" s="138">
        <f t="shared" ref="IQ147:IQ154" si="3932">IO147*IP147</f>
        <v>76.845529999999997</v>
      </c>
      <c r="IR147" s="110">
        <f t="shared" ref="IR147:IR155" si="3933">IQ147*IL147</f>
        <v>5532.88</v>
      </c>
      <c r="IS147" s="110"/>
      <c r="IT147" s="139"/>
      <c r="IU147" s="140">
        <f t="shared" ref="IU147:IU155" si="3934">IQ147/$LI147</f>
        <v>1.2386200000000001</v>
      </c>
      <c r="IV147" s="198">
        <f t="shared" si="3915"/>
        <v>42</v>
      </c>
      <c r="IW147" s="225">
        <f t="shared" ref="IW147:IW154" si="3935">IV147/IV$126</f>
        <v>5.4469999999999998E-2</v>
      </c>
      <c r="IX147" s="226">
        <f t="shared" ref="IX147:IX154" si="3936">IX$126*IW147</f>
        <v>87.15</v>
      </c>
      <c r="IY147" s="137">
        <f t="shared" ref="IY147:IY154" si="3937">IF(IV147&gt;0,IX147/IV147,0)</f>
        <v>2.0750000000000002</v>
      </c>
      <c r="IZ147" s="227">
        <f t="shared" si="3919"/>
        <v>33.36</v>
      </c>
      <c r="JA147" s="138">
        <f t="shared" ref="JA147:JA154" si="3938">IY147*IZ147</f>
        <v>69.221999999999994</v>
      </c>
      <c r="JB147" s="110">
        <f t="shared" ref="JB147:JB155" si="3939">JA147*IV147</f>
        <v>2907.32</v>
      </c>
      <c r="JC147" s="110"/>
      <c r="JD147" s="139"/>
      <c r="JE147" s="140">
        <f t="shared" ref="JE147:JE155" si="3940">JA147/$LI147</f>
        <v>1.11575</v>
      </c>
      <c r="JF147" s="198">
        <f t="shared" si="3915"/>
        <v>105</v>
      </c>
      <c r="JG147" s="225">
        <f t="shared" ref="JG147:JG154" si="3941">JF147/JF$126</f>
        <v>7.8299999999999995E-2</v>
      </c>
      <c r="JH147" s="226">
        <f t="shared" ref="JH147:JH154" si="3942">JH$126*JG147</f>
        <v>299.11</v>
      </c>
      <c r="JI147" s="137">
        <f t="shared" ref="JI147:JI154" si="3943">IF(JF147&gt;0,JH147/JF147,0)</f>
        <v>2.8486666700000001</v>
      </c>
      <c r="JJ147" s="227">
        <f t="shared" si="3919"/>
        <v>21.96</v>
      </c>
      <c r="JK147" s="138">
        <f t="shared" ref="JK147:JK154" si="3944">JI147*JJ147</f>
        <v>62.556719999999999</v>
      </c>
      <c r="JL147" s="110">
        <f t="shared" ref="JL147:JL155" si="3945">JK147*JF147</f>
        <v>6568.46</v>
      </c>
      <c r="JM147" s="110"/>
      <c r="JN147" s="139"/>
      <c r="JO147" s="140">
        <f t="shared" ref="JO147:JO155" si="3946">JK147/$LI147</f>
        <v>1.00831</v>
      </c>
      <c r="JP147" s="198">
        <f t="shared" si="3915"/>
        <v>45</v>
      </c>
      <c r="JQ147" s="225">
        <f t="shared" ref="JQ147:JQ154" si="3947">JP147/JP$126</f>
        <v>3.603E-2</v>
      </c>
      <c r="JR147" s="226">
        <f t="shared" ref="JR147:JR154" si="3948">JR$126*JQ147</f>
        <v>136.91</v>
      </c>
      <c r="JS147" s="137">
        <f t="shared" ref="JS147:JS154" si="3949">IF(JP147&gt;0,JR147/JP147,0)</f>
        <v>3.0424444400000001</v>
      </c>
      <c r="JT147" s="227">
        <f t="shared" si="3919"/>
        <v>35.700000000000003</v>
      </c>
      <c r="JU147" s="138">
        <f t="shared" ref="JU147:JU154" si="3950">JS147*JT147</f>
        <v>108.61527</v>
      </c>
      <c r="JV147" s="110">
        <f t="shared" ref="JV147:JV155" si="3951">JU147*JP147</f>
        <v>4887.6899999999996</v>
      </c>
      <c r="JW147" s="110"/>
      <c r="JX147" s="139"/>
      <c r="JY147" s="140">
        <f t="shared" ref="JY147:JY155" si="3952">JU147/$LI147</f>
        <v>1.7506999999999999</v>
      </c>
      <c r="JZ147" s="198">
        <f t="shared" si="3915"/>
        <v>120</v>
      </c>
      <c r="KA147" s="225">
        <f t="shared" ref="KA147:KA154" si="3953">JZ147/JZ$126</f>
        <v>0.10317999999999999</v>
      </c>
      <c r="KB147" s="226">
        <f t="shared" ref="KB147:KB154" si="3954">KB$126*KA147</f>
        <v>274.45999999999998</v>
      </c>
      <c r="KC147" s="137">
        <f t="shared" ref="KC147:KC154" si="3955">IF(JZ147&gt;0,KB147/JZ147,0)</f>
        <v>2.28716667</v>
      </c>
      <c r="KD147" s="227">
        <f t="shared" si="3919"/>
        <v>30.3</v>
      </c>
      <c r="KE147" s="138">
        <f t="shared" ref="KE147:KE154" si="3956">KC147*KD147</f>
        <v>69.301150000000007</v>
      </c>
      <c r="KF147" s="110">
        <f t="shared" ref="KF147:KF155" si="3957">KE147*JZ147</f>
        <v>8316.14</v>
      </c>
      <c r="KG147" s="110"/>
      <c r="KH147" s="139"/>
      <c r="KI147" s="140">
        <f t="shared" ref="KI147:KI155" si="3958">KE147/$LI147</f>
        <v>1.1170199999999999</v>
      </c>
      <c r="KJ147" s="198">
        <f t="shared" ref="KJ147:KT153" si="3959">KJ31</f>
        <v>143</v>
      </c>
      <c r="KK147" s="225">
        <f t="shared" ref="KK147:KK154" si="3960">KJ147/KJ$126</f>
        <v>0.10664</v>
      </c>
      <c r="KL147" s="226">
        <f t="shared" ref="KL147:KL154" si="3961">KL$126*KK147</f>
        <v>282.92</v>
      </c>
      <c r="KM147" s="137">
        <f t="shared" ref="KM147:KM154" si="3962">IF(KJ147&gt;0,KL147/KJ147,0)</f>
        <v>1.9784615400000001</v>
      </c>
      <c r="KN147" s="227">
        <f t="shared" ref="KN147:KX154" si="3963">KN$126</f>
        <v>30.43</v>
      </c>
      <c r="KO147" s="138">
        <f t="shared" ref="KO147:KO154" si="3964">KM147*KN147</f>
        <v>60.20458</v>
      </c>
      <c r="KP147" s="110">
        <f t="shared" ref="KP147:KP155" si="3965">KO147*KJ147</f>
        <v>8609.25</v>
      </c>
      <c r="KQ147" s="110"/>
      <c r="KR147" s="139"/>
      <c r="KS147" s="140">
        <f t="shared" ref="KS147:KS155" si="3966">KO147/$LI147</f>
        <v>0.97040000000000004</v>
      </c>
      <c r="KT147" s="198">
        <f t="shared" si="3959"/>
        <v>56</v>
      </c>
      <c r="KU147" s="225">
        <f t="shared" ref="KU147:KU154" si="3967">KT147/KT$126</f>
        <v>4.9820000000000003E-2</v>
      </c>
      <c r="KV147" s="226">
        <f t="shared" ref="KV147:KV154" si="3968">KV$126*KU147</f>
        <v>315.36</v>
      </c>
      <c r="KW147" s="137">
        <f t="shared" ref="KW147:KW154" si="3969">IF(KT147&gt;0,KV147/KT147,0)</f>
        <v>5.6314285699999997</v>
      </c>
      <c r="KX147" s="227">
        <f t="shared" si="3963"/>
        <v>34.299999999999997</v>
      </c>
      <c r="KY147" s="138">
        <f t="shared" ref="KY147:KY154" si="3970">KW147*KX147</f>
        <v>193.15799999999999</v>
      </c>
      <c r="KZ147" s="110">
        <f t="shared" ref="KZ147:KZ155" si="3971">KY147*KT147</f>
        <v>10816.85</v>
      </c>
      <c r="LA147" s="110"/>
      <c r="LB147" s="139"/>
      <c r="LC147" s="140">
        <f t="shared" ref="LC147:LC155" si="3972">KY147/$LI147</f>
        <v>3.1133899999999999</v>
      </c>
      <c r="LD147" s="197">
        <f t="shared" si="3581"/>
        <v>2229</v>
      </c>
      <c r="LE147" s="225">
        <f t="shared" si="3582"/>
        <v>7.8090000000000007E-2</v>
      </c>
      <c r="LF147" s="226">
        <f t="shared" si="3583"/>
        <v>4786.76</v>
      </c>
      <c r="LG147" s="137">
        <f t="shared" si="3584"/>
        <v>2.1474921500000002</v>
      </c>
      <c r="LH147" s="227">
        <f t="shared" si="3585"/>
        <v>28.89</v>
      </c>
      <c r="LI147" s="138">
        <f t="shared" si="3586"/>
        <v>62.041049999999998</v>
      </c>
      <c r="LJ147" s="110">
        <f t="shared" si="3587"/>
        <v>138289.5</v>
      </c>
      <c r="LK147" s="110"/>
      <c r="LL147" s="139"/>
    </row>
    <row r="148" spans="1:324" ht="16.5" hidden="1" customHeight="1" x14ac:dyDescent="0.25">
      <c r="A148" s="246"/>
      <c r="B148" s="92" t="s">
        <v>610</v>
      </c>
      <c r="C148" s="12" t="s">
        <v>728</v>
      </c>
      <c r="D148" s="12" t="s">
        <v>430</v>
      </c>
      <c r="E148" s="4" t="s">
        <v>32</v>
      </c>
      <c r="F148" s="198">
        <f t="shared" si="3782"/>
        <v>0</v>
      </c>
      <c r="G148" s="225">
        <f t="shared" si="3588"/>
        <v>0</v>
      </c>
      <c r="H148" s="226">
        <f t="shared" si="3589"/>
        <v>0</v>
      </c>
      <c r="I148" s="137">
        <f t="shared" si="3362"/>
        <v>0</v>
      </c>
      <c r="J148" s="227">
        <f t="shared" si="3590"/>
        <v>19.559999999999999</v>
      </c>
      <c r="K148" s="138">
        <f t="shared" si="3363"/>
        <v>0</v>
      </c>
      <c r="L148" s="110">
        <f t="shared" si="3364"/>
        <v>0</v>
      </c>
      <c r="M148" s="110"/>
      <c r="N148" s="139"/>
      <c r="O148" s="140" t="e">
        <f t="shared" si="3365"/>
        <v>#DIV/0!</v>
      </c>
      <c r="P148" s="198">
        <f t="shared" si="3783"/>
        <v>0</v>
      </c>
      <c r="Q148" s="225">
        <f t="shared" si="3784"/>
        <v>0</v>
      </c>
      <c r="R148" s="226">
        <f t="shared" si="3785"/>
        <v>0</v>
      </c>
      <c r="S148" s="137">
        <f t="shared" si="3786"/>
        <v>0</v>
      </c>
      <c r="T148" s="227">
        <f t="shared" si="3787"/>
        <v>14.76</v>
      </c>
      <c r="U148" s="138">
        <f t="shared" si="3788"/>
        <v>0</v>
      </c>
      <c r="V148" s="110">
        <f t="shared" si="3789"/>
        <v>0</v>
      </c>
      <c r="W148" s="110"/>
      <c r="X148" s="139"/>
      <c r="Y148" s="140" t="e">
        <f t="shared" si="3790"/>
        <v>#DIV/0!</v>
      </c>
      <c r="Z148" s="198">
        <f t="shared" si="3783"/>
        <v>0</v>
      </c>
      <c r="AA148" s="225">
        <f t="shared" si="3791"/>
        <v>0</v>
      </c>
      <c r="AB148" s="226">
        <f t="shared" si="3792"/>
        <v>0</v>
      </c>
      <c r="AC148" s="137">
        <f t="shared" si="3793"/>
        <v>0</v>
      </c>
      <c r="AD148" s="227">
        <f t="shared" si="3787"/>
        <v>33.520000000000003</v>
      </c>
      <c r="AE148" s="138">
        <f t="shared" si="3794"/>
        <v>0</v>
      </c>
      <c r="AF148" s="110">
        <f t="shared" si="3795"/>
        <v>0</v>
      </c>
      <c r="AG148" s="110"/>
      <c r="AH148" s="139"/>
      <c r="AI148" s="140" t="e">
        <f t="shared" si="3796"/>
        <v>#DIV/0!</v>
      </c>
      <c r="AJ148" s="198">
        <f t="shared" si="3783"/>
        <v>0</v>
      </c>
      <c r="AK148" s="225">
        <f t="shared" si="3797"/>
        <v>0</v>
      </c>
      <c r="AL148" s="226">
        <f t="shared" si="3798"/>
        <v>0</v>
      </c>
      <c r="AM148" s="137">
        <f t="shared" si="3799"/>
        <v>0</v>
      </c>
      <c r="AN148" s="227">
        <f t="shared" si="3787"/>
        <v>33.07</v>
      </c>
      <c r="AO148" s="138">
        <f t="shared" si="3800"/>
        <v>0</v>
      </c>
      <c r="AP148" s="110">
        <f t="shared" si="3801"/>
        <v>0</v>
      </c>
      <c r="AQ148" s="110"/>
      <c r="AR148" s="139"/>
      <c r="AS148" s="140" t="e">
        <f t="shared" si="3802"/>
        <v>#DIV/0!</v>
      </c>
      <c r="AT148" s="198">
        <f t="shared" si="3783"/>
        <v>0</v>
      </c>
      <c r="AU148" s="225">
        <f t="shared" si="3803"/>
        <v>0</v>
      </c>
      <c r="AV148" s="226">
        <f t="shared" si="3804"/>
        <v>0</v>
      </c>
      <c r="AW148" s="137">
        <f t="shared" si="3805"/>
        <v>0</v>
      </c>
      <c r="AX148" s="227">
        <f t="shared" si="3787"/>
        <v>28.2</v>
      </c>
      <c r="AY148" s="138">
        <f t="shared" si="3806"/>
        <v>0</v>
      </c>
      <c r="AZ148" s="110">
        <f t="shared" si="3807"/>
        <v>0</v>
      </c>
      <c r="BA148" s="110"/>
      <c r="BB148" s="139"/>
      <c r="BC148" s="140" t="e">
        <f t="shared" si="3808"/>
        <v>#DIV/0!</v>
      </c>
      <c r="BD148" s="198">
        <f t="shared" si="3783"/>
        <v>0</v>
      </c>
      <c r="BE148" s="225">
        <f t="shared" si="3809"/>
        <v>0</v>
      </c>
      <c r="BF148" s="226">
        <f t="shared" si="3810"/>
        <v>0</v>
      </c>
      <c r="BG148" s="137">
        <f t="shared" si="3811"/>
        <v>0</v>
      </c>
      <c r="BH148" s="227">
        <f t="shared" si="3787"/>
        <v>33.75</v>
      </c>
      <c r="BI148" s="138">
        <f t="shared" si="3812"/>
        <v>0</v>
      </c>
      <c r="BJ148" s="110">
        <f t="shared" si="3813"/>
        <v>0</v>
      </c>
      <c r="BK148" s="110"/>
      <c r="BL148" s="139"/>
      <c r="BM148" s="140" t="e">
        <f t="shared" si="3814"/>
        <v>#DIV/0!</v>
      </c>
      <c r="BN148" s="198">
        <f t="shared" si="3783"/>
        <v>0</v>
      </c>
      <c r="BO148" s="225">
        <f t="shared" si="3815"/>
        <v>0</v>
      </c>
      <c r="BP148" s="226">
        <f t="shared" si="3816"/>
        <v>0</v>
      </c>
      <c r="BQ148" s="137">
        <f t="shared" si="3817"/>
        <v>0</v>
      </c>
      <c r="BR148" s="227">
        <f t="shared" si="3787"/>
        <v>32.79</v>
      </c>
      <c r="BS148" s="138">
        <f t="shared" si="3818"/>
        <v>0</v>
      </c>
      <c r="BT148" s="110">
        <f t="shared" si="3819"/>
        <v>0</v>
      </c>
      <c r="BU148" s="110"/>
      <c r="BV148" s="139"/>
      <c r="BW148" s="140" t="e">
        <f t="shared" si="3820"/>
        <v>#DIV/0!</v>
      </c>
      <c r="BX148" s="198">
        <f t="shared" si="3783"/>
        <v>0</v>
      </c>
      <c r="BY148" s="225">
        <f t="shared" si="3821"/>
        <v>0</v>
      </c>
      <c r="BZ148" s="226">
        <f t="shared" si="3822"/>
        <v>0</v>
      </c>
      <c r="CA148" s="137">
        <f t="shared" si="3823"/>
        <v>0</v>
      </c>
      <c r="CB148" s="227">
        <f t="shared" si="3787"/>
        <v>30.39</v>
      </c>
      <c r="CC148" s="138">
        <f t="shared" si="3824"/>
        <v>0</v>
      </c>
      <c r="CD148" s="110">
        <f t="shared" si="3825"/>
        <v>0</v>
      </c>
      <c r="CE148" s="110"/>
      <c r="CF148" s="139"/>
      <c r="CG148" s="140" t="e">
        <f t="shared" si="3826"/>
        <v>#DIV/0!</v>
      </c>
      <c r="CH148" s="198">
        <f t="shared" si="3827"/>
        <v>0</v>
      </c>
      <c r="CI148" s="225">
        <f t="shared" si="3828"/>
        <v>0</v>
      </c>
      <c r="CJ148" s="226">
        <f t="shared" si="3829"/>
        <v>0</v>
      </c>
      <c r="CK148" s="137">
        <f t="shared" si="3830"/>
        <v>0</v>
      </c>
      <c r="CL148" s="227">
        <f t="shared" si="3831"/>
        <v>25.57</v>
      </c>
      <c r="CM148" s="138">
        <f t="shared" si="3832"/>
        <v>0</v>
      </c>
      <c r="CN148" s="110">
        <f t="shared" si="3833"/>
        <v>0</v>
      </c>
      <c r="CO148" s="110"/>
      <c r="CP148" s="139"/>
      <c r="CQ148" s="140" t="e">
        <f t="shared" si="3834"/>
        <v>#DIV/0!</v>
      </c>
      <c r="CR148" s="198">
        <f t="shared" si="3827"/>
        <v>0</v>
      </c>
      <c r="CS148" s="225">
        <f t="shared" si="3835"/>
        <v>0</v>
      </c>
      <c r="CT148" s="226">
        <f t="shared" si="3836"/>
        <v>0</v>
      </c>
      <c r="CU148" s="137">
        <f t="shared" si="3837"/>
        <v>0</v>
      </c>
      <c r="CV148" s="227">
        <f t="shared" si="3831"/>
        <v>28.26</v>
      </c>
      <c r="CW148" s="138">
        <f t="shared" si="3838"/>
        <v>0</v>
      </c>
      <c r="CX148" s="110">
        <f t="shared" si="3839"/>
        <v>0</v>
      </c>
      <c r="CY148" s="110"/>
      <c r="CZ148" s="139"/>
      <c r="DA148" s="140" t="e">
        <f t="shared" si="3840"/>
        <v>#DIV/0!</v>
      </c>
      <c r="DB148" s="198">
        <f t="shared" si="3827"/>
        <v>0</v>
      </c>
      <c r="DC148" s="225">
        <f t="shared" si="3841"/>
        <v>0</v>
      </c>
      <c r="DD148" s="226">
        <f t="shared" si="3842"/>
        <v>0</v>
      </c>
      <c r="DE148" s="137">
        <f t="shared" si="3843"/>
        <v>0</v>
      </c>
      <c r="DF148" s="227">
        <f t="shared" si="3831"/>
        <v>31.22</v>
      </c>
      <c r="DG148" s="138">
        <f t="shared" si="3844"/>
        <v>0</v>
      </c>
      <c r="DH148" s="110">
        <f t="shared" si="3845"/>
        <v>0</v>
      </c>
      <c r="DI148" s="110"/>
      <c r="DJ148" s="139"/>
      <c r="DK148" s="140" t="e">
        <f t="shared" si="3846"/>
        <v>#DIV/0!</v>
      </c>
      <c r="DL148" s="198">
        <f t="shared" si="3827"/>
        <v>0</v>
      </c>
      <c r="DM148" s="225">
        <f t="shared" si="3847"/>
        <v>0</v>
      </c>
      <c r="DN148" s="226">
        <f t="shared" si="3848"/>
        <v>0</v>
      </c>
      <c r="DO148" s="137">
        <f t="shared" si="3849"/>
        <v>0</v>
      </c>
      <c r="DP148" s="227">
        <f t="shared" si="3831"/>
        <v>33.9</v>
      </c>
      <c r="DQ148" s="138">
        <f t="shared" si="3850"/>
        <v>0</v>
      </c>
      <c r="DR148" s="110">
        <f t="shared" si="3851"/>
        <v>0</v>
      </c>
      <c r="DS148" s="110"/>
      <c r="DT148" s="139"/>
      <c r="DU148" s="140" t="e">
        <f t="shared" si="3852"/>
        <v>#DIV/0!</v>
      </c>
      <c r="DV148" s="198">
        <f t="shared" si="3827"/>
        <v>0</v>
      </c>
      <c r="DW148" s="225">
        <f t="shared" si="3853"/>
        <v>0</v>
      </c>
      <c r="DX148" s="226">
        <f t="shared" si="3854"/>
        <v>0</v>
      </c>
      <c r="DY148" s="137">
        <f t="shared" si="3855"/>
        <v>0</v>
      </c>
      <c r="DZ148" s="227">
        <f t="shared" si="3831"/>
        <v>12.79</v>
      </c>
      <c r="EA148" s="138">
        <f t="shared" si="3856"/>
        <v>0</v>
      </c>
      <c r="EB148" s="110">
        <f t="shared" si="3857"/>
        <v>0</v>
      </c>
      <c r="EC148" s="110"/>
      <c r="ED148" s="139"/>
      <c r="EE148" s="140" t="e">
        <f t="shared" si="3858"/>
        <v>#DIV/0!</v>
      </c>
      <c r="EF148" s="198">
        <f t="shared" si="3827"/>
        <v>0</v>
      </c>
      <c r="EG148" s="225">
        <f t="shared" si="3859"/>
        <v>0</v>
      </c>
      <c r="EH148" s="226">
        <f t="shared" si="3860"/>
        <v>0</v>
      </c>
      <c r="EI148" s="137">
        <f t="shared" si="3861"/>
        <v>0</v>
      </c>
      <c r="EJ148" s="227">
        <f t="shared" si="3831"/>
        <v>23.18</v>
      </c>
      <c r="EK148" s="138">
        <f t="shared" si="3862"/>
        <v>0</v>
      </c>
      <c r="EL148" s="110">
        <f t="shared" si="3863"/>
        <v>0</v>
      </c>
      <c r="EM148" s="110"/>
      <c r="EN148" s="139"/>
      <c r="EO148" s="140" t="e">
        <f t="shared" si="3864"/>
        <v>#DIV/0!</v>
      </c>
      <c r="EP148" s="198">
        <f t="shared" si="3827"/>
        <v>0</v>
      </c>
      <c r="EQ148" s="225">
        <f t="shared" si="3865"/>
        <v>0</v>
      </c>
      <c r="ER148" s="226">
        <f t="shared" si="3866"/>
        <v>0</v>
      </c>
      <c r="ES148" s="137">
        <f t="shared" si="3867"/>
        <v>0</v>
      </c>
      <c r="ET148" s="227">
        <f t="shared" si="3831"/>
        <v>30.66</v>
      </c>
      <c r="EU148" s="138">
        <f t="shared" si="3868"/>
        <v>0</v>
      </c>
      <c r="EV148" s="110">
        <f t="shared" si="3869"/>
        <v>0</v>
      </c>
      <c r="EW148" s="110"/>
      <c r="EX148" s="139"/>
      <c r="EY148" s="140" t="e">
        <f t="shared" si="3870"/>
        <v>#DIV/0!</v>
      </c>
      <c r="EZ148" s="198">
        <f t="shared" si="3871"/>
        <v>0</v>
      </c>
      <c r="FA148" s="225">
        <f t="shared" si="3872"/>
        <v>0</v>
      </c>
      <c r="FB148" s="226">
        <f t="shared" si="3873"/>
        <v>0</v>
      </c>
      <c r="FC148" s="137">
        <f t="shared" si="3874"/>
        <v>0</v>
      </c>
      <c r="FD148" s="227">
        <f t="shared" si="3875"/>
        <v>34.119999999999997</v>
      </c>
      <c r="FE148" s="138">
        <f t="shared" si="3876"/>
        <v>0</v>
      </c>
      <c r="FF148" s="110">
        <f t="shared" si="3877"/>
        <v>0</v>
      </c>
      <c r="FG148" s="110"/>
      <c r="FH148" s="139"/>
      <c r="FI148" s="140" t="e">
        <f t="shared" si="3878"/>
        <v>#DIV/0!</v>
      </c>
      <c r="FJ148" s="198">
        <f t="shared" si="3871"/>
        <v>0</v>
      </c>
      <c r="FK148" s="225">
        <f t="shared" si="3879"/>
        <v>0</v>
      </c>
      <c r="FL148" s="226">
        <f t="shared" si="3880"/>
        <v>0</v>
      </c>
      <c r="FM148" s="137">
        <f t="shared" si="3881"/>
        <v>0</v>
      </c>
      <c r="FN148" s="227">
        <f t="shared" si="3875"/>
        <v>18.39</v>
      </c>
      <c r="FO148" s="138">
        <f t="shared" si="3882"/>
        <v>0</v>
      </c>
      <c r="FP148" s="110">
        <f t="shared" si="3883"/>
        <v>0</v>
      </c>
      <c r="FQ148" s="110"/>
      <c r="FR148" s="139"/>
      <c r="FS148" s="140" t="e">
        <f t="shared" si="3884"/>
        <v>#DIV/0!</v>
      </c>
      <c r="FT148" s="198">
        <f t="shared" si="3871"/>
        <v>0</v>
      </c>
      <c r="FU148" s="225">
        <f t="shared" si="3885"/>
        <v>0</v>
      </c>
      <c r="FV148" s="226">
        <f t="shared" si="3886"/>
        <v>0</v>
      </c>
      <c r="FW148" s="137">
        <f t="shared" si="3887"/>
        <v>0</v>
      </c>
      <c r="FX148" s="227">
        <f t="shared" si="3875"/>
        <v>32.619999999999997</v>
      </c>
      <c r="FY148" s="138">
        <f t="shared" si="3888"/>
        <v>0</v>
      </c>
      <c r="FZ148" s="110">
        <f t="shared" si="3889"/>
        <v>0</v>
      </c>
      <c r="GA148" s="110"/>
      <c r="GB148" s="139"/>
      <c r="GC148" s="140" t="e">
        <f t="shared" si="3890"/>
        <v>#DIV/0!</v>
      </c>
      <c r="GD148" s="198">
        <f t="shared" si="3871"/>
        <v>0</v>
      </c>
      <c r="GE148" s="225">
        <f t="shared" si="3891"/>
        <v>0</v>
      </c>
      <c r="GF148" s="226">
        <f t="shared" si="3892"/>
        <v>0</v>
      </c>
      <c r="GG148" s="137">
        <f t="shared" si="3893"/>
        <v>0</v>
      </c>
      <c r="GH148" s="227">
        <f t="shared" si="3875"/>
        <v>33.28</v>
      </c>
      <c r="GI148" s="138">
        <f t="shared" si="3894"/>
        <v>0</v>
      </c>
      <c r="GJ148" s="110">
        <f t="shared" si="3895"/>
        <v>0</v>
      </c>
      <c r="GK148" s="110"/>
      <c r="GL148" s="139"/>
      <c r="GM148" s="140" t="e">
        <f t="shared" si="3896"/>
        <v>#DIV/0!</v>
      </c>
      <c r="GN148" s="198">
        <f t="shared" si="3871"/>
        <v>0</v>
      </c>
      <c r="GO148" s="225">
        <f t="shared" si="3897"/>
        <v>0</v>
      </c>
      <c r="GP148" s="226">
        <f t="shared" si="3898"/>
        <v>0</v>
      </c>
      <c r="GQ148" s="137">
        <f t="shared" si="3899"/>
        <v>0</v>
      </c>
      <c r="GR148" s="227">
        <f t="shared" si="3875"/>
        <v>30.78</v>
      </c>
      <c r="GS148" s="138">
        <f t="shared" si="3900"/>
        <v>0</v>
      </c>
      <c r="GT148" s="110">
        <f t="shared" si="3901"/>
        <v>0</v>
      </c>
      <c r="GU148" s="110"/>
      <c r="GV148" s="139"/>
      <c r="GW148" s="140" t="e">
        <f t="shared" si="3902"/>
        <v>#DIV/0!</v>
      </c>
      <c r="GX148" s="198">
        <f t="shared" si="3871"/>
        <v>0</v>
      </c>
      <c r="GY148" s="225">
        <f t="shared" si="3903"/>
        <v>0</v>
      </c>
      <c r="GZ148" s="226">
        <f t="shared" si="3904"/>
        <v>0</v>
      </c>
      <c r="HA148" s="137">
        <f t="shared" si="3905"/>
        <v>0</v>
      </c>
      <c r="HB148" s="227">
        <f t="shared" si="3875"/>
        <v>21.23</v>
      </c>
      <c r="HC148" s="138">
        <f t="shared" si="3906"/>
        <v>0</v>
      </c>
      <c r="HD148" s="110">
        <f t="shared" si="3907"/>
        <v>0</v>
      </c>
      <c r="HE148" s="110"/>
      <c r="HF148" s="139"/>
      <c r="HG148" s="140" t="e">
        <f t="shared" si="3908"/>
        <v>#DIV/0!</v>
      </c>
      <c r="HH148" s="198">
        <f t="shared" si="3871"/>
        <v>0</v>
      </c>
      <c r="HI148" s="225">
        <f t="shared" si="3909"/>
        <v>0</v>
      </c>
      <c r="HJ148" s="226">
        <f t="shared" si="3910"/>
        <v>0</v>
      </c>
      <c r="HK148" s="137">
        <f t="shared" si="3911"/>
        <v>0</v>
      </c>
      <c r="HL148" s="227">
        <f t="shared" si="3875"/>
        <v>28.23</v>
      </c>
      <c r="HM148" s="138">
        <f t="shared" si="3912"/>
        <v>0</v>
      </c>
      <c r="HN148" s="110">
        <f t="shared" si="3913"/>
        <v>0</v>
      </c>
      <c r="HO148" s="110"/>
      <c r="HP148" s="139"/>
      <c r="HQ148" s="140" t="e">
        <f t="shared" si="3914"/>
        <v>#DIV/0!</v>
      </c>
      <c r="HR148" s="198">
        <f t="shared" si="3915"/>
        <v>0</v>
      </c>
      <c r="HS148" s="225">
        <f t="shared" si="3916"/>
        <v>0</v>
      </c>
      <c r="HT148" s="226">
        <f t="shared" si="3917"/>
        <v>0</v>
      </c>
      <c r="HU148" s="137">
        <f t="shared" si="3918"/>
        <v>0</v>
      </c>
      <c r="HV148" s="227">
        <f t="shared" si="3919"/>
        <v>31.27</v>
      </c>
      <c r="HW148" s="138">
        <f t="shared" si="3920"/>
        <v>0</v>
      </c>
      <c r="HX148" s="110">
        <f t="shared" si="3921"/>
        <v>0</v>
      </c>
      <c r="HY148" s="110"/>
      <c r="HZ148" s="139"/>
      <c r="IA148" s="140" t="e">
        <f t="shared" si="3922"/>
        <v>#DIV/0!</v>
      </c>
      <c r="IB148" s="198">
        <f t="shared" si="3915"/>
        <v>0</v>
      </c>
      <c r="IC148" s="225">
        <f t="shared" si="3923"/>
        <v>0</v>
      </c>
      <c r="ID148" s="226">
        <f t="shared" si="3924"/>
        <v>0</v>
      </c>
      <c r="IE148" s="137">
        <f t="shared" si="3925"/>
        <v>0</v>
      </c>
      <c r="IF148" s="227">
        <f t="shared" si="3919"/>
        <v>28.65</v>
      </c>
      <c r="IG148" s="138">
        <f t="shared" si="3926"/>
        <v>0</v>
      </c>
      <c r="IH148" s="110">
        <f t="shared" si="3927"/>
        <v>0</v>
      </c>
      <c r="II148" s="110"/>
      <c r="IJ148" s="139"/>
      <c r="IK148" s="140" t="e">
        <f t="shared" si="3928"/>
        <v>#DIV/0!</v>
      </c>
      <c r="IL148" s="198">
        <f t="shared" si="3915"/>
        <v>0</v>
      </c>
      <c r="IM148" s="225">
        <f t="shared" si="3929"/>
        <v>0</v>
      </c>
      <c r="IN148" s="226">
        <f t="shared" si="3930"/>
        <v>0</v>
      </c>
      <c r="IO148" s="137">
        <f t="shared" si="3931"/>
        <v>0</v>
      </c>
      <c r="IP148" s="227">
        <f t="shared" si="3919"/>
        <v>33.04</v>
      </c>
      <c r="IQ148" s="138">
        <f t="shared" si="3932"/>
        <v>0</v>
      </c>
      <c r="IR148" s="110">
        <f t="shared" si="3933"/>
        <v>0</v>
      </c>
      <c r="IS148" s="110"/>
      <c r="IT148" s="139"/>
      <c r="IU148" s="140" t="e">
        <f t="shared" si="3934"/>
        <v>#DIV/0!</v>
      </c>
      <c r="IV148" s="198">
        <f t="shared" si="3915"/>
        <v>0</v>
      </c>
      <c r="IW148" s="225">
        <f t="shared" si="3935"/>
        <v>0</v>
      </c>
      <c r="IX148" s="226">
        <f t="shared" si="3936"/>
        <v>0</v>
      </c>
      <c r="IY148" s="137">
        <f t="shared" si="3937"/>
        <v>0</v>
      </c>
      <c r="IZ148" s="227">
        <f t="shared" si="3919"/>
        <v>33.36</v>
      </c>
      <c r="JA148" s="138">
        <f t="shared" si="3938"/>
        <v>0</v>
      </c>
      <c r="JB148" s="110">
        <f t="shared" si="3939"/>
        <v>0</v>
      </c>
      <c r="JC148" s="110"/>
      <c r="JD148" s="139"/>
      <c r="JE148" s="140" t="e">
        <f t="shared" si="3940"/>
        <v>#DIV/0!</v>
      </c>
      <c r="JF148" s="198">
        <f t="shared" si="3915"/>
        <v>0</v>
      </c>
      <c r="JG148" s="225">
        <f t="shared" si="3941"/>
        <v>0</v>
      </c>
      <c r="JH148" s="226">
        <f t="shared" si="3942"/>
        <v>0</v>
      </c>
      <c r="JI148" s="137">
        <f t="shared" si="3943"/>
        <v>0</v>
      </c>
      <c r="JJ148" s="227">
        <f t="shared" si="3919"/>
        <v>21.96</v>
      </c>
      <c r="JK148" s="138">
        <f t="shared" si="3944"/>
        <v>0</v>
      </c>
      <c r="JL148" s="110">
        <f t="shared" si="3945"/>
        <v>0</v>
      </c>
      <c r="JM148" s="110"/>
      <c r="JN148" s="139"/>
      <c r="JO148" s="140" t="e">
        <f t="shared" si="3946"/>
        <v>#DIV/0!</v>
      </c>
      <c r="JP148" s="198">
        <f t="shared" si="3915"/>
        <v>0</v>
      </c>
      <c r="JQ148" s="225">
        <f t="shared" si="3947"/>
        <v>0</v>
      </c>
      <c r="JR148" s="226">
        <f t="shared" si="3948"/>
        <v>0</v>
      </c>
      <c r="JS148" s="137">
        <f t="shared" si="3949"/>
        <v>0</v>
      </c>
      <c r="JT148" s="227">
        <f t="shared" si="3919"/>
        <v>35.700000000000003</v>
      </c>
      <c r="JU148" s="138">
        <f t="shared" si="3950"/>
        <v>0</v>
      </c>
      <c r="JV148" s="110">
        <f t="shared" si="3951"/>
        <v>0</v>
      </c>
      <c r="JW148" s="110"/>
      <c r="JX148" s="139"/>
      <c r="JY148" s="140" t="e">
        <f t="shared" si="3952"/>
        <v>#DIV/0!</v>
      </c>
      <c r="JZ148" s="198">
        <f t="shared" si="3915"/>
        <v>0</v>
      </c>
      <c r="KA148" s="225">
        <f t="shared" si="3953"/>
        <v>0</v>
      </c>
      <c r="KB148" s="226">
        <f t="shared" si="3954"/>
        <v>0</v>
      </c>
      <c r="KC148" s="137">
        <f t="shared" si="3955"/>
        <v>0</v>
      </c>
      <c r="KD148" s="227">
        <f t="shared" si="3919"/>
        <v>30.3</v>
      </c>
      <c r="KE148" s="138">
        <f t="shared" si="3956"/>
        <v>0</v>
      </c>
      <c r="KF148" s="110">
        <f t="shared" si="3957"/>
        <v>0</v>
      </c>
      <c r="KG148" s="110"/>
      <c r="KH148" s="139"/>
      <c r="KI148" s="140" t="e">
        <f t="shared" si="3958"/>
        <v>#DIV/0!</v>
      </c>
      <c r="KJ148" s="198">
        <f t="shared" si="3959"/>
        <v>0</v>
      </c>
      <c r="KK148" s="225">
        <f t="shared" si="3960"/>
        <v>0</v>
      </c>
      <c r="KL148" s="226">
        <f t="shared" si="3961"/>
        <v>0</v>
      </c>
      <c r="KM148" s="137">
        <f t="shared" si="3962"/>
        <v>0</v>
      </c>
      <c r="KN148" s="227">
        <f t="shared" si="3963"/>
        <v>30.43</v>
      </c>
      <c r="KO148" s="138">
        <f t="shared" si="3964"/>
        <v>0</v>
      </c>
      <c r="KP148" s="110">
        <f t="shared" si="3965"/>
        <v>0</v>
      </c>
      <c r="KQ148" s="110"/>
      <c r="KR148" s="139"/>
      <c r="KS148" s="140" t="e">
        <f t="shared" si="3966"/>
        <v>#DIV/0!</v>
      </c>
      <c r="KT148" s="198">
        <f t="shared" si="3959"/>
        <v>0</v>
      </c>
      <c r="KU148" s="225">
        <f t="shared" si="3967"/>
        <v>0</v>
      </c>
      <c r="KV148" s="226">
        <f t="shared" si="3968"/>
        <v>0</v>
      </c>
      <c r="KW148" s="137">
        <f t="shared" si="3969"/>
        <v>0</v>
      </c>
      <c r="KX148" s="227">
        <f t="shared" si="3963"/>
        <v>34.299999999999997</v>
      </c>
      <c r="KY148" s="138">
        <f t="shared" si="3970"/>
        <v>0</v>
      </c>
      <c r="KZ148" s="110">
        <f t="shared" si="3971"/>
        <v>0</v>
      </c>
      <c r="LA148" s="110"/>
      <c r="LB148" s="139"/>
      <c r="LC148" s="140" t="e">
        <f t="shared" si="3972"/>
        <v>#DIV/0!</v>
      </c>
      <c r="LD148" s="197">
        <f t="shared" si="3581"/>
        <v>0</v>
      </c>
      <c r="LE148" s="225">
        <f t="shared" si="3582"/>
        <v>0</v>
      </c>
      <c r="LF148" s="226">
        <f t="shared" si="3583"/>
        <v>0</v>
      </c>
      <c r="LG148" s="137">
        <f t="shared" si="3584"/>
        <v>0</v>
      </c>
      <c r="LH148" s="227">
        <f t="shared" si="3585"/>
        <v>28.89</v>
      </c>
      <c r="LI148" s="138">
        <f t="shared" si="3586"/>
        <v>0</v>
      </c>
      <c r="LJ148" s="110">
        <f t="shared" si="3587"/>
        <v>0</v>
      </c>
      <c r="LK148" s="110"/>
      <c r="LL148" s="139"/>
    </row>
    <row r="149" spans="1:324" ht="16.5" hidden="1" customHeight="1" x14ac:dyDescent="0.25">
      <c r="A149" s="246"/>
      <c r="B149" s="92" t="s">
        <v>625</v>
      </c>
      <c r="C149" s="12" t="s">
        <v>728</v>
      </c>
      <c r="D149" s="12" t="s">
        <v>430</v>
      </c>
      <c r="E149" s="4" t="s">
        <v>32</v>
      </c>
      <c r="F149" s="198">
        <f t="shared" si="3782"/>
        <v>0</v>
      </c>
      <c r="G149" s="225">
        <f t="shared" si="3588"/>
        <v>0</v>
      </c>
      <c r="H149" s="226">
        <f t="shared" si="3589"/>
        <v>0</v>
      </c>
      <c r="I149" s="137">
        <f t="shared" si="3362"/>
        <v>0</v>
      </c>
      <c r="J149" s="227">
        <f t="shared" si="3590"/>
        <v>19.559999999999999</v>
      </c>
      <c r="K149" s="138">
        <f t="shared" si="3363"/>
        <v>0</v>
      </c>
      <c r="L149" s="110">
        <f t="shared" si="3364"/>
        <v>0</v>
      </c>
      <c r="M149" s="110"/>
      <c r="N149" s="139"/>
      <c r="O149" s="140" t="e">
        <f t="shared" si="3365"/>
        <v>#DIV/0!</v>
      </c>
      <c r="P149" s="198">
        <f t="shared" si="3783"/>
        <v>0</v>
      </c>
      <c r="Q149" s="225">
        <f t="shared" si="3784"/>
        <v>0</v>
      </c>
      <c r="R149" s="226">
        <f t="shared" si="3785"/>
        <v>0</v>
      </c>
      <c r="S149" s="137">
        <f t="shared" si="3786"/>
        <v>0</v>
      </c>
      <c r="T149" s="227">
        <f t="shared" si="3787"/>
        <v>14.76</v>
      </c>
      <c r="U149" s="138">
        <f t="shared" si="3788"/>
        <v>0</v>
      </c>
      <c r="V149" s="110">
        <f t="shared" si="3789"/>
        <v>0</v>
      </c>
      <c r="W149" s="110"/>
      <c r="X149" s="139"/>
      <c r="Y149" s="140" t="e">
        <f t="shared" si="3790"/>
        <v>#DIV/0!</v>
      </c>
      <c r="Z149" s="198">
        <f t="shared" si="3783"/>
        <v>0</v>
      </c>
      <c r="AA149" s="225">
        <f t="shared" si="3791"/>
        <v>0</v>
      </c>
      <c r="AB149" s="226">
        <f t="shared" si="3792"/>
        <v>0</v>
      </c>
      <c r="AC149" s="137">
        <f t="shared" si="3793"/>
        <v>0</v>
      </c>
      <c r="AD149" s="227">
        <f t="shared" si="3787"/>
        <v>33.520000000000003</v>
      </c>
      <c r="AE149" s="138">
        <f t="shared" si="3794"/>
        <v>0</v>
      </c>
      <c r="AF149" s="110">
        <f t="shared" si="3795"/>
        <v>0</v>
      </c>
      <c r="AG149" s="110"/>
      <c r="AH149" s="139"/>
      <c r="AI149" s="140" t="e">
        <f t="shared" si="3796"/>
        <v>#DIV/0!</v>
      </c>
      <c r="AJ149" s="198">
        <f t="shared" si="3783"/>
        <v>0</v>
      </c>
      <c r="AK149" s="225">
        <f t="shared" si="3797"/>
        <v>0</v>
      </c>
      <c r="AL149" s="226">
        <f t="shared" si="3798"/>
        <v>0</v>
      </c>
      <c r="AM149" s="137">
        <f t="shared" si="3799"/>
        <v>0</v>
      </c>
      <c r="AN149" s="227">
        <f t="shared" si="3787"/>
        <v>33.07</v>
      </c>
      <c r="AO149" s="138">
        <f t="shared" si="3800"/>
        <v>0</v>
      </c>
      <c r="AP149" s="110">
        <f t="shared" si="3801"/>
        <v>0</v>
      </c>
      <c r="AQ149" s="110"/>
      <c r="AR149" s="139"/>
      <c r="AS149" s="140" t="e">
        <f t="shared" si="3802"/>
        <v>#DIV/0!</v>
      </c>
      <c r="AT149" s="198">
        <f t="shared" si="3783"/>
        <v>0</v>
      </c>
      <c r="AU149" s="225">
        <f t="shared" si="3803"/>
        <v>0</v>
      </c>
      <c r="AV149" s="226">
        <f t="shared" si="3804"/>
        <v>0</v>
      </c>
      <c r="AW149" s="137">
        <f t="shared" si="3805"/>
        <v>0</v>
      </c>
      <c r="AX149" s="227">
        <f t="shared" si="3787"/>
        <v>28.2</v>
      </c>
      <c r="AY149" s="138">
        <f t="shared" si="3806"/>
        <v>0</v>
      </c>
      <c r="AZ149" s="110">
        <f t="shared" si="3807"/>
        <v>0</v>
      </c>
      <c r="BA149" s="110"/>
      <c r="BB149" s="139"/>
      <c r="BC149" s="140" t="e">
        <f t="shared" si="3808"/>
        <v>#DIV/0!</v>
      </c>
      <c r="BD149" s="198">
        <f t="shared" si="3783"/>
        <v>0</v>
      </c>
      <c r="BE149" s="225">
        <f t="shared" si="3809"/>
        <v>0</v>
      </c>
      <c r="BF149" s="226">
        <f t="shared" si="3810"/>
        <v>0</v>
      </c>
      <c r="BG149" s="137">
        <f t="shared" si="3811"/>
        <v>0</v>
      </c>
      <c r="BH149" s="227">
        <f t="shared" si="3787"/>
        <v>33.75</v>
      </c>
      <c r="BI149" s="138">
        <f t="shared" si="3812"/>
        <v>0</v>
      </c>
      <c r="BJ149" s="110">
        <f t="shared" si="3813"/>
        <v>0</v>
      </c>
      <c r="BK149" s="110"/>
      <c r="BL149" s="139"/>
      <c r="BM149" s="140" t="e">
        <f t="shared" si="3814"/>
        <v>#DIV/0!</v>
      </c>
      <c r="BN149" s="198">
        <f t="shared" si="3783"/>
        <v>0</v>
      </c>
      <c r="BO149" s="225">
        <f t="shared" si="3815"/>
        <v>0</v>
      </c>
      <c r="BP149" s="226">
        <f t="shared" si="3816"/>
        <v>0</v>
      </c>
      <c r="BQ149" s="137">
        <f t="shared" si="3817"/>
        <v>0</v>
      </c>
      <c r="BR149" s="227">
        <f t="shared" si="3787"/>
        <v>32.79</v>
      </c>
      <c r="BS149" s="138">
        <f t="shared" si="3818"/>
        <v>0</v>
      </c>
      <c r="BT149" s="110">
        <f t="shared" si="3819"/>
        <v>0</v>
      </c>
      <c r="BU149" s="110"/>
      <c r="BV149" s="139"/>
      <c r="BW149" s="140" t="e">
        <f t="shared" si="3820"/>
        <v>#DIV/0!</v>
      </c>
      <c r="BX149" s="198">
        <f t="shared" si="3783"/>
        <v>0</v>
      </c>
      <c r="BY149" s="225">
        <f t="shared" si="3821"/>
        <v>0</v>
      </c>
      <c r="BZ149" s="226">
        <f t="shared" si="3822"/>
        <v>0</v>
      </c>
      <c r="CA149" s="137">
        <f t="shared" si="3823"/>
        <v>0</v>
      </c>
      <c r="CB149" s="227">
        <f t="shared" si="3787"/>
        <v>30.39</v>
      </c>
      <c r="CC149" s="138">
        <f t="shared" si="3824"/>
        <v>0</v>
      </c>
      <c r="CD149" s="110">
        <f t="shared" si="3825"/>
        <v>0</v>
      </c>
      <c r="CE149" s="110"/>
      <c r="CF149" s="139"/>
      <c r="CG149" s="140" t="e">
        <f t="shared" si="3826"/>
        <v>#DIV/0!</v>
      </c>
      <c r="CH149" s="198">
        <f t="shared" si="3827"/>
        <v>0</v>
      </c>
      <c r="CI149" s="225">
        <f t="shared" si="3828"/>
        <v>0</v>
      </c>
      <c r="CJ149" s="226">
        <f t="shared" si="3829"/>
        <v>0</v>
      </c>
      <c r="CK149" s="137">
        <f t="shared" si="3830"/>
        <v>0</v>
      </c>
      <c r="CL149" s="227">
        <f t="shared" si="3831"/>
        <v>25.57</v>
      </c>
      <c r="CM149" s="138">
        <f t="shared" si="3832"/>
        <v>0</v>
      </c>
      <c r="CN149" s="110">
        <f t="shared" si="3833"/>
        <v>0</v>
      </c>
      <c r="CO149" s="110"/>
      <c r="CP149" s="139"/>
      <c r="CQ149" s="140" t="e">
        <f t="shared" si="3834"/>
        <v>#DIV/0!</v>
      </c>
      <c r="CR149" s="198">
        <f t="shared" si="3827"/>
        <v>0</v>
      </c>
      <c r="CS149" s="225">
        <f t="shared" si="3835"/>
        <v>0</v>
      </c>
      <c r="CT149" s="226">
        <f t="shared" si="3836"/>
        <v>0</v>
      </c>
      <c r="CU149" s="137">
        <f t="shared" si="3837"/>
        <v>0</v>
      </c>
      <c r="CV149" s="227">
        <f t="shared" si="3831"/>
        <v>28.26</v>
      </c>
      <c r="CW149" s="138">
        <f t="shared" si="3838"/>
        <v>0</v>
      </c>
      <c r="CX149" s="110">
        <f t="shared" si="3839"/>
        <v>0</v>
      </c>
      <c r="CY149" s="110"/>
      <c r="CZ149" s="139"/>
      <c r="DA149" s="140" t="e">
        <f t="shared" si="3840"/>
        <v>#DIV/0!</v>
      </c>
      <c r="DB149" s="198">
        <f t="shared" si="3827"/>
        <v>0</v>
      </c>
      <c r="DC149" s="225">
        <f t="shared" si="3841"/>
        <v>0</v>
      </c>
      <c r="DD149" s="226">
        <f t="shared" si="3842"/>
        <v>0</v>
      </c>
      <c r="DE149" s="137">
        <f t="shared" si="3843"/>
        <v>0</v>
      </c>
      <c r="DF149" s="227">
        <f t="shared" si="3831"/>
        <v>31.22</v>
      </c>
      <c r="DG149" s="138">
        <f t="shared" si="3844"/>
        <v>0</v>
      </c>
      <c r="DH149" s="110">
        <f t="shared" si="3845"/>
        <v>0</v>
      </c>
      <c r="DI149" s="110"/>
      <c r="DJ149" s="139"/>
      <c r="DK149" s="140" t="e">
        <f t="shared" si="3846"/>
        <v>#DIV/0!</v>
      </c>
      <c r="DL149" s="198">
        <f t="shared" si="3827"/>
        <v>0</v>
      </c>
      <c r="DM149" s="225">
        <f t="shared" si="3847"/>
        <v>0</v>
      </c>
      <c r="DN149" s="226">
        <f t="shared" si="3848"/>
        <v>0</v>
      </c>
      <c r="DO149" s="137">
        <f t="shared" si="3849"/>
        <v>0</v>
      </c>
      <c r="DP149" s="227">
        <f t="shared" si="3831"/>
        <v>33.9</v>
      </c>
      <c r="DQ149" s="138">
        <f t="shared" si="3850"/>
        <v>0</v>
      </c>
      <c r="DR149" s="110">
        <f t="shared" si="3851"/>
        <v>0</v>
      </c>
      <c r="DS149" s="110"/>
      <c r="DT149" s="139"/>
      <c r="DU149" s="140" t="e">
        <f t="shared" si="3852"/>
        <v>#DIV/0!</v>
      </c>
      <c r="DV149" s="198">
        <f t="shared" si="3827"/>
        <v>0</v>
      </c>
      <c r="DW149" s="225">
        <f t="shared" si="3853"/>
        <v>0</v>
      </c>
      <c r="DX149" s="226">
        <f t="shared" si="3854"/>
        <v>0</v>
      </c>
      <c r="DY149" s="137">
        <f t="shared" si="3855"/>
        <v>0</v>
      </c>
      <c r="DZ149" s="227">
        <f t="shared" si="3831"/>
        <v>12.79</v>
      </c>
      <c r="EA149" s="138">
        <f t="shared" si="3856"/>
        <v>0</v>
      </c>
      <c r="EB149" s="110">
        <f t="shared" si="3857"/>
        <v>0</v>
      </c>
      <c r="EC149" s="110"/>
      <c r="ED149" s="139"/>
      <c r="EE149" s="140" t="e">
        <f t="shared" si="3858"/>
        <v>#DIV/0!</v>
      </c>
      <c r="EF149" s="198">
        <f t="shared" si="3827"/>
        <v>0</v>
      </c>
      <c r="EG149" s="225">
        <f t="shared" si="3859"/>
        <v>0</v>
      </c>
      <c r="EH149" s="226">
        <f t="shared" si="3860"/>
        <v>0</v>
      </c>
      <c r="EI149" s="137">
        <f t="shared" si="3861"/>
        <v>0</v>
      </c>
      <c r="EJ149" s="227">
        <f t="shared" si="3831"/>
        <v>23.18</v>
      </c>
      <c r="EK149" s="138">
        <f t="shared" si="3862"/>
        <v>0</v>
      </c>
      <c r="EL149" s="110">
        <f t="shared" si="3863"/>
        <v>0</v>
      </c>
      <c r="EM149" s="110"/>
      <c r="EN149" s="139"/>
      <c r="EO149" s="140" t="e">
        <f t="shared" si="3864"/>
        <v>#DIV/0!</v>
      </c>
      <c r="EP149" s="198">
        <f t="shared" si="3827"/>
        <v>0</v>
      </c>
      <c r="EQ149" s="225">
        <f t="shared" si="3865"/>
        <v>0</v>
      </c>
      <c r="ER149" s="226">
        <f t="shared" si="3866"/>
        <v>0</v>
      </c>
      <c r="ES149" s="137">
        <f t="shared" si="3867"/>
        <v>0</v>
      </c>
      <c r="ET149" s="227">
        <f t="shared" si="3831"/>
        <v>30.66</v>
      </c>
      <c r="EU149" s="138">
        <f t="shared" si="3868"/>
        <v>0</v>
      </c>
      <c r="EV149" s="110">
        <f t="shared" si="3869"/>
        <v>0</v>
      </c>
      <c r="EW149" s="110"/>
      <c r="EX149" s="139"/>
      <c r="EY149" s="140" t="e">
        <f t="shared" si="3870"/>
        <v>#DIV/0!</v>
      </c>
      <c r="EZ149" s="198">
        <f t="shared" si="3871"/>
        <v>0</v>
      </c>
      <c r="FA149" s="225">
        <f t="shared" si="3872"/>
        <v>0</v>
      </c>
      <c r="FB149" s="226">
        <f t="shared" si="3873"/>
        <v>0</v>
      </c>
      <c r="FC149" s="137">
        <f t="shared" si="3874"/>
        <v>0</v>
      </c>
      <c r="FD149" s="227">
        <f t="shared" si="3875"/>
        <v>34.119999999999997</v>
      </c>
      <c r="FE149" s="138">
        <f t="shared" si="3876"/>
        <v>0</v>
      </c>
      <c r="FF149" s="110">
        <f t="shared" si="3877"/>
        <v>0</v>
      </c>
      <c r="FG149" s="110"/>
      <c r="FH149" s="139"/>
      <c r="FI149" s="140" t="e">
        <f t="shared" si="3878"/>
        <v>#DIV/0!</v>
      </c>
      <c r="FJ149" s="198">
        <f t="shared" si="3871"/>
        <v>0</v>
      </c>
      <c r="FK149" s="225">
        <f t="shared" si="3879"/>
        <v>0</v>
      </c>
      <c r="FL149" s="226">
        <f t="shared" si="3880"/>
        <v>0</v>
      </c>
      <c r="FM149" s="137">
        <f t="shared" si="3881"/>
        <v>0</v>
      </c>
      <c r="FN149" s="227">
        <f t="shared" si="3875"/>
        <v>18.39</v>
      </c>
      <c r="FO149" s="138">
        <f t="shared" si="3882"/>
        <v>0</v>
      </c>
      <c r="FP149" s="110">
        <f t="shared" si="3883"/>
        <v>0</v>
      </c>
      <c r="FQ149" s="110"/>
      <c r="FR149" s="139"/>
      <c r="FS149" s="140" t="e">
        <f t="shared" si="3884"/>
        <v>#DIV/0!</v>
      </c>
      <c r="FT149" s="198">
        <f t="shared" si="3871"/>
        <v>0</v>
      </c>
      <c r="FU149" s="225">
        <f t="shared" si="3885"/>
        <v>0</v>
      </c>
      <c r="FV149" s="226">
        <f t="shared" si="3886"/>
        <v>0</v>
      </c>
      <c r="FW149" s="137">
        <f t="shared" si="3887"/>
        <v>0</v>
      </c>
      <c r="FX149" s="227">
        <f t="shared" si="3875"/>
        <v>32.619999999999997</v>
      </c>
      <c r="FY149" s="138">
        <f t="shared" si="3888"/>
        <v>0</v>
      </c>
      <c r="FZ149" s="110">
        <f t="shared" si="3889"/>
        <v>0</v>
      </c>
      <c r="GA149" s="110"/>
      <c r="GB149" s="139"/>
      <c r="GC149" s="140" t="e">
        <f t="shared" si="3890"/>
        <v>#DIV/0!</v>
      </c>
      <c r="GD149" s="198">
        <f t="shared" si="3871"/>
        <v>0</v>
      </c>
      <c r="GE149" s="225">
        <f t="shared" si="3891"/>
        <v>0</v>
      </c>
      <c r="GF149" s="226">
        <f t="shared" si="3892"/>
        <v>0</v>
      </c>
      <c r="GG149" s="137">
        <f t="shared" si="3893"/>
        <v>0</v>
      </c>
      <c r="GH149" s="227">
        <f t="shared" si="3875"/>
        <v>33.28</v>
      </c>
      <c r="GI149" s="138">
        <f t="shared" si="3894"/>
        <v>0</v>
      </c>
      <c r="GJ149" s="110">
        <f t="shared" si="3895"/>
        <v>0</v>
      </c>
      <c r="GK149" s="110"/>
      <c r="GL149" s="139"/>
      <c r="GM149" s="140" t="e">
        <f t="shared" si="3896"/>
        <v>#DIV/0!</v>
      </c>
      <c r="GN149" s="198">
        <f t="shared" si="3871"/>
        <v>0</v>
      </c>
      <c r="GO149" s="225">
        <f t="shared" si="3897"/>
        <v>0</v>
      </c>
      <c r="GP149" s="226">
        <f t="shared" si="3898"/>
        <v>0</v>
      </c>
      <c r="GQ149" s="137">
        <f t="shared" si="3899"/>
        <v>0</v>
      </c>
      <c r="GR149" s="227">
        <f t="shared" si="3875"/>
        <v>30.78</v>
      </c>
      <c r="GS149" s="138">
        <f t="shared" si="3900"/>
        <v>0</v>
      </c>
      <c r="GT149" s="110">
        <f t="shared" si="3901"/>
        <v>0</v>
      </c>
      <c r="GU149" s="110"/>
      <c r="GV149" s="139"/>
      <c r="GW149" s="140" t="e">
        <f t="shared" si="3902"/>
        <v>#DIV/0!</v>
      </c>
      <c r="GX149" s="198">
        <f t="shared" si="3871"/>
        <v>0</v>
      </c>
      <c r="GY149" s="225">
        <f t="shared" si="3903"/>
        <v>0</v>
      </c>
      <c r="GZ149" s="226">
        <f t="shared" si="3904"/>
        <v>0</v>
      </c>
      <c r="HA149" s="137">
        <f t="shared" si="3905"/>
        <v>0</v>
      </c>
      <c r="HB149" s="227">
        <f t="shared" si="3875"/>
        <v>21.23</v>
      </c>
      <c r="HC149" s="138">
        <f t="shared" si="3906"/>
        <v>0</v>
      </c>
      <c r="HD149" s="110">
        <f t="shared" si="3907"/>
        <v>0</v>
      </c>
      <c r="HE149" s="110"/>
      <c r="HF149" s="139"/>
      <c r="HG149" s="140" t="e">
        <f t="shared" si="3908"/>
        <v>#DIV/0!</v>
      </c>
      <c r="HH149" s="198">
        <f t="shared" si="3871"/>
        <v>0</v>
      </c>
      <c r="HI149" s="225">
        <f t="shared" si="3909"/>
        <v>0</v>
      </c>
      <c r="HJ149" s="226">
        <f t="shared" si="3910"/>
        <v>0</v>
      </c>
      <c r="HK149" s="137">
        <f t="shared" si="3911"/>
        <v>0</v>
      </c>
      <c r="HL149" s="227">
        <f t="shared" si="3875"/>
        <v>28.23</v>
      </c>
      <c r="HM149" s="138">
        <f t="shared" si="3912"/>
        <v>0</v>
      </c>
      <c r="HN149" s="110">
        <f t="shared" si="3913"/>
        <v>0</v>
      </c>
      <c r="HO149" s="110"/>
      <c r="HP149" s="139"/>
      <c r="HQ149" s="140" t="e">
        <f t="shared" si="3914"/>
        <v>#DIV/0!</v>
      </c>
      <c r="HR149" s="198">
        <f t="shared" si="3915"/>
        <v>0</v>
      </c>
      <c r="HS149" s="225">
        <f t="shared" si="3916"/>
        <v>0</v>
      </c>
      <c r="HT149" s="226">
        <f t="shared" si="3917"/>
        <v>0</v>
      </c>
      <c r="HU149" s="137">
        <f t="shared" si="3918"/>
        <v>0</v>
      </c>
      <c r="HV149" s="227">
        <f t="shared" si="3919"/>
        <v>31.27</v>
      </c>
      <c r="HW149" s="138">
        <f t="shared" si="3920"/>
        <v>0</v>
      </c>
      <c r="HX149" s="110">
        <f t="shared" si="3921"/>
        <v>0</v>
      </c>
      <c r="HY149" s="110"/>
      <c r="HZ149" s="139"/>
      <c r="IA149" s="140" t="e">
        <f t="shared" si="3922"/>
        <v>#DIV/0!</v>
      </c>
      <c r="IB149" s="198">
        <f t="shared" si="3915"/>
        <v>0</v>
      </c>
      <c r="IC149" s="225">
        <f t="shared" si="3923"/>
        <v>0</v>
      </c>
      <c r="ID149" s="226">
        <f t="shared" si="3924"/>
        <v>0</v>
      </c>
      <c r="IE149" s="137">
        <f t="shared" si="3925"/>
        <v>0</v>
      </c>
      <c r="IF149" s="227">
        <f t="shared" si="3919"/>
        <v>28.65</v>
      </c>
      <c r="IG149" s="138">
        <f t="shared" si="3926"/>
        <v>0</v>
      </c>
      <c r="IH149" s="110">
        <f t="shared" si="3927"/>
        <v>0</v>
      </c>
      <c r="II149" s="110"/>
      <c r="IJ149" s="139"/>
      <c r="IK149" s="140" t="e">
        <f t="shared" si="3928"/>
        <v>#DIV/0!</v>
      </c>
      <c r="IL149" s="198">
        <f t="shared" si="3915"/>
        <v>0</v>
      </c>
      <c r="IM149" s="225">
        <f t="shared" si="3929"/>
        <v>0</v>
      </c>
      <c r="IN149" s="226">
        <f t="shared" si="3930"/>
        <v>0</v>
      </c>
      <c r="IO149" s="137">
        <f t="shared" si="3931"/>
        <v>0</v>
      </c>
      <c r="IP149" s="227">
        <f t="shared" si="3919"/>
        <v>33.04</v>
      </c>
      <c r="IQ149" s="138">
        <f t="shared" si="3932"/>
        <v>0</v>
      </c>
      <c r="IR149" s="110">
        <f t="shared" si="3933"/>
        <v>0</v>
      </c>
      <c r="IS149" s="110"/>
      <c r="IT149" s="139"/>
      <c r="IU149" s="140" t="e">
        <f t="shared" si="3934"/>
        <v>#DIV/0!</v>
      </c>
      <c r="IV149" s="198">
        <f t="shared" si="3915"/>
        <v>0</v>
      </c>
      <c r="IW149" s="225">
        <f t="shared" si="3935"/>
        <v>0</v>
      </c>
      <c r="IX149" s="226">
        <f t="shared" si="3936"/>
        <v>0</v>
      </c>
      <c r="IY149" s="137">
        <f t="shared" si="3937"/>
        <v>0</v>
      </c>
      <c r="IZ149" s="227">
        <f t="shared" si="3919"/>
        <v>33.36</v>
      </c>
      <c r="JA149" s="138">
        <f t="shared" si="3938"/>
        <v>0</v>
      </c>
      <c r="JB149" s="110">
        <f t="shared" si="3939"/>
        <v>0</v>
      </c>
      <c r="JC149" s="110"/>
      <c r="JD149" s="139"/>
      <c r="JE149" s="140" t="e">
        <f t="shared" si="3940"/>
        <v>#DIV/0!</v>
      </c>
      <c r="JF149" s="198">
        <f t="shared" si="3915"/>
        <v>0</v>
      </c>
      <c r="JG149" s="225">
        <f t="shared" si="3941"/>
        <v>0</v>
      </c>
      <c r="JH149" s="226">
        <f t="shared" si="3942"/>
        <v>0</v>
      </c>
      <c r="JI149" s="137">
        <f t="shared" si="3943"/>
        <v>0</v>
      </c>
      <c r="JJ149" s="227">
        <f t="shared" si="3919"/>
        <v>21.96</v>
      </c>
      <c r="JK149" s="138">
        <f t="shared" si="3944"/>
        <v>0</v>
      </c>
      <c r="JL149" s="110">
        <f t="shared" si="3945"/>
        <v>0</v>
      </c>
      <c r="JM149" s="110"/>
      <c r="JN149" s="139"/>
      <c r="JO149" s="140" t="e">
        <f t="shared" si="3946"/>
        <v>#DIV/0!</v>
      </c>
      <c r="JP149" s="198">
        <f t="shared" si="3915"/>
        <v>0</v>
      </c>
      <c r="JQ149" s="225">
        <f t="shared" si="3947"/>
        <v>0</v>
      </c>
      <c r="JR149" s="226">
        <f t="shared" si="3948"/>
        <v>0</v>
      </c>
      <c r="JS149" s="137">
        <f t="shared" si="3949"/>
        <v>0</v>
      </c>
      <c r="JT149" s="227">
        <f t="shared" si="3919"/>
        <v>35.700000000000003</v>
      </c>
      <c r="JU149" s="138">
        <f t="shared" si="3950"/>
        <v>0</v>
      </c>
      <c r="JV149" s="110">
        <f t="shared" si="3951"/>
        <v>0</v>
      </c>
      <c r="JW149" s="110"/>
      <c r="JX149" s="139"/>
      <c r="JY149" s="140" t="e">
        <f t="shared" si="3952"/>
        <v>#DIV/0!</v>
      </c>
      <c r="JZ149" s="198">
        <f t="shared" si="3915"/>
        <v>0</v>
      </c>
      <c r="KA149" s="225">
        <f t="shared" si="3953"/>
        <v>0</v>
      </c>
      <c r="KB149" s="226">
        <f t="shared" si="3954"/>
        <v>0</v>
      </c>
      <c r="KC149" s="137">
        <f t="shared" si="3955"/>
        <v>0</v>
      </c>
      <c r="KD149" s="227">
        <f t="shared" si="3919"/>
        <v>30.3</v>
      </c>
      <c r="KE149" s="138">
        <f t="shared" si="3956"/>
        <v>0</v>
      </c>
      <c r="KF149" s="110">
        <f t="shared" si="3957"/>
        <v>0</v>
      </c>
      <c r="KG149" s="110"/>
      <c r="KH149" s="139"/>
      <c r="KI149" s="140" t="e">
        <f t="shared" si="3958"/>
        <v>#DIV/0!</v>
      </c>
      <c r="KJ149" s="198">
        <f t="shared" si="3959"/>
        <v>0</v>
      </c>
      <c r="KK149" s="225">
        <f t="shared" si="3960"/>
        <v>0</v>
      </c>
      <c r="KL149" s="226">
        <f t="shared" si="3961"/>
        <v>0</v>
      </c>
      <c r="KM149" s="137">
        <f t="shared" si="3962"/>
        <v>0</v>
      </c>
      <c r="KN149" s="227">
        <f t="shared" si="3963"/>
        <v>30.43</v>
      </c>
      <c r="KO149" s="138">
        <f t="shared" si="3964"/>
        <v>0</v>
      </c>
      <c r="KP149" s="110">
        <f t="shared" si="3965"/>
        <v>0</v>
      </c>
      <c r="KQ149" s="110"/>
      <c r="KR149" s="139"/>
      <c r="KS149" s="140" t="e">
        <f t="shared" si="3966"/>
        <v>#DIV/0!</v>
      </c>
      <c r="KT149" s="198">
        <f t="shared" si="3959"/>
        <v>0</v>
      </c>
      <c r="KU149" s="225">
        <f t="shared" si="3967"/>
        <v>0</v>
      </c>
      <c r="KV149" s="226">
        <f t="shared" si="3968"/>
        <v>0</v>
      </c>
      <c r="KW149" s="137">
        <f t="shared" si="3969"/>
        <v>0</v>
      </c>
      <c r="KX149" s="227">
        <f t="shared" si="3963"/>
        <v>34.299999999999997</v>
      </c>
      <c r="KY149" s="138">
        <f t="shared" si="3970"/>
        <v>0</v>
      </c>
      <c r="KZ149" s="110">
        <f t="shared" si="3971"/>
        <v>0</v>
      </c>
      <c r="LA149" s="110"/>
      <c r="LB149" s="139"/>
      <c r="LC149" s="140" t="e">
        <f t="shared" si="3972"/>
        <v>#DIV/0!</v>
      </c>
      <c r="LD149" s="197">
        <f t="shared" si="3581"/>
        <v>0</v>
      </c>
      <c r="LE149" s="225">
        <f t="shared" si="3582"/>
        <v>0</v>
      </c>
      <c r="LF149" s="226">
        <f t="shared" si="3583"/>
        <v>0</v>
      </c>
      <c r="LG149" s="137">
        <f t="shared" si="3584"/>
        <v>0</v>
      </c>
      <c r="LH149" s="227">
        <f t="shared" si="3585"/>
        <v>28.89</v>
      </c>
      <c r="LI149" s="138">
        <f t="shared" si="3586"/>
        <v>0</v>
      </c>
      <c r="LJ149" s="110">
        <f t="shared" si="3587"/>
        <v>0</v>
      </c>
      <c r="LK149" s="110"/>
      <c r="LL149" s="139"/>
    </row>
    <row r="150" spans="1:324" ht="16.5" hidden="1" customHeight="1" x14ac:dyDescent="0.25">
      <c r="A150" s="246"/>
      <c r="B150" s="92" t="s">
        <v>639</v>
      </c>
      <c r="C150" s="12" t="s">
        <v>728</v>
      </c>
      <c r="D150" s="12" t="s">
        <v>430</v>
      </c>
      <c r="E150" s="4" t="s">
        <v>32</v>
      </c>
      <c r="F150" s="198">
        <f t="shared" si="3782"/>
        <v>0</v>
      </c>
      <c r="G150" s="225">
        <f t="shared" si="3588"/>
        <v>0</v>
      </c>
      <c r="H150" s="226">
        <f t="shared" si="3589"/>
        <v>0</v>
      </c>
      <c r="I150" s="137">
        <f t="shared" si="3362"/>
        <v>0</v>
      </c>
      <c r="J150" s="227">
        <f t="shared" si="3590"/>
        <v>19.559999999999999</v>
      </c>
      <c r="K150" s="138">
        <f t="shared" si="3363"/>
        <v>0</v>
      </c>
      <c r="L150" s="110">
        <f t="shared" si="3364"/>
        <v>0</v>
      </c>
      <c r="M150" s="110"/>
      <c r="N150" s="139"/>
      <c r="O150" s="140" t="e">
        <f t="shared" si="3365"/>
        <v>#DIV/0!</v>
      </c>
      <c r="P150" s="198">
        <f t="shared" si="3783"/>
        <v>0</v>
      </c>
      <c r="Q150" s="225">
        <f t="shared" si="3784"/>
        <v>0</v>
      </c>
      <c r="R150" s="226">
        <f t="shared" si="3785"/>
        <v>0</v>
      </c>
      <c r="S150" s="137">
        <f t="shared" si="3786"/>
        <v>0</v>
      </c>
      <c r="T150" s="227">
        <f t="shared" si="3787"/>
        <v>14.76</v>
      </c>
      <c r="U150" s="138">
        <f t="shared" si="3788"/>
        <v>0</v>
      </c>
      <c r="V150" s="110">
        <f t="shared" si="3789"/>
        <v>0</v>
      </c>
      <c r="W150" s="110"/>
      <c r="X150" s="139"/>
      <c r="Y150" s="140" t="e">
        <f t="shared" si="3790"/>
        <v>#DIV/0!</v>
      </c>
      <c r="Z150" s="198">
        <f t="shared" si="3783"/>
        <v>0</v>
      </c>
      <c r="AA150" s="225">
        <f t="shared" si="3791"/>
        <v>0</v>
      </c>
      <c r="AB150" s="226">
        <f t="shared" si="3792"/>
        <v>0</v>
      </c>
      <c r="AC150" s="137">
        <f t="shared" si="3793"/>
        <v>0</v>
      </c>
      <c r="AD150" s="227">
        <f t="shared" si="3787"/>
        <v>33.520000000000003</v>
      </c>
      <c r="AE150" s="138">
        <f t="shared" si="3794"/>
        <v>0</v>
      </c>
      <c r="AF150" s="110">
        <f t="shared" si="3795"/>
        <v>0</v>
      </c>
      <c r="AG150" s="110"/>
      <c r="AH150" s="139"/>
      <c r="AI150" s="140" t="e">
        <f t="shared" si="3796"/>
        <v>#DIV/0!</v>
      </c>
      <c r="AJ150" s="198">
        <f t="shared" si="3783"/>
        <v>0</v>
      </c>
      <c r="AK150" s="225">
        <f t="shared" si="3797"/>
        <v>0</v>
      </c>
      <c r="AL150" s="226">
        <f t="shared" si="3798"/>
        <v>0</v>
      </c>
      <c r="AM150" s="137">
        <f t="shared" si="3799"/>
        <v>0</v>
      </c>
      <c r="AN150" s="227">
        <f t="shared" si="3787"/>
        <v>33.07</v>
      </c>
      <c r="AO150" s="138">
        <f t="shared" si="3800"/>
        <v>0</v>
      </c>
      <c r="AP150" s="110">
        <f t="shared" si="3801"/>
        <v>0</v>
      </c>
      <c r="AQ150" s="110"/>
      <c r="AR150" s="139"/>
      <c r="AS150" s="140" t="e">
        <f t="shared" si="3802"/>
        <v>#DIV/0!</v>
      </c>
      <c r="AT150" s="198">
        <f t="shared" si="3783"/>
        <v>0</v>
      </c>
      <c r="AU150" s="225">
        <f t="shared" si="3803"/>
        <v>0</v>
      </c>
      <c r="AV150" s="226">
        <f t="shared" si="3804"/>
        <v>0</v>
      </c>
      <c r="AW150" s="137">
        <f t="shared" si="3805"/>
        <v>0</v>
      </c>
      <c r="AX150" s="227">
        <f t="shared" si="3787"/>
        <v>28.2</v>
      </c>
      <c r="AY150" s="138">
        <f t="shared" si="3806"/>
        <v>0</v>
      </c>
      <c r="AZ150" s="110">
        <f t="shared" si="3807"/>
        <v>0</v>
      </c>
      <c r="BA150" s="110"/>
      <c r="BB150" s="139"/>
      <c r="BC150" s="140" t="e">
        <f t="shared" si="3808"/>
        <v>#DIV/0!</v>
      </c>
      <c r="BD150" s="198">
        <f t="shared" si="3783"/>
        <v>0</v>
      </c>
      <c r="BE150" s="225">
        <f t="shared" si="3809"/>
        <v>0</v>
      </c>
      <c r="BF150" s="226">
        <f t="shared" si="3810"/>
        <v>0</v>
      </c>
      <c r="BG150" s="137">
        <f t="shared" si="3811"/>
        <v>0</v>
      </c>
      <c r="BH150" s="227">
        <f t="shared" si="3787"/>
        <v>33.75</v>
      </c>
      <c r="BI150" s="138">
        <f t="shared" si="3812"/>
        <v>0</v>
      </c>
      <c r="BJ150" s="110">
        <f t="shared" si="3813"/>
        <v>0</v>
      </c>
      <c r="BK150" s="110"/>
      <c r="BL150" s="139"/>
      <c r="BM150" s="140" t="e">
        <f t="shared" si="3814"/>
        <v>#DIV/0!</v>
      </c>
      <c r="BN150" s="198">
        <f t="shared" si="3783"/>
        <v>0</v>
      </c>
      <c r="BO150" s="225">
        <f t="shared" si="3815"/>
        <v>0</v>
      </c>
      <c r="BP150" s="226">
        <f t="shared" si="3816"/>
        <v>0</v>
      </c>
      <c r="BQ150" s="137">
        <f t="shared" si="3817"/>
        <v>0</v>
      </c>
      <c r="BR150" s="227">
        <f t="shared" si="3787"/>
        <v>32.79</v>
      </c>
      <c r="BS150" s="138">
        <f t="shared" si="3818"/>
        <v>0</v>
      </c>
      <c r="BT150" s="110">
        <f t="shared" si="3819"/>
        <v>0</v>
      </c>
      <c r="BU150" s="110"/>
      <c r="BV150" s="139"/>
      <c r="BW150" s="140" t="e">
        <f t="shared" si="3820"/>
        <v>#DIV/0!</v>
      </c>
      <c r="BX150" s="198">
        <f t="shared" si="3783"/>
        <v>0</v>
      </c>
      <c r="BY150" s="225">
        <f t="shared" si="3821"/>
        <v>0</v>
      </c>
      <c r="BZ150" s="226">
        <f t="shared" si="3822"/>
        <v>0</v>
      </c>
      <c r="CA150" s="137">
        <f t="shared" si="3823"/>
        <v>0</v>
      </c>
      <c r="CB150" s="227">
        <f t="shared" si="3787"/>
        <v>30.39</v>
      </c>
      <c r="CC150" s="138">
        <f t="shared" si="3824"/>
        <v>0</v>
      </c>
      <c r="CD150" s="110">
        <f t="shared" si="3825"/>
        <v>0</v>
      </c>
      <c r="CE150" s="110"/>
      <c r="CF150" s="139"/>
      <c r="CG150" s="140" t="e">
        <f t="shared" si="3826"/>
        <v>#DIV/0!</v>
      </c>
      <c r="CH150" s="198">
        <f t="shared" si="3827"/>
        <v>0</v>
      </c>
      <c r="CI150" s="225">
        <f t="shared" si="3828"/>
        <v>0</v>
      </c>
      <c r="CJ150" s="226">
        <f t="shared" si="3829"/>
        <v>0</v>
      </c>
      <c r="CK150" s="137">
        <f t="shared" si="3830"/>
        <v>0</v>
      </c>
      <c r="CL150" s="227">
        <f t="shared" si="3831"/>
        <v>25.57</v>
      </c>
      <c r="CM150" s="138">
        <f t="shared" si="3832"/>
        <v>0</v>
      </c>
      <c r="CN150" s="110">
        <f t="shared" si="3833"/>
        <v>0</v>
      </c>
      <c r="CO150" s="110"/>
      <c r="CP150" s="139"/>
      <c r="CQ150" s="140" t="e">
        <f t="shared" si="3834"/>
        <v>#DIV/0!</v>
      </c>
      <c r="CR150" s="198">
        <f t="shared" si="3827"/>
        <v>0</v>
      </c>
      <c r="CS150" s="225">
        <f t="shared" si="3835"/>
        <v>0</v>
      </c>
      <c r="CT150" s="226">
        <f t="shared" si="3836"/>
        <v>0</v>
      </c>
      <c r="CU150" s="137">
        <f t="shared" si="3837"/>
        <v>0</v>
      </c>
      <c r="CV150" s="227">
        <f t="shared" si="3831"/>
        <v>28.26</v>
      </c>
      <c r="CW150" s="138">
        <f t="shared" si="3838"/>
        <v>0</v>
      </c>
      <c r="CX150" s="110">
        <f t="shared" si="3839"/>
        <v>0</v>
      </c>
      <c r="CY150" s="110"/>
      <c r="CZ150" s="139"/>
      <c r="DA150" s="140" t="e">
        <f t="shared" si="3840"/>
        <v>#DIV/0!</v>
      </c>
      <c r="DB150" s="198">
        <f t="shared" si="3827"/>
        <v>0</v>
      </c>
      <c r="DC150" s="225">
        <f t="shared" si="3841"/>
        <v>0</v>
      </c>
      <c r="DD150" s="226">
        <f t="shared" si="3842"/>
        <v>0</v>
      </c>
      <c r="DE150" s="137">
        <f t="shared" si="3843"/>
        <v>0</v>
      </c>
      <c r="DF150" s="227">
        <f t="shared" si="3831"/>
        <v>31.22</v>
      </c>
      <c r="DG150" s="138">
        <f t="shared" si="3844"/>
        <v>0</v>
      </c>
      <c r="DH150" s="110">
        <f t="shared" si="3845"/>
        <v>0</v>
      </c>
      <c r="DI150" s="110"/>
      <c r="DJ150" s="139"/>
      <c r="DK150" s="140" t="e">
        <f t="shared" si="3846"/>
        <v>#DIV/0!</v>
      </c>
      <c r="DL150" s="198">
        <f t="shared" si="3827"/>
        <v>0</v>
      </c>
      <c r="DM150" s="225">
        <f t="shared" si="3847"/>
        <v>0</v>
      </c>
      <c r="DN150" s="226">
        <f t="shared" si="3848"/>
        <v>0</v>
      </c>
      <c r="DO150" s="137">
        <f t="shared" si="3849"/>
        <v>0</v>
      </c>
      <c r="DP150" s="227">
        <f t="shared" si="3831"/>
        <v>33.9</v>
      </c>
      <c r="DQ150" s="138">
        <f t="shared" si="3850"/>
        <v>0</v>
      </c>
      <c r="DR150" s="110">
        <f t="shared" si="3851"/>
        <v>0</v>
      </c>
      <c r="DS150" s="110"/>
      <c r="DT150" s="139"/>
      <c r="DU150" s="140" t="e">
        <f t="shared" si="3852"/>
        <v>#DIV/0!</v>
      </c>
      <c r="DV150" s="198">
        <f t="shared" si="3827"/>
        <v>0</v>
      </c>
      <c r="DW150" s="225">
        <f t="shared" si="3853"/>
        <v>0</v>
      </c>
      <c r="DX150" s="226">
        <f t="shared" si="3854"/>
        <v>0</v>
      </c>
      <c r="DY150" s="137">
        <f t="shared" si="3855"/>
        <v>0</v>
      </c>
      <c r="DZ150" s="227">
        <f t="shared" si="3831"/>
        <v>12.79</v>
      </c>
      <c r="EA150" s="138">
        <f t="shared" si="3856"/>
        <v>0</v>
      </c>
      <c r="EB150" s="110">
        <f t="shared" si="3857"/>
        <v>0</v>
      </c>
      <c r="EC150" s="110"/>
      <c r="ED150" s="139"/>
      <c r="EE150" s="140" t="e">
        <f t="shared" si="3858"/>
        <v>#DIV/0!</v>
      </c>
      <c r="EF150" s="198">
        <f t="shared" si="3827"/>
        <v>0</v>
      </c>
      <c r="EG150" s="225">
        <f t="shared" si="3859"/>
        <v>0</v>
      </c>
      <c r="EH150" s="226">
        <f t="shared" si="3860"/>
        <v>0</v>
      </c>
      <c r="EI150" s="137">
        <f t="shared" si="3861"/>
        <v>0</v>
      </c>
      <c r="EJ150" s="227">
        <f t="shared" si="3831"/>
        <v>23.18</v>
      </c>
      <c r="EK150" s="138">
        <f t="shared" si="3862"/>
        <v>0</v>
      </c>
      <c r="EL150" s="110">
        <f t="shared" si="3863"/>
        <v>0</v>
      </c>
      <c r="EM150" s="110"/>
      <c r="EN150" s="139"/>
      <c r="EO150" s="140" t="e">
        <f t="shared" si="3864"/>
        <v>#DIV/0!</v>
      </c>
      <c r="EP150" s="198">
        <f t="shared" si="3827"/>
        <v>0</v>
      </c>
      <c r="EQ150" s="225">
        <f t="shared" si="3865"/>
        <v>0</v>
      </c>
      <c r="ER150" s="226">
        <f t="shared" si="3866"/>
        <v>0</v>
      </c>
      <c r="ES150" s="137">
        <f t="shared" si="3867"/>
        <v>0</v>
      </c>
      <c r="ET150" s="227">
        <f t="shared" si="3831"/>
        <v>30.66</v>
      </c>
      <c r="EU150" s="138">
        <f t="shared" si="3868"/>
        <v>0</v>
      </c>
      <c r="EV150" s="110">
        <f t="shared" si="3869"/>
        <v>0</v>
      </c>
      <c r="EW150" s="110"/>
      <c r="EX150" s="139"/>
      <c r="EY150" s="140" t="e">
        <f t="shared" si="3870"/>
        <v>#DIV/0!</v>
      </c>
      <c r="EZ150" s="198">
        <f t="shared" si="3871"/>
        <v>0</v>
      </c>
      <c r="FA150" s="225">
        <f t="shared" si="3872"/>
        <v>0</v>
      </c>
      <c r="FB150" s="226">
        <f t="shared" si="3873"/>
        <v>0</v>
      </c>
      <c r="FC150" s="137">
        <f t="shared" si="3874"/>
        <v>0</v>
      </c>
      <c r="FD150" s="227">
        <f t="shared" si="3875"/>
        <v>34.119999999999997</v>
      </c>
      <c r="FE150" s="138">
        <f t="shared" si="3876"/>
        <v>0</v>
      </c>
      <c r="FF150" s="110">
        <f t="shared" si="3877"/>
        <v>0</v>
      </c>
      <c r="FG150" s="110"/>
      <c r="FH150" s="139"/>
      <c r="FI150" s="140" t="e">
        <f t="shared" si="3878"/>
        <v>#DIV/0!</v>
      </c>
      <c r="FJ150" s="198">
        <f t="shared" si="3871"/>
        <v>0</v>
      </c>
      <c r="FK150" s="225">
        <f t="shared" si="3879"/>
        <v>0</v>
      </c>
      <c r="FL150" s="226">
        <f t="shared" si="3880"/>
        <v>0</v>
      </c>
      <c r="FM150" s="137">
        <f t="shared" si="3881"/>
        <v>0</v>
      </c>
      <c r="FN150" s="227">
        <f t="shared" si="3875"/>
        <v>18.39</v>
      </c>
      <c r="FO150" s="138">
        <f t="shared" si="3882"/>
        <v>0</v>
      </c>
      <c r="FP150" s="110">
        <f t="shared" si="3883"/>
        <v>0</v>
      </c>
      <c r="FQ150" s="110"/>
      <c r="FR150" s="139"/>
      <c r="FS150" s="140" t="e">
        <f t="shared" si="3884"/>
        <v>#DIV/0!</v>
      </c>
      <c r="FT150" s="198">
        <f t="shared" si="3871"/>
        <v>0</v>
      </c>
      <c r="FU150" s="225">
        <f t="shared" si="3885"/>
        <v>0</v>
      </c>
      <c r="FV150" s="226">
        <f t="shared" si="3886"/>
        <v>0</v>
      </c>
      <c r="FW150" s="137">
        <f t="shared" si="3887"/>
        <v>0</v>
      </c>
      <c r="FX150" s="227">
        <f t="shared" si="3875"/>
        <v>32.619999999999997</v>
      </c>
      <c r="FY150" s="138">
        <f t="shared" si="3888"/>
        <v>0</v>
      </c>
      <c r="FZ150" s="110">
        <f t="shared" si="3889"/>
        <v>0</v>
      </c>
      <c r="GA150" s="110"/>
      <c r="GB150" s="139"/>
      <c r="GC150" s="140" t="e">
        <f t="shared" si="3890"/>
        <v>#DIV/0!</v>
      </c>
      <c r="GD150" s="198">
        <f t="shared" si="3871"/>
        <v>0</v>
      </c>
      <c r="GE150" s="225">
        <f t="shared" si="3891"/>
        <v>0</v>
      </c>
      <c r="GF150" s="226">
        <f t="shared" si="3892"/>
        <v>0</v>
      </c>
      <c r="GG150" s="137">
        <f t="shared" si="3893"/>
        <v>0</v>
      </c>
      <c r="GH150" s="227">
        <f t="shared" si="3875"/>
        <v>33.28</v>
      </c>
      <c r="GI150" s="138">
        <f t="shared" si="3894"/>
        <v>0</v>
      </c>
      <c r="GJ150" s="110">
        <f t="shared" si="3895"/>
        <v>0</v>
      </c>
      <c r="GK150" s="110"/>
      <c r="GL150" s="139"/>
      <c r="GM150" s="140" t="e">
        <f t="shared" si="3896"/>
        <v>#DIV/0!</v>
      </c>
      <c r="GN150" s="198">
        <f t="shared" si="3871"/>
        <v>0</v>
      </c>
      <c r="GO150" s="225">
        <f t="shared" si="3897"/>
        <v>0</v>
      </c>
      <c r="GP150" s="226">
        <f t="shared" si="3898"/>
        <v>0</v>
      </c>
      <c r="GQ150" s="137">
        <f t="shared" si="3899"/>
        <v>0</v>
      </c>
      <c r="GR150" s="227">
        <f t="shared" si="3875"/>
        <v>30.78</v>
      </c>
      <c r="GS150" s="138">
        <f t="shared" si="3900"/>
        <v>0</v>
      </c>
      <c r="GT150" s="110">
        <f t="shared" si="3901"/>
        <v>0</v>
      </c>
      <c r="GU150" s="110"/>
      <c r="GV150" s="139"/>
      <c r="GW150" s="140" t="e">
        <f t="shared" si="3902"/>
        <v>#DIV/0!</v>
      </c>
      <c r="GX150" s="198">
        <f t="shared" si="3871"/>
        <v>0</v>
      </c>
      <c r="GY150" s="225">
        <f t="shared" si="3903"/>
        <v>0</v>
      </c>
      <c r="GZ150" s="226">
        <f t="shared" si="3904"/>
        <v>0</v>
      </c>
      <c r="HA150" s="137">
        <f t="shared" si="3905"/>
        <v>0</v>
      </c>
      <c r="HB150" s="227">
        <f t="shared" si="3875"/>
        <v>21.23</v>
      </c>
      <c r="HC150" s="138">
        <f t="shared" si="3906"/>
        <v>0</v>
      </c>
      <c r="HD150" s="110">
        <f t="shared" si="3907"/>
        <v>0</v>
      </c>
      <c r="HE150" s="110"/>
      <c r="HF150" s="139"/>
      <c r="HG150" s="140" t="e">
        <f t="shared" si="3908"/>
        <v>#DIV/0!</v>
      </c>
      <c r="HH150" s="198">
        <f t="shared" si="3871"/>
        <v>0</v>
      </c>
      <c r="HI150" s="225">
        <f t="shared" si="3909"/>
        <v>0</v>
      </c>
      <c r="HJ150" s="226">
        <f t="shared" si="3910"/>
        <v>0</v>
      </c>
      <c r="HK150" s="137">
        <f t="shared" si="3911"/>
        <v>0</v>
      </c>
      <c r="HL150" s="227">
        <f t="shared" si="3875"/>
        <v>28.23</v>
      </c>
      <c r="HM150" s="138">
        <f t="shared" si="3912"/>
        <v>0</v>
      </c>
      <c r="HN150" s="110">
        <f t="shared" si="3913"/>
        <v>0</v>
      </c>
      <c r="HO150" s="110"/>
      <c r="HP150" s="139"/>
      <c r="HQ150" s="140" t="e">
        <f t="shared" si="3914"/>
        <v>#DIV/0!</v>
      </c>
      <c r="HR150" s="198">
        <f t="shared" si="3915"/>
        <v>0</v>
      </c>
      <c r="HS150" s="225">
        <f t="shared" si="3916"/>
        <v>0</v>
      </c>
      <c r="HT150" s="226">
        <f t="shared" si="3917"/>
        <v>0</v>
      </c>
      <c r="HU150" s="137">
        <f t="shared" si="3918"/>
        <v>0</v>
      </c>
      <c r="HV150" s="227">
        <f t="shared" si="3919"/>
        <v>31.27</v>
      </c>
      <c r="HW150" s="138">
        <f t="shared" si="3920"/>
        <v>0</v>
      </c>
      <c r="HX150" s="110">
        <f t="shared" si="3921"/>
        <v>0</v>
      </c>
      <c r="HY150" s="110"/>
      <c r="HZ150" s="139"/>
      <c r="IA150" s="140" t="e">
        <f t="shared" si="3922"/>
        <v>#DIV/0!</v>
      </c>
      <c r="IB150" s="198">
        <f t="shared" si="3915"/>
        <v>0</v>
      </c>
      <c r="IC150" s="225">
        <f t="shared" si="3923"/>
        <v>0</v>
      </c>
      <c r="ID150" s="226">
        <f t="shared" si="3924"/>
        <v>0</v>
      </c>
      <c r="IE150" s="137">
        <f t="shared" si="3925"/>
        <v>0</v>
      </c>
      <c r="IF150" s="227">
        <f t="shared" si="3919"/>
        <v>28.65</v>
      </c>
      <c r="IG150" s="138">
        <f t="shared" si="3926"/>
        <v>0</v>
      </c>
      <c r="IH150" s="110">
        <f t="shared" si="3927"/>
        <v>0</v>
      </c>
      <c r="II150" s="110"/>
      <c r="IJ150" s="139"/>
      <c r="IK150" s="140" t="e">
        <f t="shared" si="3928"/>
        <v>#DIV/0!</v>
      </c>
      <c r="IL150" s="198">
        <f t="shared" si="3915"/>
        <v>0</v>
      </c>
      <c r="IM150" s="225">
        <f t="shared" si="3929"/>
        <v>0</v>
      </c>
      <c r="IN150" s="226">
        <f t="shared" si="3930"/>
        <v>0</v>
      </c>
      <c r="IO150" s="137">
        <f t="shared" si="3931"/>
        <v>0</v>
      </c>
      <c r="IP150" s="227">
        <f t="shared" si="3919"/>
        <v>33.04</v>
      </c>
      <c r="IQ150" s="138">
        <f t="shared" si="3932"/>
        <v>0</v>
      </c>
      <c r="IR150" s="110">
        <f t="shared" si="3933"/>
        <v>0</v>
      </c>
      <c r="IS150" s="110"/>
      <c r="IT150" s="139"/>
      <c r="IU150" s="140" t="e">
        <f t="shared" si="3934"/>
        <v>#DIV/0!</v>
      </c>
      <c r="IV150" s="198">
        <f t="shared" si="3915"/>
        <v>0</v>
      </c>
      <c r="IW150" s="225">
        <f t="shared" si="3935"/>
        <v>0</v>
      </c>
      <c r="IX150" s="226">
        <f t="shared" si="3936"/>
        <v>0</v>
      </c>
      <c r="IY150" s="137">
        <f t="shared" si="3937"/>
        <v>0</v>
      </c>
      <c r="IZ150" s="227">
        <f t="shared" si="3919"/>
        <v>33.36</v>
      </c>
      <c r="JA150" s="138">
        <f t="shared" si="3938"/>
        <v>0</v>
      </c>
      <c r="JB150" s="110">
        <f t="shared" si="3939"/>
        <v>0</v>
      </c>
      <c r="JC150" s="110"/>
      <c r="JD150" s="139"/>
      <c r="JE150" s="140" t="e">
        <f t="shared" si="3940"/>
        <v>#DIV/0!</v>
      </c>
      <c r="JF150" s="198">
        <f t="shared" si="3915"/>
        <v>0</v>
      </c>
      <c r="JG150" s="225">
        <f t="shared" si="3941"/>
        <v>0</v>
      </c>
      <c r="JH150" s="226">
        <f t="shared" si="3942"/>
        <v>0</v>
      </c>
      <c r="JI150" s="137">
        <f t="shared" si="3943"/>
        <v>0</v>
      </c>
      <c r="JJ150" s="227">
        <f t="shared" si="3919"/>
        <v>21.96</v>
      </c>
      <c r="JK150" s="138">
        <f t="shared" si="3944"/>
        <v>0</v>
      </c>
      <c r="JL150" s="110">
        <f t="shared" si="3945"/>
        <v>0</v>
      </c>
      <c r="JM150" s="110"/>
      <c r="JN150" s="139"/>
      <c r="JO150" s="140" t="e">
        <f t="shared" si="3946"/>
        <v>#DIV/0!</v>
      </c>
      <c r="JP150" s="198">
        <f t="shared" si="3915"/>
        <v>0</v>
      </c>
      <c r="JQ150" s="225">
        <f t="shared" si="3947"/>
        <v>0</v>
      </c>
      <c r="JR150" s="226">
        <f t="shared" si="3948"/>
        <v>0</v>
      </c>
      <c r="JS150" s="137">
        <f t="shared" si="3949"/>
        <v>0</v>
      </c>
      <c r="JT150" s="227">
        <f t="shared" si="3919"/>
        <v>35.700000000000003</v>
      </c>
      <c r="JU150" s="138">
        <f t="shared" si="3950"/>
        <v>0</v>
      </c>
      <c r="JV150" s="110">
        <f t="shared" si="3951"/>
        <v>0</v>
      </c>
      <c r="JW150" s="110"/>
      <c r="JX150" s="139"/>
      <c r="JY150" s="140" t="e">
        <f t="shared" si="3952"/>
        <v>#DIV/0!</v>
      </c>
      <c r="JZ150" s="198">
        <f t="shared" si="3915"/>
        <v>0</v>
      </c>
      <c r="KA150" s="225">
        <f t="shared" si="3953"/>
        <v>0</v>
      </c>
      <c r="KB150" s="226">
        <f t="shared" si="3954"/>
        <v>0</v>
      </c>
      <c r="KC150" s="137">
        <f t="shared" si="3955"/>
        <v>0</v>
      </c>
      <c r="KD150" s="227">
        <f t="shared" si="3919"/>
        <v>30.3</v>
      </c>
      <c r="KE150" s="138">
        <f t="shared" si="3956"/>
        <v>0</v>
      </c>
      <c r="KF150" s="110">
        <f t="shared" si="3957"/>
        <v>0</v>
      </c>
      <c r="KG150" s="110"/>
      <c r="KH150" s="139"/>
      <c r="KI150" s="140" t="e">
        <f t="shared" si="3958"/>
        <v>#DIV/0!</v>
      </c>
      <c r="KJ150" s="198">
        <f t="shared" si="3959"/>
        <v>0</v>
      </c>
      <c r="KK150" s="225">
        <f t="shared" si="3960"/>
        <v>0</v>
      </c>
      <c r="KL150" s="226">
        <f t="shared" si="3961"/>
        <v>0</v>
      </c>
      <c r="KM150" s="137">
        <f t="shared" si="3962"/>
        <v>0</v>
      </c>
      <c r="KN150" s="227">
        <f t="shared" si="3963"/>
        <v>30.43</v>
      </c>
      <c r="KO150" s="138">
        <f t="shared" si="3964"/>
        <v>0</v>
      </c>
      <c r="KP150" s="110">
        <f t="shared" si="3965"/>
        <v>0</v>
      </c>
      <c r="KQ150" s="110"/>
      <c r="KR150" s="139"/>
      <c r="KS150" s="140" t="e">
        <f t="shared" si="3966"/>
        <v>#DIV/0!</v>
      </c>
      <c r="KT150" s="198">
        <f t="shared" si="3959"/>
        <v>0</v>
      </c>
      <c r="KU150" s="225">
        <f t="shared" si="3967"/>
        <v>0</v>
      </c>
      <c r="KV150" s="226">
        <f t="shared" si="3968"/>
        <v>0</v>
      </c>
      <c r="KW150" s="137">
        <f t="shared" si="3969"/>
        <v>0</v>
      </c>
      <c r="KX150" s="227">
        <f t="shared" si="3963"/>
        <v>34.299999999999997</v>
      </c>
      <c r="KY150" s="138">
        <f t="shared" si="3970"/>
        <v>0</v>
      </c>
      <c r="KZ150" s="110">
        <f t="shared" si="3971"/>
        <v>0</v>
      </c>
      <c r="LA150" s="110"/>
      <c r="LB150" s="139"/>
      <c r="LC150" s="140" t="e">
        <f t="shared" si="3972"/>
        <v>#DIV/0!</v>
      </c>
      <c r="LD150" s="197">
        <f t="shared" si="3581"/>
        <v>0</v>
      </c>
      <c r="LE150" s="225">
        <f t="shared" si="3582"/>
        <v>0</v>
      </c>
      <c r="LF150" s="226">
        <f t="shared" si="3583"/>
        <v>0</v>
      </c>
      <c r="LG150" s="137">
        <f t="shared" si="3584"/>
        <v>0</v>
      </c>
      <c r="LH150" s="227">
        <f t="shared" si="3585"/>
        <v>28.89</v>
      </c>
      <c r="LI150" s="138">
        <f t="shared" si="3586"/>
        <v>0</v>
      </c>
      <c r="LJ150" s="110">
        <f t="shared" si="3587"/>
        <v>0</v>
      </c>
      <c r="LK150" s="110"/>
      <c r="LL150" s="139"/>
    </row>
    <row r="151" spans="1:324" ht="16.5" customHeight="1" x14ac:dyDescent="0.25">
      <c r="A151" s="246"/>
      <c r="B151" s="12" t="s">
        <v>626</v>
      </c>
      <c r="C151" s="12" t="s">
        <v>728</v>
      </c>
      <c r="D151" s="12" t="s">
        <v>430</v>
      </c>
      <c r="E151" s="4" t="s">
        <v>32</v>
      </c>
      <c r="F151" s="198">
        <f t="shared" si="3782"/>
        <v>0</v>
      </c>
      <c r="G151" s="225">
        <f t="shared" si="3588"/>
        <v>0</v>
      </c>
      <c r="H151" s="226">
        <f t="shared" si="3589"/>
        <v>0</v>
      </c>
      <c r="I151" s="137">
        <f t="shared" si="3362"/>
        <v>0</v>
      </c>
      <c r="J151" s="227">
        <f t="shared" si="3590"/>
        <v>19.559999999999999</v>
      </c>
      <c r="K151" s="138">
        <f t="shared" si="3363"/>
        <v>0</v>
      </c>
      <c r="L151" s="110">
        <f t="shared" si="3364"/>
        <v>0</v>
      </c>
      <c r="M151" s="110"/>
      <c r="N151" s="139"/>
      <c r="O151" s="140">
        <f t="shared" si="3365"/>
        <v>0</v>
      </c>
      <c r="P151" s="198">
        <f t="shared" si="3783"/>
        <v>0</v>
      </c>
      <c r="Q151" s="225">
        <f t="shared" si="3784"/>
        <v>0</v>
      </c>
      <c r="R151" s="226">
        <f t="shared" si="3785"/>
        <v>0</v>
      </c>
      <c r="S151" s="137">
        <f t="shared" si="3786"/>
        <v>0</v>
      </c>
      <c r="T151" s="227">
        <f t="shared" si="3787"/>
        <v>14.76</v>
      </c>
      <c r="U151" s="138">
        <f t="shared" si="3788"/>
        <v>0</v>
      </c>
      <c r="V151" s="110">
        <f t="shared" si="3789"/>
        <v>0</v>
      </c>
      <c r="W151" s="110"/>
      <c r="X151" s="139"/>
      <c r="Y151" s="140">
        <f t="shared" si="3790"/>
        <v>0</v>
      </c>
      <c r="Z151" s="198">
        <f t="shared" si="3783"/>
        <v>0</v>
      </c>
      <c r="AA151" s="225">
        <f t="shared" si="3791"/>
        <v>0</v>
      </c>
      <c r="AB151" s="226">
        <f t="shared" si="3792"/>
        <v>0</v>
      </c>
      <c r="AC151" s="137">
        <f t="shared" si="3793"/>
        <v>0</v>
      </c>
      <c r="AD151" s="227">
        <f t="shared" si="3787"/>
        <v>33.520000000000003</v>
      </c>
      <c r="AE151" s="138">
        <f t="shared" si="3794"/>
        <v>0</v>
      </c>
      <c r="AF151" s="110">
        <f t="shared" si="3795"/>
        <v>0</v>
      </c>
      <c r="AG151" s="110"/>
      <c r="AH151" s="139"/>
      <c r="AI151" s="140">
        <f t="shared" si="3796"/>
        <v>0</v>
      </c>
      <c r="AJ151" s="198">
        <f t="shared" si="3783"/>
        <v>0</v>
      </c>
      <c r="AK151" s="225">
        <f t="shared" si="3797"/>
        <v>0</v>
      </c>
      <c r="AL151" s="226">
        <f t="shared" si="3798"/>
        <v>0</v>
      </c>
      <c r="AM151" s="137">
        <f t="shared" si="3799"/>
        <v>0</v>
      </c>
      <c r="AN151" s="227">
        <f t="shared" si="3787"/>
        <v>33.07</v>
      </c>
      <c r="AO151" s="138">
        <f t="shared" si="3800"/>
        <v>0</v>
      </c>
      <c r="AP151" s="110">
        <f t="shared" si="3801"/>
        <v>0</v>
      </c>
      <c r="AQ151" s="110"/>
      <c r="AR151" s="139"/>
      <c r="AS151" s="140">
        <f t="shared" si="3802"/>
        <v>0</v>
      </c>
      <c r="AT151" s="198">
        <f t="shared" si="3783"/>
        <v>0</v>
      </c>
      <c r="AU151" s="225">
        <f t="shared" si="3803"/>
        <v>0</v>
      </c>
      <c r="AV151" s="226">
        <f t="shared" si="3804"/>
        <v>0</v>
      </c>
      <c r="AW151" s="137">
        <f t="shared" si="3805"/>
        <v>0</v>
      </c>
      <c r="AX151" s="227">
        <f t="shared" si="3787"/>
        <v>28.2</v>
      </c>
      <c r="AY151" s="138">
        <f t="shared" si="3806"/>
        <v>0</v>
      </c>
      <c r="AZ151" s="110">
        <f t="shared" si="3807"/>
        <v>0</v>
      </c>
      <c r="BA151" s="110"/>
      <c r="BB151" s="139"/>
      <c r="BC151" s="140">
        <f t="shared" si="3808"/>
        <v>0</v>
      </c>
      <c r="BD151" s="198">
        <f t="shared" si="3783"/>
        <v>0</v>
      </c>
      <c r="BE151" s="225">
        <f t="shared" si="3809"/>
        <v>0</v>
      </c>
      <c r="BF151" s="226">
        <f t="shared" si="3810"/>
        <v>0</v>
      </c>
      <c r="BG151" s="137">
        <f t="shared" si="3811"/>
        <v>0</v>
      </c>
      <c r="BH151" s="227">
        <f t="shared" si="3787"/>
        <v>33.75</v>
      </c>
      <c r="BI151" s="138">
        <f t="shared" si="3812"/>
        <v>0</v>
      </c>
      <c r="BJ151" s="110">
        <f t="shared" si="3813"/>
        <v>0</v>
      </c>
      <c r="BK151" s="110"/>
      <c r="BL151" s="139"/>
      <c r="BM151" s="140">
        <f t="shared" si="3814"/>
        <v>0</v>
      </c>
      <c r="BN151" s="198">
        <f t="shared" si="3783"/>
        <v>0</v>
      </c>
      <c r="BO151" s="225">
        <f t="shared" si="3815"/>
        <v>0</v>
      </c>
      <c r="BP151" s="226">
        <f t="shared" si="3816"/>
        <v>0</v>
      </c>
      <c r="BQ151" s="137">
        <f t="shared" si="3817"/>
        <v>0</v>
      </c>
      <c r="BR151" s="227">
        <f t="shared" si="3787"/>
        <v>32.79</v>
      </c>
      <c r="BS151" s="138">
        <f t="shared" si="3818"/>
        <v>0</v>
      </c>
      <c r="BT151" s="110">
        <f t="shared" si="3819"/>
        <v>0</v>
      </c>
      <c r="BU151" s="110"/>
      <c r="BV151" s="139"/>
      <c r="BW151" s="140">
        <f t="shared" si="3820"/>
        <v>0</v>
      </c>
      <c r="BX151" s="198">
        <f t="shared" si="3783"/>
        <v>0</v>
      </c>
      <c r="BY151" s="225">
        <f t="shared" si="3821"/>
        <v>0</v>
      </c>
      <c r="BZ151" s="226">
        <f t="shared" si="3822"/>
        <v>0</v>
      </c>
      <c r="CA151" s="137">
        <f t="shared" si="3823"/>
        <v>0</v>
      </c>
      <c r="CB151" s="227">
        <f t="shared" si="3787"/>
        <v>30.39</v>
      </c>
      <c r="CC151" s="138">
        <f t="shared" si="3824"/>
        <v>0</v>
      </c>
      <c r="CD151" s="110">
        <f t="shared" si="3825"/>
        <v>0</v>
      </c>
      <c r="CE151" s="110"/>
      <c r="CF151" s="139"/>
      <c r="CG151" s="140">
        <f t="shared" si="3826"/>
        <v>0</v>
      </c>
      <c r="CH151" s="198">
        <f t="shared" si="3827"/>
        <v>0</v>
      </c>
      <c r="CI151" s="225">
        <f t="shared" si="3828"/>
        <v>0</v>
      </c>
      <c r="CJ151" s="226">
        <f t="shared" si="3829"/>
        <v>0</v>
      </c>
      <c r="CK151" s="137">
        <f t="shared" si="3830"/>
        <v>0</v>
      </c>
      <c r="CL151" s="227">
        <f t="shared" si="3831"/>
        <v>25.57</v>
      </c>
      <c r="CM151" s="138">
        <f t="shared" si="3832"/>
        <v>0</v>
      </c>
      <c r="CN151" s="110">
        <f t="shared" si="3833"/>
        <v>0</v>
      </c>
      <c r="CO151" s="110"/>
      <c r="CP151" s="139"/>
      <c r="CQ151" s="140">
        <f t="shared" si="3834"/>
        <v>0</v>
      </c>
      <c r="CR151" s="198">
        <f t="shared" si="3827"/>
        <v>1</v>
      </c>
      <c r="CS151" s="225">
        <f t="shared" si="3835"/>
        <v>1.34E-3</v>
      </c>
      <c r="CT151" s="226">
        <f t="shared" si="3836"/>
        <v>1.61</v>
      </c>
      <c r="CU151" s="137">
        <f t="shared" si="3837"/>
        <v>1.61</v>
      </c>
      <c r="CV151" s="227">
        <f t="shared" si="3831"/>
        <v>28.26</v>
      </c>
      <c r="CW151" s="138">
        <f t="shared" si="3838"/>
        <v>45.498600000000003</v>
      </c>
      <c r="CX151" s="110">
        <f t="shared" si="3839"/>
        <v>45.5</v>
      </c>
      <c r="CY151" s="110"/>
      <c r="CZ151" s="139"/>
      <c r="DA151" s="140">
        <f t="shared" si="3840"/>
        <v>0.73421000000000003</v>
      </c>
      <c r="DB151" s="198">
        <f t="shared" si="3827"/>
        <v>1</v>
      </c>
      <c r="DC151" s="225">
        <f t="shared" si="3841"/>
        <v>1.2099999999999999E-3</v>
      </c>
      <c r="DD151" s="226">
        <f t="shared" si="3842"/>
        <v>1.35</v>
      </c>
      <c r="DE151" s="137">
        <f t="shared" si="3843"/>
        <v>1.35</v>
      </c>
      <c r="DF151" s="227">
        <f t="shared" si="3831"/>
        <v>31.22</v>
      </c>
      <c r="DG151" s="138">
        <f t="shared" si="3844"/>
        <v>42.146999999999998</v>
      </c>
      <c r="DH151" s="110">
        <f t="shared" si="3845"/>
        <v>42.15</v>
      </c>
      <c r="DI151" s="110"/>
      <c r="DJ151" s="139"/>
      <c r="DK151" s="140">
        <f t="shared" si="3846"/>
        <v>0.68013000000000001</v>
      </c>
      <c r="DL151" s="198">
        <f t="shared" si="3827"/>
        <v>0</v>
      </c>
      <c r="DM151" s="225">
        <f t="shared" si="3847"/>
        <v>0</v>
      </c>
      <c r="DN151" s="226">
        <f t="shared" si="3848"/>
        <v>0</v>
      </c>
      <c r="DO151" s="137">
        <f t="shared" si="3849"/>
        <v>0</v>
      </c>
      <c r="DP151" s="227">
        <f t="shared" si="3831"/>
        <v>33.9</v>
      </c>
      <c r="DQ151" s="138">
        <f t="shared" si="3850"/>
        <v>0</v>
      </c>
      <c r="DR151" s="110">
        <f t="shared" si="3851"/>
        <v>0</v>
      </c>
      <c r="DS151" s="110"/>
      <c r="DT151" s="139"/>
      <c r="DU151" s="140">
        <f t="shared" si="3852"/>
        <v>0</v>
      </c>
      <c r="DV151" s="198">
        <f t="shared" si="3827"/>
        <v>0</v>
      </c>
      <c r="DW151" s="225">
        <f t="shared" si="3853"/>
        <v>0</v>
      </c>
      <c r="DX151" s="226">
        <f t="shared" si="3854"/>
        <v>0</v>
      </c>
      <c r="DY151" s="137">
        <f t="shared" si="3855"/>
        <v>0</v>
      </c>
      <c r="DZ151" s="227">
        <f t="shared" si="3831"/>
        <v>12.79</v>
      </c>
      <c r="EA151" s="138">
        <f t="shared" si="3856"/>
        <v>0</v>
      </c>
      <c r="EB151" s="110">
        <f t="shared" si="3857"/>
        <v>0</v>
      </c>
      <c r="EC151" s="110"/>
      <c r="ED151" s="139"/>
      <c r="EE151" s="140">
        <f t="shared" si="3858"/>
        <v>0</v>
      </c>
      <c r="EF151" s="198">
        <f t="shared" si="3827"/>
        <v>0</v>
      </c>
      <c r="EG151" s="225">
        <f t="shared" si="3859"/>
        <v>0</v>
      </c>
      <c r="EH151" s="226">
        <f t="shared" si="3860"/>
        <v>0</v>
      </c>
      <c r="EI151" s="137">
        <f t="shared" si="3861"/>
        <v>0</v>
      </c>
      <c r="EJ151" s="227">
        <f t="shared" si="3831"/>
        <v>23.18</v>
      </c>
      <c r="EK151" s="138">
        <f t="shared" si="3862"/>
        <v>0</v>
      </c>
      <c r="EL151" s="110">
        <f t="shared" si="3863"/>
        <v>0</v>
      </c>
      <c r="EM151" s="110"/>
      <c r="EN151" s="139"/>
      <c r="EO151" s="140">
        <f t="shared" si="3864"/>
        <v>0</v>
      </c>
      <c r="EP151" s="198">
        <f t="shared" si="3827"/>
        <v>0</v>
      </c>
      <c r="EQ151" s="225">
        <f t="shared" si="3865"/>
        <v>0</v>
      </c>
      <c r="ER151" s="226">
        <f t="shared" si="3866"/>
        <v>0</v>
      </c>
      <c r="ES151" s="137">
        <f t="shared" si="3867"/>
        <v>0</v>
      </c>
      <c r="ET151" s="227">
        <f t="shared" si="3831"/>
        <v>30.66</v>
      </c>
      <c r="EU151" s="138">
        <f t="shared" si="3868"/>
        <v>0</v>
      </c>
      <c r="EV151" s="110">
        <f t="shared" si="3869"/>
        <v>0</v>
      </c>
      <c r="EW151" s="110"/>
      <c r="EX151" s="139"/>
      <c r="EY151" s="140">
        <f t="shared" si="3870"/>
        <v>0</v>
      </c>
      <c r="EZ151" s="198">
        <f t="shared" si="3871"/>
        <v>0</v>
      </c>
      <c r="FA151" s="225">
        <f t="shared" si="3872"/>
        <v>0</v>
      </c>
      <c r="FB151" s="226">
        <f t="shared" si="3873"/>
        <v>0</v>
      </c>
      <c r="FC151" s="137">
        <f t="shared" si="3874"/>
        <v>0</v>
      </c>
      <c r="FD151" s="227">
        <f t="shared" si="3875"/>
        <v>34.119999999999997</v>
      </c>
      <c r="FE151" s="138">
        <f t="shared" si="3876"/>
        <v>0</v>
      </c>
      <c r="FF151" s="110">
        <f t="shared" si="3877"/>
        <v>0</v>
      </c>
      <c r="FG151" s="110"/>
      <c r="FH151" s="139"/>
      <c r="FI151" s="140">
        <f t="shared" si="3878"/>
        <v>0</v>
      </c>
      <c r="FJ151" s="198">
        <f t="shared" si="3871"/>
        <v>0</v>
      </c>
      <c r="FK151" s="225">
        <f t="shared" si="3879"/>
        <v>0</v>
      </c>
      <c r="FL151" s="226">
        <f t="shared" si="3880"/>
        <v>0</v>
      </c>
      <c r="FM151" s="137">
        <f t="shared" si="3881"/>
        <v>0</v>
      </c>
      <c r="FN151" s="227">
        <f t="shared" si="3875"/>
        <v>18.39</v>
      </c>
      <c r="FO151" s="138">
        <f t="shared" si="3882"/>
        <v>0</v>
      </c>
      <c r="FP151" s="110">
        <f t="shared" si="3883"/>
        <v>0</v>
      </c>
      <c r="FQ151" s="110"/>
      <c r="FR151" s="139"/>
      <c r="FS151" s="140">
        <f t="shared" si="3884"/>
        <v>0</v>
      </c>
      <c r="FT151" s="198">
        <f t="shared" si="3871"/>
        <v>1</v>
      </c>
      <c r="FU151" s="225">
        <f t="shared" si="3885"/>
        <v>1.25E-3</v>
      </c>
      <c r="FV151" s="226">
        <f t="shared" si="3886"/>
        <v>1.78</v>
      </c>
      <c r="FW151" s="137">
        <f t="shared" si="3887"/>
        <v>1.78</v>
      </c>
      <c r="FX151" s="227">
        <f t="shared" si="3875"/>
        <v>32.619999999999997</v>
      </c>
      <c r="FY151" s="138">
        <f t="shared" si="3888"/>
        <v>58.063600000000001</v>
      </c>
      <c r="FZ151" s="110">
        <f t="shared" si="3889"/>
        <v>58.06</v>
      </c>
      <c r="GA151" s="110"/>
      <c r="GB151" s="139"/>
      <c r="GC151" s="140">
        <f t="shared" si="3890"/>
        <v>0.93698000000000004</v>
      </c>
      <c r="GD151" s="198">
        <f t="shared" si="3871"/>
        <v>0</v>
      </c>
      <c r="GE151" s="225">
        <f t="shared" si="3891"/>
        <v>0</v>
      </c>
      <c r="GF151" s="226">
        <f t="shared" si="3892"/>
        <v>0</v>
      </c>
      <c r="GG151" s="137">
        <f t="shared" si="3893"/>
        <v>0</v>
      </c>
      <c r="GH151" s="227">
        <f t="shared" si="3875"/>
        <v>33.28</v>
      </c>
      <c r="GI151" s="138">
        <f t="shared" si="3894"/>
        <v>0</v>
      </c>
      <c r="GJ151" s="110">
        <f t="shared" si="3895"/>
        <v>0</v>
      </c>
      <c r="GK151" s="110"/>
      <c r="GL151" s="139"/>
      <c r="GM151" s="140">
        <f t="shared" si="3896"/>
        <v>0</v>
      </c>
      <c r="GN151" s="198">
        <f t="shared" si="3871"/>
        <v>0</v>
      </c>
      <c r="GO151" s="225">
        <f t="shared" si="3897"/>
        <v>0</v>
      </c>
      <c r="GP151" s="226">
        <f t="shared" si="3898"/>
        <v>0</v>
      </c>
      <c r="GQ151" s="137">
        <f t="shared" si="3899"/>
        <v>0</v>
      </c>
      <c r="GR151" s="227">
        <f t="shared" si="3875"/>
        <v>30.78</v>
      </c>
      <c r="GS151" s="138">
        <f t="shared" si="3900"/>
        <v>0</v>
      </c>
      <c r="GT151" s="110">
        <f t="shared" si="3901"/>
        <v>0</v>
      </c>
      <c r="GU151" s="110"/>
      <c r="GV151" s="139"/>
      <c r="GW151" s="140">
        <f t="shared" si="3902"/>
        <v>0</v>
      </c>
      <c r="GX151" s="198">
        <f t="shared" si="3871"/>
        <v>1</v>
      </c>
      <c r="GY151" s="225">
        <f t="shared" si="3903"/>
        <v>6.2E-4</v>
      </c>
      <c r="GZ151" s="226">
        <f t="shared" si="3904"/>
        <v>2.76</v>
      </c>
      <c r="HA151" s="137">
        <f t="shared" si="3905"/>
        <v>2.76</v>
      </c>
      <c r="HB151" s="227">
        <f t="shared" si="3875"/>
        <v>21.23</v>
      </c>
      <c r="HC151" s="138">
        <f t="shared" si="3906"/>
        <v>58.594799999999999</v>
      </c>
      <c r="HD151" s="110">
        <f t="shared" si="3907"/>
        <v>58.59</v>
      </c>
      <c r="HE151" s="110"/>
      <c r="HF151" s="139"/>
      <c r="HG151" s="140">
        <f t="shared" si="3908"/>
        <v>0.94555</v>
      </c>
      <c r="HH151" s="198">
        <f t="shared" si="3871"/>
        <v>1</v>
      </c>
      <c r="HI151" s="225">
        <f t="shared" si="3909"/>
        <v>8.7000000000000001E-4</v>
      </c>
      <c r="HJ151" s="226">
        <f t="shared" si="3910"/>
        <v>2.9</v>
      </c>
      <c r="HK151" s="137">
        <f t="shared" si="3911"/>
        <v>2.9</v>
      </c>
      <c r="HL151" s="227">
        <f t="shared" si="3875"/>
        <v>28.23</v>
      </c>
      <c r="HM151" s="138">
        <f t="shared" si="3912"/>
        <v>81.867000000000004</v>
      </c>
      <c r="HN151" s="110">
        <f t="shared" si="3913"/>
        <v>81.87</v>
      </c>
      <c r="HO151" s="110"/>
      <c r="HP151" s="139"/>
      <c r="HQ151" s="140">
        <f t="shared" si="3914"/>
        <v>1.3210900000000001</v>
      </c>
      <c r="HR151" s="198">
        <f t="shared" si="3915"/>
        <v>0</v>
      </c>
      <c r="HS151" s="225">
        <f t="shared" si="3916"/>
        <v>0</v>
      </c>
      <c r="HT151" s="226">
        <f t="shared" si="3917"/>
        <v>0</v>
      </c>
      <c r="HU151" s="137">
        <f t="shared" si="3918"/>
        <v>0</v>
      </c>
      <c r="HV151" s="227">
        <f t="shared" si="3919"/>
        <v>31.27</v>
      </c>
      <c r="HW151" s="138">
        <f t="shared" si="3920"/>
        <v>0</v>
      </c>
      <c r="HX151" s="110">
        <f t="shared" si="3921"/>
        <v>0</v>
      </c>
      <c r="HY151" s="110"/>
      <c r="HZ151" s="139"/>
      <c r="IA151" s="140">
        <f t="shared" si="3922"/>
        <v>0</v>
      </c>
      <c r="IB151" s="198">
        <f t="shared" si="3915"/>
        <v>0</v>
      </c>
      <c r="IC151" s="225">
        <f t="shared" si="3923"/>
        <v>0</v>
      </c>
      <c r="ID151" s="226">
        <f t="shared" si="3924"/>
        <v>0</v>
      </c>
      <c r="IE151" s="137">
        <f t="shared" si="3925"/>
        <v>0</v>
      </c>
      <c r="IF151" s="227">
        <f t="shared" si="3919"/>
        <v>28.65</v>
      </c>
      <c r="IG151" s="138">
        <f t="shared" si="3926"/>
        <v>0</v>
      </c>
      <c r="IH151" s="110">
        <f t="shared" si="3927"/>
        <v>0</v>
      </c>
      <c r="II151" s="110"/>
      <c r="IJ151" s="139"/>
      <c r="IK151" s="140">
        <f t="shared" si="3928"/>
        <v>0</v>
      </c>
      <c r="IL151" s="198">
        <f t="shared" si="3915"/>
        <v>1</v>
      </c>
      <c r="IM151" s="225">
        <f t="shared" si="3929"/>
        <v>7.9000000000000001E-4</v>
      </c>
      <c r="IN151" s="226">
        <f t="shared" si="3930"/>
        <v>2.3199999999999998</v>
      </c>
      <c r="IO151" s="137">
        <f t="shared" si="3931"/>
        <v>2.3199999999999998</v>
      </c>
      <c r="IP151" s="227">
        <f t="shared" si="3919"/>
        <v>33.04</v>
      </c>
      <c r="IQ151" s="138">
        <f t="shared" si="3932"/>
        <v>76.652799999999999</v>
      </c>
      <c r="IR151" s="110">
        <f t="shared" si="3933"/>
        <v>76.650000000000006</v>
      </c>
      <c r="IS151" s="110"/>
      <c r="IT151" s="139"/>
      <c r="IU151" s="140">
        <f t="shared" si="3934"/>
        <v>1.23695</v>
      </c>
      <c r="IV151" s="198">
        <f t="shared" si="3915"/>
        <v>0</v>
      </c>
      <c r="IW151" s="225">
        <f t="shared" si="3935"/>
        <v>0</v>
      </c>
      <c r="IX151" s="226">
        <f t="shared" si="3936"/>
        <v>0</v>
      </c>
      <c r="IY151" s="137">
        <f t="shared" si="3937"/>
        <v>0</v>
      </c>
      <c r="IZ151" s="227">
        <f t="shared" si="3919"/>
        <v>33.36</v>
      </c>
      <c r="JA151" s="138">
        <f t="shared" si="3938"/>
        <v>0</v>
      </c>
      <c r="JB151" s="110">
        <f t="shared" si="3939"/>
        <v>0</v>
      </c>
      <c r="JC151" s="110"/>
      <c r="JD151" s="139"/>
      <c r="JE151" s="140">
        <f t="shared" si="3940"/>
        <v>0</v>
      </c>
      <c r="JF151" s="198">
        <f t="shared" si="3915"/>
        <v>0</v>
      </c>
      <c r="JG151" s="225">
        <f t="shared" si="3941"/>
        <v>0</v>
      </c>
      <c r="JH151" s="226">
        <f t="shared" si="3942"/>
        <v>0</v>
      </c>
      <c r="JI151" s="137">
        <f t="shared" si="3943"/>
        <v>0</v>
      </c>
      <c r="JJ151" s="227">
        <f t="shared" si="3919"/>
        <v>21.96</v>
      </c>
      <c r="JK151" s="138">
        <f t="shared" si="3944"/>
        <v>0</v>
      </c>
      <c r="JL151" s="110">
        <f t="shared" si="3945"/>
        <v>0</v>
      </c>
      <c r="JM151" s="110"/>
      <c r="JN151" s="139"/>
      <c r="JO151" s="140">
        <f t="shared" si="3946"/>
        <v>0</v>
      </c>
      <c r="JP151" s="198">
        <f t="shared" si="3915"/>
        <v>0</v>
      </c>
      <c r="JQ151" s="225">
        <f t="shared" si="3947"/>
        <v>0</v>
      </c>
      <c r="JR151" s="226">
        <f t="shared" si="3948"/>
        <v>0</v>
      </c>
      <c r="JS151" s="137">
        <f t="shared" si="3949"/>
        <v>0</v>
      </c>
      <c r="JT151" s="227">
        <f t="shared" si="3919"/>
        <v>35.700000000000003</v>
      </c>
      <c r="JU151" s="138">
        <f t="shared" si="3950"/>
        <v>0</v>
      </c>
      <c r="JV151" s="110">
        <f t="shared" si="3951"/>
        <v>0</v>
      </c>
      <c r="JW151" s="110"/>
      <c r="JX151" s="139"/>
      <c r="JY151" s="140">
        <f t="shared" si="3952"/>
        <v>0</v>
      </c>
      <c r="JZ151" s="198">
        <f t="shared" si="3915"/>
        <v>0</v>
      </c>
      <c r="KA151" s="225">
        <f t="shared" si="3953"/>
        <v>0</v>
      </c>
      <c r="KB151" s="226">
        <f t="shared" si="3954"/>
        <v>0</v>
      </c>
      <c r="KC151" s="137">
        <f t="shared" si="3955"/>
        <v>0</v>
      </c>
      <c r="KD151" s="227">
        <f t="shared" si="3919"/>
        <v>30.3</v>
      </c>
      <c r="KE151" s="138">
        <f t="shared" si="3956"/>
        <v>0</v>
      </c>
      <c r="KF151" s="110">
        <f t="shared" si="3957"/>
        <v>0</v>
      </c>
      <c r="KG151" s="110"/>
      <c r="KH151" s="139"/>
      <c r="KI151" s="140">
        <f t="shared" si="3958"/>
        <v>0</v>
      </c>
      <c r="KJ151" s="198">
        <f t="shared" si="3959"/>
        <v>0</v>
      </c>
      <c r="KK151" s="225">
        <f t="shared" si="3960"/>
        <v>0</v>
      </c>
      <c r="KL151" s="226">
        <f t="shared" si="3961"/>
        <v>0</v>
      </c>
      <c r="KM151" s="137">
        <f t="shared" si="3962"/>
        <v>0</v>
      </c>
      <c r="KN151" s="227">
        <f t="shared" si="3963"/>
        <v>30.43</v>
      </c>
      <c r="KO151" s="138">
        <f t="shared" si="3964"/>
        <v>0</v>
      </c>
      <c r="KP151" s="110">
        <f t="shared" si="3965"/>
        <v>0</v>
      </c>
      <c r="KQ151" s="110"/>
      <c r="KR151" s="139"/>
      <c r="KS151" s="140">
        <f t="shared" si="3966"/>
        <v>0</v>
      </c>
      <c r="KT151" s="198">
        <f t="shared" si="3959"/>
        <v>0</v>
      </c>
      <c r="KU151" s="225">
        <f t="shared" si="3967"/>
        <v>0</v>
      </c>
      <c r="KV151" s="226">
        <f t="shared" si="3968"/>
        <v>0</v>
      </c>
      <c r="KW151" s="137">
        <f t="shared" si="3969"/>
        <v>0</v>
      </c>
      <c r="KX151" s="227">
        <f t="shared" si="3963"/>
        <v>34.299999999999997</v>
      </c>
      <c r="KY151" s="138">
        <f t="shared" si="3970"/>
        <v>0</v>
      </c>
      <c r="KZ151" s="110">
        <f t="shared" si="3971"/>
        <v>0</v>
      </c>
      <c r="LA151" s="110"/>
      <c r="LB151" s="139"/>
      <c r="LC151" s="140">
        <f t="shared" si="3972"/>
        <v>0</v>
      </c>
      <c r="LD151" s="197">
        <f t="shared" si="3581"/>
        <v>6</v>
      </c>
      <c r="LE151" s="225">
        <f t="shared" si="3582"/>
        <v>2.1000000000000001E-4</v>
      </c>
      <c r="LF151" s="226">
        <f t="shared" si="3583"/>
        <v>12.87</v>
      </c>
      <c r="LG151" s="137">
        <f t="shared" si="3584"/>
        <v>2.145</v>
      </c>
      <c r="LH151" s="227">
        <f t="shared" si="3585"/>
        <v>28.89</v>
      </c>
      <c r="LI151" s="138">
        <f t="shared" si="3586"/>
        <v>61.969050000000003</v>
      </c>
      <c r="LJ151" s="110">
        <f t="shared" si="3587"/>
        <v>371.81</v>
      </c>
      <c r="LK151" s="110"/>
      <c r="LL151" s="139"/>
    </row>
    <row r="152" spans="1:324" ht="16.5" customHeight="1" x14ac:dyDescent="0.25">
      <c r="A152" s="246"/>
      <c r="B152" s="12" t="s">
        <v>627</v>
      </c>
      <c r="C152" s="12" t="s">
        <v>728</v>
      </c>
      <c r="D152" s="12" t="s">
        <v>430</v>
      </c>
      <c r="E152" s="4" t="s">
        <v>32</v>
      </c>
      <c r="F152" s="198">
        <f t="shared" si="3782"/>
        <v>0</v>
      </c>
      <c r="G152" s="225">
        <f t="shared" si="3588"/>
        <v>0</v>
      </c>
      <c r="H152" s="226">
        <f t="shared" si="3589"/>
        <v>0</v>
      </c>
      <c r="I152" s="137">
        <f t="shared" si="3362"/>
        <v>0</v>
      </c>
      <c r="J152" s="227">
        <f t="shared" si="3590"/>
        <v>19.559999999999999</v>
      </c>
      <c r="K152" s="138">
        <f t="shared" si="3363"/>
        <v>0</v>
      </c>
      <c r="L152" s="110">
        <f t="shared" si="3364"/>
        <v>0</v>
      </c>
      <c r="M152" s="110"/>
      <c r="N152" s="139"/>
      <c r="O152" s="140">
        <f t="shared" si="3365"/>
        <v>0</v>
      </c>
      <c r="P152" s="198">
        <f t="shared" si="3783"/>
        <v>0</v>
      </c>
      <c r="Q152" s="225">
        <f t="shared" si="3784"/>
        <v>0</v>
      </c>
      <c r="R152" s="226">
        <f t="shared" si="3785"/>
        <v>0</v>
      </c>
      <c r="S152" s="137">
        <f t="shared" si="3786"/>
        <v>0</v>
      </c>
      <c r="T152" s="227">
        <f t="shared" si="3787"/>
        <v>14.76</v>
      </c>
      <c r="U152" s="138">
        <f t="shared" si="3788"/>
        <v>0</v>
      </c>
      <c r="V152" s="110">
        <f t="shared" si="3789"/>
        <v>0</v>
      </c>
      <c r="W152" s="110"/>
      <c r="X152" s="139"/>
      <c r="Y152" s="140">
        <f t="shared" si="3790"/>
        <v>0</v>
      </c>
      <c r="Z152" s="198">
        <f t="shared" si="3783"/>
        <v>0</v>
      </c>
      <c r="AA152" s="225">
        <f t="shared" si="3791"/>
        <v>0</v>
      </c>
      <c r="AB152" s="226">
        <f t="shared" si="3792"/>
        <v>0</v>
      </c>
      <c r="AC152" s="137">
        <f t="shared" si="3793"/>
        <v>0</v>
      </c>
      <c r="AD152" s="227">
        <f t="shared" si="3787"/>
        <v>33.520000000000003</v>
      </c>
      <c r="AE152" s="138">
        <f t="shared" si="3794"/>
        <v>0</v>
      </c>
      <c r="AF152" s="110">
        <f t="shared" si="3795"/>
        <v>0</v>
      </c>
      <c r="AG152" s="110"/>
      <c r="AH152" s="139"/>
      <c r="AI152" s="140">
        <f t="shared" si="3796"/>
        <v>0</v>
      </c>
      <c r="AJ152" s="198">
        <f t="shared" si="3783"/>
        <v>0</v>
      </c>
      <c r="AK152" s="225">
        <f t="shared" si="3797"/>
        <v>0</v>
      </c>
      <c r="AL152" s="226">
        <f t="shared" si="3798"/>
        <v>0</v>
      </c>
      <c r="AM152" s="137">
        <f t="shared" si="3799"/>
        <v>0</v>
      </c>
      <c r="AN152" s="227">
        <f t="shared" si="3787"/>
        <v>33.07</v>
      </c>
      <c r="AO152" s="138">
        <f t="shared" si="3800"/>
        <v>0</v>
      </c>
      <c r="AP152" s="110">
        <f t="shared" si="3801"/>
        <v>0</v>
      </c>
      <c r="AQ152" s="110"/>
      <c r="AR152" s="139"/>
      <c r="AS152" s="140">
        <f t="shared" si="3802"/>
        <v>0</v>
      </c>
      <c r="AT152" s="198">
        <f t="shared" si="3783"/>
        <v>1</v>
      </c>
      <c r="AU152" s="225">
        <f t="shared" si="3803"/>
        <v>1.0499999999999999E-3</v>
      </c>
      <c r="AV152" s="226">
        <f t="shared" si="3804"/>
        <v>0.96</v>
      </c>
      <c r="AW152" s="137">
        <f t="shared" si="3805"/>
        <v>0.96</v>
      </c>
      <c r="AX152" s="227">
        <f t="shared" si="3787"/>
        <v>28.2</v>
      </c>
      <c r="AY152" s="138">
        <f t="shared" si="3806"/>
        <v>27.071999999999999</v>
      </c>
      <c r="AZ152" s="110">
        <f t="shared" si="3807"/>
        <v>27.07</v>
      </c>
      <c r="BA152" s="110"/>
      <c r="BB152" s="139"/>
      <c r="BC152" s="140">
        <f t="shared" si="3808"/>
        <v>0.38247999999999999</v>
      </c>
      <c r="BD152" s="198">
        <f t="shared" si="3783"/>
        <v>0</v>
      </c>
      <c r="BE152" s="225">
        <f t="shared" si="3809"/>
        <v>0</v>
      </c>
      <c r="BF152" s="226">
        <f t="shared" si="3810"/>
        <v>0</v>
      </c>
      <c r="BG152" s="137">
        <f t="shared" si="3811"/>
        <v>0</v>
      </c>
      <c r="BH152" s="227">
        <f t="shared" si="3787"/>
        <v>33.75</v>
      </c>
      <c r="BI152" s="138">
        <f t="shared" si="3812"/>
        <v>0</v>
      </c>
      <c r="BJ152" s="110">
        <f t="shared" si="3813"/>
        <v>0</v>
      </c>
      <c r="BK152" s="110"/>
      <c r="BL152" s="139"/>
      <c r="BM152" s="140">
        <f t="shared" si="3814"/>
        <v>0</v>
      </c>
      <c r="BN152" s="198">
        <f t="shared" si="3783"/>
        <v>0</v>
      </c>
      <c r="BO152" s="225">
        <f t="shared" si="3815"/>
        <v>0</v>
      </c>
      <c r="BP152" s="226">
        <f t="shared" si="3816"/>
        <v>0</v>
      </c>
      <c r="BQ152" s="137">
        <f t="shared" si="3817"/>
        <v>0</v>
      </c>
      <c r="BR152" s="227">
        <f t="shared" si="3787"/>
        <v>32.79</v>
      </c>
      <c r="BS152" s="138">
        <f t="shared" si="3818"/>
        <v>0</v>
      </c>
      <c r="BT152" s="110">
        <f t="shared" si="3819"/>
        <v>0</v>
      </c>
      <c r="BU152" s="110"/>
      <c r="BV152" s="139"/>
      <c r="BW152" s="140">
        <f t="shared" si="3820"/>
        <v>0</v>
      </c>
      <c r="BX152" s="198">
        <f t="shared" si="3783"/>
        <v>0</v>
      </c>
      <c r="BY152" s="225">
        <f t="shared" si="3821"/>
        <v>0</v>
      </c>
      <c r="BZ152" s="226">
        <f t="shared" si="3822"/>
        <v>0</v>
      </c>
      <c r="CA152" s="137">
        <f t="shared" si="3823"/>
        <v>0</v>
      </c>
      <c r="CB152" s="227">
        <f t="shared" si="3787"/>
        <v>30.39</v>
      </c>
      <c r="CC152" s="138">
        <f t="shared" si="3824"/>
        <v>0</v>
      </c>
      <c r="CD152" s="110">
        <f t="shared" si="3825"/>
        <v>0</v>
      </c>
      <c r="CE152" s="110"/>
      <c r="CF152" s="139"/>
      <c r="CG152" s="140">
        <f t="shared" si="3826"/>
        <v>0</v>
      </c>
      <c r="CH152" s="198">
        <f t="shared" si="3827"/>
        <v>0</v>
      </c>
      <c r="CI152" s="225">
        <f t="shared" si="3828"/>
        <v>0</v>
      </c>
      <c r="CJ152" s="226">
        <f t="shared" si="3829"/>
        <v>0</v>
      </c>
      <c r="CK152" s="137">
        <f t="shared" si="3830"/>
        <v>0</v>
      </c>
      <c r="CL152" s="227">
        <f t="shared" si="3831"/>
        <v>25.57</v>
      </c>
      <c r="CM152" s="138">
        <f t="shared" si="3832"/>
        <v>0</v>
      </c>
      <c r="CN152" s="110">
        <f t="shared" si="3833"/>
        <v>0</v>
      </c>
      <c r="CO152" s="110"/>
      <c r="CP152" s="139"/>
      <c r="CQ152" s="140">
        <f t="shared" si="3834"/>
        <v>0</v>
      </c>
      <c r="CR152" s="198">
        <f t="shared" si="3827"/>
        <v>0</v>
      </c>
      <c r="CS152" s="225">
        <f t="shared" si="3835"/>
        <v>0</v>
      </c>
      <c r="CT152" s="226">
        <f t="shared" si="3836"/>
        <v>0</v>
      </c>
      <c r="CU152" s="137">
        <f t="shared" si="3837"/>
        <v>0</v>
      </c>
      <c r="CV152" s="227">
        <f t="shared" si="3831"/>
        <v>28.26</v>
      </c>
      <c r="CW152" s="138">
        <f t="shared" si="3838"/>
        <v>0</v>
      </c>
      <c r="CX152" s="110">
        <f t="shared" si="3839"/>
        <v>0</v>
      </c>
      <c r="CY152" s="110"/>
      <c r="CZ152" s="139"/>
      <c r="DA152" s="140">
        <f t="shared" si="3840"/>
        <v>0</v>
      </c>
      <c r="DB152" s="198">
        <f t="shared" si="3827"/>
        <v>0</v>
      </c>
      <c r="DC152" s="225">
        <f t="shared" si="3841"/>
        <v>0</v>
      </c>
      <c r="DD152" s="226">
        <f t="shared" si="3842"/>
        <v>0</v>
      </c>
      <c r="DE152" s="137">
        <f t="shared" si="3843"/>
        <v>0</v>
      </c>
      <c r="DF152" s="227">
        <f t="shared" si="3831"/>
        <v>31.22</v>
      </c>
      <c r="DG152" s="138">
        <f t="shared" si="3844"/>
        <v>0</v>
      </c>
      <c r="DH152" s="110">
        <f t="shared" si="3845"/>
        <v>0</v>
      </c>
      <c r="DI152" s="110"/>
      <c r="DJ152" s="139"/>
      <c r="DK152" s="140">
        <f t="shared" si="3846"/>
        <v>0</v>
      </c>
      <c r="DL152" s="198">
        <f t="shared" si="3827"/>
        <v>0</v>
      </c>
      <c r="DM152" s="225">
        <f t="shared" si="3847"/>
        <v>0</v>
      </c>
      <c r="DN152" s="226">
        <f t="shared" si="3848"/>
        <v>0</v>
      </c>
      <c r="DO152" s="137">
        <f t="shared" si="3849"/>
        <v>0</v>
      </c>
      <c r="DP152" s="227">
        <f t="shared" si="3831"/>
        <v>33.9</v>
      </c>
      <c r="DQ152" s="138">
        <f t="shared" si="3850"/>
        <v>0</v>
      </c>
      <c r="DR152" s="110">
        <f t="shared" si="3851"/>
        <v>0</v>
      </c>
      <c r="DS152" s="110"/>
      <c r="DT152" s="139"/>
      <c r="DU152" s="140">
        <f t="shared" si="3852"/>
        <v>0</v>
      </c>
      <c r="DV152" s="198">
        <f t="shared" si="3827"/>
        <v>0</v>
      </c>
      <c r="DW152" s="225">
        <f t="shared" si="3853"/>
        <v>0</v>
      </c>
      <c r="DX152" s="226">
        <f t="shared" si="3854"/>
        <v>0</v>
      </c>
      <c r="DY152" s="137">
        <f t="shared" si="3855"/>
        <v>0</v>
      </c>
      <c r="DZ152" s="227">
        <f t="shared" si="3831"/>
        <v>12.79</v>
      </c>
      <c r="EA152" s="138">
        <f t="shared" si="3856"/>
        <v>0</v>
      </c>
      <c r="EB152" s="110">
        <f t="shared" si="3857"/>
        <v>0</v>
      </c>
      <c r="EC152" s="110"/>
      <c r="ED152" s="139"/>
      <c r="EE152" s="140">
        <f t="shared" si="3858"/>
        <v>0</v>
      </c>
      <c r="EF152" s="198">
        <f t="shared" si="3827"/>
        <v>0</v>
      </c>
      <c r="EG152" s="225">
        <f t="shared" si="3859"/>
        <v>0</v>
      </c>
      <c r="EH152" s="226">
        <f t="shared" si="3860"/>
        <v>0</v>
      </c>
      <c r="EI152" s="137">
        <f t="shared" si="3861"/>
        <v>0</v>
      </c>
      <c r="EJ152" s="227">
        <f t="shared" si="3831"/>
        <v>23.18</v>
      </c>
      <c r="EK152" s="138">
        <f t="shared" si="3862"/>
        <v>0</v>
      </c>
      <c r="EL152" s="110">
        <f t="shared" si="3863"/>
        <v>0</v>
      </c>
      <c r="EM152" s="110"/>
      <c r="EN152" s="139"/>
      <c r="EO152" s="140">
        <f t="shared" si="3864"/>
        <v>0</v>
      </c>
      <c r="EP152" s="198">
        <f t="shared" si="3827"/>
        <v>0</v>
      </c>
      <c r="EQ152" s="225">
        <f t="shared" si="3865"/>
        <v>0</v>
      </c>
      <c r="ER152" s="226">
        <f t="shared" si="3866"/>
        <v>0</v>
      </c>
      <c r="ES152" s="137">
        <f t="shared" si="3867"/>
        <v>0</v>
      </c>
      <c r="ET152" s="227">
        <f t="shared" si="3831"/>
        <v>30.66</v>
      </c>
      <c r="EU152" s="138">
        <f t="shared" si="3868"/>
        <v>0</v>
      </c>
      <c r="EV152" s="110">
        <f t="shared" si="3869"/>
        <v>0</v>
      </c>
      <c r="EW152" s="110"/>
      <c r="EX152" s="139"/>
      <c r="EY152" s="140">
        <f t="shared" si="3870"/>
        <v>0</v>
      </c>
      <c r="EZ152" s="198">
        <f t="shared" si="3871"/>
        <v>0</v>
      </c>
      <c r="FA152" s="225">
        <f t="shared" si="3872"/>
        <v>0</v>
      </c>
      <c r="FB152" s="226">
        <f t="shared" si="3873"/>
        <v>0</v>
      </c>
      <c r="FC152" s="137">
        <f t="shared" si="3874"/>
        <v>0</v>
      </c>
      <c r="FD152" s="227">
        <f t="shared" si="3875"/>
        <v>34.119999999999997</v>
      </c>
      <c r="FE152" s="138">
        <f t="shared" si="3876"/>
        <v>0</v>
      </c>
      <c r="FF152" s="110">
        <f t="shared" si="3877"/>
        <v>0</v>
      </c>
      <c r="FG152" s="110"/>
      <c r="FH152" s="139"/>
      <c r="FI152" s="140">
        <f t="shared" si="3878"/>
        <v>0</v>
      </c>
      <c r="FJ152" s="198">
        <f t="shared" si="3871"/>
        <v>0</v>
      </c>
      <c r="FK152" s="225">
        <f t="shared" si="3879"/>
        <v>0</v>
      </c>
      <c r="FL152" s="226">
        <f t="shared" si="3880"/>
        <v>0</v>
      </c>
      <c r="FM152" s="137">
        <f t="shared" si="3881"/>
        <v>0</v>
      </c>
      <c r="FN152" s="227">
        <f t="shared" si="3875"/>
        <v>18.39</v>
      </c>
      <c r="FO152" s="138">
        <f t="shared" si="3882"/>
        <v>0</v>
      </c>
      <c r="FP152" s="110">
        <f t="shared" si="3883"/>
        <v>0</v>
      </c>
      <c r="FQ152" s="110"/>
      <c r="FR152" s="139"/>
      <c r="FS152" s="140">
        <f t="shared" si="3884"/>
        <v>0</v>
      </c>
      <c r="FT152" s="198">
        <f t="shared" si="3871"/>
        <v>0</v>
      </c>
      <c r="FU152" s="225">
        <f t="shared" si="3885"/>
        <v>0</v>
      </c>
      <c r="FV152" s="226">
        <f t="shared" si="3886"/>
        <v>0</v>
      </c>
      <c r="FW152" s="137">
        <f t="shared" si="3887"/>
        <v>0</v>
      </c>
      <c r="FX152" s="227">
        <f t="shared" si="3875"/>
        <v>32.619999999999997</v>
      </c>
      <c r="FY152" s="138">
        <f t="shared" si="3888"/>
        <v>0</v>
      </c>
      <c r="FZ152" s="110">
        <f t="shared" si="3889"/>
        <v>0</v>
      </c>
      <c r="GA152" s="110"/>
      <c r="GB152" s="139"/>
      <c r="GC152" s="140">
        <f t="shared" si="3890"/>
        <v>0</v>
      </c>
      <c r="GD152" s="198">
        <f t="shared" si="3871"/>
        <v>0</v>
      </c>
      <c r="GE152" s="225">
        <f t="shared" si="3891"/>
        <v>0</v>
      </c>
      <c r="GF152" s="226">
        <f t="shared" si="3892"/>
        <v>0</v>
      </c>
      <c r="GG152" s="137">
        <f t="shared" si="3893"/>
        <v>0</v>
      </c>
      <c r="GH152" s="227">
        <f t="shared" si="3875"/>
        <v>33.28</v>
      </c>
      <c r="GI152" s="138">
        <f t="shared" si="3894"/>
        <v>0</v>
      </c>
      <c r="GJ152" s="110">
        <f t="shared" si="3895"/>
        <v>0</v>
      </c>
      <c r="GK152" s="110"/>
      <c r="GL152" s="139"/>
      <c r="GM152" s="140">
        <f t="shared" si="3896"/>
        <v>0</v>
      </c>
      <c r="GN152" s="198">
        <f t="shared" si="3871"/>
        <v>0</v>
      </c>
      <c r="GO152" s="225">
        <f t="shared" si="3897"/>
        <v>0</v>
      </c>
      <c r="GP152" s="226">
        <f t="shared" si="3898"/>
        <v>0</v>
      </c>
      <c r="GQ152" s="137">
        <f t="shared" si="3899"/>
        <v>0</v>
      </c>
      <c r="GR152" s="227">
        <f t="shared" si="3875"/>
        <v>30.78</v>
      </c>
      <c r="GS152" s="138">
        <f t="shared" si="3900"/>
        <v>0</v>
      </c>
      <c r="GT152" s="110">
        <f t="shared" si="3901"/>
        <v>0</v>
      </c>
      <c r="GU152" s="110"/>
      <c r="GV152" s="139"/>
      <c r="GW152" s="140">
        <f t="shared" si="3902"/>
        <v>0</v>
      </c>
      <c r="GX152" s="198">
        <f t="shared" si="3871"/>
        <v>0</v>
      </c>
      <c r="GY152" s="225">
        <f t="shared" si="3903"/>
        <v>0</v>
      </c>
      <c r="GZ152" s="226">
        <f t="shared" si="3904"/>
        <v>0</v>
      </c>
      <c r="HA152" s="137">
        <f t="shared" si="3905"/>
        <v>0</v>
      </c>
      <c r="HB152" s="227">
        <f t="shared" si="3875"/>
        <v>21.23</v>
      </c>
      <c r="HC152" s="138">
        <f t="shared" si="3906"/>
        <v>0</v>
      </c>
      <c r="HD152" s="110">
        <f t="shared" si="3907"/>
        <v>0</v>
      </c>
      <c r="HE152" s="110"/>
      <c r="HF152" s="139"/>
      <c r="HG152" s="140">
        <f t="shared" si="3908"/>
        <v>0</v>
      </c>
      <c r="HH152" s="198">
        <f t="shared" si="3871"/>
        <v>0</v>
      </c>
      <c r="HI152" s="225">
        <f t="shared" si="3909"/>
        <v>0</v>
      </c>
      <c r="HJ152" s="226">
        <f t="shared" si="3910"/>
        <v>0</v>
      </c>
      <c r="HK152" s="137">
        <f t="shared" si="3911"/>
        <v>0</v>
      </c>
      <c r="HL152" s="227">
        <f t="shared" si="3875"/>
        <v>28.23</v>
      </c>
      <c r="HM152" s="138">
        <f t="shared" si="3912"/>
        <v>0</v>
      </c>
      <c r="HN152" s="110">
        <f t="shared" si="3913"/>
        <v>0</v>
      </c>
      <c r="HO152" s="110"/>
      <c r="HP152" s="139"/>
      <c r="HQ152" s="140">
        <f t="shared" si="3914"/>
        <v>0</v>
      </c>
      <c r="HR152" s="198">
        <f t="shared" si="3915"/>
        <v>0</v>
      </c>
      <c r="HS152" s="225">
        <f t="shared" si="3916"/>
        <v>0</v>
      </c>
      <c r="HT152" s="226">
        <f t="shared" si="3917"/>
        <v>0</v>
      </c>
      <c r="HU152" s="137">
        <f t="shared" si="3918"/>
        <v>0</v>
      </c>
      <c r="HV152" s="227">
        <f t="shared" si="3919"/>
        <v>31.27</v>
      </c>
      <c r="HW152" s="138">
        <f t="shared" si="3920"/>
        <v>0</v>
      </c>
      <c r="HX152" s="110">
        <f t="shared" si="3921"/>
        <v>0</v>
      </c>
      <c r="HY152" s="110"/>
      <c r="HZ152" s="139"/>
      <c r="IA152" s="140">
        <f t="shared" si="3922"/>
        <v>0</v>
      </c>
      <c r="IB152" s="198">
        <f t="shared" si="3915"/>
        <v>0</v>
      </c>
      <c r="IC152" s="225">
        <f t="shared" si="3923"/>
        <v>0</v>
      </c>
      <c r="ID152" s="226">
        <f t="shared" si="3924"/>
        <v>0</v>
      </c>
      <c r="IE152" s="137">
        <f t="shared" si="3925"/>
        <v>0</v>
      </c>
      <c r="IF152" s="227">
        <f t="shared" si="3919"/>
        <v>28.65</v>
      </c>
      <c r="IG152" s="138">
        <f t="shared" si="3926"/>
        <v>0</v>
      </c>
      <c r="IH152" s="110">
        <f t="shared" si="3927"/>
        <v>0</v>
      </c>
      <c r="II152" s="110"/>
      <c r="IJ152" s="139"/>
      <c r="IK152" s="140">
        <f t="shared" si="3928"/>
        <v>0</v>
      </c>
      <c r="IL152" s="198">
        <f t="shared" si="3915"/>
        <v>0</v>
      </c>
      <c r="IM152" s="225">
        <f t="shared" si="3929"/>
        <v>0</v>
      </c>
      <c r="IN152" s="226">
        <f t="shared" si="3930"/>
        <v>0</v>
      </c>
      <c r="IO152" s="137">
        <f t="shared" si="3931"/>
        <v>0</v>
      </c>
      <c r="IP152" s="227">
        <f t="shared" si="3919"/>
        <v>33.04</v>
      </c>
      <c r="IQ152" s="138">
        <f t="shared" si="3932"/>
        <v>0</v>
      </c>
      <c r="IR152" s="110">
        <f t="shared" si="3933"/>
        <v>0</v>
      </c>
      <c r="IS152" s="110"/>
      <c r="IT152" s="139"/>
      <c r="IU152" s="140">
        <f t="shared" si="3934"/>
        <v>0</v>
      </c>
      <c r="IV152" s="198">
        <f t="shared" si="3915"/>
        <v>0</v>
      </c>
      <c r="IW152" s="225">
        <f t="shared" si="3935"/>
        <v>0</v>
      </c>
      <c r="IX152" s="226">
        <f t="shared" si="3936"/>
        <v>0</v>
      </c>
      <c r="IY152" s="137">
        <f t="shared" si="3937"/>
        <v>0</v>
      </c>
      <c r="IZ152" s="227">
        <f t="shared" si="3919"/>
        <v>33.36</v>
      </c>
      <c r="JA152" s="138">
        <f t="shared" si="3938"/>
        <v>0</v>
      </c>
      <c r="JB152" s="110">
        <f t="shared" si="3939"/>
        <v>0</v>
      </c>
      <c r="JC152" s="110"/>
      <c r="JD152" s="139"/>
      <c r="JE152" s="140">
        <f t="shared" si="3940"/>
        <v>0</v>
      </c>
      <c r="JF152" s="198">
        <f t="shared" si="3915"/>
        <v>0</v>
      </c>
      <c r="JG152" s="225">
        <f t="shared" si="3941"/>
        <v>0</v>
      </c>
      <c r="JH152" s="226">
        <f t="shared" si="3942"/>
        <v>0</v>
      </c>
      <c r="JI152" s="137">
        <f t="shared" si="3943"/>
        <v>0</v>
      </c>
      <c r="JJ152" s="227">
        <f t="shared" si="3919"/>
        <v>21.96</v>
      </c>
      <c r="JK152" s="138">
        <f t="shared" si="3944"/>
        <v>0</v>
      </c>
      <c r="JL152" s="110">
        <f t="shared" si="3945"/>
        <v>0</v>
      </c>
      <c r="JM152" s="110"/>
      <c r="JN152" s="139"/>
      <c r="JO152" s="140">
        <f t="shared" si="3946"/>
        <v>0</v>
      </c>
      <c r="JP152" s="198">
        <f t="shared" si="3915"/>
        <v>0</v>
      </c>
      <c r="JQ152" s="225">
        <f t="shared" si="3947"/>
        <v>0</v>
      </c>
      <c r="JR152" s="226">
        <f t="shared" si="3948"/>
        <v>0</v>
      </c>
      <c r="JS152" s="137">
        <f t="shared" si="3949"/>
        <v>0</v>
      </c>
      <c r="JT152" s="227">
        <f t="shared" si="3919"/>
        <v>35.700000000000003</v>
      </c>
      <c r="JU152" s="138">
        <f t="shared" si="3950"/>
        <v>0</v>
      </c>
      <c r="JV152" s="110">
        <f t="shared" si="3951"/>
        <v>0</v>
      </c>
      <c r="JW152" s="110"/>
      <c r="JX152" s="139"/>
      <c r="JY152" s="140">
        <f t="shared" si="3952"/>
        <v>0</v>
      </c>
      <c r="JZ152" s="198">
        <f t="shared" si="3915"/>
        <v>0</v>
      </c>
      <c r="KA152" s="225">
        <f t="shared" si="3953"/>
        <v>0</v>
      </c>
      <c r="KB152" s="226">
        <f t="shared" si="3954"/>
        <v>0</v>
      </c>
      <c r="KC152" s="137">
        <f t="shared" si="3955"/>
        <v>0</v>
      </c>
      <c r="KD152" s="227">
        <f t="shared" si="3919"/>
        <v>30.3</v>
      </c>
      <c r="KE152" s="138">
        <f t="shared" si="3956"/>
        <v>0</v>
      </c>
      <c r="KF152" s="110">
        <f t="shared" si="3957"/>
        <v>0</v>
      </c>
      <c r="KG152" s="110"/>
      <c r="KH152" s="139"/>
      <c r="KI152" s="140">
        <f t="shared" si="3958"/>
        <v>0</v>
      </c>
      <c r="KJ152" s="198">
        <f t="shared" si="3959"/>
        <v>0</v>
      </c>
      <c r="KK152" s="225">
        <f t="shared" si="3960"/>
        <v>0</v>
      </c>
      <c r="KL152" s="226">
        <f t="shared" si="3961"/>
        <v>0</v>
      </c>
      <c r="KM152" s="137">
        <f t="shared" si="3962"/>
        <v>0</v>
      </c>
      <c r="KN152" s="227">
        <f t="shared" si="3963"/>
        <v>30.43</v>
      </c>
      <c r="KO152" s="138">
        <f t="shared" si="3964"/>
        <v>0</v>
      </c>
      <c r="KP152" s="110">
        <f t="shared" si="3965"/>
        <v>0</v>
      </c>
      <c r="KQ152" s="110"/>
      <c r="KR152" s="139"/>
      <c r="KS152" s="140">
        <f t="shared" si="3966"/>
        <v>0</v>
      </c>
      <c r="KT152" s="198">
        <f t="shared" si="3959"/>
        <v>0</v>
      </c>
      <c r="KU152" s="225">
        <f t="shared" si="3967"/>
        <v>0</v>
      </c>
      <c r="KV152" s="226">
        <f t="shared" si="3968"/>
        <v>0</v>
      </c>
      <c r="KW152" s="137">
        <f t="shared" si="3969"/>
        <v>0</v>
      </c>
      <c r="KX152" s="227">
        <f t="shared" si="3963"/>
        <v>34.299999999999997</v>
      </c>
      <c r="KY152" s="138">
        <f t="shared" si="3970"/>
        <v>0</v>
      </c>
      <c r="KZ152" s="110">
        <f t="shared" si="3971"/>
        <v>0</v>
      </c>
      <c r="LA152" s="110"/>
      <c r="LB152" s="139"/>
      <c r="LC152" s="140">
        <f t="shared" si="3972"/>
        <v>0</v>
      </c>
      <c r="LD152" s="197">
        <f t="shared" si="3581"/>
        <v>1</v>
      </c>
      <c r="LE152" s="225">
        <f t="shared" si="3582"/>
        <v>4.0000000000000003E-5</v>
      </c>
      <c r="LF152" s="226">
        <f t="shared" si="3583"/>
        <v>2.4500000000000002</v>
      </c>
      <c r="LG152" s="137">
        <f t="shared" si="3584"/>
        <v>2.4500000000000002</v>
      </c>
      <c r="LH152" s="227">
        <f t="shared" si="3585"/>
        <v>28.89</v>
      </c>
      <c r="LI152" s="138">
        <f t="shared" si="3586"/>
        <v>70.780500000000004</v>
      </c>
      <c r="LJ152" s="110">
        <f t="shared" si="3587"/>
        <v>70.78</v>
      </c>
      <c r="LK152" s="110"/>
      <c r="LL152" s="139"/>
    </row>
    <row r="153" spans="1:324" ht="16.5" customHeight="1" x14ac:dyDescent="0.25">
      <c r="A153" s="246"/>
      <c r="B153" s="174" t="s">
        <v>608</v>
      </c>
      <c r="C153" s="12" t="s">
        <v>728</v>
      </c>
      <c r="D153" s="12" t="s">
        <v>430</v>
      </c>
      <c r="E153" s="4" t="s">
        <v>32</v>
      </c>
      <c r="F153" s="198">
        <f t="shared" si="3782"/>
        <v>0</v>
      </c>
      <c r="G153" s="225">
        <f t="shared" si="3588"/>
        <v>0</v>
      </c>
      <c r="H153" s="226">
        <f t="shared" si="3589"/>
        <v>0</v>
      </c>
      <c r="I153" s="137">
        <f t="shared" si="3362"/>
        <v>0</v>
      </c>
      <c r="J153" s="227">
        <f t="shared" si="3590"/>
        <v>19.559999999999999</v>
      </c>
      <c r="K153" s="138">
        <f t="shared" si="3363"/>
        <v>0</v>
      </c>
      <c r="L153" s="110">
        <f t="shared" si="3364"/>
        <v>0</v>
      </c>
      <c r="M153" s="110"/>
      <c r="N153" s="139"/>
      <c r="O153" s="140">
        <f t="shared" si="3365"/>
        <v>0</v>
      </c>
      <c r="P153" s="198">
        <f t="shared" si="3783"/>
        <v>0</v>
      </c>
      <c r="Q153" s="225">
        <f t="shared" si="3784"/>
        <v>0</v>
      </c>
      <c r="R153" s="226">
        <f t="shared" si="3785"/>
        <v>0</v>
      </c>
      <c r="S153" s="137">
        <f t="shared" si="3786"/>
        <v>0</v>
      </c>
      <c r="T153" s="227">
        <f t="shared" si="3787"/>
        <v>14.76</v>
      </c>
      <c r="U153" s="138">
        <f t="shared" si="3788"/>
        <v>0</v>
      </c>
      <c r="V153" s="110">
        <f t="shared" si="3789"/>
        <v>0</v>
      </c>
      <c r="W153" s="110"/>
      <c r="X153" s="139"/>
      <c r="Y153" s="140">
        <f t="shared" si="3790"/>
        <v>0</v>
      </c>
      <c r="Z153" s="198">
        <f t="shared" si="3783"/>
        <v>0</v>
      </c>
      <c r="AA153" s="225">
        <f t="shared" si="3791"/>
        <v>0</v>
      </c>
      <c r="AB153" s="226">
        <f t="shared" si="3792"/>
        <v>0</v>
      </c>
      <c r="AC153" s="137">
        <f t="shared" si="3793"/>
        <v>0</v>
      </c>
      <c r="AD153" s="227">
        <f t="shared" si="3787"/>
        <v>33.520000000000003</v>
      </c>
      <c r="AE153" s="138">
        <f t="shared" si="3794"/>
        <v>0</v>
      </c>
      <c r="AF153" s="110">
        <f t="shared" si="3795"/>
        <v>0</v>
      </c>
      <c r="AG153" s="110"/>
      <c r="AH153" s="139"/>
      <c r="AI153" s="140">
        <f t="shared" si="3796"/>
        <v>0</v>
      </c>
      <c r="AJ153" s="198">
        <f t="shared" si="3783"/>
        <v>0</v>
      </c>
      <c r="AK153" s="225">
        <f t="shared" si="3797"/>
        <v>0</v>
      </c>
      <c r="AL153" s="226">
        <f t="shared" si="3798"/>
        <v>0</v>
      </c>
      <c r="AM153" s="137">
        <f t="shared" si="3799"/>
        <v>0</v>
      </c>
      <c r="AN153" s="227">
        <f t="shared" si="3787"/>
        <v>33.07</v>
      </c>
      <c r="AO153" s="138">
        <f t="shared" si="3800"/>
        <v>0</v>
      </c>
      <c r="AP153" s="110">
        <f t="shared" si="3801"/>
        <v>0</v>
      </c>
      <c r="AQ153" s="110"/>
      <c r="AR153" s="139"/>
      <c r="AS153" s="140">
        <f t="shared" si="3802"/>
        <v>0</v>
      </c>
      <c r="AT153" s="198">
        <f t="shared" si="3783"/>
        <v>0</v>
      </c>
      <c r="AU153" s="225">
        <f t="shared" si="3803"/>
        <v>0</v>
      </c>
      <c r="AV153" s="226">
        <f t="shared" si="3804"/>
        <v>0</v>
      </c>
      <c r="AW153" s="137">
        <f t="shared" si="3805"/>
        <v>0</v>
      </c>
      <c r="AX153" s="227">
        <f t="shared" si="3787"/>
        <v>28.2</v>
      </c>
      <c r="AY153" s="138">
        <f t="shared" si="3806"/>
        <v>0</v>
      </c>
      <c r="AZ153" s="110">
        <f t="shared" si="3807"/>
        <v>0</v>
      </c>
      <c r="BA153" s="110"/>
      <c r="BB153" s="139"/>
      <c r="BC153" s="140">
        <f t="shared" si="3808"/>
        <v>0</v>
      </c>
      <c r="BD153" s="198">
        <f t="shared" si="3783"/>
        <v>0</v>
      </c>
      <c r="BE153" s="225">
        <f t="shared" si="3809"/>
        <v>0</v>
      </c>
      <c r="BF153" s="226">
        <f t="shared" si="3810"/>
        <v>0</v>
      </c>
      <c r="BG153" s="137">
        <f t="shared" si="3811"/>
        <v>0</v>
      </c>
      <c r="BH153" s="227">
        <f t="shared" si="3787"/>
        <v>33.75</v>
      </c>
      <c r="BI153" s="138">
        <f t="shared" si="3812"/>
        <v>0</v>
      </c>
      <c r="BJ153" s="110">
        <f t="shared" si="3813"/>
        <v>0</v>
      </c>
      <c r="BK153" s="110"/>
      <c r="BL153" s="139"/>
      <c r="BM153" s="140">
        <f t="shared" si="3814"/>
        <v>0</v>
      </c>
      <c r="BN153" s="198">
        <f t="shared" si="3783"/>
        <v>0</v>
      </c>
      <c r="BO153" s="225">
        <f t="shared" si="3815"/>
        <v>0</v>
      </c>
      <c r="BP153" s="226">
        <f t="shared" si="3816"/>
        <v>0</v>
      </c>
      <c r="BQ153" s="137">
        <f t="shared" si="3817"/>
        <v>0</v>
      </c>
      <c r="BR153" s="227">
        <f t="shared" si="3787"/>
        <v>32.79</v>
      </c>
      <c r="BS153" s="138">
        <f t="shared" si="3818"/>
        <v>0</v>
      </c>
      <c r="BT153" s="110">
        <f t="shared" si="3819"/>
        <v>0</v>
      </c>
      <c r="BU153" s="110"/>
      <c r="BV153" s="139"/>
      <c r="BW153" s="140">
        <f t="shared" si="3820"/>
        <v>0</v>
      </c>
      <c r="BX153" s="198">
        <f t="shared" si="3783"/>
        <v>0</v>
      </c>
      <c r="BY153" s="225">
        <f t="shared" si="3821"/>
        <v>0</v>
      </c>
      <c r="BZ153" s="226">
        <f t="shared" si="3822"/>
        <v>0</v>
      </c>
      <c r="CA153" s="137">
        <f t="shared" si="3823"/>
        <v>0</v>
      </c>
      <c r="CB153" s="227">
        <f t="shared" si="3787"/>
        <v>30.39</v>
      </c>
      <c r="CC153" s="138">
        <f t="shared" si="3824"/>
        <v>0</v>
      </c>
      <c r="CD153" s="110">
        <f t="shared" si="3825"/>
        <v>0</v>
      </c>
      <c r="CE153" s="110"/>
      <c r="CF153" s="139"/>
      <c r="CG153" s="140">
        <f t="shared" si="3826"/>
        <v>0</v>
      </c>
      <c r="CH153" s="198">
        <f t="shared" si="3827"/>
        <v>0</v>
      </c>
      <c r="CI153" s="225">
        <f t="shared" si="3828"/>
        <v>0</v>
      </c>
      <c r="CJ153" s="226">
        <f t="shared" si="3829"/>
        <v>0</v>
      </c>
      <c r="CK153" s="137">
        <f t="shared" si="3830"/>
        <v>0</v>
      </c>
      <c r="CL153" s="227">
        <f t="shared" si="3831"/>
        <v>25.57</v>
      </c>
      <c r="CM153" s="138">
        <f t="shared" si="3832"/>
        <v>0</v>
      </c>
      <c r="CN153" s="110">
        <f t="shared" si="3833"/>
        <v>0</v>
      </c>
      <c r="CO153" s="110"/>
      <c r="CP153" s="139"/>
      <c r="CQ153" s="140">
        <f t="shared" si="3834"/>
        <v>0</v>
      </c>
      <c r="CR153" s="198">
        <f t="shared" si="3827"/>
        <v>0</v>
      </c>
      <c r="CS153" s="225">
        <f t="shared" si="3835"/>
        <v>0</v>
      </c>
      <c r="CT153" s="226">
        <f t="shared" si="3836"/>
        <v>0</v>
      </c>
      <c r="CU153" s="137">
        <f t="shared" si="3837"/>
        <v>0</v>
      </c>
      <c r="CV153" s="227">
        <f t="shared" si="3831"/>
        <v>28.26</v>
      </c>
      <c r="CW153" s="138">
        <f t="shared" si="3838"/>
        <v>0</v>
      </c>
      <c r="CX153" s="110">
        <f t="shared" si="3839"/>
        <v>0</v>
      </c>
      <c r="CY153" s="110"/>
      <c r="CZ153" s="139"/>
      <c r="DA153" s="140">
        <f t="shared" si="3840"/>
        <v>0</v>
      </c>
      <c r="DB153" s="198">
        <f t="shared" si="3827"/>
        <v>0</v>
      </c>
      <c r="DC153" s="225">
        <f t="shared" si="3841"/>
        <v>0</v>
      </c>
      <c r="DD153" s="226">
        <f t="shared" si="3842"/>
        <v>0</v>
      </c>
      <c r="DE153" s="137">
        <f t="shared" si="3843"/>
        <v>0</v>
      </c>
      <c r="DF153" s="227">
        <f t="shared" si="3831"/>
        <v>31.22</v>
      </c>
      <c r="DG153" s="138">
        <f t="shared" si="3844"/>
        <v>0</v>
      </c>
      <c r="DH153" s="110">
        <f t="shared" si="3845"/>
        <v>0</v>
      </c>
      <c r="DI153" s="110"/>
      <c r="DJ153" s="139"/>
      <c r="DK153" s="140">
        <f t="shared" si="3846"/>
        <v>0</v>
      </c>
      <c r="DL153" s="198">
        <f t="shared" si="3827"/>
        <v>41</v>
      </c>
      <c r="DM153" s="225">
        <f t="shared" si="3847"/>
        <v>0.14488000000000001</v>
      </c>
      <c r="DN153" s="226">
        <f t="shared" si="3848"/>
        <v>108.66</v>
      </c>
      <c r="DO153" s="137">
        <f t="shared" si="3849"/>
        <v>2.6502439</v>
      </c>
      <c r="DP153" s="227">
        <f t="shared" si="3831"/>
        <v>33.9</v>
      </c>
      <c r="DQ153" s="138">
        <f t="shared" si="3850"/>
        <v>89.843270000000004</v>
      </c>
      <c r="DR153" s="110">
        <f t="shared" si="3851"/>
        <v>3683.57</v>
      </c>
      <c r="DS153" s="110"/>
      <c r="DT153" s="139"/>
      <c r="DU153" s="140">
        <f t="shared" si="3852"/>
        <v>1.4444699999999999</v>
      </c>
      <c r="DV153" s="198">
        <f t="shared" si="3827"/>
        <v>0</v>
      </c>
      <c r="DW153" s="225">
        <f t="shared" si="3853"/>
        <v>0</v>
      </c>
      <c r="DX153" s="226">
        <f t="shared" si="3854"/>
        <v>0</v>
      </c>
      <c r="DY153" s="137">
        <f t="shared" si="3855"/>
        <v>0</v>
      </c>
      <c r="DZ153" s="227">
        <f t="shared" si="3831"/>
        <v>12.79</v>
      </c>
      <c r="EA153" s="138">
        <f t="shared" si="3856"/>
        <v>0</v>
      </c>
      <c r="EB153" s="110">
        <f t="shared" si="3857"/>
        <v>0</v>
      </c>
      <c r="EC153" s="110"/>
      <c r="ED153" s="139"/>
      <c r="EE153" s="140">
        <f t="shared" si="3858"/>
        <v>0</v>
      </c>
      <c r="EF153" s="198">
        <f t="shared" si="3827"/>
        <v>0</v>
      </c>
      <c r="EG153" s="225">
        <f t="shared" si="3859"/>
        <v>0</v>
      </c>
      <c r="EH153" s="226">
        <f t="shared" si="3860"/>
        <v>0</v>
      </c>
      <c r="EI153" s="137">
        <f t="shared" si="3861"/>
        <v>0</v>
      </c>
      <c r="EJ153" s="227">
        <f t="shared" si="3831"/>
        <v>23.18</v>
      </c>
      <c r="EK153" s="138">
        <f t="shared" si="3862"/>
        <v>0</v>
      </c>
      <c r="EL153" s="110">
        <f t="shared" si="3863"/>
        <v>0</v>
      </c>
      <c r="EM153" s="110"/>
      <c r="EN153" s="139"/>
      <c r="EO153" s="140">
        <f t="shared" si="3864"/>
        <v>0</v>
      </c>
      <c r="EP153" s="198">
        <f t="shared" si="3827"/>
        <v>0</v>
      </c>
      <c r="EQ153" s="225">
        <f t="shared" si="3865"/>
        <v>0</v>
      </c>
      <c r="ER153" s="226">
        <f t="shared" si="3866"/>
        <v>0</v>
      </c>
      <c r="ES153" s="137">
        <f t="shared" si="3867"/>
        <v>0</v>
      </c>
      <c r="ET153" s="227">
        <f t="shared" si="3831"/>
        <v>30.66</v>
      </c>
      <c r="EU153" s="138">
        <f t="shared" si="3868"/>
        <v>0</v>
      </c>
      <c r="EV153" s="110">
        <f t="shared" si="3869"/>
        <v>0</v>
      </c>
      <c r="EW153" s="110"/>
      <c r="EX153" s="139"/>
      <c r="EY153" s="140">
        <f t="shared" si="3870"/>
        <v>0</v>
      </c>
      <c r="EZ153" s="198">
        <f t="shared" si="3871"/>
        <v>0</v>
      </c>
      <c r="FA153" s="225">
        <f t="shared" si="3872"/>
        <v>0</v>
      </c>
      <c r="FB153" s="226">
        <f t="shared" si="3873"/>
        <v>0</v>
      </c>
      <c r="FC153" s="137">
        <f t="shared" si="3874"/>
        <v>0</v>
      </c>
      <c r="FD153" s="227">
        <f t="shared" si="3875"/>
        <v>34.119999999999997</v>
      </c>
      <c r="FE153" s="138">
        <f t="shared" si="3876"/>
        <v>0</v>
      </c>
      <c r="FF153" s="110">
        <f t="shared" si="3877"/>
        <v>0</v>
      </c>
      <c r="FG153" s="110"/>
      <c r="FH153" s="139"/>
      <c r="FI153" s="140">
        <f t="shared" si="3878"/>
        <v>0</v>
      </c>
      <c r="FJ153" s="198">
        <f t="shared" si="3871"/>
        <v>0</v>
      </c>
      <c r="FK153" s="225">
        <f t="shared" si="3879"/>
        <v>0</v>
      </c>
      <c r="FL153" s="226">
        <f t="shared" si="3880"/>
        <v>0</v>
      </c>
      <c r="FM153" s="137">
        <f t="shared" si="3881"/>
        <v>0</v>
      </c>
      <c r="FN153" s="227">
        <f t="shared" si="3875"/>
        <v>18.39</v>
      </c>
      <c r="FO153" s="138">
        <f t="shared" si="3882"/>
        <v>0</v>
      </c>
      <c r="FP153" s="110">
        <f t="shared" si="3883"/>
        <v>0</v>
      </c>
      <c r="FQ153" s="110"/>
      <c r="FR153" s="139"/>
      <c r="FS153" s="140">
        <f t="shared" si="3884"/>
        <v>0</v>
      </c>
      <c r="FT153" s="198">
        <f t="shared" si="3871"/>
        <v>0</v>
      </c>
      <c r="FU153" s="225">
        <f t="shared" si="3885"/>
        <v>0</v>
      </c>
      <c r="FV153" s="226">
        <f t="shared" si="3886"/>
        <v>0</v>
      </c>
      <c r="FW153" s="137">
        <f t="shared" si="3887"/>
        <v>0</v>
      </c>
      <c r="FX153" s="227">
        <f t="shared" si="3875"/>
        <v>32.619999999999997</v>
      </c>
      <c r="FY153" s="138">
        <f t="shared" si="3888"/>
        <v>0</v>
      </c>
      <c r="FZ153" s="110">
        <f t="shared" si="3889"/>
        <v>0</v>
      </c>
      <c r="GA153" s="110"/>
      <c r="GB153" s="139"/>
      <c r="GC153" s="140">
        <f t="shared" si="3890"/>
        <v>0</v>
      </c>
      <c r="GD153" s="198">
        <f t="shared" si="3871"/>
        <v>0</v>
      </c>
      <c r="GE153" s="225">
        <f t="shared" si="3891"/>
        <v>0</v>
      </c>
      <c r="GF153" s="226">
        <f t="shared" si="3892"/>
        <v>0</v>
      </c>
      <c r="GG153" s="137">
        <f t="shared" si="3893"/>
        <v>0</v>
      </c>
      <c r="GH153" s="227">
        <f t="shared" si="3875"/>
        <v>33.28</v>
      </c>
      <c r="GI153" s="138">
        <f t="shared" si="3894"/>
        <v>0</v>
      </c>
      <c r="GJ153" s="110">
        <f t="shared" si="3895"/>
        <v>0</v>
      </c>
      <c r="GK153" s="110"/>
      <c r="GL153" s="139"/>
      <c r="GM153" s="140">
        <f t="shared" si="3896"/>
        <v>0</v>
      </c>
      <c r="GN153" s="198">
        <f t="shared" si="3871"/>
        <v>0</v>
      </c>
      <c r="GO153" s="225">
        <f t="shared" si="3897"/>
        <v>0</v>
      </c>
      <c r="GP153" s="226">
        <f t="shared" si="3898"/>
        <v>0</v>
      </c>
      <c r="GQ153" s="137">
        <f t="shared" si="3899"/>
        <v>0</v>
      </c>
      <c r="GR153" s="227">
        <f t="shared" si="3875"/>
        <v>30.78</v>
      </c>
      <c r="GS153" s="138">
        <f t="shared" si="3900"/>
        <v>0</v>
      </c>
      <c r="GT153" s="110">
        <f t="shared" si="3901"/>
        <v>0</v>
      </c>
      <c r="GU153" s="110"/>
      <c r="GV153" s="139"/>
      <c r="GW153" s="140">
        <f t="shared" si="3902"/>
        <v>0</v>
      </c>
      <c r="GX153" s="198">
        <f t="shared" si="3871"/>
        <v>0</v>
      </c>
      <c r="GY153" s="225">
        <f t="shared" si="3903"/>
        <v>0</v>
      </c>
      <c r="GZ153" s="226">
        <f t="shared" si="3904"/>
        <v>0</v>
      </c>
      <c r="HA153" s="137">
        <f t="shared" si="3905"/>
        <v>0</v>
      </c>
      <c r="HB153" s="227">
        <f t="shared" si="3875"/>
        <v>21.23</v>
      </c>
      <c r="HC153" s="138">
        <f t="shared" si="3906"/>
        <v>0</v>
      </c>
      <c r="HD153" s="110">
        <f t="shared" si="3907"/>
        <v>0</v>
      </c>
      <c r="HE153" s="110"/>
      <c r="HF153" s="139"/>
      <c r="HG153" s="140">
        <f t="shared" si="3908"/>
        <v>0</v>
      </c>
      <c r="HH153" s="198">
        <f t="shared" si="3871"/>
        <v>0</v>
      </c>
      <c r="HI153" s="225">
        <f t="shared" si="3909"/>
        <v>0</v>
      </c>
      <c r="HJ153" s="226">
        <f t="shared" si="3910"/>
        <v>0</v>
      </c>
      <c r="HK153" s="137">
        <f t="shared" si="3911"/>
        <v>0</v>
      </c>
      <c r="HL153" s="227">
        <f t="shared" si="3875"/>
        <v>28.23</v>
      </c>
      <c r="HM153" s="138">
        <f t="shared" si="3912"/>
        <v>0</v>
      </c>
      <c r="HN153" s="110">
        <f t="shared" si="3913"/>
        <v>0</v>
      </c>
      <c r="HO153" s="110"/>
      <c r="HP153" s="139"/>
      <c r="HQ153" s="140">
        <f t="shared" si="3914"/>
        <v>0</v>
      </c>
      <c r="HR153" s="198">
        <f t="shared" si="3915"/>
        <v>0</v>
      </c>
      <c r="HS153" s="225">
        <f t="shared" si="3916"/>
        <v>0</v>
      </c>
      <c r="HT153" s="226">
        <f t="shared" si="3917"/>
        <v>0</v>
      </c>
      <c r="HU153" s="137">
        <f t="shared" si="3918"/>
        <v>0</v>
      </c>
      <c r="HV153" s="227">
        <f t="shared" si="3919"/>
        <v>31.27</v>
      </c>
      <c r="HW153" s="138">
        <f t="shared" si="3920"/>
        <v>0</v>
      </c>
      <c r="HX153" s="110">
        <f t="shared" si="3921"/>
        <v>0</v>
      </c>
      <c r="HY153" s="110"/>
      <c r="HZ153" s="139"/>
      <c r="IA153" s="140">
        <f t="shared" si="3922"/>
        <v>0</v>
      </c>
      <c r="IB153" s="198">
        <f t="shared" si="3915"/>
        <v>0</v>
      </c>
      <c r="IC153" s="225">
        <f t="shared" si="3923"/>
        <v>0</v>
      </c>
      <c r="ID153" s="226">
        <f t="shared" si="3924"/>
        <v>0</v>
      </c>
      <c r="IE153" s="137">
        <f t="shared" si="3925"/>
        <v>0</v>
      </c>
      <c r="IF153" s="227">
        <f t="shared" si="3919"/>
        <v>28.65</v>
      </c>
      <c r="IG153" s="138">
        <f t="shared" si="3926"/>
        <v>0</v>
      </c>
      <c r="IH153" s="110">
        <f t="shared" si="3927"/>
        <v>0</v>
      </c>
      <c r="II153" s="110"/>
      <c r="IJ153" s="139"/>
      <c r="IK153" s="140">
        <f t="shared" si="3928"/>
        <v>0</v>
      </c>
      <c r="IL153" s="198">
        <f t="shared" si="3915"/>
        <v>0</v>
      </c>
      <c r="IM153" s="225">
        <f t="shared" si="3929"/>
        <v>0</v>
      </c>
      <c r="IN153" s="226">
        <f t="shared" si="3930"/>
        <v>0</v>
      </c>
      <c r="IO153" s="137">
        <f t="shared" si="3931"/>
        <v>0</v>
      </c>
      <c r="IP153" s="227">
        <f t="shared" si="3919"/>
        <v>33.04</v>
      </c>
      <c r="IQ153" s="138">
        <f t="shared" si="3932"/>
        <v>0</v>
      </c>
      <c r="IR153" s="110">
        <f t="shared" si="3933"/>
        <v>0</v>
      </c>
      <c r="IS153" s="110"/>
      <c r="IT153" s="139"/>
      <c r="IU153" s="140">
        <f t="shared" si="3934"/>
        <v>0</v>
      </c>
      <c r="IV153" s="198">
        <f t="shared" si="3915"/>
        <v>0</v>
      </c>
      <c r="IW153" s="225">
        <f t="shared" si="3935"/>
        <v>0</v>
      </c>
      <c r="IX153" s="226">
        <f t="shared" si="3936"/>
        <v>0</v>
      </c>
      <c r="IY153" s="137">
        <f t="shared" si="3937"/>
        <v>0</v>
      </c>
      <c r="IZ153" s="227">
        <f t="shared" si="3919"/>
        <v>33.36</v>
      </c>
      <c r="JA153" s="138">
        <f t="shared" si="3938"/>
        <v>0</v>
      </c>
      <c r="JB153" s="110">
        <f t="shared" si="3939"/>
        <v>0</v>
      </c>
      <c r="JC153" s="110"/>
      <c r="JD153" s="139"/>
      <c r="JE153" s="140">
        <f t="shared" si="3940"/>
        <v>0</v>
      </c>
      <c r="JF153" s="198">
        <f t="shared" si="3915"/>
        <v>0</v>
      </c>
      <c r="JG153" s="225">
        <f t="shared" si="3941"/>
        <v>0</v>
      </c>
      <c r="JH153" s="226">
        <f t="shared" si="3942"/>
        <v>0</v>
      </c>
      <c r="JI153" s="137">
        <f t="shared" si="3943"/>
        <v>0</v>
      </c>
      <c r="JJ153" s="227">
        <f t="shared" si="3919"/>
        <v>21.96</v>
      </c>
      <c r="JK153" s="138">
        <f t="shared" si="3944"/>
        <v>0</v>
      </c>
      <c r="JL153" s="110">
        <f t="shared" si="3945"/>
        <v>0</v>
      </c>
      <c r="JM153" s="110"/>
      <c r="JN153" s="139"/>
      <c r="JO153" s="140">
        <f t="shared" si="3946"/>
        <v>0</v>
      </c>
      <c r="JP153" s="198">
        <f t="shared" si="3915"/>
        <v>0</v>
      </c>
      <c r="JQ153" s="225">
        <f t="shared" si="3947"/>
        <v>0</v>
      </c>
      <c r="JR153" s="226">
        <f t="shared" si="3948"/>
        <v>0</v>
      </c>
      <c r="JS153" s="137">
        <f t="shared" si="3949"/>
        <v>0</v>
      </c>
      <c r="JT153" s="227">
        <f t="shared" si="3919"/>
        <v>35.700000000000003</v>
      </c>
      <c r="JU153" s="138">
        <f t="shared" si="3950"/>
        <v>0</v>
      </c>
      <c r="JV153" s="110">
        <f t="shared" si="3951"/>
        <v>0</v>
      </c>
      <c r="JW153" s="110"/>
      <c r="JX153" s="139"/>
      <c r="JY153" s="140">
        <f t="shared" si="3952"/>
        <v>0</v>
      </c>
      <c r="JZ153" s="198">
        <f t="shared" si="3915"/>
        <v>0</v>
      </c>
      <c r="KA153" s="225">
        <f t="shared" si="3953"/>
        <v>0</v>
      </c>
      <c r="KB153" s="226">
        <f t="shared" si="3954"/>
        <v>0</v>
      </c>
      <c r="KC153" s="137">
        <f t="shared" si="3955"/>
        <v>0</v>
      </c>
      <c r="KD153" s="227">
        <f t="shared" si="3919"/>
        <v>30.3</v>
      </c>
      <c r="KE153" s="138">
        <f t="shared" si="3956"/>
        <v>0</v>
      </c>
      <c r="KF153" s="110">
        <f t="shared" si="3957"/>
        <v>0</v>
      </c>
      <c r="KG153" s="110"/>
      <c r="KH153" s="139"/>
      <c r="KI153" s="140">
        <f t="shared" si="3958"/>
        <v>0</v>
      </c>
      <c r="KJ153" s="198">
        <f t="shared" si="3959"/>
        <v>0</v>
      </c>
      <c r="KK153" s="225">
        <f t="shared" si="3960"/>
        <v>0</v>
      </c>
      <c r="KL153" s="226">
        <f t="shared" si="3961"/>
        <v>0</v>
      </c>
      <c r="KM153" s="137">
        <f t="shared" si="3962"/>
        <v>0</v>
      </c>
      <c r="KN153" s="227">
        <f t="shared" si="3963"/>
        <v>30.43</v>
      </c>
      <c r="KO153" s="138">
        <f t="shared" si="3964"/>
        <v>0</v>
      </c>
      <c r="KP153" s="110">
        <f t="shared" si="3965"/>
        <v>0</v>
      </c>
      <c r="KQ153" s="110"/>
      <c r="KR153" s="139"/>
      <c r="KS153" s="140">
        <f t="shared" si="3966"/>
        <v>0</v>
      </c>
      <c r="KT153" s="198">
        <f t="shared" si="3959"/>
        <v>0</v>
      </c>
      <c r="KU153" s="225">
        <f t="shared" si="3967"/>
        <v>0</v>
      </c>
      <c r="KV153" s="226">
        <f t="shared" si="3968"/>
        <v>0</v>
      </c>
      <c r="KW153" s="137">
        <f t="shared" si="3969"/>
        <v>0</v>
      </c>
      <c r="KX153" s="227">
        <f t="shared" si="3963"/>
        <v>34.299999999999997</v>
      </c>
      <c r="KY153" s="138">
        <f t="shared" si="3970"/>
        <v>0</v>
      </c>
      <c r="KZ153" s="110">
        <f t="shared" si="3971"/>
        <v>0</v>
      </c>
      <c r="LA153" s="110"/>
      <c r="LB153" s="139"/>
      <c r="LC153" s="140">
        <f t="shared" si="3972"/>
        <v>0</v>
      </c>
      <c r="LD153" s="197">
        <f t="shared" si="3581"/>
        <v>41</v>
      </c>
      <c r="LE153" s="225">
        <f t="shared" si="3582"/>
        <v>1.4400000000000001E-3</v>
      </c>
      <c r="LF153" s="226">
        <f t="shared" si="3583"/>
        <v>88.27</v>
      </c>
      <c r="LG153" s="137">
        <f t="shared" si="3584"/>
        <v>2.1529268300000002</v>
      </c>
      <c r="LH153" s="227">
        <f t="shared" si="3585"/>
        <v>28.89</v>
      </c>
      <c r="LI153" s="138">
        <f t="shared" si="3586"/>
        <v>62.198059999999998</v>
      </c>
      <c r="LJ153" s="110">
        <f t="shared" si="3587"/>
        <v>2550.12</v>
      </c>
      <c r="LK153" s="110"/>
      <c r="LL153" s="139"/>
    </row>
    <row r="154" spans="1:324" ht="16.5" hidden="1" customHeight="1" x14ac:dyDescent="0.25">
      <c r="A154" s="247"/>
      <c r="B154" s="92" t="s">
        <v>611</v>
      </c>
      <c r="C154" s="12" t="s">
        <v>728</v>
      </c>
      <c r="D154" s="12" t="s">
        <v>430</v>
      </c>
      <c r="E154" s="4" t="s">
        <v>32</v>
      </c>
      <c r="F154" s="198">
        <f>F38</f>
        <v>0</v>
      </c>
      <c r="G154" s="225">
        <f t="shared" si="3588"/>
        <v>0</v>
      </c>
      <c r="H154" s="226">
        <f t="shared" si="3589"/>
        <v>0</v>
      </c>
      <c r="I154" s="137">
        <f t="shared" si="3362"/>
        <v>0</v>
      </c>
      <c r="J154" s="227">
        <f t="shared" si="3590"/>
        <v>19.559999999999999</v>
      </c>
      <c r="K154" s="138">
        <f t="shared" si="3363"/>
        <v>0</v>
      </c>
      <c r="L154" s="110">
        <f t="shared" si="3364"/>
        <v>0</v>
      </c>
      <c r="M154" s="110"/>
      <c r="N154" s="139"/>
      <c r="O154" s="140" t="e">
        <f>K154/$LI154</f>
        <v>#DIV/0!</v>
      </c>
      <c r="P154" s="198">
        <f t="shared" ref="P154" si="3973">P38</f>
        <v>0</v>
      </c>
      <c r="Q154" s="225">
        <f t="shared" si="3784"/>
        <v>0</v>
      </c>
      <c r="R154" s="226">
        <f t="shared" si="3785"/>
        <v>0</v>
      </c>
      <c r="S154" s="137">
        <f t="shared" si="3786"/>
        <v>0</v>
      </c>
      <c r="T154" s="227">
        <f t="shared" si="3787"/>
        <v>14.76</v>
      </c>
      <c r="U154" s="138">
        <f t="shared" si="3788"/>
        <v>0</v>
      </c>
      <c r="V154" s="110">
        <f t="shared" si="3789"/>
        <v>0</v>
      </c>
      <c r="W154" s="110"/>
      <c r="X154" s="139"/>
      <c r="Y154" s="140" t="e">
        <f t="shared" si="3790"/>
        <v>#DIV/0!</v>
      </c>
      <c r="Z154" s="198">
        <f t="shared" ref="Z154" si="3974">Z38</f>
        <v>0</v>
      </c>
      <c r="AA154" s="225">
        <f t="shared" si="3791"/>
        <v>0</v>
      </c>
      <c r="AB154" s="226">
        <f t="shared" si="3792"/>
        <v>0</v>
      </c>
      <c r="AC154" s="137">
        <f t="shared" si="3793"/>
        <v>0</v>
      </c>
      <c r="AD154" s="227">
        <f t="shared" si="3787"/>
        <v>33.520000000000003</v>
      </c>
      <c r="AE154" s="138">
        <f t="shared" si="3794"/>
        <v>0</v>
      </c>
      <c r="AF154" s="110">
        <f t="shared" si="3795"/>
        <v>0</v>
      </c>
      <c r="AG154" s="110"/>
      <c r="AH154" s="139"/>
      <c r="AI154" s="140" t="e">
        <f t="shared" si="3796"/>
        <v>#DIV/0!</v>
      </c>
      <c r="AJ154" s="198">
        <f t="shared" ref="AJ154" si="3975">AJ38</f>
        <v>0</v>
      </c>
      <c r="AK154" s="225">
        <f t="shared" si="3797"/>
        <v>0</v>
      </c>
      <c r="AL154" s="226">
        <f t="shared" si="3798"/>
        <v>0</v>
      </c>
      <c r="AM154" s="137">
        <f t="shared" si="3799"/>
        <v>0</v>
      </c>
      <c r="AN154" s="227">
        <f t="shared" si="3787"/>
        <v>33.07</v>
      </c>
      <c r="AO154" s="138">
        <f t="shared" si="3800"/>
        <v>0</v>
      </c>
      <c r="AP154" s="110">
        <f t="shared" si="3801"/>
        <v>0</v>
      </c>
      <c r="AQ154" s="110"/>
      <c r="AR154" s="139"/>
      <c r="AS154" s="140" t="e">
        <f t="shared" si="3802"/>
        <v>#DIV/0!</v>
      </c>
      <c r="AT154" s="198">
        <f t="shared" ref="AT154" si="3976">AT38</f>
        <v>0</v>
      </c>
      <c r="AU154" s="225">
        <f t="shared" si="3803"/>
        <v>0</v>
      </c>
      <c r="AV154" s="226">
        <f t="shared" si="3804"/>
        <v>0</v>
      </c>
      <c r="AW154" s="137">
        <f t="shared" si="3805"/>
        <v>0</v>
      </c>
      <c r="AX154" s="227">
        <f t="shared" si="3787"/>
        <v>28.2</v>
      </c>
      <c r="AY154" s="138">
        <f t="shared" si="3806"/>
        <v>0</v>
      </c>
      <c r="AZ154" s="110">
        <f t="shared" si="3807"/>
        <v>0</v>
      </c>
      <c r="BA154" s="110"/>
      <c r="BB154" s="139"/>
      <c r="BC154" s="140" t="e">
        <f t="shared" si="3808"/>
        <v>#DIV/0!</v>
      </c>
      <c r="BD154" s="198">
        <f t="shared" ref="BD154" si="3977">BD38</f>
        <v>0</v>
      </c>
      <c r="BE154" s="225">
        <f t="shared" si="3809"/>
        <v>0</v>
      </c>
      <c r="BF154" s="226">
        <f t="shared" si="3810"/>
        <v>0</v>
      </c>
      <c r="BG154" s="137">
        <f t="shared" si="3811"/>
        <v>0</v>
      </c>
      <c r="BH154" s="227">
        <f t="shared" si="3787"/>
        <v>33.75</v>
      </c>
      <c r="BI154" s="138">
        <f t="shared" si="3812"/>
        <v>0</v>
      </c>
      <c r="BJ154" s="110">
        <f t="shared" si="3813"/>
        <v>0</v>
      </c>
      <c r="BK154" s="110"/>
      <c r="BL154" s="139"/>
      <c r="BM154" s="140" t="e">
        <f t="shared" si="3814"/>
        <v>#DIV/0!</v>
      </c>
      <c r="BN154" s="198">
        <f t="shared" ref="BN154" si="3978">BN38</f>
        <v>0</v>
      </c>
      <c r="BO154" s="225">
        <f t="shared" si="3815"/>
        <v>0</v>
      </c>
      <c r="BP154" s="226">
        <f t="shared" si="3816"/>
        <v>0</v>
      </c>
      <c r="BQ154" s="137">
        <f t="shared" si="3817"/>
        <v>0</v>
      </c>
      <c r="BR154" s="227">
        <f t="shared" si="3787"/>
        <v>32.79</v>
      </c>
      <c r="BS154" s="138">
        <f t="shared" si="3818"/>
        <v>0</v>
      </c>
      <c r="BT154" s="110">
        <f t="shared" si="3819"/>
        <v>0</v>
      </c>
      <c r="BU154" s="110"/>
      <c r="BV154" s="139"/>
      <c r="BW154" s="140" t="e">
        <f t="shared" si="3820"/>
        <v>#DIV/0!</v>
      </c>
      <c r="BX154" s="198">
        <f t="shared" ref="BX154" si="3979">BX38</f>
        <v>0</v>
      </c>
      <c r="BY154" s="225">
        <f t="shared" si="3821"/>
        <v>0</v>
      </c>
      <c r="BZ154" s="226">
        <f t="shared" si="3822"/>
        <v>0</v>
      </c>
      <c r="CA154" s="137">
        <f t="shared" si="3823"/>
        <v>0</v>
      </c>
      <c r="CB154" s="227">
        <f t="shared" si="3787"/>
        <v>30.39</v>
      </c>
      <c r="CC154" s="138">
        <f t="shared" si="3824"/>
        <v>0</v>
      </c>
      <c r="CD154" s="110">
        <f t="shared" si="3825"/>
        <v>0</v>
      </c>
      <c r="CE154" s="110"/>
      <c r="CF154" s="139"/>
      <c r="CG154" s="140" t="e">
        <f t="shared" si="3826"/>
        <v>#DIV/0!</v>
      </c>
      <c r="CH154" s="198">
        <f t="shared" ref="CH154" si="3980">CH38</f>
        <v>0</v>
      </c>
      <c r="CI154" s="225">
        <f t="shared" si="3828"/>
        <v>0</v>
      </c>
      <c r="CJ154" s="226">
        <f t="shared" si="3829"/>
        <v>0</v>
      </c>
      <c r="CK154" s="137">
        <f t="shared" si="3830"/>
        <v>0</v>
      </c>
      <c r="CL154" s="227">
        <f t="shared" si="3831"/>
        <v>25.57</v>
      </c>
      <c r="CM154" s="138">
        <f t="shared" si="3832"/>
        <v>0</v>
      </c>
      <c r="CN154" s="110">
        <f t="shared" si="3833"/>
        <v>0</v>
      </c>
      <c r="CO154" s="110"/>
      <c r="CP154" s="139"/>
      <c r="CQ154" s="140" t="e">
        <f t="shared" si="3834"/>
        <v>#DIV/0!</v>
      </c>
      <c r="CR154" s="198">
        <f t="shared" ref="CR154" si="3981">CR38</f>
        <v>0</v>
      </c>
      <c r="CS154" s="225">
        <f t="shared" si="3835"/>
        <v>0</v>
      </c>
      <c r="CT154" s="226">
        <f t="shared" si="3836"/>
        <v>0</v>
      </c>
      <c r="CU154" s="137">
        <f t="shared" si="3837"/>
        <v>0</v>
      </c>
      <c r="CV154" s="227">
        <f t="shared" si="3831"/>
        <v>28.26</v>
      </c>
      <c r="CW154" s="138">
        <f t="shared" si="3838"/>
        <v>0</v>
      </c>
      <c r="CX154" s="110">
        <f t="shared" si="3839"/>
        <v>0</v>
      </c>
      <c r="CY154" s="110"/>
      <c r="CZ154" s="139"/>
      <c r="DA154" s="140" t="e">
        <f t="shared" si="3840"/>
        <v>#DIV/0!</v>
      </c>
      <c r="DB154" s="198">
        <f t="shared" ref="DB154" si="3982">DB38</f>
        <v>0</v>
      </c>
      <c r="DC154" s="225">
        <f t="shared" si="3841"/>
        <v>0</v>
      </c>
      <c r="DD154" s="226">
        <f t="shared" si="3842"/>
        <v>0</v>
      </c>
      <c r="DE154" s="137">
        <f t="shared" si="3843"/>
        <v>0</v>
      </c>
      <c r="DF154" s="227">
        <f t="shared" si="3831"/>
        <v>31.22</v>
      </c>
      <c r="DG154" s="138">
        <f t="shared" si="3844"/>
        <v>0</v>
      </c>
      <c r="DH154" s="110">
        <f t="shared" si="3845"/>
        <v>0</v>
      </c>
      <c r="DI154" s="110"/>
      <c r="DJ154" s="139"/>
      <c r="DK154" s="140" t="e">
        <f t="shared" si="3846"/>
        <v>#DIV/0!</v>
      </c>
      <c r="DL154" s="198">
        <f t="shared" ref="DL154" si="3983">DL38</f>
        <v>0</v>
      </c>
      <c r="DM154" s="225">
        <f t="shared" si="3847"/>
        <v>0</v>
      </c>
      <c r="DN154" s="226">
        <f t="shared" si="3848"/>
        <v>0</v>
      </c>
      <c r="DO154" s="137">
        <f t="shared" si="3849"/>
        <v>0</v>
      </c>
      <c r="DP154" s="227">
        <f t="shared" si="3831"/>
        <v>33.9</v>
      </c>
      <c r="DQ154" s="138">
        <f t="shared" si="3850"/>
        <v>0</v>
      </c>
      <c r="DR154" s="110">
        <f t="shared" si="3851"/>
        <v>0</v>
      </c>
      <c r="DS154" s="110"/>
      <c r="DT154" s="139"/>
      <c r="DU154" s="140" t="e">
        <f t="shared" si="3852"/>
        <v>#DIV/0!</v>
      </c>
      <c r="DV154" s="198">
        <f t="shared" ref="DV154" si="3984">DV38</f>
        <v>0</v>
      </c>
      <c r="DW154" s="225">
        <f t="shared" si="3853"/>
        <v>0</v>
      </c>
      <c r="DX154" s="226">
        <f t="shared" si="3854"/>
        <v>0</v>
      </c>
      <c r="DY154" s="137">
        <f t="shared" si="3855"/>
        <v>0</v>
      </c>
      <c r="DZ154" s="227">
        <f t="shared" si="3831"/>
        <v>12.79</v>
      </c>
      <c r="EA154" s="138">
        <f t="shared" si="3856"/>
        <v>0</v>
      </c>
      <c r="EB154" s="110">
        <f t="shared" si="3857"/>
        <v>0</v>
      </c>
      <c r="EC154" s="110"/>
      <c r="ED154" s="139"/>
      <c r="EE154" s="140" t="e">
        <f t="shared" si="3858"/>
        <v>#DIV/0!</v>
      </c>
      <c r="EF154" s="198">
        <f t="shared" ref="EF154" si="3985">EF38</f>
        <v>0</v>
      </c>
      <c r="EG154" s="225">
        <f t="shared" si="3859"/>
        <v>0</v>
      </c>
      <c r="EH154" s="226">
        <f t="shared" si="3860"/>
        <v>0</v>
      </c>
      <c r="EI154" s="137">
        <f t="shared" si="3861"/>
        <v>0</v>
      </c>
      <c r="EJ154" s="227">
        <f t="shared" si="3831"/>
        <v>23.18</v>
      </c>
      <c r="EK154" s="138">
        <f t="shared" si="3862"/>
        <v>0</v>
      </c>
      <c r="EL154" s="110">
        <f t="shared" si="3863"/>
        <v>0</v>
      </c>
      <c r="EM154" s="110"/>
      <c r="EN154" s="139"/>
      <c r="EO154" s="140" t="e">
        <f t="shared" si="3864"/>
        <v>#DIV/0!</v>
      </c>
      <c r="EP154" s="198">
        <f t="shared" ref="EP154" si="3986">EP38</f>
        <v>0</v>
      </c>
      <c r="EQ154" s="225">
        <f t="shared" si="3865"/>
        <v>0</v>
      </c>
      <c r="ER154" s="226">
        <f t="shared" si="3866"/>
        <v>0</v>
      </c>
      <c r="ES154" s="137">
        <f t="shared" si="3867"/>
        <v>0</v>
      </c>
      <c r="ET154" s="227">
        <f t="shared" si="3831"/>
        <v>30.66</v>
      </c>
      <c r="EU154" s="138">
        <f t="shared" si="3868"/>
        <v>0</v>
      </c>
      <c r="EV154" s="110">
        <f t="shared" si="3869"/>
        <v>0</v>
      </c>
      <c r="EW154" s="110"/>
      <c r="EX154" s="139"/>
      <c r="EY154" s="140" t="e">
        <f t="shared" si="3870"/>
        <v>#DIV/0!</v>
      </c>
      <c r="EZ154" s="198">
        <f t="shared" ref="EZ154" si="3987">EZ38</f>
        <v>0</v>
      </c>
      <c r="FA154" s="225">
        <f t="shared" si="3872"/>
        <v>0</v>
      </c>
      <c r="FB154" s="226">
        <f t="shared" si="3873"/>
        <v>0</v>
      </c>
      <c r="FC154" s="137">
        <f t="shared" si="3874"/>
        <v>0</v>
      </c>
      <c r="FD154" s="227">
        <f t="shared" si="3875"/>
        <v>34.119999999999997</v>
      </c>
      <c r="FE154" s="138">
        <f t="shared" si="3876"/>
        <v>0</v>
      </c>
      <c r="FF154" s="110">
        <f t="shared" si="3877"/>
        <v>0</v>
      </c>
      <c r="FG154" s="110"/>
      <c r="FH154" s="139"/>
      <c r="FI154" s="140" t="e">
        <f t="shared" si="3878"/>
        <v>#DIV/0!</v>
      </c>
      <c r="FJ154" s="198">
        <f t="shared" ref="FJ154" si="3988">FJ38</f>
        <v>0</v>
      </c>
      <c r="FK154" s="225">
        <f t="shared" si="3879"/>
        <v>0</v>
      </c>
      <c r="FL154" s="226">
        <f t="shared" si="3880"/>
        <v>0</v>
      </c>
      <c r="FM154" s="137">
        <f t="shared" si="3881"/>
        <v>0</v>
      </c>
      <c r="FN154" s="227">
        <f t="shared" si="3875"/>
        <v>18.39</v>
      </c>
      <c r="FO154" s="138">
        <f t="shared" si="3882"/>
        <v>0</v>
      </c>
      <c r="FP154" s="110">
        <f t="shared" si="3883"/>
        <v>0</v>
      </c>
      <c r="FQ154" s="110"/>
      <c r="FR154" s="139"/>
      <c r="FS154" s="140" t="e">
        <f t="shared" si="3884"/>
        <v>#DIV/0!</v>
      </c>
      <c r="FT154" s="198">
        <f t="shared" ref="FT154" si="3989">FT38</f>
        <v>0</v>
      </c>
      <c r="FU154" s="225">
        <f t="shared" si="3885"/>
        <v>0</v>
      </c>
      <c r="FV154" s="226">
        <f t="shared" si="3886"/>
        <v>0</v>
      </c>
      <c r="FW154" s="137">
        <f t="shared" si="3887"/>
        <v>0</v>
      </c>
      <c r="FX154" s="227">
        <f t="shared" si="3875"/>
        <v>32.619999999999997</v>
      </c>
      <c r="FY154" s="138">
        <f t="shared" si="3888"/>
        <v>0</v>
      </c>
      <c r="FZ154" s="110">
        <f t="shared" si="3889"/>
        <v>0</v>
      </c>
      <c r="GA154" s="110"/>
      <c r="GB154" s="139"/>
      <c r="GC154" s="140" t="e">
        <f t="shared" si="3890"/>
        <v>#DIV/0!</v>
      </c>
      <c r="GD154" s="198">
        <f t="shared" ref="GD154" si="3990">GD38</f>
        <v>0</v>
      </c>
      <c r="GE154" s="225">
        <f t="shared" si="3891"/>
        <v>0</v>
      </c>
      <c r="GF154" s="226">
        <f t="shared" si="3892"/>
        <v>0</v>
      </c>
      <c r="GG154" s="137">
        <f t="shared" si="3893"/>
        <v>0</v>
      </c>
      <c r="GH154" s="227">
        <f t="shared" si="3875"/>
        <v>33.28</v>
      </c>
      <c r="GI154" s="138">
        <f t="shared" si="3894"/>
        <v>0</v>
      </c>
      <c r="GJ154" s="110">
        <f t="shared" si="3895"/>
        <v>0</v>
      </c>
      <c r="GK154" s="110"/>
      <c r="GL154" s="139"/>
      <c r="GM154" s="140" t="e">
        <f t="shared" si="3896"/>
        <v>#DIV/0!</v>
      </c>
      <c r="GN154" s="198">
        <f t="shared" ref="GN154" si="3991">GN38</f>
        <v>0</v>
      </c>
      <c r="GO154" s="225">
        <f t="shared" si="3897"/>
        <v>0</v>
      </c>
      <c r="GP154" s="226">
        <f t="shared" si="3898"/>
        <v>0</v>
      </c>
      <c r="GQ154" s="137">
        <f t="shared" si="3899"/>
        <v>0</v>
      </c>
      <c r="GR154" s="227">
        <f t="shared" si="3875"/>
        <v>30.78</v>
      </c>
      <c r="GS154" s="138">
        <f t="shared" si="3900"/>
        <v>0</v>
      </c>
      <c r="GT154" s="110">
        <f t="shared" si="3901"/>
        <v>0</v>
      </c>
      <c r="GU154" s="110"/>
      <c r="GV154" s="139"/>
      <c r="GW154" s="140" t="e">
        <f t="shared" si="3902"/>
        <v>#DIV/0!</v>
      </c>
      <c r="GX154" s="198">
        <f t="shared" ref="GX154" si="3992">GX38</f>
        <v>0</v>
      </c>
      <c r="GY154" s="225">
        <f t="shared" si="3903"/>
        <v>0</v>
      </c>
      <c r="GZ154" s="226">
        <f t="shared" si="3904"/>
        <v>0</v>
      </c>
      <c r="HA154" s="137">
        <f t="shared" si="3905"/>
        <v>0</v>
      </c>
      <c r="HB154" s="227">
        <f t="shared" si="3875"/>
        <v>21.23</v>
      </c>
      <c r="HC154" s="138">
        <f t="shared" si="3906"/>
        <v>0</v>
      </c>
      <c r="HD154" s="110">
        <f t="shared" si="3907"/>
        <v>0</v>
      </c>
      <c r="HE154" s="110"/>
      <c r="HF154" s="139"/>
      <c r="HG154" s="140" t="e">
        <f t="shared" si="3908"/>
        <v>#DIV/0!</v>
      </c>
      <c r="HH154" s="198">
        <f t="shared" ref="HH154" si="3993">HH38</f>
        <v>0</v>
      </c>
      <c r="HI154" s="225">
        <f t="shared" si="3909"/>
        <v>0</v>
      </c>
      <c r="HJ154" s="226">
        <f t="shared" si="3910"/>
        <v>0</v>
      </c>
      <c r="HK154" s="137">
        <f t="shared" si="3911"/>
        <v>0</v>
      </c>
      <c r="HL154" s="227">
        <f t="shared" si="3875"/>
        <v>28.23</v>
      </c>
      <c r="HM154" s="138">
        <f t="shared" si="3912"/>
        <v>0</v>
      </c>
      <c r="HN154" s="110">
        <f t="shared" si="3913"/>
        <v>0</v>
      </c>
      <c r="HO154" s="110"/>
      <c r="HP154" s="139"/>
      <c r="HQ154" s="140" t="e">
        <f t="shared" si="3914"/>
        <v>#DIV/0!</v>
      </c>
      <c r="HR154" s="198">
        <f t="shared" ref="HR154" si="3994">HR38</f>
        <v>0</v>
      </c>
      <c r="HS154" s="225">
        <f t="shared" si="3916"/>
        <v>0</v>
      </c>
      <c r="HT154" s="226">
        <f t="shared" si="3917"/>
        <v>0</v>
      </c>
      <c r="HU154" s="137">
        <f t="shared" si="3918"/>
        <v>0</v>
      </c>
      <c r="HV154" s="227">
        <f t="shared" si="3919"/>
        <v>31.27</v>
      </c>
      <c r="HW154" s="138">
        <f t="shared" si="3920"/>
        <v>0</v>
      </c>
      <c r="HX154" s="110">
        <f t="shared" si="3921"/>
        <v>0</v>
      </c>
      <c r="HY154" s="110"/>
      <c r="HZ154" s="139"/>
      <c r="IA154" s="140" t="e">
        <f t="shared" si="3922"/>
        <v>#DIV/0!</v>
      </c>
      <c r="IB154" s="198">
        <f t="shared" ref="IB154" si="3995">IB38</f>
        <v>0</v>
      </c>
      <c r="IC154" s="225">
        <f t="shared" si="3923"/>
        <v>0</v>
      </c>
      <c r="ID154" s="226">
        <f t="shared" si="3924"/>
        <v>0</v>
      </c>
      <c r="IE154" s="137">
        <f t="shared" si="3925"/>
        <v>0</v>
      </c>
      <c r="IF154" s="227">
        <f t="shared" si="3919"/>
        <v>28.65</v>
      </c>
      <c r="IG154" s="138">
        <f t="shared" si="3926"/>
        <v>0</v>
      </c>
      <c r="IH154" s="110">
        <f t="shared" si="3927"/>
        <v>0</v>
      </c>
      <c r="II154" s="110"/>
      <c r="IJ154" s="139"/>
      <c r="IK154" s="140" t="e">
        <f t="shared" si="3928"/>
        <v>#DIV/0!</v>
      </c>
      <c r="IL154" s="198">
        <f t="shared" ref="IL154" si="3996">IL38</f>
        <v>0</v>
      </c>
      <c r="IM154" s="225">
        <f t="shared" si="3929"/>
        <v>0</v>
      </c>
      <c r="IN154" s="226">
        <f t="shared" si="3930"/>
        <v>0</v>
      </c>
      <c r="IO154" s="137">
        <f t="shared" si="3931"/>
        <v>0</v>
      </c>
      <c r="IP154" s="227">
        <f t="shared" si="3919"/>
        <v>33.04</v>
      </c>
      <c r="IQ154" s="138">
        <f t="shared" si="3932"/>
        <v>0</v>
      </c>
      <c r="IR154" s="110">
        <f t="shared" si="3933"/>
        <v>0</v>
      </c>
      <c r="IS154" s="110"/>
      <c r="IT154" s="139"/>
      <c r="IU154" s="140" t="e">
        <f t="shared" si="3934"/>
        <v>#DIV/0!</v>
      </c>
      <c r="IV154" s="198">
        <f t="shared" ref="IV154" si="3997">IV38</f>
        <v>0</v>
      </c>
      <c r="IW154" s="225">
        <f t="shared" si="3935"/>
        <v>0</v>
      </c>
      <c r="IX154" s="226">
        <f t="shared" si="3936"/>
        <v>0</v>
      </c>
      <c r="IY154" s="137">
        <f t="shared" si="3937"/>
        <v>0</v>
      </c>
      <c r="IZ154" s="227">
        <f t="shared" si="3919"/>
        <v>33.36</v>
      </c>
      <c r="JA154" s="138">
        <f t="shared" si="3938"/>
        <v>0</v>
      </c>
      <c r="JB154" s="110">
        <f t="shared" si="3939"/>
        <v>0</v>
      </c>
      <c r="JC154" s="110"/>
      <c r="JD154" s="139"/>
      <c r="JE154" s="140" t="e">
        <f t="shared" si="3940"/>
        <v>#DIV/0!</v>
      </c>
      <c r="JF154" s="198">
        <f t="shared" ref="JF154" si="3998">JF38</f>
        <v>0</v>
      </c>
      <c r="JG154" s="225">
        <f t="shared" si="3941"/>
        <v>0</v>
      </c>
      <c r="JH154" s="226">
        <f t="shared" si="3942"/>
        <v>0</v>
      </c>
      <c r="JI154" s="137">
        <f t="shared" si="3943"/>
        <v>0</v>
      </c>
      <c r="JJ154" s="227">
        <f t="shared" si="3919"/>
        <v>21.96</v>
      </c>
      <c r="JK154" s="138">
        <f t="shared" si="3944"/>
        <v>0</v>
      </c>
      <c r="JL154" s="110">
        <f t="shared" si="3945"/>
        <v>0</v>
      </c>
      <c r="JM154" s="110"/>
      <c r="JN154" s="139"/>
      <c r="JO154" s="140" t="e">
        <f t="shared" si="3946"/>
        <v>#DIV/0!</v>
      </c>
      <c r="JP154" s="198">
        <f t="shared" ref="JP154" si="3999">JP38</f>
        <v>0</v>
      </c>
      <c r="JQ154" s="225">
        <f t="shared" si="3947"/>
        <v>0</v>
      </c>
      <c r="JR154" s="226">
        <f t="shared" si="3948"/>
        <v>0</v>
      </c>
      <c r="JS154" s="137">
        <f t="shared" si="3949"/>
        <v>0</v>
      </c>
      <c r="JT154" s="227">
        <f t="shared" si="3919"/>
        <v>35.700000000000003</v>
      </c>
      <c r="JU154" s="138">
        <f t="shared" si="3950"/>
        <v>0</v>
      </c>
      <c r="JV154" s="110">
        <f t="shared" si="3951"/>
        <v>0</v>
      </c>
      <c r="JW154" s="110"/>
      <c r="JX154" s="139"/>
      <c r="JY154" s="140" t="e">
        <f t="shared" si="3952"/>
        <v>#DIV/0!</v>
      </c>
      <c r="JZ154" s="198">
        <f t="shared" ref="JZ154" si="4000">JZ38</f>
        <v>0</v>
      </c>
      <c r="KA154" s="225">
        <f t="shared" si="3953"/>
        <v>0</v>
      </c>
      <c r="KB154" s="226">
        <f t="shared" si="3954"/>
        <v>0</v>
      </c>
      <c r="KC154" s="137">
        <f t="shared" si="3955"/>
        <v>0</v>
      </c>
      <c r="KD154" s="227">
        <f t="shared" si="3919"/>
        <v>30.3</v>
      </c>
      <c r="KE154" s="138">
        <f t="shared" si="3956"/>
        <v>0</v>
      </c>
      <c r="KF154" s="110">
        <f t="shared" si="3957"/>
        <v>0</v>
      </c>
      <c r="KG154" s="110"/>
      <c r="KH154" s="139"/>
      <c r="KI154" s="140" t="e">
        <f t="shared" si="3958"/>
        <v>#DIV/0!</v>
      </c>
      <c r="KJ154" s="198">
        <f t="shared" ref="KJ154" si="4001">KJ38</f>
        <v>0</v>
      </c>
      <c r="KK154" s="225">
        <f t="shared" si="3960"/>
        <v>0</v>
      </c>
      <c r="KL154" s="226">
        <f t="shared" si="3961"/>
        <v>0</v>
      </c>
      <c r="KM154" s="137">
        <f t="shared" si="3962"/>
        <v>0</v>
      </c>
      <c r="KN154" s="227">
        <f t="shared" si="3963"/>
        <v>30.43</v>
      </c>
      <c r="KO154" s="138">
        <f t="shared" si="3964"/>
        <v>0</v>
      </c>
      <c r="KP154" s="110">
        <f t="shared" si="3965"/>
        <v>0</v>
      </c>
      <c r="KQ154" s="110"/>
      <c r="KR154" s="139"/>
      <c r="KS154" s="140" t="e">
        <f t="shared" si="3966"/>
        <v>#DIV/0!</v>
      </c>
      <c r="KT154" s="198">
        <f t="shared" ref="KT154" si="4002">KT38</f>
        <v>0</v>
      </c>
      <c r="KU154" s="225">
        <f t="shared" si="3967"/>
        <v>0</v>
      </c>
      <c r="KV154" s="226">
        <f t="shared" si="3968"/>
        <v>0</v>
      </c>
      <c r="KW154" s="137">
        <f t="shared" si="3969"/>
        <v>0</v>
      </c>
      <c r="KX154" s="227">
        <f t="shared" si="3963"/>
        <v>34.299999999999997</v>
      </c>
      <c r="KY154" s="138">
        <f t="shared" si="3970"/>
        <v>0</v>
      </c>
      <c r="KZ154" s="110">
        <f t="shared" si="3971"/>
        <v>0</v>
      </c>
      <c r="LA154" s="110"/>
      <c r="LB154" s="139"/>
      <c r="LC154" s="140" t="e">
        <f t="shared" si="3972"/>
        <v>#DIV/0!</v>
      </c>
      <c r="LD154" s="197">
        <f t="shared" si="3581"/>
        <v>0</v>
      </c>
      <c r="LE154" s="225">
        <f t="shared" si="3582"/>
        <v>0</v>
      </c>
      <c r="LF154" s="226">
        <f t="shared" si="3583"/>
        <v>0</v>
      </c>
      <c r="LG154" s="137">
        <f t="shared" si="3584"/>
        <v>0</v>
      </c>
      <c r="LH154" s="227">
        <f t="shared" si="3585"/>
        <v>28.89</v>
      </c>
      <c r="LI154" s="138">
        <f t="shared" si="3586"/>
        <v>0</v>
      </c>
      <c r="LJ154" s="110">
        <f t="shared" si="3587"/>
        <v>0</v>
      </c>
      <c r="LK154" s="110"/>
      <c r="LL154" s="139"/>
    </row>
    <row r="155" spans="1:324" hidden="1" x14ac:dyDescent="0.25">
      <c r="A155" s="248" t="s">
        <v>940</v>
      </c>
      <c r="B155" s="249" t="s">
        <v>473</v>
      </c>
      <c r="C155" s="14"/>
      <c r="D155" s="14"/>
      <c r="E155" s="4" t="s">
        <v>32</v>
      </c>
      <c r="F155" s="18">
        <f>SUM(F158:F183)</f>
        <v>602</v>
      </c>
      <c r="G155" s="4"/>
      <c r="H155" s="123"/>
      <c r="I155" s="137"/>
      <c r="J155" s="110"/>
      <c r="K155" s="138">
        <f>K10+K39+K68+K97+K126</f>
        <v>1611.08206</v>
      </c>
      <c r="L155" s="110">
        <f t="shared" si="3364"/>
        <v>969871.4</v>
      </c>
      <c r="M155" s="145">
        <f>M10+M39+M68+M97+M126</f>
        <v>970080.51</v>
      </c>
      <c r="N155" s="139">
        <f>M155-L155</f>
        <v>209.11</v>
      </c>
      <c r="O155" s="140">
        <f>K155/$LI155</f>
        <v>0.57149000000000005</v>
      </c>
      <c r="P155" s="18">
        <f t="shared" ref="P155" si="4003">SUM(P158:P183)</f>
        <v>1096</v>
      </c>
      <c r="Q155" s="4"/>
      <c r="R155" s="123"/>
      <c r="S155" s="137"/>
      <c r="T155" s="110"/>
      <c r="U155" s="138">
        <f t="shared" ref="U155" si="4004">U10+U39+U68+U97+U126</f>
        <v>2229.3376199999998</v>
      </c>
      <c r="V155" s="110">
        <f t="shared" si="3789"/>
        <v>2443354.0299999998</v>
      </c>
      <c r="W155" s="145">
        <f t="shared" ref="W155" si="4005">W10+W39+W68+W97+W126</f>
        <v>2443255.15</v>
      </c>
      <c r="X155" s="139">
        <f t="shared" ref="X155" si="4006">W155-V155</f>
        <v>-98.88</v>
      </c>
      <c r="Y155" s="140">
        <f t="shared" si="3790"/>
        <v>0.79081000000000001</v>
      </c>
      <c r="Z155" s="18">
        <f t="shared" ref="Z155" si="4007">SUM(Z158:Z183)</f>
        <v>864</v>
      </c>
      <c r="AA155" s="4"/>
      <c r="AB155" s="123"/>
      <c r="AC155" s="137"/>
      <c r="AD155" s="110"/>
      <c r="AE155" s="138">
        <f t="shared" ref="AE155" si="4008">AE10+AE39+AE68+AE97+AE126</f>
        <v>2156.4340999999999</v>
      </c>
      <c r="AF155" s="110">
        <f t="shared" si="3795"/>
        <v>1863159.06</v>
      </c>
      <c r="AG155" s="145">
        <f t="shared" ref="AG155" si="4009">AG10+AG39+AG68+AG97+AG126</f>
        <v>1863251.01</v>
      </c>
      <c r="AH155" s="139">
        <f t="shared" ref="AH155" si="4010">AG155-AF155</f>
        <v>91.95</v>
      </c>
      <c r="AI155" s="140">
        <f t="shared" si="3796"/>
        <v>0.76493999999999995</v>
      </c>
      <c r="AJ155" s="18">
        <f t="shared" ref="AJ155" si="4011">SUM(AJ158:AJ183)</f>
        <v>665</v>
      </c>
      <c r="AK155" s="4"/>
      <c r="AL155" s="123"/>
      <c r="AM155" s="137"/>
      <c r="AN155" s="110"/>
      <c r="AO155" s="138">
        <f t="shared" ref="AO155" si="4012">AO10+AO39+AO68+AO97+AO126</f>
        <v>1833.1393399999999</v>
      </c>
      <c r="AP155" s="110">
        <f t="shared" si="3801"/>
        <v>1219037.6599999999</v>
      </c>
      <c r="AQ155" s="145">
        <f t="shared" ref="AQ155" si="4013">AQ10+AQ39+AQ68+AQ97+AQ126</f>
        <v>1219055.58</v>
      </c>
      <c r="AR155" s="139">
        <f t="shared" ref="AR155" si="4014">AQ155-AP155</f>
        <v>17.920000000000002</v>
      </c>
      <c r="AS155" s="140">
        <f t="shared" si="3802"/>
        <v>0.65025999999999995</v>
      </c>
      <c r="AT155" s="18">
        <f t="shared" ref="AT155" si="4015">SUM(AT158:AT183)</f>
        <v>951</v>
      </c>
      <c r="AU155" s="4"/>
      <c r="AV155" s="123"/>
      <c r="AW155" s="137"/>
      <c r="AX155" s="110"/>
      <c r="AY155" s="138">
        <f t="shared" ref="AY155" si="4016">AY10+AY39+AY68+AY97+AY126</f>
        <v>1134.0553</v>
      </c>
      <c r="AZ155" s="110">
        <f t="shared" si="3807"/>
        <v>1078486.5900000001</v>
      </c>
      <c r="BA155" s="145">
        <f t="shared" ref="BA155" si="4017">BA10+BA39+BA68+BA97+BA126</f>
        <v>1078657.02</v>
      </c>
      <c r="BB155" s="139">
        <f t="shared" ref="BB155" si="4018">BA155-AZ155</f>
        <v>170.43</v>
      </c>
      <c r="BC155" s="140">
        <f t="shared" si="3808"/>
        <v>0.40228000000000003</v>
      </c>
      <c r="BD155" s="18">
        <f t="shared" ref="BD155" si="4019">SUM(BD158:BD183)</f>
        <v>744</v>
      </c>
      <c r="BE155" s="4"/>
      <c r="BF155" s="123"/>
      <c r="BG155" s="137"/>
      <c r="BH155" s="110"/>
      <c r="BI155" s="138">
        <f t="shared" ref="BI155" si="4020">BI10+BI39+BI68+BI97+BI126</f>
        <v>2074.58878</v>
      </c>
      <c r="BJ155" s="110">
        <f t="shared" si="3813"/>
        <v>1543494.05</v>
      </c>
      <c r="BK155" s="145">
        <f t="shared" ref="BK155" si="4021">BK10+BK39+BK68+BK97+BK126</f>
        <v>1543428.66</v>
      </c>
      <c r="BL155" s="139">
        <f t="shared" ref="BL155" si="4022">BK155-BJ155</f>
        <v>-65.39</v>
      </c>
      <c r="BM155" s="140">
        <f t="shared" si="3814"/>
        <v>0.73590999999999995</v>
      </c>
      <c r="BN155" s="18">
        <f t="shared" ref="BN155" si="4023">SUM(BN158:BN183)</f>
        <v>617</v>
      </c>
      <c r="BO155" s="4"/>
      <c r="BP155" s="123"/>
      <c r="BQ155" s="137"/>
      <c r="BR155" s="110"/>
      <c r="BS155" s="138">
        <f t="shared" ref="BS155" si="4024">BS10+BS39+BS68+BS97+BS126</f>
        <v>2462.6397200000001</v>
      </c>
      <c r="BT155" s="110">
        <f t="shared" si="3819"/>
        <v>1519448.71</v>
      </c>
      <c r="BU155" s="145">
        <f t="shared" ref="BU155" si="4025">BU10+BU39+BU68+BU97+BU126</f>
        <v>1519645.5</v>
      </c>
      <c r="BV155" s="139">
        <f t="shared" ref="BV155" si="4026">BU155-BT155</f>
        <v>196.79</v>
      </c>
      <c r="BW155" s="140">
        <f t="shared" si="3820"/>
        <v>0.87356</v>
      </c>
      <c r="BX155" s="18">
        <f t="shared" ref="BX155" si="4027">SUM(BX158:BX183)</f>
        <v>788</v>
      </c>
      <c r="BY155" s="4"/>
      <c r="BZ155" s="123"/>
      <c r="CA155" s="137"/>
      <c r="CB155" s="110"/>
      <c r="CC155" s="138">
        <f t="shared" ref="CC155" si="4028">CC10+CC39+CC68+CC97+CC126</f>
        <v>1855.3993599999999</v>
      </c>
      <c r="CD155" s="110">
        <f t="shared" si="3825"/>
        <v>1462054.7</v>
      </c>
      <c r="CE155" s="145">
        <f t="shared" ref="CE155" si="4029">CE10+CE39+CE68+CE97+CE126</f>
        <v>1461776.3</v>
      </c>
      <c r="CF155" s="139">
        <f t="shared" ref="CF155" si="4030">CE155-CD155</f>
        <v>-278.39999999999998</v>
      </c>
      <c r="CG155" s="140">
        <f t="shared" si="3826"/>
        <v>0.65815999999999997</v>
      </c>
      <c r="CH155" s="18">
        <f t="shared" ref="CH155" si="4031">SUM(CH158:CH183)</f>
        <v>924</v>
      </c>
      <c r="CI155" s="4"/>
      <c r="CJ155" s="123"/>
      <c r="CK155" s="137"/>
      <c r="CL155" s="110"/>
      <c r="CM155" s="138">
        <f t="shared" ref="CM155" si="4032">CM10+CM39+CM68+CM97+CM126</f>
        <v>2328.3066800000001</v>
      </c>
      <c r="CN155" s="110">
        <f t="shared" si="3833"/>
        <v>2151355.37</v>
      </c>
      <c r="CO155" s="145">
        <f t="shared" ref="CO155" si="4033">CO10+CO39+CO68+CO97+CO126</f>
        <v>2150807.69</v>
      </c>
      <c r="CP155" s="139">
        <f t="shared" ref="CP155" si="4034">CO155-CN155</f>
        <v>-547.67999999999995</v>
      </c>
      <c r="CQ155" s="140">
        <f t="shared" si="3834"/>
        <v>0.82591000000000003</v>
      </c>
      <c r="CR155" s="18">
        <f t="shared" ref="CR155" si="4035">SUM(CR158:CR183)</f>
        <v>744</v>
      </c>
      <c r="CS155" s="4"/>
      <c r="CT155" s="123"/>
      <c r="CU155" s="137"/>
      <c r="CV155" s="110"/>
      <c r="CW155" s="138">
        <f t="shared" ref="CW155" si="4036">CW10+CW39+CW68+CW97+CW126</f>
        <v>3009.7952500000001</v>
      </c>
      <c r="CX155" s="110">
        <f t="shared" si="3839"/>
        <v>2239287.67</v>
      </c>
      <c r="CY155" s="145">
        <f t="shared" ref="CY155" si="4037">CY10+CY39+CY68+CY97+CY126</f>
        <v>2239145.21</v>
      </c>
      <c r="CZ155" s="139">
        <f t="shared" ref="CZ155" si="4038">CY155-CX155</f>
        <v>-142.46</v>
      </c>
      <c r="DA155" s="140">
        <f t="shared" si="3840"/>
        <v>1.06765</v>
      </c>
      <c r="DB155" s="18">
        <f t="shared" ref="DB155" si="4039">SUM(DB158:DB183)</f>
        <v>825</v>
      </c>
      <c r="DC155" s="4"/>
      <c r="DD155" s="123"/>
      <c r="DE155" s="137"/>
      <c r="DF155" s="110"/>
      <c r="DG155" s="138">
        <f t="shared" ref="DG155" si="4040">DG10+DG39+DG68+DG97+DG126</f>
        <v>2512.2188700000002</v>
      </c>
      <c r="DH155" s="110">
        <f t="shared" si="3845"/>
        <v>2072580.57</v>
      </c>
      <c r="DI155" s="145">
        <f t="shared" ref="DI155" si="4041">DI10+DI39+DI68+DI97+DI126</f>
        <v>2072600.56</v>
      </c>
      <c r="DJ155" s="139">
        <f t="shared" ref="DJ155" si="4042">DI155-DH155</f>
        <v>19.989999999999998</v>
      </c>
      <c r="DK155" s="140">
        <f t="shared" si="3846"/>
        <v>0.89115</v>
      </c>
      <c r="DL155" s="18">
        <f t="shared" ref="DL155" si="4043">SUM(DL158:DL183)</f>
        <v>283</v>
      </c>
      <c r="DM155" s="4"/>
      <c r="DN155" s="123"/>
      <c r="DO155" s="137"/>
      <c r="DP155" s="110"/>
      <c r="DQ155" s="138">
        <f t="shared" ref="DQ155" si="4044">DQ10+DQ39+DQ68+DQ97+DQ126</f>
        <v>3456.9249799999998</v>
      </c>
      <c r="DR155" s="110">
        <f t="shared" si="3851"/>
        <v>978309.77</v>
      </c>
      <c r="DS155" s="145">
        <f t="shared" ref="DS155" si="4045">DS10+DS39+DS68+DS97+DS126</f>
        <v>978290.87</v>
      </c>
      <c r="DT155" s="139">
        <f t="shared" ref="DT155" si="4046">DS155-DR155</f>
        <v>-18.899999999999999</v>
      </c>
      <c r="DU155" s="140">
        <f t="shared" si="3852"/>
        <v>1.2262599999999999</v>
      </c>
      <c r="DV155" s="18">
        <f t="shared" ref="DV155" si="4047">SUM(DV158:DV183)</f>
        <v>878</v>
      </c>
      <c r="DW155" s="4"/>
      <c r="DX155" s="123"/>
      <c r="DY155" s="137"/>
      <c r="DZ155" s="110"/>
      <c r="EA155" s="138">
        <f t="shared" ref="EA155" si="4048">EA10+EA39+EA68+EA97+EA126</f>
        <v>2182.03764</v>
      </c>
      <c r="EB155" s="110">
        <f t="shared" si="3857"/>
        <v>1915829.05</v>
      </c>
      <c r="EC155" s="145">
        <f t="shared" ref="EC155" si="4049">EC10+EC39+EC68+EC97+EC126</f>
        <v>1915923.94</v>
      </c>
      <c r="ED155" s="139">
        <f t="shared" ref="ED155" si="4050">EC155-EB155</f>
        <v>94.89</v>
      </c>
      <c r="EE155" s="140">
        <f t="shared" si="3858"/>
        <v>0.77403</v>
      </c>
      <c r="EF155" s="18">
        <f t="shared" ref="EF155" si="4051">SUM(EF158:EF183)</f>
        <v>939</v>
      </c>
      <c r="EG155" s="4"/>
      <c r="EH155" s="123"/>
      <c r="EI155" s="137"/>
      <c r="EJ155" s="110"/>
      <c r="EK155" s="138">
        <f t="shared" ref="EK155" si="4052">EK10+EK39+EK68+EK97+EK126</f>
        <v>1819.0140899999999</v>
      </c>
      <c r="EL155" s="110">
        <f t="shared" si="3863"/>
        <v>1708054.23</v>
      </c>
      <c r="EM155" s="145">
        <f t="shared" ref="EM155" si="4053">EM10+EM39+EM68+EM97+EM126</f>
        <v>1707938.53</v>
      </c>
      <c r="EN155" s="139">
        <f t="shared" ref="EN155" si="4054">EM155-EL155</f>
        <v>-115.7</v>
      </c>
      <c r="EO155" s="140">
        <f t="shared" si="3864"/>
        <v>0.64524999999999999</v>
      </c>
      <c r="EP155" s="18">
        <f t="shared" ref="EP155" si="4055">SUM(EP158:EP183)</f>
        <v>943</v>
      </c>
      <c r="EQ155" s="4"/>
      <c r="ER155" s="123"/>
      <c r="ES155" s="137"/>
      <c r="ET155" s="110"/>
      <c r="EU155" s="138">
        <f t="shared" ref="EU155" si="4056">EU10+EU39+EU68+EU97+EU126</f>
        <v>3155.27475</v>
      </c>
      <c r="EV155" s="110">
        <f t="shared" si="3869"/>
        <v>2975424.09</v>
      </c>
      <c r="EW155" s="145">
        <f t="shared" ref="EW155" si="4057">EW10+EW39+EW68+EW97+EW126</f>
        <v>2975680.49</v>
      </c>
      <c r="EX155" s="139">
        <f t="shared" ref="EX155" si="4058">EW155-EV155</f>
        <v>256.39999999999998</v>
      </c>
      <c r="EY155" s="140">
        <f t="shared" si="3870"/>
        <v>1.1192599999999999</v>
      </c>
      <c r="EZ155" s="18">
        <f t="shared" ref="EZ155" si="4059">SUM(EZ158:EZ183)</f>
        <v>1117</v>
      </c>
      <c r="FA155" s="4"/>
      <c r="FB155" s="123"/>
      <c r="FC155" s="137"/>
      <c r="FD155" s="110"/>
      <c r="FE155" s="138">
        <f t="shared" ref="FE155" si="4060">FE10+FE39+FE68+FE97+FE126</f>
        <v>1324.71146</v>
      </c>
      <c r="FF155" s="110">
        <f t="shared" si="3877"/>
        <v>1479702.7</v>
      </c>
      <c r="FG155" s="145">
        <f t="shared" ref="FG155" si="4061">FG10+FG39+FG68+FG97+FG126</f>
        <v>1479604.9</v>
      </c>
      <c r="FH155" s="139">
        <f t="shared" ref="FH155" si="4062">FG155-FF155</f>
        <v>-97.8</v>
      </c>
      <c r="FI155" s="140">
        <f t="shared" si="3878"/>
        <v>0.46990999999999999</v>
      </c>
      <c r="FJ155" s="18">
        <f t="shared" ref="FJ155" si="4063">SUM(FJ158:FJ183)</f>
        <v>1022</v>
      </c>
      <c r="FK155" s="4"/>
      <c r="FL155" s="123"/>
      <c r="FM155" s="137"/>
      <c r="FN155" s="110"/>
      <c r="FO155" s="138">
        <f t="shared" ref="FO155" si="4064">FO10+FO39+FO68+FO97+FO126</f>
        <v>2727.9005299999999</v>
      </c>
      <c r="FP155" s="110">
        <f t="shared" si="3883"/>
        <v>2787914.34</v>
      </c>
      <c r="FQ155" s="145">
        <f t="shared" ref="FQ155" si="4065">FQ10+FQ39+FQ68+FQ97+FQ126</f>
        <v>2787837.94</v>
      </c>
      <c r="FR155" s="139">
        <f t="shared" ref="FR155" si="4066">FQ155-FP155</f>
        <v>-76.400000000000006</v>
      </c>
      <c r="FS155" s="140">
        <f t="shared" si="3884"/>
        <v>0.96765999999999996</v>
      </c>
      <c r="FT155" s="18">
        <f t="shared" ref="FT155" si="4067">SUM(FT158:FT183)</f>
        <v>803</v>
      </c>
      <c r="FU155" s="4"/>
      <c r="FV155" s="123"/>
      <c r="FW155" s="137"/>
      <c r="FX155" s="110"/>
      <c r="FY155" s="138">
        <f t="shared" ref="FY155" si="4068">FY10+FY39+FY68+FY97+FY126</f>
        <v>2618.8842199999999</v>
      </c>
      <c r="FZ155" s="110">
        <f t="shared" si="3889"/>
        <v>2102964.0299999998</v>
      </c>
      <c r="GA155" s="145">
        <f t="shared" ref="GA155" si="4069">GA10+GA39+GA68+GA97+GA126</f>
        <v>2102900.4900000002</v>
      </c>
      <c r="GB155" s="139">
        <f t="shared" ref="GB155" si="4070">GA155-FZ155</f>
        <v>-63.54</v>
      </c>
      <c r="GC155" s="140">
        <f t="shared" si="3890"/>
        <v>0.92898999999999998</v>
      </c>
      <c r="GD155" s="18">
        <f t="shared" ref="GD155" si="4071">SUM(GD158:GD183)</f>
        <v>512</v>
      </c>
      <c r="GE155" s="4"/>
      <c r="GF155" s="123"/>
      <c r="GG155" s="137"/>
      <c r="GH155" s="110"/>
      <c r="GI155" s="138">
        <f t="shared" ref="GI155" si="4072">GI10+GI39+GI68+GI97+GI126</f>
        <v>2084.92578</v>
      </c>
      <c r="GJ155" s="110">
        <f t="shared" si="3895"/>
        <v>1067482</v>
      </c>
      <c r="GK155" s="145">
        <f t="shared" ref="GK155" si="4073">GK10+GK39+GK68+GK97+GK126</f>
        <v>1067427.6000000001</v>
      </c>
      <c r="GL155" s="139">
        <f t="shared" ref="GL155" si="4074">GK155-GJ155</f>
        <v>-54.4</v>
      </c>
      <c r="GM155" s="140">
        <f t="shared" si="3896"/>
        <v>0.73958000000000002</v>
      </c>
      <c r="GN155" s="18">
        <f t="shared" ref="GN155" si="4075">SUM(GN158:GN183)</f>
        <v>864</v>
      </c>
      <c r="GO155" s="4"/>
      <c r="GP155" s="123"/>
      <c r="GQ155" s="137"/>
      <c r="GR155" s="110"/>
      <c r="GS155" s="138">
        <f t="shared" ref="GS155" si="4076">GS10+GS39+GS68+GS97+GS126</f>
        <v>3657.7588000000001</v>
      </c>
      <c r="GT155" s="110">
        <f t="shared" si="3901"/>
        <v>3160303.6</v>
      </c>
      <c r="GU155" s="145">
        <f t="shared" ref="GU155" si="4077">GU10+GU39+GU68+GU97+GU126</f>
        <v>3160475.7</v>
      </c>
      <c r="GV155" s="139">
        <f t="shared" ref="GV155" si="4078">GU155-GT155</f>
        <v>172.1</v>
      </c>
      <c r="GW155" s="140">
        <f t="shared" si="3902"/>
        <v>1.2975000000000001</v>
      </c>
      <c r="GX155" s="18">
        <f t="shared" ref="GX155" si="4079">SUM(GX158:GX183)</f>
        <v>1621</v>
      </c>
      <c r="GY155" s="4"/>
      <c r="GZ155" s="123"/>
      <c r="HA155" s="137"/>
      <c r="HB155" s="110"/>
      <c r="HC155" s="138">
        <f t="shared" ref="HC155" si="4080">HC10+HC39+HC68+HC97+HC126</f>
        <v>2226.8206799999998</v>
      </c>
      <c r="HD155" s="110">
        <f t="shared" si="3907"/>
        <v>3609676.32</v>
      </c>
      <c r="HE155" s="145">
        <f t="shared" ref="HE155" si="4081">HE10+HE39+HE68+HE97+HE126</f>
        <v>3610628.83</v>
      </c>
      <c r="HF155" s="139">
        <f t="shared" ref="HF155" si="4082">HE155-HD155</f>
        <v>952.51</v>
      </c>
      <c r="HG155" s="140">
        <f t="shared" si="3908"/>
        <v>0.78991</v>
      </c>
      <c r="HH155" s="18">
        <f t="shared" ref="HH155" si="4083">SUM(HH158:HH183)</f>
        <v>1152</v>
      </c>
      <c r="HI155" s="4"/>
      <c r="HJ155" s="123"/>
      <c r="HK155" s="137"/>
      <c r="HL155" s="110"/>
      <c r="HM155" s="138">
        <f t="shared" ref="HM155" si="4084">HM10+HM39+HM68+HM97+HM126</f>
        <v>2418.73792</v>
      </c>
      <c r="HN155" s="110">
        <f t="shared" si="3913"/>
        <v>2786386.08</v>
      </c>
      <c r="HO155" s="145">
        <f t="shared" ref="HO155" si="4085">HO10+HO39+HO68+HO97+HO126</f>
        <v>2786447.54</v>
      </c>
      <c r="HP155" s="139">
        <f t="shared" ref="HP155" si="4086">HO155-HN155</f>
        <v>61.46</v>
      </c>
      <c r="HQ155" s="140">
        <f t="shared" si="3914"/>
        <v>0.85799000000000003</v>
      </c>
      <c r="HR155" s="18">
        <f t="shared" ref="HR155" si="4087">SUM(HR158:HR183)</f>
        <v>788</v>
      </c>
      <c r="HS155" s="4"/>
      <c r="HT155" s="123"/>
      <c r="HU155" s="137"/>
      <c r="HV155" s="110"/>
      <c r="HW155" s="138">
        <f t="shared" ref="HW155" si="4088">HW10+HW39+HW68+HW97+HW126</f>
        <v>3247.2848399999998</v>
      </c>
      <c r="HX155" s="110">
        <f t="shared" si="3921"/>
        <v>2558860.4500000002</v>
      </c>
      <c r="HY155" s="145">
        <f t="shared" ref="HY155" si="4089">HY10+HY39+HY68+HY97+HY126</f>
        <v>2558664.9</v>
      </c>
      <c r="HZ155" s="139">
        <f t="shared" ref="HZ155" si="4090">HY155-HX155</f>
        <v>-195.55</v>
      </c>
      <c r="IA155" s="140">
        <f t="shared" si="3922"/>
        <v>1.1518999999999999</v>
      </c>
      <c r="IB155" s="18">
        <f t="shared" ref="IB155" si="4091">SUM(IB158:IB183)</f>
        <v>548</v>
      </c>
      <c r="IC155" s="4"/>
      <c r="ID155" s="123"/>
      <c r="IE155" s="137"/>
      <c r="IF155" s="110"/>
      <c r="IG155" s="138">
        <f t="shared" ref="IG155" si="4092">IG10+IG39+IG68+IG97+IG126</f>
        <v>4448.5078400000002</v>
      </c>
      <c r="IH155" s="110">
        <f t="shared" si="3927"/>
        <v>2437782.2999999998</v>
      </c>
      <c r="II155" s="145">
        <f t="shared" ref="II155" si="4093">II10+II39+II68+II97+II126</f>
        <v>2437656.7599999998</v>
      </c>
      <c r="IJ155" s="139">
        <f t="shared" ref="IJ155" si="4094">II155-IH155</f>
        <v>-125.54</v>
      </c>
      <c r="IK155" s="140">
        <f t="shared" si="3928"/>
        <v>1.5780000000000001</v>
      </c>
      <c r="IL155" s="18">
        <f t="shared" ref="IL155" si="4095">SUM(IL158:IL183)</f>
        <v>1265</v>
      </c>
      <c r="IM155" s="4"/>
      <c r="IN155" s="123"/>
      <c r="IO155" s="137"/>
      <c r="IP155" s="110"/>
      <c r="IQ155" s="138">
        <f t="shared" ref="IQ155" si="4096">IQ10+IQ39+IQ68+IQ97+IQ126</f>
        <v>1857.7745600000001</v>
      </c>
      <c r="IR155" s="110">
        <f t="shared" si="3933"/>
        <v>2350084.8199999998</v>
      </c>
      <c r="IS155" s="145">
        <f t="shared" ref="IS155" si="4097">IS10+IS39+IS68+IS97+IS126</f>
        <v>2350091.79</v>
      </c>
      <c r="IT155" s="139">
        <f t="shared" ref="IT155" si="4098">IS155-IR155</f>
        <v>6.97</v>
      </c>
      <c r="IU155" s="140">
        <f t="shared" si="3934"/>
        <v>0.65900000000000003</v>
      </c>
      <c r="IV155" s="18">
        <f t="shared" ref="IV155" si="4099">SUM(IV158:IV183)</f>
        <v>771</v>
      </c>
      <c r="IW155" s="4"/>
      <c r="IX155" s="123"/>
      <c r="IY155" s="137"/>
      <c r="IZ155" s="110"/>
      <c r="JA155" s="138">
        <f t="shared" ref="JA155" si="4100">JA10+JA39+JA68+JA97+JA126</f>
        <v>2764.2699899999998</v>
      </c>
      <c r="JB155" s="110">
        <f t="shared" si="3939"/>
        <v>2131252.16</v>
      </c>
      <c r="JC155" s="145">
        <f t="shared" ref="JC155" si="4101">JC10+JC39+JC68+JC97+JC126</f>
        <v>2131101.9500000002</v>
      </c>
      <c r="JD155" s="139">
        <f t="shared" ref="JD155" si="4102">JC155-JB155</f>
        <v>-150.21</v>
      </c>
      <c r="JE155" s="140">
        <f t="shared" si="3940"/>
        <v>0.98055999999999999</v>
      </c>
      <c r="JF155" s="18">
        <f t="shared" ref="JF155" si="4103">SUM(JF158:JF183)</f>
        <v>1341</v>
      </c>
      <c r="JG155" s="4"/>
      <c r="JH155" s="123"/>
      <c r="JI155" s="137"/>
      <c r="JJ155" s="110"/>
      <c r="JK155" s="138">
        <f t="shared" ref="JK155" si="4104">JK10+JK39+JK68+JK97+JK126</f>
        <v>2699.8600999999999</v>
      </c>
      <c r="JL155" s="110">
        <f t="shared" si="3945"/>
        <v>3620512.39</v>
      </c>
      <c r="JM155" s="145">
        <f t="shared" ref="JM155" si="4105">JM10+JM39+JM68+JM97+JM126</f>
        <v>3621016.8</v>
      </c>
      <c r="JN155" s="139">
        <f t="shared" ref="JN155" si="4106">JM155-JL155</f>
        <v>504.41</v>
      </c>
      <c r="JO155" s="140">
        <f t="shared" si="3946"/>
        <v>0.95770999999999995</v>
      </c>
      <c r="JP155" s="18">
        <f t="shared" ref="JP155" si="4107">SUM(JP158:JP183)</f>
        <v>1249</v>
      </c>
      <c r="JQ155" s="4"/>
      <c r="JR155" s="123"/>
      <c r="JS155" s="137"/>
      <c r="JT155" s="110"/>
      <c r="JU155" s="138">
        <f t="shared" ref="JU155" si="4108">JU10+JU39+JU68+JU97+JU126</f>
        <v>2956.0803000000001</v>
      </c>
      <c r="JV155" s="110">
        <f t="shared" si="3951"/>
        <v>3692144.29</v>
      </c>
      <c r="JW155" s="145">
        <f t="shared" ref="JW155" si="4109">JW10+JW39+JW68+JW97+JW126</f>
        <v>3692219.45</v>
      </c>
      <c r="JX155" s="139">
        <f t="shared" ref="JX155" si="4110">JW155-JV155</f>
        <v>75.16</v>
      </c>
      <c r="JY155" s="140">
        <f t="shared" si="3952"/>
        <v>1.0486</v>
      </c>
      <c r="JZ155" s="18">
        <f t="shared" ref="JZ155" si="4111">SUM(JZ158:JZ183)</f>
        <v>1163</v>
      </c>
      <c r="KA155" s="4"/>
      <c r="KB155" s="123"/>
      <c r="KC155" s="137"/>
      <c r="KD155" s="110"/>
      <c r="KE155" s="138">
        <f t="shared" ref="KE155" si="4112">KE10+KE39+KE68+KE97+KE126</f>
        <v>3232.5568400000002</v>
      </c>
      <c r="KF155" s="110">
        <f t="shared" si="3957"/>
        <v>3759463.6</v>
      </c>
      <c r="KG155" s="145">
        <f t="shared" ref="KG155" si="4113">KG10+KG39+KG68+KG97+KG126</f>
        <v>3759405.4</v>
      </c>
      <c r="KH155" s="139">
        <f t="shared" ref="KH155" si="4114">KG155-KF155</f>
        <v>-58.2</v>
      </c>
      <c r="KI155" s="140">
        <f t="shared" si="3958"/>
        <v>1.1466700000000001</v>
      </c>
      <c r="KJ155" s="18">
        <f t="shared" ref="KJ155" si="4115">SUM(KJ158:KJ183)</f>
        <v>1341</v>
      </c>
      <c r="KK155" s="4"/>
      <c r="KL155" s="123"/>
      <c r="KM155" s="137"/>
      <c r="KN155" s="110"/>
      <c r="KO155" s="138">
        <f t="shared" ref="KO155" si="4116">KO10+KO39+KO68+KO97+KO126</f>
        <v>2153.1737699999999</v>
      </c>
      <c r="KP155" s="110">
        <f t="shared" si="3965"/>
        <v>2887406.03</v>
      </c>
      <c r="KQ155" s="145">
        <f t="shared" ref="KQ155" si="4117">KQ10+KQ39+KQ68+KQ97+KQ126</f>
        <v>2887611.33</v>
      </c>
      <c r="KR155" s="139">
        <f t="shared" ref="KR155" si="4118">KQ155-KP155</f>
        <v>205.3</v>
      </c>
      <c r="KS155" s="140">
        <f t="shared" si="3966"/>
        <v>0.76378999999999997</v>
      </c>
      <c r="KT155" s="18">
        <f t="shared" ref="KT155" si="4119">SUM(KT158:KT183)</f>
        <v>1124</v>
      </c>
      <c r="KU155" s="4"/>
      <c r="KV155" s="123"/>
      <c r="KW155" s="137"/>
      <c r="KX155" s="110"/>
      <c r="KY155" s="138">
        <f t="shared" ref="KY155" si="4120">KY10+KY39+KY68+KY97+KY126</f>
        <v>12366.28781</v>
      </c>
      <c r="KZ155" s="110">
        <f t="shared" si="3971"/>
        <v>13899707.5</v>
      </c>
      <c r="LA155" s="145">
        <f t="shared" ref="LA155" si="4121">LA10+LA39+LA68+LA97+LA126</f>
        <v>13898454.34</v>
      </c>
      <c r="LB155" s="139">
        <f t="shared" ref="LB155" si="4122">LA155-KZ155</f>
        <v>-1253.1600000000001</v>
      </c>
      <c r="LC155" s="140">
        <f t="shared" si="3972"/>
        <v>4.3866500000000004</v>
      </c>
      <c r="LD155" s="18">
        <f>SUM(LD158:LD183)</f>
        <v>28544</v>
      </c>
      <c r="LE155" s="4"/>
      <c r="LF155" s="123"/>
      <c r="LG155" s="137"/>
      <c r="LH155" s="110"/>
      <c r="LI155" s="138">
        <f>LI10+LI39+LI68+LI97+LI126</f>
        <v>2819.0730899999999</v>
      </c>
      <c r="LJ155" s="110">
        <f t="shared" si="3587"/>
        <v>80467622.280000001</v>
      </c>
      <c r="LK155" s="145">
        <f>M155+W155+AG155+AQ155+BA155+BK155+BU155+CE155+CO155+CY155+DI155+DS155+EC155+EM155+EW155+FG155+FQ155+GA155+GK155+GU155+HE155+HO155+HY155+II155+IS155+JC155+JM155+JW155+KG155+KQ155+LA155</f>
        <v>80471082.739999995</v>
      </c>
      <c r="LL155" s="139">
        <f>LK155-LJ155</f>
        <v>3460.46</v>
      </c>
    </row>
    <row r="156" spans="1:324" s="132" customFormat="1" hidden="1" x14ac:dyDescent="0.25">
      <c r="A156" s="130"/>
      <c r="B156" s="131" t="s">
        <v>467</v>
      </c>
      <c r="C156" s="131"/>
      <c r="D156" s="131"/>
      <c r="E156" s="131"/>
      <c r="F156" s="141"/>
      <c r="G156" s="131"/>
      <c r="H156" s="139"/>
      <c r="I156" s="142"/>
      <c r="J156" s="139"/>
      <c r="K156" s="139"/>
      <c r="L156" s="139">
        <f>L155-(SUM(L158:L183))</f>
        <v>27.72</v>
      </c>
      <c r="M156" s="139"/>
      <c r="N156" s="139"/>
      <c r="O156" s="131"/>
      <c r="P156" s="141"/>
      <c r="Q156" s="131"/>
      <c r="R156" s="139"/>
      <c r="S156" s="142"/>
      <c r="T156" s="139"/>
      <c r="U156" s="139"/>
      <c r="V156" s="139">
        <f t="shared" ref="V156" si="4123">V155-(SUM(V158:V183))</f>
        <v>-7.34</v>
      </c>
      <c r="W156" s="139"/>
      <c r="X156" s="139"/>
      <c r="Y156" s="131"/>
      <c r="Z156" s="141"/>
      <c r="AA156" s="131"/>
      <c r="AB156" s="139"/>
      <c r="AC156" s="142"/>
      <c r="AD156" s="139"/>
      <c r="AE156" s="139"/>
      <c r="AF156" s="139">
        <f t="shared" ref="AF156" si="4124">AF155-(SUM(AF158:AF183))</f>
        <v>25.3</v>
      </c>
      <c r="AG156" s="139"/>
      <c r="AH156" s="139"/>
      <c r="AI156" s="131"/>
      <c r="AJ156" s="141"/>
      <c r="AK156" s="131"/>
      <c r="AL156" s="139"/>
      <c r="AM156" s="142"/>
      <c r="AN156" s="139"/>
      <c r="AO156" s="139"/>
      <c r="AP156" s="139">
        <f t="shared" ref="AP156" si="4125">AP155-(SUM(AP158:AP183))</f>
        <v>-0.06</v>
      </c>
      <c r="AQ156" s="139"/>
      <c r="AR156" s="139"/>
      <c r="AS156" s="131"/>
      <c r="AT156" s="141"/>
      <c r="AU156" s="131"/>
      <c r="AV156" s="139"/>
      <c r="AW156" s="142"/>
      <c r="AX156" s="139"/>
      <c r="AY156" s="139"/>
      <c r="AZ156" s="139">
        <f t="shared" ref="AZ156" si="4126">AZ155-(SUM(AZ158:AZ183))</f>
        <v>0.03</v>
      </c>
      <c r="BA156" s="139"/>
      <c r="BB156" s="139"/>
      <c r="BC156" s="131"/>
      <c r="BD156" s="141"/>
      <c r="BE156" s="131"/>
      <c r="BF156" s="139"/>
      <c r="BG156" s="142"/>
      <c r="BH156" s="139"/>
      <c r="BI156" s="139"/>
      <c r="BJ156" s="139">
        <f t="shared" ref="BJ156" si="4127">BJ155-(SUM(BJ158:BJ183))</f>
        <v>31.61</v>
      </c>
      <c r="BK156" s="139"/>
      <c r="BL156" s="139"/>
      <c r="BM156" s="131"/>
      <c r="BN156" s="141"/>
      <c r="BO156" s="131"/>
      <c r="BP156" s="139"/>
      <c r="BQ156" s="142"/>
      <c r="BR156" s="139"/>
      <c r="BS156" s="139"/>
      <c r="BT156" s="139">
        <f t="shared" ref="BT156" si="4128">BT155-(SUM(BT158:BT183))</f>
        <v>-0.85</v>
      </c>
      <c r="BU156" s="139"/>
      <c r="BV156" s="139"/>
      <c r="BW156" s="131"/>
      <c r="BX156" s="141"/>
      <c r="BY156" s="131"/>
      <c r="BZ156" s="139"/>
      <c r="CA156" s="142"/>
      <c r="CB156" s="139"/>
      <c r="CC156" s="139"/>
      <c r="CD156" s="139">
        <f t="shared" ref="CD156" si="4129">CD155-(SUM(CD158:CD183))</f>
        <v>-26.51</v>
      </c>
      <c r="CE156" s="139"/>
      <c r="CF156" s="139"/>
      <c r="CG156" s="131"/>
      <c r="CH156" s="141"/>
      <c r="CI156" s="131"/>
      <c r="CJ156" s="139"/>
      <c r="CK156" s="142"/>
      <c r="CL156" s="139"/>
      <c r="CM156" s="139"/>
      <c r="CN156" s="139">
        <f t="shared" ref="CN156" si="4130">CN155-(SUM(CN158:CN183))</f>
        <v>-26.4</v>
      </c>
      <c r="CO156" s="139"/>
      <c r="CP156" s="139"/>
      <c r="CQ156" s="131"/>
      <c r="CR156" s="141"/>
      <c r="CS156" s="131"/>
      <c r="CT156" s="139"/>
      <c r="CU156" s="142"/>
      <c r="CV156" s="139"/>
      <c r="CW156" s="139"/>
      <c r="CX156" s="139">
        <f t="shared" ref="CX156" si="4131">CX155-(SUM(CX158:CX183))</f>
        <v>-63.29</v>
      </c>
      <c r="CY156" s="139"/>
      <c r="CZ156" s="139"/>
      <c r="DA156" s="131"/>
      <c r="DB156" s="141"/>
      <c r="DC156" s="131"/>
      <c r="DD156" s="139"/>
      <c r="DE156" s="142"/>
      <c r="DF156" s="139"/>
      <c r="DG156" s="139"/>
      <c r="DH156" s="139">
        <f t="shared" ref="DH156" si="4132">DH155-(SUM(DH158:DH183))</f>
        <v>-26.39</v>
      </c>
      <c r="DI156" s="139"/>
      <c r="DJ156" s="139"/>
      <c r="DK156" s="131"/>
      <c r="DL156" s="141"/>
      <c r="DM156" s="131"/>
      <c r="DN156" s="139"/>
      <c r="DO156" s="142"/>
      <c r="DP156" s="139"/>
      <c r="DQ156" s="139"/>
      <c r="DR156" s="139">
        <f t="shared" ref="DR156" si="4133">DR155-(SUM(DR158:DR183))</f>
        <v>-0.1</v>
      </c>
      <c r="DS156" s="139"/>
      <c r="DT156" s="139"/>
      <c r="DU156" s="131"/>
      <c r="DV156" s="141"/>
      <c r="DW156" s="131"/>
      <c r="DX156" s="139"/>
      <c r="DY156" s="142"/>
      <c r="DZ156" s="139"/>
      <c r="EA156" s="139"/>
      <c r="EB156" s="139">
        <f t="shared" ref="EB156" si="4134">EB155-(SUM(EB158:EB183))</f>
        <v>-52.4</v>
      </c>
      <c r="EC156" s="139"/>
      <c r="ED156" s="139"/>
      <c r="EE156" s="131"/>
      <c r="EF156" s="141"/>
      <c r="EG156" s="131"/>
      <c r="EH156" s="139"/>
      <c r="EI156" s="142"/>
      <c r="EJ156" s="139"/>
      <c r="EK156" s="139"/>
      <c r="EL156" s="139">
        <f t="shared" ref="EL156" si="4135">EL155-(SUM(EL158:EL183))</f>
        <v>42.64</v>
      </c>
      <c r="EM156" s="139"/>
      <c r="EN156" s="139"/>
      <c r="EO156" s="131"/>
      <c r="EP156" s="141"/>
      <c r="EQ156" s="131"/>
      <c r="ER156" s="139"/>
      <c r="ES156" s="142"/>
      <c r="ET156" s="139"/>
      <c r="EU156" s="139"/>
      <c r="EV156" s="139">
        <f t="shared" ref="EV156" si="4136">EV155-(SUM(EV158:EV183))</f>
        <v>71.819999999999993</v>
      </c>
      <c r="EW156" s="139"/>
      <c r="EX156" s="139"/>
      <c r="EY156" s="131"/>
      <c r="EZ156" s="141"/>
      <c r="FA156" s="131"/>
      <c r="FB156" s="139"/>
      <c r="FC156" s="142"/>
      <c r="FD156" s="139"/>
      <c r="FE156" s="139"/>
      <c r="FF156" s="139">
        <f t="shared" ref="FF156" si="4137">FF155-(SUM(FF158:FF183))</f>
        <v>-29.91</v>
      </c>
      <c r="FG156" s="139"/>
      <c r="FH156" s="139"/>
      <c r="FI156" s="131"/>
      <c r="FJ156" s="141"/>
      <c r="FK156" s="131"/>
      <c r="FL156" s="139"/>
      <c r="FM156" s="142"/>
      <c r="FN156" s="139"/>
      <c r="FO156" s="139"/>
      <c r="FP156" s="139">
        <f t="shared" ref="FP156" si="4138">FP155-(SUM(FP158:FP183))</f>
        <v>-0.56999999999999995</v>
      </c>
      <c r="FQ156" s="139"/>
      <c r="FR156" s="139"/>
      <c r="FS156" s="131"/>
      <c r="FT156" s="141"/>
      <c r="FU156" s="131"/>
      <c r="FV156" s="139"/>
      <c r="FW156" s="142"/>
      <c r="FX156" s="139"/>
      <c r="FY156" s="139"/>
      <c r="FZ156" s="139">
        <f t="shared" ref="FZ156" si="4139">FZ155-(SUM(FZ158:FZ183))</f>
        <v>25.93</v>
      </c>
      <c r="GA156" s="139"/>
      <c r="GB156" s="139"/>
      <c r="GC156" s="131"/>
      <c r="GD156" s="141"/>
      <c r="GE156" s="131"/>
      <c r="GF156" s="139"/>
      <c r="GG156" s="142"/>
      <c r="GH156" s="139"/>
      <c r="GI156" s="139"/>
      <c r="GJ156" s="139">
        <f t="shared" ref="GJ156" si="4140">GJ155-(SUM(GJ158:GJ183))</f>
        <v>0.09</v>
      </c>
      <c r="GK156" s="139"/>
      <c r="GL156" s="139"/>
      <c r="GM156" s="131"/>
      <c r="GN156" s="141"/>
      <c r="GO156" s="131"/>
      <c r="GP156" s="139"/>
      <c r="GQ156" s="142"/>
      <c r="GR156" s="139"/>
      <c r="GS156" s="139"/>
      <c r="GT156" s="139">
        <f t="shared" ref="GT156" si="4141">GT155-(SUM(GT158:GT183))</f>
        <v>36.020000000000003</v>
      </c>
      <c r="GU156" s="139"/>
      <c r="GV156" s="139"/>
      <c r="GW156" s="131"/>
      <c r="GX156" s="141"/>
      <c r="GY156" s="131"/>
      <c r="GZ156" s="139"/>
      <c r="HA156" s="142"/>
      <c r="HB156" s="139"/>
      <c r="HC156" s="139"/>
      <c r="HD156" s="139">
        <f t="shared" ref="HD156" si="4142">HD155-(SUM(HD158:HD183))</f>
        <v>-27.11</v>
      </c>
      <c r="HE156" s="139"/>
      <c r="HF156" s="139"/>
      <c r="HG156" s="131"/>
      <c r="HH156" s="141"/>
      <c r="HI156" s="131"/>
      <c r="HJ156" s="139"/>
      <c r="HK156" s="142"/>
      <c r="HL156" s="139"/>
      <c r="HM156" s="139"/>
      <c r="HN156" s="139">
        <f t="shared" ref="HN156" si="4143">HN155-(SUM(HN158:HN183))</f>
        <v>0</v>
      </c>
      <c r="HO156" s="139"/>
      <c r="HP156" s="139"/>
      <c r="HQ156" s="131"/>
      <c r="HR156" s="141"/>
      <c r="HS156" s="131"/>
      <c r="HT156" s="139"/>
      <c r="HU156" s="142"/>
      <c r="HV156" s="139"/>
      <c r="HW156" s="139"/>
      <c r="HX156" s="139">
        <f t="shared" ref="HX156" si="4144">HX155-(SUM(HX158:HX183))</f>
        <v>-69.62</v>
      </c>
      <c r="HY156" s="139"/>
      <c r="HZ156" s="139"/>
      <c r="IA156" s="131"/>
      <c r="IB156" s="141"/>
      <c r="IC156" s="131"/>
      <c r="ID156" s="139"/>
      <c r="IE156" s="142"/>
      <c r="IF156" s="139"/>
      <c r="IG156" s="139"/>
      <c r="IH156" s="139">
        <f t="shared" ref="IH156" si="4145">IH155-(SUM(IH158:IH183))</f>
        <v>31.63</v>
      </c>
      <c r="II156" s="139"/>
      <c r="IJ156" s="139"/>
      <c r="IK156" s="131"/>
      <c r="IL156" s="141"/>
      <c r="IM156" s="131"/>
      <c r="IN156" s="139"/>
      <c r="IO156" s="142"/>
      <c r="IP156" s="139"/>
      <c r="IQ156" s="139"/>
      <c r="IR156" s="139">
        <f t="shared" ref="IR156" si="4146">IR155-(SUM(IR158:IR183))</f>
        <v>-26.39</v>
      </c>
      <c r="IS156" s="139"/>
      <c r="IT156" s="139"/>
      <c r="IU156" s="131"/>
      <c r="IV156" s="141"/>
      <c r="IW156" s="131"/>
      <c r="IX156" s="139"/>
      <c r="IY156" s="142"/>
      <c r="IZ156" s="139"/>
      <c r="JA156" s="139"/>
      <c r="JB156" s="139">
        <f t="shared" ref="JB156" si="4147">JB155-(SUM(JB158:JB183))</f>
        <v>5.73</v>
      </c>
      <c r="JC156" s="139"/>
      <c r="JD156" s="139"/>
      <c r="JE156" s="131"/>
      <c r="JF156" s="141"/>
      <c r="JG156" s="131"/>
      <c r="JH156" s="139"/>
      <c r="JI156" s="142"/>
      <c r="JJ156" s="139"/>
      <c r="JK156" s="139"/>
      <c r="JL156" s="139">
        <f t="shared" ref="JL156" si="4148">JL155-(SUM(JL158:JL183))</f>
        <v>-27.09</v>
      </c>
      <c r="JM156" s="139"/>
      <c r="JN156" s="139"/>
      <c r="JO156" s="131"/>
      <c r="JP156" s="141"/>
      <c r="JQ156" s="131"/>
      <c r="JR156" s="139"/>
      <c r="JS156" s="142"/>
      <c r="JT156" s="139"/>
      <c r="JU156" s="139"/>
      <c r="JV156" s="139">
        <f t="shared" ref="JV156" si="4149">JV155-(SUM(JV158:JV183))</f>
        <v>42.28</v>
      </c>
      <c r="JW156" s="139"/>
      <c r="JX156" s="139"/>
      <c r="JY156" s="131"/>
      <c r="JZ156" s="141"/>
      <c r="KA156" s="131"/>
      <c r="KB156" s="139"/>
      <c r="KC156" s="142"/>
      <c r="KD156" s="139"/>
      <c r="KE156" s="139"/>
      <c r="KF156" s="139">
        <f t="shared" ref="KF156" si="4150">KF155-(SUM(KF158:KF183))</f>
        <v>-0.02</v>
      </c>
      <c r="KG156" s="139"/>
      <c r="KH156" s="139"/>
      <c r="KI156" s="131"/>
      <c r="KJ156" s="141"/>
      <c r="KK156" s="131"/>
      <c r="KL156" s="139"/>
      <c r="KM156" s="142"/>
      <c r="KN156" s="139"/>
      <c r="KO156" s="139"/>
      <c r="KP156" s="139">
        <f t="shared" ref="KP156" si="4151">KP155-(SUM(KP158:KP183))</f>
        <v>-35.21</v>
      </c>
      <c r="KQ156" s="139"/>
      <c r="KR156" s="139"/>
      <c r="KS156" s="131"/>
      <c r="KT156" s="141"/>
      <c r="KU156" s="131"/>
      <c r="KV156" s="139"/>
      <c r="KW156" s="142"/>
      <c r="KX156" s="139"/>
      <c r="KY156" s="139"/>
      <c r="KZ156" s="139">
        <f t="shared" ref="KZ156" si="4152">KZ155-(SUM(KZ158:KZ183))</f>
        <v>-0.01</v>
      </c>
      <c r="LA156" s="139"/>
      <c r="LB156" s="139"/>
      <c r="LC156" s="131"/>
      <c r="LD156" s="141"/>
      <c r="LE156" s="131"/>
      <c r="LF156" s="139"/>
      <c r="LG156" s="142"/>
      <c r="LH156" s="139"/>
      <c r="LI156" s="139"/>
      <c r="LJ156" s="139">
        <f>LJ155-(SUM(LJ158:LJ183))</f>
        <v>-814.02</v>
      </c>
      <c r="LK156" s="139"/>
      <c r="LL156" s="139"/>
    </row>
    <row r="157" spans="1:324" s="132" customFormat="1" hidden="1" x14ac:dyDescent="0.25">
      <c r="A157" s="244"/>
      <c r="B157" s="244" t="s">
        <v>853</v>
      </c>
      <c r="C157" s="131"/>
      <c r="D157" s="131"/>
      <c r="E157" s="131"/>
      <c r="F157" s="141"/>
      <c r="G157" s="131"/>
      <c r="H157" s="139"/>
      <c r="I157" s="142"/>
      <c r="J157" s="139"/>
      <c r="K157" s="139"/>
      <c r="L157" s="139"/>
      <c r="M157" s="139"/>
      <c r="N157" s="139"/>
      <c r="O157" s="131"/>
      <c r="P157" s="141"/>
      <c r="Q157" s="131"/>
      <c r="R157" s="139"/>
      <c r="S157" s="142"/>
      <c r="T157" s="139"/>
      <c r="U157" s="139"/>
      <c r="V157" s="139"/>
      <c r="W157" s="139"/>
      <c r="X157" s="139"/>
      <c r="Y157" s="131"/>
      <c r="Z157" s="141"/>
      <c r="AA157" s="131"/>
      <c r="AB157" s="139"/>
      <c r="AC157" s="142"/>
      <c r="AD157" s="139"/>
      <c r="AE157" s="139"/>
      <c r="AF157" s="139"/>
      <c r="AG157" s="139"/>
      <c r="AH157" s="139"/>
      <c r="AI157" s="131"/>
      <c r="AJ157" s="141"/>
      <c r="AK157" s="131"/>
      <c r="AL157" s="139"/>
      <c r="AM157" s="142"/>
      <c r="AN157" s="139"/>
      <c r="AO157" s="139"/>
      <c r="AP157" s="139"/>
      <c r="AQ157" s="139"/>
      <c r="AR157" s="139"/>
      <c r="AS157" s="131"/>
      <c r="AT157" s="141"/>
      <c r="AU157" s="131"/>
      <c r="AV157" s="139"/>
      <c r="AW157" s="142"/>
      <c r="AX157" s="139"/>
      <c r="AY157" s="139"/>
      <c r="AZ157" s="139"/>
      <c r="BA157" s="139"/>
      <c r="BB157" s="139"/>
      <c r="BC157" s="131"/>
      <c r="BD157" s="141"/>
      <c r="BE157" s="131"/>
      <c r="BF157" s="139"/>
      <c r="BG157" s="142"/>
      <c r="BH157" s="139"/>
      <c r="BI157" s="139"/>
      <c r="BJ157" s="139"/>
      <c r="BK157" s="139"/>
      <c r="BL157" s="139"/>
      <c r="BM157" s="131"/>
      <c r="BN157" s="141"/>
      <c r="BO157" s="131"/>
      <c r="BP157" s="139"/>
      <c r="BQ157" s="142"/>
      <c r="BR157" s="139"/>
      <c r="BS157" s="139"/>
      <c r="BT157" s="139"/>
      <c r="BU157" s="139"/>
      <c r="BV157" s="139"/>
      <c r="BW157" s="131"/>
      <c r="BX157" s="141"/>
      <c r="BY157" s="131"/>
      <c r="BZ157" s="139"/>
      <c r="CA157" s="142"/>
      <c r="CB157" s="139"/>
      <c r="CC157" s="139"/>
      <c r="CD157" s="139"/>
      <c r="CE157" s="139"/>
      <c r="CF157" s="139"/>
      <c r="CG157" s="131"/>
      <c r="CH157" s="141"/>
      <c r="CI157" s="131"/>
      <c r="CJ157" s="139"/>
      <c r="CK157" s="142"/>
      <c r="CL157" s="139"/>
      <c r="CM157" s="139"/>
      <c r="CN157" s="139"/>
      <c r="CO157" s="139"/>
      <c r="CP157" s="139"/>
      <c r="CQ157" s="131"/>
      <c r="CR157" s="141"/>
      <c r="CS157" s="131"/>
      <c r="CT157" s="139"/>
      <c r="CU157" s="142"/>
      <c r="CV157" s="139"/>
      <c r="CW157" s="139"/>
      <c r="CX157" s="139"/>
      <c r="CY157" s="139"/>
      <c r="CZ157" s="139"/>
      <c r="DA157" s="131"/>
      <c r="DB157" s="141"/>
      <c r="DC157" s="131"/>
      <c r="DD157" s="139"/>
      <c r="DE157" s="142"/>
      <c r="DF157" s="139"/>
      <c r="DG157" s="139"/>
      <c r="DH157" s="139"/>
      <c r="DI157" s="139"/>
      <c r="DJ157" s="139"/>
      <c r="DK157" s="131"/>
      <c r="DL157" s="141"/>
      <c r="DM157" s="131"/>
      <c r="DN157" s="139"/>
      <c r="DO157" s="142"/>
      <c r="DP157" s="139"/>
      <c r="DQ157" s="139"/>
      <c r="DR157" s="139"/>
      <c r="DS157" s="139"/>
      <c r="DT157" s="139"/>
      <c r="DU157" s="131"/>
      <c r="DV157" s="141"/>
      <c r="DW157" s="131"/>
      <c r="DX157" s="139"/>
      <c r="DY157" s="142"/>
      <c r="DZ157" s="139"/>
      <c r="EA157" s="139"/>
      <c r="EB157" s="139"/>
      <c r="EC157" s="139"/>
      <c r="ED157" s="139"/>
      <c r="EE157" s="131"/>
      <c r="EF157" s="141"/>
      <c r="EG157" s="131"/>
      <c r="EH157" s="139"/>
      <c r="EI157" s="142"/>
      <c r="EJ157" s="139"/>
      <c r="EK157" s="139"/>
      <c r="EL157" s="139"/>
      <c r="EM157" s="139"/>
      <c r="EN157" s="139"/>
      <c r="EO157" s="131"/>
      <c r="EP157" s="141"/>
      <c r="EQ157" s="131"/>
      <c r="ER157" s="139"/>
      <c r="ES157" s="142"/>
      <c r="ET157" s="139"/>
      <c r="EU157" s="139"/>
      <c r="EV157" s="139"/>
      <c r="EW157" s="139"/>
      <c r="EX157" s="139"/>
      <c r="EY157" s="131"/>
      <c r="EZ157" s="141"/>
      <c r="FA157" s="131"/>
      <c r="FB157" s="139"/>
      <c r="FC157" s="142"/>
      <c r="FD157" s="139"/>
      <c r="FE157" s="139"/>
      <c r="FF157" s="139"/>
      <c r="FG157" s="139"/>
      <c r="FH157" s="139"/>
      <c r="FI157" s="131"/>
      <c r="FJ157" s="141"/>
      <c r="FK157" s="131"/>
      <c r="FL157" s="139"/>
      <c r="FM157" s="142"/>
      <c r="FN157" s="139"/>
      <c r="FO157" s="139"/>
      <c r="FP157" s="139"/>
      <c r="FQ157" s="139"/>
      <c r="FR157" s="139"/>
      <c r="FS157" s="131"/>
      <c r="FT157" s="141"/>
      <c r="FU157" s="131"/>
      <c r="FV157" s="139"/>
      <c r="FW157" s="142"/>
      <c r="FX157" s="139"/>
      <c r="FY157" s="139"/>
      <c r="FZ157" s="139"/>
      <c r="GA157" s="139"/>
      <c r="GB157" s="139"/>
      <c r="GC157" s="131"/>
      <c r="GD157" s="141"/>
      <c r="GE157" s="131"/>
      <c r="GF157" s="139"/>
      <c r="GG157" s="142"/>
      <c r="GH157" s="139"/>
      <c r="GI157" s="139"/>
      <c r="GJ157" s="139"/>
      <c r="GK157" s="139"/>
      <c r="GL157" s="139"/>
      <c r="GM157" s="131"/>
      <c r="GN157" s="141"/>
      <c r="GO157" s="131"/>
      <c r="GP157" s="139"/>
      <c r="GQ157" s="142"/>
      <c r="GR157" s="139"/>
      <c r="GS157" s="139"/>
      <c r="GT157" s="139"/>
      <c r="GU157" s="139"/>
      <c r="GV157" s="139"/>
      <c r="GW157" s="131"/>
      <c r="GX157" s="141"/>
      <c r="GY157" s="131"/>
      <c r="GZ157" s="139"/>
      <c r="HA157" s="142"/>
      <c r="HB157" s="139"/>
      <c r="HC157" s="139"/>
      <c r="HD157" s="139"/>
      <c r="HE157" s="139"/>
      <c r="HF157" s="139"/>
      <c r="HG157" s="131"/>
      <c r="HH157" s="141"/>
      <c r="HI157" s="131"/>
      <c r="HJ157" s="139"/>
      <c r="HK157" s="142"/>
      <c r="HL157" s="139"/>
      <c r="HM157" s="139"/>
      <c r="HN157" s="139"/>
      <c r="HO157" s="139"/>
      <c r="HP157" s="139"/>
      <c r="HQ157" s="131"/>
      <c r="HR157" s="141"/>
      <c r="HS157" s="131"/>
      <c r="HT157" s="139"/>
      <c r="HU157" s="142"/>
      <c r="HV157" s="139"/>
      <c r="HW157" s="139"/>
      <c r="HX157" s="139"/>
      <c r="HY157" s="139"/>
      <c r="HZ157" s="139"/>
      <c r="IA157" s="131"/>
      <c r="IB157" s="141"/>
      <c r="IC157" s="131"/>
      <c r="ID157" s="139"/>
      <c r="IE157" s="142"/>
      <c r="IF157" s="139"/>
      <c r="IG157" s="139"/>
      <c r="IH157" s="139"/>
      <c r="II157" s="139"/>
      <c r="IJ157" s="139"/>
      <c r="IK157" s="131"/>
      <c r="IL157" s="141"/>
      <c r="IM157" s="131"/>
      <c r="IN157" s="139"/>
      <c r="IO157" s="142"/>
      <c r="IP157" s="139"/>
      <c r="IQ157" s="139"/>
      <c r="IR157" s="139"/>
      <c r="IS157" s="139"/>
      <c r="IT157" s="139"/>
      <c r="IU157" s="131"/>
      <c r="IV157" s="141"/>
      <c r="IW157" s="131"/>
      <c r="IX157" s="139"/>
      <c r="IY157" s="142"/>
      <c r="IZ157" s="139"/>
      <c r="JA157" s="139"/>
      <c r="JB157" s="139"/>
      <c r="JC157" s="139"/>
      <c r="JD157" s="139"/>
      <c r="JE157" s="131"/>
      <c r="JF157" s="141"/>
      <c r="JG157" s="131"/>
      <c r="JH157" s="139"/>
      <c r="JI157" s="142"/>
      <c r="JJ157" s="139"/>
      <c r="JK157" s="139"/>
      <c r="JL157" s="139"/>
      <c r="JM157" s="139"/>
      <c r="JN157" s="139"/>
      <c r="JO157" s="131"/>
      <c r="JP157" s="141"/>
      <c r="JQ157" s="131"/>
      <c r="JR157" s="139"/>
      <c r="JS157" s="142"/>
      <c r="JT157" s="139"/>
      <c r="JU157" s="139"/>
      <c r="JV157" s="139"/>
      <c r="JW157" s="139"/>
      <c r="JX157" s="139"/>
      <c r="JY157" s="131"/>
      <c r="JZ157" s="141"/>
      <c r="KA157" s="131"/>
      <c r="KB157" s="139"/>
      <c r="KC157" s="142"/>
      <c r="KD157" s="139"/>
      <c r="KE157" s="139"/>
      <c r="KF157" s="139"/>
      <c r="KG157" s="139"/>
      <c r="KH157" s="139"/>
      <c r="KI157" s="131"/>
      <c r="KJ157" s="141"/>
      <c r="KK157" s="131"/>
      <c r="KL157" s="139"/>
      <c r="KM157" s="142"/>
      <c r="KN157" s="139"/>
      <c r="KO157" s="139"/>
      <c r="KP157" s="139"/>
      <c r="KQ157" s="139"/>
      <c r="KR157" s="139"/>
      <c r="KS157" s="131"/>
      <c r="KT157" s="141"/>
      <c r="KU157" s="131"/>
      <c r="KV157" s="139"/>
      <c r="KW157" s="142"/>
      <c r="KX157" s="139"/>
      <c r="KY157" s="139"/>
      <c r="KZ157" s="139"/>
      <c r="LA157" s="139"/>
      <c r="LB157" s="139"/>
      <c r="LC157" s="131"/>
      <c r="LD157" s="141"/>
      <c r="LE157" s="131"/>
      <c r="LF157" s="139"/>
      <c r="LG157" s="142"/>
      <c r="LH157" s="139"/>
      <c r="LI157" s="139"/>
      <c r="LJ157" s="139"/>
      <c r="LK157" s="139"/>
      <c r="LL157" s="139"/>
    </row>
    <row r="158" spans="1:324" ht="26.25" hidden="1" customHeight="1" x14ac:dyDescent="0.25">
      <c r="A158" s="245"/>
      <c r="B158" s="12" t="s">
        <v>609</v>
      </c>
      <c r="C158" s="12" t="s">
        <v>727</v>
      </c>
      <c r="D158" s="12" t="s">
        <v>427</v>
      </c>
      <c r="E158" s="4"/>
      <c r="F158" s="198">
        <f t="shared" ref="F158:F165" si="4153">F13</f>
        <v>226</v>
      </c>
      <c r="G158" s="140"/>
      <c r="H158" s="110"/>
      <c r="I158" s="137"/>
      <c r="J158" s="97"/>
      <c r="K158" s="138">
        <f t="shared" ref="K158:L165" si="4154">K13+K42+K71+K100+K129</f>
        <v>1611.11896</v>
      </c>
      <c r="L158" s="110">
        <f t="shared" si="4154"/>
        <v>364112.89</v>
      </c>
      <c r="M158" s="110"/>
      <c r="N158" s="139"/>
      <c r="O158" s="140">
        <f t="shared" ref="O158:O183" si="4155">K158/$LI158</f>
        <v>0.57150999999999996</v>
      </c>
      <c r="P158" s="198">
        <f t="shared" ref="P158:BX165" si="4156">P13</f>
        <v>488</v>
      </c>
      <c r="Q158" s="140"/>
      <c r="R158" s="110"/>
      <c r="S158" s="137"/>
      <c r="T158" s="97"/>
      <c r="U158" s="138">
        <f t="shared" ref="U158:V158" si="4157">U13+U42+U71+U100+U129</f>
        <v>2229.3717200000001</v>
      </c>
      <c r="V158" s="110">
        <f t="shared" si="4157"/>
        <v>1087933.3999999999</v>
      </c>
      <c r="W158" s="110"/>
      <c r="X158" s="139"/>
      <c r="Y158" s="140">
        <f t="shared" ref="Y158:Y165" si="4158">U158/$LI158</f>
        <v>0.79081999999999997</v>
      </c>
      <c r="Z158" s="198">
        <f t="shared" si="4156"/>
        <v>235</v>
      </c>
      <c r="AA158" s="140"/>
      <c r="AB158" s="110"/>
      <c r="AC158" s="137"/>
      <c r="AD158" s="97"/>
      <c r="AE158" s="138">
        <f t="shared" ref="AE158:AF158" si="4159">AE13+AE42+AE71+AE100+AE129</f>
        <v>2156.3964000000001</v>
      </c>
      <c r="AF158" s="110">
        <f t="shared" si="4159"/>
        <v>506753.16</v>
      </c>
      <c r="AG158" s="110"/>
      <c r="AH158" s="139"/>
      <c r="AI158" s="140">
        <f t="shared" ref="AI158:AI165" si="4160">AE158/$LI158</f>
        <v>0.76493</v>
      </c>
      <c r="AJ158" s="198">
        <f t="shared" si="4156"/>
        <v>281</v>
      </c>
      <c r="AK158" s="140"/>
      <c r="AL158" s="110"/>
      <c r="AM158" s="137"/>
      <c r="AN158" s="97"/>
      <c r="AO158" s="138">
        <f t="shared" ref="AO158:AP158" si="4161">AO13+AO42+AO71+AO100+AO129</f>
        <v>1833.1322</v>
      </c>
      <c r="AP158" s="110">
        <f t="shared" si="4161"/>
        <v>515110.15</v>
      </c>
      <c r="AQ158" s="110"/>
      <c r="AR158" s="139"/>
      <c r="AS158" s="140">
        <f t="shared" ref="AS158:AS165" si="4162">AO158/$LI158</f>
        <v>0.65025999999999995</v>
      </c>
      <c r="AT158" s="198">
        <f t="shared" si="4156"/>
        <v>439</v>
      </c>
      <c r="AU158" s="140"/>
      <c r="AV158" s="110"/>
      <c r="AW158" s="137"/>
      <c r="AX158" s="97"/>
      <c r="AY158" s="138">
        <f t="shared" ref="AY158:AZ158" si="4163">AY13+AY42+AY71+AY100+AY129</f>
        <v>1134.05376</v>
      </c>
      <c r="AZ158" s="110">
        <f t="shared" si="4163"/>
        <v>497849.61</v>
      </c>
      <c r="BA158" s="110"/>
      <c r="BB158" s="139"/>
      <c r="BC158" s="140">
        <f t="shared" ref="BC158:BC165" si="4164">AY158/$LI158</f>
        <v>0.40228000000000003</v>
      </c>
      <c r="BD158" s="198">
        <f t="shared" si="4156"/>
        <v>347</v>
      </c>
      <c r="BE158" s="140"/>
      <c r="BF158" s="110"/>
      <c r="BG158" s="137"/>
      <c r="BH158" s="97"/>
      <c r="BI158" s="138">
        <f t="shared" ref="BI158:BJ158" si="4165">BI13+BI42+BI71+BI100+BI129</f>
        <v>2074.5564100000001</v>
      </c>
      <c r="BJ158" s="110">
        <f t="shared" si="4165"/>
        <v>719871.08</v>
      </c>
      <c r="BK158" s="110"/>
      <c r="BL158" s="139"/>
      <c r="BM158" s="140">
        <f t="shared" ref="BM158:BM165" si="4166">BI158/$LI158</f>
        <v>0.7359</v>
      </c>
      <c r="BN158" s="198">
        <f t="shared" si="4156"/>
        <v>254</v>
      </c>
      <c r="BO158" s="140"/>
      <c r="BP158" s="110"/>
      <c r="BQ158" s="137"/>
      <c r="BR158" s="97"/>
      <c r="BS158" s="138">
        <f t="shared" ref="BS158:BT158" si="4167">BS13+BS42+BS71+BS100+BS129</f>
        <v>2462.6463899999999</v>
      </c>
      <c r="BT158" s="110">
        <f t="shared" si="4167"/>
        <v>625512.17000000004</v>
      </c>
      <c r="BU158" s="110"/>
      <c r="BV158" s="139"/>
      <c r="BW158" s="140">
        <f t="shared" ref="BW158:BW165" si="4168">BS158/$LI158</f>
        <v>0.87356999999999996</v>
      </c>
      <c r="BX158" s="198">
        <f t="shared" si="4156"/>
        <v>310</v>
      </c>
      <c r="BY158" s="140"/>
      <c r="BZ158" s="110"/>
      <c r="CA158" s="137"/>
      <c r="CB158" s="97"/>
      <c r="CC158" s="138">
        <f t="shared" ref="CC158:CD158" si="4169">CC13+CC42+CC71+CC100+CC129</f>
        <v>1855.40652</v>
      </c>
      <c r="CD158" s="110">
        <f t="shared" si="4169"/>
        <v>575176.02</v>
      </c>
      <c r="CE158" s="110"/>
      <c r="CF158" s="139"/>
      <c r="CG158" s="140">
        <f t="shared" ref="CG158:CG165" si="4170">CC158/$LI158</f>
        <v>0.65815999999999997</v>
      </c>
      <c r="CH158" s="198">
        <f t="shared" ref="CH158:EP165" si="4171">CH13</f>
        <v>382</v>
      </c>
      <c r="CI158" s="140"/>
      <c r="CJ158" s="110"/>
      <c r="CK158" s="137"/>
      <c r="CL158" s="97"/>
      <c r="CM158" s="138">
        <f t="shared" ref="CM158:CN158" si="4172">CM13+CM42+CM71+CM100+CM129</f>
        <v>2328.3391499999998</v>
      </c>
      <c r="CN158" s="110">
        <f t="shared" si="4172"/>
        <v>889425.56</v>
      </c>
      <c r="CO158" s="110"/>
      <c r="CP158" s="139"/>
      <c r="CQ158" s="140">
        <f t="shared" ref="CQ158:CQ165" si="4173">CM158/$LI158</f>
        <v>0.82593000000000005</v>
      </c>
      <c r="CR158" s="198">
        <f t="shared" si="4171"/>
        <v>310</v>
      </c>
      <c r="CS158" s="140"/>
      <c r="CT158" s="110"/>
      <c r="CU158" s="137"/>
      <c r="CV158" s="97"/>
      <c r="CW158" s="138">
        <f t="shared" ref="CW158:CX158" si="4174">CW13+CW42+CW71+CW100+CW129</f>
        <v>3009.8701700000001</v>
      </c>
      <c r="CX158" s="110">
        <f t="shared" si="4174"/>
        <v>933059.76</v>
      </c>
      <c r="CY158" s="110"/>
      <c r="CZ158" s="139"/>
      <c r="DA158" s="140">
        <f t="shared" ref="DA158:DA165" si="4175">CW158/$LI158</f>
        <v>1.06769</v>
      </c>
      <c r="DB158" s="198">
        <f t="shared" si="4171"/>
        <v>357</v>
      </c>
      <c r="DC158" s="140"/>
      <c r="DD158" s="110"/>
      <c r="DE158" s="137"/>
      <c r="DF158" s="97"/>
      <c r="DG158" s="138">
        <f t="shared" ref="DG158:DH158" si="4176">DG13+DG42+DG71+DG100+DG129</f>
        <v>2512.23765</v>
      </c>
      <c r="DH158" s="110">
        <f t="shared" si="4176"/>
        <v>896868.84</v>
      </c>
      <c r="DI158" s="110"/>
      <c r="DJ158" s="139"/>
      <c r="DK158" s="140">
        <f t="shared" ref="DK158:DK165" si="4177">DG158/$LI158</f>
        <v>0.89115999999999995</v>
      </c>
      <c r="DL158" s="198">
        <f t="shared" si="4171"/>
        <v>0</v>
      </c>
      <c r="DM158" s="140"/>
      <c r="DN158" s="110"/>
      <c r="DO158" s="137"/>
      <c r="DP158" s="97"/>
      <c r="DQ158" s="138">
        <f t="shared" ref="DQ158:DR158" si="4178">DQ13+DQ42+DQ71+DQ100+DQ129</f>
        <v>0</v>
      </c>
      <c r="DR158" s="110">
        <f t="shared" si="4178"/>
        <v>0</v>
      </c>
      <c r="DS158" s="110"/>
      <c r="DT158" s="139"/>
      <c r="DU158" s="140">
        <f t="shared" ref="DU158:DU165" si="4179">DQ158/$LI158</f>
        <v>0</v>
      </c>
      <c r="DV158" s="198">
        <f t="shared" si="4171"/>
        <v>361</v>
      </c>
      <c r="DW158" s="140"/>
      <c r="DX158" s="110"/>
      <c r="DY158" s="137"/>
      <c r="DZ158" s="97"/>
      <c r="EA158" s="138">
        <f t="shared" ref="EA158:EB158" si="4180">EA13+EA42+EA71+EA100+EA129</f>
        <v>2182.06459</v>
      </c>
      <c r="EB158" s="110">
        <f t="shared" si="4180"/>
        <v>787725.32</v>
      </c>
      <c r="EC158" s="110"/>
      <c r="ED158" s="139"/>
      <c r="EE158" s="140">
        <f t="shared" ref="EE158:EE165" si="4181">EA158/$LI158</f>
        <v>0.77403999999999995</v>
      </c>
      <c r="EF158" s="198">
        <f t="shared" si="4171"/>
        <v>363</v>
      </c>
      <c r="EG158" s="140"/>
      <c r="EH158" s="110"/>
      <c r="EI158" s="137"/>
      <c r="EJ158" s="97"/>
      <c r="EK158" s="138">
        <f t="shared" ref="EK158:EL158" si="4182">EK13+EK42+EK71+EK100+EK129</f>
        <v>1819.0146299999999</v>
      </c>
      <c r="EL158" s="110">
        <f t="shared" si="4182"/>
        <v>660302.31000000006</v>
      </c>
      <c r="EM158" s="110"/>
      <c r="EN158" s="139"/>
      <c r="EO158" s="140">
        <f t="shared" ref="EO158:EO165" si="4183">EK158/$LI158</f>
        <v>0.64525999999999994</v>
      </c>
      <c r="EP158" s="198">
        <f t="shared" si="4171"/>
        <v>400</v>
      </c>
      <c r="EQ158" s="140"/>
      <c r="ER158" s="110"/>
      <c r="ES158" s="137"/>
      <c r="ET158" s="97"/>
      <c r="EU158" s="138">
        <f t="shared" ref="EU158:EV158" si="4184">EU13+EU42+EU71+EU100+EU129</f>
        <v>3155.2788599999999</v>
      </c>
      <c r="EV158" s="110">
        <f t="shared" si="4184"/>
        <v>1262111.55</v>
      </c>
      <c r="EW158" s="110"/>
      <c r="EX158" s="139"/>
      <c r="EY158" s="140">
        <f t="shared" ref="EY158:EY165" si="4185">EU158/$LI158</f>
        <v>1.11927</v>
      </c>
      <c r="EZ158" s="198">
        <f t="shared" ref="EZ158:HH165" si="4186">EZ13</f>
        <v>576</v>
      </c>
      <c r="FA158" s="140"/>
      <c r="FB158" s="110"/>
      <c r="FC158" s="137"/>
      <c r="FD158" s="97"/>
      <c r="FE158" s="138">
        <f t="shared" ref="FE158:FF158" si="4187">FE13+FE42+FE71+FE100+FE129</f>
        <v>1324.7198800000001</v>
      </c>
      <c r="FF158" s="110">
        <f t="shared" si="4187"/>
        <v>763038.64</v>
      </c>
      <c r="FG158" s="110"/>
      <c r="FH158" s="139"/>
      <c r="FI158" s="140">
        <f t="shared" ref="FI158:FI165" si="4188">FE158/$LI158</f>
        <v>0.46992</v>
      </c>
      <c r="FJ158" s="198">
        <f t="shared" si="4186"/>
        <v>408</v>
      </c>
      <c r="FK158" s="140"/>
      <c r="FL158" s="110"/>
      <c r="FM158" s="137"/>
      <c r="FN158" s="97"/>
      <c r="FO158" s="138">
        <f t="shared" ref="FO158:FP158" si="4189">FO13+FO42+FO71+FO100+FO129</f>
        <v>2727.93127</v>
      </c>
      <c r="FP158" s="110">
        <f t="shared" si="4189"/>
        <v>1112995.96</v>
      </c>
      <c r="FQ158" s="110"/>
      <c r="FR158" s="139"/>
      <c r="FS158" s="140">
        <f t="shared" ref="FS158:FS165" si="4190">FO158/$LI158</f>
        <v>0.96767000000000003</v>
      </c>
      <c r="FT158" s="198">
        <f t="shared" si="4186"/>
        <v>342</v>
      </c>
      <c r="FU158" s="140"/>
      <c r="FV158" s="110"/>
      <c r="FW158" s="137"/>
      <c r="FX158" s="97"/>
      <c r="FY158" s="138">
        <f t="shared" ref="FY158:FZ158" si="4191">FY13+FY42+FY71+FY100+FY129</f>
        <v>2618.90978</v>
      </c>
      <c r="FZ158" s="110">
        <f t="shared" si="4191"/>
        <v>895667.16</v>
      </c>
      <c r="GA158" s="110"/>
      <c r="GB158" s="139"/>
      <c r="GC158" s="140">
        <f t="shared" ref="GC158:GC165" si="4192">FY158/$LI158</f>
        <v>0.92900000000000005</v>
      </c>
      <c r="GD158" s="198">
        <f t="shared" si="4186"/>
        <v>164</v>
      </c>
      <c r="GE158" s="140"/>
      <c r="GF158" s="110"/>
      <c r="GG158" s="137"/>
      <c r="GH158" s="97"/>
      <c r="GI158" s="138">
        <f t="shared" ref="GI158:GJ158" si="4193">GI13+GI42+GI71+GI100+GI129</f>
        <v>2084.9110500000002</v>
      </c>
      <c r="GJ158" s="110">
        <f t="shared" si="4193"/>
        <v>341925.42</v>
      </c>
      <c r="GK158" s="110"/>
      <c r="GL158" s="139"/>
      <c r="GM158" s="140">
        <f t="shared" ref="GM158:GM165" si="4194">GI158/$LI158</f>
        <v>0.73958000000000002</v>
      </c>
      <c r="GN158" s="198">
        <f t="shared" si="4186"/>
        <v>353</v>
      </c>
      <c r="GO158" s="140"/>
      <c r="GP158" s="110"/>
      <c r="GQ158" s="137"/>
      <c r="GR158" s="97"/>
      <c r="GS158" s="138">
        <f t="shared" ref="GS158:GT158" si="4195">GS13+GS42+GS71+GS100+GS129</f>
        <v>3657.6887900000002</v>
      </c>
      <c r="GT158" s="110">
        <f t="shared" si="4195"/>
        <v>1291164.1399999999</v>
      </c>
      <c r="GU158" s="110"/>
      <c r="GV158" s="139"/>
      <c r="GW158" s="140">
        <f t="shared" ref="GW158:GW165" si="4196">GS158/$LI158</f>
        <v>1.29748</v>
      </c>
      <c r="GX158" s="198">
        <f t="shared" si="4186"/>
        <v>712</v>
      </c>
      <c r="GY158" s="140"/>
      <c r="GZ158" s="110"/>
      <c r="HA158" s="137"/>
      <c r="HB158" s="97"/>
      <c r="HC158" s="138">
        <f t="shared" ref="HC158:HD158" si="4197">HC13+HC42+HC71+HC100+HC129</f>
        <v>2226.8373099999999</v>
      </c>
      <c r="HD158" s="110">
        <f t="shared" si="4197"/>
        <v>1585508.17</v>
      </c>
      <c r="HE158" s="110"/>
      <c r="HF158" s="139"/>
      <c r="HG158" s="140">
        <f t="shared" ref="HG158:HG165" si="4198">HC158/$LI158</f>
        <v>0.78991999999999996</v>
      </c>
      <c r="HH158" s="198">
        <f t="shared" si="4186"/>
        <v>508</v>
      </c>
      <c r="HI158" s="140"/>
      <c r="HJ158" s="110"/>
      <c r="HK158" s="137"/>
      <c r="HL158" s="97"/>
      <c r="HM158" s="138">
        <f t="shared" ref="HM158:HN158" si="4199">HM13+HM42+HM71+HM100+HM129</f>
        <v>2418.71243</v>
      </c>
      <c r="HN158" s="110">
        <f t="shared" si="4199"/>
        <v>1228705.9099999999</v>
      </c>
      <c r="HO158" s="110"/>
      <c r="HP158" s="139"/>
      <c r="HQ158" s="140">
        <f t="shared" ref="HQ158:HQ165" si="4200">HM158/$LI158</f>
        <v>0.85799000000000003</v>
      </c>
      <c r="HR158" s="198">
        <f t="shared" ref="HR158:JZ165" si="4201">HR13</f>
        <v>331</v>
      </c>
      <c r="HS158" s="140"/>
      <c r="HT158" s="110"/>
      <c r="HU158" s="137"/>
      <c r="HV158" s="97"/>
      <c r="HW158" s="138">
        <f t="shared" ref="HW158:HX158" si="4202">HW13+HW42+HW71+HW100+HW129</f>
        <v>3247.3260500000001</v>
      </c>
      <c r="HX158" s="110">
        <f t="shared" si="4202"/>
        <v>1074864.92</v>
      </c>
      <c r="HY158" s="110"/>
      <c r="HZ158" s="139"/>
      <c r="IA158" s="140">
        <f t="shared" ref="IA158:IA165" si="4203">HW158/$LI158</f>
        <v>1.1519200000000001</v>
      </c>
      <c r="IB158" s="198">
        <f t="shared" si="4201"/>
        <v>208</v>
      </c>
      <c r="IC158" s="140"/>
      <c r="ID158" s="110"/>
      <c r="IE158" s="137"/>
      <c r="IF158" s="97"/>
      <c r="IG158" s="138">
        <f t="shared" ref="IG158:IH158" si="4204">IG13+IG42+IG71+IG100+IG129</f>
        <v>4448.4713899999997</v>
      </c>
      <c r="IH158" s="110">
        <f t="shared" si="4204"/>
        <v>925282.05</v>
      </c>
      <c r="II158" s="110"/>
      <c r="IJ158" s="139"/>
      <c r="IK158" s="140">
        <f t="shared" ref="IK158:IK165" si="4205">IG158/$LI158</f>
        <v>1.5780000000000001</v>
      </c>
      <c r="IL158" s="198">
        <f t="shared" si="4201"/>
        <v>599</v>
      </c>
      <c r="IM158" s="140"/>
      <c r="IN158" s="110"/>
      <c r="IO158" s="137"/>
      <c r="IP158" s="97"/>
      <c r="IQ158" s="138">
        <f t="shared" ref="IQ158:IR158" si="4206">IQ13+IQ42+IQ71+IQ100+IQ129</f>
        <v>1857.79144</v>
      </c>
      <c r="IR158" s="110">
        <f t="shared" si="4206"/>
        <v>1112817.07</v>
      </c>
      <c r="IS158" s="110"/>
      <c r="IT158" s="139"/>
      <c r="IU158" s="140">
        <f t="shared" ref="IU158:IU165" si="4207">IQ158/$LI158</f>
        <v>0.65900999999999998</v>
      </c>
      <c r="IV158" s="198">
        <f t="shared" si="4201"/>
        <v>297</v>
      </c>
      <c r="IW158" s="140"/>
      <c r="IX158" s="110"/>
      <c r="IY158" s="137"/>
      <c r="IZ158" s="97"/>
      <c r="JA158" s="138">
        <f t="shared" ref="JA158:JB158" si="4208">JA13+JA42+JA71+JA100+JA129</f>
        <v>2764.2267000000002</v>
      </c>
      <c r="JB158" s="110">
        <f t="shared" si="4208"/>
        <v>820975.33</v>
      </c>
      <c r="JC158" s="110"/>
      <c r="JD158" s="139"/>
      <c r="JE158" s="140">
        <f t="shared" ref="JE158:JE165" si="4209">JA158/$LI158</f>
        <v>0.98055000000000003</v>
      </c>
      <c r="JF158" s="198">
        <f t="shared" si="4201"/>
        <v>607</v>
      </c>
      <c r="JG158" s="140"/>
      <c r="JH158" s="110"/>
      <c r="JI158" s="137"/>
      <c r="JJ158" s="97"/>
      <c r="JK158" s="138">
        <f t="shared" ref="JK158:JL158" si="4210">JK13+JK42+JK71+JK100+JK129</f>
        <v>2699.8977199999999</v>
      </c>
      <c r="JL158" s="110">
        <f t="shared" si="4210"/>
        <v>1638837.91</v>
      </c>
      <c r="JM158" s="110"/>
      <c r="JN158" s="139"/>
      <c r="JO158" s="140">
        <f t="shared" ref="JO158:JO165" si="4211">JK158/$LI158</f>
        <v>0.95772999999999997</v>
      </c>
      <c r="JP158" s="198">
        <f t="shared" si="4201"/>
        <v>567</v>
      </c>
      <c r="JQ158" s="140"/>
      <c r="JR158" s="110"/>
      <c r="JS158" s="137"/>
      <c r="JT158" s="97"/>
      <c r="JU158" s="138">
        <f t="shared" ref="JU158:JV158" si="4212">JU13+JU42+JU71+JU100+JU129</f>
        <v>2956.0627100000002</v>
      </c>
      <c r="JV158" s="110">
        <f t="shared" si="4212"/>
        <v>1676087.55</v>
      </c>
      <c r="JW158" s="110"/>
      <c r="JX158" s="139"/>
      <c r="JY158" s="140">
        <f t="shared" ref="JY158:JY165" si="4213">JU158/$LI158</f>
        <v>1.0486</v>
      </c>
      <c r="JZ158" s="198">
        <f t="shared" si="4201"/>
        <v>523</v>
      </c>
      <c r="KA158" s="140"/>
      <c r="KB158" s="110"/>
      <c r="KC158" s="137"/>
      <c r="KD158" s="97"/>
      <c r="KE158" s="138">
        <f t="shared" ref="KE158:KF158" si="4214">KE13+KE42+KE71+KE100+KE129</f>
        <v>3232.5633699999998</v>
      </c>
      <c r="KF158" s="110">
        <f t="shared" si="4214"/>
        <v>1690630.64</v>
      </c>
      <c r="KG158" s="110"/>
      <c r="KH158" s="139"/>
      <c r="KI158" s="140">
        <f t="shared" ref="KI158:KI165" si="4215">KE158/$LI158</f>
        <v>1.1466799999999999</v>
      </c>
      <c r="KJ158" s="198">
        <f t="shared" ref="KJ158:KT165" si="4216">KJ13</f>
        <v>600</v>
      </c>
      <c r="KK158" s="140"/>
      <c r="KL158" s="110"/>
      <c r="KM158" s="137"/>
      <c r="KN158" s="97"/>
      <c r="KO158" s="138">
        <f t="shared" ref="KO158:KP158" si="4217">KO13+KO42+KO71+KO100+KO129</f>
        <v>2153.18163</v>
      </c>
      <c r="KP158" s="110">
        <f t="shared" si="4217"/>
        <v>1291908.98</v>
      </c>
      <c r="KQ158" s="110"/>
      <c r="KR158" s="139"/>
      <c r="KS158" s="140">
        <f t="shared" ref="KS158:KS165" si="4218">KO158/$LI158</f>
        <v>0.76378999999999997</v>
      </c>
      <c r="KT158" s="198">
        <f t="shared" si="4216"/>
        <v>553</v>
      </c>
      <c r="KU158" s="140"/>
      <c r="KV158" s="110"/>
      <c r="KW158" s="137"/>
      <c r="KX158" s="97"/>
      <c r="KY158" s="138">
        <f t="shared" ref="KY158:KZ158" si="4219">KY13+KY42+KY71+KY100+KY129</f>
        <v>12366.204449999999</v>
      </c>
      <c r="KZ158" s="110">
        <f t="shared" si="4219"/>
        <v>6838511.0700000003</v>
      </c>
      <c r="LA158" s="110"/>
      <c r="LB158" s="139"/>
      <c r="LC158" s="140">
        <f t="shared" ref="LC158:LC165" si="4220">KY158/$LI158</f>
        <v>4.3866399999999999</v>
      </c>
      <c r="LD158" s="197">
        <f t="shared" ref="LD158:LD183" si="4221">F158+P158+Z158+AJ158+AT158+BD158+BN158+BX158+CH158+CR158+DB158+DL158+DV158+EF158+EP158+EZ158+FJ158+FT158+GD158+GN158+GX158+HH158+HR158+IB158+IL158+IV158+JF158+JP158+JZ158+KJ158+KT158</f>
        <v>12101</v>
      </c>
      <c r="LE158" s="140"/>
      <c r="LF158" s="110"/>
      <c r="LG158" s="137"/>
      <c r="LH158" s="97"/>
      <c r="LI158" s="138">
        <f t="shared" ref="LI158:LJ165" si="4222">LI13+LI42+LI71+LI100+LI129</f>
        <v>2819.0607500000001</v>
      </c>
      <c r="LJ158" s="110">
        <f t="shared" si="4222"/>
        <v>34113454.140000001</v>
      </c>
      <c r="LK158" s="110"/>
      <c r="LL158" s="139"/>
    </row>
    <row r="159" spans="1:324" ht="26.25" hidden="1" customHeight="1" x14ac:dyDescent="0.25">
      <c r="A159" s="246"/>
      <c r="B159" s="92" t="s">
        <v>610</v>
      </c>
      <c r="C159" s="12" t="s">
        <v>728</v>
      </c>
      <c r="D159" s="12" t="s">
        <v>430</v>
      </c>
      <c r="E159" s="4"/>
      <c r="F159" s="198">
        <f t="shared" si="4153"/>
        <v>0</v>
      </c>
      <c r="G159" s="140"/>
      <c r="H159" s="110"/>
      <c r="I159" s="137"/>
      <c r="J159" s="97"/>
      <c r="K159" s="138">
        <f t="shared" si="4154"/>
        <v>0</v>
      </c>
      <c r="L159" s="110">
        <f t="shared" si="4154"/>
        <v>0</v>
      </c>
      <c r="M159" s="110"/>
      <c r="N159" s="139"/>
      <c r="O159" s="140" t="e">
        <f t="shared" si="4155"/>
        <v>#DIV/0!</v>
      </c>
      <c r="P159" s="198">
        <f t="shared" si="4156"/>
        <v>0</v>
      </c>
      <c r="Q159" s="140"/>
      <c r="R159" s="110"/>
      <c r="S159" s="137"/>
      <c r="T159" s="97"/>
      <c r="U159" s="138">
        <f t="shared" ref="U159:V159" si="4223">U14+U43+U72+U101+U130</f>
        <v>0</v>
      </c>
      <c r="V159" s="110">
        <f t="shared" si="4223"/>
        <v>0</v>
      </c>
      <c r="W159" s="110"/>
      <c r="X159" s="139"/>
      <c r="Y159" s="140" t="e">
        <f t="shared" si="4158"/>
        <v>#DIV/0!</v>
      </c>
      <c r="Z159" s="198">
        <f t="shared" si="4156"/>
        <v>0</v>
      </c>
      <c r="AA159" s="140"/>
      <c r="AB159" s="110"/>
      <c r="AC159" s="137"/>
      <c r="AD159" s="97"/>
      <c r="AE159" s="138">
        <f t="shared" ref="AE159:AF159" si="4224">AE14+AE43+AE72+AE101+AE130</f>
        <v>0</v>
      </c>
      <c r="AF159" s="110">
        <f t="shared" si="4224"/>
        <v>0</v>
      </c>
      <c r="AG159" s="110"/>
      <c r="AH159" s="139"/>
      <c r="AI159" s="140" t="e">
        <f t="shared" si="4160"/>
        <v>#DIV/0!</v>
      </c>
      <c r="AJ159" s="198">
        <f t="shared" si="4156"/>
        <v>0</v>
      </c>
      <c r="AK159" s="140"/>
      <c r="AL159" s="110"/>
      <c r="AM159" s="137"/>
      <c r="AN159" s="97"/>
      <c r="AO159" s="138">
        <f t="shared" ref="AO159:AP159" si="4225">AO14+AO43+AO72+AO101+AO130</f>
        <v>0</v>
      </c>
      <c r="AP159" s="110">
        <f t="shared" si="4225"/>
        <v>0</v>
      </c>
      <c r="AQ159" s="110"/>
      <c r="AR159" s="139"/>
      <c r="AS159" s="140" t="e">
        <f t="shared" si="4162"/>
        <v>#DIV/0!</v>
      </c>
      <c r="AT159" s="198">
        <f t="shared" si="4156"/>
        <v>0</v>
      </c>
      <c r="AU159" s="140"/>
      <c r="AV159" s="110"/>
      <c r="AW159" s="137"/>
      <c r="AX159" s="97"/>
      <c r="AY159" s="138">
        <f t="shared" ref="AY159:AZ159" si="4226">AY14+AY43+AY72+AY101+AY130</f>
        <v>0</v>
      </c>
      <c r="AZ159" s="110">
        <f t="shared" si="4226"/>
        <v>0</v>
      </c>
      <c r="BA159" s="110"/>
      <c r="BB159" s="139"/>
      <c r="BC159" s="140" t="e">
        <f t="shared" si="4164"/>
        <v>#DIV/0!</v>
      </c>
      <c r="BD159" s="198">
        <f t="shared" si="4156"/>
        <v>0</v>
      </c>
      <c r="BE159" s="140"/>
      <c r="BF159" s="110"/>
      <c r="BG159" s="137"/>
      <c r="BH159" s="97"/>
      <c r="BI159" s="138">
        <f t="shared" ref="BI159:BJ159" si="4227">BI14+BI43+BI72+BI101+BI130</f>
        <v>0</v>
      </c>
      <c r="BJ159" s="110">
        <f t="shared" si="4227"/>
        <v>0</v>
      </c>
      <c r="BK159" s="110"/>
      <c r="BL159" s="139"/>
      <c r="BM159" s="140" t="e">
        <f t="shared" si="4166"/>
        <v>#DIV/0!</v>
      </c>
      <c r="BN159" s="198">
        <f t="shared" si="4156"/>
        <v>0</v>
      </c>
      <c r="BO159" s="140"/>
      <c r="BP159" s="110"/>
      <c r="BQ159" s="137"/>
      <c r="BR159" s="97"/>
      <c r="BS159" s="138">
        <f t="shared" ref="BS159:BT159" si="4228">BS14+BS43+BS72+BS101+BS130</f>
        <v>0</v>
      </c>
      <c r="BT159" s="110">
        <f t="shared" si="4228"/>
        <v>0</v>
      </c>
      <c r="BU159" s="110"/>
      <c r="BV159" s="139"/>
      <c r="BW159" s="140" t="e">
        <f t="shared" si="4168"/>
        <v>#DIV/0!</v>
      </c>
      <c r="BX159" s="198">
        <f t="shared" si="4156"/>
        <v>0</v>
      </c>
      <c r="BY159" s="140"/>
      <c r="BZ159" s="110"/>
      <c r="CA159" s="137"/>
      <c r="CB159" s="97"/>
      <c r="CC159" s="138">
        <f t="shared" ref="CC159:CD159" si="4229">CC14+CC43+CC72+CC101+CC130</f>
        <v>0</v>
      </c>
      <c r="CD159" s="110">
        <f t="shared" si="4229"/>
        <v>0</v>
      </c>
      <c r="CE159" s="110"/>
      <c r="CF159" s="139"/>
      <c r="CG159" s="140" t="e">
        <f t="shared" si="4170"/>
        <v>#DIV/0!</v>
      </c>
      <c r="CH159" s="198">
        <f t="shared" si="4171"/>
        <v>0</v>
      </c>
      <c r="CI159" s="140"/>
      <c r="CJ159" s="110"/>
      <c r="CK159" s="137"/>
      <c r="CL159" s="97"/>
      <c r="CM159" s="138">
        <f t="shared" ref="CM159:CN159" si="4230">CM14+CM43+CM72+CM101+CM130</f>
        <v>0</v>
      </c>
      <c r="CN159" s="110">
        <f t="shared" si="4230"/>
        <v>0</v>
      </c>
      <c r="CO159" s="110"/>
      <c r="CP159" s="139"/>
      <c r="CQ159" s="140" t="e">
        <f t="shared" si="4173"/>
        <v>#DIV/0!</v>
      </c>
      <c r="CR159" s="198">
        <f t="shared" si="4171"/>
        <v>0</v>
      </c>
      <c r="CS159" s="140"/>
      <c r="CT159" s="110"/>
      <c r="CU159" s="137"/>
      <c r="CV159" s="97"/>
      <c r="CW159" s="138">
        <f t="shared" ref="CW159:CX159" si="4231">CW14+CW43+CW72+CW101+CW130</f>
        <v>0</v>
      </c>
      <c r="CX159" s="110">
        <f t="shared" si="4231"/>
        <v>0</v>
      </c>
      <c r="CY159" s="110"/>
      <c r="CZ159" s="139"/>
      <c r="DA159" s="140" t="e">
        <f t="shared" si="4175"/>
        <v>#DIV/0!</v>
      </c>
      <c r="DB159" s="198">
        <f t="shared" si="4171"/>
        <v>0</v>
      </c>
      <c r="DC159" s="140"/>
      <c r="DD159" s="110"/>
      <c r="DE159" s="137"/>
      <c r="DF159" s="97"/>
      <c r="DG159" s="138">
        <f t="shared" ref="DG159:DH159" si="4232">DG14+DG43+DG72+DG101+DG130</f>
        <v>0</v>
      </c>
      <c r="DH159" s="110">
        <f t="shared" si="4232"/>
        <v>0</v>
      </c>
      <c r="DI159" s="110"/>
      <c r="DJ159" s="139"/>
      <c r="DK159" s="140" t="e">
        <f t="shared" si="4177"/>
        <v>#DIV/0!</v>
      </c>
      <c r="DL159" s="198">
        <f t="shared" si="4171"/>
        <v>0</v>
      </c>
      <c r="DM159" s="140"/>
      <c r="DN159" s="110"/>
      <c r="DO159" s="137"/>
      <c r="DP159" s="97"/>
      <c r="DQ159" s="138">
        <f t="shared" ref="DQ159:DR159" si="4233">DQ14+DQ43+DQ72+DQ101+DQ130</f>
        <v>0</v>
      </c>
      <c r="DR159" s="110">
        <f t="shared" si="4233"/>
        <v>0</v>
      </c>
      <c r="DS159" s="110"/>
      <c r="DT159" s="139"/>
      <c r="DU159" s="140" t="e">
        <f t="shared" si="4179"/>
        <v>#DIV/0!</v>
      </c>
      <c r="DV159" s="198">
        <f t="shared" si="4171"/>
        <v>0</v>
      </c>
      <c r="DW159" s="140"/>
      <c r="DX159" s="110"/>
      <c r="DY159" s="137"/>
      <c r="DZ159" s="97"/>
      <c r="EA159" s="138">
        <f t="shared" ref="EA159:EB159" si="4234">EA14+EA43+EA72+EA101+EA130</f>
        <v>0</v>
      </c>
      <c r="EB159" s="110">
        <f t="shared" si="4234"/>
        <v>0</v>
      </c>
      <c r="EC159" s="110"/>
      <c r="ED159" s="139"/>
      <c r="EE159" s="140" t="e">
        <f t="shared" si="4181"/>
        <v>#DIV/0!</v>
      </c>
      <c r="EF159" s="198">
        <f t="shared" si="4171"/>
        <v>0</v>
      </c>
      <c r="EG159" s="140"/>
      <c r="EH159" s="110"/>
      <c r="EI159" s="137"/>
      <c r="EJ159" s="97"/>
      <c r="EK159" s="138">
        <f t="shared" ref="EK159:EL159" si="4235">EK14+EK43+EK72+EK101+EK130</f>
        <v>0</v>
      </c>
      <c r="EL159" s="110">
        <f t="shared" si="4235"/>
        <v>0</v>
      </c>
      <c r="EM159" s="110"/>
      <c r="EN159" s="139"/>
      <c r="EO159" s="140" t="e">
        <f t="shared" si="4183"/>
        <v>#DIV/0!</v>
      </c>
      <c r="EP159" s="198">
        <f t="shared" si="4171"/>
        <v>0</v>
      </c>
      <c r="EQ159" s="140"/>
      <c r="ER159" s="110"/>
      <c r="ES159" s="137"/>
      <c r="ET159" s="97"/>
      <c r="EU159" s="138">
        <f t="shared" ref="EU159:EV159" si="4236">EU14+EU43+EU72+EU101+EU130</f>
        <v>0</v>
      </c>
      <c r="EV159" s="110">
        <f t="shared" si="4236"/>
        <v>0</v>
      </c>
      <c r="EW159" s="110"/>
      <c r="EX159" s="139"/>
      <c r="EY159" s="140" t="e">
        <f t="shared" si="4185"/>
        <v>#DIV/0!</v>
      </c>
      <c r="EZ159" s="198">
        <f t="shared" si="4186"/>
        <v>0</v>
      </c>
      <c r="FA159" s="140"/>
      <c r="FB159" s="110"/>
      <c r="FC159" s="137"/>
      <c r="FD159" s="97"/>
      <c r="FE159" s="138">
        <f t="shared" ref="FE159:FF159" si="4237">FE14+FE43+FE72+FE101+FE130</f>
        <v>0</v>
      </c>
      <c r="FF159" s="110">
        <f t="shared" si="4237"/>
        <v>0</v>
      </c>
      <c r="FG159" s="110"/>
      <c r="FH159" s="139"/>
      <c r="FI159" s="140" t="e">
        <f t="shared" si="4188"/>
        <v>#DIV/0!</v>
      </c>
      <c r="FJ159" s="198">
        <f t="shared" si="4186"/>
        <v>0</v>
      </c>
      <c r="FK159" s="140"/>
      <c r="FL159" s="110"/>
      <c r="FM159" s="137"/>
      <c r="FN159" s="97"/>
      <c r="FO159" s="138">
        <f t="shared" ref="FO159:FP159" si="4238">FO14+FO43+FO72+FO101+FO130</f>
        <v>0</v>
      </c>
      <c r="FP159" s="110">
        <f t="shared" si="4238"/>
        <v>0</v>
      </c>
      <c r="FQ159" s="110"/>
      <c r="FR159" s="139"/>
      <c r="FS159" s="140" t="e">
        <f t="shared" si="4190"/>
        <v>#DIV/0!</v>
      </c>
      <c r="FT159" s="198">
        <f t="shared" si="4186"/>
        <v>0</v>
      </c>
      <c r="FU159" s="140"/>
      <c r="FV159" s="110"/>
      <c r="FW159" s="137"/>
      <c r="FX159" s="97"/>
      <c r="FY159" s="138">
        <f t="shared" ref="FY159:FZ159" si="4239">FY14+FY43+FY72+FY101+FY130</f>
        <v>0</v>
      </c>
      <c r="FZ159" s="110">
        <f t="shared" si="4239"/>
        <v>0</v>
      </c>
      <c r="GA159" s="110"/>
      <c r="GB159" s="139"/>
      <c r="GC159" s="140" t="e">
        <f t="shared" si="4192"/>
        <v>#DIV/0!</v>
      </c>
      <c r="GD159" s="198">
        <f t="shared" si="4186"/>
        <v>0</v>
      </c>
      <c r="GE159" s="140"/>
      <c r="GF159" s="110"/>
      <c r="GG159" s="137"/>
      <c r="GH159" s="97"/>
      <c r="GI159" s="138">
        <f t="shared" ref="GI159:GJ159" si="4240">GI14+GI43+GI72+GI101+GI130</f>
        <v>0</v>
      </c>
      <c r="GJ159" s="110">
        <f t="shared" si="4240"/>
        <v>0</v>
      </c>
      <c r="GK159" s="110"/>
      <c r="GL159" s="139"/>
      <c r="GM159" s="140" t="e">
        <f t="shared" si="4194"/>
        <v>#DIV/0!</v>
      </c>
      <c r="GN159" s="198">
        <f t="shared" si="4186"/>
        <v>0</v>
      </c>
      <c r="GO159" s="140"/>
      <c r="GP159" s="110"/>
      <c r="GQ159" s="137"/>
      <c r="GR159" s="97"/>
      <c r="GS159" s="138">
        <f t="shared" ref="GS159:GT159" si="4241">GS14+GS43+GS72+GS101+GS130</f>
        <v>0</v>
      </c>
      <c r="GT159" s="110">
        <f t="shared" si="4241"/>
        <v>0</v>
      </c>
      <c r="GU159" s="110"/>
      <c r="GV159" s="139"/>
      <c r="GW159" s="140" t="e">
        <f t="shared" si="4196"/>
        <v>#DIV/0!</v>
      </c>
      <c r="GX159" s="198">
        <f t="shared" si="4186"/>
        <v>0</v>
      </c>
      <c r="GY159" s="140"/>
      <c r="GZ159" s="110"/>
      <c r="HA159" s="137"/>
      <c r="HB159" s="97"/>
      <c r="HC159" s="138">
        <f t="shared" ref="HC159:HD159" si="4242">HC14+HC43+HC72+HC101+HC130</f>
        <v>0</v>
      </c>
      <c r="HD159" s="110">
        <f t="shared" si="4242"/>
        <v>0</v>
      </c>
      <c r="HE159" s="110"/>
      <c r="HF159" s="139"/>
      <c r="HG159" s="140" t="e">
        <f t="shared" si="4198"/>
        <v>#DIV/0!</v>
      </c>
      <c r="HH159" s="198">
        <f t="shared" si="4186"/>
        <v>0</v>
      </c>
      <c r="HI159" s="140"/>
      <c r="HJ159" s="110"/>
      <c r="HK159" s="137"/>
      <c r="HL159" s="97"/>
      <c r="HM159" s="138">
        <f t="shared" ref="HM159:HN159" si="4243">HM14+HM43+HM72+HM101+HM130</f>
        <v>0</v>
      </c>
      <c r="HN159" s="110">
        <f t="shared" si="4243"/>
        <v>0</v>
      </c>
      <c r="HO159" s="110"/>
      <c r="HP159" s="139"/>
      <c r="HQ159" s="140" t="e">
        <f t="shared" si="4200"/>
        <v>#DIV/0!</v>
      </c>
      <c r="HR159" s="198">
        <f t="shared" si="4201"/>
        <v>0</v>
      </c>
      <c r="HS159" s="140"/>
      <c r="HT159" s="110"/>
      <c r="HU159" s="137"/>
      <c r="HV159" s="97"/>
      <c r="HW159" s="138">
        <f t="shared" ref="HW159:HX159" si="4244">HW14+HW43+HW72+HW101+HW130</f>
        <v>0</v>
      </c>
      <c r="HX159" s="110">
        <f t="shared" si="4244"/>
        <v>0</v>
      </c>
      <c r="HY159" s="110"/>
      <c r="HZ159" s="139"/>
      <c r="IA159" s="140" t="e">
        <f t="shared" si="4203"/>
        <v>#DIV/0!</v>
      </c>
      <c r="IB159" s="198">
        <f t="shared" si="4201"/>
        <v>0</v>
      </c>
      <c r="IC159" s="140"/>
      <c r="ID159" s="110"/>
      <c r="IE159" s="137"/>
      <c r="IF159" s="97"/>
      <c r="IG159" s="138">
        <f t="shared" ref="IG159:IH159" si="4245">IG14+IG43+IG72+IG101+IG130</f>
        <v>0</v>
      </c>
      <c r="IH159" s="110">
        <f t="shared" si="4245"/>
        <v>0</v>
      </c>
      <c r="II159" s="110"/>
      <c r="IJ159" s="139"/>
      <c r="IK159" s="140" t="e">
        <f t="shared" si="4205"/>
        <v>#DIV/0!</v>
      </c>
      <c r="IL159" s="198">
        <f t="shared" si="4201"/>
        <v>0</v>
      </c>
      <c r="IM159" s="140"/>
      <c r="IN159" s="110"/>
      <c r="IO159" s="137"/>
      <c r="IP159" s="97"/>
      <c r="IQ159" s="138">
        <f t="shared" ref="IQ159:IR159" si="4246">IQ14+IQ43+IQ72+IQ101+IQ130</f>
        <v>0</v>
      </c>
      <c r="IR159" s="110">
        <f t="shared" si="4246"/>
        <v>0</v>
      </c>
      <c r="IS159" s="110"/>
      <c r="IT159" s="139"/>
      <c r="IU159" s="140" t="e">
        <f t="shared" si="4207"/>
        <v>#DIV/0!</v>
      </c>
      <c r="IV159" s="198">
        <f t="shared" si="4201"/>
        <v>0</v>
      </c>
      <c r="IW159" s="140"/>
      <c r="IX159" s="110"/>
      <c r="IY159" s="137"/>
      <c r="IZ159" s="97"/>
      <c r="JA159" s="138">
        <f t="shared" ref="JA159:JB159" si="4247">JA14+JA43+JA72+JA101+JA130</f>
        <v>0</v>
      </c>
      <c r="JB159" s="110">
        <f t="shared" si="4247"/>
        <v>0</v>
      </c>
      <c r="JC159" s="110"/>
      <c r="JD159" s="139"/>
      <c r="JE159" s="140" t="e">
        <f t="shared" si="4209"/>
        <v>#DIV/0!</v>
      </c>
      <c r="JF159" s="198">
        <f t="shared" si="4201"/>
        <v>0</v>
      </c>
      <c r="JG159" s="140"/>
      <c r="JH159" s="110"/>
      <c r="JI159" s="137"/>
      <c r="JJ159" s="97"/>
      <c r="JK159" s="138">
        <f t="shared" ref="JK159:JL159" si="4248">JK14+JK43+JK72+JK101+JK130</f>
        <v>0</v>
      </c>
      <c r="JL159" s="110">
        <f t="shared" si="4248"/>
        <v>0</v>
      </c>
      <c r="JM159" s="110"/>
      <c r="JN159" s="139"/>
      <c r="JO159" s="140" t="e">
        <f t="shared" si="4211"/>
        <v>#DIV/0!</v>
      </c>
      <c r="JP159" s="198">
        <f t="shared" si="4201"/>
        <v>0</v>
      </c>
      <c r="JQ159" s="140"/>
      <c r="JR159" s="110"/>
      <c r="JS159" s="137"/>
      <c r="JT159" s="97"/>
      <c r="JU159" s="138">
        <f t="shared" ref="JU159:JV159" si="4249">JU14+JU43+JU72+JU101+JU130</f>
        <v>0</v>
      </c>
      <c r="JV159" s="110">
        <f t="shared" si="4249"/>
        <v>0</v>
      </c>
      <c r="JW159" s="110"/>
      <c r="JX159" s="139"/>
      <c r="JY159" s="140" t="e">
        <f t="shared" si="4213"/>
        <v>#DIV/0!</v>
      </c>
      <c r="JZ159" s="198">
        <f t="shared" si="4201"/>
        <v>0</v>
      </c>
      <c r="KA159" s="140"/>
      <c r="KB159" s="110"/>
      <c r="KC159" s="137"/>
      <c r="KD159" s="97"/>
      <c r="KE159" s="138">
        <f t="shared" ref="KE159:KF159" si="4250">KE14+KE43+KE72+KE101+KE130</f>
        <v>0</v>
      </c>
      <c r="KF159" s="110">
        <f t="shared" si="4250"/>
        <v>0</v>
      </c>
      <c r="KG159" s="110"/>
      <c r="KH159" s="139"/>
      <c r="KI159" s="140" t="e">
        <f t="shared" si="4215"/>
        <v>#DIV/0!</v>
      </c>
      <c r="KJ159" s="198">
        <f t="shared" si="4216"/>
        <v>0</v>
      </c>
      <c r="KK159" s="140"/>
      <c r="KL159" s="110"/>
      <c r="KM159" s="137"/>
      <c r="KN159" s="97"/>
      <c r="KO159" s="138">
        <f t="shared" ref="KO159:KP159" si="4251">KO14+KO43+KO72+KO101+KO130</f>
        <v>0</v>
      </c>
      <c r="KP159" s="110">
        <f t="shared" si="4251"/>
        <v>0</v>
      </c>
      <c r="KQ159" s="110"/>
      <c r="KR159" s="139"/>
      <c r="KS159" s="140" t="e">
        <f t="shared" si="4218"/>
        <v>#DIV/0!</v>
      </c>
      <c r="KT159" s="198">
        <f t="shared" si="4216"/>
        <v>0</v>
      </c>
      <c r="KU159" s="140"/>
      <c r="KV159" s="110"/>
      <c r="KW159" s="137"/>
      <c r="KX159" s="97"/>
      <c r="KY159" s="138">
        <f t="shared" ref="KY159:KZ159" si="4252">KY14+KY43+KY72+KY101+KY130</f>
        <v>0</v>
      </c>
      <c r="KZ159" s="110">
        <f t="shared" si="4252"/>
        <v>0</v>
      </c>
      <c r="LA159" s="110"/>
      <c r="LB159" s="139"/>
      <c r="LC159" s="140" t="e">
        <f t="shared" si="4220"/>
        <v>#DIV/0!</v>
      </c>
      <c r="LD159" s="197">
        <f t="shared" si="4221"/>
        <v>0</v>
      </c>
      <c r="LE159" s="140"/>
      <c r="LF159" s="110"/>
      <c r="LG159" s="137"/>
      <c r="LH159" s="97"/>
      <c r="LI159" s="138">
        <f t="shared" si="4222"/>
        <v>0</v>
      </c>
      <c r="LJ159" s="110">
        <f t="shared" si="4222"/>
        <v>0</v>
      </c>
      <c r="LK159" s="110"/>
      <c r="LL159" s="139"/>
    </row>
    <row r="160" spans="1:324" ht="27.75" hidden="1" customHeight="1" x14ac:dyDescent="0.25">
      <c r="A160" s="246"/>
      <c r="B160" s="12" t="s">
        <v>625</v>
      </c>
      <c r="C160" s="12" t="s">
        <v>727</v>
      </c>
      <c r="D160" s="12" t="s">
        <v>427</v>
      </c>
      <c r="E160" s="4"/>
      <c r="F160" s="198">
        <f t="shared" si="4153"/>
        <v>0</v>
      </c>
      <c r="G160" s="140"/>
      <c r="H160" s="110"/>
      <c r="I160" s="137"/>
      <c r="J160" s="97"/>
      <c r="K160" s="138">
        <f t="shared" si="4154"/>
        <v>0</v>
      </c>
      <c r="L160" s="110">
        <f t="shared" si="4154"/>
        <v>0</v>
      </c>
      <c r="M160" s="110"/>
      <c r="N160" s="139"/>
      <c r="O160" s="140">
        <f t="shared" si="4155"/>
        <v>0</v>
      </c>
      <c r="P160" s="198">
        <f t="shared" si="4156"/>
        <v>0</v>
      </c>
      <c r="Q160" s="140"/>
      <c r="R160" s="110"/>
      <c r="S160" s="137"/>
      <c r="T160" s="97"/>
      <c r="U160" s="138">
        <f t="shared" ref="U160:V160" si="4253">U15+U44+U73+U102+U131</f>
        <v>0</v>
      </c>
      <c r="V160" s="110">
        <f t="shared" si="4253"/>
        <v>0</v>
      </c>
      <c r="W160" s="110"/>
      <c r="X160" s="139"/>
      <c r="Y160" s="140">
        <f t="shared" si="4158"/>
        <v>0</v>
      </c>
      <c r="Z160" s="198">
        <f t="shared" si="4156"/>
        <v>0</v>
      </c>
      <c r="AA160" s="140"/>
      <c r="AB160" s="110"/>
      <c r="AC160" s="137"/>
      <c r="AD160" s="97"/>
      <c r="AE160" s="138">
        <f t="shared" ref="AE160:AF160" si="4254">AE15+AE44+AE73+AE102+AE131</f>
        <v>0</v>
      </c>
      <c r="AF160" s="110">
        <f t="shared" si="4254"/>
        <v>0</v>
      </c>
      <c r="AG160" s="110"/>
      <c r="AH160" s="139"/>
      <c r="AI160" s="140">
        <f t="shared" si="4160"/>
        <v>0</v>
      </c>
      <c r="AJ160" s="198">
        <f t="shared" si="4156"/>
        <v>25</v>
      </c>
      <c r="AK160" s="140"/>
      <c r="AL160" s="110"/>
      <c r="AM160" s="137"/>
      <c r="AN160" s="97"/>
      <c r="AO160" s="138">
        <f t="shared" ref="AO160:AP160" si="4255">AO15+AO44+AO73+AO102+AO131</f>
        <v>1833.2420400000001</v>
      </c>
      <c r="AP160" s="110">
        <f t="shared" si="4255"/>
        <v>45831.040000000001</v>
      </c>
      <c r="AQ160" s="110"/>
      <c r="AR160" s="139"/>
      <c r="AS160" s="140">
        <f t="shared" si="4162"/>
        <v>0.65046000000000004</v>
      </c>
      <c r="AT160" s="198">
        <f t="shared" si="4156"/>
        <v>0</v>
      </c>
      <c r="AU160" s="140"/>
      <c r="AV160" s="110"/>
      <c r="AW160" s="137"/>
      <c r="AX160" s="97"/>
      <c r="AY160" s="138">
        <f t="shared" ref="AY160:AZ160" si="4256">AY15+AY44+AY73+AY102+AY131</f>
        <v>0</v>
      </c>
      <c r="AZ160" s="110">
        <f t="shared" si="4256"/>
        <v>0</v>
      </c>
      <c r="BA160" s="110"/>
      <c r="BB160" s="139"/>
      <c r="BC160" s="140">
        <f t="shared" si="4164"/>
        <v>0</v>
      </c>
      <c r="BD160" s="198">
        <f t="shared" si="4156"/>
        <v>0</v>
      </c>
      <c r="BE160" s="140"/>
      <c r="BF160" s="110"/>
      <c r="BG160" s="137"/>
      <c r="BH160" s="97"/>
      <c r="BI160" s="138">
        <f t="shared" ref="BI160:BJ160" si="4257">BI15+BI44+BI73+BI102+BI131</f>
        <v>0</v>
      </c>
      <c r="BJ160" s="110">
        <f t="shared" si="4257"/>
        <v>0</v>
      </c>
      <c r="BK160" s="110"/>
      <c r="BL160" s="139"/>
      <c r="BM160" s="140">
        <f t="shared" si="4166"/>
        <v>0</v>
      </c>
      <c r="BN160" s="198">
        <f t="shared" si="4156"/>
        <v>0</v>
      </c>
      <c r="BO160" s="140"/>
      <c r="BP160" s="110"/>
      <c r="BQ160" s="137"/>
      <c r="BR160" s="97"/>
      <c r="BS160" s="138">
        <f t="shared" ref="BS160:BT160" si="4258">BS15+BS44+BS73+BS102+BS131</f>
        <v>0</v>
      </c>
      <c r="BT160" s="110">
        <f t="shared" si="4258"/>
        <v>0</v>
      </c>
      <c r="BU160" s="110"/>
      <c r="BV160" s="139"/>
      <c r="BW160" s="140">
        <f t="shared" si="4168"/>
        <v>0</v>
      </c>
      <c r="BX160" s="198">
        <f t="shared" si="4156"/>
        <v>0</v>
      </c>
      <c r="BY160" s="140"/>
      <c r="BZ160" s="110"/>
      <c r="CA160" s="137"/>
      <c r="CB160" s="97"/>
      <c r="CC160" s="138">
        <f t="shared" ref="CC160:CD160" si="4259">CC15+CC44+CC73+CC102+CC131</f>
        <v>0</v>
      </c>
      <c r="CD160" s="110">
        <f t="shared" si="4259"/>
        <v>0</v>
      </c>
      <c r="CE160" s="110"/>
      <c r="CF160" s="139"/>
      <c r="CG160" s="140">
        <f t="shared" si="4170"/>
        <v>0</v>
      </c>
      <c r="CH160" s="198">
        <f t="shared" si="4171"/>
        <v>0</v>
      </c>
      <c r="CI160" s="140"/>
      <c r="CJ160" s="110"/>
      <c r="CK160" s="137"/>
      <c r="CL160" s="97"/>
      <c r="CM160" s="138">
        <f t="shared" ref="CM160:CN160" si="4260">CM15+CM44+CM73+CM102+CM131</f>
        <v>0</v>
      </c>
      <c r="CN160" s="110">
        <f t="shared" si="4260"/>
        <v>0</v>
      </c>
      <c r="CO160" s="110"/>
      <c r="CP160" s="139"/>
      <c r="CQ160" s="140">
        <f t="shared" si="4173"/>
        <v>0</v>
      </c>
      <c r="CR160" s="198">
        <f t="shared" si="4171"/>
        <v>8</v>
      </c>
      <c r="CS160" s="140"/>
      <c r="CT160" s="110"/>
      <c r="CU160" s="137"/>
      <c r="CV160" s="97"/>
      <c r="CW160" s="138">
        <f t="shared" ref="CW160:CX160" si="4261">CW15+CW44+CW73+CW102+CW131</f>
        <v>3011.0126</v>
      </c>
      <c r="CX160" s="110">
        <f t="shared" si="4261"/>
        <v>24088.11</v>
      </c>
      <c r="CY160" s="110"/>
      <c r="CZ160" s="139"/>
      <c r="DA160" s="140">
        <f t="shared" si="4175"/>
        <v>1.0683400000000001</v>
      </c>
      <c r="DB160" s="198">
        <f t="shared" si="4171"/>
        <v>0</v>
      </c>
      <c r="DC160" s="140"/>
      <c r="DD160" s="110"/>
      <c r="DE160" s="137"/>
      <c r="DF160" s="97"/>
      <c r="DG160" s="138">
        <f t="shared" ref="DG160:DH160" si="4262">DG15+DG44+DG73+DG102+DG131</f>
        <v>0</v>
      </c>
      <c r="DH160" s="110">
        <f t="shared" si="4262"/>
        <v>0</v>
      </c>
      <c r="DI160" s="110"/>
      <c r="DJ160" s="139"/>
      <c r="DK160" s="140">
        <f t="shared" si="4177"/>
        <v>0</v>
      </c>
      <c r="DL160" s="198">
        <f t="shared" si="4171"/>
        <v>0</v>
      </c>
      <c r="DM160" s="140"/>
      <c r="DN160" s="110"/>
      <c r="DO160" s="137"/>
      <c r="DP160" s="97"/>
      <c r="DQ160" s="138">
        <f t="shared" ref="DQ160:DR160" si="4263">DQ15+DQ44+DQ73+DQ102+DQ131</f>
        <v>0</v>
      </c>
      <c r="DR160" s="110">
        <f t="shared" si="4263"/>
        <v>0</v>
      </c>
      <c r="DS160" s="110"/>
      <c r="DT160" s="139"/>
      <c r="DU160" s="140">
        <f t="shared" si="4179"/>
        <v>0</v>
      </c>
      <c r="DV160" s="198">
        <f t="shared" si="4171"/>
        <v>20</v>
      </c>
      <c r="DW160" s="140"/>
      <c r="DX160" s="110"/>
      <c r="DY160" s="137"/>
      <c r="DZ160" s="97"/>
      <c r="EA160" s="138">
        <f t="shared" ref="EA160:EB160" si="4264">EA15+EA44+EA73+EA102+EA131</f>
        <v>2182.69265</v>
      </c>
      <c r="EB160" s="110">
        <f t="shared" si="4264"/>
        <v>43653.86</v>
      </c>
      <c r="EC160" s="110"/>
      <c r="ED160" s="139"/>
      <c r="EE160" s="140">
        <f t="shared" si="4181"/>
        <v>0.77444000000000002</v>
      </c>
      <c r="EF160" s="198">
        <f t="shared" si="4171"/>
        <v>13</v>
      </c>
      <c r="EG160" s="140"/>
      <c r="EH160" s="110"/>
      <c r="EI160" s="137"/>
      <c r="EJ160" s="97"/>
      <c r="EK160" s="138">
        <f t="shared" ref="EK160:EL160" si="4265">EK15+EK44+EK73+EK102+EK131</f>
        <v>1818.26271</v>
      </c>
      <c r="EL160" s="110">
        <f t="shared" si="4265"/>
        <v>23637.42</v>
      </c>
      <c r="EM160" s="110"/>
      <c r="EN160" s="139"/>
      <c r="EO160" s="140">
        <f t="shared" si="4183"/>
        <v>0.64514000000000005</v>
      </c>
      <c r="EP160" s="198">
        <f t="shared" si="4171"/>
        <v>11</v>
      </c>
      <c r="EQ160" s="140"/>
      <c r="ER160" s="110"/>
      <c r="ES160" s="137"/>
      <c r="ET160" s="97"/>
      <c r="EU160" s="138">
        <f t="shared" ref="EU160:EV160" si="4266">EU15+EU44+EU73+EU102+EU131</f>
        <v>3153.8511600000002</v>
      </c>
      <c r="EV160" s="110">
        <f t="shared" si="4266"/>
        <v>34692.36</v>
      </c>
      <c r="EW160" s="110"/>
      <c r="EX160" s="139"/>
      <c r="EY160" s="140">
        <f t="shared" si="4185"/>
        <v>1.1190199999999999</v>
      </c>
      <c r="EZ160" s="198">
        <f t="shared" si="4186"/>
        <v>31</v>
      </c>
      <c r="FA160" s="140"/>
      <c r="FB160" s="110"/>
      <c r="FC160" s="137"/>
      <c r="FD160" s="97"/>
      <c r="FE160" s="138">
        <f t="shared" ref="FE160:FF160" si="4267">FE15+FE44+FE73+FE102+FE131</f>
        <v>1324.5733499999999</v>
      </c>
      <c r="FF160" s="110">
        <f t="shared" si="4267"/>
        <v>41061.78</v>
      </c>
      <c r="FG160" s="110"/>
      <c r="FH160" s="139"/>
      <c r="FI160" s="140">
        <f t="shared" si="4188"/>
        <v>0.46997</v>
      </c>
      <c r="FJ160" s="198">
        <f t="shared" si="4186"/>
        <v>0</v>
      </c>
      <c r="FK160" s="140"/>
      <c r="FL160" s="110"/>
      <c r="FM160" s="137"/>
      <c r="FN160" s="97"/>
      <c r="FO160" s="138">
        <f t="shared" ref="FO160:FP160" si="4268">FO15+FO44+FO73+FO102+FO131</f>
        <v>0</v>
      </c>
      <c r="FP160" s="110">
        <f t="shared" si="4268"/>
        <v>0</v>
      </c>
      <c r="FQ160" s="110"/>
      <c r="FR160" s="139"/>
      <c r="FS160" s="140">
        <f t="shared" si="4190"/>
        <v>0</v>
      </c>
      <c r="FT160" s="198">
        <f t="shared" si="4186"/>
        <v>15</v>
      </c>
      <c r="FU160" s="140"/>
      <c r="FV160" s="110"/>
      <c r="FW160" s="137"/>
      <c r="FX160" s="97"/>
      <c r="FY160" s="138">
        <f t="shared" ref="FY160:FZ160" si="4269">FY15+FY44+FY73+FY102+FY131</f>
        <v>2618.1545900000001</v>
      </c>
      <c r="FZ160" s="110">
        <f t="shared" si="4269"/>
        <v>39272.31</v>
      </c>
      <c r="GA160" s="110"/>
      <c r="GB160" s="139"/>
      <c r="GC160" s="140">
        <f t="shared" si="4192"/>
        <v>0.92895000000000005</v>
      </c>
      <c r="GD160" s="198">
        <f t="shared" si="4186"/>
        <v>32</v>
      </c>
      <c r="GE160" s="140"/>
      <c r="GF160" s="110"/>
      <c r="GG160" s="137"/>
      <c r="GH160" s="97"/>
      <c r="GI160" s="138">
        <f t="shared" ref="GI160:GJ160" si="4270">GI15+GI44+GI73+GI102+GI131</f>
        <v>2084.92578</v>
      </c>
      <c r="GJ160" s="110">
        <f t="shared" si="4270"/>
        <v>66717.62</v>
      </c>
      <c r="GK160" s="110"/>
      <c r="GL160" s="139"/>
      <c r="GM160" s="140">
        <f t="shared" si="4194"/>
        <v>0.73975999999999997</v>
      </c>
      <c r="GN160" s="198">
        <f t="shared" si="4186"/>
        <v>0</v>
      </c>
      <c r="GO160" s="140"/>
      <c r="GP160" s="110"/>
      <c r="GQ160" s="137"/>
      <c r="GR160" s="97"/>
      <c r="GS160" s="138">
        <f t="shared" ref="GS160:GT160" si="4271">GS15+GS44+GS73+GS102+GS131</f>
        <v>0</v>
      </c>
      <c r="GT160" s="110">
        <f t="shared" si="4271"/>
        <v>0</v>
      </c>
      <c r="GU160" s="110"/>
      <c r="GV160" s="139"/>
      <c r="GW160" s="140">
        <f t="shared" si="4196"/>
        <v>0</v>
      </c>
      <c r="GX160" s="198">
        <f t="shared" si="4186"/>
        <v>0</v>
      </c>
      <c r="GY160" s="140"/>
      <c r="GZ160" s="110"/>
      <c r="HA160" s="137"/>
      <c r="HB160" s="97"/>
      <c r="HC160" s="138">
        <f t="shared" ref="HC160:HD160" si="4272">HC15+HC44+HC73+HC102+HC131</f>
        <v>0</v>
      </c>
      <c r="HD160" s="110">
        <f t="shared" si="4272"/>
        <v>0</v>
      </c>
      <c r="HE160" s="110"/>
      <c r="HF160" s="139"/>
      <c r="HG160" s="140">
        <f t="shared" si="4198"/>
        <v>0</v>
      </c>
      <c r="HH160" s="198">
        <f t="shared" si="4186"/>
        <v>6</v>
      </c>
      <c r="HI160" s="140"/>
      <c r="HJ160" s="110"/>
      <c r="HK160" s="137"/>
      <c r="HL160" s="97"/>
      <c r="HM160" s="138">
        <f t="shared" ref="HM160:HN160" si="4273">HM15+HM44+HM73+HM102+HM131</f>
        <v>2420.2985100000001</v>
      </c>
      <c r="HN160" s="110">
        <f t="shared" si="4273"/>
        <v>14521.78</v>
      </c>
      <c r="HO160" s="110"/>
      <c r="HP160" s="139"/>
      <c r="HQ160" s="140">
        <f t="shared" si="4200"/>
        <v>0.85875000000000001</v>
      </c>
      <c r="HR160" s="198">
        <f t="shared" si="4201"/>
        <v>0</v>
      </c>
      <c r="HS160" s="140"/>
      <c r="HT160" s="110"/>
      <c r="HU160" s="137"/>
      <c r="HV160" s="97"/>
      <c r="HW160" s="138">
        <f t="shared" ref="HW160:HX160" si="4274">HW15+HW44+HW73+HW102+HW131</f>
        <v>0</v>
      </c>
      <c r="HX160" s="110">
        <f t="shared" si="4274"/>
        <v>0</v>
      </c>
      <c r="HY160" s="110"/>
      <c r="HZ160" s="139"/>
      <c r="IA160" s="140">
        <f t="shared" si="4203"/>
        <v>0</v>
      </c>
      <c r="IB160" s="198">
        <f t="shared" si="4201"/>
        <v>22</v>
      </c>
      <c r="IC160" s="140"/>
      <c r="ID160" s="110"/>
      <c r="IE160" s="137"/>
      <c r="IF160" s="97"/>
      <c r="IG160" s="138">
        <f t="shared" ref="IG160:IH160" si="4275">IG15+IG44+IG73+IG102+IG131</f>
        <v>4448.6495599999998</v>
      </c>
      <c r="IH160" s="110">
        <f t="shared" si="4275"/>
        <v>97870.29</v>
      </c>
      <c r="II160" s="110"/>
      <c r="IJ160" s="139"/>
      <c r="IK160" s="140">
        <f t="shared" si="4205"/>
        <v>1.57843</v>
      </c>
      <c r="IL160" s="198">
        <f t="shared" si="4201"/>
        <v>0</v>
      </c>
      <c r="IM160" s="140"/>
      <c r="IN160" s="110"/>
      <c r="IO160" s="137"/>
      <c r="IP160" s="97"/>
      <c r="IQ160" s="138">
        <f t="shared" ref="IQ160:IR160" si="4276">IQ15+IQ44+IQ73+IQ102+IQ131</f>
        <v>0</v>
      </c>
      <c r="IR160" s="110">
        <f t="shared" si="4276"/>
        <v>0</v>
      </c>
      <c r="IS160" s="110"/>
      <c r="IT160" s="139"/>
      <c r="IU160" s="140">
        <f t="shared" si="4207"/>
        <v>0</v>
      </c>
      <c r="IV160" s="198">
        <f t="shared" si="4201"/>
        <v>0</v>
      </c>
      <c r="IW160" s="140"/>
      <c r="IX160" s="110"/>
      <c r="IY160" s="137"/>
      <c r="IZ160" s="97"/>
      <c r="JA160" s="138">
        <f t="shared" ref="JA160:JB160" si="4277">JA15+JA44+JA73+JA102+JA131</f>
        <v>0</v>
      </c>
      <c r="JB160" s="110">
        <f t="shared" si="4277"/>
        <v>0</v>
      </c>
      <c r="JC160" s="110"/>
      <c r="JD160" s="139"/>
      <c r="JE160" s="140">
        <f t="shared" si="4209"/>
        <v>0</v>
      </c>
      <c r="JF160" s="198">
        <f t="shared" si="4201"/>
        <v>0</v>
      </c>
      <c r="JG160" s="140"/>
      <c r="JH160" s="110"/>
      <c r="JI160" s="137"/>
      <c r="JJ160" s="97"/>
      <c r="JK160" s="138">
        <f t="shared" ref="JK160:JL160" si="4278">JK15+JK44+JK73+JK102+JK131</f>
        <v>0</v>
      </c>
      <c r="JL160" s="110">
        <f t="shared" si="4278"/>
        <v>0</v>
      </c>
      <c r="JM160" s="110"/>
      <c r="JN160" s="139"/>
      <c r="JO160" s="140">
        <f t="shared" si="4211"/>
        <v>0</v>
      </c>
      <c r="JP160" s="198">
        <f t="shared" si="4201"/>
        <v>10</v>
      </c>
      <c r="JQ160" s="140"/>
      <c r="JR160" s="110"/>
      <c r="JS160" s="137"/>
      <c r="JT160" s="97"/>
      <c r="JU160" s="138">
        <f t="shared" ref="JU160:JV160" si="4279">JU15+JU44+JU73+JU102+JU131</f>
        <v>2958.0481100000002</v>
      </c>
      <c r="JV160" s="110">
        <f t="shared" si="4279"/>
        <v>29580.48</v>
      </c>
      <c r="JW160" s="110"/>
      <c r="JX160" s="139"/>
      <c r="JY160" s="140">
        <f t="shared" si="4213"/>
        <v>1.04955</v>
      </c>
      <c r="JZ160" s="198">
        <f t="shared" si="4201"/>
        <v>0</v>
      </c>
      <c r="KA160" s="140"/>
      <c r="KB160" s="110"/>
      <c r="KC160" s="137"/>
      <c r="KD160" s="97"/>
      <c r="KE160" s="138">
        <f t="shared" ref="KE160:KF160" si="4280">KE15+KE44+KE73+KE102+KE131</f>
        <v>0</v>
      </c>
      <c r="KF160" s="110">
        <f t="shared" si="4280"/>
        <v>0</v>
      </c>
      <c r="KG160" s="110"/>
      <c r="KH160" s="139"/>
      <c r="KI160" s="140">
        <f t="shared" si="4215"/>
        <v>0</v>
      </c>
      <c r="KJ160" s="198">
        <f t="shared" si="4216"/>
        <v>0</v>
      </c>
      <c r="KK160" s="140"/>
      <c r="KL160" s="110"/>
      <c r="KM160" s="137"/>
      <c r="KN160" s="97"/>
      <c r="KO160" s="138">
        <f t="shared" ref="KO160:KP160" si="4281">KO15+KO44+KO73+KO102+KO131</f>
        <v>0</v>
      </c>
      <c r="KP160" s="110">
        <f t="shared" si="4281"/>
        <v>0</v>
      </c>
      <c r="KQ160" s="110"/>
      <c r="KR160" s="139"/>
      <c r="KS160" s="140">
        <f t="shared" si="4218"/>
        <v>0</v>
      </c>
      <c r="KT160" s="198">
        <f t="shared" si="4216"/>
        <v>0</v>
      </c>
      <c r="KU160" s="140"/>
      <c r="KV160" s="110"/>
      <c r="KW160" s="137"/>
      <c r="KX160" s="97"/>
      <c r="KY160" s="138">
        <f t="shared" ref="KY160:KZ160" si="4282">KY15+KY44+KY73+KY102+KY131</f>
        <v>0</v>
      </c>
      <c r="KZ160" s="110">
        <f t="shared" si="4282"/>
        <v>0</v>
      </c>
      <c r="LA160" s="110"/>
      <c r="LB160" s="139"/>
      <c r="LC160" s="140">
        <f t="shared" si="4220"/>
        <v>0</v>
      </c>
      <c r="LD160" s="197">
        <f t="shared" si="4221"/>
        <v>193</v>
      </c>
      <c r="LE160" s="140"/>
      <c r="LF160" s="110"/>
      <c r="LG160" s="137"/>
      <c r="LH160" s="97"/>
      <c r="LI160" s="138">
        <f t="shared" si="4222"/>
        <v>2818.3963399999998</v>
      </c>
      <c r="LJ160" s="110">
        <f t="shared" si="4222"/>
        <v>543950.5</v>
      </c>
      <c r="LK160" s="110"/>
      <c r="LL160" s="139"/>
    </row>
    <row r="161" spans="1:324" ht="26.25" hidden="1" customHeight="1" x14ac:dyDescent="0.25">
      <c r="A161" s="246"/>
      <c r="B161" s="12" t="s">
        <v>626</v>
      </c>
      <c r="C161" s="12" t="s">
        <v>728</v>
      </c>
      <c r="D161" s="12" t="s">
        <v>430</v>
      </c>
      <c r="E161" s="4"/>
      <c r="F161" s="198">
        <f t="shared" si="4153"/>
        <v>1</v>
      </c>
      <c r="G161" s="140"/>
      <c r="H161" s="110"/>
      <c r="I161" s="137"/>
      <c r="J161" s="97"/>
      <c r="K161" s="138">
        <f t="shared" si="4154"/>
        <v>1609.2072000000001</v>
      </c>
      <c r="L161" s="110">
        <f t="shared" si="4154"/>
        <v>1609.21</v>
      </c>
      <c r="M161" s="110"/>
      <c r="N161" s="139"/>
      <c r="O161" s="140">
        <f t="shared" si="4155"/>
        <v>0.57138</v>
      </c>
      <c r="P161" s="198">
        <f t="shared" si="4156"/>
        <v>3</v>
      </c>
      <c r="Q161" s="140"/>
      <c r="R161" s="110"/>
      <c r="S161" s="137"/>
      <c r="T161" s="97"/>
      <c r="U161" s="138">
        <f t="shared" ref="U161:V161" si="4283">U16+U45+U74+U103+U132</f>
        <v>2229.2244700000001</v>
      </c>
      <c r="V161" s="110">
        <f t="shared" si="4283"/>
        <v>6687.68</v>
      </c>
      <c r="W161" s="110"/>
      <c r="X161" s="139"/>
      <c r="Y161" s="140">
        <f t="shared" si="4158"/>
        <v>0.79152999999999996</v>
      </c>
      <c r="Z161" s="198">
        <f t="shared" si="4156"/>
        <v>2</v>
      </c>
      <c r="AA161" s="140"/>
      <c r="AB161" s="110"/>
      <c r="AC161" s="137"/>
      <c r="AD161" s="97"/>
      <c r="AE161" s="138">
        <f t="shared" ref="AE161:AF161" si="4284">AE16+AE45+AE74+AE103+AE132</f>
        <v>2147.9457499999999</v>
      </c>
      <c r="AF161" s="110">
        <f t="shared" si="4284"/>
        <v>4295.8900000000003</v>
      </c>
      <c r="AG161" s="110"/>
      <c r="AH161" s="139"/>
      <c r="AI161" s="140">
        <f t="shared" si="4160"/>
        <v>0.76266999999999996</v>
      </c>
      <c r="AJ161" s="198">
        <f t="shared" si="4156"/>
        <v>0</v>
      </c>
      <c r="AK161" s="140"/>
      <c r="AL161" s="110"/>
      <c r="AM161" s="137"/>
      <c r="AN161" s="97"/>
      <c r="AO161" s="138">
        <f t="shared" ref="AO161:AP161" si="4285">AO16+AO45+AO74+AO103+AO132</f>
        <v>0</v>
      </c>
      <c r="AP161" s="110">
        <f t="shared" si="4285"/>
        <v>0</v>
      </c>
      <c r="AQ161" s="110"/>
      <c r="AR161" s="139"/>
      <c r="AS161" s="140">
        <f t="shared" si="4162"/>
        <v>0</v>
      </c>
      <c r="AT161" s="198">
        <f t="shared" si="4156"/>
        <v>2</v>
      </c>
      <c r="AU161" s="140"/>
      <c r="AV161" s="110"/>
      <c r="AW161" s="137"/>
      <c r="AX161" s="97"/>
      <c r="AY161" s="138">
        <f t="shared" ref="AY161:AZ161" si="4286">AY16+AY45+AY74+AY103+AY132</f>
        <v>1134.5922499999999</v>
      </c>
      <c r="AZ161" s="110">
        <f t="shared" si="4286"/>
        <v>2269.1799999999998</v>
      </c>
      <c r="BA161" s="110"/>
      <c r="BB161" s="139"/>
      <c r="BC161" s="140">
        <f t="shared" si="4164"/>
        <v>0.40286</v>
      </c>
      <c r="BD161" s="198">
        <f t="shared" si="4156"/>
        <v>0</v>
      </c>
      <c r="BE161" s="140"/>
      <c r="BF161" s="110"/>
      <c r="BG161" s="137"/>
      <c r="BH161" s="97"/>
      <c r="BI161" s="138">
        <f t="shared" ref="BI161:BJ161" si="4287">BI16+BI45+BI74+BI103+BI132</f>
        <v>0</v>
      </c>
      <c r="BJ161" s="110">
        <f t="shared" si="4287"/>
        <v>0</v>
      </c>
      <c r="BK161" s="110"/>
      <c r="BL161" s="139"/>
      <c r="BM161" s="140">
        <f t="shared" si="4166"/>
        <v>0</v>
      </c>
      <c r="BN161" s="198">
        <f t="shared" si="4156"/>
        <v>4</v>
      </c>
      <c r="BO161" s="140"/>
      <c r="BP161" s="110"/>
      <c r="BQ161" s="137"/>
      <c r="BR161" s="97"/>
      <c r="BS161" s="138">
        <f t="shared" ref="BS161:BT161" si="4288">BS16+BS45+BS74+BS103+BS132</f>
        <v>2459.4242300000001</v>
      </c>
      <c r="BT161" s="110">
        <f t="shared" si="4288"/>
        <v>9837.7099999999991</v>
      </c>
      <c r="BU161" s="110"/>
      <c r="BV161" s="139"/>
      <c r="BW161" s="140">
        <f t="shared" si="4168"/>
        <v>0.87326999999999999</v>
      </c>
      <c r="BX161" s="198">
        <f t="shared" si="4156"/>
        <v>1</v>
      </c>
      <c r="BY161" s="140"/>
      <c r="BZ161" s="110"/>
      <c r="CA161" s="137"/>
      <c r="CB161" s="97"/>
      <c r="CC161" s="138">
        <f t="shared" ref="CC161:CD161" si="4289">CC16+CC45+CC74+CC103+CC132</f>
        <v>1866.95</v>
      </c>
      <c r="CD161" s="110">
        <f t="shared" si="4289"/>
        <v>1866.95</v>
      </c>
      <c r="CE161" s="110"/>
      <c r="CF161" s="139"/>
      <c r="CG161" s="140">
        <f t="shared" si="4170"/>
        <v>0.66290000000000004</v>
      </c>
      <c r="CH161" s="198">
        <f t="shared" si="4171"/>
        <v>0</v>
      </c>
      <c r="CI161" s="140"/>
      <c r="CJ161" s="110"/>
      <c r="CK161" s="137"/>
      <c r="CL161" s="97"/>
      <c r="CM161" s="138">
        <f t="shared" ref="CM161:CN161" si="4290">CM16+CM45+CM74+CM103+CM132</f>
        <v>0</v>
      </c>
      <c r="CN161" s="110">
        <f t="shared" si="4290"/>
        <v>0</v>
      </c>
      <c r="CO161" s="110"/>
      <c r="CP161" s="139"/>
      <c r="CQ161" s="140">
        <f t="shared" si="4173"/>
        <v>0</v>
      </c>
      <c r="CR161" s="198">
        <f t="shared" si="4171"/>
        <v>5</v>
      </c>
      <c r="CS161" s="140"/>
      <c r="CT161" s="110"/>
      <c r="CU161" s="137"/>
      <c r="CV161" s="97"/>
      <c r="CW161" s="138">
        <f t="shared" ref="CW161:CX161" si="4291">CW16+CW45+CW74+CW103+CW132</f>
        <v>3009.5864200000001</v>
      </c>
      <c r="CX161" s="110">
        <f t="shared" si="4291"/>
        <v>15047.93</v>
      </c>
      <c r="CY161" s="110"/>
      <c r="CZ161" s="139"/>
      <c r="DA161" s="140">
        <f t="shared" si="4175"/>
        <v>1.0686199999999999</v>
      </c>
      <c r="DB161" s="198">
        <f t="shared" si="4171"/>
        <v>1</v>
      </c>
      <c r="DC161" s="140"/>
      <c r="DD161" s="110"/>
      <c r="DE161" s="137"/>
      <c r="DF161" s="97"/>
      <c r="DG161" s="138">
        <f t="shared" ref="DG161:DH161" si="4292">DG16+DG45+DG74+DG103+DG132</f>
        <v>2516.2334000000001</v>
      </c>
      <c r="DH161" s="110">
        <f t="shared" si="4292"/>
        <v>2516.2399999999998</v>
      </c>
      <c r="DI161" s="110"/>
      <c r="DJ161" s="139"/>
      <c r="DK161" s="140">
        <f t="shared" si="4177"/>
        <v>0.89344000000000001</v>
      </c>
      <c r="DL161" s="198">
        <f t="shared" si="4171"/>
        <v>0</v>
      </c>
      <c r="DM161" s="140"/>
      <c r="DN161" s="110"/>
      <c r="DO161" s="137"/>
      <c r="DP161" s="97"/>
      <c r="DQ161" s="138">
        <f t="shared" ref="DQ161:DR161" si="4293">DQ16+DQ45+DQ74+DQ103+DQ132</f>
        <v>0</v>
      </c>
      <c r="DR161" s="110">
        <f t="shared" si="4293"/>
        <v>0</v>
      </c>
      <c r="DS161" s="110"/>
      <c r="DT161" s="139"/>
      <c r="DU161" s="140">
        <f t="shared" si="4179"/>
        <v>0</v>
      </c>
      <c r="DV161" s="198">
        <f t="shared" si="4171"/>
        <v>2</v>
      </c>
      <c r="DW161" s="140"/>
      <c r="DX161" s="110"/>
      <c r="DY161" s="137"/>
      <c r="DZ161" s="97"/>
      <c r="EA161" s="138">
        <f t="shared" ref="EA161:EB161" si="4294">EA16+EA45+EA74+EA103+EA132</f>
        <v>2179.8577</v>
      </c>
      <c r="EB161" s="110">
        <f t="shared" si="4294"/>
        <v>4359.71</v>
      </c>
      <c r="EC161" s="110"/>
      <c r="ED161" s="139"/>
      <c r="EE161" s="140">
        <f t="shared" si="4181"/>
        <v>0.77400000000000002</v>
      </c>
      <c r="EF161" s="198">
        <f t="shared" si="4171"/>
        <v>6</v>
      </c>
      <c r="EG161" s="140"/>
      <c r="EH161" s="110"/>
      <c r="EI161" s="137"/>
      <c r="EJ161" s="97"/>
      <c r="EK161" s="138">
        <f t="shared" ref="EK161:EL161" si="4295">EK16+EK45+EK74+EK103+EK132</f>
        <v>1819.6997200000001</v>
      </c>
      <c r="EL161" s="110">
        <f t="shared" si="4295"/>
        <v>10918.2</v>
      </c>
      <c r="EM161" s="110"/>
      <c r="EN161" s="139"/>
      <c r="EO161" s="140">
        <f t="shared" si="4183"/>
        <v>0.64612000000000003</v>
      </c>
      <c r="EP161" s="198">
        <f t="shared" si="4171"/>
        <v>2</v>
      </c>
      <c r="EQ161" s="140"/>
      <c r="ER161" s="110"/>
      <c r="ES161" s="137"/>
      <c r="ET161" s="97"/>
      <c r="EU161" s="138">
        <f t="shared" ref="EU161:EV161" si="4296">EU16+EU45+EU74+EU103+EU132</f>
        <v>3146.5938500000002</v>
      </c>
      <c r="EV161" s="110">
        <f t="shared" si="4296"/>
        <v>6293.19</v>
      </c>
      <c r="EW161" s="110"/>
      <c r="EX161" s="139"/>
      <c r="EY161" s="140">
        <f t="shared" si="4185"/>
        <v>1.1172599999999999</v>
      </c>
      <c r="EZ161" s="198">
        <f t="shared" si="4186"/>
        <v>7</v>
      </c>
      <c r="FA161" s="140"/>
      <c r="FB161" s="110"/>
      <c r="FC161" s="137"/>
      <c r="FD161" s="97"/>
      <c r="FE161" s="138">
        <f t="shared" ref="FE161:FF161" si="4297">FE16+FE45+FE74+FE103+FE132</f>
        <v>1325.43923</v>
      </c>
      <c r="FF161" s="110">
        <f t="shared" si="4297"/>
        <v>9278.08</v>
      </c>
      <c r="FG161" s="110"/>
      <c r="FH161" s="139"/>
      <c r="FI161" s="140">
        <f t="shared" si="4188"/>
        <v>0.47062999999999999</v>
      </c>
      <c r="FJ161" s="198">
        <f t="shared" si="4186"/>
        <v>1</v>
      </c>
      <c r="FK161" s="140"/>
      <c r="FL161" s="110"/>
      <c r="FM161" s="137"/>
      <c r="FN161" s="97"/>
      <c r="FO161" s="138">
        <f t="shared" ref="FO161:FP161" si="4298">FO16+FO45+FO74+FO103+FO132</f>
        <v>2741.9144999999999</v>
      </c>
      <c r="FP161" s="110">
        <f t="shared" si="4298"/>
        <v>2741.91</v>
      </c>
      <c r="FQ161" s="110"/>
      <c r="FR161" s="139"/>
      <c r="FS161" s="140">
        <f t="shared" si="4190"/>
        <v>0.97357000000000005</v>
      </c>
      <c r="FT161" s="198">
        <f t="shared" si="4186"/>
        <v>4</v>
      </c>
      <c r="FU161" s="140"/>
      <c r="FV161" s="110"/>
      <c r="FW161" s="137"/>
      <c r="FX161" s="97"/>
      <c r="FY161" s="138">
        <f t="shared" ref="FY161:FZ161" si="4299">FY16+FY45+FY74+FY103+FY132</f>
        <v>2615.8172300000001</v>
      </c>
      <c r="FZ161" s="110">
        <f t="shared" si="4299"/>
        <v>10463.280000000001</v>
      </c>
      <c r="GA161" s="110"/>
      <c r="GB161" s="139"/>
      <c r="GC161" s="140">
        <f t="shared" si="4192"/>
        <v>0.92879999999999996</v>
      </c>
      <c r="GD161" s="198">
        <f t="shared" si="4186"/>
        <v>6</v>
      </c>
      <c r="GE161" s="140"/>
      <c r="GF161" s="110"/>
      <c r="GG161" s="137"/>
      <c r="GH161" s="97"/>
      <c r="GI161" s="138">
        <f t="shared" ref="GI161:GJ161" si="4300">GI16+GI45+GI74+GI103+GI132</f>
        <v>2085.1671099999999</v>
      </c>
      <c r="GJ161" s="110">
        <f t="shared" si="4300"/>
        <v>12511</v>
      </c>
      <c r="GK161" s="110"/>
      <c r="GL161" s="139"/>
      <c r="GM161" s="140">
        <f t="shared" si="4194"/>
        <v>0.74038000000000004</v>
      </c>
      <c r="GN161" s="198">
        <f t="shared" si="4186"/>
        <v>2</v>
      </c>
      <c r="GO161" s="140"/>
      <c r="GP161" s="110"/>
      <c r="GQ161" s="137"/>
      <c r="GR161" s="97"/>
      <c r="GS161" s="138">
        <f t="shared" ref="GS161:GT161" si="4301">GS16+GS45+GS74+GS103+GS132</f>
        <v>3648.5844000000002</v>
      </c>
      <c r="GT161" s="110">
        <f t="shared" si="4301"/>
        <v>7297.17</v>
      </c>
      <c r="GU161" s="110"/>
      <c r="GV161" s="139"/>
      <c r="GW161" s="140">
        <f t="shared" si="4196"/>
        <v>1.2955099999999999</v>
      </c>
      <c r="GX161" s="198">
        <f t="shared" si="4186"/>
        <v>2</v>
      </c>
      <c r="GY161" s="140"/>
      <c r="GZ161" s="110"/>
      <c r="HA161" s="137"/>
      <c r="HB161" s="97"/>
      <c r="HC161" s="138">
        <f t="shared" ref="HC161:HD161" si="4302">HC16+HC45+HC74+HC103+HC132</f>
        <v>2223.63895</v>
      </c>
      <c r="HD161" s="110">
        <f t="shared" si="4302"/>
        <v>4447.2700000000004</v>
      </c>
      <c r="HE161" s="110"/>
      <c r="HF161" s="139"/>
      <c r="HG161" s="140">
        <f t="shared" si="4198"/>
        <v>0.78954999999999997</v>
      </c>
      <c r="HH161" s="198">
        <f t="shared" si="4186"/>
        <v>3</v>
      </c>
      <c r="HI161" s="140"/>
      <c r="HJ161" s="110"/>
      <c r="HK161" s="137"/>
      <c r="HL161" s="97"/>
      <c r="HM161" s="138">
        <f t="shared" ref="HM161:HN161" si="4303">HM16+HM45+HM74+HM103+HM132</f>
        <v>2418.8928599999999</v>
      </c>
      <c r="HN161" s="110">
        <f t="shared" si="4303"/>
        <v>7256.67</v>
      </c>
      <c r="HO161" s="110"/>
      <c r="HP161" s="139"/>
      <c r="HQ161" s="140">
        <f t="shared" si="4200"/>
        <v>0.85887999999999998</v>
      </c>
      <c r="HR161" s="198">
        <f t="shared" si="4201"/>
        <v>2</v>
      </c>
      <c r="HS161" s="140"/>
      <c r="HT161" s="110"/>
      <c r="HU161" s="137"/>
      <c r="HV161" s="97"/>
      <c r="HW161" s="138">
        <f t="shared" ref="HW161:HX161" si="4304">HW16+HW45+HW74+HW103+HW132</f>
        <v>3254.9695000000002</v>
      </c>
      <c r="HX161" s="110">
        <f t="shared" si="4304"/>
        <v>6509.94</v>
      </c>
      <c r="HY161" s="110"/>
      <c r="HZ161" s="139"/>
      <c r="IA161" s="140">
        <f t="shared" si="4203"/>
        <v>1.1557500000000001</v>
      </c>
      <c r="IB161" s="198">
        <f t="shared" si="4201"/>
        <v>2</v>
      </c>
      <c r="IC161" s="140"/>
      <c r="ID161" s="110"/>
      <c r="IE161" s="137"/>
      <c r="IF161" s="97"/>
      <c r="IG161" s="138">
        <f t="shared" ref="IG161:IH161" si="4305">IG16+IG45+IG74+IG103+IG132</f>
        <v>4445.7954499999996</v>
      </c>
      <c r="IH161" s="110">
        <f t="shared" si="4305"/>
        <v>8891.59</v>
      </c>
      <c r="II161" s="110"/>
      <c r="IJ161" s="139"/>
      <c r="IK161" s="140">
        <f t="shared" si="4205"/>
        <v>1.57857</v>
      </c>
      <c r="IL161" s="198">
        <f t="shared" si="4201"/>
        <v>4</v>
      </c>
      <c r="IM161" s="140"/>
      <c r="IN161" s="110"/>
      <c r="IO161" s="137"/>
      <c r="IP161" s="97"/>
      <c r="IQ161" s="138">
        <f t="shared" ref="IQ161:IR161" si="4306">IQ16+IQ45+IQ74+IQ103+IQ132</f>
        <v>1857.65625</v>
      </c>
      <c r="IR161" s="110">
        <f t="shared" si="4306"/>
        <v>7430.62</v>
      </c>
      <c r="IS161" s="110"/>
      <c r="IT161" s="139"/>
      <c r="IU161" s="140">
        <f t="shared" si="4207"/>
        <v>0.65959999999999996</v>
      </c>
      <c r="IV161" s="198">
        <f t="shared" si="4201"/>
        <v>2</v>
      </c>
      <c r="IW161" s="140"/>
      <c r="IX161" s="110"/>
      <c r="IY161" s="137"/>
      <c r="IZ161" s="97"/>
      <c r="JA161" s="138">
        <f t="shared" ref="JA161:JB161" si="4307">JA16+JA45+JA74+JA103+JA132</f>
        <v>2765.3506499999999</v>
      </c>
      <c r="JB161" s="110">
        <f t="shared" si="4307"/>
        <v>5530.7</v>
      </c>
      <c r="JC161" s="110"/>
      <c r="JD161" s="139"/>
      <c r="JE161" s="140">
        <f t="shared" si="4209"/>
        <v>0.9819</v>
      </c>
      <c r="JF161" s="198">
        <f t="shared" si="4201"/>
        <v>1</v>
      </c>
      <c r="JG161" s="140"/>
      <c r="JH161" s="110"/>
      <c r="JI161" s="137"/>
      <c r="JJ161" s="97"/>
      <c r="JK161" s="138">
        <f t="shared" ref="JK161:JL161" si="4308">JK16+JK45+JK74+JK103+JK132</f>
        <v>2728.9308999999998</v>
      </c>
      <c r="JL161" s="110">
        <f t="shared" si="4308"/>
        <v>2728.93</v>
      </c>
      <c r="JM161" s="110"/>
      <c r="JN161" s="139"/>
      <c r="JO161" s="140">
        <f t="shared" si="4211"/>
        <v>0.96896000000000004</v>
      </c>
      <c r="JP161" s="198">
        <f t="shared" si="4201"/>
        <v>5</v>
      </c>
      <c r="JQ161" s="140"/>
      <c r="JR161" s="110"/>
      <c r="JS161" s="137"/>
      <c r="JT161" s="97"/>
      <c r="JU161" s="138">
        <f t="shared" ref="JU161:JV161" si="4309">JU16+JU45+JU74+JU103+JU132</f>
        <v>2953.7154399999999</v>
      </c>
      <c r="JV161" s="110">
        <f t="shared" si="4309"/>
        <v>14768.58</v>
      </c>
      <c r="JW161" s="110"/>
      <c r="JX161" s="139"/>
      <c r="JY161" s="140">
        <f t="shared" si="4213"/>
        <v>1.04878</v>
      </c>
      <c r="JZ161" s="198">
        <f t="shared" si="4201"/>
        <v>0</v>
      </c>
      <c r="KA161" s="140"/>
      <c r="KB161" s="110"/>
      <c r="KC161" s="137"/>
      <c r="KD161" s="97"/>
      <c r="KE161" s="138">
        <f t="shared" ref="KE161:KF161" si="4310">KE16+KE45+KE74+KE103+KE132</f>
        <v>0</v>
      </c>
      <c r="KF161" s="110">
        <f t="shared" si="4310"/>
        <v>0</v>
      </c>
      <c r="KG161" s="110"/>
      <c r="KH161" s="139"/>
      <c r="KI161" s="140">
        <f t="shared" si="4215"/>
        <v>0</v>
      </c>
      <c r="KJ161" s="198">
        <f t="shared" si="4216"/>
        <v>1</v>
      </c>
      <c r="KK161" s="140"/>
      <c r="KL161" s="110"/>
      <c r="KM161" s="137"/>
      <c r="KN161" s="97"/>
      <c r="KO161" s="138">
        <f t="shared" ref="KO161:KP161" si="4311">KO16+KO45+KO74+KO103+KO132</f>
        <v>2172.2303000000002</v>
      </c>
      <c r="KP161" s="110">
        <f t="shared" si="4311"/>
        <v>2172.23</v>
      </c>
      <c r="KQ161" s="110"/>
      <c r="KR161" s="139"/>
      <c r="KS161" s="140">
        <f t="shared" si="4218"/>
        <v>0.77129999999999999</v>
      </c>
      <c r="KT161" s="198">
        <f t="shared" si="4216"/>
        <v>3</v>
      </c>
      <c r="KU161" s="140"/>
      <c r="KV161" s="110"/>
      <c r="KW161" s="137"/>
      <c r="KX161" s="97"/>
      <c r="KY161" s="138">
        <f t="shared" ref="KY161:KZ161" si="4312">KY16+KY45+KY74+KY103+KY132</f>
        <v>12374.92445</v>
      </c>
      <c r="KZ161" s="110">
        <f t="shared" si="4312"/>
        <v>37124.78</v>
      </c>
      <c r="LA161" s="110"/>
      <c r="LB161" s="139"/>
      <c r="LC161" s="140">
        <f t="shared" si="4220"/>
        <v>4.39398</v>
      </c>
      <c r="LD161" s="197">
        <f t="shared" si="4221"/>
        <v>74</v>
      </c>
      <c r="LE161" s="140"/>
      <c r="LF161" s="110"/>
      <c r="LG161" s="137"/>
      <c r="LH161" s="97"/>
      <c r="LI161" s="138">
        <f t="shared" si="4222"/>
        <v>2816.3368</v>
      </c>
      <c r="LJ161" s="110">
        <f t="shared" si="4222"/>
        <v>208408.93</v>
      </c>
      <c r="LK161" s="110"/>
      <c r="LL161" s="139"/>
    </row>
    <row r="162" spans="1:324" ht="27.75" hidden="1" customHeight="1" x14ac:dyDescent="0.25">
      <c r="A162" s="246"/>
      <c r="B162" s="92" t="s">
        <v>639</v>
      </c>
      <c r="C162" s="12" t="s">
        <v>728</v>
      </c>
      <c r="D162" s="12" t="s">
        <v>430</v>
      </c>
      <c r="E162" s="4"/>
      <c r="F162" s="198">
        <f t="shared" si="4153"/>
        <v>0</v>
      </c>
      <c r="G162" s="140"/>
      <c r="H162" s="110"/>
      <c r="I162" s="137"/>
      <c r="J162" s="97"/>
      <c r="K162" s="138">
        <f t="shared" si="4154"/>
        <v>0</v>
      </c>
      <c r="L162" s="110">
        <f t="shared" si="4154"/>
        <v>0</v>
      </c>
      <c r="M162" s="110"/>
      <c r="N162" s="139"/>
      <c r="O162" s="140" t="e">
        <f t="shared" si="4155"/>
        <v>#DIV/0!</v>
      </c>
      <c r="P162" s="198">
        <f t="shared" si="4156"/>
        <v>0</v>
      </c>
      <c r="Q162" s="140"/>
      <c r="R162" s="110"/>
      <c r="S162" s="137"/>
      <c r="T162" s="97"/>
      <c r="U162" s="138">
        <f t="shared" ref="U162:V162" si="4313">U17+U46+U75+U104+U133</f>
        <v>0</v>
      </c>
      <c r="V162" s="110">
        <f t="shared" si="4313"/>
        <v>0</v>
      </c>
      <c r="W162" s="110"/>
      <c r="X162" s="139"/>
      <c r="Y162" s="140" t="e">
        <f t="shared" si="4158"/>
        <v>#DIV/0!</v>
      </c>
      <c r="Z162" s="198">
        <f t="shared" si="4156"/>
        <v>0</v>
      </c>
      <c r="AA162" s="140"/>
      <c r="AB162" s="110"/>
      <c r="AC162" s="137"/>
      <c r="AD162" s="97"/>
      <c r="AE162" s="138">
        <f t="shared" ref="AE162:AF162" si="4314">AE17+AE46+AE75+AE104+AE133</f>
        <v>0</v>
      </c>
      <c r="AF162" s="110">
        <f t="shared" si="4314"/>
        <v>0</v>
      </c>
      <c r="AG162" s="110"/>
      <c r="AH162" s="139"/>
      <c r="AI162" s="140" t="e">
        <f t="shared" si="4160"/>
        <v>#DIV/0!</v>
      </c>
      <c r="AJ162" s="198">
        <f t="shared" si="4156"/>
        <v>0</v>
      </c>
      <c r="AK162" s="140"/>
      <c r="AL162" s="110"/>
      <c r="AM162" s="137"/>
      <c r="AN162" s="97"/>
      <c r="AO162" s="138">
        <f t="shared" ref="AO162:AP162" si="4315">AO17+AO46+AO75+AO104+AO133</f>
        <v>0</v>
      </c>
      <c r="AP162" s="110">
        <f t="shared" si="4315"/>
        <v>0</v>
      </c>
      <c r="AQ162" s="110"/>
      <c r="AR162" s="139"/>
      <c r="AS162" s="140" t="e">
        <f t="shared" si="4162"/>
        <v>#DIV/0!</v>
      </c>
      <c r="AT162" s="198">
        <f t="shared" si="4156"/>
        <v>0</v>
      </c>
      <c r="AU162" s="140"/>
      <c r="AV162" s="110"/>
      <c r="AW162" s="137"/>
      <c r="AX162" s="97"/>
      <c r="AY162" s="138">
        <f t="shared" ref="AY162:AZ162" si="4316">AY17+AY46+AY75+AY104+AY133</f>
        <v>0</v>
      </c>
      <c r="AZ162" s="110">
        <f t="shared" si="4316"/>
        <v>0</v>
      </c>
      <c r="BA162" s="110"/>
      <c r="BB162" s="139"/>
      <c r="BC162" s="140" t="e">
        <f t="shared" si="4164"/>
        <v>#DIV/0!</v>
      </c>
      <c r="BD162" s="198">
        <f t="shared" si="4156"/>
        <v>0</v>
      </c>
      <c r="BE162" s="140"/>
      <c r="BF162" s="110"/>
      <c r="BG162" s="137"/>
      <c r="BH162" s="97"/>
      <c r="BI162" s="138">
        <f t="shared" ref="BI162:BJ162" si="4317">BI17+BI46+BI75+BI104+BI133</f>
        <v>0</v>
      </c>
      <c r="BJ162" s="110">
        <f t="shared" si="4317"/>
        <v>0</v>
      </c>
      <c r="BK162" s="110"/>
      <c r="BL162" s="139"/>
      <c r="BM162" s="140" t="e">
        <f t="shared" si="4166"/>
        <v>#DIV/0!</v>
      </c>
      <c r="BN162" s="198">
        <f t="shared" si="4156"/>
        <v>0</v>
      </c>
      <c r="BO162" s="140"/>
      <c r="BP162" s="110"/>
      <c r="BQ162" s="137"/>
      <c r="BR162" s="97"/>
      <c r="BS162" s="138">
        <f t="shared" ref="BS162:BT162" si="4318">BS17+BS46+BS75+BS104+BS133</f>
        <v>0</v>
      </c>
      <c r="BT162" s="110">
        <f t="shared" si="4318"/>
        <v>0</v>
      </c>
      <c r="BU162" s="110"/>
      <c r="BV162" s="139"/>
      <c r="BW162" s="140" t="e">
        <f t="shared" si="4168"/>
        <v>#DIV/0!</v>
      </c>
      <c r="BX162" s="198">
        <f t="shared" si="4156"/>
        <v>0</v>
      </c>
      <c r="BY162" s="140"/>
      <c r="BZ162" s="110"/>
      <c r="CA162" s="137"/>
      <c r="CB162" s="97"/>
      <c r="CC162" s="138">
        <f t="shared" ref="CC162:CD162" si="4319">CC17+CC46+CC75+CC104+CC133</f>
        <v>0</v>
      </c>
      <c r="CD162" s="110">
        <f t="shared" si="4319"/>
        <v>0</v>
      </c>
      <c r="CE162" s="110"/>
      <c r="CF162" s="139"/>
      <c r="CG162" s="140" t="e">
        <f t="shared" si="4170"/>
        <v>#DIV/0!</v>
      </c>
      <c r="CH162" s="198">
        <f t="shared" si="4171"/>
        <v>0</v>
      </c>
      <c r="CI162" s="140"/>
      <c r="CJ162" s="110"/>
      <c r="CK162" s="137"/>
      <c r="CL162" s="97"/>
      <c r="CM162" s="138">
        <f t="shared" ref="CM162:CN162" si="4320">CM17+CM46+CM75+CM104+CM133</f>
        <v>0</v>
      </c>
      <c r="CN162" s="110">
        <f t="shared" si="4320"/>
        <v>0</v>
      </c>
      <c r="CO162" s="110"/>
      <c r="CP162" s="139"/>
      <c r="CQ162" s="140" t="e">
        <f t="shared" si="4173"/>
        <v>#DIV/0!</v>
      </c>
      <c r="CR162" s="198">
        <f t="shared" si="4171"/>
        <v>0</v>
      </c>
      <c r="CS162" s="140"/>
      <c r="CT162" s="110"/>
      <c r="CU162" s="137"/>
      <c r="CV162" s="97"/>
      <c r="CW162" s="138">
        <f t="shared" ref="CW162:CX162" si="4321">CW17+CW46+CW75+CW104+CW133</f>
        <v>0</v>
      </c>
      <c r="CX162" s="110">
        <f t="shared" si="4321"/>
        <v>0</v>
      </c>
      <c r="CY162" s="110"/>
      <c r="CZ162" s="139"/>
      <c r="DA162" s="140" t="e">
        <f t="shared" si="4175"/>
        <v>#DIV/0!</v>
      </c>
      <c r="DB162" s="198">
        <f t="shared" si="4171"/>
        <v>0</v>
      </c>
      <c r="DC162" s="140"/>
      <c r="DD162" s="110"/>
      <c r="DE162" s="137"/>
      <c r="DF162" s="97"/>
      <c r="DG162" s="138">
        <f t="shared" ref="DG162:DH162" si="4322">DG17+DG46+DG75+DG104+DG133</f>
        <v>0</v>
      </c>
      <c r="DH162" s="110">
        <f t="shared" si="4322"/>
        <v>0</v>
      </c>
      <c r="DI162" s="110"/>
      <c r="DJ162" s="139"/>
      <c r="DK162" s="140" t="e">
        <f t="shared" si="4177"/>
        <v>#DIV/0!</v>
      </c>
      <c r="DL162" s="198">
        <f t="shared" si="4171"/>
        <v>0</v>
      </c>
      <c r="DM162" s="140"/>
      <c r="DN162" s="110"/>
      <c r="DO162" s="137"/>
      <c r="DP162" s="97"/>
      <c r="DQ162" s="138">
        <f t="shared" ref="DQ162:DR162" si="4323">DQ17+DQ46+DQ75+DQ104+DQ133</f>
        <v>0</v>
      </c>
      <c r="DR162" s="110">
        <f t="shared" si="4323"/>
        <v>0</v>
      </c>
      <c r="DS162" s="110"/>
      <c r="DT162" s="139"/>
      <c r="DU162" s="140" t="e">
        <f t="shared" si="4179"/>
        <v>#DIV/0!</v>
      </c>
      <c r="DV162" s="198">
        <f t="shared" si="4171"/>
        <v>0</v>
      </c>
      <c r="DW162" s="140"/>
      <c r="DX162" s="110"/>
      <c r="DY162" s="137"/>
      <c r="DZ162" s="97"/>
      <c r="EA162" s="138">
        <f t="shared" ref="EA162:EB162" si="4324">EA17+EA46+EA75+EA104+EA133</f>
        <v>0</v>
      </c>
      <c r="EB162" s="110">
        <f t="shared" si="4324"/>
        <v>0</v>
      </c>
      <c r="EC162" s="110"/>
      <c r="ED162" s="139"/>
      <c r="EE162" s="140" t="e">
        <f t="shared" si="4181"/>
        <v>#DIV/0!</v>
      </c>
      <c r="EF162" s="198">
        <f t="shared" si="4171"/>
        <v>0</v>
      </c>
      <c r="EG162" s="140"/>
      <c r="EH162" s="110"/>
      <c r="EI162" s="137"/>
      <c r="EJ162" s="97"/>
      <c r="EK162" s="138">
        <f t="shared" ref="EK162:EL162" si="4325">EK17+EK46+EK75+EK104+EK133</f>
        <v>0</v>
      </c>
      <c r="EL162" s="110">
        <f t="shared" si="4325"/>
        <v>0</v>
      </c>
      <c r="EM162" s="110"/>
      <c r="EN162" s="139"/>
      <c r="EO162" s="140" t="e">
        <f t="shared" si="4183"/>
        <v>#DIV/0!</v>
      </c>
      <c r="EP162" s="198">
        <f t="shared" si="4171"/>
        <v>0</v>
      </c>
      <c r="EQ162" s="140"/>
      <c r="ER162" s="110"/>
      <c r="ES162" s="137"/>
      <c r="ET162" s="97"/>
      <c r="EU162" s="138">
        <f t="shared" ref="EU162:EV162" si="4326">EU17+EU46+EU75+EU104+EU133</f>
        <v>0</v>
      </c>
      <c r="EV162" s="110">
        <f t="shared" si="4326"/>
        <v>0</v>
      </c>
      <c r="EW162" s="110"/>
      <c r="EX162" s="139"/>
      <c r="EY162" s="140" t="e">
        <f t="shared" si="4185"/>
        <v>#DIV/0!</v>
      </c>
      <c r="EZ162" s="198">
        <f t="shared" si="4186"/>
        <v>0</v>
      </c>
      <c r="FA162" s="140"/>
      <c r="FB162" s="110"/>
      <c r="FC162" s="137"/>
      <c r="FD162" s="97"/>
      <c r="FE162" s="138">
        <f t="shared" ref="FE162:FF162" si="4327">FE17+FE46+FE75+FE104+FE133</f>
        <v>0</v>
      </c>
      <c r="FF162" s="110">
        <f t="shared" si="4327"/>
        <v>0</v>
      </c>
      <c r="FG162" s="110"/>
      <c r="FH162" s="139"/>
      <c r="FI162" s="140" t="e">
        <f t="shared" si="4188"/>
        <v>#DIV/0!</v>
      </c>
      <c r="FJ162" s="198">
        <f t="shared" si="4186"/>
        <v>0</v>
      </c>
      <c r="FK162" s="140"/>
      <c r="FL162" s="110"/>
      <c r="FM162" s="137"/>
      <c r="FN162" s="97"/>
      <c r="FO162" s="138">
        <f t="shared" ref="FO162:FP162" si="4328">FO17+FO46+FO75+FO104+FO133</f>
        <v>0</v>
      </c>
      <c r="FP162" s="110">
        <f t="shared" si="4328"/>
        <v>0</v>
      </c>
      <c r="FQ162" s="110"/>
      <c r="FR162" s="139"/>
      <c r="FS162" s="140" t="e">
        <f t="shared" si="4190"/>
        <v>#DIV/0!</v>
      </c>
      <c r="FT162" s="198">
        <f t="shared" si="4186"/>
        <v>0</v>
      </c>
      <c r="FU162" s="140"/>
      <c r="FV162" s="110"/>
      <c r="FW162" s="137"/>
      <c r="FX162" s="97"/>
      <c r="FY162" s="138">
        <f t="shared" ref="FY162:FZ162" si="4329">FY17+FY46+FY75+FY104+FY133</f>
        <v>0</v>
      </c>
      <c r="FZ162" s="110">
        <f t="shared" si="4329"/>
        <v>0</v>
      </c>
      <c r="GA162" s="110"/>
      <c r="GB162" s="139"/>
      <c r="GC162" s="140" t="e">
        <f t="shared" si="4192"/>
        <v>#DIV/0!</v>
      </c>
      <c r="GD162" s="198">
        <f t="shared" si="4186"/>
        <v>0</v>
      </c>
      <c r="GE162" s="140"/>
      <c r="GF162" s="110"/>
      <c r="GG162" s="137"/>
      <c r="GH162" s="97"/>
      <c r="GI162" s="138">
        <f t="shared" ref="GI162:GJ162" si="4330">GI17+GI46+GI75+GI104+GI133</f>
        <v>0</v>
      </c>
      <c r="GJ162" s="110">
        <f t="shared" si="4330"/>
        <v>0</v>
      </c>
      <c r="GK162" s="110"/>
      <c r="GL162" s="139"/>
      <c r="GM162" s="140" t="e">
        <f t="shared" si="4194"/>
        <v>#DIV/0!</v>
      </c>
      <c r="GN162" s="198">
        <f t="shared" si="4186"/>
        <v>0</v>
      </c>
      <c r="GO162" s="140"/>
      <c r="GP162" s="110"/>
      <c r="GQ162" s="137"/>
      <c r="GR162" s="97"/>
      <c r="GS162" s="138">
        <f t="shared" ref="GS162:GT162" si="4331">GS17+GS46+GS75+GS104+GS133</f>
        <v>0</v>
      </c>
      <c r="GT162" s="110">
        <f t="shared" si="4331"/>
        <v>0</v>
      </c>
      <c r="GU162" s="110"/>
      <c r="GV162" s="139"/>
      <c r="GW162" s="140" t="e">
        <f t="shared" si="4196"/>
        <v>#DIV/0!</v>
      </c>
      <c r="GX162" s="198">
        <f t="shared" si="4186"/>
        <v>0</v>
      </c>
      <c r="GY162" s="140"/>
      <c r="GZ162" s="110"/>
      <c r="HA162" s="137"/>
      <c r="HB162" s="97"/>
      <c r="HC162" s="138">
        <f t="shared" ref="HC162:HD162" si="4332">HC17+HC46+HC75+HC104+HC133</f>
        <v>0</v>
      </c>
      <c r="HD162" s="110">
        <f t="shared" si="4332"/>
        <v>0</v>
      </c>
      <c r="HE162" s="110"/>
      <c r="HF162" s="139"/>
      <c r="HG162" s="140" t="e">
        <f t="shared" si="4198"/>
        <v>#DIV/0!</v>
      </c>
      <c r="HH162" s="198">
        <f t="shared" si="4186"/>
        <v>0</v>
      </c>
      <c r="HI162" s="140"/>
      <c r="HJ162" s="110"/>
      <c r="HK162" s="137"/>
      <c r="HL162" s="97"/>
      <c r="HM162" s="138">
        <f t="shared" ref="HM162:HN162" si="4333">HM17+HM46+HM75+HM104+HM133</f>
        <v>0</v>
      </c>
      <c r="HN162" s="110">
        <f t="shared" si="4333"/>
        <v>0</v>
      </c>
      <c r="HO162" s="110"/>
      <c r="HP162" s="139"/>
      <c r="HQ162" s="140" t="e">
        <f t="shared" si="4200"/>
        <v>#DIV/0!</v>
      </c>
      <c r="HR162" s="198">
        <f t="shared" si="4201"/>
        <v>0</v>
      </c>
      <c r="HS162" s="140"/>
      <c r="HT162" s="110"/>
      <c r="HU162" s="137"/>
      <c r="HV162" s="97"/>
      <c r="HW162" s="138">
        <f t="shared" ref="HW162:HX162" si="4334">HW17+HW46+HW75+HW104+HW133</f>
        <v>0</v>
      </c>
      <c r="HX162" s="110">
        <f t="shared" si="4334"/>
        <v>0</v>
      </c>
      <c r="HY162" s="110"/>
      <c r="HZ162" s="139"/>
      <c r="IA162" s="140" t="e">
        <f t="shared" si="4203"/>
        <v>#DIV/0!</v>
      </c>
      <c r="IB162" s="198">
        <f t="shared" si="4201"/>
        <v>0</v>
      </c>
      <c r="IC162" s="140"/>
      <c r="ID162" s="110"/>
      <c r="IE162" s="137"/>
      <c r="IF162" s="97"/>
      <c r="IG162" s="138">
        <f t="shared" ref="IG162:IH162" si="4335">IG17+IG46+IG75+IG104+IG133</f>
        <v>0</v>
      </c>
      <c r="IH162" s="110">
        <f t="shared" si="4335"/>
        <v>0</v>
      </c>
      <c r="II162" s="110"/>
      <c r="IJ162" s="139"/>
      <c r="IK162" s="140" t="e">
        <f t="shared" si="4205"/>
        <v>#DIV/0!</v>
      </c>
      <c r="IL162" s="198">
        <f t="shared" si="4201"/>
        <v>0</v>
      </c>
      <c r="IM162" s="140"/>
      <c r="IN162" s="110"/>
      <c r="IO162" s="137"/>
      <c r="IP162" s="97"/>
      <c r="IQ162" s="138">
        <f t="shared" ref="IQ162:IR162" si="4336">IQ17+IQ46+IQ75+IQ104+IQ133</f>
        <v>0</v>
      </c>
      <c r="IR162" s="110">
        <f t="shared" si="4336"/>
        <v>0</v>
      </c>
      <c r="IS162" s="110"/>
      <c r="IT162" s="139"/>
      <c r="IU162" s="140" t="e">
        <f t="shared" si="4207"/>
        <v>#DIV/0!</v>
      </c>
      <c r="IV162" s="198">
        <f t="shared" si="4201"/>
        <v>0</v>
      </c>
      <c r="IW162" s="140"/>
      <c r="IX162" s="110"/>
      <c r="IY162" s="137"/>
      <c r="IZ162" s="97"/>
      <c r="JA162" s="138">
        <f t="shared" ref="JA162:JB162" si="4337">JA17+JA46+JA75+JA104+JA133</f>
        <v>0</v>
      </c>
      <c r="JB162" s="110">
        <f t="shared" si="4337"/>
        <v>0</v>
      </c>
      <c r="JC162" s="110"/>
      <c r="JD162" s="139"/>
      <c r="JE162" s="140" t="e">
        <f t="shared" si="4209"/>
        <v>#DIV/0!</v>
      </c>
      <c r="JF162" s="198">
        <f t="shared" si="4201"/>
        <v>0</v>
      </c>
      <c r="JG162" s="140"/>
      <c r="JH162" s="110"/>
      <c r="JI162" s="137"/>
      <c r="JJ162" s="97"/>
      <c r="JK162" s="138">
        <f t="shared" ref="JK162:JL162" si="4338">JK17+JK46+JK75+JK104+JK133</f>
        <v>0</v>
      </c>
      <c r="JL162" s="110">
        <f t="shared" si="4338"/>
        <v>0</v>
      </c>
      <c r="JM162" s="110"/>
      <c r="JN162" s="139"/>
      <c r="JO162" s="140" t="e">
        <f t="shared" si="4211"/>
        <v>#DIV/0!</v>
      </c>
      <c r="JP162" s="198">
        <f t="shared" si="4201"/>
        <v>0</v>
      </c>
      <c r="JQ162" s="140"/>
      <c r="JR162" s="110"/>
      <c r="JS162" s="137"/>
      <c r="JT162" s="97"/>
      <c r="JU162" s="138">
        <f t="shared" ref="JU162:JV162" si="4339">JU17+JU46+JU75+JU104+JU133</f>
        <v>0</v>
      </c>
      <c r="JV162" s="110">
        <f t="shared" si="4339"/>
        <v>0</v>
      </c>
      <c r="JW162" s="110"/>
      <c r="JX162" s="139"/>
      <c r="JY162" s="140" t="e">
        <f t="shared" si="4213"/>
        <v>#DIV/0!</v>
      </c>
      <c r="JZ162" s="198">
        <f t="shared" si="4201"/>
        <v>0</v>
      </c>
      <c r="KA162" s="140"/>
      <c r="KB162" s="110"/>
      <c r="KC162" s="137"/>
      <c r="KD162" s="97"/>
      <c r="KE162" s="138">
        <f t="shared" ref="KE162:KF162" si="4340">KE17+KE46+KE75+KE104+KE133</f>
        <v>0</v>
      </c>
      <c r="KF162" s="110">
        <f t="shared" si="4340"/>
        <v>0</v>
      </c>
      <c r="KG162" s="110"/>
      <c r="KH162" s="139"/>
      <c r="KI162" s="140" t="e">
        <f t="shared" si="4215"/>
        <v>#DIV/0!</v>
      </c>
      <c r="KJ162" s="198">
        <f t="shared" si="4216"/>
        <v>0</v>
      </c>
      <c r="KK162" s="140"/>
      <c r="KL162" s="110"/>
      <c r="KM162" s="137"/>
      <c r="KN162" s="97"/>
      <c r="KO162" s="138">
        <f t="shared" ref="KO162:KP162" si="4341">KO17+KO46+KO75+KO104+KO133</f>
        <v>0</v>
      </c>
      <c r="KP162" s="110">
        <f t="shared" si="4341"/>
        <v>0</v>
      </c>
      <c r="KQ162" s="110"/>
      <c r="KR162" s="139"/>
      <c r="KS162" s="140" t="e">
        <f t="shared" si="4218"/>
        <v>#DIV/0!</v>
      </c>
      <c r="KT162" s="198">
        <f t="shared" si="4216"/>
        <v>0</v>
      </c>
      <c r="KU162" s="140"/>
      <c r="KV162" s="110"/>
      <c r="KW162" s="137"/>
      <c r="KX162" s="97"/>
      <c r="KY162" s="138">
        <f t="shared" ref="KY162:KZ162" si="4342">KY17+KY46+KY75+KY104+KY133</f>
        <v>0</v>
      </c>
      <c r="KZ162" s="110">
        <f t="shared" si="4342"/>
        <v>0</v>
      </c>
      <c r="LA162" s="110"/>
      <c r="LB162" s="139"/>
      <c r="LC162" s="140" t="e">
        <f t="shared" si="4220"/>
        <v>#DIV/0!</v>
      </c>
      <c r="LD162" s="197">
        <f t="shared" si="4221"/>
        <v>0</v>
      </c>
      <c r="LE162" s="140"/>
      <c r="LF162" s="110"/>
      <c r="LG162" s="137"/>
      <c r="LH162" s="97"/>
      <c r="LI162" s="138">
        <f t="shared" si="4222"/>
        <v>0</v>
      </c>
      <c r="LJ162" s="110">
        <f t="shared" si="4222"/>
        <v>0</v>
      </c>
      <c r="LK162" s="110"/>
      <c r="LL162" s="139"/>
    </row>
    <row r="163" spans="1:324" ht="24" hidden="1" x14ac:dyDescent="0.25">
      <c r="A163" s="246"/>
      <c r="B163" s="12" t="s">
        <v>627</v>
      </c>
      <c r="C163" s="12" t="s">
        <v>729</v>
      </c>
      <c r="D163" s="12" t="s">
        <v>429</v>
      </c>
      <c r="E163" s="4"/>
      <c r="F163" s="198">
        <f t="shared" si="4153"/>
        <v>0</v>
      </c>
      <c r="G163" s="140"/>
      <c r="H163" s="110"/>
      <c r="I163" s="137"/>
      <c r="J163" s="97"/>
      <c r="K163" s="138">
        <f t="shared" si="4154"/>
        <v>0</v>
      </c>
      <c r="L163" s="110">
        <f t="shared" si="4154"/>
        <v>0</v>
      </c>
      <c r="M163" s="110"/>
      <c r="N163" s="139"/>
      <c r="O163" s="140">
        <f t="shared" si="4155"/>
        <v>0</v>
      </c>
      <c r="P163" s="198">
        <f t="shared" si="4156"/>
        <v>0</v>
      </c>
      <c r="Q163" s="140"/>
      <c r="R163" s="110"/>
      <c r="S163" s="137"/>
      <c r="T163" s="97"/>
      <c r="U163" s="138">
        <f t="shared" ref="U163:V163" si="4343">U18+U47+U76+U105+U134</f>
        <v>0</v>
      </c>
      <c r="V163" s="110">
        <f t="shared" si="4343"/>
        <v>0</v>
      </c>
      <c r="W163" s="110"/>
      <c r="X163" s="139"/>
      <c r="Y163" s="140">
        <f t="shared" si="4158"/>
        <v>0</v>
      </c>
      <c r="Z163" s="198">
        <f t="shared" si="4156"/>
        <v>0</v>
      </c>
      <c r="AA163" s="140"/>
      <c r="AB163" s="110"/>
      <c r="AC163" s="137"/>
      <c r="AD163" s="97"/>
      <c r="AE163" s="138">
        <f t="shared" ref="AE163:AF163" si="4344">AE18+AE47+AE76+AE105+AE134</f>
        <v>0</v>
      </c>
      <c r="AF163" s="110">
        <f t="shared" si="4344"/>
        <v>0</v>
      </c>
      <c r="AG163" s="110"/>
      <c r="AH163" s="139"/>
      <c r="AI163" s="140">
        <f t="shared" si="4160"/>
        <v>0</v>
      </c>
      <c r="AJ163" s="198">
        <f t="shared" si="4156"/>
        <v>3</v>
      </c>
      <c r="AK163" s="140"/>
      <c r="AL163" s="110"/>
      <c r="AM163" s="137"/>
      <c r="AN163" s="97"/>
      <c r="AO163" s="138">
        <f t="shared" ref="AO163:AP163" si="4345">AO18+AO47+AO76+AO105+AO134</f>
        <v>1830.1083699999999</v>
      </c>
      <c r="AP163" s="110">
        <f t="shared" si="4345"/>
        <v>5490.32</v>
      </c>
      <c r="AQ163" s="110"/>
      <c r="AR163" s="139"/>
      <c r="AS163" s="140">
        <f t="shared" si="4162"/>
        <v>0.64986999999999995</v>
      </c>
      <c r="AT163" s="198">
        <f t="shared" si="4156"/>
        <v>0</v>
      </c>
      <c r="AU163" s="140"/>
      <c r="AV163" s="110"/>
      <c r="AW163" s="137"/>
      <c r="AX163" s="97"/>
      <c r="AY163" s="138">
        <f t="shared" ref="AY163:AZ163" si="4346">AY18+AY47+AY76+AY105+AY134</f>
        <v>0</v>
      </c>
      <c r="AZ163" s="110">
        <f t="shared" si="4346"/>
        <v>0</v>
      </c>
      <c r="BA163" s="110"/>
      <c r="BB163" s="139"/>
      <c r="BC163" s="140">
        <f t="shared" si="4164"/>
        <v>0</v>
      </c>
      <c r="BD163" s="198">
        <f t="shared" si="4156"/>
        <v>0</v>
      </c>
      <c r="BE163" s="140"/>
      <c r="BF163" s="110"/>
      <c r="BG163" s="137"/>
      <c r="BH163" s="97"/>
      <c r="BI163" s="138">
        <f t="shared" ref="BI163:BJ163" si="4347">BI18+BI47+BI76+BI105+BI134</f>
        <v>0</v>
      </c>
      <c r="BJ163" s="110">
        <f t="shared" si="4347"/>
        <v>0</v>
      </c>
      <c r="BK163" s="110"/>
      <c r="BL163" s="139"/>
      <c r="BM163" s="140">
        <f t="shared" si="4166"/>
        <v>0</v>
      </c>
      <c r="BN163" s="198">
        <f t="shared" si="4156"/>
        <v>0</v>
      </c>
      <c r="BO163" s="140"/>
      <c r="BP163" s="110"/>
      <c r="BQ163" s="137"/>
      <c r="BR163" s="97"/>
      <c r="BS163" s="138">
        <f t="shared" ref="BS163:BT163" si="4348">BS18+BS47+BS76+BS105+BS134</f>
        <v>0</v>
      </c>
      <c r="BT163" s="110">
        <f t="shared" si="4348"/>
        <v>0</v>
      </c>
      <c r="BU163" s="110"/>
      <c r="BV163" s="139"/>
      <c r="BW163" s="140">
        <f t="shared" si="4168"/>
        <v>0</v>
      </c>
      <c r="BX163" s="198">
        <f t="shared" si="4156"/>
        <v>0</v>
      </c>
      <c r="BY163" s="140"/>
      <c r="BZ163" s="110"/>
      <c r="CA163" s="137"/>
      <c r="CB163" s="97"/>
      <c r="CC163" s="138">
        <f t="shared" ref="CC163:CD163" si="4349">CC18+CC47+CC76+CC105+CC134</f>
        <v>0</v>
      </c>
      <c r="CD163" s="110">
        <f t="shared" si="4349"/>
        <v>0</v>
      </c>
      <c r="CE163" s="110"/>
      <c r="CF163" s="139"/>
      <c r="CG163" s="140">
        <f t="shared" si="4170"/>
        <v>0</v>
      </c>
      <c r="CH163" s="198">
        <f t="shared" si="4171"/>
        <v>0</v>
      </c>
      <c r="CI163" s="140"/>
      <c r="CJ163" s="110"/>
      <c r="CK163" s="137"/>
      <c r="CL163" s="97"/>
      <c r="CM163" s="138">
        <f t="shared" ref="CM163:CN163" si="4350">CM18+CM47+CM76+CM105+CM134</f>
        <v>0</v>
      </c>
      <c r="CN163" s="110">
        <f t="shared" si="4350"/>
        <v>0</v>
      </c>
      <c r="CO163" s="110"/>
      <c r="CP163" s="139"/>
      <c r="CQ163" s="140">
        <f t="shared" si="4173"/>
        <v>0</v>
      </c>
      <c r="CR163" s="198">
        <f t="shared" si="4171"/>
        <v>2</v>
      </c>
      <c r="CS163" s="140"/>
      <c r="CT163" s="110"/>
      <c r="CU163" s="137"/>
      <c r="CV163" s="97"/>
      <c r="CW163" s="138">
        <f t="shared" ref="CW163:CX163" si="4351">CW18+CW47+CW76+CW105+CW134</f>
        <v>3019.7429999999999</v>
      </c>
      <c r="CX163" s="110">
        <f t="shared" si="4351"/>
        <v>6039.49</v>
      </c>
      <c r="CY163" s="110"/>
      <c r="CZ163" s="139"/>
      <c r="DA163" s="140">
        <f t="shared" si="4175"/>
        <v>1.0723100000000001</v>
      </c>
      <c r="DB163" s="198">
        <f t="shared" si="4171"/>
        <v>0</v>
      </c>
      <c r="DC163" s="140"/>
      <c r="DD163" s="110"/>
      <c r="DE163" s="137"/>
      <c r="DF163" s="97"/>
      <c r="DG163" s="138">
        <f t="shared" ref="DG163:DH163" si="4352">DG18+DG47+DG76+DG105+DG134</f>
        <v>0</v>
      </c>
      <c r="DH163" s="110">
        <f t="shared" si="4352"/>
        <v>0</v>
      </c>
      <c r="DI163" s="110"/>
      <c r="DJ163" s="139"/>
      <c r="DK163" s="140">
        <f t="shared" si="4177"/>
        <v>0</v>
      </c>
      <c r="DL163" s="198">
        <f t="shared" si="4171"/>
        <v>0</v>
      </c>
      <c r="DM163" s="140"/>
      <c r="DN163" s="110"/>
      <c r="DO163" s="137"/>
      <c r="DP163" s="97"/>
      <c r="DQ163" s="138">
        <f t="shared" ref="DQ163:DR163" si="4353">DQ18+DQ47+DQ76+DQ105+DQ134</f>
        <v>0</v>
      </c>
      <c r="DR163" s="110">
        <f t="shared" si="4353"/>
        <v>0</v>
      </c>
      <c r="DS163" s="110"/>
      <c r="DT163" s="139"/>
      <c r="DU163" s="140">
        <f t="shared" si="4179"/>
        <v>0</v>
      </c>
      <c r="DV163" s="198">
        <f t="shared" si="4171"/>
        <v>0</v>
      </c>
      <c r="DW163" s="140"/>
      <c r="DX163" s="110"/>
      <c r="DY163" s="137"/>
      <c r="DZ163" s="97"/>
      <c r="EA163" s="138">
        <f t="shared" ref="EA163:EB163" si="4354">EA18+EA47+EA76+EA105+EA134</f>
        <v>0</v>
      </c>
      <c r="EB163" s="110">
        <f t="shared" si="4354"/>
        <v>0</v>
      </c>
      <c r="EC163" s="110"/>
      <c r="ED163" s="139"/>
      <c r="EE163" s="140">
        <f t="shared" si="4181"/>
        <v>0</v>
      </c>
      <c r="EF163" s="198">
        <f t="shared" si="4171"/>
        <v>2</v>
      </c>
      <c r="EG163" s="140"/>
      <c r="EH163" s="110"/>
      <c r="EI163" s="137"/>
      <c r="EJ163" s="97"/>
      <c r="EK163" s="138">
        <f t="shared" ref="EK163:EL163" si="4355">EK18+EK47+EK76+EK105+EK134</f>
        <v>1819.6869999999999</v>
      </c>
      <c r="EL163" s="110">
        <f t="shared" si="4355"/>
        <v>3639.38</v>
      </c>
      <c r="EM163" s="110"/>
      <c r="EN163" s="139"/>
      <c r="EO163" s="140">
        <f t="shared" si="4183"/>
        <v>0.64617000000000002</v>
      </c>
      <c r="EP163" s="198">
        <f t="shared" si="4171"/>
        <v>2</v>
      </c>
      <c r="EQ163" s="140"/>
      <c r="ER163" s="110"/>
      <c r="ES163" s="137"/>
      <c r="ET163" s="97"/>
      <c r="EU163" s="138">
        <f t="shared" ref="EU163:EV163" si="4356">EU18+EU47+EU76+EU105+EU134</f>
        <v>3146.5938500000002</v>
      </c>
      <c r="EV163" s="110">
        <f t="shared" si="4356"/>
        <v>6293.19</v>
      </c>
      <c r="EW163" s="110"/>
      <c r="EX163" s="139"/>
      <c r="EY163" s="140">
        <f t="shared" si="4185"/>
        <v>1.1173500000000001</v>
      </c>
      <c r="EZ163" s="198">
        <f t="shared" si="4186"/>
        <v>1</v>
      </c>
      <c r="FA163" s="140"/>
      <c r="FB163" s="110"/>
      <c r="FC163" s="137"/>
      <c r="FD163" s="97"/>
      <c r="FE163" s="138">
        <f t="shared" ref="FE163:FF163" si="4357">FE18+FE47+FE76+FE105+FE134</f>
        <v>1331.7018</v>
      </c>
      <c r="FF163" s="110">
        <f t="shared" si="4357"/>
        <v>1331.69</v>
      </c>
      <c r="FG163" s="110"/>
      <c r="FH163" s="139"/>
      <c r="FI163" s="140">
        <f t="shared" si="4188"/>
        <v>0.47288999999999998</v>
      </c>
      <c r="FJ163" s="198">
        <f t="shared" si="4186"/>
        <v>1</v>
      </c>
      <c r="FK163" s="140"/>
      <c r="FL163" s="110"/>
      <c r="FM163" s="137"/>
      <c r="FN163" s="97"/>
      <c r="FO163" s="138">
        <f t="shared" ref="FO163:FP163" si="4358">FO18+FO47+FO76+FO105+FO134</f>
        <v>2741.9144999999999</v>
      </c>
      <c r="FP163" s="110">
        <f t="shared" si="4358"/>
        <v>2741.91</v>
      </c>
      <c r="FQ163" s="110"/>
      <c r="FR163" s="139"/>
      <c r="FS163" s="140">
        <f t="shared" si="4190"/>
        <v>0.97365000000000002</v>
      </c>
      <c r="FT163" s="198">
        <f t="shared" si="4186"/>
        <v>1</v>
      </c>
      <c r="FU163" s="140"/>
      <c r="FV163" s="110"/>
      <c r="FW163" s="137"/>
      <c r="FX163" s="97"/>
      <c r="FY163" s="138">
        <f t="shared" ref="FY163:FZ163" si="4359">FY18+FY47+FY76+FY105+FY134</f>
        <v>2618.9070000000002</v>
      </c>
      <c r="FZ163" s="110">
        <f t="shared" si="4359"/>
        <v>2618.9</v>
      </c>
      <c r="GA163" s="110"/>
      <c r="GB163" s="139"/>
      <c r="GC163" s="140">
        <f t="shared" si="4192"/>
        <v>0.92996999999999996</v>
      </c>
      <c r="GD163" s="198">
        <f t="shared" si="4186"/>
        <v>2</v>
      </c>
      <c r="GE163" s="140"/>
      <c r="GF163" s="110"/>
      <c r="GG163" s="137"/>
      <c r="GH163" s="97"/>
      <c r="GI163" s="138">
        <f t="shared" ref="GI163:GJ163" si="4360">GI18+GI47+GI76+GI105+GI134</f>
        <v>2086.8074499999998</v>
      </c>
      <c r="GJ163" s="110">
        <f t="shared" si="4360"/>
        <v>4173.62</v>
      </c>
      <c r="GK163" s="110"/>
      <c r="GL163" s="139"/>
      <c r="GM163" s="140">
        <f t="shared" si="4194"/>
        <v>0.74102000000000001</v>
      </c>
      <c r="GN163" s="198">
        <f t="shared" si="4186"/>
        <v>0</v>
      </c>
      <c r="GO163" s="140"/>
      <c r="GP163" s="110"/>
      <c r="GQ163" s="137"/>
      <c r="GR163" s="97"/>
      <c r="GS163" s="138">
        <f t="shared" ref="GS163:GT163" si="4361">GS18+GS47+GS76+GS105+GS134</f>
        <v>0</v>
      </c>
      <c r="GT163" s="110">
        <f t="shared" si="4361"/>
        <v>0</v>
      </c>
      <c r="GU163" s="110"/>
      <c r="GV163" s="139"/>
      <c r="GW163" s="140">
        <f t="shared" si="4196"/>
        <v>0</v>
      </c>
      <c r="GX163" s="198">
        <f t="shared" si="4186"/>
        <v>0</v>
      </c>
      <c r="GY163" s="140"/>
      <c r="GZ163" s="110"/>
      <c r="HA163" s="137"/>
      <c r="HB163" s="97"/>
      <c r="HC163" s="138">
        <f t="shared" ref="HC163:HD163" si="4362">HC18+HC47+HC76+HC105+HC134</f>
        <v>0</v>
      </c>
      <c r="HD163" s="110">
        <f t="shared" si="4362"/>
        <v>0</v>
      </c>
      <c r="HE163" s="110"/>
      <c r="HF163" s="139"/>
      <c r="HG163" s="140">
        <f t="shared" si="4198"/>
        <v>0</v>
      </c>
      <c r="HH163" s="198">
        <f t="shared" si="4186"/>
        <v>0</v>
      </c>
      <c r="HI163" s="140"/>
      <c r="HJ163" s="110"/>
      <c r="HK163" s="137"/>
      <c r="HL163" s="97"/>
      <c r="HM163" s="138">
        <f t="shared" ref="HM163:HN163" si="4363">HM18+HM47+HM76+HM105+HM134</f>
        <v>0</v>
      </c>
      <c r="HN163" s="110">
        <f t="shared" si="4363"/>
        <v>0</v>
      </c>
      <c r="HO163" s="110"/>
      <c r="HP163" s="139"/>
      <c r="HQ163" s="140">
        <f t="shared" si="4200"/>
        <v>0</v>
      </c>
      <c r="HR163" s="198">
        <f t="shared" si="4201"/>
        <v>3</v>
      </c>
      <c r="HS163" s="140"/>
      <c r="HT163" s="110"/>
      <c r="HU163" s="137"/>
      <c r="HV163" s="97"/>
      <c r="HW163" s="138">
        <f t="shared" ref="HW163:HX163" si="4364">HW18+HW47+HW76+HW105+HW134</f>
        <v>3249.5411800000002</v>
      </c>
      <c r="HX163" s="110">
        <f t="shared" si="4364"/>
        <v>9748.6299999999992</v>
      </c>
      <c r="HY163" s="110"/>
      <c r="HZ163" s="139"/>
      <c r="IA163" s="140">
        <f t="shared" si="4203"/>
        <v>1.15391</v>
      </c>
      <c r="IB163" s="198">
        <f t="shared" si="4201"/>
        <v>2</v>
      </c>
      <c r="IC163" s="140"/>
      <c r="ID163" s="110"/>
      <c r="IE163" s="137"/>
      <c r="IF163" s="97"/>
      <c r="IG163" s="138">
        <f t="shared" ref="IG163:IH163" si="4365">IG18+IG47+IG76+IG105+IG134</f>
        <v>4445.7954499999996</v>
      </c>
      <c r="IH163" s="110">
        <f t="shared" si="4365"/>
        <v>8891.59</v>
      </c>
      <c r="II163" s="110"/>
      <c r="IJ163" s="139"/>
      <c r="IK163" s="140">
        <f t="shared" si="4205"/>
        <v>1.5787</v>
      </c>
      <c r="IL163" s="198">
        <f t="shared" si="4201"/>
        <v>0</v>
      </c>
      <c r="IM163" s="140"/>
      <c r="IN163" s="110"/>
      <c r="IO163" s="137"/>
      <c r="IP163" s="97"/>
      <c r="IQ163" s="138">
        <f t="shared" ref="IQ163:IR163" si="4366">IQ18+IQ47+IQ76+IQ105+IQ134</f>
        <v>0</v>
      </c>
      <c r="IR163" s="110">
        <f t="shared" si="4366"/>
        <v>0</v>
      </c>
      <c r="IS163" s="110"/>
      <c r="IT163" s="139"/>
      <c r="IU163" s="140">
        <f t="shared" si="4207"/>
        <v>0</v>
      </c>
      <c r="IV163" s="198">
        <f t="shared" si="4201"/>
        <v>14</v>
      </c>
      <c r="IW163" s="140"/>
      <c r="IX163" s="110"/>
      <c r="IY163" s="137"/>
      <c r="IZ163" s="97"/>
      <c r="JA163" s="138">
        <f t="shared" ref="JA163:JB163" si="4367">JA18+JA47+JA76+JA105+JA134</f>
        <v>2764.46198</v>
      </c>
      <c r="JB163" s="110">
        <f t="shared" si="4367"/>
        <v>38702.46</v>
      </c>
      <c r="JC163" s="110"/>
      <c r="JD163" s="139"/>
      <c r="JE163" s="140">
        <f t="shared" si="4209"/>
        <v>0.98165999999999998</v>
      </c>
      <c r="JF163" s="198">
        <f t="shared" si="4201"/>
        <v>3</v>
      </c>
      <c r="JG163" s="140"/>
      <c r="JH163" s="110"/>
      <c r="JI163" s="137"/>
      <c r="JJ163" s="97"/>
      <c r="JK163" s="138">
        <f t="shared" ref="JK163:JL163" si="4368">JK18+JK47+JK76+JK105+JK134</f>
        <v>2706.9097299999999</v>
      </c>
      <c r="JL163" s="110">
        <f t="shared" si="4368"/>
        <v>8120.73</v>
      </c>
      <c r="JM163" s="110"/>
      <c r="JN163" s="139"/>
      <c r="JO163" s="140">
        <f t="shared" si="4211"/>
        <v>0.96121999999999996</v>
      </c>
      <c r="JP163" s="198">
        <f t="shared" si="4201"/>
        <v>2</v>
      </c>
      <c r="JQ163" s="140"/>
      <c r="JR163" s="110"/>
      <c r="JS163" s="137"/>
      <c r="JT163" s="97"/>
      <c r="JU163" s="138">
        <f t="shared" ref="JU163:JV163" si="4369">JU18+JU47+JU76+JU105+JU134</f>
        <v>2948.4717000000001</v>
      </c>
      <c r="JV163" s="110">
        <f t="shared" si="4369"/>
        <v>5896.94</v>
      </c>
      <c r="JW163" s="110"/>
      <c r="JX163" s="139"/>
      <c r="JY163" s="140">
        <f t="shared" si="4213"/>
        <v>1.0469999999999999</v>
      </c>
      <c r="JZ163" s="198">
        <f t="shared" si="4201"/>
        <v>0</v>
      </c>
      <c r="KA163" s="140"/>
      <c r="KB163" s="110"/>
      <c r="KC163" s="137"/>
      <c r="KD163" s="97"/>
      <c r="KE163" s="138">
        <f t="shared" ref="KE163:KF163" si="4370">KE18+KE47+KE76+KE105+KE134</f>
        <v>0</v>
      </c>
      <c r="KF163" s="110">
        <f t="shared" si="4370"/>
        <v>0</v>
      </c>
      <c r="KG163" s="110"/>
      <c r="KH163" s="139"/>
      <c r="KI163" s="140">
        <f t="shared" si="4215"/>
        <v>0</v>
      </c>
      <c r="KJ163" s="198">
        <f t="shared" si="4216"/>
        <v>0</v>
      </c>
      <c r="KK163" s="140"/>
      <c r="KL163" s="110"/>
      <c r="KM163" s="137"/>
      <c r="KN163" s="97"/>
      <c r="KO163" s="138">
        <f t="shared" ref="KO163:KP163" si="4371">KO18+KO47+KO76+KO105+KO134</f>
        <v>0</v>
      </c>
      <c r="KP163" s="110">
        <f t="shared" si="4371"/>
        <v>0</v>
      </c>
      <c r="KQ163" s="110"/>
      <c r="KR163" s="139"/>
      <c r="KS163" s="140">
        <f t="shared" si="4218"/>
        <v>0</v>
      </c>
      <c r="KT163" s="198">
        <f t="shared" si="4216"/>
        <v>2</v>
      </c>
      <c r="KU163" s="140"/>
      <c r="KV163" s="110"/>
      <c r="KW163" s="137"/>
      <c r="KX163" s="97"/>
      <c r="KY163" s="138">
        <f t="shared" ref="KY163:KZ163" si="4372">KY18+KY47+KY76+KY105+KY134</f>
        <v>12364.52995</v>
      </c>
      <c r="KZ163" s="110">
        <f t="shared" si="4372"/>
        <v>24729.06</v>
      </c>
      <c r="LA163" s="110"/>
      <c r="LB163" s="139"/>
      <c r="LC163" s="140">
        <f t="shared" si="4220"/>
        <v>4.3906400000000003</v>
      </c>
      <c r="LD163" s="197">
        <f t="shared" si="4221"/>
        <v>40</v>
      </c>
      <c r="LE163" s="140"/>
      <c r="LF163" s="110"/>
      <c r="LG163" s="137"/>
      <c r="LH163" s="97"/>
      <c r="LI163" s="138">
        <f t="shared" si="4222"/>
        <v>2816.1120299999998</v>
      </c>
      <c r="LJ163" s="110">
        <f t="shared" si="4222"/>
        <v>112644.48</v>
      </c>
      <c r="LK163" s="110"/>
      <c r="LL163" s="139"/>
    </row>
    <row r="164" spans="1:324" ht="24" hidden="1" x14ac:dyDescent="0.25">
      <c r="A164" s="246"/>
      <c r="B164" s="92" t="s">
        <v>608</v>
      </c>
      <c r="C164" s="12" t="s">
        <v>729</v>
      </c>
      <c r="D164" s="12" t="s">
        <v>429</v>
      </c>
      <c r="E164" s="4"/>
      <c r="F164" s="198">
        <f t="shared" si="4153"/>
        <v>0</v>
      </c>
      <c r="G164" s="140"/>
      <c r="H164" s="110"/>
      <c r="I164" s="137"/>
      <c r="J164" s="97"/>
      <c r="K164" s="138">
        <f t="shared" si="4154"/>
        <v>0</v>
      </c>
      <c r="L164" s="110">
        <f t="shared" si="4154"/>
        <v>0</v>
      </c>
      <c r="M164" s="110"/>
      <c r="N164" s="139"/>
      <c r="O164" s="140" t="e">
        <f t="shared" si="4155"/>
        <v>#DIV/0!</v>
      </c>
      <c r="P164" s="198">
        <f t="shared" si="4156"/>
        <v>0</v>
      </c>
      <c r="Q164" s="140"/>
      <c r="R164" s="110"/>
      <c r="S164" s="137"/>
      <c r="T164" s="97"/>
      <c r="U164" s="138">
        <f t="shared" ref="U164:V164" si="4373">U19+U48+U77+U106+U135</f>
        <v>0</v>
      </c>
      <c r="V164" s="110">
        <f t="shared" si="4373"/>
        <v>0</v>
      </c>
      <c r="W164" s="110"/>
      <c r="X164" s="139"/>
      <c r="Y164" s="140" t="e">
        <f t="shared" si="4158"/>
        <v>#DIV/0!</v>
      </c>
      <c r="Z164" s="198">
        <f t="shared" si="4156"/>
        <v>0</v>
      </c>
      <c r="AA164" s="140"/>
      <c r="AB164" s="110"/>
      <c r="AC164" s="137"/>
      <c r="AD164" s="97"/>
      <c r="AE164" s="138">
        <f t="shared" ref="AE164:AF164" si="4374">AE19+AE48+AE77+AE106+AE135</f>
        <v>0</v>
      </c>
      <c r="AF164" s="110">
        <f t="shared" si="4374"/>
        <v>0</v>
      </c>
      <c r="AG164" s="110"/>
      <c r="AH164" s="139"/>
      <c r="AI164" s="140" t="e">
        <f t="shared" si="4160"/>
        <v>#DIV/0!</v>
      </c>
      <c r="AJ164" s="198">
        <f t="shared" si="4156"/>
        <v>0</v>
      </c>
      <c r="AK164" s="140"/>
      <c r="AL164" s="110"/>
      <c r="AM164" s="137"/>
      <c r="AN164" s="97"/>
      <c r="AO164" s="138">
        <f t="shared" ref="AO164:AP164" si="4375">AO19+AO48+AO77+AO106+AO135</f>
        <v>0</v>
      </c>
      <c r="AP164" s="110">
        <f t="shared" si="4375"/>
        <v>0</v>
      </c>
      <c r="AQ164" s="110"/>
      <c r="AR164" s="139"/>
      <c r="AS164" s="140" t="e">
        <f t="shared" si="4162"/>
        <v>#DIV/0!</v>
      </c>
      <c r="AT164" s="198">
        <f t="shared" si="4156"/>
        <v>0</v>
      </c>
      <c r="AU164" s="140"/>
      <c r="AV164" s="110"/>
      <c r="AW164" s="137"/>
      <c r="AX164" s="97"/>
      <c r="AY164" s="138">
        <f t="shared" ref="AY164:AZ164" si="4376">AY19+AY48+AY77+AY106+AY135</f>
        <v>0</v>
      </c>
      <c r="AZ164" s="110">
        <f t="shared" si="4376"/>
        <v>0</v>
      </c>
      <c r="BA164" s="110"/>
      <c r="BB164" s="139"/>
      <c r="BC164" s="140" t="e">
        <f t="shared" si="4164"/>
        <v>#DIV/0!</v>
      </c>
      <c r="BD164" s="198">
        <f t="shared" si="4156"/>
        <v>0</v>
      </c>
      <c r="BE164" s="140"/>
      <c r="BF164" s="110"/>
      <c r="BG164" s="137"/>
      <c r="BH164" s="97"/>
      <c r="BI164" s="138">
        <f t="shared" ref="BI164:BJ164" si="4377">BI19+BI48+BI77+BI106+BI135</f>
        <v>0</v>
      </c>
      <c r="BJ164" s="110">
        <f t="shared" si="4377"/>
        <v>0</v>
      </c>
      <c r="BK164" s="110"/>
      <c r="BL164" s="139"/>
      <c r="BM164" s="140" t="e">
        <f t="shared" si="4166"/>
        <v>#DIV/0!</v>
      </c>
      <c r="BN164" s="198">
        <f t="shared" si="4156"/>
        <v>0</v>
      </c>
      <c r="BO164" s="140"/>
      <c r="BP164" s="110"/>
      <c r="BQ164" s="137"/>
      <c r="BR164" s="97"/>
      <c r="BS164" s="138">
        <f t="shared" ref="BS164:BT164" si="4378">BS19+BS48+BS77+BS106+BS135</f>
        <v>0</v>
      </c>
      <c r="BT164" s="110">
        <f t="shared" si="4378"/>
        <v>0</v>
      </c>
      <c r="BU164" s="110"/>
      <c r="BV164" s="139"/>
      <c r="BW164" s="140" t="e">
        <f t="shared" si="4168"/>
        <v>#DIV/0!</v>
      </c>
      <c r="BX164" s="198">
        <f t="shared" si="4156"/>
        <v>0</v>
      </c>
      <c r="BY164" s="140"/>
      <c r="BZ164" s="110"/>
      <c r="CA164" s="137"/>
      <c r="CB164" s="97"/>
      <c r="CC164" s="138">
        <f t="shared" ref="CC164:CD164" si="4379">CC19+CC48+CC77+CC106+CC135</f>
        <v>0</v>
      </c>
      <c r="CD164" s="110">
        <f t="shared" si="4379"/>
        <v>0</v>
      </c>
      <c r="CE164" s="110"/>
      <c r="CF164" s="139"/>
      <c r="CG164" s="140" t="e">
        <f t="shared" si="4170"/>
        <v>#DIV/0!</v>
      </c>
      <c r="CH164" s="198">
        <f t="shared" si="4171"/>
        <v>0</v>
      </c>
      <c r="CI164" s="140"/>
      <c r="CJ164" s="110"/>
      <c r="CK164" s="137"/>
      <c r="CL164" s="97"/>
      <c r="CM164" s="138">
        <f t="shared" ref="CM164:CN164" si="4380">CM19+CM48+CM77+CM106+CM135</f>
        <v>0</v>
      </c>
      <c r="CN164" s="110">
        <f t="shared" si="4380"/>
        <v>0</v>
      </c>
      <c r="CO164" s="110"/>
      <c r="CP164" s="139"/>
      <c r="CQ164" s="140" t="e">
        <f t="shared" si="4173"/>
        <v>#DIV/0!</v>
      </c>
      <c r="CR164" s="198">
        <f t="shared" si="4171"/>
        <v>0</v>
      </c>
      <c r="CS164" s="140"/>
      <c r="CT164" s="110"/>
      <c r="CU164" s="137"/>
      <c r="CV164" s="97"/>
      <c r="CW164" s="138">
        <f t="shared" ref="CW164:CX164" si="4381">CW19+CW48+CW77+CW106+CW135</f>
        <v>0</v>
      </c>
      <c r="CX164" s="110">
        <f t="shared" si="4381"/>
        <v>0</v>
      </c>
      <c r="CY164" s="110"/>
      <c r="CZ164" s="139"/>
      <c r="DA164" s="140" t="e">
        <f t="shared" si="4175"/>
        <v>#DIV/0!</v>
      </c>
      <c r="DB164" s="198">
        <f t="shared" si="4171"/>
        <v>0</v>
      </c>
      <c r="DC164" s="140"/>
      <c r="DD164" s="110"/>
      <c r="DE164" s="137"/>
      <c r="DF164" s="97"/>
      <c r="DG164" s="138">
        <f t="shared" ref="DG164:DH164" si="4382">DG19+DG48+DG77+DG106+DG135</f>
        <v>0</v>
      </c>
      <c r="DH164" s="110">
        <f t="shared" si="4382"/>
        <v>0</v>
      </c>
      <c r="DI164" s="110"/>
      <c r="DJ164" s="139"/>
      <c r="DK164" s="140" t="e">
        <f t="shared" si="4177"/>
        <v>#DIV/0!</v>
      </c>
      <c r="DL164" s="198">
        <f t="shared" si="4171"/>
        <v>0</v>
      </c>
      <c r="DM164" s="140"/>
      <c r="DN164" s="110"/>
      <c r="DO164" s="137"/>
      <c r="DP164" s="97"/>
      <c r="DQ164" s="138">
        <f t="shared" ref="DQ164:DR164" si="4383">DQ19+DQ48+DQ77+DQ106+DQ135</f>
        <v>0</v>
      </c>
      <c r="DR164" s="110">
        <f t="shared" si="4383"/>
        <v>0</v>
      </c>
      <c r="DS164" s="110"/>
      <c r="DT164" s="139"/>
      <c r="DU164" s="140" t="e">
        <f t="shared" si="4179"/>
        <v>#DIV/0!</v>
      </c>
      <c r="DV164" s="198">
        <f t="shared" si="4171"/>
        <v>0</v>
      </c>
      <c r="DW164" s="140"/>
      <c r="DX164" s="110"/>
      <c r="DY164" s="137"/>
      <c r="DZ164" s="97"/>
      <c r="EA164" s="138">
        <f t="shared" ref="EA164:EB164" si="4384">EA19+EA48+EA77+EA106+EA135</f>
        <v>0</v>
      </c>
      <c r="EB164" s="110">
        <f t="shared" si="4384"/>
        <v>0</v>
      </c>
      <c r="EC164" s="110"/>
      <c r="ED164" s="139"/>
      <c r="EE164" s="140" t="e">
        <f t="shared" si="4181"/>
        <v>#DIV/0!</v>
      </c>
      <c r="EF164" s="198">
        <f t="shared" si="4171"/>
        <v>0</v>
      </c>
      <c r="EG164" s="140"/>
      <c r="EH164" s="110"/>
      <c r="EI164" s="137"/>
      <c r="EJ164" s="97"/>
      <c r="EK164" s="138">
        <f t="shared" ref="EK164:EL164" si="4385">EK19+EK48+EK77+EK106+EK135</f>
        <v>0</v>
      </c>
      <c r="EL164" s="110">
        <f t="shared" si="4385"/>
        <v>0</v>
      </c>
      <c r="EM164" s="110"/>
      <c r="EN164" s="139"/>
      <c r="EO164" s="140" t="e">
        <f t="shared" si="4183"/>
        <v>#DIV/0!</v>
      </c>
      <c r="EP164" s="198">
        <f t="shared" si="4171"/>
        <v>0</v>
      </c>
      <c r="EQ164" s="140"/>
      <c r="ER164" s="110"/>
      <c r="ES164" s="137"/>
      <c r="ET164" s="97"/>
      <c r="EU164" s="138">
        <f t="shared" ref="EU164:EV164" si="4386">EU19+EU48+EU77+EU106+EU135</f>
        <v>0</v>
      </c>
      <c r="EV164" s="110">
        <f t="shared" si="4386"/>
        <v>0</v>
      </c>
      <c r="EW164" s="110"/>
      <c r="EX164" s="139"/>
      <c r="EY164" s="140" t="e">
        <f t="shared" si="4185"/>
        <v>#DIV/0!</v>
      </c>
      <c r="EZ164" s="198">
        <f t="shared" si="4186"/>
        <v>0</v>
      </c>
      <c r="FA164" s="140"/>
      <c r="FB164" s="110"/>
      <c r="FC164" s="137"/>
      <c r="FD164" s="97"/>
      <c r="FE164" s="138">
        <f t="shared" ref="FE164:FF164" si="4387">FE19+FE48+FE77+FE106+FE135</f>
        <v>0</v>
      </c>
      <c r="FF164" s="110">
        <f t="shared" si="4387"/>
        <v>0</v>
      </c>
      <c r="FG164" s="110"/>
      <c r="FH164" s="139"/>
      <c r="FI164" s="140" t="e">
        <f t="shared" si="4188"/>
        <v>#DIV/0!</v>
      </c>
      <c r="FJ164" s="198">
        <f t="shared" si="4186"/>
        <v>0</v>
      </c>
      <c r="FK164" s="140"/>
      <c r="FL164" s="110"/>
      <c r="FM164" s="137"/>
      <c r="FN164" s="97"/>
      <c r="FO164" s="138">
        <f t="shared" ref="FO164:FP164" si="4388">FO19+FO48+FO77+FO106+FO135</f>
        <v>0</v>
      </c>
      <c r="FP164" s="110">
        <f t="shared" si="4388"/>
        <v>0</v>
      </c>
      <c r="FQ164" s="110"/>
      <c r="FR164" s="139"/>
      <c r="FS164" s="140" t="e">
        <f t="shared" si="4190"/>
        <v>#DIV/0!</v>
      </c>
      <c r="FT164" s="198">
        <f t="shared" si="4186"/>
        <v>0</v>
      </c>
      <c r="FU164" s="140"/>
      <c r="FV164" s="110"/>
      <c r="FW164" s="137"/>
      <c r="FX164" s="97"/>
      <c r="FY164" s="138">
        <f t="shared" ref="FY164:FZ164" si="4389">FY19+FY48+FY77+FY106+FY135</f>
        <v>0</v>
      </c>
      <c r="FZ164" s="110">
        <f t="shared" si="4389"/>
        <v>0</v>
      </c>
      <c r="GA164" s="110"/>
      <c r="GB164" s="139"/>
      <c r="GC164" s="140" t="e">
        <f t="shared" si="4192"/>
        <v>#DIV/0!</v>
      </c>
      <c r="GD164" s="198">
        <f t="shared" si="4186"/>
        <v>0</v>
      </c>
      <c r="GE164" s="140"/>
      <c r="GF164" s="110"/>
      <c r="GG164" s="137"/>
      <c r="GH164" s="97"/>
      <c r="GI164" s="138">
        <f t="shared" ref="GI164:GJ164" si="4390">GI19+GI48+GI77+GI106+GI135</f>
        <v>0</v>
      </c>
      <c r="GJ164" s="110">
        <f t="shared" si="4390"/>
        <v>0</v>
      </c>
      <c r="GK164" s="110"/>
      <c r="GL164" s="139"/>
      <c r="GM164" s="140" t="e">
        <f t="shared" si="4194"/>
        <v>#DIV/0!</v>
      </c>
      <c r="GN164" s="198">
        <f t="shared" si="4186"/>
        <v>0</v>
      </c>
      <c r="GO164" s="140"/>
      <c r="GP164" s="110"/>
      <c r="GQ164" s="137"/>
      <c r="GR164" s="97"/>
      <c r="GS164" s="138">
        <f t="shared" ref="GS164:GT164" si="4391">GS19+GS48+GS77+GS106+GS135</f>
        <v>0</v>
      </c>
      <c r="GT164" s="110">
        <f t="shared" si="4391"/>
        <v>0</v>
      </c>
      <c r="GU164" s="110"/>
      <c r="GV164" s="139"/>
      <c r="GW164" s="140" t="e">
        <f t="shared" si="4196"/>
        <v>#DIV/0!</v>
      </c>
      <c r="GX164" s="198">
        <f t="shared" si="4186"/>
        <v>0</v>
      </c>
      <c r="GY164" s="140"/>
      <c r="GZ164" s="110"/>
      <c r="HA164" s="137"/>
      <c r="HB164" s="97"/>
      <c r="HC164" s="138">
        <f t="shared" ref="HC164:HD164" si="4392">HC19+HC48+HC77+HC106+HC135</f>
        <v>0</v>
      </c>
      <c r="HD164" s="110">
        <f t="shared" si="4392"/>
        <v>0</v>
      </c>
      <c r="HE164" s="110"/>
      <c r="HF164" s="139"/>
      <c r="HG164" s="140" t="e">
        <f t="shared" si="4198"/>
        <v>#DIV/0!</v>
      </c>
      <c r="HH164" s="198">
        <f t="shared" si="4186"/>
        <v>0</v>
      </c>
      <c r="HI164" s="140"/>
      <c r="HJ164" s="110"/>
      <c r="HK164" s="137"/>
      <c r="HL164" s="97"/>
      <c r="HM164" s="138">
        <f t="shared" ref="HM164:HN164" si="4393">HM19+HM48+HM77+HM106+HM135</f>
        <v>0</v>
      </c>
      <c r="HN164" s="110">
        <f t="shared" si="4393"/>
        <v>0</v>
      </c>
      <c r="HO164" s="110"/>
      <c r="HP164" s="139"/>
      <c r="HQ164" s="140" t="e">
        <f t="shared" si="4200"/>
        <v>#DIV/0!</v>
      </c>
      <c r="HR164" s="198">
        <f t="shared" si="4201"/>
        <v>0</v>
      </c>
      <c r="HS164" s="140"/>
      <c r="HT164" s="110"/>
      <c r="HU164" s="137"/>
      <c r="HV164" s="97"/>
      <c r="HW164" s="138">
        <f t="shared" ref="HW164:HX164" si="4394">HW19+HW48+HW77+HW106+HW135</f>
        <v>0</v>
      </c>
      <c r="HX164" s="110">
        <f t="shared" si="4394"/>
        <v>0</v>
      </c>
      <c r="HY164" s="110"/>
      <c r="HZ164" s="139"/>
      <c r="IA164" s="140" t="e">
        <f t="shared" si="4203"/>
        <v>#DIV/0!</v>
      </c>
      <c r="IB164" s="198">
        <f t="shared" si="4201"/>
        <v>0</v>
      </c>
      <c r="IC164" s="140"/>
      <c r="ID164" s="110"/>
      <c r="IE164" s="137"/>
      <c r="IF164" s="97"/>
      <c r="IG164" s="138">
        <f t="shared" ref="IG164:IH164" si="4395">IG19+IG48+IG77+IG106+IG135</f>
        <v>0</v>
      </c>
      <c r="IH164" s="110">
        <f t="shared" si="4395"/>
        <v>0</v>
      </c>
      <c r="II164" s="110"/>
      <c r="IJ164" s="139"/>
      <c r="IK164" s="140" t="e">
        <f t="shared" si="4205"/>
        <v>#DIV/0!</v>
      </c>
      <c r="IL164" s="198">
        <f t="shared" si="4201"/>
        <v>0</v>
      </c>
      <c r="IM164" s="140"/>
      <c r="IN164" s="110"/>
      <c r="IO164" s="137"/>
      <c r="IP164" s="97"/>
      <c r="IQ164" s="138">
        <f t="shared" ref="IQ164:IR164" si="4396">IQ19+IQ48+IQ77+IQ106+IQ135</f>
        <v>0</v>
      </c>
      <c r="IR164" s="110">
        <f t="shared" si="4396"/>
        <v>0</v>
      </c>
      <c r="IS164" s="110"/>
      <c r="IT164" s="139"/>
      <c r="IU164" s="140" t="e">
        <f t="shared" si="4207"/>
        <v>#DIV/0!</v>
      </c>
      <c r="IV164" s="198">
        <f t="shared" si="4201"/>
        <v>0</v>
      </c>
      <c r="IW164" s="140"/>
      <c r="IX164" s="110"/>
      <c r="IY164" s="137"/>
      <c r="IZ164" s="97"/>
      <c r="JA164" s="138">
        <f t="shared" ref="JA164:JB164" si="4397">JA19+JA48+JA77+JA106+JA135</f>
        <v>0</v>
      </c>
      <c r="JB164" s="110">
        <f t="shared" si="4397"/>
        <v>0</v>
      </c>
      <c r="JC164" s="110"/>
      <c r="JD164" s="139"/>
      <c r="JE164" s="140" t="e">
        <f t="shared" si="4209"/>
        <v>#DIV/0!</v>
      </c>
      <c r="JF164" s="198">
        <f t="shared" si="4201"/>
        <v>0</v>
      </c>
      <c r="JG164" s="140"/>
      <c r="JH164" s="110"/>
      <c r="JI164" s="137"/>
      <c r="JJ164" s="97"/>
      <c r="JK164" s="138">
        <f t="shared" ref="JK164:JL164" si="4398">JK19+JK48+JK77+JK106+JK135</f>
        <v>0</v>
      </c>
      <c r="JL164" s="110">
        <f t="shared" si="4398"/>
        <v>0</v>
      </c>
      <c r="JM164" s="110"/>
      <c r="JN164" s="139"/>
      <c r="JO164" s="140" t="e">
        <f t="shared" si="4211"/>
        <v>#DIV/0!</v>
      </c>
      <c r="JP164" s="198">
        <f t="shared" si="4201"/>
        <v>0</v>
      </c>
      <c r="JQ164" s="140"/>
      <c r="JR164" s="110"/>
      <c r="JS164" s="137"/>
      <c r="JT164" s="97"/>
      <c r="JU164" s="138">
        <f t="shared" ref="JU164:JV164" si="4399">JU19+JU48+JU77+JU106+JU135</f>
        <v>0</v>
      </c>
      <c r="JV164" s="110">
        <f t="shared" si="4399"/>
        <v>0</v>
      </c>
      <c r="JW164" s="110"/>
      <c r="JX164" s="139"/>
      <c r="JY164" s="140" t="e">
        <f t="shared" si="4213"/>
        <v>#DIV/0!</v>
      </c>
      <c r="JZ164" s="198">
        <f t="shared" si="4201"/>
        <v>0</v>
      </c>
      <c r="KA164" s="140"/>
      <c r="KB164" s="110"/>
      <c r="KC164" s="137"/>
      <c r="KD164" s="97"/>
      <c r="KE164" s="138">
        <f t="shared" ref="KE164:KF164" si="4400">KE19+KE48+KE77+KE106+KE135</f>
        <v>0</v>
      </c>
      <c r="KF164" s="110">
        <f t="shared" si="4400"/>
        <v>0</v>
      </c>
      <c r="KG164" s="110"/>
      <c r="KH164" s="139"/>
      <c r="KI164" s="140" t="e">
        <f t="shared" si="4215"/>
        <v>#DIV/0!</v>
      </c>
      <c r="KJ164" s="198">
        <f t="shared" si="4216"/>
        <v>0</v>
      </c>
      <c r="KK164" s="140"/>
      <c r="KL164" s="110"/>
      <c r="KM164" s="137"/>
      <c r="KN164" s="97"/>
      <c r="KO164" s="138">
        <f t="shared" ref="KO164:KP164" si="4401">KO19+KO48+KO77+KO106+KO135</f>
        <v>0</v>
      </c>
      <c r="KP164" s="110">
        <f t="shared" si="4401"/>
        <v>0</v>
      </c>
      <c r="KQ164" s="110"/>
      <c r="KR164" s="139"/>
      <c r="KS164" s="140" t="e">
        <f t="shared" si="4218"/>
        <v>#DIV/0!</v>
      </c>
      <c r="KT164" s="198">
        <f t="shared" si="4216"/>
        <v>0</v>
      </c>
      <c r="KU164" s="140"/>
      <c r="KV164" s="110"/>
      <c r="KW164" s="137"/>
      <c r="KX164" s="97"/>
      <c r="KY164" s="138">
        <f t="shared" ref="KY164:KZ164" si="4402">KY19+KY48+KY77+KY106+KY135</f>
        <v>0</v>
      </c>
      <c r="KZ164" s="110">
        <f t="shared" si="4402"/>
        <v>0</v>
      </c>
      <c r="LA164" s="110"/>
      <c r="LB164" s="139"/>
      <c r="LC164" s="140" t="e">
        <f t="shared" si="4220"/>
        <v>#DIV/0!</v>
      </c>
      <c r="LD164" s="197">
        <f t="shared" si="4221"/>
        <v>0</v>
      </c>
      <c r="LE164" s="140"/>
      <c r="LF164" s="110"/>
      <c r="LG164" s="137"/>
      <c r="LH164" s="97"/>
      <c r="LI164" s="138">
        <f t="shared" si="4222"/>
        <v>0</v>
      </c>
      <c r="LJ164" s="110">
        <f t="shared" si="4222"/>
        <v>0</v>
      </c>
      <c r="LK164" s="110"/>
      <c r="LL164" s="139"/>
    </row>
    <row r="165" spans="1:324" ht="24" hidden="1" x14ac:dyDescent="0.25">
      <c r="A165" s="247"/>
      <c r="B165" s="92" t="s">
        <v>611</v>
      </c>
      <c r="C165" s="12" t="s">
        <v>730</v>
      </c>
      <c r="D165" s="12" t="s">
        <v>428</v>
      </c>
      <c r="E165" s="4"/>
      <c r="F165" s="198">
        <f t="shared" si="4153"/>
        <v>0</v>
      </c>
      <c r="G165" s="140"/>
      <c r="H165" s="110"/>
      <c r="I165" s="137"/>
      <c r="J165" s="97"/>
      <c r="K165" s="138">
        <f t="shared" si="4154"/>
        <v>0</v>
      </c>
      <c r="L165" s="110">
        <f t="shared" si="4154"/>
        <v>0</v>
      </c>
      <c r="M165" s="110"/>
      <c r="N165" s="139"/>
      <c r="O165" s="140" t="e">
        <f t="shared" si="4155"/>
        <v>#DIV/0!</v>
      </c>
      <c r="P165" s="198">
        <f t="shared" si="4156"/>
        <v>0</v>
      </c>
      <c r="Q165" s="140"/>
      <c r="R165" s="110"/>
      <c r="S165" s="137"/>
      <c r="T165" s="97"/>
      <c r="U165" s="138">
        <f t="shared" ref="U165:V165" si="4403">U20+U49+U78+U107+U136</f>
        <v>0</v>
      </c>
      <c r="V165" s="110">
        <f t="shared" si="4403"/>
        <v>0</v>
      </c>
      <c r="W165" s="110"/>
      <c r="X165" s="139"/>
      <c r="Y165" s="140" t="e">
        <f t="shared" si="4158"/>
        <v>#DIV/0!</v>
      </c>
      <c r="Z165" s="198">
        <f t="shared" si="4156"/>
        <v>0</v>
      </c>
      <c r="AA165" s="140"/>
      <c r="AB165" s="110"/>
      <c r="AC165" s="137"/>
      <c r="AD165" s="97"/>
      <c r="AE165" s="138">
        <f t="shared" ref="AE165:AF165" si="4404">AE20+AE49+AE78+AE107+AE136</f>
        <v>0</v>
      </c>
      <c r="AF165" s="110">
        <f t="shared" si="4404"/>
        <v>0</v>
      </c>
      <c r="AG165" s="110"/>
      <c r="AH165" s="139"/>
      <c r="AI165" s="140" t="e">
        <f t="shared" si="4160"/>
        <v>#DIV/0!</v>
      </c>
      <c r="AJ165" s="198">
        <f t="shared" si="4156"/>
        <v>0</v>
      </c>
      <c r="AK165" s="140"/>
      <c r="AL165" s="110"/>
      <c r="AM165" s="137"/>
      <c r="AN165" s="97"/>
      <c r="AO165" s="138">
        <f t="shared" ref="AO165:AP165" si="4405">AO20+AO49+AO78+AO107+AO136</f>
        <v>0</v>
      </c>
      <c r="AP165" s="110">
        <f t="shared" si="4405"/>
        <v>0</v>
      </c>
      <c r="AQ165" s="110"/>
      <c r="AR165" s="139"/>
      <c r="AS165" s="140" t="e">
        <f t="shared" si="4162"/>
        <v>#DIV/0!</v>
      </c>
      <c r="AT165" s="198">
        <f t="shared" si="4156"/>
        <v>0</v>
      </c>
      <c r="AU165" s="140"/>
      <c r="AV165" s="110"/>
      <c r="AW165" s="137"/>
      <c r="AX165" s="97"/>
      <c r="AY165" s="138">
        <f t="shared" ref="AY165:AZ165" si="4406">AY20+AY49+AY78+AY107+AY136</f>
        <v>0</v>
      </c>
      <c r="AZ165" s="110">
        <f t="shared" si="4406"/>
        <v>0</v>
      </c>
      <c r="BA165" s="110"/>
      <c r="BB165" s="139"/>
      <c r="BC165" s="140" t="e">
        <f t="shared" si="4164"/>
        <v>#DIV/0!</v>
      </c>
      <c r="BD165" s="198">
        <f t="shared" si="4156"/>
        <v>0</v>
      </c>
      <c r="BE165" s="140"/>
      <c r="BF165" s="110"/>
      <c r="BG165" s="137"/>
      <c r="BH165" s="97"/>
      <c r="BI165" s="138">
        <f t="shared" ref="BI165:BJ165" si="4407">BI20+BI49+BI78+BI107+BI136</f>
        <v>0</v>
      </c>
      <c r="BJ165" s="110">
        <f t="shared" si="4407"/>
        <v>0</v>
      </c>
      <c r="BK165" s="110"/>
      <c r="BL165" s="139"/>
      <c r="BM165" s="140" t="e">
        <f t="shared" si="4166"/>
        <v>#DIV/0!</v>
      </c>
      <c r="BN165" s="198">
        <f t="shared" si="4156"/>
        <v>0</v>
      </c>
      <c r="BO165" s="140"/>
      <c r="BP165" s="110"/>
      <c r="BQ165" s="137"/>
      <c r="BR165" s="97"/>
      <c r="BS165" s="138">
        <f t="shared" ref="BS165:BT165" si="4408">BS20+BS49+BS78+BS107+BS136</f>
        <v>0</v>
      </c>
      <c r="BT165" s="110">
        <f t="shared" si="4408"/>
        <v>0</v>
      </c>
      <c r="BU165" s="110"/>
      <c r="BV165" s="139"/>
      <c r="BW165" s="140" t="e">
        <f t="shared" si="4168"/>
        <v>#DIV/0!</v>
      </c>
      <c r="BX165" s="198">
        <f t="shared" si="4156"/>
        <v>0</v>
      </c>
      <c r="BY165" s="140"/>
      <c r="BZ165" s="110"/>
      <c r="CA165" s="137"/>
      <c r="CB165" s="97"/>
      <c r="CC165" s="138">
        <f t="shared" ref="CC165:CD165" si="4409">CC20+CC49+CC78+CC107+CC136</f>
        <v>0</v>
      </c>
      <c r="CD165" s="110">
        <f t="shared" si="4409"/>
        <v>0</v>
      </c>
      <c r="CE165" s="110"/>
      <c r="CF165" s="139"/>
      <c r="CG165" s="140" t="e">
        <f t="shared" si="4170"/>
        <v>#DIV/0!</v>
      </c>
      <c r="CH165" s="198">
        <f t="shared" si="4171"/>
        <v>0</v>
      </c>
      <c r="CI165" s="140"/>
      <c r="CJ165" s="110"/>
      <c r="CK165" s="137"/>
      <c r="CL165" s="97"/>
      <c r="CM165" s="138">
        <f t="shared" ref="CM165:CN165" si="4410">CM20+CM49+CM78+CM107+CM136</f>
        <v>0</v>
      </c>
      <c r="CN165" s="110">
        <f t="shared" si="4410"/>
        <v>0</v>
      </c>
      <c r="CO165" s="110"/>
      <c r="CP165" s="139"/>
      <c r="CQ165" s="140" t="e">
        <f t="shared" si="4173"/>
        <v>#DIV/0!</v>
      </c>
      <c r="CR165" s="198">
        <f t="shared" si="4171"/>
        <v>0</v>
      </c>
      <c r="CS165" s="140"/>
      <c r="CT165" s="110"/>
      <c r="CU165" s="137"/>
      <c r="CV165" s="97"/>
      <c r="CW165" s="138">
        <f t="shared" ref="CW165:CX165" si="4411">CW20+CW49+CW78+CW107+CW136</f>
        <v>0</v>
      </c>
      <c r="CX165" s="110">
        <f t="shared" si="4411"/>
        <v>0</v>
      </c>
      <c r="CY165" s="110"/>
      <c r="CZ165" s="139"/>
      <c r="DA165" s="140" t="e">
        <f t="shared" si="4175"/>
        <v>#DIV/0!</v>
      </c>
      <c r="DB165" s="198">
        <f t="shared" si="4171"/>
        <v>0</v>
      </c>
      <c r="DC165" s="140"/>
      <c r="DD165" s="110"/>
      <c r="DE165" s="137"/>
      <c r="DF165" s="97"/>
      <c r="DG165" s="138">
        <f t="shared" ref="DG165:DH165" si="4412">DG20+DG49+DG78+DG107+DG136</f>
        <v>0</v>
      </c>
      <c r="DH165" s="110">
        <f t="shared" si="4412"/>
        <v>0</v>
      </c>
      <c r="DI165" s="110"/>
      <c r="DJ165" s="139"/>
      <c r="DK165" s="140" t="e">
        <f t="shared" si="4177"/>
        <v>#DIV/0!</v>
      </c>
      <c r="DL165" s="198">
        <f t="shared" si="4171"/>
        <v>0</v>
      </c>
      <c r="DM165" s="140"/>
      <c r="DN165" s="110"/>
      <c r="DO165" s="137"/>
      <c r="DP165" s="97"/>
      <c r="DQ165" s="138">
        <f t="shared" ref="DQ165:DR165" si="4413">DQ20+DQ49+DQ78+DQ107+DQ136</f>
        <v>0</v>
      </c>
      <c r="DR165" s="110">
        <f t="shared" si="4413"/>
        <v>0</v>
      </c>
      <c r="DS165" s="110"/>
      <c r="DT165" s="139"/>
      <c r="DU165" s="140" t="e">
        <f t="shared" si="4179"/>
        <v>#DIV/0!</v>
      </c>
      <c r="DV165" s="198">
        <f t="shared" si="4171"/>
        <v>0</v>
      </c>
      <c r="DW165" s="140"/>
      <c r="DX165" s="110"/>
      <c r="DY165" s="137"/>
      <c r="DZ165" s="97"/>
      <c r="EA165" s="138">
        <f t="shared" ref="EA165:EB165" si="4414">EA20+EA49+EA78+EA107+EA136</f>
        <v>0</v>
      </c>
      <c r="EB165" s="110">
        <f t="shared" si="4414"/>
        <v>0</v>
      </c>
      <c r="EC165" s="110"/>
      <c r="ED165" s="139"/>
      <c r="EE165" s="140" t="e">
        <f t="shared" si="4181"/>
        <v>#DIV/0!</v>
      </c>
      <c r="EF165" s="198">
        <f t="shared" si="4171"/>
        <v>0</v>
      </c>
      <c r="EG165" s="140"/>
      <c r="EH165" s="110"/>
      <c r="EI165" s="137"/>
      <c r="EJ165" s="97"/>
      <c r="EK165" s="138">
        <f t="shared" ref="EK165:EL165" si="4415">EK20+EK49+EK78+EK107+EK136</f>
        <v>0</v>
      </c>
      <c r="EL165" s="110">
        <f t="shared" si="4415"/>
        <v>0</v>
      </c>
      <c r="EM165" s="110"/>
      <c r="EN165" s="139"/>
      <c r="EO165" s="140" t="e">
        <f t="shared" si="4183"/>
        <v>#DIV/0!</v>
      </c>
      <c r="EP165" s="198">
        <f t="shared" si="4171"/>
        <v>0</v>
      </c>
      <c r="EQ165" s="140"/>
      <c r="ER165" s="110"/>
      <c r="ES165" s="137"/>
      <c r="ET165" s="97"/>
      <c r="EU165" s="138">
        <f t="shared" ref="EU165:EV165" si="4416">EU20+EU49+EU78+EU107+EU136</f>
        <v>0</v>
      </c>
      <c r="EV165" s="110">
        <f t="shared" si="4416"/>
        <v>0</v>
      </c>
      <c r="EW165" s="110"/>
      <c r="EX165" s="139"/>
      <c r="EY165" s="140" t="e">
        <f t="shared" si="4185"/>
        <v>#DIV/0!</v>
      </c>
      <c r="EZ165" s="198">
        <f t="shared" si="4186"/>
        <v>0</v>
      </c>
      <c r="FA165" s="140"/>
      <c r="FB165" s="110"/>
      <c r="FC165" s="137"/>
      <c r="FD165" s="97"/>
      <c r="FE165" s="138">
        <f t="shared" ref="FE165:FF165" si="4417">FE20+FE49+FE78+FE107+FE136</f>
        <v>0</v>
      </c>
      <c r="FF165" s="110">
        <f t="shared" si="4417"/>
        <v>0</v>
      </c>
      <c r="FG165" s="110"/>
      <c r="FH165" s="139"/>
      <c r="FI165" s="140" t="e">
        <f t="shared" si="4188"/>
        <v>#DIV/0!</v>
      </c>
      <c r="FJ165" s="198">
        <f t="shared" si="4186"/>
        <v>0</v>
      </c>
      <c r="FK165" s="140"/>
      <c r="FL165" s="110"/>
      <c r="FM165" s="137"/>
      <c r="FN165" s="97"/>
      <c r="FO165" s="138">
        <f t="shared" ref="FO165:FP165" si="4418">FO20+FO49+FO78+FO107+FO136</f>
        <v>0</v>
      </c>
      <c r="FP165" s="110">
        <f t="shared" si="4418"/>
        <v>0</v>
      </c>
      <c r="FQ165" s="110"/>
      <c r="FR165" s="139"/>
      <c r="FS165" s="140" t="e">
        <f t="shared" si="4190"/>
        <v>#DIV/0!</v>
      </c>
      <c r="FT165" s="198">
        <f t="shared" si="4186"/>
        <v>0</v>
      </c>
      <c r="FU165" s="140"/>
      <c r="FV165" s="110"/>
      <c r="FW165" s="137"/>
      <c r="FX165" s="97"/>
      <c r="FY165" s="138">
        <f t="shared" ref="FY165:FZ165" si="4419">FY20+FY49+FY78+FY107+FY136</f>
        <v>0</v>
      </c>
      <c r="FZ165" s="110">
        <f t="shared" si="4419"/>
        <v>0</v>
      </c>
      <c r="GA165" s="110"/>
      <c r="GB165" s="139"/>
      <c r="GC165" s="140" t="e">
        <f t="shared" si="4192"/>
        <v>#DIV/0!</v>
      </c>
      <c r="GD165" s="198">
        <f t="shared" si="4186"/>
        <v>0</v>
      </c>
      <c r="GE165" s="140"/>
      <c r="GF165" s="110"/>
      <c r="GG165" s="137"/>
      <c r="GH165" s="97"/>
      <c r="GI165" s="138">
        <f t="shared" ref="GI165:GJ165" si="4420">GI20+GI49+GI78+GI107+GI136</f>
        <v>0</v>
      </c>
      <c r="GJ165" s="110">
        <f t="shared" si="4420"/>
        <v>0</v>
      </c>
      <c r="GK165" s="110"/>
      <c r="GL165" s="139"/>
      <c r="GM165" s="140" t="e">
        <f t="shared" si="4194"/>
        <v>#DIV/0!</v>
      </c>
      <c r="GN165" s="198">
        <f t="shared" si="4186"/>
        <v>0</v>
      </c>
      <c r="GO165" s="140"/>
      <c r="GP165" s="110"/>
      <c r="GQ165" s="137"/>
      <c r="GR165" s="97"/>
      <c r="GS165" s="138">
        <f t="shared" ref="GS165:GT165" si="4421">GS20+GS49+GS78+GS107+GS136</f>
        <v>0</v>
      </c>
      <c r="GT165" s="110">
        <f t="shared" si="4421"/>
        <v>0</v>
      </c>
      <c r="GU165" s="110"/>
      <c r="GV165" s="139"/>
      <c r="GW165" s="140" t="e">
        <f t="shared" si="4196"/>
        <v>#DIV/0!</v>
      </c>
      <c r="GX165" s="198">
        <f t="shared" si="4186"/>
        <v>0</v>
      </c>
      <c r="GY165" s="140"/>
      <c r="GZ165" s="110"/>
      <c r="HA165" s="137"/>
      <c r="HB165" s="97"/>
      <c r="HC165" s="138">
        <f t="shared" ref="HC165:HD165" si="4422">HC20+HC49+HC78+HC107+HC136</f>
        <v>0</v>
      </c>
      <c r="HD165" s="110">
        <f t="shared" si="4422"/>
        <v>0</v>
      </c>
      <c r="HE165" s="110"/>
      <c r="HF165" s="139"/>
      <c r="HG165" s="140" t="e">
        <f t="shared" si="4198"/>
        <v>#DIV/0!</v>
      </c>
      <c r="HH165" s="198">
        <f t="shared" si="4186"/>
        <v>0</v>
      </c>
      <c r="HI165" s="140"/>
      <c r="HJ165" s="110"/>
      <c r="HK165" s="137"/>
      <c r="HL165" s="97"/>
      <c r="HM165" s="138">
        <f t="shared" ref="HM165:HN165" si="4423">HM20+HM49+HM78+HM107+HM136</f>
        <v>0</v>
      </c>
      <c r="HN165" s="110">
        <f t="shared" si="4423"/>
        <v>0</v>
      </c>
      <c r="HO165" s="110"/>
      <c r="HP165" s="139"/>
      <c r="HQ165" s="140" t="e">
        <f t="shared" si="4200"/>
        <v>#DIV/0!</v>
      </c>
      <c r="HR165" s="198">
        <f t="shared" si="4201"/>
        <v>0</v>
      </c>
      <c r="HS165" s="140"/>
      <c r="HT165" s="110"/>
      <c r="HU165" s="137"/>
      <c r="HV165" s="97"/>
      <c r="HW165" s="138">
        <f t="shared" ref="HW165:HX165" si="4424">HW20+HW49+HW78+HW107+HW136</f>
        <v>0</v>
      </c>
      <c r="HX165" s="110">
        <f t="shared" si="4424"/>
        <v>0</v>
      </c>
      <c r="HY165" s="110"/>
      <c r="HZ165" s="139"/>
      <c r="IA165" s="140" t="e">
        <f t="shared" si="4203"/>
        <v>#DIV/0!</v>
      </c>
      <c r="IB165" s="198">
        <f t="shared" si="4201"/>
        <v>0</v>
      </c>
      <c r="IC165" s="140"/>
      <c r="ID165" s="110"/>
      <c r="IE165" s="137"/>
      <c r="IF165" s="97"/>
      <c r="IG165" s="138">
        <f t="shared" ref="IG165:IH165" si="4425">IG20+IG49+IG78+IG107+IG136</f>
        <v>0</v>
      </c>
      <c r="IH165" s="110">
        <f t="shared" si="4425"/>
        <v>0</v>
      </c>
      <c r="II165" s="110"/>
      <c r="IJ165" s="139"/>
      <c r="IK165" s="140" t="e">
        <f t="shared" si="4205"/>
        <v>#DIV/0!</v>
      </c>
      <c r="IL165" s="198">
        <f t="shared" si="4201"/>
        <v>0</v>
      </c>
      <c r="IM165" s="140"/>
      <c r="IN165" s="110"/>
      <c r="IO165" s="137"/>
      <c r="IP165" s="97"/>
      <c r="IQ165" s="138">
        <f t="shared" ref="IQ165:IR165" si="4426">IQ20+IQ49+IQ78+IQ107+IQ136</f>
        <v>0</v>
      </c>
      <c r="IR165" s="110">
        <f t="shared" si="4426"/>
        <v>0</v>
      </c>
      <c r="IS165" s="110"/>
      <c r="IT165" s="139"/>
      <c r="IU165" s="140" t="e">
        <f t="shared" si="4207"/>
        <v>#DIV/0!</v>
      </c>
      <c r="IV165" s="198">
        <f t="shared" si="4201"/>
        <v>0</v>
      </c>
      <c r="IW165" s="140"/>
      <c r="IX165" s="110"/>
      <c r="IY165" s="137"/>
      <c r="IZ165" s="97"/>
      <c r="JA165" s="138">
        <f t="shared" ref="JA165:JB165" si="4427">JA20+JA49+JA78+JA107+JA136</f>
        <v>0</v>
      </c>
      <c r="JB165" s="110">
        <f t="shared" si="4427"/>
        <v>0</v>
      </c>
      <c r="JC165" s="110"/>
      <c r="JD165" s="139"/>
      <c r="JE165" s="140" t="e">
        <f t="shared" si="4209"/>
        <v>#DIV/0!</v>
      </c>
      <c r="JF165" s="198">
        <f t="shared" si="4201"/>
        <v>0</v>
      </c>
      <c r="JG165" s="140"/>
      <c r="JH165" s="110"/>
      <c r="JI165" s="137"/>
      <c r="JJ165" s="97"/>
      <c r="JK165" s="138">
        <f t="shared" ref="JK165:JL165" si="4428">JK20+JK49+JK78+JK107+JK136</f>
        <v>0</v>
      </c>
      <c r="JL165" s="110">
        <f t="shared" si="4428"/>
        <v>0</v>
      </c>
      <c r="JM165" s="110"/>
      <c r="JN165" s="139"/>
      <c r="JO165" s="140" t="e">
        <f t="shared" si="4211"/>
        <v>#DIV/0!</v>
      </c>
      <c r="JP165" s="198">
        <f t="shared" si="4201"/>
        <v>0</v>
      </c>
      <c r="JQ165" s="140"/>
      <c r="JR165" s="110"/>
      <c r="JS165" s="137"/>
      <c r="JT165" s="97"/>
      <c r="JU165" s="138">
        <f t="shared" ref="JU165:JV165" si="4429">JU20+JU49+JU78+JU107+JU136</f>
        <v>0</v>
      </c>
      <c r="JV165" s="110">
        <f t="shared" si="4429"/>
        <v>0</v>
      </c>
      <c r="JW165" s="110"/>
      <c r="JX165" s="139"/>
      <c r="JY165" s="140" t="e">
        <f t="shared" si="4213"/>
        <v>#DIV/0!</v>
      </c>
      <c r="JZ165" s="198">
        <f t="shared" si="4201"/>
        <v>0</v>
      </c>
      <c r="KA165" s="140"/>
      <c r="KB165" s="110"/>
      <c r="KC165" s="137"/>
      <c r="KD165" s="97"/>
      <c r="KE165" s="138">
        <f t="shared" ref="KE165:KF165" si="4430">KE20+KE49+KE78+KE107+KE136</f>
        <v>0</v>
      </c>
      <c r="KF165" s="110">
        <f t="shared" si="4430"/>
        <v>0</v>
      </c>
      <c r="KG165" s="110"/>
      <c r="KH165" s="139"/>
      <c r="KI165" s="140" t="e">
        <f t="shared" si="4215"/>
        <v>#DIV/0!</v>
      </c>
      <c r="KJ165" s="198">
        <f t="shared" si="4216"/>
        <v>0</v>
      </c>
      <c r="KK165" s="140"/>
      <c r="KL165" s="110"/>
      <c r="KM165" s="137"/>
      <c r="KN165" s="97"/>
      <c r="KO165" s="138">
        <f t="shared" ref="KO165:KP165" si="4431">KO20+KO49+KO78+KO107+KO136</f>
        <v>0</v>
      </c>
      <c r="KP165" s="110">
        <f t="shared" si="4431"/>
        <v>0</v>
      </c>
      <c r="KQ165" s="110"/>
      <c r="KR165" s="139"/>
      <c r="KS165" s="140" t="e">
        <f t="shared" si="4218"/>
        <v>#DIV/0!</v>
      </c>
      <c r="KT165" s="198">
        <f t="shared" si="4216"/>
        <v>0</v>
      </c>
      <c r="KU165" s="140"/>
      <c r="KV165" s="110"/>
      <c r="KW165" s="137"/>
      <c r="KX165" s="97"/>
      <c r="KY165" s="138">
        <f t="shared" ref="KY165:KZ165" si="4432">KY20+KY49+KY78+KY107+KY136</f>
        <v>0</v>
      </c>
      <c r="KZ165" s="110">
        <f t="shared" si="4432"/>
        <v>0</v>
      </c>
      <c r="LA165" s="110"/>
      <c r="LB165" s="139"/>
      <c r="LC165" s="140" t="e">
        <f t="shared" si="4220"/>
        <v>#DIV/0!</v>
      </c>
      <c r="LD165" s="197">
        <f t="shared" si="4221"/>
        <v>0</v>
      </c>
      <c r="LE165" s="140"/>
      <c r="LF165" s="110"/>
      <c r="LG165" s="137"/>
      <c r="LH165" s="97"/>
      <c r="LI165" s="138">
        <f t="shared" si="4222"/>
        <v>0</v>
      </c>
      <c r="LJ165" s="110">
        <f t="shared" si="4222"/>
        <v>0</v>
      </c>
      <c r="LK165" s="110"/>
      <c r="LL165" s="139"/>
    </row>
    <row r="166" spans="1:324" hidden="1" x14ac:dyDescent="0.25">
      <c r="A166" s="244"/>
      <c r="B166" s="250" t="s">
        <v>854</v>
      </c>
      <c r="C166" s="12"/>
      <c r="D166" s="12"/>
      <c r="E166" s="4"/>
      <c r="F166" s="198"/>
      <c r="G166" s="140"/>
      <c r="H166" s="110"/>
      <c r="I166" s="137"/>
      <c r="J166" s="97"/>
      <c r="K166" s="138"/>
      <c r="L166" s="110"/>
      <c r="M166" s="110"/>
      <c r="N166" s="139"/>
      <c r="O166" s="140"/>
      <c r="P166" s="198"/>
      <c r="Q166" s="140"/>
      <c r="R166" s="110"/>
      <c r="S166" s="137"/>
      <c r="T166" s="97"/>
      <c r="U166" s="138"/>
      <c r="V166" s="110"/>
      <c r="W166" s="110"/>
      <c r="X166" s="139"/>
      <c r="Y166" s="140"/>
      <c r="Z166" s="198"/>
      <c r="AA166" s="140"/>
      <c r="AB166" s="110"/>
      <c r="AC166" s="137"/>
      <c r="AD166" s="97"/>
      <c r="AE166" s="138"/>
      <c r="AF166" s="110"/>
      <c r="AG166" s="110"/>
      <c r="AH166" s="139"/>
      <c r="AI166" s="140"/>
      <c r="AJ166" s="198"/>
      <c r="AK166" s="140"/>
      <c r="AL166" s="110"/>
      <c r="AM166" s="137"/>
      <c r="AN166" s="97"/>
      <c r="AO166" s="138"/>
      <c r="AP166" s="110"/>
      <c r="AQ166" s="110"/>
      <c r="AR166" s="139"/>
      <c r="AS166" s="140"/>
      <c r="AT166" s="198"/>
      <c r="AU166" s="140"/>
      <c r="AV166" s="110"/>
      <c r="AW166" s="137"/>
      <c r="AX166" s="97"/>
      <c r="AY166" s="138"/>
      <c r="AZ166" s="110"/>
      <c r="BA166" s="110"/>
      <c r="BB166" s="139"/>
      <c r="BC166" s="140"/>
      <c r="BD166" s="198"/>
      <c r="BE166" s="140"/>
      <c r="BF166" s="110"/>
      <c r="BG166" s="137"/>
      <c r="BH166" s="97"/>
      <c r="BI166" s="138"/>
      <c r="BJ166" s="110"/>
      <c r="BK166" s="110"/>
      <c r="BL166" s="139"/>
      <c r="BM166" s="140"/>
      <c r="BN166" s="198"/>
      <c r="BO166" s="140"/>
      <c r="BP166" s="110"/>
      <c r="BQ166" s="137"/>
      <c r="BR166" s="97"/>
      <c r="BS166" s="138"/>
      <c r="BT166" s="110"/>
      <c r="BU166" s="110"/>
      <c r="BV166" s="139"/>
      <c r="BW166" s="140"/>
      <c r="BX166" s="198"/>
      <c r="BY166" s="140"/>
      <c r="BZ166" s="110"/>
      <c r="CA166" s="137"/>
      <c r="CB166" s="97"/>
      <c r="CC166" s="138"/>
      <c r="CD166" s="110"/>
      <c r="CE166" s="110"/>
      <c r="CF166" s="139"/>
      <c r="CG166" s="140"/>
      <c r="CH166" s="198"/>
      <c r="CI166" s="140"/>
      <c r="CJ166" s="110"/>
      <c r="CK166" s="137"/>
      <c r="CL166" s="97"/>
      <c r="CM166" s="138"/>
      <c r="CN166" s="110"/>
      <c r="CO166" s="110"/>
      <c r="CP166" s="139"/>
      <c r="CQ166" s="140"/>
      <c r="CR166" s="198"/>
      <c r="CS166" s="140"/>
      <c r="CT166" s="110"/>
      <c r="CU166" s="137"/>
      <c r="CV166" s="97"/>
      <c r="CW166" s="138"/>
      <c r="CX166" s="110"/>
      <c r="CY166" s="110"/>
      <c r="CZ166" s="139"/>
      <c r="DA166" s="140"/>
      <c r="DB166" s="198"/>
      <c r="DC166" s="140"/>
      <c r="DD166" s="110"/>
      <c r="DE166" s="137"/>
      <c r="DF166" s="97"/>
      <c r="DG166" s="138"/>
      <c r="DH166" s="110"/>
      <c r="DI166" s="110"/>
      <c r="DJ166" s="139"/>
      <c r="DK166" s="140"/>
      <c r="DL166" s="198"/>
      <c r="DM166" s="140"/>
      <c r="DN166" s="110"/>
      <c r="DO166" s="137"/>
      <c r="DP166" s="97"/>
      <c r="DQ166" s="138"/>
      <c r="DR166" s="110"/>
      <c r="DS166" s="110"/>
      <c r="DT166" s="139"/>
      <c r="DU166" s="140"/>
      <c r="DV166" s="198"/>
      <c r="DW166" s="140"/>
      <c r="DX166" s="110"/>
      <c r="DY166" s="137"/>
      <c r="DZ166" s="97"/>
      <c r="EA166" s="138"/>
      <c r="EB166" s="110"/>
      <c r="EC166" s="110"/>
      <c r="ED166" s="139"/>
      <c r="EE166" s="140"/>
      <c r="EF166" s="198"/>
      <c r="EG166" s="140"/>
      <c r="EH166" s="110"/>
      <c r="EI166" s="137"/>
      <c r="EJ166" s="97"/>
      <c r="EK166" s="138"/>
      <c r="EL166" s="110"/>
      <c r="EM166" s="110"/>
      <c r="EN166" s="139"/>
      <c r="EO166" s="140"/>
      <c r="EP166" s="198"/>
      <c r="EQ166" s="140"/>
      <c r="ER166" s="110"/>
      <c r="ES166" s="137"/>
      <c r="ET166" s="97"/>
      <c r="EU166" s="138"/>
      <c r="EV166" s="110"/>
      <c r="EW166" s="110"/>
      <c r="EX166" s="139"/>
      <c r="EY166" s="140"/>
      <c r="EZ166" s="198"/>
      <c r="FA166" s="140"/>
      <c r="FB166" s="110"/>
      <c r="FC166" s="137"/>
      <c r="FD166" s="97"/>
      <c r="FE166" s="138"/>
      <c r="FF166" s="110"/>
      <c r="FG166" s="110"/>
      <c r="FH166" s="139"/>
      <c r="FI166" s="140"/>
      <c r="FJ166" s="198"/>
      <c r="FK166" s="140"/>
      <c r="FL166" s="110"/>
      <c r="FM166" s="137"/>
      <c r="FN166" s="97"/>
      <c r="FO166" s="138"/>
      <c r="FP166" s="110"/>
      <c r="FQ166" s="110"/>
      <c r="FR166" s="139"/>
      <c r="FS166" s="140"/>
      <c r="FT166" s="198"/>
      <c r="FU166" s="140"/>
      <c r="FV166" s="110"/>
      <c r="FW166" s="137"/>
      <c r="FX166" s="97"/>
      <c r="FY166" s="138"/>
      <c r="FZ166" s="110"/>
      <c r="GA166" s="110"/>
      <c r="GB166" s="139"/>
      <c r="GC166" s="140"/>
      <c r="GD166" s="198"/>
      <c r="GE166" s="140"/>
      <c r="GF166" s="110"/>
      <c r="GG166" s="137"/>
      <c r="GH166" s="97"/>
      <c r="GI166" s="138"/>
      <c r="GJ166" s="110"/>
      <c r="GK166" s="110"/>
      <c r="GL166" s="139"/>
      <c r="GM166" s="140"/>
      <c r="GN166" s="198"/>
      <c r="GO166" s="140"/>
      <c r="GP166" s="110"/>
      <c r="GQ166" s="137"/>
      <c r="GR166" s="97"/>
      <c r="GS166" s="138"/>
      <c r="GT166" s="110"/>
      <c r="GU166" s="110"/>
      <c r="GV166" s="139"/>
      <c r="GW166" s="140"/>
      <c r="GX166" s="198"/>
      <c r="GY166" s="140"/>
      <c r="GZ166" s="110"/>
      <c r="HA166" s="137"/>
      <c r="HB166" s="97"/>
      <c r="HC166" s="138"/>
      <c r="HD166" s="110"/>
      <c r="HE166" s="110"/>
      <c r="HF166" s="139"/>
      <c r="HG166" s="140"/>
      <c r="HH166" s="198"/>
      <c r="HI166" s="140"/>
      <c r="HJ166" s="110"/>
      <c r="HK166" s="137"/>
      <c r="HL166" s="97"/>
      <c r="HM166" s="138"/>
      <c r="HN166" s="110"/>
      <c r="HO166" s="110"/>
      <c r="HP166" s="139"/>
      <c r="HQ166" s="140"/>
      <c r="HR166" s="198"/>
      <c r="HS166" s="140"/>
      <c r="HT166" s="110"/>
      <c r="HU166" s="137"/>
      <c r="HV166" s="97"/>
      <c r="HW166" s="138"/>
      <c r="HX166" s="110"/>
      <c r="HY166" s="110"/>
      <c r="HZ166" s="139"/>
      <c r="IA166" s="140"/>
      <c r="IB166" s="198"/>
      <c r="IC166" s="140"/>
      <c r="ID166" s="110"/>
      <c r="IE166" s="137"/>
      <c r="IF166" s="97"/>
      <c r="IG166" s="138"/>
      <c r="IH166" s="110"/>
      <c r="II166" s="110"/>
      <c r="IJ166" s="139"/>
      <c r="IK166" s="140"/>
      <c r="IL166" s="198"/>
      <c r="IM166" s="140"/>
      <c r="IN166" s="110"/>
      <c r="IO166" s="137"/>
      <c r="IP166" s="97"/>
      <c r="IQ166" s="138"/>
      <c r="IR166" s="110"/>
      <c r="IS166" s="110"/>
      <c r="IT166" s="139"/>
      <c r="IU166" s="140"/>
      <c r="IV166" s="198"/>
      <c r="IW166" s="140"/>
      <c r="IX166" s="110"/>
      <c r="IY166" s="137"/>
      <c r="IZ166" s="97"/>
      <c r="JA166" s="138"/>
      <c r="JB166" s="110"/>
      <c r="JC166" s="110"/>
      <c r="JD166" s="139"/>
      <c r="JE166" s="140"/>
      <c r="JF166" s="198"/>
      <c r="JG166" s="140"/>
      <c r="JH166" s="110"/>
      <c r="JI166" s="137"/>
      <c r="JJ166" s="97"/>
      <c r="JK166" s="138"/>
      <c r="JL166" s="110"/>
      <c r="JM166" s="110"/>
      <c r="JN166" s="139"/>
      <c r="JO166" s="140"/>
      <c r="JP166" s="198"/>
      <c r="JQ166" s="140"/>
      <c r="JR166" s="110"/>
      <c r="JS166" s="137"/>
      <c r="JT166" s="97"/>
      <c r="JU166" s="138"/>
      <c r="JV166" s="110"/>
      <c r="JW166" s="110"/>
      <c r="JX166" s="139"/>
      <c r="JY166" s="140"/>
      <c r="JZ166" s="198"/>
      <c r="KA166" s="140"/>
      <c r="KB166" s="110"/>
      <c r="KC166" s="137"/>
      <c r="KD166" s="97"/>
      <c r="KE166" s="138"/>
      <c r="KF166" s="110"/>
      <c r="KG166" s="110"/>
      <c r="KH166" s="139"/>
      <c r="KI166" s="140"/>
      <c r="KJ166" s="198"/>
      <c r="KK166" s="140"/>
      <c r="KL166" s="110"/>
      <c r="KM166" s="137"/>
      <c r="KN166" s="97"/>
      <c r="KO166" s="138"/>
      <c r="KP166" s="110"/>
      <c r="KQ166" s="110"/>
      <c r="KR166" s="139"/>
      <c r="KS166" s="140"/>
      <c r="KT166" s="198"/>
      <c r="KU166" s="140"/>
      <c r="KV166" s="110"/>
      <c r="KW166" s="137"/>
      <c r="KX166" s="97"/>
      <c r="KY166" s="138"/>
      <c r="KZ166" s="110"/>
      <c r="LA166" s="110"/>
      <c r="LB166" s="139"/>
      <c r="LC166" s="140"/>
      <c r="LD166" s="197"/>
      <c r="LE166" s="140"/>
      <c r="LF166" s="110"/>
      <c r="LG166" s="137"/>
      <c r="LH166" s="97"/>
      <c r="LI166" s="138"/>
      <c r="LJ166" s="110"/>
      <c r="LK166" s="110"/>
      <c r="LL166" s="139"/>
    </row>
    <row r="167" spans="1:324" ht="24" hidden="1" x14ac:dyDescent="0.25">
      <c r="A167" s="245"/>
      <c r="B167" s="70" t="s">
        <v>609</v>
      </c>
      <c r="C167" s="12" t="s">
        <v>729</v>
      </c>
      <c r="D167" s="12" t="s">
        <v>429</v>
      </c>
      <c r="E167" s="4"/>
      <c r="F167" s="198">
        <f t="shared" ref="F167:F174" si="4433">F22</f>
        <v>313</v>
      </c>
      <c r="G167" s="140"/>
      <c r="H167" s="110"/>
      <c r="I167" s="137"/>
      <c r="J167" s="97"/>
      <c r="K167" s="138">
        <f t="shared" ref="K167:L174" si="4434">K22+K51+K80+K109+K138</f>
        <v>1611.03244</v>
      </c>
      <c r="L167" s="110">
        <f t="shared" si="4434"/>
        <v>504253.15</v>
      </c>
      <c r="M167" s="110"/>
      <c r="N167" s="139"/>
      <c r="O167" s="140">
        <f t="shared" si="4155"/>
        <v>0.57147999999999999</v>
      </c>
      <c r="P167" s="198">
        <f t="shared" ref="P167:BX174" si="4435">P22</f>
        <v>523</v>
      </c>
      <c r="Q167" s="140"/>
      <c r="R167" s="110"/>
      <c r="S167" s="137"/>
      <c r="T167" s="97"/>
      <c r="U167" s="138">
        <f t="shared" ref="U167:V167" si="4436">U22+U51+U80+U109+U138</f>
        <v>2229.3137299999999</v>
      </c>
      <c r="V167" s="110">
        <f t="shared" si="4436"/>
        <v>1165931.07</v>
      </c>
      <c r="W167" s="110"/>
      <c r="X167" s="139"/>
      <c r="Y167" s="140">
        <f t="shared" ref="Y167:Y174" si="4437">U167/$LI167</f>
        <v>0.79079999999999995</v>
      </c>
      <c r="Z167" s="198">
        <f t="shared" si="4435"/>
        <v>412</v>
      </c>
      <c r="AA167" s="140"/>
      <c r="AB167" s="110"/>
      <c r="AC167" s="137"/>
      <c r="AD167" s="97"/>
      <c r="AE167" s="138">
        <f t="shared" ref="AE167:AF167" si="4438">AE22+AE51+AE80+AE109+AE138</f>
        <v>2156.4223000000002</v>
      </c>
      <c r="AF167" s="110">
        <f t="shared" si="4438"/>
        <v>888445.98</v>
      </c>
      <c r="AG167" s="110"/>
      <c r="AH167" s="139"/>
      <c r="AI167" s="140">
        <f t="shared" ref="AI167:AI174" si="4439">AE167/$LI167</f>
        <v>0.76493999999999995</v>
      </c>
      <c r="AJ167" s="198">
        <f t="shared" si="4435"/>
        <v>311</v>
      </c>
      <c r="AK167" s="140"/>
      <c r="AL167" s="110"/>
      <c r="AM167" s="137"/>
      <c r="AN167" s="97"/>
      <c r="AO167" s="138">
        <f t="shared" ref="AO167:AP167" si="4440">AO22+AO51+AO80+AO109+AO138</f>
        <v>1833.17868</v>
      </c>
      <c r="AP167" s="110">
        <f t="shared" si="4440"/>
        <v>570118.56999999995</v>
      </c>
      <c r="AQ167" s="110"/>
      <c r="AR167" s="139"/>
      <c r="AS167" s="140">
        <f t="shared" ref="AS167:AS174" si="4441">AO167/$LI167</f>
        <v>0.65027999999999997</v>
      </c>
      <c r="AT167" s="198">
        <f t="shared" si="4435"/>
        <v>428</v>
      </c>
      <c r="AU167" s="140"/>
      <c r="AV167" s="110"/>
      <c r="AW167" s="137"/>
      <c r="AX167" s="97"/>
      <c r="AY167" s="138">
        <f t="shared" ref="AY167:AZ167" si="4442">AY22+AY51+AY80+AY109+AY138</f>
        <v>1134.0446199999999</v>
      </c>
      <c r="AZ167" s="110">
        <f t="shared" si="4442"/>
        <v>485371.1</v>
      </c>
      <c r="BA167" s="110"/>
      <c r="BB167" s="139"/>
      <c r="BC167" s="140">
        <f t="shared" ref="BC167:BC174" si="4443">AY167/$LI167</f>
        <v>0.40228000000000003</v>
      </c>
      <c r="BD167" s="198">
        <f t="shared" si="4435"/>
        <v>358</v>
      </c>
      <c r="BE167" s="140"/>
      <c r="BF167" s="110"/>
      <c r="BG167" s="137"/>
      <c r="BH167" s="97"/>
      <c r="BI167" s="138">
        <f t="shared" ref="BI167:BJ167" si="4444">BI22+BI51+BI80+BI109+BI138</f>
        <v>2074.5462400000001</v>
      </c>
      <c r="BJ167" s="110">
        <f t="shared" si="4444"/>
        <v>742687.56</v>
      </c>
      <c r="BK167" s="110"/>
      <c r="BL167" s="139"/>
      <c r="BM167" s="140">
        <f t="shared" ref="BM167:BM174" si="4445">BI167/$LI167</f>
        <v>0.7359</v>
      </c>
      <c r="BN167" s="198">
        <f t="shared" si="4435"/>
        <v>305</v>
      </c>
      <c r="BO167" s="140"/>
      <c r="BP167" s="110"/>
      <c r="BQ167" s="137"/>
      <c r="BR167" s="97"/>
      <c r="BS167" s="138">
        <f t="shared" ref="BS167:BT167" si="4446">BS22+BS51+BS80+BS109+BS138</f>
        <v>2462.6502799999998</v>
      </c>
      <c r="BT167" s="110">
        <f t="shared" si="4446"/>
        <v>751108.34</v>
      </c>
      <c r="BU167" s="110"/>
      <c r="BV167" s="139"/>
      <c r="BW167" s="140">
        <f t="shared" ref="BW167:BW174" si="4447">BS167/$LI167</f>
        <v>0.87356999999999996</v>
      </c>
      <c r="BX167" s="198">
        <f t="shared" si="4435"/>
        <v>401</v>
      </c>
      <c r="BY167" s="140"/>
      <c r="BZ167" s="110"/>
      <c r="CA167" s="137"/>
      <c r="CB167" s="97"/>
      <c r="CC167" s="138">
        <f t="shared" ref="CC167:CD167" si="4448">CC22+CC51+CC80+CC109+CC138</f>
        <v>1855.3820000000001</v>
      </c>
      <c r="CD167" s="110">
        <f t="shared" si="4448"/>
        <v>744008.19</v>
      </c>
      <c r="CE167" s="110"/>
      <c r="CF167" s="139"/>
      <c r="CG167" s="140">
        <f t="shared" ref="CG167:CG174" si="4449">CC167/$LI167</f>
        <v>0.65815999999999997</v>
      </c>
      <c r="CH167" s="198">
        <f t="shared" ref="CH167:EP174" si="4450">CH22</f>
        <v>428</v>
      </c>
      <c r="CI167" s="140"/>
      <c r="CJ167" s="110"/>
      <c r="CK167" s="137"/>
      <c r="CL167" s="97"/>
      <c r="CM167" s="138">
        <f t="shared" ref="CM167:CN167" si="4451">CM22+CM51+CM80+CM109+CM138</f>
        <v>2328.3000499999998</v>
      </c>
      <c r="CN167" s="110">
        <f t="shared" si="4451"/>
        <v>996512.43</v>
      </c>
      <c r="CO167" s="110"/>
      <c r="CP167" s="139"/>
      <c r="CQ167" s="140">
        <f t="shared" ref="CQ167:CQ174" si="4452">CM167/$LI167</f>
        <v>0.82591000000000003</v>
      </c>
      <c r="CR167" s="198">
        <f t="shared" si="4450"/>
        <v>362</v>
      </c>
      <c r="CS167" s="140"/>
      <c r="CT167" s="110"/>
      <c r="CU167" s="137"/>
      <c r="CV167" s="97"/>
      <c r="CW167" s="138">
        <f t="shared" ref="CW167:CX167" si="4453">CW22+CW51+CW80+CW109+CW138</f>
        <v>3009.80078</v>
      </c>
      <c r="CX167" s="110">
        <f t="shared" si="4453"/>
        <v>1089547.8799999999</v>
      </c>
      <c r="CY167" s="110"/>
      <c r="CZ167" s="139"/>
      <c r="DA167" s="140">
        <f t="shared" ref="DA167:DA174" si="4454">CW167/$LI167</f>
        <v>1.0676600000000001</v>
      </c>
      <c r="DB167" s="198">
        <f t="shared" si="4450"/>
        <v>380</v>
      </c>
      <c r="DC167" s="140"/>
      <c r="DD167" s="110"/>
      <c r="DE167" s="137"/>
      <c r="DF167" s="97"/>
      <c r="DG167" s="138">
        <f t="shared" ref="DG167:DH167" si="4455">DG22+DG51+DG80+DG109+DG138</f>
        <v>2512.2569100000001</v>
      </c>
      <c r="DH167" s="110">
        <f t="shared" si="4455"/>
        <v>954657.63</v>
      </c>
      <c r="DI167" s="110"/>
      <c r="DJ167" s="139"/>
      <c r="DK167" s="140">
        <f t="shared" ref="DK167:DK174" si="4456">DG167/$LI167</f>
        <v>0.89117000000000002</v>
      </c>
      <c r="DL167" s="198">
        <f t="shared" si="4450"/>
        <v>0</v>
      </c>
      <c r="DM167" s="140"/>
      <c r="DN167" s="110"/>
      <c r="DO167" s="137"/>
      <c r="DP167" s="97"/>
      <c r="DQ167" s="138">
        <f t="shared" ref="DQ167:DR167" si="4457">DQ22+DQ51+DQ80+DQ109+DQ138</f>
        <v>0</v>
      </c>
      <c r="DR167" s="110">
        <f t="shared" si="4457"/>
        <v>0</v>
      </c>
      <c r="DS167" s="110"/>
      <c r="DT167" s="139"/>
      <c r="DU167" s="140">
        <f t="shared" ref="DU167:DU174" si="4458">DQ167/$LI167</f>
        <v>0</v>
      </c>
      <c r="DV167" s="198">
        <f t="shared" si="4450"/>
        <v>427</v>
      </c>
      <c r="DW167" s="140"/>
      <c r="DX167" s="110"/>
      <c r="DY167" s="137"/>
      <c r="DZ167" s="97"/>
      <c r="EA167" s="138">
        <f t="shared" ref="EA167:EB167" si="4459">EA22+EA51+EA80+EA109+EA138</f>
        <v>2182.0324999999998</v>
      </c>
      <c r="EB167" s="110">
        <f t="shared" si="4459"/>
        <v>931727.87</v>
      </c>
      <c r="EC167" s="110"/>
      <c r="ED167" s="139"/>
      <c r="EE167" s="140">
        <f t="shared" ref="EE167:EE174" si="4460">EA167/$LI167</f>
        <v>0.77403</v>
      </c>
      <c r="EF167" s="198">
        <f t="shared" si="4450"/>
        <v>472</v>
      </c>
      <c r="EG167" s="140"/>
      <c r="EH167" s="110"/>
      <c r="EI167" s="137"/>
      <c r="EJ167" s="97"/>
      <c r="EK167" s="138">
        <f t="shared" ref="EK167:EL167" si="4461">EK22+EK51+EK80+EK109+EK138</f>
        <v>1818.9986200000001</v>
      </c>
      <c r="EL167" s="110">
        <f t="shared" si="4461"/>
        <v>858567.35</v>
      </c>
      <c r="EM167" s="110"/>
      <c r="EN167" s="139"/>
      <c r="EO167" s="140">
        <f t="shared" ref="EO167:EO174" si="4462">EK167/$LI167</f>
        <v>0.64524999999999999</v>
      </c>
      <c r="EP167" s="198">
        <f t="shared" si="4450"/>
        <v>448</v>
      </c>
      <c r="EQ167" s="140"/>
      <c r="ER167" s="110"/>
      <c r="ES167" s="137"/>
      <c r="ET167" s="97"/>
      <c r="EU167" s="138">
        <f t="shared" ref="EU167:EV167" si="4463">EU22+EU51+EU80+EU109+EU138</f>
        <v>3155.3042599999999</v>
      </c>
      <c r="EV167" s="110">
        <f t="shared" si="4463"/>
        <v>1413576.3</v>
      </c>
      <c r="EW167" s="110"/>
      <c r="EX167" s="139"/>
      <c r="EY167" s="140">
        <f t="shared" ref="EY167:EY174" si="4464">EU167/$LI167</f>
        <v>1.11927</v>
      </c>
      <c r="EZ167" s="198">
        <f t="shared" ref="EZ167:HH174" si="4465">EZ22</f>
        <v>443</v>
      </c>
      <c r="FA167" s="140"/>
      <c r="FB167" s="110"/>
      <c r="FC167" s="137"/>
      <c r="FD167" s="97"/>
      <c r="FE167" s="138">
        <f t="shared" ref="FE167:FF167" si="4466">FE22+FE51+FE80+FE109+FE138</f>
        <v>1324.7179900000001</v>
      </c>
      <c r="FF167" s="110">
        <f t="shared" si="4466"/>
        <v>586850.06000000006</v>
      </c>
      <c r="FG167" s="110"/>
      <c r="FH167" s="139"/>
      <c r="FI167" s="140">
        <f t="shared" ref="FI167:FI174" si="4467">FE167/$LI167</f>
        <v>0.46990999999999999</v>
      </c>
      <c r="FJ167" s="198">
        <f t="shared" si="4465"/>
        <v>508</v>
      </c>
      <c r="FK167" s="140"/>
      <c r="FL167" s="110"/>
      <c r="FM167" s="137"/>
      <c r="FN167" s="97"/>
      <c r="FO167" s="138">
        <f t="shared" ref="FO167:FP167" si="4468">FO22+FO51+FO80+FO109+FO138</f>
        <v>2727.8500399999998</v>
      </c>
      <c r="FP167" s="110">
        <f t="shared" si="4468"/>
        <v>1385747.82</v>
      </c>
      <c r="FQ167" s="110"/>
      <c r="FR167" s="139"/>
      <c r="FS167" s="140">
        <f t="shared" ref="FS167:FS174" si="4469">FO167/$LI167</f>
        <v>0.96763999999999994</v>
      </c>
      <c r="FT167" s="198">
        <f t="shared" si="4465"/>
        <v>377</v>
      </c>
      <c r="FU167" s="140"/>
      <c r="FV167" s="110"/>
      <c r="FW167" s="137"/>
      <c r="FX167" s="97"/>
      <c r="FY167" s="138">
        <f t="shared" ref="FY167:FZ167" si="4470">FY22+FY51+FY80+FY109+FY138</f>
        <v>2618.9007999999999</v>
      </c>
      <c r="FZ167" s="110">
        <f t="shared" si="4470"/>
        <v>987325.6</v>
      </c>
      <c r="GA167" s="110"/>
      <c r="GB167" s="139"/>
      <c r="GC167" s="140">
        <f t="shared" ref="GC167:GC174" si="4471">FY167/$LI167</f>
        <v>0.92900000000000005</v>
      </c>
      <c r="GD167" s="198">
        <f t="shared" si="4465"/>
        <v>244</v>
      </c>
      <c r="GE167" s="140"/>
      <c r="GF167" s="110"/>
      <c r="GG167" s="137"/>
      <c r="GH167" s="97"/>
      <c r="GI167" s="138">
        <f t="shared" ref="GI167:GJ167" si="4472">GI22+GI51+GI80+GI109+GI138</f>
        <v>2084.91426</v>
      </c>
      <c r="GJ167" s="110">
        <f t="shared" si="4472"/>
        <v>508719.09</v>
      </c>
      <c r="GK167" s="110"/>
      <c r="GL167" s="139"/>
      <c r="GM167" s="140">
        <f t="shared" ref="GM167:GM174" si="4473">GI167/$LI167</f>
        <v>0.73958000000000002</v>
      </c>
      <c r="GN167" s="198">
        <f t="shared" si="4465"/>
        <v>413</v>
      </c>
      <c r="GO167" s="140"/>
      <c r="GP167" s="110"/>
      <c r="GQ167" s="137"/>
      <c r="GR167" s="97"/>
      <c r="GS167" s="138">
        <f t="shared" ref="GS167:GT167" si="4474">GS22+GS51+GS80+GS109+GS138</f>
        <v>3657.7772</v>
      </c>
      <c r="GT167" s="110">
        <f t="shared" si="4474"/>
        <v>1510661.98</v>
      </c>
      <c r="GU167" s="110"/>
      <c r="GV167" s="139"/>
      <c r="GW167" s="140">
        <f t="shared" ref="GW167:GW174" si="4475">GS167/$LI167</f>
        <v>1.2975099999999999</v>
      </c>
      <c r="GX167" s="198">
        <f t="shared" si="4465"/>
        <v>742</v>
      </c>
      <c r="GY167" s="140"/>
      <c r="GZ167" s="110"/>
      <c r="HA167" s="137"/>
      <c r="HB167" s="97"/>
      <c r="HC167" s="138">
        <f t="shared" ref="HC167:HD167" si="4476">HC22+HC51+HC80+HC109+HC138</f>
        <v>2226.8199199999999</v>
      </c>
      <c r="HD167" s="110">
        <f t="shared" si="4476"/>
        <v>1652300.39</v>
      </c>
      <c r="HE167" s="110"/>
      <c r="HF167" s="139"/>
      <c r="HG167" s="140">
        <f t="shared" ref="HG167:HG174" si="4477">HC167/$LI167</f>
        <v>0.78991</v>
      </c>
      <c r="HH167" s="198">
        <f t="shared" si="4465"/>
        <v>536</v>
      </c>
      <c r="HI167" s="140"/>
      <c r="HJ167" s="110"/>
      <c r="HK167" s="137"/>
      <c r="HL167" s="97"/>
      <c r="HM167" s="138">
        <f t="shared" ref="HM167:HN167" si="4478">HM22+HM51+HM80+HM109+HM138</f>
        <v>2418.74046</v>
      </c>
      <c r="HN167" s="110">
        <f t="shared" si="4478"/>
        <v>1296444.8899999999</v>
      </c>
      <c r="HO167" s="110"/>
      <c r="HP167" s="139"/>
      <c r="HQ167" s="140">
        <f t="shared" ref="HQ167:HQ174" si="4479">HM167/$LI167</f>
        <v>0.85799000000000003</v>
      </c>
      <c r="HR167" s="198">
        <f t="shared" ref="HR167:JZ174" si="4480">HR22</f>
        <v>396</v>
      </c>
      <c r="HS167" s="140"/>
      <c r="HT167" s="110"/>
      <c r="HU167" s="137"/>
      <c r="HV167" s="97"/>
      <c r="HW167" s="138">
        <f t="shared" ref="HW167:HX167" si="4481">HW22+HW51+HW80+HW109+HW138</f>
        <v>3247.32366</v>
      </c>
      <c r="HX167" s="110">
        <f t="shared" si="4481"/>
        <v>1285940.17</v>
      </c>
      <c r="HY167" s="110"/>
      <c r="HZ167" s="139"/>
      <c r="IA167" s="140">
        <f t="shared" ref="IA167:IA174" si="4482">HW167/$LI167</f>
        <v>1.1519200000000001</v>
      </c>
      <c r="IB167" s="198">
        <f t="shared" si="4480"/>
        <v>242</v>
      </c>
      <c r="IC167" s="140"/>
      <c r="ID167" s="110"/>
      <c r="IE167" s="137"/>
      <c r="IF167" s="97"/>
      <c r="IG167" s="138">
        <f t="shared" ref="IG167:IH167" si="4483">IG22+IG51+IG80+IG109+IG138</f>
        <v>4448.4862700000003</v>
      </c>
      <c r="IH167" s="110">
        <f t="shared" si="4483"/>
        <v>1076533.68</v>
      </c>
      <c r="II167" s="110"/>
      <c r="IJ167" s="139"/>
      <c r="IK167" s="140">
        <f t="shared" ref="IK167:IK174" si="4484">IG167/$LI167</f>
        <v>1.5780000000000001</v>
      </c>
      <c r="IL167" s="198">
        <f t="shared" si="4480"/>
        <v>584</v>
      </c>
      <c r="IM167" s="140"/>
      <c r="IN167" s="110"/>
      <c r="IO167" s="137"/>
      <c r="IP167" s="97"/>
      <c r="IQ167" s="138">
        <f t="shared" ref="IQ167:IR167" si="4485">IQ22+IQ51+IQ80+IQ109+IQ138</f>
        <v>1857.7844399999999</v>
      </c>
      <c r="IR167" s="110">
        <f t="shared" si="4485"/>
        <v>1084946.1200000001</v>
      </c>
      <c r="IS167" s="110"/>
      <c r="IT167" s="139"/>
      <c r="IU167" s="140">
        <f t="shared" ref="IU167:IU174" si="4486">IQ167/$LI167</f>
        <v>0.65900999999999998</v>
      </c>
      <c r="IV167" s="198">
        <f t="shared" si="4480"/>
        <v>404</v>
      </c>
      <c r="IW167" s="140"/>
      <c r="IX167" s="110"/>
      <c r="IY167" s="137"/>
      <c r="IZ167" s="97"/>
      <c r="JA167" s="138">
        <f t="shared" ref="JA167:JB167" si="4487">JA22+JA51+JA80+JA109+JA138</f>
        <v>2764.27288</v>
      </c>
      <c r="JB167" s="110">
        <f t="shared" si="4487"/>
        <v>1116766.24</v>
      </c>
      <c r="JC167" s="110"/>
      <c r="JD167" s="139"/>
      <c r="JE167" s="140">
        <f t="shared" ref="JE167:JE174" si="4488">JA167/$LI167</f>
        <v>0.98055999999999999</v>
      </c>
      <c r="JF167" s="198">
        <f t="shared" si="4480"/>
        <v>617</v>
      </c>
      <c r="JG167" s="140"/>
      <c r="JH167" s="110"/>
      <c r="JI167" s="137"/>
      <c r="JJ167" s="97"/>
      <c r="JK167" s="138">
        <f t="shared" ref="JK167:JL167" si="4489">JK22+JK51+JK80+JK109+JK138</f>
        <v>2699.8341399999999</v>
      </c>
      <c r="JL167" s="110">
        <f t="shared" si="4489"/>
        <v>1665797.66</v>
      </c>
      <c r="JM167" s="110"/>
      <c r="JN167" s="139"/>
      <c r="JO167" s="140">
        <f t="shared" ref="JO167:JO174" si="4490">JK167/$LI167</f>
        <v>0.95770999999999995</v>
      </c>
      <c r="JP167" s="198">
        <f t="shared" si="4480"/>
        <v>581</v>
      </c>
      <c r="JQ167" s="140"/>
      <c r="JR167" s="110"/>
      <c r="JS167" s="137"/>
      <c r="JT167" s="97"/>
      <c r="JU167" s="138">
        <f t="shared" ref="JU167:JV167" si="4491">JU22+JU51+JU80+JU109+JU138</f>
        <v>2956.0897500000001</v>
      </c>
      <c r="JV167" s="110">
        <f t="shared" si="4491"/>
        <v>1717488.15</v>
      </c>
      <c r="JW167" s="110"/>
      <c r="JX167" s="139"/>
      <c r="JY167" s="140">
        <f t="shared" ref="JY167:JY174" si="4492">JU167/$LI167</f>
        <v>1.04861</v>
      </c>
      <c r="JZ167" s="198">
        <f t="shared" si="4480"/>
        <v>520</v>
      </c>
      <c r="KA167" s="140"/>
      <c r="KB167" s="110"/>
      <c r="KC167" s="137"/>
      <c r="KD167" s="97"/>
      <c r="KE167" s="138">
        <f t="shared" ref="KE167:KF167" si="4493">KE22+KE51+KE80+KE109+KE138</f>
        <v>3232.53604</v>
      </c>
      <c r="KF167" s="110">
        <f t="shared" si="4493"/>
        <v>1680918.74</v>
      </c>
      <c r="KG167" s="110"/>
      <c r="KH167" s="139"/>
      <c r="KI167" s="140">
        <f t="shared" ref="KI167:KI174" si="4494">KE167/$LI167</f>
        <v>1.1466700000000001</v>
      </c>
      <c r="KJ167" s="198">
        <f t="shared" ref="KJ167:KT174" si="4495">KJ22</f>
        <v>595</v>
      </c>
      <c r="KK167" s="140"/>
      <c r="KL167" s="110"/>
      <c r="KM167" s="137"/>
      <c r="KN167" s="97"/>
      <c r="KO167" s="138">
        <f t="shared" ref="KO167:KP167" si="4496">KO22+KO51+KO80+KO109+KO138</f>
        <v>2153.1848399999999</v>
      </c>
      <c r="KP167" s="110">
        <f t="shared" si="4496"/>
        <v>1281144.98</v>
      </c>
      <c r="KQ167" s="110"/>
      <c r="KR167" s="139"/>
      <c r="KS167" s="140">
        <f t="shared" ref="KS167:KS174" si="4497">KO167/$LI167</f>
        <v>0.76378999999999997</v>
      </c>
      <c r="KT167" s="198">
        <f t="shared" si="4495"/>
        <v>509</v>
      </c>
      <c r="KU167" s="140"/>
      <c r="KV167" s="110"/>
      <c r="KW167" s="137"/>
      <c r="KX167" s="97"/>
      <c r="KY167" s="138">
        <f t="shared" ref="KY167:KZ167" si="4498">KY22+KY51+KY80+KY109+KY138</f>
        <v>12366.37032</v>
      </c>
      <c r="KZ167" s="110">
        <f t="shared" si="4498"/>
        <v>6294482.4900000002</v>
      </c>
      <c r="LA167" s="110"/>
      <c r="LB167" s="139"/>
      <c r="LC167" s="140">
        <f t="shared" ref="LC167:LC174" si="4499">KY167/$LI167</f>
        <v>4.3866899999999998</v>
      </c>
      <c r="LD167" s="197">
        <f t="shared" si="4221"/>
        <v>13279</v>
      </c>
      <c r="LE167" s="140"/>
      <c r="LF167" s="110"/>
      <c r="LG167" s="137"/>
      <c r="LH167" s="97"/>
      <c r="LI167" s="138">
        <f t="shared" ref="LI167:LJ174" si="4500">LI22+LI51+LI80+LI109+LI138</f>
        <v>2819.06432</v>
      </c>
      <c r="LJ167" s="110">
        <f t="shared" si="4500"/>
        <v>37434355.109999999</v>
      </c>
      <c r="LK167" s="110"/>
      <c r="LL167" s="139"/>
    </row>
    <row r="168" spans="1:324" ht="16.5" hidden="1" customHeight="1" x14ac:dyDescent="0.25">
      <c r="A168" s="246"/>
      <c r="B168" s="93" t="s">
        <v>610</v>
      </c>
      <c r="C168" s="12" t="s">
        <v>727</v>
      </c>
      <c r="D168" s="12" t="s">
        <v>427</v>
      </c>
      <c r="E168" s="4"/>
      <c r="F168" s="198">
        <f t="shared" si="4433"/>
        <v>0</v>
      </c>
      <c r="G168" s="140"/>
      <c r="H168" s="110"/>
      <c r="I168" s="137"/>
      <c r="J168" s="97"/>
      <c r="K168" s="138">
        <f t="shared" si="4434"/>
        <v>0</v>
      </c>
      <c r="L168" s="110">
        <f t="shared" si="4434"/>
        <v>0</v>
      </c>
      <c r="M168" s="110"/>
      <c r="N168" s="139"/>
      <c r="O168" s="140" t="e">
        <f t="shared" si="4155"/>
        <v>#DIV/0!</v>
      </c>
      <c r="P168" s="198">
        <f t="shared" si="4435"/>
        <v>0</v>
      </c>
      <c r="Q168" s="140"/>
      <c r="R168" s="110"/>
      <c r="S168" s="137"/>
      <c r="T168" s="97"/>
      <c r="U168" s="138">
        <f t="shared" ref="U168:V168" si="4501">U23+U52+U81+U110+U139</f>
        <v>0</v>
      </c>
      <c r="V168" s="110">
        <f t="shared" si="4501"/>
        <v>0</v>
      </c>
      <c r="W168" s="110"/>
      <c r="X168" s="139"/>
      <c r="Y168" s="140" t="e">
        <f t="shared" si="4437"/>
        <v>#DIV/0!</v>
      </c>
      <c r="Z168" s="198">
        <f t="shared" si="4435"/>
        <v>0</v>
      </c>
      <c r="AA168" s="140"/>
      <c r="AB168" s="110"/>
      <c r="AC168" s="137"/>
      <c r="AD168" s="97"/>
      <c r="AE168" s="138">
        <f t="shared" ref="AE168:AF168" si="4502">AE23+AE52+AE81+AE110+AE139</f>
        <v>0</v>
      </c>
      <c r="AF168" s="110">
        <f t="shared" si="4502"/>
        <v>0</v>
      </c>
      <c r="AG168" s="110"/>
      <c r="AH168" s="139"/>
      <c r="AI168" s="140" t="e">
        <f t="shared" si="4439"/>
        <v>#DIV/0!</v>
      </c>
      <c r="AJ168" s="198">
        <f t="shared" si="4435"/>
        <v>0</v>
      </c>
      <c r="AK168" s="140"/>
      <c r="AL168" s="110"/>
      <c r="AM168" s="137"/>
      <c r="AN168" s="97"/>
      <c r="AO168" s="138">
        <f t="shared" ref="AO168:AP168" si="4503">AO23+AO52+AO81+AO110+AO139</f>
        <v>0</v>
      </c>
      <c r="AP168" s="110">
        <f t="shared" si="4503"/>
        <v>0</v>
      </c>
      <c r="AQ168" s="110"/>
      <c r="AR168" s="139"/>
      <c r="AS168" s="140" t="e">
        <f t="shared" si="4441"/>
        <v>#DIV/0!</v>
      </c>
      <c r="AT168" s="198">
        <f t="shared" si="4435"/>
        <v>0</v>
      </c>
      <c r="AU168" s="140"/>
      <c r="AV168" s="110"/>
      <c r="AW168" s="137"/>
      <c r="AX168" s="97"/>
      <c r="AY168" s="138">
        <f t="shared" ref="AY168:AZ168" si="4504">AY23+AY52+AY81+AY110+AY139</f>
        <v>0</v>
      </c>
      <c r="AZ168" s="110">
        <f t="shared" si="4504"/>
        <v>0</v>
      </c>
      <c r="BA168" s="110"/>
      <c r="BB168" s="139"/>
      <c r="BC168" s="140" t="e">
        <f t="shared" si="4443"/>
        <v>#DIV/0!</v>
      </c>
      <c r="BD168" s="198">
        <f t="shared" si="4435"/>
        <v>0</v>
      </c>
      <c r="BE168" s="140"/>
      <c r="BF168" s="110"/>
      <c r="BG168" s="137"/>
      <c r="BH168" s="97"/>
      <c r="BI168" s="138">
        <f t="shared" ref="BI168:BJ168" si="4505">BI23+BI52+BI81+BI110+BI139</f>
        <v>0</v>
      </c>
      <c r="BJ168" s="110">
        <f t="shared" si="4505"/>
        <v>0</v>
      </c>
      <c r="BK168" s="110"/>
      <c r="BL168" s="139"/>
      <c r="BM168" s="140" t="e">
        <f t="shared" si="4445"/>
        <v>#DIV/0!</v>
      </c>
      <c r="BN168" s="198">
        <f t="shared" si="4435"/>
        <v>0</v>
      </c>
      <c r="BO168" s="140"/>
      <c r="BP168" s="110"/>
      <c r="BQ168" s="137"/>
      <c r="BR168" s="97"/>
      <c r="BS168" s="138">
        <f t="shared" ref="BS168:BT168" si="4506">BS23+BS52+BS81+BS110+BS139</f>
        <v>0</v>
      </c>
      <c r="BT168" s="110">
        <f t="shared" si="4506"/>
        <v>0</v>
      </c>
      <c r="BU168" s="110"/>
      <c r="BV168" s="139"/>
      <c r="BW168" s="140" t="e">
        <f t="shared" si="4447"/>
        <v>#DIV/0!</v>
      </c>
      <c r="BX168" s="198">
        <f t="shared" si="4435"/>
        <v>0</v>
      </c>
      <c r="BY168" s="140"/>
      <c r="BZ168" s="110"/>
      <c r="CA168" s="137"/>
      <c r="CB168" s="97"/>
      <c r="CC168" s="138">
        <f t="shared" ref="CC168:CD168" si="4507">CC23+CC52+CC81+CC110+CC139</f>
        <v>0</v>
      </c>
      <c r="CD168" s="110">
        <f t="shared" si="4507"/>
        <v>0</v>
      </c>
      <c r="CE168" s="110"/>
      <c r="CF168" s="139"/>
      <c r="CG168" s="140" t="e">
        <f t="shared" si="4449"/>
        <v>#DIV/0!</v>
      </c>
      <c r="CH168" s="198">
        <f t="shared" si="4450"/>
        <v>0</v>
      </c>
      <c r="CI168" s="140"/>
      <c r="CJ168" s="110"/>
      <c r="CK168" s="137"/>
      <c r="CL168" s="97"/>
      <c r="CM168" s="138">
        <f t="shared" ref="CM168:CN168" si="4508">CM23+CM52+CM81+CM110+CM139</f>
        <v>0</v>
      </c>
      <c r="CN168" s="110">
        <f t="shared" si="4508"/>
        <v>0</v>
      </c>
      <c r="CO168" s="110"/>
      <c r="CP168" s="139"/>
      <c r="CQ168" s="140" t="e">
        <f t="shared" si="4452"/>
        <v>#DIV/0!</v>
      </c>
      <c r="CR168" s="198">
        <f t="shared" si="4450"/>
        <v>0</v>
      </c>
      <c r="CS168" s="140"/>
      <c r="CT168" s="110"/>
      <c r="CU168" s="137"/>
      <c r="CV168" s="97"/>
      <c r="CW168" s="138">
        <f t="shared" ref="CW168:CX168" si="4509">CW23+CW52+CW81+CW110+CW139</f>
        <v>0</v>
      </c>
      <c r="CX168" s="110">
        <f t="shared" si="4509"/>
        <v>0</v>
      </c>
      <c r="CY168" s="110"/>
      <c r="CZ168" s="139"/>
      <c r="DA168" s="140" t="e">
        <f t="shared" si="4454"/>
        <v>#DIV/0!</v>
      </c>
      <c r="DB168" s="198">
        <f t="shared" si="4450"/>
        <v>0</v>
      </c>
      <c r="DC168" s="140"/>
      <c r="DD168" s="110"/>
      <c r="DE168" s="137"/>
      <c r="DF168" s="97"/>
      <c r="DG168" s="138">
        <f t="shared" ref="DG168:DH168" si="4510">DG23+DG52+DG81+DG110+DG139</f>
        <v>0</v>
      </c>
      <c r="DH168" s="110">
        <f t="shared" si="4510"/>
        <v>0</v>
      </c>
      <c r="DI168" s="110"/>
      <c r="DJ168" s="139"/>
      <c r="DK168" s="140" t="e">
        <f t="shared" si="4456"/>
        <v>#DIV/0!</v>
      </c>
      <c r="DL168" s="198">
        <f t="shared" si="4450"/>
        <v>0</v>
      </c>
      <c r="DM168" s="140"/>
      <c r="DN168" s="110"/>
      <c r="DO168" s="137"/>
      <c r="DP168" s="97"/>
      <c r="DQ168" s="138">
        <f t="shared" ref="DQ168:DR168" si="4511">DQ23+DQ52+DQ81+DQ110+DQ139</f>
        <v>0</v>
      </c>
      <c r="DR168" s="110">
        <f t="shared" si="4511"/>
        <v>0</v>
      </c>
      <c r="DS168" s="110"/>
      <c r="DT168" s="139"/>
      <c r="DU168" s="140" t="e">
        <f t="shared" si="4458"/>
        <v>#DIV/0!</v>
      </c>
      <c r="DV168" s="198">
        <f t="shared" si="4450"/>
        <v>0</v>
      </c>
      <c r="DW168" s="140"/>
      <c r="DX168" s="110"/>
      <c r="DY168" s="137"/>
      <c r="DZ168" s="97"/>
      <c r="EA168" s="138">
        <f t="shared" ref="EA168:EB168" si="4512">EA23+EA52+EA81+EA110+EA139</f>
        <v>0</v>
      </c>
      <c r="EB168" s="110">
        <f t="shared" si="4512"/>
        <v>0</v>
      </c>
      <c r="EC168" s="110"/>
      <c r="ED168" s="139"/>
      <c r="EE168" s="140" t="e">
        <f t="shared" si="4460"/>
        <v>#DIV/0!</v>
      </c>
      <c r="EF168" s="198">
        <f t="shared" si="4450"/>
        <v>0</v>
      </c>
      <c r="EG168" s="140"/>
      <c r="EH168" s="110"/>
      <c r="EI168" s="137"/>
      <c r="EJ168" s="97"/>
      <c r="EK168" s="138">
        <f t="shared" ref="EK168:EL168" si="4513">EK23+EK52+EK81+EK110+EK139</f>
        <v>0</v>
      </c>
      <c r="EL168" s="110">
        <f t="shared" si="4513"/>
        <v>0</v>
      </c>
      <c r="EM168" s="110"/>
      <c r="EN168" s="139"/>
      <c r="EO168" s="140" t="e">
        <f t="shared" si="4462"/>
        <v>#DIV/0!</v>
      </c>
      <c r="EP168" s="198">
        <f t="shared" si="4450"/>
        <v>0</v>
      </c>
      <c r="EQ168" s="140"/>
      <c r="ER168" s="110"/>
      <c r="ES168" s="137"/>
      <c r="ET168" s="97"/>
      <c r="EU168" s="138">
        <f t="shared" ref="EU168:EV168" si="4514">EU23+EU52+EU81+EU110+EU139</f>
        <v>0</v>
      </c>
      <c r="EV168" s="110">
        <f t="shared" si="4514"/>
        <v>0</v>
      </c>
      <c r="EW168" s="110"/>
      <c r="EX168" s="139"/>
      <c r="EY168" s="140" t="e">
        <f t="shared" si="4464"/>
        <v>#DIV/0!</v>
      </c>
      <c r="EZ168" s="198">
        <f t="shared" si="4465"/>
        <v>0</v>
      </c>
      <c r="FA168" s="140"/>
      <c r="FB168" s="110"/>
      <c r="FC168" s="137"/>
      <c r="FD168" s="97"/>
      <c r="FE168" s="138">
        <f t="shared" ref="FE168:FF168" si="4515">FE23+FE52+FE81+FE110+FE139</f>
        <v>0</v>
      </c>
      <c r="FF168" s="110">
        <f t="shared" si="4515"/>
        <v>0</v>
      </c>
      <c r="FG168" s="110"/>
      <c r="FH168" s="139"/>
      <c r="FI168" s="140" t="e">
        <f t="shared" si="4467"/>
        <v>#DIV/0!</v>
      </c>
      <c r="FJ168" s="198">
        <f t="shared" si="4465"/>
        <v>0</v>
      </c>
      <c r="FK168" s="140"/>
      <c r="FL168" s="110"/>
      <c r="FM168" s="137"/>
      <c r="FN168" s="97"/>
      <c r="FO168" s="138">
        <f t="shared" ref="FO168:FP168" si="4516">FO23+FO52+FO81+FO110+FO139</f>
        <v>0</v>
      </c>
      <c r="FP168" s="110">
        <f t="shared" si="4516"/>
        <v>0</v>
      </c>
      <c r="FQ168" s="110"/>
      <c r="FR168" s="139"/>
      <c r="FS168" s="140" t="e">
        <f t="shared" si="4469"/>
        <v>#DIV/0!</v>
      </c>
      <c r="FT168" s="198">
        <f t="shared" si="4465"/>
        <v>0</v>
      </c>
      <c r="FU168" s="140"/>
      <c r="FV168" s="110"/>
      <c r="FW168" s="137"/>
      <c r="FX168" s="97"/>
      <c r="FY168" s="138">
        <f t="shared" ref="FY168:FZ168" si="4517">FY23+FY52+FY81+FY110+FY139</f>
        <v>0</v>
      </c>
      <c r="FZ168" s="110">
        <f t="shared" si="4517"/>
        <v>0</v>
      </c>
      <c r="GA168" s="110"/>
      <c r="GB168" s="139"/>
      <c r="GC168" s="140" t="e">
        <f t="shared" si="4471"/>
        <v>#DIV/0!</v>
      </c>
      <c r="GD168" s="198">
        <f t="shared" si="4465"/>
        <v>0</v>
      </c>
      <c r="GE168" s="140"/>
      <c r="GF168" s="110"/>
      <c r="GG168" s="137"/>
      <c r="GH168" s="97"/>
      <c r="GI168" s="138">
        <f t="shared" ref="GI168:GJ168" si="4518">GI23+GI52+GI81+GI110+GI139</f>
        <v>0</v>
      </c>
      <c r="GJ168" s="110">
        <f t="shared" si="4518"/>
        <v>0</v>
      </c>
      <c r="GK168" s="110"/>
      <c r="GL168" s="139"/>
      <c r="GM168" s="140" t="e">
        <f t="shared" si="4473"/>
        <v>#DIV/0!</v>
      </c>
      <c r="GN168" s="198">
        <f t="shared" si="4465"/>
        <v>0</v>
      </c>
      <c r="GO168" s="140"/>
      <c r="GP168" s="110"/>
      <c r="GQ168" s="137"/>
      <c r="GR168" s="97"/>
      <c r="GS168" s="138">
        <f t="shared" ref="GS168:GT168" si="4519">GS23+GS52+GS81+GS110+GS139</f>
        <v>0</v>
      </c>
      <c r="GT168" s="110">
        <f t="shared" si="4519"/>
        <v>0</v>
      </c>
      <c r="GU168" s="110"/>
      <c r="GV168" s="139"/>
      <c r="GW168" s="140" t="e">
        <f t="shared" si="4475"/>
        <v>#DIV/0!</v>
      </c>
      <c r="GX168" s="198">
        <f t="shared" si="4465"/>
        <v>0</v>
      </c>
      <c r="GY168" s="140"/>
      <c r="GZ168" s="110"/>
      <c r="HA168" s="137"/>
      <c r="HB168" s="97"/>
      <c r="HC168" s="138">
        <f t="shared" ref="HC168:HD168" si="4520">HC23+HC52+HC81+HC110+HC139</f>
        <v>0</v>
      </c>
      <c r="HD168" s="110">
        <f t="shared" si="4520"/>
        <v>0</v>
      </c>
      <c r="HE168" s="110"/>
      <c r="HF168" s="139"/>
      <c r="HG168" s="140" t="e">
        <f t="shared" si="4477"/>
        <v>#DIV/0!</v>
      </c>
      <c r="HH168" s="198">
        <f t="shared" si="4465"/>
        <v>0</v>
      </c>
      <c r="HI168" s="140"/>
      <c r="HJ168" s="110"/>
      <c r="HK168" s="137"/>
      <c r="HL168" s="97"/>
      <c r="HM168" s="138">
        <f t="shared" ref="HM168:HN168" si="4521">HM23+HM52+HM81+HM110+HM139</f>
        <v>0</v>
      </c>
      <c r="HN168" s="110">
        <f t="shared" si="4521"/>
        <v>0</v>
      </c>
      <c r="HO168" s="110"/>
      <c r="HP168" s="139"/>
      <c r="HQ168" s="140" t="e">
        <f t="shared" si="4479"/>
        <v>#DIV/0!</v>
      </c>
      <c r="HR168" s="198">
        <f t="shared" si="4480"/>
        <v>0</v>
      </c>
      <c r="HS168" s="140"/>
      <c r="HT168" s="110"/>
      <c r="HU168" s="137"/>
      <c r="HV168" s="97"/>
      <c r="HW168" s="138">
        <f t="shared" ref="HW168:HX168" si="4522">HW23+HW52+HW81+HW110+HW139</f>
        <v>0</v>
      </c>
      <c r="HX168" s="110">
        <f t="shared" si="4522"/>
        <v>0</v>
      </c>
      <c r="HY168" s="110"/>
      <c r="HZ168" s="139"/>
      <c r="IA168" s="140" t="e">
        <f t="shared" si="4482"/>
        <v>#DIV/0!</v>
      </c>
      <c r="IB168" s="198">
        <f t="shared" si="4480"/>
        <v>0</v>
      </c>
      <c r="IC168" s="140"/>
      <c r="ID168" s="110"/>
      <c r="IE168" s="137"/>
      <c r="IF168" s="97"/>
      <c r="IG168" s="138">
        <f t="shared" ref="IG168:IH168" si="4523">IG23+IG52+IG81+IG110+IG139</f>
        <v>0</v>
      </c>
      <c r="IH168" s="110">
        <f t="shared" si="4523"/>
        <v>0</v>
      </c>
      <c r="II168" s="110"/>
      <c r="IJ168" s="139"/>
      <c r="IK168" s="140" t="e">
        <f t="shared" si="4484"/>
        <v>#DIV/0!</v>
      </c>
      <c r="IL168" s="198">
        <f t="shared" si="4480"/>
        <v>0</v>
      </c>
      <c r="IM168" s="140"/>
      <c r="IN168" s="110"/>
      <c r="IO168" s="137"/>
      <c r="IP168" s="97"/>
      <c r="IQ168" s="138">
        <f t="shared" ref="IQ168:IR168" si="4524">IQ23+IQ52+IQ81+IQ110+IQ139</f>
        <v>0</v>
      </c>
      <c r="IR168" s="110">
        <f t="shared" si="4524"/>
        <v>0</v>
      </c>
      <c r="IS168" s="110"/>
      <c r="IT168" s="139"/>
      <c r="IU168" s="140" t="e">
        <f t="shared" si="4486"/>
        <v>#DIV/0!</v>
      </c>
      <c r="IV168" s="198">
        <f t="shared" si="4480"/>
        <v>0</v>
      </c>
      <c r="IW168" s="140"/>
      <c r="IX168" s="110"/>
      <c r="IY168" s="137"/>
      <c r="IZ168" s="97"/>
      <c r="JA168" s="138">
        <f t="shared" ref="JA168:JB168" si="4525">JA23+JA52+JA81+JA110+JA139</f>
        <v>0</v>
      </c>
      <c r="JB168" s="110">
        <f t="shared" si="4525"/>
        <v>0</v>
      </c>
      <c r="JC168" s="110"/>
      <c r="JD168" s="139"/>
      <c r="JE168" s="140" t="e">
        <f t="shared" si="4488"/>
        <v>#DIV/0!</v>
      </c>
      <c r="JF168" s="198">
        <f t="shared" si="4480"/>
        <v>0</v>
      </c>
      <c r="JG168" s="140"/>
      <c r="JH168" s="110"/>
      <c r="JI168" s="137"/>
      <c r="JJ168" s="97"/>
      <c r="JK168" s="138">
        <f t="shared" ref="JK168:JL168" si="4526">JK23+JK52+JK81+JK110+JK139</f>
        <v>0</v>
      </c>
      <c r="JL168" s="110">
        <f t="shared" si="4526"/>
        <v>0</v>
      </c>
      <c r="JM168" s="110"/>
      <c r="JN168" s="139"/>
      <c r="JO168" s="140" t="e">
        <f t="shared" si="4490"/>
        <v>#DIV/0!</v>
      </c>
      <c r="JP168" s="198">
        <f t="shared" si="4480"/>
        <v>0</v>
      </c>
      <c r="JQ168" s="140"/>
      <c r="JR168" s="110"/>
      <c r="JS168" s="137"/>
      <c r="JT168" s="97"/>
      <c r="JU168" s="138">
        <f t="shared" ref="JU168:JV168" si="4527">JU23+JU52+JU81+JU110+JU139</f>
        <v>0</v>
      </c>
      <c r="JV168" s="110">
        <f t="shared" si="4527"/>
        <v>0</v>
      </c>
      <c r="JW168" s="110"/>
      <c r="JX168" s="139"/>
      <c r="JY168" s="140" t="e">
        <f t="shared" si="4492"/>
        <v>#DIV/0!</v>
      </c>
      <c r="JZ168" s="198">
        <f t="shared" si="4480"/>
        <v>0</v>
      </c>
      <c r="KA168" s="140"/>
      <c r="KB168" s="110"/>
      <c r="KC168" s="137"/>
      <c r="KD168" s="97"/>
      <c r="KE168" s="138">
        <f t="shared" ref="KE168:KF168" si="4528">KE23+KE52+KE81+KE110+KE139</f>
        <v>0</v>
      </c>
      <c r="KF168" s="110">
        <f t="shared" si="4528"/>
        <v>0</v>
      </c>
      <c r="KG168" s="110"/>
      <c r="KH168" s="139"/>
      <c r="KI168" s="140" t="e">
        <f t="shared" si="4494"/>
        <v>#DIV/0!</v>
      </c>
      <c r="KJ168" s="198">
        <f t="shared" si="4495"/>
        <v>0</v>
      </c>
      <c r="KK168" s="140"/>
      <c r="KL168" s="110"/>
      <c r="KM168" s="137"/>
      <c r="KN168" s="97"/>
      <c r="KO168" s="138">
        <f t="shared" ref="KO168:KP168" si="4529">KO23+KO52+KO81+KO110+KO139</f>
        <v>0</v>
      </c>
      <c r="KP168" s="110">
        <f t="shared" si="4529"/>
        <v>0</v>
      </c>
      <c r="KQ168" s="110"/>
      <c r="KR168" s="139"/>
      <c r="KS168" s="140" t="e">
        <f t="shared" si="4497"/>
        <v>#DIV/0!</v>
      </c>
      <c r="KT168" s="198">
        <f t="shared" si="4495"/>
        <v>0</v>
      </c>
      <c r="KU168" s="140"/>
      <c r="KV168" s="110"/>
      <c r="KW168" s="137"/>
      <c r="KX168" s="97"/>
      <c r="KY168" s="138">
        <f t="shared" ref="KY168:KZ168" si="4530">KY23+KY52+KY81+KY110+KY139</f>
        <v>0</v>
      </c>
      <c r="KZ168" s="110">
        <f t="shared" si="4530"/>
        <v>0</v>
      </c>
      <c r="LA168" s="110"/>
      <c r="LB168" s="139"/>
      <c r="LC168" s="140" t="e">
        <f t="shared" si="4499"/>
        <v>#DIV/0!</v>
      </c>
      <c r="LD168" s="197">
        <f t="shared" si="4221"/>
        <v>0</v>
      </c>
      <c r="LE168" s="140"/>
      <c r="LF168" s="110"/>
      <c r="LG168" s="137"/>
      <c r="LH168" s="97"/>
      <c r="LI168" s="138">
        <f t="shared" si="4500"/>
        <v>0</v>
      </c>
      <c r="LJ168" s="110">
        <f t="shared" si="4500"/>
        <v>0</v>
      </c>
      <c r="LK168" s="110"/>
      <c r="LL168" s="139"/>
    </row>
    <row r="169" spans="1:324" ht="16.5" hidden="1" customHeight="1" x14ac:dyDescent="0.25">
      <c r="A169" s="246"/>
      <c r="B169" s="70" t="s">
        <v>625</v>
      </c>
      <c r="C169" s="12" t="s">
        <v>728</v>
      </c>
      <c r="D169" s="12" t="s">
        <v>430</v>
      </c>
      <c r="E169" s="4"/>
      <c r="F169" s="198">
        <f t="shared" si="4433"/>
        <v>12</v>
      </c>
      <c r="G169" s="140"/>
      <c r="H169" s="110"/>
      <c r="I169" s="137"/>
      <c r="J169" s="97"/>
      <c r="K169" s="138">
        <f t="shared" si="4434"/>
        <v>1609.78719</v>
      </c>
      <c r="L169" s="110">
        <f t="shared" si="4434"/>
        <v>19317.439999999999</v>
      </c>
      <c r="M169" s="110"/>
      <c r="N169" s="139"/>
      <c r="O169" s="140">
        <f t="shared" si="4155"/>
        <v>0.57108000000000003</v>
      </c>
      <c r="P169" s="198">
        <f t="shared" si="4435"/>
        <v>0</v>
      </c>
      <c r="Q169" s="140"/>
      <c r="R169" s="110"/>
      <c r="S169" s="137"/>
      <c r="T169" s="97"/>
      <c r="U169" s="138">
        <f t="shared" ref="U169:V169" si="4531">U24+U53+U82+U111+U140</f>
        <v>0</v>
      </c>
      <c r="V169" s="110">
        <f t="shared" si="4531"/>
        <v>0</v>
      </c>
      <c r="W169" s="110"/>
      <c r="X169" s="139"/>
      <c r="Y169" s="140">
        <f t="shared" si="4437"/>
        <v>0</v>
      </c>
      <c r="Z169" s="198">
        <f t="shared" si="4435"/>
        <v>0</v>
      </c>
      <c r="AA169" s="140"/>
      <c r="AB169" s="110"/>
      <c r="AC169" s="137"/>
      <c r="AD169" s="97"/>
      <c r="AE169" s="138">
        <f t="shared" ref="AE169:AF169" si="4532">AE24+AE53+AE82+AE111+AE140</f>
        <v>0</v>
      </c>
      <c r="AF169" s="110">
        <f t="shared" si="4532"/>
        <v>0</v>
      </c>
      <c r="AG169" s="110"/>
      <c r="AH169" s="139"/>
      <c r="AI169" s="140">
        <f t="shared" si="4439"/>
        <v>0</v>
      </c>
      <c r="AJ169" s="198">
        <f t="shared" si="4435"/>
        <v>0</v>
      </c>
      <c r="AK169" s="140"/>
      <c r="AL169" s="110"/>
      <c r="AM169" s="137"/>
      <c r="AN169" s="97"/>
      <c r="AO169" s="138">
        <f t="shared" ref="AO169:AP169" si="4533">AO24+AO53+AO82+AO111+AO140</f>
        <v>0</v>
      </c>
      <c r="AP169" s="110">
        <f t="shared" si="4533"/>
        <v>0</v>
      </c>
      <c r="AQ169" s="110"/>
      <c r="AR169" s="139"/>
      <c r="AS169" s="140">
        <f t="shared" si="4441"/>
        <v>0</v>
      </c>
      <c r="AT169" s="198">
        <f t="shared" si="4435"/>
        <v>19</v>
      </c>
      <c r="AU169" s="140"/>
      <c r="AV169" s="110"/>
      <c r="AW169" s="137"/>
      <c r="AX169" s="97"/>
      <c r="AY169" s="138">
        <f t="shared" ref="AY169:AZ169" si="4534">AY24+AY53+AY82+AY111+AY140</f>
        <v>1133.7760900000001</v>
      </c>
      <c r="AZ169" s="110">
        <f t="shared" si="4534"/>
        <v>21541.75</v>
      </c>
      <c r="BA169" s="110"/>
      <c r="BB169" s="139"/>
      <c r="BC169" s="140">
        <f t="shared" si="4443"/>
        <v>0.40221000000000001</v>
      </c>
      <c r="BD169" s="198">
        <f t="shared" si="4435"/>
        <v>0</v>
      </c>
      <c r="BE169" s="140"/>
      <c r="BF169" s="110"/>
      <c r="BG169" s="137"/>
      <c r="BH169" s="97"/>
      <c r="BI169" s="138">
        <f t="shared" ref="BI169:BJ169" si="4535">BI24+BI53+BI82+BI111+BI140</f>
        <v>0</v>
      </c>
      <c r="BJ169" s="110">
        <f t="shared" si="4535"/>
        <v>0</v>
      </c>
      <c r="BK169" s="110"/>
      <c r="BL169" s="139"/>
      <c r="BM169" s="140">
        <f t="shared" si="4445"/>
        <v>0</v>
      </c>
      <c r="BN169" s="198">
        <f t="shared" si="4435"/>
        <v>0</v>
      </c>
      <c r="BO169" s="140"/>
      <c r="BP169" s="110"/>
      <c r="BQ169" s="137"/>
      <c r="BR169" s="97"/>
      <c r="BS169" s="138">
        <f t="shared" ref="BS169:BT169" si="4536">BS24+BS53+BS82+BS111+BS140</f>
        <v>0</v>
      </c>
      <c r="BT169" s="110">
        <f t="shared" si="4536"/>
        <v>0</v>
      </c>
      <c r="BU169" s="110"/>
      <c r="BV169" s="139"/>
      <c r="BW169" s="140">
        <f t="shared" si="4447"/>
        <v>0</v>
      </c>
      <c r="BX169" s="198">
        <f t="shared" si="4435"/>
        <v>0</v>
      </c>
      <c r="BY169" s="140"/>
      <c r="BZ169" s="110"/>
      <c r="CA169" s="137"/>
      <c r="CB169" s="97"/>
      <c r="CC169" s="138">
        <f t="shared" ref="CC169:CD169" si="4537">CC24+CC53+CC82+CC111+CC140</f>
        <v>0</v>
      </c>
      <c r="CD169" s="110">
        <f t="shared" si="4537"/>
        <v>0</v>
      </c>
      <c r="CE169" s="110"/>
      <c r="CF169" s="139"/>
      <c r="CG169" s="140">
        <f t="shared" si="4449"/>
        <v>0</v>
      </c>
      <c r="CH169" s="198">
        <f t="shared" si="4450"/>
        <v>0</v>
      </c>
      <c r="CI169" s="140"/>
      <c r="CJ169" s="110"/>
      <c r="CK169" s="137"/>
      <c r="CL169" s="97"/>
      <c r="CM169" s="138">
        <f t="shared" ref="CM169:CN169" si="4538">CM24+CM53+CM82+CM111+CM140</f>
        <v>0</v>
      </c>
      <c r="CN169" s="110">
        <f t="shared" si="4538"/>
        <v>0</v>
      </c>
      <c r="CO169" s="110"/>
      <c r="CP169" s="139"/>
      <c r="CQ169" s="140">
        <f t="shared" si="4452"/>
        <v>0</v>
      </c>
      <c r="CR169" s="198">
        <f t="shared" si="4450"/>
        <v>15</v>
      </c>
      <c r="CS169" s="140"/>
      <c r="CT169" s="110"/>
      <c r="CU169" s="137"/>
      <c r="CV169" s="97"/>
      <c r="CW169" s="138">
        <f t="shared" ref="CW169:CX169" si="4539">CW24+CW53+CW82+CW111+CW140</f>
        <v>3009.5923699999998</v>
      </c>
      <c r="CX169" s="110">
        <f t="shared" si="4539"/>
        <v>45143.89</v>
      </c>
      <c r="CY169" s="110"/>
      <c r="CZ169" s="139"/>
      <c r="DA169" s="140">
        <f t="shared" si="4454"/>
        <v>1.0676699999999999</v>
      </c>
      <c r="DB169" s="198">
        <f t="shared" si="4450"/>
        <v>0</v>
      </c>
      <c r="DC169" s="140"/>
      <c r="DD169" s="110"/>
      <c r="DE169" s="137"/>
      <c r="DF169" s="97"/>
      <c r="DG169" s="138">
        <f t="shared" ref="DG169:DH169" si="4540">DG24+DG53+DG82+DG111+DG140</f>
        <v>0</v>
      </c>
      <c r="DH169" s="110">
        <f t="shared" si="4540"/>
        <v>0</v>
      </c>
      <c r="DI169" s="110"/>
      <c r="DJ169" s="139"/>
      <c r="DK169" s="140">
        <f t="shared" si="4456"/>
        <v>0</v>
      </c>
      <c r="DL169" s="198">
        <f t="shared" si="4450"/>
        <v>118</v>
      </c>
      <c r="DM169" s="140"/>
      <c r="DN169" s="110"/>
      <c r="DO169" s="137"/>
      <c r="DP169" s="97"/>
      <c r="DQ169" s="138">
        <f t="shared" ref="DQ169:DR169" si="4541">DQ24+DQ53+DQ82+DQ111+DQ140</f>
        <v>3456.9311400000001</v>
      </c>
      <c r="DR169" s="110">
        <f t="shared" si="4541"/>
        <v>407917.88</v>
      </c>
      <c r="DS169" s="110"/>
      <c r="DT169" s="139"/>
      <c r="DU169" s="140">
        <f t="shared" si="4458"/>
        <v>1.2263599999999999</v>
      </c>
      <c r="DV169" s="198">
        <f t="shared" si="4450"/>
        <v>9</v>
      </c>
      <c r="DW169" s="140"/>
      <c r="DX169" s="110"/>
      <c r="DY169" s="137"/>
      <c r="DZ169" s="97"/>
      <c r="EA169" s="138">
        <f t="shared" ref="EA169:EB169" si="4542">EA24+EA53+EA82+EA111+EA140</f>
        <v>2182.9815699999999</v>
      </c>
      <c r="EB169" s="110">
        <f t="shared" si="4542"/>
        <v>19646.84</v>
      </c>
      <c r="EC169" s="110"/>
      <c r="ED169" s="139"/>
      <c r="EE169" s="140">
        <f t="shared" si="4460"/>
        <v>0.77442</v>
      </c>
      <c r="EF169" s="198">
        <f t="shared" si="4450"/>
        <v>11</v>
      </c>
      <c r="EG169" s="140"/>
      <c r="EH169" s="110"/>
      <c r="EI169" s="137"/>
      <c r="EJ169" s="97"/>
      <c r="EK169" s="138">
        <f t="shared" ref="EK169:EL169" si="4543">EK24+EK53+EK82+EK111+EK140</f>
        <v>1818.0037500000001</v>
      </c>
      <c r="EL169" s="110">
        <f t="shared" si="4543"/>
        <v>19998.05</v>
      </c>
      <c r="EM169" s="110"/>
      <c r="EN169" s="139"/>
      <c r="EO169" s="140">
        <f t="shared" si="4462"/>
        <v>0.64493999999999996</v>
      </c>
      <c r="EP169" s="198">
        <f t="shared" si="4450"/>
        <v>0</v>
      </c>
      <c r="EQ169" s="140"/>
      <c r="ER169" s="110"/>
      <c r="ES169" s="137"/>
      <c r="ET169" s="97"/>
      <c r="EU169" s="138">
        <f t="shared" ref="EU169:EV169" si="4544">EU24+EU53+EU82+EU111+EU140</f>
        <v>0</v>
      </c>
      <c r="EV169" s="110">
        <f t="shared" si="4544"/>
        <v>0</v>
      </c>
      <c r="EW169" s="110"/>
      <c r="EX169" s="139"/>
      <c r="EY169" s="140">
        <f t="shared" si="4464"/>
        <v>0</v>
      </c>
      <c r="EZ169" s="198">
        <f t="shared" si="4465"/>
        <v>9</v>
      </c>
      <c r="FA169" s="140"/>
      <c r="FB169" s="110"/>
      <c r="FC169" s="137"/>
      <c r="FD169" s="97"/>
      <c r="FE169" s="138">
        <f t="shared" ref="FE169:FF169" si="4545">FE24+FE53+FE82+FE111+FE140</f>
        <v>1325.1779899999999</v>
      </c>
      <c r="FF169" s="110">
        <f t="shared" si="4545"/>
        <v>11926.6</v>
      </c>
      <c r="FG169" s="110"/>
      <c r="FH169" s="139"/>
      <c r="FI169" s="140">
        <f t="shared" si="4467"/>
        <v>0.47010999999999997</v>
      </c>
      <c r="FJ169" s="198">
        <f t="shared" si="4465"/>
        <v>0</v>
      </c>
      <c r="FK169" s="140"/>
      <c r="FL169" s="110"/>
      <c r="FM169" s="137"/>
      <c r="FN169" s="97"/>
      <c r="FO169" s="138">
        <f t="shared" ref="FO169:FP169" si="4546">FO24+FO53+FO82+FO111+FO140</f>
        <v>0</v>
      </c>
      <c r="FP169" s="110">
        <f t="shared" si="4546"/>
        <v>0</v>
      </c>
      <c r="FQ169" s="110"/>
      <c r="FR169" s="139"/>
      <c r="FS169" s="140">
        <f t="shared" si="4469"/>
        <v>0</v>
      </c>
      <c r="FT169" s="198">
        <f t="shared" si="4465"/>
        <v>0</v>
      </c>
      <c r="FU169" s="140"/>
      <c r="FV169" s="110"/>
      <c r="FW169" s="137"/>
      <c r="FX169" s="97"/>
      <c r="FY169" s="138">
        <f t="shared" ref="FY169:FZ169" si="4547">FY24+FY53+FY82+FY111+FY140</f>
        <v>0</v>
      </c>
      <c r="FZ169" s="110">
        <f t="shared" si="4547"/>
        <v>0</v>
      </c>
      <c r="GA169" s="110"/>
      <c r="GB169" s="139"/>
      <c r="GC169" s="140">
        <f t="shared" si="4471"/>
        <v>0</v>
      </c>
      <c r="GD169" s="198">
        <f t="shared" si="4465"/>
        <v>16</v>
      </c>
      <c r="GE169" s="140"/>
      <c r="GF169" s="110"/>
      <c r="GG169" s="137"/>
      <c r="GH169" s="97"/>
      <c r="GI169" s="138">
        <f t="shared" ref="GI169:GJ169" si="4548">GI24+GI53+GI82+GI111+GI140</f>
        <v>2084.95588</v>
      </c>
      <c r="GJ169" s="110">
        <f t="shared" si="4548"/>
        <v>33359.29</v>
      </c>
      <c r="GK169" s="110"/>
      <c r="GL169" s="139"/>
      <c r="GM169" s="140">
        <f t="shared" si="4473"/>
        <v>0.73965000000000003</v>
      </c>
      <c r="GN169" s="198">
        <f t="shared" si="4465"/>
        <v>7</v>
      </c>
      <c r="GO169" s="140"/>
      <c r="GP169" s="110"/>
      <c r="GQ169" s="137"/>
      <c r="GR169" s="97"/>
      <c r="GS169" s="138">
        <f t="shared" ref="GS169:GT169" si="4549">GS24+GS53+GS82+GS111+GS140</f>
        <v>3656.6020600000002</v>
      </c>
      <c r="GT169" s="110">
        <f t="shared" si="4549"/>
        <v>25596.22</v>
      </c>
      <c r="GU169" s="110"/>
      <c r="GV169" s="139"/>
      <c r="GW169" s="140">
        <f t="shared" si="4475"/>
        <v>1.2971900000000001</v>
      </c>
      <c r="GX169" s="198">
        <f t="shared" si="4465"/>
        <v>0</v>
      </c>
      <c r="GY169" s="140"/>
      <c r="GZ169" s="110"/>
      <c r="HA169" s="137"/>
      <c r="HB169" s="97"/>
      <c r="HC169" s="138">
        <f t="shared" ref="HC169:HD169" si="4550">HC24+HC53+HC82+HC111+HC140</f>
        <v>0</v>
      </c>
      <c r="HD169" s="110">
        <f t="shared" si="4550"/>
        <v>0</v>
      </c>
      <c r="HE169" s="110"/>
      <c r="HF169" s="139"/>
      <c r="HG169" s="140">
        <f t="shared" si="4477"/>
        <v>0</v>
      </c>
      <c r="HH169" s="198">
        <f t="shared" si="4465"/>
        <v>39</v>
      </c>
      <c r="HI169" s="140"/>
      <c r="HJ169" s="110"/>
      <c r="HK169" s="137"/>
      <c r="HL169" s="97"/>
      <c r="HM169" s="138">
        <f t="shared" ref="HM169:HN169" si="4551">HM24+HM53+HM82+HM111+HM140</f>
        <v>2418.6192099999998</v>
      </c>
      <c r="HN169" s="110">
        <f t="shared" si="4551"/>
        <v>94326.16</v>
      </c>
      <c r="HO169" s="110"/>
      <c r="HP169" s="139"/>
      <c r="HQ169" s="140">
        <f t="shared" si="4479"/>
        <v>0.85802</v>
      </c>
      <c r="HR169" s="198">
        <f t="shared" si="4480"/>
        <v>0</v>
      </c>
      <c r="HS169" s="140"/>
      <c r="HT169" s="110"/>
      <c r="HU169" s="137"/>
      <c r="HV169" s="97"/>
      <c r="HW169" s="138">
        <f t="shared" ref="HW169:HX169" si="4552">HW24+HW53+HW82+HW111+HW140</f>
        <v>0</v>
      </c>
      <c r="HX169" s="110">
        <f t="shared" si="4552"/>
        <v>0</v>
      </c>
      <c r="HY169" s="110"/>
      <c r="HZ169" s="139"/>
      <c r="IA169" s="140">
        <f t="shared" si="4482"/>
        <v>0</v>
      </c>
      <c r="IB169" s="198">
        <f t="shared" si="4480"/>
        <v>36</v>
      </c>
      <c r="IC169" s="140"/>
      <c r="ID169" s="110"/>
      <c r="IE169" s="137"/>
      <c r="IF169" s="97"/>
      <c r="IG169" s="138">
        <f t="shared" ref="IG169:IH169" si="4553">IG24+IG53+IG82+IG111+IG140</f>
        <v>4448.3536599999998</v>
      </c>
      <c r="IH169" s="110">
        <f t="shared" si="4553"/>
        <v>160140.73000000001</v>
      </c>
      <c r="II169" s="110"/>
      <c r="IJ169" s="139"/>
      <c r="IK169" s="140">
        <f t="shared" si="4484"/>
        <v>1.5780700000000001</v>
      </c>
      <c r="IL169" s="198">
        <f t="shared" si="4480"/>
        <v>0</v>
      </c>
      <c r="IM169" s="140"/>
      <c r="IN169" s="110"/>
      <c r="IO169" s="137"/>
      <c r="IP169" s="97"/>
      <c r="IQ169" s="138">
        <f t="shared" ref="IQ169:IR169" si="4554">IQ24+IQ53+IQ82+IQ111+IQ140</f>
        <v>0</v>
      </c>
      <c r="IR169" s="110">
        <f t="shared" si="4554"/>
        <v>0</v>
      </c>
      <c r="IS169" s="110"/>
      <c r="IT169" s="139"/>
      <c r="IU169" s="140">
        <f t="shared" si="4486"/>
        <v>0</v>
      </c>
      <c r="IV169" s="198">
        <f t="shared" si="4480"/>
        <v>0</v>
      </c>
      <c r="IW169" s="140"/>
      <c r="IX169" s="110"/>
      <c r="IY169" s="137"/>
      <c r="IZ169" s="97"/>
      <c r="JA169" s="138">
        <f t="shared" ref="JA169:JB169" si="4555">JA24+JA53+JA82+JA111+JA140</f>
        <v>0</v>
      </c>
      <c r="JB169" s="110">
        <f t="shared" si="4555"/>
        <v>0</v>
      </c>
      <c r="JC169" s="110"/>
      <c r="JD169" s="139"/>
      <c r="JE169" s="140">
        <f t="shared" si="4488"/>
        <v>0</v>
      </c>
      <c r="JF169" s="198">
        <f t="shared" si="4480"/>
        <v>0</v>
      </c>
      <c r="JG169" s="140"/>
      <c r="JH169" s="110"/>
      <c r="JI169" s="137"/>
      <c r="JJ169" s="97"/>
      <c r="JK169" s="138">
        <f t="shared" ref="JK169:JL169" si="4556">JK24+JK53+JK82+JK111+JK140</f>
        <v>0</v>
      </c>
      <c r="JL169" s="110">
        <f t="shared" si="4556"/>
        <v>0</v>
      </c>
      <c r="JM169" s="110"/>
      <c r="JN169" s="139"/>
      <c r="JO169" s="140">
        <f t="shared" si="4490"/>
        <v>0</v>
      </c>
      <c r="JP169" s="198">
        <f t="shared" si="4480"/>
        <v>33</v>
      </c>
      <c r="JQ169" s="140"/>
      <c r="JR169" s="110"/>
      <c r="JS169" s="137"/>
      <c r="JT169" s="97"/>
      <c r="JU169" s="138">
        <f t="shared" ref="JU169:JV169" si="4557">JU24+JU53+JU82+JU111+JU140</f>
        <v>2955.8615199999999</v>
      </c>
      <c r="JV169" s="110">
        <f t="shared" si="4557"/>
        <v>97543.43</v>
      </c>
      <c r="JW169" s="110"/>
      <c r="JX169" s="139"/>
      <c r="JY169" s="140">
        <f t="shared" si="4492"/>
        <v>1.0486</v>
      </c>
      <c r="JZ169" s="198">
        <f t="shared" si="4480"/>
        <v>0</v>
      </c>
      <c r="KA169" s="140"/>
      <c r="KB169" s="110"/>
      <c r="KC169" s="137"/>
      <c r="KD169" s="97"/>
      <c r="KE169" s="138">
        <f t="shared" ref="KE169:KF169" si="4558">KE24+KE53+KE82+KE111+KE140</f>
        <v>0</v>
      </c>
      <c r="KF169" s="110">
        <f t="shared" si="4558"/>
        <v>0</v>
      </c>
      <c r="KG169" s="110"/>
      <c r="KH169" s="139"/>
      <c r="KI169" s="140">
        <f t="shared" si="4494"/>
        <v>0</v>
      </c>
      <c r="KJ169" s="198">
        <f t="shared" si="4495"/>
        <v>0</v>
      </c>
      <c r="KK169" s="140"/>
      <c r="KL169" s="110"/>
      <c r="KM169" s="137"/>
      <c r="KN169" s="97"/>
      <c r="KO169" s="138">
        <f t="shared" ref="KO169:KP169" si="4559">KO24+KO53+KO82+KO111+KO140</f>
        <v>0</v>
      </c>
      <c r="KP169" s="110">
        <f t="shared" si="4559"/>
        <v>0</v>
      </c>
      <c r="KQ169" s="110"/>
      <c r="KR169" s="139"/>
      <c r="KS169" s="140">
        <f t="shared" si="4497"/>
        <v>0</v>
      </c>
      <c r="KT169" s="198">
        <f t="shared" si="4495"/>
        <v>0</v>
      </c>
      <c r="KU169" s="140"/>
      <c r="KV169" s="110"/>
      <c r="KW169" s="137"/>
      <c r="KX169" s="97"/>
      <c r="KY169" s="138">
        <f t="shared" ref="KY169:KZ169" si="4560">KY24+KY53+KY82+KY111+KY140</f>
        <v>0</v>
      </c>
      <c r="KZ169" s="110">
        <f t="shared" si="4560"/>
        <v>0</v>
      </c>
      <c r="LA169" s="110"/>
      <c r="LB169" s="139"/>
      <c r="LC169" s="140">
        <f t="shared" si="4499"/>
        <v>0</v>
      </c>
      <c r="LD169" s="197">
        <f t="shared" si="4221"/>
        <v>324</v>
      </c>
      <c r="LE169" s="140"/>
      <c r="LF169" s="110"/>
      <c r="LG169" s="137"/>
      <c r="LH169" s="97"/>
      <c r="LI169" s="138">
        <f t="shared" si="4500"/>
        <v>2818.8541500000001</v>
      </c>
      <c r="LJ169" s="110">
        <f t="shared" si="4500"/>
        <v>913308.75</v>
      </c>
      <c r="LK169" s="110"/>
      <c r="LL169" s="139"/>
    </row>
    <row r="170" spans="1:324" ht="15" hidden="1" customHeight="1" x14ac:dyDescent="0.25">
      <c r="A170" s="246"/>
      <c r="B170" s="93" t="s">
        <v>639</v>
      </c>
      <c r="C170" s="12" t="s">
        <v>727</v>
      </c>
      <c r="D170" s="12" t="s">
        <v>427</v>
      </c>
      <c r="E170" s="4"/>
      <c r="F170" s="198">
        <f t="shared" si="4433"/>
        <v>0</v>
      </c>
      <c r="G170" s="140"/>
      <c r="H170" s="110"/>
      <c r="I170" s="137"/>
      <c r="J170" s="97"/>
      <c r="K170" s="138">
        <f t="shared" si="4434"/>
        <v>0</v>
      </c>
      <c r="L170" s="110">
        <f t="shared" si="4434"/>
        <v>0</v>
      </c>
      <c r="M170" s="110"/>
      <c r="N170" s="139"/>
      <c r="O170" s="140" t="e">
        <f t="shared" si="4155"/>
        <v>#DIV/0!</v>
      </c>
      <c r="P170" s="198">
        <f t="shared" si="4435"/>
        <v>0</v>
      </c>
      <c r="Q170" s="140"/>
      <c r="R170" s="110"/>
      <c r="S170" s="137"/>
      <c r="T170" s="97"/>
      <c r="U170" s="138">
        <f t="shared" ref="U170:V170" si="4561">U25+U54+U83+U112+U141</f>
        <v>0</v>
      </c>
      <c r="V170" s="110">
        <f t="shared" si="4561"/>
        <v>0</v>
      </c>
      <c r="W170" s="110"/>
      <c r="X170" s="139"/>
      <c r="Y170" s="140" t="e">
        <f t="shared" si="4437"/>
        <v>#DIV/0!</v>
      </c>
      <c r="Z170" s="198">
        <f t="shared" si="4435"/>
        <v>0</v>
      </c>
      <c r="AA170" s="140"/>
      <c r="AB170" s="110"/>
      <c r="AC170" s="137"/>
      <c r="AD170" s="97"/>
      <c r="AE170" s="138">
        <f t="shared" ref="AE170:AF170" si="4562">AE25+AE54+AE83+AE112+AE141</f>
        <v>0</v>
      </c>
      <c r="AF170" s="110">
        <f t="shared" si="4562"/>
        <v>0</v>
      </c>
      <c r="AG170" s="110"/>
      <c r="AH170" s="139"/>
      <c r="AI170" s="140" t="e">
        <f t="shared" si="4439"/>
        <v>#DIV/0!</v>
      </c>
      <c r="AJ170" s="198">
        <f t="shared" si="4435"/>
        <v>0</v>
      </c>
      <c r="AK170" s="140"/>
      <c r="AL170" s="110"/>
      <c r="AM170" s="137"/>
      <c r="AN170" s="97"/>
      <c r="AO170" s="138">
        <f t="shared" ref="AO170:AP170" si="4563">AO25+AO54+AO83+AO112+AO141</f>
        <v>0</v>
      </c>
      <c r="AP170" s="110">
        <f t="shared" si="4563"/>
        <v>0</v>
      </c>
      <c r="AQ170" s="110"/>
      <c r="AR170" s="139"/>
      <c r="AS170" s="140" t="e">
        <f t="shared" si="4441"/>
        <v>#DIV/0!</v>
      </c>
      <c r="AT170" s="198">
        <f t="shared" si="4435"/>
        <v>0</v>
      </c>
      <c r="AU170" s="140"/>
      <c r="AV170" s="110"/>
      <c r="AW170" s="137"/>
      <c r="AX170" s="97"/>
      <c r="AY170" s="138">
        <f t="shared" ref="AY170:AZ170" si="4564">AY25+AY54+AY83+AY112+AY141</f>
        <v>0</v>
      </c>
      <c r="AZ170" s="110">
        <f t="shared" si="4564"/>
        <v>0</v>
      </c>
      <c r="BA170" s="110"/>
      <c r="BB170" s="139"/>
      <c r="BC170" s="140" t="e">
        <f t="shared" si="4443"/>
        <v>#DIV/0!</v>
      </c>
      <c r="BD170" s="198">
        <f t="shared" si="4435"/>
        <v>0</v>
      </c>
      <c r="BE170" s="140"/>
      <c r="BF170" s="110"/>
      <c r="BG170" s="137"/>
      <c r="BH170" s="97"/>
      <c r="BI170" s="138">
        <f t="shared" ref="BI170:BJ170" si="4565">BI25+BI54+BI83+BI112+BI141</f>
        <v>0</v>
      </c>
      <c r="BJ170" s="110">
        <f t="shared" si="4565"/>
        <v>0</v>
      </c>
      <c r="BK170" s="110"/>
      <c r="BL170" s="139"/>
      <c r="BM170" s="140" t="e">
        <f t="shared" si="4445"/>
        <v>#DIV/0!</v>
      </c>
      <c r="BN170" s="198">
        <f t="shared" si="4435"/>
        <v>0</v>
      </c>
      <c r="BO170" s="140"/>
      <c r="BP170" s="110"/>
      <c r="BQ170" s="137"/>
      <c r="BR170" s="97"/>
      <c r="BS170" s="138">
        <f t="shared" ref="BS170:BT170" si="4566">BS25+BS54+BS83+BS112+BS141</f>
        <v>0</v>
      </c>
      <c r="BT170" s="110">
        <f t="shared" si="4566"/>
        <v>0</v>
      </c>
      <c r="BU170" s="110"/>
      <c r="BV170" s="139"/>
      <c r="BW170" s="140" t="e">
        <f t="shared" si="4447"/>
        <v>#DIV/0!</v>
      </c>
      <c r="BX170" s="198">
        <f t="shared" si="4435"/>
        <v>0</v>
      </c>
      <c r="BY170" s="140"/>
      <c r="BZ170" s="110"/>
      <c r="CA170" s="137"/>
      <c r="CB170" s="97"/>
      <c r="CC170" s="138">
        <f t="shared" ref="CC170:CD170" si="4567">CC25+CC54+CC83+CC112+CC141</f>
        <v>0</v>
      </c>
      <c r="CD170" s="110">
        <f t="shared" si="4567"/>
        <v>0</v>
      </c>
      <c r="CE170" s="110"/>
      <c r="CF170" s="139"/>
      <c r="CG170" s="140" t="e">
        <f t="shared" si="4449"/>
        <v>#DIV/0!</v>
      </c>
      <c r="CH170" s="198">
        <f t="shared" si="4450"/>
        <v>0</v>
      </c>
      <c r="CI170" s="140"/>
      <c r="CJ170" s="110"/>
      <c r="CK170" s="137"/>
      <c r="CL170" s="97"/>
      <c r="CM170" s="138">
        <f t="shared" ref="CM170:CN170" si="4568">CM25+CM54+CM83+CM112+CM141</f>
        <v>0</v>
      </c>
      <c r="CN170" s="110">
        <f t="shared" si="4568"/>
        <v>0</v>
      </c>
      <c r="CO170" s="110"/>
      <c r="CP170" s="139"/>
      <c r="CQ170" s="140" t="e">
        <f t="shared" si="4452"/>
        <v>#DIV/0!</v>
      </c>
      <c r="CR170" s="198">
        <f t="shared" si="4450"/>
        <v>0</v>
      </c>
      <c r="CS170" s="140"/>
      <c r="CT170" s="110"/>
      <c r="CU170" s="137"/>
      <c r="CV170" s="97"/>
      <c r="CW170" s="138">
        <f t="shared" ref="CW170:CX170" si="4569">CW25+CW54+CW83+CW112+CW141</f>
        <v>0</v>
      </c>
      <c r="CX170" s="110">
        <f t="shared" si="4569"/>
        <v>0</v>
      </c>
      <c r="CY170" s="110"/>
      <c r="CZ170" s="139"/>
      <c r="DA170" s="140" t="e">
        <f t="shared" si="4454"/>
        <v>#DIV/0!</v>
      </c>
      <c r="DB170" s="198">
        <f t="shared" si="4450"/>
        <v>0</v>
      </c>
      <c r="DC170" s="140"/>
      <c r="DD170" s="110"/>
      <c r="DE170" s="137"/>
      <c r="DF170" s="97"/>
      <c r="DG170" s="138">
        <f t="shared" ref="DG170:DH170" si="4570">DG25+DG54+DG83+DG112+DG141</f>
        <v>0</v>
      </c>
      <c r="DH170" s="110">
        <f t="shared" si="4570"/>
        <v>0</v>
      </c>
      <c r="DI170" s="110"/>
      <c r="DJ170" s="139"/>
      <c r="DK170" s="140" t="e">
        <f t="shared" si="4456"/>
        <v>#DIV/0!</v>
      </c>
      <c r="DL170" s="198">
        <f t="shared" si="4450"/>
        <v>0</v>
      </c>
      <c r="DM170" s="140"/>
      <c r="DN170" s="110"/>
      <c r="DO170" s="137"/>
      <c r="DP170" s="97"/>
      <c r="DQ170" s="138">
        <f t="shared" ref="DQ170:DR170" si="4571">DQ25+DQ54+DQ83+DQ112+DQ141</f>
        <v>0</v>
      </c>
      <c r="DR170" s="110">
        <f t="shared" si="4571"/>
        <v>0</v>
      </c>
      <c r="DS170" s="110"/>
      <c r="DT170" s="139"/>
      <c r="DU170" s="140" t="e">
        <f t="shared" si="4458"/>
        <v>#DIV/0!</v>
      </c>
      <c r="DV170" s="198">
        <f t="shared" si="4450"/>
        <v>0</v>
      </c>
      <c r="DW170" s="140"/>
      <c r="DX170" s="110"/>
      <c r="DY170" s="137"/>
      <c r="DZ170" s="97"/>
      <c r="EA170" s="138">
        <f t="shared" ref="EA170:EB170" si="4572">EA25+EA54+EA83+EA112+EA141</f>
        <v>0</v>
      </c>
      <c r="EB170" s="110">
        <f t="shared" si="4572"/>
        <v>0</v>
      </c>
      <c r="EC170" s="110"/>
      <c r="ED170" s="139"/>
      <c r="EE170" s="140" t="e">
        <f t="shared" si="4460"/>
        <v>#DIV/0!</v>
      </c>
      <c r="EF170" s="198">
        <f t="shared" si="4450"/>
        <v>0</v>
      </c>
      <c r="EG170" s="140"/>
      <c r="EH170" s="110"/>
      <c r="EI170" s="137"/>
      <c r="EJ170" s="97"/>
      <c r="EK170" s="138">
        <f t="shared" ref="EK170:EL170" si="4573">EK25+EK54+EK83+EK112+EK141</f>
        <v>0</v>
      </c>
      <c r="EL170" s="110">
        <f t="shared" si="4573"/>
        <v>0</v>
      </c>
      <c r="EM170" s="110"/>
      <c r="EN170" s="139"/>
      <c r="EO170" s="140" t="e">
        <f t="shared" si="4462"/>
        <v>#DIV/0!</v>
      </c>
      <c r="EP170" s="198">
        <f t="shared" si="4450"/>
        <v>0</v>
      </c>
      <c r="EQ170" s="140"/>
      <c r="ER170" s="110"/>
      <c r="ES170" s="137"/>
      <c r="ET170" s="97"/>
      <c r="EU170" s="138">
        <f t="shared" ref="EU170:EV170" si="4574">EU25+EU54+EU83+EU112+EU141</f>
        <v>0</v>
      </c>
      <c r="EV170" s="110">
        <f t="shared" si="4574"/>
        <v>0</v>
      </c>
      <c r="EW170" s="110"/>
      <c r="EX170" s="139"/>
      <c r="EY170" s="140" t="e">
        <f t="shared" si="4464"/>
        <v>#DIV/0!</v>
      </c>
      <c r="EZ170" s="198">
        <f t="shared" si="4465"/>
        <v>0</v>
      </c>
      <c r="FA170" s="140"/>
      <c r="FB170" s="110"/>
      <c r="FC170" s="137"/>
      <c r="FD170" s="97"/>
      <c r="FE170" s="138">
        <f t="shared" ref="FE170:FF170" si="4575">FE25+FE54+FE83+FE112+FE141</f>
        <v>0</v>
      </c>
      <c r="FF170" s="110">
        <f t="shared" si="4575"/>
        <v>0</v>
      </c>
      <c r="FG170" s="110"/>
      <c r="FH170" s="139"/>
      <c r="FI170" s="140" t="e">
        <f t="shared" si="4467"/>
        <v>#DIV/0!</v>
      </c>
      <c r="FJ170" s="198">
        <f t="shared" si="4465"/>
        <v>0</v>
      </c>
      <c r="FK170" s="140"/>
      <c r="FL170" s="110"/>
      <c r="FM170" s="137"/>
      <c r="FN170" s="97"/>
      <c r="FO170" s="138">
        <f t="shared" ref="FO170:FP170" si="4576">FO25+FO54+FO83+FO112+FO141</f>
        <v>0</v>
      </c>
      <c r="FP170" s="110">
        <f t="shared" si="4576"/>
        <v>0</v>
      </c>
      <c r="FQ170" s="110"/>
      <c r="FR170" s="139"/>
      <c r="FS170" s="140" t="e">
        <f t="shared" si="4469"/>
        <v>#DIV/0!</v>
      </c>
      <c r="FT170" s="198">
        <f t="shared" si="4465"/>
        <v>0</v>
      </c>
      <c r="FU170" s="140"/>
      <c r="FV170" s="110"/>
      <c r="FW170" s="137"/>
      <c r="FX170" s="97"/>
      <c r="FY170" s="138">
        <f t="shared" ref="FY170:FZ170" si="4577">FY25+FY54+FY83+FY112+FY141</f>
        <v>0</v>
      </c>
      <c r="FZ170" s="110">
        <f t="shared" si="4577"/>
        <v>0</v>
      </c>
      <c r="GA170" s="110"/>
      <c r="GB170" s="139"/>
      <c r="GC170" s="140" t="e">
        <f t="shared" si="4471"/>
        <v>#DIV/0!</v>
      </c>
      <c r="GD170" s="198">
        <f t="shared" si="4465"/>
        <v>0</v>
      </c>
      <c r="GE170" s="140"/>
      <c r="GF170" s="110"/>
      <c r="GG170" s="137"/>
      <c r="GH170" s="97"/>
      <c r="GI170" s="138">
        <f t="shared" ref="GI170:GJ170" si="4578">GI25+GI54+GI83+GI112+GI141</f>
        <v>0</v>
      </c>
      <c r="GJ170" s="110">
        <f t="shared" si="4578"/>
        <v>0</v>
      </c>
      <c r="GK170" s="110"/>
      <c r="GL170" s="139"/>
      <c r="GM170" s="140" t="e">
        <f t="shared" si="4473"/>
        <v>#DIV/0!</v>
      </c>
      <c r="GN170" s="198">
        <f t="shared" si="4465"/>
        <v>0</v>
      </c>
      <c r="GO170" s="140"/>
      <c r="GP170" s="110"/>
      <c r="GQ170" s="137"/>
      <c r="GR170" s="97"/>
      <c r="GS170" s="138">
        <f t="shared" ref="GS170:GT170" si="4579">GS25+GS54+GS83+GS112+GS141</f>
        <v>0</v>
      </c>
      <c r="GT170" s="110">
        <f t="shared" si="4579"/>
        <v>0</v>
      </c>
      <c r="GU170" s="110"/>
      <c r="GV170" s="139"/>
      <c r="GW170" s="140" t="e">
        <f t="shared" si="4475"/>
        <v>#DIV/0!</v>
      </c>
      <c r="GX170" s="198">
        <f t="shared" si="4465"/>
        <v>0</v>
      </c>
      <c r="GY170" s="140"/>
      <c r="GZ170" s="110"/>
      <c r="HA170" s="137"/>
      <c r="HB170" s="97"/>
      <c r="HC170" s="138">
        <f t="shared" ref="HC170:HD170" si="4580">HC25+HC54+HC83+HC112+HC141</f>
        <v>0</v>
      </c>
      <c r="HD170" s="110">
        <f t="shared" si="4580"/>
        <v>0</v>
      </c>
      <c r="HE170" s="110"/>
      <c r="HF170" s="139"/>
      <c r="HG170" s="140" t="e">
        <f t="shared" si="4477"/>
        <v>#DIV/0!</v>
      </c>
      <c r="HH170" s="198">
        <f t="shared" si="4465"/>
        <v>0</v>
      </c>
      <c r="HI170" s="140"/>
      <c r="HJ170" s="110"/>
      <c r="HK170" s="137"/>
      <c r="HL170" s="97"/>
      <c r="HM170" s="138">
        <f t="shared" ref="HM170:HN170" si="4581">HM25+HM54+HM83+HM112+HM141</f>
        <v>0</v>
      </c>
      <c r="HN170" s="110">
        <f t="shared" si="4581"/>
        <v>0</v>
      </c>
      <c r="HO170" s="110"/>
      <c r="HP170" s="139"/>
      <c r="HQ170" s="140" t="e">
        <f t="shared" si="4479"/>
        <v>#DIV/0!</v>
      </c>
      <c r="HR170" s="198">
        <f t="shared" si="4480"/>
        <v>0</v>
      </c>
      <c r="HS170" s="140"/>
      <c r="HT170" s="110"/>
      <c r="HU170" s="137"/>
      <c r="HV170" s="97"/>
      <c r="HW170" s="138">
        <f t="shared" ref="HW170:HX170" si="4582">HW25+HW54+HW83+HW112+HW141</f>
        <v>0</v>
      </c>
      <c r="HX170" s="110">
        <f t="shared" si="4582"/>
        <v>0</v>
      </c>
      <c r="HY170" s="110"/>
      <c r="HZ170" s="139"/>
      <c r="IA170" s="140" t="e">
        <f t="shared" si="4482"/>
        <v>#DIV/0!</v>
      </c>
      <c r="IB170" s="198">
        <f t="shared" si="4480"/>
        <v>0</v>
      </c>
      <c r="IC170" s="140"/>
      <c r="ID170" s="110"/>
      <c r="IE170" s="137"/>
      <c r="IF170" s="97"/>
      <c r="IG170" s="138">
        <f t="shared" ref="IG170:IH170" si="4583">IG25+IG54+IG83+IG112+IG141</f>
        <v>0</v>
      </c>
      <c r="IH170" s="110">
        <f t="shared" si="4583"/>
        <v>0</v>
      </c>
      <c r="II170" s="110"/>
      <c r="IJ170" s="139"/>
      <c r="IK170" s="140" t="e">
        <f t="shared" si="4484"/>
        <v>#DIV/0!</v>
      </c>
      <c r="IL170" s="198">
        <f t="shared" si="4480"/>
        <v>0</v>
      </c>
      <c r="IM170" s="140"/>
      <c r="IN170" s="110"/>
      <c r="IO170" s="137"/>
      <c r="IP170" s="97"/>
      <c r="IQ170" s="138">
        <f t="shared" ref="IQ170:IR170" si="4584">IQ25+IQ54+IQ83+IQ112+IQ141</f>
        <v>0</v>
      </c>
      <c r="IR170" s="110">
        <f t="shared" si="4584"/>
        <v>0</v>
      </c>
      <c r="IS170" s="110"/>
      <c r="IT170" s="139"/>
      <c r="IU170" s="140" t="e">
        <f t="shared" si="4486"/>
        <v>#DIV/0!</v>
      </c>
      <c r="IV170" s="198">
        <f t="shared" si="4480"/>
        <v>0</v>
      </c>
      <c r="IW170" s="140"/>
      <c r="IX170" s="110"/>
      <c r="IY170" s="137"/>
      <c r="IZ170" s="97"/>
      <c r="JA170" s="138">
        <f t="shared" ref="JA170:JB170" si="4585">JA25+JA54+JA83+JA112+JA141</f>
        <v>0</v>
      </c>
      <c r="JB170" s="110">
        <f t="shared" si="4585"/>
        <v>0</v>
      </c>
      <c r="JC170" s="110"/>
      <c r="JD170" s="139"/>
      <c r="JE170" s="140" t="e">
        <f t="shared" si="4488"/>
        <v>#DIV/0!</v>
      </c>
      <c r="JF170" s="198">
        <f t="shared" si="4480"/>
        <v>0</v>
      </c>
      <c r="JG170" s="140"/>
      <c r="JH170" s="110"/>
      <c r="JI170" s="137"/>
      <c r="JJ170" s="97"/>
      <c r="JK170" s="138">
        <f t="shared" ref="JK170:JL170" si="4586">JK25+JK54+JK83+JK112+JK141</f>
        <v>0</v>
      </c>
      <c r="JL170" s="110">
        <f t="shared" si="4586"/>
        <v>0</v>
      </c>
      <c r="JM170" s="110"/>
      <c r="JN170" s="139"/>
      <c r="JO170" s="140" t="e">
        <f t="shared" si="4490"/>
        <v>#DIV/0!</v>
      </c>
      <c r="JP170" s="198">
        <f t="shared" si="4480"/>
        <v>0</v>
      </c>
      <c r="JQ170" s="140"/>
      <c r="JR170" s="110"/>
      <c r="JS170" s="137"/>
      <c r="JT170" s="97"/>
      <c r="JU170" s="138">
        <f t="shared" ref="JU170:JV170" si="4587">JU25+JU54+JU83+JU112+JU141</f>
        <v>0</v>
      </c>
      <c r="JV170" s="110">
        <f t="shared" si="4587"/>
        <v>0</v>
      </c>
      <c r="JW170" s="110"/>
      <c r="JX170" s="139"/>
      <c r="JY170" s="140" t="e">
        <f t="shared" si="4492"/>
        <v>#DIV/0!</v>
      </c>
      <c r="JZ170" s="198">
        <f t="shared" si="4480"/>
        <v>0</v>
      </c>
      <c r="KA170" s="140"/>
      <c r="KB170" s="110"/>
      <c r="KC170" s="137"/>
      <c r="KD170" s="97"/>
      <c r="KE170" s="138">
        <f t="shared" ref="KE170:KF170" si="4588">KE25+KE54+KE83+KE112+KE141</f>
        <v>0</v>
      </c>
      <c r="KF170" s="110">
        <f t="shared" si="4588"/>
        <v>0</v>
      </c>
      <c r="KG170" s="110"/>
      <c r="KH170" s="139"/>
      <c r="KI170" s="140" t="e">
        <f t="shared" si="4494"/>
        <v>#DIV/0!</v>
      </c>
      <c r="KJ170" s="198">
        <f t="shared" si="4495"/>
        <v>0</v>
      </c>
      <c r="KK170" s="140"/>
      <c r="KL170" s="110"/>
      <c r="KM170" s="137"/>
      <c r="KN170" s="97"/>
      <c r="KO170" s="138">
        <f t="shared" ref="KO170:KP170" si="4589">KO25+KO54+KO83+KO112+KO141</f>
        <v>0</v>
      </c>
      <c r="KP170" s="110">
        <f t="shared" si="4589"/>
        <v>0</v>
      </c>
      <c r="KQ170" s="110"/>
      <c r="KR170" s="139"/>
      <c r="KS170" s="140" t="e">
        <f t="shared" si="4497"/>
        <v>#DIV/0!</v>
      </c>
      <c r="KT170" s="198">
        <f t="shared" si="4495"/>
        <v>0</v>
      </c>
      <c r="KU170" s="140"/>
      <c r="KV170" s="110"/>
      <c r="KW170" s="137"/>
      <c r="KX170" s="97"/>
      <c r="KY170" s="138">
        <f t="shared" ref="KY170:KZ170" si="4590">KY25+KY54+KY83+KY112+KY141</f>
        <v>0</v>
      </c>
      <c r="KZ170" s="110">
        <f t="shared" si="4590"/>
        <v>0</v>
      </c>
      <c r="LA170" s="110"/>
      <c r="LB170" s="139"/>
      <c r="LC170" s="140" t="e">
        <f t="shared" si="4499"/>
        <v>#DIV/0!</v>
      </c>
      <c r="LD170" s="197">
        <f t="shared" si="4221"/>
        <v>0</v>
      </c>
      <c r="LE170" s="140"/>
      <c r="LF170" s="110"/>
      <c r="LG170" s="137"/>
      <c r="LH170" s="97"/>
      <c r="LI170" s="138">
        <f t="shared" si="4500"/>
        <v>0</v>
      </c>
      <c r="LJ170" s="110">
        <f t="shared" si="4500"/>
        <v>0</v>
      </c>
      <c r="LK170" s="110"/>
      <c r="LL170" s="139"/>
    </row>
    <row r="171" spans="1:324" ht="16.5" hidden="1" customHeight="1" x14ac:dyDescent="0.25">
      <c r="A171" s="246"/>
      <c r="B171" s="70" t="s">
        <v>626</v>
      </c>
      <c r="C171" s="12" t="s">
        <v>728</v>
      </c>
      <c r="D171" s="12" t="s">
        <v>430</v>
      </c>
      <c r="E171" s="4"/>
      <c r="F171" s="198">
        <f t="shared" si="4433"/>
        <v>1</v>
      </c>
      <c r="G171" s="140"/>
      <c r="H171" s="110"/>
      <c r="I171" s="137"/>
      <c r="J171" s="97"/>
      <c r="K171" s="138">
        <f t="shared" si="4434"/>
        <v>1609.2072000000001</v>
      </c>
      <c r="L171" s="110">
        <f t="shared" si="4434"/>
        <v>1609.21</v>
      </c>
      <c r="M171" s="110"/>
      <c r="N171" s="139"/>
      <c r="O171" s="140">
        <f t="shared" si="4155"/>
        <v>0.57018000000000002</v>
      </c>
      <c r="P171" s="198">
        <f t="shared" si="4435"/>
        <v>3</v>
      </c>
      <c r="Q171" s="140"/>
      <c r="R171" s="110"/>
      <c r="S171" s="137"/>
      <c r="T171" s="97"/>
      <c r="U171" s="138">
        <f t="shared" ref="U171:V171" si="4591">U26+U55+U84+U113+U142</f>
        <v>2229.2244700000001</v>
      </c>
      <c r="V171" s="110">
        <f t="shared" si="4591"/>
        <v>6687.68</v>
      </c>
      <c r="W171" s="110"/>
      <c r="X171" s="139"/>
      <c r="Y171" s="140">
        <f t="shared" si="4437"/>
        <v>0.78986999999999996</v>
      </c>
      <c r="Z171" s="198">
        <f t="shared" si="4435"/>
        <v>1</v>
      </c>
      <c r="AA171" s="140"/>
      <c r="AB171" s="110"/>
      <c r="AC171" s="137"/>
      <c r="AD171" s="97"/>
      <c r="AE171" s="138">
        <f t="shared" ref="AE171:AF171" si="4592">AE26+AE55+AE84+AE113+AE142</f>
        <v>2164.4225000000001</v>
      </c>
      <c r="AF171" s="110">
        <f t="shared" si="4592"/>
        <v>2164.42</v>
      </c>
      <c r="AG171" s="110"/>
      <c r="AH171" s="139"/>
      <c r="AI171" s="140">
        <f t="shared" si="4439"/>
        <v>0.76690999999999998</v>
      </c>
      <c r="AJ171" s="198">
        <f t="shared" si="4435"/>
        <v>2</v>
      </c>
      <c r="AK171" s="140"/>
      <c r="AL171" s="110"/>
      <c r="AM171" s="137"/>
      <c r="AN171" s="97"/>
      <c r="AO171" s="138">
        <f t="shared" ref="AO171:AP171" si="4593">AO26+AO55+AO84+AO113+AO142</f>
        <v>1830.3009500000001</v>
      </c>
      <c r="AP171" s="110">
        <f t="shared" si="4593"/>
        <v>3660.6</v>
      </c>
      <c r="AQ171" s="110"/>
      <c r="AR171" s="139"/>
      <c r="AS171" s="140">
        <f t="shared" si="4441"/>
        <v>0.64851999999999999</v>
      </c>
      <c r="AT171" s="198">
        <f t="shared" si="4435"/>
        <v>4</v>
      </c>
      <c r="AU171" s="140"/>
      <c r="AV171" s="110"/>
      <c r="AW171" s="137"/>
      <c r="AX171" s="97"/>
      <c r="AY171" s="138">
        <f t="shared" ref="AY171:AZ171" si="4594">AY26+AY55+AY84+AY113+AY142</f>
        <v>1135.4918299999999</v>
      </c>
      <c r="AZ171" s="110">
        <f t="shared" si="4594"/>
        <v>4541.9799999999996</v>
      </c>
      <c r="BA171" s="110"/>
      <c r="BB171" s="139"/>
      <c r="BC171" s="140">
        <f t="shared" si="4443"/>
        <v>0.40233000000000002</v>
      </c>
      <c r="BD171" s="198">
        <f t="shared" si="4435"/>
        <v>1</v>
      </c>
      <c r="BE171" s="140"/>
      <c r="BF171" s="110"/>
      <c r="BG171" s="137"/>
      <c r="BH171" s="97"/>
      <c r="BI171" s="138">
        <f t="shared" ref="BI171:BJ171" si="4595">BI26+BI55+BI84+BI113+BI142</f>
        <v>2071.9762000000001</v>
      </c>
      <c r="BJ171" s="110">
        <f t="shared" si="4595"/>
        <v>2071.98</v>
      </c>
      <c r="BK171" s="110"/>
      <c r="BL171" s="139"/>
      <c r="BM171" s="140">
        <f t="shared" si="4445"/>
        <v>0.73414999999999997</v>
      </c>
      <c r="BN171" s="198">
        <f t="shared" si="4435"/>
        <v>3</v>
      </c>
      <c r="BO171" s="140"/>
      <c r="BP171" s="110"/>
      <c r="BQ171" s="137"/>
      <c r="BR171" s="97"/>
      <c r="BS171" s="138">
        <f t="shared" ref="BS171:BT171" si="4596">BS26+BS55+BS84+BS113+BS142</f>
        <v>2464.8078300000002</v>
      </c>
      <c r="BT171" s="110">
        <f t="shared" si="4596"/>
        <v>7394.42</v>
      </c>
      <c r="BU171" s="110"/>
      <c r="BV171" s="139"/>
      <c r="BW171" s="140">
        <f t="shared" si="4447"/>
        <v>0.87334000000000001</v>
      </c>
      <c r="BX171" s="198">
        <f t="shared" si="4435"/>
        <v>1</v>
      </c>
      <c r="BY171" s="140"/>
      <c r="BZ171" s="110"/>
      <c r="CA171" s="137"/>
      <c r="CB171" s="97"/>
      <c r="CC171" s="138">
        <f t="shared" ref="CC171:CD171" si="4597">CC26+CC55+CC84+CC113+CC142</f>
        <v>1866.95</v>
      </c>
      <c r="CD171" s="110">
        <f t="shared" si="4597"/>
        <v>1866.95</v>
      </c>
      <c r="CE171" s="110"/>
      <c r="CF171" s="139"/>
      <c r="CG171" s="140">
        <f t="shared" si="4449"/>
        <v>0.66151000000000004</v>
      </c>
      <c r="CH171" s="198">
        <f t="shared" si="4450"/>
        <v>5</v>
      </c>
      <c r="CI171" s="140"/>
      <c r="CJ171" s="110"/>
      <c r="CK171" s="137"/>
      <c r="CL171" s="97"/>
      <c r="CM171" s="138">
        <f t="shared" ref="CM171:CN171" si="4598">CM26+CM55+CM84+CM113+CM142</f>
        <v>2328.6904199999999</v>
      </c>
      <c r="CN171" s="110">
        <f t="shared" si="4598"/>
        <v>11643.46</v>
      </c>
      <c r="CO171" s="110"/>
      <c r="CP171" s="139"/>
      <c r="CQ171" s="140">
        <f t="shared" si="4452"/>
        <v>0.82511000000000001</v>
      </c>
      <c r="CR171" s="198">
        <f t="shared" si="4450"/>
        <v>2</v>
      </c>
      <c r="CS171" s="140"/>
      <c r="CT171" s="110"/>
      <c r="CU171" s="137"/>
      <c r="CV171" s="97"/>
      <c r="CW171" s="138">
        <f t="shared" ref="CW171:CX171" si="4599">CW26+CW55+CW84+CW113+CW142</f>
        <v>3019.7429999999999</v>
      </c>
      <c r="CX171" s="110">
        <f t="shared" si="4599"/>
        <v>6039.49</v>
      </c>
      <c r="CY171" s="110"/>
      <c r="CZ171" s="139"/>
      <c r="DA171" s="140">
        <f t="shared" si="4454"/>
        <v>1.0699700000000001</v>
      </c>
      <c r="DB171" s="198">
        <f t="shared" si="4450"/>
        <v>0</v>
      </c>
      <c r="DC171" s="140"/>
      <c r="DD171" s="110"/>
      <c r="DE171" s="137"/>
      <c r="DF171" s="97"/>
      <c r="DG171" s="138">
        <f t="shared" ref="DG171:DH171" si="4600">DG26+DG55+DG84+DG113+DG142</f>
        <v>0</v>
      </c>
      <c r="DH171" s="110">
        <f t="shared" si="4600"/>
        <v>0</v>
      </c>
      <c r="DI171" s="110"/>
      <c r="DJ171" s="139"/>
      <c r="DK171" s="140">
        <f t="shared" si="4456"/>
        <v>0</v>
      </c>
      <c r="DL171" s="198">
        <f t="shared" si="4450"/>
        <v>0</v>
      </c>
      <c r="DM171" s="140"/>
      <c r="DN171" s="110"/>
      <c r="DO171" s="137"/>
      <c r="DP171" s="97"/>
      <c r="DQ171" s="138">
        <f t="shared" ref="DQ171:DR171" si="4601">DQ26+DQ55+DQ84+DQ113+DQ142</f>
        <v>0</v>
      </c>
      <c r="DR171" s="110">
        <f t="shared" si="4601"/>
        <v>0</v>
      </c>
      <c r="DS171" s="110"/>
      <c r="DT171" s="139"/>
      <c r="DU171" s="140">
        <f t="shared" si="4458"/>
        <v>0</v>
      </c>
      <c r="DV171" s="198">
        <f t="shared" si="4450"/>
        <v>4</v>
      </c>
      <c r="DW171" s="140"/>
      <c r="DX171" s="110"/>
      <c r="DY171" s="137"/>
      <c r="DZ171" s="97"/>
      <c r="EA171" s="138">
        <f t="shared" ref="EA171:EB171" si="4602">EA26+EA55+EA84+EA113+EA142</f>
        <v>2186.4480600000002</v>
      </c>
      <c r="EB171" s="110">
        <f t="shared" si="4602"/>
        <v>8745.7900000000009</v>
      </c>
      <c r="EC171" s="110"/>
      <c r="ED171" s="139"/>
      <c r="EE171" s="140">
        <f t="shared" si="4460"/>
        <v>0.77471000000000001</v>
      </c>
      <c r="EF171" s="198">
        <f t="shared" si="4450"/>
        <v>3</v>
      </c>
      <c r="EG171" s="140"/>
      <c r="EH171" s="110"/>
      <c r="EI171" s="137"/>
      <c r="EJ171" s="97"/>
      <c r="EK171" s="138">
        <f t="shared" ref="EK171:EL171" si="4603">EK26+EK55+EK84+EK113+EK142</f>
        <v>1813.4642200000001</v>
      </c>
      <c r="EL171" s="110">
        <f t="shared" si="4603"/>
        <v>5440.39</v>
      </c>
      <c r="EM171" s="110"/>
      <c r="EN171" s="139"/>
      <c r="EO171" s="140">
        <f t="shared" si="4462"/>
        <v>0.64256000000000002</v>
      </c>
      <c r="EP171" s="198">
        <f t="shared" si="4450"/>
        <v>2</v>
      </c>
      <c r="EQ171" s="140"/>
      <c r="ER171" s="110"/>
      <c r="ES171" s="137"/>
      <c r="ET171" s="97"/>
      <c r="EU171" s="138">
        <f t="shared" ref="EU171:EV171" si="4604">EU26+EU55+EU84+EU113+EU142</f>
        <v>3146.5938500000002</v>
      </c>
      <c r="EV171" s="110">
        <f t="shared" si="4604"/>
        <v>6293.19</v>
      </c>
      <c r="EW171" s="110"/>
      <c r="EX171" s="139"/>
      <c r="EY171" s="140">
        <f t="shared" si="4464"/>
        <v>1.1149199999999999</v>
      </c>
      <c r="EZ171" s="198">
        <f t="shared" si="4465"/>
        <v>1</v>
      </c>
      <c r="FA171" s="140"/>
      <c r="FB171" s="110"/>
      <c r="FC171" s="137"/>
      <c r="FD171" s="97"/>
      <c r="FE171" s="138">
        <f t="shared" ref="FE171:FF171" si="4605">FE26+FE55+FE84+FE113+FE142</f>
        <v>1331.7018</v>
      </c>
      <c r="FF171" s="110">
        <f t="shared" si="4605"/>
        <v>1331.69</v>
      </c>
      <c r="FG171" s="110"/>
      <c r="FH171" s="139"/>
      <c r="FI171" s="140">
        <f t="shared" si="4467"/>
        <v>0.47186</v>
      </c>
      <c r="FJ171" s="198">
        <f t="shared" si="4465"/>
        <v>2</v>
      </c>
      <c r="FK171" s="140"/>
      <c r="FL171" s="110"/>
      <c r="FM171" s="137"/>
      <c r="FN171" s="97"/>
      <c r="FO171" s="138">
        <f t="shared" ref="FO171:FP171" si="4606">FO26+FO55+FO84+FO113+FO142</f>
        <v>2725.8072000000002</v>
      </c>
      <c r="FP171" s="110">
        <f t="shared" si="4606"/>
        <v>5451.61</v>
      </c>
      <c r="FQ171" s="110"/>
      <c r="FR171" s="139"/>
      <c r="FS171" s="140">
        <f t="shared" si="4469"/>
        <v>0.96582000000000001</v>
      </c>
      <c r="FT171" s="198">
        <f t="shared" si="4465"/>
        <v>3</v>
      </c>
      <c r="FU171" s="140"/>
      <c r="FV171" s="110"/>
      <c r="FW171" s="137"/>
      <c r="FX171" s="97"/>
      <c r="FY171" s="138">
        <f t="shared" ref="FY171:FZ171" si="4607">FY26+FY55+FY84+FY113+FY142</f>
        <v>2616.95957</v>
      </c>
      <c r="FZ171" s="110">
        <f t="shared" si="4607"/>
        <v>7850.87</v>
      </c>
      <c r="GA171" s="110"/>
      <c r="GB171" s="139"/>
      <c r="GC171" s="140">
        <f t="shared" si="4471"/>
        <v>0.92725000000000002</v>
      </c>
      <c r="GD171" s="198">
        <f t="shared" si="4465"/>
        <v>3</v>
      </c>
      <c r="GE171" s="140"/>
      <c r="GF171" s="110"/>
      <c r="GG171" s="137"/>
      <c r="GH171" s="97"/>
      <c r="GI171" s="138">
        <f t="shared" ref="GI171:GJ171" si="4608">GI26+GI55+GI84+GI113+GI142</f>
        <v>2085.1365999999998</v>
      </c>
      <c r="GJ171" s="110">
        <f t="shared" si="4608"/>
        <v>6255.42</v>
      </c>
      <c r="GK171" s="110"/>
      <c r="GL171" s="139"/>
      <c r="GM171" s="140">
        <f t="shared" si="4473"/>
        <v>0.73882000000000003</v>
      </c>
      <c r="GN171" s="198">
        <f t="shared" si="4465"/>
        <v>2</v>
      </c>
      <c r="GO171" s="140"/>
      <c r="GP171" s="110"/>
      <c r="GQ171" s="137"/>
      <c r="GR171" s="97"/>
      <c r="GS171" s="138">
        <f t="shared" ref="GS171:GT171" si="4609">GS26+GS55+GS84+GS113+GS142</f>
        <v>3648.5844000000002</v>
      </c>
      <c r="GT171" s="110">
        <f t="shared" si="4609"/>
        <v>7297.17</v>
      </c>
      <c r="GU171" s="110"/>
      <c r="GV171" s="139"/>
      <c r="GW171" s="140">
        <f t="shared" si="4475"/>
        <v>1.29278</v>
      </c>
      <c r="GX171" s="198">
        <f t="shared" si="4465"/>
        <v>0</v>
      </c>
      <c r="GY171" s="140"/>
      <c r="GZ171" s="110"/>
      <c r="HA171" s="137"/>
      <c r="HB171" s="97"/>
      <c r="HC171" s="138">
        <f t="shared" ref="HC171:HD171" si="4610">HC26+HC55+HC84+HC113+HC142</f>
        <v>0</v>
      </c>
      <c r="HD171" s="110">
        <f t="shared" si="4610"/>
        <v>0</v>
      </c>
      <c r="HE171" s="110"/>
      <c r="HF171" s="139"/>
      <c r="HG171" s="140">
        <f t="shared" si="4477"/>
        <v>0</v>
      </c>
      <c r="HH171" s="198">
        <f t="shared" si="4465"/>
        <v>2</v>
      </c>
      <c r="HI171" s="140"/>
      <c r="HJ171" s="110"/>
      <c r="HK171" s="137"/>
      <c r="HL171" s="97"/>
      <c r="HM171" s="138">
        <f t="shared" ref="HM171:HN171" si="4611">HM26+HM55+HM84+HM113+HM142</f>
        <v>2421.5844499999998</v>
      </c>
      <c r="HN171" s="110">
        <f t="shared" si="4611"/>
        <v>4843.17</v>
      </c>
      <c r="HO171" s="110"/>
      <c r="HP171" s="139"/>
      <c r="HQ171" s="140">
        <f t="shared" si="4479"/>
        <v>0.85802999999999996</v>
      </c>
      <c r="HR171" s="198">
        <f t="shared" si="4480"/>
        <v>3</v>
      </c>
      <c r="HS171" s="140"/>
      <c r="HT171" s="110"/>
      <c r="HU171" s="137"/>
      <c r="HV171" s="97"/>
      <c r="HW171" s="138">
        <f t="shared" ref="HW171:HX171" si="4612">HW26+HW55+HW84+HW113+HW142</f>
        <v>3249.5411800000002</v>
      </c>
      <c r="HX171" s="110">
        <f t="shared" si="4612"/>
        <v>9748.6299999999992</v>
      </c>
      <c r="HY171" s="110"/>
      <c r="HZ171" s="139"/>
      <c r="IA171" s="140">
        <f t="shared" si="4482"/>
        <v>1.1513899999999999</v>
      </c>
      <c r="IB171" s="198">
        <f t="shared" si="4480"/>
        <v>4</v>
      </c>
      <c r="IC171" s="140"/>
      <c r="ID171" s="110"/>
      <c r="IE171" s="137"/>
      <c r="IF171" s="97"/>
      <c r="IG171" s="138">
        <f t="shared" ref="IG171:IH171" si="4613">IG26+IG55+IG84+IG113+IG142</f>
        <v>4445.8148499999998</v>
      </c>
      <c r="IH171" s="110">
        <f t="shared" si="4613"/>
        <v>17783.259999999998</v>
      </c>
      <c r="II171" s="110"/>
      <c r="IJ171" s="139"/>
      <c r="IK171" s="140">
        <f t="shared" si="4484"/>
        <v>1.5752600000000001</v>
      </c>
      <c r="IL171" s="198">
        <f t="shared" si="4480"/>
        <v>4</v>
      </c>
      <c r="IM171" s="140"/>
      <c r="IN171" s="110"/>
      <c r="IO171" s="137"/>
      <c r="IP171" s="97"/>
      <c r="IQ171" s="138">
        <f t="shared" ref="IQ171:IR171" si="4614">IQ26+IQ55+IQ84+IQ113+IQ142</f>
        <v>1857.65625</v>
      </c>
      <c r="IR171" s="110">
        <f t="shared" si="4614"/>
        <v>7430.62</v>
      </c>
      <c r="IS171" s="110"/>
      <c r="IT171" s="139"/>
      <c r="IU171" s="140">
        <f t="shared" si="4486"/>
        <v>0.65820999999999996</v>
      </c>
      <c r="IV171" s="198">
        <f t="shared" si="4480"/>
        <v>5</v>
      </c>
      <c r="IW171" s="140"/>
      <c r="IX171" s="110"/>
      <c r="IY171" s="137"/>
      <c r="IZ171" s="97"/>
      <c r="JA171" s="138">
        <f t="shared" ref="JA171:JB171" si="4615">JA26+JA55+JA84+JA113+JA142</f>
        <v>2763.92074</v>
      </c>
      <c r="JB171" s="110">
        <f t="shared" si="4615"/>
        <v>13819.61</v>
      </c>
      <c r="JC171" s="110"/>
      <c r="JD171" s="139"/>
      <c r="JE171" s="140">
        <f t="shared" si="4488"/>
        <v>0.97933000000000003</v>
      </c>
      <c r="JF171" s="198">
        <f t="shared" si="4480"/>
        <v>2</v>
      </c>
      <c r="JG171" s="140"/>
      <c r="JH171" s="110"/>
      <c r="JI171" s="137"/>
      <c r="JJ171" s="97"/>
      <c r="JK171" s="138">
        <f t="shared" ref="JK171:JL171" si="4616">JK26+JK55+JK84+JK113+JK142</f>
        <v>2695.8991500000002</v>
      </c>
      <c r="JL171" s="110">
        <f t="shared" si="4616"/>
        <v>5391.8</v>
      </c>
      <c r="JM171" s="110"/>
      <c r="JN171" s="139"/>
      <c r="JO171" s="140">
        <f t="shared" si="4490"/>
        <v>0.95521999999999996</v>
      </c>
      <c r="JP171" s="198">
        <f t="shared" si="4480"/>
        <v>4</v>
      </c>
      <c r="JQ171" s="140"/>
      <c r="JR171" s="110"/>
      <c r="JS171" s="137"/>
      <c r="JT171" s="97"/>
      <c r="JU171" s="138">
        <f t="shared" ref="JU171:JV171" si="4617">JU26+JU55+JU84+JU113+JU142</f>
        <v>2955.0263799999998</v>
      </c>
      <c r="JV171" s="110">
        <f t="shared" si="4617"/>
        <v>11820.11</v>
      </c>
      <c r="JW171" s="110"/>
      <c r="JX171" s="139"/>
      <c r="JY171" s="140">
        <f t="shared" si="4492"/>
        <v>1.04704</v>
      </c>
      <c r="JZ171" s="198">
        <f t="shared" si="4480"/>
        <v>0</v>
      </c>
      <c r="KA171" s="140"/>
      <c r="KB171" s="110"/>
      <c r="KC171" s="137"/>
      <c r="KD171" s="97"/>
      <c r="KE171" s="138">
        <f t="shared" ref="KE171:KF171" si="4618">KE26+KE55+KE84+KE113+KE142</f>
        <v>0</v>
      </c>
      <c r="KF171" s="110">
        <f t="shared" si="4618"/>
        <v>0</v>
      </c>
      <c r="KG171" s="110"/>
      <c r="KH171" s="139"/>
      <c r="KI171" s="140">
        <f t="shared" si="4494"/>
        <v>0</v>
      </c>
      <c r="KJ171" s="198">
        <f t="shared" si="4495"/>
        <v>2</v>
      </c>
      <c r="KK171" s="140"/>
      <c r="KL171" s="110"/>
      <c r="KM171" s="137"/>
      <c r="KN171" s="97"/>
      <c r="KO171" s="138">
        <f t="shared" ref="KO171:KP171" si="4619">KO26+KO55+KO84+KO113+KO142</f>
        <v>2154.5747999999999</v>
      </c>
      <c r="KP171" s="110">
        <f t="shared" si="4619"/>
        <v>4309.1499999999996</v>
      </c>
      <c r="KQ171" s="110"/>
      <c r="KR171" s="139"/>
      <c r="KS171" s="140">
        <f t="shared" si="4497"/>
        <v>0.76341999999999999</v>
      </c>
      <c r="KT171" s="198">
        <f t="shared" si="4495"/>
        <v>0</v>
      </c>
      <c r="KU171" s="140"/>
      <c r="KV171" s="110"/>
      <c r="KW171" s="137"/>
      <c r="KX171" s="97"/>
      <c r="KY171" s="138">
        <f t="shared" ref="KY171:KZ171" si="4620">KY26+KY55+KY84+KY113+KY142</f>
        <v>0</v>
      </c>
      <c r="KZ171" s="110">
        <f t="shared" si="4620"/>
        <v>0</v>
      </c>
      <c r="LA171" s="110"/>
      <c r="LB171" s="139"/>
      <c r="LC171" s="140">
        <f t="shared" si="4499"/>
        <v>0</v>
      </c>
      <c r="LD171" s="197">
        <f t="shared" si="4221"/>
        <v>69</v>
      </c>
      <c r="LE171" s="140"/>
      <c r="LF171" s="110"/>
      <c r="LG171" s="137"/>
      <c r="LH171" s="97"/>
      <c r="LI171" s="138">
        <f t="shared" si="4500"/>
        <v>2822.2674299999999</v>
      </c>
      <c r="LJ171" s="110">
        <f t="shared" si="4500"/>
        <v>194736.45</v>
      </c>
      <c r="LK171" s="110"/>
      <c r="LL171" s="139"/>
    </row>
    <row r="172" spans="1:324" ht="16.5" hidden="1" customHeight="1" x14ac:dyDescent="0.25">
      <c r="A172" s="246"/>
      <c r="B172" s="70" t="s">
        <v>627</v>
      </c>
      <c r="C172" s="12" t="s">
        <v>728</v>
      </c>
      <c r="D172" s="12" t="s">
        <v>430</v>
      </c>
      <c r="E172" s="4"/>
      <c r="F172" s="198">
        <f t="shared" si="4433"/>
        <v>0</v>
      </c>
      <c r="G172" s="140"/>
      <c r="H172" s="110"/>
      <c r="I172" s="137"/>
      <c r="J172" s="97"/>
      <c r="K172" s="138">
        <f t="shared" si="4434"/>
        <v>0</v>
      </c>
      <c r="L172" s="110">
        <f t="shared" si="4434"/>
        <v>0</v>
      </c>
      <c r="M172" s="110"/>
      <c r="N172" s="139"/>
      <c r="O172" s="140">
        <f t="shared" si="4155"/>
        <v>0</v>
      </c>
      <c r="P172" s="198">
        <f t="shared" si="4435"/>
        <v>0</v>
      </c>
      <c r="Q172" s="140"/>
      <c r="R172" s="110"/>
      <c r="S172" s="137"/>
      <c r="T172" s="97"/>
      <c r="U172" s="138">
        <f t="shared" ref="U172:V172" si="4621">U27+U56+U85+U114+U143</f>
        <v>0</v>
      </c>
      <c r="V172" s="110">
        <f t="shared" si="4621"/>
        <v>0</v>
      </c>
      <c r="W172" s="110"/>
      <c r="X172" s="139"/>
      <c r="Y172" s="140">
        <f t="shared" si="4437"/>
        <v>0</v>
      </c>
      <c r="Z172" s="198">
        <f t="shared" si="4435"/>
        <v>0</v>
      </c>
      <c r="AA172" s="140"/>
      <c r="AB172" s="110"/>
      <c r="AC172" s="137"/>
      <c r="AD172" s="97"/>
      <c r="AE172" s="138">
        <f t="shared" ref="AE172:AF172" si="4622">AE27+AE56+AE85+AE114+AE143</f>
        <v>0</v>
      </c>
      <c r="AF172" s="110">
        <f t="shared" si="4622"/>
        <v>0</v>
      </c>
      <c r="AG172" s="110"/>
      <c r="AH172" s="139"/>
      <c r="AI172" s="140">
        <f t="shared" si="4439"/>
        <v>0</v>
      </c>
      <c r="AJ172" s="198">
        <f t="shared" si="4435"/>
        <v>0</v>
      </c>
      <c r="AK172" s="140"/>
      <c r="AL172" s="110"/>
      <c r="AM172" s="137"/>
      <c r="AN172" s="97"/>
      <c r="AO172" s="138">
        <f t="shared" ref="AO172:AP172" si="4623">AO27+AO56+AO85+AO114+AO143</f>
        <v>0</v>
      </c>
      <c r="AP172" s="110">
        <f t="shared" si="4623"/>
        <v>0</v>
      </c>
      <c r="AQ172" s="110"/>
      <c r="AR172" s="139"/>
      <c r="AS172" s="140">
        <f t="shared" si="4441"/>
        <v>0</v>
      </c>
      <c r="AT172" s="198">
        <f t="shared" si="4435"/>
        <v>4</v>
      </c>
      <c r="AU172" s="140"/>
      <c r="AV172" s="110"/>
      <c r="AW172" s="137"/>
      <c r="AX172" s="97"/>
      <c r="AY172" s="138">
        <f t="shared" ref="AY172:AZ172" si="4624">AY27+AY56+AY85+AY114+AY143</f>
        <v>1135.4918299999999</v>
      </c>
      <c r="AZ172" s="110">
        <f t="shared" si="4624"/>
        <v>4541.9799999999996</v>
      </c>
      <c r="BA172" s="110"/>
      <c r="BB172" s="139"/>
      <c r="BC172" s="140">
        <f t="shared" si="4443"/>
        <v>0.40228000000000003</v>
      </c>
      <c r="BD172" s="198">
        <f t="shared" si="4435"/>
        <v>0</v>
      </c>
      <c r="BE172" s="140"/>
      <c r="BF172" s="110"/>
      <c r="BG172" s="137"/>
      <c r="BH172" s="97"/>
      <c r="BI172" s="138">
        <f t="shared" ref="BI172:BJ172" si="4625">BI27+BI56+BI85+BI114+BI143</f>
        <v>0</v>
      </c>
      <c r="BJ172" s="110">
        <f t="shared" si="4625"/>
        <v>0</v>
      </c>
      <c r="BK172" s="110"/>
      <c r="BL172" s="139"/>
      <c r="BM172" s="140">
        <f t="shared" si="4445"/>
        <v>0</v>
      </c>
      <c r="BN172" s="198">
        <f t="shared" si="4435"/>
        <v>0</v>
      </c>
      <c r="BO172" s="140"/>
      <c r="BP172" s="110"/>
      <c r="BQ172" s="137"/>
      <c r="BR172" s="97"/>
      <c r="BS172" s="138">
        <f t="shared" ref="BS172:BT172" si="4626">BS27+BS56+BS85+BS114+BS143</f>
        <v>0</v>
      </c>
      <c r="BT172" s="110">
        <f t="shared" si="4626"/>
        <v>0</v>
      </c>
      <c r="BU172" s="110"/>
      <c r="BV172" s="139"/>
      <c r="BW172" s="140">
        <f t="shared" si="4447"/>
        <v>0</v>
      </c>
      <c r="BX172" s="198">
        <f t="shared" si="4435"/>
        <v>3</v>
      </c>
      <c r="BY172" s="140"/>
      <c r="BZ172" s="110"/>
      <c r="CA172" s="137"/>
      <c r="CB172" s="97"/>
      <c r="CC172" s="138">
        <f t="shared" ref="CC172:CD172" si="4627">CC27+CC56+CC85+CC114+CC143</f>
        <v>1857.83644</v>
      </c>
      <c r="CD172" s="110">
        <f t="shared" si="4627"/>
        <v>5573.5</v>
      </c>
      <c r="CE172" s="110"/>
      <c r="CF172" s="139"/>
      <c r="CG172" s="140">
        <f t="shared" si="4449"/>
        <v>0.65817999999999999</v>
      </c>
      <c r="CH172" s="198">
        <f t="shared" si="4450"/>
        <v>0</v>
      </c>
      <c r="CI172" s="140"/>
      <c r="CJ172" s="110"/>
      <c r="CK172" s="137"/>
      <c r="CL172" s="97"/>
      <c r="CM172" s="138">
        <f t="shared" ref="CM172:CN172" si="4628">CM27+CM56+CM85+CM114+CM143</f>
        <v>0</v>
      </c>
      <c r="CN172" s="110">
        <f t="shared" si="4628"/>
        <v>0</v>
      </c>
      <c r="CO172" s="110"/>
      <c r="CP172" s="139"/>
      <c r="CQ172" s="140">
        <f t="shared" si="4452"/>
        <v>0</v>
      </c>
      <c r="CR172" s="198">
        <f t="shared" si="4450"/>
        <v>1</v>
      </c>
      <c r="CS172" s="140"/>
      <c r="CT172" s="110"/>
      <c r="CU172" s="137"/>
      <c r="CV172" s="97"/>
      <c r="CW172" s="138">
        <f t="shared" ref="CW172:CX172" si="4629">CW27+CW56+CW85+CW114+CW143</f>
        <v>3000.6826000000001</v>
      </c>
      <c r="CX172" s="110">
        <f t="shared" si="4629"/>
        <v>3000.68</v>
      </c>
      <c r="CY172" s="110"/>
      <c r="CZ172" s="139"/>
      <c r="DA172" s="140">
        <f t="shared" si="4454"/>
        <v>1.0630599999999999</v>
      </c>
      <c r="DB172" s="198">
        <f t="shared" si="4450"/>
        <v>0</v>
      </c>
      <c r="DC172" s="140"/>
      <c r="DD172" s="110"/>
      <c r="DE172" s="137"/>
      <c r="DF172" s="97"/>
      <c r="DG172" s="138">
        <f t="shared" ref="DG172:DH172" si="4630">DG27+DG56+DG85+DG114+DG143</f>
        <v>0</v>
      </c>
      <c r="DH172" s="110">
        <f t="shared" si="4630"/>
        <v>0</v>
      </c>
      <c r="DI172" s="110"/>
      <c r="DJ172" s="139"/>
      <c r="DK172" s="140">
        <f t="shared" si="4456"/>
        <v>0</v>
      </c>
      <c r="DL172" s="198">
        <f t="shared" si="4450"/>
        <v>0</v>
      </c>
      <c r="DM172" s="140"/>
      <c r="DN172" s="110"/>
      <c r="DO172" s="137"/>
      <c r="DP172" s="97"/>
      <c r="DQ172" s="138">
        <f t="shared" ref="DQ172:DR172" si="4631">DQ27+DQ56+DQ85+DQ114+DQ143</f>
        <v>0</v>
      </c>
      <c r="DR172" s="110">
        <f t="shared" si="4631"/>
        <v>0</v>
      </c>
      <c r="DS172" s="110"/>
      <c r="DT172" s="139"/>
      <c r="DU172" s="140">
        <f t="shared" si="4458"/>
        <v>0</v>
      </c>
      <c r="DV172" s="198">
        <f t="shared" si="4450"/>
        <v>6</v>
      </c>
      <c r="DW172" s="140"/>
      <c r="DX172" s="110"/>
      <c r="DY172" s="137"/>
      <c r="DZ172" s="97"/>
      <c r="EA172" s="138">
        <f t="shared" ref="EA172:EB172" si="4632">EA27+EA56+EA85+EA114+EA143</f>
        <v>2182.31421</v>
      </c>
      <c r="EB172" s="110">
        <f t="shared" si="4632"/>
        <v>13093.89</v>
      </c>
      <c r="EC172" s="110"/>
      <c r="ED172" s="139"/>
      <c r="EE172" s="140">
        <f t="shared" si="4460"/>
        <v>0.77314000000000005</v>
      </c>
      <c r="EF172" s="198">
        <f t="shared" si="4450"/>
        <v>3</v>
      </c>
      <c r="EG172" s="140"/>
      <c r="EH172" s="110"/>
      <c r="EI172" s="137"/>
      <c r="EJ172" s="97"/>
      <c r="EK172" s="138">
        <f t="shared" ref="EK172:EL172" si="4633">EK27+EK56+EK85+EK114+EK143</f>
        <v>1813.4642200000001</v>
      </c>
      <c r="EL172" s="110">
        <f t="shared" si="4633"/>
        <v>5440.39</v>
      </c>
      <c r="EM172" s="110"/>
      <c r="EN172" s="139"/>
      <c r="EO172" s="140">
        <f t="shared" si="4462"/>
        <v>0.64246000000000003</v>
      </c>
      <c r="EP172" s="198">
        <f t="shared" si="4450"/>
        <v>6</v>
      </c>
      <c r="EQ172" s="140"/>
      <c r="ER172" s="110"/>
      <c r="ES172" s="137"/>
      <c r="ET172" s="97"/>
      <c r="EU172" s="138">
        <f t="shared" ref="EU172:EV172" si="4634">EU27+EU56+EU85+EU114+EU143</f>
        <v>3151.8660799999998</v>
      </c>
      <c r="EV172" s="110">
        <f t="shared" si="4634"/>
        <v>18911.2</v>
      </c>
      <c r="EW172" s="110"/>
      <c r="EX172" s="139"/>
      <c r="EY172" s="140">
        <f t="shared" si="4464"/>
        <v>1.1166199999999999</v>
      </c>
      <c r="EZ172" s="198">
        <f t="shared" si="4465"/>
        <v>4</v>
      </c>
      <c r="FA172" s="140"/>
      <c r="FB172" s="110"/>
      <c r="FC172" s="137"/>
      <c r="FD172" s="97"/>
      <c r="FE172" s="138">
        <f t="shared" ref="FE172:FF172" si="4635">FE27+FE56+FE85+FE114+FE143</f>
        <v>1324.2629300000001</v>
      </c>
      <c r="FF172" s="110">
        <f t="shared" si="4635"/>
        <v>5297.05</v>
      </c>
      <c r="FG172" s="110"/>
      <c r="FH172" s="139"/>
      <c r="FI172" s="140">
        <f t="shared" si="4467"/>
        <v>0.46915000000000001</v>
      </c>
      <c r="FJ172" s="198">
        <f t="shared" si="4465"/>
        <v>0</v>
      </c>
      <c r="FK172" s="140"/>
      <c r="FL172" s="110"/>
      <c r="FM172" s="137"/>
      <c r="FN172" s="97"/>
      <c r="FO172" s="138">
        <f t="shared" ref="FO172:FP172" si="4636">FO27+FO56+FO85+FO114+FO143</f>
        <v>0</v>
      </c>
      <c r="FP172" s="110">
        <f t="shared" si="4636"/>
        <v>0</v>
      </c>
      <c r="FQ172" s="110"/>
      <c r="FR172" s="139"/>
      <c r="FS172" s="140">
        <f t="shared" si="4469"/>
        <v>0</v>
      </c>
      <c r="FT172" s="198">
        <f t="shared" si="4465"/>
        <v>1</v>
      </c>
      <c r="FU172" s="140"/>
      <c r="FV172" s="110"/>
      <c r="FW172" s="137"/>
      <c r="FX172" s="97"/>
      <c r="FY172" s="138">
        <f t="shared" ref="FY172:FZ172" si="4637">FY27+FY56+FY85+FY114+FY143</f>
        <v>2618.9070000000002</v>
      </c>
      <c r="FZ172" s="110">
        <f t="shared" si="4637"/>
        <v>2618.9</v>
      </c>
      <c r="GA172" s="110"/>
      <c r="GB172" s="139"/>
      <c r="GC172" s="140">
        <f t="shared" si="4471"/>
        <v>0.92781000000000002</v>
      </c>
      <c r="GD172" s="198">
        <f t="shared" si="4465"/>
        <v>11</v>
      </c>
      <c r="GE172" s="140"/>
      <c r="GF172" s="110"/>
      <c r="GG172" s="137"/>
      <c r="GH172" s="97"/>
      <c r="GI172" s="138">
        <f t="shared" ref="GI172:GJ172" si="4638">GI27+GI56+GI85+GI114+GI143</f>
        <v>2084.4733799999999</v>
      </c>
      <c r="GJ172" s="110">
        <f t="shared" si="4638"/>
        <v>22929.21</v>
      </c>
      <c r="GK172" s="110"/>
      <c r="GL172" s="139"/>
      <c r="GM172" s="140">
        <f t="shared" si="4473"/>
        <v>0.73846999999999996</v>
      </c>
      <c r="GN172" s="198">
        <f t="shared" si="4465"/>
        <v>1</v>
      </c>
      <c r="GO172" s="140"/>
      <c r="GP172" s="110"/>
      <c r="GQ172" s="137"/>
      <c r="GR172" s="97"/>
      <c r="GS172" s="138">
        <f t="shared" ref="GS172:GT172" si="4639">GS27+GS56+GS85+GS114+GS143</f>
        <v>3667.0158999999999</v>
      </c>
      <c r="GT172" s="110">
        <f t="shared" si="4639"/>
        <v>3667.02</v>
      </c>
      <c r="GU172" s="110"/>
      <c r="GV172" s="139"/>
      <c r="GW172" s="140">
        <f t="shared" si="4475"/>
        <v>1.2991299999999999</v>
      </c>
      <c r="GX172" s="198">
        <f t="shared" si="4465"/>
        <v>0</v>
      </c>
      <c r="GY172" s="140"/>
      <c r="GZ172" s="110"/>
      <c r="HA172" s="137"/>
      <c r="HB172" s="97"/>
      <c r="HC172" s="138">
        <f t="shared" ref="HC172:HD172" si="4640">HC27+HC56+HC85+HC114+HC143</f>
        <v>0</v>
      </c>
      <c r="HD172" s="110">
        <f t="shared" si="4640"/>
        <v>0</v>
      </c>
      <c r="HE172" s="110"/>
      <c r="HF172" s="139"/>
      <c r="HG172" s="140">
        <f t="shared" si="4477"/>
        <v>0</v>
      </c>
      <c r="HH172" s="198">
        <f t="shared" si="4465"/>
        <v>0</v>
      </c>
      <c r="HI172" s="140"/>
      <c r="HJ172" s="110"/>
      <c r="HK172" s="137"/>
      <c r="HL172" s="97"/>
      <c r="HM172" s="138">
        <f t="shared" ref="HM172:HN172" si="4641">HM27+HM56+HM85+HM114+HM143</f>
        <v>0</v>
      </c>
      <c r="HN172" s="110">
        <f t="shared" si="4641"/>
        <v>0</v>
      </c>
      <c r="HO172" s="110"/>
      <c r="HP172" s="139"/>
      <c r="HQ172" s="140">
        <f t="shared" si="4479"/>
        <v>0</v>
      </c>
      <c r="HR172" s="198">
        <f t="shared" si="4480"/>
        <v>3</v>
      </c>
      <c r="HS172" s="140"/>
      <c r="HT172" s="110"/>
      <c r="HU172" s="137"/>
      <c r="HV172" s="97"/>
      <c r="HW172" s="138">
        <f t="shared" ref="HW172:HX172" si="4642">HW27+HW56+HW85+HW114+HW143</f>
        <v>3249.5411800000002</v>
      </c>
      <c r="HX172" s="110">
        <f t="shared" si="4642"/>
        <v>9748.6299999999992</v>
      </c>
      <c r="HY172" s="110"/>
      <c r="HZ172" s="139"/>
      <c r="IA172" s="140">
        <f t="shared" si="4482"/>
        <v>1.15123</v>
      </c>
      <c r="IB172" s="198">
        <f t="shared" si="4480"/>
        <v>3</v>
      </c>
      <c r="IC172" s="140"/>
      <c r="ID172" s="110"/>
      <c r="IE172" s="137"/>
      <c r="IF172" s="97"/>
      <c r="IG172" s="138">
        <f t="shared" ref="IG172:IH172" si="4643">IG27+IG56+IG85+IG114+IG143</f>
        <v>4445.2634399999997</v>
      </c>
      <c r="IH172" s="110">
        <f t="shared" si="4643"/>
        <v>13335.8</v>
      </c>
      <c r="II172" s="110"/>
      <c r="IJ172" s="139"/>
      <c r="IK172" s="140">
        <f t="shared" si="4484"/>
        <v>1.57484</v>
      </c>
      <c r="IL172" s="198">
        <f t="shared" si="4480"/>
        <v>1</v>
      </c>
      <c r="IM172" s="140"/>
      <c r="IN172" s="110"/>
      <c r="IO172" s="137"/>
      <c r="IP172" s="97"/>
      <c r="IQ172" s="138">
        <f t="shared" ref="IQ172:IR172" si="4644">IQ27+IQ56+IQ85+IQ114+IQ143</f>
        <v>1857.2191</v>
      </c>
      <c r="IR172" s="110">
        <f t="shared" si="4644"/>
        <v>1857.22</v>
      </c>
      <c r="IS172" s="110"/>
      <c r="IT172" s="139"/>
      <c r="IU172" s="140">
        <f t="shared" si="4486"/>
        <v>0.65795999999999999</v>
      </c>
      <c r="IV172" s="198">
        <f t="shared" si="4480"/>
        <v>7</v>
      </c>
      <c r="IW172" s="140"/>
      <c r="IX172" s="110"/>
      <c r="IY172" s="137"/>
      <c r="IZ172" s="97"/>
      <c r="JA172" s="138">
        <f t="shared" ref="JA172:JB172" si="4645">JA27+JA56+JA85+JA114+JA143</f>
        <v>2764.4688700000002</v>
      </c>
      <c r="JB172" s="110">
        <f t="shared" si="4645"/>
        <v>19351.28</v>
      </c>
      <c r="JC172" s="110"/>
      <c r="JD172" s="139"/>
      <c r="JE172" s="140">
        <f t="shared" si="4488"/>
        <v>0.97938000000000003</v>
      </c>
      <c r="JF172" s="198">
        <f t="shared" si="4480"/>
        <v>6</v>
      </c>
      <c r="JG172" s="140"/>
      <c r="JH172" s="110"/>
      <c r="JI172" s="137"/>
      <c r="JJ172" s="97"/>
      <c r="JK172" s="138">
        <f t="shared" ref="JK172:JL172" si="4646">JK27+JK56+JK85+JK114+JK143</f>
        <v>2696.0079300000002</v>
      </c>
      <c r="JL172" s="110">
        <f t="shared" si="4646"/>
        <v>16176.05</v>
      </c>
      <c r="JM172" s="110"/>
      <c r="JN172" s="139"/>
      <c r="JO172" s="140">
        <f t="shared" si="4490"/>
        <v>0.95513000000000003</v>
      </c>
      <c r="JP172" s="198">
        <f t="shared" si="4480"/>
        <v>2</v>
      </c>
      <c r="JQ172" s="140"/>
      <c r="JR172" s="110"/>
      <c r="JS172" s="137"/>
      <c r="JT172" s="97"/>
      <c r="JU172" s="138">
        <f t="shared" ref="JU172:JV172" si="4647">JU27+JU56+JU85+JU114+JU143</f>
        <v>2948.4717000000001</v>
      </c>
      <c r="JV172" s="110">
        <f t="shared" si="4647"/>
        <v>5896.94</v>
      </c>
      <c r="JW172" s="110"/>
      <c r="JX172" s="139"/>
      <c r="JY172" s="140">
        <f t="shared" si="4492"/>
        <v>1.04457</v>
      </c>
      <c r="JZ172" s="198">
        <f t="shared" si="4480"/>
        <v>0</v>
      </c>
      <c r="KA172" s="140"/>
      <c r="KB172" s="110"/>
      <c r="KC172" s="137"/>
      <c r="KD172" s="97"/>
      <c r="KE172" s="138">
        <f t="shared" ref="KE172:KF172" si="4648">KE27+KE56+KE85+KE114+KE143</f>
        <v>0</v>
      </c>
      <c r="KF172" s="110">
        <f t="shared" si="4648"/>
        <v>0</v>
      </c>
      <c r="KG172" s="110"/>
      <c r="KH172" s="139"/>
      <c r="KI172" s="140">
        <f t="shared" si="4494"/>
        <v>0</v>
      </c>
      <c r="KJ172" s="198">
        <f t="shared" si="4495"/>
        <v>0</v>
      </c>
      <c r="KK172" s="140"/>
      <c r="KL172" s="110"/>
      <c r="KM172" s="137"/>
      <c r="KN172" s="97"/>
      <c r="KO172" s="138">
        <f t="shared" ref="KO172:KP172" si="4649">KO27+KO56+KO85+KO114+KO143</f>
        <v>0</v>
      </c>
      <c r="KP172" s="110">
        <f t="shared" si="4649"/>
        <v>0</v>
      </c>
      <c r="KQ172" s="110"/>
      <c r="KR172" s="139"/>
      <c r="KS172" s="140">
        <f t="shared" si="4497"/>
        <v>0</v>
      </c>
      <c r="KT172" s="198">
        <f t="shared" si="4495"/>
        <v>1</v>
      </c>
      <c r="KU172" s="140"/>
      <c r="KV172" s="110"/>
      <c r="KW172" s="137"/>
      <c r="KX172" s="97"/>
      <c r="KY172" s="138">
        <f t="shared" ref="KY172:KZ172" si="4650">KY27+KY56+KY85+KY114+KY143</f>
        <v>12364.0802</v>
      </c>
      <c r="KZ172" s="110">
        <f t="shared" si="4650"/>
        <v>12364.08</v>
      </c>
      <c r="LA172" s="110"/>
      <c r="LB172" s="139"/>
      <c r="LC172" s="140">
        <f t="shared" si="4499"/>
        <v>4.3802700000000003</v>
      </c>
      <c r="LD172" s="197">
        <f t="shared" si="4221"/>
        <v>63</v>
      </c>
      <c r="LE172" s="140"/>
      <c r="LF172" s="110"/>
      <c r="LG172" s="137"/>
      <c r="LH172" s="97"/>
      <c r="LI172" s="138">
        <f t="shared" si="4500"/>
        <v>2822.6745599999999</v>
      </c>
      <c r="LJ172" s="110">
        <f t="shared" si="4500"/>
        <v>177828.49</v>
      </c>
      <c r="LK172" s="110"/>
      <c r="LL172" s="139"/>
    </row>
    <row r="173" spans="1:324" ht="16.5" hidden="1" customHeight="1" x14ac:dyDescent="0.25">
      <c r="A173" s="246"/>
      <c r="B173" s="229" t="s">
        <v>608</v>
      </c>
      <c r="C173" s="12" t="s">
        <v>728</v>
      </c>
      <c r="D173" s="12" t="s">
        <v>430</v>
      </c>
      <c r="E173" s="4"/>
      <c r="F173" s="198">
        <f t="shared" si="4433"/>
        <v>0</v>
      </c>
      <c r="G173" s="140"/>
      <c r="H173" s="110"/>
      <c r="I173" s="137"/>
      <c r="J173" s="97"/>
      <c r="K173" s="138">
        <f t="shared" si="4434"/>
        <v>0</v>
      </c>
      <c r="L173" s="110">
        <f t="shared" si="4434"/>
        <v>0</v>
      </c>
      <c r="M173" s="110"/>
      <c r="N173" s="139"/>
      <c r="O173" s="140">
        <f t="shared" si="4155"/>
        <v>0</v>
      </c>
      <c r="P173" s="198">
        <f t="shared" si="4435"/>
        <v>0</v>
      </c>
      <c r="Q173" s="140"/>
      <c r="R173" s="110"/>
      <c r="S173" s="137"/>
      <c r="T173" s="97"/>
      <c r="U173" s="138">
        <f t="shared" ref="U173:V173" si="4651">U28+U57+U86+U115+U144</f>
        <v>0</v>
      </c>
      <c r="V173" s="110">
        <f t="shared" si="4651"/>
        <v>0</v>
      </c>
      <c r="W173" s="110"/>
      <c r="X173" s="139"/>
      <c r="Y173" s="140">
        <f t="shared" si="4437"/>
        <v>0</v>
      </c>
      <c r="Z173" s="198">
        <f t="shared" si="4435"/>
        <v>0</v>
      </c>
      <c r="AA173" s="140"/>
      <c r="AB173" s="110"/>
      <c r="AC173" s="137"/>
      <c r="AD173" s="97"/>
      <c r="AE173" s="138">
        <f t="shared" ref="AE173:AF173" si="4652">AE28+AE57+AE86+AE115+AE144</f>
        <v>0</v>
      </c>
      <c r="AF173" s="110">
        <f t="shared" si="4652"/>
        <v>0</v>
      </c>
      <c r="AG173" s="110"/>
      <c r="AH173" s="139"/>
      <c r="AI173" s="140">
        <f t="shared" si="4439"/>
        <v>0</v>
      </c>
      <c r="AJ173" s="198">
        <f t="shared" si="4435"/>
        <v>0</v>
      </c>
      <c r="AK173" s="140"/>
      <c r="AL173" s="110"/>
      <c r="AM173" s="137"/>
      <c r="AN173" s="97"/>
      <c r="AO173" s="138">
        <f t="shared" ref="AO173:AP173" si="4653">AO28+AO57+AO86+AO115+AO144</f>
        <v>0</v>
      </c>
      <c r="AP173" s="110">
        <f t="shared" si="4653"/>
        <v>0</v>
      </c>
      <c r="AQ173" s="110"/>
      <c r="AR173" s="139"/>
      <c r="AS173" s="140">
        <f t="shared" si="4441"/>
        <v>0</v>
      </c>
      <c r="AT173" s="198">
        <f t="shared" si="4435"/>
        <v>0</v>
      </c>
      <c r="AU173" s="140"/>
      <c r="AV173" s="110"/>
      <c r="AW173" s="137"/>
      <c r="AX173" s="97"/>
      <c r="AY173" s="138">
        <f t="shared" ref="AY173:AZ173" si="4654">AY28+AY57+AY86+AY115+AY144</f>
        <v>0</v>
      </c>
      <c r="AZ173" s="110">
        <f t="shared" si="4654"/>
        <v>0</v>
      </c>
      <c r="BA173" s="110"/>
      <c r="BB173" s="139"/>
      <c r="BC173" s="140">
        <f t="shared" si="4443"/>
        <v>0</v>
      </c>
      <c r="BD173" s="198">
        <f t="shared" si="4435"/>
        <v>0</v>
      </c>
      <c r="BE173" s="140"/>
      <c r="BF173" s="110"/>
      <c r="BG173" s="137"/>
      <c r="BH173" s="97"/>
      <c r="BI173" s="138">
        <f t="shared" ref="BI173:BJ173" si="4655">BI28+BI57+BI86+BI115+BI144</f>
        <v>0</v>
      </c>
      <c r="BJ173" s="110">
        <f t="shared" si="4655"/>
        <v>0</v>
      </c>
      <c r="BK173" s="110"/>
      <c r="BL173" s="139"/>
      <c r="BM173" s="140">
        <f t="shared" si="4445"/>
        <v>0</v>
      </c>
      <c r="BN173" s="198">
        <f t="shared" si="4435"/>
        <v>0</v>
      </c>
      <c r="BO173" s="140"/>
      <c r="BP173" s="110"/>
      <c r="BQ173" s="137"/>
      <c r="BR173" s="97"/>
      <c r="BS173" s="138">
        <f t="shared" ref="BS173:BT173" si="4656">BS28+BS57+BS86+BS115+BS144</f>
        <v>0</v>
      </c>
      <c r="BT173" s="110">
        <f t="shared" si="4656"/>
        <v>0</v>
      </c>
      <c r="BU173" s="110"/>
      <c r="BV173" s="139"/>
      <c r="BW173" s="140">
        <f t="shared" si="4447"/>
        <v>0</v>
      </c>
      <c r="BX173" s="198">
        <f t="shared" si="4435"/>
        <v>0</v>
      </c>
      <c r="BY173" s="140"/>
      <c r="BZ173" s="110"/>
      <c r="CA173" s="137"/>
      <c r="CB173" s="97"/>
      <c r="CC173" s="138">
        <f t="shared" ref="CC173:CD173" si="4657">CC28+CC57+CC86+CC115+CC144</f>
        <v>0</v>
      </c>
      <c r="CD173" s="110">
        <f t="shared" si="4657"/>
        <v>0</v>
      </c>
      <c r="CE173" s="110"/>
      <c r="CF173" s="139"/>
      <c r="CG173" s="140">
        <f t="shared" si="4449"/>
        <v>0</v>
      </c>
      <c r="CH173" s="198">
        <f t="shared" si="4450"/>
        <v>0</v>
      </c>
      <c r="CI173" s="140"/>
      <c r="CJ173" s="110"/>
      <c r="CK173" s="137"/>
      <c r="CL173" s="97"/>
      <c r="CM173" s="138">
        <f t="shared" ref="CM173:CN173" si="4658">CM28+CM57+CM86+CM115+CM144</f>
        <v>0</v>
      </c>
      <c r="CN173" s="110">
        <f t="shared" si="4658"/>
        <v>0</v>
      </c>
      <c r="CO173" s="110"/>
      <c r="CP173" s="139"/>
      <c r="CQ173" s="140">
        <f t="shared" si="4452"/>
        <v>0</v>
      </c>
      <c r="CR173" s="198">
        <f t="shared" si="4450"/>
        <v>0</v>
      </c>
      <c r="CS173" s="140"/>
      <c r="CT173" s="110"/>
      <c r="CU173" s="137"/>
      <c r="CV173" s="97"/>
      <c r="CW173" s="138">
        <f t="shared" ref="CW173:CX173" si="4659">CW28+CW57+CW86+CW115+CW144</f>
        <v>0</v>
      </c>
      <c r="CX173" s="110">
        <f t="shared" si="4659"/>
        <v>0</v>
      </c>
      <c r="CY173" s="110"/>
      <c r="CZ173" s="139"/>
      <c r="DA173" s="140">
        <f t="shared" si="4454"/>
        <v>0</v>
      </c>
      <c r="DB173" s="198">
        <f t="shared" si="4450"/>
        <v>0</v>
      </c>
      <c r="DC173" s="140"/>
      <c r="DD173" s="110"/>
      <c r="DE173" s="137"/>
      <c r="DF173" s="97"/>
      <c r="DG173" s="138">
        <f t="shared" ref="DG173:DH173" si="4660">DG28+DG57+DG86+DG115+DG144</f>
        <v>0</v>
      </c>
      <c r="DH173" s="110">
        <f t="shared" si="4660"/>
        <v>0</v>
      </c>
      <c r="DI173" s="110"/>
      <c r="DJ173" s="139"/>
      <c r="DK173" s="140">
        <f t="shared" si="4456"/>
        <v>0</v>
      </c>
      <c r="DL173" s="198">
        <f t="shared" si="4450"/>
        <v>119</v>
      </c>
      <c r="DM173" s="140"/>
      <c r="DN173" s="110"/>
      <c r="DO173" s="137"/>
      <c r="DP173" s="97"/>
      <c r="DQ173" s="138">
        <f t="shared" ref="DQ173:DR173" si="4661">DQ28+DQ57+DQ86+DQ115+DQ144</f>
        <v>3456.8131100000001</v>
      </c>
      <c r="DR173" s="110">
        <f t="shared" si="4661"/>
        <v>411360.76</v>
      </c>
      <c r="DS173" s="110"/>
      <c r="DT173" s="139"/>
      <c r="DU173" s="140">
        <f t="shared" si="4458"/>
        <v>1.2259599999999999</v>
      </c>
      <c r="DV173" s="198">
        <f t="shared" si="4450"/>
        <v>0</v>
      </c>
      <c r="DW173" s="140"/>
      <c r="DX173" s="110"/>
      <c r="DY173" s="137"/>
      <c r="DZ173" s="97"/>
      <c r="EA173" s="138">
        <f t="shared" ref="EA173:EB173" si="4662">EA28+EA57+EA86+EA115+EA144</f>
        <v>0</v>
      </c>
      <c r="EB173" s="110">
        <f t="shared" si="4662"/>
        <v>0</v>
      </c>
      <c r="EC173" s="110"/>
      <c r="ED173" s="139"/>
      <c r="EE173" s="140">
        <f t="shared" si="4460"/>
        <v>0</v>
      </c>
      <c r="EF173" s="198">
        <f t="shared" si="4450"/>
        <v>0</v>
      </c>
      <c r="EG173" s="140"/>
      <c r="EH173" s="110"/>
      <c r="EI173" s="137"/>
      <c r="EJ173" s="97"/>
      <c r="EK173" s="138">
        <f t="shared" ref="EK173:EL173" si="4663">EK28+EK57+EK86+EK115+EK144</f>
        <v>0</v>
      </c>
      <c r="EL173" s="110">
        <f t="shared" si="4663"/>
        <v>0</v>
      </c>
      <c r="EM173" s="110"/>
      <c r="EN173" s="139"/>
      <c r="EO173" s="140">
        <f t="shared" si="4462"/>
        <v>0</v>
      </c>
      <c r="EP173" s="198">
        <f t="shared" si="4450"/>
        <v>0</v>
      </c>
      <c r="EQ173" s="140"/>
      <c r="ER173" s="110"/>
      <c r="ES173" s="137"/>
      <c r="ET173" s="97"/>
      <c r="EU173" s="138">
        <f t="shared" ref="EU173:EV173" si="4664">EU28+EU57+EU86+EU115+EU144</f>
        <v>0</v>
      </c>
      <c r="EV173" s="110">
        <f t="shared" si="4664"/>
        <v>0</v>
      </c>
      <c r="EW173" s="110"/>
      <c r="EX173" s="139"/>
      <c r="EY173" s="140">
        <f t="shared" si="4464"/>
        <v>0</v>
      </c>
      <c r="EZ173" s="198">
        <f t="shared" si="4465"/>
        <v>0</v>
      </c>
      <c r="FA173" s="140"/>
      <c r="FB173" s="110"/>
      <c r="FC173" s="137"/>
      <c r="FD173" s="97"/>
      <c r="FE173" s="138">
        <f t="shared" ref="FE173:FF173" si="4665">FE28+FE57+FE86+FE115+FE144</f>
        <v>0</v>
      </c>
      <c r="FF173" s="110">
        <f t="shared" si="4665"/>
        <v>0</v>
      </c>
      <c r="FG173" s="110"/>
      <c r="FH173" s="139"/>
      <c r="FI173" s="140">
        <f t="shared" si="4467"/>
        <v>0</v>
      </c>
      <c r="FJ173" s="198">
        <f t="shared" si="4465"/>
        <v>0</v>
      </c>
      <c r="FK173" s="140"/>
      <c r="FL173" s="110"/>
      <c r="FM173" s="137"/>
      <c r="FN173" s="97"/>
      <c r="FO173" s="138">
        <f t="shared" ref="FO173:FP173" si="4666">FO28+FO57+FO86+FO115+FO144</f>
        <v>0</v>
      </c>
      <c r="FP173" s="110">
        <f t="shared" si="4666"/>
        <v>0</v>
      </c>
      <c r="FQ173" s="110"/>
      <c r="FR173" s="139"/>
      <c r="FS173" s="140">
        <f t="shared" si="4469"/>
        <v>0</v>
      </c>
      <c r="FT173" s="198">
        <f t="shared" si="4465"/>
        <v>0</v>
      </c>
      <c r="FU173" s="140"/>
      <c r="FV173" s="110"/>
      <c r="FW173" s="137"/>
      <c r="FX173" s="97"/>
      <c r="FY173" s="138">
        <f t="shared" ref="FY173:FZ173" si="4667">FY28+FY57+FY86+FY115+FY144</f>
        <v>0</v>
      </c>
      <c r="FZ173" s="110">
        <f t="shared" si="4667"/>
        <v>0</v>
      </c>
      <c r="GA173" s="110"/>
      <c r="GB173" s="139"/>
      <c r="GC173" s="140">
        <f t="shared" si="4471"/>
        <v>0</v>
      </c>
      <c r="GD173" s="198">
        <f t="shared" si="4465"/>
        <v>0</v>
      </c>
      <c r="GE173" s="140"/>
      <c r="GF173" s="110"/>
      <c r="GG173" s="137"/>
      <c r="GH173" s="97"/>
      <c r="GI173" s="138">
        <f t="shared" ref="GI173:GJ173" si="4668">GI28+GI57+GI86+GI115+GI144</f>
        <v>0</v>
      </c>
      <c r="GJ173" s="110">
        <f t="shared" si="4668"/>
        <v>0</v>
      </c>
      <c r="GK173" s="110"/>
      <c r="GL173" s="139"/>
      <c r="GM173" s="140">
        <f t="shared" si="4473"/>
        <v>0</v>
      </c>
      <c r="GN173" s="198">
        <f t="shared" si="4465"/>
        <v>0</v>
      </c>
      <c r="GO173" s="140"/>
      <c r="GP173" s="110"/>
      <c r="GQ173" s="137"/>
      <c r="GR173" s="97"/>
      <c r="GS173" s="138">
        <f t="shared" ref="GS173:GT173" si="4669">GS28+GS57+GS86+GS115+GS144</f>
        <v>0</v>
      </c>
      <c r="GT173" s="110">
        <f t="shared" si="4669"/>
        <v>0</v>
      </c>
      <c r="GU173" s="110"/>
      <c r="GV173" s="139"/>
      <c r="GW173" s="140">
        <f t="shared" si="4475"/>
        <v>0</v>
      </c>
      <c r="GX173" s="198">
        <f t="shared" si="4465"/>
        <v>0</v>
      </c>
      <c r="GY173" s="140"/>
      <c r="GZ173" s="110"/>
      <c r="HA173" s="137"/>
      <c r="HB173" s="97"/>
      <c r="HC173" s="138">
        <f t="shared" ref="HC173:HD173" si="4670">HC28+HC57+HC86+HC115+HC144</f>
        <v>0</v>
      </c>
      <c r="HD173" s="110">
        <f t="shared" si="4670"/>
        <v>0</v>
      </c>
      <c r="HE173" s="110"/>
      <c r="HF173" s="139"/>
      <c r="HG173" s="140">
        <f t="shared" si="4477"/>
        <v>0</v>
      </c>
      <c r="HH173" s="198">
        <f t="shared" si="4465"/>
        <v>0</v>
      </c>
      <c r="HI173" s="140"/>
      <c r="HJ173" s="110"/>
      <c r="HK173" s="137"/>
      <c r="HL173" s="97"/>
      <c r="HM173" s="138">
        <f t="shared" ref="HM173:HN173" si="4671">HM28+HM57+HM86+HM115+HM144</f>
        <v>0</v>
      </c>
      <c r="HN173" s="110">
        <f t="shared" si="4671"/>
        <v>0</v>
      </c>
      <c r="HO173" s="110"/>
      <c r="HP173" s="139"/>
      <c r="HQ173" s="140">
        <f t="shared" si="4479"/>
        <v>0</v>
      </c>
      <c r="HR173" s="198">
        <f t="shared" si="4480"/>
        <v>0</v>
      </c>
      <c r="HS173" s="140"/>
      <c r="HT173" s="110"/>
      <c r="HU173" s="137"/>
      <c r="HV173" s="97"/>
      <c r="HW173" s="138">
        <f t="shared" ref="HW173:HX173" si="4672">HW28+HW57+HW86+HW115+HW144</f>
        <v>0</v>
      </c>
      <c r="HX173" s="110">
        <f t="shared" si="4672"/>
        <v>0</v>
      </c>
      <c r="HY173" s="110"/>
      <c r="HZ173" s="139"/>
      <c r="IA173" s="140">
        <f t="shared" si="4482"/>
        <v>0</v>
      </c>
      <c r="IB173" s="198">
        <f t="shared" si="4480"/>
        <v>0</v>
      </c>
      <c r="IC173" s="140"/>
      <c r="ID173" s="110"/>
      <c r="IE173" s="137"/>
      <c r="IF173" s="97"/>
      <c r="IG173" s="138">
        <f t="shared" ref="IG173:IH173" si="4673">IG28+IG57+IG86+IG115+IG144</f>
        <v>0</v>
      </c>
      <c r="IH173" s="110">
        <f t="shared" si="4673"/>
        <v>0</v>
      </c>
      <c r="II173" s="110"/>
      <c r="IJ173" s="139"/>
      <c r="IK173" s="140">
        <f t="shared" si="4484"/>
        <v>0</v>
      </c>
      <c r="IL173" s="198">
        <f t="shared" si="4480"/>
        <v>0</v>
      </c>
      <c r="IM173" s="140"/>
      <c r="IN173" s="110"/>
      <c r="IO173" s="137"/>
      <c r="IP173" s="97"/>
      <c r="IQ173" s="138">
        <f t="shared" ref="IQ173:IR173" si="4674">IQ28+IQ57+IQ86+IQ115+IQ144</f>
        <v>0</v>
      </c>
      <c r="IR173" s="110">
        <f t="shared" si="4674"/>
        <v>0</v>
      </c>
      <c r="IS173" s="110"/>
      <c r="IT173" s="139"/>
      <c r="IU173" s="140">
        <f t="shared" si="4486"/>
        <v>0</v>
      </c>
      <c r="IV173" s="198">
        <f t="shared" si="4480"/>
        <v>0</v>
      </c>
      <c r="IW173" s="140"/>
      <c r="IX173" s="110"/>
      <c r="IY173" s="137"/>
      <c r="IZ173" s="97"/>
      <c r="JA173" s="138">
        <f t="shared" ref="JA173:JB173" si="4675">JA28+JA57+JA86+JA115+JA144</f>
        <v>0</v>
      </c>
      <c r="JB173" s="110">
        <f t="shared" si="4675"/>
        <v>0</v>
      </c>
      <c r="JC173" s="110"/>
      <c r="JD173" s="139"/>
      <c r="JE173" s="140">
        <f t="shared" si="4488"/>
        <v>0</v>
      </c>
      <c r="JF173" s="198">
        <f t="shared" si="4480"/>
        <v>0</v>
      </c>
      <c r="JG173" s="140"/>
      <c r="JH173" s="110"/>
      <c r="JI173" s="137"/>
      <c r="JJ173" s="97"/>
      <c r="JK173" s="138">
        <f t="shared" ref="JK173:JL173" si="4676">JK28+JK57+JK86+JK115+JK144</f>
        <v>0</v>
      </c>
      <c r="JL173" s="110">
        <f t="shared" si="4676"/>
        <v>0</v>
      </c>
      <c r="JM173" s="110"/>
      <c r="JN173" s="139"/>
      <c r="JO173" s="140">
        <f t="shared" si="4490"/>
        <v>0</v>
      </c>
      <c r="JP173" s="198">
        <f t="shared" si="4480"/>
        <v>0</v>
      </c>
      <c r="JQ173" s="140"/>
      <c r="JR173" s="110"/>
      <c r="JS173" s="137"/>
      <c r="JT173" s="97"/>
      <c r="JU173" s="138">
        <f t="shared" ref="JU173:JV173" si="4677">JU28+JU57+JU86+JU115+JU144</f>
        <v>0</v>
      </c>
      <c r="JV173" s="110">
        <f t="shared" si="4677"/>
        <v>0</v>
      </c>
      <c r="JW173" s="110"/>
      <c r="JX173" s="139"/>
      <c r="JY173" s="140">
        <f t="shared" si="4492"/>
        <v>0</v>
      </c>
      <c r="JZ173" s="198">
        <f t="shared" si="4480"/>
        <v>0</v>
      </c>
      <c r="KA173" s="140"/>
      <c r="KB173" s="110"/>
      <c r="KC173" s="137"/>
      <c r="KD173" s="97"/>
      <c r="KE173" s="138">
        <f t="shared" ref="KE173:KF173" si="4678">KE28+KE57+KE86+KE115+KE144</f>
        <v>0</v>
      </c>
      <c r="KF173" s="110">
        <f t="shared" si="4678"/>
        <v>0</v>
      </c>
      <c r="KG173" s="110"/>
      <c r="KH173" s="139"/>
      <c r="KI173" s="140">
        <f t="shared" si="4494"/>
        <v>0</v>
      </c>
      <c r="KJ173" s="198">
        <f t="shared" si="4495"/>
        <v>0</v>
      </c>
      <c r="KK173" s="140"/>
      <c r="KL173" s="110"/>
      <c r="KM173" s="137"/>
      <c r="KN173" s="97"/>
      <c r="KO173" s="138">
        <f t="shared" ref="KO173:KP173" si="4679">KO28+KO57+KO86+KO115+KO144</f>
        <v>0</v>
      </c>
      <c r="KP173" s="110">
        <f t="shared" si="4679"/>
        <v>0</v>
      </c>
      <c r="KQ173" s="110"/>
      <c r="KR173" s="139"/>
      <c r="KS173" s="140">
        <f t="shared" si="4497"/>
        <v>0</v>
      </c>
      <c r="KT173" s="198">
        <f t="shared" si="4495"/>
        <v>0</v>
      </c>
      <c r="KU173" s="140"/>
      <c r="KV173" s="110"/>
      <c r="KW173" s="137"/>
      <c r="KX173" s="97"/>
      <c r="KY173" s="138">
        <f t="shared" ref="KY173:KZ173" si="4680">KY28+KY57+KY86+KY115+KY144</f>
        <v>0</v>
      </c>
      <c r="KZ173" s="110">
        <f t="shared" si="4680"/>
        <v>0</v>
      </c>
      <c r="LA173" s="110"/>
      <c r="LB173" s="139"/>
      <c r="LC173" s="140">
        <f t="shared" si="4499"/>
        <v>0</v>
      </c>
      <c r="LD173" s="197">
        <f t="shared" si="4221"/>
        <v>119</v>
      </c>
      <c r="LE173" s="140"/>
      <c r="LF173" s="110"/>
      <c r="LG173" s="137"/>
      <c r="LH173" s="97"/>
      <c r="LI173" s="138">
        <f t="shared" si="4500"/>
        <v>2819.6770299999998</v>
      </c>
      <c r="LJ173" s="110">
        <f t="shared" si="4500"/>
        <v>335541.57</v>
      </c>
      <c r="LK173" s="110"/>
      <c r="LL173" s="139"/>
    </row>
    <row r="174" spans="1:324" ht="16.5" hidden="1" customHeight="1" x14ac:dyDescent="0.25">
      <c r="A174" s="247"/>
      <c r="B174" s="93" t="s">
        <v>611</v>
      </c>
      <c r="C174" s="12" t="s">
        <v>728</v>
      </c>
      <c r="D174" s="12" t="s">
        <v>430</v>
      </c>
      <c r="E174" s="4"/>
      <c r="F174" s="198">
        <f t="shared" si="4433"/>
        <v>0</v>
      </c>
      <c r="G174" s="140"/>
      <c r="H174" s="110"/>
      <c r="I174" s="137"/>
      <c r="J174" s="97"/>
      <c r="K174" s="138">
        <f t="shared" si="4434"/>
        <v>0</v>
      </c>
      <c r="L174" s="110">
        <f t="shared" si="4434"/>
        <v>0</v>
      </c>
      <c r="M174" s="110"/>
      <c r="N174" s="139"/>
      <c r="O174" s="140">
        <f t="shared" si="4155"/>
        <v>0</v>
      </c>
      <c r="P174" s="198">
        <f t="shared" si="4435"/>
        <v>0</v>
      </c>
      <c r="Q174" s="140"/>
      <c r="R174" s="110"/>
      <c r="S174" s="137"/>
      <c r="T174" s="97"/>
      <c r="U174" s="138">
        <f t="shared" ref="U174:V174" si="4681">U29+U58+U87+U116+U145</f>
        <v>0</v>
      </c>
      <c r="V174" s="110">
        <f t="shared" si="4681"/>
        <v>0</v>
      </c>
      <c r="W174" s="110"/>
      <c r="X174" s="139"/>
      <c r="Y174" s="140">
        <f t="shared" si="4437"/>
        <v>0</v>
      </c>
      <c r="Z174" s="198">
        <f t="shared" si="4435"/>
        <v>0</v>
      </c>
      <c r="AA174" s="140"/>
      <c r="AB174" s="110"/>
      <c r="AC174" s="137"/>
      <c r="AD174" s="97"/>
      <c r="AE174" s="138">
        <f t="shared" ref="AE174:AF174" si="4682">AE29+AE58+AE87+AE116+AE145</f>
        <v>0</v>
      </c>
      <c r="AF174" s="110">
        <f t="shared" si="4682"/>
        <v>0</v>
      </c>
      <c r="AG174" s="110"/>
      <c r="AH174" s="139"/>
      <c r="AI174" s="140">
        <f t="shared" si="4439"/>
        <v>0</v>
      </c>
      <c r="AJ174" s="198">
        <f t="shared" si="4435"/>
        <v>0</v>
      </c>
      <c r="AK174" s="140"/>
      <c r="AL174" s="110"/>
      <c r="AM174" s="137"/>
      <c r="AN174" s="97"/>
      <c r="AO174" s="138">
        <f t="shared" ref="AO174:AP174" si="4683">AO29+AO58+AO87+AO116+AO145</f>
        <v>0</v>
      </c>
      <c r="AP174" s="110">
        <f t="shared" si="4683"/>
        <v>0</v>
      </c>
      <c r="AQ174" s="110"/>
      <c r="AR174" s="139"/>
      <c r="AS174" s="140">
        <f t="shared" si="4441"/>
        <v>0</v>
      </c>
      <c r="AT174" s="198">
        <f t="shared" si="4435"/>
        <v>0</v>
      </c>
      <c r="AU174" s="140"/>
      <c r="AV174" s="110"/>
      <c r="AW174" s="137"/>
      <c r="AX174" s="97"/>
      <c r="AY174" s="138">
        <f t="shared" ref="AY174:AZ174" si="4684">AY29+AY58+AY87+AY116+AY145</f>
        <v>0</v>
      </c>
      <c r="AZ174" s="110">
        <f t="shared" si="4684"/>
        <v>0</v>
      </c>
      <c r="BA174" s="110"/>
      <c r="BB174" s="139"/>
      <c r="BC174" s="140">
        <f t="shared" si="4443"/>
        <v>0</v>
      </c>
      <c r="BD174" s="198">
        <f t="shared" si="4435"/>
        <v>0</v>
      </c>
      <c r="BE174" s="140"/>
      <c r="BF174" s="110"/>
      <c r="BG174" s="137"/>
      <c r="BH174" s="97"/>
      <c r="BI174" s="138">
        <f t="shared" ref="BI174:BJ174" si="4685">BI29+BI58+BI87+BI116+BI145</f>
        <v>0</v>
      </c>
      <c r="BJ174" s="110">
        <f t="shared" si="4685"/>
        <v>0</v>
      </c>
      <c r="BK174" s="110"/>
      <c r="BL174" s="139"/>
      <c r="BM174" s="140">
        <f t="shared" si="4445"/>
        <v>0</v>
      </c>
      <c r="BN174" s="198">
        <f t="shared" si="4435"/>
        <v>0</v>
      </c>
      <c r="BO174" s="140"/>
      <c r="BP174" s="110"/>
      <c r="BQ174" s="137"/>
      <c r="BR174" s="97"/>
      <c r="BS174" s="138">
        <f t="shared" ref="BS174:BT174" si="4686">BS29+BS58+BS87+BS116+BS145</f>
        <v>0</v>
      </c>
      <c r="BT174" s="110">
        <f t="shared" si="4686"/>
        <v>0</v>
      </c>
      <c r="BU174" s="110"/>
      <c r="BV174" s="139"/>
      <c r="BW174" s="140">
        <f t="shared" si="4447"/>
        <v>0</v>
      </c>
      <c r="BX174" s="198">
        <f t="shared" si="4435"/>
        <v>0</v>
      </c>
      <c r="BY174" s="140"/>
      <c r="BZ174" s="110"/>
      <c r="CA174" s="137"/>
      <c r="CB174" s="97"/>
      <c r="CC174" s="138">
        <f t="shared" ref="CC174:CD174" si="4687">CC29+CC58+CC87+CC116+CC145</f>
        <v>0</v>
      </c>
      <c r="CD174" s="110">
        <f t="shared" si="4687"/>
        <v>0</v>
      </c>
      <c r="CE174" s="110"/>
      <c r="CF174" s="139"/>
      <c r="CG174" s="140">
        <f t="shared" si="4449"/>
        <v>0</v>
      </c>
      <c r="CH174" s="198">
        <f t="shared" si="4450"/>
        <v>0</v>
      </c>
      <c r="CI174" s="140"/>
      <c r="CJ174" s="110"/>
      <c r="CK174" s="137"/>
      <c r="CL174" s="97"/>
      <c r="CM174" s="138">
        <f t="shared" ref="CM174:CN174" si="4688">CM29+CM58+CM87+CM116+CM145</f>
        <v>0</v>
      </c>
      <c r="CN174" s="110">
        <f t="shared" si="4688"/>
        <v>0</v>
      </c>
      <c r="CO174" s="110"/>
      <c r="CP174" s="139"/>
      <c r="CQ174" s="140">
        <f t="shared" si="4452"/>
        <v>0</v>
      </c>
      <c r="CR174" s="198">
        <f t="shared" si="4450"/>
        <v>0</v>
      </c>
      <c r="CS174" s="140"/>
      <c r="CT174" s="110"/>
      <c r="CU174" s="137"/>
      <c r="CV174" s="97"/>
      <c r="CW174" s="138">
        <f t="shared" ref="CW174:CX174" si="4689">CW29+CW58+CW87+CW116+CW145</f>
        <v>0</v>
      </c>
      <c r="CX174" s="110">
        <f t="shared" si="4689"/>
        <v>0</v>
      </c>
      <c r="CY174" s="110"/>
      <c r="CZ174" s="139"/>
      <c r="DA174" s="140">
        <f t="shared" si="4454"/>
        <v>0</v>
      </c>
      <c r="DB174" s="198">
        <f t="shared" si="4450"/>
        <v>0</v>
      </c>
      <c r="DC174" s="140"/>
      <c r="DD174" s="110"/>
      <c r="DE174" s="137"/>
      <c r="DF174" s="97"/>
      <c r="DG174" s="138">
        <f t="shared" ref="DG174:DH174" si="4690">DG29+DG58+DG87+DG116+DG145</f>
        <v>0</v>
      </c>
      <c r="DH174" s="110">
        <f t="shared" si="4690"/>
        <v>0</v>
      </c>
      <c r="DI174" s="110"/>
      <c r="DJ174" s="139"/>
      <c r="DK174" s="140">
        <f t="shared" si="4456"/>
        <v>0</v>
      </c>
      <c r="DL174" s="198">
        <f t="shared" si="4450"/>
        <v>5</v>
      </c>
      <c r="DM174" s="140"/>
      <c r="DN174" s="110"/>
      <c r="DO174" s="137"/>
      <c r="DP174" s="97"/>
      <c r="DQ174" s="138">
        <f t="shared" ref="DQ174:DR174" si="4691">DQ29+DQ58+DQ87+DQ116+DQ145</f>
        <v>3459.9148399999999</v>
      </c>
      <c r="DR174" s="110">
        <f t="shared" si="4691"/>
        <v>17299.580000000002</v>
      </c>
      <c r="DS174" s="110"/>
      <c r="DT174" s="139"/>
      <c r="DU174" s="140">
        <f t="shared" si="4458"/>
        <v>1.19404</v>
      </c>
      <c r="DV174" s="198">
        <f t="shared" si="4450"/>
        <v>0</v>
      </c>
      <c r="DW174" s="140"/>
      <c r="DX174" s="110"/>
      <c r="DY174" s="137"/>
      <c r="DZ174" s="97"/>
      <c r="EA174" s="138">
        <f t="shared" ref="EA174:EB174" si="4692">EA29+EA58+EA87+EA116+EA145</f>
        <v>0</v>
      </c>
      <c r="EB174" s="110">
        <f t="shared" si="4692"/>
        <v>0</v>
      </c>
      <c r="EC174" s="110"/>
      <c r="ED174" s="139"/>
      <c r="EE174" s="140">
        <f t="shared" si="4460"/>
        <v>0</v>
      </c>
      <c r="EF174" s="198">
        <f t="shared" si="4450"/>
        <v>0</v>
      </c>
      <c r="EG174" s="140"/>
      <c r="EH174" s="110"/>
      <c r="EI174" s="137"/>
      <c r="EJ174" s="97"/>
      <c r="EK174" s="138">
        <f t="shared" ref="EK174:EL174" si="4693">EK29+EK58+EK87+EK116+EK145</f>
        <v>0</v>
      </c>
      <c r="EL174" s="110">
        <f t="shared" si="4693"/>
        <v>0</v>
      </c>
      <c r="EM174" s="110"/>
      <c r="EN174" s="139"/>
      <c r="EO174" s="140">
        <f t="shared" si="4462"/>
        <v>0</v>
      </c>
      <c r="EP174" s="198">
        <f t="shared" si="4450"/>
        <v>0</v>
      </c>
      <c r="EQ174" s="140"/>
      <c r="ER174" s="110"/>
      <c r="ES174" s="137"/>
      <c r="ET174" s="97"/>
      <c r="EU174" s="138">
        <f t="shared" ref="EU174:EV174" si="4694">EU29+EU58+EU87+EU116+EU145</f>
        <v>0</v>
      </c>
      <c r="EV174" s="110">
        <f t="shared" si="4694"/>
        <v>0</v>
      </c>
      <c r="EW174" s="110"/>
      <c r="EX174" s="139"/>
      <c r="EY174" s="140">
        <f t="shared" si="4464"/>
        <v>0</v>
      </c>
      <c r="EZ174" s="198">
        <f t="shared" si="4465"/>
        <v>0</v>
      </c>
      <c r="FA174" s="140"/>
      <c r="FB174" s="110"/>
      <c r="FC174" s="137"/>
      <c r="FD174" s="97"/>
      <c r="FE174" s="138">
        <f t="shared" ref="FE174:FF174" si="4695">FE29+FE58+FE87+FE116+FE145</f>
        <v>0</v>
      </c>
      <c r="FF174" s="110">
        <f t="shared" si="4695"/>
        <v>0</v>
      </c>
      <c r="FG174" s="110"/>
      <c r="FH174" s="139"/>
      <c r="FI174" s="140">
        <f t="shared" si="4467"/>
        <v>0</v>
      </c>
      <c r="FJ174" s="198">
        <f t="shared" si="4465"/>
        <v>0</v>
      </c>
      <c r="FK174" s="140"/>
      <c r="FL174" s="110"/>
      <c r="FM174" s="137"/>
      <c r="FN174" s="97"/>
      <c r="FO174" s="138">
        <f t="shared" ref="FO174:FP174" si="4696">FO29+FO58+FO87+FO116+FO145</f>
        <v>0</v>
      </c>
      <c r="FP174" s="110">
        <f t="shared" si="4696"/>
        <v>0</v>
      </c>
      <c r="FQ174" s="110"/>
      <c r="FR174" s="139"/>
      <c r="FS174" s="140">
        <f t="shared" si="4469"/>
        <v>0</v>
      </c>
      <c r="FT174" s="198">
        <f t="shared" si="4465"/>
        <v>0</v>
      </c>
      <c r="FU174" s="140"/>
      <c r="FV174" s="110"/>
      <c r="FW174" s="137"/>
      <c r="FX174" s="97"/>
      <c r="FY174" s="138">
        <f t="shared" ref="FY174:FZ174" si="4697">FY29+FY58+FY87+FY116+FY145</f>
        <v>0</v>
      </c>
      <c r="FZ174" s="110">
        <f t="shared" si="4697"/>
        <v>0</v>
      </c>
      <c r="GA174" s="110"/>
      <c r="GB174" s="139"/>
      <c r="GC174" s="140">
        <f t="shared" si="4471"/>
        <v>0</v>
      </c>
      <c r="GD174" s="198">
        <f t="shared" si="4465"/>
        <v>0</v>
      </c>
      <c r="GE174" s="140"/>
      <c r="GF174" s="110"/>
      <c r="GG174" s="137"/>
      <c r="GH174" s="97"/>
      <c r="GI174" s="138">
        <f t="shared" ref="GI174:GJ174" si="4698">GI29+GI58+GI87+GI116+GI145</f>
        <v>0</v>
      </c>
      <c r="GJ174" s="110">
        <f t="shared" si="4698"/>
        <v>0</v>
      </c>
      <c r="GK174" s="110"/>
      <c r="GL174" s="139"/>
      <c r="GM174" s="140">
        <f t="shared" si="4473"/>
        <v>0</v>
      </c>
      <c r="GN174" s="198">
        <f t="shared" si="4465"/>
        <v>0</v>
      </c>
      <c r="GO174" s="140"/>
      <c r="GP174" s="110"/>
      <c r="GQ174" s="137"/>
      <c r="GR174" s="97"/>
      <c r="GS174" s="138">
        <f t="shared" ref="GS174:GT174" si="4699">GS29+GS58+GS87+GS116+GS145</f>
        <v>0</v>
      </c>
      <c r="GT174" s="110">
        <f t="shared" si="4699"/>
        <v>0</v>
      </c>
      <c r="GU174" s="110"/>
      <c r="GV174" s="139"/>
      <c r="GW174" s="140">
        <f t="shared" si="4475"/>
        <v>0</v>
      </c>
      <c r="GX174" s="198">
        <f t="shared" si="4465"/>
        <v>0</v>
      </c>
      <c r="GY174" s="140"/>
      <c r="GZ174" s="110"/>
      <c r="HA174" s="137"/>
      <c r="HB174" s="97"/>
      <c r="HC174" s="138">
        <f t="shared" ref="HC174:HD174" si="4700">HC29+HC58+HC87+HC116+HC145</f>
        <v>0</v>
      </c>
      <c r="HD174" s="110">
        <f t="shared" si="4700"/>
        <v>0</v>
      </c>
      <c r="HE174" s="110"/>
      <c r="HF174" s="139"/>
      <c r="HG174" s="140">
        <f t="shared" si="4477"/>
        <v>0</v>
      </c>
      <c r="HH174" s="198">
        <f t="shared" si="4465"/>
        <v>0</v>
      </c>
      <c r="HI174" s="140"/>
      <c r="HJ174" s="110"/>
      <c r="HK174" s="137"/>
      <c r="HL174" s="97"/>
      <c r="HM174" s="138">
        <f t="shared" ref="HM174:HN174" si="4701">HM29+HM58+HM87+HM116+HM145</f>
        <v>0</v>
      </c>
      <c r="HN174" s="110">
        <f t="shared" si="4701"/>
        <v>0</v>
      </c>
      <c r="HO174" s="110"/>
      <c r="HP174" s="139"/>
      <c r="HQ174" s="140">
        <f t="shared" si="4479"/>
        <v>0</v>
      </c>
      <c r="HR174" s="198">
        <f t="shared" si="4480"/>
        <v>0</v>
      </c>
      <c r="HS174" s="140"/>
      <c r="HT174" s="110"/>
      <c r="HU174" s="137"/>
      <c r="HV174" s="97"/>
      <c r="HW174" s="138">
        <f t="shared" ref="HW174:HX174" si="4702">HW29+HW58+HW87+HW116+HW145</f>
        <v>0</v>
      </c>
      <c r="HX174" s="110">
        <f t="shared" si="4702"/>
        <v>0</v>
      </c>
      <c r="HY174" s="110"/>
      <c r="HZ174" s="139"/>
      <c r="IA174" s="140">
        <f t="shared" si="4482"/>
        <v>0</v>
      </c>
      <c r="IB174" s="198">
        <f t="shared" si="4480"/>
        <v>0</v>
      </c>
      <c r="IC174" s="140"/>
      <c r="ID174" s="110"/>
      <c r="IE174" s="137"/>
      <c r="IF174" s="97"/>
      <c r="IG174" s="138">
        <f t="shared" ref="IG174:IH174" si="4703">IG29+IG58+IG87+IG116+IG145</f>
        <v>0</v>
      </c>
      <c r="IH174" s="110">
        <f t="shared" si="4703"/>
        <v>0</v>
      </c>
      <c r="II174" s="110"/>
      <c r="IJ174" s="139"/>
      <c r="IK174" s="140">
        <f t="shared" si="4484"/>
        <v>0</v>
      </c>
      <c r="IL174" s="198">
        <f t="shared" si="4480"/>
        <v>0</v>
      </c>
      <c r="IM174" s="140"/>
      <c r="IN174" s="110"/>
      <c r="IO174" s="137"/>
      <c r="IP174" s="97"/>
      <c r="IQ174" s="138">
        <f t="shared" ref="IQ174:IR174" si="4704">IQ29+IQ58+IQ87+IQ116+IQ145</f>
        <v>0</v>
      </c>
      <c r="IR174" s="110">
        <f t="shared" si="4704"/>
        <v>0</v>
      </c>
      <c r="IS174" s="110"/>
      <c r="IT174" s="139"/>
      <c r="IU174" s="140">
        <f t="shared" si="4486"/>
        <v>0</v>
      </c>
      <c r="IV174" s="198">
        <f t="shared" si="4480"/>
        <v>0</v>
      </c>
      <c r="IW174" s="140"/>
      <c r="IX174" s="110"/>
      <c r="IY174" s="137"/>
      <c r="IZ174" s="97"/>
      <c r="JA174" s="138">
        <f t="shared" ref="JA174:JB174" si="4705">JA29+JA58+JA87+JA116+JA145</f>
        <v>0</v>
      </c>
      <c r="JB174" s="110">
        <f t="shared" si="4705"/>
        <v>0</v>
      </c>
      <c r="JC174" s="110"/>
      <c r="JD174" s="139"/>
      <c r="JE174" s="140">
        <f t="shared" si="4488"/>
        <v>0</v>
      </c>
      <c r="JF174" s="198">
        <f t="shared" si="4480"/>
        <v>0</v>
      </c>
      <c r="JG174" s="140"/>
      <c r="JH174" s="110"/>
      <c r="JI174" s="137"/>
      <c r="JJ174" s="97"/>
      <c r="JK174" s="138">
        <f t="shared" ref="JK174:JL174" si="4706">JK29+JK58+JK87+JK116+JK145</f>
        <v>0</v>
      </c>
      <c r="JL174" s="110">
        <f t="shared" si="4706"/>
        <v>0</v>
      </c>
      <c r="JM174" s="110"/>
      <c r="JN174" s="139"/>
      <c r="JO174" s="140">
        <f t="shared" si="4490"/>
        <v>0</v>
      </c>
      <c r="JP174" s="198">
        <f t="shared" si="4480"/>
        <v>0</v>
      </c>
      <c r="JQ174" s="140"/>
      <c r="JR174" s="110"/>
      <c r="JS174" s="137"/>
      <c r="JT174" s="97"/>
      <c r="JU174" s="138">
        <f t="shared" ref="JU174:JV174" si="4707">JU29+JU58+JU87+JU116+JU145</f>
        <v>0</v>
      </c>
      <c r="JV174" s="110">
        <f t="shared" si="4707"/>
        <v>0</v>
      </c>
      <c r="JW174" s="110"/>
      <c r="JX174" s="139"/>
      <c r="JY174" s="140">
        <f t="shared" si="4492"/>
        <v>0</v>
      </c>
      <c r="JZ174" s="198">
        <f t="shared" si="4480"/>
        <v>0</v>
      </c>
      <c r="KA174" s="140"/>
      <c r="KB174" s="110"/>
      <c r="KC174" s="137"/>
      <c r="KD174" s="97"/>
      <c r="KE174" s="138">
        <f t="shared" ref="KE174:KF174" si="4708">KE29+KE58+KE87+KE116+KE145</f>
        <v>0</v>
      </c>
      <c r="KF174" s="110">
        <f t="shared" si="4708"/>
        <v>0</v>
      </c>
      <c r="KG174" s="110"/>
      <c r="KH174" s="139"/>
      <c r="KI174" s="140">
        <f t="shared" si="4494"/>
        <v>0</v>
      </c>
      <c r="KJ174" s="198">
        <f t="shared" si="4495"/>
        <v>0</v>
      </c>
      <c r="KK174" s="140"/>
      <c r="KL174" s="110"/>
      <c r="KM174" s="137"/>
      <c r="KN174" s="97"/>
      <c r="KO174" s="138">
        <f t="shared" ref="KO174:KP174" si="4709">KO29+KO58+KO87+KO116+KO145</f>
        <v>0</v>
      </c>
      <c r="KP174" s="110">
        <f t="shared" si="4709"/>
        <v>0</v>
      </c>
      <c r="KQ174" s="110"/>
      <c r="KR174" s="139"/>
      <c r="KS174" s="140">
        <f t="shared" si="4497"/>
        <v>0</v>
      </c>
      <c r="KT174" s="198">
        <f t="shared" si="4495"/>
        <v>0</v>
      </c>
      <c r="KU174" s="140"/>
      <c r="KV174" s="110"/>
      <c r="KW174" s="137"/>
      <c r="KX174" s="97"/>
      <c r="KY174" s="138">
        <f t="shared" ref="KY174:KZ174" si="4710">KY29+KY58+KY87+KY116+KY145</f>
        <v>0</v>
      </c>
      <c r="KZ174" s="110">
        <f t="shared" si="4710"/>
        <v>0</v>
      </c>
      <c r="LA174" s="110"/>
      <c r="LB174" s="139"/>
      <c r="LC174" s="140">
        <f t="shared" si="4499"/>
        <v>0</v>
      </c>
      <c r="LD174" s="197">
        <f t="shared" si="4221"/>
        <v>5</v>
      </c>
      <c r="LE174" s="140"/>
      <c r="LF174" s="110"/>
      <c r="LG174" s="137"/>
      <c r="LH174" s="97"/>
      <c r="LI174" s="138">
        <f t="shared" si="4500"/>
        <v>2897.6494400000001</v>
      </c>
      <c r="LJ174" s="110">
        <f t="shared" si="4500"/>
        <v>14488.26</v>
      </c>
      <c r="LK174" s="110"/>
      <c r="LL174" s="139"/>
    </row>
    <row r="175" spans="1:324" ht="16.5" hidden="1" customHeight="1" x14ac:dyDescent="0.25">
      <c r="A175" s="244"/>
      <c r="B175" s="244" t="s">
        <v>855</v>
      </c>
      <c r="C175" s="12"/>
      <c r="D175" s="12"/>
      <c r="E175" s="4"/>
      <c r="F175" s="198"/>
      <c r="G175" s="140"/>
      <c r="H175" s="110"/>
      <c r="I175" s="137"/>
      <c r="J175" s="97"/>
      <c r="K175" s="138"/>
      <c r="L175" s="110"/>
      <c r="M175" s="110"/>
      <c r="N175" s="139"/>
      <c r="O175" s="140"/>
      <c r="P175" s="198"/>
      <c r="Q175" s="140"/>
      <c r="R175" s="110"/>
      <c r="S175" s="137"/>
      <c r="T175" s="97"/>
      <c r="U175" s="138"/>
      <c r="V175" s="110"/>
      <c r="W175" s="110"/>
      <c r="X175" s="139"/>
      <c r="Y175" s="140"/>
      <c r="Z175" s="198"/>
      <c r="AA175" s="140"/>
      <c r="AB175" s="110"/>
      <c r="AC175" s="137"/>
      <c r="AD175" s="97"/>
      <c r="AE175" s="138"/>
      <c r="AF175" s="110"/>
      <c r="AG175" s="110"/>
      <c r="AH175" s="139"/>
      <c r="AI175" s="140"/>
      <c r="AJ175" s="198"/>
      <c r="AK175" s="140"/>
      <c r="AL175" s="110"/>
      <c r="AM175" s="137"/>
      <c r="AN175" s="97"/>
      <c r="AO175" s="138"/>
      <c r="AP175" s="110"/>
      <c r="AQ175" s="110"/>
      <c r="AR175" s="139"/>
      <c r="AS175" s="140"/>
      <c r="AT175" s="198"/>
      <c r="AU175" s="140"/>
      <c r="AV175" s="110"/>
      <c r="AW175" s="137"/>
      <c r="AX175" s="97"/>
      <c r="AY175" s="138"/>
      <c r="AZ175" s="110"/>
      <c r="BA175" s="110"/>
      <c r="BB175" s="139"/>
      <c r="BC175" s="140"/>
      <c r="BD175" s="198"/>
      <c r="BE175" s="140"/>
      <c r="BF175" s="110"/>
      <c r="BG175" s="137"/>
      <c r="BH175" s="97"/>
      <c r="BI175" s="138"/>
      <c r="BJ175" s="110"/>
      <c r="BK175" s="110"/>
      <c r="BL175" s="139"/>
      <c r="BM175" s="140"/>
      <c r="BN175" s="198"/>
      <c r="BO175" s="140"/>
      <c r="BP175" s="110"/>
      <c r="BQ175" s="137"/>
      <c r="BR175" s="97"/>
      <c r="BS175" s="138"/>
      <c r="BT175" s="110"/>
      <c r="BU175" s="110"/>
      <c r="BV175" s="139"/>
      <c r="BW175" s="140"/>
      <c r="BX175" s="198"/>
      <c r="BY175" s="140"/>
      <c r="BZ175" s="110"/>
      <c r="CA175" s="137"/>
      <c r="CB175" s="97"/>
      <c r="CC175" s="138"/>
      <c r="CD175" s="110"/>
      <c r="CE175" s="110"/>
      <c r="CF175" s="139"/>
      <c r="CG175" s="140"/>
      <c r="CH175" s="198"/>
      <c r="CI175" s="140"/>
      <c r="CJ175" s="110"/>
      <c r="CK175" s="137"/>
      <c r="CL175" s="97"/>
      <c r="CM175" s="138"/>
      <c r="CN175" s="110"/>
      <c r="CO175" s="110"/>
      <c r="CP175" s="139"/>
      <c r="CQ175" s="140"/>
      <c r="CR175" s="198"/>
      <c r="CS175" s="140"/>
      <c r="CT175" s="110"/>
      <c r="CU175" s="137"/>
      <c r="CV175" s="97"/>
      <c r="CW175" s="138"/>
      <c r="CX175" s="110"/>
      <c r="CY175" s="110"/>
      <c r="CZ175" s="139"/>
      <c r="DA175" s="140"/>
      <c r="DB175" s="198"/>
      <c r="DC175" s="140"/>
      <c r="DD175" s="110"/>
      <c r="DE175" s="137"/>
      <c r="DF175" s="97"/>
      <c r="DG175" s="138"/>
      <c r="DH175" s="110"/>
      <c r="DI175" s="110"/>
      <c r="DJ175" s="139"/>
      <c r="DK175" s="140"/>
      <c r="DL175" s="198"/>
      <c r="DM175" s="140"/>
      <c r="DN175" s="110"/>
      <c r="DO175" s="137"/>
      <c r="DP175" s="97"/>
      <c r="DQ175" s="138"/>
      <c r="DR175" s="110"/>
      <c r="DS175" s="110"/>
      <c r="DT175" s="139"/>
      <c r="DU175" s="140"/>
      <c r="DV175" s="198"/>
      <c r="DW175" s="140"/>
      <c r="DX175" s="110"/>
      <c r="DY175" s="137"/>
      <c r="DZ175" s="97"/>
      <c r="EA175" s="138"/>
      <c r="EB175" s="110"/>
      <c r="EC175" s="110"/>
      <c r="ED175" s="139"/>
      <c r="EE175" s="140"/>
      <c r="EF175" s="198"/>
      <c r="EG175" s="140"/>
      <c r="EH175" s="110"/>
      <c r="EI175" s="137"/>
      <c r="EJ175" s="97"/>
      <c r="EK175" s="138"/>
      <c r="EL175" s="110"/>
      <c r="EM175" s="110"/>
      <c r="EN175" s="139"/>
      <c r="EO175" s="140"/>
      <c r="EP175" s="198"/>
      <c r="EQ175" s="140"/>
      <c r="ER175" s="110"/>
      <c r="ES175" s="137"/>
      <c r="ET175" s="97"/>
      <c r="EU175" s="138"/>
      <c r="EV175" s="110"/>
      <c r="EW175" s="110"/>
      <c r="EX175" s="139"/>
      <c r="EY175" s="140"/>
      <c r="EZ175" s="198"/>
      <c r="FA175" s="140"/>
      <c r="FB175" s="110"/>
      <c r="FC175" s="137"/>
      <c r="FD175" s="97"/>
      <c r="FE175" s="138"/>
      <c r="FF175" s="110"/>
      <c r="FG175" s="110"/>
      <c r="FH175" s="139"/>
      <c r="FI175" s="140"/>
      <c r="FJ175" s="198"/>
      <c r="FK175" s="140"/>
      <c r="FL175" s="110"/>
      <c r="FM175" s="137"/>
      <c r="FN175" s="97"/>
      <c r="FO175" s="138"/>
      <c r="FP175" s="110"/>
      <c r="FQ175" s="110"/>
      <c r="FR175" s="139"/>
      <c r="FS175" s="140"/>
      <c r="FT175" s="198"/>
      <c r="FU175" s="140"/>
      <c r="FV175" s="110"/>
      <c r="FW175" s="137"/>
      <c r="FX175" s="97"/>
      <c r="FY175" s="138"/>
      <c r="FZ175" s="110"/>
      <c r="GA175" s="110"/>
      <c r="GB175" s="139"/>
      <c r="GC175" s="140"/>
      <c r="GD175" s="198"/>
      <c r="GE175" s="140"/>
      <c r="GF175" s="110"/>
      <c r="GG175" s="137"/>
      <c r="GH175" s="97"/>
      <c r="GI175" s="138"/>
      <c r="GJ175" s="110"/>
      <c r="GK175" s="110"/>
      <c r="GL175" s="139"/>
      <c r="GM175" s="140"/>
      <c r="GN175" s="198"/>
      <c r="GO175" s="140"/>
      <c r="GP175" s="110"/>
      <c r="GQ175" s="137"/>
      <c r="GR175" s="97"/>
      <c r="GS175" s="138"/>
      <c r="GT175" s="110"/>
      <c r="GU175" s="110"/>
      <c r="GV175" s="139"/>
      <c r="GW175" s="140"/>
      <c r="GX175" s="198"/>
      <c r="GY175" s="140"/>
      <c r="GZ175" s="110"/>
      <c r="HA175" s="137"/>
      <c r="HB175" s="97"/>
      <c r="HC175" s="138"/>
      <c r="HD175" s="110"/>
      <c r="HE175" s="110"/>
      <c r="HF175" s="139"/>
      <c r="HG175" s="140"/>
      <c r="HH175" s="198"/>
      <c r="HI175" s="140"/>
      <c r="HJ175" s="110"/>
      <c r="HK175" s="137"/>
      <c r="HL175" s="97"/>
      <c r="HM175" s="138"/>
      <c r="HN175" s="110"/>
      <c r="HO175" s="110"/>
      <c r="HP175" s="139"/>
      <c r="HQ175" s="140"/>
      <c r="HR175" s="198"/>
      <c r="HS175" s="140"/>
      <c r="HT175" s="110"/>
      <c r="HU175" s="137"/>
      <c r="HV175" s="97"/>
      <c r="HW175" s="138"/>
      <c r="HX175" s="110"/>
      <c r="HY175" s="110"/>
      <c r="HZ175" s="139"/>
      <c r="IA175" s="140"/>
      <c r="IB175" s="198"/>
      <c r="IC175" s="140"/>
      <c r="ID175" s="110"/>
      <c r="IE175" s="137"/>
      <c r="IF175" s="97"/>
      <c r="IG175" s="138"/>
      <c r="IH175" s="110"/>
      <c r="II175" s="110"/>
      <c r="IJ175" s="139"/>
      <c r="IK175" s="140"/>
      <c r="IL175" s="198"/>
      <c r="IM175" s="140"/>
      <c r="IN175" s="110"/>
      <c r="IO175" s="137"/>
      <c r="IP175" s="97"/>
      <c r="IQ175" s="138"/>
      <c r="IR175" s="110"/>
      <c r="IS175" s="110"/>
      <c r="IT175" s="139"/>
      <c r="IU175" s="140"/>
      <c r="IV175" s="198"/>
      <c r="IW175" s="140"/>
      <c r="IX175" s="110"/>
      <c r="IY175" s="137"/>
      <c r="IZ175" s="97"/>
      <c r="JA175" s="138"/>
      <c r="JB175" s="110"/>
      <c r="JC175" s="110"/>
      <c r="JD175" s="139"/>
      <c r="JE175" s="140"/>
      <c r="JF175" s="198"/>
      <c r="JG175" s="140"/>
      <c r="JH175" s="110"/>
      <c r="JI175" s="137"/>
      <c r="JJ175" s="97"/>
      <c r="JK175" s="138"/>
      <c r="JL175" s="110"/>
      <c r="JM175" s="110"/>
      <c r="JN175" s="139"/>
      <c r="JO175" s="140"/>
      <c r="JP175" s="198"/>
      <c r="JQ175" s="140"/>
      <c r="JR175" s="110"/>
      <c r="JS175" s="137"/>
      <c r="JT175" s="97"/>
      <c r="JU175" s="138"/>
      <c r="JV175" s="110"/>
      <c r="JW175" s="110"/>
      <c r="JX175" s="139"/>
      <c r="JY175" s="140"/>
      <c r="JZ175" s="198"/>
      <c r="KA175" s="140"/>
      <c r="KB175" s="110"/>
      <c r="KC175" s="137"/>
      <c r="KD175" s="97"/>
      <c r="KE175" s="138"/>
      <c r="KF175" s="110"/>
      <c r="KG175" s="110"/>
      <c r="KH175" s="139"/>
      <c r="KI175" s="140"/>
      <c r="KJ175" s="198"/>
      <c r="KK175" s="140"/>
      <c r="KL175" s="110"/>
      <c r="KM175" s="137"/>
      <c r="KN175" s="97"/>
      <c r="KO175" s="138"/>
      <c r="KP175" s="110"/>
      <c r="KQ175" s="110"/>
      <c r="KR175" s="139"/>
      <c r="KS175" s="140"/>
      <c r="KT175" s="198"/>
      <c r="KU175" s="140"/>
      <c r="KV175" s="110"/>
      <c r="KW175" s="137"/>
      <c r="KX175" s="97"/>
      <c r="KY175" s="138"/>
      <c r="KZ175" s="110"/>
      <c r="LA175" s="110"/>
      <c r="LB175" s="139"/>
      <c r="LC175" s="140"/>
      <c r="LD175" s="197"/>
      <c r="LE175" s="140"/>
      <c r="LF175" s="110"/>
      <c r="LG175" s="137"/>
      <c r="LH175" s="97"/>
      <c r="LI175" s="138"/>
      <c r="LJ175" s="110"/>
      <c r="LK175" s="110"/>
      <c r="LL175" s="139"/>
    </row>
    <row r="176" spans="1:324" ht="16.5" hidden="1" customHeight="1" x14ac:dyDescent="0.25">
      <c r="A176" s="245"/>
      <c r="B176" s="12" t="s">
        <v>609</v>
      </c>
      <c r="C176" s="12" t="s">
        <v>728</v>
      </c>
      <c r="D176" s="12" t="s">
        <v>430</v>
      </c>
      <c r="E176" s="4"/>
      <c r="F176" s="198">
        <f t="shared" ref="F176:F183" si="4711">F31</f>
        <v>49</v>
      </c>
      <c r="G176" s="140"/>
      <c r="H176" s="110"/>
      <c r="I176" s="137"/>
      <c r="J176" s="97"/>
      <c r="K176" s="138">
        <f t="shared" ref="K176:L183" si="4712">K31+K60+K89+K118+K147</f>
        <v>1611.0568599999999</v>
      </c>
      <c r="L176" s="110">
        <f t="shared" si="4712"/>
        <v>78941.78</v>
      </c>
      <c r="M176" s="110"/>
      <c r="N176" s="139"/>
      <c r="O176" s="140">
        <f t="shared" si="4155"/>
        <v>0.57147999999999999</v>
      </c>
      <c r="P176" s="198">
        <f t="shared" ref="P176:BX183" si="4713">P31</f>
        <v>79</v>
      </c>
      <c r="Q176" s="140"/>
      <c r="R176" s="110"/>
      <c r="S176" s="137"/>
      <c r="T176" s="97"/>
      <c r="U176" s="138">
        <f t="shared" ref="U176:V176" si="4714">U31+U60+U89+U118+U147</f>
        <v>2229.3865599999999</v>
      </c>
      <c r="V176" s="110">
        <f t="shared" si="4714"/>
        <v>176121.54</v>
      </c>
      <c r="W176" s="110"/>
      <c r="X176" s="139"/>
      <c r="Y176" s="140">
        <f t="shared" ref="Y176:Y183" si="4715">U176/$LI176</f>
        <v>0.79081999999999997</v>
      </c>
      <c r="Z176" s="198">
        <f t="shared" si="4713"/>
        <v>214</v>
      </c>
      <c r="AA176" s="140"/>
      <c r="AB176" s="110"/>
      <c r="AC176" s="137"/>
      <c r="AD176" s="97"/>
      <c r="AE176" s="138">
        <f t="shared" ref="AE176:AF176" si="4716">AE31+AE60+AE89+AE118+AE147</f>
        <v>2156.42202</v>
      </c>
      <c r="AF176" s="110">
        <f t="shared" si="4716"/>
        <v>461474.31</v>
      </c>
      <c r="AG176" s="110"/>
      <c r="AH176" s="139"/>
      <c r="AI176" s="140">
        <f t="shared" ref="AI176:AI183" si="4717">AE176/$LI176</f>
        <v>0.76493999999999995</v>
      </c>
      <c r="AJ176" s="198">
        <f t="shared" si="4713"/>
        <v>43</v>
      </c>
      <c r="AK176" s="140"/>
      <c r="AL176" s="110"/>
      <c r="AM176" s="137"/>
      <c r="AN176" s="97"/>
      <c r="AO176" s="138">
        <f t="shared" ref="AO176:AP176" si="4718">AO31+AO60+AO89+AO118+AO147</f>
        <v>1833.18694</v>
      </c>
      <c r="AP176" s="110">
        <f t="shared" si="4718"/>
        <v>78827.039999999994</v>
      </c>
      <c r="AQ176" s="110"/>
      <c r="AR176" s="139"/>
      <c r="AS176" s="140">
        <f t="shared" ref="AS176:AS183" si="4719">AO176/$LI176</f>
        <v>0.65027999999999997</v>
      </c>
      <c r="AT176" s="198">
        <f t="shared" si="4713"/>
        <v>54</v>
      </c>
      <c r="AU176" s="140"/>
      <c r="AV176" s="110"/>
      <c r="AW176" s="137"/>
      <c r="AX176" s="97"/>
      <c r="AY176" s="138">
        <f t="shared" ref="AY176:AZ176" si="4720">AY31+AY60+AY89+AY118+AY147</f>
        <v>1134.1655599999999</v>
      </c>
      <c r="AZ176" s="110">
        <f t="shared" si="4720"/>
        <v>61244.94</v>
      </c>
      <c r="BA176" s="110"/>
      <c r="BB176" s="139"/>
      <c r="BC176" s="140">
        <f t="shared" ref="BC176:BC183" si="4721">AY176/$LI176</f>
        <v>0.40232000000000001</v>
      </c>
      <c r="BD176" s="198">
        <f t="shared" si="4713"/>
        <v>38</v>
      </c>
      <c r="BE176" s="140"/>
      <c r="BF176" s="110"/>
      <c r="BG176" s="137"/>
      <c r="BH176" s="97"/>
      <c r="BI176" s="138">
        <f t="shared" ref="BI176:BJ176" si="4722">BI31+BI60+BI89+BI118+BI147</f>
        <v>2074.5214999999998</v>
      </c>
      <c r="BJ176" s="110">
        <f t="shared" si="4722"/>
        <v>78831.820000000007</v>
      </c>
      <c r="BK176" s="110"/>
      <c r="BL176" s="139"/>
      <c r="BM176" s="140">
        <f t="shared" ref="BM176:BM183" si="4723">BI176/$LI176</f>
        <v>0.73589000000000004</v>
      </c>
      <c r="BN176" s="198">
        <f t="shared" si="4713"/>
        <v>51</v>
      </c>
      <c r="BO176" s="140"/>
      <c r="BP176" s="110"/>
      <c r="BQ176" s="137"/>
      <c r="BR176" s="97"/>
      <c r="BS176" s="138">
        <f t="shared" ref="BS176:BT176" si="4724">BS31+BS60+BS89+BS118+BS147</f>
        <v>2462.6848500000001</v>
      </c>
      <c r="BT176" s="110">
        <f t="shared" si="4724"/>
        <v>125596.92</v>
      </c>
      <c r="BU176" s="110"/>
      <c r="BV176" s="139"/>
      <c r="BW176" s="140">
        <f t="shared" ref="BW176:BW183" si="4725">BS176/$LI176</f>
        <v>0.87358000000000002</v>
      </c>
      <c r="BX176" s="198">
        <f t="shared" si="4713"/>
        <v>72</v>
      </c>
      <c r="BY176" s="140"/>
      <c r="BZ176" s="110"/>
      <c r="CA176" s="137"/>
      <c r="CB176" s="97"/>
      <c r="CC176" s="138">
        <f t="shared" ref="CC176:CD176" si="4726">CC31+CC60+CC89+CC118+CC147</f>
        <v>1855.4110700000001</v>
      </c>
      <c r="CD176" s="110">
        <f t="shared" si="4726"/>
        <v>133589.6</v>
      </c>
      <c r="CE176" s="110"/>
      <c r="CF176" s="139"/>
      <c r="CG176" s="140">
        <f t="shared" ref="CG176:CG183" si="4727">CC176/$LI176</f>
        <v>0.65815999999999997</v>
      </c>
      <c r="CH176" s="198">
        <f t="shared" ref="CH176:EP183" si="4728">CH31</f>
        <v>109</v>
      </c>
      <c r="CI176" s="140"/>
      <c r="CJ176" s="110"/>
      <c r="CK176" s="137"/>
      <c r="CL176" s="97"/>
      <c r="CM176" s="138">
        <f t="shared" ref="CM176:CN176" si="4729">CM31+CM60+CM89+CM118+CM147</f>
        <v>2328.4432499999998</v>
      </c>
      <c r="CN176" s="110">
        <f t="shared" si="4729"/>
        <v>253800.32000000001</v>
      </c>
      <c r="CO176" s="110"/>
      <c r="CP176" s="139"/>
      <c r="CQ176" s="140">
        <f t="shared" ref="CQ176:CQ183" si="4730">CM176/$LI176</f>
        <v>0.82596000000000003</v>
      </c>
      <c r="CR176" s="198">
        <f t="shared" si="4728"/>
        <v>38</v>
      </c>
      <c r="CS176" s="140"/>
      <c r="CT176" s="110"/>
      <c r="CU176" s="137"/>
      <c r="CV176" s="97"/>
      <c r="CW176" s="138">
        <f t="shared" ref="CW176:CX176" si="4731">CW31+CW60+CW89+CW118+CW147</f>
        <v>3010.0802199999998</v>
      </c>
      <c r="CX176" s="110">
        <f t="shared" si="4731"/>
        <v>114383.05</v>
      </c>
      <c r="CY176" s="110"/>
      <c r="CZ176" s="139"/>
      <c r="DA176" s="140">
        <f t="shared" ref="DA176:DA183" si="4732">CW176/$LI176</f>
        <v>1.06775</v>
      </c>
      <c r="DB176" s="198">
        <f t="shared" si="4728"/>
        <v>86</v>
      </c>
      <c r="DC176" s="140"/>
      <c r="DD176" s="110"/>
      <c r="DE176" s="137"/>
      <c r="DF176" s="97"/>
      <c r="DG176" s="138">
        <f t="shared" ref="DG176:DH176" si="4733">DG31+DG60+DG89+DG118+DG147</f>
        <v>2512.1860799999999</v>
      </c>
      <c r="DH176" s="110">
        <f t="shared" si="4733"/>
        <v>216048.01</v>
      </c>
      <c r="DI176" s="110"/>
      <c r="DJ176" s="139"/>
      <c r="DK176" s="140">
        <f t="shared" ref="DK176:DK183" si="4734">DG176/$LI176</f>
        <v>0.89114000000000004</v>
      </c>
      <c r="DL176" s="198">
        <f t="shared" si="4728"/>
        <v>0</v>
      </c>
      <c r="DM176" s="140"/>
      <c r="DN176" s="110"/>
      <c r="DO176" s="137"/>
      <c r="DP176" s="97"/>
      <c r="DQ176" s="138">
        <f t="shared" ref="DQ176:DR176" si="4735">DQ31+DQ60+DQ89+DQ118+DQ147</f>
        <v>0</v>
      </c>
      <c r="DR176" s="110">
        <f t="shared" si="4735"/>
        <v>0</v>
      </c>
      <c r="DS176" s="110"/>
      <c r="DT176" s="139"/>
      <c r="DU176" s="140">
        <f t="shared" ref="DU176:DU183" si="4736">DQ176/$LI176</f>
        <v>0</v>
      </c>
      <c r="DV176" s="198">
        <f t="shared" si="4728"/>
        <v>49</v>
      </c>
      <c r="DW176" s="140"/>
      <c r="DX176" s="110"/>
      <c r="DY176" s="137"/>
      <c r="DZ176" s="97"/>
      <c r="EA176" s="138">
        <f t="shared" ref="EA176:EB176" si="4737">EA31+EA60+EA89+EA118+EA147</f>
        <v>2182.2077199999999</v>
      </c>
      <c r="EB176" s="110">
        <f t="shared" si="4737"/>
        <v>106928.17</v>
      </c>
      <c r="EC176" s="110"/>
      <c r="ED176" s="139"/>
      <c r="EE176" s="140">
        <f t="shared" ref="EE176:EE183" si="4738">EA176/$LI176</f>
        <v>0.77408999999999994</v>
      </c>
      <c r="EF176" s="198">
        <f t="shared" si="4728"/>
        <v>66</v>
      </c>
      <c r="EG176" s="140"/>
      <c r="EH176" s="110"/>
      <c r="EI176" s="137"/>
      <c r="EJ176" s="97"/>
      <c r="EK176" s="138">
        <f t="shared" ref="EK176:EL176" si="4739">EK31+EK60+EK89+EK118+EK147</f>
        <v>1819.21361</v>
      </c>
      <c r="EL176" s="110">
        <f t="shared" si="4739"/>
        <v>120068.1</v>
      </c>
      <c r="EM176" s="110"/>
      <c r="EN176" s="139"/>
      <c r="EO176" s="140">
        <f t="shared" ref="EO176:EO183" si="4740">EK176/$LI176</f>
        <v>0.64532</v>
      </c>
      <c r="EP176" s="198">
        <f t="shared" si="4728"/>
        <v>72</v>
      </c>
      <c r="EQ176" s="140"/>
      <c r="ER176" s="110"/>
      <c r="ES176" s="137"/>
      <c r="ET176" s="97"/>
      <c r="EU176" s="138">
        <f t="shared" ref="EU176:EV176" si="4741">EU31+EU60+EU89+EU118+EU147</f>
        <v>3155.2957299999998</v>
      </c>
      <c r="EV176" s="110">
        <f t="shared" si="4741"/>
        <v>227181.29</v>
      </c>
      <c r="EW176" s="110"/>
      <c r="EX176" s="139"/>
      <c r="EY176" s="140">
        <f t="shared" ref="EY176:EY183" si="4742">EU176/$LI176</f>
        <v>1.11927</v>
      </c>
      <c r="EZ176" s="198">
        <f t="shared" ref="EZ176:HH183" si="4743">EZ31</f>
        <v>45</v>
      </c>
      <c r="FA176" s="140"/>
      <c r="FB176" s="110"/>
      <c r="FC176" s="137"/>
      <c r="FD176" s="97"/>
      <c r="FE176" s="138">
        <f t="shared" ref="FE176:FF176" si="4744">FE31+FE60+FE89+FE118+FE147</f>
        <v>1324.8228999999999</v>
      </c>
      <c r="FF176" s="110">
        <f t="shared" si="4744"/>
        <v>59617.02</v>
      </c>
      <c r="FG176" s="110"/>
      <c r="FH176" s="139"/>
      <c r="FI176" s="140">
        <f t="shared" ref="FI176:FI183" si="4745">FE176/$LI176</f>
        <v>0.46994999999999998</v>
      </c>
      <c r="FJ176" s="198">
        <f t="shared" si="4743"/>
        <v>102</v>
      </c>
      <c r="FK176" s="140"/>
      <c r="FL176" s="110"/>
      <c r="FM176" s="137"/>
      <c r="FN176" s="97"/>
      <c r="FO176" s="138">
        <f t="shared" ref="FO176:FP176" si="4746">FO31+FO60+FO89+FO118+FO147</f>
        <v>2727.8009499999998</v>
      </c>
      <c r="FP176" s="110">
        <f t="shared" si="4746"/>
        <v>278235.7</v>
      </c>
      <c r="FQ176" s="110"/>
      <c r="FR176" s="139"/>
      <c r="FS176" s="140">
        <f t="shared" ref="FS176:FS183" si="4747">FO176/$LI176</f>
        <v>0.96762000000000004</v>
      </c>
      <c r="FT176" s="198">
        <f t="shared" si="4743"/>
        <v>59</v>
      </c>
      <c r="FU176" s="140"/>
      <c r="FV176" s="110"/>
      <c r="FW176" s="137"/>
      <c r="FX176" s="97"/>
      <c r="FY176" s="138">
        <f t="shared" ref="FY176:FZ176" si="4748">FY31+FY60+FY89+FY118+FY147</f>
        <v>2618.6812399999999</v>
      </c>
      <c r="FZ176" s="110">
        <f t="shared" si="4748"/>
        <v>154502.18</v>
      </c>
      <c r="GA176" s="110"/>
      <c r="GB176" s="139"/>
      <c r="GC176" s="140">
        <f t="shared" ref="GC176:GC183" si="4749">FY176/$LI176</f>
        <v>0.92891000000000001</v>
      </c>
      <c r="GD176" s="198">
        <f t="shared" si="4743"/>
        <v>34</v>
      </c>
      <c r="GE176" s="140"/>
      <c r="GF176" s="110"/>
      <c r="GG176" s="137"/>
      <c r="GH176" s="97"/>
      <c r="GI176" s="138">
        <f t="shared" ref="GI176:GJ176" si="4750">GI31+GI60+GI89+GI118+GI147</f>
        <v>2085.0364599999998</v>
      </c>
      <c r="GJ176" s="110">
        <f t="shared" si="4750"/>
        <v>70891.240000000005</v>
      </c>
      <c r="GK176" s="110"/>
      <c r="GL176" s="139"/>
      <c r="GM176" s="140">
        <f t="shared" ref="GM176:GM183" si="4751">GI176/$LI176</f>
        <v>0.73962000000000006</v>
      </c>
      <c r="GN176" s="198">
        <f t="shared" si="4743"/>
        <v>86</v>
      </c>
      <c r="GO176" s="140"/>
      <c r="GP176" s="110"/>
      <c r="GQ176" s="137"/>
      <c r="GR176" s="97"/>
      <c r="GS176" s="138">
        <f t="shared" ref="GS176:GT176" si="4752">GS31+GS60+GS89+GS118+GS147</f>
        <v>3657.95201</v>
      </c>
      <c r="GT176" s="110">
        <f t="shared" si="4752"/>
        <v>314583.88</v>
      </c>
      <c r="GU176" s="110"/>
      <c r="GV176" s="139"/>
      <c r="GW176" s="140">
        <f t="shared" ref="GW176:GW183" si="4753">GS176/$LI176</f>
        <v>1.2975699999999999</v>
      </c>
      <c r="GX176" s="198">
        <f t="shared" si="4743"/>
        <v>164</v>
      </c>
      <c r="GY176" s="140"/>
      <c r="GZ176" s="110"/>
      <c r="HA176" s="137"/>
      <c r="HB176" s="97"/>
      <c r="HC176" s="138">
        <f t="shared" ref="HC176:HD176" si="4754">HC31+HC60+HC89+HC118+HC147</f>
        <v>2226.8271500000001</v>
      </c>
      <c r="HD176" s="110">
        <f t="shared" si="4754"/>
        <v>365199.66</v>
      </c>
      <c r="HE176" s="110"/>
      <c r="HF176" s="139"/>
      <c r="HG176" s="140">
        <f t="shared" ref="HG176:HG183" si="4755">HC176/$LI176</f>
        <v>0.78991</v>
      </c>
      <c r="HH176" s="198">
        <f t="shared" si="4743"/>
        <v>57</v>
      </c>
      <c r="HI176" s="140"/>
      <c r="HJ176" s="110"/>
      <c r="HK176" s="137"/>
      <c r="HL176" s="97"/>
      <c r="HM176" s="138">
        <f t="shared" ref="HM176:HN176" si="4756">HM31+HM60+HM89+HM118+HM147</f>
        <v>2418.6938500000001</v>
      </c>
      <c r="HN176" s="110">
        <f t="shared" si="4756"/>
        <v>137865.56</v>
      </c>
      <c r="HO176" s="110"/>
      <c r="HP176" s="139"/>
      <c r="HQ176" s="140">
        <f t="shared" ref="HQ176:HQ183" si="4757">HM176/$LI176</f>
        <v>0.85797000000000001</v>
      </c>
      <c r="HR176" s="198">
        <f t="shared" ref="HR176:JZ183" si="4758">HR31</f>
        <v>50</v>
      </c>
      <c r="HS176" s="140"/>
      <c r="HT176" s="110"/>
      <c r="HU176" s="137"/>
      <c r="HV176" s="97"/>
      <c r="HW176" s="138">
        <f t="shared" ref="HW176:HX176" si="4759">HW31+HW60+HW89+HW118+HW147</f>
        <v>3247.38292</v>
      </c>
      <c r="HX176" s="110">
        <f t="shared" si="4759"/>
        <v>162369.15</v>
      </c>
      <c r="HY176" s="110"/>
      <c r="HZ176" s="139"/>
      <c r="IA176" s="140">
        <f t="shared" ref="IA176:IA183" si="4760">HW176/$LI176</f>
        <v>1.1519299999999999</v>
      </c>
      <c r="IB176" s="198">
        <f t="shared" si="4758"/>
        <v>29</v>
      </c>
      <c r="IC176" s="140"/>
      <c r="ID176" s="110"/>
      <c r="IE176" s="137"/>
      <c r="IF176" s="97"/>
      <c r="IG176" s="138">
        <f t="shared" ref="IG176:IH176" si="4761">IG31+IG60+IG89+IG118+IG147</f>
        <v>4449.0235199999997</v>
      </c>
      <c r="IH176" s="110">
        <f t="shared" si="4761"/>
        <v>129021.68</v>
      </c>
      <c r="II176" s="110"/>
      <c r="IJ176" s="139"/>
      <c r="IK176" s="140">
        <f t="shared" ref="IK176:IK183" si="4762">IG176/$LI176</f>
        <v>1.5781799999999999</v>
      </c>
      <c r="IL176" s="198">
        <f t="shared" si="4758"/>
        <v>72</v>
      </c>
      <c r="IM176" s="140"/>
      <c r="IN176" s="110"/>
      <c r="IO176" s="137"/>
      <c r="IP176" s="97"/>
      <c r="IQ176" s="138">
        <f t="shared" ref="IQ176:IR176" si="4763">IQ31+IQ60+IQ89+IQ118+IQ147</f>
        <v>1857.94904</v>
      </c>
      <c r="IR176" s="110">
        <f t="shared" si="4763"/>
        <v>133772.34</v>
      </c>
      <c r="IS176" s="110"/>
      <c r="IT176" s="139"/>
      <c r="IU176" s="140">
        <f t="shared" ref="IU176:IU183" si="4764">IQ176/$LI176</f>
        <v>0.65905999999999998</v>
      </c>
      <c r="IV176" s="198">
        <f t="shared" si="4758"/>
        <v>42</v>
      </c>
      <c r="IW176" s="140"/>
      <c r="IX176" s="110"/>
      <c r="IY176" s="137"/>
      <c r="IZ176" s="97"/>
      <c r="JA176" s="138">
        <f t="shared" ref="JA176:JB176" si="4765">JA31+JA60+JA89+JA118+JA147</f>
        <v>2764.3049700000001</v>
      </c>
      <c r="JB176" s="110">
        <f t="shared" si="4765"/>
        <v>116100.81</v>
      </c>
      <c r="JC176" s="110"/>
      <c r="JD176" s="139"/>
      <c r="JE176" s="140">
        <f t="shared" ref="JE176:JE183" si="4766">JA176/$LI176</f>
        <v>0.98057000000000005</v>
      </c>
      <c r="JF176" s="198">
        <f t="shared" si="4758"/>
        <v>105</v>
      </c>
      <c r="JG176" s="140"/>
      <c r="JH176" s="110"/>
      <c r="JI176" s="137"/>
      <c r="JJ176" s="97"/>
      <c r="JK176" s="138">
        <f t="shared" ref="JK176:JL176" si="4767">JK31+JK60+JK89+JK118+JK147</f>
        <v>2699.87048</v>
      </c>
      <c r="JL176" s="110">
        <f t="shared" si="4767"/>
        <v>283486.40000000002</v>
      </c>
      <c r="JM176" s="110"/>
      <c r="JN176" s="139"/>
      <c r="JO176" s="140">
        <f t="shared" ref="JO176:JO183" si="4768">JK176/$LI176</f>
        <v>0.95770999999999995</v>
      </c>
      <c r="JP176" s="198">
        <f t="shared" si="4758"/>
        <v>45</v>
      </c>
      <c r="JQ176" s="140"/>
      <c r="JR176" s="110"/>
      <c r="JS176" s="137"/>
      <c r="JT176" s="97"/>
      <c r="JU176" s="138">
        <f t="shared" ref="JU176:JV176" si="4769">JU31+JU60+JU89+JU118+JU147</f>
        <v>2955.9961199999998</v>
      </c>
      <c r="JV176" s="110">
        <f t="shared" si="4769"/>
        <v>133019.82999999999</v>
      </c>
      <c r="JW176" s="110"/>
      <c r="JX176" s="139"/>
      <c r="JY176" s="140">
        <f t="shared" ref="JY176:JY183" si="4770">JU176/$LI176</f>
        <v>1.04857</v>
      </c>
      <c r="JZ176" s="198">
        <f t="shared" si="4758"/>
        <v>120</v>
      </c>
      <c r="KA176" s="140"/>
      <c r="KB176" s="110"/>
      <c r="KC176" s="137"/>
      <c r="KD176" s="97"/>
      <c r="KE176" s="138">
        <f t="shared" ref="KE176:KF176" si="4771">KE31+KE60+KE89+KE118+KE147</f>
        <v>3232.61859</v>
      </c>
      <c r="KF176" s="110">
        <f t="shared" si="4771"/>
        <v>387914.23999999999</v>
      </c>
      <c r="KG176" s="110"/>
      <c r="KH176" s="139"/>
      <c r="KI176" s="140">
        <f t="shared" ref="KI176:KI183" si="4772">KE176/$LI176</f>
        <v>1.14669</v>
      </c>
      <c r="KJ176" s="198">
        <f t="shared" ref="KJ176:KT183" si="4773">KJ31</f>
        <v>143</v>
      </c>
      <c r="KK176" s="140"/>
      <c r="KL176" s="110"/>
      <c r="KM176" s="137"/>
      <c r="KN176" s="97"/>
      <c r="KO176" s="138">
        <f t="shared" ref="KO176:KP176" si="4774">KO31+KO60+KO89+KO118+KO147</f>
        <v>2153.1881199999998</v>
      </c>
      <c r="KP176" s="110">
        <f t="shared" si="4774"/>
        <v>307905.90000000002</v>
      </c>
      <c r="KQ176" s="110"/>
      <c r="KR176" s="139"/>
      <c r="KS176" s="140">
        <f t="shared" ref="KS176:KS183" si="4775">KO176/$LI176</f>
        <v>0.76378999999999997</v>
      </c>
      <c r="KT176" s="198">
        <f t="shared" si="4773"/>
        <v>56</v>
      </c>
      <c r="KU176" s="140"/>
      <c r="KV176" s="110"/>
      <c r="KW176" s="137"/>
      <c r="KX176" s="97"/>
      <c r="KY176" s="138">
        <f t="shared" ref="KY176:KZ176" si="4776">KY31+KY60+KY89+KY118+KY147</f>
        <v>12366.00049</v>
      </c>
      <c r="KZ176" s="110">
        <f t="shared" si="4776"/>
        <v>692496.03</v>
      </c>
      <c r="LA176" s="110"/>
      <c r="LB176" s="139"/>
      <c r="LC176" s="140">
        <f t="shared" ref="LC176:LC183" si="4777">KY176/$LI176</f>
        <v>4.3865400000000001</v>
      </c>
      <c r="LD176" s="197">
        <f t="shared" si="4221"/>
        <v>2229</v>
      </c>
      <c r="LE176" s="140"/>
      <c r="LF176" s="110"/>
      <c r="LG176" s="137"/>
      <c r="LH176" s="97"/>
      <c r="LI176" s="138">
        <f t="shared" ref="LI176:LJ183" si="4778">LI31+LI60+LI89+LI118+LI147</f>
        <v>2819.0781099999999</v>
      </c>
      <c r="LJ176" s="110">
        <f t="shared" si="4778"/>
        <v>6283725.1100000003</v>
      </c>
      <c r="LK176" s="110"/>
      <c r="LL176" s="139"/>
    </row>
    <row r="177" spans="1:324" ht="16.5" hidden="1" customHeight="1" x14ac:dyDescent="0.25">
      <c r="A177" s="246"/>
      <c r="B177" s="92" t="s">
        <v>610</v>
      </c>
      <c r="C177" s="12" t="s">
        <v>728</v>
      </c>
      <c r="D177" s="12" t="s">
        <v>430</v>
      </c>
      <c r="E177" s="4"/>
      <c r="F177" s="198">
        <f t="shared" si="4711"/>
        <v>0</v>
      </c>
      <c r="G177" s="140"/>
      <c r="H177" s="110"/>
      <c r="I177" s="137"/>
      <c r="J177" s="97"/>
      <c r="K177" s="138">
        <f t="shared" si="4712"/>
        <v>0</v>
      </c>
      <c r="L177" s="110">
        <f t="shared" si="4712"/>
        <v>0</v>
      </c>
      <c r="M177" s="110"/>
      <c r="N177" s="139"/>
      <c r="O177" s="140" t="e">
        <f t="shared" si="4155"/>
        <v>#DIV/0!</v>
      </c>
      <c r="P177" s="198">
        <f t="shared" si="4713"/>
        <v>0</v>
      </c>
      <c r="Q177" s="140"/>
      <c r="R177" s="110"/>
      <c r="S177" s="137"/>
      <c r="T177" s="97"/>
      <c r="U177" s="138">
        <f t="shared" ref="U177:V177" si="4779">U32+U61+U90+U119+U148</f>
        <v>0</v>
      </c>
      <c r="V177" s="110">
        <f t="shared" si="4779"/>
        <v>0</v>
      </c>
      <c r="W177" s="110"/>
      <c r="X177" s="139"/>
      <c r="Y177" s="140" t="e">
        <f t="shared" si="4715"/>
        <v>#DIV/0!</v>
      </c>
      <c r="Z177" s="198">
        <f t="shared" si="4713"/>
        <v>0</v>
      </c>
      <c r="AA177" s="140"/>
      <c r="AB177" s="110"/>
      <c r="AC177" s="137"/>
      <c r="AD177" s="97"/>
      <c r="AE177" s="138">
        <f t="shared" ref="AE177:AF177" si="4780">AE32+AE61+AE90+AE119+AE148</f>
        <v>0</v>
      </c>
      <c r="AF177" s="110">
        <f t="shared" si="4780"/>
        <v>0</v>
      </c>
      <c r="AG177" s="110"/>
      <c r="AH177" s="139"/>
      <c r="AI177" s="140" t="e">
        <f t="shared" si="4717"/>
        <v>#DIV/0!</v>
      </c>
      <c r="AJ177" s="198">
        <f t="shared" si="4713"/>
        <v>0</v>
      </c>
      <c r="AK177" s="140"/>
      <c r="AL177" s="110"/>
      <c r="AM177" s="137"/>
      <c r="AN177" s="97"/>
      <c r="AO177" s="138">
        <f t="shared" ref="AO177:AP177" si="4781">AO32+AO61+AO90+AO119+AO148</f>
        <v>0</v>
      </c>
      <c r="AP177" s="110">
        <f t="shared" si="4781"/>
        <v>0</v>
      </c>
      <c r="AQ177" s="110"/>
      <c r="AR177" s="139"/>
      <c r="AS177" s="140" t="e">
        <f t="shared" si="4719"/>
        <v>#DIV/0!</v>
      </c>
      <c r="AT177" s="198">
        <f t="shared" si="4713"/>
        <v>0</v>
      </c>
      <c r="AU177" s="140"/>
      <c r="AV177" s="110"/>
      <c r="AW177" s="137"/>
      <c r="AX177" s="97"/>
      <c r="AY177" s="138">
        <f t="shared" ref="AY177:AZ177" si="4782">AY32+AY61+AY90+AY119+AY148</f>
        <v>0</v>
      </c>
      <c r="AZ177" s="110">
        <f t="shared" si="4782"/>
        <v>0</v>
      </c>
      <c r="BA177" s="110"/>
      <c r="BB177" s="139"/>
      <c r="BC177" s="140" t="e">
        <f t="shared" si="4721"/>
        <v>#DIV/0!</v>
      </c>
      <c r="BD177" s="198">
        <f t="shared" si="4713"/>
        <v>0</v>
      </c>
      <c r="BE177" s="140"/>
      <c r="BF177" s="110"/>
      <c r="BG177" s="137"/>
      <c r="BH177" s="97"/>
      <c r="BI177" s="138">
        <f t="shared" ref="BI177:BJ177" si="4783">BI32+BI61+BI90+BI119+BI148</f>
        <v>0</v>
      </c>
      <c r="BJ177" s="110">
        <f t="shared" si="4783"/>
        <v>0</v>
      </c>
      <c r="BK177" s="110"/>
      <c r="BL177" s="139"/>
      <c r="BM177" s="140" t="e">
        <f t="shared" si="4723"/>
        <v>#DIV/0!</v>
      </c>
      <c r="BN177" s="198">
        <f t="shared" si="4713"/>
        <v>0</v>
      </c>
      <c r="BO177" s="140"/>
      <c r="BP177" s="110"/>
      <c r="BQ177" s="137"/>
      <c r="BR177" s="97"/>
      <c r="BS177" s="138">
        <f t="shared" ref="BS177:BT177" si="4784">BS32+BS61+BS90+BS119+BS148</f>
        <v>0</v>
      </c>
      <c r="BT177" s="110">
        <f t="shared" si="4784"/>
        <v>0</v>
      </c>
      <c r="BU177" s="110"/>
      <c r="BV177" s="139"/>
      <c r="BW177" s="140" t="e">
        <f t="shared" si="4725"/>
        <v>#DIV/0!</v>
      </c>
      <c r="BX177" s="198">
        <f t="shared" si="4713"/>
        <v>0</v>
      </c>
      <c r="BY177" s="140"/>
      <c r="BZ177" s="110"/>
      <c r="CA177" s="137"/>
      <c r="CB177" s="97"/>
      <c r="CC177" s="138">
        <f t="shared" ref="CC177:CD177" si="4785">CC32+CC61+CC90+CC119+CC148</f>
        <v>0</v>
      </c>
      <c r="CD177" s="110">
        <f t="shared" si="4785"/>
        <v>0</v>
      </c>
      <c r="CE177" s="110"/>
      <c r="CF177" s="139"/>
      <c r="CG177" s="140" t="e">
        <f t="shared" si="4727"/>
        <v>#DIV/0!</v>
      </c>
      <c r="CH177" s="198">
        <f t="shared" si="4728"/>
        <v>0</v>
      </c>
      <c r="CI177" s="140"/>
      <c r="CJ177" s="110"/>
      <c r="CK177" s="137"/>
      <c r="CL177" s="97"/>
      <c r="CM177" s="138">
        <f t="shared" ref="CM177:CN177" si="4786">CM32+CM61+CM90+CM119+CM148</f>
        <v>0</v>
      </c>
      <c r="CN177" s="110">
        <f t="shared" si="4786"/>
        <v>0</v>
      </c>
      <c r="CO177" s="110"/>
      <c r="CP177" s="139"/>
      <c r="CQ177" s="140" t="e">
        <f t="shared" si="4730"/>
        <v>#DIV/0!</v>
      </c>
      <c r="CR177" s="198">
        <f t="shared" si="4728"/>
        <v>0</v>
      </c>
      <c r="CS177" s="140"/>
      <c r="CT177" s="110"/>
      <c r="CU177" s="137"/>
      <c r="CV177" s="97"/>
      <c r="CW177" s="138">
        <f t="shared" ref="CW177:CX177" si="4787">CW32+CW61+CW90+CW119+CW148</f>
        <v>0</v>
      </c>
      <c r="CX177" s="110">
        <f t="shared" si="4787"/>
        <v>0</v>
      </c>
      <c r="CY177" s="110"/>
      <c r="CZ177" s="139"/>
      <c r="DA177" s="140" t="e">
        <f t="shared" si="4732"/>
        <v>#DIV/0!</v>
      </c>
      <c r="DB177" s="198">
        <f t="shared" si="4728"/>
        <v>0</v>
      </c>
      <c r="DC177" s="140"/>
      <c r="DD177" s="110"/>
      <c r="DE177" s="137"/>
      <c r="DF177" s="97"/>
      <c r="DG177" s="138">
        <f t="shared" ref="DG177:DH177" si="4788">DG32+DG61+DG90+DG119+DG148</f>
        <v>0</v>
      </c>
      <c r="DH177" s="110">
        <f t="shared" si="4788"/>
        <v>0</v>
      </c>
      <c r="DI177" s="110"/>
      <c r="DJ177" s="139"/>
      <c r="DK177" s="140" t="e">
        <f t="shared" si="4734"/>
        <v>#DIV/0!</v>
      </c>
      <c r="DL177" s="198">
        <f t="shared" si="4728"/>
        <v>0</v>
      </c>
      <c r="DM177" s="140"/>
      <c r="DN177" s="110"/>
      <c r="DO177" s="137"/>
      <c r="DP177" s="97"/>
      <c r="DQ177" s="138">
        <f t="shared" ref="DQ177:DR177" si="4789">DQ32+DQ61+DQ90+DQ119+DQ148</f>
        <v>0</v>
      </c>
      <c r="DR177" s="110">
        <f t="shared" si="4789"/>
        <v>0</v>
      </c>
      <c r="DS177" s="110"/>
      <c r="DT177" s="139"/>
      <c r="DU177" s="140" t="e">
        <f t="shared" si="4736"/>
        <v>#DIV/0!</v>
      </c>
      <c r="DV177" s="198">
        <f t="shared" si="4728"/>
        <v>0</v>
      </c>
      <c r="DW177" s="140"/>
      <c r="DX177" s="110"/>
      <c r="DY177" s="137"/>
      <c r="DZ177" s="97"/>
      <c r="EA177" s="138">
        <f t="shared" ref="EA177:EB177" si="4790">EA32+EA61+EA90+EA119+EA148</f>
        <v>0</v>
      </c>
      <c r="EB177" s="110">
        <f t="shared" si="4790"/>
        <v>0</v>
      </c>
      <c r="EC177" s="110"/>
      <c r="ED177" s="139"/>
      <c r="EE177" s="140" t="e">
        <f t="shared" si="4738"/>
        <v>#DIV/0!</v>
      </c>
      <c r="EF177" s="198">
        <f t="shared" si="4728"/>
        <v>0</v>
      </c>
      <c r="EG177" s="140"/>
      <c r="EH177" s="110"/>
      <c r="EI177" s="137"/>
      <c r="EJ177" s="97"/>
      <c r="EK177" s="138">
        <f t="shared" ref="EK177:EL177" si="4791">EK32+EK61+EK90+EK119+EK148</f>
        <v>0</v>
      </c>
      <c r="EL177" s="110">
        <f t="shared" si="4791"/>
        <v>0</v>
      </c>
      <c r="EM177" s="110"/>
      <c r="EN177" s="139"/>
      <c r="EO177" s="140" t="e">
        <f t="shared" si="4740"/>
        <v>#DIV/0!</v>
      </c>
      <c r="EP177" s="198">
        <f t="shared" si="4728"/>
        <v>0</v>
      </c>
      <c r="EQ177" s="140"/>
      <c r="ER177" s="110"/>
      <c r="ES177" s="137"/>
      <c r="ET177" s="97"/>
      <c r="EU177" s="138">
        <f t="shared" ref="EU177:EV177" si="4792">EU32+EU61+EU90+EU119+EU148</f>
        <v>0</v>
      </c>
      <c r="EV177" s="110">
        <f t="shared" si="4792"/>
        <v>0</v>
      </c>
      <c r="EW177" s="110"/>
      <c r="EX177" s="139"/>
      <c r="EY177" s="140" t="e">
        <f t="shared" si="4742"/>
        <v>#DIV/0!</v>
      </c>
      <c r="EZ177" s="198">
        <f t="shared" si="4743"/>
        <v>0</v>
      </c>
      <c r="FA177" s="140"/>
      <c r="FB177" s="110"/>
      <c r="FC177" s="137"/>
      <c r="FD177" s="97"/>
      <c r="FE177" s="138">
        <f t="shared" ref="FE177:FF177" si="4793">FE32+FE61+FE90+FE119+FE148</f>
        <v>0</v>
      </c>
      <c r="FF177" s="110">
        <f t="shared" si="4793"/>
        <v>0</v>
      </c>
      <c r="FG177" s="110"/>
      <c r="FH177" s="139"/>
      <c r="FI177" s="140" t="e">
        <f t="shared" si="4745"/>
        <v>#DIV/0!</v>
      </c>
      <c r="FJ177" s="198">
        <f t="shared" si="4743"/>
        <v>0</v>
      </c>
      <c r="FK177" s="140"/>
      <c r="FL177" s="110"/>
      <c r="FM177" s="137"/>
      <c r="FN177" s="97"/>
      <c r="FO177" s="138">
        <f t="shared" ref="FO177:FP177" si="4794">FO32+FO61+FO90+FO119+FO148</f>
        <v>0</v>
      </c>
      <c r="FP177" s="110">
        <f t="shared" si="4794"/>
        <v>0</v>
      </c>
      <c r="FQ177" s="110"/>
      <c r="FR177" s="139"/>
      <c r="FS177" s="140" t="e">
        <f t="shared" si="4747"/>
        <v>#DIV/0!</v>
      </c>
      <c r="FT177" s="198">
        <f t="shared" si="4743"/>
        <v>0</v>
      </c>
      <c r="FU177" s="140"/>
      <c r="FV177" s="110"/>
      <c r="FW177" s="137"/>
      <c r="FX177" s="97"/>
      <c r="FY177" s="138">
        <f t="shared" ref="FY177:FZ177" si="4795">FY32+FY61+FY90+FY119+FY148</f>
        <v>0</v>
      </c>
      <c r="FZ177" s="110">
        <f t="shared" si="4795"/>
        <v>0</v>
      </c>
      <c r="GA177" s="110"/>
      <c r="GB177" s="139"/>
      <c r="GC177" s="140" t="e">
        <f t="shared" si="4749"/>
        <v>#DIV/0!</v>
      </c>
      <c r="GD177" s="198">
        <f t="shared" si="4743"/>
        <v>0</v>
      </c>
      <c r="GE177" s="140"/>
      <c r="GF177" s="110"/>
      <c r="GG177" s="137"/>
      <c r="GH177" s="97"/>
      <c r="GI177" s="138">
        <f t="shared" ref="GI177:GJ177" si="4796">GI32+GI61+GI90+GI119+GI148</f>
        <v>0</v>
      </c>
      <c r="GJ177" s="110">
        <f t="shared" si="4796"/>
        <v>0</v>
      </c>
      <c r="GK177" s="110"/>
      <c r="GL177" s="139"/>
      <c r="GM177" s="140" t="e">
        <f t="shared" si="4751"/>
        <v>#DIV/0!</v>
      </c>
      <c r="GN177" s="198">
        <f t="shared" si="4743"/>
        <v>0</v>
      </c>
      <c r="GO177" s="140"/>
      <c r="GP177" s="110"/>
      <c r="GQ177" s="137"/>
      <c r="GR177" s="97"/>
      <c r="GS177" s="138">
        <f t="shared" ref="GS177:GT177" si="4797">GS32+GS61+GS90+GS119+GS148</f>
        <v>0</v>
      </c>
      <c r="GT177" s="110">
        <f t="shared" si="4797"/>
        <v>0</v>
      </c>
      <c r="GU177" s="110"/>
      <c r="GV177" s="139"/>
      <c r="GW177" s="140" t="e">
        <f t="shared" si="4753"/>
        <v>#DIV/0!</v>
      </c>
      <c r="GX177" s="198">
        <f t="shared" si="4743"/>
        <v>0</v>
      </c>
      <c r="GY177" s="140"/>
      <c r="GZ177" s="110"/>
      <c r="HA177" s="137"/>
      <c r="HB177" s="97"/>
      <c r="HC177" s="138">
        <f t="shared" ref="HC177:HD177" si="4798">HC32+HC61+HC90+HC119+HC148</f>
        <v>0</v>
      </c>
      <c r="HD177" s="110">
        <f t="shared" si="4798"/>
        <v>0</v>
      </c>
      <c r="HE177" s="110"/>
      <c r="HF177" s="139"/>
      <c r="HG177" s="140" t="e">
        <f t="shared" si="4755"/>
        <v>#DIV/0!</v>
      </c>
      <c r="HH177" s="198">
        <f t="shared" si="4743"/>
        <v>0</v>
      </c>
      <c r="HI177" s="140"/>
      <c r="HJ177" s="110"/>
      <c r="HK177" s="137"/>
      <c r="HL177" s="97"/>
      <c r="HM177" s="138">
        <f t="shared" ref="HM177:HN177" si="4799">HM32+HM61+HM90+HM119+HM148</f>
        <v>0</v>
      </c>
      <c r="HN177" s="110">
        <f t="shared" si="4799"/>
        <v>0</v>
      </c>
      <c r="HO177" s="110"/>
      <c r="HP177" s="139"/>
      <c r="HQ177" s="140" t="e">
        <f t="shared" si="4757"/>
        <v>#DIV/0!</v>
      </c>
      <c r="HR177" s="198">
        <f t="shared" si="4758"/>
        <v>0</v>
      </c>
      <c r="HS177" s="140"/>
      <c r="HT177" s="110"/>
      <c r="HU177" s="137"/>
      <c r="HV177" s="97"/>
      <c r="HW177" s="138">
        <f t="shared" ref="HW177:HX177" si="4800">HW32+HW61+HW90+HW119+HW148</f>
        <v>0</v>
      </c>
      <c r="HX177" s="110">
        <f t="shared" si="4800"/>
        <v>0</v>
      </c>
      <c r="HY177" s="110"/>
      <c r="HZ177" s="139"/>
      <c r="IA177" s="140" t="e">
        <f t="shared" si="4760"/>
        <v>#DIV/0!</v>
      </c>
      <c r="IB177" s="198">
        <f t="shared" si="4758"/>
        <v>0</v>
      </c>
      <c r="IC177" s="140"/>
      <c r="ID177" s="110"/>
      <c r="IE177" s="137"/>
      <c r="IF177" s="97"/>
      <c r="IG177" s="138">
        <f t="shared" ref="IG177:IH177" si="4801">IG32+IG61+IG90+IG119+IG148</f>
        <v>0</v>
      </c>
      <c r="IH177" s="110">
        <f t="shared" si="4801"/>
        <v>0</v>
      </c>
      <c r="II177" s="110"/>
      <c r="IJ177" s="139"/>
      <c r="IK177" s="140" t="e">
        <f t="shared" si="4762"/>
        <v>#DIV/0!</v>
      </c>
      <c r="IL177" s="198">
        <f t="shared" si="4758"/>
        <v>0</v>
      </c>
      <c r="IM177" s="140"/>
      <c r="IN177" s="110"/>
      <c r="IO177" s="137"/>
      <c r="IP177" s="97"/>
      <c r="IQ177" s="138">
        <f t="shared" ref="IQ177:IR177" si="4802">IQ32+IQ61+IQ90+IQ119+IQ148</f>
        <v>0</v>
      </c>
      <c r="IR177" s="110">
        <f t="shared" si="4802"/>
        <v>0</v>
      </c>
      <c r="IS177" s="110"/>
      <c r="IT177" s="139"/>
      <c r="IU177" s="140" t="e">
        <f t="shared" si="4764"/>
        <v>#DIV/0!</v>
      </c>
      <c r="IV177" s="198">
        <f t="shared" si="4758"/>
        <v>0</v>
      </c>
      <c r="IW177" s="140"/>
      <c r="IX177" s="110"/>
      <c r="IY177" s="137"/>
      <c r="IZ177" s="97"/>
      <c r="JA177" s="138">
        <f t="shared" ref="JA177:JB177" si="4803">JA32+JA61+JA90+JA119+JA148</f>
        <v>0</v>
      </c>
      <c r="JB177" s="110">
        <f t="shared" si="4803"/>
        <v>0</v>
      </c>
      <c r="JC177" s="110"/>
      <c r="JD177" s="139"/>
      <c r="JE177" s="140" t="e">
        <f t="shared" si="4766"/>
        <v>#DIV/0!</v>
      </c>
      <c r="JF177" s="198">
        <f t="shared" si="4758"/>
        <v>0</v>
      </c>
      <c r="JG177" s="140"/>
      <c r="JH177" s="110"/>
      <c r="JI177" s="137"/>
      <c r="JJ177" s="97"/>
      <c r="JK177" s="138">
        <f t="shared" ref="JK177:JL177" si="4804">JK32+JK61+JK90+JK119+JK148</f>
        <v>0</v>
      </c>
      <c r="JL177" s="110">
        <f t="shared" si="4804"/>
        <v>0</v>
      </c>
      <c r="JM177" s="110"/>
      <c r="JN177" s="139"/>
      <c r="JO177" s="140" t="e">
        <f t="shared" si="4768"/>
        <v>#DIV/0!</v>
      </c>
      <c r="JP177" s="198">
        <f t="shared" si="4758"/>
        <v>0</v>
      </c>
      <c r="JQ177" s="140"/>
      <c r="JR177" s="110"/>
      <c r="JS177" s="137"/>
      <c r="JT177" s="97"/>
      <c r="JU177" s="138">
        <f t="shared" ref="JU177:JV177" si="4805">JU32+JU61+JU90+JU119+JU148</f>
        <v>0</v>
      </c>
      <c r="JV177" s="110">
        <f t="shared" si="4805"/>
        <v>0</v>
      </c>
      <c r="JW177" s="110"/>
      <c r="JX177" s="139"/>
      <c r="JY177" s="140" t="e">
        <f t="shared" si="4770"/>
        <v>#DIV/0!</v>
      </c>
      <c r="JZ177" s="198">
        <f t="shared" si="4758"/>
        <v>0</v>
      </c>
      <c r="KA177" s="140"/>
      <c r="KB177" s="110"/>
      <c r="KC177" s="137"/>
      <c r="KD177" s="97"/>
      <c r="KE177" s="138">
        <f t="shared" ref="KE177:KF177" si="4806">KE32+KE61+KE90+KE119+KE148</f>
        <v>0</v>
      </c>
      <c r="KF177" s="110">
        <f t="shared" si="4806"/>
        <v>0</v>
      </c>
      <c r="KG177" s="110"/>
      <c r="KH177" s="139"/>
      <c r="KI177" s="140" t="e">
        <f t="shared" si="4772"/>
        <v>#DIV/0!</v>
      </c>
      <c r="KJ177" s="198">
        <f t="shared" si="4773"/>
        <v>0</v>
      </c>
      <c r="KK177" s="140"/>
      <c r="KL177" s="110"/>
      <c r="KM177" s="137"/>
      <c r="KN177" s="97"/>
      <c r="KO177" s="138">
        <f t="shared" ref="KO177:KP177" si="4807">KO32+KO61+KO90+KO119+KO148</f>
        <v>0</v>
      </c>
      <c r="KP177" s="110">
        <f t="shared" si="4807"/>
        <v>0</v>
      </c>
      <c r="KQ177" s="110"/>
      <c r="KR177" s="139"/>
      <c r="KS177" s="140" t="e">
        <f t="shared" si="4775"/>
        <v>#DIV/0!</v>
      </c>
      <c r="KT177" s="198">
        <f t="shared" si="4773"/>
        <v>0</v>
      </c>
      <c r="KU177" s="140"/>
      <c r="KV177" s="110"/>
      <c r="KW177" s="137"/>
      <c r="KX177" s="97"/>
      <c r="KY177" s="138">
        <f t="shared" ref="KY177:KZ177" si="4808">KY32+KY61+KY90+KY119+KY148</f>
        <v>0</v>
      </c>
      <c r="KZ177" s="110">
        <f t="shared" si="4808"/>
        <v>0</v>
      </c>
      <c r="LA177" s="110"/>
      <c r="LB177" s="139"/>
      <c r="LC177" s="140" t="e">
        <f t="shared" si="4777"/>
        <v>#DIV/0!</v>
      </c>
      <c r="LD177" s="197">
        <f t="shared" si="4221"/>
        <v>0</v>
      </c>
      <c r="LE177" s="140"/>
      <c r="LF177" s="110"/>
      <c r="LG177" s="137"/>
      <c r="LH177" s="97"/>
      <c r="LI177" s="138">
        <f t="shared" si="4778"/>
        <v>0</v>
      </c>
      <c r="LJ177" s="110">
        <f t="shared" si="4778"/>
        <v>0</v>
      </c>
      <c r="LK177" s="110"/>
      <c r="LL177" s="139"/>
    </row>
    <row r="178" spans="1:324" ht="16.5" hidden="1" customHeight="1" x14ac:dyDescent="0.25">
      <c r="A178" s="246"/>
      <c r="B178" s="92" t="s">
        <v>625</v>
      </c>
      <c r="C178" s="12" t="s">
        <v>728</v>
      </c>
      <c r="D178" s="12" t="s">
        <v>430</v>
      </c>
      <c r="E178" s="4"/>
      <c r="F178" s="198">
        <f t="shared" si="4711"/>
        <v>0</v>
      </c>
      <c r="G178" s="140"/>
      <c r="H178" s="110"/>
      <c r="I178" s="137"/>
      <c r="J178" s="97"/>
      <c r="K178" s="138">
        <f t="shared" si="4712"/>
        <v>0</v>
      </c>
      <c r="L178" s="110">
        <f t="shared" si="4712"/>
        <v>0</v>
      </c>
      <c r="M178" s="110"/>
      <c r="N178" s="139"/>
      <c r="O178" s="140" t="e">
        <f t="shared" si="4155"/>
        <v>#DIV/0!</v>
      </c>
      <c r="P178" s="198">
        <f t="shared" si="4713"/>
        <v>0</v>
      </c>
      <c r="Q178" s="140"/>
      <c r="R178" s="110"/>
      <c r="S178" s="137"/>
      <c r="T178" s="97"/>
      <c r="U178" s="138">
        <f t="shared" ref="U178:V178" si="4809">U33+U62+U91+U120+U149</f>
        <v>0</v>
      </c>
      <c r="V178" s="110">
        <f t="shared" si="4809"/>
        <v>0</v>
      </c>
      <c r="W178" s="110"/>
      <c r="X178" s="139"/>
      <c r="Y178" s="140" t="e">
        <f t="shared" si="4715"/>
        <v>#DIV/0!</v>
      </c>
      <c r="Z178" s="198">
        <f t="shared" si="4713"/>
        <v>0</v>
      </c>
      <c r="AA178" s="140"/>
      <c r="AB178" s="110"/>
      <c r="AC178" s="137"/>
      <c r="AD178" s="97"/>
      <c r="AE178" s="138">
        <f t="shared" ref="AE178:AF178" si="4810">AE33+AE62+AE91+AE120+AE149</f>
        <v>0</v>
      </c>
      <c r="AF178" s="110">
        <f t="shared" si="4810"/>
        <v>0</v>
      </c>
      <c r="AG178" s="110"/>
      <c r="AH178" s="139"/>
      <c r="AI178" s="140" t="e">
        <f t="shared" si="4717"/>
        <v>#DIV/0!</v>
      </c>
      <c r="AJ178" s="198">
        <f t="shared" si="4713"/>
        <v>0</v>
      </c>
      <c r="AK178" s="140"/>
      <c r="AL178" s="110"/>
      <c r="AM178" s="137"/>
      <c r="AN178" s="97"/>
      <c r="AO178" s="138">
        <f t="shared" ref="AO178:AP178" si="4811">AO33+AO62+AO91+AO120+AO149</f>
        <v>0</v>
      </c>
      <c r="AP178" s="110">
        <f t="shared" si="4811"/>
        <v>0</v>
      </c>
      <c r="AQ178" s="110"/>
      <c r="AR178" s="139"/>
      <c r="AS178" s="140" t="e">
        <f t="shared" si="4719"/>
        <v>#DIV/0!</v>
      </c>
      <c r="AT178" s="198">
        <f t="shared" si="4713"/>
        <v>0</v>
      </c>
      <c r="AU178" s="140"/>
      <c r="AV178" s="110"/>
      <c r="AW178" s="137"/>
      <c r="AX178" s="97"/>
      <c r="AY178" s="138">
        <f t="shared" ref="AY178:AZ178" si="4812">AY33+AY62+AY91+AY120+AY149</f>
        <v>0</v>
      </c>
      <c r="AZ178" s="110">
        <f t="shared" si="4812"/>
        <v>0</v>
      </c>
      <c r="BA178" s="110"/>
      <c r="BB178" s="139"/>
      <c r="BC178" s="140" t="e">
        <f t="shared" si="4721"/>
        <v>#DIV/0!</v>
      </c>
      <c r="BD178" s="198">
        <f t="shared" si="4713"/>
        <v>0</v>
      </c>
      <c r="BE178" s="140"/>
      <c r="BF178" s="110"/>
      <c r="BG178" s="137"/>
      <c r="BH178" s="97"/>
      <c r="BI178" s="138">
        <f t="shared" ref="BI178:BJ178" si="4813">BI33+BI62+BI91+BI120+BI149</f>
        <v>0</v>
      </c>
      <c r="BJ178" s="110">
        <f t="shared" si="4813"/>
        <v>0</v>
      </c>
      <c r="BK178" s="110"/>
      <c r="BL178" s="139"/>
      <c r="BM178" s="140" t="e">
        <f t="shared" si="4723"/>
        <v>#DIV/0!</v>
      </c>
      <c r="BN178" s="198">
        <f t="shared" si="4713"/>
        <v>0</v>
      </c>
      <c r="BO178" s="140"/>
      <c r="BP178" s="110"/>
      <c r="BQ178" s="137"/>
      <c r="BR178" s="97"/>
      <c r="BS178" s="138">
        <f t="shared" ref="BS178:BT178" si="4814">BS33+BS62+BS91+BS120+BS149</f>
        <v>0</v>
      </c>
      <c r="BT178" s="110">
        <f t="shared" si="4814"/>
        <v>0</v>
      </c>
      <c r="BU178" s="110"/>
      <c r="BV178" s="139"/>
      <c r="BW178" s="140" t="e">
        <f t="shared" si="4725"/>
        <v>#DIV/0!</v>
      </c>
      <c r="BX178" s="198">
        <f t="shared" si="4713"/>
        <v>0</v>
      </c>
      <c r="BY178" s="140"/>
      <c r="BZ178" s="110"/>
      <c r="CA178" s="137"/>
      <c r="CB178" s="97"/>
      <c r="CC178" s="138">
        <f t="shared" ref="CC178:CD178" si="4815">CC33+CC62+CC91+CC120+CC149</f>
        <v>0</v>
      </c>
      <c r="CD178" s="110">
        <f t="shared" si="4815"/>
        <v>0</v>
      </c>
      <c r="CE178" s="110"/>
      <c r="CF178" s="139"/>
      <c r="CG178" s="140" t="e">
        <f t="shared" si="4727"/>
        <v>#DIV/0!</v>
      </c>
      <c r="CH178" s="198">
        <f t="shared" si="4728"/>
        <v>0</v>
      </c>
      <c r="CI178" s="140"/>
      <c r="CJ178" s="110"/>
      <c r="CK178" s="137"/>
      <c r="CL178" s="97"/>
      <c r="CM178" s="138">
        <f t="shared" ref="CM178:CN178" si="4816">CM33+CM62+CM91+CM120+CM149</f>
        <v>0</v>
      </c>
      <c r="CN178" s="110">
        <f t="shared" si="4816"/>
        <v>0</v>
      </c>
      <c r="CO178" s="110"/>
      <c r="CP178" s="139"/>
      <c r="CQ178" s="140" t="e">
        <f t="shared" si="4730"/>
        <v>#DIV/0!</v>
      </c>
      <c r="CR178" s="198">
        <f t="shared" si="4728"/>
        <v>0</v>
      </c>
      <c r="CS178" s="140"/>
      <c r="CT178" s="110"/>
      <c r="CU178" s="137"/>
      <c r="CV178" s="97"/>
      <c r="CW178" s="138">
        <f t="shared" ref="CW178:CX178" si="4817">CW33+CW62+CW91+CW120+CW149</f>
        <v>0</v>
      </c>
      <c r="CX178" s="110">
        <f t="shared" si="4817"/>
        <v>0</v>
      </c>
      <c r="CY178" s="110"/>
      <c r="CZ178" s="139"/>
      <c r="DA178" s="140" t="e">
        <f t="shared" si="4732"/>
        <v>#DIV/0!</v>
      </c>
      <c r="DB178" s="198">
        <f t="shared" si="4728"/>
        <v>0</v>
      </c>
      <c r="DC178" s="140"/>
      <c r="DD178" s="110"/>
      <c r="DE178" s="137"/>
      <c r="DF178" s="97"/>
      <c r="DG178" s="138">
        <f t="shared" ref="DG178:DH178" si="4818">DG33+DG62+DG91+DG120+DG149</f>
        <v>0</v>
      </c>
      <c r="DH178" s="110">
        <f t="shared" si="4818"/>
        <v>0</v>
      </c>
      <c r="DI178" s="110"/>
      <c r="DJ178" s="139"/>
      <c r="DK178" s="140" t="e">
        <f t="shared" si="4734"/>
        <v>#DIV/0!</v>
      </c>
      <c r="DL178" s="198">
        <f t="shared" si="4728"/>
        <v>0</v>
      </c>
      <c r="DM178" s="140"/>
      <c r="DN178" s="110"/>
      <c r="DO178" s="137"/>
      <c r="DP178" s="97"/>
      <c r="DQ178" s="138">
        <f t="shared" ref="DQ178:DR178" si="4819">DQ33+DQ62+DQ91+DQ120+DQ149</f>
        <v>0</v>
      </c>
      <c r="DR178" s="110">
        <f t="shared" si="4819"/>
        <v>0</v>
      </c>
      <c r="DS178" s="110"/>
      <c r="DT178" s="139"/>
      <c r="DU178" s="140" t="e">
        <f t="shared" si="4736"/>
        <v>#DIV/0!</v>
      </c>
      <c r="DV178" s="198">
        <f t="shared" si="4728"/>
        <v>0</v>
      </c>
      <c r="DW178" s="140"/>
      <c r="DX178" s="110"/>
      <c r="DY178" s="137"/>
      <c r="DZ178" s="97"/>
      <c r="EA178" s="138">
        <f t="shared" ref="EA178:EB178" si="4820">EA33+EA62+EA91+EA120+EA149</f>
        <v>0</v>
      </c>
      <c r="EB178" s="110">
        <f t="shared" si="4820"/>
        <v>0</v>
      </c>
      <c r="EC178" s="110"/>
      <c r="ED178" s="139"/>
      <c r="EE178" s="140" t="e">
        <f t="shared" si="4738"/>
        <v>#DIV/0!</v>
      </c>
      <c r="EF178" s="198">
        <f t="shared" si="4728"/>
        <v>0</v>
      </c>
      <c r="EG178" s="140"/>
      <c r="EH178" s="110"/>
      <c r="EI178" s="137"/>
      <c r="EJ178" s="97"/>
      <c r="EK178" s="138">
        <f t="shared" ref="EK178:EL178" si="4821">EK33+EK62+EK91+EK120+EK149</f>
        <v>0</v>
      </c>
      <c r="EL178" s="110">
        <f t="shared" si="4821"/>
        <v>0</v>
      </c>
      <c r="EM178" s="110"/>
      <c r="EN178" s="139"/>
      <c r="EO178" s="140" t="e">
        <f t="shared" si="4740"/>
        <v>#DIV/0!</v>
      </c>
      <c r="EP178" s="198">
        <f t="shared" si="4728"/>
        <v>0</v>
      </c>
      <c r="EQ178" s="140"/>
      <c r="ER178" s="110"/>
      <c r="ES178" s="137"/>
      <c r="ET178" s="97"/>
      <c r="EU178" s="138">
        <f t="shared" ref="EU178:EV178" si="4822">EU33+EU62+EU91+EU120+EU149</f>
        <v>0</v>
      </c>
      <c r="EV178" s="110">
        <f t="shared" si="4822"/>
        <v>0</v>
      </c>
      <c r="EW178" s="110"/>
      <c r="EX178" s="139"/>
      <c r="EY178" s="140" t="e">
        <f t="shared" si="4742"/>
        <v>#DIV/0!</v>
      </c>
      <c r="EZ178" s="198">
        <f t="shared" si="4743"/>
        <v>0</v>
      </c>
      <c r="FA178" s="140"/>
      <c r="FB178" s="110"/>
      <c r="FC178" s="137"/>
      <c r="FD178" s="97"/>
      <c r="FE178" s="138">
        <f t="shared" ref="FE178:FF178" si="4823">FE33+FE62+FE91+FE120+FE149</f>
        <v>0</v>
      </c>
      <c r="FF178" s="110">
        <f t="shared" si="4823"/>
        <v>0</v>
      </c>
      <c r="FG178" s="110"/>
      <c r="FH178" s="139"/>
      <c r="FI178" s="140" t="e">
        <f t="shared" si="4745"/>
        <v>#DIV/0!</v>
      </c>
      <c r="FJ178" s="198">
        <f t="shared" si="4743"/>
        <v>0</v>
      </c>
      <c r="FK178" s="140"/>
      <c r="FL178" s="110"/>
      <c r="FM178" s="137"/>
      <c r="FN178" s="97"/>
      <c r="FO178" s="138">
        <f t="shared" ref="FO178:FP178" si="4824">FO33+FO62+FO91+FO120+FO149</f>
        <v>0</v>
      </c>
      <c r="FP178" s="110">
        <f t="shared" si="4824"/>
        <v>0</v>
      </c>
      <c r="FQ178" s="110"/>
      <c r="FR178" s="139"/>
      <c r="FS178" s="140" t="e">
        <f t="shared" si="4747"/>
        <v>#DIV/0!</v>
      </c>
      <c r="FT178" s="198">
        <f t="shared" si="4743"/>
        <v>0</v>
      </c>
      <c r="FU178" s="140"/>
      <c r="FV178" s="110"/>
      <c r="FW178" s="137"/>
      <c r="FX178" s="97"/>
      <c r="FY178" s="138">
        <f t="shared" ref="FY178:FZ178" si="4825">FY33+FY62+FY91+FY120+FY149</f>
        <v>0</v>
      </c>
      <c r="FZ178" s="110">
        <f t="shared" si="4825"/>
        <v>0</v>
      </c>
      <c r="GA178" s="110"/>
      <c r="GB178" s="139"/>
      <c r="GC178" s="140" t="e">
        <f t="shared" si="4749"/>
        <v>#DIV/0!</v>
      </c>
      <c r="GD178" s="198">
        <f t="shared" si="4743"/>
        <v>0</v>
      </c>
      <c r="GE178" s="140"/>
      <c r="GF178" s="110"/>
      <c r="GG178" s="137"/>
      <c r="GH178" s="97"/>
      <c r="GI178" s="138">
        <f t="shared" ref="GI178:GJ178" si="4826">GI33+GI62+GI91+GI120+GI149</f>
        <v>0</v>
      </c>
      <c r="GJ178" s="110">
        <f t="shared" si="4826"/>
        <v>0</v>
      </c>
      <c r="GK178" s="110"/>
      <c r="GL178" s="139"/>
      <c r="GM178" s="140" t="e">
        <f t="shared" si="4751"/>
        <v>#DIV/0!</v>
      </c>
      <c r="GN178" s="198">
        <f t="shared" si="4743"/>
        <v>0</v>
      </c>
      <c r="GO178" s="140"/>
      <c r="GP178" s="110"/>
      <c r="GQ178" s="137"/>
      <c r="GR178" s="97"/>
      <c r="GS178" s="138">
        <f t="shared" ref="GS178:GT178" si="4827">GS33+GS62+GS91+GS120+GS149</f>
        <v>0</v>
      </c>
      <c r="GT178" s="110">
        <f t="shared" si="4827"/>
        <v>0</v>
      </c>
      <c r="GU178" s="110"/>
      <c r="GV178" s="139"/>
      <c r="GW178" s="140" t="e">
        <f t="shared" si="4753"/>
        <v>#DIV/0!</v>
      </c>
      <c r="GX178" s="198">
        <f t="shared" si="4743"/>
        <v>0</v>
      </c>
      <c r="GY178" s="140"/>
      <c r="GZ178" s="110"/>
      <c r="HA178" s="137"/>
      <c r="HB178" s="97"/>
      <c r="HC178" s="138">
        <f t="shared" ref="HC178:HD178" si="4828">HC33+HC62+HC91+HC120+HC149</f>
        <v>0</v>
      </c>
      <c r="HD178" s="110">
        <f t="shared" si="4828"/>
        <v>0</v>
      </c>
      <c r="HE178" s="110"/>
      <c r="HF178" s="139"/>
      <c r="HG178" s="140" t="e">
        <f t="shared" si="4755"/>
        <v>#DIV/0!</v>
      </c>
      <c r="HH178" s="198">
        <f t="shared" si="4743"/>
        <v>0</v>
      </c>
      <c r="HI178" s="140"/>
      <c r="HJ178" s="110"/>
      <c r="HK178" s="137"/>
      <c r="HL178" s="97"/>
      <c r="HM178" s="138">
        <f t="shared" ref="HM178:HN178" si="4829">HM33+HM62+HM91+HM120+HM149</f>
        <v>0</v>
      </c>
      <c r="HN178" s="110">
        <f t="shared" si="4829"/>
        <v>0</v>
      </c>
      <c r="HO178" s="110"/>
      <c r="HP178" s="139"/>
      <c r="HQ178" s="140" t="e">
        <f t="shared" si="4757"/>
        <v>#DIV/0!</v>
      </c>
      <c r="HR178" s="198">
        <f t="shared" si="4758"/>
        <v>0</v>
      </c>
      <c r="HS178" s="140"/>
      <c r="HT178" s="110"/>
      <c r="HU178" s="137"/>
      <c r="HV178" s="97"/>
      <c r="HW178" s="138">
        <f t="shared" ref="HW178:HX178" si="4830">HW33+HW62+HW91+HW120+HW149</f>
        <v>0</v>
      </c>
      <c r="HX178" s="110">
        <f t="shared" si="4830"/>
        <v>0</v>
      </c>
      <c r="HY178" s="110"/>
      <c r="HZ178" s="139"/>
      <c r="IA178" s="140" t="e">
        <f t="shared" si="4760"/>
        <v>#DIV/0!</v>
      </c>
      <c r="IB178" s="198">
        <f t="shared" si="4758"/>
        <v>0</v>
      </c>
      <c r="IC178" s="140"/>
      <c r="ID178" s="110"/>
      <c r="IE178" s="137"/>
      <c r="IF178" s="97"/>
      <c r="IG178" s="138">
        <f t="shared" ref="IG178:IH178" si="4831">IG33+IG62+IG91+IG120+IG149</f>
        <v>0</v>
      </c>
      <c r="IH178" s="110">
        <f t="shared" si="4831"/>
        <v>0</v>
      </c>
      <c r="II178" s="110"/>
      <c r="IJ178" s="139"/>
      <c r="IK178" s="140" t="e">
        <f t="shared" si="4762"/>
        <v>#DIV/0!</v>
      </c>
      <c r="IL178" s="198">
        <f t="shared" si="4758"/>
        <v>0</v>
      </c>
      <c r="IM178" s="140"/>
      <c r="IN178" s="110"/>
      <c r="IO178" s="137"/>
      <c r="IP178" s="97"/>
      <c r="IQ178" s="138">
        <f t="shared" ref="IQ178:IR178" si="4832">IQ33+IQ62+IQ91+IQ120+IQ149</f>
        <v>0</v>
      </c>
      <c r="IR178" s="110">
        <f t="shared" si="4832"/>
        <v>0</v>
      </c>
      <c r="IS178" s="110"/>
      <c r="IT178" s="139"/>
      <c r="IU178" s="140" t="e">
        <f t="shared" si="4764"/>
        <v>#DIV/0!</v>
      </c>
      <c r="IV178" s="198">
        <f t="shared" si="4758"/>
        <v>0</v>
      </c>
      <c r="IW178" s="140"/>
      <c r="IX178" s="110"/>
      <c r="IY178" s="137"/>
      <c r="IZ178" s="97"/>
      <c r="JA178" s="138">
        <f t="shared" ref="JA178:JB178" si="4833">JA33+JA62+JA91+JA120+JA149</f>
        <v>0</v>
      </c>
      <c r="JB178" s="110">
        <f t="shared" si="4833"/>
        <v>0</v>
      </c>
      <c r="JC178" s="110"/>
      <c r="JD178" s="139"/>
      <c r="JE178" s="140" t="e">
        <f t="shared" si="4766"/>
        <v>#DIV/0!</v>
      </c>
      <c r="JF178" s="198">
        <f t="shared" si="4758"/>
        <v>0</v>
      </c>
      <c r="JG178" s="140"/>
      <c r="JH178" s="110"/>
      <c r="JI178" s="137"/>
      <c r="JJ178" s="97"/>
      <c r="JK178" s="138">
        <f t="shared" ref="JK178:JL178" si="4834">JK33+JK62+JK91+JK120+JK149</f>
        <v>0</v>
      </c>
      <c r="JL178" s="110">
        <f t="shared" si="4834"/>
        <v>0</v>
      </c>
      <c r="JM178" s="110"/>
      <c r="JN178" s="139"/>
      <c r="JO178" s="140" t="e">
        <f t="shared" si="4768"/>
        <v>#DIV/0!</v>
      </c>
      <c r="JP178" s="198">
        <f t="shared" si="4758"/>
        <v>0</v>
      </c>
      <c r="JQ178" s="140"/>
      <c r="JR178" s="110"/>
      <c r="JS178" s="137"/>
      <c r="JT178" s="97"/>
      <c r="JU178" s="138">
        <f t="shared" ref="JU178:JV178" si="4835">JU33+JU62+JU91+JU120+JU149</f>
        <v>0</v>
      </c>
      <c r="JV178" s="110">
        <f t="shared" si="4835"/>
        <v>0</v>
      </c>
      <c r="JW178" s="110"/>
      <c r="JX178" s="139"/>
      <c r="JY178" s="140" t="e">
        <f t="shared" si="4770"/>
        <v>#DIV/0!</v>
      </c>
      <c r="JZ178" s="198">
        <f t="shared" si="4758"/>
        <v>0</v>
      </c>
      <c r="KA178" s="140"/>
      <c r="KB178" s="110"/>
      <c r="KC178" s="137"/>
      <c r="KD178" s="97"/>
      <c r="KE178" s="138">
        <f t="shared" ref="KE178:KF178" si="4836">KE33+KE62+KE91+KE120+KE149</f>
        <v>0</v>
      </c>
      <c r="KF178" s="110">
        <f t="shared" si="4836"/>
        <v>0</v>
      </c>
      <c r="KG178" s="110"/>
      <c r="KH178" s="139"/>
      <c r="KI178" s="140" t="e">
        <f t="shared" si="4772"/>
        <v>#DIV/0!</v>
      </c>
      <c r="KJ178" s="198">
        <f t="shared" si="4773"/>
        <v>0</v>
      </c>
      <c r="KK178" s="140"/>
      <c r="KL178" s="110"/>
      <c r="KM178" s="137"/>
      <c r="KN178" s="97"/>
      <c r="KO178" s="138">
        <f t="shared" ref="KO178:KP178" si="4837">KO33+KO62+KO91+KO120+KO149</f>
        <v>0</v>
      </c>
      <c r="KP178" s="110">
        <f t="shared" si="4837"/>
        <v>0</v>
      </c>
      <c r="KQ178" s="110"/>
      <c r="KR178" s="139"/>
      <c r="KS178" s="140" t="e">
        <f t="shared" si="4775"/>
        <v>#DIV/0!</v>
      </c>
      <c r="KT178" s="198">
        <f t="shared" si="4773"/>
        <v>0</v>
      </c>
      <c r="KU178" s="140"/>
      <c r="KV178" s="110"/>
      <c r="KW178" s="137"/>
      <c r="KX178" s="97"/>
      <c r="KY178" s="138">
        <f t="shared" ref="KY178:KZ178" si="4838">KY33+KY62+KY91+KY120+KY149</f>
        <v>0</v>
      </c>
      <c r="KZ178" s="110">
        <f t="shared" si="4838"/>
        <v>0</v>
      </c>
      <c r="LA178" s="110"/>
      <c r="LB178" s="139"/>
      <c r="LC178" s="140" t="e">
        <f t="shared" si="4777"/>
        <v>#DIV/0!</v>
      </c>
      <c r="LD178" s="197">
        <f t="shared" si="4221"/>
        <v>0</v>
      </c>
      <c r="LE178" s="140"/>
      <c r="LF178" s="110"/>
      <c r="LG178" s="137"/>
      <c r="LH178" s="97"/>
      <c r="LI178" s="138">
        <f t="shared" si="4778"/>
        <v>0</v>
      </c>
      <c r="LJ178" s="110">
        <f t="shared" si="4778"/>
        <v>0</v>
      </c>
      <c r="LK178" s="110"/>
      <c r="LL178" s="139"/>
    </row>
    <row r="179" spans="1:324" ht="16.5" hidden="1" customHeight="1" x14ac:dyDescent="0.25">
      <c r="A179" s="246"/>
      <c r="B179" s="92" t="s">
        <v>639</v>
      </c>
      <c r="C179" s="12" t="s">
        <v>728</v>
      </c>
      <c r="D179" s="12" t="s">
        <v>430</v>
      </c>
      <c r="E179" s="4"/>
      <c r="F179" s="198">
        <f t="shared" si="4711"/>
        <v>0</v>
      </c>
      <c r="G179" s="140"/>
      <c r="H179" s="110"/>
      <c r="I179" s="137"/>
      <c r="J179" s="97"/>
      <c r="K179" s="138">
        <f t="shared" si="4712"/>
        <v>0</v>
      </c>
      <c r="L179" s="110">
        <f t="shared" si="4712"/>
        <v>0</v>
      </c>
      <c r="M179" s="110"/>
      <c r="N179" s="139"/>
      <c r="O179" s="140" t="e">
        <f t="shared" si="4155"/>
        <v>#DIV/0!</v>
      </c>
      <c r="P179" s="198">
        <f t="shared" si="4713"/>
        <v>0</v>
      </c>
      <c r="Q179" s="140"/>
      <c r="R179" s="110"/>
      <c r="S179" s="137"/>
      <c r="T179" s="97"/>
      <c r="U179" s="138">
        <f t="shared" ref="U179:V179" si="4839">U34+U63+U92+U121+U150</f>
        <v>0</v>
      </c>
      <c r="V179" s="110">
        <f t="shared" si="4839"/>
        <v>0</v>
      </c>
      <c r="W179" s="110"/>
      <c r="X179" s="139"/>
      <c r="Y179" s="140" t="e">
        <f t="shared" si="4715"/>
        <v>#DIV/0!</v>
      </c>
      <c r="Z179" s="198">
        <f t="shared" si="4713"/>
        <v>0</v>
      </c>
      <c r="AA179" s="140"/>
      <c r="AB179" s="110"/>
      <c r="AC179" s="137"/>
      <c r="AD179" s="97"/>
      <c r="AE179" s="138">
        <f t="shared" ref="AE179:AF179" si="4840">AE34+AE63+AE92+AE121+AE150</f>
        <v>0</v>
      </c>
      <c r="AF179" s="110">
        <f t="shared" si="4840"/>
        <v>0</v>
      </c>
      <c r="AG179" s="110"/>
      <c r="AH179" s="139"/>
      <c r="AI179" s="140" t="e">
        <f t="shared" si="4717"/>
        <v>#DIV/0!</v>
      </c>
      <c r="AJ179" s="198">
        <f t="shared" si="4713"/>
        <v>0</v>
      </c>
      <c r="AK179" s="140"/>
      <c r="AL179" s="110"/>
      <c r="AM179" s="137"/>
      <c r="AN179" s="97"/>
      <c r="AO179" s="138">
        <f t="shared" ref="AO179:AP179" si="4841">AO34+AO63+AO92+AO121+AO150</f>
        <v>0</v>
      </c>
      <c r="AP179" s="110">
        <f t="shared" si="4841"/>
        <v>0</v>
      </c>
      <c r="AQ179" s="110"/>
      <c r="AR179" s="139"/>
      <c r="AS179" s="140" t="e">
        <f t="shared" si="4719"/>
        <v>#DIV/0!</v>
      </c>
      <c r="AT179" s="198">
        <f t="shared" si="4713"/>
        <v>0</v>
      </c>
      <c r="AU179" s="140"/>
      <c r="AV179" s="110"/>
      <c r="AW179" s="137"/>
      <c r="AX179" s="97"/>
      <c r="AY179" s="138">
        <f t="shared" ref="AY179:AZ179" si="4842">AY34+AY63+AY92+AY121+AY150</f>
        <v>0</v>
      </c>
      <c r="AZ179" s="110">
        <f t="shared" si="4842"/>
        <v>0</v>
      </c>
      <c r="BA179" s="110"/>
      <c r="BB179" s="139"/>
      <c r="BC179" s="140" t="e">
        <f t="shared" si="4721"/>
        <v>#DIV/0!</v>
      </c>
      <c r="BD179" s="198">
        <f t="shared" si="4713"/>
        <v>0</v>
      </c>
      <c r="BE179" s="140"/>
      <c r="BF179" s="110"/>
      <c r="BG179" s="137"/>
      <c r="BH179" s="97"/>
      <c r="BI179" s="138">
        <f t="shared" ref="BI179:BJ179" si="4843">BI34+BI63+BI92+BI121+BI150</f>
        <v>0</v>
      </c>
      <c r="BJ179" s="110">
        <f t="shared" si="4843"/>
        <v>0</v>
      </c>
      <c r="BK179" s="110"/>
      <c r="BL179" s="139"/>
      <c r="BM179" s="140" t="e">
        <f t="shared" si="4723"/>
        <v>#DIV/0!</v>
      </c>
      <c r="BN179" s="198">
        <f t="shared" si="4713"/>
        <v>0</v>
      </c>
      <c r="BO179" s="140"/>
      <c r="BP179" s="110"/>
      <c r="BQ179" s="137"/>
      <c r="BR179" s="97"/>
      <c r="BS179" s="138">
        <f t="shared" ref="BS179:BT179" si="4844">BS34+BS63+BS92+BS121+BS150</f>
        <v>0</v>
      </c>
      <c r="BT179" s="110">
        <f t="shared" si="4844"/>
        <v>0</v>
      </c>
      <c r="BU179" s="110"/>
      <c r="BV179" s="139"/>
      <c r="BW179" s="140" t="e">
        <f t="shared" si="4725"/>
        <v>#DIV/0!</v>
      </c>
      <c r="BX179" s="198">
        <f t="shared" si="4713"/>
        <v>0</v>
      </c>
      <c r="BY179" s="140"/>
      <c r="BZ179" s="110"/>
      <c r="CA179" s="137"/>
      <c r="CB179" s="97"/>
      <c r="CC179" s="138">
        <f t="shared" ref="CC179:CD179" si="4845">CC34+CC63+CC92+CC121+CC150</f>
        <v>0</v>
      </c>
      <c r="CD179" s="110">
        <f t="shared" si="4845"/>
        <v>0</v>
      </c>
      <c r="CE179" s="110"/>
      <c r="CF179" s="139"/>
      <c r="CG179" s="140" t="e">
        <f t="shared" si="4727"/>
        <v>#DIV/0!</v>
      </c>
      <c r="CH179" s="198">
        <f t="shared" si="4728"/>
        <v>0</v>
      </c>
      <c r="CI179" s="140"/>
      <c r="CJ179" s="110"/>
      <c r="CK179" s="137"/>
      <c r="CL179" s="97"/>
      <c r="CM179" s="138">
        <f t="shared" ref="CM179:CN179" si="4846">CM34+CM63+CM92+CM121+CM150</f>
        <v>0</v>
      </c>
      <c r="CN179" s="110">
        <f t="shared" si="4846"/>
        <v>0</v>
      </c>
      <c r="CO179" s="110"/>
      <c r="CP179" s="139"/>
      <c r="CQ179" s="140" t="e">
        <f t="shared" si="4730"/>
        <v>#DIV/0!</v>
      </c>
      <c r="CR179" s="198">
        <f t="shared" si="4728"/>
        <v>0</v>
      </c>
      <c r="CS179" s="140"/>
      <c r="CT179" s="110"/>
      <c r="CU179" s="137"/>
      <c r="CV179" s="97"/>
      <c r="CW179" s="138">
        <f t="shared" ref="CW179:CX179" si="4847">CW34+CW63+CW92+CW121+CW150</f>
        <v>0</v>
      </c>
      <c r="CX179" s="110">
        <f t="shared" si="4847"/>
        <v>0</v>
      </c>
      <c r="CY179" s="110"/>
      <c r="CZ179" s="139"/>
      <c r="DA179" s="140" t="e">
        <f t="shared" si="4732"/>
        <v>#DIV/0!</v>
      </c>
      <c r="DB179" s="198">
        <f t="shared" si="4728"/>
        <v>0</v>
      </c>
      <c r="DC179" s="140"/>
      <c r="DD179" s="110"/>
      <c r="DE179" s="137"/>
      <c r="DF179" s="97"/>
      <c r="DG179" s="138">
        <f t="shared" ref="DG179:DH179" si="4848">DG34+DG63+DG92+DG121+DG150</f>
        <v>0</v>
      </c>
      <c r="DH179" s="110">
        <f t="shared" si="4848"/>
        <v>0</v>
      </c>
      <c r="DI179" s="110"/>
      <c r="DJ179" s="139"/>
      <c r="DK179" s="140" t="e">
        <f t="shared" si="4734"/>
        <v>#DIV/0!</v>
      </c>
      <c r="DL179" s="198">
        <f t="shared" si="4728"/>
        <v>0</v>
      </c>
      <c r="DM179" s="140"/>
      <c r="DN179" s="110"/>
      <c r="DO179" s="137"/>
      <c r="DP179" s="97"/>
      <c r="DQ179" s="138">
        <f t="shared" ref="DQ179:DR179" si="4849">DQ34+DQ63+DQ92+DQ121+DQ150</f>
        <v>0</v>
      </c>
      <c r="DR179" s="110">
        <f t="shared" si="4849"/>
        <v>0</v>
      </c>
      <c r="DS179" s="110"/>
      <c r="DT179" s="139"/>
      <c r="DU179" s="140" t="e">
        <f t="shared" si="4736"/>
        <v>#DIV/0!</v>
      </c>
      <c r="DV179" s="198">
        <f t="shared" si="4728"/>
        <v>0</v>
      </c>
      <c r="DW179" s="140"/>
      <c r="DX179" s="110"/>
      <c r="DY179" s="137"/>
      <c r="DZ179" s="97"/>
      <c r="EA179" s="138">
        <f t="shared" ref="EA179:EB179" si="4850">EA34+EA63+EA92+EA121+EA150</f>
        <v>0</v>
      </c>
      <c r="EB179" s="110">
        <f t="shared" si="4850"/>
        <v>0</v>
      </c>
      <c r="EC179" s="110"/>
      <c r="ED179" s="139"/>
      <c r="EE179" s="140" t="e">
        <f t="shared" si="4738"/>
        <v>#DIV/0!</v>
      </c>
      <c r="EF179" s="198">
        <f t="shared" si="4728"/>
        <v>0</v>
      </c>
      <c r="EG179" s="140"/>
      <c r="EH179" s="110"/>
      <c r="EI179" s="137"/>
      <c r="EJ179" s="97"/>
      <c r="EK179" s="138">
        <f t="shared" ref="EK179:EL179" si="4851">EK34+EK63+EK92+EK121+EK150</f>
        <v>0</v>
      </c>
      <c r="EL179" s="110">
        <f t="shared" si="4851"/>
        <v>0</v>
      </c>
      <c r="EM179" s="110"/>
      <c r="EN179" s="139"/>
      <c r="EO179" s="140" t="e">
        <f t="shared" si="4740"/>
        <v>#DIV/0!</v>
      </c>
      <c r="EP179" s="198">
        <f t="shared" si="4728"/>
        <v>0</v>
      </c>
      <c r="EQ179" s="140"/>
      <c r="ER179" s="110"/>
      <c r="ES179" s="137"/>
      <c r="ET179" s="97"/>
      <c r="EU179" s="138">
        <f t="shared" ref="EU179:EV179" si="4852">EU34+EU63+EU92+EU121+EU150</f>
        <v>0</v>
      </c>
      <c r="EV179" s="110">
        <f t="shared" si="4852"/>
        <v>0</v>
      </c>
      <c r="EW179" s="110"/>
      <c r="EX179" s="139"/>
      <c r="EY179" s="140" t="e">
        <f t="shared" si="4742"/>
        <v>#DIV/0!</v>
      </c>
      <c r="EZ179" s="198">
        <f t="shared" si="4743"/>
        <v>0</v>
      </c>
      <c r="FA179" s="140"/>
      <c r="FB179" s="110"/>
      <c r="FC179" s="137"/>
      <c r="FD179" s="97"/>
      <c r="FE179" s="138">
        <f t="shared" ref="FE179:FF179" si="4853">FE34+FE63+FE92+FE121+FE150</f>
        <v>0</v>
      </c>
      <c r="FF179" s="110">
        <f t="shared" si="4853"/>
        <v>0</v>
      </c>
      <c r="FG179" s="110"/>
      <c r="FH179" s="139"/>
      <c r="FI179" s="140" t="e">
        <f t="shared" si="4745"/>
        <v>#DIV/0!</v>
      </c>
      <c r="FJ179" s="198">
        <f t="shared" si="4743"/>
        <v>0</v>
      </c>
      <c r="FK179" s="140"/>
      <c r="FL179" s="110"/>
      <c r="FM179" s="137"/>
      <c r="FN179" s="97"/>
      <c r="FO179" s="138">
        <f t="shared" ref="FO179:FP179" si="4854">FO34+FO63+FO92+FO121+FO150</f>
        <v>0</v>
      </c>
      <c r="FP179" s="110">
        <f t="shared" si="4854"/>
        <v>0</v>
      </c>
      <c r="FQ179" s="110"/>
      <c r="FR179" s="139"/>
      <c r="FS179" s="140" t="e">
        <f t="shared" si="4747"/>
        <v>#DIV/0!</v>
      </c>
      <c r="FT179" s="198">
        <f t="shared" si="4743"/>
        <v>0</v>
      </c>
      <c r="FU179" s="140"/>
      <c r="FV179" s="110"/>
      <c r="FW179" s="137"/>
      <c r="FX179" s="97"/>
      <c r="FY179" s="138">
        <f t="shared" ref="FY179:FZ179" si="4855">FY34+FY63+FY92+FY121+FY150</f>
        <v>0</v>
      </c>
      <c r="FZ179" s="110">
        <f t="shared" si="4855"/>
        <v>0</v>
      </c>
      <c r="GA179" s="110"/>
      <c r="GB179" s="139"/>
      <c r="GC179" s="140" t="e">
        <f t="shared" si="4749"/>
        <v>#DIV/0!</v>
      </c>
      <c r="GD179" s="198">
        <f t="shared" si="4743"/>
        <v>0</v>
      </c>
      <c r="GE179" s="140"/>
      <c r="GF179" s="110"/>
      <c r="GG179" s="137"/>
      <c r="GH179" s="97"/>
      <c r="GI179" s="138">
        <f t="shared" ref="GI179:GJ179" si="4856">GI34+GI63+GI92+GI121+GI150</f>
        <v>0</v>
      </c>
      <c r="GJ179" s="110">
        <f t="shared" si="4856"/>
        <v>0</v>
      </c>
      <c r="GK179" s="110"/>
      <c r="GL179" s="139"/>
      <c r="GM179" s="140" t="e">
        <f t="shared" si="4751"/>
        <v>#DIV/0!</v>
      </c>
      <c r="GN179" s="198">
        <f t="shared" si="4743"/>
        <v>0</v>
      </c>
      <c r="GO179" s="140"/>
      <c r="GP179" s="110"/>
      <c r="GQ179" s="137"/>
      <c r="GR179" s="97"/>
      <c r="GS179" s="138">
        <f t="shared" ref="GS179:GT179" si="4857">GS34+GS63+GS92+GS121+GS150</f>
        <v>0</v>
      </c>
      <c r="GT179" s="110">
        <f t="shared" si="4857"/>
        <v>0</v>
      </c>
      <c r="GU179" s="110"/>
      <c r="GV179" s="139"/>
      <c r="GW179" s="140" t="e">
        <f t="shared" si="4753"/>
        <v>#DIV/0!</v>
      </c>
      <c r="GX179" s="198">
        <f t="shared" si="4743"/>
        <v>0</v>
      </c>
      <c r="GY179" s="140"/>
      <c r="GZ179" s="110"/>
      <c r="HA179" s="137"/>
      <c r="HB179" s="97"/>
      <c r="HC179" s="138">
        <f t="shared" ref="HC179:HD179" si="4858">HC34+HC63+HC92+HC121+HC150</f>
        <v>0</v>
      </c>
      <c r="HD179" s="110">
        <f t="shared" si="4858"/>
        <v>0</v>
      </c>
      <c r="HE179" s="110"/>
      <c r="HF179" s="139"/>
      <c r="HG179" s="140" t="e">
        <f t="shared" si="4755"/>
        <v>#DIV/0!</v>
      </c>
      <c r="HH179" s="198">
        <f t="shared" si="4743"/>
        <v>0</v>
      </c>
      <c r="HI179" s="140"/>
      <c r="HJ179" s="110"/>
      <c r="HK179" s="137"/>
      <c r="HL179" s="97"/>
      <c r="HM179" s="138">
        <f t="shared" ref="HM179:HN179" si="4859">HM34+HM63+HM92+HM121+HM150</f>
        <v>0</v>
      </c>
      <c r="HN179" s="110">
        <f t="shared" si="4859"/>
        <v>0</v>
      </c>
      <c r="HO179" s="110"/>
      <c r="HP179" s="139"/>
      <c r="HQ179" s="140" t="e">
        <f t="shared" si="4757"/>
        <v>#DIV/0!</v>
      </c>
      <c r="HR179" s="198">
        <f t="shared" si="4758"/>
        <v>0</v>
      </c>
      <c r="HS179" s="140"/>
      <c r="HT179" s="110"/>
      <c r="HU179" s="137"/>
      <c r="HV179" s="97"/>
      <c r="HW179" s="138">
        <f t="shared" ref="HW179:HX179" si="4860">HW34+HW63+HW92+HW121+HW150</f>
        <v>0</v>
      </c>
      <c r="HX179" s="110">
        <f t="shared" si="4860"/>
        <v>0</v>
      </c>
      <c r="HY179" s="110"/>
      <c r="HZ179" s="139"/>
      <c r="IA179" s="140" t="e">
        <f t="shared" si="4760"/>
        <v>#DIV/0!</v>
      </c>
      <c r="IB179" s="198">
        <f t="shared" si="4758"/>
        <v>0</v>
      </c>
      <c r="IC179" s="140"/>
      <c r="ID179" s="110"/>
      <c r="IE179" s="137"/>
      <c r="IF179" s="97"/>
      <c r="IG179" s="138">
        <f t="shared" ref="IG179:IH179" si="4861">IG34+IG63+IG92+IG121+IG150</f>
        <v>0</v>
      </c>
      <c r="IH179" s="110">
        <f t="shared" si="4861"/>
        <v>0</v>
      </c>
      <c r="II179" s="110"/>
      <c r="IJ179" s="139"/>
      <c r="IK179" s="140" t="e">
        <f t="shared" si="4762"/>
        <v>#DIV/0!</v>
      </c>
      <c r="IL179" s="198">
        <f t="shared" si="4758"/>
        <v>0</v>
      </c>
      <c r="IM179" s="140"/>
      <c r="IN179" s="110"/>
      <c r="IO179" s="137"/>
      <c r="IP179" s="97"/>
      <c r="IQ179" s="138">
        <f t="shared" ref="IQ179:IR179" si="4862">IQ34+IQ63+IQ92+IQ121+IQ150</f>
        <v>0</v>
      </c>
      <c r="IR179" s="110">
        <f t="shared" si="4862"/>
        <v>0</v>
      </c>
      <c r="IS179" s="110"/>
      <c r="IT179" s="139"/>
      <c r="IU179" s="140" t="e">
        <f t="shared" si="4764"/>
        <v>#DIV/0!</v>
      </c>
      <c r="IV179" s="198">
        <f t="shared" si="4758"/>
        <v>0</v>
      </c>
      <c r="IW179" s="140"/>
      <c r="IX179" s="110"/>
      <c r="IY179" s="137"/>
      <c r="IZ179" s="97"/>
      <c r="JA179" s="138">
        <f t="shared" ref="JA179:JB179" si="4863">JA34+JA63+JA92+JA121+JA150</f>
        <v>0</v>
      </c>
      <c r="JB179" s="110">
        <f t="shared" si="4863"/>
        <v>0</v>
      </c>
      <c r="JC179" s="110"/>
      <c r="JD179" s="139"/>
      <c r="JE179" s="140" t="e">
        <f t="shared" si="4766"/>
        <v>#DIV/0!</v>
      </c>
      <c r="JF179" s="198">
        <f t="shared" si="4758"/>
        <v>0</v>
      </c>
      <c r="JG179" s="140"/>
      <c r="JH179" s="110"/>
      <c r="JI179" s="137"/>
      <c r="JJ179" s="97"/>
      <c r="JK179" s="138">
        <f t="shared" ref="JK179:JL179" si="4864">JK34+JK63+JK92+JK121+JK150</f>
        <v>0</v>
      </c>
      <c r="JL179" s="110">
        <f t="shared" si="4864"/>
        <v>0</v>
      </c>
      <c r="JM179" s="110"/>
      <c r="JN179" s="139"/>
      <c r="JO179" s="140" t="e">
        <f t="shared" si="4768"/>
        <v>#DIV/0!</v>
      </c>
      <c r="JP179" s="198">
        <f t="shared" si="4758"/>
        <v>0</v>
      </c>
      <c r="JQ179" s="140"/>
      <c r="JR179" s="110"/>
      <c r="JS179" s="137"/>
      <c r="JT179" s="97"/>
      <c r="JU179" s="138">
        <f t="shared" ref="JU179:JV179" si="4865">JU34+JU63+JU92+JU121+JU150</f>
        <v>0</v>
      </c>
      <c r="JV179" s="110">
        <f t="shared" si="4865"/>
        <v>0</v>
      </c>
      <c r="JW179" s="110"/>
      <c r="JX179" s="139"/>
      <c r="JY179" s="140" t="e">
        <f t="shared" si="4770"/>
        <v>#DIV/0!</v>
      </c>
      <c r="JZ179" s="198">
        <f t="shared" si="4758"/>
        <v>0</v>
      </c>
      <c r="KA179" s="140"/>
      <c r="KB179" s="110"/>
      <c r="KC179" s="137"/>
      <c r="KD179" s="97"/>
      <c r="KE179" s="138">
        <f t="shared" ref="KE179:KF179" si="4866">KE34+KE63+KE92+KE121+KE150</f>
        <v>0</v>
      </c>
      <c r="KF179" s="110">
        <f t="shared" si="4866"/>
        <v>0</v>
      </c>
      <c r="KG179" s="110"/>
      <c r="KH179" s="139"/>
      <c r="KI179" s="140" t="e">
        <f t="shared" si="4772"/>
        <v>#DIV/0!</v>
      </c>
      <c r="KJ179" s="198">
        <f t="shared" si="4773"/>
        <v>0</v>
      </c>
      <c r="KK179" s="140"/>
      <c r="KL179" s="110"/>
      <c r="KM179" s="137"/>
      <c r="KN179" s="97"/>
      <c r="KO179" s="138">
        <f t="shared" ref="KO179:KP179" si="4867">KO34+KO63+KO92+KO121+KO150</f>
        <v>0</v>
      </c>
      <c r="KP179" s="110">
        <f t="shared" si="4867"/>
        <v>0</v>
      </c>
      <c r="KQ179" s="110"/>
      <c r="KR179" s="139"/>
      <c r="KS179" s="140" t="e">
        <f t="shared" si="4775"/>
        <v>#DIV/0!</v>
      </c>
      <c r="KT179" s="198">
        <f t="shared" si="4773"/>
        <v>0</v>
      </c>
      <c r="KU179" s="140"/>
      <c r="KV179" s="110"/>
      <c r="KW179" s="137"/>
      <c r="KX179" s="97"/>
      <c r="KY179" s="138">
        <f t="shared" ref="KY179:KZ179" si="4868">KY34+KY63+KY92+KY121+KY150</f>
        <v>0</v>
      </c>
      <c r="KZ179" s="110">
        <f t="shared" si="4868"/>
        <v>0</v>
      </c>
      <c r="LA179" s="110"/>
      <c r="LB179" s="139"/>
      <c r="LC179" s="140" t="e">
        <f t="shared" si="4777"/>
        <v>#DIV/0!</v>
      </c>
      <c r="LD179" s="197">
        <f t="shared" si="4221"/>
        <v>0</v>
      </c>
      <c r="LE179" s="140"/>
      <c r="LF179" s="110"/>
      <c r="LG179" s="137"/>
      <c r="LH179" s="97"/>
      <c r="LI179" s="138">
        <f t="shared" si="4778"/>
        <v>0</v>
      </c>
      <c r="LJ179" s="110">
        <f t="shared" si="4778"/>
        <v>0</v>
      </c>
      <c r="LK179" s="110"/>
      <c r="LL179" s="139"/>
    </row>
    <row r="180" spans="1:324" ht="16.5" hidden="1" customHeight="1" x14ac:dyDescent="0.25">
      <c r="A180" s="246"/>
      <c r="B180" s="12" t="s">
        <v>626</v>
      </c>
      <c r="C180" s="12" t="s">
        <v>728</v>
      </c>
      <c r="D180" s="12" t="s">
        <v>430</v>
      </c>
      <c r="E180" s="4"/>
      <c r="F180" s="198">
        <f t="shared" si="4711"/>
        <v>0</v>
      </c>
      <c r="G180" s="140"/>
      <c r="H180" s="110"/>
      <c r="I180" s="137"/>
      <c r="J180" s="97"/>
      <c r="K180" s="138">
        <f t="shared" si="4712"/>
        <v>0</v>
      </c>
      <c r="L180" s="110">
        <f t="shared" si="4712"/>
        <v>0</v>
      </c>
      <c r="M180" s="110"/>
      <c r="N180" s="139"/>
      <c r="O180" s="140">
        <f t="shared" si="4155"/>
        <v>0</v>
      </c>
      <c r="P180" s="198">
        <f t="shared" si="4713"/>
        <v>0</v>
      </c>
      <c r="Q180" s="140"/>
      <c r="R180" s="110"/>
      <c r="S180" s="137"/>
      <c r="T180" s="97"/>
      <c r="U180" s="138">
        <f t="shared" ref="U180:V180" si="4869">U35+U64+U93+U122+U151</f>
        <v>0</v>
      </c>
      <c r="V180" s="110">
        <f t="shared" si="4869"/>
        <v>0</v>
      </c>
      <c r="W180" s="110"/>
      <c r="X180" s="139"/>
      <c r="Y180" s="140">
        <f t="shared" si="4715"/>
        <v>0</v>
      </c>
      <c r="Z180" s="198">
        <f t="shared" si="4713"/>
        <v>0</v>
      </c>
      <c r="AA180" s="140"/>
      <c r="AB180" s="110"/>
      <c r="AC180" s="137"/>
      <c r="AD180" s="97"/>
      <c r="AE180" s="138">
        <f t="shared" ref="AE180:AF180" si="4870">AE35+AE64+AE93+AE122+AE151</f>
        <v>0</v>
      </c>
      <c r="AF180" s="110">
        <f t="shared" si="4870"/>
        <v>0</v>
      </c>
      <c r="AG180" s="110"/>
      <c r="AH180" s="139"/>
      <c r="AI180" s="140">
        <f t="shared" si="4717"/>
        <v>0</v>
      </c>
      <c r="AJ180" s="198">
        <f t="shared" si="4713"/>
        <v>0</v>
      </c>
      <c r="AK180" s="140"/>
      <c r="AL180" s="110"/>
      <c r="AM180" s="137"/>
      <c r="AN180" s="97"/>
      <c r="AO180" s="138">
        <f t="shared" ref="AO180:AP180" si="4871">AO35+AO64+AO93+AO122+AO151</f>
        <v>0</v>
      </c>
      <c r="AP180" s="110">
        <f t="shared" si="4871"/>
        <v>0</v>
      </c>
      <c r="AQ180" s="110"/>
      <c r="AR180" s="139"/>
      <c r="AS180" s="140">
        <f t="shared" si="4719"/>
        <v>0</v>
      </c>
      <c r="AT180" s="198">
        <f t="shared" si="4713"/>
        <v>0</v>
      </c>
      <c r="AU180" s="140"/>
      <c r="AV180" s="110"/>
      <c r="AW180" s="137"/>
      <c r="AX180" s="97"/>
      <c r="AY180" s="138">
        <f t="shared" ref="AY180:AZ180" si="4872">AY35+AY64+AY93+AY122+AY151</f>
        <v>0</v>
      </c>
      <c r="AZ180" s="110">
        <f t="shared" si="4872"/>
        <v>0</v>
      </c>
      <c r="BA180" s="110"/>
      <c r="BB180" s="139"/>
      <c r="BC180" s="140">
        <f t="shared" si="4721"/>
        <v>0</v>
      </c>
      <c r="BD180" s="198">
        <f t="shared" si="4713"/>
        <v>0</v>
      </c>
      <c r="BE180" s="140"/>
      <c r="BF180" s="110"/>
      <c r="BG180" s="137"/>
      <c r="BH180" s="97"/>
      <c r="BI180" s="138">
        <f t="shared" ref="BI180:BJ180" si="4873">BI35+BI64+BI93+BI122+BI151</f>
        <v>0</v>
      </c>
      <c r="BJ180" s="110">
        <f t="shared" si="4873"/>
        <v>0</v>
      </c>
      <c r="BK180" s="110"/>
      <c r="BL180" s="139"/>
      <c r="BM180" s="140">
        <f t="shared" si="4723"/>
        <v>0</v>
      </c>
      <c r="BN180" s="198">
        <f t="shared" si="4713"/>
        <v>0</v>
      </c>
      <c r="BO180" s="140"/>
      <c r="BP180" s="110"/>
      <c r="BQ180" s="137"/>
      <c r="BR180" s="97"/>
      <c r="BS180" s="138">
        <f t="shared" ref="BS180:BT180" si="4874">BS35+BS64+BS93+BS122+BS151</f>
        <v>0</v>
      </c>
      <c r="BT180" s="110">
        <f t="shared" si="4874"/>
        <v>0</v>
      </c>
      <c r="BU180" s="110"/>
      <c r="BV180" s="139"/>
      <c r="BW180" s="140">
        <f t="shared" si="4725"/>
        <v>0</v>
      </c>
      <c r="BX180" s="198">
        <f t="shared" si="4713"/>
        <v>0</v>
      </c>
      <c r="BY180" s="140"/>
      <c r="BZ180" s="110"/>
      <c r="CA180" s="137"/>
      <c r="CB180" s="97"/>
      <c r="CC180" s="138">
        <f t="shared" ref="CC180:CD180" si="4875">CC35+CC64+CC93+CC122+CC151</f>
        <v>0</v>
      </c>
      <c r="CD180" s="110">
        <f t="shared" si="4875"/>
        <v>0</v>
      </c>
      <c r="CE180" s="110"/>
      <c r="CF180" s="139"/>
      <c r="CG180" s="140">
        <f t="shared" si="4727"/>
        <v>0</v>
      </c>
      <c r="CH180" s="198">
        <f t="shared" si="4728"/>
        <v>0</v>
      </c>
      <c r="CI180" s="140"/>
      <c r="CJ180" s="110"/>
      <c r="CK180" s="137"/>
      <c r="CL180" s="97"/>
      <c r="CM180" s="138">
        <f t="shared" ref="CM180:CN180" si="4876">CM35+CM64+CM93+CM122+CM151</f>
        <v>0</v>
      </c>
      <c r="CN180" s="110">
        <f t="shared" si="4876"/>
        <v>0</v>
      </c>
      <c r="CO180" s="110"/>
      <c r="CP180" s="139"/>
      <c r="CQ180" s="140">
        <f t="shared" si="4730"/>
        <v>0</v>
      </c>
      <c r="CR180" s="198">
        <f t="shared" si="4728"/>
        <v>1</v>
      </c>
      <c r="CS180" s="140"/>
      <c r="CT180" s="110"/>
      <c r="CU180" s="137"/>
      <c r="CV180" s="97"/>
      <c r="CW180" s="138">
        <f t="shared" ref="CW180:CX180" si="4877">CW35+CW64+CW93+CW122+CW151</f>
        <v>3000.6826000000001</v>
      </c>
      <c r="CX180" s="110">
        <f t="shared" si="4877"/>
        <v>3000.68</v>
      </c>
      <c r="CY180" s="110"/>
      <c r="CZ180" s="139"/>
      <c r="DA180" s="140">
        <f t="shared" si="4732"/>
        <v>1.06484</v>
      </c>
      <c r="DB180" s="198">
        <f t="shared" si="4728"/>
        <v>1</v>
      </c>
      <c r="DC180" s="140"/>
      <c r="DD180" s="110"/>
      <c r="DE180" s="137"/>
      <c r="DF180" s="97"/>
      <c r="DG180" s="138">
        <f t="shared" ref="DG180:DH180" si="4878">DG35+DG64+DG93+DG122+DG151</f>
        <v>2516.2334000000001</v>
      </c>
      <c r="DH180" s="110">
        <f t="shared" si="4878"/>
        <v>2516.2399999999998</v>
      </c>
      <c r="DI180" s="110"/>
      <c r="DJ180" s="139"/>
      <c r="DK180" s="140">
        <f t="shared" si="4734"/>
        <v>0.89292000000000005</v>
      </c>
      <c r="DL180" s="198">
        <f t="shared" si="4728"/>
        <v>0</v>
      </c>
      <c r="DM180" s="140"/>
      <c r="DN180" s="110"/>
      <c r="DO180" s="137"/>
      <c r="DP180" s="97"/>
      <c r="DQ180" s="138">
        <f t="shared" ref="DQ180:DR180" si="4879">DQ35+DQ64+DQ93+DQ122+DQ151</f>
        <v>0</v>
      </c>
      <c r="DR180" s="110">
        <f t="shared" si="4879"/>
        <v>0</v>
      </c>
      <c r="DS180" s="110"/>
      <c r="DT180" s="139"/>
      <c r="DU180" s="140">
        <f t="shared" si="4736"/>
        <v>0</v>
      </c>
      <c r="DV180" s="198">
        <f t="shared" si="4728"/>
        <v>0</v>
      </c>
      <c r="DW180" s="140"/>
      <c r="DX180" s="110"/>
      <c r="DY180" s="137"/>
      <c r="DZ180" s="97"/>
      <c r="EA180" s="138">
        <f t="shared" ref="EA180:EB180" si="4880">EA35+EA64+EA93+EA122+EA151</f>
        <v>0</v>
      </c>
      <c r="EB180" s="110">
        <f t="shared" si="4880"/>
        <v>0</v>
      </c>
      <c r="EC180" s="110"/>
      <c r="ED180" s="139"/>
      <c r="EE180" s="140">
        <f t="shared" si="4738"/>
        <v>0</v>
      </c>
      <c r="EF180" s="198">
        <f t="shared" si="4728"/>
        <v>0</v>
      </c>
      <c r="EG180" s="140"/>
      <c r="EH180" s="110"/>
      <c r="EI180" s="137"/>
      <c r="EJ180" s="97"/>
      <c r="EK180" s="138">
        <f t="shared" ref="EK180:EL180" si="4881">EK35+EK64+EK93+EK122+EK151</f>
        <v>0</v>
      </c>
      <c r="EL180" s="110">
        <f t="shared" si="4881"/>
        <v>0</v>
      </c>
      <c r="EM180" s="110"/>
      <c r="EN180" s="139"/>
      <c r="EO180" s="140">
        <f t="shared" si="4740"/>
        <v>0</v>
      </c>
      <c r="EP180" s="198">
        <f t="shared" si="4728"/>
        <v>0</v>
      </c>
      <c r="EQ180" s="140"/>
      <c r="ER180" s="110"/>
      <c r="ES180" s="137"/>
      <c r="ET180" s="97"/>
      <c r="EU180" s="138">
        <f t="shared" ref="EU180:EV180" si="4882">EU35+EU64+EU93+EU122+EU151</f>
        <v>0</v>
      </c>
      <c r="EV180" s="110">
        <f t="shared" si="4882"/>
        <v>0</v>
      </c>
      <c r="EW180" s="110"/>
      <c r="EX180" s="139"/>
      <c r="EY180" s="140">
        <f t="shared" si="4742"/>
        <v>0</v>
      </c>
      <c r="EZ180" s="198">
        <f t="shared" si="4743"/>
        <v>0</v>
      </c>
      <c r="FA180" s="140"/>
      <c r="FB180" s="110"/>
      <c r="FC180" s="137"/>
      <c r="FD180" s="97"/>
      <c r="FE180" s="138">
        <f t="shared" ref="FE180:FF180" si="4883">FE35+FE64+FE93+FE122+FE151</f>
        <v>0</v>
      </c>
      <c r="FF180" s="110">
        <f t="shared" si="4883"/>
        <v>0</v>
      </c>
      <c r="FG180" s="110"/>
      <c r="FH180" s="139"/>
      <c r="FI180" s="140">
        <f t="shared" si="4745"/>
        <v>0</v>
      </c>
      <c r="FJ180" s="198">
        <f t="shared" si="4743"/>
        <v>0</v>
      </c>
      <c r="FK180" s="140"/>
      <c r="FL180" s="110"/>
      <c r="FM180" s="137"/>
      <c r="FN180" s="97"/>
      <c r="FO180" s="138">
        <f t="shared" ref="FO180:FP180" si="4884">FO35+FO64+FO93+FO122+FO151</f>
        <v>0</v>
      </c>
      <c r="FP180" s="110">
        <f t="shared" si="4884"/>
        <v>0</v>
      </c>
      <c r="FQ180" s="110"/>
      <c r="FR180" s="139"/>
      <c r="FS180" s="140">
        <f t="shared" si="4747"/>
        <v>0</v>
      </c>
      <c r="FT180" s="198">
        <f t="shared" si="4743"/>
        <v>1</v>
      </c>
      <c r="FU180" s="140"/>
      <c r="FV180" s="110"/>
      <c r="FW180" s="137"/>
      <c r="FX180" s="97"/>
      <c r="FY180" s="138">
        <f t="shared" ref="FY180:FZ180" si="4885">FY35+FY64+FY93+FY122+FY151</f>
        <v>2618.9070000000002</v>
      </c>
      <c r="FZ180" s="110">
        <f t="shared" si="4885"/>
        <v>2618.9</v>
      </c>
      <c r="GA180" s="110"/>
      <c r="GB180" s="139"/>
      <c r="GC180" s="140">
        <f t="shared" si="4749"/>
        <v>0.92935999999999996</v>
      </c>
      <c r="GD180" s="198">
        <f t="shared" si="4743"/>
        <v>0</v>
      </c>
      <c r="GE180" s="140"/>
      <c r="GF180" s="110"/>
      <c r="GG180" s="137"/>
      <c r="GH180" s="97"/>
      <c r="GI180" s="138">
        <f t="shared" ref="GI180:GJ180" si="4886">GI35+GI64+GI93+GI122+GI151</f>
        <v>0</v>
      </c>
      <c r="GJ180" s="110">
        <f t="shared" si="4886"/>
        <v>0</v>
      </c>
      <c r="GK180" s="110"/>
      <c r="GL180" s="139"/>
      <c r="GM180" s="140">
        <f t="shared" si="4751"/>
        <v>0</v>
      </c>
      <c r="GN180" s="198">
        <f t="shared" si="4743"/>
        <v>0</v>
      </c>
      <c r="GO180" s="140"/>
      <c r="GP180" s="110"/>
      <c r="GQ180" s="137"/>
      <c r="GR180" s="97"/>
      <c r="GS180" s="138">
        <f t="shared" ref="GS180:GT180" si="4887">GS35+GS64+GS93+GS122+GS151</f>
        <v>0</v>
      </c>
      <c r="GT180" s="110">
        <f t="shared" si="4887"/>
        <v>0</v>
      </c>
      <c r="GU180" s="110"/>
      <c r="GV180" s="139"/>
      <c r="GW180" s="140">
        <f t="shared" si="4753"/>
        <v>0</v>
      </c>
      <c r="GX180" s="198">
        <f t="shared" si="4743"/>
        <v>1</v>
      </c>
      <c r="GY180" s="140"/>
      <c r="GZ180" s="110"/>
      <c r="HA180" s="137"/>
      <c r="HB180" s="97"/>
      <c r="HC180" s="138">
        <f t="shared" ref="HC180:HD180" si="4888">HC35+HC64+HC93+HC122+HC151</f>
        <v>2247.9414000000002</v>
      </c>
      <c r="HD180" s="110">
        <f t="shared" si="4888"/>
        <v>2247.94</v>
      </c>
      <c r="HE180" s="110"/>
      <c r="HF180" s="139"/>
      <c r="HG180" s="140">
        <f t="shared" si="4755"/>
        <v>0.79771000000000003</v>
      </c>
      <c r="HH180" s="198">
        <f t="shared" si="4743"/>
        <v>1</v>
      </c>
      <c r="HI180" s="140"/>
      <c r="HJ180" s="110"/>
      <c r="HK180" s="137"/>
      <c r="HL180" s="97"/>
      <c r="HM180" s="138">
        <f t="shared" ref="HM180:HN180" si="4889">HM35+HM64+HM93+HM122+HM151</f>
        <v>2421.9436000000001</v>
      </c>
      <c r="HN180" s="110">
        <f t="shared" si="4889"/>
        <v>2421.94</v>
      </c>
      <c r="HO180" s="110"/>
      <c r="HP180" s="139"/>
      <c r="HQ180" s="140">
        <f t="shared" si="4757"/>
        <v>0.85946</v>
      </c>
      <c r="HR180" s="198">
        <f t="shared" si="4758"/>
        <v>0</v>
      </c>
      <c r="HS180" s="140"/>
      <c r="HT180" s="110"/>
      <c r="HU180" s="137"/>
      <c r="HV180" s="97"/>
      <c r="HW180" s="138">
        <f t="shared" ref="HW180:HX180" si="4890">HW35+HW64+HW93+HW122+HW151</f>
        <v>0</v>
      </c>
      <c r="HX180" s="110">
        <f t="shared" si="4890"/>
        <v>0</v>
      </c>
      <c r="HY180" s="110"/>
      <c r="HZ180" s="139"/>
      <c r="IA180" s="140">
        <f t="shared" si="4760"/>
        <v>0</v>
      </c>
      <c r="IB180" s="198">
        <f t="shared" si="4758"/>
        <v>0</v>
      </c>
      <c r="IC180" s="140"/>
      <c r="ID180" s="110"/>
      <c r="IE180" s="137"/>
      <c r="IF180" s="97"/>
      <c r="IG180" s="138">
        <f t="shared" ref="IG180:IH180" si="4891">IG35+IG64+IG93+IG122+IG151</f>
        <v>0</v>
      </c>
      <c r="IH180" s="110">
        <f t="shared" si="4891"/>
        <v>0</v>
      </c>
      <c r="II180" s="110"/>
      <c r="IJ180" s="139"/>
      <c r="IK180" s="140">
        <f t="shared" si="4762"/>
        <v>0</v>
      </c>
      <c r="IL180" s="198">
        <f t="shared" si="4758"/>
        <v>1</v>
      </c>
      <c r="IM180" s="140"/>
      <c r="IN180" s="110"/>
      <c r="IO180" s="137"/>
      <c r="IP180" s="97"/>
      <c r="IQ180" s="138">
        <f t="shared" ref="IQ180:IR180" si="4892">IQ35+IQ64+IQ93+IQ122+IQ151</f>
        <v>1857.2191</v>
      </c>
      <c r="IR180" s="110">
        <f t="shared" si="4892"/>
        <v>1857.22</v>
      </c>
      <c r="IS180" s="110"/>
      <c r="IT180" s="139"/>
      <c r="IU180" s="140">
        <f t="shared" si="4764"/>
        <v>0.65905999999999998</v>
      </c>
      <c r="IV180" s="198">
        <f t="shared" si="4758"/>
        <v>0</v>
      </c>
      <c r="IW180" s="140"/>
      <c r="IX180" s="110"/>
      <c r="IY180" s="137"/>
      <c r="IZ180" s="97"/>
      <c r="JA180" s="138">
        <f t="shared" ref="JA180:JB180" si="4893">JA35+JA64+JA93+JA122+JA151</f>
        <v>0</v>
      </c>
      <c r="JB180" s="110">
        <f t="shared" si="4893"/>
        <v>0</v>
      </c>
      <c r="JC180" s="110"/>
      <c r="JD180" s="139"/>
      <c r="JE180" s="140">
        <f t="shared" si="4766"/>
        <v>0</v>
      </c>
      <c r="JF180" s="198">
        <f t="shared" si="4758"/>
        <v>0</v>
      </c>
      <c r="JG180" s="140"/>
      <c r="JH180" s="110"/>
      <c r="JI180" s="137"/>
      <c r="JJ180" s="97"/>
      <c r="JK180" s="138">
        <f t="shared" ref="JK180:JL180" si="4894">JK35+JK64+JK93+JK122+JK151</f>
        <v>0</v>
      </c>
      <c r="JL180" s="110">
        <f t="shared" si="4894"/>
        <v>0</v>
      </c>
      <c r="JM180" s="110"/>
      <c r="JN180" s="139"/>
      <c r="JO180" s="140">
        <f t="shared" si="4768"/>
        <v>0</v>
      </c>
      <c r="JP180" s="198">
        <f t="shared" si="4758"/>
        <v>0</v>
      </c>
      <c r="JQ180" s="140"/>
      <c r="JR180" s="110"/>
      <c r="JS180" s="137"/>
      <c r="JT180" s="97"/>
      <c r="JU180" s="138">
        <f t="shared" ref="JU180:JV180" si="4895">JU35+JU64+JU93+JU122+JU151</f>
        <v>0</v>
      </c>
      <c r="JV180" s="110">
        <f t="shared" si="4895"/>
        <v>0</v>
      </c>
      <c r="JW180" s="110"/>
      <c r="JX180" s="139"/>
      <c r="JY180" s="140">
        <f t="shared" si="4770"/>
        <v>0</v>
      </c>
      <c r="JZ180" s="198">
        <f t="shared" si="4758"/>
        <v>0</v>
      </c>
      <c r="KA180" s="140"/>
      <c r="KB180" s="110"/>
      <c r="KC180" s="137"/>
      <c r="KD180" s="97"/>
      <c r="KE180" s="138">
        <f t="shared" ref="KE180:KF180" si="4896">KE35+KE64+KE93+KE122+KE151</f>
        <v>0</v>
      </c>
      <c r="KF180" s="110">
        <f t="shared" si="4896"/>
        <v>0</v>
      </c>
      <c r="KG180" s="110"/>
      <c r="KH180" s="139"/>
      <c r="KI180" s="140">
        <f t="shared" si="4772"/>
        <v>0</v>
      </c>
      <c r="KJ180" s="198">
        <f t="shared" si="4773"/>
        <v>0</v>
      </c>
      <c r="KK180" s="140"/>
      <c r="KL180" s="110"/>
      <c r="KM180" s="137"/>
      <c r="KN180" s="97"/>
      <c r="KO180" s="138">
        <f t="shared" ref="KO180:KP180" si="4897">KO35+KO64+KO93+KO122+KO151</f>
        <v>0</v>
      </c>
      <c r="KP180" s="110">
        <f t="shared" si="4897"/>
        <v>0</v>
      </c>
      <c r="KQ180" s="110"/>
      <c r="KR180" s="139"/>
      <c r="KS180" s="140">
        <f t="shared" si="4775"/>
        <v>0</v>
      </c>
      <c r="KT180" s="198">
        <f t="shared" si="4773"/>
        <v>0</v>
      </c>
      <c r="KU180" s="140"/>
      <c r="KV180" s="110"/>
      <c r="KW180" s="137"/>
      <c r="KX180" s="97"/>
      <c r="KY180" s="138">
        <f t="shared" ref="KY180:KZ180" si="4898">KY35+KY64+KY93+KY122+KY151</f>
        <v>0</v>
      </c>
      <c r="KZ180" s="110">
        <f t="shared" si="4898"/>
        <v>0</v>
      </c>
      <c r="LA180" s="110"/>
      <c r="LB180" s="139"/>
      <c r="LC180" s="140">
        <f t="shared" si="4777"/>
        <v>0</v>
      </c>
      <c r="LD180" s="197">
        <f t="shared" si="4221"/>
        <v>6</v>
      </c>
      <c r="LE180" s="140"/>
      <c r="LF180" s="110"/>
      <c r="LG180" s="137"/>
      <c r="LH180" s="97"/>
      <c r="LI180" s="138">
        <f t="shared" si="4778"/>
        <v>2817.97633</v>
      </c>
      <c r="LJ180" s="110">
        <f t="shared" si="4778"/>
        <v>16907.86</v>
      </c>
      <c r="LK180" s="110"/>
      <c r="LL180" s="139"/>
    </row>
    <row r="181" spans="1:324" ht="16.5" hidden="1" customHeight="1" x14ac:dyDescent="0.25">
      <c r="A181" s="246"/>
      <c r="B181" s="12" t="s">
        <v>627</v>
      </c>
      <c r="C181" s="12" t="s">
        <v>728</v>
      </c>
      <c r="D181" s="12" t="s">
        <v>430</v>
      </c>
      <c r="E181" s="4"/>
      <c r="F181" s="198">
        <f t="shared" si="4711"/>
        <v>0</v>
      </c>
      <c r="G181" s="140"/>
      <c r="H181" s="110"/>
      <c r="I181" s="137"/>
      <c r="J181" s="97"/>
      <c r="K181" s="138">
        <f t="shared" si="4712"/>
        <v>0</v>
      </c>
      <c r="L181" s="110">
        <f t="shared" si="4712"/>
        <v>0</v>
      </c>
      <c r="M181" s="110"/>
      <c r="N181" s="139"/>
      <c r="O181" s="140">
        <f t="shared" si="4155"/>
        <v>0</v>
      </c>
      <c r="P181" s="198">
        <f t="shared" si="4713"/>
        <v>0</v>
      </c>
      <c r="Q181" s="140"/>
      <c r="R181" s="110"/>
      <c r="S181" s="137"/>
      <c r="T181" s="97"/>
      <c r="U181" s="138">
        <f t="shared" ref="U181:V181" si="4899">U36+U65+U94+U123+U152</f>
        <v>0</v>
      </c>
      <c r="V181" s="110">
        <f t="shared" si="4899"/>
        <v>0</v>
      </c>
      <c r="W181" s="110"/>
      <c r="X181" s="139"/>
      <c r="Y181" s="140">
        <f t="shared" si="4715"/>
        <v>0</v>
      </c>
      <c r="Z181" s="198">
        <f t="shared" si="4713"/>
        <v>0</v>
      </c>
      <c r="AA181" s="140"/>
      <c r="AB181" s="110"/>
      <c r="AC181" s="137"/>
      <c r="AD181" s="97"/>
      <c r="AE181" s="138">
        <f t="shared" ref="AE181:AF181" si="4900">AE36+AE65+AE94+AE123+AE152</f>
        <v>0</v>
      </c>
      <c r="AF181" s="110">
        <f t="shared" si="4900"/>
        <v>0</v>
      </c>
      <c r="AG181" s="110"/>
      <c r="AH181" s="139"/>
      <c r="AI181" s="140">
        <f t="shared" si="4717"/>
        <v>0</v>
      </c>
      <c r="AJ181" s="198">
        <f t="shared" si="4713"/>
        <v>0</v>
      </c>
      <c r="AK181" s="140"/>
      <c r="AL181" s="110"/>
      <c r="AM181" s="137"/>
      <c r="AN181" s="97"/>
      <c r="AO181" s="138">
        <f t="shared" ref="AO181:AP181" si="4901">AO36+AO65+AO94+AO123+AO152</f>
        <v>0</v>
      </c>
      <c r="AP181" s="110">
        <f t="shared" si="4901"/>
        <v>0</v>
      </c>
      <c r="AQ181" s="110"/>
      <c r="AR181" s="139"/>
      <c r="AS181" s="140">
        <f t="shared" si="4719"/>
        <v>0</v>
      </c>
      <c r="AT181" s="198">
        <f t="shared" si="4713"/>
        <v>1</v>
      </c>
      <c r="AU181" s="140"/>
      <c r="AV181" s="110"/>
      <c r="AW181" s="137"/>
      <c r="AX181" s="97"/>
      <c r="AY181" s="138">
        <f t="shared" ref="AY181:AZ181" si="4902">AY36+AY65+AY94+AY123+AY152</f>
        <v>1126.0152</v>
      </c>
      <c r="AZ181" s="110">
        <f t="shared" si="4902"/>
        <v>1126.02</v>
      </c>
      <c r="BA181" s="110"/>
      <c r="BB181" s="139"/>
      <c r="BC181" s="140">
        <f t="shared" si="4721"/>
        <v>0.35114000000000001</v>
      </c>
      <c r="BD181" s="198">
        <f t="shared" si="4713"/>
        <v>0</v>
      </c>
      <c r="BE181" s="140"/>
      <c r="BF181" s="110"/>
      <c r="BG181" s="137"/>
      <c r="BH181" s="97"/>
      <c r="BI181" s="138">
        <f t="shared" ref="BI181:BJ181" si="4903">BI36+BI65+BI94+BI123+BI152</f>
        <v>0</v>
      </c>
      <c r="BJ181" s="110">
        <f t="shared" si="4903"/>
        <v>0</v>
      </c>
      <c r="BK181" s="110"/>
      <c r="BL181" s="139"/>
      <c r="BM181" s="140">
        <f t="shared" si="4723"/>
        <v>0</v>
      </c>
      <c r="BN181" s="198">
        <f t="shared" si="4713"/>
        <v>0</v>
      </c>
      <c r="BO181" s="140"/>
      <c r="BP181" s="110"/>
      <c r="BQ181" s="137"/>
      <c r="BR181" s="97"/>
      <c r="BS181" s="138">
        <f t="shared" ref="BS181:BT181" si="4904">BS36+BS65+BS94+BS123+BS152</f>
        <v>0</v>
      </c>
      <c r="BT181" s="110">
        <f t="shared" si="4904"/>
        <v>0</v>
      </c>
      <c r="BU181" s="110"/>
      <c r="BV181" s="139"/>
      <c r="BW181" s="140">
        <f t="shared" si="4725"/>
        <v>0</v>
      </c>
      <c r="BX181" s="198">
        <f t="shared" si="4713"/>
        <v>0</v>
      </c>
      <c r="BY181" s="140"/>
      <c r="BZ181" s="110"/>
      <c r="CA181" s="137"/>
      <c r="CB181" s="97"/>
      <c r="CC181" s="138">
        <f t="shared" ref="CC181:CD181" si="4905">CC36+CC65+CC94+CC123+CC152</f>
        <v>0</v>
      </c>
      <c r="CD181" s="110">
        <f t="shared" si="4905"/>
        <v>0</v>
      </c>
      <c r="CE181" s="110"/>
      <c r="CF181" s="139"/>
      <c r="CG181" s="140">
        <f t="shared" si="4727"/>
        <v>0</v>
      </c>
      <c r="CH181" s="198">
        <f t="shared" si="4728"/>
        <v>0</v>
      </c>
      <c r="CI181" s="140"/>
      <c r="CJ181" s="110"/>
      <c r="CK181" s="137"/>
      <c r="CL181" s="97"/>
      <c r="CM181" s="138">
        <f t="shared" ref="CM181:CN181" si="4906">CM36+CM65+CM94+CM123+CM152</f>
        <v>0</v>
      </c>
      <c r="CN181" s="110">
        <f t="shared" si="4906"/>
        <v>0</v>
      </c>
      <c r="CO181" s="110"/>
      <c r="CP181" s="139"/>
      <c r="CQ181" s="140">
        <f t="shared" si="4730"/>
        <v>0</v>
      </c>
      <c r="CR181" s="198">
        <f t="shared" si="4728"/>
        <v>0</v>
      </c>
      <c r="CS181" s="140"/>
      <c r="CT181" s="110"/>
      <c r="CU181" s="137"/>
      <c r="CV181" s="97"/>
      <c r="CW181" s="138">
        <f t="shared" ref="CW181:CX181" si="4907">CW36+CW65+CW94+CW123+CW152</f>
        <v>0</v>
      </c>
      <c r="CX181" s="110">
        <f t="shared" si="4907"/>
        <v>0</v>
      </c>
      <c r="CY181" s="110"/>
      <c r="CZ181" s="139"/>
      <c r="DA181" s="140">
        <f t="shared" si="4732"/>
        <v>0</v>
      </c>
      <c r="DB181" s="198">
        <f t="shared" si="4728"/>
        <v>0</v>
      </c>
      <c r="DC181" s="140"/>
      <c r="DD181" s="110"/>
      <c r="DE181" s="137"/>
      <c r="DF181" s="97"/>
      <c r="DG181" s="138">
        <f t="shared" ref="DG181:DH181" si="4908">DG36+DG65+DG94+DG123+DG152</f>
        <v>0</v>
      </c>
      <c r="DH181" s="110">
        <f t="shared" si="4908"/>
        <v>0</v>
      </c>
      <c r="DI181" s="110"/>
      <c r="DJ181" s="139"/>
      <c r="DK181" s="140">
        <f t="shared" si="4734"/>
        <v>0</v>
      </c>
      <c r="DL181" s="198">
        <f t="shared" si="4728"/>
        <v>0</v>
      </c>
      <c r="DM181" s="140"/>
      <c r="DN181" s="110"/>
      <c r="DO181" s="137"/>
      <c r="DP181" s="97"/>
      <c r="DQ181" s="138">
        <f t="shared" ref="DQ181:DR181" si="4909">DQ36+DQ65+DQ94+DQ123+DQ152</f>
        <v>0</v>
      </c>
      <c r="DR181" s="110">
        <f t="shared" si="4909"/>
        <v>0</v>
      </c>
      <c r="DS181" s="110"/>
      <c r="DT181" s="139"/>
      <c r="DU181" s="140">
        <f t="shared" si="4736"/>
        <v>0</v>
      </c>
      <c r="DV181" s="198">
        <f t="shared" si="4728"/>
        <v>0</v>
      </c>
      <c r="DW181" s="140"/>
      <c r="DX181" s="110"/>
      <c r="DY181" s="137"/>
      <c r="DZ181" s="97"/>
      <c r="EA181" s="138">
        <f t="shared" ref="EA181:EB181" si="4910">EA36+EA65+EA94+EA123+EA152</f>
        <v>0</v>
      </c>
      <c r="EB181" s="110">
        <f t="shared" si="4910"/>
        <v>0</v>
      </c>
      <c r="EC181" s="110"/>
      <c r="ED181" s="139"/>
      <c r="EE181" s="140">
        <f t="shared" si="4738"/>
        <v>0</v>
      </c>
      <c r="EF181" s="198">
        <f t="shared" si="4728"/>
        <v>0</v>
      </c>
      <c r="EG181" s="140"/>
      <c r="EH181" s="110"/>
      <c r="EI181" s="137"/>
      <c r="EJ181" s="97"/>
      <c r="EK181" s="138">
        <f t="shared" ref="EK181:EL181" si="4911">EK36+EK65+EK94+EK123+EK152</f>
        <v>0</v>
      </c>
      <c r="EL181" s="110">
        <f t="shared" si="4911"/>
        <v>0</v>
      </c>
      <c r="EM181" s="110"/>
      <c r="EN181" s="139"/>
      <c r="EO181" s="140">
        <f t="shared" si="4740"/>
        <v>0</v>
      </c>
      <c r="EP181" s="198">
        <f t="shared" si="4728"/>
        <v>0</v>
      </c>
      <c r="EQ181" s="140"/>
      <c r="ER181" s="110"/>
      <c r="ES181" s="137"/>
      <c r="ET181" s="97"/>
      <c r="EU181" s="138">
        <f t="shared" ref="EU181:EV181" si="4912">EU36+EU65+EU94+EU123+EU152</f>
        <v>0</v>
      </c>
      <c r="EV181" s="110">
        <f t="shared" si="4912"/>
        <v>0</v>
      </c>
      <c r="EW181" s="110"/>
      <c r="EX181" s="139"/>
      <c r="EY181" s="140">
        <f t="shared" si="4742"/>
        <v>0</v>
      </c>
      <c r="EZ181" s="198">
        <f t="shared" si="4743"/>
        <v>0</v>
      </c>
      <c r="FA181" s="140"/>
      <c r="FB181" s="110"/>
      <c r="FC181" s="137"/>
      <c r="FD181" s="97"/>
      <c r="FE181" s="138">
        <f t="shared" ref="FE181:FF181" si="4913">FE36+FE65+FE94+FE123+FE152</f>
        <v>0</v>
      </c>
      <c r="FF181" s="110">
        <f t="shared" si="4913"/>
        <v>0</v>
      </c>
      <c r="FG181" s="110"/>
      <c r="FH181" s="139"/>
      <c r="FI181" s="140">
        <f t="shared" si="4745"/>
        <v>0</v>
      </c>
      <c r="FJ181" s="198">
        <f t="shared" si="4743"/>
        <v>0</v>
      </c>
      <c r="FK181" s="140"/>
      <c r="FL181" s="110"/>
      <c r="FM181" s="137"/>
      <c r="FN181" s="97"/>
      <c r="FO181" s="138">
        <f t="shared" ref="FO181:FP181" si="4914">FO36+FO65+FO94+FO123+FO152</f>
        <v>0</v>
      </c>
      <c r="FP181" s="110">
        <f t="shared" si="4914"/>
        <v>0</v>
      </c>
      <c r="FQ181" s="110"/>
      <c r="FR181" s="139"/>
      <c r="FS181" s="140">
        <f t="shared" si="4747"/>
        <v>0</v>
      </c>
      <c r="FT181" s="198">
        <f t="shared" si="4743"/>
        <v>0</v>
      </c>
      <c r="FU181" s="140"/>
      <c r="FV181" s="110"/>
      <c r="FW181" s="137"/>
      <c r="FX181" s="97"/>
      <c r="FY181" s="138">
        <f t="shared" ref="FY181:FZ181" si="4915">FY36+FY65+FY94+FY123+FY152</f>
        <v>0</v>
      </c>
      <c r="FZ181" s="110">
        <f t="shared" si="4915"/>
        <v>0</v>
      </c>
      <c r="GA181" s="110"/>
      <c r="GB181" s="139"/>
      <c r="GC181" s="140">
        <f t="shared" si="4749"/>
        <v>0</v>
      </c>
      <c r="GD181" s="198">
        <f t="shared" si="4743"/>
        <v>0</v>
      </c>
      <c r="GE181" s="140"/>
      <c r="GF181" s="110"/>
      <c r="GG181" s="137"/>
      <c r="GH181" s="97"/>
      <c r="GI181" s="138">
        <f t="shared" ref="GI181:GJ181" si="4916">GI36+GI65+GI94+GI123+GI152</f>
        <v>0</v>
      </c>
      <c r="GJ181" s="110">
        <f t="shared" si="4916"/>
        <v>0</v>
      </c>
      <c r="GK181" s="110"/>
      <c r="GL181" s="139"/>
      <c r="GM181" s="140">
        <f t="shared" si="4751"/>
        <v>0</v>
      </c>
      <c r="GN181" s="198">
        <f t="shared" si="4743"/>
        <v>0</v>
      </c>
      <c r="GO181" s="140"/>
      <c r="GP181" s="110"/>
      <c r="GQ181" s="137"/>
      <c r="GR181" s="97"/>
      <c r="GS181" s="138">
        <f t="shared" ref="GS181:GT181" si="4917">GS36+GS65+GS94+GS123+GS152</f>
        <v>0</v>
      </c>
      <c r="GT181" s="110">
        <f t="shared" si="4917"/>
        <v>0</v>
      </c>
      <c r="GU181" s="110"/>
      <c r="GV181" s="139"/>
      <c r="GW181" s="140">
        <f t="shared" si="4753"/>
        <v>0</v>
      </c>
      <c r="GX181" s="198">
        <f t="shared" si="4743"/>
        <v>0</v>
      </c>
      <c r="GY181" s="140"/>
      <c r="GZ181" s="110"/>
      <c r="HA181" s="137"/>
      <c r="HB181" s="97"/>
      <c r="HC181" s="138">
        <f t="shared" ref="HC181:HD181" si="4918">HC36+HC65+HC94+HC123+HC152</f>
        <v>0</v>
      </c>
      <c r="HD181" s="110">
        <f t="shared" si="4918"/>
        <v>0</v>
      </c>
      <c r="HE181" s="110"/>
      <c r="HF181" s="139"/>
      <c r="HG181" s="140">
        <f t="shared" si="4755"/>
        <v>0</v>
      </c>
      <c r="HH181" s="198">
        <f t="shared" si="4743"/>
        <v>0</v>
      </c>
      <c r="HI181" s="140"/>
      <c r="HJ181" s="110"/>
      <c r="HK181" s="137"/>
      <c r="HL181" s="97"/>
      <c r="HM181" s="138">
        <f t="shared" ref="HM181:HN181" si="4919">HM36+HM65+HM94+HM123+HM152</f>
        <v>0</v>
      </c>
      <c r="HN181" s="110">
        <f t="shared" si="4919"/>
        <v>0</v>
      </c>
      <c r="HO181" s="110"/>
      <c r="HP181" s="139"/>
      <c r="HQ181" s="140">
        <f t="shared" si="4757"/>
        <v>0</v>
      </c>
      <c r="HR181" s="198">
        <f t="shared" si="4758"/>
        <v>0</v>
      </c>
      <c r="HS181" s="140"/>
      <c r="HT181" s="110"/>
      <c r="HU181" s="137"/>
      <c r="HV181" s="97"/>
      <c r="HW181" s="138">
        <f t="shared" ref="HW181:HX181" si="4920">HW36+HW65+HW94+HW123+HW152</f>
        <v>0</v>
      </c>
      <c r="HX181" s="110">
        <f t="shared" si="4920"/>
        <v>0</v>
      </c>
      <c r="HY181" s="110"/>
      <c r="HZ181" s="139"/>
      <c r="IA181" s="140">
        <f t="shared" si="4760"/>
        <v>0</v>
      </c>
      <c r="IB181" s="198">
        <f t="shared" si="4758"/>
        <v>0</v>
      </c>
      <c r="IC181" s="140"/>
      <c r="ID181" s="110"/>
      <c r="IE181" s="137"/>
      <c r="IF181" s="97"/>
      <c r="IG181" s="138">
        <f t="shared" ref="IG181:IH181" si="4921">IG36+IG65+IG94+IG123+IG152</f>
        <v>0</v>
      </c>
      <c r="IH181" s="110">
        <f t="shared" si="4921"/>
        <v>0</v>
      </c>
      <c r="II181" s="110"/>
      <c r="IJ181" s="139"/>
      <c r="IK181" s="140">
        <f t="shared" si="4762"/>
        <v>0</v>
      </c>
      <c r="IL181" s="198">
        <f t="shared" si="4758"/>
        <v>0</v>
      </c>
      <c r="IM181" s="140"/>
      <c r="IN181" s="110"/>
      <c r="IO181" s="137"/>
      <c r="IP181" s="97"/>
      <c r="IQ181" s="138">
        <f t="shared" ref="IQ181:IR181" si="4922">IQ36+IQ65+IQ94+IQ123+IQ152</f>
        <v>0</v>
      </c>
      <c r="IR181" s="110">
        <f t="shared" si="4922"/>
        <v>0</v>
      </c>
      <c r="IS181" s="110"/>
      <c r="IT181" s="139"/>
      <c r="IU181" s="140">
        <f t="shared" si="4764"/>
        <v>0</v>
      </c>
      <c r="IV181" s="198">
        <f t="shared" si="4758"/>
        <v>0</v>
      </c>
      <c r="IW181" s="140"/>
      <c r="IX181" s="110"/>
      <c r="IY181" s="137"/>
      <c r="IZ181" s="97"/>
      <c r="JA181" s="138">
        <f t="shared" ref="JA181:JB181" si="4923">JA36+JA65+JA94+JA123+JA152</f>
        <v>0</v>
      </c>
      <c r="JB181" s="110">
        <f t="shared" si="4923"/>
        <v>0</v>
      </c>
      <c r="JC181" s="110"/>
      <c r="JD181" s="139"/>
      <c r="JE181" s="140">
        <f t="shared" si="4766"/>
        <v>0</v>
      </c>
      <c r="JF181" s="198">
        <f t="shared" si="4758"/>
        <v>0</v>
      </c>
      <c r="JG181" s="140"/>
      <c r="JH181" s="110"/>
      <c r="JI181" s="137"/>
      <c r="JJ181" s="97"/>
      <c r="JK181" s="138">
        <f t="shared" ref="JK181:JL181" si="4924">JK36+JK65+JK94+JK123+JK152</f>
        <v>0</v>
      </c>
      <c r="JL181" s="110">
        <f t="shared" si="4924"/>
        <v>0</v>
      </c>
      <c r="JM181" s="110"/>
      <c r="JN181" s="139"/>
      <c r="JO181" s="140">
        <f t="shared" si="4768"/>
        <v>0</v>
      </c>
      <c r="JP181" s="198">
        <f t="shared" si="4758"/>
        <v>0</v>
      </c>
      <c r="JQ181" s="140"/>
      <c r="JR181" s="110"/>
      <c r="JS181" s="137"/>
      <c r="JT181" s="97"/>
      <c r="JU181" s="138">
        <f t="shared" ref="JU181:JV181" si="4925">JU36+JU65+JU94+JU123+JU152</f>
        <v>0</v>
      </c>
      <c r="JV181" s="110">
        <f t="shared" si="4925"/>
        <v>0</v>
      </c>
      <c r="JW181" s="110"/>
      <c r="JX181" s="139"/>
      <c r="JY181" s="140">
        <f t="shared" si="4770"/>
        <v>0</v>
      </c>
      <c r="JZ181" s="198">
        <f t="shared" si="4758"/>
        <v>0</v>
      </c>
      <c r="KA181" s="140"/>
      <c r="KB181" s="110"/>
      <c r="KC181" s="137"/>
      <c r="KD181" s="97"/>
      <c r="KE181" s="138">
        <f t="shared" ref="KE181:KF181" si="4926">KE36+KE65+KE94+KE123+KE152</f>
        <v>0</v>
      </c>
      <c r="KF181" s="110">
        <f t="shared" si="4926"/>
        <v>0</v>
      </c>
      <c r="KG181" s="110"/>
      <c r="KH181" s="139"/>
      <c r="KI181" s="140">
        <f t="shared" si="4772"/>
        <v>0</v>
      </c>
      <c r="KJ181" s="198">
        <f t="shared" si="4773"/>
        <v>0</v>
      </c>
      <c r="KK181" s="140"/>
      <c r="KL181" s="110"/>
      <c r="KM181" s="137"/>
      <c r="KN181" s="97"/>
      <c r="KO181" s="138">
        <f t="shared" ref="KO181:KP181" si="4927">KO36+KO65+KO94+KO123+KO152</f>
        <v>0</v>
      </c>
      <c r="KP181" s="110">
        <f t="shared" si="4927"/>
        <v>0</v>
      </c>
      <c r="KQ181" s="110"/>
      <c r="KR181" s="139"/>
      <c r="KS181" s="140">
        <f t="shared" si="4775"/>
        <v>0</v>
      </c>
      <c r="KT181" s="198">
        <f t="shared" si="4773"/>
        <v>0</v>
      </c>
      <c r="KU181" s="140"/>
      <c r="KV181" s="110"/>
      <c r="KW181" s="137"/>
      <c r="KX181" s="97"/>
      <c r="KY181" s="138">
        <f t="shared" ref="KY181:KZ181" si="4928">KY36+KY65+KY94+KY123+KY152</f>
        <v>0</v>
      </c>
      <c r="KZ181" s="110">
        <f t="shared" si="4928"/>
        <v>0</v>
      </c>
      <c r="LA181" s="110"/>
      <c r="LB181" s="139"/>
      <c r="LC181" s="140">
        <f t="shared" si="4777"/>
        <v>0</v>
      </c>
      <c r="LD181" s="197">
        <f t="shared" si="4221"/>
        <v>1</v>
      </c>
      <c r="LE181" s="140"/>
      <c r="LF181" s="110"/>
      <c r="LG181" s="137"/>
      <c r="LH181" s="97"/>
      <c r="LI181" s="138">
        <f t="shared" si="4778"/>
        <v>3206.7766999999999</v>
      </c>
      <c r="LJ181" s="110">
        <f t="shared" si="4778"/>
        <v>3206.78</v>
      </c>
      <c r="LK181" s="110"/>
      <c r="LL181" s="139"/>
    </row>
    <row r="182" spans="1:324" ht="16.5" hidden="1" customHeight="1" x14ac:dyDescent="0.25">
      <c r="A182" s="246"/>
      <c r="B182" s="174" t="s">
        <v>608</v>
      </c>
      <c r="C182" s="12" t="s">
        <v>728</v>
      </c>
      <c r="D182" s="12" t="s">
        <v>430</v>
      </c>
      <c r="E182" s="4"/>
      <c r="F182" s="198">
        <f t="shared" si="4711"/>
        <v>0</v>
      </c>
      <c r="G182" s="140"/>
      <c r="H182" s="110"/>
      <c r="I182" s="137"/>
      <c r="J182" s="97"/>
      <c r="K182" s="138">
        <f t="shared" si="4712"/>
        <v>0</v>
      </c>
      <c r="L182" s="110">
        <f t="shared" si="4712"/>
        <v>0</v>
      </c>
      <c r="M182" s="110"/>
      <c r="N182" s="139"/>
      <c r="O182" s="140">
        <f t="shared" si="4155"/>
        <v>0</v>
      </c>
      <c r="P182" s="198">
        <f t="shared" si="4713"/>
        <v>0</v>
      </c>
      <c r="Q182" s="140"/>
      <c r="R182" s="110"/>
      <c r="S182" s="137"/>
      <c r="T182" s="97"/>
      <c r="U182" s="138">
        <f t="shared" ref="U182:V182" si="4929">U37+U66+U95+U124+U153</f>
        <v>0</v>
      </c>
      <c r="V182" s="110">
        <f t="shared" si="4929"/>
        <v>0</v>
      </c>
      <c r="W182" s="110"/>
      <c r="X182" s="139"/>
      <c r="Y182" s="140">
        <f t="shared" si="4715"/>
        <v>0</v>
      </c>
      <c r="Z182" s="198">
        <f t="shared" si="4713"/>
        <v>0</v>
      </c>
      <c r="AA182" s="140"/>
      <c r="AB182" s="110"/>
      <c r="AC182" s="137"/>
      <c r="AD182" s="97"/>
      <c r="AE182" s="138">
        <f t="shared" ref="AE182:AF182" si="4930">AE37+AE66+AE95+AE124+AE153</f>
        <v>0</v>
      </c>
      <c r="AF182" s="110">
        <f t="shared" si="4930"/>
        <v>0</v>
      </c>
      <c r="AG182" s="110"/>
      <c r="AH182" s="139"/>
      <c r="AI182" s="140">
        <f t="shared" si="4717"/>
        <v>0</v>
      </c>
      <c r="AJ182" s="198">
        <f t="shared" si="4713"/>
        <v>0</v>
      </c>
      <c r="AK182" s="140"/>
      <c r="AL182" s="110"/>
      <c r="AM182" s="137"/>
      <c r="AN182" s="97"/>
      <c r="AO182" s="138">
        <f t="shared" ref="AO182:AP182" si="4931">AO37+AO66+AO95+AO124+AO153</f>
        <v>0</v>
      </c>
      <c r="AP182" s="110">
        <f t="shared" si="4931"/>
        <v>0</v>
      </c>
      <c r="AQ182" s="110"/>
      <c r="AR182" s="139"/>
      <c r="AS182" s="140">
        <f t="shared" si="4719"/>
        <v>0</v>
      </c>
      <c r="AT182" s="198">
        <f t="shared" si="4713"/>
        <v>0</v>
      </c>
      <c r="AU182" s="140"/>
      <c r="AV182" s="110"/>
      <c r="AW182" s="137"/>
      <c r="AX182" s="97"/>
      <c r="AY182" s="138">
        <f t="shared" ref="AY182:AZ182" si="4932">AY37+AY66+AY95+AY124+AY153</f>
        <v>0</v>
      </c>
      <c r="AZ182" s="110">
        <f t="shared" si="4932"/>
        <v>0</v>
      </c>
      <c r="BA182" s="110"/>
      <c r="BB182" s="139"/>
      <c r="BC182" s="140">
        <f t="shared" si="4721"/>
        <v>0</v>
      </c>
      <c r="BD182" s="198">
        <f t="shared" si="4713"/>
        <v>0</v>
      </c>
      <c r="BE182" s="140"/>
      <c r="BF182" s="110"/>
      <c r="BG182" s="137"/>
      <c r="BH182" s="97"/>
      <c r="BI182" s="138">
        <f t="shared" ref="BI182:BJ182" si="4933">BI37+BI66+BI95+BI124+BI153</f>
        <v>0</v>
      </c>
      <c r="BJ182" s="110">
        <f t="shared" si="4933"/>
        <v>0</v>
      </c>
      <c r="BK182" s="110"/>
      <c r="BL182" s="139"/>
      <c r="BM182" s="140">
        <f t="shared" si="4723"/>
        <v>0</v>
      </c>
      <c r="BN182" s="198">
        <f t="shared" si="4713"/>
        <v>0</v>
      </c>
      <c r="BO182" s="140"/>
      <c r="BP182" s="110"/>
      <c r="BQ182" s="137"/>
      <c r="BR182" s="97"/>
      <c r="BS182" s="138">
        <f t="shared" ref="BS182:BT182" si="4934">BS37+BS66+BS95+BS124+BS153</f>
        <v>0</v>
      </c>
      <c r="BT182" s="110">
        <f t="shared" si="4934"/>
        <v>0</v>
      </c>
      <c r="BU182" s="110"/>
      <c r="BV182" s="139"/>
      <c r="BW182" s="140">
        <f t="shared" si="4725"/>
        <v>0</v>
      </c>
      <c r="BX182" s="198">
        <f t="shared" si="4713"/>
        <v>0</v>
      </c>
      <c r="BY182" s="140"/>
      <c r="BZ182" s="110"/>
      <c r="CA182" s="137"/>
      <c r="CB182" s="97"/>
      <c r="CC182" s="138">
        <f t="shared" ref="CC182:CD182" si="4935">CC37+CC66+CC95+CC124+CC153</f>
        <v>0</v>
      </c>
      <c r="CD182" s="110">
        <f t="shared" si="4935"/>
        <v>0</v>
      </c>
      <c r="CE182" s="110"/>
      <c r="CF182" s="139"/>
      <c r="CG182" s="140">
        <f t="shared" si="4727"/>
        <v>0</v>
      </c>
      <c r="CH182" s="198">
        <f t="shared" si="4728"/>
        <v>0</v>
      </c>
      <c r="CI182" s="140"/>
      <c r="CJ182" s="110"/>
      <c r="CK182" s="137"/>
      <c r="CL182" s="97"/>
      <c r="CM182" s="138">
        <f t="shared" ref="CM182:CN182" si="4936">CM37+CM66+CM95+CM124+CM153</f>
        <v>0</v>
      </c>
      <c r="CN182" s="110">
        <f t="shared" si="4936"/>
        <v>0</v>
      </c>
      <c r="CO182" s="110"/>
      <c r="CP182" s="139"/>
      <c r="CQ182" s="140">
        <f t="shared" si="4730"/>
        <v>0</v>
      </c>
      <c r="CR182" s="198">
        <f t="shared" si="4728"/>
        <v>0</v>
      </c>
      <c r="CS182" s="140"/>
      <c r="CT182" s="110"/>
      <c r="CU182" s="137"/>
      <c r="CV182" s="97"/>
      <c r="CW182" s="138">
        <f t="shared" ref="CW182:CX182" si="4937">CW37+CW66+CW95+CW124+CW153</f>
        <v>0</v>
      </c>
      <c r="CX182" s="110">
        <f t="shared" si="4937"/>
        <v>0</v>
      </c>
      <c r="CY182" s="110"/>
      <c r="CZ182" s="139"/>
      <c r="DA182" s="140">
        <f t="shared" si="4732"/>
        <v>0</v>
      </c>
      <c r="DB182" s="198">
        <f t="shared" si="4728"/>
        <v>0</v>
      </c>
      <c r="DC182" s="140"/>
      <c r="DD182" s="110"/>
      <c r="DE182" s="137"/>
      <c r="DF182" s="97"/>
      <c r="DG182" s="138">
        <f t="shared" ref="DG182:DH182" si="4938">DG37+DG66+DG95+DG124+DG153</f>
        <v>0</v>
      </c>
      <c r="DH182" s="110">
        <f t="shared" si="4938"/>
        <v>0</v>
      </c>
      <c r="DI182" s="110"/>
      <c r="DJ182" s="139"/>
      <c r="DK182" s="140">
        <f t="shared" si="4734"/>
        <v>0</v>
      </c>
      <c r="DL182" s="198">
        <f t="shared" si="4728"/>
        <v>41</v>
      </c>
      <c r="DM182" s="140"/>
      <c r="DN182" s="110"/>
      <c r="DO182" s="137"/>
      <c r="DP182" s="97"/>
      <c r="DQ182" s="138">
        <f t="shared" ref="DQ182:DR182" si="4939">DQ37+DQ66+DQ95+DQ124+DQ153</f>
        <v>3456.8694599999999</v>
      </c>
      <c r="DR182" s="110">
        <f t="shared" si="4939"/>
        <v>141731.65</v>
      </c>
      <c r="DS182" s="110"/>
      <c r="DT182" s="139"/>
      <c r="DU182" s="140">
        <f t="shared" si="4736"/>
        <v>1.22309</v>
      </c>
      <c r="DV182" s="198">
        <f t="shared" si="4728"/>
        <v>0</v>
      </c>
      <c r="DW182" s="140"/>
      <c r="DX182" s="110"/>
      <c r="DY182" s="137"/>
      <c r="DZ182" s="97"/>
      <c r="EA182" s="138">
        <f t="shared" ref="EA182:EB182" si="4940">EA37+EA66+EA95+EA124+EA153</f>
        <v>0</v>
      </c>
      <c r="EB182" s="110">
        <f t="shared" si="4940"/>
        <v>0</v>
      </c>
      <c r="EC182" s="110"/>
      <c r="ED182" s="139"/>
      <c r="EE182" s="140">
        <f t="shared" si="4738"/>
        <v>0</v>
      </c>
      <c r="EF182" s="198">
        <f t="shared" si="4728"/>
        <v>0</v>
      </c>
      <c r="EG182" s="140"/>
      <c r="EH182" s="110"/>
      <c r="EI182" s="137"/>
      <c r="EJ182" s="97"/>
      <c r="EK182" s="138">
        <f t="shared" ref="EK182:EL182" si="4941">EK37+EK66+EK95+EK124+EK153</f>
        <v>0</v>
      </c>
      <c r="EL182" s="110">
        <f t="shared" si="4941"/>
        <v>0</v>
      </c>
      <c r="EM182" s="110"/>
      <c r="EN182" s="139"/>
      <c r="EO182" s="140">
        <f t="shared" si="4740"/>
        <v>0</v>
      </c>
      <c r="EP182" s="198">
        <f t="shared" si="4728"/>
        <v>0</v>
      </c>
      <c r="EQ182" s="140"/>
      <c r="ER182" s="110"/>
      <c r="ES182" s="137"/>
      <c r="ET182" s="97"/>
      <c r="EU182" s="138">
        <f t="shared" ref="EU182:EV182" si="4942">EU37+EU66+EU95+EU124+EU153</f>
        <v>0</v>
      </c>
      <c r="EV182" s="110">
        <f t="shared" si="4942"/>
        <v>0</v>
      </c>
      <c r="EW182" s="110"/>
      <c r="EX182" s="139"/>
      <c r="EY182" s="140">
        <f t="shared" si="4742"/>
        <v>0</v>
      </c>
      <c r="EZ182" s="198">
        <f t="shared" si="4743"/>
        <v>0</v>
      </c>
      <c r="FA182" s="140"/>
      <c r="FB182" s="110"/>
      <c r="FC182" s="137"/>
      <c r="FD182" s="97"/>
      <c r="FE182" s="138">
        <f t="shared" ref="FE182:FF182" si="4943">FE37+FE66+FE95+FE124+FE153</f>
        <v>0</v>
      </c>
      <c r="FF182" s="110">
        <f t="shared" si="4943"/>
        <v>0</v>
      </c>
      <c r="FG182" s="110"/>
      <c r="FH182" s="139"/>
      <c r="FI182" s="140">
        <f t="shared" si="4745"/>
        <v>0</v>
      </c>
      <c r="FJ182" s="198">
        <f t="shared" si="4743"/>
        <v>0</v>
      </c>
      <c r="FK182" s="140"/>
      <c r="FL182" s="110"/>
      <c r="FM182" s="137"/>
      <c r="FN182" s="97"/>
      <c r="FO182" s="138">
        <f t="shared" ref="FO182:FP182" si="4944">FO37+FO66+FO95+FO124+FO153</f>
        <v>0</v>
      </c>
      <c r="FP182" s="110">
        <f t="shared" si="4944"/>
        <v>0</v>
      </c>
      <c r="FQ182" s="110"/>
      <c r="FR182" s="139"/>
      <c r="FS182" s="140">
        <f t="shared" si="4747"/>
        <v>0</v>
      </c>
      <c r="FT182" s="198">
        <f t="shared" si="4743"/>
        <v>0</v>
      </c>
      <c r="FU182" s="140"/>
      <c r="FV182" s="110"/>
      <c r="FW182" s="137"/>
      <c r="FX182" s="97"/>
      <c r="FY182" s="138">
        <f t="shared" ref="FY182:FZ182" si="4945">FY37+FY66+FY95+FY124+FY153</f>
        <v>0</v>
      </c>
      <c r="FZ182" s="110">
        <f t="shared" si="4945"/>
        <v>0</v>
      </c>
      <c r="GA182" s="110"/>
      <c r="GB182" s="139"/>
      <c r="GC182" s="140">
        <f t="shared" si="4749"/>
        <v>0</v>
      </c>
      <c r="GD182" s="198">
        <f t="shared" si="4743"/>
        <v>0</v>
      </c>
      <c r="GE182" s="140"/>
      <c r="GF182" s="110"/>
      <c r="GG182" s="137"/>
      <c r="GH182" s="97"/>
      <c r="GI182" s="138">
        <f t="shared" ref="GI182:GJ182" si="4946">GI37+GI66+GI95+GI124+GI153</f>
        <v>0</v>
      </c>
      <c r="GJ182" s="110">
        <f t="shared" si="4946"/>
        <v>0</v>
      </c>
      <c r="GK182" s="110"/>
      <c r="GL182" s="139"/>
      <c r="GM182" s="140">
        <f t="shared" si="4751"/>
        <v>0</v>
      </c>
      <c r="GN182" s="198">
        <f t="shared" si="4743"/>
        <v>0</v>
      </c>
      <c r="GO182" s="140"/>
      <c r="GP182" s="110"/>
      <c r="GQ182" s="137"/>
      <c r="GR182" s="97"/>
      <c r="GS182" s="138">
        <f t="shared" ref="GS182:GT182" si="4947">GS37+GS66+GS95+GS124+GS153</f>
        <v>0</v>
      </c>
      <c r="GT182" s="110">
        <f t="shared" si="4947"/>
        <v>0</v>
      </c>
      <c r="GU182" s="110"/>
      <c r="GV182" s="139"/>
      <c r="GW182" s="140">
        <f t="shared" si="4753"/>
        <v>0</v>
      </c>
      <c r="GX182" s="198">
        <f t="shared" si="4743"/>
        <v>0</v>
      </c>
      <c r="GY182" s="140"/>
      <c r="GZ182" s="110"/>
      <c r="HA182" s="137"/>
      <c r="HB182" s="97"/>
      <c r="HC182" s="138">
        <f t="shared" ref="HC182:HD182" si="4948">HC37+HC66+HC95+HC124+HC153</f>
        <v>0</v>
      </c>
      <c r="HD182" s="110">
        <f t="shared" si="4948"/>
        <v>0</v>
      </c>
      <c r="HE182" s="110"/>
      <c r="HF182" s="139"/>
      <c r="HG182" s="140">
        <f t="shared" si="4755"/>
        <v>0</v>
      </c>
      <c r="HH182" s="198">
        <f t="shared" si="4743"/>
        <v>0</v>
      </c>
      <c r="HI182" s="140"/>
      <c r="HJ182" s="110"/>
      <c r="HK182" s="137"/>
      <c r="HL182" s="97"/>
      <c r="HM182" s="138">
        <f t="shared" ref="HM182:HN182" si="4949">HM37+HM66+HM95+HM124+HM153</f>
        <v>0</v>
      </c>
      <c r="HN182" s="110">
        <f t="shared" si="4949"/>
        <v>0</v>
      </c>
      <c r="HO182" s="110"/>
      <c r="HP182" s="139"/>
      <c r="HQ182" s="140">
        <f t="shared" si="4757"/>
        <v>0</v>
      </c>
      <c r="HR182" s="198">
        <f t="shared" si="4758"/>
        <v>0</v>
      </c>
      <c r="HS182" s="140"/>
      <c r="HT182" s="110"/>
      <c r="HU182" s="137"/>
      <c r="HV182" s="97"/>
      <c r="HW182" s="138">
        <f t="shared" ref="HW182:HX182" si="4950">HW37+HW66+HW95+HW124+HW153</f>
        <v>0</v>
      </c>
      <c r="HX182" s="110">
        <f t="shared" si="4950"/>
        <v>0</v>
      </c>
      <c r="HY182" s="110"/>
      <c r="HZ182" s="139"/>
      <c r="IA182" s="140">
        <f t="shared" si="4760"/>
        <v>0</v>
      </c>
      <c r="IB182" s="198">
        <f t="shared" si="4758"/>
        <v>0</v>
      </c>
      <c r="IC182" s="140"/>
      <c r="ID182" s="110"/>
      <c r="IE182" s="137"/>
      <c r="IF182" s="97"/>
      <c r="IG182" s="138">
        <f t="shared" ref="IG182:IH182" si="4951">IG37+IG66+IG95+IG124+IG153</f>
        <v>0</v>
      </c>
      <c r="IH182" s="110">
        <f t="shared" si="4951"/>
        <v>0</v>
      </c>
      <c r="II182" s="110"/>
      <c r="IJ182" s="139"/>
      <c r="IK182" s="140">
        <f t="shared" si="4762"/>
        <v>0</v>
      </c>
      <c r="IL182" s="198">
        <f t="shared" si="4758"/>
        <v>0</v>
      </c>
      <c r="IM182" s="140"/>
      <c r="IN182" s="110"/>
      <c r="IO182" s="137"/>
      <c r="IP182" s="97"/>
      <c r="IQ182" s="138">
        <f t="shared" ref="IQ182:IR182" si="4952">IQ37+IQ66+IQ95+IQ124+IQ153</f>
        <v>0</v>
      </c>
      <c r="IR182" s="110">
        <f t="shared" si="4952"/>
        <v>0</v>
      </c>
      <c r="IS182" s="110"/>
      <c r="IT182" s="139"/>
      <c r="IU182" s="140">
        <f t="shared" si="4764"/>
        <v>0</v>
      </c>
      <c r="IV182" s="198">
        <f t="shared" si="4758"/>
        <v>0</v>
      </c>
      <c r="IW182" s="140"/>
      <c r="IX182" s="110"/>
      <c r="IY182" s="137"/>
      <c r="IZ182" s="97"/>
      <c r="JA182" s="138">
        <f t="shared" ref="JA182:JB182" si="4953">JA37+JA66+JA95+JA124+JA153</f>
        <v>0</v>
      </c>
      <c r="JB182" s="110">
        <f t="shared" si="4953"/>
        <v>0</v>
      </c>
      <c r="JC182" s="110"/>
      <c r="JD182" s="139"/>
      <c r="JE182" s="140">
        <f t="shared" si="4766"/>
        <v>0</v>
      </c>
      <c r="JF182" s="198">
        <f t="shared" si="4758"/>
        <v>0</v>
      </c>
      <c r="JG182" s="140"/>
      <c r="JH182" s="110"/>
      <c r="JI182" s="137"/>
      <c r="JJ182" s="97"/>
      <c r="JK182" s="138">
        <f t="shared" ref="JK182:JL182" si="4954">JK37+JK66+JK95+JK124+JK153</f>
        <v>0</v>
      </c>
      <c r="JL182" s="110">
        <f t="shared" si="4954"/>
        <v>0</v>
      </c>
      <c r="JM182" s="110"/>
      <c r="JN182" s="139"/>
      <c r="JO182" s="140">
        <f t="shared" si="4768"/>
        <v>0</v>
      </c>
      <c r="JP182" s="198">
        <f t="shared" si="4758"/>
        <v>0</v>
      </c>
      <c r="JQ182" s="140"/>
      <c r="JR182" s="110"/>
      <c r="JS182" s="137"/>
      <c r="JT182" s="97"/>
      <c r="JU182" s="138">
        <f t="shared" ref="JU182:JV182" si="4955">JU37+JU66+JU95+JU124+JU153</f>
        <v>0</v>
      </c>
      <c r="JV182" s="110">
        <f t="shared" si="4955"/>
        <v>0</v>
      </c>
      <c r="JW182" s="110"/>
      <c r="JX182" s="139"/>
      <c r="JY182" s="140">
        <f t="shared" si="4770"/>
        <v>0</v>
      </c>
      <c r="JZ182" s="198">
        <f t="shared" si="4758"/>
        <v>0</v>
      </c>
      <c r="KA182" s="140"/>
      <c r="KB182" s="110"/>
      <c r="KC182" s="137"/>
      <c r="KD182" s="97"/>
      <c r="KE182" s="138">
        <f t="shared" ref="KE182:KF182" si="4956">KE37+KE66+KE95+KE124+KE153</f>
        <v>0</v>
      </c>
      <c r="KF182" s="110">
        <f t="shared" si="4956"/>
        <v>0</v>
      </c>
      <c r="KG182" s="110"/>
      <c r="KH182" s="139"/>
      <c r="KI182" s="140">
        <f t="shared" si="4772"/>
        <v>0</v>
      </c>
      <c r="KJ182" s="198">
        <f t="shared" si="4773"/>
        <v>0</v>
      </c>
      <c r="KK182" s="140"/>
      <c r="KL182" s="110"/>
      <c r="KM182" s="137"/>
      <c r="KN182" s="97"/>
      <c r="KO182" s="138">
        <f t="shared" ref="KO182:KP182" si="4957">KO37+KO66+KO95+KO124+KO153</f>
        <v>0</v>
      </c>
      <c r="KP182" s="110">
        <f t="shared" si="4957"/>
        <v>0</v>
      </c>
      <c r="KQ182" s="110"/>
      <c r="KR182" s="139"/>
      <c r="KS182" s="140">
        <f t="shared" si="4775"/>
        <v>0</v>
      </c>
      <c r="KT182" s="198">
        <f t="shared" si="4773"/>
        <v>0</v>
      </c>
      <c r="KU182" s="140"/>
      <c r="KV182" s="110"/>
      <c r="KW182" s="137"/>
      <c r="KX182" s="97"/>
      <c r="KY182" s="138">
        <f t="shared" ref="KY182:KZ182" si="4958">KY37+KY66+KY95+KY124+KY153</f>
        <v>0</v>
      </c>
      <c r="KZ182" s="110">
        <f t="shared" si="4958"/>
        <v>0</v>
      </c>
      <c r="LA182" s="110"/>
      <c r="LB182" s="139"/>
      <c r="LC182" s="140">
        <f t="shared" si="4777"/>
        <v>0</v>
      </c>
      <c r="LD182" s="197">
        <f t="shared" si="4221"/>
        <v>41</v>
      </c>
      <c r="LE182" s="140"/>
      <c r="LF182" s="110"/>
      <c r="LG182" s="137"/>
      <c r="LH182" s="97"/>
      <c r="LI182" s="138">
        <f t="shared" si="4778"/>
        <v>2826.33826</v>
      </c>
      <c r="LJ182" s="110">
        <f t="shared" si="4778"/>
        <v>115879.87</v>
      </c>
      <c r="LK182" s="110"/>
      <c r="LL182" s="139"/>
    </row>
    <row r="183" spans="1:324" ht="16.5" hidden="1" customHeight="1" x14ac:dyDescent="0.25">
      <c r="A183" s="247"/>
      <c r="B183" s="92" t="s">
        <v>611</v>
      </c>
      <c r="C183" s="12" t="s">
        <v>728</v>
      </c>
      <c r="D183" s="12" t="s">
        <v>430</v>
      </c>
      <c r="E183" s="4"/>
      <c r="F183" s="198">
        <f t="shared" si="4711"/>
        <v>0</v>
      </c>
      <c r="G183" s="140"/>
      <c r="H183" s="110"/>
      <c r="I183" s="137"/>
      <c r="J183" s="97"/>
      <c r="K183" s="138">
        <f t="shared" si="4712"/>
        <v>0</v>
      </c>
      <c r="L183" s="110">
        <f t="shared" si="4712"/>
        <v>0</v>
      </c>
      <c r="M183" s="110"/>
      <c r="N183" s="139"/>
      <c r="O183" s="140" t="e">
        <f t="shared" si="4155"/>
        <v>#DIV/0!</v>
      </c>
      <c r="P183" s="198">
        <f t="shared" si="4713"/>
        <v>0</v>
      </c>
      <c r="Q183" s="140"/>
      <c r="R183" s="110"/>
      <c r="S183" s="137"/>
      <c r="T183" s="97"/>
      <c r="U183" s="138">
        <f t="shared" ref="U183:V183" si="4959">U38+U67+U96+U125+U154</f>
        <v>0</v>
      </c>
      <c r="V183" s="110">
        <f t="shared" si="4959"/>
        <v>0</v>
      </c>
      <c r="W183" s="110"/>
      <c r="X183" s="139"/>
      <c r="Y183" s="140" t="e">
        <f t="shared" si="4715"/>
        <v>#DIV/0!</v>
      </c>
      <c r="Z183" s="198">
        <f t="shared" si="4713"/>
        <v>0</v>
      </c>
      <c r="AA183" s="140"/>
      <c r="AB183" s="110"/>
      <c r="AC183" s="137"/>
      <c r="AD183" s="97"/>
      <c r="AE183" s="138">
        <f t="shared" ref="AE183:AF183" si="4960">AE38+AE67+AE96+AE125+AE154</f>
        <v>0</v>
      </c>
      <c r="AF183" s="110">
        <f t="shared" si="4960"/>
        <v>0</v>
      </c>
      <c r="AG183" s="110"/>
      <c r="AH183" s="139"/>
      <c r="AI183" s="140" t="e">
        <f t="shared" si="4717"/>
        <v>#DIV/0!</v>
      </c>
      <c r="AJ183" s="198">
        <f t="shared" si="4713"/>
        <v>0</v>
      </c>
      <c r="AK183" s="140"/>
      <c r="AL183" s="110"/>
      <c r="AM183" s="137"/>
      <c r="AN183" s="97"/>
      <c r="AO183" s="138">
        <f t="shared" ref="AO183:AP183" si="4961">AO38+AO67+AO96+AO125+AO154</f>
        <v>0</v>
      </c>
      <c r="AP183" s="110">
        <f t="shared" si="4961"/>
        <v>0</v>
      </c>
      <c r="AQ183" s="110"/>
      <c r="AR183" s="139"/>
      <c r="AS183" s="140" t="e">
        <f t="shared" si="4719"/>
        <v>#DIV/0!</v>
      </c>
      <c r="AT183" s="198">
        <f t="shared" si="4713"/>
        <v>0</v>
      </c>
      <c r="AU183" s="140"/>
      <c r="AV183" s="110"/>
      <c r="AW183" s="137"/>
      <c r="AX183" s="97"/>
      <c r="AY183" s="138">
        <f t="shared" ref="AY183:AZ183" si="4962">AY38+AY67+AY96+AY125+AY154</f>
        <v>0</v>
      </c>
      <c r="AZ183" s="110">
        <f t="shared" si="4962"/>
        <v>0</v>
      </c>
      <c r="BA183" s="110"/>
      <c r="BB183" s="139"/>
      <c r="BC183" s="140" t="e">
        <f t="shared" si="4721"/>
        <v>#DIV/0!</v>
      </c>
      <c r="BD183" s="198">
        <f t="shared" si="4713"/>
        <v>0</v>
      </c>
      <c r="BE183" s="140"/>
      <c r="BF183" s="110"/>
      <c r="BG183" s="137"/>
      <c r="BH183" s="97"/>
      <c r="BI183" s="138">
        <f t="shared" ref="BI183:BJ183" si="4963">BI38+BI67+BI96+BI125+BI154</f>
        <v>0</v>
      </c>
      <c r="BJ183" s="110">
        <f t="shared" si="4963"/>
        <v>0</v>
      </c>
      <c r="BK183" s="110"/>
      <c r="BL183" s="139"/>
      <c r="BM183" s="140" t="e">
        <f t="shared" si="4723"/>
        <v>#DIV/0!</v>
      </c>
      <c r="BN183" s="198">
        <f t="shared" si="4713"/>
        <v>0</v>
      </c>
      <c r="BO183" s="140"/>
      <c r="BP183" s="110"/>
      <c r="BQ183" s="137"/>
      <c r="BR183" s="97"/>
      <c r="BS183" s="138">
        <f t="shared" ref="BS183:BT183" si="4964">BS38+BS67+BS96+BS125+BS154</f>
        <v>0</v>
      </c>
      <c r="BT183" s="110">
        <f t="shared" si="4964"/>
        <v>0</v>
      </c>
      <c r="BU183" s="110"/>
      <c r="BV183" s="139"/>
      <c r="BW183" s="140" t="e">
        <f t="shared" si="4725"/>
        <v>#DIV/0!</v>
      </c>
      <c r="BX183" s="198">
        <f t="shared" si="4713"/>
        <v>0</v>
      </c>
      <c r="BY183" s="140"/>
      <c r="BZ183" s="110"/>
      <c r="CA183" s="137"/>
      <c r="CB183" s="97"/>
      <c r="CC183" s="138">
        <f t="shared" ref="CC183:CD183" si="4965">CC38+CC67+CC96+CC125+CC154</f>
        <v>0</v>
      </c>
      <c r="CD183" s="110">
        <f t="shared" si="4965"/>
        <v>0</v>
      </c>
      <c r="CE183" s="110"/>
      <c r="CF183" s="139"/>
      <c r="CG183" s="140" t="e">
        <f t="shared" si="4727"/>
        <v>#DIV/0!</v>
      </c>
      <c r="CH183" s="198">
        <f t="shared" si="4728"/>
        <v>0</v>
      </c>
      <c r="CI183" s="140"/>
      <c r="CJ183" s="110"/>
      <c r="CK183" s="137"/>
      <c r="CL183" s="97"/>
      <c r="CM183" s="138">
        <f t="shared" ref="CM183:CN183" si="4966">CM38+CM67+CM96+CM125+CM154</f>
        <v>0</v>
      </c>
      <c r="CN183" s="110">
        <f t="shared" si="4966"/>
        <v>0</v>
      </c>
      <c r="CO183" s="110"/>
      <c r="CP183" s="139"/>
      <c r="CQ183" s="140" t="e">
        <f t="shared" si="4730"/>
        <v>#DIV/0!</v>
      </c>
      <c r="CR183" s="198">
        <f t="shared" si="4728"/>
        <v>0</v>
      </c>
      <c r="CS183" s="140"/>
      <c r="CT183" s="110"/>
      <c r="CU183" s="137"/>
      <c r="CV183" s="97"/>
      <c r="CW183" s="138">
        <f t="shared" ref="CW183:CX183" si="4967">CW38+CW67+CW96+CW125+CW154</f>
        <v>0</v>
      </c>
      <c r="CX183" s="110">
        <f t="shared" si="4967"/>
        <v>0</v>
      </c>
      <c r="CY183" s="110"/>
      <c r="CZ183" s="139"/>
      <c r="DA183" s="140" t="e">
        <f t="shared" si="4732"/>
        <v>#DIV/0!</v>
      </c>
      <c r="DB183" s="198">
        <f t="shared" si="4728"/>
        <v>0</v>
      </c>
      <c r="DC183" s="140"/>
      <c r="DD183" s="110"/>
      <c r="DE183" s="137"/>
      <c r="DF183" s="97"/>
      <c r="DG183" s="138">
        <f t="shared" ref="DG183:DH183" si="4968">DG38+DG67+DG96+DG125+DG154</f>
        <v>0</v>
      </c>
      <c r="DH183" s="110">
        <f t="shared" si="4968"/>
        <v>0</v>
      </c>
      <c r="DI183" s="110"/>
      <c r="DJ183" s="139"/>
      <c r="DK183" s="140" t="e">
        <f t="shared" si="4734"/>
        <v>#DIV/0!</v>
      </c>
      <c r="DL183" s="198">
        <f t="shared" si="4728"/>
        <v>0</v>
      </c>
      <c r="DM183" s="140"/>
      <c r="DN183" s="110"/>
      <c r="DO183" s="137"/>
      <c r="DP183" s="97"/>
      <c r="DQ183" s="138">
        <f t="shared" ref="DQ183:DR183" si="4969">DQ38+DQ67+DQ96+DQ125+DQ154</f>
        <v>0</v>
      </c>
      <c r="DR183" s="110">
        <f t="shared" si="4969"/>
        <v>0</v>
      </c>
      <c r="DS183" s="110"/>
      <c r="DT183" s="139"/>
      <c r="DU183" s="140" t="e">
        <f t="shared" si="4736"/>
        <v>#DIV/0!</v>
      </c>
      <c r="DV183" s="198">
        <f t="shared" si="4728"/>
        <v>0</v>
      </c>
      <c r="DW183" s="140"/>
      <c r="DX183" s="110"/>
      <c r="DY183" s="137"/>
      <c r="DZ183" s="97"/>
      <c r="EA183" s="138">
        <f t="shared" ref="EA183:EB183" si="4970">EA38+EA67+EA96+EA125+EA154</f>
        <v>0</v>
      </c>
      <c r="EB183" s="110">
        <f t="shared" si="4970"/>
        <v>0</v>
      </c>
      <c r="EC183" s="110"/>
      <c r="ED183" s="139"/>
      <c r="EE183" s="140" t="e">
        <f t="shared" si="4738"/>
        <v>#DIV/0!</v>
      </c>
      <c r="EF183" s="198">
        <f t="shared" si="4728"/>
        <v>0</v>
      </c>
      <c r="EG183" s="140"/>
      <c r="EH183" s="110"/>
      <c r="EI183" s="137"/>
      <c r="EJ183" s="97"/>
      <c r="EK183" s="138">
        <f t="shared" ref="EK183:EL183" si="4971">EK38+EK67+EK96+EK125+EK154</f>
        <v>0</v>
      </c>
      <c r="EL183" s="110">
        <f t="shared" si="4971"/>
        <v>0</v>
      </c>
      <c r="EM183" s="110"/>
      <c r="EN183" s="139"/>
      <c r="EO183" s="140" t="e">
        <f t="shared" si="4740"/>
        <v>#DIV/0!</v>
      </c>
      <c r="EP183" s="198">
        <f t="shared" si="4728"/>
        <v>0</v>
      </c>
      <c r="EQ183" s="140"/>
      <c r="ER183" s="110"/>
      <c r="ES183" s="137"/>
      <c r="ET183" s="97"/>
      <c r="EU183" s="138">
        <f t="shared" ref="EU183:EV183" si="4972">EU38+EU67+EU96+EU125+EU154</f>
        <v>0</v>
      </c>
      <c r="EV183" s="110">
        <f t="shared" si="4972"/>
        <v>0</v>
      </c>
      <c r="EW183" s="110"/>
      <c r="EX183" s="139"/>
      <c r="EY183" s="140" t="e">
        <f t="shared" si="4742"/>
        <v>#DIV/0!</v>
      </c>
      <c r="EZ183" s="198">
        <f t="shared" si="4743"/>
        <v>0</v>
      </c>
      <c r="FA183" s="140"/>
      <c r="FB183" s="110"/>
      <c r="FC183" s="137"/>
      <c r="FD183" s="97"/>
      <c r="FE183" s="138">
        <f t="shared" ref="FE183:FF183" si="4973">FE38+FE67+FE96+FE125+FE154</f>
        <v>0</v>
      </c>
      <c r="FF183" s="110">
        <f t="shared" si="4973"/>
        <v>0</v>
      </c>
      <c r="FG183" s="110"/>
      <c r="FH183" s="139"/>
      <c r="FI183" s="140" t="e">
        <f t="shared" si="4745"/>
        <v>#DIV/0!</v>
      </c>
      <c r="FJ183" s="198">
        <f t="shared" si="4743"/>
        <v>0</v>
      </c>
      <c r="FK183" s="140"/>
      <c r="FL183" s="110"/>
      <c r="FM183" s="137"/>
      <c r="FN183" s="97"/>
      <c r="FO183" s="138">
        <f t="shared" ref="FO183:FP183" si="4974">FO38+FO67+FO96+FO125+FO154</f>
        <v>0</v>
      </c>
      <c r="FP183" s="110">
        <f t="shared" si="4974"/>
        <v>0</v>
      </c>
      <c r="FQ183" s="110"/>
      <c r="FR183" s="139"/>
      <c r="FS183" s="140" t="e">
        <f t="shared" si="4747"/>
        <v>#DIV/0!</v>
      </c>
      <c r="FT183" s="198">
        <f t="shared" si="4743"/>
        <v>0</v>
      </c>
      <c r="FU183" s="140"/>
      <c r="FV183" s="110"/>
      <c r="FW183" s="137"/>
      <c r="FX183" s="97"/>
      <c r="FY183" s="138">
        <f t="shared" ref="FY183:FZ183" si="4975">FY38+FY67+FY96+FY125+FY154</f>
        <v>0</v>
      </c>
      <c r="FZ183" s="110">
        <f t="shared" si="4975"/>
        <v>0</v>
      </c>
      <c r="GA183" s="110"/>
      <c r="GB183" s="139"/>
      <c r="GC183" s="140" t="e">
        <f t="shared" si="4749"/>
        <v>#DIV/0!</v>
      </c>
      <c r="GD183" s="198">
        <f t="shared" si="4743"/>
        <v>0</v>
      </c>
      <c r="GE183" s="140"/>
      <c r="GF183" s="110"/>
      <c r="GG183" s="137"/>
      <c r="GH183" s="97"/>
      <c r="GI183" s="138">
        <f t="shared" ref="GI183:GJ183" si="4976">GI38+GI67+GI96+GI125+GI154</f>
        <v>0</v>
      </c>
      <c r="GJ183" s="110">
        <f t="shared" si="4976"/>
        <v>0</v>
      </c>
      <c r="GK183" s="110"/>
      <c r="GL183" s="139"/>
      <c r="GM183" s="140" t="e">
        <f t="shared" si="4751"/>
        <v>#DIV/0!</v>
      </c>
      <c r="GN183" s="198">
        <f t="shared" si="4743"/>
        <v>0</v>
      </c>
      <c r="GO183" s="140"/>
      <c r="GP183" s="110"/>
      <c r="GQ183" s="137"/>
      <c r="GR183" s="97"/>
      <c r="GS183" s="138">
        <f t="shared" ref="GS183:GT183" si="4977">GS38+GS67+GS96+GS125+GS154</f>
        <v>0</v>
      </c>
      <c r="GT183" s="110">
        <f t="shared" si="4977"/>
        <v>0</v>
      </c>
      <c r="GU183" s="110"/>
      <c r="GV183" s="139"/>
      <c r="GW183" s="140" t="e">
        <f t="shared" si="4753"/>
        <v>#DIV/0!</v>
      </c>
      <c r="GX183" s="198">
        <f t="shared" si="4743"/>
        <v>0</v>
      </c>
      <c r="GY183" s="140"/>
      <c r="GZ183" s="110"/>
      <c r="HA183" s="137"/>
      <c r="HB183" s="97"/>
      <c r="HC183" s="138">
        <f t="shared" ref="HC183:HD183" si="4978">HC38+HC67+HC96+HC125+HC154</f>
        <v>0</v>
      </c>
      <c r="HD183" s="110">
        <f t="shared" si="4978"/>
        <v>0</v>
      </c>
      <c r="HE183" s="110"/>
      <c r="HF183" s="139"/>
      <c r="HG183" s="140" t="e">
        <f t="shared" si="4755"/>
        <v>#DIV/0!</v>
      </c>
      <c r="HH183" s="198">
        <f t="shared" si="4743"/>
        <v>0</v>
      </c>
      <c r="HI183" s="140"/>
      <c r="HJ183" s="110"/>
      <c r="HK183" s="137"/>
      <c r="HL183" s="97"/>
      <c r="HM183" s="138">
        <f t="shared" ref="HM183:HN183" si="4979">HM38+HM67+HM96+HM125+HM154</f>
        <v>0</v>
      </c>
      <c r="HN183" s="110">
        <f t="shared" si="4979"/>
        <v>0</v>
      </c>
      <c r="HO183" s="110"/>
      <c r="HP183" s="139"/>
      <c r="HQ183" s="140" t="e">
        <f t="shared" si="4757"/>
        <v>#DIV/0!</v>
      </c>
      <c r="HR183" s="198">
        <f t="shared" si="4758"/>
        <v>0</v>
      </c>
      <c r="HS183" s="140"/>
      <c r="HT183" s="110"/>
      <c r="HU183" s="137"/>
      <c r="HV183" s="97"/>
      <c r="HW183" s="138">
        <f t="shared" ref="HW183:HX183" si="4980">HW38+HW67+HW96+HW125+HW154</f>
        <v>0</v>
      </c>
      <c r="HX183" s="110">
        <f t="shared" si="4980"/>
        <v>0</v>
      </c>
      <c r="HY183" s="110"/>
      <c r="HZ183" s="139"/>
      <c r="IA183" s="140" t="e">
        <f t="shared" si="4760"/>
        <v>#DIV/0!</v>
      </c>
      <c r="IB183" s="198">
        <f t="shared" si="4758"/>
        <v>0</v>
      </c>
      <c r="IC183" s="140"/>
      <c r="ID183" s="110"/>
      <c r="IE183" s="137"/>
      <c r="IF183" s="97"/>
      <c r="IG183" s="138">
        <f t="shared" ref="IG183:IH183" si="4981">IG38+IG67+IG96+IG125+IG154</f>
        <v>0</v>
      </c>
      <c r="IH183" s="110">
        <f t="shared" si="4981"/>
        <v>0</v>
      </c>
      <c r="II183" s="110"/>
      <c r="IJ183" s="139"/>
      <c r="IK183" s="140" t="e">
        <f t="shared" si="4762"/>
        <v>#DIV/0!</v>
      </c>
      <c r="IL183" s="198">
        <f t="shared" si="4758"/>
        <v>0</v>
      </c>
      <c r="IM183" s="140"/>
      <c r="IN183" s="110"/>
      <c r="IO183" s="137"/>
      <c r="IP183" s="97"/>
      <c r="IQ183" s="138">
        <f t="shared" ref="IQ183:IR183" si="4982">IQ38+IQ67+IQ96+IQ125+IQ154</f>
        <v>0</v>
      </c>
      <c r="IR183" s="110">
        <f t="shared" si="4982"/>
        <v>0</v>
      </c>
      <c r="IS183" s="110"/>
      <c r="IT183" s="139"/>
      <c r="IU183" s="140" t="e">
        <f t="shared" si="4764"/>
        <v>#DIV/0!</v>
      </c>
      <c r="IV183" s="198">
        <f t="shared" si="4758"/>
        <v>0</v>
      </c>
      <c r="IW183" s="140"/>
      <c r="IX183" s="110"/>
      <c r="IY183" s="137"/>
      <c r="IZ183" s="97"/>
      <c r="JA183" s="138">
        <f t="shared" ref="JA183:JB183" si="4983">JA38+JA67+JA96+JA125+JA154</f>
        <v>0</v>
      </c>
      <c r="JB183" s="110">
        <f t="shared" si="4983"/>
        <v>0</v>
      </c>
      <c r="JC183" s="110"/>
      <c r="JD183" s="139"/>
      <c r="JE183" s="140" t="e">
        <f t="shared" si="4766"/>
        <v>#DIV/0!</v>
      </c>
      <c r="JF183" s="198">
        <f t="shared" si="4758"/>
        <v>0</v>
      </c>
      <c r="JG183" s="140"/>
      <c r="JH183" s="110"/>
      <c r="JI183" s="137"/>
      <c r="JJ183" s="97"/>
      <c r="JK183" s="138">
        <f t="shared" ref="JK183:JL183" si="4984">JK38+JK67+JK96+JK125+JK154</f>
        <v>0</v>
      </c>
      <c r="JL183" s="110">
        <f t="shared" si="4984"/>
        <v>0</v>
      </c>
      <c r="JM183" s="110"/>
      <c r="JN183" s="139"/>
      <c r="JO183" s="140" t="e">
        <f t="shared" si="4768"/>
        <v>#DIV/0!</v>
      </c>
      <c r="JP183" s="198">
        <f t="shared" si="4758"/>
        <v>0</v>
      </c>
      <c r="JQ183" s="140"/>
      <c r="JR183" s="110"/>
      <c r="JS183" s="137"/>
      <c r="JT183" s="97"/>
      <c r="JU183" s="138">
        <f t="shared" ref="JU183:JV183" si="4985">JU38+JU67+JU96+JU125+JU154</f>
        <v>0</v>
      </c>
      <c r="JV183" s="110">
        <f t="shared" si="4985"/>
        <v>0</v>
      </c>
      <c r="JW183" s="110"/>
      <c r="JX183" s="139"/>
      <c r="JY183" s="140" t="e">
        <f t="shared" si="4770"/>
        <v>#DIV/0!</v>
      </c>
      <c r="JZ183" s="198">
        <f t="shared" si="4758"/>
        <v>0</v>
      </c>
      <c r="KA183" s="140"/>
      <c r="KB183" s="110"/>
      <c r="KC183" s="137"/>
      <c r="KD183" s="97"/>
      <c r="KE183" s="138">
        <f t="shared" ref="KE183:KF183" si="4986">KE38+KE67+KE96+KE125+KE154</f>
        <v>0</v>
      </c>
      <c r="KF183" s="110">
        <f t="shared" si="4986"/>
        <v>0</v>
      </c>
      <c r="KG183" s="110"/>
      <c r="KH183" s="139"/>
      <c r="KI183" s="140" t="e">
        <f t="shared" si="4772"/>
        <v>#DIV/0!</v>
      </c>
      <c r="KJ183" s="198">
        <f t="shared" si="4773"/>
        <v>0</v>
      </c>
      <c r="KK183" s="140"/>
      <c r="KL183" s="110"/>
      <c r="KM183" s="137"/>
      <c r="KN183" s="97"/>
      <c r="KO183" s="138">
        <f t="shared" ref="KO183:KP183" si="4987">KO38+KO67+KO96+KO125+KO154</f>
        <v>0</v>
      </c>
      <c r="KP183" s="110">
        <f t="shared" si="4987"/>
        <v>0</v>
      </c>
      <c r="KQ183" s="110"/>
      <c r="KR183" s="139"/>
      <c r="KS183" s="140" t="e">
        <f t="shared" si="4775"/>
        <v>#DIV/0!</v>
      </c>
      <c r="KT183" s="198">
        <f t="shared" si="4773"/>
        <v>0</v>
      </c>
      <c r="KU183" s="140"/>
      <c r="KV183" s="110"/>
      <c r="KW183" s="137"/>
      <c r="KX183" s="97"/>
      <c r="KY183" s="138">
        <f t="shared" ref="KY183:KZ183" si="4988">KY38+KY67+KY96+KY125+KY154</f>
        <v>0</v>
      </c>
      <c r="KZ183" s="110">
        <f t="shared" si="4988"/>
        <v>0</v>
      </c>
      <c r="LA183" s="110"/>
      <c r="LB183" s="139"/>
      <c r="LC183" s="140" t="e">
        <f t="shared" si="4777"/>
        <v>#DIV/0!</v>
      </c>
      <c r="LD183" s="197">
        <f t="shared" si="4221"/>
        <v>0</v>
      </c>
      <c r="LE183" s="140"/>
      <c r="LF183" s="110"/>
      <c r="LG183" s="137"/>
      <c r="LH183" s="97"/>
      <c r="LI183" s="138">
        <f t="shared" si="4778"/>
        <v>0</v>
      </c>
      <c r="LJ183" s="110">
        <f t="shared" si="4778"/>
        <v>0</v>
      </c>
      <c r="LK183" s="110"/>
      <c r="LL183" s="139"/>
    </row>
    <row r="184" spans="1:324" s="68" customFormat="1" ht="16.5" hidden="1" customHeight="1" x14ac:dyDescent="0.25">
      <c r="A184" s="281"/>
      <c r="B184" s="280"/>
      <c r="C184" s="270"/>
      <c r="D184" s="270"/>
      <c r="E184" s="270"/>
      <c r="F184" s="282"/>
      <c r="G184" s="283"/>
      <c r="H184" s="187"/>
      <c r="I184" s="284"/>
      <c r="J184" s="187"/>
      <c r="K184" s="285"/>
      <c r="L184" s="187"/>
      <c r="M184" s="187"/>
      <c r="N184" s="286"/>
      <c r="O184" s="283"/>
      <c r="P184" s="282"/>
      <c r="Q184" s="283"/>
      <c r="R184" s="187"/>
      <c r="S184" s="284"/>
      <c r="T184" s="187"/>
      <c r="U184" s="285"/>
      <c r="V184" s="187"/>
      <c r="W184" s="187"/>
      <c r="X184" s="286"/>
      <c r="Y184" s="283"/>
      <c r="Z184" s="282"/>
      <c r="AA184" s="283"/>
      <c r="AB184" s="187"/>
      <c r="AC184" s="284"/>
      <c r="AD184" s="187"/>
      <c r="AE184" s="285"/>
      <c r="AF184" s="187"/>
      <c r="AG184" s="187"/>
      <c r="AH184" s="286"/>
      <c r="AI184" s="283"/>
      <c r="AJ184" s="282"/>
      <c r="AK184" s="283"/>
      <c r="AL184" s="187"/>
      <c r="AM184" s="284"/>
      <c r="AN184" s="187"/>
      <c r="AO184" s="285"/>
      <c r="AP184" s="187"/>
      <c r="AQ184" s="187"/>
      <c r="AR184" s="286"/>
      <c r="AS184" s="283"/>
      <c r="AT184" s="282"/>
      <c r="AU184" s="283"/>
      <c r="AV184" s="187"/>
      <c r="AW184" s="284"/>
      <c r="AX184" s="187"/>
      <c r="AY184" s="285"/>
      <c r="AZ184" s="187"/>
      <c r="BA184" s="187"/>
      <c r="BB184" s="286"/>
      <c r="BC184" s="283"/>
      <c r="BD184" s="282"/>
      <c r="BE184" s="283"/>
      <c r="BF184" s="187"/>
      <c r="BG184" s="284"/>
      <c r="BH184" s="187"/>
      <c r="BI184" s="285"/>
      <c r="BJ184" s="187"/>
      <c r="BK184" s="187"/>
      <c r="BL184" s="286"/>
      <c r="BM184" s="283"/>
      <c r="BN184" s="282"/>
      <c r="BO184" s="283"/>
      <c r="BP184" s="187"/>
      <c r="BQ184" s="284"/>
      <c r="BR184" s="187"/>
      <c r="BS184" s="285"/>
      <c r="BT184" s="187"/>
      <c r="BU184" s="187"/>
      <c r="BV184" s="286"/>
      <c r="BW184" s="283"/>
      <c r="BX184" s="282"/>
      <c r="BY184" s="283"/>
      <c r="BZ184" s="187"/>
      <c r="CA184" s="284"/>
      <c r="CB184" s="187"/>
      <c r="CC184" s="285"/>
      <c r="CD184" s="187"/>
      <c r="CE184" s="187"/>
      <c r="CF184" s="286"/>
      <c r="CG184" s="283"/>
      <c r="CH184" s="282"/>
      <c r="CI184" s="283"/>
      <c r="CJ184" s="187"/>
      <c r="CK184" s="284"/>
      <c r="CL184" s="187"/>
      <c r="CM184" s="285"/>
      <c r="CN184" s="187"/>
      <c r="CO184" s="187"/>
      <c r="CP184" s="286"/>
      <c r="CQ184" s="283"/>
      <c r="CR184" s="282"/>
      <c r="CS184" s="283"/>
      <c r="CT184" s="187"/>
      <c r="CU184" s="284"/>
      <c r="CV184" s="187"/>
      <c r="CW184" s="285"/>
      <c r="CX184" s="187"/>
      <c r="CY184" s="187"/>
      <c r="CZ184" s="286"/>
      <c r="DA184" s="283"/>
      <c r="DB184" s="282"/>
      <c r="DC184" s="283"/>
      <c r="DD184" s="187"/>
      <c r="DE184" s="284"/>
      <c r="DF184" s="187"/>
      <c r="DG184" s="285"/>
      <c r="DH184" s="187"/>
      <c r="DI184" s="187"/>
      <c r="DJ184" s="286"/>
      <c r="DK184" s="283"/>
      <c r="DL184" s="282"/>
      <c r="DM184" s="283"/>
      <c r="DN184" s="187"/>
      <c r="DO184" s="284"/>
      <c r="DP184" s="187"/>
      <c r="DQ184" s="285"/>
      <c r="DR184" s="187"/>
      <c r="DS184" s="187"/>
      <c r="DT184" s="286"/>
      <c r="DU184" s="283"/>
      <c r="DV184" s="282"/>
      <c r="DW184" s="283"/>
      <c r="DX184" s="187"/>
      <c r="DY184" s="284"/>
      <c r="DZ184" s="187"/>
      <c r="EA184" s="285"/>
      <c r="EB184" s="187"/>
      <c r="EC184" s="187"/>
      <c r="ED184" s="286"/>
      <c r="EE184" s="283"/>
      <c r="EF184" s="282"/>
      <c r="EG184" s="283"/>
      <c r="EH184" s="187"/>
      <c r="EI184" s="284"/>
      <c r="EJ184" s="187"/>
      <c r="EK184" s="285"/>
      <c r="EL184" s="187"/>
      <c r="EM184" s="187"/>
      <c r="EN184" s="286"/>
      <c r="EO184" s="283"/>
      <c r="EP184" s="282"/>
      <c r="EQ184" s="283"/>
      <c r="ER184" s="187"/>
      <c r="ES184" s="284"/>
      <c r="ET184" s="187"/>
      <c r="EU184" s="285"/>
      <c r="EV184" s="187"/>
      <c r="EW184" s="187"/>
      <c r="EX184" s="286"/>
      <c r="EY184" s="283"/>
      <c r="EZ184" s="282"/>
      <c r="FA184" s="283"/>
      <c r="FB184" s="187"/>
      <c r="FC184" s="284"/>
      <c r="FD184" s="187"/>
      <c r="FE184" s="285"/>
      <c r="FF184" s="187"/>
      <c r="FG184" s="187"/>
      <c r="FH184" s="286"/>
      <c r="FI184" s="283"/>
      <c r="FJ184" s="282"/>
      <c r="FK184" s="283"/>
      <c r="FL184" s="187"/>
      <c r="FM184" s="284"/>
      <c r="FN184" s="187"/>
      <c r="FO184" s="285"/>
      <c r="FP184" s="187"/>
      <c r="FQ184" s="187"/>
      <c r="FR184" s="286"/>
      <c r="FS184" s="283"/>
      <c r="FT184" s="282"/>
      <c r="FU184" s="283"/>
      <c r="FV184" s="187"/>
      <c r="FW184" s="284"/>
      <c r="FX184" s="187"/>
      <c r="FY184" s="285"/>
      <c r="FZ184" s="187"/>
      <c r="GA184" s="187"/>
      <c r="GB184" s="286"/>
      <c r="GC184" s="283"/>
      <c r="GD184" s="282"/>
      <c r="GE184" s="283"/>
      <c r="GF184" s="187"/>
      <c r="GG184" s="284"/>
      <c r="GH184" s="187"/>
      <c r="GI184" s="285"/>
      <c r="GJ184" s="187"/>
      <c r="GK184" s="187"/>
      <c r="GL184" s="286"/>
      <c r="GM184" s="283"/>
      <c r="GN184" s="282"/>
      <c r="GO184" s="283"/>
      <c r="GP184" s="187"/>
      <c r="GQ184" s="284"/>
      <c r="GR184" s="187"/>
      <c r="GS184" s="285"/>
      <c r="GT184" s="187"/>
      <c r="GU184" s="187"/>
      <c r="GV184" s="286"/>
      <c r="GW184" s="283"/>
      <c r="GX184" s="282"/>
      <c r="GY184" s="283"/>
      <c r="GZ184" s="187"/>
      <c r="HA184" s="284"/>
      <c r="HB184" s="187"/>
      <c r="HC184" s="285"/>
      <c r="HD184" s="187"/>
      <c r="HE184" s="187"/>
      <c r="HF184" s="286"/>
      <c r="HG184" s="283"/>
      <c r="HH184" s="282"/>
      <c r="HI184" s="283"/>
      <c r="HJ184" s="187"/>
      <c r="HK184" s="284"/>
      <c r="HL184" s="187"/>
      <c r="HM184" s="285"/>
      <c r="HN184" s="187"/>
      <c r="HO184" s="187"/>
      <c r="HP184" s="286"/>
      <c r="HQ184" s="283"/>
      <c r="HR184" s="282"/>
      <c r="HS184" s="283"/>
      <c r="HT184" s="187"/>
      <c r="HU184" s="284"/>
      <c r="HV184" s="187"/>
      <c r="HW184" s="285"/>
      <c r="HX184" s="187"/>
      <c r="HY184" s="187"/>
      <c r="HZ184" s="286"/>
      <c r="IA184" s="283"/>
      <c r="IB184" s="282"/>
      <c r="IC184" s="283"/>
      <c r="ID184" s="187"/>
      <c r="IE184" s="284"/>
      <c r="IF184" s="187"/>
      <c r="IG184" s="285"/>
      <c r="IH184" s="187"/>
      <c r="II184" s="187"/>
      <c r="IJ184" s="286"/>
      <c r="IK184" s="283"/>
      <c r="IL184" s="282"/>
      <c r="IM184" s="283"/>
      <c r="IN184" s="187"/>
      <c r="IO184" s="284"/>
      <c r="IP184" s="187"/>
      <c r="IQ184" s="285"/>
      <c r="IR184" s="187"/>
      <c r="IS184" s="187"/>
      <c r="IT184" s="286"/>
      <c r="IU184" s="283"/>
      <c r="IV184" s="282"/>
      <c r="IW184" s="283"/>
      <c r="IX184" s="187"/>
      <c r="IY184" s="284"/>
      <c r="IZ184" s="187"/>
      <c r="JA184" s="285"/>
      <c r="JB184" s="187"/>
      <c r="JC184" s="187"/>
      <c r="JD184" s="286"/>
      <c r="JE184" s="283"/>
      <c r="JF184" s="282"/>
      <c r="JG184" s="283"/>
      <c r="JH184" s="187"/>
      <c r="JI184" s="284"/>
      <c r="JJ184" s="187"/>
      <c r="JK184" s="285"/>
      <c r="JL184" s="187"/>
      <c r="JM184" s="187"/>
      <c r="JN184" s="286"/>
      <c r="JO184" s="283"/>
      <c r="JP184" s="282"/>
      <c r="JQ184" s="283"/>
      <c r="JR184" s="187"/>
      <c r="JS184" s="284"/>
      <c r="JT184" s="187"/>
      <c r="JU184" s="285"/>
      <c r="JV184" s="187"/>
      <c r="JW184" s="187"/>
      <c r="JX184" s="286"/>
      <c r="JY184" s="283"/>
      <c r="JZ184" s="282"/>
      <c r="KA184" s="283"/>
      <c r="KB184" s="187"/>
      <c r="KC184" s="284"/>
      <c r="KD184" s="187"/>
      <c r="KE184" s="285"/>
      <c r="KF184" s="187"/>
      <c r="KG184" s="187"/>
      <c r="KH184" s="286"/>
      <c r="KI184" s="283"/>
      <c r="KJ184" s="282"/>
      <c r="KK184" s="283"/>
      <c r="KL184" s="187"/>
      <c r="KM184" s="284"/>
      <c r="KN184" s="187"/>
      <c r="KO184" s="285"/>
      <c r="KP184" s="187"/>
      <c r="KQ184" s="187"/>
      <c r="KR184" s="286"/>
      <c r="KS184" s="283"/>
      <c r="KT184" s="282"/>
      <c r="KU184" s="283"/>
      <c r="KV184" s="187"/>
      <c r="KW184" s="284"/>
      <c r="KX184" s="187"/>
      <c r="KY184" s="285"/>
      <c r="KZ184" s="187"/>
      <c r="LA184" s="187"/>
      <c r="LB184" s="286"/>
      <c r="LC184" s="283"/>
      <c r="LD184" s="287"/>
      <c r="LE184" s="283"/>
      <c r="LF184" s="187"/>
      <c r="LG184" s="284"/>
      <c r="LH184" s="187"/>
      <c r="LI184" s="285"/>
      <c r="LJ184" s="187"/>
      <c r="LK184" s="187"/>
      <c r="LL184" s="286"/>
    </row>
    <row r="185" spans="1:324" x14ac:dyDescent="0.25">
      <c r="A185" s="248" t="s">
        <v>472</v>
      </c>
      <c r="B185" s="249" t="s">
        <v>939</v>
      </c>
      <c r="C185" s="14"/>
      <c r="D185" s="14"/>
      <c r="E185" s="4" t="s">
        <v>32</v>
      </c>
      <c r="F185" s="18">
        <f>SUM(F188:F213)</f>
        <v>602</v>
      </c>
      <c r="G185" s="4"/>
      <c r="H185" s="102">
        <f>9.75*12</f>
        <v>117</v>
      </c>
      <c r="I185" s="137">
        <f>IF(F185&gt;0,H185/F185,0)</f>
        <v>0.19435216</v>
      </c>
      <c r="J185" s="110">
        <f>IF(M185&gt;0,M185/H185,0)</f>
        <v>744.63</v>
      </c>
      <c r="K185" s="138">
        <f>I185*J185</f>
        <v>144.72045</v>
      </c>
      <c r="L185" s="110">
        <f>K185*F185</f>
        <v>87121.71</v>
      </c>
      <c r="M185" s="102">
        <v>87121.71</v>
      </c>
      <c r="N185" s="139">
        <f>M185-L185</f>
        <v>0</v>
      </c>
      <c r="O185" s="140">
        <f>K185/$LI185</f>
        <v>1.0348200000000001</v>
      </c>
      <c r="P185" s="18">
        <f t="shared" ref="P185" si="4989">SUM(P188:P213)</f>
        <v>1096</v>
      </c>
      <c r="Q185" s="4"/>
      <c r="R185" s="102">
        <f>14*12</f>
        <v>168</v>
      </c>
      <c r="S185" s="137">
        <f t="shared" ref="S185" si="4990">IF(P185&gt;0,R185/P185,0)</f>
        <v>0.15328467000000001</v>
      </c>
      <c r="T185" s="110">
        <f t="shared" ref="T185" si="4991">IF(W185&gt;0,W185/R185,0)</f>
        <v>744.63</v>
      </c>
      <c r="U185" s="138">
        <f t="shared" ref="U185" si="4992">S185*T185</f>
        <v>114.14036</v>
      </c>
      <c r="V185" s="110">
        <f t="shared" ref="V185" si="4993">U185*P185</f>
        <v>125097.83</v>
      </c>
      <c r="W185" s="102">
        <v>125097.84</v>
      </c>
      <c r="X185" s="139">
        <f t="shared" ref="X185" si="4994">W185-V185</f>
        <v>0.01</v>
      </c>
      <c r="Y185" s="140">
        <f t="shared" ref="Y185" si="4995">U185/$LI185</f>
        <v>0.81616</v>
      </c>
      <c r="Z185" s="18">
        <f t="shared" ref="Z185" si="4996">SUM(Z188:Z213)</f>
        <v>864</v>
      </c>
      <c r="AA185" s="4"/>
      <c r="AB185" s="102">
        <f>10*12</f>
        <v>120</v>
      </c>
      <c r="AC185" s="137">
        <f t="shared" ref="AC185" si="4997">IF(Z185&gt;0,AB185/Z185,0)</f>
        <v>0.13888888999999999</v>
      </c>
      <c r="AD185" s="110">
        <f t="shared" ref="AD185" si="4998">IF(AG185&gt;0,AG185/AB185,0)</f>
        <v>744.63</v>
      </c>
      <c r="AE185" s="138">
        <f t="shared" ref="AE185" si="4999">AC185*AD185</f>
        <v>103.42083</v>
      </c>
      <c r="AF185" s="110">
        <f t="shared" ref="AF185" si="5000">AE185*Z185</f>
        <v>89355.6</v>
      </c>
      <c r="AG185" s="102">
        <v>89355.6</v>
      </c>
      <c r="AH185" s="139">
        <f t="shared" ref="AH185" si="5001">AG185-AF185</f>
        <v>0</v>
      </c>
      <c r="AI185" s="140">
        <f t="shared" ref="AI185" si="5002">AE185/$LI185</f>
        <v>0.73951</v>
      </c>
      <c r="AJ185" s="18">
        <f t="shared" ref="AJ185" si="5003">SUM(AJ188:AJ213)</f>
        <v>665</v>
      </c>
      <c r="AK185" s="4"/>
      <c r="AL185" s="102">
        <f>9.12*12</f>
        <v>109.44</v>
      </c>
      <c r="AM185" s="137">
        <f t="shared" ref="AM185" si="5004">IF(AJ185&gt;0,AL185/AJ185,0)</f>
        <v>0.16457142999999999</v>
      </c>
      <c r="AN185" s="110">
        <f t="shared" ref="AN185" si="5005">IF(AQ185&gt;0,AQ185/AL185,0)</f>
        <v>744.63</v>
      </c>
      <c r="AO185" s="138">
        <f t="shared" ref="AO185" si="5006">AM185*AN185</f>
        <v>122.54482</v>
      </c>
      <c r="AP185" s="110">
        <f t="shared" ref="AP185" si="5007">AO185*AJ185</f>
        <v>81492.31</v>
      </c>
      <c r="AQ185" s="102">
        <v>81492.31</v>
      </c>
      <c r="AR185" s="139">
        <f t="shared" ref="AR185" si="5008">AQ185-AP185</f>
        <v>0</v>
      </c>
      <c r="AS185" s="140">
        <f t="shared" ref="AS185" si="5009">AO185/$LI185</f>
        <v>0.87626000000000004</v>
      </c>
      <c r="AT185" s="18">
        <f t="shared" ref="AT185" si="5010">SUM(AT188:AT213)</f>
        <v>951</v>
      </c>
      <c r="AU185" s="4"/>
      <c r="AV185" s="102">
        <f>9.35*12</f>
        <v>112.2</v>
      </c>
      <c r="AW185" s="137">
        <f t="shared" ref="AW185" si="5011">IF(AT185&gt;0,AV185/AT185,0)</f>
        <v>0.11798106999999999</v>
      </c>
      <c r="AX185" s="110">
        <f t="shared" ref="AX185" si="5012">IF(BA185&gt;0,BA185/AV185,0)</f>
        <v>744.63</v>
      </c>
      <c r="AY185" s="138">
        <f t="shared" ref="AY185" si="5013">AW185*AX185</f>
        <v>87.852239999999995</v>
      </c>
      <c r="AZ185" s="110">
        <f t="shared" ref="AZ185" si="5014">AY185*AT185</f>
        <v>83547.48</v>
      </c>
      <c r="BA185" s="102">
        <v>83547.490000000005</v>
      </c>
      <c r="BB185" s="139">
        <f t="shared" ref="BB185" si="5015">BA185-AZ185</f>
        <v>0.01</v>
      </c>
      <c r="BC185" s="140">
        <f t="shared" ref="BC185" si="5016">AY185/$LI185</f>
        <v>0.62819000000000003</v>
      </c>
      <c r="BD185" s="18">
        <f t="shared" ref="BD185" si="5017">SUM(BD188:BD213)</f>
        <v>744</v>
      </c>
      <c r="BE185" s="4"/>
      <c r="BF185" s="102">
        <f>9*12</f>
        <v>108</v>
      </c>
      <c r="BG185" s="137">
        <f t="shared" ref="BG185" si="5018">IF(BD185&gt;0,BF185/BD185,0)</f>
        <v>0.14516129</v>
      </c>
      <c r="BH185" s="110">
        <f t="shared" ref="BH185" si="5019">IF(BK185&gt;0,BK185/BF185,0)</f>
        <v>744.63</v>
      </c>
      <c r="BI185" s="138">
        <f t="shared" ref="BI185" si="5020">BG185*BH185</f>
        <v>108.09144999999999</v>
      </c>
      <c r="BJ185" s="110">
        <f t="shared" ref="BJ185" si="5021">BI185*BD185</f>
        <v>80420.039999999994</v>
      </c>
      <c r="BK185" s="102">
        <v>80420.039999999994</v>
      </c>
      <c r="BL185" s="139">
        <f t="shared" ref="BL185" si="5022">BK185-BJ185</f>
        <v>0</v>
      </c>
      <c r="BM185" s="140">
        <f t="shared" ref="BM185" si="5023">BI185/$LI185</f>
        <v>0.77290999999999999</v>
      </c>
      <c r="BN185" s="18">
        <f t="shared" ref="BN185" si="5024">SUM(BN188:BN213)</f>
        <v>617</v>
      </c>
      <c r="BO185" s="4"/>
      <c r="BP185" s="102">
        <f>9*12</f>
        <v>108</v>
      </c>
      <c r="BQ185" s="137">
        <f t="shared" ref="BQ185" si="5025">IF(BN185&gt;0,BP185/BN185,0)</f>
        <v>0.17504052</v>
      </c>
      <c r="BR185" s="110">
        <f t="shared" ref="BR185" si="5026">IF(BU185&gt;0,BU185/BP185,0)</f>
        <v>744.63</v>
      </c>
      <c r="BS185" s="138">
        <f t="shared" ref="BS185" si="5027">BQ185*BR185</f>
        <v>130.34041999999999</v>
      </c>
      <c r="BT185" s="110">
        <f t="shared" ref="BT185" si="5028">BS185*BN185</f>
        <v>80420.039999999994</v>
      </c>
      <c r="BU185" s="102">
        <v>80420.039999999994</v>
      </c>
      <c r="BV185" s="139">
        <f t="shared" ref="BV185" si="5029">BU185-BT185</f>
        <v>0</v>
      </c>
      <c r="BW185" s="140">
        <f t="shared" ref="BW185" si="5030">BS185/$LI185</f>
        <v>0.93200000000000005</v>
      </c>
      <c r="BX185" s="18">
        <f t="shared" ref="BX185" si="5031">SUM(BX188:BX213)</f>
        <v>788</v>
      </c>
      <c r="BY185" s="4"/>
      <c r="BZ185" s="102">
        <f>15.33*12</f>
        <v>183.96</v>
      </c>
      <c r="CA185" s="137">
        <f t="shared" ref="CA185" si="5032">IF(BX185&gt;0,BZ185/BX185,0)</f>
        <v>0.23345178</v>
      </c>
      <c r="CB185" s="110">
        <f t="shared" ref="CB185" si="5033">IF(CE185&gt;0,CE185/BZ185,0)</f>
        <v>744.63</v>
      </c>
      <c r="CC185" s="138">
        <f t="shared" ref="CC185" si="5034">CA185*CB185</f>
        <v>173.83519999999999</v>
      </c>
      <c r="CD185" s="110">
        <f t="shared" ref="CD185" si="5035">CC185*BX185</f>
        <v>136982.14000000001</v>
      </c>
      <c r="CE185" s="102">
        <v>136982.13</v>
      </c>
      <c r="CF185" s="139">
        <f t="shared" ref="CF185" si="5036">CE185-CD185</f>
        <v>-0.01</v>
      </c>
      <c r="CG185" s="140">
        <f t="shared" ref="CG185" si="5037">CC185/$LI185</f>
        <v>1.2430099999999999</v>
      </c>
      <c r="CH185" s="18">
        <f t="shared" ref="CH185" si="5038">SUM(CH188:CH213)</f>
        <v>924</v>
      </c>
      <c r="CI185" s="4"/>
      <c r="CJ185" s="102">
        <f>18*12</f>
        <v>216</v>
      </c>
      <c r="CK185" s="137">
        <f t="shared" ref="CK185" si="5039">IF(CH185&gt;0,CJ185/CH185,0)</f>
        <v>0.23376622999999999</v>
      </c>
      <c r="CL185" s="110">
        <f t="shared" ref="CL185" si="5040">IF(CO185&gt;0,CO185/CJ185,0)</f>
        <v>744.63</v>
      </c>
      <c r="CM185" s="138">
        <f t="shared" ref="CM185" si="5041">CK185*CL185</f>
        <v>174.06934999999999</v>
      </c>
      <c r="CN185" s="110">
        <f t="shared" ref="CN185" si="5042">CM185*CH185</f>
        <v>160840.07999999999</v>
      </c>
      <c r="CO185" s="102">
        <v>160840.07999999999</v>
      </c>
      <c r="CP185" s="139">
        <f t="shared" ref="CP185" si="5043">CO185-CN185</f>
        <v>0</v>
      </c>
      <c r="CQ185" s="140">
        <f t="shared" ref="CQ185" si="5044">CM185/$LI185</f>
        <v>1.24468</v>
      </c>
      <c r="CR185" s="18">
        <f t="shared" ref="CR185" si="5045">SUM(CR188:CR213)</f>
        <v>744</v>
      </c>
      <c r="CS185" s="4"/>
      <c r="CT185" s="102">
        <f>10*12</f>
        <v>120</v>
      </c>
      <c r="CU185" s="137">
        <f t="shared" ref="CU185" si="5046">IF(CR185&gt;0,CT185/CR185,0)</f>
        <v>0.16129031999999999</v>
      </c>
      <c r="CV185" s="110">
        <f t="shared" ref="CV185" si="5047">IF(CY185&gt;0,CY185/CT185,0)</f>
        <v>744.63</v>
      </c>
      <c r="CW185" s="138">
        <f t="shared" ref="CW185" si="5048">CU185*CV185</f>
        <v>120.10160999999999</v>
      </c>
      <c r="CX185" s="110">
        <f t="shared" ref="CX185" si="5049">CW185*CR185</f>
        <v>89355.6</v>
      </c>
      <c r="CY185" s="102">
        <v>89355.6</v>
      </c>
      <c r="CZ185" s="139">
        <f t="shared" ref="CZ185" si="5050">CY185-CX185</f>
        <v>0</v>
      </c>
      <c r="DA185" s="140">
        <f t="shared" ref="DA185" si="5051">CW185/$LI185</f>
        <v>0.85879000000000005</v>
      </c>
      <c r="DB185" s="18">
        <f t="shared" ref="DB185" si="5052">SUM(DB188:DB213)</f>
        <v>825</v>
      </c>
      <c r="DC185" s="4"/>
      <c r="DD185" s="102">
        <f>16.5*12</f>
        <v>198</v>
      </c>
      <c r="DE185" s="137">
        <f t="shared" ref="DE185" si="5053">IF(DB185&gt;0,DD185/DB185,0)</f>
        <v>0.24</v>
      </c>
      <c r="DF185" s="110">
        <f t="shared" ref="DF185" si="5054">IF(DI185&gt;0,DI185/DD185,0)</f>
        <v>744.63</v>
      </c>
      <c r="DG185" s="138">
        <f t="shared" ref="DG185" si="5055">DE185*DF185</f>
        <v>178.71119999999999</v>
      </c>
      <c r="DH185" s="110">
        <f t="shared" ref="DH185" si="5056">DG185*DB185</f>
        <v>147436.74</v>
      </c>
      <c r="DI185" s="102">
        <v>147436.74</v>
      </c>
      <c r="DJ185" s="139">
        <f t="shared" ref="DJ185" si="5057">DI185-DH185</f>
        <v>0</v>
      </c>
      <c r="DK185" s="140">
        <f t="shared" ref="DK185" si="5058">DG185/$LI185</f>
        <v>1.2778700000000001</v>
      </c>
      <c r="DL185" s="18">
        <f t="shared" ref="DL185" si="5059">SUM(DL188:DL213)</f>
        <v>283</v>
      </c>
      <c r="DM185" s="4"/>
      <c r="DN185" s="102">
        <f>9*12</f>
        <v>108</v>
      </c>
      <c r="DO185" s="137">
        <f t="shared" ref="DO185" si="5060">IF(DL185&gt;0,DN185/DL185,0)</f>
        <v>0.38162543999999998</v>
      </c>
      <c r="DP185" s="110">
        <f t="shared" ref="DP185" si="5061">IF(DS185&gt;0,DS185/DN185,0)</f>
        <v>744.63</v>
      </c>
      <c r="DQ185" s="138">
        <f t="shared" ref="DQ185" si="5062">DO185*DP185</f>
        <v>284.16975000000002</v>
      </c>
      <c r="DR185" s="110">
        <f t="shared" ref="DR185" si="5063">DQ185*DL185</f>
        <v>80420.039999999994</v>
      </c>
      <c r="DS185" s="102">
        <v>80420.039999999994</v>
      </c>
      <c r="DT185" s="139">
        <f t="shared" ref="DT185" si="5064">DS185-DR185</f>
        <v>0</v>
      </c>
      <c r="DU185" s="140">
        <f t="shared" ref="DU185" si="5065">DQ185/$LI185</f>
        <v>2.0319600000000002</v>
      </c>
      <c r="DV185" s="18">
        <f t="shared" ref="DV185" si="5066">SUM(DV188:DV213)</f>
        <v>878</v>
      </c>
      <c r="DW185" s="4"/>
      <c r="DX185" s="102">
        <f>9.19*12</f>
        <v>110.28</v>
      </c>
      <c r="DY185" s="137">
        <f t="shared" ref="DY185" si="5067">IF(DV185&gt;0,DX185/DV185,0)</f>
        <v>0.12560363999999999</v>
      </c>
      <c r="DZ185" s="110">
        <f t="shared" ref="DZ185" si="5068">IF(EC185&gt;0,EC185/DX185,0)</f>
        <v>389.62</v>
      </c>
      <c r="EA185" s="138">
        <f t="shared" ref="EA185" si="5069">DY185*DZ185</f>
        <v>48.937690000000003</v>
      </c>
      <c r="EB185" s="110">
        <f t="shared" ref="EB185" si="5070">EA185*DV185</f>
        <v>42967.29</v>
      </c>
      <c r="EC185" s="102">
        <f>82117.8-39150</f>
        <v>42967.8</v>
      </c>
      <c r="ED185" s="139">
        <f t="shared" ref="ED185" si="5071">EC185-EB185</f>
        <v>0.51</v>
      </c>
      <c r="EE185" s="140">
        <f t="shared" ref="EE185" si="5072">EA185/$LI185</f>
        <v>0.34993000000000002</v>
      </c>
      <c r="EF185" s="18">
        <f t="shared" ref="EF185" si="5073">SUM(EF188:EF213)</f>
        <v>939</v>
      </c>
      <c r="EG185" s="4"/>
      <c r="EH185" s="102">
        <f>9*12</f>
        <v>108</v>
      </c>
      <c r="EI185" s="137">
        <f t="shared" ref="EI185" si="5074">IF(EF185&gt;0,EH185/EF185,0)</f>
        <v>0.11501597</v>
      </c>
      <c r="EJ185" s="110">
        <f t="shared" ref="EJ185" si="5075">IF(EM185&gt;0,EM185/EH185,0)</f>
        <v>744.63</v>
      </c>
      <c r="EK185" s="138">
        <f t="shared" ref="EK185" si="5076">EI185*EJ185</f>
        <v>85.64434</v>
      </c>
      <c r="EL185" s="110">
        <f t="shared" ref="EL185" si="5077">EK185*EF185</f>
        <v>80420.039999999994</v>
      </c>
      <c r="EM185" s="102">
        <v>80420.039999999994</v>
      </c>
      <c r="EN185" s="139">
        <f t="shared" ref="EN185" si="5078">EM185-EL185</f>
        <v>0</v>
      </c>
      <c r="EO185" s="140">
        <f t="shared" ref="EO185" si="5079">EK185/$LI185</f>
        <v>0.61240000000000006</v>
      </c>
      <c r="EP185" s="18">
        <f t="shared" ref="EP185" si="5080">SUM(EP188:EP213)</f>
        <v>943</v>
      </c>
      <c r="EQ185" s="4"/>
      <c r="ER185" s="102">
        <f>13.5*12</f>
        <v>162</v>
      </c>
      <c r="ES185" s="137">
        <f t="shared" ref="ES185" si="5081">IF(EP185&gt;0,ER185/EP185,0)</f>
        <v>0.17179215</v>
      </c>
      <c r="ET185" s="110">
        <f t="shared" ref="ET185" si="5082">IF(EW185&gt;0,EW185/ER185,0)</f>
        <v>744.63</v>
      </c>
      <c r="EU185" s="138">
        <f t="shared" ref="EU185" si="5083">ES185*ET185</f>
        <v>127.92158999999999</v>
      </c>
      <c r="EV185" s="110">
        <f t="shared" ref="EV185" si="5084">EU185*EP185</f>
        <v>120630.06</v>
      </c>
      <c r="EW185" s="102">
        <v>120630.06</v>
      </c>
      <c r="EX185" s="139">
        <f t="shared" ref="EX185" si="5085">EW185-EV185</f>
        <v>0</v>
      </c>
      <c r="EY185" s="140">
        <f t="shared" ref="EY185" si="5086">EU185/$LI185</f>
        <v>0.91469999999999996</v>
      </c>
      <c r="EZ185" s="18">
        <f t="shared" ref="EZ185" si="5087">SUM(EZ188:EZ213)</f>
        <v>1117</v>
      </c>
      <c r="FA185" s="4"/>
      <c r="FB185" s="102">
        <f>13.43*12</f>
        <v>161.16</v>
      </c>
      <c r="FC185" s="137">
        <f t="shared" ref="FC185" si="5088">IF(EZ185&gt;0,FB185/EZ185,0)</f>
        <v>0.14427931999999999</v>
      </c>
      <c r="FD185" s="110">
        <f t="shared" ref="FD185" si="5089">IF(FG185&gt;0,FG185/FB185,0)</f>
        <v>744.63</v>
      </c>
      <c r="FE185" s="138">
        <f t="shared" ref="FE185" si="5090">FC185*FD185</f>
        <v>107.43471</v>
      </c>
      <c r="FF185" s="110">
        <f t="shared" ref="FF185" si="5091">FE185*EZ185</f>
        <v>120004.57</v>
      </c>
      <c r="FG185" s="102">
        <v>120004.57</v>
      </c>
      <c r="FH185" s="139">
        <f t="shared" ref="FH185" si="5092">FG185-FF185</f>
        <v>0</v>
      </c>
      <c r="FI185" s="140">
        <f t="shared" ref="FI185" si="5093">FE185/$LI185</f>
        <v>0.76820999999999995</v>
      </c>
      <c r="FJ185" s="18">
        <f t="shared" ref="FJ185" si="5094">SUM(FJ188:FJ213)</f>
        <v>1022</v>
      </c>
      <c r="FK185" s="4"/>
      <c r="FL185" s="102">
        <f>19.5*12</f>
        <v>234</v>
      </c>
      <c r="FM185" s="137">
        <f t="shared" ref="FM185" si="5095">IF(FJ185&gt;0,FL185/FJ185,0)</f>
        <v>0.22896282000000001</v>
      </c>
      <c r="FN185" s="110">
        <f t="shared" ref="FN185" si="5096">IF(FQ185&gt;0,FQ185/FL185,0)</f>
        <v>744.63</v>
      </c>
      <c r="FO185" s="138">
        <f t="shared" ref="FO185" si="5097">FM185*FN185</f>
        <v>170.49258</v>
      </c>
      <c r="FP185" s="110">
        <f t="shared" ref="FP185" si="5098">FO185*FJ185</f>
        <v>174243.42</v>
      </c>
      <c r="FQ185" s="102">
        <v>174243.42</v>
      </c>
      <c r="FR185" s="139">
        <f t="shared" ref="FR185" si="5099">FQ185-FP185</f>
        <v>0</v>
      </c>
      <c r="FS185" s="140">
        <f t="shared" ref="FS185" si="5100">FO185/$LI185</f>
        <v>1.2191099999999999</v>
      </c>
      <c r="FT185" s="18">
        <f t="shared" ref="FT185" si="5101">SUM(FT188:FT213)</f>
        <v>803</v>
      </c>
      <c r="FU185" s="4"/>
      <c r="FV185" s="102">
        <f>13*12</f>
        <v>156</v>
      </c>
      <c r="FW185" s="137">
        <f t="shared" ref="FW185" si="5102">IF(FT185&gt;0,FV185/FT185,0)</f>
        <v>0.19427148</v>
      </c>
      <c r="FX185" s="110">
        <f t="shared" ref="FX185" si="5103">IF(GA185&gt;0,GA185/FV185,0)</f>
        <v>744.63</v>
      </c>
      <c r="FY185" s="138">
        <f t="shared" ref="FY185" si="5104">FW185*FX185</f>
        <v>144.66037</v>
      </c>
      <c r="FZ185" s="110">
        <f t="shared" ref="FZ185" si="5105">FY185*FT185</f>
        <v>116162.28</v>
      </c>
      <c r="GA185" s="102">
        <v>116162.28</v>
      </c>
      <c r="GB185" s="139">
        <f t="shared" ref="GB185" si="5106">GA185-FZ185</f>
        <v>0</v>
      </c>
      <c r="GC185" s="140">
        <f t="shared" ref="GC185" si="5107">FY185/$LI185</f>
        <v>1.0343899999999999</v>
      </c>
      <c r="GD185" s="18">
        <f t="shared" ref="GD185" si="5108">SUM(GD188:GD213)</f>
        <v>512</v>
      </c>
      <c r="GE185" s="4"/>
      <c r="GF185" s="102">
        <f>9*12</f>
        <v>108</v>
      </c>
      <c r="GG185" s="137">
        <f t="shared" ref="GG185" si="5109">IF(GD185&gt;0,GF185/GD185,0)</f>
        <v>0.2109375</v>
      </c>
      <c r="GH185" s="110">
        <f t="shared" ref="GH185" si="5110">IF(GK185&gt;0,GK185/GF185,0)</f>
        <v>744.63</v>
      </c>
      <c r="GI185" s="138">
        <f t="shared" ref="GI185" si="5111">GG185*GH185</f>
        <v>157.07039</v>
      </c>
      <c r="GJ185" s="110">
        <f t="shared" ref="GJ185" si="5112">GI185*GD185</f>
        <v>80420.039999999994</v>
      </c>
      <c r="GK185" s="102">
        <f>80420.04</f>
        <v>80420.039999999994</v>
      </c>
      <c r="GL185" s="139">
        <f t="shared" ref="GL185" si="5113">GK185-GJ185</f>
        <v>0</v>
      </c>
      <c r="GM185" s="140">
        <f t="shared" ref="GM185" si="5114">GI185/$LI185</f>
        <v>1.12313</v>
      </c>
      <c r="GN185" s="18">
        <f t="shared" ref="GN185" si="5115">SUM(GN188:GN213)</f>
        <v>864</v>
      </c>
      <c r="GO185" s="4"/>
      <c r="GP185" s="102">
        <f>15.4*12</f>
        <v>184.8</v>
      </c>
      <c r="GQ185" s="137">
        <f t="shared" ref="GQ185" si="5116">IF(GN185&gt;0,GP185/GN185,0)</f>
        <v>0.21388889</v>
      </c>
      <c r="GR185" s="110">
        <f t="shared" ref="GR185" si="5117">IF(GU185&gt;0,GU185/GP185,0)</f>
        <v>744.63</v>
      </c>
      <c r="GS185" s="138">
        <f t="shared" ref="GS185" si="5118">GQ185*GR185</f>
        <v>159.26808</v>
      </c>
      <c r="GT185" s="110">
        <f t="shared" ref="GT185" si="5119">GS185*GN185</f>
        <v>137607.62</v>
      </c>
      <c r="GU185" s="102">
        <v>137607.62</v>
      </c>
      <c r="GV185" s="139">
        <f t="shared" ref="GV185" si="5120">GU185-GT185</f>
        <v>0</v>
      </c>
      <c r="GW185" s="140">
        <f t="shared" ref="GW185" si="5121">GS185/$LI185</f>
        <v>1.1388499999999999</v>
      </c>
      <c r="GX185" s="18">
        <f t="shared" ref="GX185" si="5122">SUM(GX188:GX213)</f>
        <v>1621</v>
      </c>
      <c r="GY185" s="4"/>
      <c r="GZ185" s="102">
        <f>24*12</f>
        <v>288</v>
      </c>
      <c r="HA185" s="137">
        <f t="shared" ref="HA185" si="5123">IF(GX185&gt;0,GZ185/GX185,0)</f>
        <v>0.17766810999999999</v>
      </c>
      <c r="HB185" s="110">
        <f t="shared" ref="HB185" si="5124">IF(HE185&gt;0,HE185/GZ185,0)</f>
        <v>744.63</v>
      </c>
      <c r="HC185" s="138">
        <f t="shared" ref="HC185" si="5125">HA185*HB185</f>
        <v>132.297</v>
      </c>
      <c r="HD185" s="110">
        <f t="shared" ref="HD185" si="5126">HC185*GX185</f>
        <v>214453.44</v>
      </c>
      <c r="HE185" s="102">
        <v>214453.44</v>
      </c>
      <c r="HF185" s="139">
        <f t="shared" ref="HF185" si="5127">HE185-HD185</f>
        <v>0</v>
      </c>
      <c r="HG185" s="140">
        <f t="shared" ref="HG185" si="5128">HC185/$LI185</f>
        <v>0.94599</v>
      </c>
      <c r="HH185" s="18">
        <f t="shared" ref="HH185" si="5129">SUM(HH188:HH213)</f>
        <v>1152</v>
      </c>
      <c r="HI185" s="4"/>
      <c r="HJ185" s="102">
        <f>16.3*12</f>
        <v>195.6</v>
      </c>
      <c r="HK185" s="137">
        <f t="shared" ref="HK185" si="5130">IF(HH185&gt;0,HJ185/HH185,0)</f>
        <v>0.16979167000000001</v>
      </c>
      <c r="HL185" s="110">
        <f t="shared" ref="HL185" si="5131">IF(HO185&gt;0,HO185/HJ185,0)</f>
        <v>731.29</v>
      </c>
      <c r="HM185" s="138">
        <f t="shared" ref="HM185" si="5132">HK185*HL185</f>
        <v>124.16695</v>
      </c>
      <c r="HN185" s="110">
        <f t="shared" ref="HN185" si="5133">HM185*HH185</f>
        <v>143040.32999999999</v>
      </c>
      <c r="HO185" s="102">
        <f>145649.63-2610</f>
        <v>143039.63</v>
      </c>
      <c r="HP185" s="139">
        <f t="shared" ref="HP185" si="5134">HO185-HN185</f>
        <v>-0.7</v>
      </c>
      <c r="HQ185" s="140">
        <f t="shared" ref="HQ185" si="5135">HM185/$LI185</f>
        <v>0.88785999999999998</v>
      </c>
      <c r="HR185" s="18">
        <f t="shared" ref="HR185" si="5136">SUM(HR188:HR213)</f>
        <v>788</v>
      </c>
      <c r="HS185" s="4"/>
      <c r="HT185" s="102">
        <f>9*12</f>
        <v>108</v>
      </c>
      <c r="HU185" s="137">
        <f t="shared" ref="HU185" si="5137">IF(HR185&gt;0,HT185/HR185,0)</f>
        <v>0.13705584000000001</v>
      </c>
      <c r="HV185" s="110">
        <f t="shared" ref="HV185" si="5138">IF(HY185&gt;0,HY185/HT185,0)</f>
        <v>744.63</v>
      </c>
      <c r="HW185" s="138">
        <f t="shared" ref="HW185" si="5139">HU185*HV185</f>
        <v>102.05589000000001</v>
      </c>
      <c r="HX185" s="110">
        <f t="shared" ref="HX185" si="5140">HW185*HR185</f>
        <v>80420.039999999994</v>
      </c>
      <c r="HY185" s="102">
        <v>80420.039999999994</v>
      </c>
      <c r="HZ185" s="139">
        <f t="shared" ref="HZ185" si="5141">HY185-HX185</f>
        <v>0</v>
      </c>
      <c r="IA185" s="140">
        <f t="shared" ref="IA185" si="5142">HW185/$LI185</f>
        <v>0.72975000000000001</v>
      </c>
      <c r="IB185" s="18">
        <f t="shared" ref="IB185" si="5143">SUM(IB188:IB213)</f>
        <v>548</v>
      </c>
      <c r="IC185" s="4"/>
      <c r="ID185" s="102">
        <f>15*12</f>
        <v>180</v>
      </c>
      <c r="IE185" s="137">
        <f t="shared" ref="IE185" si="5144">IF(IB185&gt;0,ID185/IB185,0)</f>
        <v>0.32846714999999999</v>
      </c>
      <c r="IF185" s="110">
        <f t="shared" ref="IF185" si="5145">IF(II185&gt;0,II185/ID185,0)</f>
        <v>744.63</v>
      </c>
      <c r="IG185" s="138">
        <f t="shared" ref="IG185" si="5146">IE185*IF185</f>
        <v>244.58649</v>
      </c>
      <c r="IH185" s="110">
        <f t="shared" ref="IH185" si="5147">IG185*IB185</f>
        <v>134033.4</v>
      </c>
      <c r="II185" s="102">
        <v>134033.4</v>
      </c>
      <c r="IJ185" s="139">
        <f t="shared" ref="IJ185" si="5148">II185-IH185</f>
        <v>0</v>
      </c>
      <c r="IK185" s="140">
        <f t="shared" ref="IK185" si="5149">IG185/$LI185</f>
        <v>1.74892</v>
      </c>
      <c r="IL185" s="18">
        <f t="shared" ref="IL185" si="5150">SUM(IL188:IL213)</f>
        <v>1265</v>
      </c>
      <c r="IM185" s="4"/>
      <c r="IN185" s="102">
        <f>22*12</f>
        <v>264</v>
      </c>
      <c r="IO185" s="137">
        <f t="shared" ref="IO185" si="5151">IF(IL185&gt;0,IN185/IL185,0)</f>
        <v>0.20869565000000001</v>
      </c>
      <c r="IP185" s="110">
        <f t="shared" ref="IP185" si="5152">IF(IS185&gt;0,IS185/IN185,0)</f>
        <v>678.72</v>
      </c>
      <c r="IQ185" s="138">
        <f t="shared" ref="IQ185" si="5153">IO185*IP185</f>
        <v>141.64590999999999</v>
      </c>
      <c r="IR185" s="110">
        <f t="shared" ref="IR185" si="5154">IQ185*IL185</f>
        <v>179182.07999999999</v>
      </c>
      <c r="IS185" s="102">
        <f>196582.32-17400</f>
        <v>179182.32</v>
      </c>
      <c r="IT185" s="139">
        <f t="shared" ref="IT185" si="5155">IS185-IR185</f>
        <v>0.24</v>
      </c>
      <c r="IU185" s="140">
        <f t="shared" ref="IU185" si="5156">IQ185/$LI185</f>
        <v>1.01284</v>
      </c>
      <c r="IV185" s="18">
        <f t="shared" ref="IV185" si="5157">SUM(IV188:IV213)</f>
        <v>771</v>
      </c>
      <c r="IW185" s="4"/>
      <c r="IX185" s="102">
        <f>13*12</f>
        <v>156</v>
      </c>
      <c r="IY185" s="137">
        <f t="shared" ref="IY185" si="5158">IF(IV185&gt;0,IX185/IV185,0)</f>
        <v>0.20233462999999999</v>
      </c>
      <c r="IZ185" s="110">
        <f t="shared" ref="IZ185" si="5159">IF(JC185&gt;0,JC185/IX185,0)</f>
        <v>744.63</v>
      </c>
      <c r="JA185" s="138">
        <f t="shared" ref="JA185" si="5160">IY185*IZ185</f>
        <v>150.66444000000001</v>
      </c>
      <c r="JB185" s="110">
        <f t="shared" ref="JB185" si="5161">JA185*IV185</f>
        <v>116162.28</v>
      </c>
      <c r="JC185" s="102">
        <v>116162.28</v>
      </c>
      <c r="JD185" s="139">
        <f t="shared" ref="JD185" si="5162">JC185-JB185</f>
        <v>0</v>
      </c>
      <c r="JE185" s="140">
        <f t="shared" ref="JE185" si="5163">JA185/$LI185</f>
        <v>1.0773299999999999</v>
      </c>
      <c r="JF185" s="18">
        <f t="shared" ref="JF185" si="5164">SUM(JF188:JF213)</f>
        <v>1341</v>
      </c>
      <c r="JG185" s="4"/>
      <c r="JH185" s="102">
        <f>25*12</f>
        <v>300</v>
      </c>
      <c r="JI185" s="137">
        <f t="shared" ref="JI185" si="5165">IF(JF185&gt;0,JH185/JF185,0)</f>
        <v>0.22371364999999999</v>
      </c>
      <c r="JJ185" s="110">
        <f t="shared" ref="JJ185" si="5166">IF(JM185&gt;0,JM185/JH185,0)</f>
        <v>744.63</v>
      </c>
      <c r="JK185" s="138">
        <f t="shared" ref="JK185" si="5167">JI185*JJ185</f>
        <v>166.5839</v>
      </c>
      <c r="JL185" s="110">
        <f t="shared" ref="JL185" si="5168">JK185*JF185</f>
        <v>223389.01</v>
      </c>
      <c r="JM185" s="102">
        <v>223389</v>
      </c>
      <c r="JN185" s="139">
        <f t="shared" ref="JN185" si="5169">JM185-JL185</f>
        <v>-0.01</v>
      </c>
      <c r="JO185" s="140">
        <f t="shared" ref="JO185" si="5170">JK185/$LI185</f>
        <v>1.19116</v>
      </c>
      <c r="JP185" s="18">
        <f t="shared" ref="JP185" si="5171">SUM(JP188:JP213)</f>
        <v>1249</v>
      </c>
      <c r="JQ185" s="4"/>
      <c r="JR185" s="102">
        <f>19*12</f>
        <v>228</v>
      </c>
      <c r="JS185" s="137">
        <f t="shared" ref="JS185" si="5172">IF(JP185&gt;0,JR185/JP185,0)</f>
        <v>0.18254603999999999</v>
      </c>
      <c r="JT185" s="110">
        <f t="shared" ref="JT185" si="5173">IF(JW185&gt;0,JW185/JR185,0)</f>
        <v>744.63</v>
      </c>
      <c r="JU185" s="138">
        <f t="shared" ref="JU185" si="5174">JS185*JT185</f>
        <v>135.92926</v>
      </c>
      <c r="JV185" s="110">
        <f t="shared" ref="JV185" si="5175">JU185*JP185</f>
        <v>169775.65</v>
      </c>
      <c r="JW185" s="102">
        <v>169775.64</v>
      </c>
      <c r="JX185" s="139">
        <f t="shared" ref="JX185" si="5176">JW185-JV185</f>
        <v>-0.01</v>
      </c>
      <c r="JY185" s="140">
        <f t="shared" ref="JY185" si="5177">JU185/$LI185</f>
        <v>0.97196000000000005</v>
      </c>
      <c r="JZ185" s="18">
        <f t="shared" ref="JZ185" si="5178">SUM(JZ188:JZ213)</f>
        <v>1163</v>
      </c>
      <c r="KA185" s="4"/>
      <c r="KB185" s="102">
        <f>21.25*12</f>
        <v>255</v>
      </c>
      <c r="KC185" s="137">
        <f t="shared" ref="KC185" si="5179">IF(JZ185&gt;0,KB185/JZ185,0)</f>
        <v>0.21926053000000001</v>
      </c>
      <c r="KD185" s="110">
        <f t="shared" ref="KD185" si="5180">IF(KG185&gt;0,KG185/KB185,0)</f>
        <v>744.63</v>
      </c>
      <c r="KE185" s="138">
        <f t="shared" ref="KE185" si="5181">KC185*KD185</f>
        <v>163.26796999999999</v>
      </c>
      <c r="KF185" s="110">
        <f t="shared" ref="KF185" si="5182">KE185*JZ185</f>
        <v>189880.65</v>
      </c>
      <c r="KG185" s="102">
        <v>189880.65</v>
      </c>
      <c r="KH185" s="139">
        <f t="shared" ref="KH185" si="5183">KG185-KF185</f>
        <v>0</v>
      </c>
      <c r="KI185" s="140">
        <f t="shared" ref="KI185" si="5184">KE185/$LI185</f>
        <v>1.1674500000000001</v>
      </c>
      <c r="KJ185" s="18">
        <f t="shared" ref="KJ185" si="5185">SUM(KJ188:KJ213)</f>
        <v>1341</v>
      </c>
      <c r="KK185" s="4"/>
      <c r="KL185" s="102">
        <f>20.02*12</f>
        <v>240.24</v>
      </c>
      <c r="KM185" s="137">
        <f t="shared" ref="KM185" si="5186">IF(KJ185&gt;0,KL185/KJ185,0)</f>
        <v>0.17914989000000001</v>
      </c>
      <c r="KN185" s="110">
        <f t="shared" ref="KN185" si="5187">IF(KQ185&gt;0,KQ185/KL185,0)</f>
        <v>744.63</v>
      </c>
      <c r="KO185" s="138">
        <f t="shared" ref="KO185" si="5188">KM185*KN185</f>
        <v>133.40038000000001</v>
      </c>
      <c r="KP185" s="110">
        <f t="shared" ref="KP185" si="5189">KO185*KJ185</f>
        <v>178889.91</v>
      </c>
      <c r="KQ185" s="102">
        <v>178889.91</v>
      </c>
      <c r="KR185" s="139">
        <f t="shared" ref="KR185" si="5190">KQ185-KP185</f>
        <v>0</v>
      </c>
      <c r="KS185" s="140">
        <f t="shared" ref="KS185" si="5191">KO185/$LI185</f>
        <v>0.95387999999999995</v>
      </c>
      <c r="KT185" s="18">
        <f t="shared" ref="KT185" si="5192">SUM(KT188:KT213)</f>
        <v>1124</v>
      </c>
      <c r="KU185" s="4"/>
      <c r="KV185" s="102">
        <f>27.72*12</f>
        <v>332.64</v>
      </c>
      <c r="KW185" s="137">
        <f t="shared" ref="KW185" si="5193">IF(KT185&gt;0,KV185/KT185,0)</f>
        <v>0.29594305999999998</v>
      </c>
      <c r="KX185" s="110">
        <f t="shared" ref="KX185" si="5194">IF(LA185&gt;0,LA185/KV185,0)</f>
        <v>744.63</v>
      </c>
      <c r="KY185" s="138">
        <f t="shared" ref="KY185" si="5195">KW185*KX185</f>
        <v>220.36807999999999</v>
      </c>
      <c r="KZ185" s="110">
        <f t="shared" ref="KZ185" si="5196">KY185*KT185</f>
        <v>247693.72</v>
      </c>
      <c r="LA185" s="102">
        <v>247693.72</v>
      </c>
      <c r="LB185" s="139">
        <f t="shared" ref="LB185" si="5197">LA185-KZ185</f>
        <v>0</v>
      </c>
      <c r="LC185" s="140">
        <f t="shared" ref="LC185" si="5198">KY185/$LI185</f>
        <v>1.5757399999999999</v>
      </c>
      <c r="LD185" s="18">
        <f>SUM(LD188:LD213)</f>
        <v>28544</v>
      </c>
      <c r="LE185" s="4"/>
      <c r="LF185" s="145">
        <f>H185+R185+AB185+AL185+AV185+BF185+BP185+BZ185+CJ185+CT185+DD185+DN185+DX185+EH185+ER185+FB185+FL185+FV185+GF185+GP185+GZ185+HJ185+HT185+ID185+IN185+IX185+JH185+JR185+KB185+KL185+KV185</f>
        <v>5440.32</v>
      </c>
      <c r="LG185" s="137">
        <f>IF(LD185&gt;0,LF185/LD185,0)</f>
        <v>0.19059417000000001</v>
      </c>
      <c r="LH185" s="110">
        <f>IF(LK185&gt;0,LK185/LF185,0)</f>
        <v>733.76</v>
      </c>
      <c r="LI185" s="138">
        <f>LG185*LH185</f>
        <v>139.85038</v>
      </c>
      <c r="LJ185" s="110">
        <f>LI185*LD185</f>
        <v>3991889.25</v>
      </c>
      <c r="LK185" s="145">
        <f>M185+W185+AG185+AQ185+BA185+BK185+BU185+CE185+CO185+CY185+DI185+DS185+EC185+EM185+EW185+FG185+FQ185+GA185+GK185+GU185+HE185+HO185+HY185+II185+IS185+JC185+JM185+JW185+KG185+KQ185+LA185</f>
        <v>3991865.48</v>
      </c>
      <c r="LL185" s="139">
        <f>LK185-LJ185</f>
        <v>-23.77</v>
      </c>
    </row>
    <row r="186" spans="1:324" s="132" customFormat="1" x14ac:dyDescent="0.25">
      <c r="A186" s="130"/>
      <c r="B186" s="131" t="s">
        <v>467</v>
      </c>
      <c r="C186" s="131"/>
      <c r="D186" s="131"/>
      <c r="E186" s="131"/>
      <c r="F186" s="141"/>
      <c r="G186" s="131"/>
      <c r="H186" s="139">
        <f>H185-(SUM(H188:H213))</f>
        <v>0.02</v>
      </c>
      <c r="I186" s="142"/>
      <c r="J186" s="139"/>
      <c r="K186" s="143"/>
      <c r="L186" s="139">
        <f>L185-(SUM(L188:L213))</f>
        <v>14.89</v>
      </c>
      <c r="M186" s="139"/>
      <c r="N186" s="139"/>
      <c r="O186" s="131"/>
      <c r="P186" s="141"/>
      <c r="Q186" s="131"/>
      <c r="R186" s="139">
        <f t="shared" ref="R186" si="5199">R185-(SUM(R188:R213))</f>
        <v>0</v>
      </c>
      <c r="S186" s="142"/>
      <c r="T186" s="139"/>
      <c r="U186" s="143"/>
      <c r="V186" s="139">
        <f t="shared" ref="V186" si="5200">V185-(SUM(V188:V213))</f>
        <v>-0.01</v>
      </c>
      <c r="W186" s="139"/>
      <c r="X186" s="139"/>
      <c r="Y186" s="131"/>
      <c r="Z186" s="141"/>
      <c r="AA186" s="131"/>
      <c r="AB186" s="139">
        <f t="shared" ref="AB186" si="5201">AB185-(SUM(AB188:AB213))</f>
        <v>0</v>
      </c>
      <c r="AC186" s="142"/>
      <c r="AD186" s="139"/>
      <c r="AE186" s="143"/>
      <c r="AF186" s="139">
        <f t="shared" ref="AF186" si="5202">AF185-(SUM(AF188:AF213))</f>
        <v>0</v>
      </c>
      <c r="AG186" s="139"/>
      <c r="AH186" s="139"/>
      <c r="AI186" s="131"/>
      <c r="AJ186" s="141"/>
      <c r="AK186" s="131"/>
      <c r="AL186" s="139">
        <f t="shared" ref="AL186" si="5203">AL185-(SUM(AL188:AL213))</f>
        <v>0.01</v>
      </c>
      <c r="AM186" s="142"/>
      <c r="AN186" s="139"/>
      <c r="AO186" s="143"/>
      <c r="AP186" s="139">
        <f t="shared" ref="AP186" si="5204">AP185-(SUM(AP188:AP213))</f>
        <v>7.45</v>
      </c>
      <c r="AQ186" s="139"/>
      <c r="AR186" s="139"/>
      <c r="AS186" s="131"/>
      <c r="AT186" s="141"/>
      <c r="AU186" s="131"/>
      <c r="AV186" s="139">
        <f t="shared" ref="AV186" si="5205">AV185-(SUM(AV188:AV213))</f>
        <v>0</v>
      </c>
      <c r="AW186" s="142"/>
      <c r="AX186" s="139"/>
      <c r="AY186" s="143"/>
      <c r="AZ186" s="139">
        <f t="shared" ref="AZ186" si="5206">AZ185-(SUM(AZ188:AZ213))</f>
        <v>-0.01</v>
      </c>
      <c r="BA186" s="139"/>
      <c r="BB186" s="139"/>
      <c r="BC186" s="131"/>
      <c r="BD186" s="141"/>
      <c r="BE186" s="131"/>
      <c r="BF186" s="139">
        <f t="shared" ref="BF186" si="5207">BF185-(SUM(BF188:BF213))</f>
        <v>0</v>
      </c>
      <c r="BG186" s="142"/>
      <c r="BH186" s="139"/>
      <c r="BI186" s="143"/>
      <c r="BJ186" s="139">
        <f t="shared" ref="BJ186" si="5208">BJ185-(SUM(BJ188:BJ213))</f>
        <v>0</v>
      </c>
      <c r="BK186" s="139"/>
      <c r="BL186" s="139"/>
      <c r="BM186" s="131"/>
      <c r="BN186" s="141"/>
      <c r="BO186" s="131"/>
      <c r="BP186" s="139">
        <f t="shared" ref="BP186" si="5209">BP185-(SUM(BP188:BP213))</f>
        <v>0</v>
      </c>
      <c r="BQ186" s="142"/>
      <c r="BR186" s="139"/>
      <c r="BS186" s="143"/>
      <c r="BT186" s="139">
        <f t="shared" ref="BT186" si="5210">BT185-(SUM(BT188:BT213))</f>
        <v>-0.01</v>
      </c>
      <c r="BU186" s="139"/>
      <c r="BV186" s="139"/>
      <c r="BW186" s="131"/>
      <c r="BX186" s="141"/>
      <c r="BY186" s="131"/>
      <c r="BZ186" s="139">
        <f t="shared" ref="BZ186" si="5211">BZ185-(SUM(BZ188:BZ213))</f>
        <v>0.01</v>
      </c>
      <c r="CA186" s="142"/>
      <c r="CB186" s="139"/>
      <c r="CC186" s="143"/>
      <c r="CD186" s="139">
        <f t="shared" ref="CD186" si="5212">CD185-(SUM(CD188:CD213))</f>
        <v>7.46</v>
      </c>
      <c r="CE186" s="139"/>
      <c r="CF186" s="139"/>
      <c r="CG186" s="131"/>
      <c r="CH186" s="141"/>
      <c r="CI186" s="131"/>
      <c r="CJ186" s="139">
        <f t="shared" ref="CJ186" si="5213">CJ185-(SUM(CJ188:CJ213))</f>
        <v>0</v>
      </c>
      <c r="CK186" s="142"/>
      <c r="CL186" s="139"/>
      <c r="CM186" s="143"/>
      <c r="CN186" s="139">
        <f t="shared" ref="CN186" si="5214">CN185-(SUM(CN188:CN213))</f>
        <v>0</v>
      </c>
      <c r="CO186" s="139"/>
      <c r="CP186" s="139"/>
      <c r="CQ186" s="131"/>
      <c r="CR186" s="141"/>
      <c r="CS186" s="131"/>
      <c r="CT186" s="139">
        <f t="shared" ref="CT186" si="5215">CT185-(SUM(CT188:CT213))</f>
        <v>0</v>
      </c>
      <c r="CU186" s="142"/>
      <c r="CV186" s="139"/>
      <c r="CW186" s="143"/>
      <c r="CX186" s="139">
        <f t="shared" ref="CX186" si="5216">CX185-(SUM(CX188:CX213))</f>
        <v>0.02</v>
      </c>
      <c r="CY186" s="139"/>
      <c r="CZ186" s="139"/>
      <c r="DA186" s="131"/>
      <c r="DB186" s="141"/>
      <c r="DC186" s="131"/>
      <c r="DD186" s="139">
        <f t="shared" ref="DD186" si="5217">DD185-(SUM(DD188:DD213))</f>
        <v>0</v>
      </c>
      <c r="DE186" s="142"/>
      <c r="DF186" s="139"/>
      <c r="DG186" s="143"/>
      <c r="DH186" s="139">
        <f t="shared" ref="DH186" si="5218">DH185-(SUM(DH188:DH213))</f>
        <v>0</v>
      </c>
      <c r="DI186" s="139"/>
      <c r="DJ186" s="139"/>
      <c r="DK186" s="131"/>
      <c r="DL186" s="141"/>
      <c r="DM186" s="131"/>
      <c r="DN186" s="139">
        <f t="shared" ref="DN186" si="5219">DN185-(SUM(DN188:DN213))</f>
        <v>0</v>
      </c>
      <c r="DO186" s="142"/>
      <c r="DP186" s="139"/>
      <c r="DQ186" s="143"/>
      <c r="DR186" s="139">
        <f t="shared" ref="DR186" si="5220">DR185-(SUM(DR188:DR213))</f>
        <v>0</v>
      </c>
      <c r="DS186" s="139"/>
      <c r="DT186" s="139"/>
      <c r="DU186" s="131"/>
      <c r="DV186" s="141"/>
      <c r="DW186" s="131"/>
      <c r="DX186" s="139">
        <f t="shared" ref="DX186" si="5221">DX185-(SUM(DX188:DX213))</f>
        <v>0.02</v>
      </c>
      <c r="DY186" s="142"/>
      <c r="DZ186" s="139"/>
      <c r="EA186" s="143"/>
      <c r="EB186" s="139">
        <f t="shared" ref="EB186" si="5222">EB185-(SUM(EB188:EB213))</f>
        <v>7.78</v>
      </c>
      <c r="EC186" s="139"/>
      <c r="ED186" s="139"/>
      <c r="EE186" s="131"/>
      <c r="EF186" s="141"/>
      <c r="EG186" s="131"/>
      <c r="EH186" s="139">
        <f t="shared" ref="EH186" si="5223">EH185-(SUM(EH188:EH213))</f>
        <v>0.02</v>
      </c>
      <c r="EI186" s="142"/>
      <c r="EJ186" s="139"/>
      <c r="EK186" s="143"/>
      <c r="EL186" s="139">
        <f t="shared" ref="EL186" si="5224">EL185-(SUM(EL188:EL213))</f>
        <v>14.92</v>
      </c>
      <c r="EM186" s="139"/>
      <c r="EN186" s="139"/>
      <c r="EO186" s="131"/>
      <c r="EP186" s="141"/>
      <c r="EQ186" s="131"/>
      <c r="ER186" s="139">
        <f t="shared" ref="ER186" si="5225">ER185-(SUM(ER188:ER213))</f>
        <v>0.01</v>
      </c>
      <c r="ES186" s="142"/>
      <c r="ET186" s="139"/>
      <c r="EU186" s="143"/>
      <c r="EV186" s="139">
        <f t="shared" ref="EV186" si="5226">EV185-(SUM(EV188:EV213))</f>
        <v>7.47</v>
      </c>
      <c r="EW186" s="139"/>
      <c r="EX186" s="139"/>
      <c r="EY186" s="131"/>
      <c r="EZ186" s="141"/>
      <c r="FA186" s="131"/>
      <c r="FB186" s="139">
        <f t="shared" ref="FB186" si="5227">FB185-(SUM(FB188:FB213))</f>
        <v>-0.02</v>
      </c>
      <c r="FC186" s="142"/>
      <c r="FD186" s="139"/>
      <c r="FE186" s="143"/>
      <c r="FF186" s="139">
        <f t="shared" ref="FF186" si="5228">FF185-(SUM(FF188:FF213))</f>
        <v>-14.89</v>
      </c>
      <c r="FG186" s="139"/>
      <c r="FH186" s="139"/>
      <c r="FI186" s="131"/>
      <c r="FJ186" s="141"/>
      <c r="FK186" s="131"/>
      <c r="FL186" s="139">
        <f t="shared" ref="FL186" si="5229">FL185-(SUM(FL188:FL213))</f>
        <v>0</v>
      </c>
      <c r="FM186" s="142"/>
      <c r="FN186" s="139"/>
      <c r="FO186" s="143"/>
      <c r="FP186" s="139">
        <f t="shared" ref="FP186" si="5230">FP185-(SUM(FP188:FP213))</f>
        <v>0.02</v>
      </c>
      <c r="FQ186" s="139"/>
      <c r="FR186" s="139"/>
      <c r="FS186" s="131"/>
      <c r="FT186" s="141"/>
      <c r="FU186" s="131"/>
      <c r="FV186" s="139">
        <f t="shared" ref="FV186" si="5231">FV185-(SUM(FV188:FV213))</f>
        <v>-0.01</v>
      </c>
      <c r="FW186" s="142"/>
      <c r="FX186" s="139"/>
      <c r="FY186" s="143"/>
      <c r="FZ186" s="139">
        <f t="shared" ref="FZ186" si="5232">FZ185-(SUM(FZ188:FZ213))</f>
        <v>-7.46</v>
      </c>
      <c r="GA186" s="139"/>
      <c r="GB186" s="139"/>
      <c r="GC186" s="131"/>
      <c r="GD186" s="141"/>
      <c r="GE186" s="131"/>
      <c r="GF186" s="139">
        <f t="shared" ref="GF186" si="5233">GF185-(SUM(GF188:GF213))</f>
        <v>0</v>
      </c>
      <c r="GG186" s="142"/>
      <c r="GH186" s="139"/>
      <c r="GI186" s="143"/>
      <c r="GJ186" s="139">
        <f t="shared" ref="GJ186" si="5234">GJ185-(SUM(GJ188:GJ213))</f>
        <v>0.01</v>
      </c>
      <c r="GK186" s="139"/>
      <c r="GL186" s="139"/>
      <c r="GM186" s="131"/>
      <c r="GN186" s="141"/>
      <c r="GO186" s="131"/>
      <c r="GP186" s="139">
        <f t="shared" ref="GP186" si="5235">GP185-(SUM(GP188:GP213))</f>
        <v>0</v>
      </c>
      <c r="GQ186" s="142"/>
      <c r="GR186" s="139"/>
      <c r="GS186" s="143"/>
      <c r="GT186" s="139">
        <f t="shared" ref="GT186" si="5236">GT185-(SUM(GT188:GT213))</f>
        <v>0</v>
      </c>
      <c r="GU186" s="139"/>
      <c r="GV186" s="139"/>
      <c r="GW186" s="131"/>
      <c r="GX186" s="141"/>
      <c r="GY186" s="131"/>
      <c r="GZ186" s="139">
        <f t="shared" ref="GZ186" si="5237">GZ185-(SUM(GZ188:GZ213))</f>
        <v>0</v>
      </c>
      <c r="HA186" s="142"/>
      <c r="HB186" s="139"/>
      <c r="HC186" s="143"/>
      <c r="HD186" s="139">
        <f t="shared" ref="HD186" si="5238">HD185-(SUM(HD188:HD213))</f>
        <v>0.01</v>
      </c>
      <c r="HE186" s="139"/>
      <c r="HF186" s="139"/>
      <c r="HG186" s="131"/>
      <c r="HH186" s="141"/>
      <c r="HI186" s="131"/>
      <c r="HJ186" s="139">
        <f t="shared" ref="HJ186" si="5239">HJ185-(SUM(HJ188:HJ213))</f>
        <v>0</v>
      </c>
      <c r="HK186" s="142"/>
      <c r="HL186" s="139"/>
      <c r="HM186" s="143"/>
      <c r="HN186" s="139">
        <f t="shared" ref="HN186" si="5240">HN185-(SUM(HN188:HN213))</f>
        <v>0</v>
      </c>
      <c r="HO186" s="139"/>
      <c r="HP186" s="139"/>
      <c r="HQ186" s="131"/>
      <c r="HR186" s="141"/>
      <c r="HS186" s="131"/>
      <c r="HT186" s="139">
        <f t="shared" ref="HT186" si="5241">HT185-(SUM(HT188:HT213))</f>
        <v>0.01</v>
      </c>
      <c r="HU186" s="142"/>
      <c r="HV186" s="139"/>
      <c r="HW186" s="143"/>
      <c r="HX186" s="139">
        <f t="shared" ref="HX186" si="5242">HX185-(SUM(HX188:HX213))</f>
        <v>7.44</v>
      </c>
      <c r="HY186" s="139"/>
      <c r="HZ186" s="139"/>
      <c r="IA186" s="131"/>
      <c r="IB186" s="141"/>
      <c r="IC186" s="131"/>
      <c r="ID186" s="139">
        <f t="shared" ref="ID186" si="5243">ID185-(SUM(ID188:ID213))</f>
        <v>0</v>
      </c>
      <c r="IE186" s="142"/>
      <c r="IF186" s="139"/>
      <c r="IG186" s="143"/>
      <c r="IH186" s="139">
        <f t="shared" ref="IH186" si="5244">IH185-(SUM(IH188:IH213))</f>
        <v>-0.01</v>
      </c>
      <c r="II186" s="139"/>
      <c r="IJ186" s="139"/>
      <c r="IK186" s="131"/>
      <c r="IL186" s="141"/>
      <c r="IM186" s="131"/>
      <c r="IN186" s="139">
        <f t="shared" ref="IN186" si="5245">IN185-(SUM(IN188:IN213))</f>
        <v>0</v>
      </c>
      <c r="IO186" s="142"/>
      <c r="IP186" s="139"/>
      <c r="IQ186" s="143"/>
      <c r="IR186" s="139">
        <f t="shared" ref="IR186" si="5246">IR185-(SUM(IR188:IR213))</f>
        <v>0</v>
      </c>
      <c r="IS186" s="139"/>
      <c r="IT186" s="139"/>
      <c r="IU186" s="131"/>
      <c r="IV186" s="141"/>
      <c r="IW186" s="131"/>
      <c r="IX186" s="139">
        <f t="shared" ref="IX186" si="5247">IX185-(SUM(IX188:IX213))</f>
        <v>0.01</v>
      </c>
      <c r="IY186" s="142"/>
      <c r="IZ186" s="139"/>
      <c r="JA186" s="143"/>
      <c r="JB186" s="139">
        <f t="shared" ref="JB186" si="5248">JB185-(SUM(JB188:JB213))</f>
        <v>7.45</v>
      </c>
      <c r="JC186" s="139"/>
      <c r="JD186" s="139"/>
      <c r="JE186" s="131"/>
      <c r="JF186" s="141"/>
      <c r="JG186" s="131"/>
      <c r="JH186" s="139">
        <f t="shared" ref="JH186" si="5249">JH185-(SUM(JH188:JH213))</f>
        <v>-0.01</v>
      </c>
      <c r="JI186" s="142"/>
      <c r="JJ186" s="139"/>
      <c r="JK186" s="143"/>
      <c r="JL186" s="139">
        <f t="shared" ref="JL186" si="5250">JL185-(SUM(JL188:JL213))</f>
        <v>-7.43</v>
      </c>
      <c r="JM186" s="139"/>
      <c r="JN186" s="139"/>
      <c r="JO186" s="131"/>
      <c r="JP186" s="141"/>
      <c r="JQ186" s="131"/>
      <c r="JR186" s="139">
        <f t="shared" ref="JR186" si="5251">JR185-(SUM(JR188:JR213))</f>
        <v>0.02</v>
      </c>
      <c r="JS186" s="142"/>
      <c r="JT186" s="139"/>
      <c r="JU186" s="143"/>
      <c r="JV186" s="139">
        <f t="shared" ref="JV186" si="5252">JV185-(SUM(JV188:JV213))</f>
        <v>14.91</v>
      </c>
      <c r="JW186" s="139"/>
      <c r="JX186" s="139"/>
      <c r="JY186" s="131"/>
      <c r="JZ186" s="141"/>
      <c r="KA186" s="131"/>
      <c r="KB186" s="139">
        <f t="shared" ref="KB186" si="5253">KB185-(SUM(KB188:KB213))</f>
        <v>0</v>
      </c>
      <c r="KC186" s="142"/>
      <c r="KD186" s="139"/>
      <c r="KE186" s="143"/>
      <c r="KF186" s="139">
        <f t="shared" ref="KF186" si="5254">KF185-(SUM(KF188:KF213))</f>
        <v>0</v>
      </c>
      <c r="KG186" s="139"/>
      <c r="KH186" s="139"/>
      <c r="KI186" s="131"/>
      <c r="KJ186" s="141"/>
      <c r="KK186" s="131"/>
      <c r="KL186" s="139">
        <f t="shared" ref="KL186" si="5255">KL185-(SUM(KL188:KL213))</f>
        <v>0</v>
      </c>
      <c r="KM186" s="142"/>
      <c r="KN186" s="139"/>
      <c r="KO186" s="143"/>
      <c r="KP186" s="139">
        <f t="shared" ref="KP186" si="5256">KP185-(SUM(KP188:KP213))</f>
        <v>0</v>
      </c>
      <c r="KQ186" s="139"/>
      <c r="KR186" s="139"/>
      <c r="KS186" s="131"/>
      <c r="KT186" s="141"/>
      <c r="KU186" s="131"/>
      <c r="KV186" s="139">
        <f t="shared" ref="KV186" si="5257">KV185-(SUM(KV188:KV213))</f>
        <v>-0.01</v>
      </c>
      <c r="KW186" s="142"/>
      <c r="KX186" s="139"/>
      <c r="KY186" s="143"/>
      <c r="KZ186" s="139">
        <f t="shared" ref="KZ186" si="5258">KZ185-(SUM(KZ188:KZ213))</f>
        <v>-7.45</v>
      </c>
      <c r="LA186" s="139"/>
      <c r="LB186" s="139"/>
      <c r="LC186" s="131"/>
      <c r="LD186" s="141"/>
      <c r="LE186" s="131"/>
      <c r="LF186" s="139">
        <f>LF185-(SUM(LF188:LF213))</f>
        <v>-0.06</v>
      </c>
      <c r="LG186" s="142"/>
      <c r="LH186" s="139"/>
      <c r="LI186" s="143"/>
      <c r="LJ186" s="139">
        <f>LJ185-(SUM(LJ188:LJ213))</f>
        <v>-44.04</v>
      </c>
      <c r="LK186" s="139"/>
      <c r="LL186" s="139"/>
    </row>
    <row r="187" spans="1:324" s="132" customFormat="1" x14ac:dyDescent="0.25">
      <c r="A187" s="244"/>
      <c r="B187" s="244" t="s">
        <v>853</v>
      </c>
      <c r="C187" s="131"/>
      <c r="D187" s="131"/>
      <c r="E187" s="131"/>
      <c r="F187" s="141"/>
      <c r="G187" s="131"/>
      <c r="H187" s="139"/>
      <c r="I187" s="142"/>
      <c r="J187" s="139"/>
      <c r="K187" s="143"/>
      <c r="L187" s="139"/>
      <c r="M187" s="139"/>
      <c r="N187" s="139"/>
      <c r="O187" s="131"/>
      <c r="P187" s="141"/>
      <c r="Q187" s="131"/>
      <c r="R187" s="139"/>
      <c r="S187" s="142"/>
      <c r="T187" s="139"/>
      <c r="U187" s="143"/>
      <c r="V187" s="139"/>
      <c r="W187" s="139"/>
      <c r="X187" s="139"/>
      <c r="Y187" s="131"/>
      <c r="Z187" s="141"/>
      <c r="AA187" s="131"/>
      <c r="AB187" s="139"/>
      <c r="AC187" s="142"/>
      <c r="AD187" s="139"/>
      <c r="AE187" s="143"/>
      <c r="AF187" s="139"/>
      <c r="AG187" s="139"/>
      <c r="AH187" s="139"/>
      <c r="AI187" s="131"/>
      <c r="AJ187" s="141"/>
      <c r="AK187" s="131"/>
      <c r="AL187" s="139"/>
      <c r="AM187" s="142"/>
      <c r="AN187" s="139"/>
      <c r="AO187" s="143"/>
      <c r="AP187" s="139"/>
      <c r="AQ187" s="139"/>
      <c r="AR187" s="139"/>
      <c r="AS187" s="131"/>
      <c r="AT187" s="141"/>
      <c r="AU187" s="131"/>
      <c r="AV187" s="139"/>
      <c r="AW187" s="142"/>
      <c r="AX187" s="139"/>
      <c r="AY187" s="143"/>
      <c r="AZ187" s="139"/>
      <c r="BA187" s="139"/>
      <c r="BB187" s="139"/>
      <c r="BC187" s="131"/>
      <c r="BD187" s="141"/>
      <c r="BE187" s="131"/>
      <c r="BF187" s="139"/>
      <c r="BG187" s="142"/>
      <c r="BH187" s="139"/>
      <c r="BI187" s="143"/>
      <c r="BJ187" s="139"/>
      <c r="BK187" s="139"/>
      <c r="BL187" s="139"/>
      <c r="BM187" s="131"/>
      <c r="BN187" s="141"/>
      <c r="BO187" s="131"/>
      <c r="BP187" s="139"/>
      <c r="BQ187" s="142"/>
      <c r="BR187" s="139"/>
      <c r="BS187" s="143"/>
      <c r="BT187" s="139"/>
      <c r="BU187" s="139"/>
      <c r="BV187" s="139"/>
      <c r="BW187" s="131"/>
      <c r="BX187" s="141"/>
      <c r="BY187" s="131"/>
      <c r="BZ187" s="139"/>
      <c r="CA187" s="142"/>
      <c r="CB187" s="139"/>
      <c r="CC187" s="143"/>
      <c r="CD187" s="139"/>
      <c r="CE187" s="139"/>
      <c r="CF187" s="139"/>
      <c r="CG187" s="131"/>
      <c r="CH187" s="141"/>
      <c r="CI187" s="131"/>
      <c r="CJ187" s="139"/>
      <c r="CK187" s="142"/>
      <c r="CL187" s="139"/>
      <c r="CM187" s="143"/>
      <c r="CN187" s="139"/>
      <c r="CO187" s="139"/>
      <c r="CP187" s="139"/>
      <c r="CQ187" s="131"/>
      <c r="CR187" s="141"/>
      <c r="CS187" s="131"/>
      <c r="CT187" s="139"/>
      <c r="CU187" s="142"/>
      <c r="CV187" s="139"/>
      <c r="CW187" s="143"/>
      <c r="CX187" s="139"/>
      <c r="CY187" s="139"/>
      <c r="CZ187" s="139"/>
      <c r="DA187" s="131"/>
      <c r="DB187" s="141"/>
      <c r="DC187" s="131"/>
      <c r="DD187" s="139"/>
      <c r="DE187" s="142"/>
      <c r="DF187" s="139"/>
      <c r="DG187" s="143"/>
      <c r="DH187" s="139"/>
      <c r="DI187" s="139"/>
      <c r="DJ187" s="139"/>
      <c r="DK187" s="131"/>
      <c r="DL187" s="141"/>
      <c r="DM187" s="131"/>
      <c r="DN187" s="139"/>
      <c r="DO187" s="142"/>
      <c r="DP187" s="139"/>
      <c r="DQ187" s="143"/>
      <c r="DR187" s="139"/>
      <c r="DS187" s="139"/>
      <c r="DT187" s="139"/>
      <c r="DU187" s="131"/>
      <c r="DV187" s="141"/>
      <c r="DW187" s="131"/>
      <c r="DX187" s="139"/>
      <c r="DY187" s="142"/>
      <c r="DZ187" s="139"/>
      <c r="EA187" s="143"/>
      <c r="EB187" s="139"/>
      <c r="EC187" s="139"/>
      <c r="ED187" s="139"/>
      <c r="EE187" s="131"/>
      <c r="EF187" s="141"/>
      <c r="EG187" s="131"/>
      <c r="EH187" s="139"/>
      <c r="EI187" s="142"/>
      <c r="EJ187" s="139"/>
      <c r="EK187" s="143"/>
      <c r="EL187" s="139"/>
      <c r="EM187" s="139"/>
      <c r="EN187" s="139"/>
      <c r="EO187" s="131"/>
      <c r="EP187" s="141"/>
      <c r="EQ187" s="131"/>
      <c r="ER187" s="139"/>
      <c r="ES187" s="142"/>
      <c r="ET187" s="139"/>
      <c r="EU187" s="143"/>
      <c r="EV187" s="139"/>
      <c r="EW187" s="139"/>
      <c r="EX187" s="139"/>
      <c r="EY187" s="131"/>
      <c r="EZ187" s="141"/>
      <c r="FA187" s="131"/>
      <c r="FB187" s="139"/>
      <c r="FC187" s="142"/>
      <c r="FD187" s="139"/>
      <c r="FE187" s="143"/>
      <c r="FF187" s="139"/>
      <c r="FG187" s="139"/>
      <c r="FH187" s="139"/>
      <c r="FI187" s="131"/>
      <c r="FJ187" s="141"/>
      <c r="FK187" s="131"/>
      <c r="FL187" s="139"/>
      <c r="FM187" s="142"/>
      <c r="FN187" s="139"/>
      <c r="FO187" s="143"/>
      <c r="FP187" s="139"/>
      <c r="FQ187" s="139"/>
      <c r="FR187" s="139"/>
      <c r="FS187" s="131"/>
      <c r="FT187" s="141"/>
      <c r="FU187" s="131"/>
      <c r="FV187" s="139"/>
      <c r="FW187" s="142"/>
      <c r="FX187" s="139"/>
      <c r="FY187" s="143"/>
      <c r="FZ187" s="139"/>
      <c r="GA187" s="139"/>
      <c r="GB187" s="139"/>
      <c r="GC187" s="131"/>
      <c r="GD187" s="141"/>
      <c r="GE187" s="131"/>
      <c r="GF187" s="139"/>
      <c r="GG187" s="142"/>
      <c r="GH187" s="139"/>
      <c r="GI187" s="143"/>
      <c r="GJ187" s="139"/>
      <c r="GK187" s="139"/>
      <c r="GL187" s="139"/>
      <c r="GM187" s="131"/>
      <c r="GN187" s="141"/>
      <c r="GO187" s="131"/>
      <c r="GP187" s="139"/>
      <c r="GQ187" s="142"/>
      <c r="GR187" s="139"/>
      <c r="GS187" s="143"/>
      <c r="GT187" s="139"/>
      <c r="GU187" s="139"/>
      <c r="GV187" s="139"/>
      <c r="GW187" s="131"/>
      <c r="GX187" s="141"/>
      <c r="GY187" s="131"/>
      <c r="GZ187" s="139"/>
      <c r="HA187" s="142"/>
      <c r="HB187" s="139"/>
      <c r="HC187" s="143"/>
      <c r="HD187" s="139"/>
      <c r="HE187" s="139"/>
      <c r="HF187" s="139"/>
      <c r="HG187" s="131"/>
      <c r="HH187" s="141"/>
      <c r="HI187" s="131"/>
      <c r="HJ187" s="139"/>
      <c r="HK187" s="142"/>
      <c r="HL187" s="139"/>
      <c r="HM187" s="143"/>
      <c r="HN187" s="139"/>
      <c r="HO187" s="139"/>
      <c r="HP187" s="139"/>
      <c r="HQ187" s="131"/>
      <c r="HR187" s="141"/>
      <c r="HS187" s="131"/>
      <c r="HT187" s="139"/>
      <c r="HU187" s="142"/>
      <c r="HV187" s="139"/>
      <c r="HW187" s="143"/>
      <c r="HX187" s="139"/>
      <c r="HY187" s="139"/>
      <c r="HZ187" s="139"/>
      <c r="IA187" s="131"/>
      <c r="IB187" s="141"/>
      <c r="IC187" s="131"/>
      <c r="ID187" s="139"/>
      <c r="IE187" s="142"/>
      <c r="IF187" s="139"/>
      <c r="IG187" s="143"/>
      <c r="IH187" s="139"/>
      <c r="II187" s="139"/>
      <c r="IJ187" s="139"/>
      <c r="IK187" s="131"/>
      <c r="IL187" s="141"/>
      <c r="IM187" s="131"/>
      <c r="IN187" s="139"/>
      <c r="IO187" s="142"/>
      <c r="IP187" s="139"/>
      <c r="IQ187" s="143"/>
      <c r="IR187" s="139"/>
      <c r="IS187" s="139"/>
      <c r="IT187" s="139"/>
      <c r="IU187" s="131"/>
      <c r="IV187" s="141"/>
      <c r="IW187" s="131"/>
      <c r="IX187" s="139"/>
      <c r="IY187" s="142"/>
      <c r="IZ187" s="139"/>
      <c r="JA187" s="143"/>
      <c r="JB187" s="139"/>
      <c r="JC187" s="139"/>
      <c r="JD187" s="139"/>
      <c r="JE187" s="131"/>
      <c r="JF187" s="141"/>
      <c r="JG187" s="131"/>
      <c r="JH187" s="139"/>
      <c r="JI187" s="142"/>
      <c r="JJ187" s="139"/>
      <c r="JK187" s="143"/>
      <c r="JL187" s="139"/>
      <c r="JM187" s="139"/>
      <c r="JN187" s="139"/>
      <c r="JO187" s="131"/>
      <c r="JP187" s="141"/>
      <c r="JQ187" s="131"/>
      <c r="JR187" s="139"/>
      <c r="JS187" s="142"/>
      <c r="JT187" s="139"/>
      <c r="JU187" s="143"/>
      <c r="JV187" s="139"/>
      <c r="JW187" s="139"/>
      <c r="JX187" s="139"/>
      <c r="JY187" s="131"/>
      <c r="JZ187" s="141"/>
      <c r="KA187" s="131"/>
      <c r="KB187" s="139"/>
      <c r="KC187" s="142"/>
      <c r="KD187" s="139"/>
      <c r="KE187" s="143"/>
      <c r="KF187" s="139"/>
      <c r="KG187" s="139"/>
      <c r="KH187" s="139"/>
      <c r="KI187" s="131"/>
      <c r="KJ187" s="141"/>
      <c r="KK187" s="131"/>
      <c r="KL187" s="139"/>
      <c r="KM187" s="142"/>
      <c r="KN187" s="139"/>
      <c r="KO187" s="143"/>
      <c r="KP187" s="139"/>
      <c r="KQ187" s="139"/>
      <c r="KR187" s="139"/>
      <c r="KS187" s="131"/>
      <c r="KT187" s="141"/>
      <c r="KU187" s="131"/>
      <c r="KV187" s="139"/>
      <c r="KW187" s="142"/>
      <c r="KX187" s="139"/>
      <c r="KY187" s="143"/>
      <c r="KZ187" s="139"/>
      <c r="LA187" s="139"/>
      <c r="LB187" s="139"/>
      <c r="LC187" s="131"/>
      <c r="LD187" s="141"/>
      <c r="LE187" s="131"/>
      <c r="LF187" s="139"/>
      <c r="LG187" s="142"/>
      <c r="LH187" s="139"/>
      <c r="LI187" s="143"/>
      <c r="LJ187" s="139"/>
      <c r="LK187" s="139"/>
      <c r="LL187" s="139"/>
    </row>
    <row r="188" spans="1:324" ht="27.75" customHeight="1" x14ac:dyDescent="0.25">
      <c r="A188" s="245"/>
      <c r="B188" s="12" t="s">
        <v>609</v>
      </c>
      <c r="C188" s="12" t="s">
        <v>727</v>
      </c>
      <c r="D188" s="12" t="s">
        <v>427</v>
      </c>
      <c r="E188" s="4" t="s">
        <v>32</v>
      </c>
      <c r="F188" s="198">
        <f>F13</f>
        <v>226</v>
      </c>
      <c r="G188" s="225">
        <f>F188/F$185</f>
        <v>0.37541999999999998</v>
      </c>
      <c r="H188" s="226">
        <f>H$185*G188</f>
        <v>43.92</v>
      </c>
      <c r="I188" s="137">
        <f t="shared" ref="I188:I195" si="5259">IF(F188&gt;0,H188/F188,0)</f>
        <v>0.19433628</v>
      </c>
      <c r="J188" s="227">
        <f>J$185</f>
        <v>744.63</v>
      </c>
      <c r="K188" s="138">
        <f t="shared" ref="K188:K195" si="5260">I188*J188</f>
        <v>144.70862</v>
      </c>
      <c r="L188" s="110">
        <f t="shared" ref="L188:L195" si="5261">K188*F188</f>
        <v>32704.15</v>
      </c>
      <c r="M188" s="110"/>
      <c r="N188" s="139"/>
      <c r="O188" s="140">
        <f t="shared" ref="O188:O195" si="5262">K188/$LI188</f>
        <v>1.03474</v>
      </c>
      <c r="P188" s="198">
        <f t="shared" ref="P188:BX203" si="5263">P13</f>
        <v>488</v>
      </c>
      <c r="Q188" s="225">
        <f t="shared" ref="Q188:BY203" si="5264">P188/P$185</f>
        <v>0.44525999999999999</v>
      </c>
      <c r="R188" s="226">
        <f t="shared" ref="R188:BZ203" si="5265">R$185*Q188</f>
        <v>74.8</v>
      </c>
      <c r="S188" s="137">
        <f t="shared" ref="S188:S195" si="5266">IF(P188&gt;0,R188/P188,0)</f>
        <v>0.15327869</v>
      </c>
      <c r="T188" s="227">
        <f t="shared" ref="T188:CB203" si="5267">T$185</f>
        <v>744.63</v>
      </c>
      <c r="U188" s="138">
        <f t="shared" ref="U188:U195" si="5268">S188*T188</f>
        <v>114.13591</v>
      </c>
      <c r="V188" s="110">
        <f t="shared" ref="V188:V195" si="5269">U188*P188</f>
        <v>55698.32</v>
      </c>
      <c r="W188" s="110"/>
      <c r="X188" s="139"/>
      <c r="Y188" s="140">
        <f t="shared" ref="Y188:Y195" si="5270">U188/$LI188</f>
        <v>0.81613000000000002</v>
      </c>
      <c r="Z188" s="198">
        <f t="shared" ref="Z188" si="5271">Z13</f>
        <v>235</v>
      </c>
      <c r="AA188" s="225">
        <f t="shared" ref="AA188" si="5272">Z188/Z$185</f>
        <v>0.27199000000000001</v>
      </c>
      <c r="AB188" s="226">
        <f t="shared" ref="AB188" si="5273">AB$185*AA188</f>
        <v>32.64</v>
      </c>
      <c r="AC188" s="137">
        <f t="shared" ref="AC188:AC195" si="5274">IF(Z188&gt;0,AB188/Z188,0)</f>
        <v>0.13889362</v>
      </c>
      <c r="AD188" s="227">
        <f t="shared" ref="AD188" si="5275">AD$185</f>
        <v>744.63</v>
      </c>
      <c r="AE188" s="138">
        <f t="shared" ref="AE188:AE195" si="5276">AC188*AD188</f>
        <v>103.42435999999999</v>
      </c>
      <c r="AF188" s="110">
        <f t="shared" ref="AF188:AF195" si="5277">AE188*Z188</f>
        <v>24304.720000000001</v>
      </c>
      <c r="AG188" s="110"/>
      <c r="AH188" s="139"/>
      <c r="AI188" s="140">
        <f t="shared" ref="AI188:AI195" si="5278">AE188/$LI188</f>
        <v>0.73953999999999998</v>
      </c>
      <c r="AJ188" s="198">
        <f t="shared" ref="AJ188" si="5279">AJ13</f>
        <v>281</v>
      </c>
      <c r="AK188" s="225">
        <f t="shared" ref="AK188" si="5280">AJ188/AJ$185</f>
        <v>0.42255999999999999</v>
      </c>
      <c r="AL188" s="226">
        <f t="shared" ref="AL188" si="5281">AL$185*AK188</f>
        <v>46.24</v>
      </c>
      <c r="AM188" s="137">
        <f t="shared" ref="AM188:AM195" si="5282">IF(AJ188&gt;0,AL188/AJ188,0)</f>
        <v>0.16455516000000001</v>
      </c>
      <c r="AN188" s="227">
        <f t="shared" ref="AN188" si="5283">AN$185</f>
        <v>744.63</v>
      </c>
      <c r="AO188" s="138">
        <f t="shared" ref="AO188:AO195" si="5284">AM188*AN188</f>
        <v>122.53270999999999</v>
      </c>
      <c r="AP188" s="110">
        <f t="shared" ref="AP188:AP195" si="5285">AO188*AJ188</f>
        <v>34431.69</v>
      </c>
      <c r="AQ188" s="110"/>
      <c r="AR188" s="139"/>
      <c r="AS188" s="140">
        <f t="shared" ref="AS188:AS195" si="5286">AO188/$LI188</f>
        <v>0.87617</v>
      </c>
      <c r="AT188" s="198">
        <f t="shared" ref="AT188" si="5287">AT13</f>
        <v>439</v>
      </c>
      <c r="AU188" s="225">
        <f t="shared" ref="AU188" si="5288">AT188/AT$185</f>
        <v>0.46161999999999997</v>
      </c>
      <c r="AV188" s="226">
        <f t="shared" ref="AV188" si="5289">AV$185*AU188</f>
        <v>51.79</v>
      </c>
      <c r="AW188" s="137">
        <f t="shared" ref="AW188:AW195" si="5290">IF(AT188&gt;0,AV188/AT188,0)</f>
        <v>0.11797267</v>
      </c>
      <c r="AX188" s="227">
        <f t="shared" ref="AX188" si="5291">AX$185</f>
        <v>744.63</v>
      </c>
      <c r="AY188" s="138">
        <f t="shared" ref="AY188:AY195" si="5292">AW188*AX188</f>
        <v>87.84599</v>
      </c>
      <c r="AZ188" s="110">
        <f t="shared" ref="AZ188:AZ195" si="5293">AY188*AT188</f>
        <v>38564.39</v>
      </c>
      <c r="BA188" s="110"/>
      <c r="BB188" s="139"/>
      <c r="BC188" s="140">
        <f t="shared" ref="BC188:BC195" si="5294">AY188/$LI188</f>
        <v>0.62814999999999999</v>
      </c>
      <c r="BD188" s="198">
        <f t="shared" ref="BD188" si="5295">BD13</f>
        <v>347</v>
      </c>
      <c r="BE188" s="225">
        <f t="shared" ref="BE188" si="5296">BD188/BD$185</f>
        <v>0.46639999999999998</v>
      </c>
      <c r="BF188" s="226">
        <f t="shared" ref="BF188" si="5297">BF$185*BE188</f>
        <v>50.37</v>
      </c>
      <c r="BG188" s="137">
        <f t="shared" ref="BG188:BG195" si="5298">IF(BD188&gt;0,BF188/BD188,0)</f>
        <v>0.1451585</v>
      </c>
      <c r="BH188" s="227">
        <f t="shared" ref="BH188" si="5299">BH$185</f>
        <v>744.63</v>
      </c>
      <c r="BI188" s="138">
        <f t="shared" ref="BI188:BI195" si="5300">BG188*BH188</f>
        <v>108.08937</v>
      </c>
      <c r="BJ188" s="110">
        <f t="shared" ref="BJ188:BJ195" si="5301">BI188*BD188</f>
        <v>37507.01</v>
      </c>
      <c r="BK188" s="110"/>
      <c r="BL188" s="139"/>
      <c r="BM188" s="140">
        <f t="shared" ref="BM188:BM195" si="5302">BI188/$LI188</f>
        <v>0.77290000000000003</v>
      </c>
      <c r="BN188" s="198">
        <f t="shared" ref="BN188" si="5303">BN13</f>
        <v>254</v>
      </c>
      <c r="BO188" s="225">
        <f t="shared" ref="BO188" si="5304">BN188/BN$185</f>
        <v>0.41166999999999998</v>
      </c>
      <c r="BP188" s="226">
        <f t="shared" ref="BP188" si="5305">BP$185*BO188</f>
        <v>44.46</v>
      </c>
      <c r="BQ188" s="137">
        <f t="shared" ref="BQ188:BQ195" si="5306">IF(BN188&gt;0,BP188/BN188,0)</f>
        <v>0.17503937</v>
      </c>
      <c r="BR188" s="227">
        <f t="shared" ref="BR188" si="5307">BR$185</f>
        <v>744.63</v>
      </c>
      <c r="BS188" s="138">
        <f t="shared" ref="BS188:BS195" si="5308">BQ188*BR188</f>
        <v>130.33957000000001</v>
      </c>
      <c r="BT188" s="110">
        <f t="shared" ref="BT188:BT195" si="5309">BS188*BN188</f>
        <v>33106.25</v>
      </c>
      <c r="BU188" s="110"/>
      <c r="BV188" s="139"/>
      <c r="BW188" s="140">
        <f t="shared" ref="BW188:BW195" si="5310">BS188/$LI188</f>
        <v>0.93200000000000005</v>
      </c>
      <c r="BX188" s="198">
        <f t="shared" ref="BX188" si="5311">BX13</f>
        <v>310</v>
      </c>
      <c r="BY188" s="225">
        <f t="shared" ref="BY188" si="5312">BX188/BX$185</f>
        <v>0.39340000000000003</v>
      </c>
      <c r="BZ188" s="226">
        <f t="shared" ref="BZ188" si="5313">BZ$185*BY188</f>
        <v>72.37</v>
      </c>
      <c r="CA188" s="137">
        <f t="shared" ref="CA188:CA195" si="5314">IF(BX188&gt;0,BZ188/BX188,0)</f>
        <v>0.23345161</v>
      </c>
      <c r="CB188" s="227">
        <f t="shared" ref="CB188" si="5315">CB$185</f>
        <v>744.63</v>
      </c>
      <c r="CC188" s="138">
        <f t="shared" ref="CC188:CC195" si="5316">CA188*CB188</f>
        <v>173.83507</v>
      </c>
      <c r="CD188" s="110">
        <f t="shared" ref="CD188:CD195" si="5317">CC188*BX188</f>
        <v>53888.87</v>
      </c>
      <c r="CE188" s="110"/>
      <c r="CF188" s="139"/>
      <c r="CG188" s="140">
        <f t="shared" ref="CG188:CG195" si="5318">CC188/$LI188</f>
        <v>1.2430099999999999</v>
      </c>
      <c r="CH188" s="198">
        <f t="shared" ref="CH188:EP203" si="5319">CH13</f>
        <v>382</v>
      </c>
      <c r="CI188" s="225">
        <f t="shared" ref="CI188:EQ203" si="5320">CH188/CH$185</f>
        <v>0.41342000000000001</v>
      </c>
      <c r="CJ188" s="226">
        <f t="shared" ref="CJ188:ER203" si="5321">CJ$185*CI188</f>
        <v>89.3</v>
      </c>
      <c r="CK188" s="137">
        <f t="shared" ref="CK188:CK195" si="5322">IF(CH188&gt;0,CJ188/CH188,0)</f>
        <v>0.23376963000000001</v>
      </c>
      <c r="CL188" s="227">
        <f t="shared" ref="CL188:ET203" si="5323">CL$185</f>
        <v>744.63</v>
      </c>
      <c r="CM188" s="138">
        <f t="shared" ref="CM188:CM195" si="5324">CK188*CL188</f>
        <v>174.07187999999999</v>
      </c>
      <c r="CN188" s="110">
        <f t="shared" ref="CN188:CN195" si="5325">CM188*CH188</f>
        <v>66495.460000000006</v>
      </c>
      <c r="CO188" s="110"/>
      <c r="CP188" s="139"/>
      <c r="CQ188" s="140">
        <f t="shared" ref="CQ188:CQ195" si="5326">CM188/$LI188</f>
        <v>1.24471</v>
      </c>
      <c r="CR188" s="198">
        <f t="shared" ref="CR188" si="5327">CR13</f>
        <v>310</v>
      </c>
      <c r="CS188" s="225">
        <f t="shared" ref="CS188" si="5328">CR188/CR$185</f>
        <v>0.41666999999999998</v>
      </c>
      <c r="CT188" s="226">
        <f t="shared" ref="CT188" si="5329">CT$185*CS188</f>
        <v>50</v>
      </c>
      <c r="CU188" s="137">
        <f t="shared" ref="CU188:CU195" si="5330">IF(CR188&gt;0,CT188/CR188,0)</f>
        <v>0.16129031999999999</v>
      </c>
      <c r="CV188" s="227">
        <f t="shared" ref="CV188" si="5331">CV$185</f>
        <v>744.63</v>
      </c>
      <c r="CW188" s="138">
        <f t="shared" ref="CW188:CW195" si="5332">CU188*CV188</f>
        <v>120.10160999999999</v>
      </c>
      <c r="CX188" s="110">
        <f t="shared" ref="CX188:CX195" si="5333">CW188*CR188</f>
        <v>37231.5</v>
      </c>
      <c r="CY188" s="110"/>
      <c r="CZ188" s="139"/>
      <c r="DA188" s="140">
        <f t="shared" ref="DA188:DA195" si="5334">CW188/$LI188</f>
        <v>0.85879000000000005</v>
      </c>
      <c r="DB188" s="198">
        <f t="shared" ref="DB188" si="5335">DB13</f>
        <v>357</v>
      </c>
      <c r="DC188" s="225">
        <f t="shared" ref="DC188" si="5336">DB188/DB$185</f>
        <v>0.43273</v>
      </c>
      <c r="DD188" s="226">
        <f t="shared" ref="DD188" si="5337">DD$185*DC188</f>
        <v>85.68</v>
      </c>
      <c r="DE188" s="137">
        <f t="shared" ref="DE188:DE195" si="5338">IF(DB188&gt;0,DD188/DB188,0)</f>
        <v>0.24</v>
      </c>
      <c r="DF188" s="227">
        <f t="shared" ref="DF188" si="5339">DF$185</f>
        <v>744.63</v>
      </c>
      <c r="DG188" s="138">
        <f t="shared" ref="DG188:DG195" si="5340">DE188*DF188</f>
        <v>178.71119999999999</v>
      </c>
      <c r="DH188" s="110">
        <f t="shared" ref="DH188:DH195" si="5341">DG188*DB188</f>
        <v>63799.9</v>
      </c>
      <c r="DI188" s="110"/>
      <c r="DJ188" s="139"/>
      <c r="DK188" s="140">
        <f t="shared" ref="DK188:DK195" si="5342">DG188/$LI188</f>
        <v>1.2778799999999999</v>
      </c>
      <c r="DL188" s="198">
        <f t="shared" ref="DL188" si="5343">DL13</f>
        <v>0</v>
      </c>
      <c r="DM188" s="225">
        <f t="shared" ref="DM188" si="5344">DL188/DL$185</f>
        <v>0</v>
      </c>
      <c r="DN188" s="226">
        <f t="shared" ref="DN188" si="5345">DN$185*DM188</f>
        <v>0</v>
      </c>
      <c r="DO188" s="137">
        <f t="shared" ref="DO188:DO195" si="5346">IF(DL188&gt;0,DN188/DL188,0)</f>
        <v>0</v>
      </c>
      <c r="DP188" s="227">
        <f t="shared" ref="DP188" si="5347">DP$185</f>
        <v>744.63</v>
      </c>
      <c r="DQ188" s="138">
        <f t="shared" ref="DQ188:DQ195" si="5348">DO188*DP188</f>
        <v>0</v>
      </c>
      <c r="DR188" s="110">
        <f t="shared" ref="DR188:DR195" si="5349">DQ188*DL188</f>
        <v>0</v>
      </c>
      <c r="DS188" s="110"/>
      <c r="DT188" s="139"/>
      <c r="DU188" s="140">
        <f t="shared" ref="DU188:DU195" si="5350">DQ188/$LI188</f>
        <v>0</v>
      </c>
      <c r="DV188" s="198">
        <f t="shared" ref="DV188" si="5351">DV13</f>
        <v>361</v>
      </c>
      <c r="DW188" s="225">
        <f t="shared" ref="DW188" si="5352">DV188/DV$185</f>
        <v>0.41116000000000003</v>
      </c>
      <c r="DX188" s="226">
        <f t="shared" ref="DX188" si="5353">DX$185*DW188</f>
        <v>45.34</v>
      </c>
      <c r="DY188" s="137">
        <f t="shared" ref="DY188:DY195" si="5354">IF(DV188&gt;0,DX188/DV188,0)</f>
        <v>0.12559556999999999</v>
      </c>
      <c r="DZ188" s="227">
        <f t="shared" ref="DZ188" si="5355">DZ$185</f>
        <v>389.62</v>
      </c>
      <c r="EA188" s="138">
        <f t="shared" ref="EA188:EA195" si="5356">DY188*DZ188</f>
        <v>48.934550000000002</v>
      </c>
      <c r="EB188" s="110">
        <f t="shared" ref="EB188:EB195" si="5357">EA188*DV188</f>
        <v>17665.37</v>
      </c>
      <c r="EC188" s="110"/>
      <c r="ED188" s="139"/>
      <c r="EE188" s="140">
        <f t="shared" ref="EE188:EE195" si="5358">EA188/$LI188</f>
        <v>0.34991</v>
      </c>
      <c r="EF188" s="198">
        <f t="shared" ref="EF188" si="5359">EF13</f>
        <v>363</v>
      </c>
      <c r="EG188" s="225">
        <f t="shared" ref="EG188" si="5360">EF188/EF$185</f>
        <v>0.38657999999999998</v>
      </c>
      <c r="EH188" s="226">
        <f t="shared" ref="EH188" si="5361">EH$185*EG188</f>
        <v>41.75</v>
      </c>
      <c r="EI188" s="137">
        <f t="shared" ref="EI188:EI195" si="5362">IF(EF188&gt;0,EH188/EF188,0)</f>
        <v>0.11501377</v>
      </c>
      <c r="EJ188" s="227">
        <f t="shared" ref="EJ188" si="5363">EJ$185</f>
        <v>744.63</v>
      </c>
      <c r="EK188" s="138">
        <f t="shared" ref="EK188:EK195" si="5364">EI188*EJ188</f>
        <v>85.642700000000005</v>
      </c>
      <c r="EL188" s="110">
        <f t="shared" ref="EL188:EL195" si="5365">EK188*EF188</f>
        <v>31088.3</v>
      </c>
      <c r="EM188" s="110"/>
      <c r="EN188" s="139"/>
      <c r="EO188" s="140">
        <f t="shared" ref="EO188:EO195" si="5366">EK188/$LI188</f>
        <v>0.61238999999999999</v>
      </c>
      <c r="EP188" s="198">
        <f t="shared" ref="EP188" si="5367">EP13</f>
        <v>400</v>
      </c>
      <c r="EQ188" s="225">
        <f t="shared" ref="EQ188" si="5368">EP188/EP$185</f>
        <v>0.42418</v>
      </c>
      <c r="ER188" s="226">
        <f t="shared" ref="ER188" si="5369">ER$185*EQ188</f>
        <v>68.72</v>
      </c>
      <c r="ES188" s="137">
        <f t="shared" ref="ES188:ES195" si="5370">IF(EP188&gt;0,ER188/EP188,0)</f>
        <v>0.17180000000000001</v>
      </c>
      <c r="ET188" s="227">
        <f t="shared" ref="ET188" si="5371">ET$185</f>
        <v>744.63</v>
      </c>
      <c r="EU188" s="138">
        <f t="shared" ref="EU188:EU195" si="5372">ES188*ET188</f>
        <v>127.92743</v>
      </c>
      <c r="EV188" s="110">
        <f t="shared" ref="EV188:EV195" si="5373">EU188*EP188</f>
        <v>51170.97</v>
      </c>
      <c r="EW188" s="110"/>
      <c r="EX188" s="139"/>
      <c r="EY188" s="140">
        <f t="shared" ref="EY188:EY195" si="5374">EU188/$LI188</f>
        <v>0.91474999999999995</v>
      </c>
      <c r="EZ188" s="198">
        <f t="shared" ref="EZ188:GD203" si="5375">EZ13</f>
        <v>576</v>
      </c>
      <c r="FA188" s="225">
        <f t="shared" ref="FA188:GE203" si="5376">EZ188/EZ$185</f>
        <v>0.51566999999999996</v>
      </c>
      <c r="FB188" s="226">
        <f t="shared" ref="FB188:GF203" si="5377">FB$185*FA188</f>
        <v>83.11</v>
      </c>
      <c r="FC188" s="137">
        <f t="shared" ref="FC188:FC195" si="5378">IF(EZ188&gt;0,FB188/EZ188,0)</f>
        <v>0.14428819000000001</v>
      </c>
      <c r="FD188" s="227">
        <f t="shared" ref="FD188:GH203" si="5379">FD$185</f>
        <v>744.63</v>
      </c>
      <c r="FE188" s="138">
        <f t="shared" ref="FE188:FE195" si="5380">FC188*FD188</f>
        <v>107.44131</v>
      </c>
      <c r="FF188" s="110">
        <f t="shared" ref="FF188:FF195" si="5381">FE188*EZ188</f>
        <v>61886.19</v>
      </c>
      <c r="FG188" s="110"/>
      <c r="FH188" s="139"/>
      <c r="FI188" s="140">
        <f t="shared" ref="FI188:FI195" si="5382">FE188/$LI188</f>
        <v>0.76826000000000005</v>
      </c>
      <c r="FJ188" s="198">
        <f t="shared" ref="FJ188" si="5383">FJ13</f>
        <v>408</v>
      </c>
      <c r="FK188" s="225">
        <f t="shared" ref="FK188" si="5384">FJ188/FJ$185</f>
        <v>0.39922000000000002</v>
      </c>
      <c r="FL188" s="226">
        <f t="shared" ref="FL188" si="5385">FL$185*FK188</f>
        <v>93.42</v>
      </c>
      <c r="FM188" s="137">
        <f t="shared" ref="FM188:FM195" si="5386">IF(FJ188&gt;0,FL188/FJ188,0)</f>
        <v>0.22897059</v>
      </c>
      <c r="FN188" s="227">
        <f t="shared" ref="FN188" si="5387">FN$185</f>
        <v>744.63</v>
      </c>
      <c r="FO188" s="138">
        <f t="shared" ref="FO188:FO195" si="5388">FM188*FN188</f>
        <v>170.49836999999999</v>
      </c>
      <c r="FP188" s="110">
        <f t="shared" ref="FP188:FP195" si="5389">FO188*FJ188</f>
        <v>69563.33</v>
      </c>
      <c r="FQ188" s="110"/>
      <c r="FR188" s="139"/>
      <c r="FS188" s="140">
        <f t="shared" ref="FS188:FS195" si="5390">FO188/$LI188</f>
        <v>1.21915</v>
      </c>
      <c r="FT188" s="198">
        <f t="shared" ref="FT188" si="5391">FT13</f>
        <v>342</v>
      </c>
      <c r="FU188" s="225">
        <f t="shared" ref="FU188" si="5392">FT188/FT$185</f>
        <v>0.4259</v>
      </c>
      <c r="FV188" s="226">
        <f t="shared" ref="FV188" si="5393">FV$185*FU188</f>
        <v>66.44</v>
      </c>
      <c r="FW188" s="137">
        <f t="shared" ref="FW188:FW195" si="5394">IF(FT188&gt;0,FV188/FT188,0)</f>
        <v>0.19426900999999999</v>
      </c>
      <c r="FX188" s="227">
        <f t="shared" ref="FX188" si="5395">FX$185</f>
        <v>744.63</v>
      </c>
      <c r="FY188" s="138">
        <f t="shared" ref="FY188:FY195" si="5396">FW188*FX188</f>
        <v>144.65853000000001</v>
      </c>
      <c r="FZ188" s="110">
        <f t="shared" ref="FZ188:FZ195" si="5397">FY188*FT188</f>
        <v>49473.22</v>
      </c>
      <c r="GA188" s="110"/>
      <c r="GB188" s="139"/>
      <c r="GC188" s="140">
        <f t="shared" ref="GC188:GC195" si="5398">FY188/$LI188</f>
        <v>1.0343899999999999</v>
      </c>
      <c r="GD188" s="198">
        <f t="shared" ref="GD188" si="5399">GD13</f>
        <v>164</v>
      </c>
      <c r="GE188" s="225">
        <f t="shared" ref="GE188" si="5400">GD188/GD$185</f>
        <v>0.32030999999999998</v>
      </c>
      <c r="GF188" s="226">
        <f t="shared" ref="GF188" si="5401">GF$185*GE188</f>
        <v>34.590000000000003</v>
      </c>
      <c r="GG188" s="137">
        <f t="shared" ref="GG188:GG195" si="5402">IF(GD188&gt;0,GF188/GD188,0)</f>
        <v>0.21091462999999999</v>
      </c>
      <c r="GH188" s="227">
        <f t="shared" ref="GH188" si="5403">GH$185</f>
        <v>744.63</v>
      </c>
      <c r="GI188" s="138">
        <f t="shared" ref="GI188:GI195" si="5404">GG188*GH188</f>
        <v>157.05336</v>
      </c>
      <c r="GJ188" s="110">
        <f t="shared" ref="GJ188:GJ195" si="5405">GI188*GD188</f>
        <v>25756.75</v>
      </c>
      <c r="GK188" s="110"/>
      <c r="GL188" s="139"/>
      <c r="GM188" s="140">
        <f t="shared" ref="GM188:GM195" si="5406">GI188/$LI188</f>
        <v>1.1230100000000001</v>
      </c>
      <c r="GN188" s="198">
        <f t="shared" ref="GN188:HR203" si="5407">GN13</f>
        <v>353</v>
      </c>
      <c r="GO188" s="225">
        <f t="shared" ref="GO188:HS203" si="5408">GN188/GN$185</f>
        <v>0.40855999999999998</v>
      </c>
      <c r="GP188" s="226">
        <f t="shared" ref="GP188:HT203" si="5409">GP$185*GO188</f>
        <v>75.5</v>
      </c>
      <c r="GQ188" s="137">
        <f t="shared" ref="GQ188:GQ195" si="5410">IF(GN188&gt;0,GP188/GN188,0)</f>
        <v>0.21388102000000001</v>
      </c>
      <c r="GR188" s="227">
        <f t="shared" ref="GR188:HV203" si="5411">GR$185</f>
        <v>744.63</v>
      </c>
      <c r="GS188" s="138">
        <f t="shared" ref="GS188:GS195" si="5412">GQ188*GR188</f>
        <v>159.26222000000001</v>
      </c>
      <c r="GT188" s="110">
        <f t="shared" ref="GT188:GT195" si="5413">GS188*GN188</f>
        <v>56219.56</v>
      </c>
      <c r="GU188" s="110"/>
      <c r="GV188" s="139"/>
      <c r="GW188" s="140">
        <f t="shared" ref="GW188:GW195" si="5414">GS188/$LI188</f>
        <v>1.1388100000000001</v>
      </c>
      <c r="GX188" s="198">
        <f t="shared" ref="GX188" si="5415">GX13</f>
        <v>712</v>
      </c>
      <c r="GY188" s="225">
        <f t="shared" ref="GY188" si="5416">GX188/GX$185</f>
        <v>0.43924000000000002</v>
      </c>
      <c r="GZ188" s="226">
        <f t="shared" ref="GZ188" si="5417">GZ$185*GY188</f>
        <v>126.5</v>
      </c>
      <c r="HA188" s="137">
        <f t="shared" ref="HA188:HA195" si="5418">IF(GX188&gt;0,GZ188/GX188,0)</f>
        <v>0.17766854000000001</v>
      </c>
      <c r="HB188" s="227">
        <f t="shared" ref="HB188" si="5419">HB$185</f>
        <v>744.63</v>
      </c>
      <c r="HC188" s="138">
        <f t="shared" ref="HC188:HC195" si="5420">HA188*HB188</f>
        <v>132.29732000000001</v>
      </c>
      <c r="HD188" s="110">
        <f t="shared" ref="HD188:HD195" si="5421">HC188*GX188</f>
        <v>94195.69</v>
      </c>
      <c r="HE188" s="110"/>
      <c r="HF188" s="139"/>
      <c r="HG188" s="140">
        <f t="shared" ref="HG188:HG195" si="5422">HC188/$LI188</f>
        <v>0.94599999999999995</v>
      </c>
      <c r="HH188" s="198">
        <f t="shared" ref="HH188" si="5423">HH13</f>
        <v>508</v>
      </c>
      <c r="HI188" s="225">
        <f t="shared" ref="HI188" si="5424">HH188/HH$185</f>
        <v>0.44096999999999997</v>
      </c>
      <c r="HJ188" s="226">
        <f t="shared" ref="HJ188" si="5425">HJ$185*HI188</f>
        <v>86.25</v>
      </c>
      <c r="HK188" s="137">
        <f t="shared" ref="HK188:HK195" si="5426">IF(HH188&gt;0,HJ188/HH188,0)</f>
        <v>0.16978346</v>
      </c>
      <c r="HL188" s="227">
        <f t="shared" ref="HL188" si="5427">HL$185</f>
        <v>731.29</v>
      </c>
      <c r="HM188" s="138">
        <f t="shared" ref="HM188:HM195" si="5428">HK188*HL188</f>
        <v>124.16095</v>
      </c>
      <c r="HN188" s="110">
        <f t="shared" ref="HN188:HN195" si="5429">HM188*HH188</f>
        <v>63073.760000000002</v>
      </c>
      <c r="HO188" s="110"/>
      <c r="HP188" s="139"/>
      <c r="HQ188" s="140">
        <f t="shared" ref="HQ188:HQ195" si="5430">HM188/$LI188</f>
        <v>0.88782000000000005</v>
      </c>
      <c r="HR188" s="198">
        <f t="shared" ref="HR188" si="5431">HR13</f>
        <v>331</v>
      </c>
      <c r="HS188" s="225">
        <f t="shared" ref="HS188" si="5432">HR188/HR$185</f>
        <v>0.42004999999999998</v>
      </c>
      <c r="HT188" s="226">
        <f t="shared" ref="HT188" si="5433">HT$185*HS188</f>
        <v>45.37</v>
      </c>
      <c r="HU188" s="137">
        <f t="shared" ref="HU188:HU195" si="5434">IF(HR188&gt;0,HT188/HR188,0)</f>
        <v>0.13706948999999999</v>
      </c>
      <c r="HV188" s="227">
        <f t="shared" ref="HV188" si="5435">HV$185</f>
        <v>744.63</v>
      </c>
      <c r="HW188" s="138">
        <f t="shared" ref="HW188:HW195" si="5436">HU188*HV188</f>
        <v>102.06605</v>
      </c>
      <c r="HX188" s="110">
        <f t="shared" ref="HX188:HX195" si="5437">HW188*HR188</f>
        <v>33783.86</v>
      </c>
      <c r="HY188" s="110"/>
      <c r="HZ188" s="139"/>
      <c r="IA188" s="140">
        <f t="shared" ref="IA188:IA195" si="5438">HW188/$LI188</f>
        <v>0.72982999999999998</v>
      </c>
      <c r="IB188" s="198">
        <f t="shared" ref="IB188:JF203" si="5439">IB13</f>
        <v>208</v>
      </c>
      <c r="IC188" s="225">
        <f t="shared" ref="IC188:JG203" si="5440">IB188/IB$185</f>
        <v>0.37956000000000001</v>
      </c>
      <c r="ID188" s="226">
        <f t="shared" ref="ID188:JH203" si="5441">ID$185*IC188</f>
        <v>68.319999999999993</v>
      </c>
      <c r="IE188" s="137">
        <f t="shared" ref="IE188:IE195" si="5442">IF(IB188&gt;0,ID188/IB188,0)</f>
        <v>0.32846154</v>
      </c>
      <c r="IF188" s="227">
        <f t="shared" ref="IF188:JJ203" si="5443">IF$185</f>
        <v>744.63</v>
      </c>
      <c r="IG188" s="138">
        <f t="shared" ref="IG188:IG195" si="5444">IE188*IF188</f>
        <v>244.58232000000001</v>
      </c>
      <c r="IH188" s="110">
        <f t="shared" ref="IH188:IH195" si="5445">IG188*IB188</f>
        <v>50873.120000000003</v>
      </c>
      <c r="II188" s="110"/>
      <c r="IJ188" s="139"/>
      <c r="IK188" s="140">
        <f t="shared" ref="IK188:IK195" si="5446">IG188/$LI188</f>
        <v>1.7488900000000001</v>
      </c>
      <c r="IL188" s="198">
        <f t="shared" ref="IL188" si="5447">IL13</f>
        <v>599</v>
      </c>
      <c r="IM188" s="225">
        <f t="shared" ref="IM188" si="5448">IL188/IL$185</f>
        <v>0.47352</v>
      </c>
      <c r="IN188" s="226">
        <f t="shared" ref="IN188" si="5449">IN$185*IM188</f>
        <v>125.01</v>
      </c>
      <c r="IO188" s="137">
        <f t="shared" ref="IO188:IO195" si="5450">IF(IL188&gt;0,IN188/IL188,0)</f>
        <v>0.20869783</v>
      </c>
      <c r="IP188" s="227">
        <f t="shared" ref="IP188" si="5451">IP$185</f>
        <v>678.72</v>
      </c>
      <c r="IQ188" s="138">
        <f t="shared" ref="IQ188:IQ195" si="5452">IO188*IP188</f>
        <v>141.64739</v>
      </c>
      <c r="IR188" s="110">
        <f t="shared" ref="IR188:IR195" si="5453">IQ188*IL188</f>
        <v>84846.79</v>
      </c>
      <c r="IS188" s="110"/>
      <c r="IT188" s="139"/>
      <c r="IU188" s="140">
        <f t="shared" ref="IU188:IU195" si="5454">IQ188/$LI188</f>
        <v>1.01285</v>
      </c>
      <c r="IV188" s="198">
        <f t="shared" ref="IV188" si="5455">IV13</f>
        <v>297</v>
      </c>
      <c r="IW188" s="225">
        <f t="shared" ref="IW188" si="5456">IV188/IV$185</f>
        <v>0.38521</v>
      </c>
      <c r="IX188" s="226">
        <f t="shared" ref="IX188" si="5457">IX$185*IW188</f>
        <v>60.09</v>
      </c>
      <c r="IY188" s="137">
        <f t="shared" ref="IY188:IY195" si="5458">IF(IV188&gt;0,IX188/IV188,0)</f>
        <v>0.20232322999999999</v>
      </c>
      <c r="IZ188" s="227">
        <f t="shared" ref="IZ188" si="5459">IZ$185</f>
        <v>744.63</v>
      </c>
      <c r="JA188" s="138">
        <f t="shared" ref="JA188:JA195" si="5460">IY188*IZ188</f>
        <v>150.65594999999999</v>
      </c>
      <c r="JB188" s="110">
        <f t="shared" ref="JB188:JB195" si="5461">JA188*IV188</f>
        <v>44744.82</v>
      </c>
      <c r="JC188" s="110"/>
      <c r="JD188" s="139"/>
      <c r="JE188" s="140">
        <f t="shared" ref="JE188:JE195" si="5462">JA188/$LI188</f>
        <v>1.0772699999999999</v>
      </c>
      <c r="JF188" s="198">
        <f t="shared" ref="JF188" si="5463">JF13</f>
        <v>607</v>
      </c>
      <c r="JG188" s="225">
        <f t="shared" ref="JG188" si="5464">JF188/JF$185</f>
        <v>0.45265</v>
      </c>
      <c r="JH188" s="226">
        <f t="shared" ref="JH188" si="5465">JH$185*JG188</f>
        <v>135.80000000000001</v>
      </c>
      <c r="JI188" s="137">
        <f t="shared" ref="JI188:JI195" si="5466">IF(JF188&gt;0,JH188/JF188,0)</f>
        <v>0.22372323</v>
      </c>
      <c r="JJ188" s="227">
        <f t="shared" ref="JJ188" si="5467">JJ$185</f>
        <v>744.63</v>
      </c>
      <c r="JK188" s="138">
        <f t="shared" ref="JK188:JK195" si="5468">JI188*JJ188</f>
        <v>166.59102999999999</v>
      </c>
      <c r="JL188" s="110">
        <f t="shared" ref="JL188:JL195" si="5469">JK188*JF188</f>
        <v>101120.76</v>
      </c>
      <c r="JM188" s="110"/>
      <c r="JN188" s="139"/>
      <c r="JO188" s="140">
        <f t="shared" ref="JO188:JO195" si="5470">JK188/$LI188</f>
        <v>1.1912100000000001</v>
      </c>
      <c r="JP188" s="198">
        <f t="shared" ref="JP188:KT203" si="5471">JP13</f>
        <v>567</v>
      </c>
      <c r="JQ188" s="225">
        <f t="shared" ref="JQ188:KU203" si="5472">JP188/JP$185</f>
        <v>0.45395999999999997</v>
      </c>
      <c r="JR188" s="226">
        <f t="shared" ref="JR188:KV203" si="5473">JR$185*JQ188</f>
        <v>103.5</v>
      </c>
      <c r="JS188" s="137">
        <f t="shared" ref="JS188:JS195" si="5474">IF(JP188&gt;0,JR188/JP188,0)</f>
        <v>0.18253968000000001</v>
      </c>
      <c r="JT188" s="227">
        <f t="shared" ref="JT188:KX203" si="5475">JT$185</f>
        <v>744.63</v>
      </c>
      <c r="JU188" s="138">
        <f t="shared" ref="JU188:JU195" si="5476">JS188*JT188</f>
        <v>135.92452</v>
      </c>
      <c r="JV188" s="110">
        <f t="shared" ref="JV188:JV195" si="5477">JU188*JP188</f>
        <v>77069.2</v>
      </c>
      <c r="JW188" s="110"/>
      <c r="JX188" s="139"/>
      <c r="JY188" s="140">
        <f t="shared" ref="JY188:JY195" si="5478">JU188/$LI188</f>
        <v>0.97192999999999996</v>
      </c>
      <c r="JZ188" s="198">
        <f t="shared" ref="JZ188" si="5479">JZ13</f>
        <v>523</v>
      </c>
      <c r="KA188" s="225">
        <f t="shared" ref="KA188" si="5480">JZ188/JZ$185</f>
        <v>0.44969999999999999</v>
      </c>
      <c r="KB188" s="226">
        <f t="shared" ref="KB188" si="5481">KB$185*KA188</f>
        <v>114.67</v>
      </c>
      <c r="KC188" s="137">
        <f t="shared" ref="KC188:KC195" si="5482">IF(JZ188&gt;0,KB188/JZ188,0)</f>
        <v>0.21925430000000001</v>
      </c>
      <c r="KD188" s="227">
        <f t="shared" ref="KD188" si="5483">KD$185</f>
        <v>744.63</v>
      </c>
      <c r="KE188" s="138">
        <f t="shared" ref="KE188:KE195" si="5484">KC188*KD188</f>
        <v>163.26333</v>
      </c>
      <c r="KF188" s="110">
        <f t="shared" ref="KF188:KF195" si="5485">KE188*JZ188</f>
        <v>85386.72</v>
      </c>
      <c r="KG188" s="110"/>
      <c r="KH188" s="139"/>
      <c r="KI188" s="140">
        <f t="shared" ref="KI188:KI195" si="5486">KE188/$LI188</f>
        <v>1.1674199999999999</v>
      </c>
      <c r="KJ188" s="198">
        <f t="shared" ref="KJ188" si="5487">KJ13</f>
        <v>600</v>
      </c>
      <c r="KK188" s="225">
        <f t="shared" ref="KK188" si="5488">KJ188/KJ$185</f>
        <v>0.44742999999999999</v>
      </c>
      <c r="KL188" s="226">
        <f t="shared" ref="KL188" si="5489">KL$185*KK188</f>
        <v>107.49</v>
      </c>
      <c r="KM188" s="137">
        <f t="shared" ref="KM188:KM195" si="5490">IF(KJ188&gt;0,KL188/KJ188,0)</f>
        <v>0.17915</v>
      </c>
      <c r="KN188" s="227">
        <f t="shared" ref="KN188" si="5491">KN$185</f>
        <v>744.63</v>
      </c>
      <c r="KO188" s="138">
        <f t="shared" ref="KO188:KO195" si="5492">KM188*KN188</f>
        <v>133.40046000000001</v>
      </c>
      <c r="KP188" s="110">
        <f t="shared" ref="KP188:KP195" si="5493">KO188*KJ188</f>
        <v>80040.28</v>
      </c>
      <c r="KQ188" s="110"/>
      <c r="KR188" s="139"/>
      <c r="KS188" s="140">
        <f t="shared" ref="KS188:KS195" si="5494">KO188/$LI188</f>
        <v>0.95387999999999995</v>
      </c>
      <c r="KT188" s="198">
        <f t="shared" ref="KT188" si="5495">KT13</f>
        <v>553</v>
      </c>
      <c r="KU188" s="225">
        <f t="shared" ref="KU188" si="5496">KT188/KT$185</f>
        <v>0.49198999999999998</v>
      </c>
      <c r="KV188" s="226">
        <f t="shared" ref="KV188" si="5497">KV$185*KU188</f>
        <v>163.66</v>
      </c>
      <c r="KW188" s="137">
        <f t="shared" ref="KW188:KW195" si="5498">IF(KT188&gt;0,KV188/KT188,0)</f>
        <v>0.29594936999999999</v>
      </c>
      <c r="KX188" s="227">
        <f t="shared" ref="KX188" si="5499">KX$185</f>
        <v>744.63</v>
      </c>
      <c r="KY188" s="138">
        <f t="shared" ref="KY188:KY195" si="5500">KW188*KX188</f>
        <v>220.37278000000001</v>
      </c>
      <c r="KZ188" s="110">
        <f t="shared" ref="KZ188:KZ195" si="5501">KY188*KT188</f>
        <v>121866.15</v>
      </c>
      <c r="LA188" s="110"/>
      <c r="LB188" s="139"/>
      <c r="LC188" s="140">
        <f t="shared" ref="LC188:LC195" si="5502">KY188/$LI188</f>
        <v>1.57578</v>
      </c>
      <c r="LD188" s="198">
        <f>LD13</f>
        <v>12101</v>
      </c>
      <c r="LE188" s="225">
        <f>LD188/LD$185</f>
        <v>0.42393999999999998</v>
      </c>
      <c r="LF188" s="226">
        <f>LF$185*LE188</f>
        <v>2306.37</v>
      </c>
      <c r="LG188" s="137">
        <f t="shared" ref="LG188:LG195" si="5503">IF(LD188&gt;0,LF188/LD188,0)</f>
        <v>0.19059334</v>
      </c>
      <c r="LH188" s="227">
        <f>LH$185</f>
        <v>733.76</v>
      </c>
      <c r="LI188" s="138">
        <f t="shared" ref="LI188:LI195" si="5504">LG188*LH188</f>
        <v>139.84977000000001</v>
      </c>
      <c r="LJ188" s="110">
        <f t="shared" ref="LJ188:LJ195" si="5505">LI188*LD188</f>
        <v>1692322.07</v>
      </c>
      <c r="LK188" s="110"/>
      <c r="LL188" s="139"/>
    </row>
    <row r="189" spans="1:324" ht="26.25" hidden="1" customHeight="1" x14ac:dyDescent="0.25">
      <c r="A189" s="246"/>
      <c r="B189" s="92" t="s">
        <v>610</v>
      </c>
      <c r="C189" s="12" t="s">
        <v>728</v>
      </c>
      <c r="D189" s="12" t="s">
        <v>430</v>
      </c>
      <c r="E189" s="4" t="s">
        <v>32</v>
      </c>
      <c r="F189" s="198">
        <f t="shared" ref="F189:F213" si="5506">F14</f>
        <v>0</v>
      </c>
      <c r="G189" s="225">
        <f t="shared" ref="G189:G213" si="5507">F189/F$185</f>
        <v>0</v>
      </c>
      <c r="H189" s="226">
        <f t="shared" ref="H189:H213" si="5508">H$185*G189</f>
        <v>0</v>
      </c>
      <c r="I189" s="137">
        <f t="shared" si="5259"/>
        <v>0</v>
      </c>
      <c r="J189" s="227">
        <f t="shared" ref="J189:J213" si="5509">J$185</f>
        <v>744.63</v>
      </c>
      <c r="K189" s="138">
        <f t="shared" si="5260"/>
        <v>0</v>
      </c>
      <c r="L189" s="110">
        <f t="shared" si="5261"/>
        <v>0</v>
      </c>
      <c r="M189" s="110"/>
      <c r="N189" s="139"/>
      <c r="O189" s="140" t="e">
        <f t="shared" si="5262"/>
        <v>#DIV/0!</v>
      </c>
      <c r="P189" s="198">
        <f t="shared" si="5263"/>
        <v>0</v>
      </c>
      <c r="Q189" s="225">
        <f t="shared" si="5264"/>
        <v>0</v>
      </c>
      <c r="R189" s="226">
        <f t="shared" si="5265"/>
        <v>0</v>
      </c>
      <c r="S189" s="137">
        <f t="shared" si="5266"/>
        <v>0</v>
      </c>
      <c r="T189" s="227">
        <f t="shared" si="5267"/>
        <v>744.63</v>
      </c>
      <c r="U189" s="138">
        <f t="shared" si="5268"/>
        <v>0</v>
      </c>
      <c r="V189" s="110">
        <f t="shared" si="5269"/>
        <v>0</v>
      </c>
      <c r="W189" s="110"/>
      <c r="X189" s="139"/>
      <c r="Y189" s="140" t="e">
        <f t="shared" si="5270"/>
        <v>#DIV/0!</v>
      </c>
      <c r="Z189" s="198">
        <f t="shared" si="5263"/>
        <v>0</v>
      </c>
      <c r="AA189" s="225">
        <f t="shared" si="5264"/>
        <v>0</v>
      </c>
      <c r="AB189" s="226">
        <f t="shared" si="5265"/>
        <v>0</v>
      </c>
      <c r="AC189" s="137">
        <f t="shared" si="5274"/>
        <v>0</v>
      </c>
      <c r="AD189" s="227">
        <f t="shared" si="5267"/>
        <v>744.63</v>
      </c>
      <c r="AE189" s="138">
        <f t="shared" si="5276"/>
        <v>0</v>
      </c>
      <c r="AF189" s="110">
        <f t="shared" si="5277"/>
        <v>0</v>
      </c>
      <c r="AG189" s="110"/>
      <c r="AH189" s="139"/>
      <c r="AI189" s="140" t="e">
        <f t="shared" si="5278"/>
        <v>#DIV/0!</v>
      </c>
      <c r="AJ189" s="198">
        <f t="shared" si="5263"/>
        <v>0</v>
      </c>
      <c r="AK189" s="225">
        <f t="shared" si="5264"/>
        <v>0</v>
      </c>
      <c r="AL189" s="226">
        <f t="shared" si="5265"/>
        <v>0</v>
      </c>
      <c r="AM189" s="137">
        <f t="shared" si="5282"/>
        <v>0</v>
      </c>
      <c r="AN189" s="227">
        <f t="shared" si="5267"/>
        <v>744.63</v>
      </c>
      <c r="AO189" s="138">
        <f t="shared" si="5284"/>
        <v>0</v>
      </c>
      <c r="AP189" s="110">
        <f t="shared" si="5285"/>
        <v>0</v>
      </c>
      <c r="AQ189" s="110"/>
      <c r="AR189" s="139"/>
      <c r="AS189" s="140" t="e">
        <f t="shared" si="5286"/>
        <v>#DIV/0!</v>
      </c>
      <c r="AT189" s="198">
        <f t="shared" si="5263"/>
        <v>0</v>
      </c>
      <c r="AU189" s="225">
        <f t="shared" si="5264"/>
        <v>0</v>
      </c>
      <c r="AV189" s="226">
        <f t="shared" si="5265"/>
        <v>0</v>
      </c>
      <c r="AW189" s="137">
        <f t="shared" si="5290"/>
        <v>0</v>
      </c>
      <c r="AX189" s="227">
        <f t="shared" si="5267"/>
        <v>744.63</v>
      </c>
      <c r="AY189" s="138">
        <f t="shared" si="5292"/>
        <v>0</v>
      </c>
      <c r="AZ189" s="110">
        <f t="shared" si="5293"/>
        <v>0</v>
      </c>
      <c r="BA189" s="110"/>
      <c r="BB189" s="139"/>
      <c r="BC189" s="140" t="e">
        <f t="shared" si="5294"/>
        <v>#DIV/0!</v>
      </c>
      <c r="BD189" s="198">
        <f t="shared" si="5263"/>
        <v>0</v>
      </c>
      <c r="BE189" s="225">
        <f t="shared" si="5264"/>
        <v>0</v>
      </c>
      <c r="BF189" s="226">
        <f t="shared" si="5265"/>
        <v>0</v>
      </c>
      <c r="BG189" s="137">
        <f t="shared" si="5298"/>
        <v>0</v>
      </c>
      <c r="BH189" s="227">
        <f t="shared" si="5267"/>
        <v>744.63</v>
      </c>
      <c r="BI189" s="138">
        <f t="shared" si="5300"/>
        <v>0</v>
      </c>
      <c r="BJ189" s="110">
        <f t="shared" si="5301"/>
        <v>0</v>
      </c>
      <c r="BK189" s="110"/>
      <c r="BL189" s="139"/>
      <c r="BM189" s="140" t="e">
        <f t="shared" si="5302"/>
        <v>#DIV/0!</v>
      </c>
      <c r="BN189" s="198">
        <f t="shared" si="5263"/>
        <v>0</v>
      </c>
      <c r="BO189" s="225">
        <f t="shared" si="5264"/>
        <v>0</v>
      </c>
      <c r="BP189" s="226">
        <f t="shared" si="5265"/>
        <v>0</v>
      </c>
      <c r="BQ189" s="137">
        <f t="shared" si="5306"/>
        <v>0</v>
      </c>
      <c r="BR189" s="227">
        <f t="shared" si="5267"/>
        <v>744.63</v>
      </c>
      <c r="BS189" s="138">
        <f t="shared" si="5308"/>
        <v>0</v>
      </c>
      <c r="BT189" s="110">
        <f t="shared" si="5309"/>
        <v>0</v>
      </c>
      <c r="BU189" s="110"/>
      <c r="BV189" s="139"/>
      <c r="BW189" s="140" t="e">
        <f t="shared" si="5310"/>
        <v>#DIV/0!</v>
      </c>
      <c r="BX189" s="198">
        <f t="shared" si="5263"/>
        <v>0</v>
      </c>
      <c r="BY189" s="225">
        <f t="shared" si="5264"/>
        <v>0</v>
      </c>
      <c r="BZ189" s="226">
        <f t="shared" si="5265"/>
        <v>0</v>
      </c>
      <c r="CA189" s="137">
        <f t="shared" si="5314"/>
        <v>0</v>
      </c>
      <c r="CB189" s="227">
        <f t="shared" si="5267"/>
        <v>744.63</v>
      </c>
      <c r="CC189" s="138">
        <f t="shared" si="5316"/>
        <v>0</v>
      </c>
      <c r="CD189" s="110">
        <f t="shared" si="5317"/>
        <v>0</v>
      </c>
      <c r="CE189" s="110"/>
      <c r="CF189" s="139"/>
      <c r="CG189" s="140" t="e">
        <f t="shared" si="5318"/>
        <v>#DIV/0!</v>
      </c>
      <c r="CH189" s="198">
        <f t="shared" si="5319"/>
        <v>0</v>
      </c>
      <c r="CI189" s="225">
        <f t="shared" si="5320"/>
        <v>0</v>
      </c>
      <c r="CJ189" s="226">
        <f t="shared" si="5321"/>
        <v>0</v>
      </c>
      <c r="CK189" s="137">
        <f t="shared" si="5322"/>
        <v>0</v>
      </c>
      <c r="CL189" s="227">
        <f t="shared" si="5323"/>
        <v>744.63</v>
      </c>
      <c r="CM189" s="138">
        <f t="shared" si="5324"/>
        <v>0</v>
      </c>
      <c r="CN189" s="110">
        <f t="shared" si="5325"/>
        <v>0</v>
      </c>
      <c r="CO189" s="110"/>
      <c r="CP189" s="139"/>
      <c r="CQ189" s="140" t="e">
        <f t="shared" si="5326"/>
        <v>#DIV/0!</v>
      </c>
      <c r="CR189" s="198">
        <f t="shared" si="5319"/>
        <v>0</v>
      </c>
      <c r="CS189" s="225">
        <f t="shared" si="5320"/>
        <v>0</v>
      </c>
      <c r="CT189" s="226">
        <f t="shared" si="5321"/>
        <v>0</v>
      </c>
      <c r="CU189" s="137">
        <f t="shared" si="5330"/>
        <v>0</v>
      </c>
      <c r="CV189" s="227">
        <f t="shared" si="5323"/>
        <v>744.63</v>
      </c>
      <c r="CW189" s="138">
        <f t="shared" si="5332"/>
        <v>0</v>
      </c>
      <c r="CX189" s="110">
        <f t="shared" si="5333"/>
        <v>0</v>
      </c>
      <c r="CY189" s="110"/>
      <c r="CZ189" s="139"/>
      <c r="DA189" s="140" t="e">
        <f t="shared" si="5334"/>
        <v>#DIV/0!</v>
      </c>
      <c r="DB189" s="198">
        <f t="shared" si="5319"/>
        <v>0</v>
      </c>
      <c r="DC189" s="225">
        <f t="shared" si="5320"/>
        <v>0</v>
      </c>
      <c r="DD189" s="226">
        <f t="shared" si="5321"/>
        <v>0</v>
      </c>
      <c r="DE189" s="137">
        <f t="shared" si="5338"/>
        <v>0</v>
      </c>
      <c r="DF189" s="227">
        <f t="shared" si="5323"/>
        <v>744.63</v>
      </c>
      <c r="DG189" s="138">
        <f t="shared" si="5340"/>
        <v>0</v>
      </c>
      <c r="DH189" s="110">
        <f t="shared" si="5341"/>
        <v>0</v>
      </c>
      <c r="DI189" s="110"/>
      <c r="DJ189" s="139"/>
      <c r="DK189" s="140" t="e">
        <f t="shared" si="5342"/>
        <v>#DIV/0!</v>
      </c>
      <c r="DL189" s="198">
        <f t="shared" si="5319"/>
        <v>0</v>
      </c>
      <c r="DM189" s="225">
        <f t="shared" si="5320"/>
        <v>0</v>
      </c>
      <c r="DN189" s="226">
        <f t="shared" si="5321"/>
        <v>0</v>
      </c>
      <c r="DO189" s="137">
        <f t="shared" si="5346"/>
        <v>0</v>
      </c>
      <c r="DP189" s="227">
        <f t="shared" si="5323"/>
        <v>744.63</v>
      </c>
      <c r="DQ189" s="138">
        <f t="shared" si="5348"/>
        <v>0</v>
      </c>
      <c r="DR189" s="110">
        <f t="shared" si="5349"/>
        <v>0</v>
      </c>
      <c r="DS189" s="110"/>
      <c r="DT189" s="139"/>
      <c r="DU189" s="140" t="e">
        <f t="shared" si="5350"/>
        <v>#DIV/0!</v>
      </c>
      <c r="DV189" s="198">
        <f t="shared" si="5319"/>
        <v>0</v>
      </c>
      <c r="DW189" s="225">
        <f t="shared" si="5320"/>
        <v>0</v>
      </c>
      <c r="DX189" s="226">
        <f t="shared" si="5321"/>
        <v>0</v>
      </c>
      <c r="DY189" s="137">
        <f t="shared" si="5354"/>
        <v>0</v>
      </c>
      <c r="DZ189" s="227">
        <f t="shared" si="5323"/>
        <v>389.62</v>
      </c>
      <c r="EA189" s="138">
        <f t="shared" si="5356"/>
        <v>0</v>
      </c>
      <c r="EB189" s="110">
        <f t="shared" si="5357"/>
        <v>0</v>
      </c>
      <c r="EC189" s="110"/>
      <c r="ED189" s="139"/>
      <c r="EE189" s="140" t="e">
        <f t="shared" si="5358"/>
        <v>#DIV/0!</v>
      </c>
      <c r="EF189" s="198">
        <f t="shared" si="5319"/>
        <v>0</v>
      </c>
      <c r="EG189" s="225">
        <f t="shared" si="5320"/>
        <v>0</v>
      </c>
      <c r="EH189" s="226">
        <f t="shared" si="5321"/>
        <v>0</v>
      </c>
      <c r="EI189" s="137">
        <f t="shared" si="5362"/>
        <v>0</v>
      </c>
      <c r="EJ189" s="227">
        <f t="shared" si="5323"/>
        <v>744.63</v>
      </c>
      <c r="EK189" s="138">
        <f t="shared" si="5364"/>
        <v>0</v>
      </c>
      <c r="EL189" s="110">
        <f t="shared" si="5365"/>
        <v>0</v>
      </c>
      <c r="EM189" s="110"/>
      <c r="EN189" s="139"/>
      <c r="EO189" s="140" t="e">
        <f t="shared" si="5366"/>
        <v>#DIV/0!</v>
      </c>
      <c r="EP189" s="198">
        <f t="shared" si="5319"/>
        <v>0</v>
      </c>
      <c r="EQ189" s="225">
        <f t="shared" si="5320"/>
        <v>0</v>
      </c>
      <c r="ER189" s="226">
        <f t="shared" si="5321"/>
        <v>0</v>
      </c>
      <c r="ES189" s="137">
        <f t="shared" si="5370"/>
        <v>0</v>
      </c>
      <c r="ET189" s="227">
        <f t="shared" si="5323"/>
        <v>744.63</v>
      </c>
      <c r="EU189" s="138">
        <f t="shared" si="5372"/>
        <v>0</v>
      </c>
      <c r="EV189" s="110">
        <f t="shared" si="5373"/>
        <v>0</v>
      </c>
      <c r="EW189" s="110"/>
      <c r="EX189" s="139"/>
      <c r="EY189" s="140" t="e">
        <f t="shared" si="5374"/>
        <v>#DIV/0!</v>
      </c>
      <c r="EZ189" s="198">
        <f t="shared" si="5375"/>
        <v>0</v>
      </c>
      <c r="FA189" s="225">
        <f t="shared" si="5376"/>
        <v>0</v>
      </c>
      <c r="FB189" s="226">
        <f t="shared" si="5377"/>
        <v>0</v>
      </c>
      <c r="FC189" s="137">
        <f t="shared" si="5378"/>
        <v>0</v>
      </c>
      <c r="FD189" s="227">
        <f t="shared" si="5379"/>
        <v>744.63</v>
      </c>
      <c r="FE189" s="138">
        <f t="shared" si="5380"/>
        <v>0</v>
      </c>
      <c r="FF189" s="110">
        <f t="shared" si="5381"/>
        <v>0</v>
      </c>
      <c r="FG189" s="110"/>
      <c r="FH189" s="139"/>
      <c r="FI189" s="140" t="e">
        <f t="shared" si="5382"/>
        <v>#DIV/0!</v>
      </c>
      <c r="FJ189" s="198">
        <f t="shared" si="5375"/>
        <v>0</v>
      </c>
      <c r="FK189" s="225">
        <f t="shared" si="5376"/>
        <v>0</v>
      </c>
      <c r="FL189" s="226">
        <f t="shared" si="5377"/>
        <v>0</v>
      </c>
      <c r="FM189" s="137">
        <f t="shared" si="5386"/>
        <v>0</v>
      </c>
      <c r="FN189" s="227">
        <f t="shared" si="5379"/>
        <v>744.63</v>
      </c>
      <c r="FO189" s="138">
        <f t="shared" si="5388"/>
        <v>0</v>
      </c>
      <c r="FP189" s="110">
        <f t="shared" si="5389"/>
        <v>0</v>
      </c>
      <c r="FQ189" s="110"/>
      <c r="FR189" s="139"/>
      <c r="FS189" s="140" t="e">
        <f t="shared" si="5390"/>
        <v>#DIV/0!</v>
      </c>
      <c r="FT189" s="198">
        <f t="shared" si="5375"/>
        <v>0</v>
      </c>
      <c r="FU189" s="225">
        <f t="shared" si="5376"/>
        <v>0</v>
      </c>
      <c r="FV189" s="226">
        <f t="shared" si="5377"/>
        <v>0</v>
      </c>
      <c r="FW189" s="137">
        <f t="shared" si="5394"/>
        <v>0</v>
      </c>
      <c r="FX189" s="227">
        <f t="shared" si="5379"/>
        <v>744.63</v>
      </c>
      <c r="FY189" s="138">
        <f t="shared" si="5396"/>
        <v>0</v>
      </c>
      <c r="FZ189" s="110">
        <f t="shared" si="5397"/>
        <v>0</v>
      </c>
      <c r="GA189" s="110"/>
      <c r="GB189" s="139"/>
      <c r="GC189" s="140" t="e">
        <f t="shared" si="5398"/>
        <v>#DIV/0!</v>
      </c>
      <c r="GD189" s="198">
        <f t="shared" si="5375"/>
        <v>0</v>
      </c>
      <c r="GE189" s="225">
        <f t="shared" si="5376"/>
        <v>0</v>
      </c>
      <c r="GF189" s="226">
        <f t="shared" si="5377"/>
        <v>0</v>
      </c>
      <c r="GG189" s="137">
        <f t="shared" si="5402"/>
        <v>0</v>
      </c>
      <c r="GH189" s="227">
        <f t="shared" si="5379"/>
        <v>744.63</v>
      </c>
      <c r="GI189" s="138">
        <f t="shared" si="5404"/>
        <v>0</v>
      </c>
      <c r="GJ189" s="110">
        <f t="shared" si="5405"/>
        <v>0</v>
      </c>
      <c r="GK189" s="110"/>
      <c r="GL189" s="139"/>
      <c r="GM189" s="140" t="e">
        <f t="shared" si="5406"/>
        <v>#DIV/0!</v>
      </c>
      <c r="GN189" s="198">
        <f t="shared" si="5407"/>
        <v>0</v>
      </c>
      <c r="GO189" s="225">
        <f t="shared" si="5408"/>
        <v>0</v>
      </c>
      <c r="GP189" s="226">
        <f t="shared" si="5409"/>
        <v>0</v>
      </c>
      <c r="GQ189" s="137">
        <f t="shared" si="5410"/>
        <v>0</v>
      </c>
      <c r="GR189" s="227">
        <f t="shared" si="5411"/>
        <v>744.63</v>
      </c>
      <c r="GS189" s="138">
        <f t="shared" si="5412"/>
        <v>0</v>
      </c>
      <c r="GT189" s="110">
        <f t="shared" si="5413"/>
        <v>0</v>
      </c>
      <c r="GU189" s="110"/>
      <c r="GV189" s="139"/>
      <c r="GW189" s="140" t="e">
        <f t="shared" si="5414"/>
        <v>#DIV/0!</v>
      </c>
      <c r="GX189" s="198">
        <f t="shared" si="5407"/>
        <v>0</v>
      </c>
      <c r="GY189" s="225">
        <f t="shared" si="5408"/>
        <v>0</v>
      </c>
      <c r="GZ189" s="226">
        <f t="shared" si="5409"/>
        <v>0</v>
      </c>
      <c r="HA189" s="137">
        <f t="shared" si="5418"/>
        <v>0</v>
      </c>
      <c r="HB189" s="227">
        <f t="shared" si="5411"/>
        <v>744.63</v>
      </c>
      <c r="HC189" s="138">
        <f t="shared" si="5420"/>
        <v>0</v>
      </c>
      <c r="HD189" s="110">
        <f t="shared" si="5421"/>
        <v>0</v>
      </c>
      <c r="HE189" s="110"/>
      <c r="HF189" s="139"/>
      <c r="HG189" s="140" t="e">
        <f t="shared" si="5422"/>
        <v>#DIV/0!</v>
      </c>
      <c r="HH189" s="198">
        <f t="shared" si="5407"/>
        <v>0</v>
      </c>
      <c r="HI189" s="225">
        <f t="shared" si="5408"/>
        <v>0</v>
      </c>
      <c r="HJ189" s="226">
        <f t="shared" si="5409"/>
        <v>0</v>
      </c>
      <c r="HK189" s="137">
        <f t="shared" si="5426"/>
        <v>0</v>
      </c>
      <c r="HL189" s="227">
        <f t="shared" si="5411"/>
        <v>731.29</v>
      </c>
      <c r="HM189" s="138">
        <f t="shared" si="5428"/>
        <v>0</v>
      </c>
      <c r="HN189" s="110">
        <f t="shared" si="5429"/>
        <v>0</v>
      </c>
      <c r="HO189" s="110"/>
      <c r="HP189" s="139"/>
      <c r="HQ189" s="140" t="e">
        <f t="shared" si="5430"/>
        <v>#DIV/0!</v>
      </c>
      <c r="HR189" s="198">
        <f t="shared" si="5407"/>
        <v>0</v>
      </c>
      <c r="HS189" s="225">
        <f t="shared" si="5408"/>
        <v>0</v>
      </c>
      <c r="HT189" s="226">
        <f t="shared" si="5409"/>
        <v>0</v>
      </c>
      <c r="HU189" s="137">
        <f t="shared" si="5434"/>
        <v>0</v>
      </c>
      <c r="HV189" s="227">
        <f t="shared" si="5411"/>
        <v>744.63</v>
      </c>
      <c r="HW189" s="138">
        <f t="shared" si="5436"/>
        <v>0</v>
      </c>
      <c r="HX189" s="110">
        <f t="shared" si="5437"/>
        <v>0</v>
      </c>
      <c r="HY189" s="110"/>
      <c r="HZ189" s="139"/>
      <c r="IA189" s="140" t="e">
        <f t="shared" si="5438"/>
        <v>#DIV/0!</v>
      </c>
      <c r="IB189" s="198">
        <f t="shared" si="5439"/>
        <v>0</v>
      </c>
      <c r="IC189" s="225">
        <f t="shared" si="5440"/>
        <v>0</v>
      </c>
      <c r="ID189" s="226">
        <f t="shared" si="5441"/>
        <v>0</v>
      </c>
      <c r="IE189" s="137">
        <f t="shared" si="5442"/>
        <v>0</v>
      </c>
      <c r="IF189" s="227">
        <f t="shared" si="5443"/>
        <v>744.63</v>
      </c>
      <c r="IG189" s="138">
        <f t="shared" si="5444"/>
        <v>0</v>
      </c>
      <c r="IH189" s="110">
        <f t="shared" si="5445"/>
        <v>0</v>
      </c>
      <c r="II189" s="110"/>
      <c r="IJ189" s="139"/>
      <c r="IK189" s="140" t="e">
        <f t="shared" si="5446"/>
        <v>#DIV/0!</v>
      </c>
      <c r="IL189" s="198">
        <f t="shared" si="5439"/>
        <v>0</v>
      </c>
      <c r="IM189" s="225">
        <f t="shared" si="5440"/>
        <v>0</v>
      </c>
      <c r="IN189" s="226">
        <f t="shared" si="5441"/>
        <v>0</v>
      </c>
      <c r="IO189" s="137">
        <f t="shared" si="5450"/>
        <v>0</v>
      </c>
      <c r="IP189" s="227">
        <f t="shared" si="5443"/>
        <v>678.72</v>
      </c>
      <c r="IQ189" s="138">
        <f t="shared" si="5452"/>
        <v>0</v>
      </c>
      <c r="IR189" s="110">
        <f t="shared" si="5453"/>
        <v>0</v>
      </c>
      <c r="IS189" s="110"/>
      <c r="IT189" s="139"/>
      <c r="IU189" s="140" t="e">
        <f t="shared" si="5454"/>
        <v>#DIV/0!</v>
      </c>
      <c r="IV189" s="198">
        <f t="shared" si="5439"/>
        <v>0</v>
      </c>
      <c r="IW189" s="225">
        <f t="shared" si="5440"/>
        <v>0</v>
      </c>
      <c r="IX189" s="226">
        <f t="shared" si="5441"/>
        <v>0</v>
      </c>
      <c r="IY189" s="137">
        <f t="shared" si="5458"/>
        <v>0</v>
      </c>
      <c r="IZ189" s="227">
        <f t="shared" si="5443"/>
        <v>744.63</v>
      </c>
      <c r="JA189" s="138">
        <f t="shared" si="5460"/>
        <v>0</v>
      </c>
      <c r="JB189" s="110">
        <f t="shared" si="5461"/>
        <v>0</v>
      </c>
      <c r="JC189" s="110"/>
      <c r="JD189" s="139"/>
      <c r="JE189" s="140" t="e">
        <f t="shared" si="5462"/>
        <v>#DIV/0!</v>
      </c>
      <c r="JF189" s="198">
        <f t="shared" si="5439"/>
        <v>0</v>
      </c>
      <c r="JG189" s="225">
        <f t="shared" si="5440"/>
        <v>0</v>
      </c>
      <c r="JH189" s="226">
        <f t="shared" si="5441"/>
        <v>0</v>
      </c>
      <c r="JI189" s="137">
        <f t="shared" si="5466"/>
        <v>0</v>
      </c>
      <c r="JJ189" s="227">
        <f t="shared" si="5443"/>
        <v>744.63</v>
      </c>
      <c r="JK189" s="138">
        <f t="shared" si="5468"/>
        <v>0</v>
      </c>
      <c r="JL189" s="110">
        <f t="shared" si="5469"/>
        <v>0</v>
      </c>
      <c r="JM189" s="110"/>
      <c r="JN189" s="139"/>
      <c r="JO189" s="140" t="e">
        <f t="shared" si="5470"/>
        <v>#DIV/0!</v>
      </c>
      <c r="JP189" s="198">
        <f t="shared" si="5471"/>
        <v>0</v>
      </c>
      <c r="JQ189" s="225">
        <f t="shared" si="5472"/>
        <v>0</v>
      </c>
      <c r="JR189" s="226">
        <f t="shared" si="5473"/>
        <v>0</v>
      </c>
      <c r="JS189" s="137">
        <f t="shared" si="5474"/>
        <v>0</v>
      </c>
      <c r="JT189" s="227">
        <f t="shared" si="5475"/>
        <v>744.63</v>
      </c>
      <c r="JU189" s="138">
        <f t="shared" si="5476"/>
        <v>0</v>
      </c>
      <c r="JV189" s="110">
        <f t="shared" si="5477"/>
        <v>0</v>
      </c>
      <c r="JW189" s="110"/>
      <c r="JX189" s="139"/>
      <c r="JY189" s="140" t="e">
        <f t="shared" si="5478"/>
        <v>#DIV/0!</v>
      </c>
      <c r="JZ189" s="198">
        <f t="shared" si="5471"/>
        <v>0</v>
      </c>
      <c r="KA189" s="225">
        <f t="shared" si="5472"/>
        <v>0</v>
      </c>
      <c r="KB189" s="226">
        <f t="shared" si="5473"/>
        <v>0</v>
      </c>
      <c r="KC189" s="137">
        <f t="shared" si="5482"/>
        <v>0</v>
      </c>
      <c r="KD189" s="227">
        <f t="shared" si="5475"/>
        <v>744.63</v>
      </c>
      <c r="KE189" s="138">
        <f t="shared" si="5484"/>
        <v>0</v>
      </c>
      <c r="KF189" s="110">
        <f t="shared" si="5485"/>
        <v>0</v>
      </c>
      <c r="KG189" s="110"/>
      <c r="KH189" s="139"/>
      <c r="KI189" s="140" t="e">
        <f t="shared" si="5486"/>
        <v>#DIV/0!</v>
      </c>
      <c r="KJ189" s="198">
        <f t="shared" si="5471"/>
        <v>0</v>
      </c>
      <c r="KK189" s="225">
        <f t="shared" si="5472"/>
        <v>0</v>
      </c>
      <c r="KL189" s="226">
        <f t="shared" si="5473"/>
        <v>0</v>
      </c>
      <c r="KM189" s="137">
        <f t="shared" si="5490"/>
        <v>0</v>
      </c>
      <c r="KN189" s="227">
        <f t="shared" si="5475"/>
        <v>744.63</v>
      </c>
      <c r="KO189" s="138">
        <f t="shared" si="5492"/>
        <v>0</v>
      </c>
      <c r="KP189" s="110">
        <f t="shared" si="5493"/>
        <v>0</v>
      </c>
      <c r="KQ189" s="110"/>
      <c r="KR189" s="139"/>
      <c r="KS189" s="140" t="e">
        <f t="shared" si="5494"/>
        <v>#DIV/0!</v>
      </c>
      <c r="KT189" s="198">
        <f t="shared" si="5471"/>
        <v>0</v>
      </c>
      <c r="KU189" s="225">
        <f t="shared" si="5472"/>
        <v>0</v>
      </c>
      <c r="KV189" s="226">
        <f t="shared" si="5473"/>
        <v>0</v>
      </c>
      <c r="KW189" s="137">
        <f t="shared" si="5498"/>
        <v>0</v>
      </c>
      <c r="KX189" s="227">
        <f t="shared" si="5475"/>
        <v>744.63</v>
      </c>
      <c r="KY189" s="138">
        <f t="shared" si="5500"/>
        <v>0</v>
      </c>
      <c r="KZ189" s="110">
        <f t="shared" si="5501"/>
        <v>0</v>
      </c>
      <c r="LA189" s="110"/>
      <c r="LB189" s="139"/>
      <c r="LC189" s="140" t="e">
        <f t="shared" si="5502"/>
        <v>#DIV/0!</v>
      </c>
      <c r="LD189" s="198">
        <f t="shared" ref="LD189:LD213" si="5510">LD14</f>
        <v>0</v>
      </c>
      <c r="LE189" s="225">
        <f t="shared" ref="LE189:LE213" si="5511">LD189/LD$185</f>
        <v>0</v>
      </c>
      <c r="LF189" s="226">
        <f t="shared" ref="LF189:LF213" si="5512">LF$185*LE189</f>
        <v>0</v>
      </c>
      <c r="LG189" s="137">
        <f t="shared" si="5503"/>
        <v>0</v>
      </c>
      <c r="LH189" s="227">
        <f t="shared" ref="LH189:LH213" si="5513">LH$185</f>
        <v>733.76</v>
      </c>
      <c r="LI189" s="138">
        <f t="shared" si="5504"/>
        <v>0</v>
      </c>
      <c r="LJ189" s="110">
        <f t="shared" si="5505"/>
        <v>0</v>
      </c>
      <c r="LK189" s="110"/>
      <c r="LL189" s="139"/>
    </row>
    <row r="190" spans="1:324" ht="26.25" customHeight="1" x14ac:dyDescent="0.25">
      <c r="A190" s="246"/>
      <c r="B190" s="12" t="s">
        <v>625</v>
      </c>
      <c r="C190" s="12" t="s">
        <v>727</v>
      </c>
      <c r="D190" s="12" t="s">
        <v>427</v>
      </c>
      <c r="E190" s="4" t="s">
        <v>32</v>
      </c>
      <c r="F190" s="198">
        <f t="shared" si="5506"/>
        <v>0</v>
      </c>
      <c r="G190" s="225">
        <f t="shared" si="5507"/>
        <v>0</v>
      </c>
      <c r="H190" s="226">
        <f t="shared" si="5508"/>
        <v>0</v>
      </c>
      <c r="I190" s="137">
        <f t="shared" si="5259"/>
        <v>0</v>
      </c>
      <c r="J190" s="227">
        <f t="shared" si="5509"/>
        <v>744.63</v>
      </c>
      <c r="K190" s="138">
        <f t="shared" si="5260"/>
        <v>0</v>
      </c>
      <c r="L190" s="110">
        <f t="shared" si="5261"/>
        <v>0</v>
      </c>
      <c r="M190" s="110"/>
      <c r="N190" s="139"/>
      <c r="O190" s="140">
        <f t="shared" si="5262"/>
        <v>0</v>
      </c>
      <c r="P190" s="198">
        <f t="shared" si="5263"/>
        <v>0</v>
      </c>
      <c r="Q190" s="225">
        <f t="shared" si="5264"/>
        <v>0</v>
      </c>
      <c r="R190" s="226">
        <f t="shared" si="5265"/>
        <v>0</v>
      </c>
      <c r="S190" s="137">
        <f t="shared" si="5266"/>
        <v>0</v>
      </c>
      <c r="T190" s="227">
        <f t="shared" si="5267"/>
        <v>744.63</v>
      </c>
      <c r="U190" s="138">
        <f t="shared" si="5268"/>
        <v>0</v>
      </c>
      <c r="V190" s="110">
        <f t="shared" si="5269"/>
        <v>0</v>
      </c>
      <c r="W190" s="110"/>
      <c r="X190" s="139"/>
      <c r="Y190" s="140">
        <f t="shared" si="5270"/>
        <v>0</v>
      </c>
      <c r="Z190" s="198">
        <f t="shared" si="5263"/>
        <v>0</v>
      </c>
      <c r="AA190" s="225">
        <f t="shared" si="5264"/>
        <v>0</v>
      </c>
      <c r="AB190" s="226">
        <f t="shared" si="5265"/>
        <v>0</v>
      </c>
      <c r="AC190" s="137">
        <f t="shared" si="5274"/>
        <v>0</v>
      </c>
      <c r="AD190" s="227">
        <f t="shared" si="5267"/>
        <v>744.63</v>
      </c>
      <c r="AE190" s="138">
        <f t="shared" si="5276"/>
        <v>0</v>
      </c>
      <c r="AF190" s="110">
        <f t="shared" si="5277"/>
        <v>0</v>
      </c>
      <c r="AG190" s="110"/>
      <c r="AH190" s="139"/>
      <c r="AI190" s="140">
        <f t="shared" si="5278"/>
        <v>0</v>
      </c>
      <c r="AJ190" s="198">
        <f t="shared" si="5263"/>
        <v>25</v>
      </c>
      <c r="AK190" s="225">
        <f t="shared" si="5264"/>
        <v>3.7589999999999998E-2</v>
      </c>
      <c r="AL190" s="226">
        <f t="shared" si="5265"/>
        <v>4.1100000000000003</v>
      </c>
      <c r="AM190" s="137">
        <f t="shared" si="5282"/>
        <v>0.16439999999999999</v>
      </c>
      <c r="AN190" s="227">
        <f t="shared" si="5267"/>
        <v>744.63</v>
      </c>
      <c r="AO190" s="138">
        <f t="shared" si="5284"/>
        <v>122.41717</v>
      </c>
      <c r="AP190" s="110">
        <f t="shared" si="5285"/>
        <v>3060.43</v>
      </c>
      <c r="AQ190" s="110"/>
      <c r="AR190" s="139"/>
      <c r="AS190" s="140">
        <f t="shared" si="5286"/>
        <v>0.87546000000000002</v>
      </c>
      <c r="AT190" s="198">
        <f t="shared" si="5263"/>
        <v>0</v>
      </c>
      <c r="AU190" s="225">
        <f t="shared" si="5264"/>
        <v>0</v>
      </c>
      <c r="AV190" s="226">
        <f t="shared" si="5265"/>
        <v>0</v>
      </c>
      <c r="AW190" s="137">
        <f t="shared" si="5290"/>
        <v>0</v>
      </c>
      <c r="AX190" s="227">
        <f t="shared" si="5267"/>
        <v>744.63</v>
      </c>
      <c r="AY190" s="138">
        <f t="shared" si="5292"/>
        <v>0</v>
      </c>
      <c r="AZ190" s="110">
        <f t="shared" si="5293"/>
        <v>0</v>
      </c>
      <c r="BA190" s="110"/>
      <c r="BB190" s="139"/>
      <c r="BC190" s="140">
        <f t="shared" si="5294"/>
        <v>0</v>
      </c>
      <c r="BD190" s="198">
        <f t="shared" si="5263"/>
        <v>0</v>
      </c>
      <c r="BE190" s="225">
        <f t="shared" si="5264"/>
        <v>0</v>
      </c>
      <c r="BF190" s="226">
        <f t="shared" si="5265"/>
        <v>0</v>
      </c>
      <c r="BG190" s="137">
        <f t="shared" si="5298"/>
        <v>0</v>
      </c>
      <c r="BH190" s="227">
        <f t="shared" si="5267"/>
        <v>744.63</v>
      </c>
      <c r="BI190" s="138">
        <f t="shared" si="5300"/>
        <v>0</v>
      </c>
      <c r="BJ190" s="110">
        <f t="shared" si="5301"/>
        <v>0</v>
      </c>
      <c r="BK190" s="110"/>
      <c r="BL190" s="139"/>
      <c r="BM190" s="140">
        <f t="shared" si="5302"/>
        <v>0</v>
      </c>
      <c r="BN190" s="198">
        <f t="shared" si="5263"/>
        <v>0</v>
      </c>
      <c r="BO190" s="225">
        <f t="shared" si="5264"/>
        <v>0</v>
      </c>
      <c r="BP190" s="226">
        <f t="shared" si="5265"/>
        <v>0</v>
      </c>
      <c r="BQ190" s="137">
        <f t="shared" si="5306"/>
        <v>0</v>
      </c>
      <c r="BR190" s="227">
        <f t="shared" si="5267"/>
        <v>744.63</v>
      </c>
      <c r="BS190" s="138">
        <f t="shared" si="5308"/>
        <v>0</v>
      </c>
      <c r="BT190" s="110">
        <f t="shared" si="5309"/>
        <v>0</v>
      </c>
      <c r="BU190" s="110"/>
      <c r="BV190" s="139"/>
      <c r="BW190" s="140">
        <f t="shared" si="5310"/>
        <v>0</v>
      </c>
      <c r="BX190" s="198">
        <f t="shared" si="5263"/>
        <v>0</v>
      </c>
      <c r="BY190" s="225">
        <f t="shared" si="5264"/>
        <v>0</v>
      </c>
      <c r="BZ190" s="226">
        <f t="shared" si="5265"/>
        <v>0</v>
      </c>
      <c r="CA190" s="137">
        <f t="shared" si="5314"/>
        <v>0</v>
      </c>
      <c r="CB190" s="227">
        <f t="shared" si="5267"/>
        <v>744.63</v>
      </c>
      <c r="CC190" s="138">
        <f t="shared" si="5316"/>
        <v>0</v>
      </c>
      <c r="CD190" s="110">
        <f t="shared" si="5317"/>
        <v>0</v>
      </c>
      <c r="CE190" s="110"/>
      <c r="CF190" s="139"/>
      <c r="CG190" s="140">
        <f t="shared" si="5318"/>
        <v>0</v>
      </c>
      <c r="CH190" s="198">
        <f t="shared" si="5319"/>
        <v>0</v>
      </c>
      <c r="CI190" s="225">
        <f t="shared" si="5320"/>
        <v>0</v>
      </c>
      <c r="CJ190" s="226">
        <f t="shared" si="5321"/>
        <v>0</v>
      </c>
      <c r="CK190" s="137">
        <f t="shared" si="5322"/>
        <v>0</v>
      </c>
      <c r="CL190" s="227">
        <f t="shared" si="5323"/>
        <v>744.63</v>
      </c>
      <c r="CM190" s="138">
        <f t="shared" si="5324"/>
        <v>0</v>
      </c>
      <c r="CN190" s="110">
        <f t="shared" si="5325"/>
        <v>0</v>
      </c>
      <c r="CO190" s="110"/>
      <c r="CP190" s="139"/>
      <c r="CQ190" s="140">
        <f t="shared" si="5326"/>
        <v>0</v>
      </c>
      <c r="CR190" s="198">
        <f t="shared" si="5319"/>
        <v>8</v>
      </c>
      <c r="CS190" s="225">
        <f t="shared" si="5320"/>
        <v>1.0749999999999999E-2</v>
      </c>
      <c r="CT190" s="226">
        <f t="shared" si="5321"/>
        <v>1.29</v>
      </c>
      <c r="CU190" s="137">
        <f t="shared" si="5330"/>
        <v>0.16125</v>
      </c>
      <c r="CV190" s="227">
        <f t="shared" si="5323"/>
        <v>744.63</v>
      </c>
      <c r="CW190" s="138">
        <f t="shared" si="5332"/>
        <v>120.07159</v>
      </c>
      <c r="CX190" s="110">
        <f t="shared" si="5333"/>
        <v>960.57</v>
      </c>
      <c r="CY190" s="110"/>
      <c r="CZ190" s="139"/>
      <c r="DA190" s="140">
        <f t="shared" si="5334"/>
        <v>0.85868</v>
      </c>
      <c r="DB190" s="198">
        <f t="shared" si="5319"/>
        <v>0</v>
      </c>
      <c r="DC190" s="225">
        <f t="shared" si="5320"/>
        <v>0</v>
      </c>
      <c r="DD190" s="226">
        <f t="shared" si="5321"/>
        <v>0</v>
      </c>
      <c r="DE190" s="137">
        <f t="shared" si="5338"/>
        <v>0</v>
      </c>
      <c r="DF190" s="227">
        <f t="shared" si="5323"/>
        <v>744.63</v>
      </c>
      <c r="DG190" s="138">
        <f t="shared" si="5340"/>
        <v>0</v>
      </c>
      <c r="DH190" s="110">
        <f t="shared" si="5341"/>
        <v>0</v>
      </c>
      <c r="DI190" s="110"/>
      <c r="DJ190" s="139"/>
      <c r="DK190" s="140">
        <f t="shared" si="5342"/>
        <v>0</v>
      </c>
      <c r="DL190" s="198">
        <f t="shared" si="5319"/>
        <v>0</v>
      </c>
      <c r="DM190" s="225">
        <f t="shared" si="5320"/>
        <v>0</v>
      </c>
      <c r="DN190" s="226">
        <f t="shared" si="5321"/>
        <v>0</v>
      </c>
      <c r="DO190" s="137">
        <f t="shared" si="5346"/>
        <v>0</v>
      </c>
      <c r="DP190" s="227">
        <f t="shared" si="5323"/>
        <v>744.63</v>
      </c>
      <c r="DQ190" s="138">
        <f t="shared" si="5348"/>
        <v>0</v>
      </c>
      <c r="DR190" s="110">
        <f t="shared" si="5349"/>
        <v>0</v>
      </c>
      <c r="DS190" s="110"/>
      <c r="DT190" s="139"/>
      <c r="DU190" s="140">
        <f t="shared" si="5350"/>
        <v>0</v>
      </c>
      <c r="DV190" s="198">
        <f t="shared" si="5319"/>
        <v>20</v>
      </c>
      <c r="DW190" s="225">
        <f t="shared" si="5320"/>
        <v>2.2780000000000002E-2</v>
      </c>
      <c r="DX190" s="226">
        <f t="shared" si="5321"/>
        <v>2.5099999999999998</v>
      </c>
      <c r="DY190" s="137">
        <f t="shared" si="5354"/>
        <v>0.1255</v>
      </c>
      <c r="DZ190" s="227">
        <f t="shared" si="5323"/>
        <v>389.62</v>
      </c>
      <c r="EA190" s="138">
        <f t="shared" si="5356"/>
        <v>48.897309999999997</v>
      </c>
      <c r="EB190" s="110">
        <f t="shared" si="5357"/>
        <v>977.95</v>
      </c>
      <c r="EC190" s="110"/>
      <c r="ED190" s="139"/>
      <c r="EE190" s="140">
        <f t="shared" si="5358"/>
        <v>0.34967999999999999</v>
      </c>
      <c r="EF190" s="198">
        <f t="shared" si="5319"/>
        <v>13</v>
      </c>
      <c r="EG190" s="225">
        <f t="shared" si="5320"/>
        <v>1.384E-2</v>
      </c>
      <c r="EH190" s="226">
        <f t="shared" si="5321"/>
        <v>1.49</v>
      </c>
      <c r="EI190" s="137">
        <f t="shared" si="5362"/>
        <v>0.11461538</v>
      </c>
      <c r="EJ190" s="227">
        <f t="shared" si="5323"/>
        <v>744.63</v>
      </c>
      <c r="EK190" s="138">
        <f t="shared" si="5364"/>
        <v>85.346050000000005</v>
      </c>
      <c r="EL190" s="110">
        <f t="shared" si="5365"/>
        <v>1109.5</v>
      </c>
      <c r="EM190" s="110"/>
      <c r="EN190" s="139"/>
      <c r="EO190" s="140">
        <f t="shared" si="5366"/>
        <v>0.61033999999999999</v>
      </c>
      <c r="EP190" s="198">
        <f t="shared" si="5319"/>
        <v>11</v>
      </c>
      <c r="EQ190" s="225">
        <f t="shared" si="5320"/>
        <v>1.166E-2</v>
      </c>
      <c r="ER190" s="226">
        <f t="shared" si="5321"/>
        <v>1.89</v>
      </c>
      <c r="ES190" s="137">
        <f t="shared" si="5370"/>
        <v>0.17181817999999999</v>
      </c>
      <c r="ET190" s="227">
        <f t="shared" si="5323"/>
        <v>744.63</v>
      </c>
      <c r="EU190" s="138">
        <f t="shared" si="5372"/>
        <v>127.94096999999999</v>
      </c>
      <c r="EV190" s="110">
        <f t="shared" si="5373"/>
        <v>1407.35</v>
      </c>
      <c r="EW190" s="110"/>
      <c r="EX190" s="139"/>
      <c r="EY190" s="140">
        <f t="shared" si="5374"/>
        <v>0.91496</v>
      </c>
      <c r="EZ190" s="198">
        <f t="shared" si="5375"/>
        <v>31</v>
      </c>
      <c r="FA190" s="225">
        <f t="shared" si="5376"/>
        <v>2.775E-2</v>
      </c>
      <c r="FB190" s="226">
        <f t="shared" si="5377"/>
        <v>4.47</v>
      </c>
      <c r="FC190" s="137">
        <f t="shared" si="5378"/>
        <v>0.14419355</v>
      </c>
      <c r="FD190" s="227">
        <f t="shared" si="5379"/>
        <v>744.63</v>
      </c>
      <c r="FE190" s="138">
        <f t="shared" si="5380"/>
        <v>107.37084</v>
      </c>
      <c r="FF190" s="110">
        <f t="shared" si="5381"/>
        <v>3328.5</v>
      </c>
      <c r="FG190" s="110"/>
      <c r="FH190" s="139"/>
      <c r="FI190" s="140">
        <f t="shared" si="5382"/>
        <v>0.76785000000000003</v>
      </c>
      <c r="FJ190" s="198">
        <f t="shared" si="5375"/>
        <v>0</v>
      </c>
      <c r="FK190" s="225">
        <f t="shared" si="5376"/>
        <v>0</v>
      </c>
      <c r="FL190" s="226">
        <f t="shared" si="5377"/>
        <v>0</v>
      </c>
      <c r="FM190" s="137">
        <f t="shared" si="5386"/>
        <v>0</v>
      </c>
      <c r="FN190" s="227">
        <f t="shared" si="5379"/>
        <v>744.63</v>
      </c>
      <c r="FO190" s="138">
        <f t="shared" si="5388"/>
        <v>0</v>
      </c>
      <c r="FP190" s="110">
        <f t="shared" si="5389"/>
        <v>0</v>
      </c>
      <c r="FQ190" s="110"/>
      <c r="FR190" s="139"/>
      <c r="FS190" s="140">
        <f t="shared" si="5390"/>
        <v>0</v>
      </c>
      <c r="FT190" s="198">
        <f t="shared" si="5375"/>
        <v>15</v>
      </c>
      <c r="FU190" s="225">
        <f t="shared" si="5376"/>
        <v>1.8679999999999999E-2</v>
      </c>
      <c r="FV190" s="226">
        <f t="shared" si="5377"/>
        <v>2.91</v>
      </c>
      <c r="FW190" s="137">
        <f t="shared" si="5394"/>
        <v>0.19400000000000001</v>
      </c>
      <c r="FX190" s="227">
        <f t="shared" si="5379"/>
        <v>744.63</v>
      </c>
      <c r="FY190" s="138">
        <f t="shared" si="5396"/>
        <v>144.45822000000001</v>
      </c>
      <c r="FZ190" s="110">
        <f t="shared" si="5397"/>
        <v>2166.87</v>
      </c>
      <c r="GA190" s="110"/>
      <c r="GB190" s="139"/>
      <c r="GC190" s="140">
        <f t="shared" si="5398"/>
        <v>1.03308</v>
      </c>
      <c r="GD190" s="198">
        <f t="shared" si="5375"/>
        <v>32</v>
      </c>
      <c r="GE190" s="225">
        <f t="shared" si="5376"/>
        <v>6.25E-2</v>
      </c>
      <c r="GF190" s="226">
        <f t="shared" si="5377"/>
        <v>6.75</v>
      </c>
      <c r="GG190" s="137">
        <f t="shared" si="5402"/>
        <v>0.2109375</v>
      </c>
      <c r="GH190" s="227">
        <f t="shared" si="5379"/>
        <v>744.63</v>
      </c>
      <c r="GI190" s="138">
        <f t="shared" si="5404"/>
        <v>157.07039</v>
      </c>
      <c r="GJ190" s="110">
        <f t="shared" si="5405"/>
        <v>5026.25</v>
      </c>
      <c r="GK190" s="110"/>
      <c r="GL190" s="139"/>
      <c r="GM190" s="140">
        <f t="shared" si="5406"/>
        <v>1.12327</v>
      </c>
      <c r="GN190" s="198">
        <f t="shared" si="5407"/>
        <v>0</v>
      </c>
      <c r="GO190" s="225">
        <f t="shared" si="5408"/>
        <v>0</v>
      </c>
      <c r="GP190" s="226">
        <f t="shared" si="5409"/>
        <v>0</v>
      </c>
      <c r="GQ190" s="137">
        <f t="shared" si="5410"/>
        <v>0</v>
      </c>
      <c r="GR190" s="227">
        <f t="shared" si="5411"/>
        <v>744.63</v>
      </c>
      <c r="GS190" s="138">
        <f t="shared" si="5412"/>
        <v>0</v>
      </c>
      <c r="GT190" s="110">
        <f t="shared" si="5413"/>
        <v>0</v>
      </c>
      <c r="GU190" s="110"/>
      <c r="GV190" s="139"/>
      <c r="GW190" s="140">
        <f t="shared" si="5414"/>
        <v>0</v>
      </c>
      <c r="GX190" s="198">
        <f t="shared" si="5407"/>
        <v>0</v>
      </c>
      <c r="GY190" s="225">
        <f t="shared" si="5408"/>
        <v>0</v>
      </c>
      <c r="GZ190" s="226">
        <f t="shared" si="5409"/>
        <v>0</v>
      </c>
      <c r="HA190" s="137">
        <f t="shared" si="5418"/>
        <v>0</v>
      </c>
      <c r="HB190" s="227">
        <f t="shared" si="5411"/>
        <v>744.63</v>
      </c>
      <c r="HC190" s="138">
        <f t="shared" si="5420"/>
        <v>0</v>
      </c>
      <c r="HD190" s="110">
        <f t="shared" si="5421"/>
        <v>0</v>
      </c>
      <c r="HE190" s="110"/>
      <c r="HF190" s="139"/>
      <c r="HG190" s="140">
        <f t="shared" si="5422"/>
        <v>0</v>
      </c>
      <c r="HH190" s="198">
        <f t="shared" si="5407"/>
        <v>6</v>
      </c>
      <c r="HI190" s="225">
        <f t="shared" si="5408"/>
        <v>5.2100000000000002E-3</v>
      </c>
      <c r="HJ190" s="226">
        <f t="shared" si="5409"/>
        <v>1.02</v>
      </c>
      <c r="HK190" s="137">
        <f t="shared" si="5426"/>
        <v>0.17</v>
      </c>
      <c r="HL190" s="227">
        <f t="shared" si="5411"/>
        <v>731.29</v>
      </c>
      <c r="HM190" s="138">
        <f t="shared" si="5428"/>
        <v>124.3193</v>
      </c>
      <c r="HN190" s="110">
        <f t="shared" si="5429"/>
        <v>745.92</v>
      </c>
      <c r="HO190" s="110"/>
      <c r="HP190" s="139"/>
      <c r="HQ190" s="140">
        <f t="shared" si="5430"/>
        <v>0.88905999999999996</v>
      </c>
      <c r="HR190" s="198">
        <f t="shared" si="5407"/>
        <v>0</v>
      </c>
      <c r="HS190" s="225">
        <f t="shared" si="5408"/>
        <v>0</v>
      </c>
      <c r="HT190" s="226">
        <f t="shared" si="5409"/>
        <v>0</v>
      </c>
      <c r="HU190" s="137">
        <f t="shared" si="5434"/>
        <v>0</v>
      </c>
      <c r="HV190" s="227">
        <f t="shared" si="5411"/>
        <v>744.63</v>
      </c>
      <c r="HW190" s="138">
        <f t="shared" si="5436"/>
        <v>0</v>
      </c>
      <c r="HX190" s="110">
        <f t="shared" si="5437"/>
        <v>0</v>
      </c>
      <c r="HY190" s="110"/>
      <c r="HZ190" s="139"/>
      <c r="IA190" s="140">
        <f t="shared" si="5438"/>
        <v>0</v>
      </c>
      <c r="IB190" s="198">
        <f t="shared" si="5439"/>
        <v>22</v>
      </c>
      <c r="IC190" s="225">
        <f t="shared" si="5440"/>
        <v>4.0149999999999998E-2</v>
      </c>
      <c r="ID190" s="226">
        <f t="shared" si="5441"/>
        <v>7.23</v>
      </c>
      <c r="IE190" s="137">
        <f t="shared" si="5442"/>
        <v>0.32863636000000002</v>
      </c>
      <c r="IF190" s="227">
        <f t="shared" si="5443"/>
        <v>744.63</v>
      </c>
      <c r="IG190" s="138">
        <f t="shared" si="5444"/>
        <v>244.71249</v>
      </c>
      <c r="IH190" s="110">
        <f t="shared" si="5445"/>
        <v>5383.67</v>
      </c>
      <c r="II190" s="110"/>
      <c r="IJ190" s="139"/>
      <c r="IK190" s="140">
        <f t="shared" si="5446"/>
        <v>1.75004</v>
      </c>
      <c r="IL190" s="198">
        <f t="shared" si="5439"/>
        <v>0</v>
      </c>
      <c r="IM190" s="225">
        <f t="shared" si="5440"/>
        <v>0</v>
      </c>
      <c r="IN190" s="226">
        <f t="shared" si="5441"/>
        <v>0</v>
      </c>
      <c r="IO190" s="137">
        <f t="shared" si="5450"/>
        <v>0</v>
      </c>
      <c r="IP190" s="227">
        <f t="shared" si="5443"/>
        <v>678.72</v>
      </c>
      <c r="IQ190" s="138">
        <f t="shared" si="5452"/>
        <v>0</v>
      </c>
      <c r="IR190" s="110">
        <f t="shared" si="5453"/>
        <v>0</v>
      </c>
      <c r="IS190" s="110"/>
      <c r="IT190" s="139"/>
      <c r="IU190" s="140">
        <f t="shared" si="5454"/>
        <v>0</v>
      </c>
      <c r="IV190" s="198">
        <f t="shared" si="5439"/>
        <v>0</v>
      </c>
      <c r="IW190" s="225">
        <f t="shared" si="5440"/>
        <v>0</v>
      </c>
      <c r="IX190" s="226">
        <f t="shared" si="5441"/>
        <v>0</v>
      </c>
      <c r="IY190" s="137">
        <f t="shared" si="5458"/>
        <v>0</v>
      </c>
      <c r="IZ190" s="227">
        <f t="shared" si="5443"/>
        <v>744.63</v>
      </c>
      <c r="JA190" s="138">
        <f t="shared" si="5460"/>
        <v>0</v>
      </c>
      <c r="JB190" s="110">
        <f t="shared" si="5461"/>
        <v>0</v>
      </c>
      <c r="JC190" s="110"/>
      <c r="JD190" s="139"/>
      <c r="JE190" s="140">
        <f t="shared" si="5462"/>
        <v>0</v>
      </c>
      <c r="JF190" s="198">
        <f t="shared" si="5439"/>
        <v>0</v>
      </c>
      <c r="JG190" s="225">
        <f t="shared" si="5440"/>
        <v>0</v>
      </c>
      <c r="JH190" s="226">
        <f t="shared" si="5441"/>
        <v>0</v>
      </c>
      <c r="JI190" s="137">
        <f t="shared" si="5466"/>
        <v>0</v>
      </c>
      <c r="JJ190" s="227">
        <f t="shared" si="5443"/>
        <v>744.63</v>
      </c>
      <c r="JK190" s="138">
        <f t="shared" si="5468"/>
        <v>0</v>
      </c>
      <c r="JL190" s="110">
        <f t="shared" si="5469"/>
        <v>0</v>
      </c>
      <c r="JM190" s="110"/>
      <c r="JN190" s="139"/>
      <c r="JO190" s="140">
        <f t="shared" si="5470"/>
        <v>0</v>
      </c>
      <c r="JP190" s="198">
        <f t="shared" si="5471"/>
        <v>10</v>
      </c>
      <c r="JQ190" s="225">
        <f t="shared" si="5472"/>
        <v>8.0099999999999998E-3</v>
      </c>
      <c r="JR190" s="226">
        <f t="shared" si="5473"/>
        <v>1.83</v>
      </c>
      <c r="JS190" s="137">
        <f t="shared" si="5474"/>
        <v>0.183</v>
      </c>
      <c r="JT190" s="227">
        <f t="shared" si="5475"/>
        <v>744.63</v>
      </c>
      <c r="JU190" s="138">
        <f t="shared" si="5476"/>
        <v>136.26729</v>
      </c>
      <c r="JV190" s="110">
        <f t="shared" si="5477"/>
        <v>1362.67</v>
      </c>
      <c r="JW190" s="110"/>
      <c r="JX190" s="139"/>
      <c r="JY190" s="140">
        <f t="shared" si="5478"/>
        <v>0.97450000000000003</v>
      </c>
      <c r="JZ190" s="198">
        <f t="shared" si="5471"/>
        <v>0</v>
      </c>
      <c r="KA190" s="225">
        <f t="shared" si="5472"/>
        <v>0</v>
      </c>
      <c r="KB190" s="226">
        <f t="shared" si="5473"/>
        <v>0</v>
      </c>
      <c r="KC190" s="137">
        <f t="shared" si="5482"/>
        <v>0</v>
      </c>
      <c r="KD190" s="227">
        <f t="shared" si="5475"/>
        <v>744.63</v>
      </c>
      <c r="KE190" s="138">
        <f t="shared" si="5484"/>
        <v>0</v>
      </c>
      <c r="KF190" s="110">
        <f t="shared" si="5485"/>
        <v>0</v>
      </c>
      <c r="KG190" s="110"/>
      <c r="KH190" s="139"/>
      <c r="KI190" s="140">
        <f t="shared" si="5486"/>
        <v>0</v>
      </c>
      <c r="KJ190" s="198">
        <f t="shared" si="5471"/>
        <v>0</v>
      </c>
      <c r="KK190" s="225">
        <f t="shared" si="5472"/>
        <v>0</v>
      </c>
      <c r="KL190" s="226">
        <f t="shared" si="5473"/>
        <v>0</v>
      </c>
      <c r="KM190" s="137">
        <f t="shared" si="5490"/>
        <v>0</v>
      </c>
      <c r="KN190" s="227">
        <f t="shared" si="5475"/>
        <v>744.63</v>
      </c>
      <c r="KO190" s="138">
        <f t="shared" si="5492"/>
        <v>0</v>
      </c>
      <c r="KP190" s="110">
        <f t="shared" si="5493"/>
        <v>0</v>
      </c>
      <c r="KQ190" s="110"/>
      <c r="KR190" s="139"/>
      <c r="KS190" s="140">
        <f t="shared" si="5494"/>
        <v>0</v>
      </c>
      <c r="KT190" s="198">
        <f t="shared" si="5471"/>
        <v>0</v>
      </c>
      <c r="KU190" s="225">
        <f t="shared" si="5472"/>
        <v>0</v>
      </c>
      <c r="KV190" s="226">
        <f t="shared" si="5473"/>
        <v>0</v>
      </c>
      <c r="KW190" s="137">
        <f t="shared" si="5498"/>
        <v>0</v>
      </c>
      <c r="KX190" s="227">
        <f t="shared" si="5475"/>
        <v>744.63</v>
      </c>
      <c r="KY190" s="138">
        <f t="shared" si="5500"/>
        <v>0</v>
      </c>
      <c r="KZ190" s="110">
        <f t="shared" si="5501"/>
        <v>0</v>
      </c>
      <c r="LA190" s="110"/>
      <c r="LB190" s="139"/>
      <c r="LC190" s="140">
        <f t="shared" si="5502"/>
        <v>0</v>
      </c>
      <c r="LD190" s="198">
        <f t="shared" si="5510"/>
        <v>193</v>
      </c>
      <c r="LE190" s="225">
        <f t="shared" si="5511"/>
        <v>6.7600000000000004E-3</v>
      </c>
      <c r="LF190" s="226">
        <f t="shared" si="5512"/>
        <v>36.78</v>
      </c>
      <c r="LG190" s="137">
        <f t="shared" si="5503"/>
        <v>0.19056994999999999</v>
      </c>
      <c r="LH190" s="227">
        <f t="shared" si="5513"/>
        <v>733.76</v>
      </c>
      <c r="LI190" s="138">
        <f t="shared" si="5504"/>
        <v>139.83260999999999</v>
      </c>
      <c r="LJ190" s="110">
        <f t="shared" si="5505"/>
        <v>26987.69</v>
      </c>
      <c r="LK190" s="110"/>
      <c r="LL190" s="139"/>
    </row>
    <row r="191" spans="1:324" ht="25.5" customHeight="1" x14ac:dyDescent="0.25">
      <c r="A191" s="246"/>
      <c r="B191" s="12" t="s">
        <v>626</v>
      </c>
      <c r="C191" s="12" t="s">
        <v>728</v>
      </c>
      <c r="D191" s="12" t="s">
        <v>430</v>
      </c>
      <c r="E191" s="4" t="s">
        <v>32</v>
      </c>
      <c r="F191" s="198">
        <f t="shared" si="5506"/>
        <v>1</v>
      </c>
      <c r="G191" s="225">
        <f t="shared" si="5507"/>
        <v>1.66E-3</v>
      </c>
      <c r="H191" s="226">
        <f t="shared" si="5508"/>
        <v>0.19</v>
      </c>
      <c r="I191" s="137">
        <f t="shared" si="5259"/>
        <v>0.19</v>
      </c>
      <c r="J191" s="227">
        <f t="shared" si="5509"/>
        <v>744.63</v>
      </c>
      <c r="K191" s="138">
        <f t="shared" si="5260"/>
        <v>141.47970000000001</v>
      </c>
      <c r="L191" s="110">
        <f t="shared" si="5261"/>
        <v>141.47999999999999</v>
      </c>
      <c r="M191" s="110"/>
      <c r="N191" s="139"/>
      <c r="O191" s="140">
        <f t="shared" si="5262"/>
        <v>1.0126500000000001</v>
      </c>
      <c r="P191" s="198">
        <f t="shared" si="5263"/>
        <v>3</v>
      </c>
      <c r="Q191" s="225">
        <f t="shared" si="5264"/>
        <v>2.7399999999999998E-3</v>
      </c>
      <c r="R191" s="226">
        <f t="shared" si="5265"/>
        <v>0.46</v>
      </c>
      <c r="S191" s="137">
        <f t="shared" si="5266"/>
        <v>0.15333332999999999</v>
      </c>
      <c r="T191" s="227">
        <f t="shared" si="5267"/>
        <v>744.63</v>
      </c>
      <c r="U191" s="138">
        <f t="shared" si="5268"/>
        <v>114.17659999999999</v>
      </c>
      <c r="V191" s="110">
        <f t="shared" si="5269"/>
        <v>342.53</v>
      </c>
      <c r="W191" s="110"/>
      <c r="X191" s="139"/>
      <c r="Y191" s="140">
        <f t="shared" si="5270"/>
        <v>0.81723000000000001</v>
      </c>
      <c r="Z191" s="198">
        <f t="shared" si="5263"/>
        <v>2</v>
      </c>
      <c r="AA191" s="225">
        <f t="shared" si="5264"/>
        <v>2.31E-3</v>
      </c>
      <c r="AB191" s="226">
        <f t="shared" si="5265"/>
        <v>0.28000000000000003</v>
      </c>
      <c r="AC191" s="137">
        <f t="shared" si="5274"/>
        <v>0.14000000000000001</v>
      </c>
      <c r="AD191" s="227">
        <f t="shared" si="5267"/>
        <v>744.63</v>
      </c>
      <c r="AE191" s="138">
        <f t="shared" si="5276"/>
        <v>104.2482</v>
      </c>
      <c r="AF191" s="110">
        <f t="shared" si="5277"/>
        <v>208.5</v>
      </c>
      <c r="AG191" s="110"/>
      <c r="AH191" s="139"/>
      <c r="AI191" s="140">
        <f t="shared" si="5278"/>
        <v>0.74617</v>
      </c>
      <c r="AJ191" s="198">
        <f t="shared" si="5263"/>
        <v>0</v>
      </c>
      <c r="AK191" s="225">
        <f t="shared" si="5264"/>
        <v>0</v>
      </c>
      <c r="AL191" s="226">
        <f t="shared" si="5265"/>
        <v>0</v>
      </c>
      <c r="AM191" s="137">
        <f t="shared" si="5282"/>
        <v>0</v>
      </c>
      <c r="AN191" s="227">
        <f t="shared" si="5267"/>
        <v>744.63</v>
      </c>
      <c r="AO191" s="138">
        <f t="shared" si="5284"/>
        <v>0</v>
      </c>
      <c r="AP191" s="110">
        <f t="shared" si="5285"/>
        <v>0</v>
      </c>
      <c r="AQ191" s="110"/>
      <c r="AR191" s="139"/>
      <c r="AS191" s="140">
        <f t="shared" si="5286"/>
        <v>0</v>
      </c>
      <c r="AT191" s="198">
        <f t="shared" si="5263"/>
        <v>2</v>
      </c>
      <c r="AU191" s="225">
        <f t="shared" si="5264"/>
        <v>2.0999999999999999E-3</v>
      </c>
      <c r="AV191" s="226">
        <f t="shared" si="5265"/>
        <v>0.24</v>
      </c>
      <c r="AW191" s="137">
        <f t="shared" si="5290"/>
        <v>0.12</v>
      </c>
      <c r="AX191" s="227">
        <f t="shared" si="5267"/>
        <v>744.63</v>
      </c>
      <c r="AY191" s="138">
        <f t="shared" si="5292"/>
        <v>89.355599999999995</v>
      </c>
      <c r="AZ191" s="110">
        <f t="shared" si="5293"/>
        <v>178.71</v>
      </c>
      <c r="BA191" s="110"/>
      <c r="BB191" s="139"/>
      <c r="BC191" s="140">
        <f t="shared" si="5294"/>
        <v>0.63956999999999997</v>
      </c>
      <c r="BD191" s="198">
        <f t="shared" si="5263"/>
        <v>0</v>
      </c>
      <c r="BE191" s="225">
        <f t="shared" si="5264"/>
        <v>0</v>
      </c>
      <c r="BF191" s="226">
        <f t="shared" si="5265"/>
        <v>0</v>
      </c>
      <c r="BG191" s="137">
        <f t="shared" si="5298"/>
        <v>0</v>
      </c>
      <c r="BH191" s="227">
        <f t="shared" si="5267"/>
        <v>744.63</v>
      </c>
      <c r="BI191" s="138">
        <f t="shared" si="5300"/>
        <v>0</v>
      </c>
      <c r="BJ191" s="110">
        <f t="shared" si="5301"/>
        <v>0</v>
      </c>
      <c r="BK191" s="110"/>
      <c r="BL191" s="139"/>
      <c r="BM191" s="140">
        <f t="shared" si="5302"/>
        <v>0</v>
      </c>
      <c r="BN191" s="198">
        <f t="shared" si="5263"/>
        <v>4</v>
      </c>
      <c r="BO191" s="225">
        <f t="shared" si="5264"/>
        <v>6.4799999999999996E-3</v>
      </c>
      <c r="BP191" s="226">
        <f t="shared" si="5265"/>
        <v>0.7</v>
      </c>
      <c r="BQ191" s="137">
        <f t="shared" si="5306"/>
        <v>0.17499999999999999</v>
      </c>
      <c r="BR191" s="227">
        <f t="shared" si="5267"/>
        <v>744.63</v>
      </c>
      <c r="BS191" s="138">
        <f t="shared" si="5308"/>
        <v>130.31025</v>
      </c>
      <c r="BT191" s="110">
        <f t="shared" si="5309"/>
        <v>521.24</v>
      </c>
      <c r="BU191" s="110"/>
      <c r="BV191" s="139"/>
      <c r="BW191" s="140">
        <f t="shared" si="5310"/>
        <v>0.93271000000000004</v>
      </c>
      <c r="BX191" s="198">
        <f t="shared" si="5263"/>
        <v>1</v>
      </c>
      <c r="BY191" s="225">
        <f t="shared" si="5264"/>
        <v>1.2700000000000001E-3</v>
      </c>
      <c r="BZ191" s="226">
        <f t="shared" si="5265"/>
        <v>0.23</v>
      </c>
      <c r="CA191" s="137">
        <f t="shared" si="5314"/>
        <v>0.23</v>
      </c>
      <c r="CB191" s="227">
        <f t="shared" si="5267"/>
        <v>744.63</v>
      </c>
      <c r="CC191" s="138">
        <f t="shared" si="5316"/>
        <v>171.26490000000001</v>
      </c>
      <c r="CD191" s="110">
        <f t="shared" si="5317"/>
        <v>171.26</v>
      </c>
      <c r="CE191" s="110"/>
      <c r="CF191" s="139"/>
      <c r="CG191" s="140">
        <f t="shared" si="5318"/>
        <v>1.22584</v>
      </c>
      <c r="CH191" s="198">
        <f t="shared" si="5319"/>
        <v>0</v>
      </c>
      <c r="CI191" s="225">
        <f t="shared" si="5320"/>
        <v>0</v>
      </c>
      <c r="CJ191" s="226">
        <f t="shared" si="5321"/>
        <v>0</v>
      </c>
      <c r="CK191" s="137">
        <f t="shared" si="5322"/>
        <v>0</v>
      </c>
      <c r="CL191" s="227">
        <f t="shared" si="5323"/>
        <v>744.63</v>
      </c>
      <c r="CM191" s="138">
        <f t="shared" si="5324"/>
        <v>0</v>
      </c>
      <c r="CN191" s="110">
        <f t="shared" si="5325"/>
        <v>0</v>
      </c>
      <c r="CO191" s="110"/>
      <c r="CP191" s="139"/>
      <c r="CQ191" s="140">
        <f t="shared" si="5326"/>
        <v>0</v>
      </c>
      <c r="CR191" s="198">
        <f t="shared" si="5319"/>
        <v>5</v>
      </c>
      <c r="CS191" s="225">
        <f t="shared" si="5320"/>
        <v>6.7200000000000003E-3</v>
      </c>
      <c r="CT191" s="226">
        <f t="shared" si="5321"/>
        <v>0.81</v>
      </c>
      <c r="CU191" s="137">
        <f t="shared" si="5330"/>
        <v>0.16200000000000001</v>
      </c>
      <c r="CV191" s="227">
        <f t="shared" si="5323"/>
        <v>744.63</v>
      </c>
      <c r="CW191" s="138">
        <f t="shared" si="5332"/>
        <v>120.63006</v>
      </c>
      <c r="CX191" s="110">
        <f t="shared" si="5333"/>
        <v>603.15</v>
      </c>
      <c r="CY191" s="110"/>
      <c r="CZ191" s="139"/>
      <c r="DA191" s="140">
        <f t="shared" si="5334"/>
        <v>0.86341999999999997</v>
      </c>
      <c r="DB191" s="198">
        <f t="shared" si="5319"/>
        <v>1</v>
      </c>
      <c r="DC191" s="225">
        <f t="shared" si="5320"/>
        <v>1.2099999999999999E-3</v>
      </c>
      <c r="DD191" s="226">
        <f t="shared" si="5321"/>
        <v>0.24</v>
      </c>
      <c r="DE191" s="137">
        <f t="shared" si="5338"/>
        <v>0.24</v>
      </c>
      <c r="DF191" s="227">
        <f t="shared" si="5323"/>
        <v>744.63</v>
      </c>
      <c r="DG191" s="138">
        <f t="shared" si="5340"/>
        <v>178.71119999999999</v>
      </c>
      <c r="DH191" s="110">
        <f t="shared" si="5341"/>
        <v>178.71</v>
      </c>
      <c r="DI191" s="110"/>
      <c r="DJ191" s="139"/>
      <c r="DK191" s="140">
        <f t="shared" si="5342"/>
        <v>1.2791399999999999</v>
      </c>
      <c r="DL191" s="198">
        <f t="shared" si="5319"/>
        <v>0</v>
      </c>
      <c r="DM191" s="225">
        <f t="shared" si="5320"/>
        <v>0</v>
      </c>
      <c r="DN191" s="226">
        <f t="shared" si="5321"/>
        <v>0</v>
      </c>
      <c r="DO191" s="137">
        <f t="shared" si="5346"/>
        <v>0</v>
      </c>
      <c r="DP191" s="227">
        <f t="shared" si="5323"/>
        <v>744.63</v>
      </c>
      <c r="DQ191" s="138">
        <f t="shared" si="5348"/>
        <v>0</v>
      </c>
      <c r="DR191" s="110">
        <f t="shared" si="5349"/>
        <v>0</v>
      </c>
      <c r="DS191" s="110"/>
      <c r="DT191" s="139"/>
      <c r="DU191" s="140">
        <f t="shared" si="5350"/>
        <v>0</v>
      </c>
      <c r="DV191" s="198">
        <f t="shared" si="5319"/>
        <v>2</v>
      </c>
      <c r="DW191" s="225">
        <f t="shared" si="5320"/>
        <v>2.2799999999999999E-3</v>
      </c>
      <c r="DX191" s="226">
        <f t="shared" si="5321"/>
        <v>0.25</v>
      </c>
      <c r="DY191" s="137">
        <f t="shared" si="5354"/>
        <v>0.125</v>
      </c>
      <c r="DZ191" s="227">
        <f t="shared" si="5323"/>
        <v>389.62</v>
      </c>
      <c r="EA191" s="138">
        <f t="shared" si="5356"/>
        <v>48.702500000000001</v>
      </c>
      <c r="EB191" s="110">
        <f t="shared" si="5357"/>
        <v>97.41</v>
      </c>
      <c r="EC191" s="110"/>
      <c r="ED191" s="139"/>
      <c r="EE191" s="140">
        <f t="shared" si="5358"/>
        <v>0.34859000000000001</v>
      </c>
      <c r="EF191" s="198">
        <f t="shared" si="5319"/>
        <v>6</v>
      </c>
      <c r="EG191" s="225">
        <f t="shared" si="5320"/>
        <v>6.3899999999999998E-3</v>
      </c>
      <c r="EH191" s="226">
        <f t="shared" si="5321"/>
        <v>0.69</v>
      </c>
      <c r="EI191" s="137">
        <f t="shared" si="5362"/>
        <v>0.115</v>
      </c>
      <c r="EJ191" s="227">
        <f t="shared" si="5323"/>
        <v>744.63</v>
      </c>
      <c r="EK191" s="138">
        <f t="shared" si="5364"/>
        <v>85.632450000000006</v>
      </c>
      <c r="EL191" s="110">
        <f t="shared" si="5365"/>
        <v>513.79</v>
      </c>
      <c r="EM191" s="110"/>
      <c r="EN191" s="139"/>
      <c r="EO191" s="140">
        <f t="shared" si="5366"/>
        <v>0.61292000000000002</v>
      </c>
      <c r="EP191" s="198">
        <f t="shared" si="5319"/>
        <v>2</v>
      </c>
      <c r="EQ191" s="225">
        <f t="shared" si="5320"/>
        <v>2.1199999999999999E-3</v>
      </c>
      <c r="ER191" s="226">
        <f t="shared" si="5321"/>
        <v>0.34</v>
      </c>
      <c r="ES191" s="137">
        <f t="shared" si="5370"/>
        <v>0.17</v>
      </c>
      <c r="ET191" s="227">
        <f t="shared" si="5323"/>
        <v>744.63</v>
      </c>
      <c r="EU191" s="138">
        <f t="shared" si="5372"/>
        <v>126.58710000000001</v>
      </c>
      <c r="EV191" s="110">
        <f t="shared" si="5373"/>
        <v>253.17</v>
      </c>
      <c r="EW191" s="110"/>
      <c r="EX191" s="139"/>
      <c r="EY191" s="140">
        <f t="shared" si="5374"/>
        <v>0.90605999999999998</v>
      </c>
      <c r="EZ191" s="198">
        <f t="shared" si="5375"/>
        <v>7</v>
      </c>
      <c r="FA191" s="225">
        <f t="shared" si="5376"/>
        <v>6.2700000000000004E-3</v>
      </c>
      <c r="FB191" s="226">
        <f t="shared" si="5377"/>
        <v>1.01</v>
      </c>
      <c r="FC191" s="137">
        <f t="shared" si="5378"/>
        <v>0.14428571000000001</v>
      </c>
      <c r="FD191" s="227">
        <f t="shared" si="5379"/>
        <v>744.63</v>
      </c>
      <c r="FE191" s="138">
        <f t="shared" si="5380"/>
        <v>107.43947</v>
      </c>
      <c r="FF191" s="110">
        <f t="shared" si="5381"/>
        <v>752.08</v>
      </c>
      <c r="FG191" s="110"/>
      <c r="FH191" s="139"/>
      <c r="FI191" s="140">
        <f t="shared" si="5382"/>
        <v>0.76900999999999997</v>
      </c>
      <c r="FJ191" s="198">
        <f t="shared" si="5375"/>
        <v>1</v>
      </c>
      <c r="FK191" s="225">
        <f t="shared" si="5376"/>
        <v>9.7999999999999997E-4</v>
      </c>
      <c r="FL191" s="226">
        <f t="shared" si="5377"/>
        <v>0.23</v>
      </c>
      <c r="FM191" s="137">
        <f t="shared" si="5386"/>
        <v>0.23</v>
      </c>
      <c r="FN191" s="227">
        <f t="shared" si="5379"/>
        <v>744.63</v>
      </c>
      <c r="FO191" s="138">
        <f t="shared" si="5388"/>
        <v>171.26490000000001</v>
      </c>
      <c r="FP191" s="110">
        <f t="shared" si="5389"/>
        <v>171.26</v>
      </c>
      <c r="FQ191" s="110"/>
      <c r="FR191" s="139"/>
      <c r="FS191" s="140">
        <f t="shared" si="5390"/>
        <v>1.22584</v>
      </c>
      <c r="FT191" s="198">
        <f t="shared" si="5375"/>
        <v>4</v>
      </c>
      <c r="FU191" s="225">
        <f t="shared" si="5376"/>
        <v>4.9800000000000001E-3</v>
      </c>
      <c r="FV191" s="226">
        <f t="shared" si="5377"/>
        <v>0.78</v>
      </c>
      <c r="FW191" s="137">
        <f t="shared" si="5394"/>
        <v>0.19500000000000001</v>
      </c>
      <c r="FX191" s="227">
        <f t="shared" si="5379"/>
        <v>744.63</v>
      </c>
      <c r="FY191" s="138">
        <f t="shared" si="5396"/>
        <v>145.20285000000001</v>
      </c>
      <c r="FZ191" s="110">
        <f t="shared" si="5397"/>
        <v>580.80999999999995</v>
      </c>
      <c r="GA191" s="110"/>
      <c r="GB191" s="139"/>
      <c r="GC191" s="140">
        <f t="shared" si="5398"/>
        <v>1.0392999999999999</v>
      </c>
      <c r="GD191" s="198">
        <f t="shared" si="5375"/>
        <v>6</v>
      </c>
      <c r="GE191" s="225">
        <f t="shared" si="5376"/>
        <v>1.172E-2</v>
      </c>
      <c r="GF191" s="226">
        <f t="shared" si="5377"/>
        <v>1.27</v>
      </c>
      <c r="GG191" s="137">
        <f t="shared" si="5402"/>
        <v>0.21166667</v>
      </c>
      <c r="GH191" s="227">
        <f t="shared" si="5379"/>
        <v>744.63</v>
      </c>
      <c r="GI191" s="138">
        <f t="shared" si="5404"/>
        <v>157.61335</v>
      </c>
      <c r="GJ191" s="110">
        <f t="shared" si="5405"/>
        <v>945.68</v>
      </c>
      <c r="GK191" s="110"/>
      <c r="GL191" s="139"/>
      <c r="GM191" s="140">
        <f t="shared" si="5406"/>
        <v>1.1281300000000001</v>
      </c>
      <c r="GN191" s="198">
        <f t="shared" si="5407"/>
        <v>2</v>
      </c>
      <c r="GO191" s="225">
        <f t="shared" si="5408"/>
        <v>2.31E-3</v>
      </c>
      <c r="GP191" s="226">
        <f t="shared" si="5409"/>
        <v>0.43</v>
      </c>
      <c r="GQ191" s="137">
        <f t="shared" si="5410"/>
        <v>0.215</v>
      </c>
      <c r="GR191" s="227">
        <f t="shared" si="5411"/>
        <v>744.63</v>
      </c>
      <c r="GS191" s="138">
        <f t="shared" si="5412"/>
        <v>160.09545</v>
      </c>
      <c r="GT191" s="110">
        <f t="shared" si="5413"/>
        <v>320.19</v>
      </c>
      <c r="GU191" s="110"/>
      <c r="GV191" s="139"/>
      <c r="GW191" s="140">
        <f t="shared" si="5414"/>
        <v>1.1458999999999999</v>
      </c>
      <c r="GX191" s="198">
        <f t="shared" si="5407"/>
        <v>2</v>
      </c>
      <c r="GY191" s="225">
        <f t="shared" si="5408"/>
        <v>1.23E-3</v>
      </c>
      <c r="GZ191" s="226">
        <f t="shared" si="5409"/>
        <v>0.35</v>
      </c>
      <c r="HA191" s="137">
        <f t="shared" si="5418"/>
        <v>0.17499999999999999</v>
      </c>
      <c r="HB191" s="227">
        <f t="shared" si="5411"/>
        <v>744.63</v>
      </c>
      <c r="HC191" s="138">
        <f t="shared" si="5420"/>
        <v>130.31025</v>
      </c>
      <c r="HD191" s="110">
        <f t="shared" si="5421"/>
        <v>260.62</v>
      </c>
      <c r="HE191" s="110"/>
      <c r="HF191" s="139"/>
      <c r="HG191" s="140">
        <f t="shared" si="5422"/>
        <v>0.93271000000000004</v>
      </c>
      <c r="HH191" s="198">
        <f t="shared" si="5407"/>
        <v>3</v>
      </c>
      <c r="HI191" s="225">
        <f t="shared" si="5408"/>
        <v>2.5999999999999999E-3</v>
      </c>
      <c r="HJ191" s="226">
        <f t="shared" si="5409"/>
        <v>0.51</v>
      </c>
      <c r="HK191" s="137">
        <f t="shared" si="5426"/>
        <v>0.17</v>
      </c>
      <c r="HL191" s="227">
        <f t="shared" si="5411"/>
        <v>731.29</v>
      </c>
      <c r="HM191" s="138">
        <f t="shared" si="5428"/>
        <v>124.3193</v>
      </c>
      <c r="HN191" s="110">
        <f t="shared" si="5429"/>
        <v>372.96</v>
      </c>
      <c r="HO191" s="110"/>
      <c r="HP191" s="139"/>
      <c r="HQ191" s="140">
        <f t="shared" si="5430"/>
        <v>0.88983000000000001</v>
      </c>
      <c r="HR191" s="198">
        <f t="shared" si="5407"/>
        <v>2</v>
      </c>
      <c r="HS191" s="225">
        <f t="shared" si="5408"/>
        <v>2.5400000000000002E-3</v>
      </c>
      <c r="HT191" s="226">
        <f t="shared" si="5409"/>
        <v>0.27</v>
      </c>
      <c r="HU191" s="137">
        <f t="shared" si="5434"/>
        <v>0.13500000000000001</v>
      </c>
      <c r="HV191" s="227">
        <f t="shared" si="5411"/>
        <v>744.63</v>
      </c>
      <c r="HW191" s="138">
        <f t="shared" si="5436"/>
        <v>100.52504999999999</v>
      </c>
      <c r="HX191" s="110">
        <f t="shared" si="5437"/>
        <v>201.05</v>
      </c>
      <c r="HY191" s="110"/>
      <c r="HZ191" s="139"/>
      <c r="IA191" s="140">
        <f t="shared" si="5438"/>
        <v>0.71952000000000005</v>
      </c>
      <c r="IB191" s="198">
        <f t="shared" si="5439"/>
        <v>2</v>
      </c>
      <c r="IC191" s="225">
        <f t="shared" si="5440"/>
        <v>3.65E-3</v>
      </c>
      <c r="ID191" s="226">
        <f t="shared" si="5441"/>
        <v>0.66</v>
      </c>
      <c r="IE191" s="137">
        <f t="shared" si="5442"/>
        <v>0.33</v>
      </c>
      <c r="IF191" s="227">
        <f t="shared" si="5443"/>
        <v>744.63</v>
      </c>
      <c r="IG191" s="138">
        <f t="shared" si="5444"/>
        <v>245.72790000000001</v>
      </c>
      <c r="IH191" s="110">
        <f t="shared" si="5445"/>
        <v>491.46</v>
      </c>
      <c r="II191" s="110"/>
      <c r="IJ191" s="139"/>
      <c r="IK191" s="140">
        <f t="shared" si="5446"/>
        <v>1.7588200000000001</v>
      </c>
      <c r="IL191" s="198">
        <f t="shared" si="5439"/>
        <v>4</v>
      </c>
      <c r="IM191" s="225">
        <f t="shared" si="5440"/>
        <v>3.16E-3</v>
      </c>
      <c r="IN191" s="226">
        <f t="shared" si="5441"/>
        <v>0.83</v>
      </c>
      <c r="IO191" s="137">
        <f t="shared" si="5450"/>
        <v>0.20749999999999999</v>
      </c>
      <c r="IP191" s="227">
        <f t="shared" si="5443"/>
        <v>678.72</v>
      </c>
      <c r="IQ191" s="138">
        <f t="shared" si="5452"/>
        <v>140.83439999999999</v>
      </c>
      <c r="IR191" s="110">
        <f t="shared" si="5453"/>
        <v>563.34</v>
      </c>
      <c r="IS191" s="110"/>
      <c r="IT191" s="139"/>
      <c r="IU191" s="140">
        <f t="shared" si="5454"/>
        <v>1.00803</v>
      </c>
      <c r="IV191" s="198">
        <f t="shared" si="5439"/>
        <v>2</v>
      </c>
      <c r="IW191" s="225">
        <f t="shared" si="5440"/>
        <v>2.5899999999999999E-3</v>
      </c>
      <c r="IX191" s="226">
        <f t="shared" si="5441"/>
        <v>0.4</v>
      </c>
      <c r="IY191" s="137">
        <f t="shared" si="5458"/>
        <v>0.2</v>
      </c>
      <c r="IZ191" s="227">
        <f t="shared" si="5443"/>
        <v>744.63</v>
      </c>
      <c r="JA191" s="138">
        <f t="shared" si="5460"/>
        <v>148.92599999999999</v>
      </c>
      <c r="JB191" s="110">
        <f t="shared" si="5461"/>
        <v>297.85000000000002</v>
      </c>
      <c r="JC191" s="110"/>
      <c r="JD191" s="139"/>
      <c r="JE191" s="140">
        <f t="shared" si="5462"/>
        <v>1.06595</v>
      </c>
      <c r="JF191" s="198">
        <f t="shared" si="5439"/>
        <v>1</v>
      </c>
      <c r="JG191" s="225">
        <f t="shared" si="5440"/>
        <v>7.5000000000000002E-4</v>
      </c>
      <c r="JH191" s="226">
        <f t="shared" si="5441"/>
        <v>0.23</v>
      </c>
      <c r="JI191" s="137">
        <f t="shared" si="5466"/>
        <v>0.23</v>
      </c>
      <c r="JJ191" s="227">
        <f t="shared" si="5443"/>
        <v>744.63</v>
      </c>
      <c r="JK191" s="138">
        <f t="shared" si="5468"/>
        <v>171.26490000000001</v>
      </c>
      <c r="JL191" s="110">
        <f t="shared" si="5469"/>
        <v>171.26</v>
      </c>
      <c r="JM191" s="110"/>
      <c r="JN191" s="139"/>
      <c r="JO191" s="140">
        <f t="shared" si="5470"/>
        <v>1.22584</v>
      </c>
      <c r="JP191" s="198">
        <f t="shared" si="5471"/>
        <v>5</v>
      </c>
      <c r="JQ191" s="225">
        <f t="shared" si="5472"/>
        <v>4.0000000000000001E-3</v>
      </c>
      <c r="JR191" s="226">
        <f t="shared" si="5473"/>
        <v>0.91</v>
      </c>
      <c r="JS191" s="137">
        <f t="shared" si="5474"/>
        <v>0.182</v>
      </c>
      <c r="JT191" s="227">
        <f t="shared" si="5475"/>
        <v>744.63</v>
      </c>
      <c r="JU191" s="138">
        <f t="shared" si="5476"/>
        <v>135.52266</v>
      </c>
      <c r="JV191" s="110">
        <f t="shared" si="5477"/>
        <v>677.61</v>
      </c>
      <c r="JW191" s="110"/>
      <c r="JX191" s="139"/>
      <c r="JY191" s="140">
        <f t="shared" si="5478"/>
        <v>0.97001999999999999</v>
      </c>
      <c r="JZ191" s="198">
        <f t="shared" si="5471"/>
        <v>0</v>
      </c>
      <c r="KA191" s="225">
        <f t="shared" si="5472"/>
        <v>0</v>
      </c>
      <c r="KB191" s="226">
        <f t="shared" si="5473"/>
        <v>0</v>
      </c>
      <c r="KC191" s="137">
        <f t="shared" si="5482"/>
        <v>0</v>
      </c>
      <c r="KD191" s="227">
        <f t="shared" si="5475"/>
        <v>744.63</v>
      </c>
      <c r="KE191" s="138">
        <f t="shared" si="5484"/>
        <v>0</v>
      </c>
      <c r="KF191" s="110">
        <f t="shared" si="5485"/>
        <v>0</v>
      </c>
      <c r="KG191" s="110"/>
      <c r="KH191" s="139"/>
      <c r="KI191" s="140">
        <f t="shared" si="5486"/>
        <v>0</v>
      </c>
      <c r="KJ191" s="198">
        <f t="shared" si="5471"/>
        <v>1</v>
      </c>
      <c r="KK191" s="225">
        <f t="shared" si="5472"/>
        <v>7.5000000000000002E-4</v>
      </c>
      <c r="KL191" s="226">
        <f t="shared" si="5473"/>
        <v>0.18</v>
      </c>
      <c r="KM191" s="137">
        <f t="shared" si="5490"/>
        <v>0.18</v>
      </c>
      <c r="KN191" s="227">
        <f t="shared" si="5475"/>
        <v>744.63</v>
      </c>
      <c r="KO191" s="138">
        <f t="shared" si="5492"/>
        <v>134.0334</v>
      </c>
      <c r="KP191" s="110">
        <f t="shared" si="5493"/>
        <v>134.03</v>
      </c>
      <c r="KQ191" s="110"/>
      <c r="KR191" s="139"/>
      <c r="KS191" s="140">
        <f t="shared" si="5494"/>
        <v>0.95935999999999999</v>
      </c>
      <c r="KT191" s="198">
        <f t="shared" si="5471"/>
        <v>3</v>
      </c>
      <c r="KU191" s="225">
        <f t="shared" si="5472"/>
        <v>2.6700000000000001E-3</v>
      </c>
      <c r="KV191" s="226">
        <f t="shared" si="5473"/>
        <v>0.89</v>
      </c>
      <c r="KW191" s="137">
        <f t="shared" si="5498"/>
        <v>0.29666667000000002</v>
      </c>
      <c r="KX191" s="227">
        <f t="shared" si="5475"/>
        <v>744.63</v>
      </c>
      <c r="KY191" s="138">
        <f t="shared" si="5500"/>
        <v>220.90690000000001</v>
      </c>
      <c r="KZ191" s="110">
        <f t="shared" si="5501"/>
        <v>662.72</v>
      </c>
      <c r="LA191" s="110"/>
      <c r="LB191" s="139"/>
      <c r="LC191" s="140">
        <f t="shared" si="5502"/>
        <v>1.5811599999999999</v>
      </c>
      <c r="LD191" s="198">
        <f t="shared" si="5510"/>
        <v>74</v>
      </c>
      <c r="LE191" s="225">
        <f t="shared" si="5511"/>
        <v>2.5899999999999999E-3</v>
      </c>
      <c r="LF191" s="226">
        <f t="shared" si="5512"/>
        <v>14.09</v>
      </c>
      <c r="LG191" s="137">
        <f t="shared" si="5503"/>
        <v>0.19040541</v>
      </c>
      <c r="LH191" s="227">
        <f t="shared" si="5513"/>
        <v>733.76</v>
      </c>
      <c r="LI191" s="138">
        <f t="shared" si="5504"/>
        <v>139.71187</v>
      </c>
      <c r="LJ191" s="110">
        <f t="shared" si="5505"/>
        <v>10338.68</v>
      </c>
      <c r="LK191" s="110"/>
      <c r="LL191" s="139"/>
    </row>
    <row r="192" spans="1:324" ht="26.25" hidden="1" customHeight="1" x14ac:dyDescent="0.25">
      <c r="A192" s="246"/>
      <c r="B192" s="92" t="s">
        <v>639</v>
      </c>
      <c r="C192" s="12" t="s">
        <v>728</v>
      </c>
      <c r="D192" s="12" t="s">
        <v>430</v>
      </c>
      <c r="E192" s="4" t="s">
        <v>32</v>
      </c>
      <c r="F192" s="198">
        <f t="shared" si="5506"/>
        <v>0</v>
      </c>
      <c r="G192" s="225">
        <f t="shared" si="5507"/>
        <v>0</v>
      </c>
      <c r="H192" s="226">
        <f t="shared" si="5508"/>
        <v>0</v>
      </c>
      <c r="I192" s="137">
        <f t="shared" si="5259"/>
        <v>0</v>
      </c>
      <c r="J192" s="227">
        <f t="shared" si="5509"/>
        <v>744.63</v>
      </c>
      <c r="K192" s="138">
        <f t="shared" si="5260"/>
        <v>0</v>
      </c>
      <c r="L192" s="110">
        <f t="shared" si="5261"/>
        <v>0</v>
      </c>
      <c r="M192" s="110"/>
      <c r="N192" s="139"/>
      <c r="O192" s="140" t="e">
        <f t="shared" si="5262"/>
        <v>#DIV/0!</v>
      </c>
      <c r="P192" s="198">
        <f t="shared" si="5263"/>
        <v>0</v>
      </c>
      <c r="Q192" s="225">
        <f t="shared" si="5264"/>
        <v>0</v>
      </c>
      <c r="R192" s="226">
        <f t="shared" si="5265"/>
        <v>0</v>
      </c>
      <c r="S192" s="137">
        <f t="shared" si="5266"/>
        <v>0</v>
      </c>
      <c r="T192" s="227">
        <f t="shared" si="5267"/>
        <v>744.63</v>
      </c>
      <c r="U192" s="138">
        <f t="shared" si="5268"/>
        <v>0</v>
      </c>
      <c r="V192" s="110">
        <f t="shared" si="5269"/>
        <v>0</v>
      </c>
      <c r="W192" s="110"/>
      <c r="X192" s="139"/>
      <c r="Y192" s="140" t="e">
        <f t="shared" si="5270"/>
        <v>#DIV/0!</v>
      </c>
      <c r="Z192" s="198">
        <f t="shared" si="5263"/>
        <v>0</v>
      </c>
      <c r="AA192" s="225">
        <f t="shared" si="5264"/>
        <v>0</v>
      </c>
      <c r="AB192" s="226">
        <f t="shared" si="5265"/>
        <v>0</v>
      </c>
      <c r="AC192" s="137">
        <f t="shared" si="5274"/>
        <v>0</v>
      </c>
      <c r="AD192" s="227">
        <f t="shared" si="5267"/>
        <v>744.63</v>
      </c>
      <c r="AE192" s="138">
        <f t="shared" si="5276"/>
        <v>0</v>
      </c>
      <c r="AF192" s="110">
        <f t="shared" si="5277"/>
        <v>0</v>
      </c>
      <c r="AG192" s="110"/>
      <c r="AH192" s="139"/>
      <c r="AI192" s="140" t="e">
        <f t="shared" si="5278"/>
        <v>#DIV/0!</v>
      </c>
      <c r="AJ192" s="198">
        <f t="shared" si="5263"/>
        <v>0</v>
      </c>
      <c r="AK192" s="225">
        <f t="shared" si="5264"/>
        <v>0</v>
      </c>
      <c r="AL192" s="226">
        <f t="shared" si="5265"/>
        <v>0</v>
      </c>
      <c r="AM192" s="137">
        <f t="shared" si="5282"/>
        <v>0</v>
      </c>
      <c r="AN192" s="227">
        <f t="shared" si="5267"/>
        <v>744.63</v>
      </c>
      <c r="AO192" s="138">
        <f t="shared" si="5284"/>
        <v>0</v>
      </c>
      <c r="AP192" s="110">
        <f t="shared" si="5285"/>
        <v>0</v>
      </c>
      <c r="AQ192" s="110"/>
      <c r="AR192" s="139"/>
      <c r="AS192" s="140" t="e">
        <f t="shared" si="5286"/>
        <v>#DIV/0!</v>
      </c>
      <c r="AT192" s="198">
        <f t="shared" si="5263"/>
        <v>0</v>
      </c>
      <c r="AU192" s="225">
        <f t="shared" si="5264"/>
        <v>0</v>
      </c>
      <c r="AV192" s="226">
        <f t="shared" si="5265"/>
        <v>0</v>
      </c>
      <c r="AW192" s="137">
        <f t="shared" si="5290"/>
        <v>0</v>
      </c>
      <c r="AX192" s="227">
        <f t="shared" si="5267"/>
        <v>744.63</v>
      </c>
      <c r="AY192" s="138">
        <f t="shared" si="5292"/>
        <v>0</v>
      </c>
      <c r="AZ192" s="110">
        <f t="shared" si="5293"/>
        <v>0</v>
      </c>
      <c r="BA192" s="110"/>
      <c r="BB192" s="139"/>
      <c r="BC192" s="140" t="e">
        <f t="shared" si="5294"/>
        <v>#DIV/0!</v>
      </c>
      <c r="BD192" s="198">
        <f t="shared" si="5263"/>
        <v>0</v>
      </c>
      <c r="BE192" s="225">
        <f t="shared" si="5264"/>
        <v>0</v>
      </c>
      <c r="BF192" s="226">
        <f t="shared" si="5265"/>
        <v>0</v>
      </c>
      <c r="BG192" s="137">
        <f t="shared" si="5298"/>
        <v>0</v>
      </c>
      <c r="BH192" s="227">
        <f t="shared" si="5267"/>
        <v>744.63</v>
      </c>
      <c r="BI192" s="138">
        <f t="shared" si="5300"/>
        <v>0</v>
      </c>
      <c r="BJ192" s="110">
        <f t="shared" si="5301"/>
        <v>0</v>
      </c>
      <c r="BK192" s="110"/>
      <c r="BL192" s="139"/>
      <c r="BM192" s="140" t="e">
        <f t="shared" si="5302"/>
        <v>#DIV/0!</v>
      </c>
      <c r="BN192" s="198">
        <f t="shared" si="5263"/>
        <v>0</v>
      </c>
      <c r="BO192" s="225">
        <f t="shared" si="5264"/>
        <v>0</v>
      </c>
      <c r="BP192" s="226">
        <f t="shared" si="5265"/>
        <v>0</v>
      </c>
      <c r="BQ192" s="137">
        <f t="shared" si="5306"/>
        <v>0</v>
      </c>
      <c r="BR192" s="227">
        <f t="shared" si="5267"/>
        <v>744.63</v>
      </c>
      <c r="BS192" s="138">
        <f t="shared" si="5308"/>
        <v>0</v>
      </c>
      <c r="BT192" s="110">
        <f t="shared" si="5309"/>
        <v>0</v>
      </c>
      <c r="BU192" s="110"/>
      <c r="BV192" s="139"/>
      <c r="BW192" s="140" t="e">
        <f t="shared" si="5310"/>
        <v>#DIV/0!</v>
      </c>
      <c r="BX192" s="198">
        <f t="shared" si="5263"/>
        <v>0</v>
      </c>
      <c r="BY192" s="225">
        <f t="shared" si="5264"/>
        <v>0</v>
      </c>
      <c r="BZ192" s="226">
        <f t="shared" si="5265"/>
        <v>0</v>
      </c>
      <c r="CA192" s="137">
        <f t="shared" si="5314"/>
        <v>0</v>
      </c>
      <c r="CB192" s="227">
        <f t="shared" si="5267"/>
        <v>744.63</v>
      </c>
      <c r="CC192" s="138">
        <f t="shared" si="5316"/>
        <v>0</v>
      </c>
      <c r="CD192" s="110">
        <f t="shared" si="5317"/>
        <v>0</v>
      </c>
      <c r="CE192" s="110"/>
      <c r="CF192" s="139"/>
      <c r="CG192" s="140" t="e">
        <f t="shared" si="5318"/>
        <v>#DIV/0!</v>
      </c>
      <c r="CH192" s="198">
        <f t="shared" si="5319"/>
        <v>0</v>
      </c>
      <c r="CI192" s="225">
        <f t="shared" si="5320"/>
        <v>0</v>
      </c>
      <c r="CJ192" s="226">
        <f t="shared" si="5321"/>
        <v>0</v>
      </c>
      <c r="CK192" s="137">
        <f t="shared" si="5322"/>
        <v>0</v>
      </c>
      <c r="CL192" s="227">
        <f t="shared" si="5323"/>
        <v>744.63</v>
      </c>
      <c r="CM192" s="138">
        <f t="shared" si="5324"/>
        <v>0</v>
      </c>
      <c r="CN192" s="110">
        <f t="shared" si="5325"/>
        <v>0</v>
      </c>
      <c r="CO192" s="110"/>
      <c r="CP192" s="139"/>
      <c r="CQ192" s="140" t="e">
        <f t="shared" si="5326"/>
        <v>#DIV/0!</v>
      </c>
      <c r="CR192" s="198">
        <f t="shared" si="5319"/>
        <v>0</v>
      </c>
      <c r="CS192" s="225">
        <f t="shared" si="5320"/>
        <v>0</v>
      </c>
      <c r="CT192" s="226">
        <f t="shared" si="5321"/>
        <v>0</v>
      </c>
      <c r="CU192" s="137">
        <f t="shared" si="5330"/>
        <v>0</v>
      </c>
      <c r="CV192" s="227">
        <f t="shared" si="5323"/>
        <v>744.63</v>
      </c>
      <c r="CW192" s="138">
        <f t="shared" si="5332"/>
        <v>0</v>
      </c>
      <c r="CX192" s="110">
        <f t="shared" si="5333"/>
        <v>0</v>
      </c>
      <c r="CY192" s="110"/>
      <c r="CZ192" s="139"/>
      <c r="DA192" s="140" t="e">
        <f t="shared" si="5334"/>
        <v>#DIV/0!</v>
      </c>
      <c r="DB192" s="198">
        <f t="shared" si="5319"/>
        <v>0</v>
      </c>
      <c r="DC192" s="225">
        <f t="shared" si="5320"/>
        <v>0</v>
      </c>
      <c r="DD192" s="226">
        <f t="shared" si="5321"/>
        <v>0</v>
      </c>
      <c r="DE192" s="137">
        <f t="shared" si="5338"/>
        <v>0</v>
      </c>
      <c r="DF192" s="227">
        <f t="shared" si="5323"/>
        <v>744.63</v>
      </c>
      <c r="DG192" s="138">
        <f t="shared" si="5340"/>
        <v>0</v>
      </c>
      <c r="DH192" s="110">
        <f t="shared" si="5341"/>
        <v>0</v>
      </c>
      <c r="DI192" s="110"/>
      <c r="DJ192" s="139"/>
      <c r="DK192" s="140" t="e">
        <f t="shared" si="5342"/>
        <v>#DIV/0!</v>
      </c>
      <c r="DL192" s="198">
        <f t="shared" si="5319"/>
        <v>0</v>
      </c>
      <c r="DM192" s="225">
        <f t="shared" si="5320"/>
        <v>0</v>
      </c>
      <c r="DN192" s="226">
        <f t="shared" si="5321"/>
        <v>0</v>
      </c>
      <c r="DO192" s="137">
        <f t="shared" si="5346"/>
        <v>0</v>
      </c>
      <c r="DP192" s="227">
        <f t="shared" si="5323"/>
        <v>744.63</v>
      </c>
      <c r="DQ192" s="138">
        <f t="shared" si="5348"/>
        <v>0</v>
      </c>
      <c r="DR192" s="110">
        <f t="shared" si="5349"/>
        <v>0</v>
      </c>
      <c r="DS192" s="110"/>
      <c r="DT192" s="139"/>
      <c r="DU192" s="140" t="e">
        <f t="shared" si="5350"/>
        <v>#DIV/0!</v>
      </c>
      <c r="DV192" s="198">
        <f t="shared" si="5319"/>
        <v>0</v>
      </c>
      <c r="DW192" s="225">
        <f t="shared" si="5320"/>
        <v>0</v>
      </c>
      <c r="DX192" s="226">
        <f t="shared" si="5321"/>
        <v>0</v>
      </c>
      <c r="DY192" s="137">
        <f t="shared" si="5354"/>
        <v>0</v>
      </c>
      <c r="DZ192" s="227">
        <f t="shared" si="5323"/>
        <v>389.62</v>
      </c>
      <c r="EA192" s="138">
        <f t="shared" si="5356"/>
        <v>0</v>
      </c>
      <c r="EB192" s="110">
        <f t="shared" si="5357"/>
        <v>0</v>
      </c>
      <c r="EC192" s="110"/>
      <c r="ED192" s="139"/>
      <c r="EE192" s="140" t="e">
        <f t="shared" si="5358"/>
        <v>#DIV/0!</v>
      </c>
      <c r="EF192" s="198">
        <f t="shared" si="5319"/>
        <v>0</v>
      </c>
      <c r="EG192" s="225">
        <f t="shared" si="5320"/>
        <v>0</v>
      </c>
      <c r="EH192" s="226">
        <f t="shared" si="5321"/>
        <v>0</v>
      </c>
      <c r="EI192" s="137">
        <f t="shared" si="5362"/>
        <v>0</v>
      </c>
      <c r="EJ192" s="227">
        <f t="shared" si="5323"/>
        <v>744.63</v>
      </c>
      <c r="EK192" s="138">
        <f t="shared" si="5364"/>
        <v>0</v>
      </c>
      <c r="EL192" s="110">
        <f t="shared" si="5365"/>
        <v>0</v>
      </c>
      <c r="EM192" s="110"/>
      <c r="EN192" s="139"/>
      <c r="EO192" s="140" t="e">
        <f t="shared" si="5366"/>
        <v>#DIV/0!</v>
      </c>
      <c r="EP192" s="198">
        <f t="shared" si="5319"/>
        <v>0</v>
      </c>
      <c r="EQ192" s="225">
        <f t="shared" si="5320"/>
        <v>0</v>
      </c>
      <c r="ER192" s="226">
        <f t="shared" si="5321"/>
        <v>0</v>
      </c>
      <c r="ES192" s="137">
        <f t="shared" si="5370"/>
        <v>0</v>
      </c>
      <c r="ET192" s="227">
        <f t="shared" si="5323"/>
        <v>744.63</v>
      </c>
      <c r="EU192" s="138">
        <f t="shared" si="5372"/>
        <v>0</v>
      </c>
      <c r="EV192" s="110">
        <f t="shared" si="5373"/>
        <v>0</v>
      </c>
      <c r="EW192" s="110"/>
      <c r="EX192" s="139"/>
      <c r="EY192" s="140" t="e">
        <f t="shared" si="5374"/>
        <v>#DIV/0!</v>
      </c>
      <c r="EZ192" s="198">
        <f t="shared" si="5375"/>
        <v>0</v>
      </c>
      <c r="FA192" s="225">
        <f t="shared" si="5376"/>
        <v>0</v>
      </c>
      <c r="FB192" s="226">
        <f t="shared" si="5377"/>
        <v>0</v>
      </c>
      <c r="FC192" s="137">
        <f t="shared" si="5378"/>
        <v>0</v>
      </c>
      <c r="FD192" s="227">
        <f t="shared" si="5379"/>
        <v>744.63</v>
      </c>
      <c r="FE192" s="138">
        <f t="shared" si="5380"/>
        <v>0</v>
      </c>
      <c r="FF192" s="110">
        <f t="shared" si="5381"/>
        <v>0</v>
      </c>
      <c r="FG192" s="110"/>
      <c r="FH192" s="139"/>
      <c r="FI192" s="140" t="e">
        <f t="shared" si="5382"/>
        <v>#DIV/0!</v>
      </c>
      <c r="FJ192" s="198">
        <f t="shared" si="5375"/>
        <v>0</v>
      </c>
      <c r="FK192" s="225">
        <f t="shared" si="5376"/>
        <v>0</v>
      </c>
      <c r="FL192" s="226">
        <f t="shared" si="5377"/>
        <v>0</v>
      </c>
      <c r="FM192" s="137">
        <f t="shared" si="5386"/>
        <v>0</v>
      </c>
      <c r="FN192" s="227">
        <f t="shared" si="5379"/>
        <v>744.63</v>
      </c>
      <c r="FO192" s="138">
        <f t="shared" si="5388"/>
        <v>0</v>
      </c>
      <c r="FP192" s="110">
        <f t="shared" si="5389"/>
        <v>0</v>
      </c>
      <c r="FQ192" s="110"/>
      <c r="FR192" s="139"/>
      <c r="FS192" s="140" t="e">
        <f t="shared" si="5390"/>
        <v>#DIV/0!</v>
      </c>
      <c r="FT192" s="198">
        <f t="shared" si="5375"/>
        <v>0</v>
      </c>
      <c r="FU192" s="225">
        <f t="shared" si="5376"/>
        <v>0</v>
      </c>
      <c r="FV192" s="226">
        <f t="shared" si="5377"/>
        <v>0</v>
      </c>
      <c r="FW192" s="137">
        <f t="shared" si="5394"/>
        <v>0</v>
      </c>
      <c r="FX192" s="227">
        <f t="shared" si="5379"/>
        <v>744.63</v>
      </c>
      <c r="FY192" s="138">
        <f t="shared" si="5396"/>
        <v>0</v>
      </c>
      <c r="FZ192" s="110">
        <f t="shared" si="5397"/>
        <v>0</v>
      </c>
      <c r="GA192" s="110"/>
      <c r="GB192" s="139"/>
      <c r="GC192" s="140" t="e">
        <f t="shared" si="5398"/>
        <v>#DIV/0!</v>
      </c>
      <c r="GD192" s="198">
        <f t="shared" si="5375"/>
        <v>0</v>
      </c>
      <c r="GE192" s="225">
        <f t="shared" si="5376"/>
        <v>0</v>
      </c>
      <c r="GF192" s="226">
        <f t="shared" si="5377"/>
        <v>0</v>
      </c>
      <c r="GG192" s="137">
        <f t="shared" si="5402"/>
        <v>0</v>
      </c>
      <c r="GH192" s="227">
        <f t="shared" si="5379"/>
        <v>744.63</v>
      </c>
      <c r="GI192" s="138">
        <f t="shared" si="5404"/>
        <v>0</v>
      </c>
      <c r="GJ192" s="110">
        <f t="shared" si="5405"/>
        <v>0</v>
      </c>
      <c r="GK192" s="110"/>
      <c r="GL192" s="139"/>
      <c r="GM192" s="140" t="e">
        <f t="shared" si="5406"/>
        <v>#DIV/0!</v>
      </c>
      <c r="GN192" s="198">
        <f t="shared" si="5407"/>
        <v>0</v>
      </c>
      <c r="GO192" s="225">
        <f t="shared" si="5408"/>
        <v>0</v>
      </c>
      <c r="GP192" s="226">
        <f t="shared" si="5409"/>
        <v>0</v>
      </c>
      <c r="GQ192" s="137">
        <f t="shared" si="5410"/>
        <v>0</v>
      </c>
      <c r="GR192" s="227">
        <f t="shared" si="5411"/>
        <v>744.63</v>
      </c>
      <c r="GS192" s="138">
        <f t="shared" si="5412"/>
        <v>0</v>
      </c>
      <c r="GT192" s="110">
        <f t="shared" si="5413"/>
        <v>0</v>
      </c>
      <c r="GU192" s="110"/>
      <c r="GV192" s="139"/>
      <c r="GW192" s="140" t="e">
        <f t="shared" si="5414"/>
        <v>#DIV/0!</v>
      </c>
      <c r="GX192" s="198">
        <f t="shared" si="5407"/>
        <v>0</v>
      </c>
      <c r="GY192" s="225">
        <f t="shared" si="5408"/>
        <v>0</v>
      </c>
      <c r="GZ192" s="226">
        <f t="shared" si="5409"/>
        <v>0</v>
      </c>
      <c r="HA192" s="137">
        <f t="shared" si="5418"/>
        <v>0</v>
      </c>
      <c r="HB192" s="227">
        <f t="shared" si="5411"/>
        <v>744.63</v>
      </c>
      <c r="HC192" s="138">
        <f t="shared" si="5420"/>
        <v>0</v>
      </c>
      <c r="HD192" s="110">
        <f t="shared" si="5421"/>
        <v>0</v>
      </c>
      <c r="HE192" s="110"/>
      <c r="HF192" s="139"/>
      <c r="HG192" s="140" t="e">
        <f t="shared" si="5422"/>
        <v>#DIV/0!</v>
      </c>
      <c r="HH192" s="198">
        <f t="shared" si="5407"/>
        <v>0</v>
      </c>
      <c r="HI192" s="225">
        <f t="shared" si="5408"/>
        <v>0</v>
      </c>
      <c r="HJ192" s="226">
        <f t="shared" si="5409"/>
        <v>0</v>
      </c>
      <c r="HK192" s="137">
        <f t="shared" si="5426"/>
        <v>0</v>
      </c>
      <c r="HL192" s="227">
        <f t="shared" si="5411"/>
        <v>731.29</v>
      </c>
      <c r="HM192" s="138">
        <f t="shared" si="5428"/>
        <v>0</v>
      </c>
      <c r="HN192" s="110">
        <f t="shared" si="5429"/>
        <v>0</v>
      </c>
      <c r="HO192" s="110"/>
      <c r="HP192" s="139"/>
      <c r="HQ192" s="140" t="e">
        <f t="shared" si="5430"/>
        <v>#DIV/0!</v>
      </c>
      <c r="HR192" s="198">
        <f t="shared" si="5407"/>
        <v>0</v>
      </c>
      <c r="HS192" s="225">
        <f t="shared" si="5408"/>
        <v>0</v>
      </c>
      <c r="HT192" s="226">
        <f t="shared" si="5409"/>
        <v>0</v>
      </c>
      <c r="HU192" s="137">
        <f t="shared" si="5434"/>
        <v>0</v>
      </c>
      <c r="HV192" s="227">
        <f t="shared" si="5411"/>
        <v>744.63</v>
      </c>
      <c r="HW192" s="138">
        <f t="shared" si="5436"/>
        <v>0</v>
      </c>
      <c r="HX192" s="110">
        <f t="shared" si="5437"/>
        <v>0</v>
      </c>
      <c r="HY192" s="110"/>
      <c r="HZ192" s="139"/>
      <c r="IA192" s="140" t="e">
        <f t="shared" si="5438"/>
        <v>#DIV/0!</v>
      </c>
      <c r="IB192" s="198">
        <f t="shared" si="5439"/>
        <v>0</v>
      </c>
      <c r="IC192" s="225">
        <f t="shared" si="5440"/>
        <v>0</v>
      </c>
      <c r="ID192" s="226">
        <f t="shared" si="5441"/>
        <v>0</v>
      </c>
      <c r="IE192" s="137">
        <f t="shared" si="5442"/>
        <v>0</v>
      </c>
      <c r="IF192" s="227">
        <f t="shared" si="5443"/>
        <v>744.63</v>
      </c>
      <c r="IG192" s="138">
        <f t="shared" si="5444"/>
        <v>0</v>
      </c>
      <c r="IH192" s="110">
        <f t="shared" si="5445"/>
        <v>0</v>
      </c>
      <c r="II192" s="110"/>
      <c r="IJ192" s="139"/>
      <c r="IK192" s="140" t="e">
        <f t="shared" si="5446"/>
        <v>#DIV/0!</v>
      </c>
      <c r="IL192" s="198">
        <f t="shared" si="5439"/>
        <v>0</v>
      </c>
      <c r="IM192" s="225">
        <f t="shared" si="5440"/>
        <v>0</v>
      </c>
      <c r="IN192" s="226">
        <f t="shared" si="5441"/>
        <v>0</v>
      </c>
      <c r="IO192" s="137">
        <f t="shared" si="5450"/>
        <v>0</v>
      </c>
      <c r="IP192" s="227">
        <f t="shared" si="5443"/>
        <v>678.72</v>
      </c>
      <c r="IQ192" s="138">
        <f t="shared" si="5452"/>
        <v>0</v>
      </c>
      <c r="IR192" s="110">
        <f t="shared" si="5453"/>
        <v>0</v>
      </c>
      <c r="IS192" s="110"/>
      <c r="IT192" s="139"/>
      <c r="IU192" s="140" t="e">
        <f t="shared" si="5454"/>
        <v>#DIV/0!</v>
      </c>
      <c r="IV192" s="198">
        <f t="shared" si="5439"/>
        <v>0</v>
      </c>
      <c r="IW192" s="225">
        <f t="shared" si="5440"/>
        <v>0</v>
      </c>
      <c r="IX192" s="226">
        <f t="shared" si="5441"/>
        <v>0</v>
      </c>
      <c r="IY192" s="137">
        <f t="shared" si="5458"/>
        <v>0</v>
      </c>
      <c r="IZ192" s="227">
        <f t="shared" si="5443"/>
        <v>744.63</v>
      </c>
      <c r="JA192" s="138">
        <f t="shared" si="5460"/>
        <v>0</v>
      </c>
      <c r="JB192" s="110">
        <f t="shared" si="5461"/>
        <v>0</v>
      </c>
      <c r="JC192" s="110"/>
      <c r="JD192" s="139"/>
      <c r="JE192" s="140" t="e">
        <f t="shared" si="5462"/>
        <v>#DIV/0!</v>
      </c>
      <c r="JF192" s="198">
        <f t="shared" si="5439"/>
        <v>0</v>
      </c>
      <c r="JG192" s="225">
        <f t="shared" si="5440"/>
        <v>0</v>
      </c>
      <c r="JH192" s="226">
        <f t="shared" si="5441"/>
        <v>0</v>
      </c>
      <c r="JI192" s="137">
        <f t="shared" si="5466"/>
        <v>0</v>
      </c>
      <c r="JJ192" s="227">
        <f t="shared" si="5443"/>
        <v>744.63</v>
      </c>
      <c r="JK192" s="138">
        <f t="shared" si="5468"/>
        <v>0</v>
      </c>
      <c r="JL192" s="110">
        <f t="shared" si="5469"/>
        <v>0</v>
      </c>
      <c r="JM192" s="110"/>
      <c r="JN192" s="139"/>
      <c r="JO192" s="140" t="e">
        <f t="shared" si="5470"/>
        <v>#DIV/0!</v>
      </c>
      <c r="JP192" s="198">
        <f t="shared" si="5471"/>
        <v>0</v>
      </c>
      <c r="JQ192" s="225">
        <f t="shared" si="5472"/>
        <v>0</v>
      </c>
      <c r="JR192" s="226">
        <f t="shared" si="5473"/>
        <v>0</v>
      </c>
      <c r="JS192" s="137">
        <f t="shared" si="5474"/>
        <v>0</v>
      </c>
      <c r="JT192" s="227">
        <f t="shared" si="5475"/>
        <v>744.63</v>
      </c>
      <c r="JU192" s="138">
        <f t="shared" si="5476"/>
        <v>0</v>
      </c>
      <c r="JV192" s="110">
        <f t="shared" si="5477"/>
        <v>0</v>
      </c>
      <c r="JW192" s="110"/>
      <c r="JX192" s="139"/>
      <c r="JY192" s="140" t="e">
        <f t="shared" si="5478"/>
        <v>#DIV/0!</v>
      </c>
      <c r="JZ192" s="198">
        <f t="shared" si="5471"/>
        <v>0</v>
      </c>
      <c r="KA192" s="225">
        <f t="shared" si="5472"/>
        <v>0</v>
      </c>
      <c r="KB192" s="226">
        <f t="shared" si="5473"/>
        <v>0</v>
      </c>
      <c r="KC192" s="137">
        <f t="shared" si="5482"/>
        <v>0</v>
      </c>
      <c r="KD192" s="227">
        <f t="shared" si="5475"/>
        <v>744.63</v>
      </c>
      <c r="KE192" s="138">
        <f t="shared" si="5484"/>
        <v>0</v>
      </c>
      <c r="KF192" s="110">
        <f t="shared" si="5485"/>
        <v>0</v>
      </c>
      <c r="KG192" s="110"/>
      <c r="KH192" s="139"/>
      <c r="KI192" s="140" t="e">
        <f t="shared" si="5486"/>
        <v>#DIV/0!</v>
      </c>
      <c r="KJ192" s="198">
        <f t="shared" si="5471"/>
        <v>0</v>
      </c>
      <c r="KK192" s="225">
        <f t="shared" si="5472"/>
        <v>0</v>
      </c>
      <c r="KL192" s="226">
        <f t="shared" si="5473"/>
        <v>0</v>
      </c>
      <c r="KM192" s="137">
        <f t="shared" si="5490"/>
        <v>0</v>
      </c>
      <c r="KN192" s="227">
        <f t="shared" si="5475"/>
        <v>744.63</v>
      </c>
      <c r="KO192" s="138">
        <f t="shared" si="5492"/>
        <v>0</v>
      </c>
      <c r="KP192" s="110">
        <f t="shared" si="5493"/>
        <v>0</v>
      </c>
      <c r="KQ192" s="110"/>
      <c r="KR192" s="139"/>
      <c r="KS192" s="140" t="e">
        <f t="shared" si="5494"/>
        <v>#DIV/0!</v>
      </c>
      <c r="KT192" s="198">
        <f t="shared" si="5471"/>
        <v>0</v>
      </c>
      <c r="KU192" s="225">
        <f t="shared" si="5472"/>
        <v>0</v>
      </c>
      <c r="KV192" s="226">
        <f t="shared" si="5473"/>
        <v>0</v>
      </c>
      <c r="KW192" s="137">
        <f t="shared" si="5498"/>
        <v>0</v>
      </c>
      <c r="KX192" s="227">
        <f t="shared" si="5475"/>
        <v>744.63</v>
      </c>
      <c r="KY192" s="138">
        <f t="shared" si="5500"/>
        <v>0</v>
      </c>
      <c r="KZ192" s="110">
        <f t="shared" si="5501"/>
        <v>0</v>
      </c>
      <c r="LA192" s="110"/>
      <c r="LB192" s="139"/>
      <c r="LC192" s="140" t="e">
        <f t="shared" si="5502"/>
        <v>#DIV/0!</v>
      </c>
      <c r="LD192" s="198">
        <f t="shared" si="5510"/>
        <v>0</v>
      </c>
      <c r="LE192" s="225">
        <f t="shared" si="5511"/>
        <v>0</v>
      </c>
      <c r="LF192" s="226">
        <f t="shared" si="5512"/>
        <v>0</v>
      </c>
      <c r="LG192" s="137">
        <f t="shared" si="5503"/>
        <v>0</v>
      </c>
      <c r="LH192" s="227">
        <f t="shared" si="5513"/>
        <v>733.76</v>
      </c>
      <c r="LI192" s="138">
        <f t="shared" si="5504"/>
        <v>0</v>
      </c>
      <c r="LJ192" s="110">
        <f t="shared" si="5505"/>
        <v>0</v>
      </c>
      <c r="LK192" s="110"/>
      <c r="LL192" s="139"/>
    </row>
    <row r="193" spans="1:324" ht="24" x14ac:dyDescent="0.25">
      <c r="A193" s="246"/>
      <c r="B193" s="12" t="s">
        <v>627</v>
      </c>
      <c r="C193" s="12" t="s">
        <v>729</v>
      </c>
      <c r="D193" s="12" t="s">
        <v>429</v>
      </c>
      <c r="E193" s="4" t="s">
        <v>32</v>
      </c>
      <c r="F193" s="198">
        <f t="shared" si="5506"/>
        <v>0</v>
      </c>
      <c r="G193" s="225">
        <f t="shared" si="5507"/>
        <v>0</v>
      </c>
      <c r="H193" s="226">
        <f t="shared" si="5508"/>
        <v>0</v>
      </c>
      <c r="I193" s="137">
        <f t="shared" si="5259"/>
        <v>0</v>
      </c>
      <c r="J193" s="227">
        <f t="shared" si="5509"/>
        <v>744.63</v>
      </c>
      <c r="K193" s="138">
        <f t="shared" si="5260"/>
        <v>0</v>
      </c>
      <c r="L193" s="110">
        <f t="shared" si="5261"/>
        <v>0</v>
      </c>
      <c r="M193" s="110"/>
      <c r="N193" s="139"/>
      <c r="O193" s="140">
        <f t="shared" si="5262"/>
        <v>0</v>
      </c>
      <c r="P193" s="198">
        <f t="shared" si="5263"/>
        <v>0</v>
      </c>
      <c r="Q193" s="225">
        <f t="shared" si="5264"/>
        <v>0</v>
      </c>
      <c r="R193" s="226">
        <f t="shared" si="5265"/>
        <v>0</v>
      </c>
      <c r="S193" s="137">
        <f t="shared" si="5266"/>
        <v>0</v>
      </c>
      <c r="T193" s="227">
        <f t="shared" si="5267"/>
        <v>744.63</v>
      </c>
      <c r="U193" s="138">
        <f t="shared" si="5268"/>
        <v>0</v>
      </c>
      <c r="V193" s="110">
        <f t="shared" si="5269"/>
        <v>0</v>
      </c>
      <c r="W193" s="110"/>
      <c r="X193" s="139"/>
      <c r="Y193" s="140">
        <f t="shared" si="5270"/>
        <v>0</v>
      </c>
      <c r="Z193" s="198">
        <f t="shared" si="5263"/>
        <v>0</v>
      </c>
      <c r="AA193" s="225">
        <f t="shared" si="5264"/>
        <v>0</v>
      </c>
      <c r="AB193" s="226">
        <f t="shared" si="5265"/>
        <v>0</v>
      </c>
      <c r="AC193" s="137">
        <f t="shared" si="5274"/>
        <v>0</v>
      </c>
      <c r="AD193" s="227">
        <f t="shared" si="5267"/>
        <v>744.63</v>
      </c>
      <c r="AE193" s="138">
        <f t="shared" si="5276"/>
        <v>0</v>
      </c>
      <c r="AF193" s="110">
        <f t="shared" si="5277"/>
        <v>0</v>
      </c>
      <c r="AG193" s="110"/>
      <c r="AH193" s="139"/>
      <c r="AI193" s="140">
        <f t="shared" si="5278"/>
        <v>0</v>
      </c>
      <c r="AJ193" s="198">
        <f t="shared" si="5263"/>
        <v>3</v>
      </c>
      <c r="AK193" s="225">
        <f t="shared" si="5264"/>
        <v>4.5100000000000001E-3</v>
      </c>
      <c r="AL193" s="226">
        <f t="shared" si="5265"/>
        <v>0.49</v>
      </c>
      <c r="AM193" s="137">
        <f t="shared" si="5282"/>
        <v>0.16333333</v>
      </c>
      <c r="AN193" s="227">
        <f t="shared" si="5267"/>
        <v>744.63</v>
      </c>
      <c r="AO193" s="138">
        <f t="shared" si="5284"/>
        <v>121.6229</v>
      </c>
      <c r="AP193" s="110">
        <f t="shared" si="5285"/>
        <v>364.87</v>
      </c>
      <c r="AQ193" s="110"/>
      <c r="AR193" s="139"/>
      <c r="AS193" s="140">
        <f t="shared" si="5286"/>
        <v>0.87009000000000003</v>
      </c>
      <c r="AT193" s="198">
        <f t="shared" si="5263"/>
        <v>0</v>
      </c>
      <c r="AU193" s="225">
        <f t="shared" si="5264"/>
        <v>0</v>
      </c>
      <c r="AV193" s="226">
        <f t="shared" si="5265"/>
        <v>0</v>
      </c>
      <c r="AW193" s="137">
        <f t="shared" si="5290"/>
        <v>0</v>
      </c>
      <c r="AX193" s="227">
        <f t="shared" si="5267"/>
        <v>744.63</v>
      </c>
      <c r="AY193" s="138">
        <f t="shared" si="5292"/>
        <v>0</v>
      </c>
      <c r="AZ193" s="110">
        <f t="shared" si="5293"/>
        <v>0</v>
      </c>
      <c r="BA193" s="110"/>
      <c r="BB193" s="139"/>
      <c r="BC193" s="140">
        <f t="shared" si="5294"/>
        <v>0</v>
      </c>
      <c r="BD193" s="198">
        <f t="shared" si="5263"/>
        <v>0</v>
      </c>
      <c r="BE193" s="225">
        <f t="shared" si="5264"/>
        <v>0</v>
      </c>
      <c r="BF193" s="226">
        <f t="shared" si="5265"/>
        <v>0</v>
      </c>
      <c r="BG193" s="137">
        <f t="shared" si="5298"/>
        <v>0</v>
      </c>
      <c r="BH193" s="227">
        <f t="shared" si="5267"/>
        <v>744.63</v>
      </c>
      <c r="BI193" s="138">
        <f t="shared" si="5300"/>
        <v>0</v>
      </c>
      <c r="BJ193" s="110">
        <f t="shared" si="5301"/>
        <v>0</v>
      </c>
      <c r="BK193" s="110"/>
      <c r="BL193" s="139"/>
      <c r="BM193" s="140">
        <f t="shared" si="5302"/>
        <v>0</v>
      </c>
      <c r="BN193" s="198">
        <f t="shared" si="5263"/>
        <v>0</v>
      </c>
      <c r="BO193" s="225">
        <f t="shared" si="5264"/>
        <v>0</v>
      </c>
      <c r="BP193" s="226">
        <f t="shared" si="5265"/>
        <v>0</v>
      </c>
      <c r="BQ193" s="137">
        <f t="shared" si="5306"/>
        <v>0</v>
      </c>
      <c r="BR193" s="227">
        <f t="shared" si="5267"/>
        <v>744.63</v>
      </c>
      <c r="BS193" s="138">
        <f t="shared" si="5308"/>
        <v>0</v>
      </c>
      <c r="BT193" s="110">
        <f t="shared" si="5309"/>
        <v>0</v>
      </c>
      <c r="BU193" s="110"/>
      <c r="BV193" s="139"/>
      <c r="BW193" s="140">
        <f t="shared" si="5310"/>
        <v>0</v>
      </c>
      <c r="BX193" s="198">
        <f t="shared" si="5263"/>
        <v>0</v>
      </c>
      <c r="BY193" s="225">
        <f t="shared" si="5264"/>
        <v>0</v>
      </c>
      <c r="BZ193" s="226">
        <f t="shared" si="5265"/>
        <v>0</v>
      </c>
      <c r="CA193" s="137">
        <f t="shared" si="5314"/>
        <v>0</v>
      </c>
      <c r="CB193" s="227">
        <f t="shared" si="5267"/>
        <v>744.63</v>
      </c>
      <c r="CC193" s="138">
        <f t="shared" si="5316"/>
        <v>0</v>
      </c>
      <c r="CD193" s="110">
        <f t="shared" si="5317"/>
        <v>0</v>
      </c>
      <c r="CE193" s="110"/>
      <c r="CF193" s="139"/>
      <c r="CG193" s="140">
        <f t="shared" si="5318"/>
        <v>0</v>
      </c>
      <c r="CH193" s="198">
        <f t="shared" si="5319"/>
        <v>0</v>
      </c>
      <c r="CI193" s="225">
        <f t="shared" si="5320"/>
        <v>0</v>
      </c>
      <c r="CJ193" s="226">
        <f t="shared" si="5321"/>
        <v>0</v>
      </c>
      <c r="CK193" s="137">
        <f t="shared" si="5322"/>
        <v>0</v>
      </c>
      <c r="CL193" s="227">
        <f t="shared" si="5323"/>
        <v>744.63</v>
      </c>
      <c r="CM193" s="138">
        <f t="shared" si="5324"/>
        <v>0</v>
      </c>
      <c r="CN193" s="110">
        <f t="shared" si="5325"/>
        <v>0</v>
      </c>
      <c r="CO193" s="110"/>
      <c r="CP193" s="139"/>
      <c r="CQ193" s="140">
        <f t="shared" si="5326"/>
        <v>0</v>
      </c>
      <c r="CR193" s="198">
        <f t="shared" si="5319"/>
        <v>2</v>
      </c>
      <c r="CS193" s="225">
        <f t="shared" si="5320"/>
        <v>2.6900000000000001E-3</v>
      </c>
      <c r="CT193" s="226">
        <f t="shared" si="5321"/>
        <v>0.32</v>
      </c>
      <c r="CU193" s="137">
        <f t="shared" si="5330"/>
        <v>0.16</v>
      </c>
      <c r="CV193" s="227">
        <f t="shared" si="5323"/>
        <v>744.63</v>
      </c>
      <c r="CW193" s="138">
        <f t="shared" si="5332"/>
        <v>119.1408</v>
      </c>
      <c r="CX193" s="110">
        <f t="shared" si="5333"/>
        <v>238.28</v>
      </c>
      <c r="CY193" s="110"/>
      <c r="CZ193" s="139"/>
      <c r="DA193" s="140">
        <f t="shared" si="5334"/>
        <v>0.85233999999999999</v>
      </c>
      <c r="DB193" s="198">
        <f t="shared" si="5319"/>
        <v>0</v>
      </c>
      <c r="DC193" s="225">
        <f t="shared" si="5320"/>
        <v>0</v>
      </c>
      <c r="DD193" s="226">
        <f t="shared" si="5321"/>
        <v>0</v>
      </c>
      <c r="DE193" s="137">
        <f t="shared" si="5338"/>
        <v>0</v>
      </c>
      <c r="DF193" s="227">
        <f t="shared" si="5323"/>
        <v>744.63</v>
      </c>
      <c r="DG193" s="138">
        <f t="shared" si="5340"/>
        <v>0</v>
      </c>
      <c r="DH193" s="110">
        <f t="shared" si="5341"/>
        <v>0</v>
      </c>
      <c r="DI193" s="110"/>
      <c r="DJ193" s="139"/>
      <c r="DK193" s="140">
        <f t="shared" si="5342"/>
        <v>0</v>
      </c>
      <c r="DL193" s="198">
        <f t="shared" si="5319"/>
        <v>0</v>
      </c>
      <c r="DM193" s="225">
        <f t="shared" si="5320"/>
        <v>0</v>
      </c>
      <c r="DN193" s="226">
        <f t="shared" si="5321"/>
        <v>0</v>
      </c>
      <c r="DO193" s="137">
        <f t="shared" si="5346"/>
        <v>0</v>
      </c>
      <c r="DP193" s="227">
        <f t="shared" si="5323"/>
        <v>744.63</v>
      </c>
      <c r="DQ193" s="138">
        <f t="shared" si="5348"/>
        <v>0</v>
      </c>
      <c r="DR193" s="110">
        <f t="shared" si="5349"/>
        <v>0</v>
      </c>
      <c r="DS193" s="110"/>
      <c r="DT193" s="139"/>
      <c r="DU193" s="140">
        <f t="shared" si="5350"/>
        <v>0</v>
      </c>
      <c r="DV193" s="198">
        <f t="shared" si="5319"/>
        <v>0</v>
      </c>
      <c r="DW193" s="225">
        <f t="shared" si="5320"/>
        <v>0</v>
      </c>
      <c r="DX193" s="226">
        <f t="shared" si="5321"/>
        <v>0</v>
      </c>
      <c r="DY193" s="137">
        <f t="shared" si="5354"/>
        <v>0</v>
      </c>
      <c r="DZ193" s="227">
        <f t="shared" si="5323"/>
        <v>389.62</v>
      </c>
      <c r="EA193" s="138">
        <f t="shared" si="5356"/>
        <v>0</v>
      </c>
      <c r="EB193" s="110">
        <f t="shared" si="5357"/>
        <v>0</v>
      </c>
      <c r="EC193" s="110"/>
      <c r="ED193" s="139"/>
      <c r="EE193" s="140">
        <f t="shared" si="5358"/>
        <v>0</v>
      </c>
      <c r="EF193" s="198">
        <f t="shared" si="5319"/>
        <v>2</v>
      </c>
      <c r="EG193" s="225">
        <f t="shared" si="5320"/>
        <v>2.1299999999999999E-3</v>
      </c>
      <c r="EH193" s="226">
        <f t="shared" si="5321"/>
        <v>0.23</v>
      </c>
      <c r="EI193" s="137">
        <f t="shared" si="5362"/>
        <v>0.115</v>
      </c>
      <c r="EJ193" s="227">
        <f t="shared" si="5323"/>
        <v>744.63</v>
      </c>
      <c r="EK193" s="138">
        <f t="shared" si="5364"/>
        <v>85.632450000000006</v>
      </c>
      <c r="EL193" s="110">
        <f t="shared" si="5365"/>
        <v>171.26</v>
      </c>
      <c r="EM193" s="110"/>
      <c r="EN193" s="139"/>
      <c r="EO193" s="140">
        <f t="shared" si="5366"/>
        <v>0.61262000000000005</v>
      </c>
      <c r="EP193" s="198">
        <f t="shared" si="5319"/>
        <v>2</v>
      </c>
      <c r="EQ193" s="225">
        <f t="shared" si="5320"/>
        <v>2.1199999999999999E-3</v>
      </c>
      <c r="ER193" s="226">
        <f t="shared" si="5321"/>
        <v>0.34</v>
      </c>
      <c r="ES193" s="137">
        <f t="shared" si="5370"/>
        <v>0.17</v>
      </c>
      <c r="ET193" s="227">
        <f t="shared" si="5323"/>
        <v>744.63</v>
      </c>
      <c r="EU193" s="138">
        <f t="shared" si="5372"/>
        <v>126.58710000000001</v>
      </c>
      <c r="EV193" s="110">
        <f t="shared" si="5373"/>
        <v>253.17</v>
      </c>
      <c r="EW193" s="110"/>
      <c r="EX193" s="139"/>
      <c r="EY193" s="140">
        <f t="shared" si="5374"/>
        <v>0.90561000000000003</v>
      </c>
      <c r="EZ193" s="198">
        <f t="shared" si="5375"/>
        <v>1</v>
      </c>
      <c r="FA193" s="225">
        <f t="shared" si="5376"/>
        <v>8.9999999999999998E-4</v>
      </c>
      <c r="FB193" s="226">
        <f t="shared" si="5377"/>
        <v>0.15</v>
      </c>
      <c r="FC193" s="137">
        <f t="shared" si="5378"/>
        <v>0.15</v>
      </c>
      <c r="FD193" s="227">
        <f t="shared" si="5379"/>
        <v>744.63</v>
      </c>
      <c r="FE193" s="138">
        <f t="shared" si="5380"/>
        <v>111.69450000000001</v>
      </c>
      <c r="FF193" s="110">
        <f t="shared" si="5381"/>
        <v>111.69</v>
      </c>
      <c r="FG193" s="110"/>
      <c r="FH193" s="139"/>
      <c r="FI193" s="140">
        <f t="shared" si="5382"/>
        <v>0.79906999999999995</v>
      </c>
      <c r="FJ193" s="198">
        <f t="shared" si="5375"/>
        <v>1</v>
      </c>
      <c r="FK193" s="225">
        <f t="shared" si="5376"/>
        <v>9.7999999999999997E-4</v>
      </c>
      <c r="FL193" s="226">
        <f t="shared" si="5377"/>
        <v>0.23</v>
      </c>
      <c r="FM193" s="137">
        <f t="shared" si="5386"/>
        <v>0.23</v>
      </c>
      <c r="FN193" s="227">
        <f t="shared" si="5379"/>
        <v>744.63</v>
      </c>
      <c r="FO193" s="138">
        <f t="shared" si="5388"/>
        <v>171.26490000000001</v>
      </c>
      <c r="FP193" s="110">
        <f t="shared" si="5389"/>
        <v>171.26</v>
      </c>
      <c r="FQ193" s="110"/>
      <c r="FR193" s="139"/>
      <c r="FS193" s="140">
        <f t="shared" si="5390"/>
        <v>1.22523</v>
      </c>
      <c r="FT193" s="198">
        <f t="shared" si="5375"/>
        <v>1</v>
      </c>
      <c r="FU193" s="225">
        <f t="shared" si="5376"/>
        <v>1.25E-3</v>
      </c>
      <c r="FV193" s="226">
        <f t="shared" si="5377"/>
        <v>0.2</v>
      </c>
      <c r="FW193" s="137">
        <f t="shared" si="5394"/>
        <v>0.2</v>
      </c>
      <c r="FX193" s="227">
        <f t="shared" si="5379"/>
        <v>744.63</v>
      </c>
      <c r="FY193" s="138">
        <f t="shared" si="5396"/>
        <v>148.92599999999999</v>
      </c>
      <c r="FZ193" s="110">
        <f t="shared" si="5397"/>
        <v>148.93</v>
      </c>
      <c r="GA193" s="110"/>
      <c r="GB193" s="139"/>
      <c r="GC193" s="140">
        <f t="shared" si="5398"/>
        <v>1.06542</v>
      </c>
      <c r="GD193" s="198">
        <f t="shared" si="5375"/>
        <v>2</v>
      </c>
      <c r="GE193" s="225">
        <f t="shared" si="5376"/>
        <v>3.9100000000000003E-3</v>
      </c>
      <c r="GF193" s="226">
        <f t="shared" si="5377"/>
        <v>0.42</v>
      </c>
      <c r="GG193" s="137">
        <f t="shared" si="5402"/>
        <v>0.21</v>
      </c>
      <c r="GH193" s="227">
        <f t="shared" si="5379"/>
        <v>744.63</v>
      </c>
      <c r="GI193" s="138">
        <f t="shared" si="5404"/>
        <v>156.3723</v>
      </c>
      <c r="GJ193" s="110">
        <f t="shared" si="5405"/>
        <v>312.74</v>
      </c>
      <c r="GK193" s="110"/>
      <c r="GL193" s="139"/>
      <c r="GM193" s="140">
        <f t="shared" si="5406"/>
        <v>1.11869</v>
      </c>
      <c r="GN193" s="198">
        <f t="shared" si="5407"/>
        <v>0</v>
      </c>
      <c r="GO193" s="225">
        <f t="shared" si="5408"/>
        <v>0</v>
      </c>
      <c r="GP193" s="226">
        <f t="shared" si="5409"/>
        <v>0</v>
      </c>
      <c r="GQ193" s="137">
        <f t="shared" si="5410"/>
        <v>0</v>
      </c>
      <c r="GR193" s="227">
        <f t="shared" si="5411"/>
        <v>744.63</v>
      </c>
      <c r="GS193" s="138">
        <f t="shared" si="5412"/>
        <v>0</v>
      </c>
      <c r="GT193" s="110">
        <f t="shared" si="5413"/>
        <v>0</v>
      </c>
      <c r="GU193" s="110"/>
      <c r="GV193" s="139"/>
      <c r="GW193" s="140">
        <f t="shared" si="5414"/>
        <v>0</v>
      </c>
      <c r="GX193" s="198">
        <f t="shared" si="5407"/>
        <v>0</v>
      </c>
      <c r="GY193" s="225">
        <f t="shared" si="5408"/>
        <v>0</v>
      </c>
      <c r="GZ193" s="226">
        <f t="shared" si="5409"/>
        <v>0</v>
      </c>
      <c r="HA193" s="137">
        <f t="shared" si="5418"/>
        <v>0</v>
      </c>
      <c r="HB193" s="227">
        <f t="shared" si="5411"/>
        <v>744.63</v>
      </c>
      <c r="HC193" s="138">
        <f t="shared" si="5420"/>
        <v>0</v>
      </c>
      <c r="HD193" s="110">
        <f t="shared" si="5421"/>
        <v>0</v>
      </c>
      <c r="HE193" s="110"/>
      <c r="HF193" s="139"/>
      <c r="HG193" s="140">
        <f t="shared" si="5422"/>
        <v>0</v>
      </c>
      <c r="HH193" s="198">
        <f t="shared" si="5407"/>
        <v>0</v>
      </c>
      <c r="HI193" s="225">
        <f t="shared" si="5408"/>
        <v>0</v>
      </c>
      <c r="HJ193" s="226">
        <f t="shared" si="5409"/>
        <v>0</v>
      </c>
      <c r="HK193" s="137">
        <f t="shared" si="5426"/>
        <v>0</v>
      </c>
      <c r="HL193" s="227">
        <f t="shared" si="5411"/>
        <v>731.29</v>
      </c>
      <c r="HM193" s="138">
        <f t="shared" si="5428"/>
        <v>0</v>
      </c>
      <c r="HN193" s="110">
        <f t="shared" si="5429"/>
        <v>0</v>
      </c>
      <c r="HO193" s="110"/>
      <c r="HP193" s="139"/>
      <c r="HQ193" s="140">
        <f t="shared" si="5430"/>
        <v>0</v>
      </c>
      <c r="HR193" s="198">
        <f t="shared" si="5407"/>
        <v>3</v>
      </c>
      <c r="HS193" s="225">
        <f t="shared" si="5408"/>
        <v>3.81E-3</v>
      </c>
      <c r="HT193" s="226">
        <f t="shared" si="5409"/>
        <v>0.41</v>
      </c>
      <c r="HU193" s="137">
        <f t="shared" si="5434"/>
        <v>0.13666666999999999</v>
      </c>
      <c r="HV193" s="227">
        <f t="shared" si="5411"/>
        <v>744.63</v>
      </c>
      <c r="HW193" s="138">
        <f t="shared" si="5436"/>
        <v>101.76609999999999</v>
      </c>
      <c r="HX193" s="110">
        <f t="shared" si="5437"/>
        <v>305.3</v>
      </c>
      <c r="HY193" s="110"/>
      <c r="HZ193" s="139"/>
      <c r="IA193" s="140">
        <f t="shared" si="5438"/>
        <v>0.72804000000000002</v>
      </c>
      <c r="IB193" s="198">
        <f t="shared" si="5439"/>
        <v>2</v>
      </c>
      <c r="IC193" s="225">
        <f t="shared" si="5440"/>
        <v>3.65E-3</v>
      </c>
      <c r="ID193" s="226">
        <f t="shared" si="5441"/>
        <v>0.66</v>
      </c>
      <c r="IE193" s="137">
        <f t="shared" si="5442"/>
        <v>0.33</v>
      </c>
      <c r="IF193" s="227">
        <f t="shared" si="5443"/>
        <v>744.63</v>
      </c>
      <c r="IG193" s="138">
        <f t="shared" si="5444"/>
        <v>245.72790000000001</v>
      </c>
      <c r="IH193" s="110">
        <f t="shared" si="5445"/>
        <v>491.46</v>
      </c>
      <c r="II193" s="110"/>
      <c r="IJ193" s="139"/>
      <c r="IK193" s="140">
        <f t="shared" si="5446"/>
        <v>1.7579499999999999</v>
      </c>
      <c r="IL193" s="198">
        <f t="shared" si="5439"/>
        <v>0</v>
      </c>
      <c r="IM193" s="225">
        <f t="shared" si="5440"/>
        <v>0</v>
      </c>
      <c r="IN193" s="226">
        <f t="shared" si="5441"/>
        <v>0</v>
      </c>
      <c r="IO193" s="137">
        <f t="shared" si="5450"/>
        <v>0</v>
      </c>
      <c r="IP193" s="227">
        <f t="shared" si="5443"/>
        <v>678.72</v>
      </c>
      <c r="IQ193" s="138">
        <f t="shared" si="5452"/>
        <v>0</v>
      </c>
      <c r="IR193" s="110">
        <f t="shared" si="5453"/>
        <v>0</v>
      </c>
      <c r="IS193" s="110"/>
      <c r="IT193" s="139"/>
      <c r="IU193" s="140">
        <f t="shared" si="5454"/>
        <v>0</v>
      </c>
      <c r="IV193" s="198">
        <f t="shared" si="5439"/>
        <v>14</v>
      </c>
      <c r="IW193" s="225">
        <f t="shared" si="5440"/>
        <v>1.8159999999999999E-2</v>
      </c>
      <c r="IX193" s="226">
        <f t="shared" si="5441"/>
        <v>2.83</v>
      </c>
      <c r="IY193" s="137">
        <f t="shared" si="5458"/>
        <v>0.20214286000000001</v>
      </c>
      <c r="IZ193" s="227">
        <f t="shared" si="5443"/>
        <v>744.63</v>
      </c>
      <c r="JA193" s="138">
        <f t="shared" si="5460"/>
        <v>150.52163999999999</v>
      </c>
      <c r="JB193" s="110">
        <f t="shared" si="5461"/>
        <v>2107.3000000000002</v>
      </c>
      <c r="JC193" s="110"/>
      <c r="JD193" s="139"/>
      <c r="JE193" s="140">
        <f t="shared" si="5462"/>
        <v>1.07684</v>
      </c>
      <c r="JF193" s="198">
        <f t="shared" si="5439"/>
        <v>3</v>
      </c>
      <c r="JG193" s="225">
        <f t="shared" si="5440"/>
        <v>2.2399999999999998E-3</v>
      </c>
      <c r="JH193" s="226">
        <f t="shared" si="5441"/>
        <v>0.67</v>
      </c>
      <c r="JI193" s="137">
        <f t="shared" si="5466"/>
        <v>0.22333333</v>
      </c>
      <c r="JJ193" s="227">
        <f t="shared" si="5443"/>
        <v>744.63</v>
      </c>
      <c r="JK193" s="138">
        <f t="shared" si="5468"/>
        <v>166.30070000000001</v>
      </c>
      <c r="JL193" s="110">
        <f t="shared" si="5469"/>
        <v>498.9</v>
      </c>
      <c r="JM193" s="110"/>
      <c r="JN193" s="139"/>
      <c r="JO193" s="140">
        <f t="shared" si="5470"/>
        <v>1.1897200000000001</v>
      </c>
      <c r="JP193" s="198">
        <f t="shared" si="5471"/>
        <v>2</v>
      </c>
      <c r="JQ193" s="225">
        <f t="shared" si="5472"/>
        <v>1.6000000000000001E-3</v>
      </c>
      <c r="JR193" s="226">
        <f t="shared" si="5473"/>
        <v>0.36</v>
      </c>
      <c r="JS193" s="137">
        <f t="shared" si="5474"/>
        <v>0.18</v>
      </c>
      <c r="JT193" s="227">
        <f t="shared" si="5475"/>
        <v>744.63</v>
      </c>
      <c r="JU193" s="138">
        <f t="shared" si="5476"/>
        <v>134.0334</v>
      </c>
      <c r="JV193" s="110">
        <f t="shared" si="5477"/>
        <v>268.07</v>
      </c>
      <c r="JW193" s="110"/>
      <c r="JX193" s="139"/>
      <c r="JY193" s="140">
        <f t="shared" si="5478"/>
        <v>0.95887999999999995</v>
      </c>
      <c r="JZ193" s="198">
        <f t="shared" si="5471"/>
        <v>0</v>
      </c>
      <c r="KA193" s="225">
        <f t="shared" si="5472"/>
        <v>0</v>
      </c>
      <c r="KB193" s="226">
        <f t="shared" si="5473"/>
        <v>0</v>
      </c>
      <c r="KC193" s="137">
        <f t="shared" si="5482"/>
        <v>0</v>
      </c>
      <c r="KD193" s="227">
        <f t="shared" si="5475"/>
        <v>744.63</v>
      </c>
      <c r="KE193" s="138">
        <f t="shared" si="5484"/>
        <v>0</v>
      </c>
      <c r="KF193" s="110">
        <f t="shared" si="5485"/>
        <v>0</v>
      </c>
      <c r="KG193" s="110"/>
      <c r="KH193" s="139"/>
      <c r="KI193" s="140">
        <f t="shared" si="5486"/>
        <v>0</v>
      </c>
      <c r="KJ193" s="198">
        <f t="shared" si="5471"/>
        <v>0</v>
      </c>
      <c r="KK193" s="225">
        <f t="shared" si="5472"/>
        <v>0</v>
      </c>
      <c r="KL193" s="226">
        <f t="shared" si="5473"/>
        <v>0</v>
      </c>
      <c r="KM193" s="137">
        <f t="shared" si="5490"/>
        <v>0</v>
      </c>
      <c r="KN193" s="227">
        <f t="shared" si="5475"/>
        <v>744.63</v>
      </c>
      <c r="KO193" s="138">
        <f t="shared" si="5492"/>
        <v>0</v>
      </c>
      <c r="KP193" s="110">
        <f t="shared" si="5493"/>
        <v>0</v>
      </c>
      <c r="KQ193" s="110"/>
      <c r="KR193" s="139"/>
      <c r="KS193" s="140">
        <f t="shared" si="5494"/>
        <v>0</v>
      </c>
      <c r="KT193" s="198">
        <f t="shared" si="5471"/>
        <v>2</v>
      </c>
      <c r="KU193" s="225">
        <f t="shared" si="5472"/>
        <v>1.7799999999999999E-3</v>
      </c>
      <c r="KV193" s="226">
        <f t="shared" si="5473"/>
        <v>0.59</v>
      </c>
      <c r="KW193" s="137">
        <f t="shared" si="5498"/>
        <v>0.29499999999999998</v>
      </c>
      <c r="KX193" s="227">
        <f t="shared" si="5475"/>
        <v>744.63</v>
      </c>
      <c r="KY193" s="138">
        <f t="shared" si="5500"/>
        <v>219.66585000000001</v>
      </c>
      <c r="KZ193" s="110">
        <f t="shared" si="5501"/>
        <v>439.33</v>
      </c>
      <c r="LA193" s="110"/>
      <c r="LB193" s="139"/>
      <c r="LC193" s="140">
        <f t="shared" si="5502"/>
        <v>1.5714999999999999</v>
      </c>
      <c r="LD193" s="198">
        <f t="shared" si="5510"/>
        <v>40</v>
      </c>
      <c r="LE193" s="225">
        <f t="shared" si="5511"/>
        <v>1.4E-3</v>
      </c>
      <c r="LF193" s="226">
        <f t="shared" si="5512"/>
        <v>7.62</v>
      </c>
      <c r="LG193" s="137">
        <f t="shared" si="5503"/>
        <v>0.1905</v>
      </c>
      <c r="LH193" s="227">
        <f t="shared" si="5513"/>
        <v>733.76</v>
      </c>
      <c r="LI193" s="138">
        <f t="shared" si="5504"/>
        <v>139.78128000000001</v>
      </c>
      <c r="LJ193" s="110">
        <f t="shared" si="5505"/>
        <v>5591.25</v>
      </c>
      <c r="LK193" s="110"/>
      <c r="LL193" s="139"/>
    </row>
    <row r="194" spans="1:324" ht="24" hidden="1" x14ac:dyDescent="0.25">
      <c r="A194" s="246"/>
      <c r="B194" s="92" t="s">
        <v>608</v>
      </c>
      <c r="C194" s="12" t="s">
        <v>729</v>
      </c>
      <c r="D194" s="12" t="s">
        <v>429</v>
      </c>
      <c r="E194" s="4" t="s">
        <v>32</v>
      </c>
      <c r="F194" s="198">
        <f t="shared" si="5506"/>
        <v>0</v>
      </c>
      <c r="G194" s="225">
        <f t="shared" si="5507"/>
        <v>0</v>
      </c>
      <c r="H194" s="226">
        <f t="shared" si="5508"/>
        <v>0</v>
      </c>
      <c r="I194" s="137">
        <f t="shared" si="5259"/>
        <v>0</v>
      </c>
      <c r="J194" s="227">
        <f t="shared" si="5509"/>
        <v>744.63</v>
      </c>
      <c r="K194" s="138">
        <f t="shared" si="5260"/>
        <v>0</v>
      </c>
      <c r="L194" s="110">
        <f t="shared" si="5261"/>
        <v>0</v>
      </c>
      <c r="M194" s="110"/>
      <c r="N194" s="139"/>
      <c r="O194" s="140" t="e">
        <f t="shared" si="5262"/>
        <v>#DIV/0!</v>
      </c>
      <c r="P194" s="198">
        <f t="shared" si="5263"/>
        <v>0</v>
      </c>
      <c r="Q194" s="225">
        <f t="shared" si="5264"/>
        <v>0</v>
      </c>
      <c r="R194" s="226">
        <f t="shared" si="5265"/>
        <v>0</v>
      </c>
      <c r="S194" s="137">
        <f t="shared" si="5266"/>
        <v>0</v>
      </c>
      <c r="T194" s="227">
        <f t="shared" si="5267"/>
        <v>744.63</v>
      </c>
      <c r="U194" s="138">
        <f t="shared" si="5268"/>
        <v>0</v>
      </c>
      <c r="V194" s="110">
        <f t="shared" si="5269"/>
        <v>0</v>
      </c>
      <c r="W194" s="110"/>
      <c r="X194" s="139"/>
      <c r="Y194" s="140" t="e">
        <f t="shared" si="5270"/>
        <v>#DIV/0!</v>
      </c>
      <c r="Z194" s="198">
        <f t="shared" si="5263"/>
        <v>0</v>
      </c>
      <c r="AA194" s="225">
        <f t="shared" si="5264"/>
        <v>0</v>
      </c>
      <c r="AB194" s="226">
        <f t="shared" si="5265"/>
        <v>0</v>
      </c>
      <c r="AC194" s="137">
        <f t="shared" si="5274"/>
        <v>0</v>
      </c>
      <c r="AD194" s="227">
        <f t="shared" si="5267"/>
        <v>744.63</v>
      </c>
      <c r="AE194" s="138">
        <f t="shared" si="5276"/>
        <v>0</v>
      </c>
      <c r="AF194" s="110">
        <f t="shared" si="5277"/>
        <v>0</v>
      </c>
      <c r="AG194" s="110"/>
      <c r="AH194" s="139"/>
      <c r="AI194" s="140" t="e">
        <f t="shared" si="5278"/>
        <v>#DIV/0!</v>
      </c>
      <c r="AJ194" s="198">
        <f t="shared" si="5263"/>
        <v>0</v>
      </c>
      <c r="AK194" s="225">
        <f t="shared" si="5264"/>
        <v>0</v>
      </c>
      <c r="AL194" s="226">
        <f t="shared" si="5265"/>
        <v>0</v>
      </c>
      <c r="AM194" s="137">
        <f t="shared" si="5282"/>
        <v>0</v>
      </c>
      <c r="AN194" s="227">
        <f t="shared" si="5267"/>
        <v>744.63</v>
      </c>
      <c r="AO194" s="138">
        <f t="shared" si="5284"/>
        <v>0</v>
      </c>
      <c r="AP194" s="110">
        <f t="shared" si="5285"/>
        <v>0</v>
      </c>
      <c r="AQ194" s="110"/>
      <c r="AR194" s="139"/>
      <c r="AS194" s="140" t="e">
        <f t="shared" si="5286"/>
        <v>#DIV/0!</v>
      </c>
      <c r="AT194" s="198">
        <f t="shared" si="5263"/>
        <v>0</v>
      </c>
      <c r="AU194" s="225">
        <f t="shared" si="5264"/>
        <v>0</v>
      </c>
      <c r="AV194" s="226">
        <f t="shared" si="5265"/>
        <v>0</v>
      </c>
      <c r="AW194" s="137">
        <f t="shared" si="5290"/>
        <v>0</v>
      </c>
      <c r="AX194" s="227">
        <f t="shared" si="5267"/>
        <v>744.63</v>
      </c>
      <c r="AY194" s="138">
        <f t="shared" si="5292"/>
        <v>0</v>
      </c>
      <c r="AZ194" s="110">
        <f t="shared" si="5293"/>
        <v>0</v>
      </c>
      <c r="BA194" s="110"/>
      <c r="BB194" s="139"/>
      <c r="BC194" s="140" t="e">
        <f t="shared" si="5294"/>
        <v>#DIV/0!</v>
      </c>
      <c r="BD194" s="198">
        <f t="shared" si="5263"/>
        <v>0</v>
      </c>
      <c r="BE194" s="225">
        <f t="shared" si="5264"/>
        <v>0</v>
      </c>
      <c r="BF194" s="226">
        <f t="shared" si="5265"/>
        <v>0</v>
      </c>
      <c r="BG194" s="137">
        <f t="shared" si="5298"/>
        <v>0</v>
      </c>
      <c r="BH194" s="227">
        <f t="shared" si="5267"/>
        <v>744.63</v>
      </c>
      <c r="BI194" s="138">
        <f t="shared" si="5300"/>
        <v>0</v>
      </c>
      <c r="BJ194" s="110">
        <f t="shared" si="5301"/>
        <v>0</v>
      </c>
      <c r="BK194" s="110"/>
      <c r="BL194" s="139"/>
      <c r="BM194" s="140" t="e">
        <f t="shared" si="5302"/>
        <v>#DIV/0!</v>
      </c>
      <c r="BN194" s="198">
        <f t="shared" si="5263"/>
        <v>0</v>
      </c>
      <c r="BO194" s="225">
        <f t="shared" si="5264"/>
        <v>0</v>
      </c>
      <c r="BP194" s="226">
        <f t="shared" si="5265"/>
        <v>0</v>
      </c>
      <c r="BQ194" s="137">
        <f t="shared" si="5306"/>
        <v>0</v>
      </c>
      <c r="BR194" s="227">
        <f t="shared" si="5267"/>
        <v>744.63</v>
      </c>
      <c r="BS194" s="138">
        <f t="shared" si="5308"/>
        <v>0</v>
      </c>
      <c r="BT194" s="110">
        <f t="shared" si="5309"/>
        <v>0</v>
      </c>
      <c r="BU194" s="110"/>
      <c r="BV194" s="139"/>
      <c r="BW194" s="140" t="e">
        <f t="shared" si="5310"/>
        <v>#DIV/0!</v>
      </c>
      <c r="BX194" s="198">
        <f t="shared" si="5263"/>
        <v>0</v>
      </c>
      <c r="BY194" s="225">
        <f t="shared" si="5264"/>
        <v>0</v>
      </c>
      <c r="BZ194" s="226">
        <f t="shared" si="5265"/>
        <v>0</v>
      </c>
      <c r="CA194" s="137">
        <f t="shared" si="5314"/>
        <v>0</v>
      </c>
      <c r="CB194" s="227">
        <f t="shared" si="5267"/>
        <v>744.63</v>
      </c>
      <c r="CC194" s="138">
        <f t="shared" si="5316"/>
        <v>0</v>
      </c>
      <c r="CD194" s="110">
        <f t="shared" si="5317"/>
        <v>0</v>
      </c>
      <c r="CE194" s="110"/>
      <c r="CF194" s="139"/>
      <c r="CG194" s="140" t="e">
        <f t="shared" si="5318"/>
        <v>#DIV/0!</v>
      </c>
      <c r="CH194" s="198">
        <f t="shared" si="5319"/>
        <v>0</v>
      </c>
      <c r="CI194" s="225">
        <f t="shared" si="5320"/>
        <v>0</v>
      </c>
      <c r="CJ194" s="226">
        <f t="shared" si="5321"/>
        <v>0</v>
      </c>
      <c r="CK194" s="137">
        <f t="shared" si="5322"/>
        <v>0</v>
      </c>
      <c r="CL194" s="227">
        <f t="shared" si="5323"/>
        <v>744.63</v>
      </c>
      <c r="CM194" s="138">
        <f t="shared" si="5324"/>
        <v>0</v>
      </c>
      <c r="CN194" s="110">
        <f t="shared" si="5325"/>
        <v>0</v>
      </c>
      <c r="CO194" s="110"/>
      <c r="CP194" s="139"/>
      <c r="CQ194" s="140" t="e">
        <f t="shared" si="5326"/>
        <v>#DIV/0!</v>
      </c>
      <c r="CR194" s="198">
        <f t="shared" si="5319"/>
        <v>0</v>
      </c>
      <c r="CS194" s="225">
        <f t="shared" si="5320"/>
        <v>0</v>
      </c>
      <c r="CT194" s="226">
        <f t="shared" si="5321"/>
        <v>0</v>
      </c>
      <c r="CU194" s="137">
        <f t="shared" si="5330"/>
        <v>0</v>
      </c>
      <c r="CV194" s="227">
        <f t="shared" si="5323"/>
        <v>744.63</v>
      </c>
      <c r="CW194" s="138">
        <f t="shared" si="5332"/>
        <v>0</v>
      </c>
      <c r="CX194" s="110">
        <f t="shared" si="5333"/>
        <v>0</v>
      </c>
      <c r="CY194" s="110"/>
      <c r="CZ194" s="139"/>
      <c r="DA194" s="140" t="e">
        <f t="shared" si="5334"/>
        <v>#DIV/0!</v>
      </c>
      <c r="DB194" s="198">
        <f t="shared" si="5319"/>
        <v>0</v>
      </c>
      <c r="DC194" s="225">
        <f t="shared" si="5320"/>
        <v>0</v>
      </c>
      <c r="DD194" s="226">
        <f t="shared" si="5321"/>
        <v>0</v>
      </c>
      <c r="DE194" s="137">
        <f t="shared" si="5338"/>
        <v>0</v>
      </c>
      <c r="DF194" s="227">
        <f t="shared" si="5323"/>
        <v>744.63</v>
      </c>
      <c r="DG194" s="138">
        <f t="shared" si="5340"/>
        <v>0</v>
      </c>
      <c r="DH194" s="110">
        <f t="shared" si="5341"/>
        <v>0</v>
      </c>
      <c r="DI194" s="110"/>
      <c r="DJ194" s="139"/>
      <c r="DK194" s="140" t="e">
        <f t="shared" si="5342"/>
        <v>#DIV/0!</v>
      </c>
      <c r="DL194" s="198">
        <f t="shared" si="5319"/>
        <v>0</v>
      </c>
      <c r="DM194" s="225">
        <f t="shared" si="5320"/>
        <v>0</v>
      </c>
      <c r="DN194" s="226">
        <f t="shared" si="5321"/>
        <v>0</v>
      </c>
      <c r="DO194" s="137">
        <f t="shared" si="5346"/>
        <v>0</v>
      </c>
      <c r="DP194" s="227">
        <f t="shared" si="5323"/>
        <v>744.63</v>
      </c>
      <c r="DQ194" s="138">
        <f t="shared" si="5348"/>
        <v>0</v>
      </c>
      <c r="DR194" s="110">
        <f t="shared" si="5349"/>
        <v>0</v>
      </c>
      <c r="DS194" s="110"/>
      <c r="DT194" s="139"/>
      <c r="DU194" s="140" t="e">
        <f t="shared" si="5350"/>
        <v>#DIV/0!</v>
      </c>
      <c r="DV194" s="198">
        <f t="shared" si="5319"/>
        <v>0</v>
      </c>
      <c r="DW194" s="225">
        <f t="shared" si="5320"/>
        <v>0</v>
      </c>
      <c r="DX194" s="226">
        <f t="shared" si="5321"/>
        <v>0</v>
      </c>
      <c r="DY194" s="137">
        <f t="shared" si="5354"/>
        <v>0</v>
      </c>
      <c r="DZ194" s="227">
        <f t="shared" si="5323"/>
        <v>389.62</v>
      </c>
      <c r="EA194" s="138">
        <f t="shared" si="5356"/>
        <v>0</v>
      </c>
      <c r="EB194" s="110">
        <f t="shared" si="5357"/>
        <v>0</v>
      </c>
      <c r="EC194" s="110"/>
      <c r="ED194" s="139"/>
      <c r="EE194" s="140" t="e">
        <f t="shared" si="5358"/>
        <v>#DIV/0!</v>
      </c>
      <c r="EF194" s="198">
        <f t="shared" si="5319"/>
        <v>0</v>
      </c>
      <c r="EG194" s="225">
        <f t="shared" si="5320"/>
        <v>0</v>
      </c>
      <c r="EH194" s="226">
        <f t="shared" si="5321"/>
        <v>0</v>
      </c>
      <c r="EI194" s="137">
        <f t="shared" si="5362"/>
        <v>0</v>
      </c>
      <c r="EJ194" s="227">
        <f t="shared" si="5323"/>
        <v>744.63</v>
      </c>
      <c r="EK194" s="138">
        <f t="shared" si="5364"/>
        <v>0</v>
      </c>
      <c r="EL194" s="110">
        <f t="shared" si="5365"/>
        <v>0</v>
      </c>
      <c r="EM194" s="110"/>
      <c r="EN194" s="139"/>
      <c r="EO194" s="140" t="e">
        <f t="shared" si="5366"/>
        <v>#DIV/0!</v>
      </c>
      <c r="EP194" s="198">
        <f t="shared" si="5319"/>
        <v>0</v>
      </c>
      <c r="EQ194" s="225">
        <f t="shared" si="5320"/>
        <v>0</v>
      </c>
      <c r="ER194" s="226">
        <f t="shared" si="5321"/>
        <v>0</v>
      </c>
      <c r="ES194" s="137">
        <f t="shared" si="5370"/>
        <v>0</v>
      </c>
      <c r="ET194" s="227">
        <f t="shared" si="5323"/>
        <v>744.63</v>
      </c>
      <c r="EU194" s="138">
        <f t="shared" si="5372"/>
        <v>0</v>
      </c>
      <c r="EV194" s="110">
        <f t="shared" si="5373"/>
        <v>0</v>
      </c>
      <c r="EW194" s="110"/>
      <c r="EX194" s="139"/>
      <c r="EY194" s="140" t="e">
        <f t="shared" si="5374"/>
        <v>#DIV/0!</v>
      </c>
      <c r="EZ194" s="198">
        <f t="shared" si="5375"/>
        <v>0</v>
      </c>
      <c r="FA194" s="225">
        <f t="shared" si="5376"/>
        <v>0</v>
      </c>
      <c r="FB194" s="226">
        <f t="shared" si="5377"/>
        <v>0</v>
      </c>
      <c r="FC194" s="137">
        <f t="shared" si="5378"/>
        <v>0</v>
      </c>
      <c r="FD194" s="227">
        <f t="shared" si="5379"/>
        <v>744.63</v>
      </c>
      <c r="FE194" s="138">
        <f t="shared" si="5380"/>
        <v>0</v>
      </c>
      <c r="FF194" s="110">
        <f t="shared" si="5381"/>
        <v>0</v>
      </c>
      <c r="FG194" s="110"/>
      <c r="FH194" s="139"/>
      <c r="FI194" s="140" t="e">
        <f t="shared" si="5382"/>
        <v>#DIV/0!</v>
      </c>
      <c r="FJ194" s="198">
        <f t="shared" si="5375"/>
        <v>0</v>
      </c>
      <c r="FK194" s="225">
        <f t="shared" si="5376"/>
        <v>0</v>
      </c>
      <c r="FL194" s="226">
        <f t="shared" si="5377"/>
        <v>0</v>
      </c>
      <c r="FM194" s="137">
        <f t="shared" si="5386"/>
        <v>0</v>
      </c>
      <c r="FN194" s="227">
        <f t="shared" si="5379"/>
        <v>744.63</v>
      </c>
      <c r="FO194" s="138">
        <f t="shared" si="5388"/>
        <v>0</v>
      </c>
      <c r="FP194" s="110">
        <f t="shared" si="5389"/>
        <v>0</v>
      </c>
      <c r="FQ194" s="110"/>
      <c r="FR194" s="139"/>
      <c r="FS194" s="140" t="e">
        <f t="shared" si="5390"/>
        <v>#DIV/0!</v>
      </c>
      <c r="FT194" s="198">
        <f t="shared" si="5375"/>
        <v>0</v>
      </c>
      <c r="FU194" s="225">
        <f t="shared" si="5376"/>
        <v>0</v>
      </c>
      <c r="FV194" s="226">
        <f t="shared" si="5377"/>
        <v>0</v>
      </c>
      <c r="FW194" s="137">
        <f t="shared" si="5394"/>
        <v>0</v>
      </c>
      <c r="FX194" s="227">
        <f t="shared" si="5379"/>
        <v>744.63</v>
      </c>
      <c r="FY194" s="138">
        <f t="shared" si="5396"/>
        <v>0</v>
      </c>
      <c r="FZ194" s="110">
        <f t="shared" si="5397"/>
        <v>0</v>
      </c>
      <c r="GA194" s="110"/>
      <c r="GB194" s="139"/>
      <c r="GC194" s="140" t="e">
        <f t="shared" si="5398"/>
        <v>#DIV/0!</v>
      </c>
      <c r="GD194" s="198">
        <f t="shared" si="5375"/>
        <v>0</v>
      </c>
      <c r="GE194" s="225">
        <f t="shared" si="5376"/>
        <v>0</v>
      </c>
      <c r="GF194" s="226">
        <f t="shared" si="5377"/>
        <v>0</v>
      </c>
      <c r="GG194" s="137">
        <f t="shared" si="5402"/>
        <v>0</v>
      </c>
      <c r="GH194" s="227">
        <f t="shared" si="5379"/>
        <v>744.63</v>
      </c>
      <c r="GI194" s="138">
        <f t="shared" si="5404"/>
        <v>0</v>
      </c>
      <c r="GJ194" s="110">
        <f t="shared" si="5405"/>
        <v>0</v>
      </c>
      <c r="GK194" s="110"/>
      <c r="GL194" s="139"/>
      <c r="GM194" s="140" t="e">
        <f t="shared" si="5406"/>
        <v>#DIV/0!</v>
      </c>
      <c r="GN194" s="198">
        <f t="shared" si="5407"/>
        <v>0</v>
      </c>
      <c r="GO194" s="225">
        <f t="shared" si="5408"/>
        <v>0</v>
      </c>
      <c r="GP194" s="226">
        <f t="shared" si="5409"/>
        <v>0</v>
      </c>
      <c r="GQ194" s="137">
        <f t="shared" si="5410"/>
        <v>0</v>
      </c>
      <c r="GR194" s="227">
        <f t="shared" si="5411"/>
        <v>744.63</v>
      </c>
      <c r="GS194" s="138">
        <f t="shared" si="5412"/>
        <v>0</v>
      </c>
      <c r="GT194" s="110">
        <f t="shared" si="5413"/>
        <v>0</v>
      </c>
      <c r="GU194" s="110"/>
      <c r="GV194" s="139"/>
      <c r="GW194" s="140" t="e">
        <f t="shared" si="5414"/>
        <v>#DIV/0!</v>
      </c>
      <c r="GX194" s="198">
        <f t="shared" si="5407"/>
        <v>0</v>
      </c>
      <c r="GY194" s="225">
        <f t="shared" si="5408"/>
        <v>0</v>
      </c>
      <c r="GZ194" s="226">
        <f t="shared" si="5409"/>
        <v>0</v>
      </c>
      <c r="HA194" s="137">
        <f t="shared" si="5418"/>
        <v>0</v>
      </c>
      <c r="HB194" s="227">
        <f t="shared" si="5411"/>
        <v>744.63</v>
      </c>
      <c r="HC194" s="138">
        <f t="shared" si="5420"/>
        <v>0</v>
      </c>
      <c r="HD194" s="110">
        <f t="shared" si="5421"/>
        <v>0</v>
      </c>
      <c r="HE194" s="110"/>
      <c r="HF194" s="139"/>
      <c r="HG194" s="140" t="e">
        <f t="shared" si="5422"/>
        <v>#DIV/0!</v>
      </c>
      <c r="HH194" s="198">
        <f t="shared" si="5407"/>
        <v>0</v>
      </c>
      <c r="HI194" s="225">
        <f t="shared" si="5408"/>
        <v>0</v>
      </c>
      <c r="HJ194" s="226">
        <f t="shared" si="5409"/>
        <v>0</v>
      </c>
      <c r="HK194" s="137">
        <f t="shared" si="5426"/>
        <v>0</v>
      </c>
      <c r="HL194" s="227">
        <f t="shared" si="5411"/>
        <v>731.29</v>
      </c>
      <c r="HM194" s="138">
        <f t="shared" si="5428"/>
        <v>0</v>
      </c>
      <c r="HN194" s="110">
        <f t="shared" si="5429"/>
        <v>0</v>
      </c>
      <c r="HO194" s="110"/>
      <c r="HP194" s="139"/>
      <c r="HQ194" s="140" t="e">
        <f t="shared" si="5430"/>
        <v>#DIV/0!</v>
      </c>
      <c r="HR194" s="198">
        <f t="shared" si="5407"/>
        <v>0</v>
      </c>
      <c r="HS194" s="225">
        <f t="shared" si="5408"/>
        <v>0</v>
      </c>
      <c r="HT194" s="226">
        <f t="shared" si="5409"/>
        <v>0</v>
      </c>
      <c r="HU194" s="137">
        <f t="shared" si="5434"/>
        <v>0</v>
      </c>
      <c r="HV194" s="227">
        <f t="shared" si="5411"/>
        <v>744.63</v>
      </c>
      <c r="HW194" s="138">
        <f t="shared" si="5436"/>
        <v>0</v>
      </c>
      <c r="HX194" s="110">
        <f t="shared" si="5437"/>
        <v>0</v>
      </c>
      <c r="HY194" s="110"/>
      <c r="HZ194" s="139"/>
      <c r="IA194" s="140" t="e">
        <f t="shared" si="5438"/>
        <v>#DIV/0!</v>
      </c>
      <c r="IB194" s="198">
        <f t="shared" si="5439"/>
        <v>0</v>
      </c>
      <c r="IC194" s="225">
        <f t="shared" si="5440"/>
        <v>0</v>
      </c>
      <c r="ID194" s="226">
        <f t="shared" si="5441"/>
        <v>0</v>
      </c>
      <c r="IE194" s="137">
        <f t="shared" si="5442"/>
        <v>0</v>
      </c>
      <c r="IF194" s="227">
        <f t="shared" si="5443"/>
        <v>744.63</v>
      </c>
      <c r="IG194" s="138">
        <f t="shared" si="5444"/>
        <v>0</v>
      </c>
      <c r="IH194" s="110">
        <f t="shared" si="5445"/>
        <v>0</v>
      </c>
      <c r="II194" s="110"/>
      <c r="IJ194" s="139"/>
      <c r="IK194" s="140" t="e">
        <f t="shared" si="5446"/>
        <v>#DIV/0!</v>
      </c>
      <c r="IL194" s="198">
        <f t="shared" si="5439"/>
        <v>0</v>
      </c>
      <c r="IM194" s="225">
        <f t="shared" si="5440"/>
        <v>0</v>
      </c>
      <c r="IN194" s="226">
        <f t="shared" si="5441"/>
        <v>0</v>
      </c>
      <c r="IO194" s="137">
        <f t="shared" si="5450"/>
        <v>0</v>
      </c>
      <c r="IP194" s="227">
        <f t="shared" si="5443"/>
        <v>678.72</v>
      </c>
      <c r="IQ194" s="138">
        <f t="shared" si="5452"/>
        <v>0</v>
      </c>
      <c r="IR194" s="110">
        <f t="shared" si="5453"/>
        <v>0</v>
      </c>
      <c r="IS194" s="110"/>
      <c r="IT194" s="139"/>
      <c r="IU194" s="140" t="e">
        <f t="shared" si="5454"/>
        <v>#DIV/0!</v>
      </c>
      <c r="IV194" s="198">
        <f t="shared" si="5439"/>
        <v>0</v>
      </c>
      <c r="IW194" s="225">
        <f t="shared" si="5440"/>
        <v>0</v>
      </c>
      <c r="IX194" s="226">
        <f t="shared" si="5441"/>
        <v>0</v>
      </c>
      <c r="IY194" s="137">
        <f t="shared" si="5458"/>
        <v>0</v>
      </c>
      <c r="IZ194" s="227">
        <f t="shared" si="5443"/>
        <v>744.63</v>
      </c>
      <c r="JA194" s="138">
        <f t="shared" si="5460"/>
        <v>0</v>
      </c>
      <c r="JB194" s="110">
        <f t="shared" si="5461"/>
        <v>0</v>
      </c>
      <c r="JC194" s="110"/>
      <c r="JD194" s="139"/>
      <c r="JE194" s="140" t="e">
        <f t="shared" si="5462"/>
        <v>#DIV/0!</v>
      </c>
      <c r="JF194" s="198">
        <f t="shared" si="5439"/>
        <v>0</v>
      </c>
      <c r="JG194" s="225">
        <f t="shared" si="5440"/>
        <v>0</v>
      </c>
      <c r="JH194" s="226">
        <f t="shared" si="5441"/>
        <v>0</v>
      </c>
      <c r="JI194" s="137">
        <f t="shared" si="5466"/>
        <v>0</v>
      </c>
      <c r="JJ194" s="227">
        <f t="shared" si="5443"/>
        <v>744.63</v>
      </c>
      <c r="JK194" s="138">
        <f t="shared" si="5468"/>
        <v>0</v>
      </c>
      <c r="JL194" s="110">
        <f t="shared" si="5469"/>
        <v>0</v>
      </c>
      <c r="JM194" s="110"/>
      <c r="JN194" s="139"/>
      <c r="JO194" s="140" t="e">
        <f t="shared" si="5470"/>
        <v>#DIV/0!</v>
      </c>
      <c r="JP194" s="198">
        <f t="shared" si="5471"/>
        <v>0</v>
      </c>
      <c r="JQ194" s="225">
        <f t="shared" si="5472"/>
        <v>0</v>
      </c>
      <c r="JR194" s="226">
        <f t="shared" si="5473"/>
        <v>0</v>
      </c>
      <c r="JS194" s="137">
        <f t="shared" si="5474"/>
        <v>0</v>
      </c>
      <c r="JT194" s="227">
        <f t="shared" si="5475"/>
        <v>744.63</v>
      </c>
      <c r="JU194" s="138">
        <f t="shared" si="5476"/>
        <v>0</v>
      </c>
      <c r="JV194" s="110">
        <f t="shared" si="5477"/>
        <v>0</v>
      </c>
      <c r="JW194" s="110"/>
      <c r="JX194" s="139"/>
      <c r="JY194" s="140" t="e">
        <f t="shared" si="5478"/>
        <v>#DIV/0!</v>
      </c>
      <c r="JZ194" s="198">
        <f t="shared" si="5471"/>
        <v>0</v>
      </c>
      <c r="KA194" s="225">
        <f t="shared" si="5472"/>
        <v>0</v>
      </c>
      <c r="KB194" s="226">
        <f t="shared" si="5473"/>
        <v>0</v>
      </c>
      <c r="KC194" s="137">
        <f t="shared" si="5482"/>
        <v>0</v>
      </c>
      <c r="KD194" s="227">
        <f t="shared" si="5475"/>
        <v>744.63</v>
      </c>
      <c r="KE194" s="138">
        <f t="shared" si="5484"/>
        <v>0</v>
      </c>
      <c r="KF194" s="110">
        <f t="shared" si="5485"/>
        <v>0</v>
      </c>
      <c r="KG194" s="110"/>
      <c r="KH194" s="139"/>
      <c r="KI194" s="140" t="e">
        <f t="shared" si="5486"/>
        <v>#DIV/0!</v>
      </c>
      <c r="KJ194" s="198">
        <f t="shared" si="5471"/>
        <v>0</v>
      </c>
      <c r="KK194" s="225">
        <f t="shared" si="5472"/>
        <v>0</v>
      </c>
      <c r="KL194" s="226">
        <f t="shared" si="5473"/>
        <v>0</v>
      </c>
      <c r="KM194" s="137">
        <f t="shared" si="5490"/>
        <v>0</v>
      </c>
      <c r="KN194" s="227">
        <f t="shared" si="5475"/>
        <v>744.63</v>
      </c>
      <c r="KO194" s="138">
        <f t="shared" si="5492"/>
        <v>0</v>
      </c>
      <c r="KP194" s="110">
        <f t="shared" si="5493"/>
        <v>0</v>
      </c>
      <c r="KQ194" s="110"/>
      <c r="KR194" s="139"/>
      <c r="KS194" s="140" t="e">
        <f t="shared" si="5494"/>
        <v>#DIV/0!</v>
      </c>
      <c r="KT194" s="198">
        <f t="shared" si="5471"/>
        <v>0</v>
      </c>
      <c r="KU194" s="225">
        <f t="shared" si="5472"/>
        <v>0</v>
      </c>
      <c r="KV194" s="226">
        <f t="shared" si="5473"/>
        <v>0</v>
      </c>
      <c r="KW194" s="137">
        <f t="shared" si="5498"/>
        <v>0</v>
      </c>
      <c r="KX194" s="227">
        <f t="shared" si="5475"/>
        <v>744.63</v>
      </c>
      <c r="KY194" s="138">
        <f t="shared" si="5500"/>
        <v>0</v>
      </c>
      <c r="KZ194" s="110">
        <f t="shared" si="5501"/>
        <v>0</v>
      </c>
      <c r="LA194" s="110"/>
      <c r="LB194" s="139"/>
      <c r="LC194" s="140" t="e">
        <f t="shared" si="5502"/>
        <v>#DIV/0!</v>
      </c>
      <c r="LD194" s="198">
        <f t="shared" si="5510"/>
        <v>0</v>
      </c>
      <c r="LE194" s="225">
        <f t="shared" si="5511"/>
        <v>0</v>
      </c>
      <c r="LF194" s="226">
        <f t="shared" si="5512"/>
        <v>0</v>
      </c>
      <c r="LG194" s="137">
        <f t="shared" si="5503"/>
        <v>0</v>
      </c>
      <c r="LH194" s="227">
        <f t="shared" si="5513"/>
        <v>733.76</v>
      </c>
      <c r="LI194" s="138">
        <f t="shared" si="5504"/>
        <v>0</v>
      </c>
      <c r="LJ194" s="110">
        <f t="shared" si="5505"/>
        <v>0</v>
      </c>
      <c r="LK194" s="110"/>
      <c r="LL194" s="139"/>
    </row>
    <row r="195" spans="1:324" ht="24" hidden="1" x14ac:dyDescent="0.25">
      <c r="A195" s="247"/>
      <c r="B195" s="92" t="s">
        <v>611</v>
      </c>
      <c r="C195" s="12" t="s">
        <v>730</v>
      </c>
      <c r="D195" s="12" t="s">
        <v>428</v>
      </c>
      <c r="E195" s="4" t="s">
        <v>32</v>
      </c>
      <c r="F195" s="198">
        <f t="shared" si="5506"/>
        <v>0</v>
      </c>
      <c r="G195" s="225">
        <f t="shared" si="5507"/>
        <v>0</v>
      </c>
      <c r="H195" s="226">
        <f t="shared" si="5508"/>
        <v>0</v>
      </c>
      <c r="I195" s="137">
        <f t="shared" si="5259"/>
        <v>0</v>
      </c>
      <c r="J195" s="227">
        <f t="shared" si="5509"/>
        <v>744.63</v>
      </c>
      <c r="K195" s="138">
        <f t="shared" si="5260"/>
        <v>0</v>
      </c>
      <c r="L195" s="110">
        <f t="shared" si="5261"/>
        <v>0</v>
      </c>
      <c r="M195" s="110"/>
      <c r="N195" s="139"/>
      <c r="O195" s="140" t="e">
        <f t="shared" si="5262"/>
        <v>#DIV/0!</v>
      </c>
      <c r="P195" s="198">
        <f t="shared" si="5263"/>
        <v>0</v>
      </c>
      <c r="Q195" s="225">
        <f t="shared" si="5264"/>
        <v>0</v>
      </c>
      <c r="R195" s="226">
        <f t="shared" si="5265"/>
        <v>0</v>
      </c>
      <c r="S195" s="137">
        <f t="shared" si="5266"/>
        <v>0</v>
      </c>
      <c r="T195" s="227">
        <f t="shared" si="5267"/>
        <v>744.63</v>
      </c>
      <c r="U195" s="138">
        <f t="shared" si="5268"/>
        <v>0</v>
      </c>
      <c r="V195" s="110">
        <f t="shared" si="5269"/>
        <v>0</v>
      </c>
      <c r="W195" s="110"/>
      <c r="X195" s="139"/>
      <c r="Y195" s="140" t="e">
        <f t="shared" si="5270"/>
        <v>#DIV/0!</v>
      </c>
      <c r="Z195" s="198">
        <f t="shared" si="5263"/>
        <v>0</v>
      </c>
      <c r="AA195" s="225">
        <f t="shared" si="5264"/>
        <v>0</v>
      </c>
      <c r="AB195" s="226">
        <f t="shared" si="5265"/>
        <v>0</v>
      </c>
      <c r="AC195" s="137">
        <f t="shared" si="5274"/>
        <v>0</v>
      </c>
      <c r="AD195" s="227">
        <f t="shared" si="5267"/>
        <v>744.63</v>
      </c>
      <c r="AE195" s="138">
        <f t="shared" si="5276"/>
        <v>0</v>
      </c>
      <c r="AF195" s="110">
        <f t="shared" si="5277"/>
        <v>0</v>
      </c>
      <c r="AG195" s="110"/>
      <c r="AH195" s="139"/>
      <c r="AI195" s="140" t="e">
        <f t="shared" si="5278"/>
        <v>#DIV/0!</v>
      </c>
      <c r="AJ195" s="198">
        <f t="shared" si="5263"/>
        <v>0</v>
      </c>
      <c r="AK195" s="225">
        <f t="shared" si="5264"/>
        <v>0</v>
      </c>
      <c r="AL195" s="226">
        <f t="shared" si="5265"/>
        <v>0</v>
      </c>
      <c r="AM195" s="137">
        <f t="shared" si="5282"/>
        <v>0</v>
      </c>
      <c r="AN195" s="227">
        <f t="shared" si="5267"/>
        <v>744.63</v>
      </c>
      <c r="AO195" s="138">
        <f t="shared" si="5284"/>
        <v>0</v>
      </c>
      <c r="AP195" s="110">
        <f t="shared" si="5285"/>
        <v>0</v>
      </c>
      <c r="AQ195" s="110"/>
      <c r="AR195" s="139"/>
      <c r="AS195" s="140" t="e">
        <f t="shared" si="5286"/>
        <v>#DIV/0!</v>
      </c>
      <c r="AT195" s="198">
        <f t="shared" si="5263"/>
        <v>0</v>
      </c>
      <c r="AU195" s="225">
        <f t="shared" si="5264"/>
        <v>0</v>
      </c>
      <c r="AV195" s="226">
        <f t="shared" si="5265"/>
        <v>0</v>
      </c>
      <c r="AW195" s="137">
        <f t="shared" si="5290"/>
        <v>0</v>
      </c>
      <c r="AX195" s="227">
        <f t="shared" si="5267"/>
        <v>744.63</v>
      </c>
      <c r="AY195" s="138">
        <f t="shared" si="5292"/>
        <v>0</v>
      </c>
      <c r="AZ195" s="110">
        <f t="shared" si="5293"/>
        <v>0</v>
      </c>
      <c r="BA195" s="110"/>
      <c r="BB195" s="139"/>
      <c r="BC195" s="140" t="e">
        <f t="shared" si="5294"/>
        <v>#DIV/0!</v>
      </c>
      <c r="BD195" s="198">
        <f t="shared" si="5263"/>
        <v>0</v>
      </c>
      <c r="BE195" s="225">
        <f t="shared" si="5264"/>
        <v>0</v>
      </c>
      <c r="BF195" s="226">
        <f t="shared" si="5265"/>
        <v>0</v>
      </c>
      <c r="BG195" s="137">
        <f t="shared" si="5298"/>
        <v>0</v>
      </c>
      <c r="BH195" s="227">
        <f t="shared" si="5267"/>
        <v>744.63</v>
      </c>
      <c r="BI195" s="138">
        <f t="shared" si="5300"/>
        <v>0</v>
      </c>
      <c r="BJ195" s="110">
        <f t="shared" si="5301"/>
        <v>0</v>
      </c>
      <c r="BK195" s="110"/>
      <c r="BL195" s="139"/>
      <c r="BM195" s="140" t="e">
        <f t="shared" si="5302"/>
        <v>#DIV/0!</v>
      </c>
      <c r="BN195" s="198">
        <f t="shared" si="5263"/>
        <v>0</v>
      </c>
      <c r="BO195" s="225">
        <f t="shared" si="5264"/>
        <v>0</v>
      </c>
      <c r="BP195" s="226">
        <f t="shared" si="5265"/>
        <v>0</v>
      </c>
      <c r="BQ195" s="137">
        <f t="shared" si="5306"/>
        <v>0</v>
      </c>
      <c r="BR195" s="227">
        <f t="shared" si="5267"/>
        <v>744.63</v>
      </c>
      <c r="BS195" s="138">
        <f t="shared" si="5308"/>
        <v>0</v>
      </c>
      <c r="BT195" s="110">
        <f t="shared" si="5309"/>
        <v>0</v>
      </c>
      <c r="BU195" s="110"/>
      <c r="BV195" s="139"/>
      <c r="BW195" s="140" t="e">
        <f t="shared" si="5310"/>
        <v>#DIV/0!</v>
      </c>
      <c r="BX195" s="198">
        <f t="shared" si="5263"/>
        <v>0</v>
      </c>
      <c r="BY195" s="225">
        <f t="shared" si="5264"/>
        <v>0</v>
      </c>
      <c r="BZ195" s="226">
        <f t="shared" si="5265"/>
        <v>0</v>
      </c>
      <c r="CA195" s="137">
        <f t="shared" si="5314"/>
        <v>0</v>
      </c>
      <c r="CB195" s="227">
        <f t="shared" si="5267"/>
        <v>744.63</v>
      </c>
      <c r="CC195" s="138">
        <f t="shared" si="5316"/>
        <v>0</v>
      </c>
      <c r="CD195" s="110">
        <f t="shared" si="5317"/>
        <v>0</v>
      </c>
      <c r="CE195" s="110"/>
      <c r="CF195" s="139"/>
      <c r="CG195" s="140" t="e">
        <f t="shared" si="5318"/>
        <v>#DIV/0!</v>
      </c>
      <c r="CH195" s="198">
        <f t="shared" si="5319"/>
        <v>0</v>
      </c>
      <c r="CI195" s="225">
        <f t="shared" si="5320"/>
        <v>0</v>
      </c>
      <c r="CJ195" s="226">
        <f t="shared" si="5321"/>
        <v>0</v>
      </c>
      <c r="CK195" s="137">
        <f t="shared" si="5322"/>
        <v>0</v>
      </c>
      <c r="CL195" s="227">
        <f t="shared" si="5323"/>
        <v>744.63</v>
      </c>
      <c r="CM195" s="138">
        <f t="shared" si="5324"/>
        <v>0</v>
      </c>
      <c r="CN195" s="110">
        <f t="shared" si="5325"/>
        <v>0</v>
      </c>
      <c r="CO195" s="110"/>
      <c r="CP195" s="139"/>
      <c r="CQ195" s="140" t="e">
        <f t="shared" si="5326"/>
        <v>#DIV/0!</v>
      </c>
      <c r="CR195" s="198">
        <f t="shared" si="5319"/>
        <v>0</v>
      </c>
      <c r="CS195" s="225">
        <f t="shared" si="5320"/>
        <v>0</v>
      </c>
      <c r="CT195" s="226">
        <f t="shared" si="5321"/>
        <v>0</v>
      </c>
      <c r="CU195" s="137">
        <f t="shared" si="5330"/>
        <v>0</v>
      </c>
      <c r="CV195" s="227">
        <f t="shared" si="5323"/>
        <v>744.63</v>
      </c>
      <c r="CW195" s="138">
        <f t="shared" si="5332"/>
        <v>0</v>
      </c>
      <c r="CX195" s="110">
        <f t="shared" si="5333"/>
        <v>0</v>
      </c>
      <c r="CY195" s="110"/>
      <c r="CZ195" s="139"/>
      <c r="DA195" s="140" t="e">
        <f t="shared" si="5334"/>
        <v>#DIV/0!</v>
      </c>
      <c r="DB195" s="198">
        <f t="shared" si="5319"/>
        <v>0</v>
      </c>
      <c r="DC195" s="225">
        <f t="shared" si="5320"/>
        <v>0</v>
      </c>
      <c r="DD195" s="226">
        <f t="shared" si="5321"/>
        <v>0</v>
      </c>
      <c r="DE195" s="137">
        <f t="shared" si="5338"/>
        <v>0</v>
      </c>
      <c r="DF195" s="227">
        <f t="shared" si="5323"/>
        <v>744.63</v>
      </c>
      <c r="DG195" s="138">
        <f t="shared" si="5340"/>
        <v>0</v>
      </c>
      <c r="DH195" s="110">
        <f t="shared" si="5341"/>
        <v>0</v>
      </c>
      <c r="DI195" s="110"/>
      <c r="DJ195" s="139"/>
      <c r="DK195" s="140" t="e">
        <f t="shared" si="5342"/>
        <v>#DIV/0!</v>
      </c>
      <c r="DL195" s="198">
        <f t="shared" si="5319"/>
        <v>0</v>
      </c>
      <c r="DM195" s="225">
        <f t="shared" si="5320"/>
        <v>0</v>
      </c>
      <c r="DN195" s="226">
        <f t="shared" si="5321"/>
        <v>0</v>
      </c>
      <c r="DO195" s="137">
        <f t="shared" si="5346"/>
        <v>0</v>
      </c>
      <c r="DP195" s="227">
        <f t="shared" si="5323"/>
        <v>744.63</v>
      </c>
      <c r="DQ195" s="138">
        <f t="shared" si="5348"/>
        <v>0</v>
      </c>
      <c r="DR195" s="110">
        <f t="shared" si="5349"/>
        <v>0</v>
      </c>
      <c r="DS195" s="110"/>
      <c r="DT195" s="139"/>
      <c r="DU195" s="140" t="e">
        <f t="shared" si="5350"/>
        <v>#DIV/0!</v>
      </c>
      <c r="DV195" s="198">
        <f t="shared" si="5319"/>
        <v>0</v>
      </c>
      <c r="DW195" s="225">
        <f t="shared" si="5320"/>
        <v>0</v>
      </c>
      <c r="DX195" s="226">
        <f t="shared" si="5321"/>
        <v>0</v>
      </c>
      <c r="DY195" s="137">
        <f t="shared" si="5354"/>
        <v>0</v>
      </c>
      <c r="DZ195" s="227">
        <f t="shared" si="5323"/>
        <v>389.62</v>
      </c>
      <c r="EA195" s="138">
        <f t="shared" si="5356"/>
        <v>0</v>
      </c>
      <c r="EB195" s="110">
        <f t="shared" si="5357"/>
        <v>0</v>
      </c>
      <c r="EC195" s="110"/>
      <c r="ED195" s="139"/>
      <c r="EE195" s="140" t="e">
        <f t="shared" si="5358"/>
        <v>#DIV/0!</v>
      </c>
      <c r="EF195" s="198">
        <f t="shared" si="5319"/>
        <v>0</v>
      </c>
      <c r="EG195" s="225">
        <f t="shared" si="5320"/>
        <v>0</v>
      </c>
      <c r="EH195" s="226">
        <f t="shared" si="5321"/>
        <v>0</v>
      </c>
      <c r="EI195" s="137">
        <f t="shared" si="5362"/>
        <v>0</v>
      </c>
      <c r="EJ195" s="227">
        <f t="shared" si="5323"/>
        <v>744.63</v>
      </c>
      <c r="EK195" s="138">
        <f t="shared" si="5364"/>
        <v>0</v>
      </c>
      <c r="EL195" s="110">
        <f t="shared" si="5365"/>
        <v>0</v>
      </c>
      <c r="EM195" s="110"/>
      <c r="EN195" s="139"/>
      <c r="EO195" s="140" t="e">
        <f t="shared" si="5366"/>
        <v>#DIV/0!</v>
      </c>
      <c r="EP195" s="198">
        <f t="shared" si="5319"/>
        <v>0</v>
      </c>
      <c r="EQ195" s="225">
        <f t="shared" si="5320"/>
        <v>0</v>
      </c>
      <c r="ER195" s="226">
        <f t="shared" si="5321"/>
        <v>0</v>
      </c>
      <c r="ES195" s="137">
        <f t="shared" si="5370"/>
        <v>0</v>
      </c>
      <c r="ET195" s="227">
        <f t="shared" si="5323"/>
        <v>744.63</v>
      </c>
      <c r="EU195" s="138">
        <f t="shared" si="5372"/>
        <v>0</v>
      </c>
      <c r="EV195" s="110">
        <f t="shared" si="5373"/>
        <v>0</v>
      </c>
      <c r="EW195" s="110"/>
      <c r="EX195" s="139"/>
      <c r="EY195" s="140" t="e">
        <f t="shared" si="5374"/>
        <v>#DIV/0!</v>
      </c>
      <c r="EZ195" s="198">
        <f t="shared" si="5375"/>
        <v>0</v>
      </c>
      <c r="FA195" s="225">
        <f t="shared" si="5376"/>
        <v>0</v>
      </c>
      <c r="FB195" s="226">
        <f t="shared" si="5377"/>
        <v>0</v>
      </c>
      <c r="FC195" s="137">
        <f t="shared" si="5378"/>
        <v>0</v>
      </c>
      <c r="FD195" s="227">
        <f t="shared" si="5379"/>
        <v>744.63</v>
      </c>
      <c r="FE195" s="138">
        <f t="shared" si="5380"/>
        <v>0</v>
      </c>
      <c r="FF195" s="110">
        <f t="shared" si="5381"/>
        <v>0</v>
      </c>
      <c r="FG195" s="110"/>
      <c r="FH195" s="139"/>
      <c r="FI195" s="140" t="e">
        <f t="shared" si="5382"/>
        <v>#DIV/0!</v>
      </c>
      <c r="FJ195" s="198">
        <f t="shared" si="5375"/>
        <v>0</v>
      </c>
      <c r="FK195" s="225">
        <f t="shared" si="5376"/>
        <v>0</v>
      </c>
      <c r="FL195" s="226">
        <f t="shared" si="5377"/>
        <v>0</v>
      </c>
      <c r="FM195" s="137">
        <f t="shared" si="5386"/>
        <v>0</v>
      </c>
      <c r="FN195" s="227">
        <f t="shared" si="5379"/>
        <v>744.63</v>
      </c>
      <c r="FO195" s="138">
        <f t="shared" si="5388"/>
        <v>0</v>
      </c>
      <c r="FP195" s="110">
        <f t="shared" si="5389"/>
        <v>0</v>
      </c>
      <c r="FQ195" s="110"/>
      <c r="FR195" s="139"/>
      <c r="FS195" s="140" t="e">
        <f t="shared" si="5390"/>
        <v>#DIV/0!</v>
      </c>
      <c r="FT195" s="198">
        <f t="shared" si="5375"/>
        <v>0</v>
      </c>
      <c r="FU195" s="225">
        <f t="shared" si="5376"/>
        <v>0</v>
      </c>
      <c r="FV195" s="226">
        <f t="shared" si="5377"/>
        <v>0</v>
      </c>
      <c r="FW195" s="137">
        <f t="shared" si="5394"/>
        <v>0</v>
      </c>
      <c r="FX195" s="227">
        <f t="shared" si="5379"/>
        <v>744.63</v>
      </c>
      <c r="FY195" s="138">
        <f t="shared" si="5396"/>
        <v>0</v>
      </c>
      <c r="FZ195" s="110">
        <f t="shared" si="5397"/>
        <v>0</v>
      </c>
      <c r="GA195" s="110"/>
      <c r="GB195" s="139"/>
      <c r="GC195" s="140" t="e">
        <f t="shared" si="5398"/>
        <v>#DIV/0!</v>
      </c>
      <c r="GD195" s="198">
        <f t="shared" si="5375"/>
        <v>0</v>
      </c>
      <c r="GE195" s="225">
        <f t="shared" si="5376"/>
        <v>0</v>
      </c>
      <c r="GF195" s="226">
        <f t="shared" si="5377"/>
        <v>0</v>
      </c>
      <c r="GG195" s="137">
        <f t="shared" si="5402"/>
        <v>0</v>
      </c>
      <c r="GH195" s="227">
        <f t="shared" si="5379"/>
        <v>744.63</v>
      </c>
      <c r="GI195" s="138">
        <f t="shared" si="5404"/>
        <v>0</v>
      </c>
      <c r="GJ195" s="110">
        <f t="shared" si="5405"/>
        <v>0</v>
      </c>
      <c r="GK195" s="110"/>
      <c r="GL195" s="139"/>
      <c r="GM195" s="140" t="e">
        <f t="shared" si="5406"/>
        <v>#DIV/0!</v>
      </c>
      <c r="GN195" s="198">
        <f t="shared" si="5407"/>
        <v>0</v>
      </c>
      <c r="GO195" s="225">
        <f t="shared" si="5408"/>
        <v>0</v>
      </c>
      <c r="GP195" s="226">
        <f t="shared" si="5409"/>
        <v>0</v>
      </c>
      <c r="GQ195" s="137">
        <f t="shared" si="5410"/>
        <v>0</v>
      </c>
      <c r="GR195" s="227">
        <f t="shared" si="5411"/>
        <v>744.63</v>
      </c>
      <c r="GS195" s="138">
        <f t="shared" si="5412"/>
        <v>0</v>
      </c>
      <c r="GT195" s="110">
        <f t="shared" si="5413"/>
        <v>0</v>
      </c>
      <c r="GU195" s="110"/>
      <c r="GV195" s="139"/>
      <c r="GW195" s="140" t="e">
        <f t="shared" si="5414"/>
        <v>#DIV/0!</v>
      </c>
      <c r="GX195" s="198">
        <f t="shared" si="5407"/>
        <v>0</v>
      </c>
      <c r="GY195" s="225">
        <f t="shared" si="5408"/>
        <v>0</v>
      </c>
      <c r="GZ195" s="226">
        <f t="shared" si="5409"/>
        <v>0</v>
      </c>
      <c r="HA195" s="137">
        <f t="shared" si="5418"/>
        <v>0</v>
      </c>
      <c r="HB195" s="227">
        <f t="shared" si="5411"/>
        <v>744.63</v>
      </c>
      <c r="HC195" s="138">
        <f t="shared" si="5420"/>
        <v>0</v>
      </c>
      <c r="HD195" s="110">
        <f t="shared" si="5421"/>
        <v>0</v>
      </c>
      <c r="HE195" s="110"/>
      <c r="HF195" s="139"/>
      <c r="HG195" s="140" t="e">
        <f t="shared" si="5422"/>
        <v>#DIV/0!</v>
      </c>
      <c r="HH195" s="198">
        <f t="shared" si="5407"/>
        <v>0</v>
      </c>
      <c r="HI195" s="225">
        <f t="shared" si="5408"/>
        <v>0</v>
      </c>
      <c r="HJ195" s="226">
        <f t="shared" si="5409"/>
        <v>0</v>
      </c>
      <c r="HK195" s="137">
        <f t="shared" si="5426"/>
        <v>0</v>
      </c>
      <c r="HL195" s="227">
        <f t="shared" si="5411"/>
        <v>731.29</v>
      </c>
      <c r="HM195" s="138">
        <f t="shared" si="5428"/>
        <v>0</v>
      </c>
      <c r="HN195" s="110">
        <f t="shared" si="5429"/>
        <v>0</v>
      </c>
      <c r="HO195" s="110"/>
      <c r="HP195" s="139"/>
      <c r="HQ195" s="140" t="e">
        <f t="shared" si="5430"/>
        <v>#DIV/0!</v>
      </c>
      <c r="HR195" s="198">
        <f t="shared" si="5407"/>
        <v>0</v>
      </c>
      <c r="HS195" s="225">
        <f t="shared" si="5408"/>
        <v>0</v>
      </c>
      <c r="HT195" s="226">
        <f t="shared" si="5409"/>
        <v>0</v>
      </c>
      <c r="HU195" s="137">
        <f t="shared" si="5434"/>
        <v>0</v>
      </c>
      <c r="HV195" s="227">
        <f t="shared" si="5411"/>
        <v>744.63</v>
      </c>
      <c r="HW195" s="138">
        <f t="shared" si="5436"/>
        <v>0</v>
      </c>
      <c r="HX195" s="110">
        <f t="shared" si="5437"/>
        <v>0</v>
      </c>
      <c r="HY195" s="110"/>
      <c r="HZ195" s="139"/>
      <c r="IA195" s="140" t="e">
        <f t="shared" si="5438"/>
        <v>#DIV/0!</v>
      </c>
      <c r="IB195" s="198">
        <f t="shared" si="5439"/>
        <v>0</v>
      </c>
      <c r="IC195" s="225">
        <f t="shared" si="5440"/>
        <v>0</v>
      </c>
      <c r="ID195" s="226">
        <f t="shared" si="5441"/>
        <v>0</v>
      </c>
      <c r="IE195" s="137">
        <f t="shared" si="5442"/>
        <v>0</v>
      </c>
      <c r="IF195" s="227">
        <f t="shared" si="5443"/>
        <v>744.63</v>
      </c>
      <c r="IG195" s="138">
        <f t="shared" si="5444"/>
        <v>0</v>
      </c>
      <c r="IH195" s="110">
        <f t="shared" si="5445"/>
        <v>0</v>
      </c>
      <c r="II195" s="110"/>
      <c r="IJ195" s="139"/>
      <c r="IK195" s="140" t="e">
        <f t="shared" si="5446"/>
        <v>#DIV/0!</v>
      </c>
      <c r="IL195" s="198">
        <f t="shared" si="5439"/>
        <v>0</v>
      </c>
      <c r="IM195" s="225">
        <f t="shared" si="5440"/>
        <v>0</v>
      </c>
      <c r="IN195" s="226">
        <f t="shared" si="5441"/>
        <v>0</v>
      </c>
      <c r="IO195" s="137">
        <f t="shared" si="5450"/>
        <v>0</v>
      </c>
      <c r="IP195" s="227">
        <f t="shared" si="5443"/>
        <v>678.72</v>
      </c>
      <c r="IQ195" s="138">
        <f t="shared" si="5452"/>
        <v>0</v>
      </c>
      <c r="IR195" s="110">
        <f t="shared" si="5453"/>
        <v>0</v>
      </c>
      <c r="IS195" s="110"/>
      <c r="IT195" s="139"/>
      <c r="IU195" s="140" t="e">
        <f t="shared" si="5454"/>
        <v>#DIV/0!</v>
      </c>
      <c r="IV195" s="198">
        <f t="shared" si="5439"/>
        <v>0</v>
      </c>
      <c r="IW195" s="225">
        <f t="shared" si="5440"/>
        <v>0</v>
      </c>
      <c r="IX195" s="226">
        <f t="shared" si="5441"/>
        <v>0</v>
      </c>
      <c r="IY195" s="137">
        <f t="shared" si="5458"/>
        <v>0</v>
      </c>
      <c r="IZ195" s="227">
        <f t="shared" si="5443"/>
        <v>744.63</v>
      </c>
      <c r="JA195" s="138">
        <f t="shared" si="5460"/>
        <v>0</v>
      </c>
      <c r="JB195" s="110">
        <f t="shared" si="5461"/>
        <v>0</v>
      </c>
      <c r="JC195" s="110"/>
      <c r="JD195" s="139"/>
      <c r="JE195" s="140" t="e">
        <f t="shared" si="5462"/>
        <v>#DIV/0!</v>
      </c>
      <c r="JF195" s="198">
        <f t="shared" si="5439"/>
        <v>0</v>
      </c>
      <c r="JG195" s="225">
        <f t="shared" si="5440"/>
        <v>0</v>
      </c>
      <c r="JH195" s="226">
        <f t="shared" si="5441"/>
        <v>0</v>
      </c>
      <c r="JI195" s="137">
        <f t="shared" si="5466"/>
        <v>0</v>
      </c>
      <c r="JJ195" s="227">
        <f t="shared" si="5443"/>
        <v>744.63</v>
      </c>
      <c r="JK195" s="138">
        <f t="shared" si="5468"/>
        <v>0</v>
      </c>
      <c r="JL195" s="110">
        <f t="shared" si="5469"/>
        <v>0</v>
      </c>
      <c r="JM195" s="110"/>
      <c r="JN195" s="139"/>
      <c r="JO195" s="140" t="e">
        <f t="shared" si="5470"/>
        <v>#DIV/0!</v>
      </c>
      <c r="JP195" s="198">
        <f t="shared" si="5471"/>
        <v>0</v>
      </c>
      <c r="JQ195" s="225">
        <f t="shared" si="5472"/>
        <v>0</v>
      </c>
      <c r="JR195" s="226">
        <f t="shared" si="5473"/>
        <v>0</v>
      </c>
      <c r="JS195" s="137">
        <f t="shared" si="5474"/>
        <v>0</v>
      </c>
      <c r="JT195" s="227">
        <f t="shared" si="5475"/>
        <v>744.63</v>
      </c>
      <c r="JU195" s="138">
        <f t="shared" si="5476"/>
        <v>0</v>
      </c>
      <c r="JV195" s="110">
        <f t="shared" si="5477"/>
        <v>0</v>
      </c>
      <c r="JW195" s="110"/>
      <c r="JX195" s="139"/>
      <c r="JY195" s="140" t="e">
        <f t="shared" si="5478"/>
        <v>#DIV/0!</v>
      </c>
      <c r="JZ195" s="198">
        <f t="shared" si="5471"/>
        <v>0</v>
      </c>
      <c r="KA195" s="225">
        <f t="shared" si="5472"/>
        <v>0</v>
      </c>
      <c r="KB195" s="226">
        <f t="shared" si="5473"/>
        <v>0</v>
      </c>
      <c r="KC195" s="137">
        <f t="shared" si="5482"/>
        <v>0</v>
      </c>
      <c r="KD195" s="227">
        <f t="shared" si="5475"/>
        <v>744.63</v>
      </c>
      <c r="KE195" s="138">
        <f t="shared" si="5484"/>
        <v>0</v>
      </c>
      <c r="KF195" s="110">
        <f t="shared" si="5485"/>
        <v>0</v>
      </c>
      <c r="KG195" s="110"/>
      <c r="KH195" s="139"/>
      <c r="KI195" s="140" t="e">
        <f t="shared" si="5486"/>
        <v>#DIV/0!</v>
      </c>
      <c r="KJ195" s="198">
        <f t="shared" si="5471"/>
        <v>0</v>
      </c>
      <c r="KK195" s="225">
        <f t="shared" si="5472"/>
        <v>0</v>
      </c>
      <c r="KL195" s="226">
        <f t="shared" si="5473"/>
        <v>0</v>
      </c>
      <c r="KM195" s="137">
        <f t="shared" si="5490"/>
        <v>0</v>
      </c>
      <c r="KN195" s="227">
        <f t="shared" si="5475"/>
        <v>744.63</v>
      </c>
      <c r="KO195" s="138">
        <f t="shared" si="5492"/>
        <v>0</v>
      </c>
      <c r="KP195" s="110">
        <f t="shared" si="5493"/>
        <v>0</v>
      </c>
      <c r="KQ195" s="110"/>
      <c r="KR195" s="139"/>
      <c r="KS195" s="140" t="e">
        <f t="shared" si="5494"/>
        <v>#DIV/0!</v>
      </c>
      <c r="KT195" s="198">
        <f t="shared" si="5471"/>
        <v>0</v>
      </c>
      <c r="KU195" s="225">
        <f t="shared" si="5472"/>
        <v>0</v>
      </c>
      <c r="KV195" s="226">
        <f t="shared" si="5473"/>
        <v>0</v>
      </c>
      <c r="KW195" s="137">
        <f t="shared" si="5498"/>
        <v>0</v>
      </c>
      <c r="KX195" s="227">
        <f t="shared" si="5475"/>
        <v>744.63</v>
      </c>
      <c r="KY195" s="138">
        <f t="shared" si="5500"/>
        <v>0</v>
      </c>
      <c r="KZ195" s="110">
        <f t="shared" si="5501"/>
        <v>0</v>
      </c>
      <c r="LA195" s="110"/>
      <c r="LB195" s="139"/>
      <c r="LC195" s="140" t="e">
        <f t="shared" si="5502"/>
        <v>#DIV/0!</v>
      </c>
      <c r="LD195" s="198">
        <f t="shared" si="5510"/>
        <v>0</v>
      </c>
      <c r="LE195" s="225">
        <f t="shared" si="5511"/>
        <v>0</v>
      </c>
      <c r="LF195" s="226">
        <f t="shared" si="5512"/>
        <v>0</v>
      </c>
      <c r="LG195" s="137">
        <f t="shared" si="5503"/>
        <v>0</v>
      </c>
      <c r="LH195" s="227">
        <f t="shared" si="5513"/>
        <v>733.76</v>
      </c>
      <c r="LI195" s="138">
        <f t="shared" si="5504"/>
        <v>0</v>
      </c>
      <c r="LJ195" s="110">
        <f t="shared" si="5505"/>
        <v>0</v>
      </c>
      <c r="LK195" s="110"/>
      <c r="LL195" s="139"/>
    </row>
    <row r="196" spans="1:324" x14ac:dyDescent="0.25">
      <c r="A196" s="244"/>
      <c r="B196" s="250" t="s">
        <v>854</v>
      </c>
      <c r="C196" s="12"/>
      <c r="D196" s="12"/>
      <c r="E196" s="4"/>
      <c r="F196" s="198">
        <f t="shared" si="5506"/>
        <v>0</v>
      </c>
      <c r="G196" s="225">
        <f t="shared" si="5507"/>
        <v>0</v>
      </c>
      <c r="H196" s="226">
        <f t="shared" si="5508"/>
        <v>0</v>
      </c>
      <c r="I196" s="137"/>
      <c r="J196" s="227">
        <f t="shared" si="5509"/>
        <v>744.63</v>
      </c>
      <c r="K196" s="138"/>
      <c r="L196" s="110"/>
      <c r="M196" s="110"/>
      <c r="N196" s="139"/>
      <c r="O196" s="140"/>
      <c r="P196" s="198">
        <f t="shared" si="5263"/>
        <v>0</v>
      </c>
      <c r="Q196" s="225">
        <f t="shared" si="5264"/>
        <v>0</v>
      </c>
      <c r="R196" s="226">
        <f t="shared" si="5265"/>
        <v>0</v>
      </c>
      <c r="S196" s="137"/>
      <c r="T196" s="227">
        <f t="shared" si="5267"/>
        <v>744.63</v>
      </c>
      <c r="U196" s="138"/>
      <c r="V196" s="110"/>
      <c r="W196" s="110"/>
      <c r="X196" s="139"/>
      <c r="Y196" s="140"/>
      <c r="Z196" s="198">
        <f t="shared" si="5263"/>
        <v>0</v>
      </c>
      <c r="AA196" s="225">
        <f t="shared" si="5264"/>
        <v>0</v>
      </c>
      <c r="AB196" s="226">
        <f t="shared" si="5265"/>
        <v>0</v>
      </c>
      <c r="AC196" s="137"/>
      <c r="AD196" s="227">
        <f t="shared" si="5267"/>
        <v>744.63</v>
      </c>
      <c r="AE196" s="138"/>
      <c r="AF196" s="110"/>
      <c r="AG196" s="110"/>
      <c r="AH196" s="139"/>
      <c r="AI196" s="140"/>
      <c r="AJ196" s="198">
        <f t="shared" si="5263"/>
        <v>0</v>
      </c>
      <c r="AK196" s="225">
        <f t="shared" si="5264"/>
        <v>0</v>
      </c>
      <c r="AL196" s="226">
        <f t="shared" si="5265"/>
        <v>0</v>
      </c>
      <c r="AM196" s="137"/>
      <c r="AN196" s="227">
        <f t="shared" si="5267"/>
        <v>744.63</v>
      </c>
      <c r="AO196" s="138"/>
      <c r="AP196" s="110"/>
      <c r="AQ196" s="110"/>
      <c r="AR196" s="139"/>
      <c r="AS196" s="140"/>
      <c r="AT196" s="198">
        <f t="shared" si="5263"/>
        <v>0</v>
      </c>
      <c r="AU196" s="225">
        <f t="shared" si="5264"/>
        <v>0</v>
      </c>
      <c r="AV196" s="226">
        <f t="shared" si="5265"/>
        <v>0</v>
      </c>
      <c r="AW196" s="137"/>
      <c r="AX196" s="227">
        <f t="shared" si="5267"/>
        <v>744.63</v>
      </c>
      <c r="AY196" s="138"/>
      <c r="AZ196" s="110"/>
      <c r="BA196" s="110"/>
      <c r="BB196" s="139"/>
      <c r="BC196" s="140"/>
      <c r="BD196" s="198">
        <f t="shared" si="5263"/>
        <v>0</v>
      </c>
      <c r="BE196" s="225">
        <f t="shared" si="5264"/>
        <v>0</v>
      </c>
      <c r="BF196" s="226">
        <f t="shared" si="5265"/>
        <v>0</v>
      </c>
      <c r="BG196" s="137"/>
      <c r="BH196" s="227">
        <f t="shared" si="5267"/>
        <v>744.63</v>
      </c>
      <c r="BI196" s="138"/>
      <c r="BJ196" s="110"/>
      <c r="BK196" s="110"/>
      <c r="BL196" s="139"/>
      <c r="BM196" s="140"/>
      <c r="BN196" s="198">
        <f t="shared" si="5263"/>
        <v>0</v>
      </c>
      <c r="BO196" s="225">
        <f t="shared" si="5264"/>
        <v>0</v>
      </c>
      <c r="BP196" s="226">
        <f t="shared" si="5265"/>
        <v>0</v>
      </c>
      <c r="BQ196" s="137"/>
      <c r="BR196" s="227">
        <f t="shared" si="5267"/>
        <v>744.63</v>
      </c>
      <c r="BS196" s="138"/>
      <c r="BT196" s="110"/>
      <c r="BU196" s="110"/>
      <c r="BV196" s="139"/>
      <c r="BW196" s="140"/>
      <c r="BX196" s="198">
        <f t="shared" si="5263"/>
        <v>0</v>
      </c>
      <c r="BY196" s="225">
        <f t="shared" si="5264"/>
        <v>0</v>
      </c>
      <c r="BZ196" s="226">
        <f t="shared" si="5265"/>
        <v>0</v>
      </c>
      <c r="CA196" s="137"/>
      <c r="CB196" s="227">
        <f t="shared" si="5267"/>
        <v>744.63</v>
      </c>
      <c r="CC196" s="138"/>
      <c r="CD196" s="110"/>
      <c r="CE196" s="110"/>
      <c r="CF196" s="139"/>
      <c r="CG196" s="140"/>
      <c r="CH196" s="198">
        <f t="shared" si="5319"/>
        <v>0</v>
      </c>
      <c r="CI196" s="225">
        <f t="shared" si="5320"/>
        <v>0</v>
      </c>
      <c r="CJ196" s="226">
        <f t="shared" si="5321"/>
        <v>0</v>
      </c>
      <c r="CK196" s="137"/>
      <c r="CL196" s="227">
        <f t="shared" si="5323"/>
        <v>744.63</v>
      </c>
      <c r="CM196" s="138"/>
      <c r="CN196" s="110"/>
      <c r="CO196" s="110"/>
      <c r="CP196" s="139"/>
      <c r="CQ196" s="140"/>
      <c r="CR196" s="198">
        <f t="shared" si="5319"/>
        <v>0</v>
      </c>
      <c r="CS196" s="225">
        <f t="shared" si="5320"/>
        <v>0</v>
      </c>
      <c r="CT196" s="226">
        <f t="shared" si="5321"/>
        <v>0</v>
      </c>
      <c r="CU196" s="137"/>
      <c r="CV196" s="227">
        <f t="shared" si="5323"/>
        <v>744.63</v>
      </c>
      <c r="CW196" s="138"/>
      <c r="CX196" s="110"/>
      <c r="CY196" s="110"/>
      <c r="CZ196" s="139"/>
      <c r="DA196" s="140"/>
      <c r="DB196" s="198">
        <f t="shared" si="5319"/>
        <v>0</v>
      </c>
      <c r="DC196" s="225">
        <f t="shared" si="5320"/>
        <v>0</v>
      </c>
      <c r="DD196" s="226">
        <f t="shared" si="5321"/>
        <v>0</v>
      </c>
      <c r="DE196" s="137"/>
      <c r="DF196" s="227">
        <f t="shared" si="5323"/>
        <v>744.63</v>
      </c>
      <c r="DG196" s="138"/>
      <c r="DH196" s="110"/>
      <c r="DI196" s="110"/>
      <c r="DJ196" s="139"/>
      <c r="DK196" s="140"/>
      <c r="DL196" s="198">
        <f t="shared" si="5319"/>
        <v>0</v>
      </c>
      <c r="DM196" s="225">
        <f t="shared" si="5320"/>
        <v>0</v>
      </c>
      <c r="DN196" s="226">
        <f t="shared" si="5321"/>
        <v>0</v>
      </c>
      <c r="DO196" s="137"/>
      <c r="DP196" s="227">
        <f t="shared" si="5323"/>
        <v>744.63</v>
      </c>
      <c r="DQ196" s="138"/>
      <c r="DR196" s="110"/>
      <c r="DS196" s="110"/>
      <c r="DT196" s="139"/>
      <c r="DU196" s="140"/>
      <c r="DV196" s="198">
        <f t="shared" si="5319"/>
        <v>0</v>
      </c>
      <c r="DW196" s="225">
        <f t="shared" si="5320"/>
        <v>0</v>
      </c>
      <c r="DX196" s="226">
        <f t="shared" si="5321"/>
        <v>0</v>
      </c>
      <c r="DY196" s="137"/>
      <c r="DZ196" s="227">
        <f t="shared" si="5323"/>
        <v>389.62</v>
      </c>
      <c r="EA196" s="138"/>
      <c r="EB196" s="110"/>
      <c r="EC196" s="110"/>
      <c r="ED196" s="139"/>
      <c r="EE196" s="140"/>
      <c r="EF196" s="198">
        <f t="shared" si="5319"/>
        <v>0</v>
      </c>
      <c r="EG196" s="225">
        <f t="shared" si="5320"/>
        <v>0</v>
      </c>
      <c r="EH196" s="226">
        <f t="shared" si="5321"/>
        <v>0</v>
      </c>
      <c r="EI196" s="137"/>
      <c r="EJ196" s="227">
        <f t="shared" si="5323"/>
        <v>744.63</v>
      </c>
      <c r="EK196" s="138"/>
      <c r="EL196" s="110"/>
      <c r="EM196" s="110"/>
      <c r="EN196" s="139"/>
      <c r="EO196" s="140"/>
      <c r="EP196" s="198">
        <f t="shared" si="5319"/>
        <v>0</v>
      </c>
      <c r="EQ196" s="225">
        <f t="shared" si="5320"/>
        <v>0</v>
      </c>
      <c r="ER196" s="226">
        <f t="shared" si="5321"/>
        <v>0</v>
      </c>
      <c r="ES196" s="137"/>
      <c r="ET196" s="227">
        <f t="shared" si="5323"/>
        <v>744.63</v>
      </c>
      <c r="EU196" s="138"/>
      <c r="EV196" s="110"/>
      <c r="EW196" s="110"/>
      <c r="EX196" s="139"/>
      <c r="EY196" s="140"/>
      <c r="EZ196" s="198">
        <f t="shared" si="5375"/>
        <v>0</v>
      </c>
      <c r="FA196" s="225">
        <f t="shared" si="5376"/>
        <v>0</v>
      </c>
      <c r="FB196" s="226">
        <f t="shared" si="5377"/>
        <v>0</v>
      </c>
      <c r="FC196" s="137"/>
      <c r="FD196" s="227">
        <f t="shared" si="5379"/>
        <v>744.63</v>
      </c>
      <c r="FE196" s="138"/>
      <c r="FF196" s="110"/>
      <c r="FG196" s="110"/>
      <c r="FH196" s="139"/>
      <c r="FI196" s="140"/>
      <c r="FJ196" s="198">
        <f t="shared" si="5375"/>
        <v>0</v>
      </c>
      <c r="FK196" s="225">
        <f t="shared" si="5376"/>
        <v>0</v>
      </c>
      <c r="FL196" s="226">
        <f t="shared" si="5377"/>
        <v>0</v>
      </c>
      <c r="FM196" s="137"/>
      <c r="FN196" s="227">
        <f t="shared" si="5379"/>
        <v>744.63</v>
      </c>
      <c r="FO196" s="138"/>
      <c r="FP196" s="110"/>
      <c r="FQ196" s="110"/>
      <c r="FR196" s="139"/>
      <c r="FS196" s="140"/>
      <c r="FT196" s="198">
        <f t="shared" si="5375"/>
        <v>0</v>
      </c>
      <c r="FU196" s="225">
        <f t="shared" si="5376"/>
        <v>0</v>
      </c>
      <c r="FV196" s="226">
        <f t="shared" si="5377"/>
        <v>0</v>
      </c>
      <c r="FW196" s="137"/>
      <c r="FX196" s="227">
        <f t="shared" si="5379"/>
        <v>744.63</v>
      </c>
      <c r="FY196" s="138"/>
      <c r="FZ196" s="110"/>
      <c r="GA196" s="110"/>
      <c r="GB196" s="139"/>
      <c r="GC196" s="140"/>
      <c r="GD196" s="198">
        <f t="shared" si="5375"/>
        <v>0</v>
      </c>
      <c r="GE196" s="225">
        <f t="shared" si="5376"/>
        <v>0</v>
      </c>
      <c r="GF196" s="226">
        <f t="shared" si="5377"/>
        <v>0</v>
      </c>
      <c r="GG196" s="137"/>
      <c r="GH196" s="227">
        <f t="shared" si="5379"/>
        <v>744.63</v>
      </c>
      <c r="GI196" s="138"/>
      <c r="GJ196" s="110"/>
      <c r="GK196" s="110"/>
      <c r="GL196" s="139"/>
      <c r="GM196" s="140"/>
      <c r="GN196" s="198">
        <f t="shared" si="5407"/>
        <v>0</v>
      </c>
      <c r="GO196" s="225">
        <f t="shared" si="5408"/>
        <v>0</v>
      </c>
      <c r="GP196" s="226">
        <f t="shared" si="5409"/>
        <v>0</v>
      </c>
      <c r="GQ196" s="137"/>
      <c r="GR196" s="227">
        <f t="shared" si="5411"/>
        <v>744.63</v>
      </c>
      <c r="GS196" s="138"/>
      <c r="GT196" s="110"/>
      <c r="GU196" s="110"/>
      <c r="GV196" s="139"/>
      <c r="GW196" s="140"/>
      <c r="GX196" s="198">
        <f t="shared" si="5407"/>
        <v>0</v>
      </c>
      <c r="GY196" s="225">
        <f t="shared" si="5408"/>
        <v>0</v>
      </c>
      <c r="GZ196" s="226">
        <f t="shared" si="5409"/>
        <v>0</v>
      </c>
      <c r="HA196" s="137"/>
      <c r="HB196" s="227">
        <f t="shared" si="5411"/>
        <v>744.63</v>
      </c>
      <c r="HC196" s="138"/>
      <c r="HD196" s="110"/>
      <c r="HE196" s="110"/>
      <c r="HF196" s="139"/>
      <c r="HG196" s="140"/>
      <c r="HH196" s="198">
        <f t="shared" si="5407"/>
        <v>0</v>
      </c>
      <c r="HI196" s="225">
        <f t="shared" si="5408"/>
        <v>0</v>
      </c>
      <c r="HJ196" s="226">
        <f t="shared" si="5409"/>
        <v>0</v>
      </c>
      <c r="HK196" s="137"/>
      <c r="HL196" s="227">
        <f t="shared" si="5411"/>
        <v>731.29</v>
      </c>
      <c r="HM196" s="138"/>
      <c r="HN196" s="110"/>
      <c r="HO196" s="110"/>
      <c r="HP196" s="139"/>
      <c r="HQ196" s="140"/>
      <c r="HR196" s="198">
        <f t="shared" si="5407"/>
        <v>0</v>
      </c>
      <c r="HS196" s="225">
        <f t="shared" si="5408"/>
        <v>0</v>
      </c>
      <c r="HT196" s="226">
        <f t="shared" si="5409"/>
        <v>0</v>
      </c>
      <c r="HU196" s="137"/>
      <c r="HV196" s="227">
        <f t="shared" si="5411"/>
        <v>744.63</v>
      </c>
      <c r="HW196" s="138"/>
      <c r="HX196" s="110"/>
      <c r="HY196" s="110"/>
      <c r="HZ196" s="139"/>
      <c r="IA196" s="140"/>
      <c r="IB196" s="198">
        <f t="shared" si="5439"/>
        <v>0</v>
      </c>
      <c r="IC196" s="225">
        <f t="shared" si="5440"/>
        <v>0</v>
      </c>
      <c r="ID196" s="226">
        <f t="shared" si="5441"/>
        <v>0</v>
      </c>
      <c r="IE196" s="137"/>
      <c r="IF196" s="227">
        <f t="shared" si="5443"/>
        <v>744.63</v>
      </c>
      <c r="IG196" s="138"/>
      <c r="IH196" s="110"/>
      <c r="II196" s="110"/>
      <c r="IJ196" s="139"/>
      <c r="IK196" s="140"/>
      <c r="IL196" s="198">
        <f t="shared" si="5439"/>
        <v>0</v>
      </c>
      <c r="IM196" s="225">
        <f t="shared" si="5440"/>
        <v>0</v>
      </c>
      <c r="IN196" s="226">
        <f t="shared" si="5441"/>
        <v>0</v>
      </c>
      <c r="IO196" s="137"/>
      <c r="IP196" s="227">
        <f t="shared" si="5443"/>
        <v>678.72</v>
      </c>
      <c r="IQ196" s="138"/>
      <c r="IR196" s="110"/>
      <c r="IS196" s="110"/>
      <c r="IT196" s="139"/>
      <c r="IU196" s="140"/>
      <c r="IV196" s="198">
        <f t="shared" si="5439"/>
        <v>0</v>
      </c>
      <c r="IW196" s="225">
        <f t="shared" si="5440"/>
        <v>0</v>
      </c>
      <c r="IX196" s="226">
        <f t="shared" si="5441"/>
        <v>0</v>
      </c>
      <c r="IY196" s="137"/>
      <c r="IZ196" s="227">
        <f t="shared" si="5443"/>
        <v>744.63</v>
      </c>
      <c r="JA196" s="138"/>
      <c r="JB196" s="110"/>
      <c r="JC196" s="110"/>
      <c r="JD196" s="139"/>
      <c r="JE196" s="140"/>
      <c r="JF196" s="198">
        <f t="shared" si="5439"/>
        <v>0</v>
      </c>
      <c r="JG196" s="225">
        <f t="shared" si="5440"/>
        <v>0</v>
      </c>
      <c r="JH196" s="226">
        <f t="shared" si="5441"/>
        <v>0</v>
      </c>
      <c r="JI196" s="137"/>
      <c r="JJ196" s="227">
        <f t="shared" si="5443"/>
        <v>744.63</v>
      </c>
      <c r="JK196" s="138"/>
      <c r="JL196" s="110"/>
      <c r="JM196" s="110"/>
      <c r="JN196" s="139"/>
      <c r="JO196" s="140"/>
      <c r="JP196" s="198">
        <f t="shared" si="5471"/>
        <v>0</v>
      </c>
      <c r="JQ196" s="225">
        <f t="shared" si="5472"/>
        <v>0</v>
      </c>
      <c r="JR196" s="226">
        <f t="shared" si="5473"/>
        <v>0</v>
      </c>
      <c r="JS196" s="137"/>
      <c r="JT196" s="227">
        <f t="shared" si="5475"/>
        <v>744.63</v>
      </c>
      <c r="JU196" s="138"/>
      <c r="JV196" s="110"/>
      <c r="JW196" s="110"/>
      <c r="JX196" s="139"/>
      <c r="JY196" s="140"/>
      <c r="JZ196" s="198">
        <f t="shared" si="5471"/>
        <v>0</v>
      </c>
      <c r="KA196" s="225">
        <f t="shared" si="5472"/>
        <v>0</v>
      </c>
      <c r="KB196" s="226">
        <f t="shared" si="5473"/>
        <v>0</v>
      </c>
      <c r="KC196" s="137"/>
      <c r="KD196" s="227">
        <f t="shared" si="5475"/>
        <v>744.63</v>
      </c>
      <c r="KE196" s="138"/>
      <c r="KF196" s="110"/>
      <c r="KG196" s="110"/>
      <c r="KH196" s="139"/>
      <c r="KI196" s="140"/>
      <c r="KJ196" s="198">
        <f t="shared" si="5471"/>
        <v>0</v>
      </c>
      <c r="KK196" s="225">
        <f t="shared" si="5472"/>
        <v>0</v>
      </c>
      <c r="KL196" s="226">
        <f t="shared" si="5473"/>
        <v>0</v>
      </c>
      <c r="KM196" s="137"/>
      <c r="KN196" s="227">
        <f t="shared" si="5475"/>
        <v>744.63</v>
      </c>
      <c r="KO196" s="138"/>
      <c r="KP196" s="110"/>
      <c r="KQ196" s="110"/>
      <c r="KR196" s="139"/>
      <c r="KS196" s="140"/>
      <c r="KT196" s="198">
        <f t="shared" si="5471"/>
        <v>0</v>
      </c>
      <c r="KU196" s="225">
        <f t="shared" si="5472"/>
        <v>0</v>
      </c>
      <c r="KV196" s="226">
        <f t="shared" si="5473"/>
        <v>0</v>
      </c>
      <c r="KW196" s="137"/>
      <c r="KX196" s="227">
        <f t="shared" si="5475"/>
        <v>744.63</v>
      </c>
      <c r="KY196" s="138"/>
      <c r="KZ196" s="110"/>
      <c r="LA196" s="110"/>
      <c r="LB196" s="139"/>
      <c r="LC196" s="140"/>
      <c r="LD196" s="198">
        <f t="shared" si="5510"/>
        <v>0</v>
      </c>
      <c r="LE196" s="225">
        <f t="shared" si="5511"/>
        <v>0</v>
      </c>
      <c r="LF196" s="226">
        <f t="shared" si="5512"/>
        <v>0</v>
      </c>
      <c r="LG196" s="137"/>
      <c r="LH196" s="227">
        <f t="shared" si="5513"/>
        <v>733.76</v>
      </c>
      <c r="LI196" s="138"/>
      <c r="LJ196" s="110"/>
      <c r="LK196" s="110"/>
      <c r="LL196" s="139"/>
    </row>
    <row r="197" spans="1:324" ht="24" x14ac:dyDescent="0.25">
      <c r="A197" s="245"/>
      <c r="B197" s="70" t="s">
        <v>609</v>
      </c>
      <c r="C197" s="12" t="s">
        <v>729</v>
      </c>
      <c r="D197" s="12" t="s">
        <v>429</v>
      </c>
      <c r="E197" s="4" t="s">
        <v>32</v>
      </c>
      <c r="F197" s="198">
        <f t="shared" si="5506"/>
        <v>313</v>
      </c>
      <c r="G197" s="225">
        <f t="shared" si="5507"/>
        <v>0.51993</v>
      </c>
      <c r="H197" s="226">
        <f t="shared" si="5508"/>
        <v>60.83</v>
      </c>
      <c r="I197" s="137">
        <f t="shared" ref="I197:I204" si="5514">IF(F197&gt;0,H197/F197,0)</f>
        <v>0.19434504999999999</v>
      </c>
      <c r="J197" s="227">
        <f t="shared" si="5509"/>
        <v>744.63</v>
      </c>
      <c r="K197" s="138">
        <f t="shared" ref="K197:K204" si="5515">I197*J197</f>
        <v>144.71514999999999</v>
      </c>
      <c r="L197" s="110">
        <f t="shared" ref="L197:L204" si="5516">K197*F197</f>
        <v>45295.839999999997</v>
      </c>
      <c r="M197" s="110"/>
      <c r="N197" s="139"/>
      <c r="O197" s="140">
        <f t="shared" ref="O197:O204" si="5517">K197/$LI197</f>
        <v>1.0347900000000001</v>
      </c>
      <c r="P197" s="198">
        <f t="shared" si="5263"/>
        <v>523</v>
      </c>
      <c r="Q197" s="225">
        <f t="shared" si="5264"/>
        <v>0.47719</v>
      </c>
      <c r="R197" s="226">
        <f t="shared" si="5265"/>
        <v>80.17</v>
      </c>
      <c r="S197" s="137">
        <f t="shared" ref="S197:S204" si="5518">IF(P197&gt;0,R197/P197,0)</f>
        <v>0.15328871999999999</v>
      </c>
      <c r="T197" s="227">
        <f t="shared" si="5267"/>
        <v>744.63</v>
      </c>
      <c r="U197" s="138">
        <f t="shared" ref="U197:U204" si="5519">S197*T197</f>
        <v>114.14337999999999</v>
      </c>
      <c r="V197" s="110">
        <f t="shared" ref="V197:V204" si="5520">U197*P197</f>
        <v>59696.99</v>
      </c>
      <c r="W197" s="110"/>
      <c r="X197" s="139"/>
      <c r="Y197" s="140">
        <f t="shared" ref="Y197:Y204" si="5521">U197/$LI197</f>
        <v>0.81618999999999997</v>
      </c>
      <c r="Z197" s="198">
        <f t="shared" si="5263"/>
        <v>412</v>
      </c>
      <c r="AA197" s="225">
        <f t="shared" si="5264"/>
        <v>0.47685</v>
      </c>
      <c r="AB197" s="226">
        <f t="shared" si="5265"/>
        <v>57.22</v>
      </c>
      <c r="AC197" s="137">
        <f t="shared" ref="AC197:AC204" si="5522">IF(Z197&gt;0,AB197/Z197,0)</f>
        <v>0.13888349999999999</v>
      </c>
      <c r="AD197" s="227">
        <f t="shared" si="5267"/>
        <v>744.63</v>
      </c>
      <c r="AE197" s="138">
        <f t="shared" ref="AE197:AE204" si="5523">AC197*AD197</f>
        <v>103.41682</v>
      </c>
      <c r="AF197" s="110">
        <f t="shared" ref="AF197:AF204" si="5524">AE197*Z197</f>
        <v>42607.73</v>
      </c>
      <c r="AG197" s="110"/>
      <c r="AH197" s="139"/>
      <c r="AI197" s="140">
        <f t="shared" ref="AI197:AI204" si="5525">AE197/$LI197</f>
        <v>0.73948000000000003</v>
      </c>
      <c r="AJ197" s="198">
        <f t="shared" si="5263"/>
        <v>311</v>
      </c>
      <c r="AK197" s="225">
        <f t="shared" si="5264"/>
        <v>0.46766999999999997</v>
      </c>
      <c r="AL197" s="226">
        <f t="shared" si="5265"/>
        <v>51.18</v>
      </c>
      <c r="AM197" s="137">
        <f t="shared" ref="AM197:AM204" si="5526">IF(AJ197&gt;0,AL197/AJ197,0)</f>
        <v>0.16456592</v>
      </c>
      <c r="AN197" s="227">
        <f t="shared" si="5267"/>
        <v>744.63</v>
      </c>
      <c r="AO197" s="138">
        <f t="shared" ref="AO197:AO204" si="5527">AM197*AN197</f>
        <v>122.54071999999999</v>
      </c>
      <c r="AP197" s="110">
        <f t="shared" ref="AP197:AP204" si="5528">AO197*AJ197</f>
        <v>38110.160000000003</v>
      </c>
      <c r="AQ197" s="110"/>
      <c r="AR197" s="139"/>
      <c r="AS197" s="140">
        <f t="shared" ref="AS197:AS204" si="5529">AO197/$LI197</f>
        <v>0.87622999999999995</v>
      </c>
      <c r="AT197" s="198">
        <f t="shared" si="5263"/>
        <v>428</v>
      </c>
      <c r="AU197" s="225">
        <f t="shared" si="5264"/>
        <v>0.45005000000000001</v>
      </c>
      <c r="AV197" s="226">
        <f t="shared" si="5265"/>
        <v>50.5</v>
      </c>
      <c r="AW197" s="137">
        <f t="shared" ref="AW197:AW204" si="5530">IF(AT197&gt;0,AV197/AT197,0)</f>
        <v>0.11799065</v>
      </c>
      <c r="AX197" s="227">
        <f t="shared" si="5267"/>
        <v>744.63</v>
      </c>
      <c r="AY197" s="138">
        <f t="shared" ref="AY197:AY204" si="5531">AW197*AX197</f>
        <v>87.859380000000002</v>
      </c>
      <c r="AZ197" s="110">
        <f t="shared" ref="AZ197:AZ204" si="5532">AY197*AT197</f>
        <v>37603.81</v>
      </c>
      <c r="BA197" s="110"/>
      <c r="BB197" s="139"/>
      <c r="BC197" s="140">
        <f t="shared" ref="BC197:BC204" si="5533">AY197/$LI197</f>
        <v>0.62824000000000002</v>
      </c>
      <c r="BD197" s="198">
        <f t="shared" si="5263"/>
        <v>358</v>
      </c>
      <c r="BE197" s="225">
        <f t="shared" si="5264"/>
        <v>0.48118</v>
      </c>
      <c r="BF197" s="226">
        <f t="shared" si="5265"/>
        <v>51.97</v>
      </c>
      <c r="BG197" s="137">
        <f t="shared" ref="BG197:BG204" si="5534">IF(BD197&gt;0,BF197/BD197,0)</f>
        <v>0.14516760000000001</v>
      </c>
      <c r="BH197" s="227">
        <f t="shared" si="5267"/>
        <v>744.63</v>
      </c>
      <c r="BI197" s="138">
        <f t="shared" ref="BI197:BI204" si="5535">BG197*BH197</f>
        <v>108.09614999999999</v>
      </c>
      <c r="BJ197" s="110">
        <f t="shared" ref="BJ197:BJ204" si="5536">BI197*BD197</f>
        <v>38698.42</v>
      </c>
      <c r="BK197" s="110"/>
      <c r="BL197" s="139"/>
      <c r="BM197" s="140">
        <f t="shared" ref="BM197:BM204" si="5537">BI197/$LI197</f>
        <v>0.77293999999999996</v>
      </c>
      <c r="BN197" s="198">
        <f t="shared" si="5263"/>
        <v>305</v>
      </c>
      <c r="BO197" s="225">
        <f t="shared" si="5264"/>
        <v>0.49432999999999999</v>
      </c>
      <c r="BP197" s="226">
        <f t="shared" si="5265"/>
        <v>53.39</v>
      </c>
      <c r="BQ197" s="137">
        <f t="shared" ref="BQ197:BQ204" si="5538">IF(BN197&gt;0,BP197/BN197,0)</f>
        <v>0.17504918</v>
      </c>
      <c r="BR197" s="227">
        <f t="shared" si="5267"/>
        <v>744.63</v>
      </c>
      <c r="BS197" s="138">
        <f t="shared" ref="BS197:BS204" si="5539">BQ197*BR197</f>
        <v>130.34687</v>
      </c>
      <c r="BT197" s="110">
        <f t="shared" ref="BT197:BT204" si="5540">BS197*BN197</f>
        <v>39755.800000000003</v>
      </c>
      <c r="BU197" s="110"/>
      <c r="BV197" s="139"/>
      <c r="BW197" s="140">
        <f t="shared" ref="BW197:BW204" si="5541">BS197/$LI197</f>
        <v>0.93205000000000005</v>
      </c>
      <c r="BX197" s="198">
        <f t="shared" si="5263"/>
        <v>401</v>
      </c>
      <c r="BY197" s="225">
        <f t="shared" si="5264"/>
        <v>0.50888</v>
      </c>
      <c r="BZ197" s="226">
        <f t="shared" si="5265"/>
        <v>93.61</v>
      </c>
      <c r="CA197" s="137">
        <f t="shared" ref="CA197:CA204" si="5542">IF(BX197&gt;0,BZ197/BX197,0)</f>
        <v>0.23344139999999999</v>
      </c>
      <c r="CB197" s="227">
        <f t="shared" si="5267"/>
        <v>744.63</v>
      </c>
      <c r="CC197" s="138">
        <f t="shared" ref="CC197:CC204" si="5543">CA197*CB197</f>
        <v>173.82747000000001</v>
      </c>
      <c r="CD197" s="110">
        <f t="shared" ref="CD197:CD204" si="5544">CC197*BX197</f>
        <v>69704.820000000007</v>
      </c>
      <c r="CE197" s="110"/>
      <c r="CF197" s="139"/>
      <c r="CG197" s="140">
        <f t="shared" ref="CG197:CG204" si="5545">CC197/$LI197</f>
        <v>1.2429600000000001</v>
      </c>
      <c r="CH197" s="198">
        <f t="shared" si="5319"/>
        <v>428</v>
      </c>
      <c r="CI197" s="225">
        <f t="shared" si="5320"/>
        <v>0.4632</v>
      </c>
      <c r="CJ197" s="226">
        <f t="shared" si="5321"/>
        <v>100.05</v>
      </c>
      <c r="CK197" s="137">
        <f t="shared" ref="CK197:CK204" si="5546">IF(CH197&gt;0,CJ197/CH197,0)</f>
        <v>0.23376168</v>
      </c>
      <c r="CL197" s="227">
        <f t="shared" si="5323"/>
        <v>744.63</v>
      </c>
      <c r="CM197" s="138">
        <f t="shared" ref="CM197:CM204" si="5547">CK197*CL197</f>
        <v>174.06595999999999</v>
      </c>
      <c r="CN197" s="110">
        <f t="shared" ref="CN197:CN204" si="5548">CM197*CH197</f>
        <v>74500.23</v>
      </c>
      <c r="CO197" s="110"/>
      <c r="CP197" s="139"/>
      <c r="CQ197" s="140">
        <f t="shared" ref="CQ197:CQ204" si="5549">CM197/$LI197</f>
        <v>1.2446600000000001</v>
      </c>
      <c r="CR197" s="198">
        <f t="shared" si="5319"/>
        <v>362</v>
      </c>
      <c r="CS197" s="225">
        <f t="shared" si="5320"/>
        <v>0.48655999999999999</v>
      </c>
      <c r="CT197" s="226">
        <f t="shared" si="5321"/>
        <v>58.39</v>
      </c>
      <c r="CU197" s="137">
        <f t="shared" ref="CU197:CU204" si="5550">IF(CR197&gt;0,CT197/CR197,0)</f>
        <v>0.16129834000000001</v>
      </c>
      <c r="CV197" s="227">
        <f t="shared" si="5323"/>
        <v>744.63</v>
      </c>
      <c r="CW197" s="138">
        <f t="shared" ref="CW197:CW204" si="5551">CU197*CV197</f>
        <v>120.10758</v>
      </c>
      <c r="CX197" s="110">
        <f t="shared" ref="CX197:CX204" si="5552">CW197*CR197</f>
        <v>43478.94</v>
      </c>
      <c r="CY197" s="110"/>
      <c r="CZ197" s="139"/>
      <c r="DA197" s="140">
        <f t="shared" ref="DA197:DA204" si="5553">CW197/$LI197</f>
        <v>0.85882999999999998</v>
      </c>
      <c r="DB197" s="198">
        <f t="shared" si="5319"/>
        <v>380</v>
      </c>
      <c r="DC197" s="225">
        <f t="shared" si="5320"/>
        <v>0.46061000000000002</v>
      </c>
      <c r="DD197" s="226">
        <f t="shared" si="5321"/>
        <v>91.2</v>
      </c>
      <c r="DE197" s="137">
        <f t="shared" ref="DE197:DE204" si="5554">IF(DB197&gt;0,DD197/DB197,0)</f>
        <v>0.24</v>
      </c>
      <c r="DF197" s="227">
        <f t="shared" si="5323"/>
        <v>744.63</v>
      </c>
      <c r="DG197" s="138">
        <f t="shared" ref="DG197:DG204" si="5555">DE197*DF197</f>
        <v>178.71119999999999</v>
      </c>
      <c r="DH197" s="110">
        <f t="shared" ref="DH197:DH204" si="5556">DG197*DB197</f>
        <v>67910.259999999995</v>
      </c>
      <c r="DI197" s="110"/>
      <c r="DJ197" s="139"/>
      <c r="DK197" s="140">
        <f t="shared" ref="DK197:DK204" si="5557">DG197/$LI197</f>
        <v>1.2778799999999999</v>
      </c>
      <c r="DL197" s="198">
        <f t="shared" si="5319"/>
        <v>0</v>
      </c>
      <c r="DM197" s="225">
        <f t="shared" si="5320"/>
        <v>0</v>
      </c>
      <c r="DN197" s="226">
        <f t="shared" si="5321"/>
        <v>0</v>
      </c>
      <c r="DO197" s="137">
        <f t="shared" ref="DO197:DO204" si="5558">IF(DL197&gt;0,DN197/DL197,0)</f>
        <v>0</v>
      </c>
      <c r="DP197" s="227">
        <f t="shared" si="5323"/>
        <v>744.63</v>
      </c>
      <c r="DQ197" s="138">
        <f t="shared" ref="DQ197:DQ204" si="5559">DO197*DP197</f>
        <v>0</v>
      </c>
      <c r="DR197" s="110">
        <f t="shared" ref="DR197:DR204" si="5560">DQ197*DL197</f>
        <v>0</v>
      </c>
      <c r="DS197" s="110"/>
      <c r="DT197" s="139"/>
      <c r="DU197" s="140">
        <f t="shared" ref="DU197:DU204" si="5561">DQ197/$LI197</f>
        <v>0</v>
      </c>
      <c r="DV197" s="198">
        <f t="shared" si="5319"/>
        <v>427</v>
      </c>
      <c r="DW197" s="225">
        <f t="shared" si="5320"/>
        <v>0.48632999999999998</v>
      </c>
      <c r="DX197" s="226">
        <f t="shared" si="5321"/>
        <v>53.63</v>
      </c>
      <c r="DY197" s="137">
        <f t="shared" ref="DY197:DY204" si="5562">IF(DV197&gt;0,DX197/DV197,0)</f>
        <v>0.12559719</v>
      </c>
      <c r="DZ197" s="227">
        <f t="shared" si="5323"/>
        <v>389.62</v>
      </c>
      <c r="EA197" s="138">
        <f t="shared" ref="EA197:EA204" si="5563">DY197*DZ197</f>
        <v>48.935180000000003</v>
      </c>
      <c r="EB197" s="110">
        <f t="shared" ref="EB197:EB204" si="5564">EA197*DV197</f>
        <v>20895.32</v>
      </c>
      <c r="EC197" s="110"/>
      <c r="ED197" s="139"/>
      <c r="EE197" s="140">
        <f t="shared" ref="EE197:EE204" si="5565">EA197/$LI197</f>
        <v>0.34991</v>
      </c>
      <c r="EF197" s="198">
        <f t="shared" si="5319"/>
        <v>472</v>
      </c>
      <c r="EG197" s="225">
        <f t="shared" si="5320"/>
        <v>0.50266</v>
      </c>
      <c r="EH197" s="226">
        <f t="shared" si="5321"/>
        <v>54.29</v>
      </c>
      <c r="EI197" s="137">
        <f t="shared" ref="EI197:EI204" si="5566">IF(EF197&gt;0,EH197/EF197,0)</f>
        <v>0.11502119</v>
      </c>
      <c r="EJ197" s="227">
        <f t="shared" si="5323"/>
        <v>744.63</v>
      </c>
      <c r="EK197" s="138">
        <f t="shared" ref="EK197:EK204" si="5567">EI197*EJ197</f>
        <v>85.648229999999998</v>
      </c>
      <c r="EL197" s="110">
        <f t="shared" ref="EL197:EL204" si="5568">EK197*EF197</f>
        <v>40425.96</v>
      </c>
      <c r="EM197" s="110"/>
      <c r="EN197" s="139"/>
      <c r="EO197" s="140">
        <f t="shared" ref="EO197:EO204" si="5569">EK197/$LI197</f>
        <v>0.61243000000000003</v>
      </c>
      <c r="EP197" s="198">
        <f t="shared" si="5319"/>
        <v>448</v>
      </c>
      <c r="EQ197" s="225">
        <f t="shared" si="5320"/>
        <v>0.47508</v>
      </c>
      <c r="ER197" s="226">
        <f t="shared" si="5321"/>
        <v>76.959999999999994</v>
      </c>
      <c r="ES197" s="137">
        <f t="shared" ref="ES197:ES204" si="5570">IF(EP197&gt;0,ER197/EP197,0)</f>
        <v>0.17178571000000001</v>
      </c>
      <c r="ET197" s="227">
        <f t="shared" si="5323"/>
        <v>744.63</v>
      </c>
      <c r="EU197" s="138">
        <f t="shared" ref="EU197:EU204" si="5571">ES197*ET197</f>
        <v>127.91679000000001</v>
      </c>
      <c r="EV197" s="110">
        <f t="shared" ref="EV197:EV204" si="5572">EU197*EP197</f>
        <v>57306.720000000001</v>
      </c>
      <c r="EW197" s="110"/>
      <c r="EX197" s="139"/>
      <c r="EY197" s="140">
        <f t="shared" ref="EY197:EY204" si="5573">EU197/$LI197</f>
        <v>0.91466999999999998</v>
      </c>
      <c r="EZ197" s="198">
        <f t="shared" si="5375"/>
        <v>443</v>
      </c>
      <c r="FA197" s="225">
        <f t="shared" si="5376"/>
        <v>0.39660000000000001</v>
      </c>
      <c r="FB197" s="226">
        <f t="shared" si="5377"/>
        <v>63.92</v>
      </c>
      <c r="FC197" s="137">
        <f t="shared" ref="FC197:FC204" si="5574">IF(EZ197&gt;0,FB197/EZ197,0)</f>
        <v>0.14428894</v>
      </c>
      <c r="FD197" s="227">
        <f t="shared" si="5379"/>
        <v>744.63</v>
      </c>
      <c r="FE197" s="138">
        <f t="shared" ref="FE197:FE204" si="5575">FC197*FD197</f>
        <v>107.44186999999999</v>
      </c>
      <c r="FF197" s="110">
        <f t="shared" ref="FF197:FF204" si="5576">FE197*EZ197</f>
        <v>47596.75</v>
      </c>
      <c r="FG197" s="110"/>
      <c r="FH197" s="139"/>
      <c r="FI197" s="140">
        <f t="shared" ref="FI197:FI204" si="5577">FE197/$LI197</f>
        <v>0.76827000000000001</v>
      </c>
      <c r="FJ197" s="198">
        <f t="shared" si="5375"/>
        <v>508</v>
      </c>
      <c r="FK197" s="225">
        <f t="shared" si="5376"/>
        <v>0.49706</v>
      </c>
      <c r="FL197" s="226">
        <f t="shared" si="5377"/>
        <v>116.31</v>
      </c>
      <c r="FM197" s="137">
        <f t="shared" ref="FM197:FM204" si="5578">IF(FJ197&gt;0,FL197/FJ197,0)</f>
        <v>0.22895668999999999</v>
      </c>
      <c r="FN197" s="227">
        <f t="shared" si="5379"/>
        <v>744.63</v>
      </c>
      <c r="FO197" s="138">
        <f t="shared" ref="FO197:FO204" si="5579">FM197*FN197</f>
        <v>170.48802000000001</v>
      </c>
      <c r="FP197" s="110">
        <f t="shared" ref="FP197:FP204" si="5580">FO197*FJ197</f>
        <v>86607.91</v>
      </c>
      <c r="FQ197" s="110"/>
      <c r="FR197" s="139"/>
      <c r="FS197" s="140">
        <f t="shared" ref="FS197:FS204" si="5581">FO197/$LI197</f>
        <v>1.2190799999999999</v>
      </c>
      <c r="FT197" s="198">
        <f t="shared" si="5375"/>
        <v>377</v>
      </c>
      <c r="FU197" s="225">
        <f t="shared" si="5376"/>
        <v>0.46949000000000002</v>
      </c>
      <c r="FV197" s="226">
        <f t="shared" si="5377"/>
        <v>73.239999999999995</v>
      </c>
      <c r="FW197" s="137">
        <f t="shared" ref="FW197:FW204" si="5582">IF(FT197&gt;0,FV197/FT197,0)</f>
        <v>0.19427056000000001</v>
      </c>
      <c r="FX197" s="227">
        <f t="shared" si="5379"/>
        <v>744.63</v>
      </c>
      <c r="FY197" s="138">
        <f t="shared" ref="FY197:FY204" si="5583">FW197*FX197</f>
        <v>144.65969000000001</v>
      </c>
      <c r="FZ197" s="110">
        <f t="shared" ref="FZ197:FZ204" si="5584">FY197*FT197</f>
        <v>54536.7</v>
      </c>
      <c r="GA197" s="110"/>
      <c r="GB197" s="139"/>
      <c r="GC197" s="140">
        <f t="shared" ref="GC197:GC204" si="5585">FY197/$LI197</f>
        <v>1.0343899999999999</v>
      </c>
      <c r="GD197" s="198">
        <f t="shared" si="5375"/>
        <v>244</v>
      </c>
      <c r="GE197" s="225">
        <f t="shared" si="5376"/>
        <v>0.47655999999999998</v>
      </c>
      <c r="GF197" s="226">
        <f t="shared" si="5377"/>
        <v>51.47</v>
      </c>
      <c r="GG197" s="137">
        <f t="shared" ref="GG197:GG204" si="5586">IF(GD197&gt;0,GF197/GD197,0)</f>
        <v>0.21094262</v>
      </c>
      <c r="GH197" s="227">
        <f t="shared" si="5379"/>
        <v>744.63</v>
      </c>
      <c r="GI197" s="138">
        <f t="shared" ref="GI197:GI204" si="5587">GG197*GH197</f>
        <v>157.07419999999999</v>
      </c>
      <c r="GJ197" s="110">
        <f t="shared" ref="GJ197:GJ204" si="5588">GI197*GD197</f>
        <v>38326.1</v>
      </c>
      <c r="GK197" s="110"/>
      <c r="GL197" s="139"/>
      <c r="GM197" s="140">
        <f t="shared" ref="GM197:GM204" si="5589">GI197/$LI197</f>
        <v>1.1231599999999999</v>
      </c>
      <c r="GN197" s="198">
        <f t="shared" si="5407"/>
        <v>413</v>
      </c>
      <c r="GO197" s="225">
        <f t="shared" si="5408"/>
        <v>0.47800999999999999</v>
      </c>
      <c r="GP197" s="226">
        <f t="shared" si="5409"/>
        <v>88.34</v>
      </c>
      <c r="GQ197" s="137">
        <f t="shared" ref="GQ197:GQ204" si="5590">IF(GN197&gt;0,GP197/GN197,0)</f>
        <v>0.21389831000000001</v>
      </c>
      <c r="GR197" s="227">
        <f t="shared" si="5411"/>
        <v>744.63</v>
      </c>
      <c r="GS197" s="138">
        <f t="shared" ref="GS197:GS204" si="5591">GQ197*GR197</f>
        <v>159.27510000000001</v>
      </c>
      <c r="GT197" s="110">
        <f t="shared" ref="GT197:GT204" si="5592">GS197*GN197</f>
        <v>65780.62</v>
      </c>
      <c r="GU197" s="110"/>
      <c r="GV197" s="139"/>
      <c r="GW197" s="140">
        <f t="shared" ref="GW197:GW204" si="5593">GS197/$LI197</f>
        <v>1.1389</v>
      </c>
      <c r="GX197" s="198">
        <f t="shared" si="5407"/>
        <v>742</v>
      </c>
      <c r="GY197" s="225">
        <f t="shared" si="5408"/>
        <v>0.45773999999999998</v>
      </c>
      <c r="GZ197" s="226">
        <f t="shared" si="5409"/>
        <v>131.83000000000001</v>
      </c>
      <c r="HA197" s="137">
        <f t="shared" ref="HA197:HA204" si="5594">IF(GX197&gt;0,GZ197/GX197,0)</f>
        <v>0.17766846</v>
      </c>
      <c r="HB197" s="227">
        <f t="shared" si="5411"/>
        <v>744.63</v>
      </c>
      <c r="HC197" s="138">
        <f t="shared" ref="HC197:HC204" si="5595">HA197*HB197</f>
        <v>132.29727</v>
      </c>
      <c r="HD197" s="110">
        <f t="shared" ref="HD197:HD204" si="5596">HC197*GX197</f>
        <v>98164.57</v>
      </c>
      <c r="HE197" s="110"/>
      <c r="HF197" s="139"/>
      <c r="HG197" s="140">
        <f t="shared" ref="HG197:HG204" si="5597">HC197/$LI197</f>
        <v>0.94599999999999995</v>
      </c>
      <c r="HH197" s="198">
        <f t="shared" si="5407"/>
        <v>536</v>
      </c>
      <c r="HI197" s="225">
        <f t="shared" si="5408"/>
        <v>0.46528000000000003</v>
      </c>
      <c r="HJ197" s="226">
        <f t="shared" si="5409"/>
        <v>91.01</v>
      </c>
      <c r="HK197" s="137">
        <f t="shared" ref="HK197:HK204" si="5598">IF(HH197&gt;0,HJ197/HH197,0)</f>
        <v>0.16979478000000001</v>
      </c>
      <c r="HL197" s="227">
        <f t="shared" si="5411"/>
        <v>731.29</v>
      </c>
      <c r="HM197" s="138">
        <f t="shared" ref="HM197:HM204" si="5599">HK197*HL197</f>
        <v>124.16922</v>
      </c>
      <c r="HN197" s="110">
        <f t="shared" ref="HN197:HN204" si="5600">HM197*HH197</f>
        <v>66554.7</v>
      </c>
      <c r="HO197" s="110"/>
      <c r="HP197" s="139"/>
      <c r="HQ197" s="140">
        <f t="shared" ref="HQ197:HQ204" si="5601">HM197/$LI197</f>
        <v>0.88788</v>
      </c>
      <c r="HR197" s="198">
        <f t="shared" si="5407"/>
        <v>396</v>
      </c>
      <c r="HS197" s="225">
        <f t="shared" si="5408"/>
        <v>0.50253999999999999</v>
      </c>
      <c r="HT197" s="226">
        <f t="shared" si="5409"/>
        <v>54.27</v>
      </c>
      <c r="HU197" s="137">
        <f t="shared" ref="HU197:HU204" si="5602">IF(HR197&gt;0,HT197/HR197,0)</f>
        <v>0.13704545000000001</v>
      </c>
      <c r="HV197" s="227">
        <f t="shared" si="5411"/>
        <v>744.63</v>
      </c>
      <c r="HW197" s="138">
        <f t="shared" ref="HW197:HW204" si="5603">HU197*HV197</f>
        <v>102.04815000000001</v>
      </c>
      <c r="HX197" s="110">
        <f t="shared" ref="HX197:HX204" si="5604">HW197*HR197</f>
        <v>40411.07</v>
      </c>
      <c r="HY197" s="110"/>
      <c r="HZ197" s="139"/>
      <c r="IA197" s="140">
        <f t="shared" ref="IA197:IA204" si="5605">HW197/$LI197</f>
        <v>0.72970000000000002</v>
      </c>
      <c r="IB197" s="198">
        <f t="shared" si="5439"/>
        <v>242</v>
      </c>
      <c r="IC197" s="225">
        <f t="shared" si="5440"/>
        <v>0.44161</v>
      </c>
      <c r="ID197" s="226">
        <f t="shared" si="5441"/>
        <v>79.489999999999995</v>
      </c>
      <c r="IE197" s="137">
        <f t="shared" ref="IE197:IE204" si="5606">IF(IB197&gt;0,ID197/IB197,0)</f>
        <v>0.32847106999999998</v>
      </c>
      <c r="IF197" s="227">
        <f t="shared" si="5443"/>
        <v>744.63</v>
      </c>
      <c r="IG197" s="138">
        <f t="shared" ref="IG197:IG204" si="5607">IE197*IF197</f>
        <v>244.58940999999999</v>
      </c>
      <c r="IH197" s="110">
        <f t="shared" ref="IH197:IH204" si="5608">IG197*IB197</f>
        <v>59190.64</v>
      </c>
      <c r="II197" s="110"/>
      <c r="IJ197" s="139"/>
      <c r="IK197" s="140">
        <f t="shared" ref="IK197:IK204" si="5609">IG197/$LI197</f>
        <v>1.7489399999999999</v>
      </c>
      <c r="IL197" s="198">
        <f t="shared" si="5439"/>
        <v>584</v>
      </c>
      <c r="IM197" s="225">
        <f t="shared" si="5440"/>
        <v>0.46166000000000001</v>
      </c>
      <c r="IN197" s="226">
        <f t="shared" si="5441"/>
        <v>121.88</v>
      </c>
      <c r="IO197" s="137">
        <f t="shared" ref="IO197:IO204" si="5610">IF(IL197&gt;0,IN197/IL197,0)</f>
        <v>0.20869863</v>
      </c>
      <c r="IP197" s="227">
        <f t="shared" si="5443"/>
        <v>678.72</v>
      </c>
      <c r="IQ197" s="138">
        <f t="shared" ref="IQ197:IQ204" si="5611">IO197*IP197</f>
        <v>141.64793</v>
      </c>
      <c r="IR197" s="110">
        <f t="shared" ref="IR197:IR204" si="5612">IQ197*IL197</f>
        <v>82722.39</v>
      </c>
      <c r="IS197" s="110"/>
      <c r="IT197" s="139"/>
      <c r="IU197" s="140">
        <f t="shared" ref="IU197:IU204" si="5613">IQ197/$LI197</f>
        <v>1.0128600000000001</v>
      </c>
      <c r="IV197" s="198">
        <f t="shared" si="5439"/>
        <v>404</v>
      </c>
      <c r="IW197" s="225">
        <f t="shared" si="5440"/>
        <v>0.52398999999999996</v>
      </c>
      <c r="IX197" s="226">
        <f t="shared" si="5441"/>
        <v>81.739999999999995</v>
      </c>
      <c r="IY197" s="137">
        <f t="shared" ref="IY197:IY204" si="5614">IF(IV197&gt;0,IX197/IV197,0)</f>
        <v>0.20232673000000001</v>
      </c>
      <c r="IZ197" s="227">
        <f t="shared" si="5443"/>
        <v>744.63</v>
      </c>
      <c r="JA197" s="138">
        <f t="shared" ref="JA197:JA204" si="5615">IY197*IZ197</f>
        <v>150.65854999999999</v>
      </c>
      <c r="JB197" s="110">
        <f t="shared" ref="JB197:JB204" si="5616">JA197*IV197</f>
        <v>60866.05</v>
      </c>
      <c r="JC197" s="110"/>
      <c r="JD197" s="139"/>
      <c r="JE197" s="140">
        <f t="shared" ref="JE197:JE204" si="5617">JA197/$LI197</f>
        <v>1.0772900000000001</v>
      </c>
      <c r="JF197" s="198">
        <f t="shared" si="5439"/>
        <v>617</v>
      </c>
      <c r="JG197" s="225">
        <f t="shared" si="5440"/>
        <v>0.46010000000000001</v>
      </c>
      <c r="JH197" s="226">
        <f t="shared" si="5441"/>
        <v>138.03</v>
      </c>
      <c r="JI197" s="137">
        <f t="shared" ref="JI197:JI204" si="5618">IF(JF197&gt;0,JH197/JF197,0)</f>
        <v>0.22371151</v>
      </c>
      <c r="JJ197" s="227">
        <f t="shared" si="5443"/>
        <v>744.63</v>
      </c>
      <c r="JK197" s="138">
        <f t="shared" ref="JK197:JK204" si="5619">JI197*JJ197</f>
        <v>166.5823</v>
      </c>
      <c r="JL197" s="110">
        <f t="shared" ref="JL197:JL204" si="5620">JK197*JF197</f>
        <v>102781.28</v>
      </c>
      <c r="JM197" s="110"/>
      <c r="JN197" s="139"/>
      <c r="JO197" s="140">
        <f t="shared" ref="JO197:JO204" si="5621">JK197/$LI197</f>
        <v>1.1911499999999999</v>
      </c>
      <c r="JP197" s="198">
        <f t="shared" si="5471"/>
        <v>581</v>
      </c>
      <c r="JQ197" s="225">
        <f t="shared" si="5472"/>
        <v>0.46516999999999997</v>
      </c>
      <c r="JR197" s="226">
        <f t="shared" si="5473"/>
        <v>106.06</v>
      </c>
      <c r="JS197" s="137">
        <f t="shared" ref="JS197:JS204" si="5622">IF(JP197&gt;0,JR197/JP197,0)</f>
        <v>0.18254733000000001</v>
      </c>
      <c r="JT197" s="227">
        <f t="shared" si="5475"/>
        <v>744.63</v>
      </c>
      <c r="JU197" s="138">
        <f t="shared" ref="JU197:JU204" si="5623">JS197*JT197</f>
        <v>135.93021999999999</v>
      </c>
      <c r="JV197" s="110">
        <f t="shared" ref="JV197:JV204" si="5624">JU197*JP197</f>
        <v>78975.460000000006</v>
      </c>
      <c r="JW197" s="110"/>
      <c r="JX197" s="139"/>
      <c r="JY197" s="140">
        <f t="shared" ref="JY197:JY204" si="5625">JU197/$LI197</f>
        <v>0.97197</v>
      </c>
      <c r="JZ197" s="198">
        <f t="shared" si="5471"/>
        <v>520</v>
      </c>
      <c r="KA197" s="225">
        <f t="shared" si="5472"/>
        <v>0.44712000000000002</v>
      </c>
      <c r="KB197" s="226">
        <f t="shared" si="5473"/>
        <v>114.02</v>
      </c>
      <c r="KC197" s="137">
        <f t="shared" ref="KC197:KC204" si="5626">IF(JZ197&gt;0,KB197/JZ197,0)</f>
        <v>0.21926923000000001</v>
      </c>
      <c r="KD197" s="227">
        <f t="shared" si="5475"/>
        <v>744.63</v>
      </c>
      <c r="KE197" s="138">
        <f t="shared" ref="KE197:KE204" si="5627">KC197*KD197</f>
        <v>163.27445</v>
      </c>
      <c r="KF197" s="110">
        <f t="shared" ref="KF197:KF204" si="5628">KE197*JZ197</f>
        <v>84902.71</v>
      </c>
      <c r="KG197" s="110"/>
      <c r="KH197" s="139"/>
      <c r="KI197" s="140">
        <f t="shared" ref="KI197:KI204" si="5629">KE197/$LI197</f>
        <v>1.1675</v>
      </c>
      <c r="KJ197" s="198">
        <f t="shared" si="5471"/>
        <v>595</v>
      </c>
      <c r="KK197" s="225">
        <f t="shared" si="5472"/>
        <v>0.44369999999999998</v>
      </c>
      <c r="KL197" s="226">
        <f t="shared" si="5473"/>
        <v>106.59</v>
      </c>
      <c r="KM197" s="137">
        <f t="shared" ref="KM197:KM204" si="5630">IF(KJ197&gt;0,KL197/KJ197,0)</f>
        <v>0.17914285999999999</v>
      </c>
      <c r="KN197" s="227">
        <f t="shared" si="5475"/>
        <v>744.63</v>
      </c>
      <c r="KO197" s="138">
        <f t="shared" ref="KO197:KO204" si="5631">KM197*KN197</f>
        <v>133.39515</v>
      </c>
      <c r="KP197" s="110">
        <f t="shared" ref="KP197:KP204" si="5632">KO197*KJ197</f>
        <v>79370.11</v>
      </c>
      <c r="KQ197" s="110"/>
      <c r="KR197" s="139"/>
      <c r="KS197" s="140">
        <f t="shared" ref="KS197:KS204" si="5633">KO197/$LI197</f>
        <v>0.95384999999999998</v>
      </c>
      <c r="KT197" s="198">
        <f t="shared" si="5471"/>
        <v>509</v>
      </c>
      <c r="KU197" s="225">
        <f t="shared" si="5472"/>
        <v>0.45284999999999997</v>
      </c>
      <c r="KV197" s="226">
        <f t="shared" si="5473"/>
        <v>150.63999999999999</v>
      </c>
      <c r="KW197" s="137">
        <f t="shared" ref="KW197:KW204" si="5634">IF(KT197&gt;0,KV197/KT197,0)</f>
        <v>0.29595284999999999</v>
      </c>
      <c r="KX197" s="227">
        <f t="shared" si="5475"/>
        <v>744.63</v>
      </c>
      <c r="KY197" s="138">
        <f t="shared" ref="KY197:KY204" si="5635">KW197*KX197</f>
        <v>220.37537</v>
      </c>
      <c r="KZ197" s="110">
        <f t="shared" ref="KZ197:KZ204" si="5636">KY197*KT197</f>
        <v>112171.06</v>
      </c>
      <c r="LA197" s="110"/>
      <c r="LB197" s="139"/>
      <c r="LC197" s="140">
        <f t="shared" ref="LC197:LC204" si="5637">KY197/$LI197</f>
        <v>1.5758000000000001</v>
      </c>
      <c r="LD197" s="198">
        <f t="shared" si="5510"/>
        <v>13279</v>
      </c>
      <c r="LE197" s="225">
        <f t="shared" si="5511"/>
        <v>0.46521000000000001</v>
      </c>
      <c r="LF197" s="226">
        <f t="shared" si="5512"/>
        <v>2530.89</v>
      </c>
      <c r="LG197" s="137">
        <f t="shared" ref="LG197:LG204" si="5638">IF(LD197&gt;0,LF197/LD197,0)</f>
        <v>0.19059342000000001</v>
      </c>
      <c r="LH197" s="227">
        <f t="shared" si="5513"/>
        <v>733.76</v>
      </c>
      <c r="LI197" s="138">
        <f t="shared" ref="LI197:LI204" si="5639">LG197*LH197</f>
        <v>139.84983</v>
      </c>
      <c r="LJ197" s="110">
        <f t="shared" ref="LJ197:LJ204" si="5640">LI197*LD197</f>
        <v>1857065.89</v>
      </c>
      <c r="LK197" s="110"/>
      <c r="LL197" s="139"/>
    </row>
    <row r="198" spans="1:324" ht="16.5" hidden="1" customHeight="1" x14ac:dyDescent="0.25">
      <c r="A198" s="246"/>
      <c r="B198" s="93" t="s">
        <v>610</v>
      </c>
      <c r="C198" s="12" t="s">
        <v>727</v>
      </c>
      <c r="D198" s="12" t="s">
        <v>427</v>
      </c>
      <c r="E198" s="4" t="s">
        <v>32</v>
      </c>
      <c r="F198" s="198">
        <f t="shared" si="5506"/>
        <v>0</v>
      </c>
      <c r="G198" s="225">
        <f t="shared" si="5507"/>
        <v>0</v>
      </c>
      <c r="H198" s="226">
        <f t="shared" si="5508"/>
        <v>0</v>
      </c>
      <c r="I198" s="137">
        <f t="shared" si="5514"/>
        <v>0</v>
      </c>
      <c r="J198" s="227">
        <f t="shared" si="5509"/>
        <v>744.63</v>
      </c>
      <c r="K198" s="138">
        <f t="shared" si="5515"/>
        <v>0</v>
      </c>
      <c r="L198" s="110">
        <f t="shared" si="5516"/>
        <v>0</v>
      </c>
      <c r="M198" s="110"/>
      <c r="N198" s="139"/>
      <c r="O198" s="140" t="e">
        <f t="shared" si="5517"/>
        <v>#DIV/0!</v>
      </c>
      <c r="P198" s="198">
        <f t="shared" si="5263"/>
        <v>0</v>
      </c>
      <c r="Q198" s="225">
        <f t="shared" si="5264"/>
        <v>0</v>
      </c>
      <c r="R198" s="226">
        <f t="shared" si="5265"/>
        <v>0</v>
      </c>
      <c r="S198" s="137">
        <f t="shared" si="5518"/>
        <v>0</v>
      </c>
      <c r="T198" s="227">
        <f t="shared" si="5267"/>
        <v>744.63</v>
      </c>
      <c r="U198" s="138">
        <f t="shared" si="5519"/>
        <v>0</v>
      </c>
      <c r="V198" s="110">
        <f t="shared" si="5520"/>
        <v>0</v>
      </c>
      <c r="W198" s="110"/>
      <c r="X198" s="139"/>
      <c r="Y198" s="140" t="e">
        <f t="shared" si="5521"/>
        <v>#DIV/0!</v>
      </c>
      <c r="Z198" s="198">
        <f t="shared" si="5263"/>
        <v>0</v>
      </c>
      <c r="AA198" s="225">
        <f t="shared" si="5264"/>
        <v>0</v>
      </c>
      <c r="AB198" s="226">
        <f t="shared" si="5265"/>
        <v>0</v>
      </c>
      <c r="AC198" s="137">
        <f t="shared" si="5522"/>
        <v>0</v>
      </c>
      <c r="AD198" s="227">
        <f t="shared" si="5267"/>
        <v>744.63</v>
      </c>
      <c r="AE198" s="138">
        <f t="shared" si="5523"/>
        <v>0</v>
      </c>
      <c r="AF198" s="110">
        <f t="shared" si="5524"/>
        <v>0</v>
      </c>
      <c r="AG198" s="110"/>
      <c r="AH198" s="139"/>
      <c r="AI198" s="140" t="e">
        <f t="shared" si="5525"/>
        <v>#DIV/0!</v>
      </c>
      <c r="AJ198" s="198">
        <f t="shared" si="5263"/>
        <v>0</v>
      </c>
      <c r="AK198" s="225">
        <f t="shared" si="5264"/>
        <v>0</v>
      </c>
      <c r="AL198" s="226">
        <f t="shared" si="5265"/>
        <v>0</v>
      </c>
      <c r="AM198" s="137">
        <f t="shared" si="5526"/>
        <v>0</v>
      </c>
      <c r="AN198" s="227">
        <f t="shared" si="5267"/>
        <v>744.63</v>
      </c>
      <c r="AO198" s="138">
        <f t="shared" si="5527"/>
        <v>0</v>
      </c>
      <c r="AP198" s="110">
        <f t="shared" si="5528"/>
        <v>0</v>
      </c>
      <c r="AQ198" s="110"/>
      <c r="AR198" s="139"/>
      <c r="AS198" s="140" t="e">
        <f t="shared" si="5529"/>
        <v>#DIV/0!</v>
      </c>
      <c r="AT198" s="198">
        <f t="shared" si="5263"/>
        <v>0</v>
      </c>
      <c r="AU198" s="225">
        <f t="shared" si="5264"/>
        <v>0</v>
      </c>
      <c r="AV198" s="226">
        <f t="shared" si="5265"/>
        <v>0</v>
      </c>
      <c r="AW198" s="137">
        <f t="shared" si="5530"/>
        <v>0</v>
      </c>
      <c r="AX198" s="227">
        <f t="shared" si="5267"/>
        <v>744.63</v>
      </c>
      <c r="AY198" s="138">
        <f t="shared" si="5531"/>
        <v>0</v>
      </c>
      <c r="AZ198" s="110">
        <f t="shared" si="5532"/>
        <v>0</v>
      </c>
      <c r="BA198" s="110"/>
      <c r="BB198" s="139"/>
      <c r="BC198" s="140" t="e">
        <f t="shared" si="5533"/>
        <v>#DIV/0!</v>
      </c>
      <c r="BD198" s="198">
        <f t="shared" si="5263"/>
        <v>0</v>
      </c>
      <c r="BE198" s="225">
        <f t="shared" si="5264"/>
        <v>0</v>
      </c>
      <c r="BF198" s="226">
        <f t="shared" si="5265"/>
        <v>0</v>
      </c>
      <c r="BG198" s="137">
        <f t="shared" si="5534"/>
        <v>0</v>
      </c>
      <c r="BH198" s="227">
        <f t="shared" si="5267"/>
        <v>744.63</v>
      </c>
      <c r="BI198" s="138">
        <f t="shared" si="5535"/>
        <v>0</v>
      </c>
      <c r="BJ198" s="110">
        <f t="shared" si="5536"/>
        <v>0</v>
      </c>
      <c r="BK198" s="110"/>
      <c r="BL198" s="139"/>
      <c r="BM198" s="140" t="e">
        <f t="shared" si="5537"/>
        <v>#DIV/0!</v>
      </c>
      <c r="BN198" s="198">
        <f t="shared" si="5263"/>
        <v>0</v>
      </c>
      <c r="BO198" s="225">
        <f t="shared" si="5264"/>
        <v>0</v>
      </c>
      <c r="BP198" s="226">
        <f t="shared" si="5265"/>
        <v>0</v>
      </c>
      <c r="BQ198" s="137">
        <f t="shared" si="5538"/>
        <v>0</v>
      </c>
      <c r="BR198" s="227">
        <f t="shared" si="5267"/>
        <v>744.63</v>
      </c>
      <c r="BS198" s="138">
        <f t="shared" si="5539"/>
        <v>0</v>
      </c>
      <c r="BT198" s="110">
        <f t="shared" si="5540"/>
        <v>0</v>
      </c>
      <c r="BU198" s="110"/>
      <c r="BV198" s="139"/>
      <c r="BW198" s="140" t="e">
        <f t="shared" si="5541"/>
        <v>#DIV/0!</v>
      </c>
      <c r="BX198" s="198">
        <f t="shared" si="5263"/>
        <v>0</v>
      </c>
      <c r="BY198" s="225">
        <f t="shared" si="5264"/>
        <v>0</v>
      </c>
      <c r="BZ198" s="226">
        <f t="shared" si="5265"/>
        <v>0</v>
      </c>
      <c r="CA198" s="137">
        <f t="shared" si="5542"/>
        <v>0</v>
      </c>
      <c r="CB198" s="227">
        <f t="shared" si="5267"/>
        <v>744.63</v>
      </c>
      <c r="CC198" s="138">
        <f t="shared" si="5543"/>
        <v>0</v>
      </c>
      <c r="CD198" s="110">
        <f t="shared" si="5544"/>
        <v>0</v>
      </c>
      <c r="CE198" s="110"/>
      <c r="CF198" s="139"/>
      <c r="CG198" s="140" t="e">
        <f t="shared" si="5545"/>
        <v>#DIV/0!</v>
      </c>
      <c r="CH198" s="198">
        <f t="shared" si="5319"/>
        <v>0</v>
      </c>
      <c r="CI198" s="225">
        <f t="shared" si="5320"/>
        <v>0</v>
      </c>
      <c r="CJ198" s="226">
        <f t="shared" si="5321"/>
        <v>0</v>
      </c>
      <c r="CK198" s="137">
        <f t="shared" si="5546"/>
        <v>0</v>
      </c>
      <c r="CL198" s="227">
        <f t="shared" si="5323"/>
        <v>744.63</v>
      </c>
      <c r="CM198" s="138">
        <f t="shared" si="5547"/>
        <v>0</v>
      </c>
      <c r="CN198" s="110">
        <f t="shared" si="5548"/>
        <v>0</v>
      </c>
      <c r="CO198" s="110"/>
      <c r="CP198" s="139"/>
      <c r="CQ198" s="140" t="e">
        <f t="shared" si="5549"/>
        <v>#DIV/0!</v>
      </c>
      <c r="CR198" s="198">
        <f t="shared" si="5319"/>
        <v>0</v>
      </c>
      <c r="CS198" s="225">
        <f t="shared" si="5320"/>
        <v>0</v>
      </c>
      <c r="CT198" s="226">
        <f t="shared" si="5321"/>
        <v>0</v>
      </c>
      <c r="CU198" s="137">
        <f t="shared" si="5550"/>
        <v>0</v>
      </c>
      <c r="CV198" s="227">
        <f t="shared" si="5323"/>
        <v>744.63</v>
      </c>
      <c r="CW198" s="138">
        <f t="shared" si="5551"/>
        <v>0</v>
      </c>
      <c r="CX198" s="110">
        <f t="shared" si="5552"/>
        <v>0</v>
      </c>
      <c r="CY198" s="110"/>
      <c r="CZ198" s="139"/>
      <c r="DA198" s="140" t="e">
        <f t="shared" si="5553"/>
        <v>#DIV/0!</v>
      </c>
      <c r="DB198" s="198">
        <f t="shared" si="5319"/>
        <v>0</v>
      </c>
      <c r="DC198" s="225">
        <f t="shared" si="5320"/>
        <v>0</v>
      </c>
      <c r="DD198" s="226">
        <f t="shared" si="5321"/>
        <v>0</v>
      </c>
      <c r="DE198" s="137">
        <f t="shared" si="5554"/>
        <v>0</v>
      </c>
      <c r="DF198" s="227">
        <f t="shared" si="5323"/>
        <v>744.63</v>
      </c>
      <c r="DG198" s="138">
        <f t="shared" si="5555"/>
        <v>0</v>
      </c>
      <c r="DH198" s="110">
        <f t="shared" si="5556"/>
        <v>0</v>
      </c>
      <c r="DI198" s="110"/>
      <c r="DJ198" s="139"/>
      <c r="DK198" s="140" t="e">
        <f t="shared" si="5557"/>
        <v>#DIV/0!</v>
      </c>
      <c r="DL198" s="198">
        <f t="shared" si="5319"/>
        <v>0</v>
      </c>
      <c r="DM198" s="225">
        <f t="shared" si="5320"/>
        <v>0</v>
      </c>
      <c r="DN198" s="226">
        <f t="shared" si="5321"/>
        <v>0</v>
      </c>
      <c r="DO198" s="137">
        <f t="shared" si="5558"/>
        <v>0</v>
      </c>
      <c r="DP198" s="227">
        <f t="shared" si="5323"/>
        <v>744.63</v>
      </c>
      <c r="DQ198" s="138">
        <f t="shared" si="5559"/>
        <v>0</v>
      </c>
      <c r="DR198" s="110">
        <f t="shared" si="5560"/>
        <v>0</v>
      </c>
      <c r="DS198" s="110"/>
      <c r="DT198" s="139"/>
      <c r="DU198" s="140" t="e">
        <f t="shared" si="5561"/>
        <v>#DIV/0!</v>
      </c>
      <c r="DV198" s="198">
        <f t="shared" si="5319"/>
        <v>0</v>
      </c>
      <c r="DW198" s="225">
        <f t="shared" si="5320"/>
        <v>0</v>
      </c>
      <c r="DX198" s="226">
        <f t="shared" si="5321"/>
        <v>0</v>
      </c>
      <c r="DY198" s="137">
        <f t="shared" si="5562"/>
        <v>0</v>
      </c>
      <c r="DZ198" s="227">
        <f t="shared" si="5323"/>
        <v>389.62</v>
      </c>
      <c r="EA198" s="138">
        <f t="shared" si="5563"/>
        <v>0</v>
      </c>
      <c r="EB198" s="110">
        <f t="shared" si="5564"/>
        <v>0</v>
      </c>
      <c r="EC198" s="110"/>
      <c r="ED198" s="139"/>
      <c r="EE198" s="140" t="e">
        <f t="shared" si="5565"/>
        <v>#DIV/0!</v>
      </c>
      <c r="EF198" s="198">
        <f t="shared" si="5319"/>
        <v>0</v>
      </c>
      <c r="EG198" s="225">
        <f t="shared" si="5320"/>
        <v>0</v>
      </c>
      <c r="EH198" s="226">
        <f t="shared" si="5321"/>
        <v>0</v>
      </c>
      <c r="EI198" s="137">
        <f t="shared" si="5566"/>
        <v>0</v>
      </c>
      <c r="EJ198" s="227">
        <f t="shared" si="5323"/>
        <v>744.63</v>
      </c>
      <c r="EK198" s="138">
        <f t="shared" si="5567"/>
        <v>0</v>
      </c>
      <c r="EL198" s="110">
        <f t="shared" si="5568"/>
        <v>0</v>
      </c>
      <c r="EM198" s="110"/>
      <c r="EN198" s="139"/>
      <c r="EO198" s="140" t="e">
        <f t="shared" si="5569"/>
        <v>#DIV/0!</v>
      </c>
      <c r="EP198" s="198">
        <f t="shared" si="5319"/>
        <v>0</v>
      </c>
      <c r="EQ198" s="225">
        <f t="shared" si="5320"/>
        <v>0</v>
      </c>
      <c r="ER198" s="226">
        <f t="shared" si="5321"/>
        <v>0</v>
      </c>
      <c r="ES198" s="137">
        <f t="shared" si="5570"/>
        <v>0</v>
      </c>
      <c r="ET198" s="227">
        <f t="shared" si="5323"/>
        <v>744.63</v>
      </c>
      <c r="EU198" s="138">
        <f t="shared" si="5571"/>
        <v>0</v>
      </c>
      <c r="EV198" s="110">
        <f t="shared" si="5572"/>
        <v>0</v>
      </c>
      <c r="EW198" s="110"/>
      <c r="EX198" s="139"/>
      <c r="EY198" s="140" t="e">
        <f t="shared" si="5573"/>
        <v>#DIV/0!</v>
      </c>
      <c r="EZ198" s="198">
        <f t="shared" si="5375"/>
        <v>0</v>
      </c>
      <c r="FA198" s="225">
        <f t="shared" si="5376"/>
        <v>0</v>
      </c>
      <c r="FB198" s="226">
        <f t="shared" si="5377"/>
        <v>0</v>
      </c>
      <c r="FC198" s="137">
        <f t="shared" si="5574"/>
        <v>0</v>
      </c>
      <c r="FD198" s="227">
        <f t="shared" si="5379"/>
        <v>744.63</v>
      </c>
      <c r="FE198" s="138">
        <f t="shared" si="5575"/>
        <v>0</v>
      </c>
      <c r="FF198" s="110">
        <f t="shared" si="5576"/>
        <v>0</v>
      </c>
      <c r="FG198" s="110"/>
      <c r="FH198" s="139"/>
      <c r="FI198" s="140" t="e">
        <f t="shared" si="5577"/>
        <v>#DIV/0!</v>
      </c>
      <c r="FJ198" s="198">
        <f t="shared" si="5375"/>
        <v>0</v>
      </c>
      <c r="FK198" s="225">
        <f t="shared" si="5376"/>
        <v>0</v>
      </c>
      <c r="FL198" s="226">
        <f t="shared" si="5377"/>
        <v>0</v>
      </c>
      <c r="FM198" s="137">
        <f t="shared" si="5578"/>
        <v>0</v>
      </c>
      <c r="FN198" s="227">
        <f t="shared" si="5379"/>
        <v>744.63</v>
      </c>
      <c r="FO198" s="138">
        <f t="shared" si="5579"/>
        <v>0</v>
      </c>
      <c r="FP198" s="110">
        <f t="shared" si="5580"/>
        <v>0</v>
      </c>
      <c r="FQ198" s="110"/>
      <c r="FR198" s="139"/>
      <c r="FS198" s="140" t="e">
        <f t="shared" si="5581"/>
        <v>#DIV/0!</v>
      </c>
      <c r="FT198" s="198">
        <f t="shared" si="5375"/>
        <v>0</v>
      </c>
      <c r="FU198" s="225">
        <f t="shared" si="5376"/>
        <v>0</v>
      </c>
      <c r="FV198" s="226">
        <f t="shared" si="5377"/>
        <v>0</v>
      </c>
      <c r="FW198" s="137">
        <f t="shared" si="5582"/>
        <v>0</v>
      </c>
      <c r="FX198" s="227">
        <f t="shared" si="5379"/>
        <v>744.63</v>
      </c>
      <c r="FY198" s="138">
        <f t="shared" si="5583"/>
        <v>0</v>
      </c>
      <c r="FZ198" s="110">
        <f t="shared" si="5584"/>
        <v>0</v>
      </c>
      <c r="GA198" s="110"/>
      <c r="GB198" s="139"/>
      <c r="GC198" s="140" t="e">
        <f t="shared" si="5585"/>
        <v>#DIV/0!</v>
      </c>
      <c r="GD198" s="198">
        <f t="shared" si="5375"/>
        <v>0</v>
      </c>
      <c r="GE198" s="225">
        <f t="shared" si="5376"/>
        <v>0</v>
      </c>
      <c r="GF198" s="226">
        <f t="shared" si="5377"/>
        <v>0</v>
      </c>
      <c r="GG198" s="137">
        <f t="shared" si="5586"/>
        <v>0</v>
      </c>
      <c r="GH198" s="227">
        <f t="shared" si="5379"/>
        <v>744.63</v>
      </c>
      <c r="GI198" s="138">
        <f t="shared" si="5587"/>
        <v>0</v>
      </c>
      <c r="GJ198" s="110">
        <f t="shared" si="5588"/>
        <v>0</v>
      </c>
      <c r="GK198" s="110"/>
      <c r="GL198" s="139"/>
      <c r="GM198" s="140" t="e">
        <f t="shared" si="5589"/>
        <v>#DIV/0!</v>
      </c>
      <c r="GN198" s="198">
        <f t="shared" si="5407"/>
        <v>0</v>
      </c>
      <c r="GO198" s="225">
        <f t="shared" si="5408"/>
        <v>0</v>
      </c>
      <c r="GP198" s="226">
        <f t="shared" si="5409"/>
        <v>0</v>
      </c>
      <c r="GQ198" s="137">
        <f t="shared" si="5590"/>
        <v>0</v>
      </c>
      <c r="GR198" s="227">
        <f t="shared" si="5411"/>
        <v>744.63</v>
      </c>
      <c r="GS198" s="138">
        <f t="shared" si="5591"/>
        <v>0</v>
      </c>
      <c r="GT198" s="110">
        <f t="shared" si="5592"/>
        <v>0</v>
      </c>
      <c r="GU198" s="110"/>
      <c r="GV198" s="139"/>
      <c r="GW198" s="140" t="e">
        <f t="shared" si="5593"/>
        <v>#DIV/0!</v>
      </c>
      <c r="GX198" s="198">
        <f t="shared" si="5407"/>
        <v>0</v>
      </c>
      <c r="GY198" s="225">
        <f t="shared" si="5408"/>
        <v>0</v>
      </c>
      <c r="GZ198" s="226">
        <f t="shared" si="5409"/>
        <v>0</v>
      </c>
      <c r="HA198" s="137">
        <f t="shared" si="5594"/>
        <v>0</v>
      </c>
      <c r="HB198" s="227">
        <f t="shared" si="5411"/>
        <v>744.63</v>
      </c>
      <c r="HC198" s="138">
        <f t="shared" si="5595"/>
        <v>0</v>
      </c>
      <c r="HD198" s="110">
        <f t="shared" si="5596"/>
        <v>0</v>
      </c>
      <c r="HE198" s="110"/>
      <c r="HF198" s="139"/>
      <c r="HG198" s="140" t="e">
        <f t="shared" si="5597"/>
        <v>#DIV/0!</v>
      </c>
      <c r="HH198" s="198">
        <f t="shared" si="5407"/>
        <v>0</v>
      </c>
      <c r="HI198" s="225">
        <f t="shared" si="5408"/>
        <v>0</v>
      </c>
      <c r="HJ198" s="226">
        <f t="shared" si="5409"/>
        <v>0</v>
      </c>
      <c r="HK198" s="137">
        <f t="shared" si="5598"/>
        <v>0</v>
      </c>
      <c r="HL198" s="227">
        <f t="shared" si="5411"/>
        <v>731.29</v>
      </c>
      <c r="HM198" s="138">
        <f t="shared" si="5599"/>
        <v>0</v>
      </c>
      <c r="HN198" s="110">
        <f t="shared" si="5600"/>
        <v>0</v>
      </c>
      <c r="HO198" s="110"/>
      <c r="HP198" s="139"/>
      <c r="HQ198" s="140" t="e">
        <f t="shared" si="5601"/>
        <v>#DIV/0!</v>
      </c>
      <c r="HR198" s="198">
        <f t="shared" si="5407"/>
        <v>0</v>
      </c>
      <c r="HS198" s="225">
        <f t="shared" si="5408"/>
        <v>0</v>
      </c>
      <c r="HT198" s="226">
        <f t="shared" si="5409"/>
        <v>0</v>
      </c>
      <c r="HU198" s="137">
        <f t="shared" si="5602"/>
        <v>0</v>
      </c>
      <c r="HV198" s="227">
        <f t="shared" si="5411"/>
        <v>744.63</v>
      </c>
      <c r="HW198" s="138">
        <f t="shared" si="5603"/>
        <v>0</v>
      </c>
      <c r="HX198" s="110">
        <f t="shared" si="5604"/>
        <v>0</v>
      </c>
      <c r="HY198" s="110"/>
      <c r="HZ198" s="139"/>
      <c r="IA198" s="140" t="e">
        <f t="shared" si="5605"/>
        <v>#DIV/0!</v>
      </c>
      <c r="IB198" s="198">
        <f t="shared" si="5439"/>
        <v>0</v>
      </c>
      <c r="IC198" s="225">
        <f t="shared" si="5440"/>
        <v>0</v>
      </c>
      <c r="ID198" s="226">
        <f t="shared" si="5441"/>
        <v>0</v>
      </c>
      <c r="IE198" s="137">
        <f t="shared" si="5606"/>
        <v>0</v>
      </c>
      <c r="IF198" s="227">
        <f t="shared" si="5443"/>
        <v>744.63</v>
      </c>
      <c r="IG198" s="138">
        <f t="shared" si="5607"/>
        <v>0</v>
      </c>
      <c r="IH198" s="110">
        <f t="shared" si="5608"/>
        <v>0</v>
      </c>
      <c r="II198" s="110"/>
      <c r="IJ198" s="139"/>
      <c r="IK198" s="140" t="e">
        <f t="shared" si="5609"/>
        <v>#DIV/0!</v>
      </c>
      <c r="IL198" s="198">
        <f t="shared" si="5439"/>
        <v>0</v>
      </c>
      <c r="IM198" s="225">
        <f t="shared" si="5440"/>
        <v>0</v>
      </c>
      <c r="IN198" s="226">
        <f t="shared" si="5441"/>
        <v>0</v>
      </c>
      <c r="IO198" s="137">
        <f t="shared" si="5610"/>
        <v>0</v>
      </c>
      <c r="IP198" s="227">
        <f t="shared" si="5443"/>
        <v>678.72</v>
      </c>
      <c r="IQ198" s="138">
        <f t="shared" si="5611"/>
        <v>0</v>
      </c>
      <c r="IR198" s="110">
        <f t="shared" si="5612"/>
        <v>0</v>
      </c>
      <c r="IS198" s="110"/>
      <c r="IT198" s="139"/>
      <c r="IU198" s="140" t="e">
        <f t="shared" si="5613"/>
        <v>#DIV/0!</v>
      </c>
      <c r="IV198" s="198">
        <f t="shared" si="5439"/>
        <v>0</v>
      </c>
      <c r="IW198" s="225">
        <f t="shared" si="5440"/>
        <v>0</v>
      </c>
      <c r="IX198" s="226">
        <f t="shared" si="5441"/>
        <v>0</v>
      </c>
      <c r="IY198" s="137">
        <f t="shared" si="5614"/>
        <v>0</v>
      </c>
      <c r="IZ198" s="227">
        <f t="shared" si="5443"/>
        <v>744.63</v>
      </c>
      <c r="JA198" s="138">
        <f t="shared" si="5615"/>
        <v>0</v>
      </c>
      <c r="JB198" s="110">
        <f t="shared" si="5616"/>
        <v>0</v>
      </c>
      <c r="JC198" s="110"/>
      <c r="JD198" s="139"/>
      <c r="JE198" s="140" t="e">
        <f t="shared" si="5617"/>
        <v>#DIV/0!</v>
      </c>
      <c r="JF198" s="198">
        <f t="shared" si="5439"/>
        <v>0</v>
      </c>
      <c r="JG198" s="225">
        <f t="shared" si="5440"/>
        <v>0</v>
      </c>
      <c r="JH198" s="226">
        <f t="shared" si="5441"/>
        <v>0</v>
      </c>
      <c r="JI198" s="137">
        <f t="shared" si="5618"/>
        <v>0</v>
      </c>
      <c r="JJ198" s="227">
        <f t="shared" si="5443"/>
        <v>744.63</v>
      </c>
      <c r="JK198" s="138">
        <f t="shared" si="5619"/>
        <v>0</v>
      </c>
      <c r="JL198" s="110">
        <f t="shared" si="5620"/>
        <v>0</v>
      </c>
      <c r="JM198" s="110"/>
      <c r="JN198" s="139"/>
      <c r="JO198" s="140" t="e">
        <f t="shared" si="5621"/>
        <v>#DIV/0!</v>
      </c>
      <c r="JP198" s="198">
        <f t="shared" si="5471"/>
        <v>0</v>
      </c>
      <c r="JQ198" s="225">
        <f t="shared" si="5472"/>
        <v>0</v>
      </c>
      <c r="JR198" s="226">
        <f t="shared" si="5473"/>
        <v>0</v>
      </c>
      <c r="JS198" s="137">
        <f t="shared" si="5622"/>
        <v>0</v>
      </c>
      <c r="JT198" s="227">
        <f t="shared" si="5475"/>
        <v>744.63</v>
      </c>
      <c r="JU198" s="138">
        <f t="shared" si="5623"/>
        <v>0</v>
      </c>
      <c r="JV198" s="110">
        <f t="shared" si="5624"/>
        <v>0</v>
      </c>
      <c r="JW198" s="110"/>
      <c r="JX198" s="139"/>
      <c r="JY198" s="140" t="e">
        <f t="shared" si="5625"/>
        <v>#DIV/0!</v>
      </c>
      <c r="JZ198" s="198">
        <f t="shared" si="5471"/>
        <v>0</v>
      </c>
      <c r="KA198" s="225">
        <f t="shared" si="5472"/>
        <v>0</v>
      </c>
      <c r="KB198" s="226">
        <f t="shared" si="5473"/>
        <v>0</v>
      </c>
      <c r="KC198" s="137">
        <f t="shared" si="5626"/>
        <v>0</v>
      </c>
      <c r="KD198" s="227">
        <f t="shared" si="5475"/>
        <v>744.63</v>
      </c>
      <c r="KE198" s="138">
        <f t="shared" si="5627"/>
        <v>0</v>
      </c>
      <c r="KF198" s="110">
        <f t="shared" si="5628"/>
        <v>0</v>
      </c>
      <c r="KG198" s="110"/>
      <c r="KH198" s="139"/>
      <c r="KI198" s="140" t="e">
        <f t="shared" si="5629"/>
        <v>#DIV/0!</v>
      </c>
      <c r="KJ198" s="198">
        <f t="shared" si="5471"/>
        <v>0</v>
      </c>
      <c r="KK198" s="225">
        <f t="shared" si="5472"/>
        <v>0</v>
      </c>
      <c r="KL198" s="226">
        <f t="shared" si="5473"/>
        <v>0</v>
      </c>
      <c r="KM198" s="137">
        <f t="shared" si="5630"/>
        <v>0</v>
      </c>
      <c r="KN198" s="227">
        <f t="shared" si="5475"/>
        <v>744.63</v>
      </c>
      <c r="KO198" s="138">
        <f t="shared" si="5631"/>
        <v>0</v>
      </c>
      <c r="KP198" s="110">
        <f t="shared" si="5632"/>
        <v>0</v>
      </c>
      <c r="KQ198" s="110"/>
      <c r="KR198" s="139"/>
      <c r="KS198" s="140" t="e">
        <f t="shared" si="5633"/>
        <v>#DIV/0!</v>
      </c>
      <c r="KT198" s="198">
        <f t="shared" si="5471"/>
        <v>0</v>
      </c>
      <c r="KU198" s="225">
        <f t="shared" si="5472"/>
        <v>0</v>
      </c>
      <c r="KV198" s="226">
        <f t="shared" si="5473"/>
        <v>0</v>
      </c>
      <c r="KW198" s="137">
        <f t="shared" si="5634"/>
        <v>0</v>
      </c>
      <c r="KX198" s="227">
        <f t="shared" si="5475"/>
        <v>744.63</v>
      </c>
      <c r="KY198" s="138">
        <f t="shared" si="5635"/>
        <v>0</v>
      </c>
      <c r="KZ198" s="110">
        <f t="shared" si="5636"/>
        <v>0</v>
      </c>
      <c r="LA198" s="110"/>
      <c r="LB198" s="139"/>
      <c r="LC198" s="140" t="e">
        <f t="shared" si="5637"/>
        <v>#DIV/0!</v>
      </c>
      <c r="LD198" s="198">
        <f t="shared" si="5510"/>
        <v>0</v>
      </c>
      <c r="LE198" s="225">
        <f t="shared" si="5511"/>
        <v>0</v>
      </c>
      <c r="LF198" s="226">
        <f t="shared" si="5512"/>
        <v>0</v>
      </c>
      <c r="LG198" s="137">
        <f t="shared" si="5638"/>
        <v>0</v>
      </c>
      <c r="LH198" s="227">
        <f t="shared" si="5513"/>
        <v>733.76</v>
      </c>
      <c r="LI198" s="138">
        <f t="shared" si="5639"/>
        <v>0</v>
      </c>
      <c r="LJ198" s="110">
        <f t="shared" si="5640"/>
        <v>0</v>
      </c>
      <c r="LK198" s="110"/>
      <c r="LL198" s="139"/>
    </row>
    <row r="199" spans="1:324" ht="18" customHeight="1" x14ac:dyDescent="0.25">
      <c r="A199" s="246"/>
      <c r="B199" s="70" t="s">
        <v>625</v>
      </c>
      <c r="C199" s="12" t="s">
        <v>728</v>
      </c>
      <c r="D199" s="12" t="s">
        <v>430</v>
      </c>
      <c r="E199" s="4" t="s">
        <v>32</v>
      </c>
      <c r="F199" s="198">
        <f t="shared" si="5506"/>
        <v>12</v>
      </c>
      <c r="G199" s="225">
        <f t="shared" si="5507"/>
        <v>1.993E-2</v>
      </c>
      <c r="H199" s="226">
        <f t="shared" si="5508"/>
        <v>2.33</v>
      </c>
      <c r="I199" s="137">
        <f t="shared" si="5514"/>
        <v>0.19416667000000001</v>
      </c>
      <c r="J199" s="227">
        <f t="shared" si="5509"/>
        <v>744.63</v>
      </c>
      <c r="K199" s="138">
        <f t="shared" si="5515"/>
        <v>144.58233000000001</v>
      </c>
      <c r="L199" s="110">
        <f t="shared" si="5516"/>
        <v>1734.99</v>
      </c>
      <c r="M199" s="110"/>
      <c r="N199" s="139"/>
      <c r="O199" s="140">
        <f t="shared" si="5517"/>
        <v>1.0338799999999999</v>
      </c>
      <c r="P199" s="198">
        <f t="shared" si="5263"/>
        <v>0</v>
      </c>
      <c r="Q199" s="225">
        <f t="shared" si="5264"/>
        <v>0</v>
      </c>
      <c r="R199" s="226">
        <f t="shared" si="5265"/>
        <v>0</v>
      </c>
      <c r="S199" s="137">
        <f t="shared" si="5518"/>
        <v>0</v>
      </c>
      <c r="T199" s="227">
        <f t="shared" si="5267"/>
        <v>744.63</v>
      </c>
      <c r="U199" s="138">
        <f t="shared" si="5519"/>
        <v>0</v>
      </c>
      <c r="V199" s="110">
        <f t="shared" si="5520"/>
        <v>0</v>
      </c>
      <c r="W199" s="110"/>
      <c r="X199" s="139"/>
      <c r="Y199" s="140">
        <f t="shared" si="5521"/>
        <v>0</v>
      </c>
      <c r="Z199" s="198">
        <f t="shared" si="5263"/>
        <v>0</v>
      </c>
      <c r="AA199" s="225">
        <f t="shared" si="5264"/>
        <v>0</v>
      </c>
      <c r="AB199" s="226">
        <f t="shared" si="5265"/>
        <v>0</v>
      </c>
      <c r="AC199" s="137">
        <f t="shared" si="5522"/>
        <v>0</v>
      </c>
      <c r="AD199" s="227">
        <f t="shared" si="5267"/>
        <v>744.63</v>
      </c>
      <c r="AE199" s="138">
        <f t="shared" si="5523"/>
        <v>0</v>
      </c>
      <c r="AF199" s="110">
        <f t="shared" si="5524"/>
        <v>0</v>
      </c>
      <c r="AG199" s="110"/>
      <c r="AH199" s="139"/>
      <c r="AI199" s="140">
        <f t="shared" si="5525"/>
        <v>0</v>
      </c>
      <c r="AJ199" s="198">
        <f t="shared" si="5263"/>
        <v>0</v>
      </c>
      <c r="AK199" s="225">
        <f t="shared" si="5264"/>
        <v>0</v>
      </c>
      <c r="AL199" s="226">
        <f t="shared" si="5265"/>
        <v>0</v>
      </c>
      <c r="AM199" s="137">
        <f t="shared" si="5526"/>
        <v>0</v>
      </c>
      <c r="AN199" s="227">
        <f t="shared" si="5267"/>
        <v>744.63</v>
      </c>
      <c r="AO199" s="138">
        <f t="shared" si="5527"/>
        <v>0</v>
      </c>
      <c r="AP199" s="110">
        <f t="shared" si="5528"/>
        <v>0</v>
      </c>
      <c r="AQ199" s="110"/>
      <c r="AR199" s="139"/>
      <c r="AS199" s="140">
        <f t="shared" si="5529"/>
        <v>0</v>
      </c>
      <c r="AT199" s="198">
        <f t="shared" si="5263"/>
        <v>19</v>
      </c>
      <c r="AU199" s="225">
        <f t="shared" si="5264"/>
        <v>1.9980000000000001E-2</v>
      </c>
      <c r="AV199" s="226">
        <f t="shared" si="5265"/>
        <v>2.2400000000000002</v>
      </c>
      <c r="AW199" s="137">
        <f t="shared" si="5530"/>
        <v>0.11789474</v>
      </c>
      <c r="AX199" s="227">
        <f t="shared" si="5267"/>
        <v>744.63</v>
      </c>
      <c r="AY199" s="138">
        <f t="shared" si="5531"/>
        <v>87.787959999999998</v>
      </c>
      <c r="AZ199" s="110">
        <f t="shared" si="5532"/>
        <v>1667.97</v>
      </c>
      <c r="BA199" s="110"/>
      <c r="BB199" s="139"/>
      <c r="BC199" s="140">
        <f t="shared" si="5533"/>
        <v>0.62775000000000003</v>
      </c>
      <c r="BD199" s="198">
        <f t="shared" si="5263"/>
        <v>0</v>
      </c>
      <c r="BE199" s="225">
        <f t="shared" si="5264"/>
        <v>0</v>
      </c>
      <c r="BF199" s="226">
        <f t="shared" si="5265"/>
        <v>0</v>
      </c>
      <c r="BG199" s="137">
        <f t="shared" si="5534"/>
        <v>0</v>
      </c>
      <c r="BH199" s="227">
        <f t="shared" si="5267"/>
        <v>744.63</v>
      </c>
      <c r="BI199" s="138">
        <f t="shared" si="5535"/>
        <v>0</v>
      </c>
      <c r="BJ199" s="110">
        <f t="shared" si="5536"/>
        <v>0</v>
      </c>
      <c r="BK199" s="110"/>
      <c r="BL199" s="139"/>
      <c r="BM199" s="140">
        <f t="shared" si="5537"/>
        <v>0</v>
      </c>
      <c r="BN199" s="198">
        <f t="shared" si="5263"/>
        <v>0</v>
      </c>
      <c r="BO199" s="225">
        <f t="shared" si="5264"/>
        <v>0</v>
      </c>
      <c r="BP199" s="226">
        <f t="shared" si="5265"/>
        <v>0</v>
      </c>
      <c r="BQ199" s="137">
        <f t="shared" si="5538"/>
        <v>0</v>
      </c>
      <c r="BR199" s="227">
        <f t="shared" si="5267"/>
        <v>744.63</v>
      </c>
      <c r="BS199" s="138">
        <f t="shared" si="5539"/>
        <v>0</v>
      </c>
      <c r="BT199" s="110">
        <f t="shared" si="5540"/>
        <v>0</v>
      </c>
      <c r="BU199" s="110"/>
      <c r="BV199" s="139"/>
      <c r="BW199" s="140">
        <f t="shared" si="5541"/>
        <v>0</v>
      </c>
      <c r="BX199" s="198">
        <f t="shared" si="5263"/>
        <v>0</v>
      </c>
      <c r="BY199" s="225">
        <f t="shared" si="5264"/>
        <v>0</v>
      </c>
      <c r="BZ199" s="226">
        <f t="shared" si="5265"/>
        <v>0</v>
      </c>
      <c r="CA199" s="137">
        <f t="shared" si="5542"/>
        <v>0</v>
      </c>
      <c r="CB199" s="227">
        <f t="shared" si="5267"/>
        <v>744.63</v>
      </c>
      <c r="CC199" s="138">
        <f t="shared" si="5543"/>
        <v>0</v>
      </c>
      <c r="CD199" s="110">
        <f t="shared" si="5544"/>
        <v>0</v>
      </c>
      <c r="CE199" s="110"/>
      <c r="CF199" s="139"/>
      <c r="CG199" s="140">
        <f t="shared" si="5545"/>
        <v>0</v>
      </c>
      <c r="CH199" s="198">
        <f t="shared" si="5319"/>
        <v>0</v>
      </c>
      <c r="CI199" s="225">
        <f t="shared" si="5320"/>
        <v>0</v>
      </c>
      <c r="CJ199" s="226">
        <f t="shared" si="5321"/>
        <v>0</v>
      </c>
      <c r="CK199" s="137">
        <f t="shared" si="5546"/>
        <v>0</v>
      </c>
      <c r="CL199" s="227">
        <f t="shared" si="5323"/>
        <v>744.63</v>
      </c>
      <c r="CM199" s="138">
        <f t="shared" si="5547"/>
        <v>0</v>
      </c>
      <c r="CN199" s="110">
        <f t="shared" si="5548"/>
        <v>0</v>
      </c>
      <c r="CO199" s="110"/>
      <c r="CP199" s="139"/>
      <c r="CQ199" s="140">
        <f t="shared" si="5549"/>
        <v>0</v>
      </c>
      <c r="CR199" s="198">
        <f t="shared" si="5319"/>
        <v>15</v>
      </c>
      <c r="CS199" s="225">
        <f t="shared" si="5320"/>
        <v>2.0160000000000001E-2</v>
      </c>
      <c r="CT199" s="226">
        <f t="shared" si="5321"/>
        <v>2.42</v>
      </c>
      <c r="CU199" s="137">
        <f t="shared" si="5550"/>
        <v>0.16133333</v>
      </c>
      <c r="CV199" s="227">
        <f t="shared" si="5323"/>
        <v>744.63</v>
      </c>
      <c r="CW199" s="138">
        <f t="shared" si="5551"/>
        <v>120.13364</v>
      </c>
      <c r="CX199" s="110">
        <f t="shared" si="5552"/>
        <v>1802</v>
      </c>
      <c r="CY199" s="110"/>
      <c r="CZ199" s="139"/>
      <c r="DA199" s="140">
        <f t="shared" si="5553"/>
        <v>0.85904999999999998</v>
      </c>
      <c r="DB199" s="198">
        <f t="shared" si="5319"/>
        <v>0</v>
      </c>
      <c r="DC199" s="225">
        <f t="shared" si="5320"/>
        <v>0</v>
      </c>
      <c r="DD199" s="226">
        <f t="shared" si="5321"/>
        <v>0</v>
      </c>
      <c r="DE199" s="137">
        <f t="shared" si="5554"/>
        <v>0</v>
      </c>
      <c r="DF199" s="227">
        <f t="shared" si="5323"/>
        <v>744.63</v>
      </c>
      <c r="DG199" s="138">
        <f t="shared" si="5555"/>
        <v>0</v>
      </c>
      <c r="DH199" s="110">
        <f t="shared" si="5556"/>
        <v>0</v>
      </c>
      <c r="DI199" s="110"/>
      <c r="DJ199" s="139"/>
      <c r="DK199" s="140">
        <f t="shared" si="5557"/>
        <v>0</v>
      </c>
      <c r="DL199" s="198">
        <f t="shared" si="5319"/>
        <v>118</v>
      </c>
      <c r="DM199" s="225">
        <f t="shared" si="5320"/>
        <v>0.41696</v>
      </c>
      <c r="DN199" s="226">
        <f t="shared" si="5321"/>
        <v>45.03</v>
      </c>
      <c r="DO199" s="137">
        <f t="shared" si="5558"/>
        <v>0.38161017000000003</v>
      </c>
      <c r="DP199" s="227">
        <f t="shared" si="5323"/>
        <v>744.63</v>
      </c>
      <c r="DQ199" s="138">
        <f t="shared" si="5559"/>
        <v>284.15838000000002</v>
      </c>
      <c r="DR199" s="110">
        <f t="shared" si="5560"/>
        <v>33530.69</v>
      </c>
      <c r="DS199" s="110"/>
      <c r="DT199" s="139"/>
      <c r="DU199" s="140">
        <f t="shared" si="5561"/>
        <v>2.0319600000000002</v>
      </c>
      <c r="DV199" s="198">
        <f t="shared" si="5319"/>
        <v>9</v>
      </c>
      <c r="DW199" s="225">
        <f t="shared" si="5320"/>
        <v>1.025E-2</v>
      </c>
      <c r="DX199" s="226">
        <f t="shared" si="5321"/>
        <v>1.1299999999999999</v>
      </c>
      <c r="DY199" s="137">
        <f t="shared" si="5562"/>
        <v>0.12555556000000001</v>
      </c>
      <c r="DZ199" s="227">
        <f t="shared" si="5323"/>
        <v>389.62</v>
      </c>
      <c r="EA199" s="138">
        <f t="shared" si="5563"/>
        <v>48.918959999999998</v>
      </c>
      <c r="EB199" s="110">
        <f t="shared" si="5564"/>
        <v>440.27</v>
      </c>
      <c r="EC199" s="110"/>
      <c r="ED199" s="139"/>
      <c r="EE199" s="140">
        <f t="shared" si="5565"/>
        <v>0.34981000000000001</v>
      </c>
      <c r="EF199" s="198">
        <f t="shared" si="5319"/>
        <v>11</v>
      </c>
      <c r="EG199" s="225">
        <f t="shared" si="5320"/>
        <v>1.171E-2</v>
      </c>
      <c r="EH199" s="226">
        <f t="shared" si="5321"/>
        <v>1.26</v>
      </c>
      <c r="EI199" s="137">
        <f t="shared" si="5566"/>
        <v>0.11454544999999999</v>
      </c>
      <c r="EJ199" s="227">
        <f t="shared" si="5323"/>
        <v>744.63</v>
      </c>
      <c r="EK199" s="138">
        <f t="shared" si="5567"/>
        <v>85.293980000000005</v>
      </c>
      <c r="EL199" s="110">
        <f t="shared" si="5568"/>
        <v>938.23</v>
      </c>
      <c r="EM199" s="110"/>
      <c r="EN199" s="139"/>
      <c r="EO199" s="140">
        <f t="shared" si="5569"/>
        <v>0.60992000000000002</v>
      </c>
      <c r="EP199" s="198">
        <f t="shared" si="5319"/>
        <v>0</v>
      </c>
      <c r="EQ199" s="225">
        <f t="shared" si="5320"/>
        <v>0</v>
      </c>
      <c r="ER199" s="226">
        <f t="shared" si="5321"/>
        <v>0</v>
      </c>
      <c r="ES199" s="137">
        <f t="shared" si="5570"/>
        <v>0</v>
      </c>
      <c r="ET199" s="227">
        <f t="shared" si="5323"/>
        <v>744.63</v>
      </c>
      <c r="EU199" s="138">
        <f t="shared" si="5571"/>
        <v>0</v>
      </c>
      <c r="EV199" s="110">
        <f t="shared" si="5572"/>
        <v>0</v>
      </c>
      <c r="EW199" s="110"/>
      <c r="EX199" s="139"/>
      <c r="EY199" s="140">
        <f t="shared" si="5573"/>
        <v>0</v>
      </c>
      <c r="EZ199" s="198">
        <f t="shared" si="5375"/>
        <v>9</v>
      </c>
      <c r="FA199" s="225">
        <f t="shared" si="5376"/>
        <v>8.0599999999999995E-3</v>
      </c>
      <c r="FB199" s="226">
        <f t="shared" si="5377"/>
        <v>1.3</v>
      </c>
      <c r="FC199" s="137">
        <f t="shared" si="5574"/>
        <v>0.14444444000000001</v>
      </c>
      <c r="FD199" s="227">
        <f t="shared" si="5379"/>
        <v>744.63</v>
      </c>
      <c r="FE199" s="138">
        <f t="shared" si="5575"/>
        <v>107.55766</v>
      </c>
      <c r="FF199" s="110">
        <f t="shared" si="5576"/>
        <v>968.02</v>
      </c>
      <c r="FG199" s="110"/>
      <c r="FH199" s="139"/>
      <c r="FI199" s="140">
        <f t="shared" si="5577"/>
        <v>0.76912000000000003</v>
      </c>
      <c r="FJ199" s="198">
        <f t="shared" si="5375"/>
        <v>0</v>
      </c>
      <c r="FK199" s="225">
        <f t="shared" si="5376"/>
        <v>0</v>
      </c>
      <c r="FL199" s="226">
        <f t="shared" si="5377"/>
        <v>0</v>
      </c>
      <c r="FM199" s="137">
        <f t="shared" si="5578"/>
        <v>0</v>
      </c>
      <c r="FN199" s="227">
        <f t="shared" si="5379"/>
        <v>744.63</v>
      </c>
      <c r="FO199" s="138">
        <f t="shared" si="5579"/>
        <v>0</v>
      </c>
      <c r="FP199" s="110">
        <f t="shared" si="5580"/>
        <v>0</v>
      </c>
      <c r="FQ199" s="110"/>
      <c r="FR199" s="139"/>
      <c r="FS199" s="140">
        <f t="shared" si="5581"/>
        <v>0</v>
      </c>
      <c r="FT199" s="198">
        <f t="shared" si="5375"/>
        <v>0</v>
      </c>
      <c r="FU199" s="225">
        <f t="shared" si="5376"/>
        <v>0</v>
      </c>
      <c r="FV199" s="226">
        <f t="shared" si="5377"/>
        <v>0</v>
      </c>
      <c r="FW199" s="137">
        <f t="shared" si="5582"/>
        <v>0</v>
      </c>
      <c r="FX199" s="227">
        <f t="shared" si="5379"/>
        <v>744.63</v>
      </c>
      <c r="FY199" s="138">
        <f t="shared" si="5583"/>
        <v>0</v>
      </c>
      <c r="FZ199" s="110">
        <f t="shared" si="5584"/>
        <v>0</v>
      </c>
      <c r="GA199" s="110"/>
      <c r="GB199" s="139"/>
      <c r="GC199" s="140">
        <f t="shared" si="5585"/>
        <v>0</v>
      </c>
      <c r="GD199" s="198">
        <f t="shared" si="5375"/>
        <v>16</v>
      </c>
      <c r="GE199" s="225">
        <f t="shared" si="5376"/>
        <v>3.125E-2</v>
      </c>
      <c r="GF199" s="226">
        <f t="shared" si="5377"/>
        <v>3.38</v>
      </c>
      <c r="GG199" s="137">
        <f t="shared" si="5586"/>
        <v>0.21124999999999999</v>
      </c>
      <c r="GH199" s="227">
        <f t="shared" si="5379"/>
        <v>744.63</v>
      </c>
      <c r="GI199" s="138">
        <f t="shared" si="5587"/>
        <v>157.30309</v>
      </c>
      <c r="GJ199" s="110">
        <f t="shared" si="5588"/>
        <v>2516.85</v>
      </c>
      <c r="GK199" s="110"/>
      <c r="GL199" s="139"/>
      <c r="GM199" s="140">
        <f t="shared" si="5589"/>
        <v>1.1248400000000001</v>
      </c>
      <c r="GN199" s="198">
        <f t="shared" si="5407"/>
        <v>7</v>
      </c>
      <c r="GO199" s="225">
        <f t="shared" si="5408"/>
        <v>8.0999999999999996E-3</v>
      </c>
      <c r="GP199" s="226">
        <f t="shared" si="5409"/>
        <v>1.5</v>
      </c>
      <c r="GQ199" s="137">
        <f t="shared" si="5590"/>
        <v>0.21428570999999999</v>
      </c>
      <c r="GR199" s="227">
        <f t="shared" si="5411"/>
        <v>744.63</v>
      </c>
      <c r="GS199" s="138">
        <f t="shared" si="5591"/>
        <v>159.56357</v>
      </c>
      <c r="GT199" s="110">
        <f t="shared" si="5592"/>
        <v>1116.94</v>
      </c>
      <c r="GU199" s="110"/>
      <c r="GV199" s="139"/>
      <c r="GW199" s="140">
        <f t="shared" si="5593"/>
        <v>1.1410100000000001</v>
      </c>
      <c r="GX199" s="198">
        <f t="shared" si="5407"/>
        <v>0</v>
      </c>
      <c r="GY199" s="225">
        <f t="shared" si="5408"/>
        <v>0</v>
      </c>
      <c r="GZ199" s="226">
        <f t="shared" si="5409"/>
        <v>0</v>
      </c>
      <c r="HA199" s="137">
        <f t="shared" si="5594"/>
        <v>0</v>
      </c>
      <c r="HB199" s="227">
        <f t="shared" si="5411"/>
        <v>744.63</v>
      </c>
      <c r="HC199" s="138">
        <f t="shared" si="5595"/>
        <v>0</v>
      </c>
      <c r="HD199" s="110">
        <f t="shared" si="5596"/>
        <v>0</v>
      </c>
      <c r="HE199" s="110"/>
      <c r="HF199" s="139"/>
      <c r="HG199" s="140">
        <f t="shared" si="5597"/>
        <v>0</v>
      </c>
      <c r="HH199" s="198">
        <f t="shared" si="5407"/>
        <v>39</v>
      </c>
      <c r="HI199" s="225">
        <f t="shared" si="5408"/>
        <v>3.3849999999999998E-2</v>
      </c>
      <c r="HJ199" s="226">
        <f t="shared" si="5409"/>
        <v>6.62</v>
      </c>
      <c r="HK199" s="137">
        <f t="shared" si="5598"/>
        <v>0.16974359</v>
      </c>
      <c r="HL199" s="227">
        <f t="shared" si="5411"/>
        <v>731.29</v>
      </c>
      <c r="HM199" s="138">
        <f t="shared" si="5599"/>
        <v>124.13179</v>
      </c>
      <c r="HN199" s="110">
        <f t="shared" si="5600"/>
        <v>4841.1400000000003</v>
      </c>
      <c r="HO199" s="110"/>
      <c r="HP199" s="139"/>
      <c r="HQ199" s="140">
        <f t="shared" si="5601"/>
        <v>0.88763999999999998</v>
      </c>
      <c r="HR199" s="198">
        <f t="shared" si="5407"/>
        <v>0</v>
      </c>
      <c r="HS199" s="225">
        <f t="shared" si="5408"/>
        <v>0</v>
      </c>
      <c r="HT199" s="226">
        <f t="shared" si="5409"/>
        <v>0</v>
      </c>
      <c r="HU199" s="137">
        <f t="shared" si="5602"/>
        <v>0</v>
      </c>
      <c r="HV199" s="227">
        <f t="shared" si="5411"/>
        <v>744.63</v>
      </c>
      <c r="HW199" s="138">
        <f t="shared" si="5603"/>
        <v>0</v>
      </c>
      <c r="HX199" s="110">
        <f t="shared" si="5604"/>
        <v>0</v>
      </c>
      <c r="HY199" s="110"/>
      <c r="HZ199" s="139"/>
      <c r="IA199" s="140">
        <f t="shared" si="5605"/>
        <v>0</v>
      </c>
      <c r="IB199" s="198">
        <f t="shared" si="5439"/>
        <v>36</v>
      </c>
      <c r="IC199" s="225">
        <f t="shared" si="5440"/>
        <v>6.5689999999999998E-2</v>
      </c>
      <c r="ID199" s="226">
        <f t="shared" si="5441"/>
        <v>11.82</v>
      </c>
      <c r="IE199" s="137">
        <f t="shared" si="5606"/>
        <v>0.32833332999999998</v>
      </c>
      <c r="IF199" s="227">
        <f t="shared" si="5443"/>
        <v>744.63</v>
      </c>
      <c r="IG199" s="138">
        <f t="shared" si="5607"/>
        <v>244.48685</v>
      </c>
      <c r="IH199" s="110">
        <f t="shared" si="5608"/>
        <v>8801.5300000000007</v>
      </c>
      <c r="II199" s="110"/>
      <c r="IJ199" s="139"/>
      <c r="IK199" s="140">
        <f t="shared" si="5609"/>
        <v>1.74827</v>
      </c>
      <c r="IL199" s="198">
        <f t="shared" si="5439"/>
        <v>0</v>
      </c>
      <c r="IM199" s="225">
        <f t="shared" si="5440"/>
        <v>0</v>
      </c>
      <c r="IN199" s="226">
        <f t="shared" si="5441"/>
        <v>0</v>
      </c>
      <c r="IO199" s="137">
        <f t="shared" si="5610"/>
        <v>0</v>
      </c>
      <c r="IP199" s="227">
        <f t="shared" si="5443"/>
        <v>678.72</v>
      </c>
      <c r="IQ199" s="138">
        <f t="shared" si="5611"/>
        <v>0</v>
      </c>
      <c r="IR199" s="110">
        <f t="shared" si="5612"/>
        <v>0</v>
      </c>
      <c r="IS199" s="110"/>
      <c r="IT199" s="139"/>
      <c r="IU199" s="140">
        <f t="shared" si="5613"/>
        <v>0</v>
      </c>
      <c r="IV199" s="198">
        <f t="shared" si="5439"/>
        <v>0</v>
      </c>
      <c r="IW199" s="225">
        <f t="shared" si="5440"/>
        <v>0</v>
      </c>
      <c r="IX199" s="226">
        <f t="shared" si="5441"/>
        <v>0</v>
      </c>
      <c r="IY199" s="137">
        <f t="shared" si="5614"/>
        <v>0</v>
      </c>
      <c r="IZ199" s="227">
        <f t="shared" si="5443"/>
        <v>744.63</v>
      </c>
      <c r="JA199" s="138">
        <f t="shared" si="5615"/>
        <v>0</v>
      </c>
      <c r="JB199" s="110">
        <f t="shared" si="5616"/>
        <v>0</v>
      </c>
      <c r="JC199" s="110"/>
      <c r="JD199" s="139"/>
      <c r="JE199" s="140">
        <f t="shared" si="5617"/>
        <v>0</v>
      </c>
      <c r="JF199" s="198">
        <f t="shared" si="5439"/>
        <v>0</v>
      </c>
      <c r="JG199" s="225">
        <f t="shared" si="5440"/>
        <v>0</v>
      </c>
      <c r="JH199" s="226">
        <f t="shared" si="5441"/>
        <v>0</v>
      </c>
      <c r="JI199" s="137">
        <f t="shared" si="5618"/>
        <v>0</v>
      </c>
      <c r="JJ199" s="227">
        <f t="shared" si="5443"/>
        <v>744.63</v>
      </c>
      <c r="JK199" s="138">
        <f t="shared" si="5619"/>
        <v>0</v>
      </c>
      <c r="JL199" s="110">
        <f t="shared" si="5620"/>
        <v>0</v>
      </c>
      <c r="JM199" s="110"/>
      <c r="JN199" s="139"/>
      <c r="JO199" s="140">
        <f t="shared" si="5621"/>
        <v>0</v>
      </c>
      <c r="JP199" s="198">
        <f t="shared" si="5471"/>
        <v>33</v>
      </c>
      <c r="JQ199" s="225">
        <f t="shared" si="5472"/>
        <v>2.6419999999999999E-2</v>
      </c>
      <c r="JR199" s="226">
        <f t="shared" si="5473"/>
        <v>6.02</v>
      </c>
      <c r="JS199" s="137">
        <f t="shared" si="5622"/>
        <v>0.18242423999999999</v>
      </c>
      <c r="JT199" s="227">
        <f t="shared" si="5475"/>
        <v>744.63</v>
      </c>
      <c r="JU199" s="138">
        <f t="shared" si="5623"/>
        <v>135.83856</v>
      </c>
      <c r="JV199" s="110">
        <f t="shared" si="5624"/>
        <v>4482.67</v>
      </c>
      <c r="JW199" s="110"/>
      <c r="JX199" s="139"/>
      <c r="JY199" s="140">
        <f t="shared" si="5625"/>
        <v>0.97135000000000005</v>
      </c>
      <c r="JZ199" s="198">
        <f t="shared" si="5471"/>
        <v>0</v>
      </c>
      <c r="KA199" s="225">
        <f t="shared" si="5472"/>
        <v>0</v>
      </c>
      <c r="KB199" s="226">
        <f t="shared" si="5473"/>
        <v>0</v>
      </c>
      <c r="KC199" s="137">
        <f t="shared" si="5626"/>
        <v>0</v>
      </c>
      <c r="KD199" s="227">
        <f t="shared" si="5475"/>
        <v>744.63</v>
      </c>
      <c r="KE199" s="138">
        <f t="shared" si="5627"/>
        <v>0</v>
      </c>
      <c r="KF199" s="110">
        <f t="shared" si="5628"/>
        <v>0</v>
      </c>
      <c r="KG199" s="110"/>
      <c r="KH199" s="139"/>
      <c r="KI199" s="140">
        <f t="shared" si="5629"/>
        <v>0</v>
      </c>
      <c r="KJ199" s="198">
        <f t="shared" si="5471"/>
        <v>0</v>
      </c>
      <c r="KK199" s="225">
        <f t="shared" si="5472"/>
        <v>0</v>
      </c>
      <c r="KL199" s="226">
        <f t="shared" si="5473"/>
        <v>0</v>
      </c>
      <c r="KM199" s="137">
        <f t="shared" si="5630"/>
        <v>0</v>
      </c>
      <c r="KN199" s="227">
        <f t="shared" si="5475"/>
        <v>744.63</v>
      </c>
      <c r="KO199" s="138">
        <f t="shared" si="5631"/>
        <v>0</v>
      </c>
      <c r="KP199" s="110">
        <f t="shared" si="5632"/>
        <v>0</v>
      </c>
      <c r="KQ199" s="110"/>
      <c r="KR199" s="139"/>
      <c r="KS199" s="140">
        <f t="shared" si="5633"/>
        <v>0</v>
      </c>
      <c r="KT199" s="198">
        <f t="shared" si="5471"/>
        <v>0</v>
      </c>
      <c r="KU199" s="225">
        <f t="shared" si="5472"/>
        <v>0</v>
      </c>
      <c r="KV199" s="226">
        <f t="shared" si="5473"/>
        <v>0</v>
      </c>
      <c r="KW199" s="137">
        <f t="shared" si="5634"/>
        <v>0</v>
      </c>
      <c r="KX199" s="227">
        <f t="shared" si="5475"/>
        <v>744.63</v>
      </c>
      <c r="KY199" s="138">
        <f t="shared" si="5635"/>
        <v>0</v>
      </c>
      <c r="KZ199" s="110">
        <f t="shared" si="5636"/>
        <v>0</v>
      </c>
      <c r="LA199" s="110"/>
      <c r="LB199" s="139"/>
      <c r="LC199" s="140">
        <f t="shared" si="5637"/>
        <v>0</v>
      </c>
      <c r="LD199" s="198">
        <f t="shared" si="5510"/>
        <v>324</v>
      </c>
      <c r="LE199" s="225">
        <f t="shared" si="5511"/>
        <v>1.1350000000000001E-2</v>
      </c>
      <c r="LF199" s="226">
        <f t="shared" si="5512"/>
        <v>61.75</v>
      </c>
      <c r="LG199" s="137">
        <f t="shared" si="5638"/>
        <v>0.19058642000000001</v>
      </c>
      <c r="LH199" s="227">
        <f t="shared" si="5513"/>
        <v>733.76</v>
      </c>
      <c r="LI199" s="138">
        <f t="shared" si="5639"/>
        <v>139.84469000000001</v>
      </c>
      <c r="LJ199" s="110">
        <f t="shared" si="5640"/>
        <v>45309.68</v>
      </c>
      <c r="LK199" s="110"/>
      <c r="LL199" s="139"/>
    </row>
    <row r="200" spans="1:324" ht="16.5" hidden="1" customHeight="1" x14ac:dyDescent="0.25">
      <c r="A200" s="246"/>
      <c r="B200" s="93" t="s">
        <v>639</v>
      </c>
      <c r="C200" s="12" t="s">
        <v>727</v>
      </c>
      <c r="D200" s="12" t="s">
        <v>427</v>
      </c>
      <c r="E200" s="4" t="s">
        <v>32</v>
      </c>
      <c r="F200" s="198">
        <f t="shared" si="5506"/>
        <v>0</v>
      </c>
      <c r="G200" s="225">
        <f t="shared" si="5507"/>
        <v>0</v>
      </c>
      <c r="H200" s="226">
        <f t="shared" si="5508"/>
        <v>0</v>
      </c>
      <c r="I200" s="137">
        <f t="shared" si="5514"/>
        <v>0</v>
      </c>
      <c r="J200" s="227">
        <f t="shared" si="5509"/>
        <v>744.63</v>
      </c>
      <c r="K200" s="138">
        <f t="shared" si="5515"/>
        <v>0</v>
      </c>
      <c r="L200" s="110">
        <f t="shared" si="5516"/>
        <v>0</v>
      </c>
      <c r="M200" s="110"/>
      <c r="N200" s="139"/>
      <c r="O200" s="140" t="e">
        <f t="shared" si="5517"/>
        <v>#DIV/0!</v>
      </c>
      <c r="P200" s="198">
        <f t="shared" si="5263"/>
        <v>0</v>
      </c>
      <c r="Q200" s="225">
        <f t="shared" si="5264"/>
        <v>0</v>
      </c>
      <c r="R200" s="226">
        <f t="shared" si="5265"/>
        <v>0</v>
      </c>
      <c r="S200" s="137">
        <f t="shared" si="5518"/>
        <v>0</v>
      </c>
      <c r="T200" s="227">
        <f t="shared" si="5267"/>
        <v>744.63</v>
      </c>
      <c r="U200" s="138">
        <f t="shared" si="5519"/>
        <v>0</v>
      </c>
      <c r="V200" s="110">
        <f t="shared" si="5520"/>
        <v>0</v>
      </c>
      <c r="W200" s="110"/>
      <c r="X200" s="139"/>
      <c r="Y200" s="140" t="e">
        <f t="shared" si="5521"/>
        <v>#DIV/0!</v>
      </c>
      <c r="Z200" s="198">
        <f t="shared" si="5263"/>
        <v>0</v>
      </c>
      <c r="AA200" s="225">
        <f t="shared" si="5264"/>
        <v>0</v>
      </c>
      <c r="AB200" s="226">
        <f t="shared" si="5265"/>
        <v>0</v>
      </c>
      <c r="AC200" s="137">
        <f t="shared" si="5522"/>
        <v>0</v>
      </c>
      <c r="AD200" s="227">
        <f t="shared" si="5267"/>
        <v>744.63</v>
      </c>
      <c r="AE200" s="138">
        <f t="shared" si="5523"/>
        <v>0</v>
      </c>
      <c r="AF200" s="110">
        <f t="shared" si="5524"/>
        <v>0</v>
      </c>
      <c r="AG200" s="110"/>
      <c r="AH200" s="139"/>
      <c r="AI200" s="140" t="e">
        <f t="shared" si="5525"/>
        <v>#DIV/0!</v>
      </c>
      <c r="AJ200" s="198">
        <f t="shared" si="5263"/>
        <v>0</v>
      </c>
      <c r="AK200" s="225">
        <f t="shared" si="5264"/>
        <v>0</v>
      </c>
      <c r="AL200" s="226">
        <f t="shared" si="5265"/>
        <v>0</v>
      </c>
      <c r="AM200" s="137">
        <f t="shared" si="5526"/>
        <v>0</v>
      </c>
      <c r="AN200" s="227">
        <f t="shared" si="5267"/>
        <v>744.63</v>
      </c>
      <c r="AO200" s="138">
        <f t="shared" si="5527"/>
        <v>0</v>
      </c>
      <c r="AP200" s="110">
        <f t="shared" si="5528"/>
        <v>0</v>
      </c>
      <c r="AQ200" s="110"/>
      <c r="AR200" s="139"/>
      <c r="AS200" s="140" t="e">
        <f t="shared" si="5529"/>
        <v>#DIV/0!</v>
      </c>
      <c r="AT200" s="198">
        <f t="shared" si="5263"/>
        <v>0</v>
      </c>
      <c r="AU200" s="225">
        <f t="shared" si="5264"/>
        <v>0</v>
      </c>
      <c r="AV200" s="226">
        <f t="shared" si="5265"/>
        <v>0</v>
      </c>
      <c r="AW200" s="137">
        <f t="shared" si="5530"/>
        <v>0</v>
      </c>
      <c r="AX200" s="227">
        <f t="shared" si="5267"/>
        <v>744.63</v>
      </c>
      <c r="AY200" s="138">
        <f t="shared" si="5531"/>
        <v>0</v>
      </c>
      <c r="AZ200" s="110">
        <f t="shared" si="5532"/>
        <v>0</v>
      </c>
      <c r="BA200" s="110"/>
      <c r="BB200" s="139"/>
      <c r="BC200" s="140" t="e">
        <f t="shared" si="5533"/>
        <v>#DIV/0!</v>
      </c>
      <c r="BD200" s="198">
        <f t="shared" si="5263"/>
        <v>0</v>
      </c>
      <c r="BE200" s="225">
        <f t="shared" si="5264"/>
        <v>0</v>
      </c>
      <c r="BF200" s="226">
        <f t="shared" si="5265"/>
        <v>0</v>
      </c>
      <c r="BG200" s="137">
        <f t="shared" si="5534"/>
        <v>0</v>
      </c>
      <c r="BH200" s="227">
        <f t="shared" si="5267"/>
        <v>744.63</v>
      </c>
      <c r="BI200" s="138">
        <f t="shared" si="5535"/>
        <v>0</v>
      </c>
      <c r="BJ200" s="110">
        <f t="shared" si="5536"/>
        <v>0</v>
      </c>
      <c r="BK200" s="110"/>
      <c r="BL200" s="139"/>
      <c r="BM200" s="140" t="e">
        <f t="shared" si="5537"/>
        <v>#DIV/0!</v>
      </c>
      <c r="BN200" s="198">
        <f t="shared" si="5263"/>
        <v>0</v>
      </c>
      <c r="BO200" s="225">
        <f t="shared" si="5264"/>
        <v>0</v>
      </c>
      <c r="BP200" s="226">
        <f t="shared" si="5265"/>
        <v>0</v>
      </c>
      <c r="BQ200" s="137">
        <f t="shared" si="5538"/>
        <v>0</v>
      </c>
      <c r="BR200" s="227">
        <f t="shared" si="5267"/>
        <v>744.63</v>
      </c>
      <c r="BS200" s="138">
        <f t="shared" si="5539"/>
        <v>0</v>
      </c>
      <c r="BT200" s="110">
        <f t="shared" si="5540"/>
        <v>0</v>
      </c>
      <c r="BU200" s="110"/>
      <c r="BV200" s="139"/>
      <c r="BW200" s="140" t="e">
        <f t="shared" si="5541"/>
        <v>#DIV/0!</v>
      </c>
      <c r="BX200" s="198">
        <f t="shared" si="5263"/>
        <v>0</v>
      </c>
      <c r="BY200" s="225">
        <f t="shared" si="5264"/>
        <v>0</v>
      </c>
      <c r="BZ200" s="226">
        <f t="shared" si="5265"/>
        <v>0</v>
      </c>
      <c r="CA200" s="137">
        <f t="shared" si="5542"/>
        <v>0</v>
      </c>
      <c r="CB200" s="227">
        <f t="shared" si="5267"/>
        <v>744.63</v>
      </c>
      <c r="CC200" s="138">
        <f t="shared" si="5543"/>
        <v>0</v>
      </c>
      <c r="CD200" s="110">
        <f t="shared" si="5544"/>
        <v>0</v>
      </c>
      <c r="CE200" s="110"/>
      <c r="CF200" s="139"/>
      <c r="CG200" s="140" t="e">
        <f t="shared" si="5545"/>
        <v>#DIV/0!</v>
      </c>
      <c r="CH200" s="198">
        <f t="shared" si="5319"/>
        <v>0</v>
      </c>
      <c r="CI200" s="225">
        <f t="shared" si="5320"/>
        <v>0</v>
      </c>
      <c r="CJ200" s="226">
        <f t="shared" si="5321"/>
        <v>0</v>
      </c>
      <c r="CK200" s="137">
        <f t="shared" si="5546"/>
        <v>0</v>
      </c>
      <c r="CL200" s="227">
        <f t="shared" si="5323"/>
        <v>744.63</v>
      </c>
      <c r="CM200" s="138">
        <f t="shared" si="5547"/>
        <v>0</v>
      </c>
      <c r="CN200" s="110">
        <f t="shared" si="5548"/>
        <v>0</v>
      </c>
      <c r="CO200" s="110"/>
      <c r="CP200" s="139"/>
      <c r="CQ200" s="140" t="e">
        <f t="shared" si="5549"/>
        <v>#DIV/0!</v>
      </c>
      <c r="CR200" s="198">
        <f t="shared" si="5319"/>
        <v>0</v>
      </c>
      <c r="CS200" s="225">
        <f t="shared" si="5320"/>
        <v>0</v>
      </c>
      <c r="CT200" s="226">
        <f t="shared" si="5321"/>
        <v>0</v>
      </c>
      <c r="CU200" s="137">
        <f t="shared" si="5550"/>
        <v>0</v>
      </c>
      <c r="CV200" s="227">
        <f t="shared" si="5323"/>
        <v>744.63</v>
      </c>
      <c r="CW200" s="138">
        <f t="shared" si="5551"/>
        <v>0</v>
      </c>
      <c r="CX200" s="110">
        <f t="shared" si="5552"/>
        <v>0</v>
      </c>
      <c r="CY200" s="110"/>
      <c r="CZ200" s="139"/>
      <c r="DA200" s="140" t="e">
        <f t="shared" si="5553"/>
        <v>#DIV/0!</v>
      </c>
      <c r="DB200" s="198">
        <f t="shared" si="5319"/>
        <v>0</v>
      </c>
      <c r="DC200" s="225">
        <f t="shared" si="5320"/>
        <v>0</v>
      </c>
      <c r="DD200" s="226">
        <f t="shared" si="5321"/>
        <v>0</v>
      </c>
      <c r="DE200" s="137">
        <f t="shared" si="5554"/>
        <v>0</v>
      </c>
      <c r="DF200" s="227">
        <f t="shared" si="5323"/>
        <v>744.63</v>
      </c>
      <c r="DG200" s="138">
        <f t="shared" si="5555"/>
        <v>0</v>
      </c>
      <c r="DH200" s="110">
        <f t="shared" si="5556"/>
        <v>0</v>
      </c>
      <c r="DI200" s="110"/>
      <c r="DJ200" s="139"/>
      <c r="DK200" s="140" t="e">
        <f t="shared" si="5557"/>
        <v>#DIV/0!</v>
      </c>
      <c r="DL200" s="198">
        <f t="shared" si="5319"/>
        <v>0</v>
      </c>
      <c r="DM200" s="225">
        <f t="shared" si="5320"/>
        <v>0</v>
      </c>
      <c r="DN200" s="226">
        <f t="shared" si="5321"/>
        <v>0</v>
      </c>
      <c r="DO200" s="137">
        <f t="shared" si="5558"/>
        <v>0</v>
      </c>
      <c r="DP200" s="227">
        <f t="shared" si="5323"/>
        <v>744.63</v>
      </c>
      <c r="DQ200" s="138">
        <f t="shared" si="5559"/>
        <v>0</v>
      </c>
      <c r="DR200" s="110">
        <f t="shared" si="5560"/>
        <v>0</v>
      </c>
      <c r="DS200" s="110"/>
      <c r="DT200" s="139"/>
      <c r="DU200" s="140" t="e">
        <f t="shared" si="5561"/>
        <v>#DIV/0!</v>
      </c>
      <c r="DV200" s="198">
        <f t="shared" si="5319"/>
        <v>0</v>
      </c>
      <c r="DW200" s="225">
        <f t="shared" si="5320"/>
        <v>0</v>
      </c>
      <c r="DX200" s="226">
        <f t="shared" si="5321"/>
        <v>0</v>
      </c>
      <c r="DY200" s="137">
        <f t="shared" si="5562"/>
        <v>0</v>
      </c>
      <c r="DZ200" s="227">
        <f t="shared" si="5323"/>
        <v>389.62</v>
      </c>
      <c r="EA200" s="138">
        <f t="shared" si="5563"/>
        <v>0</v>
      </c>
      <c r="EB200" s="110">
        <f t="shared" si="5564"/>
        <v>0</v>
      </c>
      <c r="EC200" s="110"/>
      <c r="ED200" s="139"/>
      <c r="EE200" s="140" t="e">
        <f t="shared" si="5565"/>
        <v>#DIV/0!</v>
      </c>
      <c r="EF200" s="198">
        <f t="shared" si="5319"/>
        <v>0</v>
      </c>
      <c r="EG200" s="225">
        <f t="shared" si="5320"/>
        <v>0</v>
      </c>
      <c r="EH200" s="226">
        <f t="shared" si="5321"/>
        <v>0</v>
      </c>
      <c r="EI200" s="137">
        <f t="shared" si="5566"/>
        <v>0</v>
      </c>
      <c r="EJ200" s="227">
        <f t="shared" si="5323"/>
        <v>744.63</v>
      </c>
      <c r="EK200" s="138">
        <f t="shared" si="5567"/>
        <v>0</v>
      </c>
      <c r="EL200" s="110">
        <f t="shared" si="5568"/>
        <v>0</v>
      </c>
      <c r="EM200" s="110"/>
      <c r="EN200" s="139"/>
      <c r="EO200" s="140" t="e">
        <f t="shared" si="5569"/>
        <v>#DIV/0!</v>
      </c>
      <c r="EP200" s="198">
        <f t="shared" si="5319"/>
        <v>0</v>
      </c>
      <c r="EQ200" s="225">
        <f t="shared" si="5320"/>
        <v>0</v>
      </c>
      <c r="ER200" s="226">
        <f t="shared" si="5321"/>
        <v>0</v>
      </c>
      <c r="ES200" s="137">
        <f t="shared" si="5570"/>
        <v>0</v>
      </c>
      <c r="ET200" s="227">
        <f t="shared" si="5323"/>
        <v>744.63</v>
      </c>
      <c r="EU200" s="138">
        <f t="shared" si="5571"/>
        <v>0</v>
      </c>
      <c r="EV200" s="110">
        <f t="shared" si="5572"/>
        <v>0</v>
      </c>
      <c r="EW200" s="110"/>
      <c r="EX200" s="139"/>
      <c r="EY200" s="140" t="e">
        <f t="shared" si="5573"/>
        <v>#DIV/0!</v>
      </c>
      <c r="EZ200" s="198">
        <f t="shared" si="5375"/>
        <v>0</v>
      </c>
      <c r="FA200" s="225">
        <f t="shared" si="5376"/>
        <v>0</v>
      </c>
      <c r="FB200" s="226">
        <f t="shared" si="5377"/>
        <v>0</v>
      </c>
      <c r="FC200" s="137">
        <f t="shared" si="5574"/>
        <v>0</v>
      </c>
      <c r="FD200" s="227">
        <f t="shared" si="5379"/>
        <v>744.63</v>
      </c>
      <c r="FE200" s="138">
        <f t="shared" si="5575"/>
        <v>0</v>
      </c>
      <c r="FF200" s="110">
        <f t="shared" si="5576"/>
        <v>0</v>
      </c>
      <c r="FG200" s="110"/>
      <c r="FH200" s="139"/>
      <c r="FI200" s="140" t="e">
        <f t="shared" si="5577"/>
        <v>#DIV/0!</v>
      </c>
      <c r="FJ200" s="198">
        <f t="shared" si="5375"/>
        <v>0</v>
      </c>
      <c r="FK200" s="225">
        <f t="shared" si="5376"/>
        <v>0</v>
      </c>
      <c r="FL200" s="226">
        <f t="shared" si="5377"/>
        <v>0</v>
      </c>
      <c r="FM200" s="137">
        <f t="shared" si="5578"/>
        <v>0</v>
      </c>
      <c r="FN200" s="227">
        <f t="shared" si="5379"/>
        <v>744.63</v>
      </c>
      <c r="FO200" s="138">
        <f t="shared" si="5579"/>
        <v>0</v>
      </c>
      <c r="FP200" s="110">
        <f t="shared" si="5580"/>
        <v>0</v>
      </c>
      <c r="FQ200" s="110"/>
      <c r="FR200" s="139"/>
      <c r="FS200" s="140" t="e">
        <f t="shared" si="5581"/>
        <v>#DIV/0!</v>
      </c>
      <c r="FT200" s="198">
        <f t="shared" si="5375"/>
        <v>0</v>
      </c>
      <c r="FU200" s="225">
        <f t="shared" si="5376"/>
        <v>0</v>
      </c>
      <c r="FV200" s="226">
        <f t="shared" si="5377"/>
        <v>0</v>
      </c>
      <c r="FW200" s="137">
        <f t="shared" si="5582"/>
        <v>0</v>
      </c>
      <c r="FX200" s="227">
        <f t="shared" si="5379"/>
        <v>744.63</v>
      </c>
      <c r="FY200" s="138">
        <f t="shared" si="5583"/>
        <v>0</v>
      </c>
      <c r="FZ200" s="110">
        <f t="shared" si="5584"/>
        <v>0</v>
      </c>
      <c r="GA200" s="110"/>
      <c r="GB200" s="139"/>
      <c r="GC200" s="140" t="e">
        <f t="shared" si="5585"/>
        <v>#DIV/0!</v>
      </c>
      <c r="GD200" s="198">
        <f t="shared" si="5375"/>
        <v>0</v>
      </c>
      <c r="GE200" s="225">
        <f t="shared" si="5376"/>
        <v>0</v>
      </c>
      <c r="GF200" s="226">
        <f t="shared" si="5377"/>
        <v>0</v>
      </c>
      <c r="GG200" s="137">
        <f t="shared" si="5586"/>
        <v>0</v>
      </c>
      <c r="GH200" s="227">
        <f t="shared" si="5379"/>
        <v>744.63</v>
      </c>
      <c r="GI200" s="138">
        <f t="shared" si="5587"/>
        <v>0</v>
      </c>
      <c r="GJ200" s="110">
        <f t="shared" si="5588"/>
        <v>0</v>
      </c>
      <c r="GK200" s="110"/>
      <c r="GL200" s="139"/>
      <c r="GM200" s="140" t="e">
        <f t="shared" si="5589"/>
        <v>#DIV/0!</v>
      </c>
      <c r="GN200" s="198">
        <f t="shared" si="5407"/>
        <v>0</v>
      </c>
      <c r="GO200" s="225">
        <f t="shared" si="5408"/>
        <v>0</v>
      </c>
      <c r="GP200" s="226">
        <f t="shared" si="5409"/>
        <v>0</v>
      </c>
      <c r="GQ200" s="137">
        <f t="shared" si="5590"/>
        <v>0</v>
      </c>
      <c r="GR200" s="227">
        <f t="shared" si="5411"/>
        <v>744.63</v>
      </c>
      <c r="GS200" s="138">
        <f t="shared" si="5591"/>
        <v>0</v>
      </c>
      <c r="GT200" s="110">
        <f t="shared" si="5592"/>
        <v>0</v>
      </c>
      <c r="GU200" s="110"/>
      <c r="GV200" s="139"/>
      <c r="GW200" s="140" t="e">
        <f t="shared" si="5593"/>
        <v>#DIV/0!</v>
      </c>
      <c r="GX200" s="198">
        <f t="shared" si="5407"/>
        <v>0</v>
      </c>
      <c r="GY200" s="225">
        <f t="shared" si="5408"/>
        <v>0</v>
      </c>
      <c r="GZ200" s="226">
        <f t="shared" si="5409"/>
        <v>0</v>
      </c>
      <c r="HA200" s="137">
        <f t="shared" si="5594"/>
        <v>0</v>
      </c>
      <c r="HB200" s="227">
        <f t="shared" si="5411"/>
        <v>744.63</v>
      </c>
      <c r="HC200" s="138">
        <f t="shared" si="5595"/>
        <v>0</v>
      </c>
      <c r="HD200" s="110">
        <f t="shared" si="5596"/>
        <v>0</v>
      </c>
      <c r="HE200" s="110"/>
      <c r="HF200" s="139"/>
      <c r="HG200" s="140" t="e">
        <f t="shared" si="5597"/>
        <v>#DIV/0!</v>
      </c>
      <c r="HH200" s="198">
        <f t="shared" si="5407"/>
        <v>0</v>
      </c>
      <c r="HI200" s="225">
        <f t="shared" si="5408"/>
        <v>0</v>
      </c>
      <c r="HJ200" s="226">
        <f t="shared" si="5409"/>
        <v>0</v>
      </c>
      <c r="HK200" s="137">
        <f t="shared" si="5598"/>
        <v>0</v>
      </c>
      <c r="HL200" s="227">
        <f t="shared" si="5411"/>
        <v>731.29</v>
      </c>
      <c r="HM200" s="138">
        <f t="shared" si="5599"/>
        <v>0</v>
      </c>
      <c r="HN200" s="110">
        <f t="shared" si="5600"/>
        <v>0</v>
      </c>
      <c r="HO200" s="110"/>
      <c r="HP200" s="139"/>
      <c r="HQ200" s="140" t="e">
        <f t="shared" si="5601"/>
        <v>#DIV/0!</v>
      </c>
      <c r="HR200" s="198">
        <f t="shared" si="5407"/>
        <v>0</v>
      </c>
      <c r="HS200" s="225">
        <f t="shared" si="5408"/>
        <v>0</v>
      </c>
      <c r="HT200" s="226">
        <f t="shared" si="5409"/>
        <v>0</v>
      </c>
      <c r="HU200" s="137">
        <f t="shared" si="5602"/>
        <v>0</v>
      </c>
      <c r="HV200" s="227">
        <f t="shared" si="5411"/>
        <v>744.63</v>
      </c>
      <c r="HW200" s="138">
        <f t="shared" si="5603"/>
        <v>0</v>
      </c>
      <c r="HX200" s="110">
        <f t="shared" si="5604"/>
        <v>0</v>
      </c>
      <c r="HY200" s="110"/>
      <c r="HZ200" s="139"/>
      <c r="IA200" s="140" t="e">
        <f t="shared" si="5605"/>
        <v>#DIV/0!</v>
      </c>
      <c r="IB200" s="198">
        <f t="shared" si="5439"/>
        <v>0</v>
      </c>
      <c r="IC200" s="225">
        <f t="shared" si="5440"/>
        <v>0</v>
      </c>
      <c r="ID200" s="226">
        <f t="shared" si="5441"/>
        <v>0</v>
      </c>
      <c r="IE200" s="137">
        <f t="shared" si="5606"/>
        <v>0</v>
      </c>
      <c r="IF200" s="227">
        <f t="shared" si="5443"/>
        <v>744.63</v>
      </c>
      <c r="IG200" s="138">
        <f t="shared" si="5607"/>
        <v>0</v>
      </c>
      <c r="IH200" s="110">
        <f t="shared" si="5608"/>
        <v>0</v>
      </c>
      <c r="II200" s="110"/>
      <c r="IJ200" s="139"/>
      <c r="IK200" s="140" t="e">
        <f t="shared" si="5609"/>
        <v>#DIV/0!</v>
      </c>
      <c r="IL200" s="198">
        <f t="shared" si="5439"/>
        <v>0</v>
      </c>
      <c r="IM200" s="225">
        <f t="shared" si="5440"/>
        <v>0</v>
      </c>
      <c r="IN200" s="226">
        <f t="shared" si="5441"/>
        <v>0</v>
      </c>
      <c r="IO200" s="137">
        <f t="shared" si="5610"/>
        <v>0</v>
      </c>
      <c r="IP200" s="227">
        <f t="shared" si="5443"/>
        <v>678.72</v>
      </c>
      <c r="IQ200" s="138">
        <f t="shared" si="5611"/>
        <v>0</v>
      </c>
      <c r="IR200" s="110">
        <f t="shared" si="5612"/>
        <v>0</v>
      </c>
      <c r="IS200" s="110"/>
      <c r="IT200" s="139"/>
      <c r="IU200" s="140" t="e">
        <f t="shared" si="5613"/>
        <v>#DIV/0!</v>
      </c>
      <c r="IV200" s="198">
        <f t="shared" si="5439"/>
        <v>0</v>
      </c>
      <c r="IW200" s="225">
        <f t="shared" si="5440"/>
        <v>0</v>
      </c>
      <c r="IX200" s="226">
        <f t="shared" si="5441"/>
        <v>0</v>
      </c>
      <c r="IY200" s="137">
        <f t="shared" si="5614"/>
        <v>0</v>
      </c>
      <c r="IZ200" s="227">
        <f t="shared" si="5443"/>
        <v>744.63</v>
      </c>
      <c r="JA200" s="138">
        <f t="shared" si="5615"/>
        <v>0</v>
      </c>
      <c r="JB200" s="110">
        <f t="shared" si="5616"/>
        <v>0</v>
      </c>
      <c r="JC200" s="110"/>
      <c r="JD200" s="139"/>
      <c r="JE200" s="140" t="e">
        <f t="shared" si="5617"/>
        <v>#DIV/0!</v>
      </c>
      <c r="JF200" s="198">
        <f t="shared" si="5439"/>
        <v>0</v>
      </c>
      <c r="JG200" s="225">
        <f t="shared" si="5440"/>
        <v>0</v>
      </c>
      <c r="JH200" s="226">
        <f t="shared" si="5441"/>
        <v>0</v>
      </c>
      <c r="JI200" s="137">
        <f t="shared" si="5618"/>
        <v>0</v>
      </c>
      <c r="JJ200" s="227">
        <f t="shared" si="5443"/>
        <v>744.63</v>
      </c>
      <c r="JK200" s="138">
        <f t="shared" si="5619"/>
        <v>0</v>
      </c>
      <c r="JL200" s="110">
        <f t="shared" si="5620"/>
        <v>0</v>
      </c>
      <c r="JM200" s="110"/>
      <c r="JN200" s="139"/>
      <c r="JO200" s="140" t="e">
        <f t="shared" si="5621"/>
        <v>#DIV/0!</v>
      </c>
      <c r="JP200" s="198">
        <f t="shared" si="5471"/>
        <v>0</v>
      </c>
      <c r="JQ200" s="225">
        <f t="shared" si="5472"/>
        <v>0</v>
      </c>
      <c r="JR200" s="226">
        <f t="shared" si="5473"/>
        <v>0</v>
      </c>
      <c r="JS200" s="137">
        <f t="shared" si="5622"/>
        <v>0</v>
      </c>
      <c r="JT200" s="227">
        <f t="shared" si="5475"/>
        <v>744.63</v>
      </c>
      <c r="JU200" s="138">
        <f t="shared" si="5623"/>
        <v>0</v>
      </c>
      <c r="JV200" s="110">
        <f t="shared" si="5624"/>
        <v>0</v>
      </c>
      <c r="JW200" s="110"/>
      <c r="JX200" s="139"/>
      <c r="JY200" s="140" t="e">
        <f t="shared" si="5625"/>
        <v>#DIV/0!</v>
      </c>
      <c r="JZ200" s="198">
        <f t="shared" si="5471"/>
        <v>0</v>
      </c>
      <c r="KA200" s="225">
        <f t="shared" si="5472"/>
        <v>0</v>
      </c>
      <c r="KB200" s="226">
        <f t="shared" si="5473"/>
        <v>0</v>
      </c>
      <c r="KC200" s="137">
        <f t="shared" si="5626"/>
        <v>0</v>
      </c>
      <c r="KD200" s="227">
        <f t="shared" si="5475"/>
        <v>744.63</v>
      </c>
      <c r="KE200" s="138">
        <f t="shared" si="5627"/>
        <v>0</v>
      </c>
      <c r="KF200" s="110">
        <f t="shared" si="5628"/>
        <v>0</v>
      </c>
      <c r="KG200" s="110"/>
      <c r="KH200" s="139"/>
      <c r="KI200" s="140" t="e">
        <f t="shared" si="5629"/>
        <v>#DIV/0!</v>
      </c>
      <c r="KJ200" s="198">
        <f t="shared" si="5471"/>
        <v>0</v>
      </c>
      <c r="KK200" s="225">
        <f t="shared" si="5472"/>
        <v>0</v>
      </c>
      <c r="KL200" s="226">
        <f t="shared" si="5473"/>
        <v>0</v>
      </c>
      <c r="KM200" s="137">
        <f t="shared" si="5630"/>
        <v>0</v>
      </c>
      <c r="KN200" s="227">
        <f t="shared" si="5475"/>
        <v>744.63</v>
      </c>
      <c r="KO200" s="138">
        <f t="shared" si="5631"/>
        <v>0</v>
      </c>
      <c r="KP200" s="110">
        <f t="shared" si="5632"/>
        <v>0</v>
      </c>
      <c r="KQ200" s="110"/>
      <c r="KR200" s="139"/>
      <c r="KS200" s="140" t="e">
        <f t="shared" si="5633"/>
        <v>#DIV/0!</v>
      </c>
      <c r="KT200" s="198">
        <f t="shared" si="5471"/>
        <v>0</v>
      </c>
      <c r="KU200" s="225">
        <f t="shared" si="5472"/>
        <v>0</v>
      </c>
      <c r="KV200" s="226">
        <f t="shared" si="5473"/>
        <v>0</v>
      </c>
      <c r="KW200" s="137">
        <f t="shared" si="5634"/>
        <v>0</v>
      </c>
      <c r="KX200" s="227">
        <f t="shared" si="5475"/>
        <v>744.63</v>
      </c>
      <c r="KY200" s="138">
        <f t="shared" si="5635"/>
        <v>0</v>
      </c>
      <c r="KZ200" s="110">
        <f t="shared" si="5636"/>
        <v>0</v>
      </c>
      <c r="LA200" s="110"/>
      <c r="LB200" s="139"/>
      <c r="LC200" s="140" t="e">
        <f t="shared" si="5637"/>
        <v>#DIV/0!</v>
      </c>
      <c r="LD200" s="198">
        <f t="shared" si="5510"/>
        <v>0</v>
      </c>
      <c r="LE200" s="225">
        <f t="shared" si="5511"/>
        <v>0</v>
      </c>
      <c r="LF200" s="226">
        <f t="shared" si="5512"/>
        <v>0</v>
      </c>
      <c r="LG200" s="137">
        <f t="shared" si="5638"/>
        <v>0</v>
      </c>
      <c r="LH200" s="227">
        <f t="shared" si="5513"/>
        <v>733.76</v>
      </c>
      <c r="LI200" s="138">
        <f t="shared" si="5639"/>
        <v>0</v>
      </c>
      <c r="LJ200" s="110">
        <f t="shared" si="5640"/>
        <v>0</v>
      </c>
      <c r="LK200" s="110"/>
      <c r="LL200" s="139"/>
    </row>
    <row r="201" spans="1:324" ht="16.5" customHeight="1" x14ac:dyDescent="0.25">
      <c r="A201" s="246"/>
      <c r="B201" s="70" t="s">
        <v>626</v>
      </c>
      <c r="C201" s="12" t="s">
        <v>728</v>
      </c>
      <c r="D201" s="12" t="s">
        <v>430</v>
      </c>
      <c r="E201" s="4" t="s">
        <v>32</v>
      </c>
      <c r="F201" s="198">
        <f t="shared" si="5506"/>
        <v>1</v>
      </c>
      <c r="G201" s="225">
        <f t="shared" si="5507"/>
        <v>1.66E-3</v>
      </c>
      <c r="H201" s="226">
        <f t="shared" si="5508"/>
        <v>0.19</v>
      </c>
      <c r="I201" s="137">
        <f t="shared" si="5514"/>
        <v>0.19</v>
      </c>
      <c r="J201" s="227">
        <f t="shared" si="5509"/>
        <v>744.63</v>
      </c>
      <c r="K201" s="138">
        <f t="shared" si="5515"/>
        <v>141.47970000000001</v>
      </c>
      <c r="L201" s="110">
        <f t="shared" si="5516"/>
        <v>141.47999999999999</v>
      </c>
      <c r="M201" s="110"/>
      <c r="N201" s="139"/>
      <c r="O201" s="140">
        <f t="shared" si="5517"/>
        <v>1.0101899999999999</v>
      </c>
      <c r="P201" s="198">
        <f t="shared" si="5263"/>
        <v>3</v>
      </c>
      <c r="Q201" s="225">
        <f t="shared" si="5264"/>
        <v>2.7399999999999998E-3</v>
      </c>
      <c r="R201" s="226">
        <f t="shared" si="5265"/>
        <v>0.46</v>
      </c>
      <c r="S201" s="137">
        <f t="shared" si="5518"/>
        <v>0.15333332999999999</v>
      </c>
      <c r="T201" s="227">
        <f t="shared" si="5267"/>
        <v>744.63</v>
      </c>
      <c r="U201" s="138">
        <f t="shared" si="5519"/>
        <v>114.17659999999999</v>
      </c>
      <c r="V201" s="110">
        <f t="shared" si="5520"/>
        <v>342.53</v>
      </c>
      <c r="W201" s="110"/>
      <c r="X201" s="139"/>
      <c r="Y201" s="140">
        <f t="shared" si="5521"/>
        <v>0.81523999999999996</v>
      </c>
      <c r="Z201" s="198">
        <f t="shared" si="5263"/>
        <v>1</v>
      </c>
      <c r="AA201" s="225">
        <f t="shared" si="5264"/>
        <v>1.16E-3</v>
      </c>
      <c r="AB201" s="226">
        <f t="shared" si="5265"/>
        <v>0.14000000000000001</v>
      </c>
      <c r="AC201" s="137">
        <f t="shared" si="5522"/>
        <v>0.14000000000000001</v>
      </c>
      <c r="AD201" s="227">
        <f t="shared" si="5267"/>
        <v>744.63</v>
      </c>
      <c r="AE201" s="138">
        <f t="shared" si="5523"/>
        <v>104.2482</v>
      </c>
      <c r="AF201" s="110">
        <f t="shared" si="5524"/>
        <v>104.25</v>
      </c>
      <c r="AG201" s="110"/>
      <c r="AH201" s="139"/>
      <c r="AI201" s="140">
        <f t="shared" si="5525"/>
        <v>0.74434999999999996</v>
      </c>
      <c r="AJ201" s="198">
        <f t="shared" si="5263"/>
        <v>2</v>
      </c>
      <c r="AK201" s="225">
        <f t="shared" si="5264"/>
        <v>3.0100000000000001E-3</v>
      </c>
      <c r="AL201" s="226">
        <f t="shared" si="5265"/>
        <v>0.33</v>
      </c>
      <c r="AM201" s="137">
        <f t="shared" si="5526"/>
        <v>0.16500000000000001</v>
      </c>
      <c r="AN201" s="227">
        <f t="shared" si="5267"/>
        <v>744.63</v>
      </c>
      <c r="AO201" s="138">
        <f t="shared" si="5527"/>
        <v>122.86395</v>
      </c>
      <c r="AP201" s="110">
        <f t="shared" si="5528"/>
        <v>245.73</v>
      </c>
      <c r="AQ201" s="110"/>
      <c r="AR201" s="139"/>
      <c r="AS201" s="140">
        <f t="shared" si="5529"/>
        <v>0.87726999999999999</v>
      </c>
      <c r="AT201" s="198">
        <f t="shared" si="5263"/>
        <v>4</v>
      </c>
      <c r="AU201" s="225">
        <f t="shared" si="5264"/>
        <v>4.2100000000000002E-3</v>
      </c>
      <c r="AV201" s="226">
        <f t="shared" si="5265"/>
        <v>0.47</v>
      </c>
      <c r="AW201" s="137">
        <f t="shared" si="5530"/>
        <v>0.11749999999999999</v>
      </c>
      <c r="AX201" s="227">
        <f t="shared" si="5267"/>
        <v>744.63</v>
      </c>
      <c r="AY201" s="138">
        <f t="shared" si="5531"/>
        <v>87.494029999999995</v>
      </c>
      <c r="AZ201" s="110">
        <f t="shared" si="5532"/>
        <v>349.98</v>
      </c>
      <c r="BA201" s="110"/>
      <c r="BB201" s="139"/>
      <c r="BC201" s="140">
        <f t="shared" si="5533"/>
        <v>0.62472000000000005</v>
      </c>
      <c r="BD201" s="198">
        <f t="shared" si="5263"/>
        <v>1</v>
      </c>
      <c r="BE201" s="225">
        <f t="shared" si="5264"/>
        <v>1.34E-3</v>
      </c>
      <c r="BF201" s="226">
        <f t="shared" si="5265"/>
        <v>0.14000000000000001</v>
      </c>
      <c r="BG201" s="137">
        <f t="shared" si="5534"/>
        <v>0.14000000000000001</v>
      </c>
      <c r="BH201" s="227">
        <f t="shared" si="5267"/>
        <v>744.63</v>
      </c>
      <c r="BI201" s="138">
        <f t="shared" si="5535"/>
        <v>104.2482</v>
      </c>
      <c r="BJ201" s="110">
        <f t="shared" si="5536"/>
        <v>104.25</v>
      </c>
      <c r="BK201" s="110"/>
      <c r="BL201" s="139"/>
      <c r="BM201" s="140">
        <f t="shared" si="5537"/>
        <v>0.74434999999999996</v>
      </c>
      <c r="BN201" s="198">
        <f t="shared" si="5263"/>
        <v>3</v>
      </c>
      <c r="BO201" s="225">
        <f t="shared" si="5264"/>
        <v>4.8599999999999997E-3</v>
      </c>
      <c r="BP201" s="226">
        <f t="shared" si="5265"/>
        <v>0.52</v>
      </c>
      <c r="BQ201" s="137">
        <f t="shared" si="5538"/>
        <v>0.17333333000000001</v>
      </c>
      <c r="BR201" s="227">
        <f t="shared" si="5267"/>
        <v>744.63</v>
      </c>
      <c r="BS201" s="138">
        <f t="shared" si="5539"/>
        <v>129.0692</v>
      </c>
      <c r="BT201" s="110">
        <f t="shared" si="5540"/>
        <v>387.21</v>
      </c>
      <c r="BU201" s="110"/>
      <c r="BV201" s="139"/>
      <c r="BW201" s="140">
        <f t="shared" si="5541"/>
        <v>0.92157999999999995</v>
      </c>
      <c r="BX201" s="198">
        <f t="shared" si="5263"/>
        <v>1</v>
      </c>
      <c r="BY201" s="225">
        <f t="shared" si="5264"/>
        <v>1.2700000000000001E-3</v>
      </c>
      <c r="BZ201" s="226">
        <f t="shared" si="5265"/>
        <v>0.23</v>
      </c>
      <c r="CA201" s="137">
        <f t="shared" si="5542"/>
        <v>0.23</v>
      </c>
      <c r="CB201" s="227">
        <f t="shared" si="5267"/>
        <v>744.63</v>
      </c>
      <c r="CC201" s="138">
        <f t="shared" si="5543"/>
        <v>171.26490000000001</v>
      </c>
      <c r="CD201" s="110">
        <f t="shared" si="5544"/>
        <v>171.26</v>
      </c>
      <c r="CE201" s="110"/>
      <c r="CF201" s="139"/>
      <c r="CG201" s="140">
        <f t="shared" si="5545"/>
        <v>1.2228600000000001</v>
      </c>
      <c r="CH201" s="198">
        <f t="shared" si="5319"/>
        <v>5</v>
      </c>
      <c r="CI201" s="225">
        <f t="shared" si="5320"/>
        <v>5.4099999999999999E-3</v>
      </c>
      <c r="CJ201" s="226">
        <f t="shared" si="5321"/>
        <v>1.17</v>
      </c>
      <c r="CK201" s="137">
        <f t="shared" si="5546"/>
        <v>0.23400000000000001</v>
      </c>
      <c r="CL201" s="227">
        <f t="shared" si="5323"/>
        <v>744.63</v>
      </c>
      <c r="CM201" s="138">
        <f t="shared" si="5547"/>
        <v>174.24341999999999</v>
      </c>
      <c r="CN201" s="110">
        <f t="shared" si="5548"/>
        <v>871.22</v>
      </c>
      <c r="CO201" s="110"/>
      <c r="CP201" s="139"/>
      <c r="CQ201" s="140">
        <f t="shared" si="5549"/>
        <v>1.24413</v>
      </c>
      <c r="CR201" s="198">
        <f t="shared" si="5319"/>
        <v>2</v>
      </c>
      <c r="CS201" s="225">
        <f t="shared" si="5320"/>
        <v>2.6900000000000001E-3</v>
      </c>
      <c r="CT201" s="226">
        <f t="shared" si="5321"/>
        <v>0.32</v>
      </c>
      <c r="CU201" s="137">
        <f t="shared" si="5550"/>
        <v>0.16</v>
      </c>
      <c r="CV201" s="227">
        <f t="shared" si="5323"/>
        <v>744.63</v>
      </c>
      <c r="CW201" s="138">
        <f t="shared" si="5551"/>
        <v>119.1408</v>
      </c>
      <c r="CX201" s="110">
        <f t="shared" si="5552"/>
        <v>238.28</v>
      </c>
      <c r="CY201" s="110"/>
      <c r="CZ201" s="139"/>
      <c r="DA201" s="140">
        <f t="shared" si="5553"/>
        <v>0.85068999999999995</v>
      </c>
      <c r="DB201" s="198">
        <f t="shared" si="5319"/>
        <v>0</v>
      </c>
      <c r="DC201" s="225">
        <f t="shared" si="5320"/>
        <v>0</v>
      </c>
      <c r="DD201" s="226">
        <f t="shared" si="5321"/>
        <v>0</v>
      </c>
      <c r="DE201" s="137">
        <f t="shared" si="5554"/>
        <v>0</v>
      </c>
      <c r="DF201" s="227">
        <f t="shared" si="5323"/>
        <v>744.63</v>
      </c>
      <c r="DG201" s="138">
        <f t="shared" si="5555"/>
        <v>0</v>
      </c>
      <c r="DH201" s="110">
        <f t="shared" si="5556"/>
        <v>0</v>
      </c>
      <c r="DI201" s="110"/>
      <c r="DJ201" s="139"/>
      <c r="DK201" s="140">
        <f t="shared" si="5557"/>
        <v>0</v>
      </c>
      <c r="DL201" s="198">
        <f t="shared" si="5319"/>
        <v>0</v>
      </c>
      <c r="DM201" s="225">
        <f t="shared" si="5320"/>
        <v>0</v>
      </c>
      <c r="DN201" s="226">
        <f t="shared" si="5321"/>
        <v>0</v>
      </c>
      <c r="DO201" s="137">
        <f t="shared" si="5558"/>
        <v>0</v>
      </c>
      <c r="DP201" s="227">
        <f t="shared" si="5323"/>
        <v>744.63</v>
      </c>
      <c r="DQ201" s="138">
        <f t="shared" si="5559"/>
        <v>0</v>
      </c>
      <c r="DR201" s="110">
        <f t="shared" si="5560"/>
        <v>0</v>
      </c>
      <c r="DS201" s="110"/>
      <c r="DT201" s="139"/>
      <c r="DU201" s="140">
        <f t="shared" si="5561"/>
        <v>0</v>
      </c>
      <c r="DV201" s="198">
        <f t="shared" si="5319"/>
        <v>4</v>
      </c>
      <c r="DW201" s="225">
        <f t="shared" si="5320"/>
        <v>4.5599999999999998E-3</v>
      </c>
      <c r="DX201" s="226">
        <f t="shared" si="5321"/>
        <v>0.5</v>
      </c>
      <c r="DY201" s="137">
        <f t="shared" si="5562"/>
        <v>0.125</v>
      </c>
      <c r="DZ201" s="227">
        <f t="shared" si="5323"/>
        <v>389.62</v>
      </c>
      <c r="EA201" s="138">
        <f t="shared" si="5563"/>
        <v>48.702500000000001</v>
      </c>
      <c r="EB201" s="110">
        <f t="shared" si="5564"/>
        <v>194.81</v>
      </c>
      <c r="EC201" s="110"/>
      <c r="ED201" s="139"/>
      <c r="EE201" s="140">
        <f t="shared" si="5565"/>
        <v>0.34773999999999999</v>
      </c>
      <c r="EF201" s="198">
        <f t="shared" si="5319"/>
        <v>3</v>
      </c>
      <c r="EG201" s="225">
        <f t="shared" si="5320"/>
        <v>3.1900000000000001E-3</v>
      </c>
      <c r="EH201" s="226">
        <f t="shared" si="5321"/>
        <v>0.34</v>
      </c>
      <c r="EI201" s="137">
        <f t="shared" si="5566"/>
        <v>0.11333333</v>
      </c>
      <c r="EJ201" s="227">
        <f t="shared" si="5323"/>
        <v>744.63</v>
      </c>
      <c r="EK201" s="138">
        <f t="shared" si="5567"/>
        <v>84.391400000000004</v>
      </c>
      <c r="EL201" s="110">
        <f t="shared" si="5568"/>
        <v>253.17</v>
      </c>
      <c r="EM201" s="110"/>
      <c r="EN201" s="139"/>
      <c r="EO201" s="140">
        <f t="shared" si="5569"/>
        <v>0.60257000000000005</v>
      </c>
      <c r="EP201" s="198">
        <f t="shared" si="5319"/>
        <v>2</v>
      </c>
      <c r="EQ201" s="225">
        <f t="shared" si="5320"/>
        <v>2.1199999999999999E-3</v>
      </c>
      <c r="ER201" s="226">
        <f t="shared" si="5321"/>
        <v>0.34</v>
      </c>
      <c r="ES201" s="137">
        <f t="shared" si="5570"/>
        <v>0.17</v>
      </c>
      <c r="ET201" s="227">
        <f t="shared" si="5323"/>
        <v>744.63</v>
      </c>
      <c r="EU201" s="138">
        <f t="shared" si="5571"/>
        <v>126.58710000000001</v>
      </c>
      <c r="EV201" s="110">
        <f t="shared" si="5572"/>
        <v>253.17</v>
      </c>
      <c r="EW201" s="110"/>
      <c r="EX201" s="139"/>
      <c r="EY201" s="140">
        <f t="shared" si="5573"/>
        <v>0.90385000000000004</v>
      </c>
      <c r="EZ201" s="198">
        <f t="shared" si="5375"/>
        <v>1</v>
      </c>
      <c r="FA201" s="225">
        <f t="shared" si="5376"/>
        <v>8.9999999999999998E-4</v>
      </c>
      <c r="FB201" s="226">
        <f t="shared" si="5377"/>
        <v>0.15</v>
      </c>
      <c r="FC201" s="137">
        <f t="shared" si="5574"/>
        <v>0.15</v>
      </c>
      <c r="FD201" s="227">
        <f t="shared" si="5379"/>
        <v>744.63</v>
      </c>
      <c r="FE201" s="138">
        <f t="shared" si="5575"/>
        <v>111.69450000000001</v>
      </c>
      <c r="FF201" s="110">
        <f t="shared" si="5576"/>
        <v>111.69</v>
      </c>
      <c r="FG201" s="110"/>
      <c r="FH201" s="139"/>
      <c r="FI201" s="140">
        <f t="shared" si="5577"/>
        <v>0.79752000000000001</v>
      </c>
      <c r="FJ201" s="198">
        <f t="shared" si="5375"/>
        <v>2</v>
      </c>
      <c r="FK201" s="225">
        <f t="shared" si="5376"/>
        <v>1.9599999999999999E-3</v>
      </c>
      <c r="FL201" s="226">
        <f t="shared" si="5377"/>
        <v>0.46</v>
      </c>
      <c r="FM201" s="137">
        <f t="shared" si="5578"/>
        <v>0.23</v>
      </c>
      <c r="FN201" s="227">
        <f t="shared" si="5379"/>
        <v>744.63</v>
      </c>
      <c r="FO201" s="138">
        <f t="shared" si="5579"/>
        <v>171.26490000000001</v>
      </c>
      <c r="FP201" s="110">
        <f t="shared" si="5580"/>
        <v>342.53</v>
      </c>
      <c r="FQ201" s="110"/>
      <c r="FR201" s="139"/>
      <c r="FS201" s="140">
        <f t="shared" si="5581"/>
        <v>1.2228600000000001</v>
      </c>
      <c r="FT201" s="198">
        <f t="shared" si="5375"/>
        <v>3</v>
      </c>
      <c r="FU201" s="225">
        <f t="shared" si="5376"/>
        <v>3.7399999999999998E-3</v>
      </c>
      <c r="FV201" s="226">
        <f t="shared" si="5377"/>
        <v>0.57999999999999996</v>
      </c>
      <c r="FW201" s="137">
        <f t="shared" si="5582"/>
        <v>0.19333333</v>
      </c>
      <c r="FX201" s="227">
        <f t="shared" si="5379"/>
        <v>744.63</v>
      </c>
      <c r="FY201" s="138">
        <f t="shared" si="5583"/>
        <v>143.96180000000001</v>
      </c>
      <c r="FZ201" s="110">
        <f t="shared" si="5584"/>
        <v>431.89</v>
      </c>
      <c r="GA201" s="110"/>
      <c r="GB201" s="139"/>
      <c r="GC201" s="140">
        <f t="shared" si="5585"/>
        <v>1.0279100000000001</v>
      </c>
      <c r="GD201" s="198">
        <f t="shared" si="5375"/>
        <v>3</v>
      </c>
      <c r="GE201" s="225">
        <f t="shared" si="5376"/>
        <v>5.8599999999999998E-3</v>
      </c>
      <c r="GF201" s="226">
        <f t="shared" si="5377"/>
        <v>0.63</v>
      </c>
      <c r="GG201" s="137">
        <f t="shared" si="5586"/>
        <v>0.21</v>
      </c>
      <c r="GH201" s="227">
        <f t="shared" si="5379"/>
        <v>744.63</v>
      </c>
      <c r="GI201" s="138">
        <f t="shared" si="5587"/>
        <v>156.3723</v>
      </c>
      <c r="GJ201" s="110">
        <f t="shared" si="5588"/>
        <v>469.12</v>
      </c>
      <c r="GK201" s="110"/>
      <c r="GL201" s="139"/>
      <c r="GM201" s="140">
        <f t="shared" si="5589"/>
        <v>1.11653</v>
      </c>
      <c r="GN201" s="198">
        <f t="shared" si="5407"/>
        <v>2</v>
      </c>
      <c r="GO201" s="225">
        <f t="shared" si="5408"/>
        <v>2.31E-3</v>
      </c>
      <c r="GP201" s="226">
        <f t="shared" si="5409"/>
        <v>0.43</v>
      </c>
      <c r="GQ201" s="137">
        <f t="shared" si="5590"/>
        <v>0.215</v>
      </c>
      <c r="GR201" s="227">
        <f t="shared" si="5411"/>
        <v>744.63</v>
      </c>
      <c r="GS201" s="138">
        <f t="shared" si="5591"/>
        <v>160.09545</v>
      </c>
      <c r="GT201" s="110">
        <f t="shared" si="5592"/>
        <v>320.19</v>
      </c>
      <c r="GU201" s="110"/>
      <c r="GV201" s="139"/>
      <c r="GW201" s="140">
        <f t="shared" si="5593"/>
        <v>1.1431100000000001</v>
      </c>
      <c r="GX201" s="198">
        <f t="shared" si="5407"/>
        <v>0</v>
      </c>
      <c r="GY201" s="225">
        <f t="shared" si="5408"/>
        <v>0</v>
      </c>
      <c r="GZ201" s="226">
        <f t="shared" si="5409"/>
        <v>0</v>
      </c>
      <c r="HA201" s="137">
        <f t="shared" si="5594"/>
        <v>0</v>
      </c>
      <c r="HB201" s="227">
        <f t="shared" si="5411"/>
        <v>744.63</v>
      </c>
      <c r="HC201" s="138">
        <f t="shared" si="5595"/>
        <v>0</v>
      </c>
      <c r="HD201" s="110">
        <f t="shared" si="5596"/>
        <v>0</v>
      </c>
      <c r="HE201" s="110"/>
      <c r="HF201" s="139"/>
      <c r="HG201" s="140">
        <f t="shared" si="5597"/>
        <v>0</v>
      </c>
      <c r="HH201" s="198">
        <f t="shared" si="5407"/>
        <v>2</v>
      </c>
      <c r="HI201" s="225">
        <f t="shared" si="5408"/>
        <v>1.74E-3</v>
      </c>
      <c r="HJ201" s="226">
        <f t="shared" si="5409"/>
        <v>0.34</v>
      </c>
      <c r="HK201" s="137">
        <f t="shared" si="5598"/>
        <v>0.17</v>
      </c>
      <c r="HL201" s="227">
        <f t="shared" si="5411"/>
        <v>731.29</v>
      </c>
      <c r="HM201" s="138">
        <f t="shared" si="5599"/>
        <v>124.3193</v>
      </c>
      <c r="HN201" s="110">
        <f t="shared" si="5600"/>
        <v>248.64</v>
      </c>
      <c r="HO201" s="110"/>
      <c r="HP201" s="139"/>
      <c r="HQ201" s="140">
        <f t="shared" si="5601"/>
        <v>0.88766</v>
      </c>
      <c r="HR201" s="198">
        <f t="shared" si="5407"/>
        <v>3</v>
      </c>
      <c r="HS201" s="225">
        <f t="shared" si="5408"/>
        <v>3.81E-3</v>
      </c>
      <c r="HT201" s="226">
        <f t="shared" si="5409"/>
        <v>0.41</v>
      </c>
      <c r="HU201" s="137">
        <f t="shared" si="5602"/>
        <v>0.13666666999999999</v>
      </c>
      <c r="HV201" s="227">
        <f t="shared" si="5411"/>
        <v>744.63</v>
      </c>
      <c r="HW201" s="138">
        <f t="shared" si="5603"/>
        <v>101.76609999999999</v>
      </c>
      <c r="HX201" s="110">
        <f t="shared" si="5604"/>
        <v>305.3</v>
      </c>
      <c r="HY201" s="110"/>
      <c r="HZ201" s="139"/>
      <c r="IA201" s="140">
        <f t="shared" si="5605"/>
        <v>0.72663</v>
      </c>
      <c r="IB201" s="198">
        <f t="shared" si="5439"/>
        <v>4</v>
      </c>
      <c r="IC201" s="225">
        <f t="shared" si="5440"/>
        <v>7.3000000000000001E-3</v>
      </c>
      <c r="ID201" s="226">
        <f t="shared" si="5441"/>
        <v>1.31</v>
      </c>
      <c r="IE201" s="137">
        <f t="shared" si="5606"/>
        <v>0.32750000000000001</v>
      </c>
      <c r="IF201" s="227">
        <f t="shared" si="5443"/>
        <v>744.63</v>
      </c>
      <c r="IG201" s="138">
        <f t="shared" si="5607"/>
        <v>243.86633</v>
      </c>
      <c r="IH201" s="110">
        <f t="shared" si="5608"/>
        <v>975.47</v>
      </c>
      <c r="II201" s="110"/>
      <c r="IJ201" s="139"/>
      <c r="IK201" s="140">
        <f t="shared" si="5609"/>
        <v>1.74125</v>
      </c>
      <c r="IL201" s="198">
        <f t="shared" si="5439"/>
        <v>4</v>
      </c>
      <c r="IM201" s="225">
        <f t="shared" si="5440"/>
        <v>3.16E-3</v>
      </c>
      <c r="IN201" s="226">
        <f t="shared" si="5441"/>
        <v>0.83</v>
      </c>
      <c r="IO201" s="137">
        <f t="shared" si="5610"/>
        <v>0.20749999999999999</v>
      </c>
      <c r="IP201" s="227">
        <f t="shared" si="5443"/>
        <v>678.72</v>
      </c>
      <c r="IQ201" s="138">
        <f t="shared" si="5611"/>
        <v>140.83439999999999</v>
      </c>
      <c r="IR201" s="110">
        <f t="shared" si="5612"/>
        <v>563.34</v>
      </c>
      <c r="IS201" s="110"/>
      <c r="IT201" s="139"/>
      <c r="IU201" s="140">
        <f t="shared" si="5613"/>
        <v>1.0055799999999999</v>
      </c>
      <c r="IV201" s="198">
        <f t="shared" si="5439"/>
        <v>5</v>
      </c>
      <c r="IW201" s="225">
        <f t="shared" si="5440"/>
        <v>6.4900000000000001E-3</v>
      </c>
      <c r="IX201" s="226">
        <f t="shared" si="5441"/>
        <v>1.01</v>
      </c>
      <c r="IY201" s="137">
        <f t="shared" si="5614"/>
        <v>0.20200000000000001</v>
      </c>
      <c r="IZ201" s="227">
        <f t="shared" si="5443"/>
        <v>744.63</v>
      </c>
      <c r="JA201" s="138">
        <f t="shared" si="5615"/>
        <v>150.41525999999999</v>
      </c>
      <c r="JB201" s="110">
        <f t="shared" si="5616"/>
        <v>752.08</v>
      </c>
      <c r="JC201" s="110"/>
      <c r="JD201" s="139"/>
      <c r="JE201" s="140">
        <f t="shared" si="5617"/>
        <v>1.07399</v>
      </c>
      <c r="JF201" s="198">
        <f t="shared" si="5439"/>
        <v>2</v>
      </c>
      <c r="JG201" s="225">
        <f t="shared" si="5440"/>
        <v>1.49E-3</v>
      </c>
      <c r="JH201" s="226">
        <f t="shared" si="5441"/>
        <v>0.45</v>
      </c>
      <c r="JI201" s="137">
        <f t="shared" si="5618"/>
        <v>0.22500000000000001</v>
      </c>
      <c r="JJ201" s="227">
        <f t="shared" si="5443"/>
        <v>744.63</v>
      </c>
      <c r="JK201" s="138">
        <f t="shared" si="5619"/>
        <v>167.54175000000001</v>
      </c>
      <c r="JL201" s="110">
        <f t="shared" si="5620"/>
        <v>335.08</v>
      </c>
      <c r="JM201" s="110"/>
      <c r="JN201" s="139"/>
      <c r="JO201" s="140">
        <f t="shared" si="5621"/>
        <v>1.19628</v>
      </c>
      <c r="JP201" s="198">
        <f t="shared" si="5471"/>
        <v>4</v>
      </c>
      <c r="JQ201" s="225">
        <f t="shared" si="5472"/>
        <v>3.2000000000000002E-3</v>
      </c>
      <c r="JR201" s="226">
        <f t="shared" si="5473"/>
        <v>0.73</v>
      </c>
      <c r="JS201" s="137">
        <f t="shared" si="5622"/>
        <v>0.1825</v>
      </c>
      <c r="JT201" s="227">
        <f t="shared" si="5475"/>
        <v>744.63</v>
      </c>
      <c r="JU201" s="138">
        <f t="shared" si="5623"/>
        <v>135.89498</v>
      </c>
      <c r="JV201" s="110">
        <f t="shared" si="5624"/>
        <v>543.58000000000004</v>
      </c>
      <c r="JW201" s="110"/>
      <c r="JX201" s="139"/>
      <c r="JY201" s="140">
        <f t="shared" si="5625"/>
        <v>0.97031000000000001</v>
      </c>
      <c r="JZ201" s="198">
        <f t="shared" si="5471"/>
        <v>0</v>
      </c>
      <c r="KA201" s="225">
        <f t="shared" si="5472"/>
        <v>0</v>
      </c>
      <c r="KB201" s="226">
        <f t="shared" si="5473"/>
        <v>0</v>
      </c>
      <c r="KC201" s="137">
        <f t="shared" si="5626"/>
        <v>0</v>
      </c>
      <c r="KD201" s="227">
        <f t="shared" si="5475"/>
        <v>744.63</v>
      </c>
      <c r="KE201" s="138">
        <f t="shared" si="5627"/>
        <v>0</v>
      </c>
      <c r="KF201" s="110">
        <f t="shared" si="5628"/>
        <v>0</v>
      </c>
      <c r="KG201" s="110"/>
      <c r="KH201" s="139"/>
      <c r="KI201" s="140">
        <f t="shared" si="5629"/>
        <v>0</v>
      </c>
      <c r="KJ201" s="198">
        <f t="shared" si="5471"/>
        <v>2</v>
      </c>
      <c r="KK201" s="225">
        <f t="shared" si="5472"/>
        <v>1.49E-3</v>
      </c>
      <c r="KL201" s="226">
        <f t="shared" si="5473"/>
        <v>0.36</v>
      </c>
      <c r="KM201" s="137">
        <f t="shared" si="5630"/>
        <v>0.18</v>
      </c>
      <c r="KN201" s="227">
        <f t="shared" si="5475"/>
        <v>744.63</v>
      </c>
      <c r="KO201" s="138">
        <f t="shared" si="5631"/>
        <v>134.0334</v>
      </c>
      <c r="KP201" s="110">
        <f t="shared" si="5632"/>
        <v>268.07</v>
      </c>
      <c r="KQ201" s="110"/>
      <c r="KR201" s="139"/>
      <c r="KS201" s="140">
        <f t="shared" si="5633"/>
        <v>0.95701999999999998</v>
      </c>
      <c r="KT201" s="198">
        <f t="shared" si="5471"/>
        <v>0</v>
      </c>
      <c r="KU201" s="225">
        <f t="shared" si="5472"/>
        <v>0</v>
      </c>
      <c r="KV201" s="226">
        <f t="shared" si="5473"/>
        <v>0</v>
      </c>
      <c r="KW201" s="137">
        <f t="shared" si="5634"/>
        <v>0</v>
      </c>
      <c r="KX201" s="227">
        <f t="shared" si="5475"/>
        <v>744.63</v>
      </c>
      <c r="KY201" s="138">
        <f t="shared" si="5635"/>
        <v>0</v>
      </c>
      <c r="KZ201" s="110">
        <f t="shared" si="5636"/>
        <v>0</v>
      </c>
      <c r="LA201" s="110"/>
      <c r="LB201" s="139"/>
      <c r="LC201" s="140">
        <f t="shared" si="5637"/>
        <v>0</v>
      </c>
      <c r="LD201" s="198">
        <f t="shared" si="5510"/>
        <v>69</v>
      </c>
      <c r="LE201" s="225">
        <f t="shared" si="5511"/>
        <v>2.4199999999999998E-3</v>
      </c>
      <c r="LF201" s="226">
        <f t="shared" si="5512"/>
        <v>13.17</v>
      </c>
      <c r="LG201" s="137">
        <f t="shared" si="5638"/>
        <v>0.19086956999999999</v>
      </c>
      <c r="LH201" s="227">
        <f t="shared" si="5513"/>
        <v>733.76</v>
      </c>
      <c r="LI201" s="138">
        <f t="shared" si="5639"/>
        <v>140.05246</v>
      </c>
      <c r="LJ201" s="110">
        <f t="shared" si="5640"/>
        <v>9663.6200000000008</v>
      </c>
      <c r="LK201" s="110"/>
      <c r="LL201" s="139"/>
    </row>
    <row r="202" spans="1:324" ht="16.5" customHeight="1" x14ac:dyDescent="0.25">
      <c r="A202" s="246"/>
      <c r="B202" s="70" t="s">
        <v>627</v>
      </c>
      <c r="C202" s="12" t="s">
        <v>728</v>
      </c>
      <c r="D202" s="12" t="s">
        <v>430</v>
      </c>
      <c r="E202" s="4" t="s">
        <v>32</v>
      </c>
      <c r="F202" s="198">
        <f t="shared" si="5506"/>
        <v>0</v>
      </c>
      <c r="G202" s="225">
        <f t="shared" si="5507"/>
        <v>0</v>
      </c>
      <c r="H202" s="226">
        <f t="shared" si="5508"/>
        <v>0</v>
      </c>
      <c r="I202" s="137">
        <f t="shared" si="5514"/>
        <v>0</v>
      </c>
      <c r="J202" s="227">
        <f t="shared" si="5509"/>
        <v>744.63</v>
      </c>
      <c r="K202" s="138">
        <f t="shared" si="5515"/>
        <v>0</v>
      </c>
      <c r="L202" s="110">
        <f t="shared" si="5516"/>
        <v>0</v>
      </c>
      <c r="M202" s="110"/>
      <c r="N202" s="139"/>
      <c r="O202" s="140">
        <f t="shared" si="5517"/>
        <v>0</v>
      </c>
      <c r="P202" s="198">
        <f t="shared" si="5263"/>
        <v>0</v>
      </c>
      <c r="Q202" s="225">
        <f t="shared" si="5264"/>
        <v>0</v>
      </c>
      <c r="R202" s="226">
        <f t="shared" si="5265"/>
        <v>0</v>
      </c>
      <c r="S202" s="137">
        <f t="shared" si="5518"/>
        <v>0</v>
      </c>
      <c r="T202" s="227">
        <f t="shared" si="5267"/>
        <v>744.63</v>
      </c>
      <c r="U202" s="138">
        <f t="shared" si="5519"/>
        <v>0</v>
      </c>
      <c r="V202" s="110">
        <f t="shared" si="5520"/>
        <v>0</v>
      </c>
      <c r="W202" s="110"/>
      <c r="X202" s="139"/>
      <c r="Y202" s="140">
        <f t="shared" si="5521"/>
        <v>0</v>
      </c>
      <c r="Z202" s="198">
        <f t="shared" si="5263"/>
        <v>0</v>
      </c>
      <c r="AA202" s="225">
        <f t="shared" si="5264"/>
        <v>0</v>
      </c>
      <c r="AB202" s="226">
        <f t="shared" si="5265"/>
        <v>0</v>
      </c>
      <c r="AC202" s="137">
        <f t="shared" si="5522"/>
        <v>0</v>
      </c>
      <c r="AD202" s="227">
        <f t="shared" si="5267"/>
        <v>744.63</v>
      </c>
      <c r="AE202" s="138">
        <f t="shared" si="5523"/>
        <v>0</v>
      </c>
      <c r="AF202" s="110">
        <f t="shared" si="5524"/>
        <v>0</v>
      </c>
      <c r="AG202" s="110"/>
      <c r="AH202" s="139"/>
      <c r="AI202" s="140">
        <f t="shared" si="5525"/>
        <v>0</v>
      </c>
      <c r="AJ202" s="198">
        <f t="shared" si="5263"/>
        <v>0</v>
      </c>
      <c r="AK202" s="225">
        <f t="shared" si="5264"/>
        <v>0</v>
      </c>
      <c r="AL202" s="226">
        <f t="shared" si="5265"/>
        <v>0</v>
      </c>
      <c r="AM202" s="137">
        <f t="shared" si="5526"/>
        <v>0</v>
      </c>
      <c r="AN202" s="227">
        <f t="shared" si="5267"/>
        <v>744.63</v>
      </c>
      <c r="AO202" s="138">
        <f t="shared" si="5527"/>
        <v>0</v>
      </c>
      <c r="AP202" s="110">
        <f t="shared" si="5528"/>
        <v>0</v>
      </c>
      <c r="AQ202" s="110"/>
      <c r="AR202" s="139"/>
      <c r="AS202" s="140">
        <f t="shared" si="5529"/>
        <v>0</v>
      </c>
      <c r="AT202" s="198">
        <f t="shared" si="5263"/>
        <v>4</v>
      </c>
      <c r="AU202" s="225">
        <f t="shared" si="5264"/>
        <v>4.2100000000000002E-3</v>
      </c>
      <c r="AV202" s="226">
        <f t="shared" si="5265"/>
        <v>0.47</v>
      </c>
      <c r="AW202" s="137">
        <f t="shared" si="5530"/>
        <v>0.11749999999999999</v>
      </c>
      <c r="AX202" s="227">
        <f t="shared" si="5267"/>
        <v>744.63</v>
      </c>
      <c r="AY202" s="138">
        <f t="shared" si="5531"/>
        <v>87.494029999999995</v>
      </c>
      <c r="AZ202" s="110">
        <f t="shared" si="5532"/>
        <v>349.98</v>
      </c>
      <c r="BA202" s="110"/>
      <c r="BB202" s="139"/>
      <c r="BC202" s="140">
        <f t="shared" si="5533"/>
        <v>0.62497000000000003</v>
      </c>
      <c r="BD202" s="198">
        <f t="shared" si="5263"/>
        <v>0</v>
      </c>
      <c r="BE202" s="225">
        <f t="shared" si="5264"/>
        <v>0</v>
      </c>
      <c r="BF202" s="226">
        <f t="shared" si="5265"/>
        <v>0</v>
      </c>
      <c r="BG202" s="137">
        <f t="shared" si="5534"/>
        <v>0</v>
      </c>
      <c r="BH202" s="227">
        <f t="shared" si="5267"/>
        <v>744.63</v>
      </c>
      <c r="BI202" s="138">
        <f t="shared" si="5535"/>
        <v>0</v>
      </c>
      <c r="BJ202" s="110">
        <f t="shared" si="5536"/>
        <v>0</v>
      </c>
      <c r="BK202" s="110"/>
      <c r="BL202" s="139"/>
      <c r="BM202" s="140">
        <f t="shared" si="5537"/>
        <v>0</v>
      </c>
      <c r="BN202" s="198">
        <f t="shared" si="5263"/>
        <v>0</v>
      </c>
      <c r="BO202" s="225">
        <f t="shared" si="5264"/>
        <v>0</v>
      </c>
      <c r="BP202" s="226">
        <f t="shared" si="5265"/>
        <v>0</v>
      </c>
      <c r="BQ202" s="137">
        <f t="shared" si="5538"/>
        <v>0</v>
      </c>
      <c r="BR202" s="227">
        <f t="shared" si="5267"/>
        <v>744.63</v>
      </c>
      <c r="BS202" s="138">
        <f t="shared" si="5539"/>
        <v>0</v>
      </c>
      <c r="BT202" s="110">
        <f t="shared" si="5540"/>
        <v>0</v>
      </c>
      <c r="BU202" s="110"/>
      <c r="BV202" s="139"/>
      <c r="BW202" s="140">
        <f t="shared" si="5541"/>
        <v>0</v>
      </c>
      <c r="BX202" s="198">
        <f t="shared" si="5263"/>
        <v>3</v>
      </c>
      <c r="BY202" s="225">
        <f t="shared" si="5264"/>
        <v>3.81E-3</v>
      </c>
      <c r="BZ202" s="226">
        <f t="shared" si="5265"/>
        <v>0.7</v>
      </c>
      <c r="CA202" s="137">
        <f t="shared" si="5542"/>
        <v>0.23333333000000001</v>
      </c>
      <c r="CB202" s="227">
        <f t="shared" si="5267"/>
        <v>744.63</v>
      </c>
      <c r="CC202" s="138">
        <f t="shared" si="5543"/>
        <v>173.74700000000001</v>
      </c>
      <c r="CD202" s="110">
        <f t="shared" si="5544"/>
        <v>521.24</v>
      </c>
      <c r="CE202" s="110"/>
      <c r="CF202" s="139"/>
      <c r="CG202" s="140">
        <f t="shared" si="5545"/>
        <v>1.24108</v>
      </c>
      <c r="CH202" s="198">
        <f t="shared" si="5319"/>
        <v>0</v>
      </c>
      <c r="CI202" s="225">
        <f t="shared" si="5320"/>
        <v>0</v>
      </c>
      <c r="CJ202" s="226">
        <f t="shared" si="5321"/>
        <v>0</v>
      </c>
      <c r="CK202" s="137">
        <f t="shared" si="5546"/>
        <v>0</v>
      </c>
      <c r="CL202" s="227">
        <f t="shared" si="5323"/>
        <v>744.63</v>
      </c>
      <c r="CM202" s="138">
        <f t="shared" si="5547"/>
        <v>0</v>
      </c>
      <c r="CN202" s="110">
        <f t="shared" si="5548"/>
        <v>0</v>
      </c>
      <c r="CO202" s="110"/>
      <c r="CP202" s="139"/>
      <c r="CQ202" s="140">
        <f t="shared" si="5549"/>
        <v>0</v>
      </c>
      <c r="CR202" s="198">
        <f t="shared" si="5319"/>
        <v>1</v>
      </c>
      <c r="CS202" s="225">
        <f t="shared" si="5320"/>
        <v>1.34E-3</v>
      </c>
      <c r="CT202" s="226">
        <f t="shared" si="5321"/>
        <v>0.16</v>
      </c>
      <c r="CU202" s="137">
        <f t="shared" si="5550"/>
        <v>0.16</v>
      </c>
      <c r="CV202" s="227">
        <f t="shared" si="5323"/>
        <v>744.63</v>
      </c>
      <c r="CW202" s="138">
        <f t="shared" si="5551"/>
        <v>119.1408</v>
      </c>
      <c r="CX202" s="110">
        <f t="shared" si="5552"/>
        <v>119.14</v>
      </c>
      <c r="CY202" s="110"/>
      <c r="CZ202" s="139"/>
      <c r="DA202" s="140">
        <f t="shared" si="5553"/>
        <v>0.85102999999999995</v>
      </c>
      <c r="DB202" s="198">
        <f t="shared" si="5319"/>
        <v>0</v>
      </c>
      <c r="DC202" s="225">
        <f t="shared" si="5320"/>
        <v>0</v>
      </c>
      <c r="DD202" s="226">
        <f t="shared" si="5321"/>
        <v>0</v>
      </c>
      <c r="DE202" s="137">
        <f t="shared" si="5554"/>
        <v>0</v>
      </c>
      <c r="DF202" s="227">
        <f t="shared" si="5323"/>
        <v>744.63</v>
      </c>
      <c r="DG202" s="138">
        <f t="shared" si="5555"/>
        <v>0</v>
      </c>
      <c r="DH202" s="110">
        <f t="shared" si="5556"/>
        <v>0</v>
      </c>
      <c r="DI202" s="110"/>
      <c r="DJ202" s="139"/>
      <c r="DK202" s="140">
        <f t="shared" si="5557"/>
        <v>0</v>
      </c>
      <c r="DL202" s="198">
        <f t="shared" si="5319"/>
        <v>0</v>
      </c>
      <c r="DM202" s="225">
        <f t="shared" si="5320"/>
        <v>0</v>
      </c>
      <c r="DN202" s="226">
        <f t="shared" si="5321"/>
        <v>0</v>
      </c>
      <c r="DO202" s="137">
        <f t="shared" si="5558"/>
        <v>0</v>
      </c>
      <c r="DP202" s="227">
        <f t="shared" si="5323"/>
        <v>744.63</v>
      </c>
      <c r="DQ202" s="138">
        <f t="shared" si="5559"/>
        <v>0</v>
      </c>
      <c r="DR202" s="110">
        <f t="shared" si="5560"/>
        <v>0</v>
      </c>
      <c r="DS202" s="110"/>
      <c r="DT202" s="139"/>
      <c r="DU202" s="140">
        <f t="shared" si="5561"/>
        <v>0</v>
      </c>
      <c r="DV202" s="198">
        <f t="shared" si="5319"/>
        <v>6</v>
      </c>
      <c r="DW202" s="225">
        <f t="shared" si="5320"/>
        <v>6.8300000000000001E-3</v>
      </c>
      <c r="DX202" s="226">
        <f t="shared" si="5321"/>
        <v>0.75</v>
      </c>
      <c r="DY202" s="137">
        <f t="shared" si="5562"/>
        <v>0.125</v>
      </c>
      <c r="DZ202" s="227">
        <f t="shared" si="5323"/>
        <v>389.62</v>
      </c>
      <c r="EA202" s="138">
        <f t="shared" si="5563"/>
        <v>48.702500000000001</v>
      </c>
      <c r="EB202" s="110">
        <f t="shared" si="5564"/>
        <v>292.22000000000003</v>
      </c>
      <c r="EC202" s="110"/>
      <c r="ED202" s="139"/>
      <c r="EE202" s="140">
        <f t="shared" si="5565"/>
        <v>0.34788000000000002</v>
      </c>
      <c r="EF202" s="198">
        <f t="shared" si="5319"/>
        <v>3</v>
      </c>
      <c r="EG202" s="225">
        <f t="shared" si="5320"/>
        <v>3.1900000000000001E-3</v>
      </c>
      <c r="EH202" s="226">
        <f t="shared" si="5321"/>
        <v>0.34</v>
      </c>
      <c r="EI202" s="137">
        <f t="shared" si="5566"/>
        <v>0.11333333</v>
      </c>
      <c r="EJ202" s="227">
        <f t="shared" si="5323"/>
        <v>744.63</v>
      </c>
      <c r="EK202" s="138">
        <f t="shared" si="5567"/>
        <v>84.391400000000004</v>
      </c>
      <c r="EL202" s="110">
        <f t="shared" si="5568"/>
        <v>253.17</v>
      </c>
      <c r="EM202" s="110"/>
      <c r="EN202" s="139"/>
      <c r="EO202" s="140">
        <f t="shared" si="5569"/>
        <v>0.60280999999999996</v>
      </c>
      <c r="EP202" s="198">
        <f t="shared" si="5319"/>
        <v>6</v>
      </c>
      <c r="EQ202" s="225">
        <f t="shared" si="5320"/>
        <v>6.3600000000000002E-3</v>
      </c>
      <c r="ER202" s="226">
        <f t="shared" si="5321"/>
        <v>1.03</v>
      </c>
      <c r="ES202" s="137">
        <f t="shared" si="5570"/>
        <v>0.17166666999999999</v>
      </c>
      <c r="ET202" s="227">
        <f t="shared" si="5323"/>
        <v>744.63</v>
      </c>
      <c r="EU202" s="138">
        <f t="shared" si="5571"/>
        <v>127.82814999999999</v>
      </c>
      <c r="EV202" s="110">
        <f t="shared" si="5572"/>
        <v>766.97</v>
      </c>
      <c r="EW202" s="110"/>
      <c r="EX202" s="139"/>
      <c r="EY202" s="140">
        <f t="shared" si="5573"/>
        <v>0.91308</v>
      </c>
      <c r="EZ202" s="198">
        <f t="shared" si="5375"/>
        <v>4</v>
      </c>
      <c r="FA202" s="225">
        <f t="shared" si="5376"/>
        <v>3.5799999999999998E-3</v>
      </c>
      <c r="FB202" s="226">
        <f t="shared" si="5377"/>
        <v>0.57999999999999996</v>
      </c>
      <c r="FC202" s="137">
        <f t="shared" si="5574"/>
        <v>0.14499999999999999</v>
      </c>
      <c r="FD202" s="227">
        <f t="shared" si="5379"/>
        <v>744.63</v>
      </c>
      <c r="FE202" s="138">
        <f t="shared" si="5575"/>
        <v>107.97135</v>
      </c>
      <c r="FF202" s="110">
        <f t="shared" si="5576"/>
        <v>431.89</v>
      </c>
      <c r="FG202" s="110"/>
      <c r="FH202" s="139"/>
      <c r="FI202" s="140">
        <f t="shared" si="5577"/>
        <v>0.77124000000000004</v>
      </c>
      <c r="FJ202" s="198">
        <f t="shared" si="5375"/>
        <v>0</v>
      </c>
      <c r="FK202" s="225">
        <f t="shared" si="5376"/>
        <v>0</v>
      </c>
      <c r="FL202" s="226">
        <f t="shared" si="5377"/>
        <v>0</v>
      </c>
      <c r="FM202" s="137">
        <f t="shared" si="5578"/>
        <v>0</v>
      </c>
      <c r="FN202" s="227">
        <f t="shared" si="5379"/>
        <v>744.63</v>
      </c>
      <c r="FO202" s="138">
        <f t="shared" si="5579"/>
        <v>0</v>
      </c>
      <c r="FP202" s="110">
        <f t="shared" si="5580"/>
        <v>0</v>
      </c>
      <c r="FQ202" s="110"/>
      <c r="FR202" s="139"/>
      <c r="FS202" s="140">
        <f t="shared" si="5581"/>
        <v>0</v>
      </c>
      <c r="FT202" s="198">
        <f t="shared" si="5375"/>
        <v>1</v>
      </c>
      <c r="FU202" s="225">
        <f t="shared" si="5376"/>
        <v>1.25E-3</v>
      </c>
      <c r="FV202" s="226">
        <f t="shared" si="5377"/>
        <v>0.2</v>
      </c>
      <c r="FW202" s="137">
        <f t="shared" si="5582"/>
        <v>0.2</v>
      </c>
      <c r="FX202" s="227">
        <f t="shared" si="5379"/>
        <v>744.63</v>
      </c>
      <c r="FY202" s="138">
        <f t="shared" si="5583"/>
        <v>148.92599999999999</v>
      </c>
      <c r="FZ202" s="110">
        <f t="shared" si="5584"/>
        <v>148.93</v>
      </c>
      <c r="GA202" s="110"/>
      <c r="GB202" s="139"/>
      <c r="GC202" s="140">
        <f t="shared" si="5585"/>
        <v>1.0637799999999999</v>
      </c>
      <c r="GD202" s="198">
        <f t="shared" si="5375"/>
        <v>11</v>
      </c>
      <c r="GE202" s="225">
        <f t="shared" si="5376"/>
        <v>2.1479999999999999E-2</v>
      </c>
      <c r="GF202" s="226">
        <f t="shared" si="5377"/>
        <v>2.3199999999999998</v>
      </c>
      <c r="GG202" s="137">
        <f t="shared" si="5586"/>
        <v>0.21090908999999999</v>
      </c>
      <c r="GH202" s="227">
        <f t="shared" si="5379"/>
        <v>744.63</v>
      </c>
      <c r="GI202" s="138">
        <f t="shared" si="5587"/>
        <v>157.04924</v>
      </c>
      <c r="GJ202" s="110">
        <f t="shared" si="5588"/>
        <v>1727.54</v>
      </c>
      <c r="GK202" s="110"/>
      <c r="GL202" s="139"/>
      <c r="GM202" s="140">
        <f t="shared" si="5589"/>
        <v>1.12181</v>
      </c>
      <c r="GN202" s="198">
        <f t="shared" si="5407"/>
        <v>1</v>
      </c>
      <c r="GO202" s="225">
        <f t="shared" si="5408"/>
        <v>1.16E-3</v>
      </c>
      <c r="GP202" s="226">
        <f t="shared" si="5409"/>
        <v>0.21</v>
      </c>
      <c r="GQ202" s="137">
        <f t="shared" si="5590"/>
        <v>0.21</v>
      </c>
      <c r="GR202" s="227">
        <f t="shared" si="5411"/>
        <v>744.63</v>
      </c>
      <c r="GS202" s="138">
        <f t="shared" si="5591"/>
        <v>156.3723</v>
      </c>
      <c r="GT202" s="110">
        <f t="shared" si="5592"/>
        <v>156.37</v>
      </c>
      <c r="GU202" s="110"/>
      <c r="GV202" s="139"/>
      <c r="GW202" s="140">
        <f t="shared" si="5593"/>
        <v>1.11697</v>
      </c>
      <c r="GX202" s="198">
        <f t="shared" si="5407"/>
        <v>0</v>
      </c>
      <c r="GY202" s="225">
        <f t="shared" si="5408"/>
        <v>0</v>
      </c>
      <c r="GZ202" s="226">
        <f t="shared" si="5409"/>
        <v>0</v>
      </c>
      <c r="HA202" s="137">
        <f t="shared" si="5594"/>
        <v>0</v>
      </c>
      <c r="HB202" s="227">
        <f t="shared" si="5411"/>
        <v>744.63</v>
      </c>
      <c r="HC202" s="138">
        <f t="shared" si="5595"/>
        <v>0</v>
      </c>
      <c r="HD202" s="110">
        <f t="shared" si="5596"/>
        <v>0</v>
      </c>
      <c r="HE202" s="110"/>
      <c r="HF202" s="139"/>
      <c r="HG202" s="140">
        <f t="shared" si="5597"/>
        <v>0</v>
      </c>
      <c r="HH202" s="198">
        <f t="shared" si="5407"/>
        <v>0</v>
      </c>
      <c r="HI202" s="225">
        <f t="shared" si="5408"/>
        <v>0</v>
      </c>
      <c r="HJ202" s="226">
        <f t="shared" si="5409"/>
        <v>0</v>
      </c>
      <c r="HK202" s="137">
        <f t="shared" si="5598"/>
        <v>0</v>
      </c>
      <c r="HL202" s="227">
        <f t="shared" si="5411"/>
        <v>731.29</v>
      </c>
      <c r="HM202" s="138">
        <f t="shared" si="5599"/>
        <v>0</v>
      </c>
      <c r="HN202" s="110">
        <f t="shared" si="5600"/>
        <v>0</v>
      </c>
      <c r="HO202" s="110"/>
      <c r="HP202" s="139"/>
      <c r="HQ202" s="140">
        <f t="shared" si="5601"/>
        <v>0</v>
      </c>
      <c r="HR202" s="198">
        <f t="shared" si="5407"/>
        <v>3</v>
      </c>
      <c r="HS202" s="225">
        <f t="shared" si="5408"/>
        <v>3.81E-3</v>
      </c>
      <c r="HT202" s="226">
        <f t="shared" si="5409"/>
        <v>0.41</v>
      </c>
      <c r="HU202" s="137">
        <f t="shared" si="5602"/>
        <v>0.13666666999999999</v>
      </c>
      <c r="HV202" s="227">
        <f t="shared" si="5411"/>
        <v>744.63</v>
      </c>
      <c r="HW202" s="138">
        <f t="shared" si="5603"/>
        <v>101.76609999999999</v>
      </c>
      <c r="HX202" s="110">
        <f t="shared" si="5604"/>
        <v>305.3</v>
      </c>
      <c r="HY202" s="110"/>
      <c r="HZ202" s="139"/>
      <c r="IA202" s="140">
        <f t="shared" si="5605"/>
        <v>0.72692000000000001</v>
      </c>
      <c r="IB202" s="198">
        <f t="shared" si="5439"/>
        <v>3</v>
      </c>
      <c r="IC202" s="225">
        <f t="shared" si="5440"/>
        <v>5.47E-3</v>
      </c>
      <c r="ID202" s="226">
        <f t="shared" si="5441"/>
        <v>0.98</v>
      </c>
      <c r="IE202" s="137">
        <f t="shared" si="5606"/>
        <v>0.32666666999999999</v>
      </c>
      <c r="IF202" s="227">
        <f t="shared" si="5443"/>
        <v>744.63</v>
      </c>
      <c r="IG202" s="138">
        <f t="shared" si="5607"/>
        <v>243.2458</v>
      </c>
      <c r="IH202" s="110">
        <f t="shared" si="5608"/>
        <v>729.74</v>
      </c>
      <c r="II202" s="110"/>
      <c r="IJ202" s="139"/>
      <c r="IK202" s="140">
        <f t="shared" si="5609"/>
        <v>1.7375100000000001</v>
      </c>
      <c r="IL202" s="198">
        <f t="shared" si="5439"/>
        <v>1</v>
      </c>
      <c r="IM202" s="225">
        <f t="shared" si="5440"/>
        <v>7.9000000000000001E-4</v>
      </c>
      <c r="IN202" s="226">
        <f t="shared" si="5441"/>
        <v>0.21</v>
      </c>
      <c r="IO202" s="137">
        <f t="shared" si="5610"/>
        <v>0.21</v>
      </c>
      <c r="IP202" s="227">
        <f t="shared" si="5443"/>
        <v>678.72</v>
      </c>
      <c r="IQ202" s="138">
        <f t="shared" si="5611"/>
        <v>142.53120000000001</v>
      </c>
      <c r="IR202" s="110">
        <f t="shared" si="5612"/>
        <v>142.53</v>
      </c>
      <c r="IS202" s="110"/>
      <c r="IT202" s="139"/>
      <c r="IU202" s="140">
        <f t="shared" si="5613"/>
        <v>1.0181</v>
      </c>
      <c r="IV202" s="198">
        <f t="shared" si="5439"/>
        <v>7</v>
      </c>
      <c r="IW202" s="225">
        <f t="shared" si="5440"/>
        <v>9.0799999999999995E-3</v>
      </c>
      <c r="IX202" s="226">
        <f t="shared" si="5441"/>
        <v>1.42</v>
      </c>
      <c r="IY202" s="137">
        <f t="shared" si="5614"/>
        <v>0.20285713999999999</v>
      </c>
      <c r="IZ202" s="227">
        <f t="shared" si="5443"/>
        <v>744.63</v>
      </c>
      <c r="JA202" s="138">
        <f t="shared" si="5615"/>
        <v>151.05350999999999</v>
      </c>
      <c r="JB202" s="110">
        <f t="shared" si="5616"/>
        <v>1057.3699999999999</v>
      </c>
      <c r="JC202" s="110"/>
      <c r="JD202" s="139"/>
      <c r="JE202" s="140">
        <f t="shared" si="5617"/>
        <v>1.0789800000000001</v>
      </c>
      <c r="JF202" s="198">
        <f t="shared" si="5439"/>
        <v>6</v>
      </c>
      <c r="JG202" s="225">
        <f t="shared" si="5440"/>
        <v>4.47E-3</v>
      </c>
      <c r="JH202" s="226">
        <f t="shared" si="5441"/>
        <v>1.34</v>
      </c>
      <c r="JI202" s="137">
        <f t="shared" si="5618"/>
        <v>0.22333333</v>
      </c>
      <c r="JJ202" s="227">
        <f t="shared" si="5443"/>
        <v>744.63</v>
      </c>
      <c r="JK202" s="138">
        <f t="shared" si="5619"/>
        <v>166.30070000000001</v>
      </c>
      <c r="JL202" s="110">
        <f t="shared" si="5620"/>
        <v>997.8</v>
      </c>
      <c r="JM202" s="110"/>
      <c r="JN202" s="139"/>
      <c r="JO202" s="140">
        <f t="shared" si="5621"/>
        <v>1.1878899999999999</v>
      </c>
      <c r="JP202" s="198">
        <f t="shared" si="5471"/>
        <v>2</v>
      </c>
      <c r="JQ202" s="225">
        <f t="shared" si="5472"/>
        <v>1.6000000000000001E-3</v>
      </c>
      <c r="JR202" s="226">
        <f t="shared" si="5473"/>
        <v>0.36</v>
      </c>
      <c r="JS202" s="137">
        <f t="shared" si="5622"/>
        <v>0.18</v>
      </c>
      <c r="JT202" s="227">
        <f t="shared" si="5475"/>
        <v>744.63</v>
      </c>
      <c r="JU202" s="138">
        <f t="shared" si="5623"/>
        <v>134.0334</v>
      </c>
      <c r="JV202" s="110">
        <f t="shared" si="5624"/>
        <v>268.07</v>
      </c>
      <c r="JW202" s="110"/>
      <c r="JX202" s="139"/>
      <c r="JY202" s="140">
        <f t="shared" si="5625"/>
        <v>0.95740000000000003</v>
      </c>
      <c r="JZ202" s="198">
        <f t="shared" si="5471"/>
        <v>0</v>
      </c>
      <c r="KA202" s="225">
        <f t="shared" si="5472"/>
        <v>0</v>
      </c>
      <c r="KB202" s="226">
        <f t="shared" si="5473"/>
        <v>0</v>
      </c>
      <c r="KC202" s="137">
        <f t="shared" si="5626"/>
        <v>0</v>
      </c>
      <c r="KD202" s="227">
        <f t="shared" si="5475"/>
        <v>744.63</v>
      </c>
      <c r="KE202" s="138">
        <f t="shared" si="5627"/>
        <v>0</v>
      </c>
      <c r="KF202" s="110">
        <f t="shared" si="5628"/>
        <v>0</v>
      </c>
      <c r="KG202" s="110"/>
      <c r="KH202" s="139"/>
      <c r="KI202" s="140">
        <f t="shared" si="5629"/>
        <v>0</v>
      </c>
      <c r="KJ202" s="198">
        <f t="shared" si="5471"/>
        <v>0</v>
      </c>
      <c r="KK202" s="225">
        <f t="shared" si="5472"/>
        <v>0</v>
      </c>
      <c r="KL202" s="226">
        <f t="shared" si="5473"/>
        <v>0</v>
      </c>
      <c r="KM202" s="137">
        <f t="shared" si="5630"/>
        <v>0</v>
      </c>
      <c r="KN202" s="227">
        <f t="shared" si="5475"/>
        <v>744.63</v>
      </c>
      <c r="KO202" s="138">
        <f t="shared" si="5631"/>
        <v>0</v>
      </c>
      <c r="KP202" s="110">
        <f t="shared" si="5632"/>
        <v>0</v>
      </c>
      <c r="KQ202" s="110"/>
      <c r="KR202" s="139"/>
      <c r="KS202" s="140">
        <f t="shared" si="5633"/>
        <v>0</v>
      </c>
      <c r="KT202" s="198">
        <f t="shared" si="5471"/>
        <v>1</v>
      </c>
      <c r="KU202" s="225">
        <f t="shared" si="5472"/>
        <v>8.8999999999999995E-4</v>
      </c>
      <c r="KV202" s="226">
        <f t="shared" si="5473"/>
        <v>0.3</v>
      </c>
      <c r="KW202" s="137">
        <f t="shared" si="5634"/>
        <v>0.3</v>
      </c>
      <c r="KX202" s="227">
        <f t="shared" si="5475"/>
        <v>744.63</v>
      </c>
      <c r="KY202" s="138">
        <f t="shared" si="5635"/>
        <v>223.38900000000001</v>
      </c>
      <c r="KZ202" s="110">
        <f t="shared" si="5636"/>
        <v>223.39</v>
      </c>
      <c r="LA202" s="110"/>
      <c r="LB202" s="139"/>
      <c r="LC202" s="140">
        <f t="shared" si="5637"/>
        <v>1.5956699999999999</v>
      </c>
      <c r="LD202" s="198">
        <f t="shared" si="5510"/>
        <v>63</v>
      </c>
      <c r="LE202" s="225">
        <f t="shared" si="5511"/>
        <v>2.2100000000000002E-3</v>
      </c>
      <c r="LF202" s="226">
        <f t="shared" si="5512"/>
        <v>12.02</v>
      </c>
      <c r="LG202" s="137">
        <f t="shared" si="5638"/>
        <v>0.19079365000000001</v>
      </c>
      <c r="LH202" s="227">
        <f t="shared" si="5513"/>
        <v>733.76</v>
      </c>
      <c r="LI202" s="138">
        <f t="shared" si="5639"/>
        <v>139.99674999999999</v>
      </c>
      <c r="LJ202" s="110">
        <f t="shared" si="5640"/>
        <v>8819.7999999999993</v>
      </c>
      <c r="LK202" s="110"/>
      <c r="LL202" s="139"/>
    </row>
    <row r="203" spans="1:324" ht="16.5" customHeight="1" x14ac:dyDescent="0.25">
      <c r="A203" s="246"/>
      <c r="B203" s="229" t="s">
        <v>608</v>
      </c>
      <c r="C203" s="12" t="s">
        <v>728</v>
      </c>
      <c r="D203" s="12" t="s">
        <v>430</v>
      </c>
      <c r="E203" s="4" t="s">
        <v>32</v>
      </c>
      <c r="F203" s="198">
        <f t="shared" si="5506"/>
        <v>0</v>
      </c>
      <c r="G203" s="225">
        <f t="shared" si="5507"/>
        <v>0</v>
      </c>
      <c r="H203" s="226">
        <f t="shared" si="5508"/>
        <v>0</v>
      </c>
      <c r="I203" s="137">
        <f t="shared" si="5514"/>
        <v>0</v>
      </c>
      <c r="J203" s="227">
        <f t="shared" si="5509"/>
        <v>744.63</v>
      </c>
      <c r="K203" s="138">
        <f t="shared" si="5515"/>
        <v>0</v>
      </c>
      <c r="L203" s="110">
        <f t="shared" si="5516"/>
        <v>0</v>
      </c>
      <c r="M203" s="110"/>
      <c r="N203" s="139"/>
      <c r="O203" s="140">
        <f t="shared" si="5517"/>
        <v>0</v>
      </c>
      <c r="P203" s="198">
        <f t="shared" si="5263"/>
        <v>0</v>
      </c>
      <c r="Q203" s="225">
        <f t="shared" si="5264"/>
        <v>0</v>
      </c>
      <c r="R203" s="226">
        <f t="shared" si="5265"/>
        <v>0</v>
      </c>
      <c r="S203" s="137">
        <f t="shared" si="5518"/>
        <v>0</v>
      </c>
      <c r="T203" s="227">
        <f t="shared" si="5267"/>
        <v>744.63</v>
      </c>
      <c r="U203" s="138">
        <f t="shared" si="5519"/>
        <v>0</v>
      </c>
      <c r="V203" s="110">
        <f t="shared" si="5520"/>
        <v>0</v>
      </c>
      <c r="W203" s="110"/>
      <c r="X203" s="139"/>
      <c r="Y203" s="140">
        <f t="shared" si="5521"/>
        <v>0</v>
      </c>
      <c r="Z203" s="198">
        <f t="shared" si="5263"/>
        <v>0</v>
      </c>
      <c r="AA203" s="225">
        <f t="shared" si="5264"/>
        <v>0</v>
      </c>
      <c r="AB203" s="226">
        <f t="shared" si="5265"/>
        <v>0</v>
      </c>
      <c r="AC203" s="137">
        <f t="shared" si="5522"/>
        <v>0</v>
      </c>
      <c r="AD203" s="227">
        <f t="shared" si="5267"/>
        <v>744.63</v>
      </c>
      <c r="AE203" s="138">
        <f t="shared" si="5523"/>
        <v>0</v>
      </c>
      <c r="AF203" s="110">
        <f t="shared" si="5524"/>
        <v>0</v>
      </c>
      <c r="AG203" s="110"/>
      <c r="AH203" s="139"/>
      <c r="AI203" s="140">
        <f t="shared" si="5525"/>
        <v>0</v>
      </c>
      <c r="AJ203" s="198">
        <f t="shared" si="5263"/>
        <v>0</v>
      </c>
      <c r="AK203" s="225">
        <f t="shared" si="5264"/>
        <v>0</v>
      </c>
      <c r="AL203" s="226">
        <f t="shared" si="5265"/>
        <v>0</v>
      </c>
      <c r="AM203" s="137">
        <f t="shared" si="5526"/>
        <v>0</v>
      </c>
      <c r="AN203" s="227">
        <f t="shared" si="5267"/>
        <v>744.63</v>
      </c>
      <c r="AO203" s="138">
        <f t="shared" si="5527"/>
        <v>0</v>
      </c>
      <c r="AP203" s="110">
        <f t="shared" si="5528"/>
        <v>0</v>
      </c>
      <c r="AQ203" s="110"/>
      <c r="AR203" s="139"/>
      <c r="AS203" s="140">
        <f t="shared" si="5529"/>
        <v>0</v>
      </c>
      <c r="AT203" s="198">
        <f t="shared" si="5263"/>
        <v>0</v>
      </c>
      <c r="AU203" s="225">
        <f t="shared" si="5264"/>
        <v>0</v>
      </c>
      <c r="AV203" s="226">
        <f t="shared" si="5265"/>
        <v>0</v>
      </c>
      <c r="AW203" s="137">
        <f t="shared" si="5530"/>
        <v>0</v>
      </c>
      <c r="AX203" s="227">
        <f t="shared" si="5267"/>
        <v>744.63</v>
      </c>
      <c r="AY203" s="138">
        <f t="shared" si="5531"/>
        <v>0</v>
      </c>
      <c r="AZ203" s="110">
        <f t="shared" si="5532"/>
        <v>0</v>
      </c>
      <c r="BA203" s="110"/>
      <c r="BB203" s="139"/>
      <c r="BC203" s="140">
        <f t="shared" si="5533"/>
        <v>0</v>
      </c>
      <c r="BD203" s="198">
        <f t="shared" si="5263"/>
        <v>0</v>
      </c>
      <c r="BE203" s="225">
        <f t="shared" si="5264"/>
        <v>0</v>
      </c>
      <c r="BF203" s="226">
        <f t="shared" si="5265"/>
        <v>0</v>
      </c>
      <c r="BG203" s="137">
        <f t="shared" si="5534"/>
        <v>0</v>
      </c>
      <c r="BH203" s="227">
        <f t="shared" si="5267"/>
        <v>744.63</v>
      </c>
      <c r="BI203" s="138">
        <f t="shared" si="5535"/>
        <v>0</v>
      </c>
      <c r="BJ203" s="110">
        <f t="shared" si="5536"/>
        <v>0</v>
      </c>
      <c r="BK203" s="110"/>
      <c r="BL203" s="139"/>
      <c r="BM203" s="140">
        <f t="shared" si="5537"/>
        <v>0</v>
      </c>
      <c r="BN203" s="198">
        <f t="shared" si="5263"/>
        <v>0</v>
      </c>
      <c r="BO203" s="225">
        <f t="shared" si="5264"/>
        <v>0</v>
      </c>
      <c r="BP203" s="226">
        <f t="shared" si="5265"/>
        <v>0</v>
      </c>
      <c r="BQ203" s="137">
        <f t="shared" si="5538"/>
        <v>0</v>
      </c>
      <c r="BR203" s="227">
        <f t="shared" si="5267"/>
        <v>744.63</v>
      </c>
      <c r="BS203" s="138">
        <f t="shared" si="5539"/>
        <v>0</v>
      </c>
      <c r="BT203" s="110">
        <f t="shared" si="5540"/>
        <v>0</v>
      </c>
      <c r="BU203" s="110"/>
      <c r="BV203" s="139"/>
      <c r="BW203" s="140">
        <f t="shared" si="5541"/>
        <v>0</v>
      </c>
      <c r="BX203" s="198">
        <f t="shared" si="5263"/>
        <v>0</v>
      </c>
      <c r="BY203" s="225">
        <f t="shared" si="5264"/>
        <v>0</v>
      </c>
      <c r="BZ203" s="226">
        <f t="shared" si="5265"/>
        <v>0</v>
      </c>
      <c r="CA203" s="137">
        <f t="shared" si="5542"/>
        <v>0</v>
      </c>
      <c r="CB203" s="227">
        <f t="shared" si="5267"/>
        <v>744.63</v>
      </c>
      <c r="CC203" s="138">
        <f t="shared" si="5543"/>
        <v>0</v>
      </c>
      <c r="CD203" s="110">
        <f t="shared" si="5544"/>
        <v>0</v>
      </c>
      <c r="CE203" s="110"/>
      <c r="CF203" s="139"/>
      <c r="CG203" s="140">
        <f t="shared" si="5545"/>
        <v>0</v>
      </c>
      <c r="CH203" s="198">
        <f t="shared" si="5319"/>
        <v>0</v>
      </c>
      <c r="CI203" s="225">
        <f t="shared" si="5320"/>
        <v>0</v>
      </c>
      <c r="CJ203" s="226">
        <f t="shared" si="5321"/>
        <v>0</v>
      </c>
      <c r="CK203" s="137">
        <f t="shared" si="5546"/>
        <v>0</v>
      </c>
      <c r="CL203" s="227">
        <f t="shared" si="5323"/>
        <v>744.63</v>
      </c>
      <c r="CM203" s="138">
        <f t="shared" si="5547"/>
        <v>0</v>
      </c>
      <c r="CN203" s="110">
        <f t="shared" si="5548"/>
        <v>0</v>
      </c>
      <c r="CO203" s="110"/>
      <c r="CP203" s="139"/>
      <c r="CQ203" s="140">
        <f t="shared" si="5549"/>
        <v>0</v>
      </c>
      <c r="CR203" s="198">
        <f t="shared" si="5319"/>
        <v>0</v>
      </c>
      <c r="CS203" s="225">
        <f t="shared" si="5320"/>
        <v>0</v>
      </c>
      <c r="CT203" s="226">
        <f t="shared" si="5321"/>
        <v>0</v>
      </c>
      <c r="CU203" s="137">
        <f t="shared" si="5550"/>
        <v>0</v>
      </c>
      <c r="CV203" s="227">
        <f t="shared" si="5323"/>
        <v>744.63</v>
      </c>
      <c r="CW203" s="138">
        <f t="shared" si="5551"/>
        <v>0</v>
      </c>
      <c r="CX203" s="110">
        <f t="shared" si="5552"/>
        <v>0</v>
      </c>
      <c r="CY203" s="110"/>
      <c r="CZ203" s="139"/>
      <c r="DA203" s="140">
        <f t="shared" si="5553"/>
        <v>0</v>
      </c>
      <c r="DB203" s="198">
        <f t="shared" si="5319"/>
        <v>0</v>
      </c>
      <c r="DC203" s="225">
        <f t="shared" si="5320"/>
        <v>0</v>
      </c>
      <c r="DD203" s="226">
        <f t="shared" si="5321"/>
        <v>0</v>
      </c>
      <c r="DE203" s="137">
        <f t="shared" si="5554"/>
        <v>0</v>
      </c>
      <c r="DF203" s="227">
        <f t="shared" si="5323"/>
        <v>744.63</v>
      </c>
      <c r="DG203" s="138">
        <f t="shared" si="5555"/>
        <v>0</v>
      </c>
      <c r="DH203" s="110">
        <f t="shared" si="5556"/>
        <v>0</v>
      </c>
      <c r="DI203" s="110"/>
      <c r="DJ203" s="139"/>
      <c r="DK203" s="140">
        <f t="shared" si="5557"/>
        <v>0</v>
      </c>
      <c r="DL203" s="198">
        <f t="shared" si="5319"/>
        <v>119</v>
      </c>
      <c r="DM203" s="225">
        <f t="shared" si="5320"/>
        <v>0.42048999999999997</v>
      </c>
      <c r="DN203" s="226">
        <f t="shared" si="5321"/>
        <v>45.41</v>
      </c>
      <c r="DO203" s="137">
        <f t="shared" si="5558"/>
        <v>0.38159663999999999</v>
      </c>
      <c r="DP203" s="227">
        <f t="shared" si="5323"/>
        <v>744.63</v>
      </c>
      <c r="DQ203" s="138">
        <f t="shared" si="5559"/>
        <v>284.14830999999998</v>
      </c>
      <c r="DR203" s="110">
        <f t="shared" si="5560"/>
        <v>33813.65</v>
      </c>
      <c r="DS203" s="110"/>
      <c r="DT203" s="139"/>
      <c r="DU203" s="140">
        <f t="shared" si="5561"/>
        <v>2.0309699999999999</v>
      </c>
      <c r="DV203" s="198">
        <f t="shared" si="5319"/>
        <v>0</v>
      </c>
      <c r="DW203" s="225">
        <f t="shared" si="5320"/>
        <v>0</v>
      </c>
      <c r="DX203" s="226">
        <f t="shared" si="5321"/>
        <v>0</v>
      </c>
      <c r="DY203" s="137">
        <f t="shared" si="5562"/>
        <v>0</v>
      </c>
      <c r="DZ203" s="227">
        <f t="shared" si="5323"/>
        <v>389.62</v>
      </c>
      <c r="EA203" s="138">
        <f t="shared" si="5563"/>
        <v>0</v>
      </c>
      <c r="EB203" s="110">
        <f t="shared" si="5564"/>
        <v>0</v>
      </c>
      <c r="EC203" s="110"/>
      <c r="ED203" s="139"/>
      <c r="EE203" s="140">
        <f t="shared" si="5565"/>
        <v>0</v>
      </c>
      <c r="EF203" s="198">
        <f t="shared" si="5319"/>
        <v>0</v>
      </c>
      <c r="EG203" s="225">
        <f t="shared" si="5320"/>
        <v>0</v>
      </c>
      <c r="EH203" s="226">
        <f t="shared" si="5321"/>
        <v>0</v>
      </c>
      <c r="EI203" s="137">
        <f t="shared" si="5566"/>
        <v>0</v>
      </c>
      <c r="EJ203" s="227">
        <f t="shared" si="5323"/>
        <v>744.63</v>
      </c>
      <c r="EK203" s="138">
        <f t="shared" si="5567"/>
        <v>0</v>
      </c>
      <c r="EL203" s="110">
        <f t="shared" si="5568"/>
        <v>0</v>
      </c>
      <c r="EM203" s="110"/>
      <c r="EN203" s="139"/>
      <c r="EO203" s="140">
        <f t="shared" si="5569"/>
        <v>0</v>
      </c>
      <c r="EP203" s="198">
        <f t="shared" si="5319"/>
        <v>0</v>
      </c>
      <c r="EQ203" s="225">
        <f t="shared" si="5320"/>
        <v>0</v>
      </c>
      <c r="ER203" s="226">
        <f t="shared" si="5321"/>
        <v>0</v>
      </c>
      <c r="ES203" s="137">
        <f t="shared" si="5570"/>
        <v>0</v>
      </c>
      <c r="ET203" s="227">
        <f t="shared" si="5323"/>
        <v>744.63</v>
      </c>
      <c r="EU203" s="138">
        <f t="shared" si="5571"/>
        <v>0</v>
      </c>
      <c r="EV203" s="110">
        <f t="shared" si="5572"/>
        <v>0</v>
      </c>
      <c r="EW203" s="110"/>
      <c r="EX203" s="139"/>
      <c r="EY203" s="140">
        <f t="shared" si="5573"/>
        <v>0</v>
      </c>
      <c r="EZ203" s="198">
        <f t="shared" si="5375"/>
        <v>0</v>
      </c>
      <c r="FA203" s="225">
        <f t="shared" si="5376"/>
        <v>0</v>
      </c>
      <c r="FB203" s="226">
        <f t="shared" si="5377"/>
        <v>0</v>
      </c>
      <c r="FC203" s="137">
        <f t="shared" si="5574"/>
        <v>0</v>
      </c>
      <c r="FD203" s="227">
        <f t="shared" si="5379"/>
        <v>744.63</v>
      </c>
      <c r="FE203" s="138">
        <f t="shared" si="5575"/>
        <v>0</v>
      </c>
      <c r="FF203" s="110">
        <f t="shared" si="5576"/>
        <v>0</v>
      </c>
      <c r="FG203" s="110"/>
      <c r="FH203" s="139"/>
      <c r="FI203" s="140">
        <f t="shared" si="5577"/>
        <v>0</v>
      </c>
      <c r="FJ203" s="198">
        <f t="shared" si="5375"/>
        <v>0</v>
      </c>
      <c r="FK203" s="225">
        <f t="shared" si="5376"/>
        <v>0</v>
      </c>
      <c r="FL203" s="226">
        <f t="shared" si="5377"/>
        <v>0</v>
      </c>
      <c r="FM203" s="137">
        <f t="shared" si="5578"/>
        <v>0</v>
      </c>
      <c r="FN203" s="227">
        <f t="shared" si="5379"/>
        <v>744.63</v>
      </c>
      <c r="FO203" s="138">
        <f t="shared" si="5579"/>
        <v>0</v>
      </c>
      <c r="FP203" s="110">
        <f t="shared" si="5580"/>
        <v>0</v>
      </c>
      <c r="FQ203" s="110"/>
      <c r="FR203" s="139"/>
      <c r="FS203" s="140">
        <f t="shared" si="5581"/>
        <v>0</v>
      </c>
      <c r="FT203" s="198">
        <f t="shared" si="5375"/>
        <v>0</v>
      </c>
      <c r="FU203" s="225">
        <f t="shared" si="5376"/>
        <v>0</v>
      </c>
      <c r="FV203" s="226">
        <f t="shared" si="5377"/>
        <v>0</v>
      </c>
      <c r="FW203" s="137">
        <f t="shared" si="5582"/>
        <v>0</v>
      </c>
      <c r="FX203" s="227">
        <f t="shared" si="5379"/>
        <v>744.63</v>
      </c>
      <c r="FY203" s="138">
        <f t="shared" si="5583"/>
        <v>0</v>
      </c>
      <c r="FZ203" s="110">
        <f t="shared" si="5584"/>
        <v>0</v>
      </c>
      <c r="GA203" s="110"/>
      <c r="GB203" s="139"/>
      <c r="GC203" s="140">
        <f t="shared" si="5585"/>
        <v>0</v>
      </c>
      <c r="GD203" s="198">
        <f t="shared" si="5375"/>
        <v>0</v>
      </c>
      <c r="GE203" s="225">
        <f t="shared" si="5376"/>
        <v>0</v>
      </c>
      <c r="GF203" s="226">
        <f t="shared" si="5377"/>
        <v>0</v>
      </c>
      <c r="GG203" s="137">
        <f t="shared" si="5586"/>
        <v>0</v>
      </c>
      <c r="GH203" s="227">
        <f t="shared" si="5379"/>
        <v>744.63</v>
      </c>
      <c r="GI203" s="138">
        <f t="shared" si="5587"/>
        <v>0</v>
      </c>
      <c r="GJ203" s="110">
        <f t="shared" si="5588"/>
        <v>0</v>
      </c>
      <c r="GK203" s="110"/>
      <c r="GL203" s="139"/>
      <c r="GM203" s="140">
        <f t="shared" si="5589"/>
        <v>0</v>
      </c>
      <c r="GN203" s="198">
        <f t="shared" si="5407"/>
        <v>0</v>
      </c>
      <c r="GO203" s="225">
        <f t="shared" si="5408"/>
        <v>0</v>
      </c>
      <c r="GP203" s="226">
        <f t="shared" si="5409"/>
        <v>0</v>
      </c>
      <c r="GQ203" s="137">
        <f t="shared" si="5590"/>
        <v>0</v>
      </c>
      <c r="GR203" s="227">
        <f t="shared" si="5411"/>
        <v>744.63</v>
      </c>
      <c r="GS203" s="138">
        <f t="shared" si="5591"/>
        <v>0</v>
      </c>
      <c r="GT203" s="110">
        <f t="shared" si="5592"/>
        <v>0</v>
      </c>
      <c r="GU203" s="110"/>
      <c r="GV203" s="139"/>
      <c r="GW203" s="140">
        <f t="shared" si="5593"/>
        <v>0</v>
      </c>
      <c r="GX203" s="198">
        <f t="shared" si="5407"/>
        <v>0</v>
      </c>
      <c r="GY203" s="225">
        <f t="shared" si="5408"/>
        <v>0</v>
      </c>
      <c r="GZ203" s="226">
        <f t="shared" si="5409"/>
        <v>0</v>
      </c>
      <c r="HA203" s="137">
        <f t="shared" si="5594"/>
        <v>0</v>
      </c>
      <c r="HB203" s="227">
        <f t="shared" si="5411"/>
        <v>744.63</v>
      </c>
      <c r="HC203" s="138">
        <f t="shared" si="5595"/>
        <v>0</v>
      </c>
      <c r="HD203" s="110">
        <f t="shared" si="5596"/>
        <v>0</v>
      </c>
      <c r="HE203" s="110"/>
      <c r="HF203" s="139"/>
      <c r="HG203" s="140">
        <f t="shared" si="5597"/>
        <v>0</v>
      </c>
      <c r="HH203" s="198">
        <f t="shared" si="5407"/>
        <v>0</v>
      </c>
      <c r="HI203" s="225">
        <f t="shared" si="5408"/>
        <v>0</v>
      </c>
      <c r="HJ203" s="226">
        <f t="shared" si="5409"/>
        <v>0</v>
      </c>
      <c r="HK203" s="137">
        <f t="shared" si="5598"/>
        <v>0</v>
      </c>
      <c r="HL203" s="227">
        <f t="shared" si="5411"/>
        <v>731.29</v>
      </c>
      <c r="HM203" s="138">
        <f t="shared" si="5599"/>
        <v>0</v>
      </c>
      <c r="HN203" s="110">
        <f t="shared" si="5600"/>
        <v>0</v>
      </c>
      <c r="HO203" s="110"/>
      <c r="HP203" s="139"/>
      <c r="HQ203" s="140">
        <f t="shared" si="5601"/>
        <v>0</v>
      </c>
      <c r="HR203" s="198">
        <f t="shared" si="5407"/>
        <v>0</v>
      </c>
      <c r="HS203" s="225">
        <f t="shared" si="5408"/>
        <v>0</v>
      </c>
      <c r="HT203" s="226">
        <f t="shared" si="5409"/>
        <v>0</v>
      </c>
      <c r="HU203" s="137">
        <f t="shared" si="5602"/>
        <v>0</v>
      </c>
      <c r="HV203" s="227">
        <f t="shared" si="5411"/>
        <v>744.63</v>
      </c>
      <c r="HW203" s="138">
        <f t="shared" si="5603"/>
        <v>0</v>
      </c>
      <c r="HX203" s="110">
        <f t="shared" si="5604"/>
        <v>0</v>
      </c>
      <c r="HY203" s="110"/>
      <c r="HZ203" s="139"/>
      <c r="IA203" s="140">
        <f t="shared" si="5605"/>
        <v>0</v>
      </c>
      <c r="IB203" s="198">
        <f t="shared" si="5439"/>
        <v>0</v>
      </c>
      <c r="IC203" s="225">
        <f t="shared" si="5440"/>
        <v>0</v>
      </c>
      <c r="ID203" s="226">
        <f t="shared" si="5441"/>
        <v>0</v>
      </c>
      <c r="IE203" s="137">
        <f t="shared" si="5606"/>
        <v>0</v>
      </c>
      <c r="IF203" s="227">
        <f t="shared" si="5443"/>
        <v>744.63</v>
      </c>
      <c r="IG203" s="138">
        <f t="shared" si="5607"/>
        <v>0</v>
      </c>
      <c r="IH203" s="110">
        <f t="shared" si="5608"/>
        <v>0</v>
      </c>
      <c r="II203" s="110"/>
      <c r="IJ203" s="139"/>
      <c r="IK203" s="140">
        <f t="shared" si="5609"/>
        <v>0</v>
      </c>
      <c r="IL203" s="198">
        <f t="shared" si="5439"/>
        <v>0</v>
      </c>
      <c r="IM203" s="225">
        <f t="shared" si="5440"/>
        <v>0</v>
      </c>
      <c r="IN203" s="226">
        <f t="shared" si="5441"/>
        <v>0</v>
      </c>
      <c r="IO203" s="137">
        <f t="shared" si="5610"/>
        <v>0</v>
      </c>
      <c r="IP203" s="227">
        <f t="shared" si="5443"/>
        <v>678.72</v>
      </c>
      <c r="IQ203" s="138">
        <f t="shared" si="5611"/>
        <v>0</v>
      </c>
      <c r="IR203" s="110">
        <f t="shared" si="5612"/>
        <v>0</v>
      </c>
      <c r="IS203" s="110"/>
      <c r="IT203" s="139"/>
      <c r="IU203" s="140">
        <f t="shared" si="5613"/>
        <v>0</v>
      </c>
      <c r="IV203" s="198">
        <f t="shared" si="5439"/>
        <v>0</v>
      </c>
      <c r="IW203" s="225">
        <f t="shared" si="5440"/>
        <v>0</v>
      </c>
      <c r="IX203" s="226">
        <f t="shared" si="5441"/>
        <v>0</v>
      </c>
      <c r="IY203" s="137">
        <f t="shared" si="5614"/>
        <v>0</v>
      </c>
      <c r="IZ203" s="227">
        <f t="shared" si="5443"/>
        <v>744.63</v>
      </c>
      <c r="JA203" s="138">
        <f t="shared" si="5615"/>
        <v>0</v>
      </c>
      <c r="JB203" s="110">
        <f t="shared" si="5616"/>
        <v>0</v>
      </c>
      <c r="JC203" s="110"/>
      <c r="JD203" s="139"/>
      <c r="JE203" s="140">
        <f t="shared" si="5617"/>
        <v>0</v>
      </c>
      <c r="JF203" s="198">
        <f t="shared" si="5439"/>
        <v>0</v>
      </c>
      <c r="JG203" s="225">
        <f t="shared" si="5440"/>
        <v>0</v>
      </c>
      <c r="JH203" s="226">
        <f t="shared" si="5441"/>
        <v>0</v>
      </c>
      <c r="JI203" s="137">
        <f t="shared" si="5618"/>
        <v>0</v>
      </c>
      <c r="JJ203" s="227">
        <f t="shared" si="5443"/>
        <v>744.63</v>
      </c>
      <c r="JK203" s="138">
        <f t="shared" si="5619"/>
        <v>0</v>
      </c>
      <c r="JL203" s="110">
        <f t="shared" si="5620"/>
        <v>0</v>
      </c>
      <c r="JM203" s="110"/>
      <c r="JN203" s="139"/>
      <c r="JO203" s="140">
        <f t="shared" si="5621"/>
        <v>0</v>
      </c>
      <c r="JP203" s="198">
        <f t="shared" si="5471"/>
        <v>0</v>
      </c>
      <c r="JQ203" s="225">
        <f t="shared" si="5472"/>
        <v>0</v>
      </c>
      <c r="JR203" s="226">
        <f t="shared" si="5473"/>
        <v>0</v>
      </c>
      <c r="JS203" s="137">
        <f t="shared" si="5622"/>
        <v>0</v>
      </c>
      <c r="JT203" s="227">
        <f t="shared" si="5475"/>
        <v>744.63</v>
      </c>
      <c r="JU203" s="138">
        <f t="shared" si="5623"/>
        <v>0</v>
      </c>
      <c r="JV203" s="110">
        <f t="shared" si="5624"/>
        <v>0</v>
      </c>
      <c r="JW203" s="110"/>
      <c r="JX203" s="139"/>
      <c r="JY203" s="140">
        <f t="shared" si="5625"/>
        <v>0</v>
      </c>
      <c r="JZ203" s="198">
        <f t="shared" si="5471"/>
        <v>0</v>
      </c>
      <c r="KA203" s="225">
        <f t="shared" si="5472"/>
        <v>0</v>
      </c>
      <c r="KB203" s="226">
        <f t="shared" si="5473"/>
        <v>0</v>
      </c>
      <c r="KC203" s="137">
        <f t="shared" si="5626"/>
        <v>0</v>
      </c>
      <c r="KD203" s="227">
        <f t="shared" si="5475"/>
        <v>744.63</v>
      </c>
      <c r="KE203" s="138">
        <f t="shared" si="5627"/>
        <v>0</v>
      </c>
      <c r="KF203" s="110">
        <f t="shared" si="5628"/>
        <v>0</v>
      </c>
      <c r="KG203" s="110"/>
      <c r="KH203" s="139"/>
      <c r="KI203" s="140">
        <f t="shared" si="5629"/>
        <v>0</v>
      </c>
      <c r="KJ203" s="198">
        <f t="shared" si="5471"/>
        <v>0</v>
      </c>
      <c r="KK203" s="225">
        <f t="shared" si="5472"/>
        <v>0</v>
      </c>
      <c r="KL203" s="226">
        <f t="shared" si="5473"/>
        <v>0</v>
      </c>
      <c r="KM203" s="137">
        <f t="shared" si="5630"/>
        <v>0</v>
      </c>
      <c r="KN203" s="227">
        <f t="shared" si="5475"/>
        <v>744.63</v>
      </c>
      <c r="KO203" s="138">
        <f t="shared" si="5631"/>
        <v>0</v>
      </c>
      <c r="KP203" s="110">
        <f t="shared" si="5632"/>
        <v>0</v>
      </c>
      <c r="KQ203" s="110"/>
      <c r="KR203" s="139"/>
      <c r="KS203" s="140">
        <f t="shared" si="5633"/>
        <v>0</v>
      </c>
      <c r="KT203" s="198">
        <f t="shared" si="5471"/>
        <v>0</v>
      </c>
      <c r="KU203" s="225">
        <f t="shared" si="5472"/>
        <v>0</v>
      </c>
      <c r="KV203" s="226">
        <f t="shared" si="5473"/>
        <v>0</v>
      </c>
      <c r="KW203" s="137">
        <f t="shared" si="5634"/>
        <v>0</v>
      </c>
      <c r="KX203" s="227">
        <f t="shared" si="5475"/>
        <v>744.63</v>
      </c>
      <c r="KY203" s="138">
        <f t="shared" si="5635"/>
        <v>0</v>
      </c>
      <c r="KZ203" s="110">
        <f t="shared" si="5636"/>
        <v>0</v>
      </c>
      <c r="LA203" s="110"/>
      <c r="LB203" s="139"/>
      <c r="LC203" s="140">
        <f t="shared" si="5637"/>
        <v>0</v>
      </c>
      <c r="LD203" s="198">
        <f t="shared" si="5510"/>
        <v>119</v>
      </c>
      <c r="LE203" s="225">
        <f t="shared" si="5511"/>
        <v>4.1700000000000001E-3</v>
      </c>
      <c r="LF203" s="226">
        <f t="shared" si="5512"/>
        <v>22.69</v>
      </c>
      <c r="LG203" s="137">
        <f t="shared" si="5638"/>
        <v>0.19067227</v>
      </c>
      <c r="LH203" s="227">
        <f t="shared" si="5513"/>
        <v>733.76</v>
      </c>
      <c r="LI203" s="138">
        <f t="shared" si="5639"/>
        <v>139.90768</v>
      </c>
      <c r="LJ203" s="110">
        <f t="shared" si="5640"/>
        <v>16649.009999999998</v>
      </c>
      <c r="LK203" s="110"/>
      <c r="LL203" s="139"/>
    </row>
    <row r="204" spans="1:324" ht="16.5" hidden="1" customHeight="1" x14ac:dyDescent="0.25">
      <c r="A204" s="247"/>
      <c r="B204" s="93" t="s">
        <v>611</v>
      </c>
      <c r="C204" s="12" t="s">
        <v>728</v>
      </c>
      <c r="D204" s="12" t="s">
        <v>430</v>
      </c>
      <c r="E204" s="4" t="s">
        <v>32</v>
      </c>
      <c r="F204" s="198">
        <f t="shared" si="5506"/>
        <v>0</v>
      </c>
      <c r="G204" s="225">
        <f t="shared" si="5507"/>
        <v>0</v>
      </c>
      <c r="H204" s="226">
        <f t="shared" si="5508"/>
        <v>0</v>
      </c>
      <c r="I204" s="137">
        <f t="shared" si="5514"/>
        <v>0</v>
      </c>
      <c r="J204" s="227">
        <f t="shared" si="5509"/>
        <v>744.63</v>
      </c>
      <c r="K204" s="138">
        <f t="shared" si="5515"/>
        <v>0</v>
      </c>
      <c r="L204" s="110">
        <f t="shared" si="5516"/>
        <v>0</v>
      </c>
      <c r="M204" s="110"/>
      <c r="N204" s="139"/>
      <c r="O204" s="140">
        <f t="shared" si="5517"/>
        <v>0</v>
      </c>
      <c r="P204" s="198">
        <f t="shared" ref="P204:BX213" si="5641">P29</f>
        <v>0</v>
      </c>
      <c r="Q204" s="225">
        <f t="shared" ref="Q204:BY213" si="5642">P204/P$185</f>
        <v>0</v>
      </c>
      <c r="R204" s="226">
        <f t="shared" ref="R204:BZ213" si="5643">R$185*Q204</f>
        <v>0</v>
      </c>
      <c r="S204" s="137">
        <f t="shared" si="5518"/>
        <v>0</v>
      </c>
      <c r="T204" s="227">
        <f t="shared" ref="T204:CB213" si="5644">T$185</f>
        <v>744.63</v>
      </c>
      <c r="U204" s="138">
        <f t="shared" si="5519"/>
        <v>0</v>
      </c>
      <c r="V204" s="110">
        <f t="shared" si="5520"/>
        <v>0</v>
      </c>
      <c r="W204" s="110"/>
      <c r="X204" s="139"/>
      <c r="Y204" s="140">
        <f t="shared" si="5521"/>
        <v>0</v>
      </c>
      <c r="Z204" s="198">
        <f t="shared" si="5641"/>
        <v>0</v>
      </c>
      <c r="AA204" s="225">
        <f t="shared" si="5642"/>
        <v>0</v>
      </c>
      <c r="AB204" s="226">
        <f t="shared" si="5643"/>
        <v>0</v>
      </c>
      <c r="AC204" s="137">
        <f t="shared" si="5522"/>
        <v>0</v>
      </c>
      <c r="AD204" s="227">
        <f t="shared" si="5644"/>
        <v>744.63</v>
      </c>
      <c r="AE204" s="138">
        <f t="shared" si="5523"/>
        <v>0</v>
      </c>
      <c r="AF204" s="110">
        <f t="shared" si="5524"/>
        <v>0</v>
      </c>
      <c r="AG204" s="110"/>
      <c r="AH204" s="139"/>
      <c r="AI204" s="140">
        <f t="shared" si="5525"/>
        <v>0</v>
      </c>
      <c r="AJ204" s="198">
        <f t="shared" si="5641"/>
        <v>0</v>
      </c>
      <c r="AK204" s="225">
        <f t="shared" si="5642"/>
        <v>0</v>
      </c>
      <c r="AL204" s="226">
        <f t="shared" si="5643"/>
        <v>0</v>
      </c>
      <c r="AM204" s="137">
        <f t="shared" si="5526"/>
        <v>0</v>
      </c>
      <c r="AN204" s="227">
        <f t="shared" si="5644"/>
        <v>744.63</v>
      </c>
      <c r="AO204" s="138">
        <f t="shared" si="5527"/>
        <v>0</v>
      </c>
      <c r="AP204" s="110">
        <f t="shared" si="5528"/>
        <v>0</v>
      </c>
      <c r="AQ204" s="110"/>
      <c r="AR204" s="139"/>
      <c r="AS204" s="140">
        <f t="shared" si="5529"/>
        <v>0</v>
      </c>
      <c r="AT204" s="198">
        <f t="shared" si="5641"/>
        <v>0</v>
      </c>
      <c r="AU204" s="225">
        <f t="shared" si="5642"/>
        <v>0</v>
      </c>
      <c r="AV204" s="226">
        <f t="shared" si="5643"/>
        <v>0</v>
      </c>
      <c r="AW204" s="137">
        <f t="shared" si="5530"/>
        <v>0</v>
      </c>
      <c r="AX204" s="227">
        <f t="shared" si="5644"/>
        <v>744.63</v>
      </c>
      <c r="AY204" s="138">
        <f t="shared" si="5531"/>
        <v>0</v>
      </c>
      <c r="AZ204" s="110">
        <f t="shared" si="5532"/>
        <v>0</v>
      </c>
      <c r="BA204" s="110"/>
      <c r="BB204" s="139"/>
      <c r="BC204" s="140">
        <f t="shared" si="5533"/>
        <v>0</v>
      </c>
      <c r="BD204" s="198">
        <f t="shared" si="5641"/>
        <v>0</v>
      </c>
      <c r="BE204" s="225">
        <f t="shared" si="5642"/>
        <v>0</v>
      </c>
      <c r="BF204" s="226">
        <f t="shared" si="5643"/>
        <v>0</v>
      </c>
      <c r="BG204" s="137">
        <f t="shared" si="5534"/>
        <v>0</v>
      </c>
      <c r="BH204" s="227">
        <f t="shared" si="5644"/>
        <v>744.63</v>
      </c>
      <c r="BI204" s="138">
        <f t="shared" si="5535"/>
        <v>0</v>
      </c>
      <c r="BJ204" s="110">
        <f t="shared" si="5536"/>
        <v>0</v>
      </c>
      <c r="BK204" s="110"/>
      <c r="BL204" s="139"/>
      <c r="BM204" s="140">
        <f t="shared" si="5537"/>
        <v>0</v>
      </c>
      <c r="BN204" s="198">
        <f t="shared" si="5641"/>
        <v>0</v>
      </c>
      <c r="BO204" s="225">
        <f t="shared" si="5642"/>
        <v>0</v>
      </c>
      <c r="BP204" s="226">
        <f t="shared" si="5643"/>
        <v>0</v>
      </c>
      <c r="BQ204" s="137">
        <f t="shared" si="5538"/>
        <v>0</v>
      </c>
      <c r="BR204" s="227">
        <f t="shared" si="5644"/>
        <v>744.63</v>
      </c>
      <c r="BS204" s="138">
        <f t="shared" si="5539"/>
        <v>0</v>
      </c>
      <c r="BT204" s="110">
        <f t="shared" si="5540"/>
        <v>0</v>
      </c>
      <c r="BU204" s="110"/>
      <c r="BV204" s="139"/>
      <c r="BW204" s="140">
        <f t="shared" si="5541"/>
        <v>0</v>
      </c>
      <c r="BX204" s="198">
        <f t="shared" si="5641"/>
        <v>0</v>
      </c>
      <c r="BY204" s="225">
        <f t="shared" si="5642"/>
        <v>0</v>
      </c>
      <c r="BZ204" s="226">
        <f t="shared" si="5643"/>
        <v>0</v>
      </c>
      <c r="CA204" s="137">
        <f t="shared" si="5542"/>
        <v>0</v>
      </c>
      <c r="CB204" s="227">
        <f t="shared" si="5644"/>
        <v>744.63</v>
      </c>
      <c r="CC204" s="138">
        <f t="shared" si="5543"/>
        <v>0</v>
      </c>
      <c r="CD204" s="110">
        <f t="shared" si="5544"/>
        <v>0</v>
      </c>
      <c r="CE204" s="110"/>
      <c r="CF204" s="139"/>
      <c r="CG204" s="140">
        <f t="shared" si="5545"/>
        <v>0</v>
      </c>
      <c r="CH204" s="198">
        <f t="shared" ref="CH204:EP213" si="5645">CH29</f>
        <v>0</v>
      </c>
      <c r="CI204" s="225">
        <f t="shared" ref="CI204:EQ213" si="5646">CH204/CH$185</f>
        <v>0</v>
      </c>
      <c r="CJ204" s="226">
        <f t="shared" ref="CJ204:ER213" si="5647">CJ$185*CI204</f>
        <v>0</v>
      </c>
      <c r="CK204" s="137">
        <f t="shared" si="5546"/>
        <v>0</v>
      </c>
      <c r="CL204" s="227">
        <f t="shared" ref="CL204:ET213" si="5648">CL$185</f>
        <v>744.63</v>
      </c>
      <c r="CM204" s="138">
        <f t="shared" si="5547"/>
        <v>0</v>
      </c>
      <c r="CN204" s="110">
        <f t="shared" si="5548"/>
        <v>0</v>
      </c>
      <c r="CO204" s="110"/>
      <c r="CP204" s="139"/>
      <c r="CQ204" s="140">
        <f t="shared" si="5549"/>
        <v>0</v>
      </c>
      <c r="CR204" s="198">
        <f t="shared" si="5645"/>
        <v>0</v>
      </c>
      <c r="CS204" s="225">
        <f t="shared" si="5646"/>
        <v>0</v>
      </c>
      <c r="CT204" s="226">
        <f t="shared" si="5647"/>
        <v>0</v>
      </c>
      <c r="CU204" s="137">
        <f t="shared" si="5550"/>
        <v>0</v>
      </c>
      <c r="CV204" s="227">
        <f t="shared" si="5648"/>
        <v>744.63</v>
      </c>
      <c r="CW204" s="138">
        <f t="shared" si="5551"/>
        <v>0</v>
      </c>
      <c r="CX204" s="110">
        <f t="shared" si="5552"/>
        <v>0</v>
      </c>
      <c r="CY204" s="110"/>
      <c r="CZ204" s="139"/>
      <c r="DA204" s="140">
        <f t="shared" si="5553"/>
        <v>0</v>
      </c>
      <c r="DB204" s="198">
        <f t="shared" si="5645"/>
        <v>0</v>
      </c>
      <c r="DC204" s="225">
        <f t="shared" si="5646"/>
        <v>0</v>
      </c>
      <c r="DD204" s="226">
        <f t="shared" si="5647"/>
        <v>0</v>
      </c>
      <c r="DE204" s="137">
        <f t="shared" si="5554"/>
        <v>0</v>
      </c>
      <c r="DF204" s="227">
        <f t="shared" si="5648"/>
        <v>744.63</v>
      </c>
      <c r="DG204" s="138">
        <f t="shared" si="5555"/>
        <v>0</v>
      </c>
      <c r="DH204" s="110">
        <f t="shared" si="5556"/>
        <v>0</v>
      </c>
      <c r="DI204" s="110"/>
      <c r="DJ204" s="139"/>
      <c r="DK204" s="140">
        <f t="shared" si="5557"/>
        <v>0</v>
      </c>
      <c r="DL204" s="198">
        <f t="shared" si="5645"/>
        <v>5</v>
      </c>
      <c r="DM204" s="225">
        <f t="shared" si="5646"/>
        <v>1.7670000000000002E-2</v>
      </c>
      <c r="DN204" s="226">
        <f t="shared" si="5647"/>
        <v>1.91</v>
      </c>
      <c r="DO204" s="137">
        <f t="shared" si="5558"/>
        <v>0.38200000000000001</v>
      </c>
      <c r="DP204" s="227">
        <f t="shared" si="5648"/>
        <v>744.63</v>
      </c>
      <c r="DQ204" s="138">
        <f t="shared" si="5559"/>
        <v>284.44866000000002</v>
      </c>
      <c r="DR204" s="110">
        <f t="shared" si="5560"/>
        <v>1422.24</v>
      </c>
      <c r="DS204" s="110"/>
      <c r="DT204" s="139"/>
      <c r="DU204" s="140">
        <f t="shared" si="5561"/>
        <v>1.9778500000000001</v>
      </c>
      <c r="DV204" s="198">
        <f t="shared" si="5645"/>
        <v>0</v>
      </c>
      <c r="DW204" s="225">
        <f t="shared" si="5646"/>
        <v>0</v>
      </c>
      <c r="DX204" s="226">
        <f t="shared" si="5647"/>
        <v>0</v>
      </c>
      <c r="DY204" s="137">
        <f t="shared" si="5562"/>
        <v>0</v>
      </c>
      <c r="DZ204" s="227">
        <f t="shared" si="5648"/>
        <v>389.62</v>
      </c>
      <c r="EA204" s="138">
        <f t="shared" si="5563"/>
        <v>0</v>
      </c>
      <c r="EB204" s="110">
        <f t="shared" si="5564"/>
        <v>0</v>
      </c>
      <c r="EC204" s="110"/>
      <c r="ED204" s="139"/>
      <c r="EE204" s="140">
        <f t="shared" si="5565"/>
        <v>0</v>
      </c>
      <c r="EF204" s="198">
        <f t="shared" si="5645"/>
        <v>0</v>
      </c>
      <c r="EG204" s="225">
        <f t="shared" si="5646"/>
        <v>0</v>
      </c>
      <c r="EH204" s="226">
        <f t="shared" si="5647"/>
        <v>0</v>
      </c>
      <c r="EI204" s="137">
        <f t="shared" si="5566"/>
        <v>0</v>
      </c>
      <c r="EJ204" s="227">
        <f t="shared" si="5648"/>
        <v>744.63</v>
      </c>
      <c r="EK204" s="138">
        <f t="shared" si="5567"/>
        <v>0</v>
      </c>
      <c r="EL204" s="110">
        <f t="shared" si="5568"/>
        <v>0</v>
      </c>
      <c r="EM204" s="110"/>
      <c r="EN204" s="139"/>
      <c r="EO204" s="140">
        <f t="shared" si="5569"/>
        <v>0</v>
      </c>
      <c r="EP204" s="198">
        <f t="shared" si="5645"/>
        <v>0</v>
      </c>
      <c r="EQ204" s="225">
        <f t="shared" si="5646"/>
        <v>0</v>
      </c>
      <c r="ER204" s="226">
        <f t="shared" si="5647"/>
        <v>0</v>
      </c>
      <c r="ES204" s="137">
        <f t="shared" si="5570"/>
        <v>0</v>
      </c>
      <c r="ET204" s="227">
        <f t="shared" si="5648"/>
        <v>744.63</v>
      </c>
      <c r="EU204" s="138">
        <f t="shared" si="5571"/>
        <v>0</v>
      </c>
      <c r="EV204" s="110">
        <f t="shared" si="5572"/>
        <v>0</v>
      </c>
      <c r="EW204" s="110"/>
      <c r="EX204" s="139"/>
      <c r="EY204" s="140">
        <f t="shared" si="5573"/>
        <v>0</v>
      </c>
      <c r="EZ204" s="198">
        <f t="shared" ref="EZ204:HH213" si="5649">EZ29</f>
        <v>0</v>
      </c>
      <c r="FA204" s="225">
        <f t="shared" ref="FA204:HI213" si="5650">EZ204/EZ$185</f>
        <v>0</v>
      </c>
      <c r="FB204" s="226">
        <f t="shared" ref="FB204:HJ213" si="5651">FB$185*FA204</f>
        <v>0</v>
      </c>
      <c r="FC204" s="137">
        <f t="shared" si="5574"/>
        <v>0</v>
      </c>
      <c r="FD204" s="227">
        <f t="shared" ref="FD204:HL213" si="5652">FD$185</f>
        <v>744.63</v>
      </c>
      <c r="FE204" s="138">
        <f t="shared" si="5575"/>
        <v>0</v>
      </c>
      <c r="FF204" s="110">
        <f t="shared" si="5576"/>
        <v>0</v>
      </c>
      <c r="FG204" s="110"/>
      <c r="FH204" s="139"/>
      <c r="FI204" s="140">
        <f t="shared" si="5577"/>
        <v>0</v>
      </c>
      <c r="FJ204" s="198">
        <f t="shared" si="5649"/>
        <v>0</v>
      </c>
      <c r="FK204" s="225">
        <f t="shared" si="5650"/>
        <v>0</v>
      </c>
      <c r="FL204" s="226">
        <f t="shared" si="5651"/>
        <v>0</v>
      </c>
      <c r="FM204" s="137">
        <f t="shared" si="5578"/>
        <v>0</v>
      </c>
      <c r="FN204" s="227">
        <f t="shared" si="5652"/>
        <v>744.63</v>
      </c>
      <c r="FO204" s="138">
        <f t="shared" si="5579"/>
        <v>0</v>
      </c>
      <c r="FP204" s="110">
        <f t="shared" si="5580"/>
        <v>0</v>
      </c>
      <c r="FQ204" s="110"/>
      <c r="FR204" s="139"/>
      <c r="FS204" s="140">
        <f t="shared" si="5581"/>
        <v>0</v>
      </c>
      <c r="FT204" s="198">
        <f t="shared" si="5649"/>
        <v>0</v>
      </c>
      <c r="FU204" s="225">
        <f t="shared" si="5650"/>
        <v>0</v>
      </c>
      <c r="FV204" s="226">
        <f t="shared" si="5651"/>
        <v>0</v>
      </c>
      <c r="FW204" s="137">
        <f t="shared" si="5582"/>
        <v>0</v>
      </c>
      <c r="FX204" s="227">
        <f t="shared" si="5652"/>
        <v>744.63</v>
      </c>
      <c r="FY204" s="138">
        <f t="shared" si="5583"/>
        <v>0</v>
      </c>
      <c r="FZ204" s="110">
        <f t="shared" si="5584"/>
        <v>0</v>
      </c>
      <c r="GA204" s="110"/>
      <c r="GB204" s="139"/>
      <c r="GC204" s="140">
        <f t="shared" si="5585"/>
        <v>0</v>
      </c>
      <c r="GD204" s="198">
        <f t="shared" si="5649"/>
        <v>0</v>
      </c>
      <c r="GE204" s="225">
        <f t="shared" si="5650"/>
        <v>0</v>
      </c>
      <c r="GF204" s="226">
        <f t="shared" si="5651"/>
        <v>0</v>
      </c>
      <c r="GG204" s="137">
        <f t="shared" si="5586"/>
        <v>0</v>
      </c>
      <c r="GH204" s="227">
        <f t="shared" si="5652"/>
        <v>744.63</v>
      </c>
      <c r="GI204" s="138">
        <f t="shared" si="5587"/>
        <v>0</v>
      </c>
      <c r="GJ204" s="110">
        <f t="shared" si="5588"/>
        <v>0</v>
      </c>
      <c r="GK204" s="110"/>
      <c r="GL204" s="139"/>
      <c r="GM204" s="140">
        <f t="shared" si="5589"/>
        <v>0</v>
      </c>
      <c r="GN204" s="198">
        <f t="shared" si="5649"/>
        <v>0</v>
      </c>
      <c r="GO204" s="225">
        <f t="shared" si="5650"/>
        <v>0</v>
      </c>
      <c r="GP204" s="226">
        <f t="shared" si="5651"/>
        <v>0</v>
      </c>
      <c r="GQ204" s="137">
        <f t="shared" si="5590"/>
        <v>0</v>
      </c>
      <c r="GR204" s="227">
        <f t="shared" si="5652"/>
        <v>744.63</v>
      </c>
      <c r="GS204" s="138">
        <f t="shared" si="5591"/>
        <v>0</v>
      </c>
      <c r="GT204" s="110">
        <f t="shared" si="5592"/>
        <v>0</v>
      </c>
      <c r="GU204" s="110"/>
      <c r="GV204" s="139"/>
      <c r="GW204" s="140">
        <f t="shared" si="5593"/>
        <v>0</v>
      </c>
      <c r="GX204" s="198">
        <f t="shared" si="5649"/>
        <v>0</v>
      </c>
      <c r="GY204" s="225">
        <f t="shared" si="5650"/>
        <v>0</v>
      </c>
      <c r="GZ204" s="226">
        <f t="shared" si="5651"/>
        <v>0</v>
      </c>
      <c r="HA204" s="137">
        <f t="shared" si="5594"/>
        <v>0</v>
      </c>
      <c r="HB204" s="227">
        <f t="shared" si="5652"/>
        <v>744.63</v>
      </c>
      <c r="HC204" s="138">
        <f t="shared" si="5595"/>
        <v>0</v>
      </c>
      <c r="HD204" s="110">
        <f t="shared" si="5596"/>
        <v>0</v>
      </c>
      <c r="HE204" s="110"/>
      <c r="HF204" s="139"/>
      <c r="HG204" s="140">
        <f t="shared" si="5597"/>
        <v>0</v>
      </c>
      <c r="HH204" s="198">
        <f t="shared" si="5649"/>
        <v>0</v>
      </c>
      <c r="HI204" s="225">
        <f t="shared" si="5650"/>
        <v>0</v>
      </c>
      <c r="HJ204" s="226">
        <f t="shared" si="5651"/>
        <v>0</v>
      </c>
      <c r="HK204" s="137">
        <f t="shared" si="5598"/>
        <v>0</v>
      </c>
      <c r="HL204" s="227">
        <f t="shared" si="5652"/>
        <v>731.29</v>
      </c>
      <c r="HM204" s="138">
        <f t="shared" si="5599"/>
        <v>0</v>
      </c>
      <c r="HN204" s="110">
        <f t="shared" si="5600"/>
        <v>0</v>
      </c>
      <c r="HO204" s="110"/>
      <c r="HP204" s="139"/>
      <c r="HQ204" s="140">
        <f t="shared" si="5601"/>
        <v>0</v>
      </c>
      <c r="HR204" s="198">
        <f t="shared" ref="HR204:JZ213" si="5653">HR29</f>
        <v>0</v>
      </c>
      <c r="HS204" s="225">
        <f t="shared" ref="HS204:KA213" si="5654">HR204/HR$185</f>
        <v>0</v>
      </c>
      <c r="HT204" s="226">
        <f t="shared" ref="HT204:KB213" si="5655">HT$185*HS204</f>
        <v>0</v>
      </c>
      <c r="HU204" s="137">
        <f t="shared" si="5602"/>
        <v>0</v>
      </c>
      <c r="HV204" s="227">
        <f t="shared" ref="HV204:KD213" si="5656">HV$185</f>
        <v>744.63</v>
      </c>
      <c r="HW204" s="138">
        <f t="shared" si="5603"/>
        <v>0</v>
      </c>
      <c r="HX204" s="110">
        <f t="shared" si="5604"/>
        <v>0</v>
      </c>
      <c r="HY204" s="110"/>
      <c r="HZ204" s="139"/>
      <c r="IA204" s="140">
        <f t="shared" si="5605"/>
        <v>0</v>
      </c>
      <c r="IB204" s="198">
        <f t="shared" si="5653"/>
        <v>0</v>
      </c>
      <c r="IC204" s="225">
        <f t="shared" si="5654"/>
        <v>0</v>
      </c>
      <c r="ID204" s="226">
        <f t="shared" si="5655"/>
        <v>0</v>
      </c>
      <c r="IE204" s="137">
        <f t="shared" si="5606"/>
        <v>0</v>
      </c>
      <c r="IF204" s="227">
        <f t="shared" si="5656"/>
        <v>744.63</v>
      </c>
      <c r="IG204" s="138">
        <f t="shared" si="5607"/>
        <v>0</v>
      </c>
      <c r="IH204" s="110">
        <f t="shared" si="5608"/>
        <v>0</v>
      </c>
      <c r="II204" s="110"/>
      <c r="IJ204" s="139"/>
      <c r="IK204" s="140">
        <f t="shared" si="5609"/>
        <v>0</v>
      </c>
      <c r="IL204" s="198">
        <f t="shared" si="5653"/>
        <v>0</v>
      </c>
      <c r="IM204" s="225">
        <f t="shared" si="5654"/>
        <v>0</v>
      </c>
      <c r="IN204" s="226">
        <f t="shared" si="5655"/>
        <v>0</v>
      </c>
      <c r="IO204" s="137">
        <f t="shared" si="5610"/>
        <v>0</v>
      </c>
      <c r="IP204" s="227">
        <f t="shared" si="5656"/>
        <v>678.72</v>
      </c>
      <c r="IQ204" s="138">
        <f t="shared" si="5611"/>
        <v>0</v>
      </c>
      <c r="IR204" s="110">
        <f t="shared" si="5612"/>
        <v>0</v>
      </c>
      <c r="IS204" s="110"/>
      <c r="IT204" s="139"/>
      <c r="IU204" s="140">
        <f t="shared" si="5613"/>
        <v>0</v>
      </c>
      <c r="IV204" s="198">
        <f t="shared" si="5653"/>
        <v>0</v>
      </c>
      <c r="IW204" s="225">
        <f t="shared" si="5654"/>
        <v>0</v>
      </c>
      <c r="IX204" s="226">
        <f t="shared" si="5655"/>
        <v>0</v>
      </c>
      <c r="IY204" s="137">
        <f t="shared" si="5614"/>
        <v>0</v>
      </c>
      <c r="IZ204" s="227">
        <f t="shared" si="5656"/>
        <v>744.63</v>
      </c>
      <c r="JA204" s="138">
        <f t="shared" si="5615"/>
        <v>0</v>
      </c>
      <c r="JB204" s="110">
        <f t="shared" si="5616"/>
        <v>0</v>
      </c>
      <c r="JC204" s="110"/>
      <c r="JD204" s="139"/>
      <c r="JE204" s="140">
        <f t="shared" si="5617"/>
        <v>0</v>
      </c>
      <c r="JF204" s="198">
        <f t="shared" si="5653"/>
        <v>0</v>
      </c>
      <c r="JG204" s="225">
        <f t="shared" si="5654"/>
        <v>0</v>
      </c>
      <c r="JH204" s="226">
        <f t="shared" si="5655"/>
        <v>0</v>
      </c>
      <c r="JI204" s="137">
        <f t="shared" si="5618"/>
        <v>0</v>
      </c>
      <c r="JJ204" s="227">
        <f t="shared" si="5656"/>
        <v>744.63</v>
      </c>
      <c r="JK204" s="138">
        <f t="shared" si="5619"/>
        <v>0</v>
      </c>
      <c r="JL204" s="110">
        <f t="shared" si="5620"/>
        <v>0</v>
      </c>
      <c r="JM204" s="110"/>
      <c r="JN204" s="139"/>
      <c r="JO204" s="140">
        <f t="shared" si="5621"/>
        <v>0</v>
      </c>
      <c r="JP204" s="198">
        <f t="shared" si="5653"/>
        <v>0</v>
      </c>
      <c r="JQ204" s="225">
        <f t="shared" si="5654"/>
        <v>0</v>
      </c>
      <c r="JR204" s="226">
        <f t="shared" si="5655"/>
        <v>0</v>
      </c>
      <c r="JS204" s="137">
        <f t="shared" si="5622"/>
        <v>0</v>
      </c>
      <c r="JT204" s="227">
        <f t="shared" si="5656"/>
        <v>744.63</v>
      </c>
      <c r="JU204" s="138">
        <f t="shared" si="5623"/>
        <v>0</v>
      </c>
      <c r="JV204" s="110">
        <f t="shared" si="5624"/>
        <v>0</v>
      </c>
      <c r="JW204" s="110"/>
      <c r="JX204" s="139"/>
      <c r="JY204" s="140">
        <f t="shared" si="5625"/>
        <v>0</v>
      </c>
      <c r="JZ204" s="198">
        <f t="shared" si="5653"/>
        <v>0</v>
      </c>
      <c r="KA204" s="225">
        <f t="shared" si="5654"/>
        <v>0</v>
      </c>
      <c r="KB204" s="226">
        <f t="shared" si="5655"/>
        <v>0</v>
      </c>
      <c r="KC204" s="137">
        <f t="shared" si="5626"/>
        <v>0</v>
      </c>
      <c r="KD204" s="227">
        <f t="shared" si="5656"/>
        <v>744.63</v>
      </c>
      <c r="KE204" s="138">
        <f t="shared" si="5627"/>
        <v>0</v>
      </c>
      <c r="KF204" s="110">
        <f t="shared" si="5628"/>
        <v>0</v>
      </c>
      <c r="KG204" s="110"/>
      <c r="KH204" s="139"/>
      <c r="KI204" s="140">
        <f t="shared" si="5629"/>
        <v>0</v>
      </c>
      <c r="KJ204" s="198">
        <f t="shared" ref="KJ204:KT213" si="5657">KJ29</f>
        <v>0</v>
      </c>
      <c r="KK204" s="225">
        <f t="shared" ref="KK204:KU213" si="5658">KJ204/KJ$185</f>
        <v>0</v>
      </c>
      <c r="KL204" s="226">
        <f t="shared" ref="KL204:KV213" si="5659">KL$185*KK204</f>
        <v>0</v>
      </c>
      <c r="KM204" s="137">
        <f t="shared" si="5630"/>
        <v>0</v>
      </c>
      <c r="KN204" s="227">
        <f t="shared" ref="KN204:KX213" si="5660">KN$185</f>
        <v>744.63</v>
      </c>
      <c r="KO204" s="138">
        <f t="shared" si="5631"/>
        <v>0</v>
      </c>
      <c r="KP204" s="110">
        <f t="shared" si="5632"/>
        <v>0</v>
      </c>
      <c r="KQ204" s="110"/>
      <c r="KR204" s="139"/>
      <c r="KS204" s="140">
        <f t="shared" si="5633"/>
        <v>0</v>
      </c>
      <c r="KT204" s="198">
        <f t="shared" si="5657"/>
        <v>0</v>
      </c>
      <c r="KU204" s="225">
        <f t="shared" si="5658"/>
        <v>0</v>
      </c>
      <c r="KV204" s="226">
        <f t="shared" si="5659"/>
        <v>0</v>
      </c>
      <c r="KW204" s="137">
        <f t="shared" si="5634"/>
        <v>0</v>
      </c>
      <c r="KX204" s="227">
        <f t="shared" si="5660"/>
        <v>744.63</v>
      </c>
      <c r="KY204" s="138">
        <f t="shared" si="5635"/>
        <v>0</v>
      </c>
      <c r="KZ204" s="110">
        <f t="shared" si="5636"/>
        <v>0</v>
      </c>
      <c r="LA204" s="110"/>
      <c r="LB204" s="139"/>
      <c r="LC204" s="140">
        <f t="shared" si="5637"/>
        <v>0</v>
      </c>
      <c r="LD204" s="198">
        <f t="shared" si="5510"/>
        <v>5</v>
      </c>
      <c r="LE204" s="225">
        <f t="shared" si="5511"/>
        <v>1.8000000000000001E-4</v>
      </c>
      <c r="LF204" s="226">
        <f t="shared" si="5512"/>
        <v>0.98</v>
      </c>
      <c r="LG204" s="137">
        <f t="shared" si="5638"/>
        <v>0.19600000000000001</v>
      </c>
      <c r="LH204" s="227">
        <f t="shared" si="5513"/>
        <v>733.76</v>
      </c>
      <c r="LI204" s="138">
        <f t="shared" si="5639"/>
        <v>143.81695999999999</v>
      </c>
      <c r="LJ204" s="110">
        <f t="shared" si="5640"/>
        <v>719.08</v>
      </c>
      <c r="LK204" s="110"/>
      <c r="LL204" s="139"/>
    </row>
    <row r="205" spans="1:324" ht="16.5" customHeight="1" x14ac:dyDescent="0.25">
      <c r="A205" s="244"/>
      <c r="B205" s="244" t="s">
        <v>855</v>
      </c>
      <c r="C205" s="12"/>
      <c r="D205" s="12"/>
      <c r="E205" s="4"/>
      <c r="F205" s="198">
        <f t="shared" si="5506"/>
        <v>0</v>
      </c>
      <c r="G205" s="225">
        <f t="shared" si="5507"/>
        <v>0</v>
      </c>
      <c r="H205" s="226">
        <f t="shared" si="5508"/>
        <v>0</v>
      </c>
      <c r="I205" s="137"/>
      <c r="J205" s="227">
        <f t="shared" si="5509"/>
        <v>744.63</v>
      </c>
      <c r="K205" s="138"/>
      <c r="L205" s="110"/>
      <c r="M205" s="110"/>
      <c r="N205" s="139"/>
      <c r="O205" s="140"/>
      <c r="P205" s="198">
        <f t="shared" si="5641"/>
        <v>0</v>
      </c>
      <c r="Q205" s="225">
        <f t="shared" si="5642"/>
        <v>0</v>
      </c>
      <c r="R205" s="226">
        <f t="shared" si="5643"/>
        <v>0</v>
      </c>
      <c r="S205" s="137"/>
      <c r="T205" s="227">
        <f t="shared" si="5644"/>
        <v>744.63</v>
      </c>
      <c r="U205" s="138"/>
      <c r="V205" s="110"/>
      <c r="W205" s="110"/>
      <c r="X205" s="139"/>
      <c r="Y205" s="140"/>
      <c r="Z205" s="198">
        <f t="shared" si="5641"/>
        <v>0</v>
      </c>
      <c r="AA205" s="225">
        <f t="shared" si="5642"/>
        <v>0</v>
      </c>
      <c r="AB205" s="226">
        <f t="shared" si="5643"/>
        <v>0</v>
      </c>
      <c r="AC205" s="137"/>
      <c r="AD205" s="227">
        <f t="shared" si="5644"/>
        <v>744.63</v>
      </c>
      <c r="AE205" s="138"/>
      <c r="AF205" s="110"/>
      <c r="AG205" s="110"/>
      <c r="AH205" s="139"/>
      <c r="AI205" s="140"/>
      <c r="AJ205" s="198">
        <f t="shared" si="5641"/>
        <v>0</v>
      </c>
      <c r="AK205" s="225">
        <f t="shared" si="5642"/>
        <v>0</v>
      </c>
      <c r="AL205" s="226">
        <f t="shared" si="5643"/>
        <v>0</v>
      </c>
      <c r="AM205" s="137"/>
      <c r="AN205" s="227">
        <f t="shared" si="5644"/>
        <v>744.63</v>
      </c>
      <c r="AO205" s="138"/>
      <c r="AP205" s="110"/>
      <c r="AQ205" s="110"/>
      <c r="AR205" s="139"/>
      <c r="AS205" s="140"/>
      <c r="AT205" s="198">
        <f t="shared" si="5641"/>
        <v>0</v>
      </c>
      <c r="AU205" s="225">
        <f t="shared" si="5642"/>
        <v>0</v>
      </c>
      <c r="AV205" s="226">
        <f t="shared" si="5643"/>
        <v>0</v>
      </c>
      <c r="AW205" s="137"/>
      <c r="AX205" s="227">
        <f t="shared" si="5644"/>
        <v>744.63</v>
      </c>
      <c r="AY205" s="138"/>
      <c r="AZ205" s="110"/>
      <c r="BA205" s="110"/>
      <c r="BB205" s="139"/>
      <c r="BC205" s="140"/>
      <c r="BD205" s="198">
        <f t="shared" si="5641"/>
        <v>0</v>
      </c>
      <c r="BE205" s="225">
        <f t="shared" si="5642"/>
        <v>0</v>
      </c>
      <c r="BF205" s="226">
        <f t="shared" si="5643"/>
        <v>0</v>
      </c>
      <c r="BG205" s="137"/>
      <c r="BH205" s="227">
        <f t="shared" si="5644"/>
        <v>744.63</v>
      </c>
      <c r="BI205" s="138"/>
      <c r="BJ205" s="110"/>
      <c r="BK205" s="110"/>
      <c r="BL205" s="139"/>
      <c r="BM205" s="140"/>
      <c r="BN205" s="198">
        <f t="shared" si="5641"/>
        <v>0</v>
      </c>
      <c r="BO205" s="225">
        <f t="shared" si="5642"/>
        <v>0</v>
      </c>
      <c r="BP205" s="226">
        <f t="shared" si="5643"/>
        <v>0</v>
      </c>
      <c r="BQ205" s="137"/>
      <c r="BR205" s="227">
        <f t="shared" si="5644"/>
        <v>744.63</v>
      </c>
      <c r="BS205" s="138"/>
      <c r="BT205" s="110"/>
      <c r="BU205" s="110"/>
      <c r="BV205" s="139"/>
      <c r="BW205" s="140"/>
      <c r="BX205" s="198">
        <f t="shared" si="5641"/>
        <v>0</v>
      </c>
      <c r="BY205" s="225">
        <f t="shared" si="5642"/>
        <v>0</v>
      </c>
      <c r="BZ205" s="226">
        <f t="shared" si="5643"/>
        <v>0</v>
      </c>
      <c r="CA205" s="137"/>
      <c r="CB205" s="227">
        <f t="shared" si="5644"/>
        <v>744.63</v>
      </c>
      <c r="CC205" s="138"/>
      <c r="CD205" s="110"/>
      <c r="CE205" s="110"/>
      <c r="CF205" s="139"/>
      <c r="CG205" s="140"/>
      <c r="CH205" s="198">
        <f t="shared" si="5645"/>
        <v>0</v>
      </c>
      <c r="CI205" s="225">
        <f t="shared" si="5646"/>
        <v>0</v>
      </c>
      <c r="CJ205" s="226">
        <f t="shared" si="5647"/>
        <v>0</v>
      </c>
      <c r="CK205" s="137"/>
      <c r="CL205" s="227">
        <f t="shared" si="5648"/>
        <v>744.63</v>
      </c>
      <c r="CM205" s="138"/>
      <c r="CN205" s="110"/>
      <c r="CO205" s="110"/>
      <c r="CP205" s="139"/>
      <c r="CQ205" s="140"/>
      <c r="CR205" s="198">
        <f t="shared" si="5645"/>
        <v>0</v>
      </c>
      <c r="CS205" s="225">
        <f t="shared" si="5646"/>
        <v>0</v>
      </c>
      <c r="CT205" s="226">
        <f t="shared" si="5647"/>
        <v>0</v>
      </c>
      <c r="CU205" s="137"/>
      <c r="CV205" s="227">
        <f t="shared" si="5648"/>
        <v>744.63</v>
      </c>
      <c r="CW205" s="138"/>
      <c r="CX205" s="110"/>
      <c r="CY205" s="110"/>
      <c r="CZ205" s="139"/>
      <c r="DA205" s="140"/>
      <c r="DB205" s="198">
        <f t="shared" si="5645"/>
        <v>0</v>
      </c>
      <c r="DC205" s="225">
        <f t="shared" si="5646"/>
        <v>0</v>
      </c>
      <c r="DD205" s="226">
        <f t="shared" si="5647"/>
        <v>0</v>
      </c>
      <c r="DE205" s="137"/>
      <c r="DF205" s="227">
        <f t="shared" si="5648"/>
        <v>744.63</v>
      </c>
      <c r="DG205" s="138"/>
      <c r="DH205" s="110"/>
      <c r="DI205" s="110"/>
      <c r="DJ205" s="139"/>
      <c r="DK205" s="140"/>
      <c r="DL205" s="198">
        <f t="shared" si="5645"/>
        <v>0</v>
      </c>
      <c r="DM205" s="225">
        <f t="shared" si="5646"/>
        <v>0</v>
      </c>
      <c r="DN205" s="226">
        <f t="shared" si="5647"/>
        <v>0</v>
      </c>
      <c r="DO205" s="137"/>
      <c r="DP205" s="227">
        <f t="shared" si="5648"/>
        <v>744.63</v>
      </c>
      <c r="DQ205" s="138"/>
      <c r="DR205" s="110"/>
      <c r="DS205" s="110"/>
      <c r="DT205" s="139"/>
      <c r="DU205" s="140"/>
      <c r="DV205" s="198">
        <f t="shared" si="5645"/>
        <v>0</v>
      </c>
      <c r="DW205" s="225">
        <f t="shared" si="5646"/>
        <v>0</v>
      </c>
      <c r="DX205" s="226">
        <f t="shared" si="5647"/>
        <v>0</v>
      </c>
      <c r="DY205" s="137"/>
      <c r="DZ205" s="227">
        <f t="shared" si="5648"/>
        <v>389.62</v>
      </c>
      <c r="EA205" s="138"/>
      <c r="EB205" s="110"/>
      <c r="EC205" s="110"/>
      <c r="ED205" s="139"/>
      <c r="EE205" s="140"/>
      <c r="EF205" s="198">
        <f t="shared" si="5645"/>
        <v>0</v>
      </c>
      <c r="EG205" s="225">
        <f t="shared" si="5646"/>
        <v>0</v>
      </c>
      <c r="EH205" s="226">
        <f t="shared" si="5647"/>
        <v>0</v>
      </c>
      <c r="EI205" s="137"/>
      <c r="EJ205" s="227">
        <f t="shared" si="5648"/>
        <v>744.63</v>
      </c>
      <c r="EK205" s="138"/>
      <c r="EL205" s="110"/>
      <c r="EM205" s="110"/>
      <c r="EN205" s="139"/>
      <c r="EO205" s="140"/>
      <c r="EP205" s="198">
        <f t="shared" si="5645"/>
        <v>0</v>
      </c>
      <c r="EQ205" s="225">
        <f t="shared" si="5646"/>
        <v>0</v>
      </c>
      <c r="ER205" s="226">
        <f t="shared" si="5647"/>
        <v>0</v>
      </c>
      <c r="ES205" s="137"/>
      <c r="ET205" s="227">
        <f t="shared" si="5648"/>
        <v>744.63</v>
      </c>
      <c r="EU205" s="138"/>
      <c r="EV205" s="110"/>
      <c r="EW205" s="110"/>
      <c r="EX205" s="139"/>
      <c r="EY205" s="140"/>
      <c r="EZ205" s="198">
        <f t="shared" si="5649"/>
        <v>0</v>
      </c>
      <c r="FA205" s="225">
        <f t="shared" si="5650"/>
        <v>0</v>
      </c>
      <c r="FB205" s="226">
        <f t="shared" si="5651"/>
        <v>0</v>
      </c>
      <c r="FC205" s="137"/>
      <c r="FD205" s="227">
        <f t="shared" si="5652"/>
        <v>744.63</v>
      </c>
      <c r="FE205" s="138"/>
      <c r="FF205" s="110"/>
      <c r="FG205" s="110"/>
      <c r="FH205" s="139"/>
      <c r="FI205" s="140"/>
      <c r="FJ205" s="198">
        <f t="shared" si="5649"/>
        <v>0</v>
      </c>
      <c r="FK205" s="225">
        <f t="shared" si="5650"/>
        <v>0</v>
      </c>
      <c r="FL205" s="226">
        <f t="shared" si="5651"/>
        <v>0</v>
      </c>
      <c r="FM205" s="137"/>
      <c r="FN205" s="227">
        <f t="shared" si="5652"/>
        <v>744.63</v>
      </c>
      <c r="FO205" s="138"/>
      <c r="FP205" s="110"/>
      <c r="FQ205" s="110"/>
      <c r="FR205" s="139"/>
      <c r="FS205" s="140"/>
      <c r="FT205" s="198">
        <f t="shared" si="5649"/>
        <v>0</v>
      </c>
      <c r="FU205" s="225">
        <f t="shared" si="5650"/>
        <v>0</v>
      </c>
      <c r="FV205" s="226">
        <f t="shared" si="5651"/>
        <v>0</v>
      </c>
      <c r="FW205" s="137"/>
      <c r="FX205" s="227">
        <f t="shared" si="5652"/>
        <v>744.63</v>
      </c>
      <c r="FY205" s="138"/>
      <c r="FZ205" s="110"/>
      <c r="GA205" s="110"/>
      <c r="GB205" s="139"/>
      <c r="GC205" s="140"/>
      <c r="GD205" s="198">
        <f t="shared" si="5649"/>
        <v>0</v>
      </c>
      <c r="GE205" s="225">
        <f t="shared" si="5650"/>
        <v>0</v>
      </c>
      <c r="GF205" s="226">
        <f t="shared" si="5651"/>
        <v>0</v>
      </c>
      <c r="GG205" s="137"/>
      <c r="GH205" s="227">
        <f t="shared" si="5652"/>
        <v>744.63</v>
      </c>
      <c r="GI205" s="138"/>
      <c r="GJ205" s="110"/>
      <c r="GK205" s="110"/>
      <c r="GL205" s="139"/>
      <c r="GM205" s="140"/>
      <c r="GN205" s="198">
        <f t="shared" si="5649"/>
        <v>0</v>
      </c>
      <c r="GO205" s="225">
        <f t="shared" si="5650"/>
        <v>0</v>
      </c>
      <c r="GP205" s="226">
        <f t="shared" si="5651"/>
        <v>0</v>
      </c>
      <c r="GQ205" s="137"/>
      <c r="GR205" s="227">
        <f t="shared" si="5652"/>
        <v>744.63</v>
      </c>
      <c r="GS205" s="138"/>
      <c r="GT205" s="110"/>
      <c r="GU205" s="110"/>
      <c r="GV205" s="139"/>
      <c r="GW205" s="140"/>
      <c r="GX205" s="198">
        <f t="shared" si="5649"/>
        <v>0</v>
      </c>
      <c r="GY205" s="225">
        <f t="shared" si="5650"/>
        <v>0</v>
      </c>
      <c r="GZ205" s="226">
        <f t="shared" si="5651"/>
        <v>0</v>
      </c>
      <c r="HA205" s="137"/>
      <c r="HB205" s="227">
        <f t="shared" si="5652"/>
        <v>744.63</v>
      </c>
      <c r="HC205" s="138"/>
      <c r="HD205" s="110"/>
      <c r="HE205" s="110"/>
      <c r="HF205" s="139"/>
      <c r="HG205" s="140"/>
      <c r="HH205" s="198">
        <f t="shared" si="5649"/>
        <v>0</v>
      </c>
      <c r="HI205" s="225">
        <f t="shared" si="5650"/>
        <v>0</v>
      </c>
      <c r="HJ205" s="226">
        <f t="shared" si="5651"/>
        <v>0</v>
      </c>
      <c r="HK205" s="137"/>
      <c r="HL205" s="227">
        <f t="shared" si="5652"/>
        <v>731.29</v>
      </c>
      <c r="HM205" s="138"/>
      <c r="HN205" s="110"/>
      <c r="HO205" s="110"/>
      <c r="HP205" s="139"/>
      <c r="HQ205" s="140"/>
      <c r="HR205" s="198">
        <f t="shared" si="5653"/>
        <v>0</v>
      </c>
      <c r="HS205" s="225">
        <f t="shared" si="5654"/>
        <v>0</v>
      </c>
      <c r="HT205" s="226">
        <f t="shared" si="5655"/>
        <v>0</v>
      </c>
      <c r="HU205" s="137"/>
      <c r="HV205" s="227">
        <f t="shared" si="5656"/>
        <v>744.63</v>
      </c>
      <c r="HW205" s="138"/>
      <c r="HX205" s="110"/>
      <c r="HY205" s="110"/>
      <c r="HZ205" s="139"/>
      <c r="IA205" s="140"/>
      <c r="IB205" s="198">
        <f t="shared" si="5653"/>
        <v>0</v>
      </c>
      <c r="IC205" s="225">
        <f t="shared" si="5654"/>
        <v>0</v>
      </c>
      <c r="ID205" s="226">
        <f t="shared" si="5655"/>
        <v>0</v>
      </c>
      <c r="IE205" s="137"/>
      <c r="IF205" s="227">
        <f t="shared" si="5656"/>
        <v>744.63</v>
      </c>
      <c r="IG205" s="138"/>
      <c r="IH205" s="110"/>
      <c r="II205" s="110"/>
      <c r="IJ205" s="139"/>
      <c r="IK205" s="140"/>
      <c r="IL205" s="198">
        <f t="shared" si="5653"/>
        <v>0</v>
      </c>
      <c r="IM205" s="225">
        <f t="shared" si="5654"/>
        <v>0</v>
      </c>
      <c r="IN205" s="226">
        <f t="shared" si="5655"/>
        <v>0</v>
      </c>
      <c r="IO205" s="137"/>
      <c r="IP205" s="227">
        <f t="shared" si="5656"/>
        <v>678.72</v>
      </c>
      <c r="IQ205" s="138"/>
      <c r="IR205" s="110"/>
      <c r="IS205" s="110"/>
      <c r="IT205" s="139"/>
      <c r="IU205" s="140"/>
      <c r="IV205" s="198">
        <f t="shared" si="5653"/>
        <v>0</v>
      </c>
      <c r="IW205" s="225">
        <f t="shared" si="5654"/>
        <v>0</v>
      </c>
      <c r="IX205" s="226">
        <f t="shared" si="5655"/>
        <v>0</v>
      </c>
      <c r="IY205" s="137"/>
      <c r="IZ205" s="227">
        <f t="shared" si="5656"/>
        <v>744.63</v>
      </c>
      <c r="JA205" s="138"/>
      <c r="JB205" s="110"/>
      <c r="JC205" s="110"/>
      <c r="JD205" s="139"/>
      <c r="JE205" s="140"/>
      <c r="JF205" s="198">
        <f t="shared" si="5653"/>
        <v>0</v>
      </c>
      <c r="JG205" s="225">
        <f t="shared" si="5654"/>
        <v>0</v>
      </c>
      <c r="JH205" s="226">
        <f t="shared" si="5655"/>
        <v>0</v>
      </c>
      <c r="JI205" s="137"/>
      <c r="JJ205" s="227">
        <f t="shared" si="5656"/>
        <v>744.63</v>
      </c>
      <c r="JK205" s="138"/>
      <c r="JL205" s="110"/>
      <c r="JM205" s="110"/>
      <c r="JN205" s="139"/>
      <c r="JO205" s="140"/>
      <c r="JP205" s="198">
        <f t="shared" si="5653"/>
        <v>0</v>
      </c>
      <c r="JQ205" s="225">
        <f t="shared" si="5654"/>
        <v>0</v>
      </c>
      <c r="JR205" s="226">
        <f t="shared" si="5655"/>
        <v>0</v>
      </c>
      <c r="JS205" s="137"/>
      <c r="JT205" s="227">
        <f t="shared" si="5656"/>
        <v>744.63</v>
      </c>
      <c r="JU205" s="138"/>
      <c r="JV205" s="110"/>
      <c r="JW205" s="110"/>
      <c r="JX205" s="139"/>
      <c r="JY205" s="140"/>
      <c r="JZ205" s="198">
        <f t="shared" si="5653"/>
        <v>0</v>
      </c>
      <c r="KA205" s="225">
        <f t="shared" si="5654"/>
        <v>0</v>
      </c>
      <c r="KB205" s="226">
        <f t="shared" si="5655"/>
        <v>0</v>
      </c>
      <c r="KC205" s="137"/>
      <c r="KD205" s="227">
        <f t="shared" si="5656"/>
        <v>744.63</v>
      </c>
      <c r="KE205" s="138"/>
      <c r="KF205" s="110"/>
      <c r="KG205" s="110"/>
      <c r="KH205" s="139"/>
      <c r="KI205" s="140"/>
      <c r="KJ205" s="198">
        <f t="shared" si="5657"/>
        <v>0</v>
      </c>
      <c r="KK205" s="225">
        <f t="shared" si="5658"/>
        <v>0</v>
      </c>
      <c r="KL205" s="226">
        <f t="shared" si="5659"/>
        <v>0</v>
      </c>
      <c r="KM205" s="137"/>
      <c r="KN205" s="227">
        <f t="shared" si="5660"/>
        <v>744.63</v>
      </c>
      <c r="KO205" s="138"/>
      <c r="KP205" s="110"/>
      <c r="KQ205" s="110"/>
      <c r="KR205" s="139"/>
      <c r="KS205" s="140"/>
      <c r="KT205" s="198">
        <f t="shared" si="5657"/>
        <v>0</v>
      </c>
      <c r="KU205" s="225">
        <f t="shared" si="5658"/>
        <v>0</v>
      </c>
      <c r="KV205" s="226">
        <f t="shared" si="5659"/>
        <v>0</v>
      </c>
      <c r="KW205" s="137"/>
      <c r="KX205" s="227">
        <f t="shared" si="5660"/>
        <v>744.63</v>
      </c>
      <c r="KY205" s="138"/>
      <c r="KZ205" s="110"/>
      <c r="LA205" s="110"/>
      <c r="LB205" s="139"/>
      <c r="LC205" s="140"/>
      <c r="LD205" s="198">
        <f t="shared" si="5510"/>
        <v>0</v>
      </c>
      <c r="LE205" s="225">
        <f t="shared" si="5511"/>
        <v>0</v>
      </c>
      <c r="LF205" s="226">
        <f t="shared" si="5512"/>
        <v>0</v>
      </c>
      <c r="LG205" s="137"/>
      <c r="LH205" s="227">
        <f t="shared" si="5513"/>
        <v>733.76</v>
      </c>
      <c r="LI205" s="138"/>
      <c r="LJ205" s="110"/>
      <c r="LK205" s="110"/>
      <c r="LL205" s="139"/>
    </row>
    <row r="206" spans="1:324" ht="16.5" customHeight="1" x14ac:dyDescent="0.25">
      <c r="A206" s="245"/>
      <c r="B206" s="12" t="s">
        <v>609</v>
      </c>
      <c r="C206" s="12" t="s">
        <v>728</v>
      </c>
      <c r="D206" s="12" t="s">
        <v>430</v>
      </c>
      <c r="E206" s="4" t="s">
        <v>32</v>
      </c>
      <c r="F206" s="198">
        <f t="shared" si="5506"/>
        <v>49</v>
      </c>
      <c r="G206" s="225">
        <f t="shared" si="5507"/>
        <v>8.14E-2</v>
      </c>
      <c r="H206" s="226">
        <f t="shared" si="5508"/>
        <v>9.52</v>
      </c>
      <c r="I206" s="137">
        <f t="shared" ref="I206:I213" si="5661">IF(F206&gt;0,H206/F206,0)</f>
        <v>0.19428571</v>
      </c>
      <c r="J206" s="227">
        <f t="shared" si="5509"/>
        <v>744.63</v>
      </c>
      <c r="K206" s="138">
        <f t="shared" ref="K206:K213" si="5662">I206*J206</f>
        <v>144.67097000000001</v>
      </c>
      <c r="L206" s="110">
        <f t="shared" ref="L206:L214" si="5663">K206*F206</f>
        <v>7088.88</v>
      </c>
      <c r="M206" s="110"/>
      <c r="N206" s="139"/>
      <c r="O206" s="140">
        <f t="shared" ref="O206:O212" si="5664">K206/$LI206</f>
        <v>1.0344800000000001</v>
      </c>
      <c r="P206" s="198">
        <f t="shared" si="5641"/>
        <v>79</v>
      </c>
      <c r="Q206" s="225">
        <f t="shared" si="5642"/>
        <v>7.2080000000000005E-2</v>
      </c>
      <c r="R206" s="226">
        <f t="shared" si="5643"/>
        <v>12.11</v>
      </c>
      <c r="S206" s="137">
        <f t="shared" ref="S206:S213" si="5665">IF(P206&gt;0,R206/P206,0)</f>
        <v>0.15329113999999999</v>
      </c>
      <c r="T206" s="227">
        <f t="shared" si="5644"/>
        <v>744.63</v>
      </c>
      <c r="U206" s="138">
        <f t="shared" ref="U206:U213" si="5666">S206*T206</f>
        <v>114.14518</v>
      </c>
      <c r="V206" s="110">
        <f t="shared" ref="V206:V213" si="5667">U206*P206</f>
        <v>9017.4699999999993</v>
      </c>
      <c r="W206" s="110"/>
      <c r="X206" s="139"/>
      <c r="Y206" s="140">
        <f t="shared" ref="Y206:Y213" si="5668">U206/$LI206</f>
        <v>0.81620000000000004</v>
      </c>
      <c r="Z206" s="198">
        <f t="shared" si="5641"/>
        <v>214</v>
      </c>
      <c r="AA206" s="225">
        <f t="shared" si="5642"/>
        <v>0.24768999999999999</v>
      </c>
      <c r="AB206" s="226">
        <f t="shared" si="5643"/>
        <v>29.72</v>
      </c>
      <c r="AC206" s="137">
        <f t="shared" ref="AC206:AC213" si="5669">IF(Z206&gt;0,AB206/Z206,0)</f>
        <v>0.13887849999999999</v>
      </c>
      <c r="AD206" s="227">
        <f t="shared" si="5644"/>
        <v>744.63</v>
      </c>
      <c r="AE206" s="138">
        <f t="shared" ref="AE206:AE213" si="5670">AC206*AD206</f>
        <v>103.4131</v>
      </c>
      <c r="AF206" s="110">
        <f t="shared" ref="AF206:AF213" si="5671">AE206*Z206</f>
        <v>22130.400000000001</v>
      </c>
      <c r="AG206" s="110"/>
      <c r="AH206" s="139"/>
      <c r="AI206" s="140">
        <f t="shared" ref="AI206:AI213" si="5672">AE206/$LI206</f>
        <v>0.73946000000000001</v>
      </c>
      <c r="AJ206" s="198">
        <f t="shared" si="5641"/>
        <v>43</v>
      </c>
      <c r="AK206" s="225">
        <f t="shared" si="5642"/>
        <v>6.4659999999999995E-2</v>
      </c>
      <c r="AL206" s="226">
        <f t="shared" si="5643"/>
        <v>7.08</v>
      </c>
      <c r="AM206" s="137">
        <f t="shared" ref="AM206:AM213" si="5673">IF(AJ206&gt;0,AL206/AJ206,0)</f>
        <v>0.16465115999999999</v>
      </c>
      <c r="AN206" s="227">
        <f t="shared" si="5644"/>
        <v>744.63</v>
      </c>
      <c r="AO206" s="138">
        <f t="shared" ref="AO206:AO213" si="5674">AM206*AN206</f>
        <v>122.60419</v>
      </c>
      <c r="AP206" s="110">
        <f t="shared" ref="AP206:AP213" si="5675">AO206*AJ206</f>
        <v>5271.98</v>
      </c>
      <c r="AQ206" s="110"/>
      <c r="AR206" s="139"/>
      <c r="AS206" s="140">
        <f t="shared" ref="AS206:AS213" si="5676">AO206/$LI206</f>
        <v>0.87668999999999997</v>
      </c>
      <c r="AT206" s="198">
        <f t="shared" si="5641"/>
        <v>54</v>
      </c>
      <c r="AU206" s="225">
        <f t="shared" si="5642"/>
        <v>5.6779999999999997E-2</v>
      </c>
      <c r="AV206" s="226">
        <f t="shared" si="5643"/>
        <v>6.37</v>
      </c>
      <c r="AW206" s="137">
        <f t="shared" ref="AW206:AW213" si="5677">IF(AT206&gt;0,AV206/AT206,0)</f>
        <v>0.11796296000000001</v>
      </c>
      <c r="AX206" s="227">
        <f t="shared" si="5644"/>
        <v>744.63</v>
      </c>
      <c r="AY206" s="138">
        <f t="shared" ref="AY206:AY213" si="5678">AW206*AX206</f>
        <v>87.838759999999994</v>
      </c>
      <c r="AZ206" s="110">
        <f t="shared" ref="AZ206:AZ213" si="5679">AY206*AT206</f>
        <v>4743.29</v>
      </c>
      <c r="BA206" s="110"/>
      <c r="BB206" s="139"/>
      <c r="BC206" s="140">
        <f t="shared" ref="BC206:BC213" si="5680">AY206/$LI206</f>
        <v>0.62809999999999999</v>
      </c>
      <c r="BD206" s="198">
        <f t="shared" si="5641"/>
        <v>38</v>
      </c>
      <c r="BE206" s="225">
        <f t="shared" si="5642"/>
        <v>5.108E-2</v>
      </c>
      <c r="BF206" s="226">
        <f t="shared" si="5643"/>
        <v>5.52</v>
      </c>
      <c r="BG206" s="137">
        <f t="shared" ref="BG206:BG213" si="5681">IF(BD206&gt;0,BF206/BD206,0)</f>
        <v>0.14526316</v>
      </c>
      <c r="BH206" s="227">
        <f t="shared" si="5644"/>
        <v>744.63</v>
      </c>
      <c r="BI206" s="138">
        <f t="shared" ref="BI206:BI213" si="5682">BG206*BH206</f>
        <v>108.16731</v>
      </c>
      <c r="BJ206" s="110">
        <f t="shared" ref="BJ206:BJ213" si="5683">BI206*BD206</f>
        <v>4110.3599999999997</v>
      </c>
      <c r="BK206" s="110"/>
      <c r="BL206" s="139"/>
      <c r="BM206" s="140">
        <f t="shared" ref="BM206:BM213" si="5684">BI206/$LI206</f>
        <v>0.77346000000000004</v>
      </c>
      <c r="BN206" s="198">
        <f t="shared" si="5641"/>
        <v>51</v>
      </c>
      <c r="BO206" s="225">
        <f t="shared" si="5642"/>
        <v>8.2659999999999997E-2</v>
      </c>
      <c r="BP206" s="226">
        <f t="shared" si="5643"/>
        <v>8.93</v>
      </c>
      <c r="BQ206" s="137">
        <f t="shared" ref="BQ206:BQ213" si="5685">IF(BN206&gt;0,BP206/BN206,0)</f>
        <v>0.17509804000000001</v>
      </c>
      <c r="BR206" s="227">
        <f t="shared" si="5644"/>
        <v>744.63</v>
      </c>
      <c r="BS206" s="138">
        <f t="shared" ref="BS206:BS213" si="5686">BQ206*BR206</f>
        <v>130.38325</v>
      </c>
      <c r="BT206" s="110">
        <f t="shared" ref="BT206:BT213" si="5687">BS206*BN206</f>
        <v>6649.55</v>
      </c>
      <c r="BU206" s="110"/>
      <c r="BV206" s="139"/>
      <c r="BW206" s="140">
        <f t="shared" ref="BW206:BW213" si="5688">BS206/$LI206</f>
        <v>0.93230999999999997</v>
      </c>
      <c r="BX206" s="198">
        <f t="shared" si="5641"/>
        <v>72</v>
      </c>
      <c r="BY206" s="225">
        <f t="shared" si="5642"/>
        <v>9.1370000000000007E-2</v>
      </c>
      <c r="BZ206" s="226">
        <f t="shared" si="5643"/>
        <v>16.809999999999999</v>
      </c>
      <c r="CA206" s="137">
        <f t="shared" ref="CA206:CA213" si="5689">IF(BX206&gt;0,BZ206/BX206,0)</f>
        <v>0.23347222000000001</v>
      </c>
      <c r="CB206" s="227">
        <f t="shared" si="5644"/>
        <v>744.63</v>
      </c>
      <c r="CC206" s="138">
        <f t="shared" ref="CC206:CC213" si="5690">CA206*CB206</f>
        <v>173.85042000000001</v>
      </c>
      <c r="CD206" s="110">
        <f t="shared" ref="CD206:CD213" si="5691">CC206*BX206</f>
        <v>12517.23</v>
      </c>
      <c r="CE206" s="110"/>
      <c r="CF206" s="139"/>
      <c r="CG206" s="140">
        <f t="shared" ref="CG206:CG213" si="5692">CC206/$LI206</f>
        <v>1.2431300000000001</v>
      </c>
      <c r="CH206" s="198">
        <f t="shared" si="5645"/>
        <v>109</v>
      </c>
      <c r="CI206" s="225">
        <f t="shared" si="5646"/>
        <v>0.11797000000000001</v>
      </c>
      <c r="CJ206" s="226">
        <f t="shared" si="5647"/>
        <v>25.48</v>
      </c>
      <c r="CK206" s="137">
        <f t="shared" ref="CK206:CK213" si="5693">IF(CH206&gt;0,CJ206/CH206,0)</f>
        <v>0.23376147</v>
      </c>
      <c r="CL206" s="227">
        <f t="shared" si="5648"/>
        <v>744.63</v>
      </c>
      <c r="CM206" s="138">
        <f t="shared" ref="CM206:CM213" si="5694">CK206*CL206</f>
        <v>174.0658</v>
      </c>
      <c r="CN206" s="110">
        <f t="shared" ref="CN206:CN213" si="5695">CM206*CH206</f>
        <v>18973.169999999998</v>
      </c>
      <c r="CO206" s="110"/>
      <c r="CP206" s="139"/>
      <c r="CQ206" s="140">
        <f t="shared" ref="CQ206:CQ213" si="5696">CM206/$LI206</f>
        <v>1.2446699999999999</v>
      </c>
      <c r="CR206" s="198">
        <f t="shared" si="5645"/>
        <v>38</v>
      </c>
      <c r="CS206" s="225">
        <f t="shared" si="5646"/>
        <v>5.108E-2</v>
      </c>
      <c r="CT206" s="226">
        <f t="shared" si="5647"/>
        <v>6.13</v>
      </c>
      <c r="CU206" s="137">
        <f t="shared" ref="CU206:CU213" si="5697">IF(CR206&gt;0,CT206/CR206,0)</f>
        <v>0.16131578999999999</v>
      </c>
      <c r="CV206" s="227">
        <f t="shared" si="5648"/>
        <v>744.63</v>
      </c>
      <c r="CW206" s="138">
        <f t="shared" ref="CW206:CW213" si="5698">CU206*CV206</f>
        <v>120.12058</v>
      </c>
      <c r="CX206" s="110">
        <f t="shared" ref="CX206:CX213" si="5699">CW206*CR206</f>
        <v>4564.58</v>
      </c>
      <c r="CY206" s="110"/>
      <c r="CZ206" s="139"/>
      <c r="DA206" s="140">
        <f t="shared" ref="DA206:DA213" si="5700">CW206/$LI206</f>
        <v>0.85892999999999997</v>
      </c>
      <c r="DB206" s="198">
        <f t="shared" si="5645"/>
        <v>86</v>
      </c>
      <c r="DC206" s="225">
        <f t="shared" si="5646"/>
        <v>0.10424</v>
      </c>
      <c r="DD206" s="226">
        <f t="shared" si="5647"/>
        <v>20.64</v>
      </c>
      <c r="DE206" s="137">
        <f t="shared" ref="DE206:DE213" si="5701">IF(DB206&gt;0,DD206/DB206,0)</f>
        <v>0.24</v>
      </c>
      <c r="DF206" s="227">
        <f t="shared" si="5648"/>
        <v>744.63</v>
      </c>
      <c r="DG206" s="138">
        <f t="shared" ref="DG206:DG213" si="5702">DE206*DF206</f>
        <v>178.71119999999999</v>
      </c>
      <c r="DH206" s="110">
        <f t="shared" ref="DH206:DH213" si="5703">DG206*DB206</f>
        <v>15369.16</v>
      </c>
      <c r="DI206" s="110"/>
      <c r="DJ206" s="139"/>
      <c r="DK206" s="140">
        <f t="shared" ref="DK206:DK213" si="5704">DG206/$LI206</f>
        <v>1.27789</v>
      </c>
      <c r="DL206" s="198">
        <f t="shared" si="5645"/>
        <v>0</v>
      </c>
      <c r="DM206" s="225">
        <f t="shared" si="5646"/>
        <v>0</v>
      </c>
      <c r="DN206" s="226">
        <f t="shared" si="5647"/>
        <v>0</v>
      </c>
      <c r="DO206" s="137">
        <f t="shared" ref="DO206:DO213" si="5705">IF(DL206&gt;0,DN206/DL206,0)</f>
        <v>0</v>
      </c>
      <c r="DP206" s="227">
        <f t="shared" si="5648"/>
        <v>744.63</v>
      </c>
      <c r="DQ206" s="138">
        <f t="shared" ref="DQ206:DQ213" si="5706">DO206*DP206</f>
        <v>0</v>
      </c>
      <c r="DR206" s="110">
        <f t="shared" ref="DR206:DR213" si="5707">DQ206*DL206</f>
        <v>0</v>
      </c>
      <c r="DS206" s="110"/>
      <c r="DT206" s="139"/>
      <c r="DU206" s="140">
        <f t="shared" ref="DU206:DU213" si="5708">DQ206/$LI206</f>
        <v>0</v>
      </c>
      <c r="DV206" s="198">
        <f t="shared" si="5645"/>
        <v>49</v>
      </c>
      <c r="DW206" s="225">
        <f t="shared" si="5646"/>
        <v>5.5809999999999998E-2</v>
      </c>
      <c r="DX206" s="226">
        <f t="shared" si="5647"/>
        <v>6.15</v>
      </c>
      <c r="DY206" s="137">
        <f t="shared" ref="DY206:DY213" si="5709">IF(DV206&gt;0,DX206/DV206,0)</f>
        <v>0.12551019999999999</v>
      </c>
      <c r="DZ206" s="227">
        <f t="shared" si="5648"/>
        <v>389.62</v>
      </c>
      <c r="EA206" s="138">
        <f t="shared" ref="EA206:EA213" si="5710">DY206*DZ206</f>
        <v>48.90128</v>
      </c>
      <c r="EB206" s="110">
        <f t="shared" ref="EB206:EB213" si="5711">EA206*DV206</f>
        <v>2396.16</v>
      </c>
      <c r="EC206" s="110"/>
      <c r="ED206" s="139"/>
      <c r="EE206" s="140">
        <f t="shared" ref="EE206:EE213" si="5712">EA206/$LI206</f>
        <v>0.34966999999999998</v>
      </c>
      <c r="EF206" s="198">
        <f t="shared" si="5645"/>
        <v>66</v>
      </c>
      <c r="EG206" s="225">
        <f t="shared" si="5646"/>
        <v>7.0290000000000005E-2</v>
      </c>
      <c r="EH206" s="226">
        <f t="shared" si="5647"/>
        <v>7.59</v>
      </c>
      <c r="EI206" s="137">
        <f t="shared" ref="EI206:EI213" si="5713">IF(EF206&gt;0,EH206/EF206,0)</f>
        <v>0.115</v>
      </c>
      <c r="EJ206" s="227">
        <f t="shared" si="5648"/>
        <v>744.63</v>
      </c>
      <c r="EK206" s="138">
        <f t="shared" ref="EK206:EK213" si="5714">EI206*EJ206</f>
        <v>85.632450000000006</v>
      </c>
      <c r="EL206" s="110">
        <f t="shared" ref="EL206:EL213" si="5715">EK206*EF206</f>
        <v>5651.74</v>
      </c>
      <c r="EM206" s="110"/>
      <c r="EN206" s="139"/>
      <c r="EO206" s="140">
        <f t="shared" ref="EO206:EO213" si="5716">EK206/$LI206</f>
        <v>0.61231999999999998</v>
      </c>
      <c r="EP206" s="198">
        <f t="shared" si="5645"/>
        <v>72</v>
      </c>
      <c r="EQ206" s="225">
        <f t="shared" si="5646"/>
        <v>7.6350000000000001E-2</v>
      </c>
      <c r="ER206" s="226">
        <f t="shared" si="5647"/>
        <v>12.37</v>
      </c>
      <c r="ES206" s="137">
        <f t="shared" ref="ES206:ES213" si="5717">IF(EP206&gt;0,ER206/EP206,0)</f>
        <v>0.17180556</v>
      </c>
      <c r="ET206" s="227">
        <f t="shared" si="5648"/>
        <v>744.63</v>
      </c>
      <c r="EU206" s="138">
        <f t="shared" ref="EU206:EU213" si="5718">ES206*ET206</f>
        <v>127.93156999999999</v>
      </c>
      <c r="EV206" s="110">
        <f t="shared" ref="EV206:EV213" si="5719">EU206*EP206</f>
        <v>9211.07</v>
      </c>
      <c r="EW206" s="110"/>
      <c r="EX206" s="139"/>
      <c r="EY206" s="140">
        <f t="shared" ref="EY206:EY213" si="5720">EU206/$LI206</f>
        <v>0.91478000000000004</v>
      </c>
      <c r="EZ206" s="198">
        <f t="shared" si="5649"/>
        <v>45</v>
      </c>
      <c r="FA206" s="225">
        <f t="shared" si="5650"/>
        <v>4.0289999999999999E-2</v>
      </c>
      <c r="FB206" s="226">
        <f t="shared" si="5651"/>
        <v>6.49</v>
      </c>
      <c r="FC206" s="137">
        <f t="shared" ref="FC206:FC213" si="5721">IF(EZ206&gt;0,FB206/EZ206,0)</f>
        <v>0.14422222000000001</v>
      </c>
      <c r="FD206" s="227">
        <f t="shared" si="5652"/>
        <v>744.63</v>
      </c>
      <c r="FE206" s="138">
        <f t="shared" ref="FE206:FE213" si="5722">FC206*FD206</f>
        <v>107.39219</v>
      </c>
      <c r="FF206" s="110">
        <f t="shared" ref="FF206:FF213" si="5723">FE206*EZ206</f>
        <v>4832.6499999999996</v>
      </c>
      <c r="FG206" s="110"/>
      <c r="FH206" s="139"/>
      <c r="FI206" s="140">
        <f t="shared" ref="FI206:FI213" si="5724">FE206/$LI206</f>
        <v>0.76792000000000005</v>
      </c>
      <c r="FJ206" s="198">
        <f t="shared" si="5649"/>
        <v>102</v>
      </c>
      <c r="FK206" s="225">
        <f t="shared" si="5650"/>
        <v>9.98E-2</v>
      </c>
      <c r="FL206" s="226">
        <f t="shared" si="5651"/>
        <v>23.35</v>
      </c>
      <c r="FM206" s="137">
        <f t="shared" ref="FM206:FM213" si="5725">IF(FJ206&gt;0,FL206/FJ206,0)</f>
        <v>0.22892156999999999</v>
      </c>
      <c r="FN206" s="227">
        <f t="shared" si="5652"/>
        <v>744.63</v>
      </c>
      <c r="FO206" s="138">
        <f t="shared" ref="FO206:FO213" si="5726">FM206*FN206</f>
        <v>170.46187</v>
      </c>
      <c r="FP206" s="110">
        <f t="shared" ref="FP206:FP213" si="5727">FO206*FJ206</f>
        <v>17387.11</v>
      </c>
      <c r="FQ206" s="110"/>
      <c r="FR206" s="139"/>
      <c r="FS206" s="140">
        <f t="shared" ref="FS206:FS213" si="5728">FO206/$LI206</f>
        <v>1.2189000000000001</v>
      </c>
      <c r="FT206" s="198">
        <f t="shared" si="5649"/>
        <v>59</v>
      </c>
      <c r="FU206" s="225">
        <f t="shared" si="5650"/>
        <v>7.3469999999999994E-2</v>
      </c>
      <c r="FV206" s="226">
        <f t="shared" si="5651"/>
        <v>11.46</v>
      </c>
      <c r="FW206" s="137">
        <f t="shared" ref="FW206:FW213" si="5729">IF(FT206&gt;0,FV206/FT206,0)</f>
        <v>0.19423729000000001</v>
      </c>
      <c r="FX206" s="227">
        <f t="shared" si="5652"/>
        <v>744.63</v>
      </c>
      <c r="FY206" s="138">
        <f t="shared" ref="FY206:FY213" si="5730">FW206*FX206</f>
        <v>144.63490999999999</v>
      </c>
      <c r="FZ206" s="110">
        <f t="shared" ref="FZ206:FZ213" si="5731">FY206*FT206</f>
        <v>8533.4599999999991</v>
      </c>
      <c r="GA206" s="110"/>
      <c r="GB206" s="139"/>
      <c r="GC206" s="140">
        <f t="shared" ref="GC206:GC213" si="5732">FY206/$LI206</f>
        <v>1.0342199999999999</v>
      </c>
      <c r="GD206" s="198">
        <f t="shared" si="5649"/>
        <v>34</v>
      </c>
      <c r="GE206" s="225">
        <f t="shared" si="5650"/>
        <v>6.6409999999999997E-2</v>
      </c>
      <c r="GF206" s="226">
        <f t="shared" si="5651"/>
        <v>7.17</v>
      </c>
      <c r="GG206" s="137">
        <f t="shared" ref="GG206:GG213" si="5733">IF(GD206&gt;0,GF206/GD206,0)</f>
        <v>0.21088235</v>
      </c>
      <c r="GH206" s="227">
        <f t="shared" si="5652"/>
        <v>744.63</v>
      </c>
      <c r="GI206" s="138">
        <f t="shared" ref="GI206:GI213" si="5734">GG206*GH206</f>
        <v>157.02932000000001</v>
      </c>
      <c r="GJ206" s="110">
        <f t="shared" ref="GJ206:GJ213" si="5735">GI206*GD206</f>
        <v>5339</v>
      </c>
      <c r="GK206" s="110"/>
      <c r="GL206" s="139"/>
      <c r="GM206" s="140">
        <f t="shared" ref="GM206:GM213" si="5736">GI206/$LI206</f>
        <v>1.1228499999999999</v>
      </c>
      <c r="GN206" s="198">
        <f t="shared" si="5649"/>
        <v>86</v>
      </c>
      <c r="GO206" s="225">
        <f t="shared" si="5650"/>
        <v>9.9540000000000003E-2</v>
      </c>
      <c r="GP206" s="226">
        <f t="shared" si="5651"/>
        <v>18.39</v>
      </c>
      <c r="GQ206" s="137">
        <f t="shared" ref="GQ206:GQ213" si="5737">IF(GN206&gt;0,GP206/GN206,0)</f>
        <v>0.21383721</v>
      </c>
      <c r="GR206" s="227">
        <f t="shared" si="5652"/>
        <v>744.63</v>
      </c>
      <c r="GS206" s="138">
        <f t="shared" ref="GS206:GS213" si="5738">GQ206*GR206</f>
        <v>159.2296</v>
      </c>
      <c r="GT206" s="110">
        <f t="shared" ref="GT206:GT213" si="5739">GS206*GN206</f>
        <v>13693.75</v>
      </c>
      <c r="GU206" s="110"/>
      <c r="GV206" s="139"/>
      <c r="GW206" s="140">
        <f t="shared" ref="GW206:GW213" si="5740">GS206/$LI206</f>
        <v>1.1385799999999999</v>
      </c>
      <c r="GX206" s="198">
        <f t="shared" si="5649"/>
        <v>164</v>
      </c>
      <c r="GY206" s="225">
        <f t="shared" si="5650"/>
        <v>0.10117</v>
      </c>
      <c r="GZ206" s="226">
        <f t="shared" si="5651"/>
        <v>29.14</v>
      </c>
      <c r="HA206" s="137">
        <f t="shared" ref="HA206:HA213" si="5741">IF(GX206&gt;0,GZ206/GX206,0)</f>
        <v>0.17768292999999999</v>
      </c>
      <c r="HB206" s="227">
        <f t="shared" si="5652"/>
        <v>744.63</v>
      </c>
      <c r="HC206" s="138">
        <f t="shared" ref="HC206:HC213" si="5742">HA206*HB206</f>
        <v>132.30804000000001</v>
      </c>
      <c r="HD206" s="110">
        <f t="shared" ref="HD206:HD213" si="5743">HC206*GX206</f>
        <v>21698.52</v>
      </c>
      <c r="HE206" s="110"/>
      <c r="HF206" s="139"/>
      <c r="HG206" s="140">
        <f t="shared" ref="HG206:HG213" si="5744">HC206/$LI206</f>
        <v>0.94608000000000003</v>
      </c>
      <c r="HH206" s="198">
        <f t="shared" si="5649"/>
        <v>57</v>
      </c>
      <c r="HI206" s="225">
        <f t="shared" si="5650"/>
        <v>4.9480000000000003E-2</v>
      </c>
      <c r="HJ206" s="226">
        <f t="shared" si="5651"/>
        <v>9.68</v>
      </c>
      <c r="HK206" s="137">
        <f t="shared" ref="HK206:HK213" si="5745">IF(HH206&gt;0,HJ206/HH206,0)</f>
        <v>0.16982456000000001</v>
      </c>
      <c r="HL206" s="227">
        <f t="shared" si="5652"/>
        <v>731.29</v>
      </c>
      <c r="HM206" s="138">
        <f t="shared" ref="HM206:HM213" si="5746">HK206*HL206</f>
        <v>124.191</v>
      </c>
      <c r="HN206" s="110">
        <f t="shared" ref="HN206:HN213" si="5747">HM206*HH206</f>
        <v>7078.89</v>
      </c>
      <c r="HO206" s="110"/>
      <c r="HP206" s="139"/>
      <c r="HQ206" s="140">
        <f t="shared" ref="HQ206:HQ213" si="5748">HM206/$LI206</f>
        <v>0.88804000000000005</v>
      </c>
      <c r="HR206" s="198">
        <f t="shared" si="5653"/>
        <v>50</v>
      </c>
      <c r="HS206" s="225">
        <f t="shared" si="5654"/>
        <v>6.3450000000000006E-2</v>
      </c>
      <c r="HT206" s="226">
        <f t="shared" si="5655"/>
        <v>6.85</v>
      </c>
      <c r="HU206" s="137">
        <f t="shared" ref="HU206:HU213" si="5749">IF(HR206&gt;0,HT206/HR206,0)</f>
        <v>0.13700000000000001</v>
      </c>
      <c r="HV206" s="227">
        <f t="shared" si="5656"/>
        <v>744.63</v>
      </c>
      <c r="HW206" s="138">
        <f t="shared" ref="HW206:HW213" si="5750">HU206*HV206</f>
        <v>102.01430999999999</v>
      </c>
      <c r="HX206" s="110">
        <f t="shared" ref="HX206:HX213" si="5751">HW206*HR206</f>
        <v>5100.72</v>
      </c>
      <c r="HY206" s="110"/>
      <c r="HZ206" s="139"/>
      <c r="IA206" s="140">
        <f t="shared" ref="IA206:IA213" si="5752">HW206/$LI206</f>
        <v>0.72946</v>
      </c>
      <c r="IB206" s="198">
        <f t="shared" si="5653"/>
        <v>29</v>
      </c>
      <c r="IC206" s="225">
        <f t="shared" si="5654"/>
        <v>5.2920000000000002E-2</v>
      </c>
      <c r="ID206" s="226">
        <f t="shared" si="5655"/>
        <v>9.5299999999999994</v>
      </c>
      <c r="IE206" s="137">
        <f t="shared" ref="IE206:IE213" si="5753">IF(IB206&gt;0,ID206/IB206,0)</f>
        <v>0.32862068999999999</v>
      </c>
      <c r="IF206" s="227">
        <f t="shared" si="5656"/>
        <v>744.63</v>
      </c>
      <c r="IG206" s="138">
        <f t="shared" ref="IG206:IG213" si="5754">IE206*IF206</f>
        <v>244.70081999999999</v>
      </c>
      <c r="IH206" s="110">
        <f t="shared" ref="IH206:IH213" si="5755">IG206*IB206</f>
        <v>7096.32</v>
      </c>
      <c r="II206" s="110"/>
      <c r="IJ206" s="139"/>
      <c r="IK206" s="140">
        <f t="shared" ref="IK206:IK213" si="5756">IG206/$LI206</f>
        <v>1.7497499999999999</v>
      </c>
      <c r="IL206" s="198">
        <f t="shared" si="5653"/>
        <v>72</v>
      </c>
      <c r="IM206" s="225">
        <f t="shared" si="5654"/>
        <v>5.6919999999999998E-2</v>
      </c>
      <c r="IN206" s="226">
        <f t="shared" si="5655"/>
        <v>15.03</v>
      </c>
      <c r="IO206" s="137">
        <f t="shared" ref="IO206:IO213" si="5757">IF(IL206&gt;0,IN206/IL206,0)</f>
        <v>0.20874999999999999</v>
      </c>
      <c r="IP206" s="227">
        <f t="shared" si="5656"/>
        <v>678.72</v>
      </c>
      <c r="IQ206" s="138">
        <f t="shared" ref="IQ206:IQ213" si="5758">IO206*IP206</f>
        <v>141.68279999999999</v>
      </c>
      <c r="IR206" s="110">
        <f t="shared" ref="IR206:IR213" si="5759">IQ206*IL206</f>
        <v>10201.16</v>
      </c>
      <c r="IS206" s="110"/>
      <c r="IT206" s="139"/>
      <c r="IU206" s="140">
        <f t="shared" ref="IU206:IU213" si="5760">IQ206/$LI206</f>
        <v>1.01311</v>
      </c>
      <c r="IV206" s="198">
        <f t="shared" si="5653"/>
        <v>42</v>
      </c>
      <c r="IW206" s="225">
        <f t="shared" si="5654"/>
        <v>5.4469999999999998E-2</v>
      </c>
      <c r="IX206" s="226">
        <f t="shared" si="5655"/>
        <v>8.5</v>
      </c>
      <c r="IY206" s="137">
        <f t="shared" ref="IY206:IY213" si="5761">IF(IV206&gt;0,IX206/IV206,0)</f>
        <v>0.20238095</v>
      </c>
      <c r="IZ206" s="227">
        <f t="shared" si="5656"/>
        <v>744.63</v>
      </c>
      <c r="JA206" s="138">
        <f t="shared" ref="JA206:JA213" si="5762">IY206*IZ206</f>
        <v>150.69892999999999</v>
      </c>
      <c r="JB206" s="110">
        <f t="shared" ref="JB206:JB213" si="5763">JA206*IV206</f>
        <v>6329.36</v>
      </c>
      <c r="JC206" s="110"/>
      <c r="JD206" s="139"/>
      <c r="JE206" s="140">
        <f t="shared" ref="JE206:JE213" si="5764">JA206/$LI206</f>
        <v>1.07758</v>
      </c>
      <c r="JF206" s="198">
        <f t="shared" si="5653"/>
        <v>105</v>
      </c>
      <c r="JG206" s="225">
        <f t="shared" si="5654"/>
        <v>7.8299999999999995E-2</v>
      </c>
      <c r="JH206" s="226">
        <f t="shared" si="5655"/>
        <v>23.49</v>
      </c>
      <c r="JI206" s="137">
        <f t="shared" ref="JI206:JI213" si="5765">IF(JF206&gt;0,JH206/JF206,0)</f>
        <v>0.22371429000000001</v>
      </c>
      <c r="JJ206" s="227">
        <f t="shared" si="5656"/>
        <v>744.63</v>
      </c>
      <c r="JK206" s="138">
        <f t="shared" ref="JK206:JK213" si="5766">JI206*JJ206</f>
        <v>166.58437000000001</v>
      </c>
      <c r="JL206" s="110">
        <f t="shared" ref="JL206:JL213" si="5767">JK206*JF206</f>
        <v>17491.36</v>
      </c>
      <c r="JM206" s="110"/>
      <c r="JN206" s="139"/>
      <c r="JO206" s="140">
        <f t="shared" ref="JO206:JO213" si="5768">JK206/$LI206</f>
        <v>1.1911700000000001</v>
      </c>
      <c r="JP206" s="198">
        <f t="shared" si="5653"/>
        <v>45</v>
      </c>
      <c r="JQ206" s="225">
        <f t="shared" si="5654"/>
        <v>3.603E-2</v>
      </c>
      <c r="JR206" s="226">
        <f t="shared" si="5655"/>
        <v>8.2100000000000009</v>
      </c>
      <c r="JS206" s="137">
        <f t="shared" ref="JS206:JS213" si="5769">IF(JP206&gt;0,JR206/JP206,0)</f>
        <v>0.18244444000000001</v>
      </c>
      <c r="JT206" s="227">
        <f t="shared" si="5656"/>
        <v>744.63</v>
      </c>
      <c r="JU206" s="138">
        <f t="shared" ref="JU206:JU213" si="5770">JS206*JT206</f>
        <v>135.8536</v>
      </c>
      <c r="JV206" s="110">
        <f t="shared" ref="JV206:JV213" si="5771">JU206*JP206</f>
        <v>6113.41</v>
      </c>
      <c r="JW206" s="110"/>
      <c r="JX206" s="139"/>
      <c r="JY206" s="140">
        <f t="shared" ref="JY206:JY213" si="5772">JU206/$LI206</f>
        <v>0.97143000000000002</v>
      </c>
      <c r="JZ206" s="198">
        <f t="shared" si="5653"/>
        <v>120</v>
      </c>
      <c r="KA206" s="225">
        <f t="shared" si="5654"/>
        <v>0.10317999999999999</v>
      </c>
      <c r="KB206" s="226">
        <f t="shared" si="5655"/>
        <v>26.31</v>
      </c>
      <c r="KC206" s="137">
        <f t="shared" ref="KC206:KC213" si="5773">IF(JZ206&gt;0,KB206/JZ206,0)</f>
        <v>0.21925</v>
      </c>
      <c r="KD206" s="227">
        <f t="shared" si="5656"/>
        <v>744.63</v>
      </c>
      <c r="KE206" s="138">
        <f t="shared" ref="KE206:KE213" si="5774">KC206*KD206</f>
        <v>163.26013</v>
      </c>
      <c r="KF206" s="110">
        <f t="shared" ref="KF206:KF213" si="5775">KE206*JZ206</f>
        <v>19591.22</v>
      </c>
      <c r="KG206" s="110"/>
      <c r="KH206" s="139"/>
      <c r="KI206" s="140">
        <f t="shared" ref="KI206:KI213" si="5776">KE206/$LI206</f>
        <v>1.1674</v>
      </c>
      <c r="KJ206" s="198">
        <f t="shared" si="5657"/>
        <v>143</v>
      </c>
      <c r="KK206" s="225">
        <f t="shared" si="5658"/>
        <v>0.10664</v>
      </c>
      <c r="KL206" s="226">
        <f t="shared" si="5659"/>
        <v>25.62</v>
      </c>
      <c r="KM206" s="137">
        <f t="shared" ref="KM206:KM213" si="5777">IF(KJ206&gt;0,KL206/KJ206,0)</f>
        <v>0.17916083999999999</v>
      </c>
      <c r="KN206" s="227">
        <f t="shared" si="5660"/>
        <v>744.63</v>
      </c>
      <c r="KO206" s="138">
        <f t="shared" ref="KO206:KO213" si="5778">KM206*KN206</f>
        <v>133.40853999999999</v>
      </c>
      <c r="KP206" s="110">
        <f t="shared" ref="KP206:KP213" si="5779">KO206*KJ206</f>
        <v>19077.419999999998</v>
      </c>
      <c r="KQ206" s="110"/>
      <c r="KR206" s="139"/>
      <c r="KS206" s="140">
        <f t="shared" ref="KS206:KS213" si="5780">KO206/$LI206</f>
        <v>0.95394999999999996</v>
      </c>
      <c r="KT206" s="198">
        <f t="shared" si="5657"/>
        <v>56</v>
      </c>
      <c r="KU206" s="225">
        <f t="shared" si="5658"/>
        <v>4.9820000000000003E-2</v>
      </c>
      <c r="KV206" s="226">
        <f t="shared" si="5659"/>
        <v>16.57</v>
      </c>
      <c r="KW206" s="137">
        <f t="shared" ref="KW206:KW213" si="5781">IF(KT206&gt;0,KV206/KT206,0)</f>
        <v>0.29589285999999998</v>
      </c>
      <c r="KX206" s="227">
        <f t="shared" si="5660"/>
        <v>744.63</v>
      </c>
      <c r="KY206" s="138">
        <f t="shared" ref="KY206:KY213" si="5782">KW206*KX206</f>
        <v>220.33070000000001</v>
      </c>
      <c r="KZ206" s="110">
        <f t="shared" ref="KZ206:KZ213" si="5783">KY206*KT206</f>
        <v>12338.52</v>
      </c>
      <c r="LA206" s="110"/>
      <c r="LB206" s="139"/>
      <c r="LC206" s="140">
        <f t="shared" ref="LC206:LC213" si="5784">KY206/$LI206</f>
        <v>1.5754900000000001</v>
      </c>
      <c r="LD206" s="198">
        <f t="shared" si="5510"/>
        <v>2229</v>
      </c>
      <c r="LE206" s="225">
        <f t="shared" si="5511"/>
        <v>7.8090000000000007E-2</v>
      </c>
      <c r="LF206" s="226">
        <f t="shared" si="5512"/>
        <v>424.83</v>
      </c>
      <c r="LG206" s="137">
        <f t="shared" ref="LG206:LG213" si="5785">IF(LD206&gt;0,LF206/LD206,0)</f>
        <v>0.19059218999999999</v>
      </c>
      <c r="LH206" s="227">
        <f t="shared" si="5513"/>
        <v>733.76</v>
      </c>
      <c r="LI206" s="138">
        <f t="shared" ref="LI206:LI213" si="5786">LG206*LH206</f>
        <v>139.84893</v>
      </c>
      <c r="LJ206" s="110">
        <f t="shared" ref="LJ206:LJ214" si="5787">LI206*LD206</f>
        <v>311723.26</v>
      </c>
      <c r="LK206" s="110"/>
      <c r="LL206" s="139"/>
    </row>
    <row r="207" spans="1:324" ht="16.5" hidden="1" customHeight="1" x14ac:dyDescent="0.25">
      <c r="A207" s="246"/>
      <c r="B207" s="92" t="s">
        <v>610</v>
      </c>
      <c r="C207" s="12" t="s">
        <v>728</v>
      </c>
      <c r="D207" s="12" t="s">
        <v>430</v>
      </c>
      <c r="E207" s="4" t="s">
        <v>32</v>
      </c>
      <c r="F207" s="198">
        <f t="shared" si="5506"/>
        <v>0</v>
      </c>
      <c r="G207" s="225">
        <f t="shared" si="5507"/>
        <v>0</v>
      </c>
      <c r="H207" s="226">
        <f t="shared" si="5508"/>
        <v>0</v>
      </c>
      <c r="I207" s="137">
        <f t="shared" si="5661"/>
        <v>0</v>
      </c>
      <c r="J207" s="227">
        <f t="shared" si="5509"/>
        <v>744.63</v>
      </c>
      <c r="K207" s="138">
        <f t="shared" si="5662"/>
        <v>0</v>
      </c>
      <c r="L207" s="110">
        <f t="shared" si="5663"/>
        <v>0</v>
      </c>
      <c r="M207" s="110"/>
      <c r="N207" s="139"/>
      <c r="O207" s="140" t="e">
        <f t="shared" si="5664"/>
        <v>#DIV/0!</v>
      </c>
      <c r="P207" s="198">
        <f t="shared" si="5641"/>
        <v>0</v>
      </c>
      <c r="Q207" s="225">
        <f t="shared" si="5642"/>
        <v>0</v>
      </c>
      <c r="R207" s="226">
        <f t="shared" si="5643"/>
        <v>0</v>
      </c>
      <c r="S207" s="137">
        <f t="shared" si="5665"/>
        <v>0</v>
      </c>
      <c r="T207" s="227">
        <f t="shared" si="5644"/>
        <v>744.63</v>
      </c>
      <c r="U207" s="138">
        <f t="shared" si="5666"/>
        <v>0</v>
      </c>
      <c r="V207" s="110">
        <f t="shared" si="5667"/>
        <v>0</v>
      </c>
      <c r="W207" s="110"/>
      <c r="X207" s="139"/>
      <c r="Y207" s="140" t="e">
        <f t="shared" si="5668"/>
        <v>#DIV/0!</v>
      </c>
      <c r="Z207" s="198">
        <f t="shared" si="5641"/>
        <v>0</v>
      </c>
      <c r="AA207" s="225">
        <f t="shared" si="5642"/>
        <v>0</v>
      </c>
      <c r="AB207" s="226">
        <f t="shared" si="5643"/>
        <v>0</v>
      </c>
      <c r="AC207" s="137">
        <f t="shared" si="5669"/>
        <v>0</v>
      </c>
      <c r="AD207" s="227">
        <f t="shared" si="5644"/>
        <v>744.63</v>
      </c>
      <c r="AE207" s="138">
        <f t="shared" si="5670"/>
        <v>0</v>
      </c>
      <c r="AF207" s="110">
        <f t="shared" si="5671"/>
        <v>0</v>
      </c>
      <c r="AG207" s="110"/>
      <c r="AH207" s="139"/>
      <c r="AI207" s="140" t="e">
        <f t="shared" si="5672"/>
        <v>#DIV/0!</v>
      </c>
      <c r="AJ207" s="198">
        <f t="shared" si="5641"/>
        <v>0</v>
      </c>
      <c r="AK207" s="225">
        <f t="shared" si="5642"/>
        <v>0</v>
      </c>
      <c r="AL207" s="226">
        <f t="shared" si="5643"/>
        <v>0</v>
      </c>
      <c r="AM207" s="137">
        <f t="shared" si="5673"/>
        <v>0</v>
      </c>
      <c r="AN207" s="227">
        <f t="shared" si="5644"/>
        <v>744.63</v>
      </c>
      <c r="AO207" s="138">
        <f t="shared" si="5674"/>
        <v>0</v>
      </c>
      <c r="AP207" s="110">
        <f t="shared" si="5675"/>
        <v>0</v>
      </c>
      <c r="AQ207" s="110"/>
      <c r="AR207" s="139"/>
      <c r="AS207" s="140" t="e">
        <f t="shared" si="5676"/>
        <v>#DIV/0!</v>
      </c>
      <c r="AT207" s="198">
        <f t="shared" si="5641"/>
        <v>0</v>
      </c>
      <c r="AU207" s="225">
        <f t="shared" si="5642"/>
        <v>0</v>
      </c>
      <c r="AV207" s="226">
        <f t="shared" si="5643"/>
        <v>0</v>
      </c>
      <c r="AW207" s="137">
        <f t="shared" si="5677"/>
        <v>0</v>
      </c>
      <c r="AX207" s="227">
        <f t="shared" si="5644"/>
        <v>744.63</v>
      </c>
      <c r="AY207" s="138">
        <f t="shared" si="5678"/>
        <v>0</v>
      </c>
      <c r="AZ207" s="110">
        <f t="shared" si="5679"/>
        <v>0</v>
      </c>
      <c r="BA207" s="110"/>
      <c r="BB207" s="139"/>
      <c r="BC207" s="140" t="e">
        <f t="shared" si="5680"/>
        <v>#DIV/0!</v>
      </c>
      <c r="BD207" s="198">
        <f t="shared" si="5641"/>
        <v>0</v>
      </c>
      <c r="BE207" s="225">
        <f t="shared" si="5642"/>
        <v>0</v>
      </c>
      <c r="BF207" s="226">
        <f t="shared" si="5643"/>
        <v>0</v>
      </c>
      <c r="BG207" s="137">
        <f t="shared" si="5681"/>
        <v>0</v>
      </c>
      <c r="BH207" s="227">
        <f t="shared" si="5644"/>
        <v>744.63</v>
      </c>
      <c r="BI207" s="138">
        <f t="shared" si="5682"/>
        <v>0</v>
      </c>
      <c r="BJ207" s="110">
        <f t="shared" si="5683"/>
        <v>0</v>
      </c>
      <c r="BK207" s="110"/>
      <c r="BL207" s="139"/>
      <c r="BM207" s="140" t="e">
        <f t="shared" si="5684"/>
        <v>#DIV/0!</v>
      </c>
      <c r="BN207" s="198">
        <f t="shared" si="5641"/>
        <v>0</v>
      </c>
      <c r="BO207" s="225">
        <f t="shared" si="5642"/>
        <v>0</v>
      </c>
      <c r="BP207" s="226">
        <f t="shared" si="5643"/>
        <v>0</v>
      </c>
      <c r="BQ207" s="137">
        <f t="shared" si="5685"/>
        <v>0</v>
      </c>
      <c r="BR207" s="227">
        <f t="shared" si="5644"/>
        <v>744.63</v>
      </c>
      <c r="BS207" s="138">
        <f t="shared" si="5686"/>
        <v>0</v>
      </c>
      <c r="BT207" s="110">
        <f t="shared" si="5687"/>
        <v>0</v>
      </c>
      <c r="BU207" s="110"/>
      <c r="BV207" s="139"/>
      <c r="BW207" s="140" t="e">
        <f t="shared" si="5688"/>
        <v>#DIV/0!</v>
      </c>
      <c r="BX207" s="198">
        <f t="shared" si="5641"/>
        <v>0</v>
      </c>
      <c r="BY207" s="225">
        <f t="shared" si="5642"/>
        <v>0</v>
      </c>
      <c r="BZ207" s="226">
        <f t="shared" si="5643"/>
        <v>0</v>
      </c>
      <c r="CA207" s="137">
        <f t="shared" si="5689"/>
        <v>0</v>
      </c>
      <c r="CB207" s="227">
        <f t="shared" si="5644"/>
        <v>744.63</v>
      </c>
      <c r="CC207" s="138">
        <f t="shared" si="5690"/>
        <v>0</v>
      </c>
      <c r="CD207" s="110">
        <f t="shared" si="5691"/>
        <v>0</v>
      </c>
      <c r="CE207" s="110"/>
      <c r="CF207" s="139"/>
      <c r="CG207" s="140" t="e">
        <f t="shared" si="5692"/>
        <v>#DIV/0!</v>
      </c>
      <c r="CH207" s="198">
        <f t="shared" si="5645"/>
        <v>0</v>
      </c>
      <c r="CI207" s="225">
        <f t="shared" si="5646"/>
        <v>0</v>
      </c>
      <c r="CJ207" s="226">
        <f t="shared" si="5647"/>
        <v>0</v>
      </c>
      <c r="CK207" s="137">
        <f t="shared" si="5693"/>
        <v>0</v>
      </c>
      <c r="CL207" s="227">
        <f t="shared" si="5648"/>
        <v>744.63</v>
      </c>
      <c r="CM207" s="138">
        <f t="shared" si="5694"/>
        <v>0</v>
      </c>
      <c r="CN207" s="110">
        <f t="shared" si="5695"/>
        <v>0</v>
      </c>
      <c r="CO207" s="110"/>
      <c r="CP207" s="139"/>
      <c r="CQ207" s="140" t="e">
        <f t="shared" si="5696"/>
        <v>#DIV/0!</v>
      </c>
      <c r="CR207" s="198">
        <f t="shared" si="5645"/>
        <v>0</v>
      </c>
      <c r="CS207" s="225">
        <f t="shared" si="5646"/>
        <v>0</v>
      </c>
      <c r="CT207" s="226">
        <f t="shared" si="5647"/>
        <v>0</v>
      </c>
      <c r="CU207" s="137">
        <f t="shared" si="5697"/>
        <v>0</v>
      </c>
      <c r="CV207" s="227">
        <f t="shared" si="5648"/>
        <v>744.63</v>
      </c>
      <c r="CW207" s="138">
        <f t="shared" si="5698"/>
        <v>0</v>
      </c>
      <c r="CX207" s="110">
        <f t="shared" si="5699"/>
        <v>0</v>
      </c>
      <c r="CY207" s="110"/>
      <c r="CZ207" s="139"/>
      <c r="DA207" s="140" t="e">
        <f t="shared" si="5700"/>
        <v>#DIV/0!</v>
      </c>
      <c r="DB207" s="198">
        <f t="shared" si="5645"/>
        <v>0</v>
      </c>
      <c r="DC207" s="225">
        <f t="shared" si="5646"/>
        <v>0</v>
      </c>
      <c r="DD207" s="226">
        <f t="shared" si="5647"/>
        <v>0</v>
      </c>
      <c r="DE207" s="137">
        <f t="shared" si="5701"/>
        <v>0</v>
      </c>
      <c r="DF207" s="227">
        <f t="shared" si="5648"/>
        <v>744.63</v>
      </c>
      <c r="DG207" s="138">
        <f t="shared" si="5702"/>
        <v>0</v>
      </c>
      <c r="DH207" s="110">
        <f t="shared" si="5703"/>
        <v>0</v>
      </c>
      <c r="DI207" s="110"/>
      <c r="DJ207" s="139"/>
      <c r="DK207" s="140" t="e">
        <f t="shared" si="5704"/>
        <v>#DIV/0!</v>
      </c>
      <c r="DL207" s="198">
        <f t="shared" si="5645"/>
        <v>0</v>
      </c>
      <c r="DM207" s="225">
        <f t="shared" si="5646"/>
        <v>0</v>
      </c>
      <c r="DN207" s="226">
        <f t="shared" si="5647"/>
        <v>0</v>
      </c>
      <c r="DO207" s="137">
        <f t="shared" si="5705"/>
        <v>0</v>
      </c>
      <c r="DP207" s="227">
        <f t="shared" si="5648"/>
        <v>744.63</v>
      </c>
      <c r="DQ207" s="138">
        <f t="shared" si="5706"/>
        <v>0</v>
      </c>
      <c r="DR207" s="110">
        <f t="shared" si="5707"/>
        <v>0</v>
      </c>
      <c r="DS207" s="110"/>
      <c r="DT207" s="139"/>
      <c r="DU207" s="140" t="e">
        <f t="shared" si="5708"/>
        <v>#DIV/0!</v>
      </c>
      <c r="DV207" s="198">
        <f t="shared" si="5645"/>
        <v>0</v>
      </c>
      <c r="DW207" s="225">
        <f t="shared" si="5646"/>
        <v>0</v>
      </c>
      <c r="DX207" s="226">
        <f t="shared" si="5647"/>
        <v>0</v>
      </c>
      <c r="DY207" s="137">
        <f t="shared" si="5709"/>
        <v>0</v>
      </c>
      <c r="DZ207" s="227">
        <f t="shared" si="5648"/>
        <v>389.62</v>
      </c>
      <c r="EA207" s="138">
        <f t="shared" si="5710"/>
        <v>0</v>
      </c>
      <c r="EB207" s="110">
        <f t="shared" si="5711"/>
        <v>0</v>
      </c>
      <c r="EC207" s="110"/>
      <c r="ED207" s="139"/>
      <c r="EE207" s="140" t="e">
        <f t="shared" si="5712"/>
        <v>#DIV/0!</v>
      </c>
      <c r="EF207" s="198">
        <f t="shared" si="5645"/>
        <v>0</v>
      </c>
      <c r="EG207" s="225">
        <f t="shared" si="5646"/>
        <v>0</v>
      </c>
      <c r="EH207" s="226">
        <f t="shared" si="5647"/>
        <v>0</v>
      </c>
      <c r="EI207" s="137">
        <f t="shared" si="5713"/>
        <v>0</v>
      </c>
      <c r="EJ207" s="227">
        <f t="shared" si="5648"/>
        <v>744.63</v>
      </c>
      <c r="EK207" s="138">
        <f t="shared" si="5714"/>
        <v>0</v>
      </c>
      <c r="EL207" s="110">
        <f t="shared" si="5715"/>
        <v>0</v>
      </c>
      <c r="EM207" s="110"/>
      <c r="EN207" s="139"/>
      <c r="EO207" s="140" t="e">
        <f t="shared" si="5716"/>
        <v>#DIV/0!</v>
      </c>
      <c r="EP207" s="198">
        <f t="shared" si="5645"/>
        <v>0</v>
      </c>
      <c r="EQ207" s="225">
        <f t="shared" si="5646"/>
        <v>0</v>
      </c>
      <c r="ER207" s="226">
        <f t="shared" si="5647"/>
        <v>0</v>
      </c>
      <c r="ES207" s="137">
        <f t="shared" si="5717"/>
        <v>0</v>
      </c>
      <c r="ET207" s="227">
        <f t="shared" si="5648"/>
        <v>744.63</v>
      </c>
      <c r="EU207" s="138">
        <f t="shared" si="5718"/>
        <v>0</v>
      </c>
      <c r="EV207" s="110">
        <f t="shared" si="5719"/>
        <v>0</v>
      </c>
      <c r="EW207" s="110"/>
      <c r="EX207" s="139"/>
      <c r="EY207" s="140" t="e">
        <f t="shared" si="5720"/>
        <v>#DIV/0!</v>
      </c>
      <c r="EZ207" s="198">
        <f t="shared" si="5649"/>
        <v>0</v>
      </c>
      <c r="FA207" s="225">
        <f t="shared" si="5650"/>
        <v>0</v>
      </c>
      <c r="FB207" s="226">
        <f t="shared" si="5651"/>
        <v>0</v>
      </c>
      <c r="FC207" s="137">
        <f t="shared" si="5721"/>
        <v>0</v>
      </c>
      <c r="FD207" s="227">
        <f t="shared" si="5652"/>
        <v>744.63</v>
      </c>
      <c r="FE207" s="138">
        <f t="shared" si="5722"/>
        <v>0</v>
      </c>
      <c r="FF207" s="110">
        <f t="shared" si="5723"/>
        <v>0</v>
      </c>
      <c r="FG207" s="110"/>
      <c r="FH207" s="139"/>
      <c r="FI207" s="140" t="e">
        <f t="shared" si="5724"/>
        <v>#DIV/0!</v>
      </c>
      <c r="FJ207" s="198">
        <f t="shared" si="5649"/>
        <v>0</v>
      </c>
      <c r="FK207" s="225">
        <f t="shared" si="5650"/>
        <v>0</v>
      </c>
      <c r="FL207" s="226">
        <f t="shared" si="5651"/>
        <v>0</v>
      </c>
      <c r="FM207" s="137">
        <f t="shared" si="5725"/>
        <v>0</v>
      </c>
      <c r="FN207" s="227">
        <f t="shared" si="5652"/>
        <v>744.63</v>
      </c>
      <c r="FO207" s="138">
        <f t="shared" si="5726"/>
        <v>0</v>
      </c>
      <c r="FP207" s="110">
        <f t="shared" si="5727"/>
        <v>0</v>
      </c>
      <c r="FQ207" s="110"/>
      <c r="FR207" s="139"/>
      <c r="FS207" s="140" t="e">
        <f t="shared" si="5728"/>
        <v>#DIV/0!</v>
      </c>
      <c r="FT207" s="198">
        <f t="shared" si="5649"/>
        <v>0</v>
      </c>
      <c r="FU207" s="225">
        <f t="shared" si="5650"/>
        <v>0</v>
      </c>
      <c r="FV207" s="226">
        <f t="shared" si="5651"/>
        <v>0</v>
      </c>
      <c r="FW207" s="137">
        <f t="shared" si="5729"/>
        <v>0</v>
      </c>
      <c r="FX207" s="227">
        <f t="shared" si="5652"/>
        <v>744.63</v>
      </c>
      <c r="FY207" s="138">
        <f t="shared" si="5730"/>
        <v>0</v>
      </c>
      <c r="FZ207" s="110">
        <f t="shared" si="5731"/>
        <v>0</v>
      </c>
      <c r="GA207" s="110"/>
      <c r="GB207" s="139"/>
      <c r="GC207" s="140" t="e">
        <f t="shared" si="5732"/>
        <v>#DIV/0!</v>
      </c>
      <c r="GD207" s="198">
        <f t="shared" si="5649"/>
        <v>0</v>
      </c>
      <c r="GE207" s="225">
        <f t="shared" si="5650"/>
        <v>0</v>
      </c>
      <c r="GF207" s="226">
        <f t="shared" si="5651"/>
        <v>0</v>
      </c>
      <c r="GG207" s="137">
        <f t="shared" si="5733"/>
        <v>0</v>
      </c>
      <c r="GH207" s="227">
        <f t="shared" si="5652"/>
        <v>744.63</v>
      </c>
      <c r="GI207" s="138">
        <f t="shared" si="5734"/>
        <v>0</v>
      </c>
      <c r="GJ207" s="110">
        <f t="shared" si="5735"/>
        <v>0</v>
      </c>
      <c r="GK207" s="110"/>
      <c r="GL207" s="139"/>
      <c r="GM207" s="140" t="e">
        <f t="shared" si="5736"/>
        <v>#DIV/0!</v>
      </c>
      <c r="GN207" s="198">
        <f t="shared" si="5649"/>
        <v>0</v>
      </c>
      <c r="GO207" s="225">
        <f t="shared" si="5650"/>
        <v>0</v>
      </c>
      <c r="GP207" s="226">
        <f t="shared" si="5651"/>
        <v>0</v>
      </c>
      <c r="GQ207" s="137">
        <f t="shared" si="5737"/>
        <v>0</v>
      </c>
      <c r="GR207" s="227">
        <f t="shared" si="5652"/>
        <v>744.63</v>
      </c>
      <c r="GS207" s="138">
        <f t="shared" si="5738"/>
        <v>0</v>
      </c>
      <c r="GT207" s="110">
        <f t="shared" si="5739"/>
        <v>0</v>
      </c>
      <c r="GU207" s="110"/>
      <c r="GV207" s="139"/>
      <c r="GW207" s="140" t="e">
        <f t="shared" si="5740"/>
        <v>#DIV/0!</v>
      </c>
      <c r="GX207" s="198">
        <f t="shared" si="5649"/>
        <v>0</v>
      </c>
      <c r="GY207" s="225">
        <f t="shared" si="5650"/>
        <v>0</v>
      </c>
      <c r="GZ207" s="226">
        <f t="shared" si="5651"/>
        <v>0</v>
      </c>
      <c r="HA207" s="137">
        <f t="shared" si="5741"/>
        <v>0</v>
      </c>
      <c r="HB207" s="227">
        <f t="shared" si="5652"/>
        <v>744.63</v>
      </c>
      <c r="HC207" s="138">
        <f t="shared" si="5742"/>
        <v>0</v>
      </c>
      <c r="HD207" s="110">
        <f t="shared" si="5743"/>
        <v>0</v>
      </c>
      <c r="HE207" s="110"/>
      <c r="HF207" s="139"/>
      <c r="HG207" s="140" t="e">
        <f t="shared" si="5744"/>
        <v>#DIV/0!</v>
      </c>
      <c r="HH207" s="198">
        <f t="shared" si="5649"/>
        <v>0</v>
      </c>
      <c r="HI207" s="225">
        <f t="shared" si="5650"/>
        <v>0</v>
      </c>
      <c r="HJ207" s="226">
        <f t="shared" si="5651"/>
        <v>0</v>
      </c>
      <c r="HK207" s="137">
        <f t="shared" si="5745"/>
        <v>0</v>
      </c>
      <c r="HL207" s="227">
        <f t="shared" si="5652"/>
        <v>731.29</v>
      </c>
      <c r="HM207" s="138">
        <f t="shared" si="5746"/>
        <v>0</v>
      </c>
      <c r="HN207" s="110">
        <f t="shared" si="5747"/>
        <v>0</v>
      </c>
      <c r="HO207" s="110"/>
      <c r="HP207" s="139"/>
      <c r="HQ207" s="140" t="e">
        <f t="shared" si="5748"/>
        <v>#DIV/0!</v>
      </c>
      <c r="HR207" s="198">
        <f t="shared" si="5653"/>
        <v>0</v>
      </c>
      <c r="HS207" s="225">
        <f t="shared" si="5654"/>
        <v>0</v>
      </c>
      <c r="HT207" s="226">
        <f t="shared" si="5655"/>
        <v>0</v>
      </c>
      <c r="HU207" s="137">
        <f t="shared" si="5749"/>
        <v>0</v>
      </c>
      <c r="HV207" s="227">
        <f t="shared" si="5656"/>
        <v>744.63</v>
      </c>
      <c r="HW207" s="138">
        <f t="shared" si="5750"/>
        <v>0</v>
      </c>
      <c r="HX207" s="110">
        <f t="shared" si="5751"/>
        <v>0</v>
      </c>
      <c r="HY207" s="110"/>
      <c r="HZ207" s="139"/>
      <c r="IA207" s="140" t="e">
        <f t="shared" si="5752"/>
        <v>#DIV/0!</v>
      </c>
      <c r="IB207" s="198">
        <f t="shared" si="5653"/>
        <v>0</v>
      </c>
      <c r="IC207" s="225">
        <f t="shared" si="5654"/>
        <v>0</v>
      </c>
      <c r="ID207" s="226">
        <f t="shared" si="5655"/>
        <v>0</v>
      </c>
      <c r="IE207" s="137">
        <f t="shared" si="5753"/>
        <v>0</v>
      </c>
      <c r="IF207" s="227">
        <f t="shared" si="5656"/>
        <v>744.63</v>
      </c>
      <c r="IG207" s="138">
        <f t="shared" si="5754"/>
        <v>0</v>
      </c>
      <c r="IH207" s="110">
        <f t="shared" si="5755"/>
        <v>0</v>
      </c>
      <c r="II207" s="110"/>
      <c r="IJ207" s="139"/>
      <c r="IK207" s="140" t="e">
        <f t="shared" si="5756"/>
        <v>#DIV/0!</v>
      </c>
      <c r="IL207" s="198">
        <f t="shared" si="5653"/>
        <v>0</v>
      </c>
      <c r="IM207" s="225">
        <f t="shared" si="5654"/>
        <v>0</v>
      </c>
      <c r="IN207" s="226">
        <f t="shared" si="5655"/>
        <v>0</v>
      </c>
      <c r="IO207" s="137">
        <f t="shared" si="5757"/>
        <v>0</v>
      </c>
      <c r="IP207" s="227">
        <f t="shared" si="5656"/>
        <v>678.72</v>
      </c>
      <c r="IQ207" s="138">
        <f t="shared" si="5758"/>
        <v>0</v>
      </c>
      <c r="IR207" s="110">
        <f t="shared" si="5759"/>
        <v>0</v>
      </c>
      <c r="IS207" s="110"/>
      <c r="IT207" s="139"/>
      <c r="IU207" s="140" t="e">
        <f t="shared" si="5760"/>
        <v>#DIV/0!</v>
      </c>
      <c r="IV207" s="198">
        <f t="shared" si="5653"/>
        <v>0</v>
      </c>
      <c r="IW207" s="225">
        <f t="shared" si="5654"/>
        <v>0</v>
      </c>
      <c r="IX207" s="226">
        <f t="shared" si="5655"/>
        <v>0</v>
      </c>
      <c r="IY207" s="137">
        <f t="shared" si="5761"/>
        <v>0</v>
      </c>
      <c r="IZ207" s="227">
        <f t="shared" si="5656"/>
        <v>744.63</v>
      </c>
      <c r="JA207" s="138">
        <f t="shared" si="5762"/>
        <v>0</v>
      </c>
      <c r="JB207" s="110">
        <f t="shared" si="5763"/>
        <v>0</v>
      </c>
      <c r="JC207" s="110"/>
      <c r="JD207" s="139"/>
      <c r="JE207" s="140" t="e">
        <f t="shared" si="5764"/>
        <v>#DIV/0!</v>
      </c>
      <c r="JF207" s="198">
        <f t="shared" si="5653"/>
        <v>0</v>
      </c>
      <c r="JG207" s="225">
        <f t="shared" si="5654"/>
        <v>0</v>
      </c>
      <c r="JH207" s="226">
        <f t="shared" si="5655"/>
        <v>0</v>
      </c>
      <c r="JI207" s="137">
        <f t="shared" si="5765"/>
        <v>0</v>
      </c>
      <c r="JJ207" s="227">
        <f t="shared" si="5656"/>
        <v>744.63</v>
      </c>
      <c r="JK207" s="138">
        <f t="shared" si="5766"/>
        <v>0</v>
      </c>
      <c r="JL207" s="110">
        <f t="shared" si="5767"/>
        <v>0</v>
      </c>
      <c r="JM207" s="110"/>
      <c r="JN207" s="139"/>
      <c r="JO207" s="140" t="e">
        <f t="shared" si="5768"/>
        <v>#DIV/0!</v>
      </c>
      <c r="JP207" s="198">
        <f t="shared" si="5653"/>
        <v>0</v>
      </c>
      <c r="JQ207" s="225">
        <f t="shared" si="5654"/>
        <v>0</v>
      </c>
      <c r="JR207" s="226">
        <f t="shared" si="5655"/>
        <v>0</v>
      </c>
      <c r="JS207" s="137">
        <f t="shared" si="5769"/>
        <v>0</v>
      </c>
      <c r="JT207" s="227">
        <f t="shared" si="5656"/>
        <v>744.63</v>
      </c>
      <c r="JU207" s="138">
        <f t="shared" si="5770"/>
        <v>0</v>
      </c>
      <c r="JV207" s="110">
        <f t="shared" si="5771"/>
        <v>0</v>
      </c>
      <c r="JW207" s="110"/>
      <c r="JX207" s="139"/>
      <c r="JY207" s="140" t="e">
        <f t="shared" si="5772"/>
        <v>#DIV/0!</v>
      </c>
      <c r="JZ207" s="198">
        <f t="shared" si="5653"/>
        <v>0</v>
      </c>
      <c r="KA207" s="225">
        <f t="shared" si="5654"/>
        <v>0</v>
      </c>
      <c r="KB207" s="226">
        <f t="shared" si="5655"/>
        <v>0</v>
      </c>
      <c r="KC207" s="137">
        <f t="shared" si="5773"/>
        <v>0</v>
      </c>
      <c r="KD207" s="227">
        <f t="shared" si="5656"/>
        <v>744.63</v>
      </c>
      <c r="KE207" s="138">
        <f t="shared" si="5774"/>
        <v>0</v>
      </c>
      <c r="KF207" s="110">
        <f t="shared" si="5775"/>
        <v>0</v>
      </c>
      <c r="KG207" s="110"/>
      <c r="KH207" s="139"/>
      <c r="KI207" s="140" t="e">
        <f t="shared" si="5776"/>
        <v>#DIV/0!</v>
      </c>
      <c r="KJ207" s="198">
        <f t="shared" si="5657"/>
        <v>0</v>
      </c>
      <c r="KK207" s="225">
        <f t="shared" si="5658"/>
        <v>0</v>
      </c>
      <c r="KL207" s="226">
        <f t="shared" si="5659"/>
        <v>0</v>
      </c>
      <c r="KM207" s="137">
        <f t="shared" si="5777"/>
        <v>0</v>
      </c>
      <c r="KN207" s="227">
        <f t="shared" si="5660"/>
        <v>744.63</v>
      </c>
      <c r="KO207" s="138">
        <f t="shared" si="5778"/>
        <v>0</v>
      </c>
      <c r="KP207" s="110">
        <f t="shared" si="5779"/>
        <v>0</v>
      </c>
      <c r="KQ207" s="110"/>
      <c r="KR207" s="139"/>
      <c r="KS207" s="140" t="e">
        <f t="shared" si="5780"/>
        <v>#DIV/0!</v>
      </c>
      <c r="KT207" s="198">
        <f t="shared" si="5657"/>
        <v>0</v>
      </c>
      <c r="KU207" s="225">
        <f t="shared" si="5658"/>
        <v>0</v>
      </c>
      <c r="KV207" s="226">
        <f t="shared" si="5659"/>
        <v>0</v>
      </c>
      <c r="KW207" s="137">
        <f t="shared" si="5781"/>
        <v>0</v>
      </c>
      <c r="KX207" s="227">
        <f t="shared" si="5660"/>
        <v>744.63</v>
      </c>
      <c r="KY207" s="138">
        <f t="shared" si="5782"/>
        <v>0</v>
      </c>
      <c r="KZ207" s="110">
        <f t="shared" si="5783"/>
        <v>0</v>
      </c>
      <c r="LA207" s="110"/>
      <c r="LB207" s="139"/>
      <c r="LC207" s="140" t="e">
        <f t="shared" si="5784"/>
        <v>#DIV/0!</v>
      </c>
      <c r="LD207" s="198">
        <f t="shared" si="5510"/>
        <v>0</v>
      </c>
      <c r="LE207" s="225">
        <f t="shared" si="5511"/>
        <v>0</v>
      </c>
      <c r="LF207" s="226">
        <f t="shared" si="5512"/>
        <v>0</v>
      </c>
      <c r="LG207" s="137">
        <f t="shared" si="5785"/>
        <v>0</v>
      </c>
      <c r="LH207" s="227">
        <f t="shared" si="5513"/>
        <v>733.76</v>
      </c>
      <c r="LI207" s="138">
        <f t="shared" si="5786"/>
        <v>0</v>
      </c>
      <c r="LJ207" s="110">
        <f t="shared" si="5787"/>
        <v>0</v>
      </c>
      <c r="LK207" s="110"/>
      <c r="LL207" s="139"/>
    </row>
    <row r="208" spans="1:324" ht="16.5" hidden="1" customHeight="1" x14ac:dyDescent="0.25">
      <c r="A208" s="246"/>
      <c r="B208" s="92" t="s">
        <v>625</v>
      </c>
      <c r="C208" s="12" t="s">
        <v>728</v>
      </c>
      <c r="D208" s="12" t="s">
        <v>430</v>
      </c>
      <c r="E208" s="4" t="s">
        <v>32</v>
      </c>
      <c r="F208" s="198">
        <f t="shared" si="5506"/>
        <v>0</v>
      </c>
      <c r="G208" s="225">
        <f t="shared" si="5507"/>
        <v>0</v>
      </c>
      <c r="H208" s="226">
        <f t="shared" si="5508"/>
        <v>0</v>
      </c>
      <c r="I208" s="137">
        <f t="shared" si="5661"/>
        <v>0</v>
      </c>
      <c r="J208" s="227">
        <f t="shared" si="5509"/>
        <v>744.63</v>
      </c>
      <c r="K208" s="138">
        <f t="shared" si="5662"/>
        <v>0</v>
      </c>
      <c r="L208" s="110">
        <f t="shared" si="5663"/>
        <v>0</v>
      </c>
      <c r="M208" s="110"/>
      <c r="N208" s="139"/>
      <c r="O208" s="140" t="e">
        <f t="shared" si="5664"/>
        <v>#DIV/0!</v>
      </c>
      <c r="P208" s="198">
        <f t="shared" si="5641"/>
        <v>0</v>
      </c>
      <c r="Q208" s="225">
        <f t="shared" si="5642"/>
        <v>0</v>
      </c>
      <c r="R208" s="226">
        <f t="shared" si="5643"/>
        <v>0</v>
      </c>
      <c r="S208" s="137">
        <f t="shared" si="5665"/>
        <v>0</v>
      </c>
      <c r="T208" s="227">
        <f t="shared" si="5644"/>
        <v>744.63</v>
      </c>
      <c r="U208" s="138">
        <f t="shared" si="5666"/>
        <v>0</v>
      </c>
      <c r="V208" s="110">
        <f t="shared" si="5667"/>
        <v>0</v>
      </c>
      <c r="W208" s="110"/>
      <c r="X208" s="139"/>
      <c r="Y208" s="140" t="e">
        <f t="shared" si="5668"/>
        <v>#DIV/0!</v>
      </c>
      <c r="Z208" s="198">
        <f t="shared" si="5641"/>
        <v>0</v>
      </c>
      <c r="AA208" s="225">
        <f t="shared" si="5642"/>
        <v>0</v>
      </c>
      <c r="AB208" s="226">
        <f t="shared" si="5643"/>
        <v>0</v>
      </c>
      <c r="AC208" s="137">
        <f t="shared" si="5669"/>
        <v>0</v>
      </c>
      <c r="AD208" s="227">
        <f t="shared" si="5644"/>
        <v>744.63</v>
      </c>
      <c r="AE208" s="138">
        <f t="shared" si="5670"/>
        <v>0</v>
      </c>
      <c r="AF208" s="110">
        <f t="shared" si="5671"/>
        <v>0</v>
      </c>
      <c r="AG208" s="110"/>
      <c r="AH208" s="139"/>
      <c r="AI208" s="140" t="e">
        <f t="shared" si="5672"/>
        <v>#DIV/0!</v>
      </c>
      <c r="AJ208" s="198">
        <f t="shared" si="5641"/>
        <v>0</v>
      </c>
      <c r="AK208" s="225">
        <f t="shared" si="5642"/>
        <v>0</v>
      </c>
      <c r="AL208" s="226">
        <f t="shared" si="5643"/>
        <v>0</v>
      </c>
      <c r="AM208" s="137">
        <f t="shared" si="5673"/>
        <v>0</v>
      </c>
      <c r="AN208" s="227">
        <f t="shared" si="5644"/>
        <v>744.63</v>
      </c>
      <c r="AO208" s="138">
        <f t="shared" si="5674"/>
        <v>0</v>
      </c>
      <c r="AP208" s="110">
        <f t="shared" si="5675"/>
        <v>0</v>
      </c>
      <c r="AQ208" s="110"/>
      <c r="AR208" s="139"/>
      <c r="AS208" s="140" t="e">
        <f t="shared" si="5676"/>
        <v>#DIV/0!</v>
      </c>
      <c r="AT208" s="198">
        <f t="shared" si="5641"/>
        <v>0</v>
      </c>
      <c r="AU208" s="225">
        <f t="shared" si="5642"/>
        <v>0</v>
      </c>
      <c r="AV208" s="226">
        <f t="shared" si="5643"/>
        <v>0</v>
      </c>
      <c r="AW208" s="137">
        <f t="shared" si="5677"/>
        <v>0</v>
      </c>
      <c r="AX208" s="227">
        <f t="shared" si="5644"/>
        <v>744.63</v>
      </c>
      <c r="AY208" s="138">
        <f t="shared" si="5678"/>
        <v>0</v>
      </c>
      <c r="AZ208" s="110">
        <f t="shared" si="5679"/>
        <v>0</v>
      </c>
      <c r="BA208" s="110"/>
      <c r="BB208" s="139"/>
      <c r="BC208" s="140" t="e">
        <f t="shared" si="5680"/>
        <v>#DIV/0!</v>
      </c>
      <c r="BD208" s="198">
        <f t="shared" si="5641"/>
        <v>0</v>
      </c>
      <c r="BE208" s="225">
        <f t="shared" si="5642"/>
        <v>0</v>
      </c>
      <c r="BF208" s="226">
        <f t="shared" si="5643"/>
        <v>0</v>
      </c>
      <c r="BG208" s="137">
        <f t="shared" si="5681"/>
        <v>0</v>
      </c>
      <c r="BH208" s="227">
        <f t="shared" si="5644"/>
        <v>744.63</v>
      </c>
      <c r="BI208" s="138">
        <f t="shared" si="5682"/>
        <v>0</v>
      </c>
      <c r="BJ208" s="110">
        <f t="shared" si="5683"/>
        <v>0</v>
      </c>
      <c r="BK208" s="110"/>
      <c r="BL208" s="139"/>
      <c r="BM208" s="140" t="e">
        <f t="shared" si="5684"/>
        <v>#DIV/0!</v>
      </c>
      <c r="BN208" s="198">
        <f t="shared" si="5641"/>
        <v>0</v>
      </c>
      <c r="BO208" s="225">
        <f t="shared" si="5642"/>
        <v>0</v>
      </c>
      <c r="BP208" s="226">
        <f t="shared" si="5643"/>
        <v>0</v>
      </c>
      <c r="BQ208" s="137">
        <f t="shared" si="5685"/>
        <v>0</v>
      </c>
      <c r="BR208" s="227">
        <f t="shared" si="5644"/>
        <v>744.63</v>
      </c>
      <c r="BS208" s="138">
        <f t="shared" si="5686"/>
        <v>0</v>
      </c>
      <c r="BT208" s="110">
        <f t="shared" si="5687"/>
        <v>0</v>
      </c>
      <c r="BU208" s="110"/>
      <c r="BV208" s="139"/>
      <c r="BW208" s="140" t="e">
        <f t="shared" si="5688"/>
        <v>#DIV/0!</v>
      </c>
      <c r="BX208" s="198">
        <f t="shared" si="5641"/>
        <v>0</v>
      </c>
      <c r="BY208" s="225">
        <f t="shared" si="5642"/>
        <v>0</v>
      </c>
      <c r="BZ208" s="226">
        <f t="shared" si="5643"/>
        <v>0</v>
      </c>
      <c r="CA208" s="137">
        <f t="shared" si="5689"/>
        <v>0</v>
      </c>
      <c r="CB208" s="227">
        <f t="shared" si="5644"/>
        <v>744.63</v>
      </c>
      <c r="CC208" s="138">
        <f t="shared" si="5690"/>
        <v>0</v>
      </c>
      <c r="CD208" s="110">
        <f t="shared" si="5691"/>
        <v>0</v>
      </c>
      <c r="CE208" s="110"/>
      <c r="CF208" s="139"/>
      <c r="CG208" s="140" t="e">
        <f t="shared" si="5692"/>
        <v>#DIV/0!</v>
      </c>
      <c r="CH208" s="198">
        <f t="shared" si="5645"/>
        <v>0</v>
      </c>
      <c r="CI208" s="225">
        <f t="shared" si="5646"/>
        <v>0</v>
      </c>
      <c r="CJ208" s="226">
        <f t="shared" si="5647"/>
        <v>0</v>
      </c>
      <c r="CK208" s="137">
        <f t="shared" si="5693"/>
        <v>0</v>
      </c>
      <c r="CL208" s="227">
        <f t="shared" si="5648"/>
        <v>744.63</v>
      </c>
      <c r="CM208" s="138">
        <f t="shared" si="5694"/>
        <v>0</v>
      </c>
      <c r="CN208" s="110">
        <f t="shared" si="5695"/>
        <v>0</v>
      </c>
      <c r="CO208" s="110"/>
      <c r="CP208" s="139"/>
      <c r="CQ208" s="140" t="e">
        <f t="shared" si="5696"/>
        <v>#DIV/0!</v>
      </c>
      <c r="CR208" s="198">
        <f t="shared" si="5645"/>
        <v>0</v>
      </c>
      <c r="CS208" s="225">
        <f t="shared" si="5646"/>
        <v>0</v>
      </c>
      <c r="CT208" s="226">
        <f t="shared" si="5647"/>
        <v>0</v>
      </c>
      <c r="CU208" s="137">
        <f t="shared" si="5697"/>
        <v>0</v>
      </c>
      <c r="CV208" s="227">
        <f t="shared" si="5648"/>
        <v>744.63</v>
      </c>
      <c r="CW208" s="138">
        <f t="shared" si="5698"/>
        <v>0</v>
      </c>
      <c r="CX208" s="110">
        <f t="shared" si="5699"/>
        <v>0</v>
      </c>
      <c r="CY208" s="110"/>
      <c r="CZ208" s="139"/>
      <c r="DA208" s="140" t="e">
        <f t="shared" si="5700"/>
        <v>#DIV/0!</v>
      </c>
      <c r="DB208" s="198">
        <f t="shared" si="5645"/>
        <v>0</v>
      </c>
      <c r="DC208" s="225">
        <f t="shared" si="5646"/>
        <v>0</v>
      </c>
      <c r="DD208" s="226">
        <f t="shared" si="5647"/>
        <v>0</v>
      </c>
      <c r="DE208" s="137">
        <f t="shared" si="5701"/>
        <v>0</v>
      </c>
      <c r="DF208" s="227">
        <f t="shared" si="5648"/>
        <v>744.63</v>
      </c>
      <c r="DG208" s="138">
        <f t="shared" si="5702"/>
        <v>0</v>
      </c>
      <c r="DH208" s="110">
        <f t="shared" si="5703"/>
        <v>0</v>
      </c>
      <c r="DI208" s="110"/>
      <c r="DJ208" s="139"/>
      <c r="DK208" s="140" t="e">
        <f t="shared" si="5704"/>
        <v>#DIV/0!</v>
      </c>
      <c r="DL208" s="198">
        <f t="shared" si="5645"/>
        <v>0</v>
      </c>
      <c r="DM208" s="225">
        <f t="shared" si="5646"/>
        <v>0</v>
      </c>
      <c r="DN208" s="226">
        <f t="shared" si="5647"/>
        <v>0</v>
      </c>
      <c r="DO208" s="137">
        <f t="shared" si="5705"/>
        <v>0</v>
      </c>
      <c r="DP208" s="227">
        <f t="shared" si="5648"/>
        <v>744.63</v>
      </c>
      <c r="DQ208" s="138">
        <f t="shared" si="5706"/>
        <v>0</v>
      </c>
      <c r="DR208" s="110">
        <f t="shared" si="5707"/>
        <v>0</v>
      </c>
      <c r="DS208" s="110"/>
      <c r="DT208" s="139"/>
      <c r="DU208" s="140" t="e">
        <f t="shared" si="5708"/>
        <v>#DIV/0!</v>
      </c>
      <c r="DV208" s="198">
        <f t="shared" si="5645"/>
        <v>0</v>
      </c>
      <c r="DW208" s="225">
        <f t="shared" si="5646"/>
        <v>0</v>
      </c>
      <c r="DX208" s="226">
        <f t="shared" si="5647"/>
        <v>0</v>
      </c>
      <c r="DY208" s="137">
        <f t="shared" si="5709"/>
        <v>0</v>
      </c>
      <c r="DZ208" s="227">
        <f t="shared" si="5648"/>
        <v>389.62</v>
      </c>
      <c r="EA208" s="138">
        <f t="shared" si="5710"/>
        <v>0</v>
      </c>
      <c r="EB208" s="110">
        <f t="shared" si="5711"/>
        <v>0</v>
      </c>
      <c r="EC208" s="110"/>
      <c r="ED208" s="139"/>
      <c r="EE208" s="140" t="e">
        <f t="shared" si="5712"/>
        <v>#DIV/0!</v>
      </c>
      <c r="EF208" s="198">
        <f t="shared" si="5645"/>
        <v>0</v>
      </c>
      <c r="EG208" s="225">
        <f t="shared" si="5646"/>
        <v>0</v>
      </c>
      <c r="EH208" s="226">
        <f t="shared" si="5647"/>
        <v>0</v>
      </c>
      <c r="EI208" s="137">
        <f t="shared" si="5713"/>
        <v>0</v>
      </c>
      <c r="EJ208" s="227">
        <f t="shared" si="5648"/>
        <v>744.63</v>
      </c>
      <c r="EK208" s="138">
        <f t="shared" si="5714"/>
        <v>0</v>
      </c>
      <c r="EL208" s="110">
        <f t="shared" si="5715"/>
        <v>0</v>
      </c>
      <c r="EM208" s="110"/>
      <c r="EN208" s="139"/>
      <c r="EO208" s="140" t="e">
        <f t="shared" si="5716"/>
        <v>#DIV/0!</v>
      </c>
      <c r="EP208" s="198">
        <f t="shared" si="5645"/>
        <v>0</v>
      </c>
      <c r="EQ208" s="225">
        <f t="shared" si="5646"/>
        <v>0</v>
      </c>
      <c r="ER208" s="226">
        <f t="shared" si="5647"/>
        <v>0</v>
      </c>
      <c r="ES208" s="137">
        <f t="shared" si="5717"/>
        <v>0</v>
      </c>
      <c r="ET208" s="227">
        <f t="shared" si="5648"/>
        <v>744.63</v>
      </c>
      <c r="EU208" s="138">
        <f t="shared" si="5718"/>
        <v>0</v>
      </c>
      <c r="EV208" s="110">
        <f t="shared" si="5719"/>
        <v>0</v>
      </c>
      <c r="EW208" s="110"/>
      <c r="EX208" s="139"/>
      <c r="EY208" s="140" t="e">
        <f t="shared" si="5720"/>
        <v>#DIV/0!</v>
      </c>
      <c r="EZ208" s="198">
        <f t="shared" si="5649"/>
        <v>0</v>
      </c>
      <c r="FA208" s="225">
        <f t="shared" si="5650"/>
        <v>0</v>
      </c>
      <c r="FB208" s="226">
        <f t="shared" si="5651"/>
        <v>0</v>
      </c>
      <c r="FC208" s="137">
        <f t="shared" si="5721"/>
        <v>0</v>
      </c>
      <c r="FD208" s="227">
        <f t="shared" si="5652"/>
        <v>744.63</v>
      </c>
      <c r="FE208" s="138">
        <f t="shared" si="5722"/>
        <v>0</v>
      </c>
      <c r="FF208" s="110">
        <f t="shared" si="5723"/>
        <v>0</v>
      </c>
      <c r="FG208" s="110"/>
      <c r="FH208" s="139"/>
      <c r="FI208" s="140" t="e">
        <f t="shared" si="5724"/>
        <v>#DIV/0!</v>
      </c>
      <c r="FJ208" s="198">
        <f t="shared" si="5649"/>
        <v>0</v>
      </c>
      <c r="FK208" s="225">
        <f t="shared" si="5650"/>
        <v>0</v>
      </c>
      <c r="FL208" s="226">
        <f t="shared" si="5651"/>
        <v>0</v>
      </c>
      <c r="FM208" s="137">
        <f t="shared" si="5725"/>
        <v>0</v>
      </c>
      <c r="FN208" s="227">
        <f t="shared" si="5652"/>
        <v>744.63</v>
      </c>
      <c r="FO208" s="138">
        <f t="shared" si="5726"/>
        <v>0</v>
      </c>
      <c r="FP208" s="110">
        <f t="shared" si="5727"/>
        <v>0</v>
      </c>
      <c r="FQ208" s="110"/>
      <c r="FR208" s="139"/>
      <c r="FS208" s="140" t="e">
        <f t="shared" si="5728"/>
        <v>#DIV/0!</v>
      </c>
      <c r="FT208" s="198">
        <f t="shared" si="5649"/>
        <v>0</v>
      </c>
      <c r="FU208" s="225">
        <f t="shared" si="5650"/>
        <v>0</v>
      </c>
      <c r="FV208" s="226">
        <f t="shared" si="5651"/>
        <v>0</v>
      </c>
      <c r="FW208" s="137">
        <f t="shared" si="5729"/>
        <v>0</v>
      </c>
      <c r="FX208" s="227">
        <f t="shared" si="5652"/>
        <v>744.63</v>
      </c>
      <c r="FY208" s="138">
        <f t="shared" si="5730"/>
        <v>0</v>
      </c>
      <c r="FZ208" s="110">
        <f t="shared" si="5731"/>
        <v>0</v>
      </c>
      <c r="GA208" s="110"/>
      <c r="GB208" s="139"/>
      <c r="GC208" s="140" t="e">
        <f t="shared" si="5732"/>
        <v>#DIV/0!</v>
      </c>
      <c r="GD208" s="198">
        <f t="shared" si="5649"/>
        <v>0</v>
      </c>
      <c r="GE208" s="225">
        <f t="shared" si="5650"/>
        <v>0</v>
      </c>
      <c r="GF208" s="226">
        <f t="shared" si="5651"/>
        <v>0</v>
      </c>
      <c r="GG208" s="137">
        <f t="shared" si="5733"/>
        <v>0</v>
      </c>
      <c r="GH208" s="227">
        <f t="shared" si="5652"/>
        <v>744.63</v>
      </c>
      <c r="GI208" s="138">
        <f t="shared" si="5734"/>
        <v>0</v>
      </c>
      <c r="GJ208" s="110">
        <f t="shared" si="5735"/>
        <v>0</v>
      </c>
      <c r="GK208" s="110"/>
      <c r="GL208" s="139"/>
      <c r="GM208" s="140" t="e">
        <f t="shared" si="5736"/>
        <v>#DIV/0!</v>
      </c>
      <c r="GN208" s="198">
        <f t="shared" si="5649"/>
        <v>0</v>
      </c>
      <c r="GO208" s="225">
        <f t="shared" si="5650"/>
        <v>0</v>
      </c>
      <c r="GP208" s="226">
        <f t="shared" si="5651"/>
        <v>0</v>
      </c>
      <c r="GQ208" s="137">
        <f t="shared" si="5737"/>
        <v>0</v>
      </c>
      <c r="GR208" s="227">
        <f t="shared" si="5652"/>
        <v>744.63</v>
      </c>
      <c r="GS208" s="138">
        <f t="shared" si="5738"/>
        <v>0</v>
      </c>
      <c r="GT208" s="110">
        <f t="shared" si="5739"/>
        <v>0</v>
      </c>
      <c r="GU208" s="110"/>
      <c r="GV208" s="139"/>
      <c r="GW208" s="140" t="e">
        <f t="shared" si="5740"/>
        <v>#DIV/0!</v>
      </c>
      <c r="GX208" s="198">
        <f t="shared" si="5649"/>
        <v>0</v>
      </c>
      <c r="GY208" s="225">
        <f t="shared" si="5650"/>
        <v>0</v>
      </c>
      <c r="GZ208" s="226">
        <f t="shared" si="5651"/>
        <v>0</v>
      </c>
      <c r="HA208" s="137">
        <f t="shared" si="5741"/>
        <v>0</v>
      </c>
      <c r="HB208" s="227">
        <f t="shared" si="5652"/>
        <v>744.63</v>
      </c>
      <c r="HC208" s="138">
        <f t="shared" si="5742"/>
        <v>0</v>
      </c>
      <c r="HD208" s="110">
        <f t="shared" si="5743"/>
        <v>0</v>
      </c>
      <c r="HE208" s="110"/>
      <c r="HF208" s="139"/>
      <c r="HG208" s="140" t="e">
        <f t="shared" si="5744"/>
        <v>#DIV/0!</v>
      </c>
      <c r="HH208" s="198">
        <f t="shared" si="5649"/>
        <v>0</v>
      </c>
      <c r="HI208" s="225">
        <f t="shared" si="5650"/>
        <v>0</v>
      </c>
      <c r="HJ208" s="226">
        <f t="shared" si="5651"/>
        <v>0</v>
      </c>
      <c r="HK208" s="137">
        <f t="shared" si="5745"/>
        <v>0</v>
      </c>
      <c r="HL208" s="227">
        <f t="shared" si="5652"/>
        <v>731.29</v>
      </c>
      <c r="HM208" s="138">
        <f t="shared" si="5746"/>
        <v>0</v>
      </c>
      <c r="HN208" s="110">
        <f t="shared" si="5747"/>
        <v>0</v>
      </c>
      <c r="HO208" s="110"/>
      <c r="HP208" s="139"/>
      <c r="HQ208" s="140" t="e">
        <f t="shared" si="5748"/>
        <v>#DIV/0!</v>
      </c>
      <c r="HR208" s="198">
        <f t="shared" si="5653"/>
        <v>0</v>
      </c>
      <c r="HS208" s="225">
        <f t="shared" si="5654"/>
        <v>0</v>
      </c>
      <c r="HT208" s="226">
        <f t="shared" si="5655"/>
        <v>0</v>
      </c>
      <c r="HU208" s="137">
        <f t="shared" si="5749"/>
        <v>0</v>
      </c>
      <c r="HV208" s="227">
        <f t="shared" si="5656"/>
        <v>744.63</v>
      </c>
      <c r="HW208" s="138">
        <f t="shared" si="5750"/>
        <v>0</v>
      </c>
      <c r="HX208" s="110">
        <f t="shared" si="5751"/>
        <v>0</v>
      </c>
      <c r="HY208" s="110"/>
      <c r="HZ208" s="139"/>
      <c r="IA208" s="140" t="e">
        <f t="shared" si="5752"/>
        <v>#DIV/0!</v>
      </c>
      <c r="IB208" s="198">
        <f t="shared" si="5653"/>
        <v>0</v>
      </c>
      <c r="IC208" s="225">
        <f t="shared" si="5654"/>
        <v>0</v>
      </c>
      <c r="ID208" s="226">
        <f t="shared" si="5655"/>
        <v>0</v>
      </c>
      <c r="IE208" s="137">
        <f t="shared" si="5753"/>
        <v>0</v>
      </c>
      <c r="IF208" s="227">
        <f t="shared" si="5656"/>
        <v>744.63</v>
      </c>
      <c r="IG208" s="138">
        <f t="shared" si="5754"/>
        <v>0</v>
      </c>
      <c r="IH208" s="110">
        <f t="shared" si="5755"/>
        <v>0</v>
      </c>
      <c r="II208" s="110"/>
      <c r="IJ208" s="139"/>
      <c r="IK208" s="140" t="e">
        <f t="shared" si="5756"/>
        <v>#DIV/0!</v>
      </c>
      <c r="IL208" s="198">
        <f t="shared" si="5653"/>
        <v>0</v>
      </c>
      <c r="IM208" s="225">
        <f t="shared" si="5654"/>
        <v>0</v>
      </c>
      <c r="IN208" s="226">
        <f t="shared" si="5655"/>
        <v>0</v>
      </c>
      <c r="IO208" s="137">
        <f t="shared" si="5757"/>
        <v>0</v>
      </c>
      <c r="IP208" s="227">
        <f t="shared" si="5656"/>
        <v>678.72</v>
      </c>
      <c r="IQ208" s="138">
        <f t="shared" si="5758"/>
        <v>0</v>
      </c>
      <c r="IR208" s="110">
        <f t="shared" si="5759"/>
        <v>0</v>
      </c>
      <c r="IS208" s="110"/>
      <c r="IT208" s="139"/>
      <c r="IU208" s="140" t="e">
        <f t="shared" si="5760"/>
        <v>#DIV/0!</v>
      </c>
      <c r="IV208" s="198">
        <f t="shared" si="5653"/>
        <v>0</v>
      </c>
      <c r="IW208" s="225">
        <f t="shared" si="5654"/>
        <v>0</v>
      </c>
      <c r="IX208" s="226">
        <f t="shared" si="5655"/>
        <v>0</v>
      </c>
      <c r="IY208" s="137">
        <f t="shared" si="5761"/>
        <v>0</v>
      </c>
      <c r="IZ208" s="227">
        <f t="shared" si="5656"/>
        <v>744.63</v>
      </c>
      <c r="JA208" s="138">
        <f t="shared" si="5762"/>
        <v>0</v>
      </c>
      <c r="JB208" s="110">
        <f t="shared" si="5763"/>
        <v>0</v>
      </c>
      <c r="JC208" s="110"/>
      <c r="JD208" s="139"/>
      <c r="JE208" s="140" t="e">
        <f t="shared" si="5764"/>
        <v>#DIV/0!</v>
      </c>
      <c r="JF208" s="198">
        <f t="shared" si="5653"/>
        <v>0</v>
      </c>
      <c r="JG208" s="225">
        <f t="shared" si="5654"/>
        <v>0</v>
      </c>
      <c r="JH208" s="226">
        <f t="shared" si="5655"/>
        <v>0</v>
      </c>
      <c r="JI208" s="137">
        <f t="shared" si="5765"/>
        <v>0</v>
      </c>
      <c r="JJ208" s="227">
        <f t="shared" si="5656"/>
        <v>744.63</v>
      </c>
      <c r="JK208" s="138">
        <f t="shared" si="5766"/>
        <v>0</v>
      </c>
      <c r="JL208" s="110">
        <f t="shared" si="5767"/>
        <v>0</v>
      </c>
      <c r="JM208" s="110"/>
      <c r="JN208" s="139"/>
      <c r="JO208" s="140" t="e">
        <f t="shared" si="5768"/>
        <v>#DIV/0!</v>
      </c>
      <c r="JP208" s="198">
        <f t="shared" si="5653"/>
        <v>0</v>
      </c>
      <c r="JQ208" s="225">
        <f t="shared" si="5654"/>
        <v>0</v>
      </c>
      <c r="JR208" s="226">
        <f t="shared" si="5655"/>
        <v>0</v>
      </c>
      <c r="JS208" s="137">
        <f t="shared" si="5769"/>
        <v>0</v>
      </c>
      <c r="JT208" s="227">
        <f t="shared" si="5656"/>
        <v>744.63</v>
      </c>
      <c r="JU208" s="138">
        <f t="shared" si="5770"/>
        <v>0</v>
      </c>
      <c r="JV208" s="110">
        <f t="shared" si="5771"/>
        <v>0</v>
      </c>
      <c r="JW208" s="110"/>
      <c r="JX208" s="139"/>
      <c r="JY208" s="140" t="e">
        <f t="shared" si="5772"/>
        <v>#DIV/0!</v>
      </c>
      <c r="JZ208" s="198">
        <f t="shared" si="5653"/>
        <v>0</v>
      </c>
      <c r="KA208" s="225">
        <f t="shared" si="5654"/>
        <v>0</v>
      </c>
      <c r="KB208" s="226">
        <f t="shared" si="5655"/>
        <v>0</v>
      </c>
      <c r="KC208" s="137">
        <f t="shared" si="5773"/>
        <v>0</v>
      </c>
      <c r="KD208" s="227">
        <f t="shared" si="5656"/>
        <v>744.63</v>
      </c>
      <c r="KE208" s="138">
        <f t="shared" si="5774"/>
        <v>0</v>
      </c>
      <c r="KF208" s="110">
        <f t="shared" si="5775"/>
        <v>0</v>
      </c>
      <c r="KG208" s="110"/>
      <c r="KH208" s="139"/>
      <c r="KI208" s="140" t="e">
        <f t="shared" si="5776"/>
        <v>#DIV/0!</v>
      </c>
      <c r="KJ208" s="198">
        <f t="shared" si="5657"/>
        <v>0</v>
      </c>
      <c r="KK208" s="225">
        <f t="shared" si="5658"/>
        <v>0</v>
      </c>
      <c r="KL208" s="226">
        <f t="shared" si="5659"/>
        <v>0</v>
      </c>
      <c r="KM208" s="137">
        <f t="shared" si="5777"/>
        <v>0</v>
      </c>
      <c r="KN208" s="227">
        <f t="shared" si="5660"/>
        <v>744.63</v>
      </c>
      <c r="KO208" s="138">
        <f t="shared" si="5778"/>
        <v>0</v>
      </c>
      <c r="KP208" s="110">
        <f t="shared" si="5779"/>
        <v>0</v>
      </c>
      <c r="KQ208" s="110"/>
      <c r="KR208" s="139"/>
      <c r="KS208" s="140" t="e">
        <f t="shared" si="5780"/>
        <v>#DIV/0!</v>
      </c>
      <c r="KT208" s="198">
        <f t="shared" si="5657"/>
        <v>0</v>
      </c>
      <c r="KU208" s="225">
        <f t="shared" si="5658"/>
        <v>0</v>
      </c>
      <c r="KV208" s="226">
        <f t="shared" si="5659"/>
        <v>0</v>
      </c>
      <c r="KW208" s="137">
        <f t="shared" si="5781"/>
        <v>0</v>
      </c>
      <c r="KX208" s="227">
        <f t="shared" si="5660"/>
        <v>744.63</v>
      </c>
      <c r="KY208" s="138">
        <f t="shared" si="5782"/>
        <v>0</v>
      </c>
      <c r="KZ208" s="110">
        <f t="shared" si="5783"/>
        <v>0</v>
      </c>
      <c r="LA208" s="110"/>
      <c r="LB208" s="139"/>
      <c r="LC208" s="140" t="e">
        <f t="shared" si="5784"/>
        <v>#DIV/0!</v>
      </c>
      <c r="LD208" s="198">
        <f t="shared" si="5510"/>
        <v>0</v>
      </c>
      <c r="LE208" s="225">
        <f t="shared" si="5511"/>
        <v>0</v>
      </c>
      <c r="LF208" s="226">
        <f t="shared" si="5512"/>
        <v>0</v>
      </c>
      <c r="LG208" s="137">
        <f t="shared" si="5785"/>
        <v>0</v>
      </c>
      <c r="LH208" s="227">
        <f t="shared" si="5513"/>
        <v>733.76</v>
      </c>
      <c r="LI208" s="138">
        <f t="shared" si="5786"/>
        <v>0</v>
      </c>
      <c r="LJ208" s="110">
        <f t="shared" si="5787"/>
        <v>0</v>
      </c>
      <c r="LK208" s="110"/>
      <c r="LL208" s="139"/>
    </row>
    <row r="209" spans="1:324" ht="16.5" hidden="1" customHeight="1" x14ac:dyDescent="0.25">
      <c r="A209" s="246"/>
      <c r="B209" s="92" t="s">
        <v>639</v>
      </c>
      <c r="C209" s="12" t="s">
        <v>728</v>
      </c>
      <c r="D209" s="12" t="s">
        <v>430</v>
      </c>
      <c r="E209" s="4" t="s">
        <v>32</v>
      </c>
      <c r="F209" s="198">
        <f t="shared" si="5506"/>
        <v>0</v>
      </c>
      <c r="G209" s="225">
        <f t="shared" si="5507"/>
        <v>0</v>
      </c>
      <c r="H209" s="226">
        <f t="shared" si="5508"/>
        <v>0</v>
      </c>
      <c r="I209" s="137">
        <f t="shared" si="5661"/>
        <v>0</v>
      </c>
      <c r="J209" s="227">
        <f t="shared" si="5509"/>
        <v>744.63</v>
      </c>
      <c r="K209" s="138">
        <f t="shared" si="5662"/>
        <v>0</v>
      </c>
      <c r="L209" s="110">
        <f t="shared" si="5663"/>
        <v>0</v>
      </c>
      <c r="M209" s="110"/>
      <c r="N209" s="139"/>
      <c r="O209" s="140" t="e">
        <f t="shared" si="5664"/>
        <v>#DIV/0!</v>
      </c>
      <c r="P209" s="198">
        <f t="shared" si="5641"/>
        <v>0</v>
      </c>
      <c r="Q209" s="225">
        <f t="shared" si="5642"/>
        <v>0</v>
      </c>
      <c r="R209" s="226">
        <f t="shared" si="5643"/>
        <v>0</v>
      </c>
      <c r="S209" s="137">
        <f t="shared" si="5665"/>
        <v>0</v>
      </c>
      <c r="T209" s="227">
        <f t="shared" si="5644"/>
        <v>744.63</v>
      </c>
      <c r="U209" s="138">
        <f t="shared" si="5666"/>
        <v>0</v>
      </c>
      <c r="V209" s="110">
        <f t="shared" si="5667"/>
        <v>0</v>
      </c>
      <c r="W209" s="110"/>
      <c r="X209" s="139"/>
      <c r="Y209" s="140" t="e">
        <f t="shared" si="5668"/>
        <v>#DIV/0!</v>
      </c>
      <c r="Z209" s="198">
        <f t="shared" si="5641"/>
        <v>0</v>
      </c>
      <c r="AA209" s="225">
        <f t="shared" si="5642"/>
        <v>0</v>
      </c>
      <c r="AB209" s="226">
        <f t="shared" si="5643"/>
        <v>0</v>
      </c>
      <c r="AC209" s="137">
        <f t="shared" si="5669"/>
        <v>0</v>
      </c>
      <c r="AD209" s="227">
        <f t="shared" si="5644"/>
        <v>744.63</v>
      </c>
      <c r="AE209" s="138">
        <f t="shared" si="5670"/>
        <v>0</v>
      </c>
      <c r="AF209" s="110">
        <f t="shared" si="5671"/>
        <v>0</v>
      </c>
      <c r="AG209" s="110"/>
      <c r="AH209" s="139"/>
      <c r="AI209" s="140" t="e">
        <f t="shared" si="5672"/>
        <v>#DIV/0!</v>
      </c>
      <c r="AJ209" s="198">
        <f t="shared" si="5641"/>
        <v>0</v>
      </c>
      <c r="AK209" s="225">
        <f t="shared" si="5642"/>
        <v>0</v>
      </c>
      <c r="AL209" s="226">
        <f t="shared" si="5643"/>
        <v>0</v>
      </c>
      <c r="AM209" s="137">
        <f t="shared" si="5673"/>
        <v>0</v>
      </c>
      <c r="AN209" s="227">
        <f t="shared" si="5644"/>
        <v>744.63</v>
      </c>
      <c r="AO209" s="138">
        <f t="shared" si="5674"/>
        <v>0</v>
      </c>
      <c r="AP209" s="110">
        <f t="shared" si="5675"/>
        <v>0</v>
      </c>
      <c r="AQ209" s="110"/>
      <c r="AR209" s="139"/>
      <c r="AS209" s="140" t="e">
        <f t="shared" si="5676"/>
        <v>#DIV/0!</v>
      </c>
      <c r="AT209" s="198">
        <f t="shared" si="5641"/>
        <v>0</v>
      </c>
      <c r="AU209" s="225">
        <f t="shared" si="5642"/>
        <v>0</v>
      </c>
      <c r="AV209" s="226">
        <f t="shared" si="5643"/>
        <v>0</v>
      </c>
      <c r="AW209" s="137">
        <f t="shared" si="5677"/>
        <v>0</v>
      </c>
      <c r="AX209" s="227">
        <f t="shared" si="5644"/>
        <v>744.63</v>
      </c>
      <c r="AY209" s="138">
        <f t="shared" si="5678"/>
        <v>0</v>
      </c>
      <c r="AZ209" s="110">
        <f t="shared" si="5679"/>
        <v>0</v>
      </c>
      <c r="BA209" s="110"/>
      <c r="BB209" s="139"/>
      <c r="BC209" s="140" t="e">
        <f t="shared" si="5680"/>
        <v>#DIV/0!</v>
      </c>
      <c r="BD209" s="198">
        <f t="shared" si="5641"/>
        <v>0</v>
      </c>
      <c r="BE209" s="225">
        <f t="shared" si="5642"/>
        <v>0</v>
      </c>
      <c r="BF209" s="226">
        <f t="shared" si="5643"/>
        <v>0</v>
      </c>
      <c r="BG209" s="137">
        <f t="shared" si="5681"/>
        <v>0</v>
      </c>
      <c r="BH209" s="227">
        <f t="shared" si="5644"/>
        <v>744.63</v>
      </c>
      <c r="BI209" s="138">
        <f t="shared" si="5682"/>
        <v>0</v>
      </c>
      <c r="BJ209" s="110">
        <f t="shared" si="5683"/>
        <v>0</v>
      </c>
      <c r="BK209" s="110"/>
      <c r="BL209" s="139"/>
      <c r="BM209" s="140" t="e">
        <f t="shared" si="5684"/>
        <v>#DIV/0!</v>
      </c>
      <c r="BN209" s="198">
        <f t="shared" si="5641"/>
        <v>0</v>
      </c>
      <c r="BO209" s="225">
        <f t="shared" si="5642"/>
        <v>0</v>
      </c>
      <c r="BP209" s="226">
        <f t="shared" si="5643"/>
        <v>0</v>
      </c>
      <c r="BQ209" s="137">
        <f t="shared" si="5685"/>
        <v>0</v>
      </c>
      <c r="BR209" s="227">
        <f t="shared" si="5644"/>
        <v>744.63</v>
      </c>
      <c r="BS209" s="138">
        <f t="shared" si="5686"/>
        <v>0</v>
      </c>
      <c r="BT209" s="110">
        <f t="shared" si="5687"/>
        <v>0</v>
      </c>
      <c r="BU209" s="110"/>
      <c r="BV209" s="139"/>
      <c r="BW209" s="140" t="e">
        <f t="shared" si="5688"/>
        <v>#DIV/0!</v>
      </c>
      <c r="BX209" s="198">
        <f t="shared" si="5641"/>
        <v>0</v>
      </c>
      <c r="BY209" s="225">
        <f t="shared" si="5642"/>
        <v>0</v>
      </c>
      <c r="BZ209" s="226">
        <f t="shared" si="5643"/>
        <v>0</v>
      </c>
      <c r="CA209" s="137">
        <f t="shared" si="5689"/>
        <v>0</v>
      </c>
      <c r="CB209" s="227">
        <f t="shared" si="5644"/>
        <v>744.63</v>
      </c>
      <c r="CC209" s="138">
        <f t="shared" si="5690"/>
        <v>0</v>
      </c>
      <c r="CD209" s="110">
        <f t="shared" si="5691"/>
        <v>0</v>
      </c>
      <c r="CE209" s="110"/>
      <c r="CF209" s="139"/>
      <c r="CG209" s="140" t="e">
        <f t="shared" si="5692"/>
        <v>#DIV/0!</v>
      </c>
      <c r="CH209" s="198">
        <f t="shared" si="5645"/>
        <v>0</v>
      </c>
      <c r="CI209" s="225">
        <f t="shared" si="5646"/>
        <v>0</v>
      </c>
      <c r="CJ209" s="226">
        <f t="shared" si="5647"/>
        <v>0</v>
      </c>
      <c r="CK209" s="137">
        <f t="shared" si="5693"/>
        <v>0</v>
      </c>
      <c r="CL209" s="227">
        <f t="shared" si="5648"/>
        <v>744.63</v>
      </c>
      <c r="CM209" s="138">
        <f t="shared" si="5694"/>
        <v>0</v>
      </c>
      <c r="CN209" s="110">
        <f t="shared" si="5695"/>
        <v>0</v>
      </c>
      <c r="CO209" s="110"/>
      <c r="CP209" s="139"/>
      <c r="CQ209" s="140" t="e">
        <f t="shared" si="5696"/>
        <v>#DIV/0!</v>
      </c>
      <c r="CR209" s="198">
        <f t="shared" si="5645"/>
        <v>0</v>
      </c>
      <c r="CS209" s="225">
        <f t="shared" si="5646"/>
        <v>0</v>
      </c>
      <c r="CT209" s="226">
        <f t="shared" si="5647"/>
        <v>0</v>
      </c>
      <c r="CU209" s="137">
        <f t="shared" si="5697"/>
        <v>0</v>
      </c>
      <c r="CV209" s="227">
        <f t="shared" si="5648"/>
        <v>744.63</v>
      </c>
      <c r="CW209" s="138">
        <f t="shared" si="5698"/>
        <v>0</v>
      </c>
      <c r="CX209" s="110">
        <f t="shared" si="5699"/>
        <v>0</v>
      </c>
      <c r="CY209" s="110"/>
      <c r="CZ209" s="139"/>
      <c r="DA209" s="140" t="e">
        <f t="shared" si="5700"/>
        <v>#DIV/0!</v>
      </c>
      <c r="DB209" s="198">
        <f t="shared" si="5645"/>
        <v>0</v>
      </c>
      <c r="DC209" s="225">
        <f t="shared" si="5646"/>
        <v>0</v>
      </c>
      <c r="DD209" s="226">
        <f t="shared" si="5647"/>
        <v>0</v>
      </c>
      <c r="DE209" s="137">
        <f t="shared" si="5701"/>
        <v>0</v>
      </c>
      <c r="DF209" s="227">
        <f t="shared" si="5648"/>
        <v>744.63</v>
      </c>
      <c r="DG209" s="138">
        <f t="shared" si="5702"/>
        <v>0</v>
      </c>
      <c r="DH209" s="110">
        <f t="shared" si="5703"/>
        <v>0</v>
      </c>
      <c r="DI209" s="110"/>
      <c r="DJ209" s="139"/>
      <c r="DK209" s="140" t="e">
        <f t="shared" si="5704"/>
        <v>#DIV/0!</v>
      </c>
      <c r="DL209" s="198">
        <f t="shared" si="5645"/>
        <v>0</v>
      </c>
      <c r="DM209" s="225">
        <f t="shared" si="5646"/>
        <v>0</v>
      </c>
      <c r="DN209" s="226">
        <f t="shared" si="5647"/>
        <v>0</v>
      </c>
      <c r="DO209" s="137">
        <f t="shared" si="5705"/>
        <v>0</v>
      </c>
      <c r="DP209" s="227">
        <f t="shared" si="5648"/>
        <v>744.63</v>
      </c>
      <c r="DQ209" s="138">
        <f t="shared" si="5706"/>
        <v>0</v>
      </c>
      <c r="DR209" s="110">
        <f t="shared" si="5707"/>
        <v>0</v>
      </c>
      <c r="DS209" s="110"/>
      <c r="DT209" s="139"/>
      <c r="DU209" s="140" t="e">
        <f t="shared" si="5708"/>
        <v>#DIV/0!</v>
      </c>
      <c r="DV209" s="198">
        <f t="shared" si="5645"/>
        <v>0</v>
      </c>
      <c r="DW209" s="225">
        <f t="shared" si="5646"/>
        <v>0</v>
      </c>
      <c r="DX209" s="226">
        <f t="shared" si="5647"/>
        <v>0</v>
      </c>
      <c r="DY209" s="137">
        <f t="shared" si="5709"/>
        <v>0</v>
      </c>
      <c r="DZ209" s="227">
        <f t="shared" si="5648"/>
        <v>389.62</v>
      </c>
      <c r="EA209" s="138">
        <f t="shared" si="5710"/>
        <v>0</v>
      </c>
      <c r="EB209" s="110">
        <f t="shared" si="5711"/>
        <v>0</v>
      </c>
      <c r="EC209" s="110"/>
      <c r="ED209" s="139"/>
      <c r="EE209" s="140" t="e">
        <f t="shared" si="5712"/>
        <v>#DIV/0!</v>
      </c>
      <c r="EF209" s="198">
        <f t="shared" si="5645"/>
        <v>0</v>
      </c>
      <c r="EG209" s="225">
        <f t="shared" si="5646"/>
        <v>0</v>
      </c>
      <c r="EH209" s="226">
        <f t="shared" si="5647"/>
        <v>0</v>
      </c>
      <c r="EI209" s="137">
        <f t="shared" si="5713"/>
        <v>0</v>
      </c>
      <c r="EJ209" s="227">
        <f t="shared" si="5648"/>
        <v>744.63</v>
      </c>
      <c r="EK209" s="138">
        <f t="shared" si="5714"/>
        <v>0</v>
      </c>
      <c r="EL209" s="110">
        <f t="shared" si="5715"/>
        <v>0</v>
      </c>
      <c r="EM209" s="110"/>
      <c r="EN209" s="139"/>
      <c r="EO209" s="140" t="e">
        <f t="shared" si="5716"/>
        <v>#DIV/0!</v>
      </c>
      <c r="EP209" s="198">
        <f t="shared" si="5645"/>
        <v>0</v>
      </c>
      <c r="EQ209" s="225">
        <f t="shared" si="5646"/>
        <v>0</v>
      </c>
      <c r="ER209" s="226">
        <f t="shared" si="5647"/>
        <v>0</v>
      </c>
      <c r="ES209" s="137">
        <f t="shared" si="5717"/>
        <v>0</v>
      </c>
      <c r="ET209" s="227">
        <f t="shared" si="5648"/>
        <v>744.63</v>
      </c>
      <c r="EU209" s="138">
        <f t="shared" si="5718"/>
        <v>0</v>
      </c>
      <c r="EV209" s="110">
        <f t="shared" si="5719"/>
        <v>0</v>
      </c>
      <c r="EW209" s="110"/>
      <c r="EX209" s="139"/>
      <c r="EY209" s="140" t="e">
        <f t="shared" si="5720"/>
        <v>#DIV/0!</v>
      </c>
      <c r="EZ209" s="198">
        <f t="shared" si="5649"/>
        <v>0</v>
      </c>
      <c r="FA209" s="225">
        <f t="shared" si="5650"/>
        <v>0</v>
      </c>
      <c r="FB209" s="226">
        <f t="shared" si="5651"/>
        <v>0</v>
      </c>
      <c r="FC209" s="137">
        <f t="shared" si="5721"/>
        <v>0</v>
      </c>
      <c r="FD209" s="227">
        <f t="shared" si="5652"/>
        <v>744.63</v>
      </c>
      <c r="FE209" s="138">
        <f t="shared" si="5722"/>
        <v>0</v>
      </c>
      <c r="FF209" s="110">
        <f t="shared" si="5723"/>
        <v>0</v>
      </c>
      <c r="FG209" s="110"/>
      <c r="FH209" s="139"/>
      <c r="FI209" s="140" t="e">
        <f t="shared" si="5724"/>
        <v>#DIV/0!</v>
      </c>
      <c r="FJ209" s="198">
        <f t="shared" si="5649"/>
        <v>0</v>
      </c>
      <c r="FK209" s="225">
        <f t="shared" si="5650"/>
        <v>0</v>
      </c>
      <c r="FL209" s="226">
        <f t="shared" si="5651"/>
        <v>0</v>
      </c>
      <c r="FM209" s="137">
        <f t="shared" si="5725"/>
        <v>0</v>
      </c>
      <c r="FN209" s="227">
        <f t="shared" si="5652"/>
        <v>744.63</v>
      </c>
      <c r="FO209" s="138">
        <f t="shared" si="5726"/>
        <v>0</v>
      </c>
      <c r="FP209" s="110">
        <f t="shared" si="5727"/>
        <v>0</v>
      </c>
      <c r="FQ209" s="110"/>
      <c r="FR209" s="139"/>
      <c r="FS209" s="140" t="e">
        <f t="shared" si="5728"/>
        <v>#DIV/0!</v>
      </c>
      <c r="FT209" s="198">
        <f t="shared" si="5649"/>
        <v>0</v>
      </c>
      <c r="FU209" s="225">
        <f t="shared" si="5650"/>
        <v>0</v>
      </c>
      <c r="FV209" s="226">
        <f t="shared" si="5651"/>
        <v>0</v>
      </c>
      <c r="FW209" s="137">
        <f t="shared" si="5729"/>
        <v>0</v>
      </c>
      <c r="FX209" s="227">
        <f t="shared" si="5652"/>
        <v>744.63</v>
      </c>
      <c r="FY209" s="138">
        <f t="shared" si="5730"/>
        <v>0</v>
      </c>
      <c r="FZ209" s="110">
        <f t="shared" si="5731"/>
        <v>0</v>
      </c>
      <c r="GA209" s="110"/>
      <c r="GB209" s="139"/>
      <c r="GC209" s="140" t="e">
        <f t="shared" si="5732"/>
        <v>#DIV/0!</v>
      </c>
      <c r="GD209" s="198">
        <f t="shared" si="5649"/>
        <v>0</v>
      </c>
      <c r="GE209" s="225">
        <f t="shared" si="5650"/>
        <v>0</v>
      </c>
      <c r="GF209" s="226">
        <f t="shared" si="5651"/>
        <v>0</v>
      </c>
      <c r="GG209" s="137">
        <f t="shared" si="5733"/>
        <v>0</v>
      </c>
      <c r="GH209" s="227">
        <f t="shared" si="5652"/>
        <v>744.63</v>
      </c>
      <c r="GI209" s="138">
        <f t="shared" si="5734"/>
        <v>0</v>
      </c>
      <c r="GJ209" s="110">
        <f t="shared" si="5735"/>
        <v>0</v>
      </c>
      <c r="GK209" s="110"/>
      <c r="GL209" s="139"/>
      <c r="GM209" s="140" t="e">
        <f t="shared" si="5736"/>
        <v>#DIV/0!</v>
      </c>
      <c r="GN209" s="198">
        <f t="shared" si="5649"/>
        <v>0</v>
      </c>
      <c r="GO209" s="225">
        <f t="shared" si="5650"/>
        <v>0</v>
      </c>
      <c r="GP209" s="226">
        <f t="shared" si="5651"/>
        <v>0</v>
      </c>
      <c r="GQ209" s="137">
        <f t="shared" si="5737"/>
        <v>0</v>
      </c>
      <c r="GR209" s="227">
        <f t="shared" si="5652"/>
        <v>744.63</v>
      </c>
      <c r="GS209" s="138">
        <f t="shared" si="5738"/>
        <v>0</v>
      </c>
      <c r="GT209" s="110">
        <f t="shared" si="5739"/>
        <v>0</v>
      </c>
      <c r="GU209" s="110"/>
      <c r="GV209" s="139"/>
      <c r="GW209" s="140" t="e">
        <f t="shared" si="5740"/>
        <v>#DIV/0!</v>
      </c>
      <c r="GX209" s="198">
        <f t="shared" si="5649"/>
        <v>0</v>
      </c>
      <c r="GY209" s="225">
        <f t="shared" si="5650"/>
        <v>0</v>
      </c>
      <c r="GZ209" s="226">
        <f t="shared" si="5651"/>
        <v>0</v>
      </c>
      <c r="HA209" s="137">
        <f t="shared" si="5741"/>
        <v>0</v>
      </c>
      <c r="HB209" s="227">
        <f t="shared" si="5652"/>
        <v>744.63</v>
      </c>
      <c r="HC209" s="138">
        <f t="shared" si="5742"/>
        <v>0</v>
      </c>
      <c r="HD209" s="110">
        <f t="shared" si="5743"/>
        <v>0</v>
      </c>
      <c r="HE209" s="110"/>
      <c r="HF209" s="139"/>
      <c r="HG209" s="140" t="e">
        <f t="shared" si="5744"/>
        <v>#DIV/0!</v>
      </c>
      <c r="HH209" s="198">
        <f t="shared" si="5649"/>
        <v>0</v>
      </c>
      <c r="HI209" s="225">
        <f t="shared" si="5650"/>
        <v>0</v>
      </c>
      <c r="HJ209" s="226">
        <f t="shared" si="5651"/>
        <v>0</v>
      </c>
      <c r="HK209" s="137">
        <f t="shared" si="5745"/>
        <v>0</v>
      </c>
      <c r="HL209" s="227">
        <f t="shared" si="5652"/>
        <v>731.29</v>
      </c>
      <c r="HM209" s="138">
        <f t="shared" si="5746"/>
        <v>0</v>
      </c>
      <c r="HN209" s="110">
        <f t="shared" si="5747"/>
        <v>0</v>
      </c>
      <c r="HO209" s="110"/>
      <c r="HP209" s="139"/>
      <c r="HQ209" s="140" t="e">
        <f t="shared" si="5748"/>
        <v>#DIV/0!</v>
      </c>
      <c r="HR209" s="198">
        <f t="shared" si="5653"/>
        <v>0</v>
      </c>
      <c r="HS209" s="225">
        <f t="shared" si="5654"/>
        <v>0</v>
      </c>
      <c r="HT209" s="226">
        <f t="shared" si="5655"/>
        <v>0</v>
      </c>
      <c r="HU209" s="137">
        <f t="shared" si="5749"/>
        <v>0</v>
      </c>
      <c r="HV209" s="227">
        <f t="shared" si="5656"/>
        <v>744.63</v>
      </c>
      <c r="HW209" s="138">
        <f t="shared" si="5750"/>
        <v>0</v>
      </c>
      <c r="HX209" s="110">
        <f t="shared" si="5751"/>
        <v>0</v>
      </c>
      <c r="HY209" s="110"/>
      <c r="HZ209" s="139"/>
      <c r="IA209" s="140" t="e">
        <f t="shared" si="5752"/>
        <v>#DIV/0!</v>
      </c>
      <c r="IB209" s="198">
        <f t="shared" si="5653"/>
        <v>0</v>
      </c>
      <c r="IC209" s="225">
        <f t="shared" si="5654"/>
        <v>0</v>
      </c>
      <c r="ID209" s="226">
        <f t="shared" si="5655"/>
        <v>0</v>
      </c>
      <c r="IE209" s="137">
        <f t="shared" si="5753"/>
        <v>0</v>
      </c>
      <c r="IF209" s="227">
        <f t="shared" si="5656"/>
        <v>744.63</v>
      </c>
      <c r="IG209" s="138">
        <f t="shared" si="5754"/>
        <v>0</v>
      </c>
      <c r="IH209" s="110">
        <f t="shared" si="5755"/>
        <v>0</v>
      </c>
      <c r="II209" s="110"/>
      <c r="IJ209" s="139"/>
      <c r="IK209" s="140" t="e">
        <f t="shared" si="5756"/>
        <v>#DIV/0!</v>
      </c>
      <c r="IL209" s="198">
        <f t="shared" si="5653"/>
        <v>0</v>
      </c>
      <c r="IM209" s="225">
        <f t="shared" si="5654"/>
        <v>0</v>
      </c>
      <c r="IN209" s="226">
        <f t="shared" si="5655"/>
        <v>0</v>
      </c>
      <c r="IO209" s="137">
        <f t="shared" si="5757"/>
        <v>0</v>
      </c>
      <c r="IP209" s="227">
        <f t="shared" si="5656"/>
        <v>678.72</v>
      </c>
      <c r="IQ209" s="138">
        <f t="shared" si="5758"/>
        <v>0</v>
      </c>
      <c r="IR209" s="110">
        <f t="shared" si="5759"/>
        <v>0</v>
      </c>
      <c r="IS209" s="110"/>
      <c r="IT209" s="139"/>
      <c r="IU209" s="140" t="e">
        <f t="shared" si="5760"/>
        <v>#DIV/0!</v>
      </c>
      <c r="IV209" s="198">
        <f t="shared" si="5653"/>
        <v>0</v>
      </c>
      <c r="IW209" s="225">
        <f t="shared" si="5654"/>
        <v>0</v>
      </c>
      <c r="IX209" s="226">
        <f t="shared" si="5655"/>
        <v>0</v>
      </c>
      <c r="IY209" s="137">
        <f t="shared" si="5761"/>
        <v>0</v>
      </c>
      <c r="IZ209" s="227">
        <f t="shared" si="5656"/>
        <v>744.63</v>
      </c>
      <c r="JA209" s="138">
        <f t="shared" si="5762"/>
        <v>0</v>
      </c>
      <c r="JB209" s="110">
        <f t="shared" si="5763"/>
        <v>0</v>
      </c>
      <c r="JC209" s="110"/>
      <c r="JD209" s="139"/>
      <c r="JE209" s="140" t="e">
        <f t="shared" si="5764"/>
        <v>#DIV/0!</v>
      </c>
      <c r="JF209" s="198">
        <f t="shared" si="5653"/>
        <v>0</v>
      </c>
      <c r="JG209" s="225">
        <f t="shared" si="5654"/>
        <v>0</v>
      </c>
      <c r="JH209" s="226">
        <f t="shared" si="5655"/>
        <v>0</v>
      </c>
      <c r="JI209" s="137">
        <f t="shared" si="5765"/>
        <v>0</v>
      </c>
      <c r="JJ209" s="227">
        <f t="shared" si="5656"/>
        <v>744.63</v>
      </c>
      <c r="JK209" s="138">
        <f t="shared" si="5766"/>
        <v>0</v>
      </c>
      <c r="JL209" s="110">
        <f t="shared" si="5767"/>
        <v>0</v>
      </c>
      <c r="JM209" s="110"/>
      <c r="JN209" s="139"/>
      <c r="JO209" s="140" t="e">
        <f t="shared" si="5768"/>
        <v>#DIV/0!</v>
      </c>
      <c r="JP209" s="198">
        <f t="shared" si="5653"/>
        <v>0</v>
      </c>
      <c r="JQ209" s="225">
        <f t="shared" si="5654"/>
        <v>0</v>
      </c>
      <c r="JR209" s="226">
        <f t="shared" si="5655"/>
        <v>0</v>
      </c>
      <c r="JS209" s="137">
        <f t="shared" si="5769"/>
        <v>0</v>
      </c>
      <c r="JT209" s="227">
        <f t="shared" si="5656"/>
        <v>744.63</v>
      </c>
      <c r="JU209" s="138">
        <f t="shared" si="5770"/>
        <v>0</v>
      </c>
      <c r="JV209" s="110">
        <f t="shared" si="5771"/>
        <v>0</v>
      </c>
      <c r="JW209" s="110"/>
      <c r="JX209" s="139"/>
      <c r="JY209" s="140" t="e">
        <f t="shared" si="5772"/>
        <v>#DIV/0!</v>
      </c>
      <c r="JZ209" s="198">
        <f t="shared" si="5653"/>
        <v>0</v>
      </c>
      <c r="KA209" s="225">
        <f t="shared" si="5654"/>
        <v>0</v>
      </c>
      <c r="KB209" s="226">
        <f t="shared" si="5655"/>
        <v>0</v>
      </c>
      <c r="KC209" s="137">
        <f t="shared" si="5773"/>
        <v>0</v>
      </c>
      <c r="KD209" s="227">
        <f t="shared" si="5656"/>
        <v>744.63</v>
      </c>
      <c r="KE209" s="138">
        <f t="shared" si="5774"/>
        <v>0</v>
      </c>
      <c r="KF209" s="110">
        <f t="shared" si="5775"/>
        <v>0</v>
      </c>
      <c r="KG209" s="110"/>
      <c r="KH209" s="139"/>
      <c r="KI209" s="140" t="e">
        <f t="shared" si="5776"/>
        <v>#DIV/0!</v>
      </c>
      <c r="KJ209" s="198">
        <f t="shared" si="5657"/>
        <v>0</v>
      </c>
      <c r="KK209" s="225">
        <f t="shared" si="5658"/>
        <v>0</v>
      </c>
      <c r="KL209" s="226">
        <f t="shared" si="5659"/>
        <v>0</v>
      </c>
      <c r="KM209" s="137">
        <f t="shared" si="5777"/>
        <v>0</v>
      </c>
      <c r="KN209" s="227">
        <f t="shared" si="5660"/>
        <v>744.63</v>
      </c>
      <c r="KO209" s="138">
        <f t="shared" si="5778"/>
        <v>0</v>
      </c>
      <c r="KP209" s="110">
        <f t="shared" si="5779"/>
        <v>0</v>
      </c>
      <c r="KQ209" s="110"/>
      <c r="KR209" s="139"/>
      <c r="KS209" s="140" t="e">
        <f t="shared" si="5780"/>
        <v>#DIV/0!</v>
      </c>
      <c r="KT209" s="198">
        <f t="shared" si="5657"/>
        <v>0</v>
      </c>
      <c r="KU209" s="225">
        <f t="shared" si="5658"/>
        <v>0</v>
      </c>
      <c r="KV209" s="226">
        <f t="shared" si="5659"/>
        <v>0</v>
      </c>
      <c r="KW209" s="137">
        <f t="shared" si="5781"/>
        <v>0</v>
      </c>
      <c r="KX209" s="227">
        <f t="shared" si="5660"/>
        <v>744.63</v>
      </c>
      <c r="KY209" s="138">
        <f t="shared" si="5782"/>
        <v>0</v>
      </c>
      <c r="KZ209" s="110">
        <f t="shared" si="5783"/>
        <v>0</v>
      </c>
      <c r="LA209" s="110"/>
      <c r="LB209" s="139"/>
      <c r="LC209" s="140" t="e">
        <f t="shared" si="5784"/>
        <v>#DIV/0!</v>
      </c>
      <c r="LD209" s="198">
        <f t="shared" si="5510"/>
        <v>0</v>
      </c>
      <c r="LE209" s="225">
        <f t="shared" si="5511"/>
        <v>0</v>
      </c>
      <c r="LF209" s="226">
        <f t="shared" si="5512"/>
        <v>0</v>
      </c>
      <c r="LG209" s="137">
        <f t="shared" si="5785"/>
        <v>0</v>
      </c>
      <c r="LH209" s="227">
        <f t="shared" si="5513"/>
        <v>733.76</v>
      </c>
      <c r="LI209" s="138">
        <f t="shared" si="5786"/>
        <v>0</v>
      </c>
      <c r="LJ209" s="110">
        <f t="shared" si="5787"/>
        <v>0</v>
      </c>
      <c r="LK209" s="110"/>
      <c r="LL209" s="139"/>
    </row>
    <row r="210" spans="1:324" ht="16.5" customHeight="1" x14ac:dyDescent="0.25">
      <c r="A210" s="246"/>
      <c r="B210" s="12" t="s">
        <v>626</v>
      </c>
      <c r="C210" s="12" t="s">
        <v>728</v>
      </c>
      <c r="D210" s="12" t="s">
        <v>430</v>
      </c>
      <c r="E210" s="4" t="s">
        <v>32</v>
      </c>
      <c r="F210" s="198">
        <f t="shared" si="5506"/>
        <v>0</v>
      </c>
      <c r="G210" s="225">
        <f t="shared" si="5507"/>
        <v>0</v>
      </c>
      <c r="H210" s="226">
        <f t="shared" si="5508"/>
        <v>0</v>
      </c>
      <c r="I210" s="137">
        <f t="shared" si="5661"/>
        <v>0</v>
      </c>
      <c r="J210" s="227">
        <f t="shared" si="5509"/>
        <v>744.63</v>
      </c>
      <c r="K210" s="138">
        <f t="shared" si="5662"/>
        <v>0</v>
      </c>
      <c r="L210" s="110">
        <f t="shared" si="5663"/>
        <v>0</v>
      </c>
      <c r="M210" s="110"/>
      <c r="N210" s="139"/>
      <c r="O210" s="140">
        <f t="shared" si="5664"/>
        <v>0</v>
      </c>
      <c r="P210" s="198">
        <f t="shared" si="5641"/>
        <v>0</v>
      </c>
      <c r="Q210" s="225">
        <f t="shared" si="5642"/>
        <v>0</v>
      </c>
      <c r="R210" s="226">
        <f t="shared" si="5643"/>
        <v>0</v>
      </c>
      <c r="S210" s="137">
        <f t="shared" si="5665"/>
        <v>0</v>
      </c>
      <c r="T210" s="227">
        <f t="shared" si="5644"/>
        <v>744.63</v>
      </c>
      <c r="U210" s="138">
        <f t="shared" si="5666"/>
        <v>0</v>
      </c>
      <c r="V210" s="110">
        <f t="shared" si="5667"/>
        <v>0</v>
      </c>
      <c r="W210" s="110"/>
      <c r="X210" s="139"/>
      <c r="Y210" s="140">
        <f t="shared" si="5668"/>
        <v>0</v>
      </c>
      <c r="Z210" s="198">
        <f t="shared" si="5641"/>
        <v>0</v>
      </c>
      <c r="AA210" s="225">
        <f t="shared" si="5642"/>
        <v>0</v>
      </c>
      <c r="AB210" s="226">
        <f t="shared" si="5643"/>
        <v>0</v>
      </c>
      <c r="AC210" s="137">
        <f t="shared" si="5669"/>
        <v>0</v>
      </c>
      <c r="AD210" s="227">
        <f t="shared" si="5644"/>
        <v>744.63</v>
      </c>
      <c r="AE210" s="138">
        <f t="shared" si="5670"/>
        <v>0</v>
      </c>
      <c r="AF210" s="110">
        <f t="shared" si="5671"/>
        <v>0</v>
      </c>
      <c r="AG210" s="110"/>
      <c r="AH210" s="139"/>
      <c r="AI210" s="140">
        <f t="shared" si="5672"/>
        <v>0</v>
      </c>
      <c r="AJ210" s="198">
        <f t="shared" si="5641"/>
        <v>0</v>
      </c>
      <c r="AK210" s="225">
        <f t="shared" si="5642"/>
        <v>0</v>
      </c>
      <c r="AL210" s="226">
        <f t="shared" si="5643"/>
        <v>0</v>
      </c>
      <c r="AM210" s="137">
        <f t="shared" si="5673"/>
        <v>0</v>
      </c>
      <c r="AN210" s="227">
        <f t="shared" si="5644"/>
        <v>744.63</v>
      </c>
      <c r="AO210" s="138">
        <f t="shared" si="5674"/>
        <v>0</v>
      </c>
      <c r="AP210" s="110">
        <f t="shared" si="5675"/>
        <v>0</v>
      </c>
      <c r="AQ210" s="110"/>
      <c r="AR210" s="139"/>
      <c r="AS210" s="140">
        <f t="shared" si="5676"/>
        <v>0</v>
      </c>
      <c r="AT210" s="198">
        <f t="shared" si="5641"/>
        <v>0</v>
      </c>
      <c r="AU210" s="225">
        <f t="shared" si="5642"/>
        <v>0</v>
      </c>
      <c r="AV210" s="226">
        <f t="shared" si="5643"/>
        <v>0</v>
      </c>
      <c r="AW210" s="137">
        <f t="shared" si="5677"/>
        <v>0</v>
      </c>
      <c r="AX210" s="227">
        <f t="shared" si="5644"/>
        <v>744.63</v>
      </c>
      <c r="AY210" s="138">
        <f t="shared" si="5678"/>
        <v>0</v>
      </c>
      <c r="AZ210" s="110">
        <f t="shared" si="5679"/>
        <v>0</v>
      </c>
      <c r="BA210" s="110"/>
      <c r="BB210" s="139"/>
      <c r="BC210" s="140">
        <f t="shared" si="5680"/>
        <v>0</v>
      </c>
      <c r="BD210" s="198">
        <f t="shared" si="5641"/>
        <v>0</v>
      </c>
      <c r="BE210" s="225">
        <f t="shared" si="5642"/>
        <v>0</v>
      </c>
      <c r="BF210" s="226">
        <f t="shared" si="5643"/>
        <v>0</v>
      </c>
      <c r="BG210" s="137">
        <f t="shared" si="5681"/>
        <v>0</v>
      </c>
      <c r="BH210" s="227">
        <f t="shared" si="5644"/>
        <v>744.63</v>
      </c>
      <c r="BI210" s="138">
        <f t="shared" si="5682"/>
        <v>0</v>
      </c>
      <c r="BJ210" s="110">
        <f t="shared" si="5683"/>
        <v>0</v>
      </c>
      <c r="BK210" s="110"/>
      <c r="BL210" s="139"/>
      <c r="BM210" s="140">
        <f t="shared" si="5684"/>
        <v>0</v>
      </c>
      <c r="BN210" s="198">
        <f t="shared" si="5641"/>
        <v>0</v>
      </c>
      <c r="BO210" s="225">
        <f t="shared" si="5642"/>
        <v>0</v>
      </c>
      <c r="BP210" s="226">
        <f t="shared" si="5643"/>
        <v>0</v>
      </c>
      <c r="BQ210" s="137">
        <f t="shared" si="5685"/>
        <v>0</v>
      </c>
      <c r="BR210" s="227">
        <f t="shared" si="5644"/>
        <v>744.63</v>
      </c>
      <c r="BS210" s="138">
        <f t="shared" si="5686"/>
        <v>0</v>
      </c>
      <c r="BT210" s="110">
        <f t="shared" si="5687"/>
        <v>0</v>
      </c>
      <c r="BU210" s="110"/>
      <c r="BV210" s="139"/>
      <c r="BW210" s="140">
        <f t="shared" si="5688"/>
        <v>0</v>
      </c>
      <c r="BX210" s="198">
        <f t="shared" si="5641"/>
        <v>0</v>
      </c>
      <c r="BY210" s="225">
        <f t="shared" si="5642"/>
        <v>0</v>
      </c>
      <c r="BZ210" s="226">
        <f t="shared" si="5643"/>
        <v>0</v>
      </c>
      <c r="CA210" s="137">
        <f t="shared" si="5689"/>
        <v>0</v>
      </c>
      <c r="CB210" s="227">
        <f t="shared" si="5644"/>
        <v>744.63</v>
      </c>
      <c r="CC210" s="138">
        <f t="shared" si="5690"/>
        <v>0</v>
      </c>
      <c r="CD210" s="110">
        <f t="shared" si="5691"/>
        <v>0</v>
      </c>
      <c r="CE210" s="110"/>
      <c r="CF210" s="139"/>
      <c r="CG210" s="140">
        <f t="shared" si="5692"/>
        <v>0</v>
      </c>
      <c r="CH210" s="198">
        <f t="shared" si="5645"/>
        <v>0</v>
      </c>
      <c r="CI210" s="225">
        <f t="shared" si="5646"/>
        <v>0</v>
      </c>
      <c r="CJ210" s="226">
        <f t="shared" si="5647"/>
        <v>0</v>
      </c>
      <c r="CK210" s="137">
        <f t="shared" si="5693"/>
        <v>0</v>
      </c>
      <c r="CL210" s="227">
        <f t="shared" si="5648"/>
        <v>744.63</v>
      </c>
      <c r="CM210" s="138">
        <f t="shared" si="5694"/>
        <v>0</v>
      </c>
      <c r="CN210" s="110">
        <f t="shared" si="5695"/>
        <v>0</v>
      </c>
      <c r="CO210" s="110"/>
      <c r="CP210" s="139"/>
      <c r="CQ210" s="140">
        <f t="shared" si="5696"/>
        <v>0</v>
      </c>
      <c r="CR210" s="198">
        <f t="shared" si="5645"/>
        <v>1</v>
      </c>
      <c r="CS210" s="225">
        <f t="shared" si="5646"/>
        <v>1.34E-3</v>
      </c>
      <c r="CT210" s="226">
        <f t="shared" si="5647"/>
        <v>0.16</v>
      </c>
      <c r="CU210" s="137">
        <f t="shared" si="5697"/>
        <v>0.16</v>
      </c>
      <c r="CV210" s="227">
        <f t="shared" si="5648"/>
        <v>744.63</v>
      </c>
      <c r="CW210" s="138">
        <f t="shared" si="5698"/>
        <v>119.1408</v>
      </c>
      <c r="CX210" s="110">
        <f t="shared" si="5699"/>
        <v>119.14</v>
      </c>
      <c r="CY210" s="110"/>
      <c r="CZ210" s="139"/>
      <c r="DA210" s="140">
        <f t="shared" si="5700"/>
        <v>0.85458000000000001</v>
      </c>
      <c r="DB210" s="198">
        <f t="shared" si="5645"/>
        <v>1</v>
      </c>
      <c r="DC210" s="225">
        <f t="shared" si="5646"/>
        <v>1.2099999999999999E-3</v>
      </c>
      <c r="DD210" s="226">
        <f t="shared" si="5647"/>
        <v>0.24</v>
      </c>
      <c r="DE210" s="137">
        <f t="shared" si="5701"/>
        <v>0.24</v>
      </c>
      <c r="DF210" s="227">
        <f t="shared" si="5648"/>
        <v>744.63</v>
      </c>
      <c r="DG210" s="138">
        <f t="shared" si="5702"/>
        <v>178.71119999999999</v>
      </c>
      <c r="DH210" s="110">
        <f t="shared" si="5703"/>
        <v>178.71</v>
      </c>
      <c r="DI210" s="110"/>
      <c r="DJ210" s="139"/>
      <c r="DK210" s="140">
        <f t="shared" si="5704"/>
        <v>1.2818700000000001</v>
      </c>
      <c r="DL210" s="198">
        <f t="shared" si="5645"/>
        <v>0</v>
      </c>
      <c r="DM210" s="225">
        <f t="shared" si="5646"/>
        <v>0</v>
      </c>
      <c r="DN210" s="226">
        <f t="shared" si="5647"/>
        <v>0</v>
      </c>
      <c r="DO210" s="137">
        <f t="shared" si="5705"/>
        <v>0</v>
      </c>
      <c r="DP210" s="227">
        <f t="shared" si="5648"/>
        <v>744.63</v>
      </c>
      <c r="DQ210" s="138">
        <f t="shared" si="5706"/>
        <v>0</v>
      </c>
      <c r="DR210" s="110">
        <f t="shared" si="5707"/>
        <v>0</v>
      </c>
      <c r="DS210" s="110"/>
      <c r="DT210" s="139"/>
      <c r="DU210" s="140">
        <f t="shared" si="5708"/>
        <v>0</v>
      </c>
      <c r="DV210" s="198">
        <f t="shared" si="5645"/>
        <v>0</v>
      </c>
      <c r="DW210" s="225">
        <f t="shared" si="5646"/>
        <v>0</v>
      </c>
      <c r="DX210" s="226">
        <f t="shared" si="5647"/>
        <v>0</v>
      </c>
      <c r="DY210" s="137">
        <f t="shared" si="5709"/>
        <v>0</v>
      </c>
      <c r="DZ210" s="227">
        <f t="shared" si="5648"/>
        <v>389.62</v>
      </c>
      <c r="EA210" s="138">
        <f t="shared" si="5710"/>
        <v>0</v>
      </c>
      <c r="EB210" s="110">
        <f t="shared" si="5711"/>
        <v>0</v>
      </c>
      <c r="EC210" s="110"/>
      <c r="ED210" s="139"/>
      <c r="EE210" s="140">
        <f t="shared" si="5712"/>
        <v>0</v>
      </c>
      <c r="EF210" s="198">
        <f t="shared" si="5645"/>
        <v>0</v>
      </c>
      <c r="EG210" s="225">
        <f t="shared" si="5646"/>
        <v>0</v>
      </c>
      <c r="EH210" s="226">
        <f t="shared" si="5647"/>
        <v>0</v>
      </c>
      <c r="EI210" s="137">
        <f t="shared" si="5713"/>
        <v>0</v>
      </c>
      <c r="EJ210" s="227">
        <f t="shared" si="5648"/>
        <v>744.63</v>
      </c>
      <c r="EK210" s="138">
        <f t="shared" si="5714"/>
        <v>0</v>
      </c>
      <c r="EL210" s="110">
        <f t="shared" si="5715"/>
        <v>0</v>
      </c>
      <c r="EM210" s="110"/>
      <c r="EN210" s="139"/>
      <c r="EO210" s="140">
        <f t="shared" si="5716"/>
        <v>0</v>
      </c>
      <c r="EP210" s="198">
        <f t="shared" si="5645"/>
        <v>0</v>
      </c>
      <c r="EQ210" s="225">
        <f t="shared" si="5646"/>
        <v>0</v>
      </c>
      <c r="ER210" s="226">
        <f t="shared" si="5647"/>
        <v>0</v>
      </c>
      <c r="ES210" s="137">
        <f t="shared" si="5717"/>
        <v>0</v>
      </c>
      <c r="ET210" s="227">
        <f t="shared" si="5648"/>
        <v>744.63</v>
      </c>
      <c r="EU210" s="138">
        <f t="shared" si="5718"/>
        <v>0</v>
      </c>
      <c r="EV210" s="110">
        <f t="shared" si="5719"/>
        <v>0</v>
      </c>
      <c r="EW210" s="110"/>
      <c r="EX210" s="139"/>
      <c r="EY210" s="140">
        <f t="shared" si="5720"/>
        <v>0</v>
      </c>
      <c r="EZ210" s="198">
        <f t="shared" si="5649"/>
        <v>0</v>
      </c>
      <c r="FA210" s="225">
        <f t="shared" si="5650"/>
        <v>0</v>
      </c>
      <c r="FB210" s="226">
        <f t="shared" si="5651"/>
        <v>0</v>
      </c>
      <c r="FC210" s="137">
        <f t="shared" si="5721"/>
        <v>0</v>
      </c>
      <c r="FD210" s="227">
        <f t="shared" si="5652"/>
        <v>744.63</v>
      </c>
      <c r="FE210" s="138">
        <f t="shared" si="5722"/>
        <v>0</v>
      </c>
      <c r="FF210" s="110">
        <f t="shared" si="5723"/>
        <v>0</v>
      </c>
      <c r="FG210" s="110"/>
      <c r="FH210" s="139"/>
      <c r="FI210" s="140">
        <f t="shared" si="5724"/>
        <v>0</v>
      </c>
      <c r="FJ210" s="198">
        <f t="shared" si="5649"/>
        <v>0</v>
      </c>
      <c r="FK210" s="225">
        <f t="shared" si="5650"/>
        <v>0</v>
      </c>
      <c r="FL210" s="226">
        <f t="shared" si="5651"/>
        <v>0</v>
      </c>
      <c r="FM210" s="137">
        <f t="shared" si="5725"/>
        <v>0</v>
      </c>
      <c r="FN210" s="227">
        <f t="shared" si="5652"/>
        <v>744.63</v>
      </c>
      <c r="FO210" s="138">
        <f t="shared" si="5726"/>
        <v>0</v>
      </c>
      <c r="FP210" s="110">
        <f t="shared" si="5727"/>
        <v>0</v>
      </c>
      <c r="FQ210" s="110"/>
      <c r="FR210" s="139"/>
      <c r="FS210" s="140">
        <f t="shared" si="5728"/>
        <v>0</v>
      </c>
      <c r="FT210" s="198">
        <f t="shared" si="5649"/>
        <v>1</v>
      </c>
      <c r="FU210" s="225">
        <f t="shared" si="5650"/>
        <v>1.25E-3</v>
      </c>
      <c r="FV210" s="226">
        <f t="shared" si="5651"/>
        <v>0.2</v>
      </c>
      <c r="FW210" s="137">
        <f t="shared" si="5729"/>
        <v>0.2</v>
      </c>
      <c r="FX210" s="227">
        <f t="shared" si="5652"/>
        <v>744.63</v>
      </c>
      <c r="FY210" s="138">
        <f t="shared" si="5730"/>
        <v>148.92599999999999</v>
      </c>
      <c r="FZ210" s="110">
        <f t="shared" si="5731"/>
        <v>148.93</v>
      </c>
      <c r="GA210" s="110"/>
      <c r="GB210" s="139"/>
      <c r="GC210" s="140">
        <f t="shared" si="5732"/>
        <v>1.06823</v>
      </c>
      <c r="GD210" s="198">
        <f t="shared" si="5649"/>
        <v>0</v>
      </c>
      <c r="GE210" s="225">
        <f t="shared" si="5650"/>
        <v>0</v>
      </c>
      <c r="GF210" s="226">
        <f t="shared" si="5651"/>
        <v>0</v>
      </c>
      <c r="GG210" s="137">
        <f t="shared" si="5733"/>
        <v>0</v>
      </c>
      <c r="GH210" s="227">
        <f t="shared" si="5652"/>
        <v>744.63</v>
      </c>
      <c r="GI210" s="138">
        <f t="shared" si="5734"/>
        <v>0</v>
      </c>
      <c r="GJ210" s="110">
        <f t="shared" si="5735"/>
        <v>0</v>
      </c>
      <c r="GK210" s="110"/>
      <c r="GL210" s="139"/>
      <c r="GM210" s="140">
        <f t="shared" si="5736"/>
        <v>0</v>
      </c>
      <c r="GN210" s="198">
        <f t="shared" si="5649"/>
        <v>0</v>
      </c>
      <c r="GO210" s="225">
        <f t="shared" si="5650"/>
        <v>0</v>
      </c>
      <c r="GP210" s="226">
        <f t="shared" si="5651"/>
        <v>0</v>
      </c>
      <c r="GQ210" s="137">
        <f t="shared" si="5737"/>
        <v>0</v>
      </c>
      <c r="GR210" s="227">
        <f t="shared" si="5652"/>
        <v>744.63</v>
      </c>
      <c r="GS210" s="138">
        <f t="shared" si="5738"/>
        <v>0</v>
      </c>
      <c r="GT210" s="110">
        <f t="shared" si="5739"/>
        <v>0</v>
      </c>
      <c r="GU210" s="110"/>
      <c r="GV210" s="139"/>
      <c r="GW210" s="140">
        <f t="shared" si="5740"/>
        <v>0</v>
      </c>
      <c r="GX210" s="198">
        <f t="shared" si="5649"/>
        <v>1</v>
      </c>
      <c r="GY210" s="225">
        <f t="shared" si="5650"/>
        <v>6.2E-4</v>
      </c>
      <c r="GZ210" s="226">
        <f t="shared" si="5651"/>
        <v>0.18</v>
      </c>
      <c r="HA210" s="137">
        <f t="shared" si="5741"/>
        <v>0.18</v>
      </c>
      <c r="HB210" s="227">
        <f t="shared" si="5652"/>
        <v>744.63</v>
      </c>
      <c r="HC210" s="138">
        <f t="shared" si="5742"/>
        <v>134.0334</v>
      </c>
      <c r="HD210" s="110">
        <f t="shared" si="5743"/>
        <v>134.03</v>
      </c>
      <c r="HE210" s="110"/>
      <c r="HF210" s="139"/>
      <c r="HG210" s="140">
        <f t="shared" si="5744"/>
        <v>0.96140000000000003</v>
      </c>
      <c r="HH210" s="198">
        <f t="shared" si="5649"/>
        <v>1</v>
      </c>
      <c r="HI210" s="225">
        <f t="shared" si="5650"/>
        <v>8.7000000000000001E-4</v>
      </c>
      <c r="HJ210" s="226">
        <f t="shared" si="5651"/>
        <v>0.17</v>
      </c>
      <c r="HK210" s="137">
        <f t="shared" si="5745"/>
        <v>0.17</v>
      </c>
      <c r="HL210" s="227">
        <f t="shared" si="5652"/>
        <v>731.29</v>
      </c>
      <c r="HM210" s="138">
        <f t="shared" si="5746"/>
        <v>124.3193</v>
      </c>
      <c r="HN210" s="110">
        <f t="shared" si="5747"/>
        <v>124.32</v>
      </c>
      <c r="HO210" s="110"/>
      <c r="HP210" s="139"/>
      <c r="HQ210" s="140">
        <f t="shared" si="5748"/>
        <v>0.89171999999999996</v>
      </c>
      <c r="HR210" s="198">
        <f t="shared" si="5653"/>
        <v>0</v>
      </c>
      <c r="HS210" s="225">
        <f t="shared" si="5654"/>
        <v>0</v>
      </c>
      <c r="HT210" s="226">
        <f t="shared" si="5655"/>
        <v>0</v>
      </c>
      <c r="HU210" s="137">
        <f t="shared" si="5749"/>
        <v>0</v>
      </c>
      <c r="HV210" s="227">
        <f t="shared" si="5656"/>
        <v>744.63</v>
      </c>
      <c r="HW210" s="138">
        <f t="shared" si="5750"/>
        <v>0</v>
      </c>
      <c r="HX210" s="110">
        <f t="shared" si="5751"/>
        <v>0</v>
      </c>
      <c r="HY210" s="110"/>
      <c r="HZ210" s="139"/>
      <c r="IA210" s="140">
        <f t="shared" si="5752"/>
        <v>0</v>
      </c>
      <c r="IB210" s="198">
        <f t="shared" si="5653"/>
        <v>0</v>
      </c>
      <c r="IC210" s="225">
        <f t="shared" si="5654"/>
        <v>0</v>
      </c>
      <c r="ID210" s="226">
        <f t="shared" si="5655"/>
        <v>0</v>
      </c>
      <c r="IE210" s="137">
        <f t="shared" si="5753"/>
        <v>0</v>
      </c>
      <c r="IF210" s="227">
        <f t="shared" si="5656"/>
        <v>744.63</v>
      </c>
      <c r="IG210" s="138">
        <f t="shared" si="5754"/>
        <v>0</v>
      </c>
      <c r="IH210" s="110">
        <f t="shared" si="5755"/>
        <v>0</v>
      </c>
      <c r="II210" s="110"/>
      <c r="IJ210" s="139"/>
      <c r="IK210" s="140">
        <f t="shared" si="5756"/>
        <v>0</v>
      </c>
      <c r="IL210" s="198">
        <f t="shared" si="5653"/>
        <v>1</v>
      </c>
      <c r="IM210" s="225">
        <f t="shared" si="5654"/>
        <v>7.9000000000000001E-4</v>
      </c>
      <c r="IN210" s="226">
        <f t="shared" si="5655"/>
        <v>0.21</v>
      </c>
      <c r="IO210" s="137">
        <f t="shared" si="5757"/>
        <v>0.21</v>
      </c>
      <c r="IP210" s="227">
        <f t="shared" si="5656"/>
        <v>678.72</v>
      </c>
      <c r="IQ210" s="138">
        <f t="shared" si="5758"/>
        <v>142.53120000000001</v>
      </c>
      <c r="IR210" s="110">
        <f t="shared" si="5759"/>
        <v>142.53</v>
      </c>
      <c r="IS210" s="110"/>
      <c r="IT210" s="139"/>
      <c r="IU210" s="140">
        <f t="shared" si="5760"/>
        <v>1.0223599999999999</v>
      </c>
      <c r="IV210" s="198">
        <f t="shared" si="5653"/>
        <v>0</v>
      </c>
      <c r="IW210" s="225">
        <f t="shared" si="5654"/>
        <v>0</v>
      </c>
      <c r="IX210" s="226">
        <f t="shared" si="5655"/>
        <v>0</v>
      </c>
      <c r="IY210" s="137">
        <f t="shared" si="5761"/>
        <v>0</v>
      </c>
      <c r="IZ210" s="227">
        <f t="shared" si="5656"/>
        <v>744.63</v>
      </c>
      <c r="JA210" s="138">
        <f t="shared" si="5762"/>
        <v>0</v>
      </c>
      <c r="JB210" s="110">
        <f t="shared" si="5763"/>
        <v>0</v>
      </c>
      <c r="JC210" s="110"/>
      <c r="JD210" s="139"/>
      <c r="JE210" s="140">
        <f t="shared" si="5764"/>
        <v>0</v>
      </c>
      <c r="JF210" s="198">
        <f t="shared" si="5653"/>
        <v>0</v>
      </c>
      <c r="JG210" s="225">
        <f t="shared" si="5654"/>
        <v>0</v>
      </c>
      <c r="JH210" s="226">
        <f t="shared" si="5655"/>
        <v>0</v>
      </c>
      <c r="JI210" s="137">
        <f t="shared" si="5765"/>
        <v>0</v>
      </c>
      <c r="JJ210" s="227">
        <f t="shared" si="5656"/>
        <v>744.63</v>
      </c>
      <c r="JK210" s="138">
        <f t="shared" si="5766"/>
        <v>0</v>
      </c>
      <c r="JL210" s="110">
        <f t="shared" si="5767"/>
        <v>0</v>
      </c>
      <c r="JM210" s="110"/>
      <c r="JN210" s="139"/>
      <c r="JO210" s="140">
        <f t="shared" si="5768"/>
        <v>0</v>
      </c>
      <c r="JP210" s="198">
        <f t="shared" si="5653"/>
        <v>0</v>
      </c>
      <c r="JQ210" s="225">
        <f t="shared" si="5654"/>
        <v>0</v>
      </c>
      <c r="JR210" s="226">
        <f t="shared" si="5655"/>
        <v>0</v>
      </c>
      <c r="JS210" s="137">
        <f t="shared" si="5769"/>
        <v>0</v>
      </c>
      <c r="JT210" s="227">
        <f t="shared" si="5656"/>
        <v>744.63</v>
      </c>
      <c r="JU210" s="138">
        <f t="shared" si="5770"/>
        <v>0</v>
      </c>
      <c r="JV210" s="110">
        <f t="shared" si="5771"/>
        <v>0</v>
      </c>
      <c r="JW210" s="110"/>
      <c r="JX210" s="139"/>
      <c r="JY210" s="140">
        <f t="shared" si="5772"/>
        <v>0</v>
      </c>
      <c r="JZ210" s="198">
        <f t="shared" si="5653"/>
        <v>0</v>
      </c>
      <c r="KA210" s="225">
        <f t="shared" si="5654"/>
        <v>0</v>
      </c>
      <c r="KB210" s="226">
        <f t="shared" si="5655"/>
        <v>0</v>
      </c>
      <c r="KC210" s="137">
        <f t="shared" si="5773"/>
        <v>0</v>
      </c>
      <c r="KD210" s="227">
        <f t="shared" si="5656"/>
        <v>744.63</v>
      </c>
      <c r="KE210" s="138">
        <f t="shared" si="5774"/>
        <v>0</v>
      </c>
      <c r="KF210" s="110">
        <f t="shared" si="5775"/>
        <v>0</v>
      </c>
      <c r="KG210" s="110"/>
      <c r="KH210" s="139"/>
      <c r="KI210" s="140">
        <f t="shared" si="5776"/>
        <v>0</v>
      </c>
      <c r="KJ210" s="198">
        <f t="shared" si="5657"/>
        <v>0</v>
      </c>
      <c r="KK210" s="225">
        <f t="shared" si="5658"/>
        <v>0</v>
      </c>
      <c r="KL210" s="226">
        <f t="shared" si="5659"/>
        <v>0</v>
      </c>
      <c r="KM210" s="137">
        <f t="shared" si="5777"/>
        <v>0</v>
      </c>
      <c r="KN210" s="227">
        <f t="shared" si="5660"/>
        <v>744.63</v>
      </c>
      <c r="KO210" s="138">
        <f t="shared" si="5778"/>
        <v>0</v>
      </c>
      <c r="KP210" s="110">
        <f t="shared" si="5779"/>
        <v>0</v>
      </c>
      <c r="KQ210" s="110"/>
      <c r="KR210" s="139"/>
      <c r="KS210" s="140">
        <f t="shared" si="5780"/>
        <v>0</v>
      </c>
      <c r="KT210" s="198">
        <f t="shared" si="5657"/>
        <v>0</v>
      </c>
      <c r="KU210" s="225">
        <f t="shared" si="5658"/>
        <v>0</v>
      </c>
      <c r="KV210" s="226">
        <f t="shared" si="5659"/>
        <v>0</v>
      </c>
      <c r="KW210" s="137">
        <f t="shared" si="5781"/>
        <v>0</v>
      </c>
      <c r="KX210" s="227">
        <f t="shared" si="5660"/>
        <v>744.63</v>
      </c>
      <c r="KY210" s="138">
        <f t="shared" si="5782"/>
        <v>0</v>
      </c>
      <c r="KZ210" s="110">
        <f t="shared" si="5783"/>
        <v>0</v>
      </c>
      <c r="LA210" s="110"/>
      <c r="LB210" s="139"/>
      <c r="LC210" s="140">
        <f t="shared" si="5784"/>
        <v>0</v>
      </c>
      <c r="LD210" s="198">
        <f t="shared" si="5510"/>
        <v>6</v>
      </c>
      <c r="LE210" s="225">
        <f t="shared" si="5511"/>
        <v>2.1000000000000001E-4</v>
      </c>
      <c r="LF210" s="226">
        <f t="shared" si="5512"/>
        <v>1.1399999999999999</v>
      </c>
      <c r="LG210" s="137">
        <f t="shared" si="5785"/>
        <v>0.19</v>
      </c>
      <c r="LH210" s="227">
        <f t="shared" si="5513"/>
        <v>733.76</v>
      </c>
      <c r="LI210" s="138">
        <f t="shared" si="5786"/>
        <v>139.4144</v>
      </c>
      <c r="LJ210" s="110">
        <f t="shared" si="5787"/>
        <v>836.49</v>
      </c>
      <c r="LK210" s="110"/>
      <c r="LL210" s="139"/>
    </row>
    <row r="211" spans="1:324" ht="16.5" customHeight="1" x14ac:dyDescent="0.25">
      <c r="A211" s="246"/>
      <c r="B211" s="12" t="s">
        <v>627</v>
      </c>
      <c r="C211" s="12" t="s">
        <v>728</v>
      </c>
      <c r="D211" s="12" t="s">
        <v>430</v>
      </c>
      <c r="E211" s="4" t="s">
        <v>32</v>
      </c>
      <c r="F211" s="198">
        <f t="shared" si="5506"/>
        <v>0</v>
      </c>
      <c r="G211" s="225">
        <f t="shared" si="5507"/>
        <v>0</v>
      </c>
      <c r="H211" s="226">
        <f t="shared" si="5508"/>
        <v>0</v>
      </c>
      <c r="I211" s="137">
        <f t="shared" si="5661"/>
        <v>0</v>
      </c>
      <c r="J211" s="227">
        <f t="shared" si="5509"/>
        <v>744.63</v>
      </c>
      <c r="K211" s="138">
        <f t="shared" si="5662"/>
        <v>0</v>
      </c>
      <c r="L211" s="110">
        <f t="shared" si="5663"/>
        <v>0</v>
      </c>
      <c r="M211" s="110"/>
      <c r="N211" s="139"/>
      <c r="O211" s="140">
        <f t="shared" si="5664"/>
        <v>0</v>
      </c>
      <c r="P211" s="198">
        <f t="shared" si="5641"/>
        <v>0</v>
      </c>
      <c r="Q211" s="225">
        <f t="shared" si="5642"/>
        <v>0</v>
      </c>
      <c r="R211" s="226">
        <f t="shared" si="5643"/>
        <v>0</v>
      </c>
      <c r="S211" s="137">
        <f t="shared" si="5665"/>
        <v>0</v>
      </c>
      <c r="T211" s="227">
        <f t="shared" si="5644"/>
        <v>744.63</v>
      </c>
      <c r="U211" s="138">
        <f t="shared" si="5666"/>
        <v>0</v>
      </c>
      <c r="V211" s="110">
        <f t="shared" si="5667"/>
        <v>0</v>
      </c>
      <c r="W211" s="110"/>
      <c r="X211" s="139"/>
      <c r="Y211" s="140">
        <f t="shared" si="5668"/>
        <v>0</v>
      </c>
      <c r="Z211" s="198">
        <f t="shared" si="5641"/>
        <v>0</v>
      </c>
      <c r="AA211" s="225">
        <f t="shared" si="5642"/>
        <v>0</v>
      </c>
      <c r="AB211" s="226">
        <f t="shared" si="5643"/>
        <v>0</v>
      </c>
      <c r="AC211" s="137">
        <f t="shared" si="5669"/>
        <v>0</v>
      </c>
      <c r="AD211" s="227">
        <f t="shared" si="5644"/>
        <v>744.63</v>
      </c>
      <c r="AE211" s="138">
        <f t="shared" si="5670"/>
        <v>0</v>
      </c>
      <c r="AF211" s="110">
        <f t="shared" si="5671"/>
        <v>0</v>
      </c>
      <c r="AG211" s="110"/>
      <c r="AH211" s="139"/>
      <c r="AI211" s="140">
        <f t="shared" si="5672"/>
        <v>0</v>
      </c>
      <c r="AJ211" s="198">
        <f t="shared" si="5641"/>
        <v>0</v>
      </c>
      <c r="AK211" s="225">
        <f t="shared" si="5642"/>
        <v>0</v>
      </c>
      <c r="AL211" s="226">
        <f t="shared" si="5643"/>
        <v>0</v>
      </c>
      <c r="AM211" s="137">
        <f t="shared" si="5673"/>
        <v>0</v>
      </c>
      <c r="AN211" s="227">
        <f t="shared" si="5644"/>
        <v>744.63</v>
      </c>
      <c r="AO211" s="138">
        <f t="shared" si="5674"/>
        <v>0</v>
      </c>
      <c r="AP211" s="110">
        <f t="shared" si="5675"/>
        <v>0</v>
      </c>
      <c r="AQ211" s="110"/>
      <c r="AR211" s="139"/>
      <c r="AS211" s="140">
        <f t="shared" si="5676"/>
        <v>0</v>
      </c>
      <c r="AT211" s="198">
        <f t="shared" si="5641"/>
        <v>1</v>
      </c>
      <c r="AU211" s="225">
        <f t="shared" si="5642"/>
        <v>1.0499999999999999E-3</v>
      </c>
      <c r="AV211" s="226">
        <f t="shared" si="5643"/>
        <v>0.12</v>
      </c>
      <c r="AW211" s="137">
        <f t="shared" si="5677"/>
        <v>0.12</v>
      </c>
      <c r="AX211" s="227">
        <f t="shared" si="5644"/>
        <v>744.63</v>
      </c>
      <c r="AY211" s="138">
        <f t="shared" si="5678"/>
        <v>89.355599999999995</v>
      </c>
      <c r="AZ211" s="110">
        <f t="shared" si="5679"/>
        <v>89.36</v>
      </c>
      <c r="BA211" s="110"/>
      <c r="BB211" s="139"/>
      <c r="BC211" s="140">
        <f t="shared" si="5680"/>
        <v>0.55352999999999997</v>
      </c>
      <c r="BD211" s="198">
        <f t="shared" si="5641"/>
        <v>0</v>
      </c>
      <c r="BE211" s="225">
        <f t="shared" si="5642"/>
        <v>0</v>
      </c>
      <c r="BF211" s="226">
        <f t="shared" si="5643"/>
        <v>0</v>
      </c>
      <c r="BG211" s="137">
        <f t="shared" si="5681"/>
        <v>0</v>
      </c>
      <c r="BH211" s="227">
        <f t="shared" si="5644"/>
        <v>744.63</v>
      </c>
      <c r="BI211" s="138">
        <f t="shared" si="5682"/>
        <v>0</v>
      </c>
      <c r="BJ211" s="110">
        <f t="shared" si="5683"/>
        <v>0</v>
      </c>
      <c r="BK211" s="110"/>
      <c r="BL211" s="139"/>
      <c r="BM211" s="140">
        <f t="shared" si="5684"/>
        <v>0</v>
      </c>
      <c r="BN211" s="198">
        <f t="shared" si="5641"/>
        <v>0</v>
      </c>
      <c r="BO211" s="225">
        <f t="shared" si="5642"/>
        <v>0</v>
      </c>
      <c r="BP211" s="226">
        <f t="shared" si="5643"/>
        <v>0</v>
      </c>
      <c r="BQ211" s="137">
        <f t="shared" si="5685"/>
        <v>0</v>
      </c>
      <c r="BR211" s="227">
        <f t="shared" si="5644"/>
        <v>744.63</v>
      </c>
      <c r="BS211" s="138">
        <f t="shared" si="5686"/>
        <v>0</v>
      </c>
      <c r="BT211" s="110">
        <f t="shared" si="5687"/>
        <v>0</v>
      </c>
      <c r="BU211" s="110"/>
      <c r="BV211" s="139"/>
      <c r="BW211" s="140">
        <f t="shared" si="5688"/>
        <v>0</v>
      </c>
      <c r="BX211" s="198">
        <f t="shared" si="5641"/>
        <v>0</v>
      </c>
      <c r="BY211" s="225">
        <f t="shared" si="5642"/>
        <v>0</v>
      </c>
      <c r="BZ211" s="226">
        <f t="shared" si="5643"/>
        <v>0</v>
      </c>
      <c r="CA211" s="137">
        <f t="shared" si="5689"/>
        <v>0</v>
      </c>
      <c r="CB211" s="227">
        <f t="shared" si="5644"/>
        <v>744.63</v>
      </c>
      <c r="CC211" s="138">
        <f t="shared" si="5690"/>
        <v>0</v>
      </c>
      <c r="CD211" s="110">
        <f t="shared" si="5691"/>
        <v>0</v>
      </c>
      <c r="CE211" s="110"/>
      <c r="CF211" s="139"/>
      <c r="CG211" s="140">
        <f t="shared" si="5692"/>
        <v>0</v>
      </c>
      <c r="CH211" s="198">
        <f t="shared" si="5645"/>
        <v>0</v>
      </c>
      <c r="CI211" s="225">
        <f t="shared" si="5646"/>
        <v>0</v>
      </c>
      <c r="CJ211" s="226">
        <f t="shared" si="5647"/>
        <v>0</v>
      </c>
      <c r="CK211" s="137">
        <f t="shared" si="5693"/>
        <v>0</v>
      </c>
      <c r="CL211" s="227">
        <f t="shared" si="5648"/>
        <v>744.63</v>
      </c>
      <c r="CM211" s="138">
        <f t="shared" si="5694"/>
        <v>0</v>
      </c>
      <c r="CN211" s="110">
        <f t="shared" si="5695"/>
        <v>0</v>
      </c>
      <c r="CO211" s="110"/>
      <c r="CP211" s="139"/>
      <c r="CQ211" s="140">
        <f t="shared" si="5696"/>
        <v>0</v>
      </c>
      <c r="CR211" s="198">
        <f t="shared" si="5645"/>
        <v>0</v>
      </c>
      <c r="CS211" s="225">
        <f t="shared" si="5646"/>
        <v>0</v>
      </c>
      <c r="CT211" s="226">
        <f t="shared" si="5647"/>
        <v>0</v>
      </c>
      <c r="CU211" s="137">
        <f t="shared" si="5697"/>
        <v>0</v>
      </c>
      <c r="CV211" s="227">
        <f t="shared" si="5648"/>
        <v>744.63</v>
      </c>
      <c r="CW211" s="138">
        <f t="shared" si="5698"/>
        <v>0</v>
      </c>
      <c r="CX211" s="110">
        <f t="shared" si="5699"/>
        <v>0</v>
      </c>
      <c r="CY211" s="110"/>
      <c r="CZ211" s="139"/>
      <c r="DA211" s="140">
        <f t="shared" si="5700"/>
        <v>0</v>
      </c>
      <c r="DB211" s="198">
        <f t="shared" si="5645"/>
        <v>0</v>
      </c>
      <c r="DC211" s="225">
        <f t="shared" si="5646"/>
        <v>0</v>
      </c>
      <c r="DD211" s="226">
        <f t="shared" si="5647"/>
        <v>0</v>
      </c>
      <c r="DE211" s="137">
        <f t="shared" si="5701"/>
        <v>0</v>
      </c>
      <c r="DF211" s="227">
        <f t="shared" si="5648"/>
        <v>744.63</v>
      </c>
      <c r="DG211" s="138">
        <f t="shared" si="5702"/>
        <v>0</v>
      </c>
      <c r="DH211" s="110">
        <f t="shared" si="5703"/>
        <v>0</v>
      </c>
      <c r="DI211" s="110"/>
      <c r="DJ211" s="139"/>
      <c r="DK211" s="140">
        <f t="shared" si="5704"/>
        <v>0</v>
      </c>
      <c r="DL211" s="198">
        <f t="shared" si="5645"/>
        <v>0</v>
      </c>
      <c r="DM211" s="225">
        <f t="shared" si="5646"/>
        <v>0</v>
      </c>
      <c r="DN211" s="226">
        <f t="shared" si="5647"/>
        <v>0</v>
      </c>
      <c r="DO211" s="137">
        <f t="shared" si="5705"/>
        <v>0</v>
      </c>
      <c r="DP211" s="227">
        <f t="shared" si="5648"/>
        <v>744.63</v>
      </c>
      <c r="DQ211" s="138">
        <f t="shared" si="5706"/>
        <v>0</v>
      </c>
      <c r="DR211" s="110">
        <f t="shared" si="5707"/>
        <v>0</v>
      </c>
      <c r="DS211" s="110"/>
      <c r="DT211" s="139"/>
      <c r="DU211" s="140">
        <f t="shared" si="5708"/>
        <v>0</v>
      </c>
      <c r="DV211" s="198">
        <f t="shared" si="5645"/>
        <v>0</v>
      </c>
      <c r="DW211" s="225">
        <f t="shared" si="5646"/>
        <v>0</v>
      </c>
      <c r="DX211" s="226">
        <f t="shared" si="5647"/>
        <v>0</v>
      </c>
      <c r="DY211" s="137">
        <f t="shared" si="5709"/>
        <v>0</v>
      </c>
      <c r="DZ211" s="227">
        <f t="shared" si="5648"/>
        <v>389.62</v>
      </c>
      <c r="EA211" s="138">
        <f t="shared" si="5710"/>
        <v>0</v>
      </c>
      <c r="EB211" s="110">
        <f t="shared" si="5711"/>
        <v>0</v>
      </c>
      <c r="EC211" s="110"/>
      <c r="ED211" s="139"/>
      <c r="EE211" s="140">
        <f t="shared" si="5712"/>
        <v>0</v>
      </c>
      <c r="EF211" s="198">
        <f t="shared" si="5645"/>
        <v>0</v>
      </c>
      <c r="EG211" s="225">
        <f t="shared" si="5646"/>
        <v>0</v>
      </c>
      <c r="EH211" s="226">
        <f t="shared" si="5647"/>
        <v>0</v>
      </c>
      <c r="EI211" s="137">
        <f t="shared" si="5713"/>
        <v>0</v>
      </c>
      <c r="EJ211" s="227">
        <f t="shared" si="5648"/>
        <v>744.63</v>
      </c>
      <c r="EK211" s="138">
        <f t="shared" si="5714"/>
        <v>0</v>
      </c>
      <c r="EL211" s="110">
        <f t="shared" si="5715"/>
        <v>0</v>
      </c>
      <c r="EM211" s="110"/>
      <c r="EN211" s="139"/>
      <c r="EO211" s="140">
        <f t="shared" si="5716"/>
        <v>0</v>
      </c>
      <c r="EP211" s="198">
        <f t="shared" si="5645"/>
        <v>0</v>
      </c>
      <c r="EQ211" s="225">
        <f t="shared" si="5646"/>
        <v>0</v>
      </c>
      <c r="ER211" s="226">
        <f t="shared" si="5647"/>
        <v>0</v>
      </c>
      <c r="ES211" s="137">
        <f t="shared" si="5717"/>
        <v>0</v>
      </c>
      <c r="ET211" s="227">
        <f t="shared" si="5648"/>
        <v>744.63</v>
      </c>
      <c r="EU211" s="138">
        <f t="shared" si="5718"/>
        <v>0</v>
      </c>
      <c r="EV211" s="110">
        <f t="shared" si="5719"/>
        <v>0</v>
      </c>
      <c r="EW211" s="110"/>
      <c r="EX211" s="139"/>
      <c r="EY211" s="140">
        <f t="shared" si="5720"/>
        <v>0</v>
      </c>
      <c r="EZ211" s="198">
        <f t="shared" si="5649"/>
        <v>0</v>
      </c>
      <c r="FA211" s="225">
        <f t="shared" si="5650"/>
        <v>0</v>
      </c>
      <c r="FB211" s="226">
        <f t="shared" si="5651"/>
        <v>0</v>
      </c>
      <c r="FC211" s="137">
        <f t="shared" si="5721"/>
        <v>0</v>
      </c>
      <c r="FD211" s="227">
        <f t="shared" si="5652"/>
        <v>744.63</v>
      </c>
      <c r="FE211" s="138">
        <f t="shared" si="5722"/>
        <v>0</v>
      </c>
      <c r="FF211" s="110">
        <f t="shared" si="5723"/>
        <v>0</v>
      </c>
      <c r="FG211" s="110"/>
      <c r="FH211" s="139"/>
      <c r="FI211" s="140">
        <f t="shared" si="5724"/>
        <v>0</v>
      </c>
      <c r="FJ211" s="198">
        <f t="shared" si="5649"/>
        <v>0</v>
      </c>
      <c r="FK211" s="225">
        <f t="shared" si="5650"/>
        <v>0</v>
      </c>
      <c r="FL211" s="226">
        <f t="shared" si="5651"/>
        <v>0</v>
      </c>
      <c r="FM211" s="137">
        <f t="shared" si="5725"/>
        <v>0</v>
      </c>
      <c r="FN211" s="227">
        <f t="shared" si="5652"/>
        <v>744.63</v>
      </c>
      <c r="FO211" s="138">
        <f t="shared" si="5726"/>
        <v>0</v>
      </c>
      <c r="FP211" s="110">
        <f t="shared" si="5727"/>
        <v>0</v>
      </c>
      <c r="FQ211" s="110"/>
      <c r="FR211" s="139"/>
      <c r="FS211" s="140">
        <f t="shared" si="5728"/>
        <v>0</v>
      </c>
      <c r="FT211" s="198">
        <f t="shared" si="5649"/>
        <v>0</v>
      </c>
      <c r="FU211" s="225">
        <f t="shared" si="5650"/>
        <v>0</v>
      </c>
      <c r="FV211" s="226">
        <f t="shared" si="5651"/>
        <v>0</v>
      </c>
      <c r="FW211" s="137">
        <f t="shared" si="5729"/>
        <v>0</v>
      </c>
      <c r="FX211" s="227">
        <f t="shared" si="5652"/>
        <v>744.63</v>
      </c>
      <c r="FY211" s="138">
        <f t="shared" si="5730"/>
        <v>0</v>
      </c>
      <c r="FZ211" s="110">
        <f t="shared" si="5731"/>
        <v>0</v>
      </c>
      <c r="GA211" s="110"/>
      <c r="GB211" s="139"/>
      <c r="GC211" s="140">
        <f t="shared" si="5732"/>
        <v>0</v>
      </c>
      <c r="GD211" s="198">
        <f t="shared" si="5649"/>
        <v>0</v>
      </c>
      <c r="GE211" s="225">
        <f t="shared" si="5650"/>
        <v>0</v>
      </c>
      <c r="GF211" s="226">
        <f t="shared" si="5651"/>
        <v>0</v>
      </c>
      <c r="GG211" s="137">
        <f t="shared" si="5733"/>
        <v>0</v>
      </c>
      <c r="GH211" s="227">
        <f t="shared" si="5652"/>
        <v>744.63</v>
      </c>
      <c r="GI211" s="138">
        <f t="shared" si="5734"/>
        <v>0</v>
      </c>
      <c r="GJ211" s="110">
        <f t="shared" si="5735"/>
        <v>0</v>
      </c>
      <c r="GK211" s="110"/>
      <c r="GL211" s="139"/>
      <c r="GM211" s="140">
        <f t="shared" si="5736"/>
        <v>0</v>
      </c>
      <c r="GN211" s="198">
        <f t="shared" si="5649"/>
        <v>0</v>
      </c>
      <c r="GO211" s="225">
        <f t="shared" si="5650"/>
        <v>0</v>
      </c>
      <c r="GP211" s="226">
        <f t="shared" si="5651"/>
        <v>0</v>
      </c>
      <c r="GQ211" s="137">
        <f t="shared" si="5737"/>
        <v>0</v>
      </c>
      <c r="GR211" s="227">
        <f t="shared" si="5652"/>
        <v>744.63</v>
      </c>
      <c r="GS211" s="138">
        <f t="shared" si="5738"/>
        <v>0</v>
      </c>
      <c r="GT211" s="110">
        <f t="shared" si="5739"/>
        <v>0</v>
      </c>
      <c r="GU211" s="110"/>
      <c r="GV211" s="139"/>
      <c r="GW211" s="140">
        <f t="shared" si="5740"/>
        <v>0</v>
      </c>
      <c r="GX211" s="198">
        <f t="shared" si="5649"/>
        <v>0</v>
      </c>
      <c r="GY211" s="225">
        <f t="shared" si="5650"/>
        <v>0</v>
      </c>
      <c r="GZ211" s="226">
        <f t="shared" si="5651"/>
        <v>0</v>
      </c>
      <c r="HA211" s="137">
        <f t="shared" si="5741"/>
        <v>0</v>
      </c>
      <c r="HB211" s="227">
        <f t="shared" si="5652"/>
        <v>744.63</v>
      </c>
      <c r="HC211" s="138">
        <f t="shared" si="5742"/>
        <v>0</v>
      </c>
      <c r="HD211" s="110">
        <f t="shared" si="5743"/>
        <v>0</v>
      </c>
      <c r="HE211" s="110"/>
      <c r="HF211" s="139"/>
      <c r="HG211" s="140">
        <f t="shared" si="5744"/>
        <v>0</v>
      </c>
      <c r="HH211" s="198">
        <f t="shared" si="5649"/>
        <v>0</v>
      </c>
      <c r="HI211" s="225">
        <f t="shared" si="5650"/>
        <v>0</v>
      </c>
      <c r="HJ211" s="226">
        <f t="shared" si="5651"/>
        <v>0</v>
      </c>
      <c r="HK211" s="137">
        <f t="shared" si="5745"/>
        <v>0</v>
      </c>
      <c r="HL211" s="227">
        <f t="shared" si="5652"/>
        <v>731.29</v>
      </c>
      <c r="HM211" s="138">
        <f t="shared" si="5746"/>
        <v>0</v>
      </c>
      <c r="HN211" s="110">
        <f t="shared" si="5747"/>
        <v>0</v>
      </c>
      <c r="HO211" s="110"/>
      <c r="HP211" s="139"/>
      <c r="HQ211" s="140">
        <f t="shared" si="5748"/>
        <v>0</v>
      </c>
      <c r="HR211" s="198">
        <f t="shared" si="5653"/>
        <v>0</v>
      </c>
      <c r="HS211" s="225">
        <f t="shared" si="5654"/>
        <v>0</v>
      </c>
      <c r="HT211" s="226">
        <f t="shared" si="5655"/>
        <v>0</v>
      </c>
      <c r="HU211" s="137">
        <f t="shared" si="5749"/>
        <v>0</v>
      </c>
      <c r="HV211" s="227">
        <f t="shared" si="5656"/>
        <v>744.63</v>
      </c>
      <c r="HW211" s="138">
        <f t="shared" si="5750"/>
        <v>0</v>
      </c>
      <c r="HX211" s="110">
        <f t="shared" si="5751"/>
        <v>0</v>
      </c>
      <c r="HY211" s="110"/>
      <c r="HZ211" s="139"/>
      <c r="IA211" s="140">
        <f t="shared" si="5752"/>
        <v>0</v>
      </c>
      <c r="IB211" s="198">
        <f t="shared" si="5653"/>
        <v>0</v>
      </c>
      <c r="IC211" s="225">
        <f t="shared" si="5654"/>
        <v>0</v>
      </c>
      <c r="ID211" s="226">
        <f t="shared" si="5655"/>
        <v>0</v>
      </c>
      <c r="IE211" s="137">
        <f t="shared" si="5753"/>
        <v>0</v>
      </c>
      <c r="IF211" s="227">
        <f t="shared" si="5656"/>
        <v>744.63</v>
      </c>
      <c r="IG211" s="138">
        <f t="shared" si="5754"/>
        <v>0</v>
      </c>
      <c r="IH211" s="110">
        <f t="shared" si="5755"/>
        <v>0</v>
      </c>
      <c r="II211" s="110"/>
      <c r="IJ211" s="139"/>
      <c r="IK211" s="140">
        <f t="shared" si="5756"/>
        <v>0</v>
      </c>
      <c r="IL211" s="198">
        <f t="shared" si="5653"/>
        <v>0</v>
      </c>
      <c r="IM211" s="225">
        <f t="shared" si="5654"/>
        <v>0</v>
      </c>
      <c r="IN211" s="226">
        <f t="shared" si="5655"/>
        <v>0</v>
      </c>
      <c r="IO211" s="137">
        <f t="shared" si="5757"/>
        <v>0</v>
      </c>
      <c r="IP211" s="227">
        <f t="shared" si="5656"/>
        <v>678.72</v>
      </c>
      <c r="IQ211" s="138">
        <f t="shared" si="5758"/>
        <v>0</v>
      </c>
      <c r="IR211" s="110">
        <f t="shared" si="5759"/>
        <v>0</v>
      </c>
      <c r="IS211" s="110"/>
      <c r="IT211" s="139"/>
      <c r="IU211" s="140">
        <f t="shared" si="5760"/>
        <v>0</v>
      </c>
      <c r="IV211" s="198">
        <f t="shared" si="5653"/>
        <v>0</v>
      </c>
      <c r="IW211" s="225">
        <f t="shared" si="5654"/>
        <v>0</v>
      </c>
      <c r="IX211" s="226">
        <f t="shared" si="5655"/>
        <v>0</v>
      </c>
      <c r="IY211" s="137">
        <f t="shared" si="5761"/>
        <v>0</v>
      </c>
      <c r="IZ211" s="227">
        <f t="shared" si="5656"/>
        <v>744.63</v>
      </c>
      <c r="JA211" s="138">
        <f t="shared" si="5762"/>
        <v>0</v>
      </c>
      <c r="JB211" s="110">
        <f t="shared" si="5763"/>
        <v>0</v>
      </c>
      <c r="JC211" s="110"/>
      <c r="JD211" s="139"/>
      <c r="JE211" s="140">
        <f t="shared" si="5764"/>
        <v>0</v>
      </c>
      <c r="JF211" s="198">
        <f t="shared" si="5653"/>
        <v>0</v>
      </c>
      <c r="JG211" s="225">
        <f t="shared" si="5654"/>
        <v>0</v>
      </c>
      <c r="JH211" s="226">
        <f t="shared" si="5655"/>
        <v>0</v>
      </c>
      <c r="JI211" s="137">
        <f t="shared" si="5765"/>
        <v>0</v>
      </c>
      <c r="JJ211" s="227">
        <f t="shared" si="5656"/>
        <v>744.63</v>
      </c>
      <c r="JK211" s="138">
        <f t="shared" si="5766"/>
        <v>0</v>
      </c>
      <c r="JL211" s="110">
        <f t="shared" si="5767"/>
        <v>0</v>
      </c>
      <c r="JM211" s="110"/>
      <c r="JN211" s="139"/>
      <c r="JO211" s="140">
        <f t="shared" si="5768"/>
        <v>0</v>
      </c>
      <c r="JP211" s="198">
        <f t="shared" si="5653"/>
        <v>0</v>
      </c>
      <c r="JQ211" s="225">
        <f t="shared" si="5654"/>
        <v>0</v>
      </c>
      <c r="JR211" s="226">
        <f t="shared" si="5655"/>
        <v>0</v>
      </c>
      <c r="JS211" s="137">
        <f t="shared" si="5769"/>
        <v>0</v>
      </c>
      <c r="JT211" s="227">
        <f t="shared" si="5656"/>
        <v>744.63</v>
      </c>
      <c r="JU211" s="138">
        <f t="shared" si="5770"/>
        <v>0</v>
      </c>
      <c r="JV211" s="110">
        <f t="shared" si="5771"/>
        <v>0</v>
      </c>
      <c r="JW211" s="110"/>
      <c r="JX211" s="139"/>
      <c r="JY211" s="140">
        <f t="shared" si="5772"/>
        <v>0</v>
      </c>
      <c r="JZ211" s="198">
        <f t="shared" si="5653"/>
        <v>0</v>
      </c>
      <c r="KA211" s="225">
        <f t="shared" si="5654"/>
        <v>0</v>
      </c>
      <c r="KB211" s="226">
        <f t="shared" si="5655"/>
        <v>0</v>
      </c>
      <c r="KC211" s="137">
        <f t="shared" si="5773"/>
        <v>0</v>
      </c>
      <c r="KD211" s="227">
        <f t="shared" si="5656"/>
        <v>744.63</v>
      </c>
      <c r="KE211" s="138">
        <f t="shared" si="5774"/>
        <v>0</v>
      </c>
      <c r="KF211" s="110">
        <f t="shared" si="5775"/>
        <v>0</v>
      </c>
      <c r="KG211" s="110"/>
      <c r="KH211" s="139"/>
      <c r="KI211" s="140">
        <f t="shared" si="5776"/>
        <v>0</v>
      </c>
      <c r="KJ211" s="198">
        <f t="shared" si="5657"/>
        <v>0</v>
      </c>
      <c r="KK211" s="225">
        <f t="shared" si="5658"/>
        <v>0</v>
      </c>
      <c r="KL211" s="226">
        <f t="shared" si="5659"/>
        <v>0</v>
      </c>
      <c r="KM211" s="137">
        <f t="shared" si="5777"/>
        <v>0</v>
      </c>
      <c r="KN211" s="227">
        <f t="shared" si="5660"/>
        <v>744.63</v>
      </c>
      <c r="KO211" s="138">
        <f t="shared" si="5778"/>
        <v>0</v>
      </c>
      <c r="KP211" s="110">
        <f t="shared" si="5779"/>
        <v>0</v>
      </c>
      <c r="KQ211" s="110"/>
      <c r="KR211" s="139"/>
      <c r="KS211" s="140">
        <f t="shared" si="5780"/>
        <v>0</v>
      </c>
      <c r="KT211" s="198">
        <f t="shared" si="5657"/>
        <v>0</v>
      </c>
      <c r="KU211" s="225">
        <f t="shared" si="5658"/>
        <v>0</v>
      </c>
      <c r="KV211" s="226">
        <f t="shared" si="5659"/>
        <v>0</v>
      </c>
      <c r="KW211" s="137">
        <f t="shared" si="5781"/>
        <v>0</v>
      </c>
      <c r="KX211" s="227">
        <f t="shared" si="5660"/>
        <v>744.63</v>
      </c>
      <c r="KY211" s="138">
        <f t="shared" si="5782"/>
        <v>0</v>
      </c>
      <c r="KZ211" s="110">
        <f t="shared" si="5783"/>
        <v>0</v>
      </c>
      <c r="LA211" s="110"/>
      <c r="LB211" s="139"/>
      <c r="LC211" s="140">
        <f t="shared" si="5784"/>
        <v>0</v>
      </c>
      <c r="LD211" s="198">
        <f t="shared" si="5510"/>
        <v>1</v>
      </c>
      <c r="LE211" s="225">
        <f t="shared" si="5511"/>
        <v>4.0000000000000003E-5</v>
      </c>
      <c r="LF211" s="226">
        <f t="shared" si="5512"/>
        <v>0.22</v>
      </c>
      <c r="LG211" s="137">
        <f t="shared" si="5785"/>
        <v>0.22</v>
      </c>
      <c r="LH211" s="227">
        <f t="shared" si="5513"/>
        <v>733.76</v>
      </c>
      <c r="LI211" s="138">
        <f t="shared" si="5786"/>
        <v>161.4272</v>
      </c>
      <c r="LJ211" s="110">
        <f t="shared" si="5787"/>
        <v>161.43</v>
      </c>
      <c r="LK211" s="110"/>
      <c r="LL211" s="139"/>
    </row>
    <row r="212" spans="1:324" ht="16.5" customHeight="1" x14ac:dyDescent="0.25">
      <c r="A212" s="246"/>
      <c r="B212" s="174" t="s">
        <v>608</v>
      </c>
      <c r="C212" s="12" t="s">
        <v>728</v>
      </c>
      <c r="D212" s="12" t="s">
        <v>430</v>
      </c>
      <c r="E212" s="4" t="s">
        <v>32</v>
      </c>
      <c r="F212" s="198">
        <f t="shared" si="5506"/>
        <v>0</v>
      </c>
      <c r="G212" s="225">
        <f t="shared" si="5507"/>
        <v>0</v>
      </c>
      <c r="H212" s="226">
        <f t="shared" si="5508"/>
        <v>0</v>
      </c>
      <c r="I212" s="137">
        <f t="shared" si="5661"/>
        <v>0</v>
      </c>
      <c r="J212" s="227">
        <f t="shared" si="5509"/>
        <v>744.63</v>
      </c>
      <c r="K212" s="138">
        <f t="shared" si="5662"/>
        <v>0</v>
      </c>
      <c r="L212" s="110">
        <f t="shared" si="5663"/>
        <v>0</v>
      </c>
      <c r="M212" s="110"/>
      <c r="N212" s="139"/>
      <c r="O212" s="140">
        <f t="shared" si="5664"/>
        <v>0</v>
      </c>
      <c r="P212" s="198">
        <f t="shared" si="5641"/>
        <v>0</v>
      </c>
      <c r="Q212" s="225">
        <f t="shared" si="5642"/>
        <v>0</v>
      </c>
      <c r="R212" s="226">
        <f t="shared" si="5643"/>
        <v>0</v>
      </c>
      <c r="S212" s="137">
        <f t="shared" si="5665"/>
        <v>0</v>
      </c>
      <c r="T212" s="227">
        <f t="shared" si="5644"/>
        <v>744.63</v>
      </c>
      <c r="U212" s="138">
        <f t="shared" si="5666"/>
        <v>0</v>
      </c>
      <c r="V212" s="110">
        <f t="shared" si="5667"/>
        <v>0</v>
      </c>
      <c r="W212" s="110"/>
      <c r="X212" s="139"/>
      <c r="Y212" s="140">
        <f t="shared" si="5668"/>
        <v>0</v>
      </c>
      <c r="Z212" s="198">
        <f t="shared" si="5641"/>
        <v>0</v>
      </c>
      <c r="AA212" s="225">
        <f t="shared" si="5642"/>
        <v>0</v>
      </c>
      <c r="AB212" s="226">
        <f t="shared" si="5643"/>
        <v>0</v>
      </c>
      <c r="AC212" s="137">
        <f t="shared" si="5669"/>
        <v>0</v>
      </c>
      <c r="AD212" s="227">
        <f t="shared" si="5644"/>
        <v>744.63</v>
      </c>
      <c r="AE212" s="138">
        <f t="shared" si="5670"/>
        <v>0</v>
      </c>
      <c r="AF212" s="110">
        <f t="shared" si="5671"/>
        <v>0</v>
      </c>
      <c r="AG212" s="110"/>
      <c r="AH212" s="139"/>
      <c r="AI212" s="140">
        <f t="shared" si="5672"/>
        <v>0</v>
      </c>
      <c r="AJ212" s="198">
        <f t="shared" si="5641"/>
        <v>0</v>
      </c>
      <c r="AK212" s="225">
        <f t="shared" si="5642"/>
        <v>0</v>
      </c>
      <c r="AL212" s="226">
        <f t="shared" si="5643"/>
        <v>0</v>
      </c>
      <c r="AM212" s="137">
        <f t="shared" si="5673"/>
        <v>0</v>
      </c>
      <c r="AN212" s="227">
        <f t="shared" si="5644"/>
        <v>744.63</v>
      </c>
      <c r="AO212" s="138">
        <f t="shared" si="5674"/>
        <v>0</v>
      </c>
      <c r="AP212" s="110">
        <f t="shared" si="5675"/>
        <v>0</v>
      </c>
      <c r="AQ212" s="110"/>
      <c r="AR212" s="139"/>
      <c r="AS212" s="140">
        <f t="shared" si="5676"/>
        <v>0</v>
      </c>
      <c r="AT212" s="198">
        <f t="shared" si="5641"/>
        <v>0</v>
      </c>
      <c r="AU212" s="225">
        <f t="shared" si="5642"/>
        <v>0</v>
      </c>
      <c r="AV212" s="226">
        <f t="shared" si="5643"/>
        <v>0</v>
      </c>
      <c r="AW212" s="137">
        <f t="shared" si="5677"/>
        <v>0</v>
      </c>
      <c r="AX212" s="227">
        <f t="shared" si="5644"/>
        <v>744.63</v>
      </c>
      <c r="AY212" s="138">
        <f t="shared" si="5678"/>
        <v>0</v>
      </c>
      <c r="AZ212" s="110">
        <f t="shared" si="5679"/>
        <v>0</v>
      </c>
      <c r="BA212" s="110"/>
      <c r="BB212" s="139"/>
      <c r="BC212" s="140">
        <f t="shared" si="5680"/>
        <v>0</v>
      </c>
      <c r="BD212" s="198">
        <f t="shared" si="5641"/>
        <v>0</v>
      </c>
      <c r="BE212" s="225">
        <f t="shared" si="5642"/>
        <v>0</v>
      </c>
      <c r="BF212" s="226">
        <f t="shared" si="5643"/>
        <v>0</v>
      </c>
      <c r="BG212" s="137">
        <f t="shared" si="5681"/>
        <v>0</v>
      </c>
      <c r="BH212" s="227">
        <f t="shared" si="5644"/>
        <v>744.63</v>
      </c>
      <c r="BI212" s="138">
        <f t="shared" si="5682"/>
        <v>0</v>
      </c>
      <c r="BJ212" s="110">
        <f t="shared" si="5683"/>
        <v>0</v>
      </c>
      <c r="BK212" s="110"/>
      <c r="BL212" s="139"/>
      <c r="BM212" s="140">
        <f t="shared" si="5684"/>
        <v>0</v>
      </c>
      <c r="BN212" s="198">
        <f t="shared" si="5641"/>
        <v>0</v>
      </c>
      <c r="BO212" s="225">
        <f t="shared" si="5642"/>
        <v>0</v>
      </c>
      <c r="BP212" s="226">
        <f t="shared" si="5643"/>
        <v>0</v>
      </c>
      <c r="BQ212" s="137">
        <f t="shared" si="5685"/>
        <v>0</v>
      </c>
      <c r="BR212" s="227">
        <f t="shared" si="5644"/>
        <v>744.63</v>
      </c>
      <c r="BS212" s="138">
        <f t="shared" si="5686"/>
        <v>0</v>
      </c>
      <c r="BT212" s="110">
        <f t="shared" si="5687"/>
        <v>0</v>
      </c>
      <c r="BU212" s="110"/>
      <c r="BV212" s="139"/>
      <c r="BW212" s="140">
        <f t="shared" si="5688"/>
        <v>0</v>
      </c>
      <c r="BX212" s="198">
        <f t="shared" si="5641"/>
        <v>0</v>
      </c>
      <c r="BY212" s="225">
        <f t="shared" si="5642"/>
        <v>0</v>
      </c>
      <c r="BZ212" s="226">
        <f t="shared" si="5643"/>
        <v>0</v>
      </c>
      <c r="CA212" s="137">
        <f t="shared" si="5689"/>
        <v>0</v>
      </c>
      <c r="CB212" s="227">
        <f t="shared" si="5644"/>
        <v>744.63</v>
      </c>
      <c r="CC212" s="138">
        <f t="shared" si="5690"/>
        <v>0</v>
      </c>
      <c r="CD212" s="110">
        <f t="shared" si="5691"/>
        <v>0</v>
      </c>
      <c r="CE212" s="110"/>
      <c r="CF212" s="139"/>
      <c r="CG212" s="140">
        <f t="shared" si="5692"/>
        <v>0</v>
      </c>
      <c r="CH212" s="198">
        <f t="shared" si="5645"/>
        <v>0</v>
      </c>
      <c r="CI212" s="225">
        <f t="shared" si="5646"/>
        <v>0</v>
      </c>
      <c r="CJ212" s="226">
        <f t="shared" si="5647"/>
        <v>0</v>
      </c>
      <c r="CK212" s="137">
        <f t="shared" si="5693"/>
        <v>0</v>
      </c>
      <c r="CL212" s="227">
        <f t="shared" si="5648"/>
        <v>744.63</v>
      </c>
      <c r="CM212" s="138">
        <f t="shared" si="5694"/>
        <v>0</v>
      </c>
      <c r="CN212" s="110">
        <f t="shared" si="5695"/>
        <v>0</v>
      </c>
      <c r="CO212" s="110"/>
      <c r="CP212" s="139"/>
      <c r="CQ212" s="140">
        <f t="shared" si="5696"/>
        <v>0</v>
      </c>
      <c r="CR212" s="198">
        <f t="shared" si="5645"/>
        <v>0</v>
      </c>
      <c r="CS212" s="225">
        <f t="shared" si="5646"/>
        <v>0</v>
      </c>
      <c r="CT212" s="226">
        <f t="shared" si="5647"/>
        <v>0</v>
      </c>
      <c r="CU212" s="137">
        <f t="shared" si="5697"/>
        <v>0</v>
      </c>
      <c r="CV212" s="227">
        <f t="shared" si="5648"/>
        <v>744.63</v>
      </c>
      <c r="CW212" s="138">
        <f t="shared" si="5698"/>
        <v>0</v>
      </c>
      <c r="CX212" s="110">
        <f t="shared" si="5699"/>
        <v>0</v>
      </c>
      <c r="CY212" s="110"/>
      <c r="CZ212" s="139"/>
      <c r="DA212" s="140">
        <f t="shared" si="5700"/>
        <v>0</v>
      </c>
      <c r="DB212" s="198">
        <f t="shared" si="5645"/>
        <v>0</v>
      </c>
      <c r="DC212" s="225">
        <f t="shared" si="5646"/>
        <v>0</v>
      </c>
      <c r="DD212" s="226">
        <f t="shared" si="5647"/>
        <v>0</v>
      </c>
      <c r="DE212" s="137">
        <f t="shared" si="5701"/>
        <v>0</v>
      </c>
      <c r="DF212" s="227">
        <f t="shared" si="5648"/>
        <v>744.63</v>
      </c>
      <c r="DG212" s="138">
        <f t="shared" si="5702"/>
        <v>0</v>
      </c>
      <c r="DH212" s="110">
        <f t="shared" si="5703"/>
        <v>0</v>
      </c>
      <c r="DI212" s="110"/>
      <c r="DJ212" s="139"/>
      <c r="DK212" s="140">
        <f t="shared" si="5704"/>
        <v>0</v>
      </c>
      <c r="DL212" s="198">
        <f t="shared" si="5645"/>
        <v>41</v>
      </c>
      <c r="DM212" s="225">
        <f t="shared" si="5646"/>
        <v>0.14488000000000001</v>
      </c>
      <c r="DN212" s="226">
        <f t="shared" si="5647"/>
        <v>15.65</v>
      </c>
      <c r="DO212" s="137">
        <f t="shared" si="5705"/>
        <v>0.38170732000000002</v>
      </c>
      <c r="DP212" s="227">
        <f t="shared" si="5648"/>
        <v>744.63</v>
      </c>
      <c r="DQ212" s="138">
        <f t="shared" si="5706"/>
        <v>284.23072000000002</v>
      </c>
      <c r="DR212" s="110">
        <f t="shared" si="5707"/>
        <v>11653.46</v>
      </c>
      <c r="DS212" s="110"/>
      <c r="DT212" s="139"/>
      <c r="DU212" s="140">
        <f t="shared" si="5708"/>
        <v>2.02833</v>
      </c>
      <c r="DV212" s="198">
        <f t="shared" si="5645"/>
        <v>0</v>
      </c>
      <c r="DW212" s="225">
        <f t="shared" si="5646"/>
        <v>0</v>
      </c>
      <c r="DX212" s="226">
        <f t="shared" si="5647"/>
        <v>0</v>
      </c>
      <c r="DY212" s="137">
        <f t="shared" si="5709"/>
        <v>0</v>
      </c>
      <c r="DZ212" s="227">
        <f t="shared" si="5648"/>
        <v>389.62</v>
      </c>
      <c r="EA212" s="138">
        <f t="shared" si="5710"/>
        <v>0</v>
      </c>
      <c r="EB212" s="110">
        <f t="shared" si="5711"/>
        <v>0</v>
      </c>
      <c r="EC212" s="110"/>
      <c r="ED212" s="139"/>
      <c r="EE212" s="140">
        <f t="shared" si="5712"/>
        <v>0</v>
      </c>
      <c r="EF212" s="198">
        <f t="shared" si="5645"/>
        <v>0</v>
      </c>
      <c r="EG212" s="225">
        <f t="shared" si="5646"/>
        <v>0</v>
      </c>
      <c r="EH212" s="226">
        <f t="shared" si="5647"/>
        <v>0</v>
      </c>
      <c r="EI212" s="137">
        <f t="shared" si="5713"/>
        <v>0</v>
      </c>
      <c r="EJ212" s="227">
        <f t="shared" si="5648"/>
        <v>744.63</v>
      </c>
      <c r="EK212" s="138">
        <f t="shared" si="5714"/>
        <v>0</v>
      </c>
      <c r="EL212" s="110">
        <f t="shared" si="5715"/>
        <v>0</v>
      </c>
      <c r="EM212" s="110"/>
      <c r="EN212" s="139"/>
      <c r="EO212" s="140">
        <f t="shared" si="5716"/>
        <v>0</v>
      </c>
      <c r="EP212" s="198">
        <f t="shared" si="5645"/>
        <v>0</v>
      </c>
      <c r="EQ212" s="225">
        <f t="shared" si="5646"/>
        <v>0</v>
      </c>
      <c r="ER212" s="226">
        <f t="shared" si="5647"/>
        <v>0</v>
      </c>
      <c r="ES212" s="137">
        <f t="shared" si="5717"/>
        <v>0</v>
      </c>
      <c r="ET212" s="227">
        <f t="shared" si="5648"/>
        <v>744.63</v>
      </c>
      <c r="EU212" s="138">
        <f t="shared" si="5718"/>
        <v>0</v>
      </c>
      <c r="EV212" s="110">
        <f t="shared" si="5719"/>
        <v>0</v>
      </c>
      <c r="EW212" s="110"/>
      <c r="EX212" s="139"/>
      <c r="EY212" s="140">
        <f t="shared" si="5720"/>
        <v>0</v>
      </c>
      <c r="EZ212" s="198">
        <f t="shared" si="5649"/>
        <v>0</v>
      </c>
      <c r="FA212" s="225">
        <f t="shared" si="5650"/>
        <v>0</v>
      </c>
      <c r="FB212" s="226">
        <f t="shared" si="5651"/>
        <v>0</v>
      </c>
      <c r="FC212" s="137">
        <f t="shared" si="5721"/>
        <v>0</v>
      </c>
      <c r="FD212" s="227">
        <f t="shared" si="5652"/>
        <v>744.63</v>
      </c>
      <c r="FE212" s="138">
        <f t="shared" si="5722"/>
        <v>0</v>
      </c>
      <c r="FF212" s="110">
        <f t="shared" si="5723"/>
        <v>0</v>
      </c>
      <c r="FG212" s="110"/>
      <c r="FH212" s="139"/>
      <c r="FI212" s="140">
        <f t="shared" si="5724"/>
        <v>0</v>
      </c>
      <c r="FJ212" s="198">
        <f t="shared" si="5649"/>
        <v>0</v>
      </c>
      <c r="FK212" s="225">
        <f t="shared" si="5650"/>
        <v>0</v>
      </c>
      <c r="FL212" s="226">
        <f t="shared" si="5651"/>
        <v>0</v>
      </c>
      <c r="FM212" s="137">
        <f t="shared" si="5725"/>
        <v>0</v>
      </c>
      <c r="FN212" s="227">
        <f t="shared" si="5652"/>
        <v>744.63</v>
      </c>
      <c r="FO212" s="138">
        <f t="shared" si="5726"/>
        <v>0</v>
      </c>
      <c r="FP212" s="110">
        <f t="shared" si="5727"/>
        <v>0</v>
      </c>
      <c r="FQ212" s="110"/>
      <c r="FR212" s="139"/>
      <c r="FS212" s="140">
        <f t="shared" si="5728"/>
        <v>0</v>
      </c>
      <c r="FT212" s="198">
        <f t="shared" si="5649"/>
        <v>0</v>
      </c>
      <c r="FU212" s="225">
        <f t="shared" si="5650"/>
        <v>0</v>
      </c>
      <c r="FV212" s="226">
        <f t="shared" si="5651"/>
        <v>0</v>
      </c>
      <c r="FW212" s="137">
        <f t="shared" si="5729"/>
        <v>0</v>
      </c>
      <c r="FX212" s="227">
        <f t="shared" si="5652"/>
        <v>744.63</v>
      </c>
      <c r="FY212" s="138">
        <f t="shared" si="5730"/>
        <v>0</v>
      </c>
      <c r="FZ212" s="110">
        <f t="shared" si="5731"/>
        <v>0</v>
      </c>
      <c r="GA212" s="110"/>
      <c r="GB212" s="139"/>
      <c r="GC212" s="140">
        <f t="shared" si="5732"/>
        <v>0</v>
      </c>
      <c r="GD212" s="198">
        <f t="shared" si="5649"/>
        <v>0</v>
      </c>
      <c r="GE212" s="225">
        <f t="shared" si="5650"/>
        <v>0</v>
      </c>
      <c r="GF212" s="226">
        <f t="shared" si="5651"/>
        <v>0</v>
      </c>
      <c r="GG212" s="137">
        <f t="shared" si="5733"/>
        <v>0</v>
      </c>
      <c r="GH212" s="227">
        <f t="shared" si="5652"/>
        <v>744.63</v>
      </c>
      <c r="GI212" s="138">
        <f t="shared" si="5734"/>
        <v>0</v>
      </c>
      <c r="GJ212" s="110">
        <f t="shared" si="5735"/>
        <v>0</v>
      </c>
      <c r="GK212" s="110"/>
      <c r="GL212" s="139"/>
      <c r="GM212" s="140">
        <f t="shared" si="5736"/>
        <v>0</v>
      </c>
      <c r="GN212" s="198">
        <f t="shared" si="5649"/>
        <v>0</v>
      </c>
      <c r="GO212" s="225">
        <f t="shared" si="5650"/>
        <v>0</v>
      </c>
      <c r="GP212" s="226">
        <f t="shared" si="5651"/>
        <v>0</v>
      </c>
      <c r="GQ212" s="137">
        <f t="shared" si="5737"/>
        <v>0</v>
      </c>
      <c r="GR212" s="227">
        <f t="shared" si="5652"/>
        <v>744.63</v>
      </c>
      <c r="GS212" s="138">
        <f t="shared" si="5738"/>
        <v>0</v>
      </c>
      <c r="GT212" s="110">
        <f t="shared" si="5739"/>
        <v>0</v>
      </c>
      <c r="GU212" s="110"/>
      <c r="GV212" s="139"/>
      <c r="GW212" s="140">
        <f t="shared" si="5740"/>
        <v>0</v>
      </c>
      <c r="GX212" s="198">
        <f t="shared" si="5649"/>
        <v>0</v>
      </c>
      <c r="GY212" s="225">
        <f t="shared" si="5650"/>
        <v>0</v>
      </c>
      <c r="GZ212" s="226">
        <f t="shared" si="5651"/>
        <v>0</v>
      </c>
      <c r="HA212" s="137">
        <f t="shared" si="5741"/>
        <v>0</v>
      </c>
      <c r="HB212" s="227">
        <f t="shared" si="5652"/>
        <v>744.63</v>
      </c>
      <c r="HC212" s="138">
        <f t="shared" si="5742"/>
        <v>0</v>
      </c>
      <c r="HD212" s="110">
        <f t="shared" si="5743"/>
        <v>0</v>
      </c>
      <c r="HE212" s="110"/>
      <c r="HF212" s="139"/>
      <c r="HG212" s="140">
        <f t="shared" si="5744"/>
        <v>0</v>
      </c>
      <c r="HH212" s="198">
        <f t="shared" si="5649"/>
        <v>0</v>
      </c>
      <c r="HI212" s="225">
        <f t="shared" si="5650"/>
        <v>0</v>
      </c>
      <c r="HJ212" s="226">
        <f t="shared" si="5651"/>
        <v>0</v>
      </c>
      <c r="HK212" s="137">
        <f t="shared" si="5745"/>
        <v>0</v>
      </c>
      <c r="HL212" s="227">
        <f t="shared" si="5652"/>
        <v>731.29</v>
      </c>
      <c r="HM212" s="138">
        <f t="shared" si="5746"/>
        <v>0</v>
      </c>
      <c r="HN212" s="110">
        <f t="shared" si="5747"/>
        <v>0</v>
      </c>
      <c r="HO212" s="110"/>
      <c r="HP212" s="139"/>
      <c r="HQ212" s="140">
        <f t="shared" si="5748"/>
        <v>0</v>
      </c>
      <c r="HR212" s="198">
        <f t="shared" si="5653"/>
        <v>0</v>
      </c>
      <c r="HS212" s="225">
        <f t="shared" si="5654"/>
        <v>0</v>
      </c>
      <c r="HT212" s="226">
        <f t="shared" si="5655"/>
        <v>0</v>
      </c>
      <c r="HU212" s="137">
        <f t="shared" si="5749"/>
        <v>0</v>
      </c>
      <c r="HV212" s="227">
        <f t="shared" si="5656"/>
        <v>744.63</v>
      </c>
      <c r="HW212" s="138">
        <f t="shared" si="5750"/>
        <v>0</v>
      </c>
      <c r="HX212" s="110">
        <f t="shared" si="5751"/>
        <v>0</v>
      </c>
      <c r="HY212" s="110"/>
      <c r="HZ212" s="139"/>
      <c r="IA212" s="140">
        <f t="shared" si="5752"/>
        <v>0</v>
      </c>
      <c r="IB212" s="198">
        <f t="shared" si="5653"/>
        <v>0</v>
      </c>
      <c r="IC212" s="225">
        <f t="shared" si="5654"/>
        <v>0</v>
      </c>
      <c r="ID212" s="226">
        <f t="shared" si="5655"/>
        <v>0</v>
      </c>
      <c r="IE212" s="137">
        <f t="shared" si="5753"/>
        <v>0</v>
      </c>
      <c r="IF212" s="227">
        <f t="shared" si="5656"/>
        <v>744.63</v>
      </c>
      <c r="IG212" s="138">
        <f t="shared" si="5754"/>
        <v>0</v>
      </c>
      <c r="IH212" s="110">
        <f t="shared" si="5755"/>
        <v>0</v>
      </c>
      <c r="II212" s="110"/>
      <c r="IJ212" s="139"/>
      <c r="IK212" s="140">
        <f t="shared" si="5756"/>
        <v>0</v>
      </c>
      <c r="IL212" s="198">
        <f t="shared" si="5653"/>
        <v>0</v>
      </c>
      <c r="IM212" s="225">
        <f t="shared" si="5654"/>
        <v>0</v>
      </c>
      <c r="IN212" s="226">
        <f t="shared" si="5655"/>
        <v>0</v>
      </c>
      <c r="IO212" s="137">
        <f t="shared" si="5757"/>
        <v>0</v>
      </c>
      <c r="IP212" s="227">
        <f t="shared" si="5656"/>
        <v>678.72</v>
      </c>
      <c r="IQ212" s="138">
        <f t="shared" si="5758"/>
        <v>0</v>
      </c>
      <c r="IR212" s="110">
        <f t="shared" si="5759"/>
        <v>0</v>
      </c>
      <c r="IS212" s="110"/>
      <c r="IT212" s="139"/>
      <c r="IU212" s="140">
        <f t="shared" si="5760"/>
        <v>0</v>
      </c>
      <c r="IV212" s="198">
        <f t="shared" si="5653"/>
        <v>0</v>
      </c>
      <c r="IW212" s="225">
        <f t="shared" si="5654"/>
        <v>0</v>
      </c>
      <c r="IX212" s="226">
        <f t="shared" si="5655"/>
        <v>0</v>
      </c>
      <c r="IY212" s="137">
        <f t="shared" si="5761"/>
        <v>0</v>
      </c>
      <c r="IZ212" s="227">
        <f t="shared" si="5656"/>
        <v>744.63</v>
      </c>
      <c r="JA212" s="138">
        <f t="shared" si="5762"/>
        <v>0</v>
      </c>
      <c r="JB212" s="110">
        <f t="shared" si="5763"/>
        <v>0</v>
      </c>
      <c r="JC212" s="110"/>
      <c r="JD212" s="139"/>
      <c r="JE212" s="140">
        <f t="shared" si="5764"/>
        <v>0</v>
      </c>
      <c r="JF212" s="198">
        <f t="shared" si="5653"/>
        <v>0</v>
      </c>
      <c r="JG212" s="225">
        <f t="shared" si="5654"/>
        <v>0</v>
      </c>
      <c r="JH212" s="226">
        <f t="shared" si="5655"/>
        <v>0</v>
      </c>
      <c r="JI212" s="137">
        <f t="shared" si="5765"/>
        <v>0</v>
      </c>
      <c r="JJ212" s="227">
        <f t="shared" si="5656"/>
        <v>744.63</v>
      </c>
      <c r="JK212" s="138">
        <f t="shared" si="5766"/>
        <v>0</v>
      </c>
      <c r="JL212" s="110">
        <f t="shared" si="5767"/>
        <v>0</v>
      </c>
      <c r="JM212" s="110"/>
      <c r="JN212" s="139"/>
      <c r="JO212" s="140">
        <f t="shared" si="5768"/>
        <v>0</v>
      </c>
      <c r="JP212" s="198">
        <f t="shared" si="5653"/>
        <v>0</v>
      </c>
      <c r="JQ212" s="225">
        <f t="shared" si="5654"/>
        <v>0</v>
      </c>
      <c r="JR212" s="226">
        <f t="shared" si="5655"/>
        <v>0</v>
      </c>
      <c r="JS212" s="137">
        <f t="shared" si="5769"/>
        <v>0</v>
      </c>
      <c r="JT212" s="227">
        <f t="shared" si="5656"/>
        <v>744.63</v>
      </c>
      <c r="JU212" s="138">
        <f t="shared" si="5770"/>
        <v>0</v>
      </c>
      <c r="JV212" s="110">
        <f t="shared" si="5771"/>
        <v>0</v>
      </c>
      <c r="JW212" s="110"/>
      <c r="JX212" s="139"/>
      <c r="JY212" s="140">
        <f t="shared" si="5772"/>
        <v>0</v>
      </c>
      <c r="JZ212" s="198">
        <f t="shared" si="5653"/>
        <v>0</v>
      </c>
      <c r="KA212" s="225">
        <f t="shared" si="5654"/>
        <v>0</v>
      </c>
      <c r="KB212" s="226">
        <f t="shared" si="5655"/>
        <v>0</v>
      </c>
      <c r="KC212" s="137">
        <f t="shared" si="5773"/>
        <v>0</v>
      </c>
      <c r="KD212" s="227">
        <f t="shared" si="5656"/>
        <v>744.63</v>
      </c>
      <c r="KE212" s="138">
        <f t="shared" si="5774"/>
        <v>0</v>
      </c>
      <c r="KF212" s="110">
        <f t="shared" si="5775"/>
        <v>0</v>
      </c>
      <c r="KG212" s="110"/>
      <c r="KH212" s="139"/>
      <c r="KI212" s="140">
        <f t="shared" si="5776"/>
        <v>0</v>
      </c>
      <c r="KJ212" s="198">
        <f t="shared" si="5657"/>
        <v>0</v>
      </c>
      <c r="KK212" s="225">
        <f t="shared" si="5658"/>
        <v>0</v>
      </c>
      <c r="KL212" s="226">
        <f t="shared" si="5659"/>
        <v>0</v>
      </c>
      <c r="KM212" s="137">
        <f t="shared" si="5777"/>
        <v>0</v>
      </c>
      <c r="KN212" s="227">
        <f t="shared" si="5660"/>
        <v>744.63</v>
      </c>
      <c r="KO212" s="138">
        <f t="shared" si="5778"/>
        <v>0</v>
      </c>
      <c r="KP212" s="110">
        <f t="shared" si="5779"/>
        <v>0</v>
      </c>
      <c r="KQ212" s="110"/>
      <c r="KR212" s="139"/>
      <c r="KS212" s="140">
        <f t="shared" si="5780"/>
        <v>0</v>
      </c>
      <c r="KT212" s="198">
        <f t="shared" si="5657"/>
        <v>0</v>
      </c>
      <c r="KU212" s="225">
        <f t="shared" si="5658"/>
        <v>0</v>
      </c>
      <c r="KV212" s="226">
        <f t="shared" si="5659"/>
        <v>0</v>
      </c>
      <c r="KW212" s="137">
        <f t="shared" si="5781"/>
        <v>0</v>
      </c>
      <c r="KX212" s="227">
        <f t="shared" si="5660"/>
        <v>744.63</v>
      </c>
      <c r="KY212" s="138">
        <f t="shared" si="5782"/>
        <v>0</v>
      </c>
      <c r="KZ212" s="110">
        <f t="shared" si="5783"/>
        <v>0</v>
      </c>
      <c r="LA212" s="110"/>
      <c r="LB212" s="139"/>
      <c r="LC212" s="140">
        <f t="shared" si="5784"/>
        <v>0</v>
      </c>
      <c r="LD212" s="198">
        <f t="shared" si="5510"/>
        <v>41</v>
      </c>
      <c r="LE212" s="225">
        <f t="shared" si="5511"/>
        <v>1.4400000000000001E-3</v>
      </c>
      <c r="LF212" s="226">
        <f t="shared" si="5512"/>
        <v>7.83</v>
      </c>
      <c r="LG212" s="137">
        <f t="shared" si="5785"/>
        <v>0.19097560999999999</v>
      </c>
      <c r="LH212" s="227">
        <f t="shared" si="5513"/>
        <v>733.76</v>
      </c>
      <c r="LI212" s="138">
        <f t="shared" si="5786"/>
        <v>140.13025999999999</v>
      </c>
      <c r="LJ212" s="110">
        <f t="shared" si="5787"/>
        <v>5745.34</v>
      </c>
      <c r="LK212" s="110"/>
      <c r="LL212" s="139"/>
    </row>
    <row r="213" spans="1:324" ht="16.5" hidden="1" customHeight="1" x14ac:dyDescent="0.25">
      <c r="A213" s="247"/>
      <c r="B213" s="92" t="s">
        <v>611</v>
      </c>
      <c r="C213" s="12" t="s">
        <v>728</v>
      </c>
      <c r="D213" s="12" t="s">
        <v>430</v>
      </c>
      <c r="E213" s="4" t="s">
        <v>32</v>
      </c>
      <c r="F213" s="198">
        <f t="shared" si="5506"/>
        <v>0</v>
      </c>
      <c r="G213" s="225">
        <f t="shared" si="5507"/>
        <v>0</v>
      </c>
      <c r="H213" s="226">
        <f t="shared" si="5508"/>
        <v>0</v>
      </c>
      <c r="I213" s="137">
        <f t="shared" si="5661"/>
        <v>0</v>
      </c>
      <c r="J213" s="227">
        <f t="shared" si="5509"/>
        <v>744.63</v>
      </c>
      <c r="K213" s="138">
        <f t="shared" si="5662"/>
        <v>0</v>
      </c>
      <c r="L213" s="110">
        <f t="shared" si="5663"/>
        <v>0</v>
      </c>
      <c r="M213" s="110"/>
      <c r="N213" s="139"/>
      <c r="O213" s="140" t="e">
        <f>K213/$LI213</f>
        <v>#DIV/0!</v>
      </c>
      <c r="P213" s="198">
        <f t="shared" si="5641"/>
        <v>0</v>
      </c>
      <c r="Q213" s="225">
        <f t="shared" si="5642"/>
        <v>0</v>
      </c>
      <c r="R213" s="226">
        <f t="shared" si="5643"/>
        <v>0</v>
      </c>
      <c r="S213" s="137">
        <f t="shared" si="5665"/>
        <v>0</v>
      </c>
      <c r="T213" s="227">
        <f t="shared" si="5644"/>
        <v>744.63</v>
      </c>
      <c r="U213" s="138">
        <f t="shared" si="5666"/>
        <v>0</v>
      </c>
      <c r="V213" s="110">
        <f t="shared" si="5667"/>
        <v>0</v>
      </c>
      <c r="W213" s="110"/>
      <c r="X213" s="139"/>
      <c r="Y213" s="140" t="e">
        <f t="shared" si="5668"/>
        <v>#DIV/0!</v>
      </c>
      <c r="Z213" s="198">
        <f t="shared" si="5641"/>
        <v>0</v>
      </c>
      <c r="AA213" s="225">
        <f t="shared" si="5642"/>
        <v>0</v>
      </c>
      <c r="AB213" s="226">
        <f t="shared" si="5643"/>
        <v>0</v>
      </c>
      <c r="AC213" s="137">
        <f t="shared" si="5669"/>
        <v>0</v>
      </c>
      <c r="AD213" s="227">
        <f t="shared" si="5644"/>
        <v>744.63</v>
      </c>
      <c r="AE213" s="138">
        <f t="shared" si="5670"/>
        <v>0</v>
      </c>
      <c r="AF213" s="110">
        <f t="shared" si="5671"/>
        <v>0</v>
      </c>
      <c r="AG213" s="110"/>
      <c r="AH213" s="139"/>
      <c r="AI213" s="140" t="e">
        <f t="shared" si="5672"/>
        <v>#DIV/0!</v>
      </c>
      <c r="AJ213" s="198">
        <f t="shared" si="5641"/>
        <v>0</v>
      </c>
      <c r="AK213" s="225">
        <f t="shared" si="5642"/>
        <v>0</v>
      </c>
      <c r="AL213" s="226">
        <f t="shared" si="5643"/>
        <v>0</v>
      </c>
      <c r="AM213" s="137">
        <f t="shared" si="5673"/>
        <v>0</v>
      </c>
      <c r="AN213" s="227">
        <f t="shared" si="5644"/>
        <v>744.63</v>
      </c>
      <c r="AO213" s="138">
        <f t="shared" si="5674"/>
        <v>0</v>
      </c>
      <c r="AP213" s="110">
        <f t="shared" si="5675"/>
        <v>0</v>
      </c>
      <c r="AQ213" s="110"/>
      <c r="AR213" s="139"/>
      <c r="AS213" s="140" t="e">
        <f t="shared" si="5676"/>
        <v>#DIV/0!</v>
      </c>
      <c r="AT213" s="198">
        <f t="shared" si="5641"/>
        <v>0</v>
      </c>
      <c r="AU213" s="225">
        <f t="shared" si="5642"/>
        <v>0</v>
      </c>
      <c r="AV213" s="226">
        <f t="shared" si="5643"/>
        <v>0</v>
      </c>
      <c r="AW213" s="137">
        <f t="shared" si="5677"/>
        <v>0</v>
      </c>
      <c r="AX213" s="227">
        <f t="shared" si="5644"/>
        <v>744.63</v>
      </c>
      <c r="AY213" s="138">
        <f t="shared" si="5678"/>
        <v>0</v>
      </c>
      <c r="AZ213" s="110">
        <f t="shared" si="5679"/>
        <v>0</v>
      </c>
      <c r="BA213" s="110"/>
      <c r="BB213" s="139"/>
      <c r="BC213" s="140" t="e">
        <f t="shared" si="5680"/>
        <v>#DIV/0!</v>
      </c>
      <c r="BD213" s="198">
        <f t="shared" si="5641"/>
        <v>0</v>
      </c>
      <c r="BE213" s="225">
        <f t="shared" si="5642"/>
        <v>0</v>
      </c>
      <c r="BF213" s="226">
        <f t="shared" si="5643"/>
        <v>0</v>
      </c>
      <c r="BG213" s="137">
        <f t="shared" si="5681"/>
        <v>0</v>
      </c>
      <c r="BH213" s="227">
        <f t="shared" si="5644"/>
        <v>744.63</v>
      </c>
      <c r="BI213" s="138">
        <f t="shared" si="5682"/>
        <v>0</v>
      </c>
      <c r="BJ213" s="110">
        <f t="shared" si="5683"/>
        <v>0</v>
      </c>
      <c r="BK213" s="110"/>
      <c r="BL213" s="139"/>
      <c r="BM213" s="140" t="e">
        <f t="shared" si="5684"/>
        <v>#DIV/0!</v>
      </c>
      <c r="BN213" s="198">
        <f t="shared" si="5641"/>
        <v>0</v>
      </c>
      <c r="BO213" s="225">
        <f t="shared" si="5642"/>
        <v>0</v>
      </c>
      <c r="BP213" s="226">
        <f t="shared" si="5643"/>
        <v>0</v>
      </c>
      <c r="BQ213" s="137">
        <f t="shared" si="5685"/>
        <v>0</v>
      </c>
      <c r="BR213" s="227">
        <f t="shared" si="5644"/>
        <v>744.63</v>
      </c>
      <c r="BS213" s="138">
        <f t="shared" si="5686"/>
        <v>0</v>
      </c>
      <c r="BT213" s="110">
        <f t="shared" si="5687"/>
        <v>0</v>
      </c>
      <c r="BU213" s="110"/>
      <c r="BV213" s="139"/>
      <c r="BW213" s="140" t="e">
        <f t="shared" si="5688"/>
        <v>#DIV/0!</v>
      </c>
      <c r="BX213" s="198">
        <f t="shared" si="5641"/>
        <v>0</v>
      </c>
      <c r="BY213" s="225">
        <f t="shared" si="5642"/>
        <v>0</v>
      </c>
      <c r="BZ213" s="226">
        <f t="shared" si="5643"/>
        <v>0</v>
      </c>
      <c r="CA213" s="137">
        <f t="shared" si="5689"/>
        <v>0</v>
      </c>
      <c r="CB213" s="227">
        <f t="shared" si="5644"/>
        <v>744.63</v>
      </c>
      <c r="CC213" s="138">
        <f t="shared" si="5690"/>
        <v>0</v>
      </c>
      <c r="CD213" s="110">
        <f t="shared" si="5691"/>
        <v>0</v>
      </c>
      <c r="CE213" s="110"/>
      <c r="CF213" s="139"/>
      <c r="CG213" s="140" t="e">
        <f t="shared" si="5692"/>
        <v>#DIV/0!</v>
      </c>
      <c r="CH213" s="198">
        <f t="shared" si="5645"/>
        <v>0</v>
      </c>
      <c r="CI213" s="225">
        <f t="shared" si="5646"/>
        <v>0</v>
      </c>
      <c r="CJ213" s="226">
        <f t="shared" si="5647"/>
        <v>0</v>
      </c>
      <c r="CK213" s="137">
        <f t="shared" si="5693"/>
        <v>0</v>
      </c>
      <c r="CL213" s="227">
        <f t="shared" si="5648"/>
        <v>744.63</v>
      </c>
      <c r="CM213" s="138">
        <f t="shared" si="5694"/>
        <v>0</v>
      </c>
      <c r="CN213" s="110">
        <f t="shared" si="5695"/>
        <v>0</v>
      </c>
      <c r="CO213" s="110"/>
      <c r="CP213" s="139"/>
      <c r="CQ213" s="140" t="e">
        <f t="shared" si="5696"/>
        <v>#DIV/0!</v>
      </c>
      <c r="CR213" s="198">
        <f t="shared" si="5645"/>
        <v>0</v>
      </c>
      <c r="CS213" s="225">
        <f t="shared" si="5646"/>
        <v>0</v>
      </c>
      <c r="CT213" s="226">
        <f t="shared" si="5647"/>
        <v>0</v>
      </c>
      <c r="CU213" s="137">
        <f t="shared" si="5697"/>
        <v>0</v>
      </c>
      <c r="CV213" s="227">
        <f t="shared" si="5648"/>
        <v>744.63</v>
      </c>
      <c r="CW213" s="138">
        <f t="shared" si="5698"/>
        <v>0</v>
      </c>
      <c r="CX213" s="110">
        <f t="shared" si="5699"/>
        <v>0</v>
      </c>
      <c r="CY213" s="110"/>
      <c r="CZ213" s="139"/>
      <c r="DA213" s="140" t="e">
        <f t="shared" si="5700"/>
        <v>#DIV/0!</v>
      </c>
      <c r="DB213" s="198">
        <f t="shared" si="5645"/>
        <v>0</v>
      </c>
      <c r="DC213" s="225">
        <f t="shared" si="5646"/>
        <v>0</v>
      </c>
      <c r="DD213" s="226">
        <f t="shared" si="5647"/>
        <v>0</v>
      </c>
      <c r="DE213" s="137">
        <f t="shared" si="5701"/>
        <v>0</v>
      </c>
      <c r="DF213" s="227">
        <f t="shared" si="5648"/>
        <v>744.63</v>
      </c>
      <c r="DG213" s="138">
        <f t="shared" si="5702"/>
        <v>0</v>
      </c>
      <c r="DH213" s="110">
        <f t="shared" si="5703"/>
        <v>0</v>
      </c>
      <c r="DI213" s="110"/>
      <c r="DJ213" s="139"/>
      <c r="DK213" s="140" t="e">
        <f t="shared" si="5704"/>
        <v>#DIV/0!</v>
      </c>
      <c r="DL213" s="198">
        <f t="shared" si="5645"/>
        <v>0</v>
      </c>
      <c r="DM213" s="225">
        <f t="shared" si="5646"/>
        <v>0</v>
      </c>
      <c r="DN213" s="226">
        <f t="shared" si="5647"/>
        <v>0</v>
      </c>
      <c r="DO213" s="137">
        <f t="shared" si="5705"/>
        <v>0</v>
      </c>
      <c r="DP213" s="227">
        <f t="shared" si="5648"/>
        <v>744.63</v>
      </c>
      <c r="DQ213" s="138">
        <f t="shared" si="5706"/>
        <v>0</v>
      </c>
      <c r="DR213" s="110">
        <f t="shared" si="5707"/>
        <v>0</v>
      </c>
      <c r="DS213" s="110"/>
      <c r="DT213" s="139"/>
      <c r="DU213" s="140" t="e">
        <f t="shared" si="5708"/>
        <v>#DIV/0!</v>
      </c>
      <c r="DV213" s="198">
        <f t="shared" si="5645"/>
        <v>0</v>
      </c>
      <c r="DW213" s="225">
        <f t="shared" si="5646"/>
        <v>0</v>
      </c>
      <c r="DX213" s="226">
        <f t="shared" si="5647"/>
        <v>0</v>
      </c>
      <c r="DY213" s="137">
        <f t="shared" si="5709"/>
        <v>0</v>
      </c>
      <c r="DZ213" s="227">
        <f t="shared" si="5648"/>
        <v>389.62</v>
      </c>
      <c r="EA213" s="138">
        <f t="shared" si="5710"/>
        <v>0</v>
      </c>
      <c r="EB213" s="110">
        <f t="shared" si="5711"/>
        <v>0</v>
      </c>
      <c r="EC213" s="110"/>
      <c r="ED213" s="139"/>
      <c r="EE213" s="140" t="e">
        <f t="shared" si="5712"/>
        <v>#DIV/0!</v>
      </c>
      <c r="EF213" s="198">
        <f t="shared" si="5645"/>
        <v>0</v>
      </c>
      <c r="EG213" s="225">
        <f t="shared" si="5646"/>
        <v>0</v>
      </c>
      <c r="EH213" s="226">
        <f t="shared" si="5647"/>
        <v>0</v>
      </c>
      <c r="EI213" s="137">
        <f t="shared" si="5713"/>
        <v>0</v>
      </c>
      <c r="EJ213" s="227">
        <f t="shared" si="5648"/>
        <v>744.63</v>
      </c>
      <c r="EK213" s="138">
        <f t="shared" si="5714"/>
        <v>0</v>
      </c>
      <c r="EL213" s="110">
        <f t="shared" si="5715"/>
        <v>0</v>
      </c>
      <c r="EM213" s="110"/>
      <c r="EN213" s="139"/>
      <c r="EO213" s="140" t="e">
        <f t="shared" si="5716"/>
        <v>#DIV/0!</v>
      </c>
      <c r="EP213" s="198">
        <f t="shared" si="5645"/>
        <v>0</v>
      </c>
      <c r="EQ213" s="225">
        <f t="shared" si="5646"/>
        <v>0</v>
      </c>
      <c r="ER213" s="226">
        <f t="shared" si="5647"/>
        <v>0</v>
      </c>
      <c r="ES213" s="137">
        <f t="shared" si="5717"/>
        <v>0</v>
      </c>
      <c r="ET213" s="227">
        <f t="shared" si="5648"/>
        <v>744.63</v>
      </c>
      <c r="EU213" s="138">
        <f t="shared" si="5718"/>
        <v>0</v>
      </c>
      <c r="EV213" s="110">
        <f t="shared" si="5719"/>
        <v>0</v>
      </c>
      <c r="EW213" s="110"/>
      <c r="EX213" s="139"/>
      <c r="EY213" s="140" t="e">
        <f t="shared" si="5720"/>
        <v>#DIV/0!</v>
      </c>
      <c r="EZ213" s="198">
        <f t="shared" si="5649"/>
        <v>0</v>
      </c>
      <c r="FA213" s="225">
        <f t="shared" si="5650"/>
        <v>0</v>
      </c>
      <c r="FB213" s="226">
        <f t="shared" si="5651"/>
        <v>0</v>
      </c>
      <c r="FC213" s="137">
        <f t="shared" si="5721"/>
        <v>0</v>
      </c>
      <c r="FD213" s="227">
        <f t="shared" si="5652"/>
        <v>744.63</v>
      </c>
      <c r="FE213" s="138">
        <f t="shared" si="5722"/>
        <v>0</v>
      </c>
      <c r="FF213" s="110">
        <f t="shared" si="5723"/>
        <v>0</v>
      </c>
      <c r="FG213" s="110"/>
      <c r="FH213" s="139"/>
      <c r="FI213" s="140" t="e">
        <f t="shared" si="5724"/>
        <v>#DIV/0!</v>
      </c>
      <c r="FJ213" s="198">
        <f t="shared" si="5649"/>
        <v>0</v>
      </c>
      <c r="FK213" s="225">
        <f t="shared" si="5650"/>
        <v>0</v>
      </c>
      <c r="FL213" s="226">
        <f t="shared" si="5651"/>
        <v>0</v>
      </c>
      <c r="FM213" s="137">
        <f t="shared" si="5725"/>
        <v>0</v>
      </c>
      <c r="FN213" s="227">
        <f t="shared" si="5652"/>
        <v>744.63</v>
      </c>
      <c r="FO213" s="138">
        <f t="shared" si="5726"/>
        <v>0</v>
      </c>
      <c r="FP213" s="110">
        <f t="shared" si="5727"/>
        <v>0</v>
      </c>
      <c r="FQ213" s="110"/>
      <c r="FR213" s="139"/>
      <c r="FS213" s="140" t="e">
        <f t="shared" si="5728"/>
        <v>#DIV/0!</v>
      </c>
      <c r="FT213" s="198">
        <f t="shared" si="5649"/>
        <v>0</v>
      </c>
      <c r="FU213" s="225">
        <f t="shared" si="5650"/>
        <v>0</v>
      </c>
      <c r="FV213" s="226">
        <f t="shared" si="5651"/>
        <v>0</v>
      </c>
      <c r="FW213" s="137">
        <f t="shared" si="5729"/>
        <v>0</v>
      </c>
      <c r="FX213" s="227">
        <f t="shared" si="5652"/>
        <v>744.63</v>
      </c>
      <c r="FY213" s="138">
        <f t="shared" si="5730"/>
        <v>0</v>
      </c>
      <c r="FZ213" s="110">
        <f t="shared" si="5731"/>
        <v>0</v>
      </c>
      <c r="GA213" s="110"/>
      <c r="GB213" s="139"/>
      <c r="GC213" s="140" t="e">
        <f t="shared" si="5732"/>
        <v>#DIV/0!</v>
      </c>
      <c r="GD213" s="198">
        <f t="shared" si="5649"/>
        <v>0</v>
      </c>
      <c r="GE213" s="225">
        <f t="shared" si="5650"/>
        <v>0</v>
      </c>
      <c r="GF213" s="226">
        <f t="shared" si="5651"/>
        <v>0</v>
      </c>
      <c r="GG213" s="137">
        <f t="shared" si="5733"/>
        <v>0</v>
      </c>
      <c r="GH213" s="227">
        <f t="shared" si="5652"/>
        <v>744.63</v>
      </c>
      <c r="GI213" s="138">
        <f t="shared" si="5734"/>
        <v>0</v>
      </c>
      <c r="GJ213" s="110">
        <f t="shared" si="5735"/>
        <v>0</v>
      </c>
      <c r="GK213" s="110"/>
      <c r="GL213" s="139"/>
      <c r="GM213" s="140" t="e">
        <f t="shared" si="5736"/>
        <v>#DIV/0!</v>
      </c>
      <c r="GN213" s="198">
        <f t="shared" si="5649"/>
        <v>0</v>
      </c>
      <c r="GO213" s="225">
        <f t="shared" si="5650"/>
        <v>0</v>
      </c>
      <c r="GP213" s="226">
        <f t="shared" si="5651"/>
        <v>0</v>
      </c>
      <c r="GQ213" s="137">
        <f t="shared" si="5737"/>
        <v>0</v>
      </c>
      <c r="GR213" s="227">
        <f t="shared" si="5652"/>
        <v>744.63</v>
      </c>
      <c r="GS213" s="138">
        <f t="shared" si="5738"/>
        <v>0</v>
      </c>
      <c r="GT213" s="110">
        <f t="shared" si="5739"/>
        <v>0</v>
      </c>
      <c r="GU213" s="110"/>
      <c r="GV213" s="139"/>
      <c r="GW213" s="140" t="e">
        <f t="shared" si="5740"/>
        <v>#DIV/0!</v>
      </c>
      <c r="GX213" s="198">
        <f t="shared" si="5649"/>
        <v>0</v>
      </c>
      <c r="GY213" s="225">
        <f t="shared" si="5650"/>
        <v>0</v>
      </c>
      <c r="GZ213" s="226">
        <f t="shared" si="5651"/>
        <v>0</v>
      </c>
      <c r="HA213" s="137">
        <f t="shared" si="5741"/>
        <v>0</v>
      </c>
      <c r="HB213" s="227">
        <f t="shared" si="5652"/>
        <v>744.63</v>
      </c>
      <c r="HC213" s="138">
        <f t="shared" si="5742"/>
        <v>0</v>
      </c>
      <c r="HD213" s="110">
        <f t="shared" si="5743"/>
        <v>0</v>
      </c>
      <c r="HE213" s="110"/>
      <c r="HF213" s="139"/>
      <c r="HG213" s="140" t="e">
        <f t="shared" si="5744"/>
        <v>#DIV/0!</v>
      </c>
      <c r="HH213" s="198">
        <f t="shared" si="5649"/>
        <v>0</v>
      </c>
      <c r="HI213" s="225">
        <f t="shared" si="5650"/>
        <v>0</v>
      </c>
      <c r="HJ213" s="226">
        <f t="shared" si="5651"/>
        <v>0</v>
      </c>
      <c r="HK213" s="137">
        <f t="shared" si="5745"/>
        <v>0</v>
      </c>
      <c r="HL213" s="227">
        <f t="shared" si="5652"/>
        <v>731.29</v>
      </c>
      <c r="HM213" s="138">
        <f t="shared" si="5746"/>
        <v>0</v>
      </c>
      <c r="HN213" s="110">
        <f t="shared" si="5747"/>
        <v>0</v>
      </c>
      <c r="HO213" s="110"/>
      <c r="HP213" s="139"/>
      <c r="HQ213" s="140" t="e">
        <f t="shared" si="5748"/>
        <v>#DIV/0!</v>
      </c>
      <c r="HR213" s="198">
        <f t="shared" si="5653"/>
        <v>0</v>
      </c>
      <c r="HS213" s="225">
        <f t="shared" si="5654"/>
        <v>0</v>
      </c>
      <c r="HT213" s="226">
        <f t="shared" si="5655"/>
        <v>0</v>
      </c>
      <c r="HU213" s="137">
        <f t="shared" si="5749"/>
        <v>0</v>
      </c>
      <c r="HV213" s="227">
        <f t="shared" si="5656"/>
        <v>744.63</v>
      </c>
      <c r="HW213" s="138">
        <f t="shared" si="5750"/>
        <v>0</v>
      </c>
      <c r="HX213" s="110">
        <f t="shared" si="5751"/>
        <v>0</v>
      </c>
      <c r="HY213" s="110"/>
      <c r="HZ213" s="139"/>
      <c r="IA213" s="140" t="e">
        <f t="shared" si="5752"/>
        <v>#DIV/0!</v>
      </c>
      <c r="IB213" s="198">
        <f t="shared" si="5653"/>
        <v>0</v>
      </c>
      <c r="IC213" s="225">
        <f t="shared" si="5654"/>
        <v>0</v>
      </c>
      <c r="ID213" s="226">
        <f t="shared" si="5655"/>
        <v>0</v>
      </c>
      <c r="IE213" s="137">
        <f t="shared" si="5753"/>
        <v>0</v>
      </c>
      <c r="IF213" s="227">
        <f t="shared" si="5656"/>
        <v>744.63</v>
      </c>
      <c r="IG213" s="138">
        <f t="shared" si="5754"/>
        <v>0</v>
      </c>
      <c r="IH213" s="110">
        <f t="shared" si="5755"/>
        <v>0</v>
      </c>
      <c r="II213" s="110"/>
      <c r="IJ213" s="139"/>
      <c r="IK213" s="140" t="e">
        <f t="shared" si="5756"/>
        <v>#DIV/0!</v>
      </c>
      <c r="IL213" s="198">
        <f t="shared" si="5653"/>
        <v>0</v>
      </c>
      <c r="IM213" s="225">
        <f t="shared" si="5654"/>
        <v>0</v>
      </c>
      <c r="IN213" s="226">
        <f t="shared" si="5655"/>
        <v>0</v>
      </c>
      <c r="IO213" s="137">
        <f t="shared" si="5757"/>
        <v>0</v>
      </c>
      <c r="IP213" s="227">
        <f t="shared" si="5656"/>
        <v>678.72</v>
      </c>
      <c r="IQ213" s="138">
        <f t="shared" si="5758"/>
        <v>0</v>
      </c>
      <c r="IR213" s="110">
        <f t="shared" si="5759"/>
        <v>0</v>
      </c>
      <c r="IS213" s="110"/>
      <c r="IT213" s="139"/>
      <c r="IU213" s="140" t="e">
        <f t="shared" si="5760"/>
        <v>#DIV/0!</v>
      </c>
      <c r="IV213" s="198">
        <f t="shared" si="5653"/>
        <v>0</v>
      </c>
      <c r="IW213" s="225">
        <f t="shared" si="5654"/>
        <v>0</v>
      </c>
      <c r="IX213" s="226">
        <f t="shared" si="5655"/>
        <v>0</v>
      </c>
      <c r="IY213" s="137">
        <f t="shared" si="5761"/>
        <v>0</v>
      </c>
      <c r="IZ213" s="227">
        <f t="shared" si="5656"/>
        <v>744.63</v>
      </c>
      <c r="JA213" s="138">
        <f t="shared" si="5762"/>
        <v>0</v>
      </c>
      <c r="JB213" s="110">
        <f t="shared" si="5763"/>
        <v>0</v>
      </c>
      <c r="JC213" s="110"/>
      <c r="JD213" s="139"/>
      <c r="JE213" s="140" t="e">
        <f t="shared" si="5764"/>
        <v>#DIV/0!</v>
      </c>
      <c r="JF213" s="198">
        <f t="shared" si="5653"/>
        <v>0</v>
      </c>
      <c r="JG213" s="225">
        <f t="shared" si="5654"/>
        <v>0</v>
      </c>
      <c r="JH213" s="226">
        <f t="shared" si="5655"/>
        <v>0</v>
      </c>
      <c r="JI213" s="137">
        <f t="shared" si="5765"/>
        <v>0</v>
      </c>
      <c r="JJ213" s="227">
        <f t="shared" si="5656"/>
        <v>744.63</v>
      </c>
      <c r="JK213" s="138">
        <f t="shared" si="5766"/>
        <v>0</v>
      </c>
      <c r="JL213" s="110">
        <f t="shared" si="5767"/>
        <v>0</v>
      </c>
      <c r="JM213" s="110"/>
      <c r="JN213" s="139"/>
      <c r="JO213" s="140" t="e">
        <f t="shared" si="5768"/>
        <v>#DIV/0!</v>
      </c>
      <c r="JP213" s="198">
        <f t="shared" si="5653"/>
        <v>0</v>
      </c>
      <c r="JQ213" s="225">
        <f t="shared" si="5654"/>
        <v>0</v>
      </c>
      <c r="JR213" s="226">
        <f t="shared" si="5655"/>
        <v>0</v>
      </c>
      <c r="JS213" s="137">
        <f t="shared" si="5769"/>
        <v>0</v>
      </c>
      <c r="JT213" s="227">
        <f t="shared" si="5656"/>
        <v>744.63</v>
      </c>
      <c r="JU213" s="138">
        <f t="shared" si="5770"/>
        <v>0</v>
      </c>
      <c r="JV213" s="110">
        <f t="shared" si="5771"/>
        <v>0</v>
      </c>
      <c r="JW213" s="110"/>
      <c r="JX213" s="139"/>
      <c r="JY213" s="140" t="e">
        <f t="shared" si="5772"/>
        <v>#DIV/0!</v>
      </c>
      <c r="JZ213" s="198">
        <f t="shared" si="5653"/>
        <v>0</v>
      </c>
      <c r="KA213" s="225">
        <f t="shared" si="5654"/>
        <v>0</v>
      </c>
      <c r="KB213" s="226">
        <f t="shared" si="5655"/>
        <v>0</v>
      </c>
      <c r="KC213" s="137">
        <f t="shared" si="5773"/>
        <v>0</v>
      </c>
      <c r="KD213" s="227">
        <f t="shared" si="5656"/>
        <v>744.63</v>
      </c>
      <c r="KE213" s="138">
        <f t="shared" si="5774"/>
        <v>0</v>
      </c>
      <c r="KF213" s="110">
        <f t="shared" si="5775"/>
        <v>0</v>
      </c>
      <c r="KG213" s="110"/>
      <c r="KH213" s="139"/>
      <c r="KI213" s="140" t="e">
        <f t="shared" si="5776"/>
        <v>#DIV/0!</v>
      </c>
      <c r="KJ213" s="198">
        <f t="shared" si="5657"/>
        <v>0</v>
      </c>
      <c r="KK213" s="225">
        <f t="shared" si="5658"/>
        <v>0</v>
      </c>
      <c r="KL213" s="226">
        <f t="shared" si="5659"/>
        <v>0</v>
      </c>
      <c r="KM213" s="137">
        <f t="shared" si="5777"/>
        <v>0</v>
      </c>
      <c r="KN213" s="227">
        <f t="shared" si="5660"/>
        <v>744.63</v>
      </c>
      <c r="KO213" s="138">
        <f t="shared" si="5778"/>
        <v>0</v>
      </c>
      <c r="KP213" s="110">
        <f t="shared" si="5779"/>
        <v>0</v>
      </c>
      <c r="KQ213" s="110"/>
      <c r="KR213" s="139"/>
      <c r="KS213" s="140" t="e">
        <f t="shared" si="5780"/>
        <v>#DIV/0!</v>
      </c>
      <c r="KT213" s="198">
        <f t="shared" si="5657"/>
        <v>0</v>
      </c>
      <c r="KU213" s="225">
        <f t="shared" si="5658"/>
        <v>0</v>
      </c>
      <c r="KV213" s="226">
        <f t="shared" si="5659"/>
        <v>0</v>
      </c>
      <c r="KW213" s="137">
        <f t="shared" si="5781"/>
        <v>0</v>
      </c>
      <c r="KX213" s="227">
        <f t="shared" si="5660"/>
        <v>744.63</v>
      </c>
      <c r="KY213" s="138">
        <f t="shared" si="5782"/>
        <v>0</v>
      </c>
      <c r="KZ213" s="110">
        <f t="shared" si="5783"/>
        <v>0</v>
      </c>
      <c r="LA213" s="110"/>
      <c r="LB213" s="139"/>
      <c r="LC213" s="140" t="e">
        <f t="shared" si="5784"/>
        <v>#DIV/0!</v>
      </c>
      <c r="LD213" s="198">
        <f t="shared" si="5510"/>
        <v>0</v>
      </c>
      <c r="LE213" s="225">
        <f t="shared" si="5511"/>
        <v>0</v>
      </c>
      <c r="LF213" s="226">
        <f t="shared" si="5512"/>
        <v>0</v>
      </c>
      <c r="LG213" s="137">
        <f t="shared" si="5785"/>
        <v>0</v>
      </c>
      <c r="LH213" s="227">
        <f t="shared" si="5513"/>
        <v>733.76</v>
      </c>
      <c r="LI213" s="138">
        <f t="shared" si="5786"/>
        <v>0</v>
      </c>
      <c r="LJ213" s="110">
        <f t="shared" si="5787"/>
        <v>0</v>
      </c>
      <c r="LK213" s="110"/>
      <c r="LL213" s="139"/>
    </row>
    <row r="214" spans="1:324" x14ac:dyDescent="0.25">
      <c r="A214" s="248" t="s">
        <v>940</v>
      </c>
      <c r="B214" s="249" t="s">
        <v>473</v>
      </c>
      <c r="C214" s="14"/>
      <c r="D214" s="14"/>
      <c r="E214" s="4" t="s">
        <v>32</v>
      </c>
      <c r="F214" s="18">
        <f>SUM(F217:F242)</f>
        <v>602</v>
      </c>
      <c r="G214" s="4"/>
      <c r="H214" s="123"/>
      <c r="I214" s="137"/>
      <c r="J214" s="110"/>
      <c r="K214" s="138">
        <f>K155+K185</f>
        <v>1755.80251</v>
      </c>
      <c r="L214" s="226">
        <f t="shared" si="5663"/>
        <v>1056993.1100000001</v>
      </c>
      <c r="M214" s="145">
        <f>M155+M185</f>
        <v>1057202.22</v>
      </c>
      <c r="N214" s="139">
        <f>M214-L214</f>
        <v>209.11</v>
      </c>
      <c r="O214" s="225">
        <f>K214/$LI214</f>
        <v>0.59338999999999997</v>
      </c>
      <c r="P214" s="18">
        <f t="shared" ref="P214" si="5788">SUM(P217:P242)</f>
        <v>1096</v>
      </c>
      <c r="Q214" s="4"/>
      <c r="R214" s="123"/>
      <c r="S214" s="137"/>
      <c r="T214" s="110"/>
      <c r="U214" s="138">
        <f t="shared" ref="U214" si="5789">U155+U185</f>
        <v>2343.4779800000001</v>
      </c>
      <c r="V214" s="226">
        <f t="shared" ref="V214" si="5790">U214*P214</f>
        <v>2568451.87</v>
      </c>
      <c r="W214" s="145">
        <f t="shared" ref="W214" si="5791">W155+W185</f>
        <v>2568352.9900000002</v>
      </c>
      <c r="X214" s="139">
        <f t="shared" ref="X214" si="5792">W214-V214</f>
        <v>-98.88</v>
      </c>
      <c r="Y214" s="225">
        <f t="shared" ref="Y214" si="5793">U214/$LI214</f>
        <v>0.79200000000000004</v>
      </c>
      <c r="Z214" s="18">
        <f t="shared" ref="Z214" si="5794">SUM(Z217:Z242)</f>
        <v>864</v>
      </c>
      <c r="AA214" s="4"/>
      <c r="AB214" s="123"/>
      <c r="AC214" s="137"/>
      <c r="AD214" s="110"/>
      <c r="AE214" s="138">
        <f t="shared" ref="AE214" si="5795">AE155+AE185</f>
        <v>2259.85493</v>
      </c>
      <c r="AF214" s="226">
        <f t="shared" ref="AF214" si="5796">AE214*Z214</f>
        <v>1952514.66</v>
      </c>
      <c r="AG214" s="145">
        <f t="shared" ref="AG214" si="5797">AG155+AG185</f>
        <v>1952606.61</v>
      </c>
      <c r="AH214" s="139">
        <f t="shared" ref="AH214" si="5798">AG214-AF214</f>
        <v>91.95</v>
      </c>
      <c r="AI214" s="225">
        <f t="shared" ref="AI214" si="5799">AE214/$LI214</f>
        <v>0.76373999999999997</v>
      </c>
      <c r="AJ214" s="18">
        <f t="shared" ref="AJ214" si="5800">SUM(AJ217:AJ242)</f>
        <v>665</v>
      </c>
      <c r="AK214" s="4"/>
      <c r="AL214" s="123"/>
      <c r="AM214" s="137"/>
      <c r="AN214" s="110"/>
      <c r="AO214" s="138">
        <f t="shared" ref="AO214" si="5801">AO155+AO185</f>
        <v>1955.68416</v>
      </c>
      <c r="AP214" s="226">
        <f t="shared" ref="AP214" si="5802">AO214*AJ214</f>
        <v>1300529.97</v>
      </c>
      <c r="AQ214" s="145">
        <f t="shared" ref="AQ214" si="5803">AQ155+AQ185</f>
        <v>1300547.8899999999</v>
      </c>
      <c r="AR214" s="139">
        <f t="shared" ref="AR214" si="5804">AQ214-AP214</f>
        <v>17.920000000000002</v>
      </c>
      <c r="AS214" s="225">
        <f t="shared" ref="AS214" si="5805">AO214/$LI214</f>
        <v>0.66093999999999997</v>
      </c>
      <c r="AT214" s="18">
        <f t="shared" ref="AT214" si="5806">SUM(AT217:AT242)</f>
        <v>951</v>
      </c>
      <c r="AU214" s="4"/>
      <c r="AV214" s="123"/>
      <c r="AW214" s="137"/>
      <c r="AX214" s="110"/>
      <c r="AY214" s="138">
        <f t="shared" ref="AY214" si="5807">AY155+AY185</f>
        <v>1221.9075399999999</v>
      </c>
      <c r="AZ214" s="226">
        <f t="shared" ref="AZ214" si="5808">AY214*AT214</f>
        <v>1162034.07</v>
      </c>
      <c r="BA214" s="145">
        <f t="shared" ref="BA214" si="5809">BA155+BA185</f>
        <v>1162204.51</v>
      </c>
      <c r="BB214" s="139">
        <f t="shared" ref="BB214" si="5810">BA214-AZ214</f>
        <v>170.44</v>
      </c>
      <c r="BC214" s="225">
        <f t="shared" ref="BC214" si="5811">AY214/$LI214</f>
        <v>0.41295999999999999</v>
      </c>
      <c r="BD214" s="18">
        <f t="shared" ref="BD214" si="5812">SUM(BD217:BD242)</f>
        <v>744</v>
      </c>
      <c r="BE214" s="4"/>
      <c r="BF214" s="123"/>
      <c r="BG214" s="137"/>
      <c r="BH214" s="110"/>
      <c r="BI214" s="138">
        <f t="shared" ref="BI214" si="5813">BI155+BI185</f>
        <v>2182.6802299999999</v>
      </c>
      <c r="BJ214" s="226">
        <f t="shared" ref="BJ214" si="5814">BI214*BD214</f>
        <v>1623914.09</v>
      </c>
      <c r="BK214" s="145">
        <f t="shared" ref="BK214" si="5815">BK155+BK185</f>
        <v>1623848.7</v>
      </c>
      <c r="BL214" s="139">
        <f t="shared" ref="BL214" si="5816">BK214-BJ214</f>
        <v>-65.39</v>
      </c>
      <c r="BM214" s="225">
        <f t="shared" ref="BM214" si="5817">BI214/$LI214</f>
        <v>0.73765999999999998</v>
      </c>
      <c r="BN214" s="18">
        <f t="shared" ref="BN214" si="5818">SUM(BN217:BN242)</f>
        <v>617</v>
      </c>
      <c r="BO214" s="4"/>
      <c r="BP214" s="123"/>
      <c r="BQ214" s="137"/>
      <c r="BR214" s="110"/>
      <c r="BS214" s="138">
        <f t="shared" ref="BS214" si="5819">BS155+BS185</f>
        <v>2592.9801400000001</v>
      </c>
      <c r="BT214" s="226">
        <f t="shared" ref="BT214" si="5820">BS214*BN214</f>
        <v>1599868.75</v>
      </c>
      <c r="BU214" s="145">
        <f t="shared" ref="BU214" si="5821">BU155+BU185</f>
        <v>1600065.54</v>
      </c>
      <c r="BV214" s="139">
        <f t="shared" ref="BV214" si="5822">BU214-BT214</f>
        <v>196.79</v>
      </c>
      <c r="BW214" s="225">
        <f t="shared" ref="BW214" si="5823">BS214/$LI214</f>
        <v>0.87633000000000005</v>
      </c>
      <c r="BX214" s="18">
        <f t="shared" ref="BX214" si="5824">SUM(BX217:BX242)</f>
        <v>788</v>
      </c>
      <c r="BY214" s="4"/>
      <c r="BZ214" s="123"/>
      <c r="CA214" s="137"/>
      <c r="CB214" s="110"/>
      <c r="CC214" s="138">
        <f t="shared" ref="CC214" si="5825">CC155+CC185</f>
        <v>2029.2345600000001</v>
      </c>
      <c r="CD214" s="226">
        <f t="shared" ref="CD214" si="5826">CC214*BX214</f>
        <v>1599036.83</v>
      </c>
      <c r="CE214" s="145">
        <f t="shared" ref="CE214" si="5827">CE155+CE185</f>
        <v>1598758.43</v>
      </c>
      <c r="CF214" s="139">
        <f t="shared" ref="CF214" si="5828">CE214-CD214</f>
        <v>-278.39999999999998</v>
      </c>
      <c r="CG214" s="225">
        <f t="shared" ref="CG214" si="5829">CC214/$LI214</f>
        <v>0.68579999999999997</v>
      </c>
      <c r="CH214" s="18">
        <f t="shared" ref="CH214" si="5830">SUM(CH217:CH242)</f>
        <v>924</v>
      </c>
      <c r="CI214" s="4"/>
      <c r="CJ214" s="123"/>
      <c r="CK214" s="137"/>
      <c r="CL214" s="110"/>
      <c r="CM214" s="138">
        <f t="shared" ref="CM214" si="5831">CM155+CM185</f>
        <v>2502.3760299999999</v>
      </c>
      <c r="CN214" s="226">
        <f t="shared" ref="CN214" si="5832">CM214*CH214</f>
        <v>2312195.4500000002</v>
      </c>
      <c r="CO214" s="145">
        <f t="shared" ref="CO214" si="5833">CO155+CO185</f>
        <v>2311647.77</v>
      </c>
      <c r="CP214" s="139">
        <f t="shared" ref="CP214" si="5834">CO214-CN214</f>
        <v>-547.67999999999995</v>
      </c>
      <c r="CQ214" s="225">
        <f t="shared" ref="CQ214" si="5835">CM214/$LI214</f>
        <v>0.84570000000000001</v>
      </c>
      <c r="CR214" s="18">
        <f t="shared" ref="CR214" si="5836">SUM(CR217:CR242)</f>
        <v>744</v>
      </c>
      <c r="CS214" s="4"/>
      <c r="CT214" s="123"/>
      <c r="CU214" s="137"/>
      <c r="CV214" s="110"/>
      <c r="CW214" s="138">
        <f t="shared" ref="CW214" si="5837">CW155+CW185</f>
        <v>3129.8968599999998</v>
      </c>
      <c r="CX214" s="226">
        <f t="shared" ref="CX214" si="5838">CW214*CR214</f>
        <v>2328643.2599999998</v>
      </c>
      <c r="CY214" s="145">
        <f t="shared" ref="CY214" si="5839">CY155+CY185</f>
        <v>2328500.81</v>
      </c>
      <c r="CZ214" s="139">
        <f t="shared" ref="CZ214" si="5840">CY214-CX214</f>
        <v>-142.44999999999999</v>
      </c>
      <c r="DA214" s="225">
        <f t="shared" ref="DA214" si="5841">CW214/$LI214</f>
        <v>1.0577799999999999</v>
      </c>
      <c r="DB214" s="18">
        <f t="shared" ref="DB214" si="5842">SUM(DB217:DB242)</f>
        <v>825</v>
      </c>
      <c r="DC214" s="4"/>
      <c r="DD214" s="123"/>
      <c r="DE214" s="137"/>
      <c r="DF214" s="110"/>
      <c r="DG214" s="138">
        <f t="shared" ref="DG214" si="5843">DG155+DG185</f>
        <v>2690.9300699999999</v>
      </c>
      <c r="DH214" s="226">
        <f t="shared" ref="DH214" si="5844">DG214*DB214</f>
        <v>2220017.31</v>
      </c>
      <c r="DI214" s="145">
        <f t="shared" ref="DI214" si="5845">DI155+DI185</f>
        <v>2220037.2999999998</v>
      </c>
      <c r="DJ214" s="139">
        <f t="shared" ref="DJ214" si="5846">DI214-DH214</f>
        <v>19.989999999999998</v>
      </c>
      <c r="DK214" s="225">
        <f t="shared" ref="DK214" si="5847">DG214/$LI214</f>
        <v>0.90942999999999996</v>
      </c>
      <c r="DL214" s="18">
        <f t="shared" ref="DL214" si="5848">SUM(DL217:DL242)</f>
        <v>283</v>
      </c>
      <c r="DM214" s="4"/>
      <c r="DN214" s="123"/>
      <c r="DO214" s="137"/>
      <c r="DP214" s="110"/>
      <c r="DQ214" s="138">
        <f t="shared" ref="DQ214" si="5849">DQ155+DQ185</f>
        <v>3741.0947299999998</v>
      </c>
      <c r="DR214" s="226">
        <f t="shared" ref="DR214" si="5850">DQ214*DL214</f>
        <v>1058729.81</v>
      </c>
      <c r="DS214" s="145">
        <f t="shared" ref="DS214" si="5851">DS155+DS185</f>
        <v>1058710.9099999999</v>
      </c>
      <c r="DT214" s="139">
        <f t="shared" ref="DT214" si="5852">DS214-DR214</f>
        <v>-18.899999999999999</v>
      </c>
      <c r="DU214" s="225">
        <f t="shared" ref="DU214" si="5853">DQ214/$LI214</f>
        <v>1.26434</v>
      </c>
      <c r="DV214" s="18">
        <f t="shared" ref="DV214" si="5854">SUM(DV217:DV242)</f>
        <v>878</v>
      </c>
      <c r="DW214" s="4"/>
      <c r="DX214" s="123"/>
      <c r="DY214" s="137"/>
      <c r="DZ214" s="110"/>
      <c r="EA214" s="138">
        <f t="shared" ref="EA214" si="5855">EA155+EA185</f>
        <v>2230.9753300000002</v>
      </c>
      <c r="EB214" s="226">
        <f t="shared" ref="EB214" si="5856">EA214*DV214</f>
        <v>1958796.34</v>
      </c>
      <c r="EC214" s="145">
        <f t="shared" ref="EC214" si="5857">EC155+EC185</f>
        <v>1958891.74</v>
      </c>
      <c r="ED214" s="139">
        <f t="shared" ref="ED214" si="5858">EC214-EB214</f>
        <v>95.4</v>
      </c>
      <c r="EE214" s="225">
        <f t="shared" ref="EE214" si="5859">EA214/$LI214</f>
        <v>0.75397999999999998</v>
      </c>
      <c r="EF214" s="18">
        <f t="shared" ref="EF214" si="5860">SUM(EF217:EF242)</f>
        <v>939</v>
      </c>
      <c r="EG214" s="4"/>
      <c r="EH214" s="123"/>
      <c r="EI214" s="137"/>
      <c r="EJ214" s="110"/>
      <c r="EK214" s="138">
        <f t="shared" ref="EK214" si="5861">EK155+EK185</f>
        <v>1904.65843</v>
      </c>
      <c r="EL214" s="226">
        <f t="shared" ref="EL214" si="5862">EK214*EF214</f>
        <v>1788474.27</v>
      </c>
      <c r="EM214" s="145">
        <f t="shared" ref="EM214" si="5863">EM155+EM185</f>
        <v>1788358.57</v>
      </c>
      <c r="EN214" s="139">
        <f t="shared" ref="EN214" si="5864">EM214-EL214</f>
        <v>-115.7</v>
      </c>
      <c r="EO214" s="225">
        <f t="shared" ref="EO214" si="5865">EK214/$LI214</f>
        <v>0.64370000000000005</v>
      </c>
      <c r="EP214" s="18">
        <f t="shared" ref="EP214" si="5866">SUM(EP217:EP242)</f>
        <v>943</v>
      </c>
      <c r="EQ214" s="4"/>
      <c r="ER214" s="123"/>
      <c r="ES214" s="137"/>
      <c r="ET214" s="110"/>
      <c r="EU214" s="138">
        <f t="shared" ref="EU214" si="5867">EU155+EU185</f>
        <v>3283.19634</v>
      </c>
      <c r="EV214" s="226">
        <f t="shared" ref="EV214" si="5868">EU214*EP214</f>
        <v>3096054.15</v>
      </c>
      <c r="EW214" s="145">
        <f t="shared" ref="EW214" si="5869">EW155+EW185</f>
        <v>3096310.55</v>
      </c>
      <c r="EX214" s="139">
        <f t="shared" ref="EX214" si="5870">EW214-EV214</f>
        <v>256.39999999999998</v>
      </c>
      <c r="EY214" s="225">
        <f t="shared" ref="EY214" si="5871">EU214/$LI214</f>
        <v>1.1095900000000001</v>
      </c>
      <c r="EZ214" s="18">
        <f t="shared" ref="EZ214" si="5872">SUM(EZ217:EZ242)</f>
        <v>1117</v>
      </c>
      <c r="FA214" s="4"/>
      <c r="FB214" s="123"/>
      <c r="FC214" s="137"/>
      <c r="FD214" s="110"/>
      <c r="FE214" s="138">
        <f t="shared" ref="FE214" si="5873">FE155+FE185</f>
        <v>1432.14617</v>
      </c>
      <c r="FF214" s="226">
        <f t="shared" ref="FF214" si="5874">FE214*EZ214</f>
        <v>1599707.27</v>
      </c>
      <c r="FG214" s="145">
        <f t="shared" ref="FG214" si="5875">FG155+FG185</f>
        <v>1599609.47</v>
      </c>
      <c r="FH214" s="139">
        <f t="shared" ref="FH214" si="5876">FG214-FF214</f>
        <v>-97.8</v>
      </c>
      <c r="FI214" s="225">
        <f t="shared" ref="FI214" si="5877">FE214/$LI214</f>
        <v>0.48401</v>
      </c>
      <c r="FJ214" s="18">
        <f t="shared" ref="FJ214" si="5878">SUM(FJ217:FJ242)</f>
        <v>1022</v>
      </c>
      <c r="FK214" s="4"/>
      <c r="FL214" s="123"/>
      <c r="FM214" s="137"/>
      <c r="FN214" s="110"/>
      <c r="FO214" s="138">
        <f t="shared" ref="FO214" si="5879">FO155+FO185</f>
        <v>2898.39311</v>
      </c>
      <c r="FP214" s="226">
        <f t="shared" ref="FP214" si="5880">FO214*FJ214</f>
        <v>2962157.76</v>
      </c>
      <c r="FQ214" s="145">
        <f t="shared" ref="FQ214" si="5881">FQ155+FQ185</f>
        <v>2962081.36</v>
      </c>
      <c r="FR214" s="139">
        <f t="shared" ref="FR214" si="5882">FQ214-FP214</f>
        <v>-76.400000000000006</v>
      </c>
      <c r="FS214" s="225">
        <f t="shared" ref="FS214" si="5883">FO214/$LI214</f>
        <v>0.97953999999999997</v>
      </c>
      <c r="FT214" s="18">
        <f t="shared" ref="FT214" si="5884">SUM(FT217:FT242)</f>
        <v>803</v>
      </c>
      <c r="FU214" s="4"/>
      <c r="FV214" s="123"/>
      <c r="FW214" s="137"/>
      <c r="FX214" s="110"/>
      <c r="FY214" s="138">
        <f t="shared" ref="FY214" si="5885">FY155+FY185</f>
        <v>2763.54459</v>
      </c>
      <c r="FZ214" s="226">
        <f t="shared" ref="FZ214" si="5886">FY214*FT214</f>
        <v>2219126.31</v>
      </c>
      <c r="GA214" s="145">
        <f t="shared" ref="GA214" si="5887">GA155+GA185</f>
        <v>2219062.77</v>
      </c>
      <c r="GB214" s="139">
        <f t="shared" ref="GB214" si="5888">GA214-FZ214</f>
        <v>-63.54</v>
      </c>
      <c r="GC214" s="225">
        <f t="shared" ref="GC214" si="5889">FY214/$LI214</f>
        <v>0.93396999999999997</v>
      </c>
      <c r="GD214" s="18">
        <f t="shared" ref="GD214" si="5890">SUM(GD217:GD242)</f>
        <v>512</v>
      </c>
      <c r="GE214" s="4"/>
      <c r="GF214" s="123"/>
      <c r="GG214" s="137"/>
      <c r="GH214" s="110"/>
      <c r="GI214" s="138">
        <f t="shared" ref="GI214" si="5891">GI155+GI185</f>
        <v>2241.9961699999999</v>
      </c>
      <c r="GJ214" s="226">
        <f t="shared" ref="GJ214" si="5892">GI214*GD214</f>
        <v>1147902.04</v>
      </c>
      <c r="GK214" s="145">
        <f t="shared" ref="GK214" si="5893">GK155+GK185</f>
        <v>1147847.6399999999</v>
      </c>
      <c r="GL214" s="139">
        <f t="shared" ref="GL214" si="5894">GK214-GJ214</f>
        <v>-54.4</v>
      </c>
      <c r="GM214" s="225">
        <f t="shared" ref="GM214" si="5895">GI214/$LI214</f>
        <v>0.75770999999999999</v>
      </c>
      <c r="GN214" s="18">
        <f t="shared" ref="GN214" si="5896">SUM(GN217:GN242)</f>
        <v>864</v>
      </c>
      <c r="GO214" s="4"/>
      <c r="GP214" s="123"/>
      <c r="GQ214" s="137"/>
      <c r="GR214" s="110"/>
      <c r="GS214" s="138">
        <f t="shared" ref="GS214" si="5897">GS155+GS185</f>
        <v>3817.0268799999999</v>
      </c>
      <c r="GT214" s="226">
        <f t="shared" ref="GT214" si="5898">GS214*GN214</f>
        <v>3297911.22</v>
      </c>
      <c r="GU214" s="145">
        <f t="shared" ref="GU214" si="5899">GU155+GU185</f>
        <v>3298083.32</v>
      </c>
      <c r="GV214" s="139">
        <f t="shared" ref="GV214" si="5900">GU214-GT214</f>
        <v>172.1</v>
      </c>
      <c r="GW214" s="225">
        <f t="shared" ref="GW214" si="5901">GS214/$LI214</f>
        <v>1.2900100000000001</v>
      </c>
      <c r="GX214" s="18">
        <f t="shared" ref="GX214" si="5902">SUM(GX217:GX242)</f>
        <v>1621</v>
      </c>
      <c r="GY214" s="4"/>
      <c r="GZ214" s="123"/>
      <c r="HA214" s="137"/>
      <c r="HB214" s="110"/>
      <c r="HC214" s="138">
        <f t="shared" ref="HC214" si="5903">HC155+HC185</f>
        <v>2359.1176799999998</v>
      </c>
      <c r="HD214" s="226">
        <f t="shared" ref="HD214" si="5904">HC214*GX214</f>
        <v>3824129.76</v>
      </c>
      <c r="HE214" s="145">
        <f t="shared" ref="HE214" si="5905">HE155+HE185</f>
        <v>3825082.27</v>
      </c>
      <c r="HF214" s="139">
        <f t="shared" ref="HF214" si="5906">HE214-HD214</f>
        <v>952.51</v>
      </c>
      <c r="HG214" s="225">
        <f t="shared" ref="HG214" si="5907">HC214/$LI214</f>
        <v>0.79729000000000005</v>
      </c>
      <c r="HH214" s="18">
        <f t="shared" ref="HH214" si="5908">SUM(HH217:HH242)</f>
        <v>1152</v>
      </c>
      <c r="HI214" s="4"/>
      <c r="HJ214" s="123"/>
      <c r="HK214" s="137"/>
      <c r="HL214" s="110"/>
      <c r="HM214" s="138">
        <f t="shared" ref="HM214" si="5909">HM155+HM185</f>
        <v>2542.9048699999998</v>
      </c>
      <c r="HN214" s="226">
        <f t="shared" ref="HN214" si="5910">HM214*HH214</f>
        <v>2929426.41</v>
      </c>
      <c r="HO214" s="145">
        <f t="shared" ref="HO214" si="5911">HO155+HO185</f>
        <v>2929487.17</v>
      </c>
      <c r="HP214" s="139">
        <f t="shared" ref="HP214" si="5912">HO214-HN214</f>
        <v>60.76</v>
      </c>
      <c r="HQ214" s="225">
        <f t="shared" ref="HQ214" si="5913">HM214/$LI214</f>
        <v>0.85940000000000005</v>
      </c>
      <c r="HR214" s="18">
        <f t="shared" ref="HR214" si="5914">SUM(HR217:HR242)</f>
        <v>788</v>
      </c>
      <c r="HS214" s="4"/>
      <c r="HT214" s="123"/>
      <c r="HU214" s="137"/>
      <c r="HV214" s="110"/>
      <c r="HW214" s="138">
        <f t="shared" ref="HW214" si="5915">HW155+HW185</f>
        <v>3349.3407299999999</v>
      </c>
      <c r="HX214" s="226">
        <f t="shared" ref="HX214" si="5916">HW214*HR214</f>
        <v>2639280.5</v>
      </c>
      <c r="HY214" s="145">
        <f t="shared" ref="HY214" si="5917">HY155+HY185</f>
        <v>2639084.94</v>
      </c>
      <c r="HZ214" s="139">
        <f t="shared" ref="HZ214" si="5918">HY214-HX214</f>
        <v>-195.56</v>
      </c>
      <c r="IA214" s="225">
        <f t="shared" ref="IA214" si="5919">HW214/$LI214</f>
        <v>1.13195</v>
      </c>
      <c r="IB214" s="18">
        <f t="shared" ref="IB214" si="5920">SUM(IB217:IB242)</f>
        <v>548</v>
      </c>
      <c r="IC214" s="4"/>
      <c r="ID214" s="123"/>
      <c r="IE214" s="137"/>
      <c r="IF214" s="110"/>
      <c r="IG214" s="138">
        <f t="shared" ref="IG214" si="5921">IG155+IG185</f>
        <v>4693.0943299999999</v>
      </c>
      <c r="IH214" s="226">
        <f t="shared" ref="IH214" si="5922">IG214*IB214</f>
        <v>2571815.69</v>
      </c>
      <c r="II214" s="145">
        <f t="shared" ref="II214" si="5923">II155+II185</f>
        <v>2571690.16</v>
      </c>
      <c r="IJ214" s="139">
        <f t="shared" ref="IJ214" si="5924">II214-IH214</f>
        <v>-125.53</v>
      </c>
      <c r="IK214" s="225">
        <f t="shared" ref="IK214" si="5925">IG214/$LI214</f>
        <v>1.5860799999999999</v>
      </c>
      <c r="IL214" s="18">
        <f t="shared" ref="IL214" si="5926">SUM(IL217:IL242)</f>
        <v>1265</v>
      </c>
      <c r="IM214" s="4"/>
      <c r="IN214" s="123"/>
      <c r="IO214" s="137"/>
      <c r="IP214" s="110"/>
      <c r="IQ214" s="138">
        <f t="shared" ref="IQ214" si="5927">IQ155+IQ185</f>
        <v>1999.42047</v>
      </c>
      <c r="IR214" s="226">
        <f t="shared" ref="IR214" si="5928">IQ214*IL214</f>
        <v>2529266.89</v>
      </c>
      <c r="IS214" s="145">
        <f t="shared" ref="IS214" si="5929">IS155+IS185</f>
        <v>2529274.11</v>
      </c>
      <c r="IT214" s="139">
        <f t="shared" ref="IT214" si="5930">IS214-IR214</f>
        <v>7.22</v>
      </c>
      <c r="IU214" s="225">
        <f t="shared" ref="IU214" si="5931">IQ214/$LI214</f>
        <v>0.67573000000000005</v>
      </c>
      <c r="IV214" s="18">
        <f t="shared" ref="IV214" si="5932">SUM(IV217:IV242)</f>
        <v>771</v>
      </c>
      <c r="IW214" s="4"/>
      <c r="IX214" s="123"/>
      <c r="IY214" s="137"/>
      <c r="IZ214" s="110"/>
      <c r="JA214" s="138">
        <f t="shared" ref="JA214" si="5933">JA155+JA185</f>
        <v>2914.9344299999998</v>
      </c>
      <c r="JB214" s="226">
        <f t="shared" ref="JB214" si="5934">JA214*IV214</f>
        <v>2247414.4500000002</v>
      </c>
      <c r="JC214" s="145">
        <f t="shared" ref="JC214" si="5935">JC155+JC185</f>
        <v>2247264.23</v>
      </c>
      <c r="JD214" s="139">
        <f t="shared" ref="JD214" si="5936">JC214-JB214</f>
        <v>-150.22</v>
      </c>
      <c r="JE214" s="225">
        <f t="shared" ref="JE214" si="5937">JA214/$LI214</f>
        <v>0.98512999999999995</v>
      </c>
      <c r="JF214" s="18">
        <f t="shared" ref="JF214" si="5938">SUM(JF217:JF242)</f>
        <v>1341</v>
      </c>
      <c r="JG214" s="4"/>
      <c r="JH214" s="123"/>
      <c r="JI214" s="137"/>
      <c r="JJ214" s="110"/>
      <c r="JK214" s="138">
        <f t="shared" ref="JK214" si="5939">JK155+JK185</f>
        <v>2866.444</v>
      </c>
      <c r="JL214" s="226">
        <f t="shared" ref="JL214" si="5940">JK214*JF214</f>
        <v>3843901.4</v>
      </c>
      <c r="JM214" s="145">
        <f t="shared" ref="JM214" si="5941">JM155+JM185</f>
        <v>3844405.8</v>
      </c>
      <c r="JN214" s="139">
        <f t="shared" ref="JN214" si="5942">JM214-JL214</f>
        <v>504.4</v>
      </c>
      <c r="JO214" s="225">
        <f t="shared" ref="JO214" si="5943">JK214/$LI214</f>
        <v>0.96875</v>
      </c>
      <c r="JP214" s="18">
        <f t="shared" ref="JP214" si="5944">SUM(JP217:JP242)</f>
        <v>1249</v>
      </c>
      <c r="JQ214" s="4"/>
      <c r="JR214" s="123"/>
      <c r="JS214" s="137"/>
      <c r="JT214" s="110"/>
      <c r="JU214" s="138">
        <f t="shared" ref="JU214" si="5945">JU155+JU185</f>
        <v>3092.00956</v>
      </c>
      <c r="JV214" s="226">
        <f t="shared" ref="JV214" si="5946">JU214*JP214</f>
        <v>3861919.94</v>
      </c>
      <c r="JW214" s="145">
        <f t="shared" ref="JW214" si="5947">JW155+JW185</f>
        <v>3861995.09</v>
      </c>
      <c r="JX214" s="139">
        <f t="shared" ref="JX214" si="5948">JW214-JV214</f>
        <v>75.150000000000006</v>
      </c>
      <c r="JY214" s="225">
        <f t="shared" ref="JY214" si="5949">JU214/$LI214</f>
        <v>1.04498</v>
      </c>
      <c r="JZ214" s="18">
        <f t="shared" ref="JZ214" si="5950">SUM(JZ217:JZ242)</f>
        <v>1163</v>
      </c>
      <c r="KA214" s="4"/>
      <c r="KB214" s="123"/>
      <c r="KC214" s="137"/>
      <c r="KD214" s="110"/>
      <c r="KE214" s="138">
        <f t="shared" ref="KE214" si="5951">KE155+KE185</f>
        <v>3395.8248100000001</v>
      </c>
      <c r="KF214" s="226">
        <f t="shared" ref="KF214" si="5952">KE214*JZ214</f>
        <v>3949344.25</v>
      </c>
      <c r="KG214" s="145">
        <f t="shared" ref="KG214" si="5953">KG155+KG185</f>
        <v>3949286.05</v>
      </c>
      <c r="KH214" s="139">
        <f t="shared" ref="KH214" si="5954">KG214-KF214</f>
        <v>-58.2</v>
      </c>
      <c r="KI214" s="225">
        <f t="shared" ref="KI214" si="5955">KE214/$LI214</f>
        <v>1.1476599999999999</v>
      </c>
      <c r="KJ214" s="18">
        <f t="shared" ref="KJ214" si="5956">SUM(KJ217:KJ242)</f>
        <v>1341</v>
      </c>
      <c r="KK214" s="4"/>
      <c r="KL214" s="123"/>
      <c r="KM214" s="137"/>
      <c r="KN214" s="110"/>
      <c r="KO214" s="138">
        <f t="shared" ref="KO214" si="5957">KO155+KO185</f>
        <v>2286.5741499999999</v>
      </c>
      <c r="KP214" s="226">
        <f t="shared" ref="KP214" si="5958">KO214*KJ214</f>
        <v>3066295.94</v>
      </c>
      <c r="KQ214" s="145">
        <f t="shared" ref="KQ214" si="5959">KQ155+KQ185</f>
        <v>3066501.24</v>
      </c>
      <c r="KR214" s="139">
        <f t="shared" ref="KR214" si="5960">KQ214-KP214</f>
        <v>205.3</v>
      </c>
      <c r="KS214" s="225">
        <f t="shared" ref="KS214" si="5961">KO214/$LI214</f>
        <v>0.77276999999999996</v>
      </c>
      <c r="KT214" s="18">
        <f t="shared" ref="KT214" si="5962">SUM(KT217:KT242)</f>
        <v>1124</v>
      </c>
      <c r="KU214" s="4"/>
      <c r="KV214" s="123"/>
      <c r="KW214" s="137"/>
      <c r="KX214" s="110"/>
      <c r="KY214" s="138">
        <f t="shared" ref="KY214" si="5963">KY155+KY185</f>
        <v>12586.65589</v>
      </c>
      <c r="KZ214" s="226">
        <f t="shared" ref="KZ214" si="5964">KY214*KT214</f>
        <v>14147401.220000001</v>
      </c>
      <c r="LA214" s="145">
        <f t="shared" ref="LA214" si="5965">LA155+LA185</f>
        <v>14146148.060000001</v>
      </c>
      <c r="LB214" s="139">
        <f t="shared" ref="LB214" si="5966">LA214-KZ214</f>
        <v>-1253.1600000000001</v>
      </c>
      <c r="LC214" s="225">
        <f t="shared" ref="LC214" si="5967">KY214/$LI214</f>
        <v>4.2538</v>
      </c>
      <c r="LD214" s="18">
        <f t="shared" ref="LD214" si="5968">SUM(LD217:LD242)</f>
        <v>28544</v>
      </c>
      <c r="LE214" s="4"/>
      <c r="LF214" s="123"/>
      <c r="LG214" s="137"/>
      <c r="LH214" s="110"/>
      <c r="LI214" s="138">
        <f t="shared" ref="LI214" si="5969">LI155+LI185</f>
        <v>2958.9234700000002</v>
      </c>
      <c r="LJ214" s="226">
        <f t="shared" si="5787"/>
        <v>84459511.530000001</v>
      </c>
      <c r="LK214" s="145">
        <f t="shared" ref="LK214" si="5970">LK155+LK185</f>
        <v>84462948.219999999</v>
      </c>
      <c r="LL214" s="139">
        <f t="shared" ref="LL214" si="5971">LK214-LJ214</f>
        <v>3436.69</v>
      </c>
    </row>
    <row r="215" spans="1:324" s="132" customFormat="1" x14ac:dyDescent="0.25">
      <c r="A215" s="130"/>
      <c r="B215" s="131" t="s">
        <v>467</v>
      </c>
      <c r="C215" s="131"/>
      <c r="D215" s="131"/>
      <c r="E215" s="131"/>
      <c r="F215" s="141"/>
      <c r="G215" s="131"/>
      <c r="H215" s="139"/>
      <c r="I215" s="142"/>
      <c r="J215" s="139"/>
      <c r="K215" s="139"/>
      <c r="L215" s="139">
        <f>L214-(SUM(L217:L242))</f>
        <v>42.61</v>
      </c>
      <c r="M215" s="139"/>
      <c r="N215" s="139"/>
      <c r="O215" s="131"/>
      <c r="P215" s="141"/>
      <c r="Q215" s="131"/>
      <c r="R215" s="139"/>
      <c r="S215" s="142"/>
      <c r="T215" s="139"/>
      <c r="U215" s="139"/>
      <c r="V215" s="139">
        <f t="shared" ref="V215" si="5972">V214-(SUM(V217:V242))</f>
        <v>-7.34</v>
      </c>
      <c r="W215" s="139"/>
      <c r="X215" s="139"/>
      <c r="Y215" s="131"/>
      <c r="Z215" s="141"/>
      <c r="AA215" s="131"/>
      <c r="AB215" s="139"/>
      <c r="AC215" s="142"/>
      <c r="AD215" s="139"/>
      <c r="AE215" s="139"/>
      <c r="AF215" s="139">
        <f t="shared" ref="AF215" si="5973">AF214-(SUM(AF217:AF242))</f>
        <v>25.3</v>
      </c>
      <c r="AG215" s="139"/>
      <c r="AH215" s="139"/>
      <c r="AI215" s="131"/>
      <c r="AJ215" s="141"/>
      <c r="AK215" s="131"/>
      <c r="AL215" s="139"/>
      <c r="AM215" s="142"/>
      <c r="AN215" s="139"/>
      <c r="AO215" s="139"/>
      <c r="AP215" s="139">
        <f t="shared" ref="AP215" si="5974">AP214-(SUM(AP217:AP242))</f>
        <v>7.39</v>
      </c>
      <c r="AQ215" s="139"/>
      <c r="AR215" s="139"/>
      <c r="AS215" s="131"/>
      <c r="AT215" s="141"/>
      <c r="AU215" s="131"/>
      <c r="AV215" s="139"/>
      <c r="AW215" s="142"/>
      <c r="AX215" s="139"/>
      <c r="AY215" s="139"/>
      <c r="AZ215" s="139">
        <f t="shared" ref="AZ215" si="5975">AZ214-(SUM(AZ217:AZ242))</f>
        <v>0.02</v>
      </c>
      <c r="BA215" s="139"/>
      <c r="BB215" s="139"/>
      <c r="BC215" s="131"/>
      <c r="BD215" s="141"/>
      <c r="BE215" s="131"/>
      <c r="BF215" s="139"/>
      <c r="BG215" s="142"/>
      <c r="BH215" s="139"/>
      <c r="BI215" s="139"/>
      <c r="BJ215" s="139">
        <f t="shared" ref="BJ215" si="5976">BJ214-(SUM(BJ217:BJ242))</f>
        <v>31.61</v>
      </c>
      <c r="BK215" s="139"/>
      <c r="BL215" s="139"/>
      <c r="BM215" s="131"/>
      <c r="BN215" s="141"/>
      <c r="BO215" s="131"/>
      <c r="BP215" s="139"/>
      <c r="BQ215" s="142"/>
      <c r="BR215" s="139"/>
      <c r="BS215" s="139"/>
      <c r="BT215" s="139">
        <f t="shared" ref="BT215" si="5977">BT214-(SUM(BT217:BT242))</f>
        <v>-0.86</v>
      </c>
      <c r="BU215" s="139"/>
      <c r="BV215" s="139"/>
      <c r="BW215" s="131"/>
      <c r="BX215" s="141"/>
      <c r="BY215" s="131"/>
      <c r="BZ215" s="139"/>
      <c r="CA215" s="142"/>
      <c r="CB215" s="139"/>
      <c r="CC215" s="139"/>
      <c r="CD215" s="139">
        <f t="shared" ref="CD215" si="5978">CD214-(SUM(CD217:CD242))</f>
        <v>-19.059999999999999</v>
      </c>
      <c r="CE215" s="139"/>
      <c r="CF215" s="139"/>
      <c r="CG215" s="131"/>
      <c r="CH215" s="141"/>
      <c r="CI215" s="131"/>
      <c r="CJ215" s="139"/>
      <c r="CK215" s="142"/>
      <c r="CL215" s="139"/>
      <c r="CM215" s="139"/>
      <c r="CN215" s="139">
        <f t="shared" ref="CN215" si="5979">CN214-(SUM(CN217:CN242))</f>
        <v>-26.4</v>
      </c>
      <c r="CO215" s="139"/>
      <c r="CP215" s="139"/>
      <c r="CQ215" s="131"/>
      <c r="CR215" s="141"/>
      <c r="CS215" s="131"/>
      <c r="CT215" s="139"/>
      <c r="CU215" s="142"/>
      <c r="CV215" s="139"/>
      <c r="CW215" s="139"/>
      <c r="CX215" s="139">
        <f t="shared" ref="CX215" si="5980">CX214-(SUM(CX217:CX242))</f>
        <v>-63.28</v>
      </c>
      <c r="CY215" s="139"/>
      <c r="CZ215" s="139"/>
      <c r="DA215" s="131"/>
      <c r="DB215" s="141"/>
      <c r="DC215" s="131"/>
      <c r="DD215" s="139"/>
      <c r="DE215" s="142"/>
      <c r="DF215" s="139"/>
      <c r="DG215" s="139"/>
      <c r="DH215" s="139">
        <f t="shared" ref="DH215" si="5981">DH214-(SUM(DH217:DH242))</f>
        <v>-26.39</v>
      </c>
      <c r="DI215" s="139"/>
      <c r="DJ215" s="139"/>
      <c r="DK215" s="131"/>
      <c r="DL215" s="141"/>
      <c r="DM215" s="131"/>
      <c r="DN215" s="139"/>
      <c r="DO215" s="142"/>
      <c r="DP215" s="139"/>
      <c r="DQ215" s="139"/>
      <c r="DR215" s="139">
        <f t="shared" ref="DR215" si="5982">DR214-(SUM(DR217:DR242))</f>
        <v>-0.1</v>
      </c>
      <c r="DS215" s="139"/>
      <c r="DT215" s="139"/>
      <c r="DU215" s="131"/>
      <c r="DV215" s="141"/>
      <c r="DW215" s="131"/>
      <c r="DX215" s="139"/>
      <c r="DY215" s="142"/>
      <c r="DZ215" s="139"/>
      <c r="EA215" s="139"/>
      <c r="EB215" s="139">
        <f t="shared" ref="EB215" si="5983">EB214-(SUM(EB217:EB242))</f>
        <v>-44.62</v>
      </c>
      <c r="EC215" s="139"/>
      <c r="ED215" s="139"/>
      <c r="EE215" s="131"/>
      <c r="EF215" s="141"/>
      <c r="EG215" s="131"/>
      <c r="EH215" s="139"/>
      <c r="EI215" s="142"/>
      <c r="EJ215" s="139"/>
      <c r="EK215" s="139"/>
      <c r="EL215" s="139">
        <f t="shared" ref="EL215" si="5984">EL214-(SUM(EL217:EL242))</f>
        <v>57.56</v>
      </c>
      <c r="EM215" s="139"/>
      <c r="EN215" s="139"/>
      <c r="EO215" s="131"/>
      <c r="EP215" s="141"/>
      <c r="EQ215" s="131"/>
      <c r="ER215" s="139"/>
      <c r="ES215" s="142"/>
      <c r="ET215" s="139"/>
      <c r="EU215" s="139"/>
      <c r="EV215" s="139">
        <f t="shared" ref="EV215" si="5985">EV214-(SUM(EV217:EV242))</f>
        <v>79.290000000000006</v>
      </c>
      <c r="EW215" s="139"/>
      <c r="EX215" s="139"/>
      <c r="EY215" s="131"/>
      <c r="EZ215" s="141"/>
      <c r="FA215" s="131"/>
      <c r="FB215" s="139"/>
      <c r="FC215" s="142"/>
      <c r="FD215" s="139"/>
      <c r="FE215" s="139"/>
      <c r="FF215" s="139">
        <f t="shared" ref="FF215" si="5986">FF214-(SUM(FF217:FF242))</f>
        <v>-44.8</v>
      </c>
      <c r="FG215" s="139"/>
      <c r="FH215" s="139"/>
      <c r="FI215" s="131"/>
      <c r="FJ215" s="141"/>
      <c r="FK215" s="131"/>
      <c r="FL215" s="139"/>
      <c r="FM215" s="142"/>
      <c r="FN215" s="139"/>
      <c r="FO215" s="139"/>
      <c r="FP215" s="139">
        <f t="shared" ref="FP215" si="5987">FP214-(SUM(FP217:FP242))</f>
        <v>-0.55000000000000004</v>
      </c>
      <c r="FQ215" s="139"/>
      <c r="FR215" s="139"/>
      <c r="FS215" s="131"/>
      <c r="FT215" s="141"/>
      <c r="FU215" s="131"/>
      <c r="FV215" s="139"/>
      <c r="FW215" s="142"/>
      <c r="FX215" s="139"/>
      <c r="FY215" s="139"/>
      <c r="FZ215" s="139">
        <f t="shared" ref="FZ215" si="5988">FZ214-(SUM(FZ217:FZ242))</f>
        <v>18.47</v>
      </c>
      <c r="GA215" s="139"/>
      <c r="GB215" s="139"/>
      <c r="GC215" s="131"/>
      <c r="GD215" s="141"/>
      <c r="GE215" s="131"/>
      <c r="GF215" s="139"/>
      <c r="GG215" s="142"/>
      <c r="GH215" s="139"/>
      <c r="GI215" s="139"/>
      <c r="GJ215" s="139">
        <f t="shared" ref="GJ215" si="5989">GJ214-(SUM(GJ217:GJ242))</f>
        <v>0.1</v>
      </c>
      <c r="GK215" s="139"/>
      <c r="GL215" s="139"/>
      <c r="GM215" s="131"/>
      <c r="GN215" s="141"/>
      <c r="GO215" s="131"/>
      <c r="GP215" s="139"/>
      <c r="GQ215" s="142"/>
      <c r="GR215" s="139"/>
      <c r="GS215" s="139"/>
      <c r="GT215" s="139">
        <f t="shared" ref="GT215" si="5990">GT214-(SUM(GT217:GT242))</f>
        <v>36.020000000000003</v>
      </c>
      <c r="GU215" s="139"/>
      <c r="GV215" s="139"/>
      <c r="GW215" s="131"/>
      <c r="GX215" s="141"/>
      <c r="GY215" s="131"/>
      <c r="GZ215" s="139"/>
      <c r="HA215" s="142"/>
      <c r="HB215" s="139"/>
      <c r="HC215" s="139"/>
      <c r="HD215" s="139">
        <f t="shared" ref="HD215" si="5991">HD214-(SUM(HD217:HD242))</f>
        <v>-27.1</v>
      </c>
      <c r="HE215" s="139"/>
      <c r="HF215" s="139"/>
      <c r="HG215" s="131"/>
      <c r="HH215" s="141"/>
      <c r="HI215" s="131"/>
      <c r="HJ215" s="139"/>
      <c r="HK215" s="142"/>
      <c r="HL215" s="139"/>
      <c r="HM215" s="139"/>
      <c r="HN215" s="139">
        <f t="shared" ref="HN215" si="5992">HN214-(SUM(HN217:HN242))</f>
        <v>0</v>
      </c>
      <c r="HO215" s="139"/>
      <c r="HP215" s="139"/>
      <c r="HQ215" s="131"/>
      <c r="HR215" s="141"/>
      <c r="HS215" s="131"/>
      <c r="HT215" s="139"/>
      <c r="HU215" s="142"/>
      <c r="HV215" s="139"/>
      <c r="HW215" s="139"/>
      <c r="HX215" s="139">
        <f t="shared" ref="HX215" si="5993">HX214-(SUM(HX217:HX242))</f>
        <v>-62.17</v>
      </c>
      <c r="HY215" s="139"/>
      <c r="HZ215" s="139"/>
      <c r="IA215" s="131"/>
      <c r="IB215" s="141"/>
      <c r="IC215" s="131"/>
      <c r="ID215" s="139"/>
      <c r="IE215" s="142"/>
      <c r="IF215" s="139"/>
      <c r="IG215" s="139"/>
      <c r="IH215" s="139">
        <f t="shared" ref="IH215" si="5994">IH214-(SUM(IH217:IH242))</f>
        <v>31.61</v>
      </c>
      <c r="II215" s="139"/>
      <c r="IJ215" s="139"/>
      <c r="IK215" s="131"/>
      <c r="IL215" s="141"/>
      <c r="IM215" s="131"/>
      <c r="IN215" s="139"/>
      <c r="IO215" s="142"/>
      <c r="IP215" s="139"/>
      <c r="IQ215" s="139"/>
      <c r="IR215" s="139">
        <f t="shared" ref="IR215" si="5995">IR214-(SUM(IR217:IR242))</f>
        <v>-26.4</v>
      </c>
      <c r="IS215" s="139"/>
      <c r="IT215" s="139"/>
      <c r="IU215" s="131"/>
      <c r="IV215" s="141"/>
      <c r="IW215" s="131"/>
      <c r="IX215" s="139"/>
      <c r="IY215" s="142"/>
      <c r="IZ215" s="139"/>
      <c r="JA215" s="139"/>
      <c r="JB215" s="139">
        <f t="shared" ref="JB215" si="5996">JB214-(SUM(JB217:JB242))</f>
        <v>13.19</v>
      </c>
      <c r="JC215" s="139"/>
      <c r="JD215" s="139"/>
      <c r="JE215" s="131"/>
      <c r="JF215" s="141"/>
      <c r="JG215" s="131"/>
      <c r="JH215" s="139"/>
      <c r="JI215" s="142"/>
      <c r="JJ215" s="139"/>
      <c r="JK215" s="139"/>
      <c r="JL215" s="139">
        <f t="shared" ref="JL215" si="5997">JL214-(SUM(JL217:JL242))</f>
        <v>-34.520000000000003</v>
      </c>
      <c r="JM215" s="139"/>
      <c r="JN215" s="139"/>
      <c r="JO215" s="131"/>
      <c r="JP215" s="141"/>
      <c r="JQ215" s="131"/>
      <c r="JR215" s="139"/>
      <c r="JS215" s="142"/>
      <c r="JT215" s="139"/>
      <c r="JU215" s="139"/>
      <c r="JV215" s="139">
        <f t="shared" ref="JV215" si="5998">JV214-(SUM(JV217:JV242))</f>
        <v>57.19</v>
      </c>
      <c r="JW215" s="139"/>
      <c r="JX215" s="139"/>
      <c r="JY215" s="131"/>
      <c r="JZ215" s="141"/>
      <c r="KA215" s="131"/>
      <c r="KB215" s="139"/>
      <c r="KC215" s="142"/>
      <c r="KD215" s="139"/>
      <c r="KE215" s="139"/>
      <c r="KF215" s="139">
        <f t="shared" ref="KF215" si="5999">KF214-(SUM(KF217:KF242))</f>
        <v>-0.02</v>
      </c>
      <c r="KG215" s="139"/>
      <c r="KH215" s="139"/>
      <c r="KI215" s="131"/>
      <c r="KJ215" s="141"/>
      <c r="KK215" s="131"/>
      <c r="KL215" s="139"/>
      <c r="KM215" s="142"/>
      <c r="KN215" s="139"/>
      <c r="KO215" s="139"/>
      <c r="KP215" s="139">
        <f t="shared" ref="KP215" si="6000">KP214-(SUM(KP217:KP242))</f>
        <v>-35.21</v>
      </c>
      <c r="KQ215" s="139"/>
      <c r="KR215" s="139"/>
      <c r="KS215" s="131"/>
      <c r="KT215" s="141"/>
      <c r="KU215" s="131"/>
      <c r="KV215" s="139"/>
      <c r="KW215" s="142"/>
      <c r="KX215" s="139"/>
      <c r="KY215" s="139"/>
      <c r="KZ215" s="139">
        <f t="shared" ref="KZ215" si="6001">KZ214-(SUM(KZ217:KZ242))</f>
        <v>-7.46</v>
      </c>
      <c r="LA215" s="139"/>
      <c r="LB215" s="139"/>
      <c r="LC215" s="131"/>
      <c r="LD215" s="141"/>
      <c r="LE215" s="131"/>
      <c r="LF215" s="139"/>
      <c r="LG215" s="142"/>
      <c r="LH215" s="139"/>
      <c r="LI215" s="139"/>
      <c r="LJ215" s="139">
        <f t="shared" ref="LJ215" si="6002">LJ214-(SUM(LJ217:LJ242))</f>
        <v>-858.06</v>
      </c>
      <c r="LK215" s="139"/>
      <c r="LL215" s="139"/>
    </row>
    <row r="216" spans="1:324" s="132" customFormat="1" x14ac:dyDescent="0.25">
      <c r="A216" s="244"/>
      <c r="B216" s="244" t="s">
        <v>853</v>
      </c>
      <c r="C216" s="131"/>
      <c r="D216" s="131"/>
      <c r="E216" s="131"/>
      <c r="F216" s="141"/>
      <c r="G216" s="131"/>
      <c r="H216" s="139"/>
      <c r="I216" s="142"/>
      <c r="J216" s="139"/>
      <c r="K216" s="139"/>
      <c r="L216" s="139"/>
      <c r="M216" s="139"/>
      <c r="N216" s="139"/>
      <c r="O216" s="131"/>
      <c r="P216" s="141"/>
      <c r="Q216" s="131"/>
      <c r="R216" s="139"/>
      <c r="S216" s="142"/>
      <c r="T216" s="139"/>
      <c r="U216" s="139"/>
      <c r="V216" s="139"/>
      <c r="W216" s="139"/>
      <c r="X216" s="139"/>
      <c r="Y216" s="131"/>
      <c r="Z216" s="141"/>
      <c r="AA216" s="131"/>
      <c r="AB216" s="139"/>
      <c r="AC216" s="142"/>
      <c r="AD216" s="139"/>
      <c r="AE216" s="139"/>
      <c r="AF216" s="139"/>
      <c r="AG216" s="139"/>
      <c r="AH216" s="139"/>
      <c r="AI216" s="131"/>
      <c r="AJ216" s="141"/>
      <c r="AK216" s="131"/>
      <c r="AL216" s="139"/>
      <c r="AM216" s="142"/>
      <c r="AN216" s="139"/>
      <c r="AO216" s="139"/>
      <c r="AP216" s="139"/>
      <c r="AQ216" s="139"/>
      <c r="AR216" s="139"/>
      <c r="AS216" s="131"/>
      <c r="AT216" s="141"/>
      <c r="AU216" s="131"/>
      <c r="AV216" s="139"/>
      <c r="AW216" s="142"/>
      <c r="AX216" s="139"/>
      <c r="AY216" s="139"/>
      <c r="AZ216" s="139"/>
      <c r="BA216" s="139"/>
      <c r="BB216" s="139"/>
      <c r="BC216" s="131"/>
      <c r="BD216" s="141"/>
      <c r="BE216" s="131"/>
      <c r="BF216" s="139"/>
      <c r="BG216" s="142"/>
      <c r="BH216" s="139"/>
      <c r="BI216" s="139"/>
      <c r="BJ216" s="139"/>
      <c r="BK216" s="139"/>
      <c r="BL216" s="139"/>
      <c r="BM216" s="131"/>
      <c r="BN216" s="141"/>
      <c r="BO216" s="131"/>
      <c r="BP216" s="139"/>
      <c r="BQ216" s="142"/>
      <c r="BR216" s="139"/>
      <c r="BS216" s="139"/>
      <c r="BT216" s="139"/>
      <c r="BU216" s="139"/>
      <c r="BV216" s="139"/>
      <c r="BW216" s="131"/>
      <c r="BX216" s="141"/>
      <c r="BY216" s="131"/>
      <c r="BZ216" s="139"/>
      <c r="CA216" s="142"/>
      <c r="CB216" s="139"/>
      <c r="CC216" s="139"/>
      <c r="CD216" s="139"/>
      <c r="CE216" s="139"/>
      <c r="CF216" s="139"/>
      <c r="CG216" s="131"/>
      <c r="CH216" s="141"/>
      <c r="CI216" s="131"/>
      <c r="CJ216" s="139"/>
      <c r="CK216" s="142"/>
      <c r="CL216" s="139"/>
      <c r="CM216" s="139"/>
      <c r="CN216" s="139"/>
      <c r="CO216" s="139"/>
      <c r="CP216" s="139"/>
      <c r="CQ216" s="131"/>
      <c r="CR216" s="141"/>
      <c r="CS216" s="131"/>
      <c r="CT216" s="139"/>
      <c r="CU216" s="142"/>
      <c r="CV216" s="139"/>
      <c r="CW216" s="139"/>
      <c r="CX216" s="139"/>
      <c r="CY216" s="139"/>
      <c r="CZ216" s="139"/>
      <c r="DA216" s="131"/>
      <c r="DB216" s="141"/>
      <c r="DC216" s="131"/>
      <c r="DD216" s="139"/>
      <c r="DE216" s="142"/>
      <c r="DF216" s="139"/>
      <c r="DG216" s="139"/>
      <c r="DH216" s="139"/>
      <c r="DI216" s="139"/>
      <c r="DJ216" s="139"/>
      <c r="DK216" s="131"/>
      <c r="DL216" s="141"/>
      <c r="DM216" s="131"/>
      <c r="DN216" s="139"/>
      <c r="DO216" s="142"/>
      <c r="DP216" s="139"/>
      <c r="DQ216" s="139"/>
      <c r="DR216" s="139"/>
      <c r="DS216" s="139"/>
      <c r="DT216" s="139"/>
      <c r="DU216" s="131"/>
      <c r="DV216" s="141"/>
      <c r="DW216" s="131"/>
      <c r="DX216" s="139"/>
      <c r="DY216" s="142"/>
      <c r="DZ216" s="139"/>
      <c r="EA216" s="139"/>
      <c r="EB216" s="139"/>
      <c r="EC216" s="139"/>
      <c r="ED216" s="139"/>
      <c r="EE216" s="131"/>
      <c r="EF216" s="141"/>
      <c r="EG216" s="131"/>
      <c r="EH216" s="139"/>
      <c r="EI216" s="142"/>
      <c r="EJ216" s="139"/>
      <c r="EK216" s="139"/>
      <c r="EL216" s="139"/>
      <c r="EM216" s="139"/>
      <c r="EN216" s="139"/>
      <c r="EO216" s="131"/>
      <c r="EP216" s="141"/>
      <c r="EQ216" s="131"/>
      <c r="ER216" s="139"/>
      <c r="ES216" s="142"/>
      <c r="ET216" s="139"/>
      <c r="EU216" s="139"/>
      <c r="EV216" s="139"/>
      <c r="EW216" s="139"/>
      <c r="EX216" s="139"/>
      <c r="EY216" s="131"/>
      <c r="EZ216" s="141"/>
      <c r="FA216" s="131"/>
      <c r="FB216" s="139"/>
      <c r="FC216" s="142"/>
      <c r="FD216" s="139"/>
      <c r="FE216" s="139"/>
      <c r="FF216" s="139"/>
      <c r="FG216" s="139"/>
      <c r="FH216" s="139"/>
      <c r="FI216" s="131"/>
      <c r="FJ216" s="141"/>
      <c r="FK216" s="131"/>
      <c r="FL216" s="139"/>
      <c r="FM216" s="142"/>
      <c r="FN216" s="139"/>
      <c r="FO216" s="139"/>
      <c r="FP216" s="139"/>
      <c r="FQ216" s="139"/>
      <c r="FR216" s="139"/>
      <c r="FS216" s="131"/>
      <c r="FT216" s="141"/>
      <c r="FU216" s="131"/>
      <c r="FV216" s="139"/>
      <c r="FW216" s="142"/>
      <c r="FX216" s="139"/>
      <c r="FY216" s="139"/>
      <c r="FZ216" s="139"/>
      <c r="GA216" s="139"/>
      <c r="GB216" s="139"/>
      <c r="GC216" s="131"/>
      <c r="GD216" s="141"/>
      <c r="GE216" s="131"/>
      <c r="GF216" s="139"/>
      <c r="GG216" s="142"/>
      <c r="GH216" s="139"/>
      <c r="GI216" s="139"/>
      <c r="GJ216" s="139"/>
      <c r="GK216" s="139"/>
      <c r="GL216" s="139"/>
      <c r="GM216" s="131"/>
      <c r="GN216" s="141"/>
      <c r="GO216" s="131"/>
      <c r="GP216" s="139"/>
      <c r="GQ216" s="142"/>
      <c r="GR216" s="139"/>
      <c r="GS216" s="139"/>
      <c r="GT216" s="139"/>
      <c r="GU216" s="139"/>
      <c r="GV216" s="139"/>
      <c r="GW216" s="131"/>
      <c r="GX216" s="141"/>
      <c r="GY216" s="131"/>
      <c r="GZ216" s="139"/>
      <c r="HA216" s="142"/>
      <c r="HB216" s="139"/>
      <c r="HC216" s="139"/>
      <c r="HD216" s="139"/>
      <c r="HE216" s="139"/>
      <c r="HF216" s="139"/>
      <c r="HG216" s="131"/>
      <c r="HH216" s="141"/>
      <c r="HI216" s="131"/>
      <c r="HJ216" s="139"/>
      <c r="HK216" s="142"/>
      <c r="HL216" s="139"/>
      <c r="HM216" s="139"/>
      <c r="HN216" s="139"/>
      <c r="HO216" s="139"/>
      <c r="HP216" s="139"/>
      <c r="HQ216" s="131"/>
      <c r="HR216" s="141"/>
      <c r="HS216" s="131"/>
      <c r="HT216" s="139"/>
      <c r="HU216" s="142"/>
      <c r="HV216" s="139"/>
      <c r="HW216" s="139"/>
      <c r="HX216" s="139"/>
      <c r="HY216" s="139"/>
      <c r="HZ216" s="139"/>
      <c r="IA216" s="131"/>
      <c r="IB216" s="141"/>
      <c r="IC216" s="131"/>
      <c r="ID216" s="139"/>
      <c r="IE216" s="142"/>
      <c r="IF216" s="139"/>
      <c r="IG216" s="139"/>
      <c r="IH216" s="139"/>
      <c r="II216" s="139"/>
      <c r="IJ216" s="139"/>
      <c r="IK216" s="131"/>
      <c r="IL216" s="141"/>
      <c r="IM216" s="131"/>
      <c r="IN216" s="139"/>
      <c r="IO216" s="142"/>
      <c r="IP216" s="139"/>
      <c r="IQ216" s="139"/>
      <c r="IR216" s="139"/>
      <c r="IS216" s="139"/>
      <c r="IT216" s="139"/>
      <c r="IU216" s="131"/>
      <c r="IV216" s="141"/>
      <c r="IW216" s="131"/>
      <c r="IX216" s="139"/>
      <c r="IY216" s="142"/>
      <c r="IZ216" s="139"/>
      <c r="JA216" s="139"/>
      <c r="JB216" s="139"/>
      <c r="JC216" s="139"/>
      <c r="JD216" s="139"/>
      <c r="JE216" s="131"/>
      <c r="JF216" s="141"/>
      <c r="JG216" s="131"/>
      <c r="JH216" s="139"/>
      <c r="JI216" s="142"/>
      <c r="JJ216" s="139"/>
      <c r="JK216" s="139"/>
      <c r="JL216" s="139"/>
      <c r="JM216" s="139"/>
      <c r="JN216" s="139"/>
      <c r="JO216" s="131"/>
      <c r="JP216" s="141"/>
      <c r="JQ216" s="131"/>
      <c r="JR216" s="139"/>
      <c r="JS216" s="142"/>
      <c r="JT216" s="139"/>
      <c r="JU216" s="139"/>
      <c r="JV216" s="139"/>
      <c r="JW216" s="139"/>
      <c r="JX216" s="139"/>
      <c r="JY216" s="131"/>
      <c r="JZ216" s="141"/>
      <c r="KA216" s="131"/>
      <c r="KB216" s="139"/>
      <c r="KC216" s="142"/>
      <c r="KD216" s="139"/>
      <c r="KE216" s="139"/>
      <c r="KF216" s="139"/>
      <c r="KG216" s="139"/>
      <c r="KH216" s="139"/>
      <c r="KI216" s="131"/>
      <c r="KJ216" s="141"/>
      <c r="KK216" s="131"/>
      <c r="KL216" s="139"/>
      <c r="KM216" s="142"/>
      <c r="KN216" s="139"/>
      <c r="KO216" s="139"/>
      <c r="KP216" s="139"/>
      <c r="KQ216" s="139"/>
      <c r="KR216" s="139"/>
      <c r="KS216" s="131"/>
      <c r="KT216" s="141"/>
      <c r="KU216" s="131"/>
      <c r="KV216" s="139"/>
      <c r="KW216" s="142"/>
      <c r="KX216" s="139"/>
      <c r="KY216" s="139"/>
      <c r="KZ216" s="139"/>
      <c r="LA216" s="139"/>
      <c r="LB216" s="139"/>
      <c r="LC216" s="131"/>
      <c r="LD216" s="141"/>
      <c r="LE216" s="131"/>
      <c r="LF216" s="139"/>
      <c r="LG216" s="142"/>
      <c r="LH216" s="139"/>
      <c r="LI216" s="139"/>
      <c r="LJ216" s="139"/>
      <c r="LK216" s="139"/>
      <c r="LL216" s="139"/>
    </row>
    <row r="217" spans="1:324" ht="26.25" customHeight="1" x14ac:dyDescent="0.25">
      <c r="A217" s="245"/>
      <c r="B217" s="12" t="s">
        <v>609</v>
      </c>
      <c r="C217" s="12" t="s">
        <v>727</v>
      </c>
      <c r="D217" s="12" t="s">
        <v>427</v>
      </c>
      <c r="E217" s="4"/>
      <c r="F217" s="198">
        <f>F13</f>
        <v>226</v>
      </c>
      <c r="G217" s="140"/>
      <c r="H217" s="110"/>
      <c r="I217" s="137"/>
      <c r="J217" s="97"/>
      <c r="K217" s="138">
        <f t="shared" ref="K217:L217" si="6003">K158+K188</f>
        <v>1755.8275799999999</v>
      </c>
      <c r="L217" s="110">
        <f t="shared" si="6003"/>
        <v>396817.04</v>
      </c>
      <c r="M217" s="110"/>
      <c r="N217" s="139"/>
      <c r="O217" s="225">
        <f t="shared" ref="O217:O224" si="6004">K217/$LI217</f>
        <v>0.59340000000000004</v>
      </c>
      <c r="P217" s="198">
        <f t="shared" ref="P217:BX232" si="6005">P13</f>
        <v>488</v>
      </c>
      <c r="Q217" s="140"/>
      <c r="R217" s="110"/>
      <c r="S217" s="137"/>
      <c r="T217" s="97"/>
      <c r="U217" s="138">
        <f t="shared" ref="U217:V217" si="6006">U158+U188</f>
        <v>2343.5076300000001</v>
      </c>
      <c r="V217" s="110">
        <f t="shared" si="6006"/>
        <v>1143631.72</v>
      </c>
      <c r="W217" s="110"/>
      <c r="X217" s="139"/>
      <c r="Y217" s="225">
        <f t="shared" ref="Y217:Y224" si="6007">U217/$LI217</f>
        <v>0.79201999999999995</v>
      </c>
      <c r="Z217" s="198">
        <f t="shared" ref="Z217" si="6008">Z13</f>
        <v>235</v>
      </c>
      <c r="AA217" s="140"/>
      <c r="AB217" s="110"/>
      <c r="AC217" s="137"/>
      <c r="AD217" s="97"/>
      <c r="AE217" s="138">
        <f t="shared" ref="AE217:AF217" si="6009">AE158+AE188</f>
        <v>2259.8207600000001</v>
      </c>
      <c r="AF217" s="110">
        <f t="shared" si="6009"/>
        <v>531057.88</v>
      </c>
      <c r="AG217" s="110"/>
      <c r="AH217" s="139"/>
      <c r="AI217" s="225">
        <f t="shared" ref="AI217:AI224" si="6010">AE217/$LI217</f>
        <v>0.76373000000000002</v>
      </c>
      <c r="AJ217" s="198">
        <f t="shared" ref="AJ217" si="6011">AJ13</f>
        <v>281</v>
      </c>
      <c r="AK217" s="140"/>
      <c r="AL217" s="110"/>
      <c r="AM217" s="137"/>
      <c r="AN217" s="97"/>
      <c r="AO217" s="138">
        <f t="shared" ref="AO217:AP217" si="6012">AO158+AO188</f>
        <v>1955.66491</v>
      </c>
      <c r="AP217" s="110">
        <f t="shared" si="6012"/>
        <v>549541.84</v>
      </c>
      <c r="AQ217" s="110"/>
      <c r="AR217" s="139"/>
      <c r="AS217" s="225">
        <f t="shared" ref="AS217:AS224" si="6013">AO217/$LI217</f>
        <v>0.66093999999999997</v>
      </c>
      <c r="AT217" s="198">
        <f t="shared" ref="AT217" si="6014">AT13</f>
        <v>439</v>
      </c>
      <c r="AU217" s="140"/>
      <c r="AV217" s="110"/>
      <c r="AW217" s="137"/>
      <c r="AX217" s="97"/>
      <c r="AY217" s="138">
        <f t="shared" ref="AY217:AZ217" si="6015">AY158+AY188</f>
        <v>1221.89975</v>
      </c>
      <c r="AZ217" s="110">
        <f t="shared" si="6015"/>
        <v>536414</v>
      </c>
      <c r="BA217" s="110"/>
      <c r="BB217" s="139"/>
      <c r="BC217" s="225">
        <f t="shared" ref="BC217:BC224" si="6016">AY217/$LI217</f>
        <v>0.41295999999999999</v>
      </c>
      <c r="BD217" s="198">
        <f t="shared" ref="BD217" si="6017">BD13</f>
        <v>347</v>
      </c>
      <c r="BE217" s="140"/>
      <c r="BF217" s="110"/>
      <c r="BG217" s="137"/>
      <c r="BH217" s="97"/>
      <c r="BI217" s="138">
        <f t="shared" ref="BI217:BJ217" si="6018">BI158+BI188</f>
        <v>2182.6457799999998</v>
      </c>
      <c r="BJ217" s="110">
        <f t="shared" si="6018"/>
        <v>757378.09</v>
      </c>
      <c r="BK217" s="110"/>
      <c r="BL217" s="139"/>
      <c r="BM217" s="225">
        <f t="shared" ref="BM217:BM224" si="6019">BI217/$LI217</f>
        <v>0.73765000000000003</v>
      </c>
      <c r="BN217" s="198">
        <f t="shared" ref="BN217" si="6020">BN13</f>
        <v>254</v>
      </c>
      <c r="BO217" s="140"/>
      <c r="BP217" s="110"/>
      <c r="BQ217" s="137"/>
      <c r="BR217" s="97"/>
      <c r="BS217" s="138">
        <f t="shared" ref="BS217:BT217" si="6021">BS158+BS188</f>
        <v>2592.98596</v>
      </c>
      <c r="BT217" s="110">
        <f t="shared" si="6021"/>
        <v>658618.42000000004</v>
      </c>
      <c r="BU217" s="110"/>
      <c r="BV217" s="139"/>
      <c r="BW217" s="225">
        <f t="shared" ref="BW217:BW224" si="6022">BS217/$LI217</f>
        <v>0.87633000000000005</v>
      </c>
      <c r="BX217" s="198">
        <f t="shared" ref="BX217" si="6023">BX13</f>
        <v>310</v>
      </c>
      <c r="BY217" s="140"/>
      <c r="BZ217" s="110"/>
      <c r="CA217" s="137"/>
      <c r="CB217" s="97"/>
      <c r="CC217" s="138">
        <f t="shared" ref="CC217:CD217" si="6024">CC158+CC188</f>
        <v>2029.2415900000001</v>
      </c>
      <c r="CD217" s="110">
        <f t="shared" si="6024"/>
        <v>629064.89</v>
      </c>
      <c r="CE217" s="110"/>
      <c r="CF217" s="139"/>
      <c r="CG217" s="225">
        <f t="shared" ref="CG217:CG224" si="6025">CC217/$LI217</f>
        <v>0.68581000000000003</v>
      </c>
      <c r="CH217" s="198">
        <f t="shared" ref="CH217:EP232" si="6026">CH13</f>
        <v>382</v>
      </c>
      <c r="CI217" s="140"/>
      <c r="CJ217" s="110"/>
      <c r="CK217" s="137"/>
      <c r="CL217" s="97"/>
      <c r="CM217" s="138">
        <f t="shared" ref="CM217:CN217" si="6027">CM158+CM188</f>
        <v>2502.4110300000002</v>
      </c>
      <c r="CN217" s="110">
        <f t="shared" si="6027"/>
        <v>955921.02</v>
      </c>
      <c r="CO217" s="110"/>
      <c r="CP217" s="139"/>
      <c r="CQ217" s="225">
        <f t="shared" ref="CQ217:CQ224" si="6028">CM217/$LI217</f>
        <v>0.84572000000000003</v>
      </c>
      <c r="CR217" s="198">
        <f t="shared" ref="CR217" si="6029">CR13</f>
        <v>310</v>
      </c>
      <c r="CS217" s="140"/>
      <c r="CT217" s="110"/>
      <c r="CU217" s="137"/>
      <c r="CV217" s="97"/>
      <c r="CW217" s="138">
        <f t="shared" ref="CW217:CX217" si="6030">CW158+CW188</f>
        <v>3129.9717799999999</v>
      </c>
      <c r="CX217" s="110">
        <f t="shared" si="6030"/>
        <v>970291.26</v>
      </c>
      <c r="CY217" s="110"/>
      <c r="CZ217" s="139"/>
      <c r="DA217" s="225">
        <f t="shared" ref="DA217:DA224" si="6031">CW217/$LI217</f>
        <v>1.0578099999999999</v>
      </c>
      <c r="DB217" s="198">
        <f t="shared" ref="DB217" si="6032">DB13</f>
        <v>357</v>
      </c>
      <c r="DC217" s="140"/>
      <c r="DD217" s="110"/>
      <c r="DE217" s="137"/>
      <c r="DF217" s="97"/>
      <c r="DG217" s="138">
        <f t="shared" ref="DG217:DH217" si="6033">DG158+DG188</f>
        <v>2690.9488500000002</v>
      </c>
      <c r="DH217" s="110">
        <f t="shared" si="6033"/>
        <v>960668.74</v>
      </c>
      <c r="DI217" s="110"/>
      <c r="DJ217" s="139"/>
      <c r="DK217" s="225">
        <f t="shared" ref="DK217:DK224" si="6034">DG217/$LI217</f>
        <v>0.90944000000000003</v>
      </c>
      <c r="DL217" s="198">
        <f t="shared" ref="DL217" si="6035">DL13</f>
        <v>0</v>
      </c>
      <c r="DM217" s="140"/>
      <c r="DN217" s="110"/>
      <c r="DO217" s="137"/>
      <c r="DP217" s="97"/>
      <c r="DQ217" s="138">
        <f t="shared" ref="DQ217:DR217" si="6036">DQ158+DQ188</f>
        <v>0</v>
      </c>
      <c r="DR217" s="110">
        <f t="shared" si="6036"/>
        <v>0</v>
      </c>
      <c r="DS217" s="110"/>
      <c r="DT217" s="139"/>
      <c r="DU217" s="225">
        <f t="shared" ref="DU217:DU224" si="6037">DQ217/$LI217</f>
        <v>0</v>
      </c>
      <c r="DV217" s="198">
        <f t="shared" ref="DV217" si="6038">DV13</f>
        <v>361</v>
      </c>
      <c r="DW217" s="140"/>
      <c r="DX217" s="110"/>
      <c r="DY217" s="137"/>
      <c r="DZ217" s="97"/>
      <c r="EA217" s="138">
        <f t="shared" ref="EA217:EB217" si="6039">EA158+EA188</f>
        <v>2230.9991399999999</v>
      </c>
      <c r="EB217" s="110">
        <f t="shared" si="6039"/>
        <v>805390.69</v>
      </c>
      <c r="EC217" s="110"/>
      <c r="ED217" s="139"/>
      <c r="EE217" s="225">
        <f t="shared" ref="EE217:EE224" si="6040">EA217/$LI217</f>
        <v>0.75399000000000005</v>
      </c>
      <c r="EF217" s="198">
        <f t="shared" ref="EF217" si="6041">EF13</f>
        <v>363</v>
      </c>
      <c r="EG217" s="140"/>
      <c r="EH217" s="110"/>
      <c r="EI217" s="137"/>
      <c r="EJ217" s="97"/>
      <c r="EK217" s="138">
        <f t="shared" ref="EK217:EL217" si="6042">EK158+EK188</f>
        <v>1904.65733</v>
      </c>
      <c r="EL217" s="110">
        <f t="shared" si="6042"/>
        <v>691390.61</v>
      </c>
      <c r="EM217" s="110"/>
      <c r="EN217" s="139"/>
      <c r="EO217" s="225">
        <f t="shared" ref="EO217:EO224" si="6043">EK217/$LI217</f>
        <v>0.64370000000000005</v>
      </c>
      <c r="EP217" s="198">
        <f t="shared" ref="EP217" si="6044">EP13</f>
        <v>400</v>
      </c>
      <c r="EQ217" s="140"/>
      <c r="ER217" s="110"/>
      <c r="ES217" s="137"/>
      <c r="ET217" s="97"/>
      <c r="EU217" s="138">
        <f t="shared" ref="EU217:EV217" si="6045">EU158+EU188</f>
        <v>3283.2062900000001</v>
      </c>
      <c r="EV217" s="110">
        <f t="shared" si="6045"/>
        <v>1313282.52</v>
      </c>
      <c r="EW217" s="110"/>
      <c r="EX217" s="139"/>
      <c r="EY217" s="225">
        <f t="shared" ref="EY217:EY224" si="6046">EU217/$LI217</f>
        <v>1.1095999999999999</v>
      </c>
      <c r="EZ217" s="198">
        <f t="shared" ref="EZ217:GD232" si="6047">EZ13</f>
        <v>576</v>
      </c>
      <c r="FA217" s="140"/>
      <c r="FB217" s="110"/>
      <c r="FC217" s="137"/>
      <c r="FD217" s="97"/>
      <c r="FE217" s="138">
        <f t="shared" ref="FE217:FF217" si="6048">FE158+FE188</f>
        <v>1432.16119</v>
      </c>
      <c r="FF217" s="110">
        <f t="shared" si="6048"/>
        <v>824924.83</v>
      </c>
      <c r="FG217" s="110"/>
      <c r="FH217" s="139"/>
      <c r="FI217" s="225">
        <f t="shared" ref="FI217:FI224" si="6049">FE217/$LI217</f>
        <v>0.48402000000000001</v>
      </c>
      <c r="FJ217" s="198">
        <f t="shared" ref="FJ217" si="6050">FJ13</f>
        <v>408</v>
      </c>
      <c r="FK217" s="140"/>
      <c r="FL217" s="110"/>
      <c r="FM217" s="137"/>
      <c r="FN217" s="97"/>
      <c r="FO217" s="138">
        <f t="shared" ref="FO217:FP217" si="6051">FO158+FO188</f>
        <v>2898.4296399999998</v>
      </c>
      <c r="FP217" s="110">
        <f t="shared" si="6051"/>
        <v>1182559.29</v>
      </c>
      <c r="FQ217" s="110"/>
      <c r="FR217" s="139"/>
      <c r="FS217" s="225">
        <f t="shared" ref="FS217:FS224" si="6052">FO217/$LI217</f>
        <v>0.97955999999999999</v>
      </c>
      <c r="FT217" s="198">
        <f t="shared" ref="FT217" si="6053">FT13</f>
        <v>342</v>
      </c>
      <c r="FU217" s="140"/>
      <c r="FV217" s="110"/>
      <c r="FW217" s="137"/>
      <c r="FX217" s="97"/>
      <c r="FY217" s="138">
        <f t="shared" ref="FY217:FZ217" si="6054">FY158+FY188</f>
        <v>2763.5683100000001</v>
      </c>
      <c r="FZ217" s="110">
        <f t="shared" si="6054"/>
        <v>945140.38</v>
      </c>
      <c r="GA217" s="110"/>
      <c r="GB217" s="139"/>
      <c r="GC217" s="225">
        <f t="shared" ref="GC217:GC224" si="6055">FY217/$LI217</f>
        <v>0.93398000000000003</v>
      </c>
      <c r="GD217" s="198">
        <f t="shared" ref="GD217" si="6056">GD13</f>
        <v>164</v>
      </c>
      <c r="GE217" s="140"/>
      <c r="GF217" s="110"/>
      <c r="GG217" s="137"/>
      <c r="GH217" s="97"/>
      <c r="GI217" s="138">
        <f t="shared" ref="GI217:GJ217" si="6057">GI158+GI188</f>
        <v>2241.96441</v>
      </c>
      <c r="GJ217" s="110">
        <f t="shared" si="6057"/>
        <v>367682.17</v>
      </c>
      <c r="GK217" s="110"/>
      <c r="GL217" s="139"/>
      <c r="GM217" s="225">
        <f t="shared" ref="GM217:GM224" si="6058">GI217/$LI217</f>
        <v>0.75770000000000004</v>
      </c>
      <c r="GN217" s="198">
        <f t="shared" ref="GN217:HR232" si="6059">GN13</f>
        <v>353</v>
      </c>
      <c r="GO217" s="140"/>
      <c r="GP217" s="110"/>
      <c r="GQ217" s="137"/>
      <c r="GR217" s="97"/>
      <c r="GS217" s="138">
        <f t="shared" ref="GS217:GT217" si="6060">GS158+GS188</f>
        <v>3816.9510100000002</v>
      </c>
      <c r="GT217" s="110">
        <f t="shared" si="6060"/>
        <v>1347383.7</v>
      </c>
      <c r="GU217" s="110"/>
      <c r="GV217" s="139"/>
      <c r="GW217" s="225">
        <f t="shared" ref="GW217:GW224" si="6061">GS217/$LI217</f>
        <v>1.28999</v>
      </c>
      <c r="GX217" s="198">
        <f t="shared" ref="GX217" si="6062">GX13</f>
        <v>712</v>
      </c>
      <c r="GY217" s="140"/>
      <c r="GZ217" s="110"/>
      <c r="HA217" s="137"/>
      <c r="HB217" s="97"/>
      <c r="HC217" s="138">
        <f t="shared" ref="HC217:HD217" si="6063">HC158+HC188</f>
        <v>2359.13463</v>
      </c>
      <c r="HD217" s="110">
        <f t="shared" si="6063"/>
        <v>1679703.86</v>
      </c>
      <c r="HE217" s="110"/>
      <c r="HF217" s="139"/>
      <c r="HG217" s="225">
        <f t="shared" ref="HG217:HG224" si="6064">HC217/$LI217</f>
        <v>0.79730000000000001</v>
      </c>
      <c r="HH217" s="198">
        <f t="shared" ref="HH217" si="6065">HH13</f>
        <v>508</v>
      </c>
      <c r="HI217" s="140"/>
      <c r="HJ217" s="110"/>
      <c r="HK217" s="137"/>
      <c r="HL217" s="97"/>
      <c r="HM217" s="138">
        <f t="shared" ref="HM217:HN217" si="6066">HM158+HM188</f>
        <v>2542.87338</v>
      </c>
      <c r="HN217" s="110">
        <f t="shared" si="6066"/>
        <v>1291779.67</v>
      </c>
      <c r="HO217" s="110"/>
      <c r="HP217" s="139"/>
      <c r="HQ217" s="225">
        <f t="shared" ref="HQ217:HQ224" si="6067">HM217/$LI217</f>
        <v>0.85940000000000005</v>
      </c>
      <c r="HR217" s="198">
        <f t="shared" ref="HR217" si="6068">HR13</f>
        <v>331</v>
      </c>
      <c r="HS217" s="140"/>
      <c r="HT217" s="110"/>
      <c r="HU217" s="137"/>
      <c r="HV217" s="97"/>
      <c r="HW217" s="138">
        <f t="shared" ref="HW217:HX217" si="6069">HW158+HW188</f>
        <v>3349.3921</v>
      </c>
      <c r="HX217" s="110">
        <f t="shared" si="6069"/>
        <v>1108648.78</v>
      </c>
      <c r="HY217" s="110"/>
      <c r="HZ217" s="139"/>
      <c r="IA217" s="225">
        <f t="shared" ref="IA217:IA224" si="6070">HW217/$LI217</f>
        <v>1.1319699999999999</v>
      </c>
      <c r="IB217" s="198">
        <f t="shared" ref="IB217:JF232" si="6071">IB13</f>
        <v>208</v>
      </c>
      <c r="IC217" s="140"/>
      <c r="ID217" s="110"/>
      <c r="IE217" s="137"/>
      <c r="IF217" s="97"/>
      <c r="IG217" s="138">
        <f t="shared" ref="IG217:IH217" si="6072">IG158+IG188</f>
        <v>4693.0537100000001</v>
      </c>
      <c r="IH217" s="110">
        <f t="shared" si="6072"/>
        <v>976155.17</v>
      </c>
      <c r="II217" s="110"/>
      <c r="IJ217" s="139"/>
      <c r="IK217" s="225">
        <f t="shared" ref="IK217:IK224" si="6073">IG217/$LI217</f>
        <v>1.5860700000000001</v>
      </c>
      <c r="IL217" s="198">
        <f t="shared" ref="IL217" si="6074">IL13</f>
        <v>599</v>
      </c>
      <c r="IM217" s="140"/>
      <c r="IN217" s="110"/>
      <c r="IO217" s="137"/>
      <c r="IP217" s="97"/>
      <c r="IQ217" s="138">
        <f t="shared" ref="IQ217:IR217" si="6075">IQ158+IQ188</f>
        <v>1999.4388300000001</v>
      </c>
      <c r="IR217" s="110">
        <f t="shared" si="6075"/>
        <v>1197663.8600000001</v>
      </c>
      <c r="IS217" s="110"/>
      <c r="IT217" s="139"/>
      <c r="IU217" s="225">
        <f t="shared" ref="IU217:IU224" si="6076">IQ217/$LI217</f>
        <v>0.67573000000000005</v>
      </c>
      <c r="IV217" s="198">
        <f t="shared" ref="IV217" si="6077">IV13</f>
        <v>297</v>
      </c>
      <c r="IW217" s="140"/>
      <c r="IX217" s="110"/>
      <c r="IY217" s="137"/>
      <c r="IZ217" s="97"/>
      <c r="JA217" s="138">
        <f t="shared" ref="JA217:JB217" si="6078">JA158+JA188</f>
        <v>2914.88265</v>
      </c>
      <c r="JB217" s="110">
        <f t="shared" si="6078"/>
        <v>865720.15</v>
      </c>
      <c r="JC217" s="110"/>
      <c r="JD217" s="139"/>
      <c r="JE217" s="225">
        <f t="shared" ref="JE217:JE224" si="6079">JA217/$LI217</f>
        <v>0.98512</v>
      </c>
      <c r="JF217" s="198">
        <f t="shared" ref="JF217" si="6080">JF13</f>
        <v>607</v>
      </c>
      <c r="JG217" s="140"/>
      <c r="JH217" s="110"/>
      <c r="JI217" s="137"/>
      <c r="JJ217" s="97"/>
      <c r="JK217" s="138">
        <f t="shared" ref="JK217:JL217" si="6081">JK158+JK188</f>
        <v>2866.48875</v>
      </c>
      <c r="JL217" s="110">
        <f t="shared" si="6081"/>
        <v>1739958.67</v>
      </c>
      <c r="JM217" s="110"/>
      <c r="JN217" s="139"/>
      <c r="JO217" s="225">
        <f t="shared" ref="JO217:JO224" si="6082">JK217/$LI217</f>
        <v>0.96875999999999995</v>
      </c>
      <c r="JP217" s="198">
        <f t="shared" ref="JP217:KT232" si="6083">JP13</f>
        <v>567</v>
      </c>
      <c r="JQ217" s="140"/>
      <c r="JR217" s="110"/>
      <c r="JS217" s="137"/>
      <c r="JT217" s="97"/>
      <c r="JU217" s="138">
        <f t="shared" ref="JU217:JV217" si="6084">JU158+JU188</f>
        <v>3091.9872300000002</v>
      </c>
      <c r="JV217" s="110">
        <f t="shared" si="6084"/>
        <v>1753156.75</v>
      </c>
      <c r="JW217" s="110"/>
      <c r="JX217" s="139"/>
      <c r="JY217" s="225">
        <f t="shared" ref="JY217:JY224" si="6085">JU217/$LI217</f>
        <v>1.04497</v>
      </c>
      <c r="JZ217" s="198">
        <f t="shared" ref="JZ217" si="6086">JZ13</f>
        <v>523</v>
      </c>
      <c r="KA217" s="140"/>
      <c r="KB217" s="110"/>
      <c r="KC217" s="137"/>
      <c r="KD217" s="97"/>
      <c r="KE217" s="138">
        <f t="shared" ref="KE217:KF217" si="6087">KE158+KE188</f>
        <v>3395.8267000000001</v>
      </c>
      <c r="KF217" s="110">
        <f t="shared" si="6087"/>
        <v>1776017.36</v>
      </c>
      <c r="KG217" s="110"/>
      <c r="KH217" s="139"/>
      <c r="KI217" s="225">
        <f t="shared" ref="KI217:KI224" si="6088">KE217/$LI217</f>
        <v>1.1476599999999999</v>
      </c>
      <c r="KJ217" s="198">
        <f t="shared" ref="KJ217" si="6089">KJ13</f>
        <v>600</v>
      </c>
      <c r="KK217" s="140"/>
      <c r="KL217" s="110"/>
      <c r="KM217" s="137"/>
      <c r="KN217" s="97"/>
      <c r="KO217" s="138">
        <f t="shared" ref="KO217:KP217" si="6090">KO158+KO188</f>
        <v>2286.5820899999999</v>
      </c>
      <c r="KP217" s="110">
        <f t="shared" si="6090"/>
        <v>1371949.26</v>
      </c>
      <c r="KQ217" s="110"/>
      <c r="KR217" s="139"/>
      <c r="KS217" s="225">
        <f t="shared" ref="KS217:KS224" si="6091">KO217/$LI217</f>
        <v>0.77278000000000002</v>
      </c>
      <c r="KT217" s="198">
        <f t="shared" ref="KT217" si="6092">KT13</f>
        <v>553</v>
      </c>
      <c r="KU217" s="140"/>
      <c r="KV217" s="110"/>
      <c r="KW217" s="137"/>
      <c r="KX217" s="97"/>
      <c r="KY217" s="138">
        <f t="shared" ref="KY217:KZ217" si="6093">KY158+KY188</f>
        <v>12586.577230000001</v>
      </c>
      <c r="KZ217" s="110">
        <f t="shared" si="6093"/>
        <v>6960377.2199999997</v>
      </c>
      <c r="LA217" s="110"/>
      <c r="LB217" s="139"/>
      <c r="LC217" s="225">
        <f t="shared" ref="LC217:LC224" si="6094">KY217/$LI217</f>
        <v>4.2537900000000004</v>
      </c>
      <c r="LD217" s="198">
        <f t="shared" ref="LD217" si="6095">LD13</f>
        <v>12101</v>
      </c>
      <c r="LE217" s="140"/>
      <c r="LF217" s="110"/>
      <c r="LG217" s="137"/>
      <c r="LH217" s="97"/>
      <c r="LI217" s="138">
        <f t="shared" ref="LI217:LJ217" si="6096">LI158+LI188</f>
        <v>2958.9105199999999</v>
      </c>
      <c r="LJ217" s="110">
        <f t="shared" si="6096"/>
        <v>35805776.210000001</v>
      </c>
      <c r="LK217" s="110"/>
      <c r="LL217" s="139"/>
    </row>
    <row r="218" spans="1:324" ht="26.25" hidden="1" customHeight="1" x14ac:dyDescent="0.25">
      <c r="A218" s="246"/>
      <c r="B218" s="92" t="s">
        <v>610</v>
      </c>
      <c r="C218" s="12" t="s">
        <v>728</v>
      </c>
      <c r="D218" s="12" t="s">
        <v>430</v>
      </c>
      <c r="E218" s="4"/>
      <c r="F218" s="198">
        <f t="shared" ref="F218:F242" si="6097">F14</f>
        <v>0</v>
      </c>
      <c r="G218" s="140"/>
      <c r="H218" s="110"/>
      <c r="I218" s="137"/>
      <c r="J218" s="97"/>
      <c r="K218" s="138">
        <f t="shared" ref="K218:L218" si="6098">K159+K189</f>
        <v>0</v>
      </c>
      <c r="L218" s="110">
        <f t="shared" si="6098"/>
        <v>0</v>
      </c>
      <c r="M218" s="110"/>
      <c r="N218" s="139"/>
      <c r="O218" s="225" t="e">
        <f t="shared" si="6004"/>
        <v>#DIV/0!</v>
      </c>
      <c r="P218" s="198">
        <f t="shared" si="6005"/>
        <v>0</v>
      </c>
      <c r="Q218" s="140"/>
      <c r="R218" s="110"/>
      <c r="S218" s="137"/>
      <c r="T218" s="97"/>
      <c r="U218" s="138">
        <f t="shared" ref="U218:V218" si="6099">U159+U189</f>
        <v>0</v>
      </c>
      <c r="V218" s="110">
        <f t="shared" si="6099"/>
        <v>0</v>
      </c>
      <c r="W218" s="110"/>
      <c r="X218" s="139"/>
      <c r="Y218" s="225" t="e">
        <f t="shared" si="6007"/>
        <v>#DIV/0!</v>
      </c>
      <c r="Z218" s="198">
        <f t="shared" si="6005"/>
        <v>0</v>
      </c>
      <c r="AA218" s="140"/>
      <c r="AB218" s="110"/>
      <c r="AC218" s="137"/>
      <c r="AD218" s="97"/>
      <c r="AE218" s="138">
        <f t="shared" ref="AE218:AF218" si="6100">AE159+AE189</f>
        <v>0</v>
      </c>
      <c r="AF218" s="110">
        <f t="shared" si="6100"/>
        <v>0</v>
      </c>
      <c r="AG218" s="110"/>
      <c r="AH218" s="139"/>
      <c r="AI218" s="225" t="e">
        <f t="shared" si="6010"/>
        <v>#DIV/0!</v>
      </c>
      <c r="AJ218" s="198">
        <f t="shared" si="6005"/>
        <v>0</v>
      </c>
      <c r="AK218" s="140"/>
      <c r="AL218" s="110"/>
      <c r="AM218" s="137"/>
      <c r="AN218" s="97"/>
      <c r="AO218" s="138">
        <f t="shared" ref="AO218:AP218" si="6101">AO159+AO189</f>
        <v>0</v>
      </c>
      <c r="AP218" s="110">
        <f t="shared" si="6101"/>
        <v>0</v>
      </c>
      <c r="AQ218" s="110"/>
      <c r="AR218" s="139"/>
      <c r="AS218" s="225" t="e">
        <f t="shared" si="6013"/>
        <v>#DIV/0!</v>
      </c>
      <c r="AT218" s="198">
        <f t="shared" si="6005"/>
        <v>0</v>
      </c>
      <c r="AU218" s="140"/>
      <c r="AV218" s="110"/>
      <c r="AW218" s="137"/>
      <c r="AX218" s="97"/>
      <c r="AY218" s="138">
        <f t="shared" ref="AY218:AZ218" si="6102">AY159+AY189</f>
        <v>0</v>
      </c>
      <c r="AZ218" s="110">
        <f t="shared" si="6102"/>
        <v>0</v>
      </c>
      <c r="BA218" s="110"/>
      <c r="BB218" s="139"/>
      <c r="BC218" s="225" t="e">
        <f t="shared" si="6016"/>
        <v>#DIV/0!</v>
      </c>
      <c r="BD218" s="198">
        <f t="shared" si="6005"/>
        <v>0</v>
      </c>
      <c r="BE218" s="140"/>
      <c r="BF218" s="110"/>
      <c r="BG218" s="137"/>
      <c r="BH218" s="97"/>
      <c r="BI218" s="138">
        <f t="shared" ref="BI218:BJ218" si="6103">BI159+BI189</f>
        <v>0</v>
      </c>
      <c r="BJ218" s="110">
        <f t="shared" si="6103"/>
        <v>0</v>
      </c>
      <c r="BK218" s="110"/>
      <c r="BL218" s="139"/>
      <c r="BM218" s="225" t="e">
        <f t="shared" si="6019"/>
        <v>#DIV/0!</v>
      </c>
      <c r="BN218" s="198">
        <f t="shared" si="6005"/>
        <v>0</v>
      </c>
      <c r="BO218" s="140"/>
      <c r="BP218" s="110"/>
      <c r="BQ218" s="137"/>
      <c r="BR218" s="97"/>
      <c r="BS218" s="138">
        <f t="shared" ref="BS218:BT218" si="6104">BS159+BS189</f>
        <v>0</v>
      </c>
      <c r="BT218" s="110">
        <f t="shared" si="6104"/>
        <v>0</v>
      </c>
      <c r="BU218" s="110"/>
      <c r="BV218" s="139"/>
      <c r="BW218" s="225" t="e">
        <f t="shared" si="6022"/>
        <v>#DIV/0!</v>
      </c>
      <c r="BX218" s="198">
        <f t="shared" si="6005"/>
        <v>0</v>
      </c>
      <c r="BY218" s="140"/>
      <c r="BZ218" s="110"/>
      <c r="CA218" s="137"/>
      <c r="CB218" s="97"/>
      <c r="CC218" s="138">
        <f t="shared" ref="CC218:CD218" si="6105">CC159+CC189</f>
        <v>0</v>
      </c>
      <c r="CD218" s="110">
        <f t="shared" si="6105"/>
        <v>0</v>
      </c>
      <c r="CE218" s="110"/>
      <c r="CF218" s="139"/>
      <c r="CG218" s="225" t="e">
        <f t="shared" si="6025"/>
        <v>#DIV/0!</v>
      </c>
      <c r="CH218" s="198">
        <f t="shared" si="6026"/>
        <v>0</v>
      </c>
      <c r="CI218" s="140"/>
      <c r="CJ218" s="110"/>
      <c r="CK218" s="137"/>
      <c r="CL218" s="97"/>
      <c r="CM218" s="138">
        <f t="shared" ref="CM218:CN218" si="6106">CM159+CM189</f>
        <v>0</v>
      </c>
      <c r="CN218" s="110">
        <f t="shared" si="6106"/>
        <v>0</v>
      </c>
      <c r="CO218" s="110"/>
      <c r="CP218" s="139"/>
      <c r="CQ218" s="225" t="e">
        <f t="shared" si="6028"/>
        <v>#DIV/0!</v>
      </c>
      <c r="CR218" s="198">
        <f t="shared" si="6026"/>
        <v>0</v>
      </c>
      <c r="CS218" s="140"/>
      <c r="CT218" s="110"/>
      <c r="CU218" s="137"/>
      <c r="CV218" s="97"/>
      <c r="CW218" s="138">
        <f t="shared" ref="CW218:CX218" si="6107">CW159+CW189</f>
        <v>0</v>
      </c>
      <c r="CX218" s="110">
        <f t="shared" si="6107"/>
        <v>0</v>
      </c>
      <c r="CY218" s="110"/>
      <c r="CZ218" s="139"/>
      <c r="DA218" s="225" t="e">
        <f t="shared" si="6031"/>
        <v>#DIV/0!</v>
      </c>
      <c r="DB218" s="198">
        <f t="shared" si="6026"/>
        <v>0</v>
      </c>
      <c r="DC218" s="140"/>
      <c r="DD218" s="110"/>
      <c r="DE218" s="137"/>
      <c r="DF218" s="97"/>
      <c r="DG218" s="138">
        <f t="shared" ref="DG218:DH218" si="6108">DG159+DG189</f>
        <v>0</v>
      </c>
      <c r="DH218" s="110">
        <f t="shared" si="6108"/>
        <v>0</v>
      </c>
      <c r="DI218" s="110"/>
      <c r="DJ218" s="139"/>
      <c r="DK218" s="225" t="e">
        <f t="shared" si="6034"/>
        <v>#DIV/0!</v>
      </c>
      <c r="DL218" s="198">
        <f t="shared" si="6026"/>
        <v>0</v>
      </c>
      <c r="DM218" s="140"/>
      <c r="DN218" s="110"/>
      <c r="DO218" s="137"/>
      <c r="DP218" s="97"/>
      <c r="DQ218" s="138">
        <f t="shared" ref="DQ218:DR218" si="6109">DQ159+DQ189</f>
        <v>0</v>
      </c>
      <c r="DR218" s="110">
        <f t="shared" si="6109"/>
        <v>0</v>
      </c>
      <c r="DS218" s="110"/>
      <c r="DT218" s="139"/>
      <c r="DU218" s="225" t="e">
        <f t="shared" si="6037"/>
        <v>#DIV/0!</v>
      </c>
      <c r="DV218" s="198">
        <f t="shared" si="6026"/>
        <v>0</v>
      </c>
      <c r="DW218" s="140"/>
      <c r="DX218" s="110"/>
      <c r="DY218" s="137"/>
      <c r="DZ218" s="97"/>
      <c r="EA218" s="138">
        <f t="shared" ref="EA218:EB218" si="6110">EA159+EA189</f>
        <v>0</v>
      </c>
      <c r="EB218" s="110">
        <f t="shared" si="6110"/>
        <v>0</v>
      </c>
      <c r="EC218" s="110"/>
      <c r="ED218" s="139"/>
      <c r="EE218" s="225" t="e">
        <f t="shared" si="6040"/>
        <v>#DIV/0!</v>
      </c>
      <c r="EF218" s="198">
        <f t="shared" si="6026"/>
        <v>0</v>
      </c>
      <c r="EG218" s="140"/>
      <c r="EH218" s="110"/>
      <c r="EI218" s="137"/>
      <c r="EJ218" s="97"/>
      <c r="EK218" s="138">
        <f t="shared" ref="EK218:EL218" si="6111">EK159+EK189</f>
        <v>0</v>
      </c>
      <c r="EL218" s="110">
        <f t="shared" si="6111"/>
        <v>0</v>
      </c>
      <c r="EM218" s="110"/>
      <c r="EN218" s="139"/>
      <c r="EO218" s="225" t="e">
        <f t="shared" si="6043"/>
        <v>#DIV/0!</v>
      </c>
      <c r="EP218" s="198">
        <f t="shared" si="6026"/>
        <v>0</v>
      </c>
      <c r="EQ218" s="140"/>
      <c r="ER218" s="110"/>
      <c r="ES218" s="137"/>
      <c r="ET218" s="97"/>
      <c r="EU218" s="138">
        <f t="shared" ref="EU218:EV218" si="6112">EU159+EU189</f>
        <v>0</v>
      </c>
      <c r="EV218" s="110">
        <f t="shared" si="6112"/>
        <v>0</v>
      </c>
      <c r="EW218" s="110"/>
      <c r="EX218" s="139"/>
      <c r="EY218" s="225" t="e">
        <f t="shared" si="6046"/>
        <v>#DIV/0!</v>
      </c>
      <c r="EZ218" s="198">
        <f t="shared" si="6047"/>
        <v>0</v>
      </c>
      <c r="FA218" s="140"/>
      <c r="FB218" s="110"/>
      <c r="FC218" s="137"/>
      <c r="FD218" s="97"/>
      <c r="FE218" s="138">
        <f t="shared" ref="FE218:FF218" si="6113">FE159+FE189</f>
        <v>0</v>
      </c>
      <c r="FF218" s="110">
        <f t="shared" si="6113"/>
        <v>0</v>
      </c>
      <c r="FG218" s="110"/>
      <c r="FH218" s="139"/>
      <c r="FI218" s="225" t="e">
        <f t="shared" si="6049"/>
        <v>#DIV/0!</v>
      </c>
      <c r="FJ218" s="198">
        <f t="shared" si="6047"/>
        <v>0</v>
      </c>
      <c r="FK218" s="140"/>
      <c r="FL218" s="110"/>
      <c r="FM218" s="137"/>
      <c r="FN218" s="97"/>
      <c r="FO218" s="138">
        <f t="shared" ref="FO218:FP218" si="6114">FO159+FO189</f>
        <v>0</v>
      </c>
      <c r="FP218" s="110">
        <f t="shared" si="6114"/>
        <v>0</v>
      </c>
      <c r="FQ218" s="110"/>
      <c r="FR218" s="139"/>
      <c r="FS218" s="225" t="e">
        <f t="shared" si="6052"/>
        <v>#DIV/0!</v>
      </c>
      <c r="FT218" s="198">
        <f t="shared" si="6047"/>
        <v>0</v>
      </c>
      <c r="FU218" s="140"/>
      <c r="FV218" s="110"/>
      <c r="FW218" s="137"/>
      <c r="FX218" s="97"/>
      <c r="FY218" s="138">
        <f t="shared" ref="FY218:FZ218" si="6115">FY159+FY189</f>
        <v>0</v>
      </c>
      <c r="FZ218" s="110">
        <f t="shared" si="6115"/>
        <v>0</v>
      </c>
      <c r="GA218" s="110"/>
      <c r="GB218" s="139"/>
      <c r="GC218" s="225" t="e">
        <f t="shared" si="6055"/>
        <v>#DIV/0!</v>
      </c>
      <c r="GD218" s="198">
        <f t="shared" si="6047"/>
        <v>0</v>
      </c>
      <c r="GE218" s="140"/>
      <c r="GF218" s="110"/>
      <c r="GG218" s="137"/>
      <c r="GH218" s="97"/>
      <c r="GI218" s="138">
        <f t="shared" ref="GI218:GJ218" si="6116">GI159+GI189</f>
        <v>0</v>
      </c>
      <c r="GJ218" s="110">
        <f t="shared" si="6116"/>
        <v>0</v>
      </c>
      <c r="GK218" s="110"/>
      <c r="GL218" s="139"/>
      <c r="GM218" s="225" t="e">
        <f t="shared" si="6058"/>
        <v>#DIV/0!</v>
      </c>
      <c r="GN218" s="198">
        <f t="shared" si="6059"/>
        <v>0</v>
      </c>
      <c r="GO218" s="140"/>
      <c r="GP218" s="110"/>
      <c r="GQ218" s="137"/>
      <c r="GR218" s="97"/>
      <c r="GS218" s="138">
        <f t="shared" ref="GS218:GT218" si="6117">GS159+GS189</f>
        <v>0</v>
      </c>
      <c r="GT218" s="110">
        <f t="shared" si="6117"/>
        <v>0</v>
      </c>
      <c r="GU218" s="110"/>
      <c r="GV218" s="139"/>
      <c r="GW218" s="225" t="e">
        <f t="shared" si="6061"/>
        <v>#DIV/0!</v>
      </c>
      <c r="GX218" s="198">
        <f t="shared" si="6059"/>
        <v>0</v>
      </c>
      <c r="GY218" s="140"/>
      <c r="GZ218" s="110"/>
      <c r="HA218" s="137"/>
      <c r="HB218" s="97"/>
      <c r="HC218" s="138">
        <f t="shared" ref="HC218:HD218" si="6118">HC159+HC189</f>
        <v>0</v>
      </c>
      <c r="HD218" s="110">
        <f t="shared" si="6118"/>
        <v>0</v>
      </c>
      <c r="HE218" s="110"/>
      <c r="HF218" s="139"/>
      <c r="HG218" s="225" t="e">
        <f t="shared" si="6064"/>
        <v>#DIV/0!</v>
      </c>
      <c r="HH218" s="198">
        <f t="shared" si="6059"/>
        <v>0</v>
      </c>
      <c r="HI218" s="140"/>
      <c r="HJ218" s="110"/>
      <c r="HK218" s="137"/>
      <c r="HL218" s="97"/>
      <c r="HM218" s="138">
        <f t="shared" ref="HM218:HN218" si="6119">HM159+HM189</f>
        <v>0</v>
      </c>
      <c r="HN218" s="110">
        <f t="shared" si="6119"/>
        <v>0</v>
      </c>
      <c r="HO218" s="110"/>
      <c r="HP218" s="139"/>
      <c r="HQ218" s="225" t="e">
        <f t="shared" si="6067"/>
        <v>#DIV/0!</v>
      </c>
      <c r="HR218" s="198">
        <f t="shared" si="6059"/>
        <v>0</v>
      </c>
      <c r="HS218" s="140"/>
      <c r="HT218" s="110"/>
      <c r="HU218" s="137"/>
      <c r="HV218" s="97"/>
      <c r="HW218" s="138">
        <f t="shared" ref="HW218:HX218" si="6120">HW159+HW189</f>
        <v>0</v>
      </c>
      <c r="HX218" s="110">
        <f t="shared" si="6120"/>
        <v>0</v>
      </c>
      <c r="HY218" s="110"/>
      <c r="HZ218" s="139"/>
      <c r="IA218" s="225" t="e">
        <f t="shared" si="6070"/>
        <v>#DIV/0!</v>
      </c>
      <c r="IB218" s="198">
        <f t="shared" si="6071"/>
        <v>0</v>
      </c>
      <c r="IC218" s="140"/>
      <c r="ID218" s="110"/>
      <c r="IE218" s="137"/>
      <c r="IF218" s="97"/>
      <c r="IG218" s="138">
        <f t="shared" ref="IG218:IH218" si="6121">IG159+IG189</f>
        <v>0</v>
      </c>
      <c r="IH218" s="110">
        <f t="shared" si="6121"/>
        <v>0</v>
      </c>
      <c r="II218" s="110"/>
      <c r="IJ218" s="139"/>
      <c r="IK218" s="225" t="e">
        <f t="shared" si="6073"/>
        <v>#DIV/0!</v>
      </c>
      <c r="IL218" s="198">
        <f t="shared" si="6071"/>
        <v>0</v>
      </c>
      <c r="IM218" s="140"/>
      <c r="IN218" s="110"/>
      <c r="IO218" s="137"/>
      <c r="IP218" s="97"/>
      <c r="IQ218" s="138">
        <f t="shared" ref="IQ218:IR218" si="6122">IQ159+IQ189</f>
        <v>0</v>
      </c>
      <c r="IR218" s="110">
        <f t="shared" si="6122"/>
        <v>0</v>
      </c>
      <c r="IS218" s="110"/>
      <c r="IT218" s="139"/>
      <c r="IU218" s="225" t="e">
        <f t="shared" si="6076"/>
        <v>#DIV/0!</v>
      </c>
      <c r="IV218" s="198">
        <f t="shared" si="6071"/>
        <v>0</v>
      </c>
      <c r="IW218" s="140"/>
      <c r="IX218" s="110"/>
      <c r="IY218" s="137"/>
      <c r="IZ218" s="97"/>
      <c r="JA218" s="138">
        <f t="shared" ref="JA218:JB218" si="6123">JA159+JA189</f>
        <v>0</v>
      </c>
      <c r="JB218" s="110">
        <f t="shared" si="6123"/>
        <v>0</v>
      </c>
      <c r="JC218" s="110"/>
      <c r="JD218" s="139"/>
      <c r="JE218" s="225" t="e">
        <f t="shared" si="6079"/>
        <v>#DIV/0!</v>
      </c>
      <c r="JF218" s="198">
        <f t="shared" si="6071"/>
        <v>0</v>
      </c>
      <c r="JG218" s="140"/>
      <c r="JH218" s="110"/>
      <c r="JI218" s="137"/>
      <c r="JJ218" s="97"/>
      <c r="JK218" s="138">
        <f t="shared" ref="JK218:JL218" si="6124">JK159+JK189</f>
        <v>0</v>
      </c>
      <c r="JL218" s="110">
        <f t="shared" si="6124"/>
        <v>0</v>
      </c>
      <c r="JM218" s="110"/>
      <c r="JN218" s="139"/>
      <c r="JO218" s="225" t="e">
        <f t="shared" si="6082"/>
        <v>#DIV/0!</v>
      </c>
      <c r="JP218" s="198">
        <f t="shared" si="6083"/>
        <v>0</v>
      </c>
      <c r="JQ218" s="140"/>
      <c r="JR218" s="110"/>
      <c r="JS218" s="137"/>
      <c r="JT218" s="97"/>
      <c r="JU218" s="138">
        <f t="shared" ref="JU218:JV218" si="6125">JU159+JU189</f>
        <v>0</v>
      </c>
      <c r="JV218" s="110">
        <f t="shared" si="6125"/>
        <v>0</v>
      </c>
      <c r="JW218" s="110"/>
      <c r="JX218" s="139"/>
      <c r="JY218" s="225" t="e">
        <f t="shared" si="6085"/>
        <v>#DIV/0!</v>
      </c>
      <c r="JZ218" s="198">
        <f t="shared" si="6083"/>
        <v>0</v>
      </c>
      <c r="KA218" s="140"/>
      <c r="KB218" s="110"/>
      <c r="KC218" s="137"/>
      <c r="KD218" s="97"/>
      <c r="KE218" s="138">
        <f t="shared" ref="KE218:KF218" si="6126">KE159+KE189</f>
        <v>0</v>
      </c>
      <c r="KF218" s="110">
        <f t="shared" si="6126"/>
        <v>0</v>
      </c>
      <c r="KG218" s="110"/>
      <c r="KH218" s="139"/>
      <c r="KI218" s="225" t="e">
        <f t="shared" si="6088"/>
        <v>#DIV/0!</v>
      </c>
      <c r="KJ218" s="198">
        <f t="shared" si="6083"/>
        <v>0</v>
      </c>
      <c r="KK218" s="140"/>
      <c r="KL218" s="110"/>
      <c r="KM218" s="137"/>
      <c r="KN218" s="97"/>
      <c r="KO218" s="138">
        <f t="shared" ref="KO218:KP218" si="6127">KO159+KO189</f>
        <v>0</v>
      </c>
      <c r="KP218" s="110">
        <f t="shared" si="6127"/>
        <v>0</v>
      </c>
      <c r="KQ218" s="110"/>
      <c r="KR218" s="139"/>
      <c r="KS218" s="225" t="e">
        <f t="shared" si="6091"/>
        <v>#DIV/0!</v>
      </c>
      <c r="KT218" s="198">
        <f t="shared" si="6083"/>
        <v>0</v>
      </c>
      <c r="KU218" s="140"/>
      <c r="KV218" s="110"/>
      <c r="KW218" s="137"/>
      <c r="KX218" s="97"/>
      <c r="KY218" s="138">
        <f t="shared" ref="KY218:KZ218" si="6128">KY159+KY189</f>
        <v>0</v>
      </c>
      <c r="KZ218" s="110">
        <f t="shared" si="6128"/>
        <v>0</v>
      </c>
      <c r="LA218" s="110"/>
      <c r="LB218" s="139"/>
      <c r="LC218" s="225" t="e">
        <f t="shared" si="6094"/>
        <v>#DIV/0!</v>
      </c>
      <c r="LD218" s="198">
        <f t="shared" ref="LD218" si="6129">LD14</f>
        <v>0</v>
      </c>
      <c r="LE218" s="140"/>
      <c r="LF218" s="110"/>
      <c r="LG218" s="137"/>
      <c r="LH218" s="97"/>
      <c r="LI218" s="138">
        <f t="shared" ref="LI218:LJ218" si="6130">LI159+LI189</f>
        <v>0</v>
      </c>
      <c r="LJ218" s="110">
        <f t="shared" si="6130"/>
        <v>0</v>
      </c>
      <c r="LK218" s="110"/>
      <c r="LL218" s="139"/>
    </row>
    <row r="219" spans="1:324" ht="27.75" customHeight="1" x14ac:dyDescent="0.25">
      <c r="A219" s="246"/>
      <c r="B219" s="12" t="s">
        <v>625</v>
      </c>
      <c r="C219" s="12" t="s">
        <v>727</v>
      </c>
      <c r="D219" s="12" t="s">
        <v>427</v>
      </c>
      <c r="E219" s="4"/>
      <c r="F219" s="198">
        <f t="shared" si="6097"/>
        <v>0</v>
      </c>
      <c r="G219" s="140"/>
      <c r="H219" s="110"/>
      <c r="I219" s="137"/>
      <c r="J219" s="97"/>
      <c r="K219" s="138">
        <f t="shared" ref="K219:L219" si="6131">K160+K190</f>
        <v>0</v>
      </c>
      <c r="L219" s="110">
        <f t="shared" si="6131"/>
        <v>0</v>
      </c>
      <c r="M219" s="110"/>
      <c r="N219" s="139"/>
      <c r="O219" s="225">
        <f t="shared" si="6004"/>
        <v>0</v>
      </c>
      <c r="P219" s="198">
        <f t="shared" si="6005"/>
        <v>0</v>
      </c>
      <c r="Q219" s="140"/>
      <c r="R219" s="110"/>
      <c r="S219" s="137"/>
      <c r="T219" s="97"/>
      <c r="U219" s="138">
        <f t="shared" ref="U219:V219" si="6132">U160+U190</f>
        <v>0</v>
      </c>
      <c r="V219" s="110">
        <f t="shared" si="6132"/>
        <v>0</v>
      </c>
      <c r="W219" s="110"/>
      <c r="X219" s="139"/>
      <c r="Y219" s="225">
        <f t="shared" si="6007"/>
        <v>0</v>
      </c>
      <c r="Z219" s="198">
        <f t="shared" si="6005"/>
        <v>0</v>
      </c>
      <c r="AA219" s="140"/>
      <c r="AB219" s="110"/>
      <c r="AC219" s="137"/>
      <c r="AD219" s="97"/>
      <c r="AE219" s="138">
        <f t="shared" ref="AE219:AF219" si="6133">AE160+AE190</f>
        <v>0</v>
      </c>
      <c r="AF219" s="110">
        <f t="shared" si="6133"/>
        <v>0</v>
      </c>
      <c r="AG219" s="110"/>
      <c r="AH219" s="139"/>
      <c r="AI219" s="225">
        <f t="shared" si="6010"/>
        <v>0</v>
      </c>
      <c r="AJ219" s="198">
        <f t="shared" si="6005"/>
        <v>25</v>
      </c>
      <c r="AK219" s="140"/>
      <c r="AL219" s="110"/>
      <c r="AM219" s="137"/>
      <c r="AN219" s="97"/>
      <c r="AO219" s="138">
        <f t="shared" ref="AO219:AP219" si="6134">AO160+AO190</f>
        <v>1955.65921</v>
      </c>
      <c r="AP219" s="110">
        <f t="shared" si="6134"/>
        <v>48891.47</v>
      </c>
      <c r="AQ219" s="110"/>
      <c r="AR219" s="139"/>
      <c r="AS219" s="225">
        <f t="shared" si="6013"/>
        <v>0.66108999999999996</v>
      </c>
      <c r="AT219" s="198">
        <f t="shared" si="6005"/>
        <v>0</v>
      </c>
      <c r="AU219" s="140"/>
      <c r="AV219" s="110"/>
      <c r="AW219" s="137"/>
      <c r="AX219" s="97"/>
      <c r="AY219" s="138">
        <f t="shared" ref="AY219:AZ219" si="6135">AY160+AY190</f>
        <v>0</v>
      </c>
      <c r="AZ219" s="110">
        <f t="shared" si="6135"/>
        <v>0</v>
      </c>
      <c r="BA219" s="110"/>
      <c r="BB219" s="139"/>
      <c r="BC219" s="225">
        <f t="shared" si="6016"/>
        <v>0</v>
      </c>
      <c r="BD219" s="198">
        <f t="shared" si="6005"/>
        <v>0</v>
      </c>
      <c r="BE219" s="140"/>
      <c r="BF219" s="110"/>
      <c r="BG219" s="137"/>
      <c r="BH219" s="97"/>
      <c r="BI219" s="138">
        <f t="shared" ref="BI219:BJ219" si="6136">BI160+BI190</f>
        <v>0</v>
      </c>
      <c r="BJ219" s="110">
        <f t="shared" si="6136"/>
        <v>0</v>
      </c>
      <c r="BK219" s="110"/>
      <c r="BL219" s="139"/>
      <c r="BM219" s="225">
        <f t="shared" si="6019"/>
        <v>0</v>
      </c>
      <c r="BN219" s="198">
        <f t="shared" si="6005"/>
        <v>0</v>
      </c>
      <c r="BO219" s="140"/>
      <c r="BP219" s="110"/>
      <c r="BQ219" s="137"/>
      <c r="BR219" s="97"/>
      <c r="BS219" s="138">
        <f t="shared" ref="BS219:BT219" si="6137">BS160+BS190</f>
        <v>0</v>
      </c>
      <c r="BT219" s="110">
        <f t="shared" si="6137"/>
        <v>0</v>
      </c>
      <c r="BU219" s="110"/>
      <c r="BV219" s="139"/>
      <c r="BW219" s="225">
        <f t="shared" si="6022"/>
        <v>0</v>
      </c>
      <c r="BX219" s="198">
        <f t="shared" si="6005"/>
        <v>0</v>
      </c>
      <c r="BY219" s="140"/>
      <c r="BZ219" s="110"/>
      <c r="CA219" s="137"/>
      <c r="CB219" s="97"/>
      <c r="CC219" s="138">
        <f t="shared" ref="CC219:CD219" si="6138">CC160+CC190</f>
        <v>0</v>
      </c>
      <c r="CD219" s="110">
        <f t="shared" si="6138"/>
        <v>0</v>
      </c>
      <c r="CE219" s="110"/>
      <c r="CF219" s="139"/>
      <c r="CG219" s="225">
        <f t="shared" si="6025"/>
        <v>0</v>
      </c>
      <c r="CH219" s="198">
        <f t="shared" si="6026"/>
        <v>0</v>
      </c>
      <c r="CI219" s="140"/>
      <c r="CJ219" s="110"/>
      <c r="CK219" s="137"/>
      <c r="CL219" s="97"/>
      <c r="CM219" s="138">
        <f t="shared" ref="CM219:CN219" si="6139">CM160+CM190</f>
        <v>0</v>
      </c>
      <c r="CN219" s="110">
        <f t="shared" si="6139"/>
        <v>0</v>
      </c>
      <c r="CO219" s="110"/>
      <c r="CP219" s="139"/>
      <c r="CQ219" s="225">
        <f t="shared" si="6028"/>
        <v>0</v>
      </c>
      <c r="CR219" s="198">
        <f t="shared" si="6026"/>
        <v>8</v>
      </c>
      <c r="CS219" s="140"/>
      <c r="CT219" s="110"/>
      <c r="CU219" s="137"/>
      <c r="CV219" s="97"/>
      <c r="CW219" s="138">
        <f t="shared" ref="CW219:CX219" si="6140">CW160+CW190</f>
        <v>3131.08419</v>
      </c>
      <c r="CX219" s="110">
        <f t="shared" si="6140"/>
        <v>25048.68</v>
      </c>
      <c r="CY219" s="110"/>
      <c r="CZ219" s="139"/>
      <c r="DA219" s="225">
        <f t="shared" si="6031"/>
        <v>1.05843</v>
      </c>
      <c r="DB219" s="198">
        <f t="shared" si="6026"/>
        <v>0</v>
      </c>
      <c r="DC219" s="140"/>
      <c r="DD219" s="110"/>
      <c r="DE219" s="137"/>
      <c r="DF219" s="97"/>
      <c r="DG219" s="138">
        <f t="shared" ref="DG219:DH219" si="6141">DG160+DG190</f>
        <v>0</v>
      </c>
      <c r="DH219" s="110">
        <f t="shared" si="6141"/>
        <v>0</v>
      </c>
      <c r="DI219" s="110"/>
      <c r="DJ219" s="139"/>
      <c r="DK219" s="225">
        <f t="shared" si="6034"/>
        <v>0</v>
      </c>
      <c r="DL219" s="198">
        <f t="shared" si="6026"/>
        <v>0</v>
      </c>
      <c r="DM219" s="140"/>
      <c r="DN219" s="110"/>
      <c r="DO219" s="137"/>
      <c r="DP219" s="97"/>
      <c r="DQ219" s="138">
        <f t="shared" ref="DQ219:DR219" si="6142">DQ160+DQ190</f>
        <v>0</v>
      </c>
      <c r="DR219" s="110">
        <f t="shared" si="6142"/>
        <v>0</v>
      </c>
      <c r="DS219" s="110"/>
      <c r="DT219" s="139"/>
      <c r="DU219" s="225">
        <f t="shared" si="6037"/>
        <v>0</v>
      </c>
      <c r="DV219" s="198">
        <f t="shared" si="6026"/>
        <v>20</v>
      </c>
      <c r="DW219" s="140"/>
      <c r="DX219" s="110"/>
      <c r="DY219" s="137"/>
      <c r="DZ219" s="97"/>
      <c r="EA219" s="138">
        <f t="shared" ref="EA219:EB219" si="6143">EA160+EA190</f>
        <v>2231.5899599999998</v>
      </c>
      <c r="EB219" s="110">
        <f t="shared" si="6143"/>
        <v>44631.81</v>
      </c>
      <c r="EC219" s="110"/>
      <c r="ED219" s="139"/>
      <c r="EE219" s="225">
        <f t="shared" si="6040"/>
        <v>0.75436999999999999</v>
      </c>
      <c r="EF219" s="198">
        <f t="shared" si="6026"/>
        <v>13</v>
      </c>
      <c r="EG219" s="140"/>
      <c r="EH219" s="110"/>
      <c r="EI219" s="137"/>
      <c r="EJ219" s="97"/>
      <c r="EK219" s="138">
        <f t="shared" ref="EK219:EL219" si="6144">EK160+EK190</f>
        <v>1903.6087600000001</v>
      </c>
      <c r="EL219" s="110">
        <f t="shared" si="6144"/>
        <v>24746.92</v>
      </c>
      <c r="EM219" s="110"/>
      <c r="EN219" s="139"/>
      <c r="EO219" s="225">
        <f t="shared" si="6043"/>
        <v>0.64349999999999996</v>
      </c>
      <c r="EP219" s="198">
        <f t="shared" si="6026"/>
        <v>11</v>
      </c>
      <c r="EQ219" s="140"/>
      <c r="ER219" s="110"/>
      <c r="ES219" s="137"/>
      <c r="ET219" s="97"/>
      <c r="EU219" s="138">
        <f t="shared" ref="EU219:EV219" si="6145">EU160+EU190</f>
        <v>3281.7921299999998</v>
      </c>
      <c r="EV219" s="110">
        <f t="shared" si="6145"/>
        <v>36099.71</v>
      </c>
      <c r="EW219" s="110"/>
      <c r="EX219" s="139"/>
      <c r="EY219" s="225">
        <f t="shared" si="6046"/>
        <v>1.10938</v>
      </c>
      <c r="EZ219" s="198">
        <f t="shared" si="6047"/>
        <v>31</v>
      </c>
      <c r="FA219" s="140"/>
      <c r="FB219" s="110"/>
      <c r="FC219" s="137"/>
      <c r="FD219" s="97"/>
      <c r="FE219" s="138">
        <f t="shared" ref="FE219:FF219" si="6146">FE160+FE190</f>
        <v>1431.9441899999999</v>
      </c>
      <c r="FF219" s="110">
        <f t="shared" si="6146"/>
        <v>44390.28</v>
      </c>
      <c r="FG219" s="110"/>
      <c r="FH219" s="139"/>
      <c r="FI219" s="225">
        <f t="shared" si="6049"/>
        <v>0.48404999999999998</v>
      </c>
      <c r="FJ219" s="198">
        <f t="shared" si="6047"/>
        <v>0</v>
      </c>
      <c r="FK219" s="140"/>
      <c r="FL219" s="110"/>
      <c r="FM219" s="137"/>
      <c r="FN219" s="97"/>
      <c r="FO219" s="138">
        <f t="shared" ref="FO219:FP219" si="6147">FO160+FO190</f>
        <v>0</v>
      </c>
      <c r="FP219" s="110">
        <f t="shared" si="6147"/>
        <v>0</v>
      </c>
      <c r="FQ219" s="110"/>
      <c r="FR219" s="139"/>
      <c r="FS219" s="225">
        <f t="shared" si="6052"/>
        <v>0</v>
      </c>
      <c r="FT219" s="198">
        <f t="shared" si="6047"/>
        <v>15</v>
      </c>
      <c r="FU219" s="140"/>
      <c r="FV219" s="110"/>
      <c r="FW219" s="137"/>
      <c r="FX219" s="97"/>
      <c r="FY219" s="138">
        <f t="shared" ref="FY219:FZ219" si="6148">FY160+FY190</f>
        <v>2762.6128100000001</v>
      </c>
      <c r="FZ219" s="110">
        <f t="shared" si="6148"/>
        <v>41439.18</v>
      </c>
      <c r="GA219" s="110"/>
      <c r="GB219" s="139"/>
      <c r="GC219" s="225">
        <f t="shared" si="6055"/>
        <v>0.93386999999999998</v>
      </c>
      <c r="GD219" s="198">
        <f t="shared" si="6047"/>
        <v>32</v>
      </c>
      <c r="GE219" s="140"/>
      <c r="GF219" s="110"/>
      <c r="GG219" s="137"/>
      <c r="GH219" s="97"/>
      <c r="GI219" s="138">
        <f t="shared" ref="GI219:GJ219" si="6149">GI160+GI190</f>
        <v>2241.9961699999999</v>
      </c>
      <c r="GJ219" s="110">
        <f t="shared" si="6149"/>
        <v>71743.87</v>
      </c>
      <c r="GK219" s="110"/>
      <c r="GL219" s="139"/>
      <c r="GM219" s="225">
        <f t="shared" si="6058"/>
        <v>0.75788</v>
      </c>
      <c r="GN219" s="198">
        <f t="shared" si="6059"/>
        <v>0</v>
      </c>
      <c r="GO219" s="140"/>
      <c r="GP219" s="110"/>
      <c r="GQ219" s="137"/>
      <c r="GR219" s="97"/>
      <c r="GS219" s="138">
        <f t="shared" ref="GS219:GT219" si="6150">GS160+GS190</f>
        <v>0</v>
      </c>
      <c r="GT219" s="110">
        <f t="shared" si="6150"/>
        <v>0</v>
      </c>
      <c r="GU219" s="110"/>
      <c r="GV219" s="139"/>
      <c r="GW219" s="225">
        <f t="shared" si="6061"/>
        <v>0</v>
      </c>
      <c r="GX219" s="198">
        <f t="shared" si="6059"/>
        <v>0</v>
      </c>
      <c r="GY219" s="140"/>
      <c r="GZ219" s="110"/>
      <c r="HA219" s="137"/>
      <c r="HB219" s="97"/>
      <c r="HC219" s="138">
        <f t="shared" ref="HC219:HD219" si="6151">HC160+HC190</f>
        <v>0</v>
      </c>
      <c r="HD219" s="110">
        <f t="shared" si="6151"/>
        <v>0</v>
      </c>
      <c r="HE219" s="110"/>
      <c r="HF219" s="139"/>
      <c r="HG219" s="225">
        <f t="shared" si="6064"/>
        <v>0</v>
      </c>
      <c r="HH219" s="198">
        <f t="shared" si="6059"/>
        <v>6</v>
      </c>
      <c r="HI219" s="140"/>
      <c r="HJ219" s="110"/>
      <c r="HK219" s="137"/>
      <c r="HL219" s="97"/>
      <c r="HM219" s="138">
        <f t="shared" ref="HM219:HN219" si="6152">HM160+HM190</f>
        <v>2544.6178100000002</v>
      </c>
      <c r="HN219" s="110">
        <f t="shared" si="6152"/>
        <v>15267.7</v>
      </c>
      <c r="HO219" s="110"/>
      <c r="HP219" s="139"/>
      <c r="HQ219" s="225">
        <f t="shared" si="6067"/>
        <v>0.86017999999999994</v>
      </c>
      <c r="HR219" s="198">
        <f t="shared" si="6059"/>
        <v>0</v>
      </c>
      <c r="HS219" s="140"/>
      <c r="HT219" s="110"/>
      <c r="HU219" s="137"/>
      <c r="HV219" s="97"/>
      <c r="HW219" s="138">
        <f t="shared" ref="HW219:HX219" si="6153">HW160+HW190</f>
        <v>0</v>
      </c>
      <c r="HX219" s="110">
        <f t="shared" si="6153"/>
        <v>0</v>
      </c>
      <c r="HY219" s="110"/>
      <c r="HZ219" s="139"/>
      <c r="IA219" s="225">
        <f t="shared" si="6070"/>
        <v>0</v>
      </c>
      <c r="IB219" s="198">
        <f t="shared" si="6071"/>
        <v>22</v>
      </c>
      <c r="IC219" s="140"/>
      <c r="ID219" s="110"/>
      <c r="IE219" s="137"/>
      <c r="IF219" s="97"/>
      <c r="IG219" s="138">
        <f t="shared" ref="IG219:IH219" si="6154">IG160+IG190</f>
        <v>4693.3620499999997</v>
      </c>
      <c r="IH219" s="110">
        <f t="shared" si="6154"/>
        <v>103253.96</v>
      </c>
      <c r="II219" s="110"/>
      <c r="IJ219" s="139"/>
      <c r="IK219" s="225">
        <f t="shared" si="6073"/>
        <v>1.5865400000000001</v>
      </c>
      <c r="IL219" s="198">
        <f t="shared" si="6071"/>
        <v>0</v>
      </c>
      <c r="IM219" s="140"/>
      <c r="IN219" s="110"/>
      <c r="IO219" s="137"/>
      <c r="IP219" s="97"/>
      <c r="IQ219" s="138">
        <f t="shared" ref="IQ219:IR219" si="6155">IQ160+IQ190</f>
        <v>0</v>
      </c>
      <c r="IR219" s="110">
        <f t="shared" si="6155"/>
        <v>0</v>
      </c>
      <c r="IS219" s="110"/>
      <c r="IT219" s="139"/>
      <c r="IU219" s="225">
        <f t="shared" si="6076"/>
        <v>0</v>
      </c>
      <c r="IV219" s="198">
        <f t="shared" si="6071"/>
        <v>0</v>
      </c>
      <c r="IW219" s="140"/>
      <c r="IX219" s="110"/>
      <c r="IY219" s="137"/>
      <c r="IZ219" s="97"/>
      <c r="JA219" s="138">
        <f t="shared" ref="JA219:JB219" si="6156">JA160+JA190</f>
        <v>0</v>
      </c>
      <c r="JB219" s="110">
        <f t="shared" si="6156"/>
        <v>0</v>
      </c>
      <c r="JC219" s="110"/>
      <c r="JD219" s="139"/>
      <c r="JE219" s="225">
        <f t="shared" si="6079"/>
        <v>0</v>
      </c>
      <c r="JF219" s="198">
        <f t="shared" si="6071"/>
        <v>0</v>
      </c>
      <c r="JG219" s="140"/>
      <c r="JH219" s="110"/>
      <c r="JI219" s="137"/>
      <c r="JJ219" s="97"/>
      <c r="JK219" s="138">
        <f t="shared" ref="JK219:JL219" si="6157">JK160+JK190</f>
        <v>0</v>
      </c>
      <c r="JL219" s="110">
        <f t="shared" si="6157"/>
        <v>0</v>
      </c>
      <c r="JM219" s="110"/>
      <c r="JN219" s="139"/>
      <c r="JO219" s="225">
        <f t="shared" si="6082"/>
        <v>0</v>
      </c>
      <c r="JP219" s="198">
        <f t="shared" si="6083"/>
        <v>10</v>
      </c>
      <c r="JQ219" s="140"/>
      <c r="JR219" s="110"/>
      <c r="JS219" s="137"/>
      <c r="JT219" s="97"/>
      <c r="JU219" s="138">
        <f t="shared" ref="JU219:JV219" si="6158">JU160+JU190</f>
        <v>3094.3154</v>
      </c>
      <c r="JV219" s="110">
        <f t="shared" si="6158"/>
        <v>30943.15</v>
      </c>
      <c r="JW219" s="110"/>
      <c r="JX219" s="139"/>
      <c r="JY219" s="225">
        <f t="shared" si="6085"/>
        <v>1.046</v>
      </c>
      <c r="JZ219" s="198">
        <f t="shared" si="6083"/>
        <v>0</v>
      </c>
      <c r="KA219" s="140"/>
      <c r="KB219" s="110"/>
      <c r="KC219" s="137"/>
      <c r="KD219" s="97"/>
      <c r="KE219" s="138">
        <f t="shared" ref="KE219:KF219" si="6159">KE160+KE190</f>
        <v>0</v>
      </c>
      <c r="KF219" s="110">
        <f t="shared" si="6159"/>
        <v>0</v>
      </c>
      <c r="KG219" s="110"/>
      <c r="KH219" s="139"/>
      <c r="KI219" s="225">
        <f t="shared" si="6088"/>
        <v>0</v>
      </c>
      <c r="KJ219" s="198">
        <f t="shared" si="6083"/>
        <v>0</v>
      </c>
      <c r="KK219" s="140"/>
      <c r="KL219" s="110"/>
      <c r="KM219" s="137"/>
      <c r="KN219" s="97"/>
      <c r="KO219" s="138">
        <f t="shared" ref="KO219:KP219" si="6160">KO160+KO190</f>
        <v>0</v>
      </c>
      <c r="KP219" s="110">
        <f t="shared" si="6160"/>
        <v>0</v>
      </c>
      <c r="KQ219" s="110"/>
      <c r="KR219" s="139"/>
      <c r="KS219" s="225">
        <f t="shared" si="6091"/>
        <v>0</v>
      </c>
      <c r="KT219" s="198">
        <f t="shared" si="6083"/>
        <v>0</v>
      </c>
      <c r="KU219" s="140"/>
      <c r="KV219" s="110"/>
      <c r="KW219" s="137"/>
      <c r="KX219" s="97"/>
      <c r="KY219" s="138">
        <f t="shared" ref="KY219:KZ219" si="6161">KY160+KY190</f>
        <v>0</v>
      </c>
      <c r="KZ219" s="110">
        <f t="shared" si="6161"/>
        <v>0</v>
      </c>
      <c r="LA219" s="110"/>
      <c r="LB219" s="139"/>
      <c r="LC219" s="225">
        <f t="shared" si="6094"/>
        <v>0</v>
      </c>
      <c r="LD219" s="198">
        <f t="shared" ref="LD219" si="6162">LD15</f>
        <v>193</v>
      </c>
      <c r="LE219" s="140"/>
      <c r="LF219" s="110"/>
      <c r="LG219" s="137"/>
      <c r="LH219" s="97"/>
      <c r="LI219" s="138">
        <f t="shared" ref="LI219:LJ219" si="6163">LI160+LI190</f>
        <v>2958.2289500000002</v>
      </c>
      <c r="LJ219" s="110">
        <f t="shared" si="6163"/>
        <v>570938.18999999994</v>
      </c>
      <c r="LK219" s="110"/>
      <c r="LL219" s="139"/>
    </row>
    <row r="220" spans="1:324" ht="26.25" customHeight="1" x14ac:dyDescent="0.25">
      <c r="A220" s="246"/>
      <c r="B220" s="12" t="s">
        <v>626</v>
      </c>
      <c r="C220" s="12" t="s">
        <v>728</v>
      </c>
      <c r="D220" s="12" t="s">
        <v>430</v>
      </c>
      <c r="E220" s="4"/>
      <c r="F220" s="198">
        <f t="shared" si="6097"/>
        <v>1</v>
      </c>
      <c r="G220" s="140"/>
      <c r="H220" s="110"/>
      <c r="I220" s="137"/>
      <c r="J220" s="97"/>
      <c r="K220" s="138">
        <f t="shared" ref="K220:L220" si="6164">K161+K191</f>
        <v>1750.6868999999999</v>
      </c>
      <c r="L220" s="110">
        <f t="shared" si="6164"/>
        <v>1750.69</v>
      </c>
      <c r="M220" s="110"/>
      <c r="N220" s="139"/>
      <c r="O220" s="225">
        <f t="shared" si="6004"/>
        <v>0.59223999999999999</v>
      </c>
      <c r="P220" s="198">
        <f t="shared" si="6005"/>
        <v>3</v>
      </c>
      <c r="Q220" s="140"/>
      <c r="R220" s="110"/>
      <c r="S220" s="137"/>
      <c r="T220" s="97"/>
      <c r="U220" s="138">
        <f t="shared" ref="U220:V220" si="6165">U161+U191</f>
        <v>2343.4010699999999</v>
      </c>
      <c r="V220" s="110">
        <f t="shared" si="6165"/>
        <v>7030.21</v>
      </c>
      <c r="W220" s="110"/>
      <c r="X220" s="139"/>
      <c r="Y220" s="225">
        <f t="shared" si="6007"/>
        <v>0.79274999999999995</v>
      </c>
      <c r="Z220" s="198">
        <f t="shared" si="6005"/>
        <v>2</v>
      </c>
      <c r="AA220" s="140"/>
      <c r="AB220" s="110"/>
      <c r="AC220" s="137"/>
      <c r="AD220" s="97"/>
      <c r="AE220" s="138">
        <f t="shared" ref="AE220:AF220" si="6166">AE161+AE191</f>
        <v>2252.1939499999999</v>
      </c>
      <c r="AF220" s="110">
        <f t="shared" si="6166"/>
        <v>4504.3900000000003</v>
      </c>
      <c r="AG220" s="110"/>
      <c r="AH220" s="139"/>
      <c r="AI220" s="225">
        <f t="shared" si="6010"/>
        <v>0.76188999999999996</v>
      </c>
      <c r="AJ220" s="198">
        <f t="shared" si="6005"/>
        <v>0</v>
      </c>
      <c r="AK220" s="140"/>
      <c r="AL220" s="110"/>
      <c r="AM220" s="137"/>
      <c r="AN220" s="97"/>
      <c r="AO220" s="138">
        <f t="shared" ref="AO220:AP220" si="6167">AO161+AO191</f>
        <v>0</v>
      </c>
      <c r="AP220" s="110">
        <f t="shared" si="6167"/>
        <v>0</v>
      </c>
      <c r="AQ220" s="110"/>
      <c r="AR220" s="139"/>
      <c r="AS220" s="225">
        <f t="shared" si="6013"/>
        <v>0</v>
      </c>
      <c r="AT220" s="198">
        <f t="shared" si="6005"/>
        <v>2</v>
      </c>
      <c r="AU220" s="140"/>
      <c r="AV220" s="110"/>
      <c r="AW220" s="137"/>
      <c r="AX220" s="97"/>
      <c r="AY220" s="138">
        <f t="shared" ref="AY220:AZ220" si="6168">AY161+AY191</f>
        <v>1223.94785</v>
      </c>
      <c r="AZ220" s="110">
        <f t="shared" si="6168"/>
        <v>2447.89</v>
      </c>
      <c r="BA220" s="110"/>
      <c r="BB220" s="139"/>
      <c r="BC220" s="225">
        <f t="shared" si="6016"/>
        <v>0.41404999999999997</v>
      </c>
      <c r="BD220" s="198">
        <f t="shared" si="6005"/>
        <v>0</v>
      </c>
      <c r="BE220" s="140"/>
      <c r="BF220" s="110"/>
      <c r="BG220" s="137"/>
      <c r="BH220" s="97"/>
      <c r="BI220" s="138">
        <f t="shared" ref="BI220:BJ220" si="6169">BI161+BI191</f>
        <v>0</v>
      </c>
      <c r="BJ220" s="110">
        <f t="shared" si="6169"/>
        <v>0</v>
      </c>
      <c r="BK220" s="110"/>
      <c r="BL220" s="139"/>
      <c r="BM220" s="225">
        <f t="shared" si="6019"/>
        <v>0</v>
      </c>
      <c r="BN220" s="198">
        <f t="shared" si="6005"/>
        <v>4</v>
      </c>
      <c r="BO220" s="140"/>
      <c r="BP220" s="110"/>
      <c r="BQ220" s="137"/>
      <c r="BR220" s="97"/>
      <c r="BS220" s="138">
        <f t="shared" ref="BS220:BT220" si="6170">BS161+BS191</f>
        <v>2589.7344800000001</v>
      </c>
      <c r="BT220" s="110">
        <f t="shared" si="6170"/>
        <v>10358.950000000001</v>
      </c>
      <c r="BU220" s="110"/>
      <c r="BV220" s="139"/>
      <c r="BW220" s="225">
        <f t="shared" si="6022"/>
        <v>0.87607999999999997</v>
      </c>
      <c r="BX220" s="198">
        <f t="shared" si="6005"/>
        <v>1</v>
      </c>
      <c r="BY220" s="140"/>
      <c r="BZ220" s="110"/>
      <c r="CA220" s="137"/>
      <c r="CB220" s="97"/>
      <c r="CC220" s="138">
        <f t="shared" ref="CC220:CD220" si="6171">CC161+CC191</f>
        <v>2038.2148999999999</v>
      </c>
      <c r="CD220" s="110">
        <f t="shared" si="6171"/>
        <v>2038.21</v>
      </c>
      <c r="CE220" s="110"/>
      <c r="CF220" s="139"/>
      <c r="CG220" s="225">
        <f t="shared" si="6025"/>
        <v>0.68950999999999996</v>
      </c>
      <c r="CH220" s="198">
        <f t="shared" si="6026"/>
        <v>0</v>
      </c>
      <c r="CI220" s="140"/>
      <c r="CJ220" s="110"/>
      <c r="CK220" s="137"/>
      <c r="CL220" s="97"/>
      <c r="CM220" s="138">
        <f t="shared" ref="CM220:CN220" si="6172">CM161+CM191</f>
        <v>0</v>
      </c>
      <c r="CN220" s="110">
        <f t="shared" si="6172"/>
        <v>0</v>
      </c>
      <c r="CO220" s="110"/>
      <c r="CP220" s="139"/>
      <c r="CQ220" s="225">
        <f t="shared" si="6028"/>
        <v>0</v>
      </c>
      <c r="CR220" s="198">
        <f t="shared" si="6026"/>
        <v>5</v>
      </c>
      <c r="CS220" s="140"/>
      <c r="CT220" s="110"/>
      <c r="CU220" s="137"/>
      <c r="CV220" s="97"/>
      <c r="CW220" s="138">
        <f t="shared" ref="CW220:CX220" si="6173">CW161+CW191</f>
        <v>3130.21648</v>
      </c>
      <c r="CX220" s="110">
        <f t="shared" si="6173"/>
        <v>15651.08</v>
      </c>
      <c r="CY220" s="110"/>
      <c r="CZ220" s="139"/>
      <c r="DA220" s="225">
        <f t="shared" si="6031"/>
        <v>1.0589200000000001</v>
      </c>
      <c r="DB220" s="198">
        <f t="shared" si="6026"/>
        <v>1</v>
      </c>
      <c r="DC220" s="140"/>
      <c r="DD220" s="110"/>
      <c r="DE220" s="137"/>
      <c r="DF220" s="97"/>
      <c r="DG220" s="138">
        <f t="shared" ref="DG220:DH220" si="6174">DG161+DG191</f>
        <v>2694.9445999999998</v>
      </c>
      <c r="DH220" s="110">
        <f t="shared" si="6174"/>
        <v>2694.95</v>
      </c>
      <c r="DI220" s="110"/>
      <c r="DJ220" s="139"/>
      <c r="DK220" s="225">
        <f t="shared" si="6034"/>
        <v>0.91166999999999998</v>
      </c>
      <c r="DL220" s="198">
        <f t="shared" si="6026"/>
        <v>0</v>
      </c>
      <c r="DM220" s="140"/>
      <c r="DN220" s="110"/>
      <c r="DO220" s="137"/>
      <c r="DP220" s="97"/>
      <c r="DQ220" s="138">
        <f t="shared" ref="DQ220:DR220" si="6175">DQ161+DQ191</f>
        <v>0</v>
      </c>
      <c r="DR220" s="110">
        <f t="shared" si="6175"/>
        <v>0</v>
      </c>
      <c r="DS220" s="110"/>
      <c r="DT220" s="139"/>
      <c r="DU220" s="225">
        <f t="shared" si="6037"/>
        <v>0</v>
      </c>
      <c r="DV220" s="198">
        <f t="shared" si="6026"/>
        <v>2</v>
      </c>
      <c r="DW220" s="140"/>
      <c r="DX220" s="110"/>
      <c r="DY220" s="137"/>
      <c r="DZ220" s="97"/>
      <c r="EA220" s="138">
        <f t="shared" ref="EA220:EB220" si="6176">EA161+EA191</f>
        <v>2228.5601999999999</v>
      </c>
      <c r="EB220" s="110">
        <f t="shared" si="6176"/>
        <v>4457.12</v>
      </c>
      <c r="EC220" s="110"/>
      <c r="ED220" s="139"/>
      <c r="EE220" s="225">
        <f t="shared" si="6040"/>
        <v>0.75390000000000001</v>
      </c>
      <c r="EF220" s="198">
        <f t="shared" si="6026"/>
        <v>6</v>
      </c>
      <c r="EG220" s="140"/>
      <c r="EH220" s="110"/>
      <c r="EI220" s="137"/>
      <c r="EJ220" s="97"/>
      <c r="EK220" s="138">
        <f t="shared" ref="EK220:EL220" si="6177">EK161+EK191</f>
        <v>1905.3321699999999</v>
      </c>
      <c r="EL220" s="110">
        <f t="shared" si="6177"/>
        <v>11431.99</v>
      </c>
      <c r="EM220" s="110"/>
      <c r="EN220" s="139"/>
      <c r="EO220" s="225">
        <f t="shared" si="6043"/>
        <v>0.64454999999999996</v>
      </c>
      <c r="EP220" s="198">
        <f t="shared" si="6026"/>
        <v>2</v>
      </c>
      <c r="EQ220" s="140"/>
      <c r="ER220" s="110"/>
      <c r="ES220" s="137"/>
      <c r="ET220" s="97"/>
      <c r="EU220" s="138">
        <f t="shared" ref="EU220:EV220" si="6178">EU161+EU191</f>
        <v>3273.1809499999999</v>
      </c>
      <c r="EV220" s="110">
        <f t="shared" si="6178"/>
        <v>6546.36</v>
      </c>
      <c r="EW220" s="110"/>
      <c r="EX220" s="139"/>
      <c r="EY220" s="225">
        <f t="shared" si="6046"/>
        <v>1.10728</v>
      </c>
      <c r="EZ220" s="198">
        <f t="shared" si="6047"/>
        <v>7</v>
      </c>
      <c r="FA220" s="140"/>
      <c r="FB220" s="110"/>
      <c r="FC220" s="137"/>
      <c r="FD220" s="97"/>
      <c r="FE220" s="138">
        <f t="shared" ref="FE220:FF220" si="6179">FE161+FE191</f>
        <v>1432.8787</v>
      </c>
      <c r="FF220" s="110">
        <f t="shared" si="6179"/>
        <v>10030.16</v>
      </c>
      <c r="FG220" s="110"/>
      <c r="FH220" s="139"/>
      <c r="FI220" s="225">
        <f t="shared" si="6049"/>
        <v>0.48472999999999999</v>
      </c>
      <c r="FJ220" s="198">
        <f t="shared" si="6047"/>
        <v>1</v>
      </c>
      <c r="FK220" s="140"/>
      <c r="FL220" s="110"/>
      <c r="FM220" s="137"/>
      <c r="FN220" s="97"/>
      <c r="FO220" s="138">
        <f t="shared" ref="FO220:FP220" si="6180">FO161+FO191</f>
        <v>2913.1794</v>
      </c>
      <c r="FP220" s="110">
        <f t="shared" si="6180"/>
        <v>2913.17</v>
      </c>
      <c r="FQ220" s="110"/>
      <c r="FR220" s="139"/>
      <c r="FS220" s="225">
        <f t="shared" si="6052"/>
        <v>0.98550000000000004</v>
      </c>
      <c r="FT220" s="198">
        <f t="shared" si="6047"/>
        <v>4</v>
      </c>
      <c r="FU220" s="140"/>
      <c r="FV220" s="110"/>
      <c r="FW220" s="137"/>
      <c r="FX220" s="97"/>
      <c r="FY220" s="138">
        <f t="shared" ref="FY220:FZ220" si="6181">FY161+FY191</f>
        <v>2761.0200799999998</v>
      </c>
      <c r="FZ220" s="110">
        <f t="shared" si="6181"/>
        <v>11044.09</v>
      </c>
      <c r="GA220" s="110"/>
      <c r="GB220" s="139"/>
      <c r="GC220" s="225">
        <f t="shared" si="6055"/>
        <v>0.93401999999999996</v>
      </c>
      <c r="GD220" s="198">
        <f t="shared" si="6047"/>
        <v>6</v>
      </c>
      <c r="GE220" s="140"/>
      <c r="GF220" s="110"/>
      <c r="GG220" s="137"/>
      <c r="GH220" s="97"/>
      <c r="GI220" s="138">
        <f t="shared" ref="GI220:GJ220" si="6182">GI161+GI191</f>
        <v>2242.7804599999999</v>
      </c>
      <c r="GJ220" s="110">
        <f t="shared" si="6182"/>
        <v>13456.68</v>
      </c>
      <c r="GK220" s="110"/>
      <c r="GL220" s="139"/>
      <c r="GM220" s="225">
        <f t="shared" si="6058"/>
        <v>0.75871</v>
      </c>
      <c r="GN220" s="198">
        <f t="shared" si="6059"/>
        <v>2</v>
      </c>
      <c r="GO220" s="140"/>
      <c r="GP220" s="110"/>
      <c r="GQ220" s="137"/>
      <c r="GR220" s="97"/>
      <c r="GS220" s="138">
        <f t="shared" ref="GS220:GT220" si="6183">GS161+GS191</f>
        <v>3808.67985</v>
      </c>
      <c r="GT220" s="110">
        <f t="shared" si="6183"/>
        <v>7617.36</v>
      </c>
      <c r="GU220" s="110"/>
      <c r="GV220" s="139"/>
      <c r="GW220" s="225">
        <f t="shared" si="6061"/>
        <v>1.28844</v>
      </c>
      <c r="GX220" s="198">
        <f t="shared" si="6059"/>
        <v>2</v>
      </c>
      <c r="GY220" s="140"/>
      <c r="GZ220" s="110"/>
      <c r="HA220" s="137"/>
      <c r="HB220" s="97"/>
      <c r="HC220" s="138">
        <f t="shared" ref="HC220:HD220" si="6184">HC161+HC191</f>
        <v>2353.9492</v>
      </c>
      <c r="HD220" s="110">
        <f t="shared" si="6184"/>
        <v>4707.8900000000003</v>
      </c>
      <c r="HE220" s="110"/>
      <c r="HF220" s="139"/>
      <c r="HG220" s="225">
        <f t="shared" si="6064"/>
        <v>0.79632000000000003</v>
      </c>
      <c r="HH220" s="198">
        <f t="shared" si="6059"/>
        <v>3</v>
      </c>
      <c r="HI220" s="140"/>
      <c r="HJ220" s="110"/>
      <c r="HK220" s="137"/>
      <c r="HL220" s="97"/>
      <c r="HM220" s="138">
        <f t="shared" ref="HM220:HN220" si="6185">HM161+HM191</f>
        <v>2543.21216</v>
      </c>
      <c r="HN220" s="110">
        <f t="shared" si="6185"/>
        <v>7629.63</v>
      </c>
      <c r="HO220" s="110"/>
      <c r="HP220" s="139"/>
      <c r="HQ220" s="225">
        <f t="shared" si="6067"/>
        <v>0.86033999999999999</v>
      </c>
      <c r="HR220" s="198">
        <f t="shared" si="6059"/>
        <v>2</v>
      </c>
      <c r="HS220" s="140"/>
      <c r="HT220" s="110"/>
      <c r="HU220" s="137"/>
      <c r="HV220" s="97"/>
      <c r="HW220" s="138">
        <f t="shared" ref="HW220:HX220" si="6186">HW161+HW191</f>
        <v>3355.4945499999999</v>
      </c>
      <c r="HX220" s="110">
        <f t="shared" si="6186"/>
        <v>6710.99</v>
      </c>
      <c r="HY220" s="110"/>
      <c r="HZ220" s="139"/>
      <c r="IA220" s="225">
        <f t="shared" si="6070"/>
        <v>1.13513</v>
      </c>
      <c r="IB220" s="198">
        <f t="shared" si="6071"/>
        <v>2</v>
      </c>
      <c r="IC220" s="140"/>
      <c r="ID220" s="110"/>
      <c r="IE220" s="137"/>
      <c r="IF220" s="97"/>
      <c r="IG220" s="138">
        <f t="shared" ref="IG220:IH220" si="6187">IG161+IG191</f>
        <v>4691.5233500000004</v>
      </c>
      <c r="IH220" s="110">
        <f t="shared" si="6187"/>
        <v>9383.0499999999993</v>
      </c>
      <c r="II220" s="110"/>
      <c r="IJ220" s="139"/>
      <c r="IK220" s="225">
        <f t="shared" si="6073"/>
        <v>1.5870899999999999</v>
      </c>
      <c r="IL220" s="198">
        <f t="shared" si="6071"/>
        <v>4</v>
      </c>
      <c r="IM220" s="140"/>
      <c r="IN220" s="110"/>
      <c r="IO220" s="137"/>
      <c r="IP220" s="97"/>
      <c r="IQ220" s="138">
        <f t="shared" ref="IQ220:IR220" si="6188">IQ161+IQ191</f>
        <v>1998.49065</v>
      </c>
      <c r="IR220" s="110">
        <f t="shared" si="6188"/>
        <v>7993.96</v>
      </c>
      <c r="IS220" s="110"/>
      <c r="IT220" s="139"/>
      <c r="IU220" s="225">
        <f t="shared" si="6076"/>
        <v>0.67606999999999995</v>
      </c>
      <c r="IV220" s="198">
        <f t="shared" si="6071"/>
        <v>2</v>
      </c>
      <c r="IW220" s="140"/>
      <c r="IX220" s="110"/>
      <c r="IY220" s="137"/>
      <c r="IZ220" s="97"/>
      <c r="JA220" s="138">
        <f t="shared" ref="JA220:JB220" si="6189">JA161+JA191</f>
        <v>2914.2766499999998</v>
      </c>
      <c r="JB220" s="110">
        <f t="shared" si="6189"/>
        <v>5828.55</v>
      </c>
      <c r="JC220" s="110"/>
      <c r="JD220" s="139"/>
      <c r="JE220" s="225">
        <f t="shared" si="6079"/>
        <v>0.98587000000000002</v>
      </c>
      <c r="JF220" s="198">
        <f t="shared" si="6071"/>
        <v>1</v>
      </c>
      <c r="JG220" s="140"/>
      <c r="JH220" s="110"/>
      <c r="JI220" s="137"/>
      <c r="JJ220" s="97"/>
      <c r="JK220" s="138">
        <f t="shared" ref="JK220:JL220" si="6190">JK161+JK191</f>
        <v>2900.1958</v>
      </c>
      <c r="JL220" s="110">
        <f t="shared" si="6190"/>
        <v>2900.19</v>
      </c>
      <c r="JM220" s="110"/>
      <c r="JN220" s="139"/>
      <c r="JO220" s="225">
        <f t="shared" si="6082"/>
        <v>0.98111000000000004</v>
      </c>
      <c r="JP220" s="198">
        <f t="shared" si="6083"/>
        <v>5</v>
      </c>
      <c r="JQ220" s="140"/>
      <c r="JR220" s="110"/>
      <c r="JS220" s="137"/>
      <c r="JT220" s="97"/>
      <c r="JU220" s="138">
        <f t="shared" ref="JU220:JV220" si="6191">JU161+JU191</f>
        <v>3089.2381</v>
      </c>
      <c r="JV220" s="110">
        <f t="shared" si="6191"/>
        <v>15446.19</v>
      </c>
      <c r="JW220" s="110"/>
      <c r="JX220" s="139"/>
      <c r="JY220" s="225">
        <f t="shared" si="6085"/>
        <v>1.0450600000000001</v>
      </c>
      <c r="JZ220" s="198">
        <f t="shared" si="6083"/>
        <v>0</v>
      </c>
      <c r="KA220" s="140"/>
      <c r="KB220" s="110"/>
      <c r="KC220" s="137"/>
      <c r="KD220" s="97"/>
      <c r="KE220" s="138">
        <f t="shared" ref="KE220:KF220" si="6192">KE161+KE191</f>
        <v>0</v>
      </c>
      <c r="KF220" s="110">
        <f t="shared" si="6192"/>
        <v>0</v>
      </c>
      <c r="KG220" s="110"/>
      <c r="KH220" s="139"/>
      <c r="KI220" s="225">
        <f t="shared" si="6088"/>
        <v>0</v>
      </c>
      <c r="KJ220" s="198">
        <f t="shared" si="6083"/>
        <v>1</v>
      </c>
      <c r="KK220" s="140"/>
      <c r="KL220" s="110"/>
      <c r="KM220" s="137"/>
      <c r="KN220" s="97"/>
      <c r="KO220" s="138">
        <f t="shared" ref="KO220:KP220" si="6193">KO161+KO191</f>
        <v>2306.2637</v>
      </c>
      <c r="KP220" s="110">
        <f t="shared" si="6193"/>
        <v>2306.2600000000002</v>
      </c>
      <c r="KQ220" s="110"/>
      <c r="KR220" s="139"/>
      <c r="KS220" s="225">
        <f t="shared" si="6091"/>
        <v>0.78017999999999998</v>
      </c>
      <c r="KT220" s="198">
        <f t="shared" si="6083"/>
        <v>3</v>
      </c>
      <c r="KU220" s="140"/>
      <c r="KV220" s="110"/>
      <c r="KW220" s="137"/>
      <c r="KX220" s="97"/>
      <c r="KY220" s="138">
        <f t="shared" ref="KY220:KZ220" si="6194">KY161+KY191</f>
        <v>12595.83135</v>
      </c>
      <c r="KZ220" s="110">
        <f t="shared" si="6194"/>
        <v>37787.5</v>
      </c>
      <c r="LA220" s="110"/>
      <c r="LB220" s="139"/>
      <c r="LC220" s="225">
        <f t="shared" si="6094"/>
        <v>4.2610400000000004</v>
      </c>
      <c r="LD220" s="198">
        <f t="shared" ref="LD220" si="6195">LD16</f>
        <v>74</v>
      </c>
      <c r="LE220" s="140"/>
      <c r="LF220" s="110"/>
      <c r="LG220" s="137"/>
      <c r="LH220" s="97"/>
      <c r="LI220" s="138">
        <f t="shared" ref="LI220:LJ220" si="6196">LI161+LI191</f>
        <v>2956.0486700000001</v>
      </c>
      <c r="LJ220" s="110">
        <f t="shared" si="6196"/>
        <v>218747.61</v>
      </c>
      <c r="LK220" s="110"/>
      <c r="LL220" s="139"/>
    </row>
    <row r="221" spans="1:324" ht="27.75" hidden="1" customHeight="1" x14ac:dyDescent="0.25">
      <c r="A221" s="246"/>
      <c r="B221" s="92" t="s">
        <v>639</v>
      </c>
      <c r="C221" s="12" t="s">
        <v>728</v>
      </c>
      <c r="D221" s="12" t="s">
        <v>430</v>
      </c>
      <c r="E221" s="4"/>
      <c r="F221" s="198">
        <f t="shared" si="6097"/>
        <v>0</v>
      </c>
      <c r="G221" s="140"/>
      <c r="H221" s="110"/>
      <c r="I221" s="137"/>
      <c r="J221" s="97"/>
      <c r="K221" s="138">
        <f t="shared" ref="K221:L221" si="6197">K162+K192</f>
        <v>0</v>
      </c>
      <c r="L221" s="110">
        <f t="shared" si="6197"/>
        <v>0</v>
      </c>
      <c r="M221" s="110"/>
      <c r="N221" s="139"/>
      <c r="O221" s="225" t="e">
        <f t="shared" si="6004"/>
        <v>#DIV/0!</v>
      </c>
      <c r="P221" s="198">
        <f t="shared" si="6005"/>
        <v>0</v>
      </c>
      <c r="Q221" s="140"/>
      <c r="R221" s="110"/>
      <c r="S221" s="137"/>
      <c r="T221" s="97"/>
      <c r="U221" s="138">
        <f t="shared" ref="U221:V221" si="6198">U162+U192</f>
        <v>0</v>
      </c>
      <c r="V221" s="110">
        <f t="shared" si="6198"/>
        <v>0</v>
      </c>
      <c r="W221" s="110"/>
      <c r="X221" s="139"/>
      <c r="Y221" s="225" t="e">
        <f t="shared" si="6007"/>
        <v>#DIV/0!</v>
      </c>
      <c r="Z221" s="198">
        <f t="shared" si="6005"/>
        <v>0</v>
      </c>
      <c r="AA221" s="140"/>
      <c r="AB221" s="110"/>
      <c r="AC221" s="137"/>
      <c r="AD221" s="97"/>
      <c r="AE221" s="138">
        <f t="shared" ref="AE221:AF221" si="6199">AE162+AE192</f>
        <v>0</v>
      </c>
      <c r="AF221" s="110">
        <f t="shared" si="6199"/>
        <v>0</v>
      </c>
      <c r="AG221" s="110"/>
      <c r="AH221" s="139"/>
      <c r="AI221" s="225" t="e">
        <f t="shared" si="6010"/>
        <v>#DIV/0!</v>
      </c>
      <c r="AJ221" s="198">
        <f t="shared" si="6005"/>
        <v>0</v>
      </c>
      <c r="AK221" s="140"/>
      <c r="AL221" s="110"/>
      <c r="AM221" s="137"/>
      <c r="AN221" s="97"/>
      <c r="AO221" s="138">
        <f t="shared" ref="AO221:AP221" si="6200">AO162+AO192</f>
        <v>0</v>
      </c>
      <c r="AP221" s="110">
        <f t="shared" si="6200"/>
        <v>0</v>
      </c>
      <c r="AQ221" s="110"/>
      <c r="AR221" s="139"/>
      <c r="AS221" s="225" t="e">
        <f t="shared" si="6013"/>
        <v>#DIV/0!</v>
      </c>
      <c r="AT221" s="198">
        <f t="shared" si="6005"/>
        <v>0</v>
      </c>
      <c r="AU221" s="140"/>
      <c r="AV221" s="110"/>
      <c r="AW221" s="137"/>
      <c r="AX221" s="97"/>
      <c r="AY221" s="138">
        <f t="shared" ref="AY221:AZ221" si="6201">AY162+AY192</f>
        <v>0</v>
      </c>
      <c r="AZ221" s="110">
        <f t="shared" si="6201"/>
        <v>0</v>
      </c>
      <c r="BA221" s="110"/>
      <c r="BB221" s="139"/>
      <c r="BC221" s="225" t="e">
        <f t="shared" si="6016"/>
        <v>#DIV/0!</v>
      </c>
      <c r="BD221" s="198">
        <f t="shared" si="6005"/>
        <v>0</v>
      </c>
      <c r="BE221" s="140"/>
      <c r="BF221" s="110"/>
      <c r="BG221" s="137"/>
      <c r="BH221" s="97"/>
      <c r="BI221" s="138">
        <f t="shared" ref="BI221:BJ221" si="6202">BI162+BI192</f>
        <v>0</v>
      </c>
      <c r="BJ221" s="110">
        <f t="shared" si="6202"/>
        <v>0</v>
      </c>
      <c r="BK221" s="110"/>
      <c r="BL221" s="139"/>
      <c r="BM221" s="225" t="e">
        <f t="shared" si="6019"/>
        <v>#DIV/0!</v>
      </c>
      <c r="BN221" s="198">
        <f t="shared" si="6005"/>
        <v>0</v>
      </c>
      <c r="BO221" s="140"/>
      <c r="BP221" s="110"/>
      <c r="BQ221" s="137"/>
      <c r="BR221" s="97"/>
      <c r="BS221" s="138">
        <f t="shared" ref="BS221:BT221" si="6203">BS162+BS192</f>
        <v>0</v>
      </c>
      <c r="BT221" s="110">
        <f t="shared" si="6203"/>
        <v>0</v>
      </c>
      <c r="BU221" s="110"/>
      <c r="BV221" s="139"/>
      <c r="BW221" s="225" t="e">
        <f t="shared" si="6022"/>
        <v>#DIV/0!</v>
      </c>
      <c r="BX221" s="198">
        <f t="shared" si="6005"/>
        <v>0</v>
      </c>
      <c r="BY221" s="140"/>
      <c r="BZ221" s="110"/>
      <c r="CA221" s="137"/>
      <c r="CB221" s="97"/>
      <c r="CC221" s="138">
        <f t="shared" ref="CC221:CD221" si="6204">CC162+CC192</f>
        <v>0</v>
      </c>
      <c r="CD221" s="110">
        <f t="shared" si="6204"/>
        <v>0</v>
      </c>
      <c r="CE221" s="110"/>
      <c r="CF221" s="139"/>
      <c r="CG221" s="225" t="e">
        <f t="shared" si="6025"/>
        <v>#DIV/0!</v>
      </c>
      <c r="CH221" s="198">
        <f t="shared" si="6026"/>
        <v>0</v>
      </c>
      <c r="CI221" s="140"/>
      <c r="CJ221" s="110"/>
      <c r="CK221" s="137"/>
      <c r="CL221" s="97"/>
      <c r="CM221" s="138">
        <f t="shared" ref="CM221:CN221" si="6205">CM162+CM192</f>
        <v>0</v>
      </c>
      <c r="CN221" s="110">
        <f t="shared" si="6205"/>
        <v>0</v>
      </c>
      <c r="CO221" s="110"/>
      <c r="CP221" s="139"/>
      <c r="CQ221" s="225" t="e">
        <f t="shared" si="6028"/>
        <v>#DIV/0!</v>
      </c>
      <c r="CR221" s="198">
        <f t="shared" si="6026"/>
        <v>0</v>
      </c>
      <c r="CS221" s="140"/>
      <c r="CT221" s="110"/>
      <c r="CU221" s="137"/>
      <c r="CV221" s="97"/>
      <c r="CW221" s="138">
        <f t="shared" ref="CW221:CX221" si="6206">CW162+CW192</f>
        <v>0</v>
      </c>
      <c r="CX221" s="110">
        <f t="shared" si="6206"/>
        <v>0</v>
      </c>
      <c r="CY221" s="110"/>
      <c r="CZ221" s="139"/>
      <c r="DA221" s="225" t="e">
        <f t="shared" si="6031"/>
        <v>#DIV/0!</v>
      </c>
      <c r="DB221" s="198">
        <f t="shared" si="6026"/>
        <v>0</v>
      </c>
      <c r="DC221" s="140"/>
      <c r="DD221" s="110"/>
      <c r="DE221" s="137"/>
      <c r="DF221" s="97"/>
      <c r="DG221" s="138">
        <f t="shared" ref="DG221:DH221" si="6207">DG162+DG192</f>
        <v>0</v>
      </c>
      <c r="DH221" s="110">
        <f t="shared" si="6207"/>
        <v>0</v>
      </c>
      <c r="DI221" s="110"/>
      <c r="DJ221" s="139"/>
      <c r="DK221" s="225" t="e">
        <f t="shared" si="6034"/>
        <v>#DIV/0!</v>
      </c>
      <c r="DL221" s="198">
        <f t="shared" si="6026"/>
        <v>0</v>
      </c>
      <c r="DM221" s="140"/>
      <c r="DN221" s="110"/>
      <c r="DO221" s="137"/>
      <c r="DP221" s="97"/>
      <c r="DQ221" s="138">
        <f t="shared" ref="DQ221:DR221" si="6208">DQ162+DQ192</f>
        <v>0</v>
      </c>
      <c r="DR221" s="110">
        <f t="shared" si="6208"/>
        <v>0</v>
      </c>
      <c r="DS221" s="110"/>
      <c r="DT221" s="139"/>
      <c r="DU221" s="225" t="e">
        <f t="shared" si="6037"/>
        <v>#DIV/0!</v>
      </c>
      <c r="DV221" s="198">
        <f t="shared" si="6026"/>
        <v>0</v>
      </c>
      <c r="DW221" s="140"/>
      <c r="DX221" s="110"/>
      <c r="DY221" s="137"/>
      <c r="DZ221" s="97"/>
      <c r="EA221" s="138">
        <f t="shared" ref="EA221:EB221" si="6209">EA162+EA192</f>
        <v>0</v>
      </c>
      <c r="EB221" s="110">
        <f t="shared" si="6209"/>
        <v>0</v>
      </c>
      <c r="EC221" s="110"/>
      <c r="ED221" s="139"/>
      <c r="EE221" s="225" t="e">
        <f t="shared" si="6040"/>
        <v>#DIV/0!</v>
      </c>
      <c r="EF221" s="198">
        <f t="shared" si="6026"/>
        <v>0</v>
      </c>
      <c r="EG221" s="140"/>
      <c r="EH221" s="110"/>
      <c r="EI221" s="137"/>
      <c r="EJ221" s="97"/>
      <c r="EK221" s="138">
        <f t="shared" ref="EK221:EL221" si="6210">EK162+EK192</f>
        <v>0</v>
      </c>
      <c r="EL221" s="110">
        <f t="shared" si="6210"/>
        <v>0</v>
      </c>
      <c r="EM221" s="110"/>
      <c r="EN221" s="139"/>
      <c r="EO221" s="225" t="e">
        <f t="shared" si="6043"/>
        <v>#DIV/0!</v>
      </c>
      <c r="EP221" s="198">
        <f t="shared" si="6026"/>
        <v>0</v>
      </c>
      <c r="EQ221" s="140"/>
      <c r="ER221" s="110"/>
      <c r="ES221" s="137"/>
      <c r="ET221" s="97"/>
      <c r="EU221" s="138">
        <f t="shared" ref="EU221:EV221" si="6211">EU162+EU192</f>
        <v>0</v>
      </c>
      <c r="EV221" s="110">
        <f t="shared" si="6211"/>
        <v>0</v>
      </c>
      <c r="EW221" s="110"/>
      <c r="EX221" s="139"/>
      <c r="EY221" s="225" t="e">
        <f t="shared" si="6046"/>
        <v>#DIV/0!</v>
      </c>
      <c r="EZ221" s="198">
        <f t="shared" si="6047"/>
        <v>0</v>
      </c>
      <c r="FA221" s="140"/>
      <c r="FB221" s="110"/>
      <c r="FC221" s="137"/>
      <c r="FD221" s="97"/>
      <c r="FE221" s="138">
        <f t="shared" ref="FE221:FF221" si="6212">FE162+FE192</f>
        <v>0</v>
      </c>
      <c r="FF221" s="110">
        <f t="shared" si="6212"/>
        <v>0</v>
      </c>
      <c r="FG221" s="110"/>
      <c r="FH221" s="139"/>
      <c r="FI221" s="225" t="e">
        <f t="shared" si="6049"/>
        <v>#DIV/0!</v>
      </c>
      <c r="FJ221" s="198">
        <f t="shared" si="6047"/>
        <v>0</v>
      </c>
      <c r="FK221" s="140"/>
      <c r="FL221" s="110"/>
      <c r="FM221" s="137"/>
      <c r="FN221" s="97"/>
      <c r="FO221" s="138">
        <f t="shared" ref="FO221:FP221" si="6213">FO162+FO192</f>
        <v>0</v>
      </c>
      <c r="FP221" s="110">
        <f t="shared" si="6213"/>
        <v>0</v>
      </c>
      <c r="FQ221" s="110"/>
      <c r="FR221" s="139"/>
      <c r="FS221" s="225" t="e">
        <f t="shared" si="6052"/>
        <v>#DIV/0!</v>
      </c>
      <c r="FT221" s="198">
        <f t="shared" si="6047"/>
        <v>0</v>
      </c>
      <c r="FU221" s="140"/>
      <c r="FV221" s="110"/>
      <c r="FW221" s="137"/>
      <c r="FX221" s="97"/>
      <c r="FY221" s="138">
        <f t="shared" ref="FY221:FZ221" si="6214">FY162+FY192</f>
        <v>0</v>
      </c>
      <c r="FZ221" s="110">
        <f t="shared" si="6214"/>
        <v>0</v>
      </c>
      <c r="GA221" s="110"/>
      <c r="GB221" s="139"/>
      <c r="GC221" s="225" t="e">
        <f t="shared" si="6055"/>
        <v>#DIV/0!</v>
      </c>
      <c r="GD221" s="198">
        <f t="shared" si="6047"/>
        <v>0</v>
      </c>
      <c r="GE221" s="140"/>
      <c r="GF221" s="110"/>
      <c r="GG221" s="137"/>
      <c r="GH221" s="97"/>
      <c r="GI221" s="138">
        <f t="shared" ref="GI221:GJ221" si="6215">GI162+GI192</f>
        <v>0</v>
      </c>
      <c r="GJ221" s="110">
        <f t="shared" si="6215"/>
        <v>0</v>
      </c>
      <c r="GK221" s="110"/>
      <c r="GL221" s="139"/>
      <c r="GM221" s="225" t="e">
        <f t="shared" si="6058"/>
        <v>#DIV/0!</v>
      </c>
      <c r="GN221" s="198">
        <f t="shared" si="6059"/>
        <v>0</v>
      </c>
      <c r="GO221" s="140"/>
      <c r="GP221" s="110"/>
      <c r="GQ221" s="137"/>
      <c r="GR221" s="97"/>
      <c r="GS221" s="138">
        <f t="shared" ref="GS221:GT221" si="6216">GS162+GS192</f>
        <v>0</v>
      </c>
      <c r="GT221" s="110">
        <f t="shared" si="6216"/>
        <v>0</v>
      </c>
      <c r="GU221" s="110"/>
      <c r="GV221" s="139"/>
      <c r="GW221" s="225" t="e">
        <f t="shared" si="6061"/>
        <v>#DIV/0!</v>
      </c>
      <c r="GX221" s="198">
        <f t="shared" si="6059"/>
        <v>0</v>
      </c>
      <c r="GY221" s="140"/>
      <c r="GZ221" s="110"/>
      <c r="HA221" s="137"/>
      <c r="HB221" s="97"/>
      <c r="HC221" s="138">
        <f t="shared" ref="HC221:HD221" si="6217">HC162+HC192</f>
        <v>0</v>
      </c>
      <c r="HD221" s="110">
        <f t="shared" si="6217"/>
        <v>0</v>
      </c>
      <c r="HE221" s="110"/>
      <c r="HF221" s="139"/>
      <c r="HG221" s="225" t="e">
        <f t="shared" si="6064"/>
        <v>#DIV/0!</v>
      </c>
      <c r="HH221" s="198">
        <f t="shared" si="6059"/>
        <v>0</v>
      </c>
      <c r="HI221" s="140"/>
      <c r="HJ221" s="110"/>
      <c r="HK221" s="137"/>
      <c r="HL221" s="97"/>
      <c r="HM221" s="138">
        <f t="shared" ref="HM221:HN221" si="6218">HM162+HM192</f>
        <v>0</v>
      </c>
      <c r="HN221" s="110">
        <f t="shared" si="6218"/>
        <v>0</v>
      </c>
      <c r="HO221" s="110"/>
      <c r="HP221" s="139"/>
      <c r="HQ221" s="225" t="e">
        <f t="shared" si="6067"/>
        <v>#DIV/0!</v>
      </c>
      <c r="HR221" s="198">
        <f t="shared" si="6059"/>
        <v>0</v>
      </c>
      <c r="HS221" s="140"/>
      <c r="HT221" s="110"/>
      <c r="HU221" s="137"/>
      <c r="HV221" s="97"/>
      <c r="HW221" s="138">
        <f t="shared" ref="HW221:HX221" si="6219">HW162+HW192</f>
        <v>0</v>
      </c>
      <c r="HX221" s="110">
        <f t="shared" si="6219"/>
        <v>0</v>
      </c>
      <c r="HY221" s="110"/>
      <c r="HZ221" s="139"/>
      <c r="IA221" s="225" t="e">
        <f t="shared" si="6070"/>
        <v>#DIV/0!</v>
      </c>
      <c r="IB221" s="198">
        <f t="shared" si="6071"/>
        <v>0</v>
      </c>
      <c r="IC221" s="140"/>
      <c r="ID221" s="110"/>
      <c r="IE221" s="137"/>
      <c r="IF221" s="97"/>
      <c r="IG221" s="138">
        <f t="shared" ref="IG221:IH221" si="6220">IG162+IG192</f>
        <v>0</v>
      </c>
      <c r="IH221" s="110">
        <f t="shared" si="6220"/>
        <v>0</v>
      </c>
      <c r="II221" s="110"/>
      <c r="IJ221" s="139"/>
      <c r="IK221" s="225" t="e">
        <f t="shared" si="6073"/>
        <v>#DIV/0!</v>
      </c>
      <c r="IL221" s="198">
        <f t="shared" si="6071"/>
        <v>0</v>
      </c>
      <c r="IM221" s="140"/>
      <c r="IN221" s="110"/>
      <c r="IO221" s="137"/>
      <c r="IP221" s="97"/>
      <c r="IQ221" s="138">
        <f t="shared" ref="IQ221:IR221" si="6221">IQ162+IQ192</f>
        <v>0</v>
      </c>
      <c r="IR221" s="110">
        <f t="shared" si="6221"/>
        <v>0</v>
      </c>
      <c r="IS221" s="110"/>
      <c r="IT221" s="139"/>
      <c r="IU221" s="225" t="e">
        <f t="shared" si="6076"/>
        <v>#DIV/0!</v>
      </c>
      <c r="IV221" s="198">
        <f t="shared" si="6071"/>
        <v>0</v>
      </c>
      <c r="IW221" s="140"/>
      <c r="IX221" s="110"/>
      <c r="IY221" s="137"/>
      <c r="IZ221" s="97"/>
      <c r="JA221" s="138">
        <f t="shared" ref="JA221:JB221" si="6222">JA162+JA192</f>
        <v>0</v>
      </c>
      <c r="JB221" s="110">
        <f t="shared" si="6222"/>
        <v>0</v>
      </c>
      <c r="JC221" s="110"/>
      <c r="JD221" s="139"/>
      <c r="JE221" s="225" t="e">
        <f t="shared" si="6079"/>
        <v>#DIV/0!</v>
      </c>
      <c r="JF221" s="198">
        <f t="shared" si="6071"/>
        <v>0</v>
      </c>
      <c r="JG221" s="140"/>
      <c r="JH221" s="110"/>
      <c r="JI221" s="137"/>
      <c r="JJ221" s="97"/>
      <c r="JK221" s="138">
        <f t="shared" ref="JK221:JL221" si="6223">JK162+JK192</f>
        <v>0</v>
      </c>
      <c r="JL221" s="110">
        <f t="shared" si="6223"/>
        <v>0</v>
      </c>
      <c r="JM221" s="110"/>
      <c r="JN221" s="139"/>
      <c r="JO221" s="225" t="e">
        <f t="shared" si="6082"/>
        <v>#DIV/0!</v>
      </c>
      <c r="JP221" s="198">
        <f t="shared" si="6083"/>
        <v>0</v>
      </c>
      <c r="JQ221" s="140"/>
      <c r="JR221" s="110"/>
      <c r="JS221" s="137"/>
      <c r="JT221" s="97"/>
      <c r="JU221" s="138">
        <f t="shared" ref="JU221:JV221" si="6224">JU162+JU192</f>
        <v>0</v>
      </c>
      <c r="JV221" s="110">
        <f t="shared" si="6224"/>
        <v>0</v>
      </c>
      <c r="JW221" s="110"/>
      <c r="JX221" s="139"/>
      <c r="JY221" s="225" t="e">
        <f t="shared" si="6085"/>
        <v>#DIV/0!</v>
      </c>
      <c r="JZ221" s="198">
        <f t="shared" si="6083"/>
        <v>0</v>
      </c>
      <c r="KA221" s="140"/>
      <c r="KB221" s="110"/>
      <c r="KC221" s="137"/>
      <c r="KD221" s="97"/>
      <c r="KE221" s="138">
        <f t="shared" ref="KE221:KF221" si="6225">KE162+KE192</f>
        <v>0</v>
      </c>
      <c r="KF221" s="110">
        <f t="shared" si="6225"/>
        <v>0</v>
      </c>
      <c r="KG221" s="110"/>
      <c r="KH221" s="139"/>
      <c r="KI221" s="225" t="e">
        <f t="shared" si="6088"/>
        <v>#DIV/0!</v>
      </c>
      <c r="KJ221" s="198">
        <f t="shared" si="6083"/>
        <v>0</v>
      </c>
      <c r="KK221" s="140"/>
      <c r="KL221" s="110"/>
      <c r="KM221" s="137"/>
      <c r="KN221" s="97"/>
      <c r="KO221" s="138">
        <f t="shared" ref="KO221:KP221" si="6226">KO162+KO192</f>
        <v>0</v>
      </c>
      <c r="KP221" s="110">
        <f t="shared" si="6226"/>
        <v>0</v>
      </c>
      <c r="KQ221" s="110"/>
      <c r="KR221" s="139"/>
      <c r="KS221" s="225" t="e">
        <f t="shared" si="6091"/>
        <v>#DIV/0!</v>
      </c>
      <c r="KT221" s="198">
        <f t="shared" si="6083"/>
        <v>0</v>
      </c>
      <c r="KU221" s="140"/>
      <c r="KV221" s="110"/>
      <c r="KW221" s="137"/>
      <c r="KX221" s="97"/>
      <c r="KY221" s="138">
        <f t="shared" ref="KY221:KZ221" si="6227">KY162+KY192</f>
        <v>0</v>
      </c>
      <c r="KZ221" s="110">
        <f t="shared" si="6227"/>
        <v>0</v>
      </c>
      <c r="LA221" s="110"/>
      <c r="LB221" s="139"/>
      <c r="LC221" s="225" t="e">
        <f t="shared" si="6094"/>
        <v>#DIV/0!</v>
      </c>
      <c r="LD221" s="198">
        <f t="shared" ref="LD221" si="6228">LD17</f>
        <v>0</v>
      </c>
      <c r="LE221" s="140"/>
      <c r="LF221" s="110"/>
      <c r="LG221" s="137"/>
      <c r="LH221" s="97"/>
      <c r="LI221" s="138">
        <f t="shared" ref="LI221:LJ221" si="6229">LI162+LI192</f>
        <v>0</v>
      </c>
      <c r="LJ221" s="110">
        <f t="shared" si="6229"/>
        <v>0</v>
      </c>
      <c r="LK221" s="110"/>
      <c r="LL221" s="139"/>
    </row>
    <row r="222" spans="1:324" ht="24" x14ac:dyDescent="0.25">
      <c r="A222" s="246"/>
      <c r="B222" s="12" t="s">
        <v>627</v>
      </c>
      <c r="C222" s="12" t="s">
        <v>729</v>
      </c>
      <c r="D222" s="12" t="s">
        <v>429</v>
      </c>
      <c r="E222" s="4"/>
      <c r="F222" s="198">
        <f t="shared" si="6097"/>
        <v>0</v>
      </c>
      <c r="G222" s="140"/>
      <c r="H222" s="110"/>
      <c r="I222" s="137"/>
      <c r="J222" s="97"/>
      <c r="K222" s="138">
        <f t="shared" ref="K222:L222" si="6230">K163+K193</f>
        <v>0</v>
      </c>
      <c r="L222" s="110">
        <f t="shared" si="6230"/>
        <v>0</v>
      </c>
      <c r="M222" s="110"/>
      <c r="N222" s="139"/>
      <c r="O222" s="225">
        <f t="shared" si="6004"/>
        <v>0</v>
      </c>
      <c r="P222" s="198">
        <f t="shared" si="6005"/>
        <v>0</v>
      </c>
      <c r="Q222" s="140"/>
      <c r="R222" s="110"/>
      <c r="S222" s="137"/>
      <c r="T222" s="97"/>
      <c r="U222" s="138">
        <f t="shared" ref="U222:V222" si="6231">U163+U193</f>
        <v>0</v>
      </c>
      <c r="V222" s="110">
        <f t="shared" si="6231"/>
        <v>0</v>
      </c>
      <c r="W222" s="110"/>
      <c r="X222" s="139"/>
      <c r="Y222" s="225">
        <f t="shared" si="6007"/>
        <v>0</v>
      </c>
      <c r="Z222" s="198">
        <f t="shared" si="6005"/>
        <v>0</v>
      </c>
      <c r="AA222" s="140"/>
      <c r="AB222" s="110"/>
      <c r="AC222" s="137"/>
      <c r="AD222" s="97"/>
      <c r="AE222" s="138">
        <f t="shared" ref="AE222:AF222" si="6232">AE163+AE193</f>
        <v>0</v>
      </c>
      <c r="AF222" s="110">
        <f t="shared" si="6232"/>
        <v>0</v>
      </c>
      <c r="AG222" s="110"/>
      <c r="AH222" s="139"/>
      <c r="AI222" s="225">
        <f t="shared" si="6010"/>
        <v>0</v>
      </c>
      <c r="AJ222" s="198">
        <f t="shared" si="6005"/>
        <v>3</v>
      </c>
      <c r="AK222" s="140"/>
      <c r="AL222" s="110"/>
      <c r="AM222" s="137"/>
      <c r="AN222" s="97"/>
      <c r="AO222" s="138">
        <f t="shared" ref="AO222:AP222" si="6233">AO163+AO193</f>
        <v>1951.73127</v>
      </c>
      <c r="AP222" s="110">
        <f t="shared" si="6233"/>
        <v>5855.19</v>
      </c>
      <c r="AQ222" s="110"/>
      <c r="AR222" s="139"/>
      <c r="AS222" s="225">
        <f t="shared" si="6013"/>
        <v>0.66027999999999998</v>
      </c>
      <c r="AT222" s="198">
        <f t="shared" si="6005"/>
        <v>0</v>
      </c>
      <c r="AU222" s="140"/>
      <c r="AV222" s="110"/>
      <c r="AW222" s="137"/>
      <c r="AX222" s="97"/>
      <c r="AY222" s="138">
        <f t="shared" ref="AY222:AZ222" si="6234">AY163+AY193</f>
        <v>0</v>
      </c>
      <c r="AZ222" s="110">
        <f t="shared" si="6234"/>
        <v>0</v>
      </c>
      <c r="BA222" s="110"/>
      <c r="BB222" s="139"/>
      <c r="BC222" s="225">
        <f t="shared" si="6016"/>
        <v>0</v>
      </c>
      <c r="BD222" s="198">
        <f t="shared" si="6005"/>
        <v>0</v>
      </c>
      <c r="BE222" s="140"/>
      <c r="BF222" s="110"/>
      <c r="BG222" s="137"/>
      <c r="BH222" s="97"/>
      <c r="BI222" s="138">
        <f t="shared" ref="BI222:BJ222" si="6235">BI163+BI193</f>
        <v>0</v>
      </c>
      <c r="BJ222" s="110">
        <f t="shared" si="6235"/>
        <v>0</v>
      </c>
      <c r="BK222" s="110"/>
      <c r="BL222" s="139"/>
      <c r="BM222" s="225">
        <f t="shared" si="6019"/>
        <v>0</v>
      </c>
      <c r="BN222" s="198">
        <f t="shared" si="6005"/>
        <v>0</v>
      </c>
      <c r="BO222" s="140"/>
      <c r="BP222" s="110"/>
      <c r="BQ222" s="137"/>
      <c r="BR222" s="97"/>
      <c r="BS222" s="138">
        <f t="shared" ref="BS222:BT222" si="6236">BS163+BS193</f>
        <v>0</v>
      </c>
      <c r="BT222" s="110">
        <f t="shared" si="6236"/>
        <v>0</v>
      </c>
      <c r="BU222" s="110"/>
      <c r="BV222" s="139"/>
      <c r="BW222" s="225">
        <f t="shared" si="6022"/>
        <v>0</v>
      </c>
      <c r="BX222" s="198">
        <f t="shared" si="6005"/>
        <v>0</v>
      </c>
      <c r="BY222" s="140"/>
      <c r="BZ222" s="110"/>
      <c r="CA222" s="137"/>
      <c r="CB222" s="97"/>
      <c r="CC222" s="138">
        <f t="shared" ref="CC222:CD222" si="6237">CC163+CC193</f>
        <v>0</v>
      </c>
      <c r="CD222" s="110">
        <f t="shared" si="6237"/>
        <v>0</v>
      </c>
      <c r="CE222" s="110"/>
      <c r="CF222" s="139"/>
      <c r="CG222" s="225">
        <f t="shared" si="6025"/>
        <v>0</v>
      </c>
      <c r="CH222" s="198">
        <f t="shared" si="6026"/>
        <v>0</v>
      </c>
      <c r="CI222" s="140"/>
      <c r="CJ222" s="110"/>
      <c r="CK222" s="137"/>
      <c r="CL222" s="97"/>
      <c r="CM222" s="138">
        <f t="shared" ref="CM222:CN222" si="6238">CM163+CM193</f>
        <v>0</v>
      </c>
      <c r="CN222" s="110">
        <f t="shared" si="6238"/>
        <v>0</v>
      </c>
      <c r="CO222" s="110"/>
      <c r="CP222" s="139"/>
      <c r="CQ222" s="225">
        <f t="shared" si="6028"/>
        <v>0</v>
      </c>
      <c r="CR222" s="198">
        <f t="shared" si="6026"/>
        <v>2</v>
      </c>
      <c r="CS222" s="140"/>
      <c r="CT222" s="110"/>
      <c r="CU222" s="137"/>
      <c r="CV222" s="97"/>
      <c r="CW222" s="138">
        <f t="shared" ref="CW222:CX222" si="6239">CW163+CW193</f>
        <v>3138.8838000000001</v>
      </c>
      <c r="CX222" s="110">
        <f t="shared" si="6239"/>
        <v>6277.77</v>
      </c>
      <c r="CY222" s="110"/>
      <c r="CZ222" s="139"/>
      <c r="DA222" s="225">
        <f t="shared" si="6031"/>
        <v>1.0619099999999999</v>
      </c>
      <c r="DB222" s="198">
        <f t="shared" si="6026"/>
        <v>0</v>
      </c>
      <c r="DC222" s="140"/>
      <c r="DD222" s="110"/>
      <c r="DE222" s="137"/>
      <c r="DF222" s="97"/>
      <c r="DG222" s="138">
        <f t="shared" ref="DG222:DH222" si="6240">DG163+DG193</f>
        <v>0</v>
      </c>
      <c r="DH222" s="110">
        <f t="shared" si="6240"/>
        <v>0</v>
      </c>
      <c r="DI222" s="110"/>
      <c r="DJ222" s="139"/>
      <c r="DK222" s="225">
        <f t="shared" si="6034"/>
        <v>0</v>
      </c>
      <c r="DL222" s="198">
        <f t="shared" si="6026"/>
        <v>0</v>
      </c>
      <c r="DM222" s="140"/>
      <c r="DN222" s="110"/>
      <c r="DO222" s="137"/>
      <c r="DP222" s="97"/>
      <c r="DQ222" s="138">
        <f t="shared" ref="DQ222:DR222" si="6241">DQ163+DQ193</f>
        <v>0</v>
      </c>
      <c r="DR222" s="110">
        <f t="shared" si="6241"/>
        <v>0</v>
      </c>
      <c r="DS222" s="110"/>
      <c r="DT222" s="139"/>
      <c r="DU222" s="225">
        <f t="shared" si="6037"/>
        <v>0</v>
      </c>
      <c r="DV222" s="198">
        <f t="shared" si="6026"/>
        <v>0</v>
      </c>
      <c r="DW222" s="140"/>
      <c r="DX222" s="110"/>
      <c r="DY222" s="137"/>
      <c r="DZ222" s="97"/>
      <c r="EA222" s="138">
        <f t="shared" ref="EA222:EB222" si="6242">EA163+EA193</f>
        <v>0</v>
      </c>
      <c r="EB222" s="110">
        <f t="shared" si="6242"/>
        <v>0</v>
      </c>
      <c r="EC222" s="110"/>
      <c r="ED222" s="139"/>
      <c r="EE222" s="225">
        <f t="shared" si="6040"/>
        <v>0</v>
      </c>
      <c r="EF222" s="198">
        <f t="shared" si="6026"/>
        <v>2</v>
      </c>
      <c r="EG222" s="140"/>
      <c r="EH222" s="110"/>
      <c r="EI222" s="137"/>
      <c r="EJ222" s="97"/>
      <c r="EK222" s="138">
        <f t="shared" ref="EK222:EL222" si="6243">EK163+EK193</f>
        <v>1905.31945</v>
      </c>
      <c r="EL222" s="110">
        <f t="shared" si="6243"/>
        <v>3810.64</v>
      </c>
      <c r="EM222" s="110"/>
      <c r="EN222" s="139"/>
      <c r="EO222" s="225">
        <f t="shared" si="6043"/>
        <v>0.64458000000000004</v>
      </c>
      <c r="EP222" s="198">
        <f t="shared" si="6026"/>
        <v>2</v>
      </c>
      <c r="EQ222" s="140"/>
      <c r="ER222" s="110"/>
      <c r="ES222" s="137"/>
      <c r="ET222" s="97"/>
      <c r="EU222" s="138">
        <f t="shared" ref="EU222:EV222" si="6244">EU163+EU193</f>
        <v>3273.1809499999999</v>
      </c>
      <c r="EV222" s="110">
        <f t="shared" si="6244"/>
        <v>6546.36</v>
      </c>
      <c r="EW222" s="110"/>
      <c r="EX222" s="139"/>
      <c r="EY222" s="225">
        <f t="shared" si="6046"/>
        <v>1.10734</v>
      </c>
      <c r="EZ222" s="198">
        <f t="shared" si="6047"/>
        <v>1</v>
      </c>
      <c r="FA222" s="140"/>
      <c r="FB222" s="110"/>
      <c r="FC222" s="137"/>
      <c r="FD222" s="97"/>
      <c r="FE222" s="138">
        <f t="shared" ref="FE222:FF222" si="6245">FE163+FE193</f>
        <v>1443.3963000000001</v>
      </c>
      <c r="FF222" s="110">
        <f t="shared" si="6245"/>
        <v>1443.38</v>
      </c>
      <c r="FG222" s="110"/>
      <c r="FH222" s="139"/>
      <c r="FI222" s="225">
        <f t="shared" si="6049"/>
        <v>0.48831000000000002</v>
      </c>
      <c r="FJ222" s="198">
        <f t="shared" si="6047"/>
        <v>1</v>
      </c>
      <c r="FK222" s="140"/>
      <c r="FL222" s="110"/>
      <c r="FM222" s="137"/>
      <c r="FN222" s="97"/>
      <c r="FO222" s="138">
        <f t="shared" ref="FO222:FP222" si="6246">FO163+FO193</f>
        <v>2913.1794</v>
      </c>
      <c r="FP222" s="110">
        <f t="shared" si="6246"/>
        <v>2913.17</v>
      </c>
      <c r="FQ222" s="110"/>
      <c r="FR222" s="139"/>
      <c r="FS222" s="225">
        <f t="shared" si="6052"/>
        <v>0.98555000000000004</v>
      </c>
      <c r="FT222" s="198">
        <f t="shared" si="6047"/>
        <v>1</v>
      </c>
      <c r="FU222" s="140"/>
      <c r="FV222" s="110"/>
      <c r="FW222" s="137"/>
      <c r="FX222" s="97"/>
      <c r="FY222" s="138">
        <f t="shared" ref="FY222:FZ222" si="6247">FY163+FY193</f>
        <v>2767.8330000000001</v>
      </c>
      <c r="FZ222" s="110">
        <f t="shared" si="6247"/>
        <v>2767.83</v>
      </c>
      <c r="GA222" s="110"/>
      <c r="GB222" s="139"/>
      <c r="GC222" s="225">
        <f t="shared" si="6055"/>
        <v>0.93637999999999999</v>
      </c>
      <c r="GD222" s="198">
        <f t="shared" si="6047"/>
        <v>2</v>
      </c>
      <c r="GE222" s="140"/>
      <c r="GF222" s="110"/>
      <c r="GG222" s="137"/>
      <c r="GH222" s="97"/>
      <c r="GI222" s="138">
        <f t="shared" ref="GI222:GJ222" si="6248">GI163+GI193</f>
        <v>2243.1797499999998</v>
      </c>
      <c r="GJ222" s="110">
        <f t="shared" si="6248"/>
        <v>4486.3599999999997</v>
      </c>
      <c r="GK222" s="110"/>
      <c r="GL222" s="139"/>
      <c r="GM222" s="225">
        <f t="shared" si="6058"/>
        <v>0.75888</v>
      </c>
      <c r="GN222" s="198">
        <f t="shared" si="6059"/>
        <v>0</v>
      </c>
      <c r="GO222" s="140"/>
      <c r="GP222" s="110"/>
      <c r="GQ222" s="137"/>
      <c r="GR222" s="97"/>
      <c r="GS222" s="138">
        <f t="shared" ref="GS222:GT222" si="6249">GS163+GS193</f>
        <v>0</v>
      </c>
      <c r="GT222" s="110">
        <f t="shared" si="6249"/>
        <v>0</v>
      </c>
      <c r="GU222" s="110"/>
      <c r="GV222" s="139"/>
      <c r="GW222" s="225">
        <f t="shared" si="6061"/>
        <v>0</v>
      </c>
      <c r="GX222" s="198">
        <f t="shared" si="6059"/>
        <v>0</v>
      </c>
      <c r="GY222" s="140"/>
      <c r="GZ222" s="110"/>
      <c r="HA222" s="137"/>
      <c r="HB222" s="97"/>
      <c r="HC222" s="138">
        <f t="shared" ref="HC222:HD222" si="6250">HC163+HC193</f>
        <v>0</v>
      </c>
      <c r="HD222" s="110">
        <f t="shared" si="6250"/>
        <v>0</v>
      </c>
      <c r="HE222" s="110"/>
      <c r="HF222" s="139"/>
      <c r="HG222" s="225">
        <f t="shared" si="6064"/>
        <v>0</v>
      </c>
      <c r="HH222" s="198">
        <f t="shared" si="6059"/>
        <v>0</v>
      </c>
      <c r="HI222" s="140"/>
      <c r="HJ222" s="110"/>
      <c r="HK222" s="137"/>
      <c r="HL222" s="97"/>
      <c r="HM222" s="138">
        <f t="shared" ref="HM222:HN222" si="6251">HM163+HM193</f>
        <v>0</v>
      </c>
      <c r="HN222" s="110">
        <f t="shared" si="6251"/>
        <v>0</v>
      </c>
      <c r="HO222" s="110"/>
      <c r="HP222" s="139"/>
      <c r="HQ222" s="225">
        <f t="shared" si="6067"/>
        <v>0</v>
      </c>
      <c r="HR222" s="198">
        <f t="shared" si="6059"/>
        <v>3</v>
      </c>
      <c r="HS222" s="140"/>
      <c r="HT222" s="110"/>
      <c r="HU222" s="137"/>
      <c r="HV222" s="97"/>
      <c r="HW222" s="138">
        <f t="shared" ref="HW222:HX222" si="6252">HW163+HW193</f>
        <v>3351.30728</v>
      </c>
      <c r="HX222" s="110">
        <f t="shared" si="6252"/>
        <v>10053.93</v>
      </c>
      <c r="HY222" s="110"/>
      <c r="HZ222" s="139"/>
      <c r="IA222" s="225">
        <f t="shared" si="6070"/>
        <v>1.1337699999999999</v>
      </c>
      <c r="IB222" s="198">
        <f t="shared" si="6071"/>
        <v>2</v>
      </c>
      <c r="IC222" s="140"/>
      <c r="ID222" s="110"/>
      <c r="IE222" s="137"/>
      <c r="IF222" s="97"/>
      <c r="IG222" s="138">
        <f t="shared" ref="IG222:IH222" si="6253">IG163+IG193</f>
        <v>4691.5233500000004</v>
      </c>
      <c r="IH222" s="110">
        <f t="shared" si="6253"/>
        <v>9383.0499999999993</v>
      </c>
      <c r="II222" s="110"/>
      <c r="IJ222" s="139"/>
      <c r="IK222" s="225">
        <f t="shared" si="6073"/>
        <v>1.58718</v>
      </c>
      <c r="IL222" s="198">
        <f t="shared" si="6071"/>
        <v>0</v>
      </c>
      <c r="IM222" s="140"/>
      <c r="IN222" s="110"/>
      <c r="IO222" s="137"/>
      <c r="IP222" s="97"/>
      <c r="IQ222" s="138">
        <f t="shared" ref="IQ222:IR222" si="6254">IQ163+IQ193</f>
        <v>0</v>
      </c>
      <c r="IR222" s="110">
        <f t="shared" si="6254"/>
        <v>0</v>
      </c>
      <c r="IS222" s="110"/>
      <c r="IT222" s="139"/>
      <c r="IU222" s="225">
        <f t="shared" si="6076"/>
        <v>0</v>
      </c>
      <c r="IV222" s="198">
        <f t="shared" si="6071"/>
        <v>14</v>
      </c>
      <c r="IW222" s="140"/>
      <c r="IX222" s="110"/>
      <c r="IY222" s="137"/>
      <c r="IZ222" s="97"/>
      <c r="JA222" s="138">
        <f t="shared" ref="JA222:JB222" si="6255">JA163+JA193</f>
        <v>2914.98362</v>
      </c>
      <c r="JB222" s="110">
        <f t="shared" si="6255"/>
        <v>40809.760000000002</v>
      </c>
      <c r="JC222" s="110"/>
      <c r="JD222" s="139"/>
      <c r="JE222" s="225">
        <f t="shared" si="6079"/>
        <v>0.98616000000000004</v>
      </c>
      <c r="JF222" s="198">
        <f t="shared" si="6071"/>
        <v>3</v>
      </c>
      <c r="JG222" s="140"/>
      <c r="JH222" s="110"/>
      <c r="JI222" s="137"/>
      <c r="JJ222" s="97"/>
      <c r="JK222" s="138">
        <f t="shared" ref="JK222:JL222" si="6256">JK163+JK193</f>
        <v>2873.2104300000001</v>
      </c>
      <c r="JL222" s="110">
        <f t="shared" si="6256"/>
        <v>8619.6299999999992</v>
      </c>
      <c r="JM222" s="110"/>
      <c r="JN222" s="139"/>
      <c r="JO222" s="225">
        <f t="shared" si="6082"/>
        <v>0.97202999999999995</v>
      </c>
      <c r="JP222" s="198">
        <f t="shared" si="6083"/>
        <v>2</v>
      </c>
      <c r="JQ222" s="140"/>
      <c r="JR222" s="110"/>
      <c r="JS222" s="137"/>
      <c r="JT222" s="97"/>
      <c r="JU222" s="138">
        <f t="shared" ref="JU222:JV222" si="6257">JU163+JU193</f>
        <v>3082.5050999999999</v>
      </c>
      <c r="JV222" s="110">
        <f t="shared" si="6257"/>
        <v>6165.01</v>
      </c>
      <c r="JW222" s="110"/>
      <c r="JX222" s="139"/>
      <c r="JY222" s="225">
        <f t="shared" si="6085"/>
        <v>1.0428299999999999</v>
      </c>
      <c r="JZ222" s="198">
        <f t="shared" si="6083"/>
        <v>0</v>
      </c>
      <c r="KA222" s="140"/>
      <c r="KB222" s="110"/>
      <c r="KC222" s="137"/>
      <c r="KD222" s="97"/>
      <c r="KE222" s="138">
        <f t="shared" ref="KE222:KF222" si="6258">KE163+KE193</f>
        <v>0</v>
      </c>
      <c r="KF222" s="110">
        <f t="shared" si="6258"/>
        <v>0</v>
      </c>
      <c r="KG222" s="110"/>
      <c r="KH222" s="139"/>
      <c r="KI222" s="225">
        <f t="shared" si="6088"/>
        <v>0</v>
      </c>
      <c r="KJ222" s="198">
        <f t="shared" si="6083"/>
        <v>0</v>
      </c>
      <c r="KK222" s="140"/>
      <c r="KL222" s="110"/>
      <c r="KM222" s="137"/>
      <c r="KN222" s="97"/>
      <c r="KO222" s="138">
        <f t="shared" ref="KO222:KP222" si="6259">KO163+KO193</f>
        <v>0</v>
      </c>
      <c r="KP222" s="110">
        <f t="shared" si="6259"/>
        <v>0</v>
      </c>
      <c r="KQ222" s="110"/>
      <c r="KR222" s="139"/>
      <c r="KS222" s="225">
        <f t="shared" si="6091"/>
        <v>0</v>
      </c>
      <c r="KT222" s="198">
        <f t="shared" si="6083"/>
        <v>2</v>
      </c>
      <c r="KU222" s="140"/>
      <c r="KV222" s="110"/>
      <c r="KW222" s="137"/>
      <c r="KX222" s="97"/>
      <c r="KY222" s="138">
        <f t="shared" ref="KY222:KZ222" si="6260">KY163+KY193</f>
        <v>12584.1958</v>
      </c>
      <c r="KZ222" s="110">
        <f t="shared" si="6260"/>
        <v>25168.39</v>
      </c>
      <c r="LA222" s="110"/>
      <c r="LB222" s="139"/>
      <c r="LC222" s="225">
        <f t="shared" si="6094"/>
        <v>4.25732</v>
      </c>
      <c r="LD222" s="198">
        <f t="shared" ref="LD222" si="6261">LD18</f>
        <v>40</v>
      </c>
      <c r="LE222" s="140"/>
      <c r="LF222" s="110"/>
      <c r="LG222" s="137"/>
      <c r="LH222" s="97"/>
      <c r="LI222" s="138">
        <f t="shared" ref="LI222:LJ222" si="6262">LI163+LI193</f>
        <v>2955.8933099999999</v>
      </c>
      <c r="LJ222" s="110">
        <f t="shared" si="6262"/>
        <v>118235.73</v>
      </c>
      <c r="LK222" s="110"/>
      <c r="LL222" s="139"/>
    </row>
    <row r="223" spans="1:324" ht="24" hidden="1" x14ac:dyDescent="0.25">
      <c r="A223" s="246"/>
      <c r="B223" s="92" t="s">
        <v>608</v>
      </c>
      <c r="C223" s="12" t="s">
        <v>729</v>
      </c>
      <c r="D223" s="12" t="s">
        <v>429</v>
      </c>
      <c r="E223" s="4"/>
      <c r="F223" s="198">
        <f t="shared" si="6097"/>
        <v>0</v>
      </c>
      <c r="G223" s="140"/>
      <c r="H223" s="110"/>
      <c r="I223" s="137"/>
      <c r="J223" s="97"/>
      <c r="K223" s="138">
        <f t="shared" ref="K223:L223" si="6263">K164+K194</f>
        <v>0</v>
      </c>
      <c r="L223" s="110">
        <f t="shared" si="6263"/>
        <v>0</v>
      </c>
      <c r="M223" s="110"/>
      <c r="N223" s="139"/>
      <c r="O223" s="225" t="e">
        <f t="shared" si="6004"/>
        <v>#DIV/0!</v>
      </c>
      <c r="P223" s="198">
        <f t="shared" si="6005"/>
        <v>0</v>
      </c>
      <c r="Q223" s="140"/>
      <c r="R223" s="110"/>
      <c r="S223" s="137"/>
      <c r="T223" s="97"/>
      <c r="U223" s="138">
        <f t="shared" ref="U223:V223" si="6264">U164+U194</f>
        <v>0</v>
      </c>
      <c r="V223" s="110">
        <f t="shared" si="6264"/>
        <v>0</v>
      </c>
      <c r="W223" s="110"/>
      <c r="X223" s="139"/>
      <c r="Y223" s="225" t="e">
        <f t="shared" si="6007"/>
        <v>#DIV/0!</v>
      </c>
      <c r="Z223" s="198">
        <f t="shared" si="6005"/>
        <v>0</v>
      </c>
      <c r="AA223" s="140"/>
      <c r="AB223" s="110"/>
      <c r="AC223" s="137"/>
      <c r="AD223" s="97"/>
      <c r="AE223" s="138">
        <f t="shared" ref="AE223:AF223" si="6265">AE164+AE194</f>
        <v>0</v>
      </c>
      <c r="AF223" s="110">
        <f t="shared" si="6265"/>
        <v>0</v>
      </c>
      <c r="AG223" s="110"/>
      <c r="AH223" s="139"/>
      <c r="AI223" s="225" t="e">
        <f t="shared" si="6010"/>
        <v>#DIV/0!</v>
      </c>
      <c r="AJ223" s="198">
        <f t="shared" si="6005"/>
        <v>0</v>
      </c>
      <c r="AK223" s="140"/>
      <c r="AL223" s="110"/>
      <c r="AM223" s="137"/>
      <c r="AN223" s="97"/>
      <c r="AO223" s="138">
        <f t="shared" ref="AO223:AP223" si="6266">AO164+AO194</f>
        <v>0</v>
      </c>
      <c r="AP223" s="110">
        <f t="shared" si="6266"/>
        <v>0</v>
      </c>
      <c r="AQ223" s="110"/>
      <c r="AR223" s="139"/>
      <c r="AS223" s="225" t="e">
        <f t="shared" si="6013"/>
        <v>#DIV/0!</v>
      </c>
      <c r="AT223" s="198">
        <f t="shared" si="6005"/>
        <v>0</v>
      </c>
      <c r="AU223" s="140"/>
      <c r="AV223" s="110"/>
      <c r="AW223" s="137"/>
      <c r="AX223" s="97"/>
      <c r="AY223" s="138">
        <f t="shared" ref="AY223:AZ223" si="6267">AY164+AY194</f>
        <v>0</v>
      </c>
      <c r="AZ223" s="110">
        <f t="shared" si="6267"/>
        <v>0</v>
      </c>
      <c r="BA223" s="110"/>
      <c r="BB223" s="139"/>
      <c r="BC223" s="225" t="e">
        <f t="shared" si="6016"/>
        <v>#DIV/0!</v>
      </c>
      <c r="BD223" s="198">
        <f t="shared" si="6005"/>
        <v>0</v>
      </c>
      <c r="BE223" s="140"/>
      <c r="BF223" s="110"/>
      <c r="BG223" s="137"/>
      <c r="BH223" s="97"/>
      <c r="BI223" s="138">
        <f t="shared" ref="BI223:BJ223" si="6268">BI164+BI194</f>
        <v>0</v>
      </c>
      <c r="BJ223" s="110">
        <f t="shared" si="6268"/>
        <v>0</v>
      </c>
      <c r="BK223" s="110"/>
      <c r="BL223" s="139"/>
      <c r="BM223" s="225" t="e">
        <f t="shared" si="6019"/>
        <v>#DIV/0!</v>
      </c>
      <c r="BN223" s="198">
        <f t="shared" si="6005"/>
        <v>0</v>
      </c>
      <c r="BO223" s="140"/>
      <c r="BP223" s="110"/>
      <c r="BQ223" s="137"/>
      <c r="BR223" s="97"/>
      <c r="BS223" s="138">
        <f t="shared" ref="BS223:BT223" si="6269">BS164+BS194</f>
        <v>0</v>
      </c>
      <c r="BT223" s="110">
        <f t="shared" si="6269"/>
        <v>0</v>
      </c>
      <c r="BU223" s="110"/>
      <c r="BV223" s="139"/>
      <c r="BW223" s="225" t="e">
        <f t="shared" si="6022"/>
        <v>#DIV/0!</v>
      </c>
      <c r="BX223" s="198">
        <f t="shared" si="6005"/>
        <v>0</v>
      </c>
      <c r="BY223" s="140"/>
      <c r="BZ223" s="110"/>
      <c r="CA223" s="137"/>
      <c r="CB223" s="97"/>
      <c r="CC223" s="138">
        <f t="shared" ref="CC223:CD223" si="6270">CC164+CC194</f>
        <v>0</v>
      </c>
      <c r="CD223" s="110">
        <f t="shared" si="6270"/>
        <v>0</v>
      </c>
      <c r="CE223" s="110"/>
      <c r="CF223" s="139"/>
      <c r="CG223" s="225" t="e">
        <f t="shared" si="6025"/>
        <v>#DIV/0!</v>
      </c>
      <c r="CH223" s="198">
        <f t="shared" si="6026"/>
        <v>0</v>
      </c>
      <c r="CI223" s="140"/>
      <c r="CJ223" s="110"/>
      <c r="CK223" s="137"/>
      <c r="CL223" s="97"/>
      <c r="CM223" s="138">
        <f t="shared" ref="CM223:CN223" si="6271">CM164+CM194</f>
        <v>0</v>
      </c>
      <c r="CN223" s="110">
        <f t="shared" si="6271"/>
        <v>0</v>
      </c>
      <c r="CO223" s="110"/>
      <c r="CP223" s="139"/>
      <c r="CQ223" s="225" t="e">
        <f t="shared" si="6028"/>
        <v>#DIV/0!</v>
      </c>
      <c r="CR223" s="198">
        <f t="shared" si="6026"/>
        <v>0</v>
      </c>
      <c r="CS223" s="140"/>
      <c r="CT223" s="110"/>
      <c r="CU223" s="137"/>
      <c r="CV223" s="97"/>
      <c r="CW223" s="138">
        <f t="shared" ref="CW223:CX223" si="6272">CW164+CW194</f>
        <v>0</v>
      </c>
      <c r="CX223" s="110">
        <f t="shared" si="6272"/>
        <v>0</v>
      </c>
      <c r="CY223" s="110"/>
      <c r="CZ223" s="139"/>
      <c r="DA223" s="225" t="e">
        <f t="shared" si="6031"/>
        <v>#DIV/0!</v>
      </c>
      <c r="DB223" s="198">
        <f t="shared" si="6026"/>
        <v>0</v>
      </c>
      <c r="DC223" s="140"/>
      <c r="DD223" s="110"/>
      <c r="DE223" s="137"/>
      <c r="DF223" s="97"/>
      <c r="DG223" s="138">
        <f t="shared" ref="DG223:DH223" si="6273">DG164+DG194</f>
        <v>0</v>
      </c>
      <c r="DH223" s="110">
        <f t="shared" si="6273"/>
        <v>0</v>
      </c>
      <c r="DI223" s="110"/>
      <c r="DJ223" s="139"/>
      <c r="DK223" s="225" t="e">
        <f t="shared" si="6034"/>
        <v>#DIV/0!</v>
      </c>
      <c r="DL223" s="198">
        <f t="shared" si="6026"/>
        <v>0</v>
      </c>
      <c r="DM223" s="140"/>
      <c r="DN223" s="110"/>
      <c r="DO223" s="137"/>
      <c r="DP223" s="97"/>
      <c r="DQ223" s="138">
        <f t="shared" ref="DQ223:DR223" si="6274">DQ164+DQ194</f>
        <v>0</v>
      </c>
      <c r="DR223" s="110">
        <f t="shared" si="6274"/>
        <v>0</v>
      </c>
      <c r="DS223" s="110"/>
      <c r="DT223" s="139"/>
      <c r="DU223" s="225" t="e">
        <f t="shared" si="6037"/>
        <v>#DIV/0!</v>
      </c>
      <c r="DV223" s="198">
        <f t="shared" si="6026"/>
        <v>0</v>
      </c>
      <c r="DW223" s="140"/>
      <c r="DX223" s="110"/>
      <c r="DY223" s="137"/>
      <c r="DZ223" s="97"/>
      <c r="EA223" s="138">
        <f t="shared" ref="EA223:EB223" si="6275">EA164+EA194</f>
        <v>0</v>
      </c>
      <c r="EB223" s="110">
        <f t="shared" si="6275"/>
        <v>0</v>
      </c>
      <c r="EC223" s="110"/>
      <c r="ED223" s="139"/>
      <c r="EE223" s="225" t="e">
        <f t="shared" si="6040"/>
        <v>#DIV/0!</v>
      </c>
      <c r="EF223" s="198">
        <f t="shared" si="6026"/>
        <v>0</v>
      </c>
      <c r="EG223" s="140"/>
      <c r="EH223" s="110"/>
      <c r="EI223" s="137"/>
      <c r="EJ223" s="97"/>
      <c r="EK223" s="138">
        <f t="shared" ref="EK223:EL223" si="6276">EK164+EK194</f>
        <v>0</v>
      </c>
      <c r="EL223" s="110">
        <f t="shared" si="6276"/>
        <v>0</v>
      </c>
      <c r="EM223" s="110"/>
      <c r="EN223" s="139"/>
      <c r="EO223" s="225" t="e">
        <f t="shared" si="6043"/>
        <v>#DIV/0!</v>
      </c>
      <c r="EP223" s="198">
        <f t="shared" si="6026"/>
        <v>0</v>
      </c>
      <c r="EQ223" s="140"/>
      <c r="ER223" s="110"/>
      <c r="ES223" s="137"/>
      <c r="ET223" s="97"/>
      <c r="EU223" s="138">
        <f t="shared" ref="EU223:EV223" si="6277">EU164+EU194</f>
        <v>0</v>
      </c>
      <c r="EV223" s="110">
        <f t="shared" si="6277"/>
        <v>0</v>
      </c>
      <c r="EW223" s="110"/>
      <c r="EX223" s="139"/>
      <c r="EY223" s="225" t="e">
        <f t="shared" si="6046"/>
        <v>#DIV/0!</v>
      </c>
      <c r="EZ223" s="198">
        <f t="shared" si="6047"/>
        <v>0</v>
      </c>
      <c r="FA223" s="140"/>
      <c r="FB223" s="110"/>
      <c r="FC223" s="137"/>
      <c r="FD223" s="97"/>
      <c r="FE223" s="138">
        <f t="shared" ref="FE223:FF223" si="6278">FE164+FE194</f>
        <v>0</v>
      </c>
      <c r="FF223" s="110">
        <f t="shared" si="6278"/>
        <v>0</v>
      </c>
      <c r="FG223" s="110"/>
      <c r="FH223" s="139"/>
      <c r="FI223" s="225" t="e">
        <f t="shared" si="6049"/>
        <v>#DIV/0!</v>
      </c>
      <c r="FJ223" s="198">
        <f t="shared" si="6047"/>
        <v>0</v>
      </c>
      <c r="FK223" s="140"/>
      <c r="FL223" s="110"/>
      <c r="FM223" s="137"/>
      <c r="FN223" s="97"/>
      <c r="FO223" s="138">
        <f t="shared" ref="FO223:FP223" si="6279">FO164+FO194</f>
        <v>0</v>
      </c>
      <c r="FP223" s="110">
        <f t="shared" si="6279"/>
        <v>0</v>
      </c>
      <c r="FQ223" s="110"/>
      <c r="FR223" s="139"/>
      <c r="FS223" s="225" t="e">
        <f t="shared" si="6052"/>
        <v>#DIV/0!</v>
      </c>
      <c r="FT223" s="198">
        <f t="shared" si="6047"/>
        <v>0</v>
      </c>
      <c r="FU223" s="140"/>
      <c r="FV223" s="110"/>
      <c r="FW223" s="137"/>
      <c r="FX223" s="97"/>
      <c r="FY223" s="138">
        <f t="shared" ref="FY223:FZ223" si="6280">FY164+FY194</f>
        <v>0</v>
      </c>
      <c r="FZ223" s="110">
        <f t="shared" si="6280"/>
        <v>0</v>
      </c>
      <c r="GA223" s="110"/>
      <c r="GB223" s="139"/>
      <c r="GC223" s="225" t="e">
        <f t="shared" si="6055"/>
        <v>#DIV/0!</v>
      </c>
      <c r="GD223" s="198">
        <f t="shared" si="6047"/>
        <v>0</v>
      </c>
      <c r="GE223" s="140"/>
      <c r="GF223" s="110"/>
      <c r="GG223" s="137"/>
      <c r="GH223" s="97"/>
      <c r="GI223" s="138">
        <f t="shared" ref="GI223:GJ223" si="6281">GI164+GI194</f>
        <v>0</v>
      </c>
      <c r="GJ223" s="110">
        <f t="shared" si="6281"/>
        <v>0</v>
      </c>
      <c r="GK223" s="110"/>
      <c r="GL223" s="139"/>
      <c r="GM223" s="225" t="e">
        <f t="shared" si="6058"/>
        <v>#DIV/0!</v>
      </c>
      <c r="GN223" s="198">
        <f t="shared" si="6059"/>
        <v>0</v>
      </c>
      <c r="GO223" s="140"/>
      <c r="GP223" s="110"/>
      <c r="GQ223" s="137"/>
      <c r="GR223" s="97"/>
      <c r="GS223" s="138">
        <f t="shared" ref="GS223:GT223" si="6282">GS164+GS194</f>
        <v>0</v>
      </c>
      <c r="GT223" s="110">
        <f t="shared" si="6282"/>
        <v>0</v>
      </c>
      <c r="GU223" s="110"/>
      <c r="GV223" s="139"/>
      <c r="GW223" s="225" t="e">
        <f t="shared" si="6061"/>
        <v>#DIV/0!</v>
      </c>
      <c r="GX223" s="198">
        <f t="shared" si="6059"/>
        <v>0</v>
      </c>
      <c r="GY223" s="140"/>
      <c r="GZ223" s="110"/>
      <c r="HA223" s="137"/>
      <c r="HB223" s="97"/>
      <c r="HC223" s="138">
        <f t="shared" ref="HC223:HD223" si="6283">HC164+HC194</f>
        <v>0</v>
      </c>
      <c r="HD223" s="110">
        <f t="shared" si="6283"/>
        <v>0</v>
      </c>
      <c r="HE223" s="110"/>
      <c r="HF223" s="139"/>
      <c r="HG223" s="225" t="e">
        <f t="shared" si="6064"/>
        <v>#DIV/0!</v>
      </c>
      <c r="HH223" s="198">
        <f t="shared" si="6059"/>
        <v>0</v>
      </c>
      <c r="HI223" s="140"/>
      <c r="HJ223" s="110"/>
      <c r="HK223" s="137"/>
      <c r="HL223" s="97"/>
      <c r="HM223" s="138">
        <f t="shared" ref="HM223:HN223" si="6284">HM164+HM194</f>
        <v>0</v>
      </c>
      <c r="HN223" s="110">
        <f t="shared" si="6284"/>
        <v>0</v>
      </c>
      <c r="HO223" s="110"/>
      <c r="HP223" s="139"/>
      <c r="HQ223" s="225" t="e">
        <f t="shared" si="6067"/>
        <v>#DIV/0!</v>
      </c>
      <c r="HR223" s="198">
        <f t="shared" si="6059"/>
        <v>0</v>
      </c>
      <c r="HS223" s="140"/>
      <c r="HT223" s="110"/>
      <c r="HU223" s="137"/>
      <c r="HV223" s="97"/>
      <c r="HW223" s="138">
        <f t="shared" ref="HW223:HX223" si="6285">HW164+HW194</f>
        <v>0</v>
      </c>
      <c r="HX223" s="110">
        <f t="shared" si="6285"/>
        <v>0</v>
      </c>
      <c r="HY223" s="110"/>
      <c r="HZ223" s="139"/>
      <c r="IA223" s="225" t="e">
        <f t="shared" si="6070"/>
        <v>#DIV/0!</v>
      </c>
      <c r="IB223" s="198">
        <f t="shared" si="6071"/>
        <v>0</v>
      </c>
      <c r="IC223" s="140"/>
      <c r="ID223" s="110"/>
      <c r="IE223" s="137"/>
      <c r="IF223" s="97"/>
      <c r="IG223" s="138">
        <f t="shared" ref="IG223:IH223" si="6286">IG164+IG194</f>
        <v>0</v>
      </c>
      <c r="IH223" s="110">
        <f t="shared" si="6286"/>
        <v>0</v>
      </c>
      <c r="II223" s="110"/>
      <c r="IJ223" s="139"/>
      <c r="IK223" s="225" t="e">
        <f t="shared" si="6073"/>
        <v>#DIV/0!</v>
      </c>
      <c r="IL223" s="198">
        <f t="shared" si="6071"/>
        <v>0</v>
      </c>
      <c r="IM223" s="140"/>
      <c r="IN223" s="110"/>
      <c r="IO223" s="137"/>
      <c r="IP223" s="97"/>
      <c r="IQ223" s="138">
        <f t="shared" ref="IQ223:IR223" si="6287">IQ164+IQ194</f>
        <v>0</v>
      </c>
      <c r="IR223" s="110">
        <f t="shared" si="6287"/>
        <v>0</v>
      </c>
      <c r="IS223" s="110"/>
      <c r="IT223" s="139"/>
      <c r="IU223" s="225" t="e">
        <f t="shared" si="6076"/>
        <v>#DIV/0!</v>
      </c>
      <c r="IV223" s="198">
        <f t="shared" si="6071"/>
        <v>0</v>
      </c>
      <c r="IW223" s="140"/>
      <c r="IX223" s="110"/>
      <c r="IY223" s="137"/>
      <c r="IZ223" s="97"/>
      <c r="JA223" s="138">
        <f t="shared" ref="JA223:JB223" si="6288">JA164+JA194</f>
        <v>0</v>
      </c>
      <c r="JB223" s="110">
        <f t="shared" si="6288"/>
        <v>0</v>
      </c>
      <c r="JC223" s="110"/>
      <c r="JD223" s="139"/>
      <c r="JE223" s="225" t="e">
        <f t="shared" si="6079"/>
        <v>#DIV/0!</v>
      </c>
      <c r="JF223" s="198">
        <f t="shared" si="6071"/>
        <v>0</v>
      </c>
      <c r="JG223" s="140"/>
      <c r="JH223" s="110"/>
      <c r="JI223" s="137"/>
      <c r="JJ223" s="97"/>
      <c r="JK223" s="138">
        <f t="shared" ref="JK223:JL223" si="6289">JK164+JK194</f>
        <v>0</v>
      </c>
      <c r="JL223" s="110">
        <f t="shared" si="6289"/>
        <v>0</v>
      </c>
      <c r="JM223" s="110"/>
      <c r="JN223" s="139"/>
      <c r="JO223" s="225" t="e">
        <f t="shared" si="6082"/>
        <v>#DIV/0!</v>
      </c>
      <c r="JP223" s="198">
        <f t="shared" si="6083"/>
        <v>0</v>
      </c>
      <c r="JQ223" s="140"/>
      <c r="JR223" s="110"/>
      <c r="JS223" s="137"/>
      <c r="JT223" s="97"/>
      <c r="JU223" s="138">
        <f t="shared" ref="JU223:JV223" si="6290">JU164+JU194</f>
        <v>0</v>
      </c>
      <c r="JV223" s="110">
        <f t="shared" si="6290"/>
        <v>0</v>
      </c>
      <c r="JW223" s="110"/>
      <c r="JX223" s="139"/>
      <c r="JY223" s="225" t="e">
        <f t="shared" si="6085"/>
        <v>#DIV/0!</v>
      </c>
      <c r="JZ223" s="198">
        <f t="shared" si="6083"/>
        <v>0</v>
      </c>
      <c r="KA223" s="140"/>
      <c r="KB223" s="110"/>
      <c r="KC223" s="137"/>
      <c r="KD223" s="97"/>
      <c r="KE223" s="138">
        <f t="shared" ref="KE223:KF223" si="6291">KE164+KE194</f>
        <v>0</v>
      </c>
      <c r="KF223" s="110">
        <f t="shared" si="6291"/>
        <v>0</v>
      </c>
      <c r="KG223" s="110"/>
      <c r="KH223" s="139"/>
      <c r="KI223" s="225" t="e">
        <f t="shared" si="6088"/>
        <v>#DIV/0!</v>
      </c>
      <c r="KJ223" s="198">
        <f t="shared" si="6083"/>
        <v>0</v>
      </c>
      <c r="KK223" s="140"/>
      <c r="KL223" s="110"/>
      <c r="KM223" s="137"/>
      <c r="KN223" s="97"/>
      <c r="KO223" s="138">
        <f t="shared" ref="KO223:KP223" si="6292">KO164+KO194</f>
        <v>0</v>
      </c>
      <c r="KP223" s="110">
        <f t="shared" si="6292"/>
        <v>0</v>
      </c>
      <c r="KQ223" s="110"/>
      <c r="KR223" s="139"/>
      <c r="KS223" s="225" t="e">
        <f t="shared" si="6091"/>
        <v>#DIV/0!</v>
      </c>
      <c r="KT223" s="198">
        <f t="shared" si="6083"/>
        <v>0</v>
      </c>
      <c r="KU223" s="140"/>
      <c r="KV223" s="110"/>
      <c r="KW223" s="137"/>
      <c r="KX223" s="97"/>
      <c r="KY223" s="138">
        <f t="shared" ref="KY223:KZ223" si="6293">KY164+KY194</f>
        <v>0</v>
      </c>
      <c r="KZ223" s="110">
        <f t="shared" si="6293"/>
        <v>0</v>
      </c>
      <c r="LA223" s="110"/>
      <c r="LB223" s="139"/>
      <c r="LC223" s="225" t="e">
        <f t="shared" si="6094"/>
        <v>#DIV/0!</v>
      </c>
      <c r="LD223" s="198">
        <f t="shared" ref="LD223" si="6294">LD19</f>
        <v>0</v>
      </c>
      <c r="LE223" s="140"/>
      <c r="LF223" s="110"/>
      <c r="LG223" s="137"/>
      <c r="LH223" s="97"/>
      <c r="LI223" s="138">
        <f t="shared" ref="LI223:LJ223" si="6295">LI164+LI194</f>
        <v>0</v>
      </c>
      <c r="LJ223" s="110">
        <f t="shared" si="6295"/>
        <v>0</v>
      </c>
      <c r="LK223" s="110"/>
      <c r="LL223" s="139"/>
    </row>
    <row r="224" spans="1:324" ht="24" hidden="1" x14ac:dyDescent="0.25">
      <c r="A224" s="247"/>
      <c r="B224" s="92" t="s">
        <v>611</v>
      </c>
      <c r="C224" s="12" t="s">
        <v>730</v>
      </c>
      <c r="D224" s="12" t="s">
        <v>428</v>
      </c>
      <c r="E224" s="4"/>
      <c r="F224" s="198">
        <f t="shared" si="6097"/>
        <v>0</v>
      </c>
      <c r="G224" s="140"/>
      <c r="H224" s="110"/>
      <c r="I224" s="137"/>
      <c r="J224" s="97"/>
      <c r="K224" s="138">
        <f t="shared" ref="K224:L224" si="6296">K165+K195</f>
        <v>0</v>
      </c>
      <c r="L224" s="110">
        <f t="shared" si="6296"/>
        <v>0</v>
      </c>
      <c r="M224" s="110"/>
      <c r="N224" s="139"/>
      <c r="O224" s="225" t="e">
        <f t="shared" si="6004"/>
        <v>#DIV/0!</v>
      </c>
      <c r="P224" s="198">
        <f t="shared" si="6005"/>
        <v>0</v>
      </c>
      <c r="Q224" s="140"/>
      <c r="R224" s="110"/>
      <c r="S224" s="137"/>
      <c r="T224" s="97"/>
      <c r="U224" s="138">
        <f t="shared" ref="U224:V224" si="6297">U165+U195</f>
        <v>0</v>
      </c>
      <c r="V224" s="110">
        <f t="shared" si="6297"/>
        <v>0</v>
      </c>
      <c r="W224" s="110"/>
      <c r="X224" s="139"/>
      <c r="Y224" s="225" t="e">
        <f t="shared" si="6007"/>
        <v>#DIV/0!</v>
      </c>
      <c r="Z224" s="198">
        <f t="shared" si="6005"/>
        <v>0</v>
      </c>
      <c r="AA224" s="140"/>
      <c r="AB224" s="110"/>
      <c r="AC224" s="137"/>
      <c r="AD224" s="97"/>
      <c r="AE224" s="138">
        <f t="shared" ref="AE224:AF224" si="6298">AE165+AE195</f>
        <v>0</v>
      </c>
      <c r="AF224" s="110">
        <f t="shared" si="6298"/>
        <v>0</v>
      </c>
      <c r="AG224" s="110"/>
      <c r="AH224" s="139"/>
      <c r="AI224" s="225" t="e">
        <f t="shared" si="6010"/>
        <v>#DIV/0!</v>
      </c>
      <c r="AJ224" s="198">
        <f t="shared" si="6005"/>
        <v>0</v>
      </c>
      <c r="AK224" s="140"/>
      <c r="AL224" s="110"/>
      <c r="AM224" s="137"/>
      <c r="AN224" s="97"/>
      <c r="AO224" s="138">
        <f t="shared" ref="AO224:AP224" si="6299">AO165+AO195</f>
        <v>0</v>
      </c>
      <c r="AP224" s="110">
        <f t="shared" si="6299"/>
        <v>0</v>
      </c>
      <c r="AQ224" s="110"/>
      <c r="AR224" s="139"/>
      <c r="AS224" s="225" t="e">
        <f t="shared" si="6013"/>
        <v>#DIV/0!</v>
      </c>
      <c r="AT224" s="198">
        <f t="shared" si="6005"/>
        <v>0</v>
      </c>
      <c r="AU224" s="140"/>
      <c r="AV224" s="110"/>
      <c r="AW224" s="137"/>
      <c r="AX224" s="97"/>
      <c r="AY224" s="138">
        <f t="shared" ref="AY224:AZ224" si="6300">AY165+AY195</f>
        <v>0</v>
      </c>
      <c r="AZ224" s="110">
        <f t="shared" si="6300"/>
        <v>0</v>
      </c>
      <c r="BA224" s="110"/>
      <c r="BB224" s="139"/>
      <c r="BC224" s="225" t="e">
        <f t="shared" si="6016"/>
        <v>#DIV/0!</v>
      </c>
      <c r="BD224" s="198">
        <f t="shared" si="6005"/>
        <v>0</v>
      </c>
      <c r="BE224" s="140"/>
      <c r="BF224" s="110"/>
      <c r="BG224" s="137"/>
      <c r="BH224" s="97"/>
      <c r="BI224" s="138">
        <f t="shared" ref="BI224:BJ224" si="6301">BI165+BI195</f>
        <v>0</v>
      </c>
      <c r="BJ224" s="110">
        <f t="shared" si="6301"/>
        <v>0</v>
      </c>
      <c r="BK224" s="110"/>
      <c r="BL224" s="139"/>
      <c r="BM224" s="225" t="e">
        <f t="shared" si="6019"/>
        <v>#DIV/0!</v>
      </c>
      <c r="BN224" s="198">
        <f t="shared" si="6005"/>
        <v>0</v>
      </c>
      <c r="BO224" s="140"/>
      <c r="BP224" s="110"/>
      <c r="BQ224" s="137"/>
      <c r="BR224" s="97"/>
      <c r="BS224" s="138">
        <f t="shared" ref="BS224:BT224" si="6302">BS165+BS195</f>
        <v>0</v>
      </c>
      <c r="BT224" s="110">
        <f t="shared" si="6302"/>
        <v>0</v>
      </c>
      <c r="BU224" s="110"/>
      <c r="BV224" s="139"/>
      <c r="BW224" s="225" t="e">
        <f t="shared" si="6022"/>
        <v>#DIV/0!</v>
      </c>
      <c r="BX224" s="198">
        <f t="shared" si="6005"/>
        <v>0</v>
      </c>
      <c r="BY224" s="140"/>
      <c r="BZ224" s="110"/>
      <c r="CA224" s="137"/>
      <c r="CB224" s="97"/>
      <c r="CC224" s="138">
        <f t="shared" ref="CC224:CD224" si="6303">CC165+CC195</f>
        <v>0</v>
      </c>
      <c r="CD224" s="110">
        <f t="shared" si="6303"/>
        <v>0</v>
      </c>
      <c r="CE224" s="110"/>
      <c r="CF224" s="139"/>
      <c r="CG224" s="225" t="e">
        <f t="shared" si="6025"/>
        <v>#DIV/0!</v>
      </c>
      <c r="CH224" s="198">
        <f t="shared" si="6026"/>
        <v>0</v>
      </c>
      <c r="CI224" s="140"/>
      <c r="CJ224" s="110"/>
      <c r="CK224" s="137"/>
      <c r="CL224" s="97"/>
      <c r="CM224" s="138">
        <f t="shared" ref="CM224:CN224" si="6304">CM165+CM195</f>
        <v>0</v>
      </c>
      <c r="CN224" s="110">
        <f t="shared" si="6304"/>
        <v>0</v>
      </c>
      <c r="CO224" s="110"/>
      <c r="CP224" s="139"/>
      <c r="CQ224" s="225" t="e">
        <f t="shared" si="6028"/>
        <v>#DIV/0!</v>
      </c>
      <c r="CR224" s="198">
        <f t="shared" si="6026"/>
        <v>0</v>
      </c>
      <c r="CS224" s="140"/>
      <c r="CT224" s="110"/>
      <c r="CU224" s="137"/>
      <c r="CV224" s="97"/>
      <c r="CW224" s="138">
        <f t="shared" ref="CW224:CX224" si="6305">CW165+CW195</f>
        <v>0</v>
      </c>
      <c r="CX224" s="110">
        <f t="shared" si="6305"/>
        <v>0</v>
      </c>
      <c r="CY224" s="110"/>
      <c r="CZ224" s="139"/>
      <c r="DA224" s="225" t="e">
        <f t="shared" si="6031"/>
        <v>#DIV/0!</v>
      </c>
      <c r="DB224" s="198">
        <f t="shared" si="6026"/>
        <v>0</v>
      </c>
      <c r="DC224" s="140"/>
      <c r="DD224" s="110"/>
      <c r="DE224" s="137"/>
      <c r="DF224" s="97"/>
      <c r="DG224" s="138">
        <f t="shared" ref="DG224:DH224" si="6306">DG165+DG195</f>
        <v>0</v>
      </c>
      <c r="DH224" s="110">
        <f t="shared" si="6306"/>
        <v>0</v>
      </c>
      <c r="DI224" s="110"/>
      <c r="DJ224" s="139"/>
      <c r="DK224" s="225" t="e">
        <f t="shared" si="6034"/>
        <v>#DIV/0!</v>
      </c>
      <c r="DL224" s="198">
        <f t="shared" si="6026"/>
        <v>0</v>
      </c>
      <c r="DM224" s="140"/>
      <c r="DN224" s="110"/>
      <c r="DO224" s="137"/>
      <c r="DP224" s="97"/>
      <c r="DQ224" s="138">
        <f t="shared" ref="DQ224:DR224" si="6307">DQ165+DQ195</f>
        <v>0</v>
      </c>
      <c r="DR224" s="110">
        <f t="shared" si="6307"/>
        <v>0</v>
      </c>
      <c r="DS224" s="110"/>
      <c r="DT224" s="139"/>
      <c r="DU224" s="225" t="e">
        <f t="shared" si="6037"/>
        <v>#DIV/0!</v>
      </c>
      <c r="DV224" s="198">
        <f t="shared" si="6026"/>
        <v>0</v>
      </c>
      <c r="DW224" s="140"/>
      <c r="DX224" s="110"/>
      <c r="DY224" s="137"/>
      <c r="DZ224" s="97"/>
      <c r="EA224" s="138">
        <f t="shared" ref="EA224:EB224" si="6308">EA165+EA195</f>
        <v>0</v>
      </c>
      <c r="EB224" s="110">
        <f t="shared" si="6308"/>
        <v>0</v>
      </c>
      <c r="EC224" s="110"/>
      <c r="ED224" s="139"/>
      <c r="EE224" s="225" t="e">
        <f t="shared" si="6040"/>
        <v>#DIV/0!</v>
      </c>
      <c r="EF224" s="198">
        <f t="shared" si="6026"/>
        <v>0</v>
      </c>
      <c r="EG224" s="140"/>
      <c r="EH224" s="110"/>
      <c r="EI224" s="137"/>
      <c r="EJ224" s="97"/>
      <c r="EK224" s="138">
        <f t="shared" ref="EK224:EL224" si="6309">EK165+EK195</f>
        <v>0</v>
      </c>
      <c r="EL224" s="110">
        <f t="shared" si="6309"/>
        <v>0</v>
      </c>
      <c r="EM224" s="110"/>
      <c r="EN224" s="139"/>
      <c r="EO224" s="225" t="e">
        <f t="shared" si="6043"/>
        <v>#DIV/0!</v>
      </c>
      <c r="EP224" s="198">
        <f t="shared" si="6026"/>
        <v>0</v>
      </c>
      <c r="EQ224" s="140"/>
      <c r="ER224" s="110"/>
      <c r="ES224" s="137"/>
      <c r="ET224" s="97"/>
      <c r="EU224" s="138">
        <f t="shared" ref="EU224:EV224" si="6310">EU165+EU195</f>
        <v>0</v>
      </c>
      <c r="EV224" s="110">
        <f t="shared" si="6310"/>
        <v>0</v>
      </c>
      <c r="EW224" s="110"/>
      <c r="EX224" s="139"/>
      <c r="EY224" s="225" t="e">
        <f t="shared" si="6046"/>
        <v>#DIV/0!</v>
      </c>
      <c r="EZ224" s="198">
        <f t="shared" si="6047"/>
        <v>0</v>
      </c>
      <c r="FA224" s="140"/>
      <c r="FB224" s="110"/>
      <c r="FC224" s="137"/>
      <c r="FD224" s="97"/>
      <c r="FE224" s="138">
        <f t="shared" ref="FE224:FF224" si="6311">FE165+FE195</f>
        <v>0</v>
      </c>
      <c r="FF224" s="110">
        <f t="shared" si="6311"/>
        <v>0</v>
      </c>
      <c r="FG224" s="110"/>
      <c r="FH224" s="139"/>
      <c r="FI224" s="225" t="e">
        <f t="shared" si="6049"/>
        <v>#DIV/0!</v>
      </c>
      <c r="FJ224" s="198">
        <f t="shared" si="6047"/>
        <v>0</v>
      </c>
      <c r="FK224" s="140"/>
      <c r="FL224" s="110"/>
      <c r="FM224" s="137"/>
      <c r="FN224" s="97"/>
      <c r="FO224" s="138">
        <f t="shared" ref="FO224:FP224" si="6312">FO165+FO195</f>
        <v>0</v>
      </c>
      <c r="FP224" s="110">
        <f t="shared" si="6312"/>
        <v>0</v>
      </c>
      <c r="FQ224" s="110"/>
      <c r="FR224" s="139"/>
      <c r="FS224" s="225" t="e">
        <f t="shared" si="6052"/>
        <v>#DIV/0!</v>
      </c>
      <c r="FT224" s="198">
        <f t="shared" si="6047"/>
        <v>0</v>
      </c>
      <c r="FU224" s="140"/>
      <c r="FV224" s="110"/>
      <c r="FW224" s="137"/>
      <c r="FX224" s="97"/>
      <c r="FY224" s="138">
        <f t="shared" ref="FY224:FZ224" si="6313">FY165+FY195</f>
        <v>0</v>
      </c>
      <c r="FZ224" s="110">
        <f t="shared" si="6313"/>
        <v>0</v>
      </c>
      <c r="GA224" s="110"/>
      <c r="GB224" s="139"/>
      <c r="GC224" s="225" t="e">
        <f t="shared" si="6055"/>
        <v>#DIV/0!</v>
      </c>
      <c r="GD224" s="198">
        <f t="shared" si="6047"/>
        <v>0</v>
      </c>
      <c r="GE224" s="140"/>
      <c r="GF224" s="110"/>
      <c r="GG224" s="137"/>
      <c r="GH224" s="97"/>
      <c r="GI224" s="138">
        <f t="shared" ref="GI224:GJ224" si="6314">GI165+GI195</f>
        <v>0</v>
      </c>
      <c r="GJ224" s="110">
        <f t="shared" si="6314"/>
        <v>0</v>
      </c>
      <c r="GK224" s="110"/>
      <c r="GL224" s="139"/>
      <c r="GM224" s="225" t="e">
        <f t="shared" si="6058"/>
        <v>#DIV/0!</v>
      </c>
      <c r="GN224" s="198">
        <f t="shared" si="6059"/>
        <v>0</v>
      </c>
      <c r="GO224" s="140"/>
      <c r="GP224" s="110"/>
      <c r="GQ224" s="137"/>
      <c r="GR224" s="97"/>
      <c r="GS224" s="138">
        <f t="shared" ref="GS224:GT224" si="6315">GS165+GS195</f>
        <v>0</v>
      </c>
      <c r="GT224" s="110">
        <f t="shared" si="6315"/>
        <v>0</v>
      </c>
      <c r="GU224" s="110"/>
      <c r="GV224" s="139"/>
      <c r="GW224" s="225" t="e">
        <f t="shared" si="6061"/>
        <v>#DIV/0!</v>
      </c>
      <c r="GX224" s="198">
        <f t="shared" si="6059"/>
        <v>0</v>
      </c>
      <c r="GY224" s="140"/>
      <c r="GZ224" s="110"/>
      <c r="HA224" s="137"/>
      <c r="HB224" s="97"/>
      <c r="HC224" s="138">
        <f t="shared" ref="HC224:HD224" si="6316">HC165+HC195</f>
        <v>0</v>
      </c>
      <c r="HD224" s="110">
        <f t="shared" si="6316"/>
        <v>0</v>
      </c>
      <c r="HE224" s="110"/>
      <c r="HF224" s="139"/>
      <c r="HG224" s="225" t="e">
        <f t="shared" si="6064"/>
        <v>#DIV/0!</v>
      </c>
      <c r="HH224" s="198">
        <f t="shared" si="6059"/>
        <v>0</v>
      </c>
      <c r="HI224" s="140"/>
      <c r="HJ224" s="110"/>
      <c r="HK224" s="137"/>
      <c r="HL224" s="97"/>
      <c r="HM224" s="138">
        <f t="shared" ref="HM224:HN224" si="6317">HM165+HM195</f>
        <v>0</v>
      </c>
      <c r="HN224" s="110">
        <f t="shared" si="6317"/>
        <v>0</v>
      </c>
      <c r="HO224" s="110"/>
      <c r="HP224" s="139"/>
      <c r="HQ224" s="225" t="e">
        <f t="shared" si="6067"/>
        <v>#DIV/0!</v>
      </c>
      <c r="HR224" s="198">
        <f t="shared" si="6059"/>
        <v>0</v>
      </c>
      <c r="HS224" s="140"/>
      <c r="HT224" s="110"/>
      <c r="HU224" s="137"/>
      <c r="HV224" s="97"/>
      <c r="HW224" s="138">
        <f t="shared" ref="HW224:HX224" si="6318">HW165+HW195</f>
        <v>0</v>
      </c>
      <c r="HX224" s="110">
        <f t="shared" si="6318"/>
        <v>0</v>
      </c>
      <c r="HY224" s="110"/>
      <c r="HZ224" s="139"/>
      <c r="IA224" s="225" t="e">
        <f t="shared" si="6070"/>
        <v>#DIV/0!</v>
      </c>
      <c r="IB224" s="198">
        <f t="shared" si="6071"/>
        <v>0</v>
      </c>
      <c r="IC224" s="140"/>
      <c r="ID224" s="110"/>
      <c r="IE224" s="137"/>
      <c r="IF224" s="97"/>
      <c r="IG224" s="138">
        <f t="shared" ref="IG224:IH224" si="6319">IG165+IG195</f>
        <v>0</v>
      </c>
      <c r="IH224" s="110">
        <f t="shared" si="6319"/>
        <v>0</v>
      </c>
      <c r="II224" s="110"/>
      <c r="IJ224" s="139"/>
      <c r="IK224" s="225" t="e">
        <f t="shared" si="6073"/>
        <v>#DIV/0!</v>
      </c>
      <c r="IL224" s="198">
        <f t="shared" si="6071"/>
        <v>0</v>
      </c>
      <c r="IM224" s="140"/>
      <c r="IN224" s="110"/>
      <c r="IO224" s="137"/>
      <c r="IP224" s="97"/>
      <c r="IQ224" s="138">
        <f t="shared" ref="IQ224:IR224" si="6320">IQ165+IQ195</f>
        <v>0</v>
      </c>
      <c r="IR224" s="110">
        <f t="shared" si="6320"/>
        <v>0</v>
      </c>
      <c r="IS224" s="110"/>
      <c r="IT224" s="139"/>
      <c r="IU224" s="225" t="e">
        <f t="shared" si="6076"/>
        <v>#DIV/0!</v>
      </c>
      <c r="IV224" s="198">
        <f t="shared" si="6071"/>
        <v>0</v>
      </c>
      <c r="IW224" s="140"/>
      <c r="IX224" s="110"/>
      <c r="IY224" s="137"/>
      <c r="IZ224" s="97"/>
      <c r="JA224" s="138">
        <f t="shared" ref="JA224:JB224" si="6321">JA165+JA195</f>
        <v>0</v>
      </c>
      <c r="JB224" s="110">
        <f t="shared" si="6321"/>
        <v>0</v>
      </c>
      <c r="JC224" s="110"/>
      <c r="JD224" s="139"/>
      <c r="JE224" s="225" t="e">
        <f t="shared" si="6079"/>
        <v>#DIV/0!</v>
      </c>
      <c r="JF224" s="198">
        <f t="shared" si="6071"/>
        <v>0</v>
      </c>
      <c r="JG224" s="140"/>
      <c r="JH224" s="110"/>
      <c r="JI224" s="137"/>
      <c r="JJ224" s="97"/>
      <c r="JK224" s="138">
        <f t="shared" ref="JK224:JL224" si="6322">JK165+JK195</f>
        <v>0</v>
      </c>
      <c r="JL224" s="110">
        <f t="shared" si="6322"/>
        <v>0</v>
      </c>
      <c r="JM224" s="110"/>
      <c r="JN224" s="139"/>
      <c r="JO224" s="225" t="e">
        <f t="shared" si="6082"/>
        <v>#DIV/0!</v>
      </c>
      <c r="JP224" s="198">
        <f t="shared" si="6083"/>
        <v>0</v>
      </c>
      <c r="JQ224" s="140"/>
      <c r="JR224" s="110"/>
      <c r="JS224" s="137"/>
      <c r="JT224" s="97"/>
      <c r="JU224" s="138">
        <f t="shared" ref="JU224:JV224" si="6323">JU165+JU195</f>
        <v>0</v>
      </c>
      <c r="JV224" s="110">
        <f t="shared" si="6323"/>
        <v>0</v>
      </c>
      <c r="JW224" s="110"/>
      <c r="JX224" s="139"/>
      <c r="JY224" s="225" t="e">
        <f t="shared" si="6085"/>
        <v>#DIV/0!</v>
      </c>
      <c r="JZ224" s="198">
        <f t="shared" si="6083"/>
        <v>0</v>
      </c>
      <c r="KA224" s="140"/>
      <c r="KB224" s="110"/>
      <c r="KC224" s="137"/>
      <c r="KD224" s="97"/>
      <c r="KE224" s="138">
        <f t="shared" ref="KE224:KF224" si="6324">KE165+KE195</f>
        <v>0</v>
      </c>
      <c r="KF224" s="110">
        <f t="shared" si="6324"/>
        <v>0</v>
      </c>
      <c r="KG224" s="110"/>
      <c r="KH224" s="139"/>
      <c r="KI224" s="225" t="e">
        <f t="shared" si="6088"/>
        <v>#DIV/0!</v>
      </c>
      <c r="KJ224" s="198">
        <f t="shared" si="6083"/>
        <v>0</v>
      </c>
      <c r="KK224" s="140"/>
      <c r="KL224" s="110"/>
      <c r="KM224" s="137"/>
      <c r="KN224" s="97"/>
      <c r="KO224" s="138">
        <f t="shared" ref="KO224:KP224" si="6325">KO165+KO195</f>
        <v>0</v>
      </c>
      <c r="KP224" s="110">
        <f t="shared" si="6325"/>
        <v>0</v>
      </c>
      <c r="KQ224" s="110"/>
      <c r="KR224" s="139"/>
      <c r="KS224" s="225" t="e">
        <f t="shared" si="6091"/>
        <v>#DIV/0!</v>
      </c>
      <c r="KT224" s="198">
        <f t="shared" si="6083"/>
        <v>0</v>
      </c>
      <c r="KU224" s="140"/>
      <c r="KV224" s="110"/>
      <c r="KW224" s="137"/>
      <c r="KX224" s="97"/>
      <c r="KY224" s="138">
        <f t="shared" ref="KY224:KZ224" si="6326">KY165+KY195</f>
        <v>0</v>
      </c>
      <c r="KZ224" s="110">
        <f t="shared" si="6326"/>
        <v>0</v>
      </c>
      <c r="LA224" s="110"/>
      <c r="LB224" s="139"/>
      <c r="LC224" s="225" t="e">
        <f t="shared" si="6094"/>
        <v>#DIV/0!</v>
      </c>
      <c r="LD224" s="198">
        <f t="shared" ref="LD224" si="6327">LD20</f>
        <v>0</v>
      </c>
      <c r="LE224" s="140"/>
      <c r="LF224" s="110"/>
      <c r="LG224" s="137"/>
      <c r="LH224" s="97"/>
      <c r="LI224" s="138">
        <f t="shared" ref="LI224:LJ224" si="6328">LI165+LI195</f>
        <v>0</v>
      </c>
      <c r="LJ224" s="110">
        <f t="shared" si="6328"/>
        <v>0</v>
      </c>
      <c r="LK224" s="110"/>
      <c r="LL224" s="139"/>
    </row>
    <row r="225" spans="1:324" x14ac:dyDescent="0.25">
      <c r="A225" s="244"/>
      <c r="B225" s="250" t="s">
        <v>854</v>
      </c>
      <c r="C225" s="12"/>
      <c r="D225" s="12"/>
      <c r="E225" s="4"/>
      <c r="F225" s="198">
        <f t="shared" si="6097"/>
        <v>0</v>
      </c>
      <c r="G225" s="140"/>
      <c r="H225" s="110"/>
      <c r="I225" s="137"/>
      <c r="J225" s="97"/>
      <c r="K225" s="138">
        <f t="shared" ref="K225:L225" si="6329">K166+K196</f>
        <v>0</v>
      </c>
      <c r="L225" s="110">
        <f t="shared" si="6329"/>
        <v>0</v>
      </c>
      <c r="M225" s="110"/>
      <c r="N225" s="139"/>
      <c r="O225" s="225"/>
      <c r="P225" s="198">
        <f t="shared" si="6005"/>
        <v>0</v>
      </c>
      <c r="Q225" s="140"/>
      <c r="R225" s="110"/>
      <c r="S225" s="137"/>
      <c r="T225" s="97"/>
      <c r="U225" s="138">
        <f t="shared" ref="U225:V225" si="6330">U166+U196</f>
        <v>0</v>
      </c>
      <c r="V225" s="110">
        <f t="shared" si="6330"/>
        <v>0</v>
      </c>
      <c r="W225" s="110"/>
      <c r="X225" s="139"/>
      <c r="Y225" s="225"/>
      <c r="Z225" s="198">
        <f t="shared" si="6005"/>
        <v>0</v>
      </c>
      <c r="AA225" s="140"/>
      <c r="AB225" s="110"/>
      <c r="AC225" s="137"/>
      <c r="AD225" s="97"/>
      <c r="AE225" s="138">
        <f t="shared" ref="AE225:AF225" si="6331">AE166+AE196</f>
        <v>0</v>
      </c>
      <c r="AF225" s="110">
        <f t="shared" si="6331"/>
        <v>0</v>
      </c>
      <c r="AG225" s="110"/>
      <c r="AH225" s="139"/>
      <c r="AI225" s="225"/>
      <c r="AJ225" s="198">
        <f t="shared" si="6005"/>
        <v>0</v>
      </c>
      <c r="AK225" s="140"/>
      <c r="AL225" s="110"/>
      <c r="AM225" s="137"/>
      <c r="AN225" s="97"/>
      <c r="AO225" s="138">
        <f t="shared" ref="AO225:AP225" si="6332">AO166+AO196</f>
        <v>0</v>
      </c>
      <c r="AP225" s="110">
        <f t="shared" si="6332"/>
        <v>0</v>
      </c>
      <c r="AQ225" s="110"/>
      <c r="AR225" s="139"/>
      <c r="AS225" s="225"/>
      <c r="AT225" s="198">
        <f t="shared" si="6005"/>
        <v>0</v>
      </c>
      <c r="AU225" s="140"/>
      <c r="AV225" s="110"/>
      <c r="AW225" s="137"/>
      <c r="AX225" s="97"/>
      <c r="AY225" s="138">
        <f t="shared" ref="AY225:AZ225" si="6333">AY166+AY196</f>
        <v>0</v>
      </c>
      <c r="AZ225" s="110">
        <f t="shared" si="6333"/>
        <v>0</v>
      </c>
      <c r="BA225" s="110"/>
      <c r="BB225" s="139"/>
      <c r="BC225" s="225"/>
      <c r="BD225" s="198">
        <f t="shared" si="6005"/>
        <v>0</v>
      </c>
      <c r="BE225" s="140"/>
      <c r="BF225" s="110"/>
      <c r="BG225" s="137"/>
      <c r="BH225" s="97"/>
      <c r="BI225" s="138">
        <f t="shared" ref="BI225:BJ225" si="6334">BI166+BI196</f>
        <v>0</v>
      </c>
      <c r="BJ225" s="110">
        <f t="shared" si="6334"/>
        <v>0</v>
      </c>
      <c r="BK225" s="110"/>
      <c r="BL225" s="139"/>
      <c r="BM225" s="225"/>
      <c r="BN225" s="198">
        <f t="shared" si="6005"/>
        <v>0</v>
      </c>
      <c r="BO225" s="140"/>
      <c r="BP225" s="110"/>
      <c r="BQ225" s="137"/>
      <c r="BR225" s="97"/>
      <c r="BS225" s="138">
        <f t="shared" ref="BS225:BT225" si="6335">BS166+BS196</f>
        <v>0</v>
      </c>
      <c r="BT225" s="110">
        <f t="shared" si="6335"/>
        <v>0</v>
      </c>
      <c r="BU225" s="110"/>
      <c r="BV225" s="139"/>
      <c r="BW225" s="225"/>
      <c r="BX225" s="198">
        <f t="shared" si="6005"/>
        <v>0</v>
      </c>
      <c r="BY225" s="140"/>
      <c r="BZ225" s="110"/>
      <c r="CA225" s="137"/>
      <c r="CB225" s="97"/>
      <c r="CC225" s="138">
        <f t="shared" ref="CC225:CD225" si="6336">CC166+CC196</f>
        <v>0</v>
      </c>
      <c r="CD225" s="110">
        <f t="shared" si="6336"/>
        <v>0</v>
      </c>
      <c r="CE225" s="110"/>
      <c r="CF225" s="139"/>
      <c r="CG225" s="225"/>
      <c r="CH225" s="198">
        <f t="shared" si="6026"/>
        <v>0</v>
      </c>
      <c r="CI225" s="140"/>
      <c r="CJ225" s="110"/>
      <c r="CK225" s="137"/>
      <c r="CL225" s="97"/>
      <c r="CM225" s="138">
        <f t="shared" ref="CM225:CN225" si="6337">CM166+CM196</f>
        <v>0</v>
      </c>
      <c r="CN225" s="110">
        <f t="shared" si="6337"/>
        <v>0</v>
      </c>
      <c r="CO225" s="110"/>
      <c r="CP225" s="139"/>
      <c r="CQ225" s="225"/>
      <c r="CR225" s="198">
        <f t="shared" si="6026"/>
        <v>0</v>
      </c>
      <c r="CS225" s="140"/>
      <c r="CT225" s="110"/>
      <c r="CU225" s="137"/>
      <c r="CV225" s="97"/>
      <c r="CW225" s="138">
        <f t="shared" ref="CW225:CX225" si="6338">CW166+CW196</f>
        <v>0</v>
      </c>
      <c r="CX225" s="110">
        <f t="shared" si="6338"/>
        <v>0</v>
      </c>
      <c r="CY225" s="110"/>
      <c r="CZ225" s="139"/>
      <c r="DA225" s="225"/>
      <c r="DB225" s="198">
        <f t="shared" si="6026"/>
        <v>0</v>
      </c>
      <c r="DC225" s="140"/>
      <c r="DD225" s="110"/>
      <c r="DE225" s="137"/>
      <c r="DF225" s="97"/>
      <c r="DG225" s="138">
        <f t="shared" ref="DG225:DH225" si="6339">DG166+DG196</f>
        <v>0</v>
      </c>
      <c r="DH225" s="110">
        <f t="shared" si="6339"/>
        <v>0</v>
      </c>
      <c r="DI225" s="110"/>
      <c r="DJ225" s="139"/>
      <c r="DK225" s="225"/>
      <c r="DL225" s="198">
        <f t="shared" si="6026"/>
        <v>0</v>
      </c>
      <c r="DM225" s="140"/>
      <c r="DN225" s="110"/>
      <c r="DO225" s="137"/>
      <c r="DP225" s="97"/>
      <c r="DQ225" s="138">
        <f t="shared" ref="DQ225:DR225" si="6340">DQ166+DQ196</f>
        <v>0</v>
      </c>
      <c r="DR225" s="110">
        <f t="shared" si="6340"/>
        <v>0</v>
      </c>
      <c r="DS225" s="110"/>
      <c r="DT225" s="139"/>
      <c r="DU225" s="225"/>
      <c r="DV225" s="198">
        <f t="shared" si="6026"/>
        <v>0</v>
      </c>
      <c r="DW225" s="140"/>
      <c r="DX225" s="110"/>
      <c r="DY225" s="137"/>
      <c r="DZ225" s="97"/>
      <c r="EA225" s="138">
        <f t="shared" ref="EA225:EB225" si="6341">EA166+EA196</f>
        <v>0</v>
      </c>
      <c r="EB225" s="110">
        <f t="shared" si="6341"/>
        <v>0</v>
      </c>
      <c r="EC225" s="110"/>
      <c r="ED225" s="139"/>
      <c r="EE225" s="225"/>
      <c r="EF225" s="198">
        <f t="shared" si="6026"/>
        <v>0</v>
      </c>
      <c r="EG225" s="140"/>
      <c r="EH225" s="110"/>
      <c r="EI225" s="137"/>
      <c r="EJ225" s="97"/>
      <c r="EK225" s="138">
        <f t="shared" ref="EK225:EL225" si="6342">EK166+EK196</f>
        <v>0</v>
      </c>
      <c r="EL225" s="110">
        <f t="shared" si="6342"/>
        <v>0</v>
      </c>
      <c r="EM225" s="110"/>
      <c r="EN225" s="139"/>
      <c r="EO225" s="225"/>
      <c r="EP225" s="198">
        <f t="shared" si="6026"/>
        <v>0</v>
      </c>
      <c r="EQ225" s="140"/>
      <c r="ER225" s="110"/>
      <c r="ES225" s="137"/>
      <c r="ET225" s="97"/>
      <c r="EU225" s="138">
        <f t="shared" ref="EU225:EV225" si="6343">EU166+EU196</f>
        <v>0</v>
      </c>
      <c r="EV225" s="110">
        <f t="shared" si="6343"/>
        <v>0</v>
      </c>
      <c r="EW225" s="110"/>
      <c r="EX225" s="139"/>
      <c r="EY225" s="225"/>
      <c r="EZ225" s="198">
        <f t="shared" si="6047"/>
        <v>0</v>
      </c>
      <c r="FA225" s="140"/>
      <c r="FB225" s="110"/>
      <c r="FC225" s="137"/>
      <c r="FD225" s="97"/>
      <c r="FE225" s="138">
        <f t="shared" ref="FE225:FF225" si="6344">FE166+FE196</f>
        <v>0</v>
      </c>
      <c r="FF225" s="110">
        <f t="shared" si="6344"/>
        <v>0</v>
      </c>
      <c r="FG225" s="110"/>
      <c r="FH225" s="139"/>
      <c r="FI225" s="225"/>
      <c r="FJ225" s="198">
        <f t="shared" si="6047"/>
        <v>0</v>
      </c>
      <c r="FK225" s="140"/>
      <c r="FL225" s="110"/>
      <c r="FM225" s="137"/>
      <c r="FN225" s="97"/>
      <c r="FO225" s="138">
        <f t="shared" ref="FO225:FP225" si="6345">FO166+FO196</f>
        <v>0</v>
      </c>
      <c r="FP225" s="110">
        <f t="shared" si="6345"/>
        <v>0</v>
      </c>
      <c r="FQ225" s="110"/>
      <c r="FR225" s="139"/>
      <c r="FS225" s="225"/>
      <c r="FT225" s="198">
        <f t="shared" si="6047"/>
        <v>0</v>
      </c>
      <c r="FU225" s="140"/>
      <c r="FV225" s="110"/>
      <c r="FW225" s="137"/>
      <c r="FX225" s="97"/>
      <c r="FY225" s="138">
        <f t="shared" ref="FY225:FZ225" si="6346">FY166+FY196</f>
        <v>0</v>
      </c>
      <c r="FZ225" s="110">
        <f t="shared" si="6346"/>
        <v>0</v>
      </c>
      <c r="GA225" s="110"/>
      <c r="GB225" s="139"/>
      <c r="GC225" s="225"/>
      <c r="GD225" s="198">
        <f t="shared" si="6047"/>
        <v>0</v>
      </c>
      <c r="GE225" s="140"/>
      <c r="GF225" s="110"/>
      <c r="GG225" s="137"/>
      <c r="GH225" s="97"/>
      <c r="GI225" s="138">
        <f t="shared" ref="GI225:GJ225" si="6347">GI166+GI196</f>
        <v>0</v>
      </c>
      <c r="GJ225" s="110">
        <f t="shared" si="6347"/>
        <v>0</v>
      </c>
      <c r="GK225" s="110"/>
      <c r="GL225" s="139"/>
      <c r="GM225" s="225"/>
      <c r="GN225" s="198">
        <f t="shared" si="6059"/>
        <v>0</v>
      </c>
      <c r="GO225" s="140"/>
      <c r="GP225" s="110"/>
      <c r="GQ225" s="137"/>
      <c r="GR225" s="97"/>
      <c r="GS225" s="138">
        <f t="shared" ref="GS225:GT225" si="6348">GS166+GS196</f>
        <v>0</v>
      </c>
      <c r="GT225" s="110">
        <f t="shared" si="6348"/>
        <v>0</v>
      </c>
      <c r="GU225" s="110"/>
      <c r="GV225" s="139"/>
      <c r="GW225" s="225"/>
      <c r="GX225" s="198">
        <f t="shared" si="6059"/>
        <v>0</v>
      </c>
      <c r="GY225" s="140"/>
      <c r="GZ225" s="110"/>
      <c r="HA225" s="137"/>
      <c r="HB225" s="97"/>
      <c r="HC225" s="138">
        <f t="shared" ref="HC225:HD225" si="6349">HC166+HC196</f>
        <v>0</v>
      </c>
      <c r="HD225" s="110">
        <f t="shared" si="6349"/>
        <v>0</v>
      </c>
      <c r="HE225" s="110"/>
      <c r="HF225" s="139"/>
      <c r="HG225" s="225"/>
      <c r="HH225" s="198">
        <f t="shared" si="6059"/>
        <v>0</v>
      </c>
      <c r="HI225" s="140"/>
      <c r="HJ225" s="110"/>
      <c r="HK225" s="137"/>
      <c r="HL225" s="97"/>
      <c r="HM225" s="138">
        <f t="shared" ref="HM225:HN225" si="6350">HM166+HM196</f>
        <v>0</v>
      </c>
      <c r="HN225" s="110">
        <f t="shared" si="6350"/>
        <v>0</v>
      </c>
      <c r="HO225" s="110"/>
      <c r="HP225" s="139"/>
      <c r="HQ225" s="225"/>
      <c r="HR225" s="198">
        <f t="shared" si="6059"/>
        <v>0</v>
      </c>
      <c r="HS225" s="140"/>
      <c r="HT225" s="110"/>
      <c r="HU225" s="137"/>
      <c r="HV225" s="97"/>
      <c r="HW225" s="138">
        <f t="shared" ref="HW225:HX225" si="6351">HW166+HW196</f>
        <v>0</v>
      </c>
      <c r="HX225" s="110">
        <f t="shared" si="6351"/>
        <v>0</v>
      </c>
      <c r="HY225" s="110"/>
      <c r="HZ225" s="139"/>
      <c r="IA225" s="225"/>
      <c r="IB225" s="198">
        <f t="shared" si="6071"/>
        <v>0</v>
      </c>
      <c r="IC225" s="140"/>
      <c r="ID225" s="110"/>
      <c r="IE225" s="137"/>
      <c r="IF225" s="97"/>
      <c r="IG225" s="138">
        <f t="shared" ref="IG225:IH225" si="6352">IG166+IG196</f>
        <v>0</v>
      </c>
      <c r="IH225" s="110">
        <f t="shared" si="6352"/>
        <v>0</v>
      </c>
      <c r="II225" s="110"/>
      <c r="IJ225" s="139"/>
      <c r="IK225" s="225"/>
      <c r="IL225" s="198">
        <f t="shared" si="6071"/>
        <v>0</v>
      </c>
      <c r="IM225" s="140"/>
      <c r="IN225" s="110"/>
      <c r="IO225" s="137"/>
      <c r="IP225" s="97"/>
      <c r="IQ225" s="138">
        <f t="shared" ref="IQ225:IR225" si="6353">IQ166+IQ196</f>
        <v>0</v>
      </c>
      <c r="IR225" s="110">
        <f t="shared" si="6353"/>
        <v>0</v>
      </c>
      <c r="IS225" s="110"/>
      <c r="IT225" s="139"/>
      <c r="IU225" s="225"/>
      <c r="IV225" s="198">
        <f t="shared" si="6071"/>
        <v>0</v>
      </c>
      <c r="IW225" s="140"/>
      <c r="IX225" s="110"/>
      <c r="IY225" s="137"/>
      <c r="IZ225" s="97"/>
      <c r="JA225" s="138">
        <f t="shared" ref="JA225:JB225" si="6354">JA166+JA196</f>
        <v>0</v>
      </c>
      <c r="JB225" s="110">
        <f t="shared" si="6354"/>
        <v>0</v>
      </c>
      <c r="JC225" s="110"/>
      <c r="JD225" s="139"/>
      <c r="JE225" s="225"/>
      <c r="JF225" s="198">
        <f t="shared" si="6071"/>
        <v>0</v>
      </c>
      <c r="JG225" s="140"/>
      <c r="JH225" s="110"/>
      <c r="JI225" s="137"/>
      <c r="JJ225" s="97"/>
      <c r="JK225" s="138">
        <f t="shared" ref="JK225:JL225" si="6355">JK166+JK196</f>
        <v>0</v>
      </c>
      <c r="JL225" s="110">
        <f t="shared" si="6355"/>
        <v>0</v>
      </c>
      <c r="JM225" s="110"/>
      <c r="JN225" s="139"/>
      <c r="JO225" s="225"/>
      <c r="JP225" s="198">
        <f t="shared" si="6083"/>
        <v>0</v>
      </c>
      <c r="JQ225" s="140"/>
      <c r="JR225" s="110"/>
      <c r="JS225" s="137"/>
      <c r="JT225" s="97"/>
      <c r="JU225" s="138">
        <f t="shared" ref="JU225:JV225" si="6356">JU166+JU196</f>
        <v>0</v>
      </c>
      <c r="JV225" s="110">
        <f t="shared" si="6356"/>
        <v>0</v>
      </c>
      <c r="JW225" s="110"/>
      <c r="JX225" s="139"/>
      <c r="JY225" s="225"/>
      <c r="JZ225" s="198">
        <f t="shared" si="6083"/>
        <v>0</v>
      </c>
      <c r="KA225" s="140"/>
      <c r="KB225" s="110"/>
      <c r="KC225" s="137"/>
      <c r="KD225" s="97"/>
      <c r="KE225" s="138">
        <f t="shared" ref="KE225:KF225" si="6357">KE166+KE196</f>
        <v>0</v>
      </c>
      <c r="KF225" s="110">
        <f t="shared" si="6357"/>
        <v>0</v>
      </c>
      <c r="KG225" s="110"/>
      <c r="KH225" s="139"/>
      <c r="KI225" s="225"/>
      <c r="KJ225" s="198">
        <f t="shared" si="6083"/>
        <v>0</v>
      </c>
      <c r="KK225" s="140"/>
      <c r="KL225" s="110"/>
      <c r="KM225" s="137"/>
      <c r="KN225" s="97"/>
      <c r="KO225" s="138">
        <f t="shared" ref="KO225:KP225" si="6358">KO166+KO196</f>
        <v>0</v>
      </c>
      <c r="KP225" s="110">
        <f t="shared" si="6358"/>
        <v>0</v>
      </c>
      <c r="KQ225" s="110"/>
      <c r="KR225" s="139"/>
      <c r="KS225" s="225"/>
      <c r="KT225" s="198">
        <f t="shared" si="6083"/>
        <v>0</v>
      </c>
      <c r="KU225" s="140"/>
      <c r="KV225" s="110"/>
      <c r="KW225" s="137"/>
      <c r="KX225" s="97"/>
      <c r="KY225" s="138">
        <f t="shared" ref="KY225:KZ225" si="6359">KY166+KY196</f>
        <v>0</v>
      </c>
      <c r="KZ225" s="110">
        <f t="shared" si="6359"/>
        <v>0</v>
      </c>
      <c r="LA225" s="110"/>
      <c r="LB225" s="139"/>
      <c r="LC225" s="225"/>
      <c r="LD225" s="198">
        <f t="shared" ref="LD225" si="6360">LD21</f>
        <v>0</v>
      </c>
      <c r="LE225" s="140"/>
      <c r="LF225" s="110"/>
      <c r="LG225" s="137"/>
      <c r="LH225" s="97"/>
      <c r="LI225" s="138">
        <f t="shared" ref="LI225:LJ225" si="6361">LI166+LI196</f>
        <v>0</v>
      </c>
      <c r="LJ225" s="110">
        <f t="shared" si="6361"/>
        <v>0</v>
      </c>
      <c r="LK225" s="110"/>
      <c r="LL225" s="139"/>
    </row>
    <row r="226" spans="1:324" ht="24" x14ac:dyDescent="0.25">
      <c r="A226" s="245"/>
      <c r="B226" s="70" t="s">
        <v>609</v>
      </c>
      <c r="C226" s="12" t="s">
        <v>729</v>
      </c>
      <c r="D226" s="12" t="s">
        <v>429</v>
      </c>
      <c r="E226" s="4"/>
      <c r="F226" s="198">
        <f t="shared" si="6097"/>
        <v>313</v>
      </c>
      <c r="G226" s="140"/>
      <c r="H226" s="110"/>
      <c r="I226" s="137"/>
      <c r="J226" s="97"/>
      <c r="K226" s="138">
        <f t="shared" ref="K226:L226" si="6362">K167+K197</f>
        <v>1755.7475899999999</v>
      </c>
      <c r="L226" s="110">
        <f t="shared" si="6362"/>
        <v>549548.99</v>
      </c>
      <c r="M226" s="110"/>
      <c r="N226" s="139"/>
      <c r="O226" s="225">
        <f t="shared" ref="O226:O233" si="6363">K226/$LI226</f>
        <v>0.59338000000000002</v>
      </c>
      <c r="P226" s="198">
        <f t="shared" si="6005"/>
        <v>523</v>
      </c>
      <c r="Q226" s="140"/>
      <c r="R226" s="110"/>
      <c r="S226" s="137"/>
      <c r="T226" s="97"/>
      <c r="U226" s="138">
        <f t="shared" ref="U226:V226" si="6364">U167+U197</f>
        <v>2343.4571099999998</v>
      </c>
      <c r="V226" s="110">
        <f t="shared" si="6364"/>
        <v>1225628.06</v>
      </c>
      <c r="W226" s="110"/>
      <c r="X226" s="139"/>
      <c r="Y226" s="225">
        <f t="shared" ref="Y226:Y233" si="6365">U226/$LI226</f>
        <v>0.79200000000000004</v>
      </c>
      <c r="Z226" s="198">
        <f t="shared" si="6005"/>
        <v>412</v>
      </c>
      <c r="AA226" s="140"/>
      <c r="AB226" s="110"/>
      <c r="AC226" s="137"/>
      <c r="AD226" s="97"/>
      <c r="AE226" s="138">
        <f t="shared" ref="AE226:AF226" si="6366">AE167+AE197</f>
        <v>2259.8391200000001</v>
      </c>
      <c r="AF226" s="110">
        <f t="shared" si="6366"/>
        <v>931053.71</v>
      </c>
      <c r="AG226" s="110"/>
      <c r="AH226" s="139"/>
      <c r="AI226" s="225">
        <f t="shared" ref="AI226:AI233" si="6367">AE226/$LI226</f>
        <v>0.76373999999999997</v>
      </c>
      <c r="AJ226" s="198">
        <f t="shared" si="6005"/>
        <v>311</v>
      </c>
      <c r="AK226" s="140"/>
      <c r="AL226" s="110"/>
      <c r="AM226" s="137"/>
      <c r="AN226" s="97"/>
      <c r="AO226" s="138">
        <f t="shared" ref="AO226:AP226" si="6368">AO167+AO197</f>
        <v>1955.7194</v>
      </c>
      <c r="AP226" s="110">
        <f t="shared" si="6368"/>
        <v>608228.73</v>
      </c>
      <c r="AQ226" s="110"/>
      <c r="AR226" s="139"/>
      <c r="AS226" s="225">
        <f t="shared" ref="AS226:AS233" si="6369">AO226/$LI226</f>
        <v>0.66095999999999999</v>
      </c>
      <c r="AT226" s="198">
        <f t="shared" si="6005"/>
        <v>428</v>
      </c>
      <c r="AU226" s="140"/>
      <c r="AV226" s="110"/>
      <c r="AW226" s="137"/>
      <c r="AX226" s="97"/>
      <c r="AY226" s="138">
        <f t="shared" ref="AY226:AZ226" si="6370">AY167+AY197</f>
        <v>1221.904</v>
      </c>
      <c r="AZ226" s="110">
        <f t="shared" si="6370"/>
        <v>522974.91</v>
      </c>
      <c r="BA226" s="110"/>
      <c r="BB226" s="139"/>
      <c r="BC226" s="225">
        <f t="shared" ref="BC226:BC233" si="6371">AY226/$LI226</f>
        <v>0.41295999999999999</v>
      </c>
      <c r="BD226" s="198">
        <f t="shared" si="6005"/>
        <v>358</v>
      </c>
      <c r="BE226" s="140"/>
      <c r="BF226" s="110"/>
      <c r="BG226" s="137"/>
      <c r="BH226" s="97"/>
      <c r="BI226" s="138">
        <f t="shared" ref="BI226:BJ226" si="6372">BI167+BI197</f>
        <v>2182.64239</v>
      </c>
      <c r="BJ226" s="110">
        <f t="shared" si="6372"/>
        <v>781385.98</v>
      </c>
      <c r="BK226" s="110"/>
      <c r="BL226" s="139"/>
      <c r="BM226" s="225">
        <f t="shared" ref="BM226:BM233" si="6373">BI226/$LI226</f>
        <v>0.73765000000000003</v>
      </c>
      <c r="BN226" s="198">
        <f t="shared" si="6005"/>
        <v>305</v>
      </c>
      <c r="BO226" s="140"/>
      <c r="BP226" s="110"/>
      <c r="BQ226" s="137"/>
      <c r="BR226" s="97"/>
      <c r="BS226" s="138">
        <f t="shared" ref="BS226:BT226" si="6374">BS167+BS197</f>
        <v>2592.9971500000001</v>
      </c>
      <c r="BT226" s="110">
        <f t="shared" si="6374"/>
        <v>790864.14</v>
      </c>
      <c r="BU226" s="110"/>
      <c r="BV226" s="139"/>
      <c r="BW226" s="225">
        <f t="shared" ref="BW226:BW233" si="6375">BS226/$LI226</f>
        <v>0.87633000000000005</v>
      </c>
      <c r="BX226" s="198">
        <f t="shared" si="6005"/>
        <v>401</v>
      </c>
      <c r="BY226" s="140"/>
      <c r="BZ226" s="110"/>
      <c r="CA226" s="137"/>
      <c r="CB226" s="97"/>
      <c r="CC226" s="138">
        <f t="shared" ref="CC226:CD226" si="6376">CC167+CC197</f>
        <v>2029.20947</v>
      </c>
      <c r="CD226" s="110">
        <f t="shared" si="6376"/>
        <v>813713.01</v>
      </c>
      <c r="CE226" s="110"/>
      <c r="CF226" s="139"/>
      <c r="CG226" s="225">
        <f t="shared" ref="CG226:CG233" si="6377">CC226/$LI226</f>
        <v>0.68579999999999997</v>
      </c>
      <c r="CH226" s="198">
        <f t="shared" si="6026"/>
        <v>428</v>
      </c>
      <c r="CI226" s="140"/>
      <c r="CJ226" s="110"/>
      <c r="CK226" s="137"/>
      <c r="CL226" s="97"/>
      <c r="CM226" s="138">
        <f t="shared" ref="CM226:CN226" si="6378">CM167+CM197</f>
        <v>2502.3660100000002</v>
      </c>
      <c r="CN226" s="110">
        <f t="shared" si="6378"/>
        <v>1071012.6599999999</v>
      </c>
      <c r="CO226" s="110"/>
      <c r="CP226" s="139"/>
      <c r="CQ226" s="225">
        <f t="shared" ref="CQ226:CQ233" si="6379">CM226/$LI226</f>
        <v>0.84570000000000001</v>
      </c>
      <c r="CR226" s="198">
        <f t="shared" si="6026"/>
        <v>362</v>
      </c>
      <c r="CS226" s="140"/>
      <c r="CT226" s="110"/>
      <c r="CU226" s="137"/>
      <c r="CV226" s="97"/>
      <c r="CW226" s="138">
        <f t="shared" ref="CW226:CX226" si="6380">CW167+CW197</f>
        <v>3129.9083599999999</v>
      </c>
      <c r="CX226" s="110">
        <f t="shared" si="6380"/>
        <v>1133026.82</v>
      </c>
      <c r="CY226" s="110"/>
      <c r="CZ226" s="139"/>
      <c r="DA226" s="225">
        <f t="shared" ref="DA226:DA233" si="6381">CW226/$LI226</f>
        <v>1.05779</v>
      </c>
      <c r="DB226" s="198">
        <f t="shared" si="6026"/>
        <v>380</v>
      </c>
      <c r="DC226" s="140"/>
      <c r="DD226" s="110"/>
      <c r="DE226" s="137"/>
      <c r="DF226" s="97"/>
      <c r="DG226" s="138">
        <f t="shared" ref="DG226:DH226" si="6382">DG167+DG197</f>
        <v>2690.9681099999998</v>
      </c>
      <c r="DH226" s="110">
        <f t="shared" si="6382"/>
        <v>1022567.89</v>
      </c>
      <c r="DI226" s="110"/>
      <c r="DJ226" s="139"/>
      <c r="DK226" s="225">
        <f t="shared" ref="DK226:DK233" si="6383">DG226/$LI226</f>
        <v>0.90944000000000003</v>
      </c>
      <c r="DL226" s="198">
        <f t="shared" si="6026"/>
        <v>0</v>
      </c>
      <c r="DM226" s="140"/>
      <c r="DN226" s="110"/>
      <c r="DO226" s="137"/>
      <c r="DP226" s="97"/>
      <c r="DQ226" s="138">
        <f t="shared" ref="DQ226:DR226" si="6384">DQ167+DQ197</f>
        <v>0</v>
      </c>
      <c r="DR226" s="110">
        <f t="shared" si="6384"/>
        <v>0</v>
      </c>
      <c r="DS226" s="110"/>
      <c r="DT226" s="139"/>
      <c r="DU226" s="225">
        <f t="shared" ref="DU226:DU233" si="6385">DQ226/$LI226</f>
        <v>0</v>
      </c>
      <c r="DV226" s="198">
        <f t="shared" si="6026"/>
        <v>427</v>
      </c>
      <c r="DW226" s="140"/>
      <c r="DX226" s="110"/>
      <c r="DY226" s="137"/>
      <c r="DZ226" s="97"/>
      <c r="EA226" s="138">
        <f t="shared" ref="EA226:EB226" si="6386">EA167+EA197</f>
        <v>2230.9676800000002</v>
      </c>
      <c r="EB226" s="110">
        <f t="shared" si="6386"/>
        <v>952623.19</v>
      </c>
      <c r="EC226" s="110"/>
      <c r="ED226" s="139"/>
      <c r="EE226" s="225">
        <f t="shared" ref="EE226:EE233" si="6387">EA226/$LI226</f>
        <v>0.75397999999999998</v>
      </c>
      <c r="EF226" s="198">
        <f t="shared" si="6026"/>
        <v>472</v>
      </c>
      <c r="EG226" s="140"/>
      <c r="EH226" s="110"/>
      <c r="EI226" s="137"/>
      <c r="EJ226" s="97"/>
      <c r="EK226" s="138">
        <f t="shared" ref="EK226:EL226" si="6388">EK167+EK197</f>
        <v>1904.6468500000001</v>
      </c>
      <c r="EL226" s="110">
        <f t="shared" si="6388"/>
        <v>898993.31</v>
      </c>
      <c r="EM226" s="110"/>
      <c r="EN226" s="139"/>
      <c r="EO226" s="225">
        <f t="shared" ref="EO226:EO233" si="6389">EK226/$LI226</f>
        <v>0.64370000000000005</v>
      </c>
      <c r="EP226" s="198">
        <f t="shared" si="6026"/>
        <v>448</v>
      </c>
      <c r="EQ226" s="140"/>
      <c r="ER226" s="110"/>
      <c r="ES226" s="137"/>
      <c r="ET226" s="97"/>
      <c r="EU226" s="138">
        <f t="shared" ref="EU226:EV226" si="6390">EU167+EU197</f>
        <v>3283.2210500000001</v>
      </c>
      <c r="EV226" s="110">
        <f t="shared" si="6390"/>
        <v>1470883.02</v>
      </c>
      <c r="EW226" s="110"/>
      <c r="EX226" s="139"/>
      <c r="EY226" s="225">
        <f t="shared" ref="EY226:EY233" si="6391">EU226/$LI226</f>
        <v>1.1095999999999999</v>
      </c>
      <c r="EZ226" s="198">
        <f t="shared" si="6047"/>
        <v>443</v>
      </c>
      <c r="FA226" s="140"/>
      <c r="FB226" s="110"/>
      <c r="FC226" s="137"/>
      <c r="FD226" s="97"/>
      <c r="FE226" s="138">
        <f t="shared" ref="FE226:FF226" si="6392">FE167+FE197</f>
        <v>1432.15986</v>
      </c>
      <c r="FF226" s="110">
        <f t="shared" si="6392"/>
        <v>634446.81000000006</v>
      </c>
      <c r="FG226" s="110"/>
      <c r="FH226" s="139"/>
      <c r="FI226" s="225">
        <f t="shared" ref="FI226:FI233" si="6393">FE226/$LI226</f>
        <v>0.48402000000000001</v>
      </c>
      <c r="FJ226" s="198">
        <f t="shared" si="6047"/>
        <v>508</v>
      </c>
      <c r="FK226" s="140"/>
      <c r="FL226" s="110"/>
      <c r="FM226" s="137"/>
      <c r="FN226" s="97"/>
      <c r="FO226" s="138">
        <f t="shared" ref="FO226:FP226" si="6394">FO167+FO197</f>
        <v>2898.33806</v>
      </c>
      <c r="FP226" s="110">
        <f t="shared" si="6394"/>
        <v>1472355.73</v>
      </c>
      <c r="FQ226" s="110"/>
      <c r="FR226" s="139"/>
      <c r="FS226" s="225">
        <f t="shared" ref="FS226:FS233" si="6395">FO226/$LI226</f>
        <v>0.97953000000000001</v>
      </c>
      <c r="FT226" s="198">
        <f t="shared" si="6047"/>
        <v>377</v>
      </c>
      <c r="FU226" s="140"/>
      <c r="FV226" s="110"/>
      <c r="FW226" s="137"/>
      <c r="FX226" s="97"/>
      <c r="FY226" s="138">
        <f t="shared" ref="FY226:FZ226" si="6396">FY167+FY197</f>
        <v>2763.5604899999998</v>
      </c>
      <c r="FZ226" s="110">
        <f t="shared" si="6396"/>
        <v>1041862.3</v>
      </c>
      <c r="GA226" s="110"/>
      <c r="GB226" s="139"/>
      <c r="GC226" s="225">
        <f t="shared" ref="GC226:GC233" si="6397">FY226/$LI226</f>
        <v>0.93398000000000003</v>
      </c>
      <c r="GD226" s="198">
        <f t="shared" si="6047"/>
        <v>244</v>
      </c>
      <c r="GE226" s="140"/>
      <c r="GF226" s="110"/>
      <c r="GG226" s="137"/>
      <c r="GH226" s="97"/>
      <c r="GI226" s="138">
        <f t="shared" ref="GI226:GJ226" si="6398">GI167+GI197</f>
        <v>2241.98846</v>
      </c>
      <c r="GJ226" s="110">
        <f t="shared" si="6398"/>
        <v>547045.18999999994</v>
      </c>
      <c r="GK226" s="110"/>
      <c r="GL226" s="139"/>
      <c r="GM226" s="225">
        <f t="shared" ref="GM226:GM233" si="6399">GI226/$LI226</f>
        <v>0.75770999999999999</v>
      </c>
      <c r="GN226" s="198">
        <f t="shared" si="6059"/>
        <v>413</v>
      </c>
      <c r="GO226" s="140"/>
      <c r="GP226" s="110"/>
      <c r="GQ226" s="137"/>
      <c r="GR226" s="97"/>
      <c r="GS226" s="138">
        <f t="shared" ref="GS226:GT226" si="6400">GS167+GS197</f>
        <v>3817.0522999999998</v>
      </c>
      <c r="GT226" s="110">
        <f t="shared" si="6400"/>
        <v>1576442.6</v>
      </c>
      <c r="GU226" s="110"/>
      <c r="GV226" s="139"/>
      <c r="GW226" s="225">
        <f t="shared" ref="GW226:GW233" si="6401">GS226/$LI226</f>
        <v>1.2900199999999999</v>
      </c>
      <c r="GX226" s="198">
        <f t="shared" si="6059"/>
        <v>742</v>
      </c>
      <c r="GY226" s="140"/>
      <c r="GZ226" s="110"/>
      <c r="HA226" s="137"/>
      <c r="HB226" s="97"/>
      <c r="HC226" s="138">
        <f t="shared" ref="HC226:HD226" si="6402">HC167+HC197</f>
        <v>2359.1171899999999</v>
      </c>
      <c r="HD226" s="110">
        <f t="shared" si="6402"/>
        <v>1750464.96</v>
      </c>
      <c r="HE226" s="110"/>
      <c r="HF226" s="139"/>
      <c r="HG226" s="225">
        <f t="shared" ref="HG226:HG233" si="6403">HC226/$LI226</f>
        <v>0.79729000000000005</v>
      </c>
      <c r="HH226" s="198">
        <f t="shared" si="6059"/>
        <v>536</v>
      </c>
      <c r="HI226" s="140"/>
      <c r="HJ226" s="110"/>
      <c r="HK226" s="137"/>
      <c r="HL226" s="97"/>
      <c r="HM226" s="138">
        <f t="shared" ref="HM226:HN226" si="6404">HM167+HM197</f>
        <v>2542.9096800000002</v>
      </c>
      <c r="HN226" s="110">
        <f t="shared" si="6404"/>
        <v>1362999.59</v>
      </c>
      <c r="HO226" s="110"/>
      <c r="HP226" s="139"/>
      <c r="HQ226" s="225">
        <f t="shared" ref="HQ226:HQ233" si="6405">HM226/$LI226</f>
        <v>0.85941000000000001</v>
      </c>
      <c r="HR226" s="198">
        <f t="shared" si="6059"/>
        <v>396</v>
      </c>
      <c r="HS226" s="140"/>
      <c r="HT226" s="110"/>
      <c r="HU226" s="137"/>
      <c r="HV226" s="97"/>
      <c r="HW226" s="138">
        <f t="shared" ref="HW226:HX226" si="6406">HW167+HW197</f>
        <v>3349.3718100000001</v>
      </c>
      <c r="HX226" s="110">
        <f t="shared" si="6406"/>
        <v>1326351.24</v>
      </c>
      <c r="HY226" s="110"/>
      <c r="HZ226" s="139"/>
      <c r="IA226" s="225">
        <f t="shared" ref="IA226:IA233" si="6407">HW226/$LI226</f>
        <v>1.1319600000000001</v>
      </c>
      <c r="IB226" s="198">
        <f t="shared" si="6071"/>
        <v>242</v>
      </c>
      <c r="IC226" s="140"/>
      <c r="ID226" s="110"/>
      <c r="IE226" s="137"/>
      <c r="IF226" s="97"/>
      <c r="IG226" s="138">
        <f t="shared" ref="IG226:IH226" si="6408">IG167+IG197</f>
        <v>4693.0756799999999</v>
      </c>
      <c r="IH226" s="110">
        <f t="shared" si="6408"/>
        <v>1135724.32</v>
      </c>
      <c r="II226" s="110"/>
      <c r="IJ226" s="139"/>
      <c r="IK226" s="225">
        <f t="shared" ref="IK226:IK233" si="6409">IG226/$LI226</f>
        <v>1.5860799999999999</v>
      </c>
      <c r="IL226" s="198">
        <f t="shared" si="6071"/>
        <v>584</v>
      </c>
      <c r="IM226" s="140"/>
      <c r="IN226" s="110"/>
      <c r="IO226" s="137"/>
      <c r="IP226" s="97"/>
      <c r="IQ226" s="138">
        <f t="shared" ref="IQ226:IR226" si="6410">IQ167+IQ197</f>
        <v>1999.43237</v>
      </c>
      <c r="IR226" s="110">
        <f t="shared" si="6410"/>
        <v>1167668.51</v>
      </c>
      <c r="IS226" s="110"/>
      <c r="IT226" s="139"/>
      <c r="IU226" s="225">
        <f t="shared" ref="IU226:IU233" si="6411">IQ226/$LI226</f>
        <v>0.67573000000000005</v>
      </c>
      <c r="IV226" s="198">
        <f t="shared" si="6071"/>
        <v>404</v>
      </c>
      <c r="IW226" s="140"/>
      <c r="IX226" s="110"/>
      <c r="IY226" s="137"/>
      <c r="IZ226" s="97"/>
      <c r="JA226" s="138">
        <f t="shared" ref="JA226:JB226" si="6412">JA167+JA197</f>
        <v>2914.9314300000001</v>
      </c>
      <c r="JB226" s="110">
        <f t="shared" si="6412"/>
        <v>1177632.29</v>
      </c>
      <c r="JC226" s="110"/>
      <c r="JD226" s="139"/>
      <c r="JE226" s="225">
        <f t="shared" ref="JE226:JE233" si="6413">JA226/$LI226</f>
        <v>0.98514000000000002</v>
      </c>
      <c r="JF226" s="198">
        <f t="shared" si="6071"/>
        <v>617</v>
      </c>
      <c r="JG226" s="140"/>
      <c r="JH226" s="110"/>
      <c r="JI226" s="137"/>
      <c r="JJ226" s="97"/>
      <c r="JK226" s="138">
        <f t="shared" ref="JK226:JL226" si="6414">JK167+JK197</f>
        <v>2866.41644</v>
      </c>
      <c r="JL226" s="110">
        <f t="shared" si="6414"/>
        <v>1768578.94</v>
      </c>
      <c r="JM226" s="110"/>
      <c r="JN226" s="139"/>
      <c r="JO226" s="225">
        <f t="shared" ref="JO226:JO233" si="6415">JK226/$LI226</f>
        <v>0.96874000000000005</v>
      </c>
      <c r="JP226" s="198">
        <f t="shared" si="6083"/>
        <v>581</v>
      </c>
      <c r="JQ226" s="140"/>
      <c r="JR226" s="110"/>
      <c r="JS226" s="137"/>
      <c r="JT226" s="97"/>
      <c r="JU226" s="138">
        <f t="shared" ref="JU226:JV226" si="6416">JU167+JU197</f>
        <v>3092.0199699999998</v>
      </c>
      <c r="JV226" s="110">
        <f t="shared" si="6416"/>
        <v>1796463.61</v>
      </c>
      <c r="JW226" s="110"/>
      <c r="JX226" s="139"/>
      <c r="JY226" s="225">
        <f t="shared" ref="JY226:JY233" si="6417">JU226/$LI226</f>
        <v>1.04498</v>
      </c>
      <c r="JZ226" s="198">
        <f t="shared" si="6083"/>
        <v>520</v>
      </c>
      <c r="KA226" s="140"/>
      <c r="KB226" s="110"/>
      <c r="KC226" s="137"/>
      <c r="KD226" s="97"/>
      <c r="KE226" s="138">
        <f t="shared" ref="KE226:KF226" si="6418">KE167+KE197</f>
        <v>3395.8104899999998</v>
      </c>
      <c r="KF226" s="110">
        <f t="shared" si="6418"/>
        <v>1765821.45</v>
      </c>
      <c r="KG226" s="110"/>
      <c r="KH226" s="139"/>
      <c r="KI226" s="225">
        <f t="shared" ref="KI226:KI233" si="6419">KE226/$LI226</f>
        <v>1.1476500000000001</v>
      </c>
      <c r="KJ226" s="198">
        <f t="shared" si="6083"/>
        <v>595</v>
      </c>
      <c r="KK226" s="140"/>
      <c r="KL226" s="110"/>
      <c r="KM226" s="137"/>
      <c r="KN226" s="97"/>
      <c r="KO226" s="138">
        <f t="shared" ref="KO226:KP226" si="6420">KO167+KO197</f>
        <v>2286.5799900000002</v>
      </c>
      <c r="KP226" s="110">
        <f t="shared" si="6420"/>
        <v>1360515.09</v>
      </c>
      <c r="KQ226" s="110"/>
      <c r="KR226" s="139"/>
      <c r="KS226" s="225">
        <f t="shared" ref="KS226:KS233" si="6421">KO226/$LI226</f>
        <v>0.77278000000000002</v>
      </c>
      <c r="KT226" s="198">
        <f t="shared" si="6083"/>
        <v>509</v>
      </c>
      <c r="KU226" s="140"/>
      <c r="KV226" s="110"/>
      <c r="KW226" s="137"/>
      <c r="KX226" s="97"/>
      <c r="KY226" s="138">
        <f t="shared" ref="KY226:KZ226" si="6422">KY167+KY197</f>
        <v>12586.74569</v>
      </c>
      <c r="KZ226" s="110">
        <f t="shared" si="6422"/>
        <v>6406653.5499999998</v>
      </c>
      <c r="LA226" s="110"/>
      <c r="LB226" s="139"/>
      <c r="LC226" s="225">
        <f t="shared" ref="LC226:LC233" si="6423">KY226/$LI226</f>
        <v>4.2538400000000003</v>
      </c>
      <c r="LD226" s="198">
        <f t="shared" ref="LD226" si="6424">LD22</f>
        <v>13279</v>
      </c>
      <c r="LE226" s="140"/>
      <c r="LF226" s="110"/>
      <c r="LG226" s="137"/>
      <c r="LH226" s="97"/>
      <c r="LI226" s="138">
        <f t="shared" ref="LI226:LJ226" si="6425">LI167+LI197</f>
        <v>2958.9141500000001</v>
      </c>
      <c r="LJ226" s="110">
        <f t="shared" si="6425"/>
        <v>39291421</v>
      </c>
      <c r="LK226" s="110"/>
      <c r="LL226" s="139"/>
    </row>
    <row r="227" spans="1:324" ht="16.5" hidden="1" customHeight="1" x14ac:dyDescent="0.25">
      <c r="A227" s="246"/>
      <c r="B227" s="93" t="s">
        <v>610</v>
      </c>
      <c r="C227" s="12" t="s">
        <v>727</v>
      </c>
      <c r="D227" s="12" t="s">
        <v>427</v>
      </c>
      <c r="E227" s="4"/>
      <c r="F227" s="198">
        <f t="shared" si="6097"/>
        <v>0</v>
      </c>
      <c r="G227" s="140"/>
      <c r="H227" s="110"/>
      <c r="I227" s="137"/>
      <c r="J227" s="97"/>
      <c r="K227" s="138">
        <f t="shared" ref="K227:L227" si="6426">K168+K198</f>
        <v>0</v>
      </c>
      <c r="L227" s="110">
        <f t="shared" si="6426"/>
        <v>0</v>
      </c>
      <c r="M227" s="110"/>
      <c r="N227" s="139"/>
      <c r="O227" s="225" t="e">
        <f t="shared" si="6363"/>
        <v>#DIV/0!</v>
      </c>
      <c r="P227" s="198">
        <f t="shared" si="6005"/>
        <v>0</v>
      </c>
      <c r="Q227" s="140"/>
      <c r="R227" s="110"/>
      <c r="S227" s="137"/>
      <c r="T227" s="97"/>
      <c r="U227" s="138">
        <f t="shared" ref="U227:V227" si="6427">U168+U198</f>
        <v>0</v>
      </c>
      <c r="V227" s="110">
        <f t="shared" si="6427"/>
        <v>0</v>
      </c>
      <c r="W227" s="110"/>
      <c r="X227" s="139"/>
      <c r="Y227" s="225" t="e">
        <f t="shared" si="6365"/>
        <v>#DIV/0!</v>
      </c>
      <c r="Z227" s="198">
        <f t="shared" si="6005"/>
        <v>0</v>
      </c>
      <c r="AA227" s="140"/>
      <c r="AB227" s="110"/>
      <c r="AC227" s="137"/>
      <c r="AD227" s="97"/>
      <c r="AE227" s="138">
        <f t="shared" ref="AE227:AF227" si="6428">AE168+AE198</f>
        <v>0</v>
      </c>
      <c r="AF227" s="110">
        <f t="shared" si="6428"/>
        <v>0</v>
      </c>
      <c r="AG227" s="110"/>
      <c r="AH227" s="139"/>
      <c r="AI227" s="225" t="e">
        <f t="shared" si="6367"/>
        <v>#DIV/0!</v>
      </c>
      <c r="AJ227" s="198">
        <f t="shared" si="6005"/>
        <v>0</v>
      </c>
      <c r="AK227" s="140"/>
      <c r="AL227" s="110"/>
      <c r="AM227" s="137"/>
      <c r="AN227" s="97"/>
      <c r="AO227" s="138">
        <f t="shared" ref="AO227:AP227" si="6429">AO168+AO198</f>
        <v>0</v>
      </c>
      <c r="AP227" s="110">
        <f t="shared" si="6429"/>
        <v>0</v>
      </c>
      <c r="AQ227" s="110"/>
      <c r="AR227" s="139"/>
      <c r="AS227" s="225" t="e">
        <f t="shared" si="6369"/>
        <v>#DIV/0!</v>
      </c>
      <c r="AT227" s="198">
        <f t="shared" si="6005"/>
        <v>0</v>
      </c>
      <c r="AU227" s="140"/>
      <c r="AV227" s="110"/>
      <c r="AW227" s="137"/>
      <c r="AX227" s="97"/>
      <c r="AY227" s="138">
        <f t="shared" ref="AY227:AZ227" si="6430">AY168+AY198</f>
        <v>0</v>
      </c>
      <c r="AZ227" s="110">
        <f t="shared" si="6430"/>
        <v>0</v>
      </c>
      <c r="BA227" s="110"/>
      <c r="BB227" s="139"/>
      <c r="BC227" s="225" t="e">
        <f t="shared" si="6371"/>
        <v>#DIV/0!</v>
      </c>
      <c r="BD227" s="198">
        <f t="shared" si="6005"/>
        <v>0</v>
      </c>
      <c r="BE227" s="140"/>
      <c r="BF227" s="110"/>
      <c r="BG227" s="137"/>
      <c r="BH227" s="97"/>
      <c r="BI227" s="138">
        <f t="shared" ref="BI227:BJ227" si="6431">BI168+BI198</f>
        <v>0</v>
      </c>
      <c r="BJ227" s="110">
        <f t="shared" si="6431"/>
        <v>0</v>
      </c>
      <c r="BK227" s="110"/>
      <c r="BL227" s="139"/>
      <c r="BM227" s="225" t="e">
        <f t="shared" si="6373"/>
        <v>#DIV/0!</v>
      </c>
      <c r="BN227" s="198">
        <f t="shared" si="6005"/>
        <v>0</v>
      </c>
      <c r="BO227" s="140"/>
      <c r="BP227" s="110"/>
      <c r="BQ227" s="137"/>
      <c r="BR227" s="97"/>
      <c r="BS227" s="138">
        <f t="shared" ref="BS227:BT227" si="6432">BS168+BS198</f>
        <v>0</v>
      </c>
      <c r="BT227" s="110">
        <f t="shared" si="6432"/>
        <v>0</v>
      </c>
      <c r="BU227" s="110"/>
      <c r="BV227" s="139"/>
      <c r="BW227" s="225" t="e">
        <f t="shared" si="6375"/>
        <v>#DIV/0!</v>
      </c>
      <c r="BX227" s="198">
        <f t="shared" si="6005"/>
        <v>0</v>
      </c>
      <c r="BY227" s="140"/>
      <c r="BZ227" s="110"/>
      <c r="CA227" s="137"/>
      <c r="CB227" s="97"/>
      <c r="CC227" s="138">
        <f t="shared" ref="CC227:CD227" si="6433">CC168+CC198</f>
        <v>0</v>
      </c>
      <c r="CD227" s="110">
        <f t="shared" si="6433"/>
        <v>0</v>
      </c>
      <c r="CE227" s="110"/>
      <c r="CF227" s="139"/>
      <c r="CG227" s="225" t="e">
        <f t="shared" si="6377"/>
        <v>#DIV/0!</v>
      </c>
      <c r="CH227" s="198">
        <f t="shared" si="6026"/>
        <v>0</v>
      </c>
      <c r="CI227" s="140"/>
      <c r="CJ227" s="110"/>
      <c r="CK227" s="137"/>
      <c r="CL227" s="97"/>
      <c r="CM227" s="138">
        <f t="shared" ref="CM227:CN227" si="6434">CM168+CM198</f>
        <v>0</v>
      </c>
      <c r="CN227" s="110">
        <f t="shared" si="6434"/>
        <v>0</v>
      </c>
      <c r="CO227" s="110"/>
      <c r="CP227" s="139"/>
      <c r="CQ227" s="225" t="e">
        <f t="shared" si="6379"/>
        <v>#DIV/0!</v>
      </c>
      <c r="CR227" s="198">
        <f t="shared" si="6026"/>
        <v>0</v>
      </c>
      <c r="CS227" s="140"/>
      <c r="CT227" s="110"/>
      <c r="CU227" s="137"/>
      <c r="CV227" s="97"/>
      <c r="CW227" s="138">
        <f t="shared" ref="CW227:CX227" si="6435">CW168+CW198</f>
        <v>0</v>
      </c>
      <c r="CX227" s="110">
        <f t="shared" si="6435"/>
        <v>0</v>
      </c>
      <c r="CY227" s="110"/>
      <c r="CZ227" s="139"/>
      <c r="DA227" s="225" t="e">
        <f t="shared" si="6381"/>
        <v>#DIV/0!</v>
      </c>
      <c r="DB227" s="198">
        <f t="shared" si="6026"/>
        <v>0</v>
      </c>
      <c r="DC227" s="140"/>
      <c r="DD227" s="110"/>
      <c r="DE227" s="137"/>
      <c r="DF227" s="97"/>
      <c r="DG227" s="138">
        <f t="shared" ref="DG227:DH227" si="6436">DG168+DG198</f>
        <v>0</v>
      </c>
      <c r="DH227" s="110">
        <f t="shared" si="6436"/>
        <v>0</v>
      </c>
      <c r="DI227" s="110"/>
      <c r="DJ227" s="139"/>
      <c r="DK227" s="225" t="e">
        <f t="shared" si="6383"/>
        <v>#DIV/0!</v>
      </c>
      <c r="DL227" s="198">
        <f t="shared" si="6026"/>
        <v>0</v>
      </c>
      <c r="DM227" s="140"/>
      <c r="DN227" s="110"/>
      <c r="DO227" s="137"/>
      <c r="DP227" s="97"/>
      <c r="DQ227" s="138">
        <f t="shared" ref="DQ227:DR227" si="6437">DQ168+DQ198</f>
        <v>0</v>
      </c>
      <c r="DR227" s="110">
        <f t="shared" si="6437"/>
        <v>0</v>
      </c>
      <c r="DS227" s="110"/>
      <c r="DT227" s="139"/>
      <c r="DU227" s="225" t="e">
        <f t="shared" si="6385"/>
        <v>#DIV/0!</v>
      </c>
      <c r="DV227" s="198">
        <f t="shared" si="6026"/>
        <v>0</v>
      </c>
      <c r="DW227" s="140"/>
      <c r="DX227" s="110"/>
      <c r="DY227" s="137"/>
      <c r="DZ227" s="97"/>
      <c r="EA227" s="138">
        <f t="shared" ref="EA227:EB227" si="6438">EA168+EA198</f>
        <v>0</v>
      </c>
      <c r="EB227" s="110">
        <f t="shared" si="6438"/>
        <v>0</v>
      </c>
      <c r="EC227" s="110"/>
      <c r="ED227" s="139"/>
      <c r="EE227" s="225" t="e">
        <f t="shared" si="6387"/>
        <v>#DIV/0!</v>
      </c>
      <c r="EF227" s="198">
        <f t="shared" si="6026"/>
        <v>0</v>
      </c>
      <c r="EG227" s="140"/>
      <c r="EH227" s="110"/>
      <c r="EI227" s="137"/>
      <c r="EJ227" s="97"/>
      <c r="EK227" s="138">
        <f t="shared" ref="EK227:EL227" si="6439">EK168+EK198</f>
        <v>0</v>
      </c>
      <c r="EL227" s="110">
        <f t="shared" si="6439"/>
        <v>0</v>
      </c>
      <c r="EM227" s="110"/>
      <c r="EN227" s="139"/>
      <c r="EO227" s="225" t="e">
        <f t="shared" si="6389"/>
        <v>#DIV/0!</v>
      </c>
      <c r="EP227" s="198">
        <f t="shared" si="6026"/>
        <v>0</v>
      </c>
      <c r="EQ227" s="140"/>
      <c r="ER227" s="110"/>
      <c r="ES227" s="137"/>
      <c r="ET227" s="97"/>
      <c r="EU227" s="138">
        <f t="shared" ref="EU227:EV227" si="6440">EU168+EU198</f>
        <v>0</v>
      </c>
      <c r="EV227" s="110">
        <f t="shared" si="6440"/>
        <v>0</v>
      </c>
      <c r="EW227" s="110"/>
      <c r="EX227" s="139"/>
      <c r="EY227" s="225" t="e">
        <f t="shared" si="6391"/>
        <v>#DIV/0!</v>
      </c>
      <c r="EZ227" s="198">
        <f t="shared" si="6047"/>
        <v>0</v>
      </c>
      <c r="FA227" s="140"/>
      <c r="FB227" s="110"/>
      <c r="FC227" s="137"/>
      <c r="FD227" s="97"/>
      <c r="FE227" s="138">
        <f t="shared" ref="FE227:FF227" si="6441">FE168+FE198</f>
        <v>0</v>
      </c>
      <c r="FF227" s="110">
        <f t="shared" si="6441"/>
        <v>0</v>
      </c>
      <c r="FG227" s="110"/>
      <c r="FH227" s="139"/>
      <c r="FI227" s="225" t="e">
        <f t="shared" si="6393"/>
        <v>#DIV/0!</v>
      </c>
      <c r="FJ227" s="198">
        <f t="shared" si="6047"/>
        <v>0</v>
      </c>
      <c r="FK227" s="140"/>
      <c r="FL227" s="110"/>
      <c r="FM227" s="137"/>
      <c r="FN227" s="97"/>
      <c r="FO227" s="138">
        <f t="shared" ref="FO227:FP227" si="6442">FO168+FO198</f>
        <v>0</v>
      </c>
      <c r="FP227" s="110">
        <f t="shared" si="6442"/>
        <v>0</v>
      </c>
      <c r="FQ227" s="110"/>
      <c r="FR227" s="139"/>
      <c r="FS227" s="225" t="e">
        <f t="shared" si="6395"/>
        <v>#DIV/0!</v>
      </c>
      <c r="FT227" s="198">
        <f t="shared" si="6047"/>
        <v>0</v>
      </c>
      <c r="FU227" s="140"/>
      <c r="FV227" s="110"/>
      <c r="FW227" s="137"/>
      <c r="FX227" s="97"/>
      <c r="FY227" s="138">
        <f t="shared" ref="FY227:FZ227" si="6443">FY168+FY198</f>
        <v>0</v>
      </c>
      <c r="FZ227" s="110">
        <f t="shared" si="6443"/>
        <v>0</v>
      </c>
      <c r="GA227" s="110"/>
      <c r="GB227" s="139"/>
      <c r="GC227" s="225" t="e">
        <f t="shared" si="6397"/>
        <v>#DIV/0!</v>
      </c>
      <c r="GD227" s="198">
        <f t="shared" si="6047"/>
        <v>0</v>
      </c>
      <c r="GE227" s="140"/>
      <c r="GF227" s="110"/>
      <c r="GG227" s="137"/>
      <c r="GH227" s="97"/>
      <c r="GI227" s="138">
        <f t="shared" ref="GI227:GJ227" si="6444">GI168+GI198</f>
        <v>0</v>
      </c>
      <c r="GJ227" s="110">
        <f t="shared" si="6444"/>
        <v>0</v>
      </c>
      <c r="GK227" s="110"/>
      <c r="GL227" s="139"/>
      <c r="GM227" s="225" t="e">
        <f t="shared" si="6399"/>
        <v>#DIV/0!</v>
      </c>
      <c r="GN227" s="198">
        <f t="shared" si="6059"/>
        <v>0</v>
      </c>
      <c r="GO227" s="140"/>
      <c r="GP227" s="110"/>
      <c r="GQ227" s="137"/>
      <c r="GR227" s="97"/>
      <c r="GS227" s="138">
        <f t="shared" ref="GS227:GT227" si="6445">GS168+GS198</f>
        <v>0</v>
      </c>
      <c r="GT227" s="110">
        <f t="shared" si="6445"/>
        <v>0</v>
      </c>
      <c r="GU227" s="110"/>
      <c r="GV227" s="139"/>
      <c r="GW227" s="225" t="e">
        <f t="shared" si="6401"/>
        <v>#DIV/0!</v>
      </c>
      <c r="GX227" s="198">
        <f t="shared" si="6059"/>
        <v>0</v>
      </c>
      <c r="GY227" s="140"/>
      <c r="GZ227" s="110"/>
      <c r="HA227" s="137"/>
      <c r="HB227" s="97"/>
      <c r="HC227" s="138">
        <f t="shared" ref="HC227:HD227" si="6446">HC168+HC198</f>
        <v>0</v>
      </c>
      <c r="HD227" s="110">
        <f t="shared" si="6446"/>
        <v>0</v>
      </c>
      <c r="HE227" s="110"/>
      <c r="HF227" s="139"/>
      <c r="HG227" s="225" t="e">
        <f t="shared" si="6403"/>
        <v>#DIV/0!</v>
      </c>
      <c r="HH227" s="198">
        <f t="shared" si="6059"/>
        <v>0</v>
      </c>
      <c r="HI227" s="140"/>
      <c r="HJ227" s="110"/>
      <c r="HK227" s="137"/>
      <c r="HL227" s="97"/>
      <c r="HM227" s="138">
        <f t="shared" ref="HM227:HN227" si="6447">HM168+HM198</f>
        <v>0</v>
      </c>
      <c r="HN227" s="110">
        <f t="shared" si="6447"/>
        <v>0</v>
      </c>
      <c r="HO227" s="110"/>
      <c r="HP227" s="139"/>
      <c r="HQ227" s="225" t="e">
        <f t="shared" si="6405"/>
        <v>#DIV/0!</v>
      </c>
      <c r="HR227" s="198">
        <f t="shared" si="6059"/>
        <v>0</v>
      </c>
      <c r="HS227" s="140"/>
      <c r="HT227" s="110"/>
      <c r="HU227" s="137"/>
      <c r="HV227" s="97"/>
      <c r="HW227" s="138">
        <f t="shared" ref="HW227:HX227" si="6448">HW168+HW198</f>
        <v>0</v>
      </c>
      <c r="HX227" s="110">
        <f t="shared" si="6448"/>
        <v>0</v>
      </c>
      <c r="HY227" s="110"/>
      <c r="HZ227" s="139"/>
      <c r="IA227" s="225" t="e">
        <f t="shared" si="6407"/>
        <v>#DIV/0!</v>
      </c>
      <c r="IB227" s="198">
        <f t="shared" si="6071"/>
        <v>0</v>
      </c>
      <c r="IC227" s="140"/>
      <c r="ID227" s="110"/>
      <c r="IE227" s="137"/>
      <c r="IF227" s="97"/>
      <c r="IG227" s="138">
        <f t="shared" ref="IG227:IH227" si="6449">IG168+IG198</f>
        <v>0</v>
      </c>
      <c r="IH227" s="110">
        <f t="shared" si="6449"/>
        <v>0</v>
      </c>
      <c r="II227" s="110"/>
      <c r="IJ227" s="139"/>
      <c r="IK227" s="225" t="e">
        <f t="shared" si="6409"/>
        <v>#DIV/0!</v>
      </c>
      <c r="IL227" s="198">
        <f t="shared" si="6071"/>
        <v>0</v>
      </c>
      <c r="IM227" s="140"/>
      <c r="IN227" s="110"/>
      <c r="IO227" s="137"/>
      <c r="IP227" s="97"/>
      <c r="IQ227" s="138">
        <f t="shared" ref="IQ227:IR227" si="6450">IQ168+IQ198</f>
        <v>0</v>
      </c>
      <c r="IR227" s="110">
        <f t="shared" si="6450"/>
        <v>0</v>
      </c>
      <c r="IS227" s="110"/>
      <c r="IT227" s="139"/>
      <c r="IU227" s="225" t="e">
        <f t="shared" si="6411"/>
        <v>#DIV/0!</v>
      </c>
      <c r="IV227" s="198">
        <f t="shared" si="6071"/>
        <v>0</v>
      </c>
      <c r="IW227" s="140"/>
      <c r="IX227" s="110"/>
      <c r="IY227" s="137"/>
      <c r="IZ227" s="97"/>
      <c r="JA227" s="138">
        <f t="shared" ref="JA227:JB227" si="6451">JA168+JA198</f>
        <v>0</v>
      </c>
      <c r="JB227" s="110">
        <f t="shared" si="6451"/>
        <v>0</v>
      </c>
      <c r="JC227" s="110"/>
      <c r="JD227" s="139"/>
      <c r="JE227" s="225" t="e">
        <f t="shared" si="6413"/>
        <v>#DIV/0!</v>
      </c>
      <c r="JF227" s="198">
        <f t="shared" si="6071"/>
        <v>0</v>
      </c>
      <c r="JG227" s="140"/>
      <c r="JH227" s="110"/>
      <c r="JI227" s="137"/>
      <c r="JJ227" s="97"/>
      <c r="JK227" s="138">
        <f t="shared" ref="JK227:JL227" si="6452">JK168+JK198</f>
        <v>0</v>
      </c>
      <c r="JL227" s="110">
        <f t="shared" si="6452"/>
        <v>0</v>
      </c>
      <c r="JM227" s="110"/>
      <c r="JN227" s="139"/>
      <c r="JO227" s="225" t="e">
        <f t="shared" si="6415"/>
        <v>#DIV/0!</v>
      </c>
      <c r="JP227" s="198">
        <f t="shared" si="6083"/>
        <v>0</v>
      </c>
      <c r="JQ227" s="140"/>
      <c r="JR227" s="110"/>
      <c r="JS227" s="137"/>
      <c r="JT227" s="97"/>
      <c r="JU227" s="138">
        <f t="shared" ref="JU227:JV227" si="6453">JU168+JU198</f>
        <v>0</v>
      </c>
      <c r="JV227" s="110">
        <f t="shared" si="6453"/>
        <v>0</v>
      </c>
      <c r="JW227" s="110"/>
      <c r="JX227" s="139"/>
      <c r="JY227" s="225" t="e">
        <f t="shared" si="6417"/>
        <v>#DIV/0!</v>
      </c>
      <c r="JZ227" s="198">
        <f t="shared" si="6083"/>
        <v>0</v>
      </c>
      <c r="KA227" s="140"/>
      <c r="KB227" s="110"/>
      <c r="KC227" s="137"/>
      <c r="KD227" s="97"/>
      <c r="KE227" s="138">
        <f t="shared" ref="KE227:KF227" si="6454">KE168+KE198</f>
        <v>0</v>
      </c>
      <c r="KF227" s="110">
        <f t="shared" si="6454"/>
        <v>0</v>
      </c>
      <c r="KG227" s="110"/>
      <c r="KH227" s="139"/>
      <c r="KI227" s="225" t="e">
        <f t="shared" si="6419"/>
        <v>#DIV/0!</v>
      </c>
      <c r="KJ227" s="198">
        <f t="shared" si="6083"/>
        <v>0</v>
      </c>
      <c r="KK227" s="140"/>
      <c r="KL227" s="110"/>
      <c r="KM227" s="137"/>
      <c r="KN227" s="97"/>
      <c r="KO227" s="138">
        <f t="shared" ref="KO227:KP227" si="6455">KO168+KO198</f>
        <v>0</v>
      </c>
      <c r="KP227" s="110">
        <f t="shared" si="6455"/>
        <v>0</v>
      </c>
      <c r="KQ227" s="110"/>
      <c r="KR227" s="139"/>
      <c r="KS227" s="225" t="e">
        <f t="shared" si="6421"/>
        <v>#DIV/0!</v>
      </c>
      <c r="KT227" s="198">
        <f t="shared" si="6083"/>
        <v>0</v>
      </c>
      <c r="KU227" s="140"/>
      <c r="KV227" s="110"/>
      <c r="KW227" s="137"/>
      <c r="KX227" s="97"/>
      <c r="KY227" s="138">
        <f t="shared" ref="KY227:KZ227" si="6456">KY168+KY198</f>
        <v>0</v>
      </c>
      <c r="KZ227" s="110">
        <f t="shared" si="6456"/>
        <v>0</v>
      </c>
      <c r="LA227" s="110"/>
      <c r="LB227" s="139"/>
      <c r="LC227" s="225" t="e">
        <f t="shared" si="6423"/>
        <v>#DIV/0!</v>
      </c>
      <c r="LD227" s="198">
        <f t="shared" ref="LD227" si="6457">LD23</f>
        <v>0</v>
      </c>
      <c r="LE227" s="140"/>
      <c r="LF227" s="110"/>
      <c r="LG227" s="137"/>
      <c r="LH227" s="97"/>
      <c r="LI227" s="138">
        <f t="shared" ref="LI227:LJ227" si="6458">LI168+LI198</f>
        <v>0</v>
      </c>
      <c r="LJ227" s="110">
        <f t="shared" si="6458"/>
        <v>0</v>
      </c>
      <c r="LK227" s="110"/>
      <c r="LL227" s="139"/>
    </row>
    <row r="228" spans="1:324" ht="16.5" customHeight="1" x14ac:dyDescent="0.25">
      <c r="A228" s="246"/>
      <c r="B228" s="70" t="s">
        <v>625</v>
      </c>
      <c r="C228" s="12" t="s">
        <v>728</v>
      </c>
      <c r="D228" s="12" t="s">
        <v>430</v>
      </c>
      <c r="E228" s="4"/>
      <c r="F228" s="198">
        <f t="shared" si="6097"/>
        <v>12</v>
      </c>
      <c r="G228" s="140"/>
      <c r="H228" s="110"/>
      <c r="I228" s="137"/>
      <c r="J228" s="97"/>
      <c r="K228" s="138">
        <f t="shared" ref="K228:L228" si="6459">K169+K199</f>
        <v>1754.36952</v>
      </c>
      <c r="L228" s="110">
        <f t="shared" si="6459"/>
        <v>21052.43</v>
      </c>
      <c r="M228" s="110"/>
      <c r="N228" s="139"/>
      <c r="O228" s="225">
        <f t="shared" si="6363"/>
        <v>0.59294999999999998</v>
      </c>
      <c r="P228" s="198">
        <f t="shared" si="6005"/>
        <v>0</v>
      </c>
      <c r="Q228" s="140"/>
      <c r="R228" s="110"/>
      <c r="S228" s="137"/>
      <c r="T228" s="97"/>
      <c r="U228" s="138">
        <f t="shared" ref="U228:V228" si="6460">U169+U199</f>
        <v>0</v>
      </c>
      <c r="V228" s="110">
        <f t="shared" si="6460"/>
        <v>0</v>
      </c>
      <c r="W228" s="110"/>
      <c r="X228" s="139"/>
      <c r="Y228" s="225">
        <f t="shared" si="6365"/>
        <v>0</v>
      </c>
      <c r="Z228" s="198">
        <f t="shared" si="6005"/>
        <v>0</v>
      </c>
      <c r="AA228" s="140"/>
      <c r="AB228" s="110"/>
      <c r="AC228" s="137"/>
      <c r="AD228" s="97"/>
      <c r="AE228" s="138">
        <f t="shared" ref="AE228:AF228" si="6461">AE169+AE199</f>
        <v>0</v>
      </c>
      <c r="AF228" s="110">
        <f t="shared" si="6461"/>
        <v>0</v>
      </c>
      <c r="AG228" s="110"/>
      <c r="AH228" s="139"/>
      <c r="AI228" s="225">
        <f t="shared" si="6367"/>
        <v>0</v>
      </c>
      <c r="AJ228" s="198">
        <f t="shared" si="6005"/>
        <v>0</v>
      </c>
      <c r="AK228" s="140"/>
      <c r="AL228" s="110"/>
      <c r="AM228" s="137"/>
      <c r="AN228" s="97"/>
      <c r="AO228" s="138">
        <f t="shared" ref="AO228:AP228" si="6462">AO169+AO199</f>
        <v>0</v>
      </c>
      <c r="AP228" s="110">
        <f t="shared" si="6462"/>
        <v>0</v>
      </c>
      <c r="AQ228" s="110"/>
      <c r="AR228" s="139"/>
      <c r="AS228" s="225">
        <f t="shared" si="6369"/>
        <v>0</v>
      </c>
      <c r="AT228" s="198">
        <f t="shared" si="6005"/>
        <v>19</v>
      </c>
      <c r="AU228" s="140"/>
      <c r="AV228" s="110"/>
      <c r="AW228" s="137"/>
      <c r="AX228" s="97"/>
      <c r="AY228" s="138">
        <f t="shared" ref="AY228:AZ228" si="6463">AY169+AY199</f>
        <v>1221.56405</v>
      </c>
      <c r="AZ228" s="110">
        <f t="shared" si="6463"/>
        <v>23209.72</v>
      </c>
      <c r="BA228" s="110"/>
      <c r="BB228" s="139"/>
      <c r="BC228" s="225">
        <f t="shared" si="6371"/>
        <v>0.41287000000000001</v>
      </c>
      <c r="BD228" s="198">
        <f t="shared" si="6005"/>
        <v>0</v>
      </c>
      <c r="BE228" s="140"/>
      <c r="BF228" s="110"/>
      <c r="BG228" s="137"/>
      <c r="BH228" s="97"/>
      <c r="BI228" s="138">
        <f t="shared" ref="BI228:BJ228" si="6464">BI169+BI199</f>
        <v>0</v>
      </c>
      <c r="BJ228" s="110">
        <f t="shared" si="6464"/>
        <v>0</v>
      </c>
      <c r="BK228" s="110"/>
      <c r="BL228" s="139"/>
      <c r="BM228" s="225">
        <f t="shared" si="6373"/>
        <v>0</v>
      </c>
      <c r="BN228" s="198">
        <f t="shared" si="6005"/>
        <v>0</v>
      </c>
      <c r="BO228" s="140"/>
      <c r="BP228" s="110"/>
      <c r="BQ228" s="137"/>
      <c r="BR228" s="97"/>
      <c r="BS228" s="138">
        <f t="shared" ref="BS228:BT228" si="6465">BS169+BS199</f>
        <v>0</v>
      </c>
      <c r="BT228" s="110">
        <f t="shared" si="6465"/>
        <v>0</v>
      </c>
      <c r="BU228" s="110"/>
      <c r="BV228" s="139"/>
      <c r="BW228" s="225">
        <f t="shared" si="6375"/>
        <v>0</v>
      </c>
      <c r="BX228" s="198">
        <f t="shared" si="6005"/>
        <v>0</v>
      </c>
      <c r="BY228" s="140"/>
      <c r="BZ228" s="110"/>
      <c r="CA228" s="137"/>
      <c r="CB228" s="97"/>
      <c r="CC228" s="138">
        <f t="shared" ref="CC228:CD228" si="6466">CC169+CC199</f>
        <v>0</v>
      </c>
      <c r="CD228" s="110">
        <f t="shared" si="6466"/>
        <v>0</v>
      </c>
      <c r="CE228" s="110"/>
      <c r="CF228" s="139"/>
      <c r="CG228" s="225">
        <f t="shared" si="6377"/>
        <v>0</v>
      </c>
      <c r="CH228" s="198">
        <f t="shared" si="6026"/>
        <v>0</v>
      </c>
      <c r="CI228" s="140"/>
      <c r="CJ228" s="110"/>
      <c r="CK228" s="137"/>
      <c r="CL228" s="97"/>
      <c r="CM228" s="138">
        <f t="shared" ref="CM228:CN228" si="6467">CM169+CM199</f>
        <v>0</v>
      </c>
      <c r="CN228" s="110">
        <f t="shared" si="6467"/>
        <v>0</v>
      </c>
      <c r="CO228" s="110"/>
      <c r="CP228" s="139"/>
      <c r="CQ228" s="225">
        <f t="shared" si="6379"/>
        <v>0</v>
      </c>
      <c r="CR228" s="198">
        <f t="shared" si="6026"/>
        <v>15</v>
      </c>
      <c r="CS228" s="140"/>
      <c r="CT228" s="110"/>
      <c r="CU228" s="137"/>
      <c r="CV228" s="97"/>
      <c r="CW228" s="138">
        <f t="shared" ref="CW228:CX228" si="6468">CW169+CW199</f>
        <v>3129.7260099999999</v>
      </c>
      <c r="CX228" s="110">
        <f t="shared" si="6468"/>
        <v>46945.89</v>
      </c>
      <c r="CY228" s="110"/>
      <c r="CZ228" s="139"/>
      <c r="DA228" s="225">
        <f t="shared" si="6381"/>
        <v>1.0578000000000001</v>
      </c>
      <c r="DB228" s="198">
        <f t="shared" si="6026"/>
        <v>0</v>
      </c>
      <c r="DC228" s="140"/>
      <c r="DD228" s="110"/>
      <c r="DE228" s="137"/>
      <c r="DF228" s="97"/>
      <c r="DG228" s="138">
        <f t="shared" ref="DG228:DH228" si="6469">DG169+DG199</f>
        <v>0</v>
      </c>
      <c r="DH228" s="110">
        <f t="shared" si="6469"/>
        <v>0</v>
      </c>
      <c r="DI228" s="110"/>
      <c r="DJ228" s="139"/>
      <c r="DK228" s="225">
        <f t="shared" si="6383"/>
        <v>0</v>
      </c>
      <c r="DL228" s="198">
        <f t="shared" si="6026"/>
        <v>118</v>
      </c>
      <c r="DM228" s="140"/>
      <c r="DN228" s="110"/>
      <c r="DO228" s="137"/>
      <c r="DP228" s="97"/>
      <c r="DQ228" s="138">
        <f t="shared" ref="DQ228:DR228" si="6470">DQ169+DQ199</f>
        <v>3741.08952</v>
      </c>
      <c r="DR228" s="110">
        <f t="shared" si="6470"/>
        <v>441448.57</v>
      </c>
      <c r="DS228" s="110"/>
      <c r="DT228" s="139"/>
      <c r="DU228" s="225">
        <f t="shared" si="6385"/>
        <v>1.26444</v>
      </c>
      <c r="DV228" s="198">
        <f t="shared" si="6026"/>
        <v>9</v>
      </c>
      <c r="DW228" s="140"/>
      <c r="DX228" s="110"/>
      <c r="DY228" s="137"/>
      <c r="DZ228" s="97"/>
      <c r="EA228" s="138">
        <f t="shared" ref="EA228:EB228" si="6471">EA169+EA199</f>
        <v>2231.9005299999999</v>
      </c>
      <c r="EB228" s="110">
        <f t="shared" si="6471"/>
        <v>20087.11</v>
      </c>
      <c r="EC228" s="110"/>
      <c r="ED228" s="139"/>
      <c r="EE228" s="225">
        <f t="shared" si="6387"/>
        <v>0.75434999999999997</v>
      </c>
      <c r="EF228" s="198">
        <f t="shared" si="6026"/>
        <v>11</v>
      </c>
      <c r="EG228" s="140"/>
      <c r="EH228" s="110"/>
      <c r="EI228" s="137"/>
      <c r="EJ228" s="97"/>
      <c r="EK228" s="138">
        <f t="shared" ref="EK228:EL228" si="6472">EK169+EK199</f>
        <v>1903.29773</v>
      </c>
      <c r="EL228" s="110">
        <f t="shared" si="6472"/>
        <v>20936.28</v>
      </c>
      <c r="EM228" s="110"/>
      <c r="EN228" s="139"/>
      <c r="EO228" s="225">
        <f t="shared" si="6389"/>
        <v>0.64329000000000003</v>
      </c>
      <c r="EP228" s="198">
        <f t="shared" si="6026"/>
        <v>0</v>
      </c>
      <c r="EQ228" s="140"/>
      <c r="ER228" s="110"/>
      <c r="ES228" s="137"/>
      <c r="ET228" s="97"/>
      <c r="EU228" s="138">
        <f t="shared" ref="EU228:EV228" si="6473">EU169+EU199</f>
        <v>0</v>
      </c>
      <c r="EV228" s="110">
        <f t="shared" si="6473"/>
        <v>0</v>
      </c>
      <c r="EW228" s="110"/>
      <c r="EX228" s="139"/>
      <c r="EY228" s="225">
        <f t="shared" si="6391"/>
        <v>0</v>
      </c>
      <c r="EZ228" s="198">
        <f t="shared" si="6047"/>
        <v>9</v>
      </c>
      <c r="FA228" s="140"/>
      <c r="FB228" s="110"/>
      <c r="FC228" s="137"/>
      <c r="FD228" s="97"/>
      <c r="FE228" s="138">
        <f t="shared" ref="FE228:FF228" si="6474">FE169+FE199</f>
        <v>1432.7356500000001</v>
      </c>
      <c r="FF228" s="110">
        <f t="shared" si="6474"/>
        <v>12894.62</v>
      </c>
      <c r="FG228" s="110"/>
      <c r="FH228" s="139"/>
      <c r="FI228" s="225">
        <f t="shared" si="6393"/>
        <v>0.48425000000000001</v>
      </c>
      <c r="FJ228" s="198">
        <f t="shared" si="6047"/>
        <v>0</v>
      </c>
      <c r="FK228" s="140"/>
      <c r="FL228" s="110"/>
      <c r="FM228" s="137"/>
      <c r="FN228" s="97"/>
      <c r="FO228" s="138">
        <f t="shared" ref="FO228:FP228" si="6475">FO169+FO199</f>
        <v>0</v>
      </c>
      <c r="FP228" s="110">
        <f t="shared" si="6475"/>
        <v>0</v>
      </c>
      <c r="FQ228" s="110"/>
      <c r="FR228" s="139"/>
      <c r="FS228" s="225">
        <f t="shared" si="6395"/>
        <v>0</v>
      </c>
      <c r="FT228" s="198">
        <f t="shared" si="6047"/>
        <v>0</v>
      </c>
      <c r="FU228" s="140"/>
      <c r="FV228" s="110"/>
      <c r="FW228" s="137"/>
      <c r="FX228" s="97"/>
      <c r="FY228" s="138">
        <f t="shared" ref="FY228:FZ228" si="6476">FY169+FY199</f>
        <v>0</v>
      </c>
      <c r="FZ228" s="110">
        <f t="shared" si="6476"/>
        <v>0</v>
      </c>
      <c r="GA228" s="110"/>
      <c r="GB228" s="139"/>
      <c r="GC228" s="225">
        <f t="shared" si="6397"/>
        <v>0</v>
      </c>
      <c r="GD228" s="198">
        <f t="shared" si="6047"/>
        <v>16</v>
      </c>
      <c r="GE228" s="140"/>
      <c r="GF228" s="110"/>
      <c r="GG228" s="137"/>
      <c r="GH228" s="97"/>
      <c r="GI228" s="138">
        <f t="shared" ref="GI228:GJ228" si="6477">GI169+GI199</f>
        <v>2242.2589699999999</v>
      </c>
      <c r="GJ228" s="110">
        <f t="shared" si="6477"/>
        <v>35876.14</v>
      </c>
      <c r="GK228" s="110"/>
      <c r="GL228" s="139"/>
      <c r="GM228" s="225">
        <f t="shared" si="6399"/>
        <v>0.75785000000000002</v>
      </c>
      <c r="GN228" s="198">
        <f t="shared" si="6059"/>
        <v>7</v>
      </c>
      <c r="GO228" s="140"/>
      <c r="GP228" s="110"/>
      <c r="GQ228" s="137"/>
      <c r="GR228" s="97"/>
      <c r="GS228" s="138">
        <f t="shared" ref="GS228:GT228" si="6478">GS169+GS199</f>
        <v>3816.16563</v>
      </c>
      <c r="GT228" s="110">
        <f t="shared" si="6478"/>
        <v>26713.16</v>
      </c>
      <c r="GU228" s="110"/>
      <c r="GV228" s="139"/>
      <c r="GW228" s="225">
        <f t="shared" si="6401"/>
        <v>1.2898099999999999</v>
      </c>
      <c r="GX228" s="198">
        <f t="shared" si="6059"/>
        <v>0</v>
      </c>
      <c r="GY228" s="140"/>
      <c r="GZ228" s="110"/>
      <c r="HA228" s="137"/>
      <c r="HB228" s="97"/>
      <c r="HC228" s="138">
        <f t="shared" ref="HC228:HD228" si="6479">HC169+HC199</f>
        <v>0</v>
      </c>
      <c r="HD228" s="110">
        <f t="shared" si="6479"/>
        <v>0</v>
      </c>
      <c r="HE228" s="110"/>
      <c r="HF228" s="139"/>
      <c r="HG228" s="225">
        <f t="shared" si="6403"/>
        <v>0</v>
      </c>
      <c r="HH228" s="198">
        <f t="shared" si="6059"/>
        <v>39</v>
      </c>
      <c r="HI228" s="140"/>
      <c r="HJ228" s="110"/>
      <c r="HK228" s="137"/>
      <c r="HL228" s="97"/>
      <c r="HM228" s="138">
        <f t="shared" ref="HM228:HN228" si="6480">HM169+HM199</f>
        <v>2542.7510000000002</v>
      </c>
      <c r="HN228" s="110">
        <f t="shared" si="6480"/>
        <v>99167.3</v>
      </c>
      <c r="HO228" s="110"/>
      <c r="HP228" s="139"/>
      <c r="HQ228" s="225">
        <f t="shared" si="6405"/>
        <v>0.85941999999999996</v>
      </c>
      <c r="HR228" s="198">
        <f t="shared" si="6059"/>
        <v>0</v>
      </c>
      <c r="HS228" s="140"/>
      <c r="HT228" s="110"/>
      <c r="HU228" s="137"/>
      <c r="HV228" s="97"/>
      <c r="HW228" s="138">
        <f t="shared" ref="HW228:HX228" si="6481">HW169+HW199</f>
        <v>0</v>
      </c>
      <c r="HX228" s="110">
        <f t="shared" si="6481"/>
        <v>0</v>
      </c>
      <c r="HY228" s="110"/>
      <c r="HZ228" s="139"/>
      <c r="IA228" s="225">
        <f t="shared" si="6407"/>
        <v>0</v>
      </c>
      <c r="IB228" s="198">
        <f t="shared" si="6071"/>
        <v>36</v>
      </c>
      <c r="IC228" s="140"/>
      <c r="ID228" s="110"/>
      <c r="IE228" s="137"/>
      <c r="IF228" s="97"/>
      <c r="IG228" s="138">
        <f t="shared" ref="IG228:IH228" si="6482">IG169+IG199</f>
        <v>4692.84051</v>
      </c>
      <c r="IH228" s="110">
        <f t="shared" si="6482"/>
        <v>168942.26</v>
      </c>
      <c r="II228" s="110"/>
      <c r="IJ228" s="139"/>
      <c r="IK228" s="225">
        <f t="shared" si="6409"/>
        <v>1.58612</v>
      </c>
      <c r="IL228" s="198">
        <f t="shared" si="6071"/>
        <v>0</v>
      </c>
      <c r="IM228" s="140"/>
      <c r="IN228" s="110"/>
      <c r="IO228" s="137"/>
      <c r="IP228" s="97"/>
      <c r="IQ228" s="138">
        <f t="shared" ref="IQ228:IR228" si="6483">IQ169+IQ199</f>
        <v>0</v>
      </c>
      <c r="IR228" s="110">
        <f t="shared" si="6483"/>
        <v>0</v>
      </c>
      <c r="IS228" s="110"/>
      <c r="IT228" s="139"/>
      <c r="IU228" s="225">
        <f t="shared" si="6411"/>
        <v>0</v>
      </c>
      <c r="IV228" s="198">
        <f t="shared" si="6071"/>
        <v>0</v>
      </c>
      <c r="IW228" s="140"/>
      <c r="IX228" s="110"/>
      <c r="IY228" s="137"/>
      <c r="IZ228" s="97"/>
      <c r="JA228" s="138">
        <f t="shared" ref="JA228:JB228" si="6484">JA169+JA199</f>
        <v>0</v>
      </c>
      <c r="JB228" s="110">
        <f t="shared" si="6484"/>
        <v>0</v>
      </c>
      <c r="JC228" s="110"/>
      <c r="JD228" s="139"/>
      <c r="JE228" s="225">
        <f t="shared" si="6413"/>
        <v>0</v>
      </c>
      <c r="JF228" s="198">
        <f t="shared" si="6071"/>
        <v>0</v>
      </c>
      <c r="JG228" s="140"/>
      <c r="JH228" s="110"/>
      <c r="JI228" s="137"/>
      <c r="JJ228" s="97"/>
      <c r="JK228" s="138">
        <f t="shared" ref="JK228:JL228" si="6485">JK169+JK199</f>
        <v>0</v>
      </c>
      <c r="JL228" s="110">
        <f t="shared" si="6485"/>
        <v>0</v>
      </c>
      <c r="JM228" s="110"/>
      <c r="JN228" s="139"/>
      <c r="JO228" s="225">
        <f t="shared" si="6415"/>
        <v>0</v>
      </c>
      <c r="JP228" s="198">
        <f t="shared" si="6083"/>
        <v>33</v>
      </c>
      <c r="JQ228" s="140"/>
      <c r="JR228" s="110"/>
      <c r="JS228" s="137"/>
      <c r="JT228" s="97"/>
      <c r="JU228" s="138">
        <f t="shared" ref="JU228:JV228" si="6486">JU169+JU199</f>
        <v>3091.7000800000001</v>
      </c>
      <c r="JV228" s="110">
        <f t="shared" si="6486"/>
        <v>102026.1</v>
      </c>
      <c r="JW228" s="110"/>
      <c r="JX228" s="139"/>
      <c r="JY228" s="225">
        <f t="shared" si="6417"/>
        <v>1.04495</v>
      </c>
      <c r="JZ228" s="198">
        <f t="shared" si="6083"/>
        <v>0</v>
      </c>
      <c r="KA228" s="140"/>
      <c r="KB228" s="110"/>
      <c r="KC228" s="137"/>
      <c r="KD228" s="97"/>
      <c r="KE228" s="138">
        <f t="shared" ref="KE228:KF228" si="6487">KE169+KE199</f>
        <v>0</v>
      </c>
      <c r="KF228" s="110">
        <f t="shared" si="6487"/>
        <v>0</v>
      </c>
      <c r="KG228" s="110"/>
      <c r="KH228" s="139"/>
      <c r="KI228" s="225">
        <f t="shared" si="6419"/>
        <v>0</v>
      </c>
      <c r="KJ228" s="198">
        <f t="shared" si="6083"/>
        <v>0</v>
      </c>
      <c r="KK228" s="140"/>
      <c r="KL228" s="110"/>
      <c r="KM228" s="137"/>
      <c r="KN228" s="97"/>
      <c r="KO228" s="138">
        <f t="shared" ref="KO228:KP228" si="6488">KO169+KO199</f>
        <v>0</v>
      </c>
      <c r="KP228" s="110">
        <f t="shared" si="6488"/>
        <v>0</v>
      </c>
      <c r="KQ228" s="110"/>
      <c r="KR228" s="139"/>
      <c r="KS228" s="225">
        <f t="shared" si="6421"/>
        <v>0</v>
      </c>
      <c r="KT228" s="198">
        <f t="shared" si="6083"/>
        <v>0</v>
      </c>
      <c r="KU228" s="140"/>
      <c r="KV228" s="110"/>
      <c r="KW228" s="137"/>
      <c r="KX228" s="97"/>
      <c r="KY228" s="138">
        <f t="shared" ref="KY228:KZ228" si="6489">KY169+KY199</f>
        <v>0</v>
      </c>
      <c r="KZ228" s="110">
        <f t="shared" si="6489"/>
        <v>0</v>
      </c>
      <c r="LA228" s="110"/>
      <c r="LB228" s="139"/>
      <c r="LC228" s="225">
        <f t="shared" si="6423"/>
        <v>0</v>
      </c>
      <c r="LD228" s="198">
        <f t="shared" ref="LD228" si="6490">LD24</f>
        <v>324</v>
      </c>
      <c r="LE228" s="140"/>
      <c r="LF228" s="110"/>
      <c r="LG228" s="137"/>
      <c r="LH228" s="97"/>
      <c r="LI228" s="138">
        <f t="shared" ref="LI228:LJ228" si="6491">LI169+LI199</f>
        <v>2958.69884</v>
      </c>
      <c r="LJ228" s="110">
        <f t="shared" si="6491"/>
        <v>958618.43</v>
      </c>
      <c r="LK228" s="110"/>
      <c r="LL228" s="139"/>
    </row>
    <row r="229" spans="1:324" ht="15" hidden="1" customHeight="1" x14ac:dyDescent="0.25">
      <c r="A229" s="246"/>
      <c r="B229" s="93" t="s">
        <v>639</v>
      </c>
      <c r="C229" s="12" t="s">
        <v>727</v>
      </c>
      <c r="D229" s="12" t="s">
        <v>427</v>
      </c>
      <c r="E229" s="4"/>
      <c r="F229" s="198">
        <f t="shared" si="6097"/>
        <v>0</v>
      </c>
      <c r="G229" s="140"/>
      <c r="H229" s="110"/>
      <c r="I229" s="137"/>
      <c r="J229" s="97"/>
      <c r="K229" s="138">
        <f t="shared" ref="K229:L229" si="6492">K170+K200</f>
        <v>0</v>
      </c>
      <c r="L229" s="110">
        <f t="shared" si="6492"/>
        <v>0</v>
      </c>
      <c r="M229" s="110"/>
      <c r="N229" s="139"/>
      <c r="O229" s="225" t="e">
        <f t="shared" si="6363"/>
        <v>#DIV/0!</v>
      </c>
      <c r="P229" s="198">
        <f t="shared" si="6005"/>
        <v>0</v>
      </c>
      <c r="Q229" s="140"/>
      <c r="R229" s="110"/>
      <c r="S229" s="137"/>
      <c r="T229" s="97"/>
      <c r="U229" s="138">
        <f t="shared" ref="U229:V229" si="6493">U170+U200</f>
        <v>0</v>
      </c>
      <c r="V229" s="110">
        <f t="shared" si="6493"/>
        <v>0</v>
      </c>
      <c r="W229" s="110"/>
      <c r="X229" s="139"/>
      <c r="Y229" s="225" t="e">
        <f t="shared" si="6365"/>
        <v>#DIV/0!</v>
      </c>
      <c r="Z229" s="198">
        <f t="shared" si="6005"/>
        <v>0</v>
      </c>
      <c r="AA229" s="140"/>
      <c r="AB229" s="110"/>
      <c r="AC229" s="137"/>
      <c r="AD229" s="97"/>
      <c r="AE229" s="138">
        <f t="shared" ref="AE229:AF229" si="6494">AE170+AE200</f>
        <v>0</v>
      </c>
      <c r="AF229" s="110">
        <f t="shared" si="6494"/>
        <v>0</v>
      </c>
      <c r="AG229" s="110"/>
      <c r="AH229" s="139"/>
      <c r="AI229" s="225" t="e">
        <f t="shared" si="6367"/>
        <v>#DIV/0!</v>
      </c>
      <c r="AJ229" s="198">
        <f t="shared" si="6005"/>
        <v>0</v>
      </c>
      <c r="AK229" s="140"/>
      <c r="AL229" s="110"/>
      <c r="AM229" s="137"/>
      <c r="AN229" s="97"/>
      <c r="AO229" s="138">
        <f t="shared" ref="AO229:AP229" si="6495">AO170+AO200</f>
        <v>0</v>
      </c>
      <c r="AP229" s="110">
        <f t="shared" si="6495"/>
        <v>0</v>
      </c>
      <c r="AQ229" s="110"/>
      <c r="AR229" s="139"/>
      <c r="AS229" s="225" t="e">
        <f t="shared" si="6369"/>
        <v>#DIV/0!</v>
      </c>
      <c r="AT229" s="198">
        <f t="shared" si="6005"/>
        <v>0</v>
      </c>
      <c r="AU229" s="140"/>
      <c r="AV229" s="110"/>
      <c r="AW229" s="137"/>
      <c r="AX229" s="97"/>
      <c r="AY229" s="138">
        <f t="shared" ref="AY229:AZ229" si="6496">AY170+AY200</f>
        <v>0</v>
      </c>
      <c r="AZ229" s="110">
        <f t="shared" si="6496"/>
        <v>0</v>
      </c>
      <c r="BA229" s="110"/>
      <c r="BB229" s="139"/>
      <c r="BC229" s="225" t="e">
        <f t="shared" si="6371"/>
        <v>#DIV/0!</v>
      </c>
      <c r="BD229" s="198">
        <f t="shared" si="6005"/>
        <v>0</v>
      </c>
      <c r="BE229" s="140"/>
      <c r="BF229" s="110"/>
      <c r="BG229" s="137"/>
      <c r="BH229" s="97"/>
      <c r="BI229" s="138">
        <f t="shared" ref="BI229:BJ229" si="6497">BI170+BI200</f>
        <v>0</v>
      </c>
      <c r="BJ229" s="110">
        <f t="shared" si="6497"/>
        <v>0</v>
      </c>
      <c r="BK229" s="110"/>
      <c r="BL229" s="139"/>
      <c r="BM229" s="225" t="e">
        <f t="shared" si="6373"/>
        <v>#DIV/0!</v>
      </c>
      <c r="BN229" s="198">
        <f t="shared" si="6005"/>
        <v>0</v>
      </c>
      <c r="BO229" s="140"/>
      <c r="BP229" s="110"/>
      <c r="BQ229" s="137"/>
      <c r="BR229" s="97"/>
      <c r="BS229" s="138">
        <f t="shared" ref="BS229:BT229" si="6498">BS170+BS200</f>
        <v>0</v>
      </c>
      <c r="BT229" s="110">
        <f t="shared" si="6498"/>
        <v>0</v>
      </c>
      <c r="BU229" s="110"/>
      <c r="BV229" s="139"/>
      <c r="BW229" s="225" t="e">
        <f t="shared" si="6375"/>
        <v>#DIV/0!</v>
      </c>
      <c r="BX229" s="198">
        <f t="shared" si="6005"/>
        <v>0</v>
      </c>
      <c r="BY229" s="140"/>
      <c r="BZ229" s="110"/>
      <c r="CA229" s="137"/>
      <c r="CB229" s="97"/>
      <c r="CC229" s="138">
        <f t="shared" ref="CC229:CD229" si="6499">CC170+CC200</f>
        <v>0</v>
      </c>
      <c r="CD229" s="110">
        <f t="shared" si="6499"/>
        <v>0</v>
      </c>
      <c r="CE229" s="110"/>
      <c r="CF229" s="139"/>
      <c r="CG229" s="225" t="e">
        <f t="shared" si="6377"/>
        <v>#DIV/0!</v>
      </c>
      <c r="CH229" s="198">
        <f t="shared" si="6026"/>
        <v>0</v>
      </c>
      <c r="CI229" s="140"/>
      <c r="CJ229" s="110"/>
      <c r="CK229" s="137"/>
      <c r="CL229" s="97"/>
      <c r="CM229" s="138">
        <f t="shared" ref="CM229:CN229" si="6500">CM170+CM200</f>
        <v>0</v>
      </c>
      <c r="CN229" s="110">
        <f t="shared" si="6500"/>
        <v>0</v>
      </c>
      <c r="CO229" s="110"/>
      <c r="CP229" s="139"/>
      <c r="CQ229" s="225" t="e">
        <f t="shared" si="6379"/>
        <v>#DIV/0!</v>
      </c>
      <c r="CR229" s="198">
        <f t="shared" si="6026"/>
        <v>0</v>
      </c>
      <c r="CS229" s="140"/>
      <c r="CT229" s="110"/>
      <c r="CU229" s="137"/>
      <c r="CV229" s="97"/>
      <c r="CW229" s="138">
        <f t="shared" ref="CW229:CX229" si="6501">CW170+CW200</f>
        <v>0</v>
      </c>
      <c r="CX229" s="110">
        <f t="shared" si="6501"/>
        <v>0</v>
      </c>
      <c r="CY229" s="110"/>
      <c r="CZ229" s="139"/>
      <c r="DA229" s="225" t="e">
        <f t="shared" si="6381"/>
        <v>#DIV/0!</v>
      </c>
      <c r="DB229" s="198">
        <f t="shared" si="6026"/>
        <v>0</v>
      </c>
      <c r="DC229" s="140"/>
      <c r="DD229" s="110"/>
      <c r="DE229" s="137"/>
      <c r="DF229" s="97"/>
      <c r="DG229" s="138">
        <f t="shared" ref="DG229:DH229" si="6502">DG170+DG200</f>
        <v>0</v>
      </c>
      <c r="DH229" s="110">
        <f t="shared" si="6502"/>
        <v>0</v>
      </c>
      <c r="DI229" s="110"/>
      <c r="DJ229" s="139"/>
      <c r="DK229" s="225" t="e">
        <f t="shared" si="6383"/>
        <v>#DIV/0!</v>
      </c>
      <c r="DL229" s="198">
        <f t="shared" si="6026"/>
        <v>0</v>
      </c>
      <c r="DM229" s="140"/>
      <c r="DN229" s="110"/>
      <c r="DO229" s="137"/>
      <c r="DP229" s="97"/>
      <c r="DQ229" s="138">
        <f t="shared" ref="DQ229:DR229" si="6503">DQ170+DQ200</f>
        <v>0</v>
      </c>
      <c r="DR229" s="110">
        <f t="shared" si="6503"/>
        <v>0</v>
      </c>
      <c r="DS229" s="110"/>
      <c r="DT229" s="139"/>
      <c r="DU229" s="225" t="e">
        <f t="shared" si="6385"/>
        <v>#DIV/0!</v>
      </c>
      <c r="DV229" s="198">
        <f t="shared" si="6026"/>
        <v>0</v>
      </c>
      <c r="DW229" s="140"/>
      <c r="DX229" s="110"/>
      <c r="DY229" s="137"/>
      <c r="DZ229" s="97"/>
      <c r="EA229" s="138">
        <f t="shared" ref="EA229:EB229" si="6504">EA170+EA200</f>
        <v>0</v>
      </c>
      <c r="EB229" s="110">
        <f t="shared" si="6504"/>
        <v>0</v>
      </c>
      <c r="EC229" s="110"/>
      <c r="ED229" s="139"/>
      <c r="EE229" s="225" t="e">
        <f t="shared" si="6387"/>
        <v>#DIV/0!</v>
      </c>
      <c r="EF229" s="198">
        <f t="shared" si="6026"/>
        <v>0</v>
      </c>
      <c r="EG229" s="140"/>
      <c r="EH229" s="110"/>
      <c r="EI229" s="137"/>
      <c r="EJ229" s="97"/>
      <c r="EK229" s="138">
        <f t="shared" ref="EK229:EL229" si="6505">EK170+EK200</f>
        <v>0</v>
      </c>
      <c r="EL229" s="110">
        <f t="shared" si="6505"/>
        <v>0</v>
      </c>
      <c r="EM229" s="110"/>
      <c r="EN229" s="139"/>
      <c r="EO229" s="225" t="e">
        <f t="shared" si="6389"/>
        <v>#DIV/0!</v>
      </c>
      <c r="EP229" s="198">
        <f t="shared" si="6026"/>
        <v>0</v>
      </c>
      <c r="EQ229" s="140"/>
      <c r="ER229" s="110"/>
      <c r="ES229" s="137"/>
      <c r="ET229" s="97"/>
      <c r="EU229" s="138">
        <f t="shared" ref="EU229:EV229" si="6506">EU170+EU200</f>
        <v>0</v>
      </c>
      <c r="EV229" s="110">
        <f t="shared" si="6506"/>
        <v>0</v>
      </c>
      <c r="EW229" s="110"/>
      <c r="EX229" s="139"/>
      <c r="EY229" s="225" t="e">
        <f t="shared" si="6391"/>
        <v>#DIV/0!</v>
      </c>
      <c r="EZ229" s="198">
        <f t="shared" si="6047"/>
        <v>0</v>
      </c>
      <c r="FA229" s="140"/>
      <c r="FB229" s="110"/>
      <c r="FC229" s="137"/>
      <c r="FD229" s="97"/>
      <c r="FE229" s="138">
        <f t="shared" ref="FE229:FF229" si="6507">FE170+FE200</f>
        <v>0</v>
      </c>
      <c r="FF229" s="110">
        <f t="shared" si="6507"/>
        <v>0</v>
      </c>
      <c r="FG229" s="110"/>
      <c r="FH229" s="139"/>
      <c r="FI229" s="225" t="e">
        <f t="shared" si="6393"/>
        <v>#DIV/0!</v>
      </c>
      <c r="FJ229" s="198">
        <f t="shared" si="6047"/>
        <v>0</v>
      </c>
      <c r="FK229" s="140"/>
      <c r="FL229" s="110"/>
      <c r="FM229" s="137"/>
      <c r="FN229" s="97"/>
      <c r="FO229" s="138">
        <f t="shared" ref="FO229:FP229" si="6508">FO170+FO200</f>
        <v>0</v>
      </c>
      <c r="FP229" s="110">
        <f t="shared" si="6508"/>
        <v>0</v>
      </c>
      <c r="FQ229" s="110"/>
      <c r="FR229" s="139"/>
      <c r="FS229" s="225" t="e">
        <f t="shared" si="6395"/>
        <v>#DIV/0!</v>
      </c>
      <c r="FT229" s="198">
        <f t="shared" si="6047"/>
        <v>0</v>
      </c>
      <c r="FU229" s="140"/>
      <c r="FV229" s="110"/>
      <c r="FW229" s="137"/>
      <c r="FX229" s="97"/>
      <c r="FY229" s="138">
        <f t="shared" ref="FY229:FZ229" si="6509">FY170+FY200</f>
        <v>0</v>
      </c>
      <c r="FZ229" s="110">
        <f t="shared" si="6509"/>
        <v>0</v>
      </c>
      <c r="GA229" s="110"/>
      <c r="GB229" s="139"/>
      <c r="GC229" s="225" t="e">
        <f t="shared" si="6397"/>
        <v>#DIV/0!</v>
      </c>
      <c r="GD229" s="198">
        <f t="shared" si="6047"/>
        <v>0</v>
      </c>
      <c r="GE229" s="140"/>
      <c r="GF229" s="110"/>
      <c r="GG229" s="137"/>
      <c r="GH229" s="97"/>
      <c r="GI229" s="138">
        <f t="shared" ref="GI229:GJ229" si="6510">GI170+GI200</f>
        <v>0</v>
      </c>
      <c r="GJ229" s="110">
        <f t="shared" si="6510"/>
        <v>0</v>
      </c>
      <c r="GK229" s="110"/>
      <c r="GL229" s="139"/>
      <c r="GM229" s="225" t="e">
        <f t="shared" si="6399"/>
        <v>#DIV/0!</v>
      </c>
      <c r="GN229" s="198">
        <f t="shared" si="6059"/>
        <v>0</v>
      </c>
      <c r="GO229" s="140"/>
      <c r="GP229" s="110"/>
      <c r="GQ229" s="137"/>
      <c r="GR229" s="97"/>
      <c r="GS229" s="138">
        <f t="shared" ref="GS229:GT229" si="6511">GS170+GS200</f>
        <v>0</v>
      </c>
      <c r="GT229" s="110">
        <f t="shared" si="6511"/>
        <v>0</v>
      </c>
      <c r="GU229" s="110"/>
      <c r="GV229" s="139"/>
      <c r="GW229" s="225" t="e">
        <f t="shared" si="6401"/>
        <v>#DIV/0!</v>
      </c>
      <c r="GX229" s="198">
        <f t="shared" si="6059"/>
        <v>0</v>
      </c>
      <c r="GY229" s="140"/>
      <c r="GZ229" s="110"/>
      <c r="HA229" s="137"/>
      <c r="HB229" s="97"/>
      <c r="HC229" s="138">
        <f t="shared" ref="HC229:HD229" si="6512">HC170+HC200</f>
        <v>0</v>
      </c>
      <c r="HD229" s="110">
        <f t="shared" si="6512"/>
        <v>0</v>
      </c>
      <c r="HE229" s="110"/>
      <c r="HF229" s="139"/>
      <c r="HG229" s="225" t="e">
        <f t="shared" si="6403"/>
        <v>#DIV/0!</v>
      </c>
      <c r="HH229" s="198">
        <f t="shared" si="6059"/>
        <v>0</v>
      </c>
      <c r="HI229" s="140"/>
      <c r="HJ229" s="110"/>
      <c r="HK229" s="137"/>
      <c r="HL229" s="97"/>
      <c r="HM229" s="138">
        <f t="shared" ref="HM229:HN229" si="6513">HM170+HM200</f>
        <v>0</v>
      </c>
      <c r="HN229" s="110">
        <f t="shared" si="6513"/>
        <v>0</v>
      </c>
      <c r="HO229" s="110"/>
      <c r="HP229" s="139"/>
      <c r="HQ229" s="225" t="e">
        <f t="shared" si="6405"/>
        <v>#DIV/0!</v>
      </c>
      <c r="HR229" s="198">
        <f t="shared" si="6059"/>
        <v>0</v>
      </c>
      <c r="HS229" s="140"/>
      <c r="HT229" s="110"/>
      <c r="HU229" s="137"/>
      <c r="HV229" s="97"/>
      <c r="HW229" s="138">
        <f t="shared" ref="HW229:HX229" si="6514">HW170+HW200</f>
        <v>0</v>
      </c>
      <c r="HX229" s="110">
        <f t="shared" si="6514"/>
        <v>0</v>
      </c>
      <c r="HY229" s="110"/>
      <c r="HZ229" s="139"/>
      <c r="IA229" s="225" t="e">
        <f t="shared" si="6407"/>
        <v>#DIV/0!</v>
      </c>
      <c r="IB229" s="198">
        <f t="shared" si="6071"/>
        <v>0</v>
      </c>
      <c r="IC229" s="140"/>
      <c r="ID229" s="110"/>
      <c r="IE229" s="137"/>
      <c r="IF229" s="97"/>
      <c r="IG229" s="138">
        <f t="shared" ref="IG229:IH229" si="6515">IG170+IG200</f>
        <v>0</v>
      </c>
      <c r="IH229" s="110">
        <f t="shared" si="6515"/>
        <v>0</v>
      </c>
      <c r="II229" s="110"/>
      <c r="IJ229" s="139"/>
      <c r="IK229" s="225" t="e">
        <f t="shared" si="6409"/>
        <v>#DIV/0!</v>
      </c>
      <c r="IL229" s="198">
        <f t="shared" si="6071"/>
        <v>0</v>
      </c>
      <c r="IM229" s="140"/>
      <c r="IN229" s="110"/>
      <c r="IO229" s="137"/>
      <c r="IP229" s="97"/>
      <c r="IQ229" s="138">
        <f t="shared" ref="IQ229:IR229" si="6516">IQ170+IQ200</f>
        <v>0</v>
      </c>
      <c r="IR229" s="110">
        <f t="shared" si="6516"/>
        <v>0</v>
      </c>
      <c r="IS229" s="110"/>
      <c r="IT229" s="139"/>
      <c r="IU229" s="225" t="e">
        <f t="shared" si="6411"/>
        <v>#DIV/0!</v>
      </c>
      <c r="IV229" s="198">
        <f t="shared" si="6071"/>
        <v>0</v>
      </c>
      <c r="IW229" s="140"/>
      <c r="IX229" s="110"/>
      <c r="IY229" s="137"/>
      <c r="IZ229" s="97"/>
      <c r="JA229" s="138">
        <f t="shared" ref="JA229:JB229" si="6517">JA170+JA200</f>
        <v>0</v>
      </c>
      <c r="JB229" s="110">
        <f t="shared" si="6517"/>
        <v>0</v>
      </c>
      <c r="JC229" s="110"/>
      <c r="JD229" s="139"/>
      <c r="JE229" s="225" t="e">
        <f t="shared" si="6413"/>
        <v>#DIV/0!</v>
      </c>
      <c r="JF229" s="198">
        <f t="shared" si="6071"/>
        <v>0</v>
      </c>
      <c r="JG229" s="140"/>
      <c r="JH229" s="110"/>
      <c r="JI229" s="137"/>
      <c r="JJ229" s="97"/>
      <c r="JK229" s="138">
        <f t="shared" ref="JK229:JL229" si="6518">JK170+JK200</f>
        <v>0</v>
      </c>
      <c r="JL229" s="110">
        <f t="shared" si="6518"/>
        <v>0</v>
      </c>
      <c r="JM229" s="110"/>
      <c r="JN229" s="139"/>
      <c r="JO229" s="225" t="e">
        <f t="shared" si="6415"/>
        <v>#DIV/0!</v>
      </c>
      <c r="JP229" s="198">
        <f t="shared" si="6083"/>
        <v>0</v>
      </c>
      <c r="JQ229" s="140"/>
      <c r="JR229" s="110"/>
      <c r="JS229" s="137"/>
      <c r="JT229" s="97"/>
      <c r="JU229" s="138">
        <f t="shared" ref="JU229:JV229" si="6519">JU170+JU200</f>
        <v>0</v>
      </c>
      <c r="JV229" s="110">
        <f t="shared" si="6519"/>
        <v>0</v>
      </c>
      <c r="JW229" s="110"/>
      <c r="JX229" s="139"/>
      <c r="JY229" s="225" t="e">
        <f t="shared" si="6417"/>
        <v>#DIV/0!</v>
      </c>
      <c r="JZ229" s="198">
        <f t="shared" si="6083"/>
        <v>0</v>
      </c>
      <c r="KA229" s="140"/>
      <c r="KB229" s="110"/>
      <c r="KC229" s="137"/>
      <c r="KD229" s="97"/>
      <c r="KE229" s="138">
        <f t="shared" ref="KE229:KF229" si="6520">KE170+KE200</f>
        <v>0</v>
      </c>
      <c r="KF229" s="110">
        <f t="shared" si="6520"/>
        <v>0</v>
      </c>
      <c r="KG229" s="110"/>
      <c r="KH229" s="139"/>
      <c r="KI229" s="225" t="e">
        <f t="shared" si="6419"/>
        <v>#DIV/0!</v>
      </c>
      <c r="KJ229" s="198">
        <f t="shared" si="6083"/>
        <v>0</v>
      </c>
      <c r="KK229" s="140"/>
      <c r="KL229" s="110"/>
      <c r="KM229" s="137"/>
      <c r="KN229" s="97"/>
      <c r="KO229" s="138">
        <f t="shared" ref="KO229:KP229" si="6521">KO170+KO200</f>
        <v>0</v>
      </c>
      <c r="KP229" s="110">
        <f t="shared" si="6521"/>
        <v>0</v>
      </c>
      <c r="KQ229" s="110"/>
      <c r="KR229" s="139"/>
      <c r="KS229" s="225" t="e">
        <f t="shared" si="6421"/>
        <v>#DIV/0!</v>
      </c>
      <c r="KT229" s="198">
        <f t="shared" si="6083"/>
        <v>0</v>
      </c>
      <c r="KU229" s="140"/>
      <c r="KV229" s="110"/>
      <c r="KW229" s="137"/>
      <c r="KX229" s="97"/>
      <c r="KY229" s="138">
        <f t="shared" ref="KY229:KZ229" si="6522">KY170+KY200</f>
        <v>0</v>
      </c>
      <c r="KZ229" s="110">
        <f t="shared" si="6522"/>
        <v>0</v>
      </c>
      <c r="LA229" s="110"/>
      <c r="LB229" s="139"/>
      <c r="LC229" s="225" t="e">
        <f t="shared" si="6423"/>
        <v>#DIV/0!</v>
      </c>
      <c r="LD229" s="198">
        <f t="shared" ref="LD229" si="6523">LD25</f>
        <v>0</v>
      </c>
      <c r="LE229" s="140"/>
      <c r="LF229" s="110"/>
      <c r="LG229" s="137"/>
      <c r="LH229" s="97"/>
      <c r="LI229" s="138">
        <f t="shared" ref="LI229:LJ229" si="6524">LI170+LI200</f>
        <v>0</v>
      </c>
      <c r="LJ229" s="110">
        <f t="shared" si="6524"/>
        <v>0</v>
      </c>
      <c r="LK229" s="110"/>
      <c r="LL229" s="139"/>
    </row>
    <row r="230" spans="1:324" ht="16.5" customHeight="1" x14ac:dyDescent="0.25">
      <c r="A230" s="246"/>
      <c r="B230" s="70" t="s">
        <v>626</v>
      </c>
      <c r="C230" s="12" t="s">
        <v>728</v>
      </c>
      <c r="D230" s="12" t="s">
        <v>430</v>
      </c>
      <c r="E230" s="4"/>
      <c r="F230" s="198">
        <f t="shared" si="6097"/>
        <v>1</v>
      </c>
      <c r="G230" s="140"/>
      <c r="H230" s="110"/>
      <c r="I230" s="137"/>
      <c r="J230" s="97"/>
      <c r="K230" s="138">
        <f t="shared" ref="K230:L230" si="6525">K171+K201</f>
        <v>1750.6868999999999</v>
      </c>
      <c r="L230" s="110">
        <f t="shared" si="6525"/>
        <v>1750.69</v>
      </c>
      <c r="M230" s="110"/>
      <c r="N230" s="139"/>
      <c r="O230" s="225">
        <f t="shared" si="6363"/>
        <v>0.59099000000000002</v>
      </c>
      <c r="P230" s="198">
        <f t="shared" si="6005"/>
        <v>3</v>
      </c>
      <c r="Q230" s="140"/>
      <c r="R230" s="110"/>
      <c r="S230" s="137"/>
      <c r="T230" s="97"/>
      <c r="U230" s="138">
        <f t="shared" ref="U230:V230" si="6526">U171+U201</f>
        <v>2343.4010699999999</v>
      </c>
      <c r="V230" s="110">
        <f t="shared" si="6526"/>
        <v>7030.21</v>
      </c>
      <c r="W230" s="110"/>
      <c r="X230" s="139"/>
      <c r="Y230" s="225">
        <f t="shared" si="6365"/>
        <v>0.79107000000000005</v>
      </c>
      <c r="Z230" s="198">
        <f t="shared" si="6005"/>
        <v>1</v>
      </c>
      <c r="AA230" s="140"/>
      <c r="AB230" s="110"/>
      <c r="AC230" s="137"/>
      <c r="AD230" s="97"/>
      <c r="AE230" s="138">
        <f t="shared" ref="AE230:AF230" si="6527">AE171+AE201</f>
        <v>2268.6707000000001</v>
      </c>
      <c r="AF230" s="110">
        <f t="shared" si="6527"/>
        <v>2268.67</v>
      </c>
      <c r="AG230" s="110"/>
      <c r="AH230" s="139"/>
      <c r="AI230" s="225">
        <f t="shared" si="6367"/>
        <v>0.76583999999999997</v>
      </c>
      <c r="AJ230" s="198">
        <f t="shared" si="6005"/>
        <v>2</v>
      </c>
      <c r="AK230" s="140"/>
      <c r="AL230" s="110"/>
      <c r="AM230" s="137"/>
      <c r="AN230" s="97"/>
      <c r="AO230" s="138">
        <f t="shared" ref="AO230:AP230" si="6528">AO171+AO201</f>
        <v>1953.1649</v>
      </c>
      <c r="AP230" s="110">
        <f t="shared" si="6528"/>
        <v>3906.33</v>
      </c>
      <c r="AQ230" s="110"/>
      <c r="AR230" s="139"/>
      <c r="AS230" s="225">
        <f t="shared" si="6369"/>
        <v>0.65934000000000004</v>
      </c>
      <c r="AT230" s="198">
        <f t="shared" si="6005"/>
        <v>4</v>
      </c>
      <c r="AU230" s="140"/>
      <c r="AV230" s="110"/>
      <c r="AW230" s="137"/>
      <c r="AX230" s="97"/>
      <c r="AY230" s="138">
        <f t="shared" ref="AY230:AZ230" si="6529">AY171+AY201</f>
        <v>1222.98586</v>
      </c>
      <c r="AZ230" s="110">
        <f t="shared" si="6529"/>
        <v>4891.96</v>
      </c>
      <c r="BA230" s="110"/>
      <c r="BB230" s="139"/>
      <c r="BC230" s="225">
        <f t="shared" si="6371"/>
        <v>0.41284999999999999</v>
      </c>
      <c r="BD230" s="198">
        <f t="shared" si="6005"/>
        <v>1</v>
      </c>
      <c r="BE230" s="140"/>
      <c r="BF230" s="110"/>
      <c r="BG230" s="137"/>
      <c r="BH230" s="97"/>
      <c r="BI230" s="138">
        <f t="shared" ref="BI230:BJ230" si="6530">BI171+BI201</f>
        <v>2176.2244000000001</v>
      </c>
      <c r="BJ230" s="110">
        <f t="shared" si="6530"/>
        <v>2176.23</v>
      </c>
      <c r="BK230" s="110"/>
      <c r="BL230" s="139"/>
      <c r="BM230" s="225">
        <f t="shared" si="6373"/>
        <v>0.73463999999999996</v>
      </c>
      <c r="BN230" s="198">
        <f t="shared" si="6005"/>
        <v>3</v>
      </c>
      <c r="BO230" s="140"/>
      <c r="BP230" s="110"/>
      <c r="BQ230" s="137"/>
      <c r="BR230" s="97"/>
      <c r="BS230" s="138">
        <f t="shared" ref="BS230:BT230" si="6531">BS171+BS201</f>
        <v>2593.8770300000001</v>
      </c>
      <c r="BT230" s="110">
        <f t="shared" si="6531"/>
        <v>7781.63</v>
      </c>
      <c r="BU230" s="110"/>
      <c r="BV230" s="139"/>
      <c r="BW230" s="225">
        <f t="shared" si="6375"/>
        <v>0.87561999999999995</v>
      </c>
      <c r="BX230" s="198">
        <f t="shared" si="6005"/>
        <v>1</v>
      </c>
      <c r="BY230" s="140"/>
      <c r="BZ230" s="110"/>
      <c r="CA230" s="137"/>
      <c r="CB230" s="97"/>
      <c r="CC230" s="138">
        <f t="shared" ref="CC230:CD230" si="6532">CC171+CC201</f>
        <v>2038.2148999999999</v>
      </c>
      <c r="CD230" s="110">
        <f t="shared" si="6532"/>
        <v>2038.21</v>
      </c>
      <c r="CE230" s="110"/>
      <c r="CF230" s="139"/>
      <c r="CG230" s="225">
        <f t="shared" si="6377"/>
        <v>0.68805000000000005</v>
      </c>
      <c r="CH230" s="198">
        <f t="shared" si="6026"/>
        <v>5</v>
      </c>
      <c r="CI230" s="140"/>
      <c r="CJ230" s="110"/>
      <c r="CK230" s="137"/>
      <c r="CL230" s="97"/>
      <c r="CM230" s="138">
        <f t="shared" ref="CM230:CN230" si="6533">CM171+CM201</f>
        <v>2502.9338400000001</v>
      </c>
      <c r="CN230" s="110">
        <f t="shared" si="6533"/>
        <v>12514.68</v>
      </c>
      <c r="CO230" s="110"/>
      <c r="CP230" s="139"/>
      <c r="CQ230" s="225">
        <f t="shared" si="6379"/>
        <v>0.84492</v>
      </c>
      <c r="CR230" s="198">
        <f t="shared" si="6026"/>
        <v>2</v>
      </c>
      <c r="CS230" s="140"/>
      <c r="CT230" s="110"/>
      <c r="CU230" s="137"/>
      <c r="CV230" s="97"/>
      <c r="CW230" s="138">
        <f t="shared" ref="CW230:CX230" si="6534">CW171+CW201</f>
        <v>3138.8838000000001</v>
      </c>
      <c r="CX230" s="110">
        <f t="shared" si="6534"/>
        <v>6277.77</v>
      </c>
      <c r="CY230" s="110"/>
      <c r="CZ230" s="139"/>
      <c r="DA230" s="225">
        <f t="shared" si="6381"/>
        <v>1.0596000000000001</v>
      </c>
      <c r="DB230" s="198">
        <f t="shared" si="6026"/>
        <v>0</v>
      </c>
      <c r="DC230" s="140"/>
      <c r="DD230" s="110"/>
      <c r="DE230" s="137"/>
      <c r="DF230" s="97"/>
      <c r="DG230" s="138">
        <f t="shared" ref="DG230:DH230" si="6535">DG171+DG201</f>
        <v>0</v>
      </c>
      <c r="DH230" s="110">
        <f t="shared" si="6535"/>
        <v>0</v>
      </c>
      <c r="DI230" s="110"/>
      <c r="DJ230" s="139"/>
      <c r="DK230" s="225">
        <f t="shared" si="6383"/>
        <v>0</v>
      </c>
      <c r="DL230" s="198">
        <f t="shared" si="6026"/>
        <v>0</v>
      </c>
      <c r="DM230" s="140"/>
      <c r="DN230" s="110"/>
      <c r="DO230" s="137"/>
      <c r="DP230" s="97"/>
      <c r="DQ230" s="138">
        <f t="shared" ref="DQ230:DR230" si="6536">DQ171+DQ201</f>
        <v>0</v>
      </c>
      <c r="DR230" s="110">
        <f t="shared" si="6536"/>
        <v>0</v>
      </c>
      <c r="DS230" s="110"/>
      <c r="DT230" s="139"/>
      <c r="DU230" s="225">
        <f t="shared" si="6385"/>
        <v>0</v>
      </c>
      <c r="DV230" s="198">
        <f t="shared" si="6026"/>
        <v>4</v>
      </c>
      <c r="DW230" s="140"/>
      <c r="DX230" s="110"/>
      <c r="DY230" s="137"/>
      <c r="DZ230" s="97"/>
      <c r="EA230" s="138">
        <f t="shared" ref="EA230:EB230" si="6537">EA171+EA201</f>
        <v>2235.15056</v>
      </c>
      <c r="EB230" s="110">
        <f t="shared" si="6537"/>
        <v>8940.6</v>
      </c>
      <c r="EC230" s="110"/>
      <c r="ED230" s="139"/>
      <c r="EE230" s="225">
        <f t="shared" si="6387"/>
        <v>0.75453000000000003</v>
      </c>
      <c r="EF230" s="198">
        <f t="shared" si="6026"/>
        <v>3</v>
      </c>
      <c r="EG230" s="140"/>
      <c r="EH230" s="110"/>
      <c r="EI230" s="137"/>
      <c r="EJ230" s="97"/>
      <c r="EK230" s="138">
        <f t="shared" ref="EK230:EL230" si="6538">EK171+EK201</f>
        <v>1897.85562</v>
      </c>
      <c r="EL230" s="110">
        <f t="shared" si="6538"/>
        <v>5693.56</v>
      </c>
      <c r="EM230" s="110"/>
      <c r="EN230" s="139"/>
      <c r="EO230" s="225">
        <f t="shared" si="6389"/>
        <v>0.64066999999999996</v>
      </c>
      <c r="EP230" s="198">
        <f t="shared" si="6026"/>
        <v>2</v>
      </c>
      <c r="EQ230" s="140"/>
      <c r="ER230" s="110"/>
      <c r="ES230" s="137"/>
      <c r="ET230" s="97"/>
      <c r="EU230" s="138">
        <f t="shared" ref="EU230:EV230" si="6539">EU171+EU201</f>
        <v>3273.1809499999999</v>
      </c>
      <c r="EV230" s="110">
        <f t="shared" si="6539"/>
        <v>6546.36</v>
      </c>
      <c r="EW230" s="110"/>
      <c r="EX230" s="139"/>
      <c r="EY230" s="225">
        <f t="shared" si="6391"/>
        <v>1.10494</v>
      </c>
      <c r="EZ230" s="198">
        <f t="shared" si="6047"/>
        <v>1</v>
      </c>
      <c r="FA230" s="140"/>
      <c r="FB230" s="110"/>
      <c r="FC230" s="137"/>
      <c r="FD230" s="97"/>
      <c r="FE230" s="138">
        <f t="shared" ref="FE230:FF230" si="6540">FE171+FE201</f>
        <v>1443.3963000000001</v>
      </c>
      <c r="FF230" s="110">
        <f t="shared" si="6540"/>
        <v>1443.38</v>
      </c>
      <c r="FG230" s="110"/>
      <c r="FH230" s="139"/>
      <c r="FI230" s="225">
        <f t="shared" si="6393"/>
        <v>0.48725000000000002</v>
      </c>
      <c r="FJ230" s="198">
        <f t="shared" si="6047"/>
        <v>2</v>
      </c>
      <c r="FK230" s="140"/>
      <c r="FL230" s="110"/>
      <c r="FM230" s="137"/>
      <c r="FN230" s="97"/>
      <c r="FO230" s="138">
        <f t="shared" ref="FO230:FP230" si="6541">FO171+FO201</f>
        <v>2897.0720999999999</v>
      </c>
      <c r="FP230" s="110">
        <f t="shared" si="6541"/>
        <v>5794.14</v>
      </c>
      <c r="FQ230" s="110"/>
      <c r="FR230" s="139"/>
      <c r="FS230" s="225">
        <f t="shared" si="6395"/>
        <v>0.97797000000000001</v>
      </c>
      <c r="FT230" s="198">
        <f t="shared" si="6047"/>
        <v>3</v>
      </c>
      <c r="FU230" s="140"/>
      <c r="FV230" s="110"/>
      <c r="FW230" s="137"/>
      <c r="FX230" s="97"/>
      <c r="FY230" s="138">
        <f t="shared" ref="FY230:FZ230" si="6542">FY171+FY201</f>
        <v>2760.92137</v>
      </c>
      <c r="FZ230" s="110">
        <f t="shared" si="6542"/>
        <v>8282.76</v>
      </c>
      <c r="GA230" s="110"/>
      <c r="GB230" s="139"/>
      <c r="GC230" s="225">
        <f t="shared" si="6397"/>
        <v>0.93201000000000001</v>
      </c>
      <c r="GD230" s="198">
        <f t="shared" si="6047"/>
        <v>3</v>
      </c>
      <c r="GE230" s="140"/>
      <c r="GF230" s="110"/>
      <c r="GG230" s="137"/>
      <c r="GH230" s="97"/>
      <c r="GI230" s="138">
        <f t="shared" ref="GI230:GJ230" si="6543">GI171+GI201</f>
        <v>2241.5088999999998</v>
      </c>
      <c r="GJ230" s="110">
        <f t="shared" si="6543"/>
        <v>6724.54</v>
      </c>
      <c r="GK230" s="110"/>
      <c r="GL230" s="139"/>
      <c r="GM230" s="225">
        <f t="shared" si="6399"/>
        <v>0.75666999999999995</v>
      </c>
      <c r="GN230" s="198">
        <f t="shared" si="6059"/>
        <v>2</v>
      </c>
      <c r="GO230" s="140"/>
      <c r="GP230" s="110"/>
      <c r="GQ230" s="137"/>
      <c r="GR230" s="97"/>
      <c r="GS230" s="138">
        <f t="shared" ref="GS230:GT230" si="6544">GS171+GS201</f>
        <v>3808.67985</v>
      </c>
      <c r="GT230" s="110">
        <f t="shared" si="6544"/>
        <v>7617.36</v>
      </c>
      <c r="GU230" s="110"/>
      <c r="GV230" s="139"/>
      <c r="GW230" s="225">
        <f t="shared" si="6401"/>
        <v>1.2857099999999999</v>
      </c>
      <c r="GX230" s="198">
        <f t="shared" si="6059"/>
        <v>0</v>
      </c>
      <c r="GY230" s="140"/>
      <c r="GZ230" s="110"/>
      <c r="HA230" s="137"/>
      <c r="HB230" s="97"/>
      <c r="HC230" s="138">
        <f t="shared" ref="HC230:HD230" si="6545">HC171+HC201</f>
        <v>0</v>
      </c>
      <c r="HD230" s="110">
        <f t="shared" si="6545"/>
        <v>0</v>
      </c>
      <c r="HE230" s="110"/>
      <c r="HF230" s="139"/>
      <c r="HG230" s="225">
        <f t="shared" si="6403"/>
        <v>0</v>
      </c>
      <c r="HH230" s="198">
        <f t="shared" si="6059"/>
        <v>2</v>
      </c>
      <c r="HI230" s="140"/>
      <c r="HJ230" s="110"/>
      <c r="HK230" s="137"/>
      <c r="HL230" s="97"/>
      <c r="HM230" s="138">
        <f t="shared" ref="HM230:HN230" si="6546">HM171+HM201</f>
        <v>2545.9037499999999</v>
      </c>
      <c r="HN230" s="110">
        <f t="shared" si="6546"/>
        <v>5091.8100000000004</v>
      </c>
      <c r="HO230" s="110"/>
      <c r="HP230" s="139"/>
      <c r="HQ230" s="225">
        <f t="shared" si="6405"/>
        <v>0.85943000000000003</v>
      </c>
      <c r="HR230" s="198">
        <f t="shared" si="6059"/>
        <v>3</v>
      </c>
      <c r="HS230" s="140"/>
      <c r="HT230" s="110"/>
      <c r="HU230" s="137"/>
      <c r="HV230" s="97"/>
      <c r="HW230" s="138">
        <f t="shared" ref="HW230:HX230" si="6547">HW171+HW201</f>
        <v>3351.30728</v>
      </c>
      <c r="HX230" s="110">
        <f t="shared" si="6547"/>
        <v>10053.93</v>
      </c>
      <c r="HY230" s="110"/>
      <c r="HZ230" s="139"/>
      <c r="IA230" s="225">
        <f t="shared" si="6407"/>
        <v>1.13131</v>
      </c>
      <c r="IB230" s="198">
        <f t="shared" si="6071"/>
        <v>4</v>
      </c>
      <c r="IC230" s="140"/>
      <c r="ID230" s="110"/>
      <c r="IE230" s="137"/>
      <c r="IF230" s="97"/>
      <c r="IG230" s="138">
        <f t="shared" ref="IG230:IH230" si="6548">IG171+IG201</f>
        <v>4689.6811799999996</v>
      </c>
      <c r="IH230" s="110">
        <f t="shared" si="6548"/>
        <v>18758.73</v>
      </c>
      <c r="II230" s="110"/>
      <c r="IJ230" s="139"/>
      <c r="IK230" s="225">
        <f t="shared" si="6409"/>
        <v>1.58311</v>
      </c>
      <c r="IL230" s="198">
        <f t="shared" si="6071"/>
        <v>4</v>
      </c>
      <c r="IM230" s="140"/>
      <c r="IN230" s="110"/>
      <c r="IO230" s="137"/>
      <c r="IP230" s="97"/>
      <c r="IQ230" s="138">
        <f t="shared" ref="IQ230:IR230" si="6549">IQ171+IQ201</f>
        <v>1998.49065</v>
      </c>
      <c r="IR230" s="110">
        <f t="shared" si="6549"/>
        <v>7993.96</v>
      </c>
      <c r="IS230" s="110"/>
      <c r="IT230" s="139"/>
      <c r="IU230" s="225">
        <f t="shared" si="6411"/>
        <v>0.67464000000000002</v>
      </c>
      <c r="IV230" s="198">
        <f t="shared" si="6071"/>
        <v>5</v>
      </c>
      <c r="IW230" s="140"/>
      <c r="IX230" s="110"/>
      <c r="IY230" s="137"/>
      <c r="IZ230" s="97"/>
      <c r="JA230" s="138">
        <f t="shared" ref="JA230:JB230" si="6550">JA171+JA201</f>
        <v>2914.3359999999998</v>
      </c>
      <c r="JB230" s="110">
        <f t="shared" si="6550"/>
        <v>14571.69</v>
      </c>
      <c r="JC230" s="110"/>
      <c r="JD230" s="139"/>
      <c r="JE230" s="225">
        <f t="shared" si="6413"/>
        <v>0.98380000000000001</v>
      </c>
      <c r="JF230" s="198">
        <f t="shared" si="6071"/>
        <v>2</v>
      </c>
      <c r="JG230" s="140"/>
      <c r="JH230" s="110"/>
      <c r="JI230" s="137"/>
      <c r="JJ230" s="97"/>
      <c r="JK230" s="138">
        <f t="shared" ref="JK230:JL230" si="6551">JK171+JK201</f>
        <v>2863.4409000000001</v>
      </c>
      <c r="JL230" s="110">
        <f t="shared" si="6551"/>
        <v>5726.88</v>
      </c>
      <c r="JM230" s="110"/>
      <c r="JN230" s="139"/>
      <c r="JO230" s="225">
        <f t="shared" si="6415"/>
        <v>0.96662000000000003</v>
      </c>
      <c r="JP230" s="198">
        <f t="shared" si="6083"/>
        <v>4</v>
      </c>
      <c r="JQ230" s="140"/>
      <c r="JR230" s="110"/>
      <c r="JS230" s="137"/>
      <c r="JT230" s="97"/>
      <c r="JU230" s="138">
        <f t="shared" ref="JU230:JV230" si="6552">JU171+JU201</f>
        <v>3090.9213599999998</v>
      </c>
      <c r="JV230" s="110">
        <f t="shared" si="6552"/>
        <v>12363.69</v>
      </c>
      <c r="JW230" s="110"/>
      <c r="JX230" s="139"/>
      <c r="JY230" s="225">
        <f t="shared" si="6417"/>
        <v>1.0434099999999999</v>
      </c>
      <c r="JZ230" s="198">
        <f t="shared" si="6083"/>
        <v>0</v>
      </c>
      <c r="KA230" s="140"/>
      <c r="KB230" s="110"/>
      <c r="KC230" s="137"/>
      <c r="KD230" s="97"/>
      <c r="KE230" s="138">
        <f t="shared" ref="KE230:KF230" si="6553">KE171+KE201</f>
        <v>0</v>
      </c>
      <c r="KF230" s="110">
        <f t="shared" si="6553"/>
        <v>0</v>
      </c>
      <c r="KG230" s="110"/>
      <c r="KH230" s="139"/>
      <c r="KI230" s="225">
        <f t="shared" si="6419"/>
        <v>0</v>
      </c>
      <c r="KJ230" s="198">
        <f t="shared" si="6083"/>
        <v>2</v>
      </c>
      <c r="KK230" s="140"/>
      <c r="KL230" s="110"/>
      <c r="KM230" s="137"/>
      <c r="KN230" s="97"/>
      <c r="KO230" s="138">
        <f t="shared" ref="KO230:KP230" si="6554">KO171+KO201</f>
        <v>2288.6082000000001</v>
      </c>
      <c r="KP230" s="110">
        <f t="shared" si="6554"/>
        <v>4577.22</v>
      </c>
      <c r="KQ230" s="110"/>
      <c r="KR230" s="139"/>
      <c r="KS230" s="225">
        <f t="shared" si="6421"/>
        <v>0.77256999999999998</v>
      </c>
      <c r="KT230" s="198">
        <f t="shared" si="6083"/>
        <v>0</v>
      </c>
      <c r="KU230" s="140"/>
      <c r="KV230" s="110"/>
      <c r="KW230" s="137"/>
      <c r="KX230" s="97"/>
      <c r="KY230" s="138">
        <f t="shared" ref="KY230:KZ230" si="6555">KY171+KY201</f>
        <v>0</v>
      </c>
      <c r="KZ230" s="110">
        <f t="shared" si="6555"/>
        <v>0</v>
      </c>
      <c r="LA230" s="110"/>
      <c r="LB230" s="139"/>
      <c r="LC230" s="225">
        <f t="shared" si="6423"/>
        <v>0</v>
      </c>
      <c r="LD230" s="198">
        <f t="shared" ref="LD230" si="6556">LD26</f>
        <v>69</v>
      </c>
      <c r="LE230" s="140"/>
      <c r="LF230" s="110"/>
      <c r="LG230" s="137"/>
      <c r="LH230" s="97"/>
      <c r="LI230" s="138">
        <f t="shared" ref="LI230:LJ230" si="6557">LI171+LI201</f>
        <v>2962.3198900000002</v>
      </c>
      <c r="LJ230" s="110">
        <f t="shared" si="6557"/>
        <v>204400.07</v>
      </c>
      <c r="LK230" s="110"/>
      <c r="LL230" s="139"/>
    </row>
    <row r="231" spans="1:324" ht="16.5" customHeight="1" x14ac:dyDescent="0.25">
      <c r="A231" s="246"/>
      <c r="B231" s="70" t="s">
        <v>627</v>
      </c>
      <c r="C231" s="12" t="s">
        <v>728</v>
      </c>
      <c r="D231" s="12" t="s">
        <v>430</v>
      </c>
      <c r="E231" s="4"/>
      <c r="F231" s="198">
        <f t="shared" si="6097"/>
        <v>0</v>
      </c>
      <c r="G231" s="140"/>
      <c r="H231" s="110"/>
      <c r="I231" s="137"/>
      <c r="J231" s="97"/>
      <c r="K231" s="138">
        <f t="shared" ref="K231:L231" si="6558">K172+K202</f>
        <v>0</v>
      </c>
      <c r="L231" s="110">
        <f t="shared" si="6558"/>
        <v>0</v>
      </c>
      <c r="M231" s="110"/>
      <c r="N231" s="139"/>
      <c r="O231" s="225">
        <f t="shared" si="6363"/>
        <v>0</v>
      </c>
      <c r="P231" s="198">
        <f t="shared" si="6005"/>
        <v>0</v>
      </c>
      <c r="Q231" s="140"/>
      <c r="R231" s="110"/>
      <c r="S231" s="137"/>
      <c r="T231" s="97"/>
      <c r="U231" s="138">
        <f t="shared" ref="U231:V231" si="6559">U172+U202</f>
        <v>0</v>
      </c>
      <c r="V231" s="110">
        <f t="shared" si="6559"/>
        <v>0</v>
      </c>
      <c r="W231" s="110"/>
      <c r="X231" s="139"/>
      <c r="Y231" s="225">
        <f t="shared" si="6365"/>
        <v>0</v>
      </c>
      <c r="Z231" s="198">
        <f t="shared" si="6005"/>
        <v>0</v>
      </c>
      <c r="AA231" s="140"/>
      <c r="AB231" s="110"/>
      <c r="AC231" s="137"/>
      <c r="AD231" s="97"/>
      <c r="AE231" s="138">
        <f t="shared" ref="AE231:AF231" si="6560">AE172+AE202</f>
        <v>0</v>
      </c>
      <c r="AF231" s="110">
        <f t="shared" si="6560"/>
        <v>0</v>
      </c>
      <c r="AG231" s="110"/>
      <c r="AH231" s="139"/>
      <c r="AI231" s="225">
        <f t="shared" si="6367"/>
        <v>0</v>
      </c>
      <c r="AJ231" s="198">
        <f t="shared" si="6005"/>
        <v>0</v>
      </c>
      <c r="AK231" s="140"/>
      <c r="AL231" s="110"/>
      <c r="AM231" s="137"/>
      <c r="AN231" s="97"/>
      <c r="AO231" s="138">
        <f t="shared" ref="AO231:AP231" si="6561">AO172+AO202</f>
        <v>0</v>
      </c>
      <c r="AP231" s="110">
        <f t="shared" si="6561"/>
        <v>0</v>
      </c>
      <c r="AQ231" s="110"/>
      <c r="AR231" s="139"/>
      <c r="AS231" s="225">
        <f t="shared" si="6369"/>
        <v>0</v>
      </c>
      <c r="AT231" s="198">
        <f t="shared" si="6005"/>
        <v>4</v>
      </c>
      <c r="AU231" s="140"/>
      <c r="AV231" s="110"/>
      <c r="AW231" s="137"/>
      <c r="AX231" s="97"/>
      <c r="AY231" s="138">
        <f t="shared" ref="AY231:AZ231" si="6562">AY172+AY202</f>
        <v>1222.98586</v>
      </c>
      <c r="AZ231" s="110">
        <f t="shared" si="6562"/>
        <v>4891.96</v>
      </c>
      <c r="BA231" s="110"/>
      <c r="BB231" s="139"/>
      <c r="BC231" s="225">
        <f t="shared" si="6371"/>
        <v>0.4128</v>
      </c>
      <c r="BD231" s="198">
        <f t="shared" si="6005"/>
        <v>0</v>
      </c>
      <c r="BE231" s="140"/>
      <c r="BF231" s="110"/>
      <c r="BG231" s="137"/>
      <c r="BH231" s="97"/>
      <c r="BI231" s="138">
        <f t="shared" ref="BI231:BJ231" si="6563">BI172+BI202</f>
        <v>0</v>
      </c>
      <c r="BJ231" s="110">
        <f t="shared" si="6563"/>
        <v>0</v>
      </c>
      <c r="BK231" s="110"/>
      <c r="BL231" s="139"/>
      <c r="BM231" s="225">
        <f t="shared" si="6373"/>
        <v>0</v>
      </c>
      <c r="BN231" s="198">
        <f t="shared" si="6005"/>
        <v>0</v>
      </c>
      <c r="BO231" s="140"/>
      <c r="BP231" s="110"/>
      <c r="BQ231" s="137"/>
      <c r="BR231" s="97"/>
      <c r="BS231" s="138">
        <f t="shared" ref="BS231:BT231" si="6564">BS172+BS202</f>
        <v>0</v>
      </c>
      <c r="BT231" s="110">
        <f t="shared" si="6564"/>
        <v>0</v>
      </c>
      <c r="BU231" s="110"/>
      <c r="BV231" s="139"/>
      <c r="BW231" s="225">
        <f t="shared" si="6375"/>
        <v>0</v>
      </c>
      <c r="BX231" s="198">
        <f t="shared" si="6005"/>
        <v>3</v>
      </c>
      <c r="BY231" s="140"/>
      <c r="BZ231" s="110"/>
      <c r="CA231" s="137"/>
      <c r="CB231" s="97"/>
      <c r="CC231" s="138">
        <f t="shared" ref="CC231:CD231" si="6565">CC172+CC202</f>
        <v>2031.5834400000001</v>
      </c>
      <c r="CD231" s="110">
        <f t="shared" si="6565"/>
        <v>6094.74</v>
      </c>
      <c r="CE231" s="110"/>
      <c r="CF231" s="139"/>
      <c r="CG231" s="225">
        <f t="shared" si="6377"/>
        <v>0.68572999999999995</v>
      </c>
      <c r="CH231" s="198">
        <f t="shared" si="6026"/>
        <v>0</v>
      </c>
      <c r="CI231" s="140"/>
      <c r="CJ231" s="110"/>
      <c r="CK231" s="137"/>
      <c r="CL231" s="97"/>
      <c r="CM231" s="138">
        <f t="shared" ref="CM231:CN231" si="6566">CM172+CM202</f>
        <v>0</v>
      </c>
      <c r="CN231" s="110">
        <f t="shared" si="6566"/>
        <v>0</v>
      </c>
      <c r="CO231" s="110"/>
      <c r="CP231" s="139"/>
      <c r="CQ231" s="225">
        <f t="shared" si="6379"/>
        <v>0</v>
      </c>
      <c r="CR231" s="198">
        <f t="shared" si="6026"/>
        <v>1</v>
      </c>
      <c r="CS231" s="140"/>
      <c r="CT231" s="110"/>
      <c r="CU231" s="137"/>
      <c r="CV231" s="97"/>
      <c r="CW231" s="138">
        <f t="shared" ref="CW231:CX231" si="6567">CW172+CW202</f>
        <v>3119.8234000000002</v>
      </c>
      <c r="CX231" s="110">
        <f t="shared" si="6567"/>
        <v>3119.82</v>
      </c>
      <c r="CY231" s="110"/>
      <c r="CZ231" s="139"/>
      <c r="DA231" s="225">
        <f t="shared" si="6381"/>
        <v>1.05304</v>
      </c>
      <c r="DB231" s="198">
        <f t="shared" si="6026"/>
        <v>0</v>
      </c>
      <c r="DC231" s="140"/>
      <c r="DD231" s="110"/>
      <c r="DE231" s="137"/>
      <c r="DF231" s="97"/>
      <c r="DG231" s="138">
        <f t="shared" ref="DG231:DH231" si="6568">DG172+DG202</f>
        <v>0</v>
      </c>
      <c r="DH231" s="110">
        <f t="shared" si="6568"/>
        <v>0</v>
      </c>
      <c r="DI231" s="110"/>
      <c r="DJ231" s="139"/>
      <c r="DK231" s="225">
        <f t="shared" si="6383"/>
        <v>0</v>
      </c>
      <c r="DL231" s="198">
        <f t="shared" si="6026"/>
        <v>0</v>
      </c>
      <c r="DM231" s="140"/>
      <c r="DN231" s="110"/>
      <c r="DO231" s="137"/>
      <c r="DP231" s="97"/>
      <c r="DQ231" s="138">
        <f t="shared" ref="DQ231:DR231" si="6569">DQ172+DQ202</f>
        <v>0</v>
      </c>
      <c r="DR231" s="110">
        <f t="shared" si="6569"/>
        <v>0</v>
      </c>
      <c r="DS231" s="110"/>
      <c r="DT231" s="139"/>
      <c r="DU231" s="225">
        <f t="shared" si="6385"/>
        <v>0</v>
      </c>
      <c r="DV231" s="198">
        <f t="shared" si="6026"/>
        <v>6</v>
      </c>
      <c r="DW231" s="140"/>
      <c r="DX231" s="110"/>
      <c r="DY231" s="137"/>
      <c r="DZ231" s="97"/>
      <c r="EA231" s="138">
        <f t="shared" ref="EA231:EB231" si="6570">EA172+EA202</f>
        <v>2231.0167099999999</v>
      </c>
      <c r="EB231" s="110">
        <f t="shared" si="6570"/>
        <v>13386.11</v>
      </c>
      <c r="EC231" s="110"/>
      <c r="ED231" s="139"/>
      <c r="EE231" s="225">
        <f t="shared" si="6387"/>
        <v>0.75304000000000004</v>
      </c>
      <c r="EF231" s="198">
        <f t="shared" si="6026"/>
        <v>3</v>
      </c>
      <c r="EG231" s="140"/>
      <c r="EH231" s="110"/>
      <c r="EI231" s="137"/>
      <c r="EJ231" s="97"/>
      <c r="EK231" s="138">
        <f t="shared" ref="EK231:EL231" si="6571">EK172+EK202</f>
        <v>1897.85562</v>
      </c>
      <c r="EL231" s="110">
        <f t="shared" si="6571"/>
        <v>5693.56</v>
      </c>
      <c r="EM231" s="110"/>
      <c r="EN231" s="139"/>
      <c r="EO231" s="225">
        <f t="shared" si="6389"/>
        <v>0.64058999999999999</v>
      </c>
      <c r="EP231" s="198">
        <f t="shared" si="6026"/>
        <v>6</v>
      </c>
      <c r="EQ231" s="140"/>
      <c r="ER231" s="110"/>
      <c r="ES231" s="137"/>
      <c r="ET231" s="97"/>
      <c r="EU231" s="138">
        <f t="shared" ref="EU231:EV231" si="6572">EU172+EU202</f>
        <v>3279.6942300000001</v>
      </c>
      <c r="EV231" s="110">
        <f t="shared" si="6572"/>
        <v>19678.169999999998</v>
      </c>
      <c r="EW231" s="110"/>
      <c r="EX231" s="139"/>
      <c r="EY231" s="225">
        <f t="shared" si="6391"/>
        <v>1.10701</v>
      </c>
      <c r="EZ231" s="198">
        <f t="shared" si="6047"/>
        <v>4</v>
      </c>
      <c r="FA231" s="140"/>
      <c r="FB231" s="110"/>
      <c r="FC231" s="137"/>
      <c r="FD231" s="97"/>
      <c r="FE231" s="138">
        <f t="shared" ref="FE231:FF231" si="6573">FE172+FE202</f>
        <v>1432.2342799999999</v>
      </c>
      <c r="FF231" s="110">
        <f t="shared" si="6573"/>
        <v>5728.94</v>
      </c>
      <c r="FG231" s="110"/>
      <c r="FH231" s="139"/>
      <c r="FI231" s="225">
        <f t="shared" si="6393"/>
        <v>0.48343000000000003</v>
      </c>
      <c r="FJ231" s="198">
        <f t="shared" si="6047"/>
        <v>0</v>
      </c>
      <c r="FK231" s="140"/>
      <c r="FL231" s="110"/>
      <c r="FM231" s="137"/>
      <c r="FN231" s="97"/>
      <c r="FO231" s="138">
        <f t="shared" ref="FO231:FP231" si="6574">FO172+FO202</f>
        <v>0</v>
      </c>
      <c r="FP231" s="110">
        <f t="shared" si="6574"/>
        <v>0</v>
      </c>
      <c r="FQ231" s="110"/>
      <c r="FR231" s="139"/>
      <c r="FS231" s="225">
        <f t="shared" si="6395"/>
        <v>0</v>
      </c>
      <c r="FT231" s="198">
        <f t="shared" si="6047"/>
        <v>1</v>
      </c>
      <c r="FU231" s="140"/>
      <c r="FV231" s="110"/>
      <c r="FW231" s="137"/>
      <c r="FX231" s="97"/>
      <c r="FY231" s="138">
        <f t="shared" ref="FY231:FZ231" si="6575">FY172+FY202</f>
        <v>2767.8330000000001</v>
      </c>
      <c r="FZ231" s="110">
        <f t="shared" si="6575"/>
        <v>2767.83</v>
      </c>
      <c r="GA231" s="110"/>
      <c r="GB231" s="139"/>
      <c r="GC231" s="225">
        <f t="shared" si="6397"/>
        <v>0.93423999999999996</v>
      </c>
      <c r="GD231" s="198">
        <f t="shared" si="6047"/>
        <v>11</v>
      </c>
      <c r="GE231" s="140"/>
      <c r="GF231" s="110"/>
      <c r="GG231" s="137"/>
      <c r="GH231" s="97"/>
      <c r="GI231" s="138">
        <f t="shared" ref="GI231:GJ231" si="6576">GI172+GI202</f>
        <v>2241.5226200000002</v>
      </c>
      <c r="GJ231" s="110">
        <f t="shared" si="6576"/>
        <v>24656.75</v>
      </c>
      <c r="GK231" s="110"/>
      <c r="GL231" s="139"/>
      <c r="GM231" s="225">
        <f t="shared" si="6399"/>
        <v>0.75658999999999998</v>
      </c>
      <c r="GN231" s="198">
        <f t="shared" si="6059"/>
        <v>1</v>
      </c>
      <c r="GO231" s="140"/>
      <c r="GP231" s="110"/>
      <c r="GQ231" s="137"/>
      <c r="GR231" s="97"/>
      <c r="GS231" s="138">
        <f t="shared" ref="GS231:GT231" si="6577">GS172+GS202</f>
        <v>3823.3881999999999</v>
      </c>
      <c r="GT231" s="110">
        <f t="shared" si="6577"/>
        <v>3823.39</v>
      </c>
      <c r="GU231" s="110"/>
      <c r="GV231" s="139"/>
      <c r="GW231" s="225">
        <f t="shared" si="6401"/>
        <v>1.2905199999999999</v>
      </c>
      <c r="GX231" s="198">
        <f t="shared" si="6059"/>
        <v>0</v>
      </c>
      <c r="GY231" s="140"/>
      <c r="GZ231" s="110"/>
      <c r="HA231" s="137"/>
      <c r="HB231" s="97"/>
      <c r="HC231" s="138">
        <f t="shared" ref="HC231:HD231" si="6578">HC172+HC202</f>
        <v>0</v>
      </c>
      <c r="HD231" s="110">
        <f t="shared" si="6578"/>
        <v>0</v>
      </c>
      <c r="HE231" s="110"/>
      <c r="HF231" s="139"/>
      <c r="HG231" s="225">
        <f t="shared" si="6403"/>
        <v>0</v>
      </c>
      <c r="HH231" s="198">
        <f t="shared" si="6059"/>
        <v>0</v>
      </c>
      <c r="HI231" s="140"/>
      <c r="HJ231" s="110"/>
      <c r="HK231" s="137"/>
      <c r="HL231" s="97"/>
      <c r="HM231" s="138">
        <f t="shared" ref="HM231:HN231" si="6579">HM172+HM202</f>
        <v>0</v>
      </c>
      <c r="HN231" s="110">
        <f t="shared" si="6579"/>
        <v>0</v>
      </c>
      <c r="HO231" s="110"/>
      <c r="HP231" s="139"/>
      <c r="HQ231" s="225">
        <f t="shared" si="6405"/>
        <v>0</v>
      </c>
      <c r="HR231" s="198">
        <f t="shared" si="6059"/>
        <v>3</v>
      </c>
      <c r="HS231" s="140"/>
      <c r="HT231" s="110"/>
      <c r="HU231" s="137"/>
      <c r="HV231" s="97"/>
      <c r="HW231" s="138">
        <f t="shared" ref="HW231:HX231" si="6580">HW172+HW202</f>
        <v>3351.30728</v>
      </c>
      <c r="HX231" s="110">
        <f t="shared" si="6580"/>
        <v>10053.93</v>
      </c>
      <c r="HY231" s="110"/>
      <c r="HZ231" s="139"/>
      <c r="IA231" s="225">
        <f t="shared" si="6407"/>
        <v>1.1311800000000001</v>
      </c>
      <c r="IB231" s="198">
        <f t="shared" si="6071"/>
        <v>3</v>
      </c>
      <c r="IC231" s="140"/>
      <c r="ID231" s="110"/>
      <c r="IE231" s="137"/>
      <c r="IF231" s="97"/>
      <c r="IG231" s="138">
        <f t="shared" ref="IG231:IH231" si="6581">IG172+IG202</f>
        <v>4688.5092400000003</v>
      </c>
      <c r="IH231" s="110">
        <f t="shared" si="6581"/>
        <v>14065.54</v>
      </c>
      <c r="II231" s="110"/>
      <c r="IJ231" s="139"/>
      <c r="IK231" s="225">
        <f t="shared" si="6409"/>
        <v>1.58253</v>
      </c>
      <c r="IL231" s="198">
        <f t="shared" si="6071"/>
        <v>1</v>
      </c>
      <c r="IM231" s="140"/>
      <c r="IN231" s="110"/>
      <c r="IO231" s="137"/>
      <c r="IP231" s="97"/>
      <c r="IQ231" s="138">
        <f t="shared" ref="IQ231:IR231" si="6582">IQ172+IQ202</f>
        <v>1999.7502999999999</v>
      </c>
      <c r="IR231" s="110">
        <f t="shared" si="6582"/>
        <v>1999.75</v>
      </c>
      <c r="IS231" s="110"/>
      <c r="IT231" s="139"/>
      <c r="IU231" s="225">
        <f t="shared" si="6411"/>
        <v>0.67498000000000002</v>
      </c>
      <c r="IV231" s="198">
        <f t="shared" si="6071"/>
        <v>7</v>
      </c>
      <c r="IW231" s="140"/>
      <c r="IX231" s="110"/>
      <c r="IY231" s="137"/>
      <c r="IZ231" s="97"/>
      <c r="JA231" s="138">
        <f t="shared" ref="JA231:JB231" si="6583">JA172+JA202</f>
        <v>2915.5223799999999</v>
      </c>
      <c r="JB231" s="110">
        <f t="shared" si="6583"/>
        <v>20408.650000000001</v>
      </c>
      <c r="JC231" s="110"/>
      <c r="JD231" s="139"/>
      <c r="JE231" s="225">
        <f t="shared" si="6413"/>
        <v>0.98409000000000002</v>
      </c>
      <c r="JF231" s="198">
        <f t="shared" si="6071"/>
        <v>6</v>
      </c>
      <c r="JG231" s="140"/>
      <c r="JH231" s="110"/>
      <c r="JI231" s="137"/>
      <c r="JJ231" s="97"/>
      <c r="JK231" s="138">
        <f t="shared" ref="JK231:JL231" si="6584">JK172+JK202</f>
        <v>2862.30863</v>
      </c>
      <c r="JL231" s="110">
        <f t="shared" si="6584"/>
        <v>17173.849999999999</v>
      </c>
      <c r="JM231" s="110"/>
      <c r="JN231" s="139"/>
      <c r="JO231" s="225">
        <f t="shared" si="6415"/>
        <v>0.96611999999999998</v>
      </c>
      <c r="JP231" s="198">
        <f t="shared" si="6083"/>
        <v>2</v>
      </c>
      <c r="JQ231" s="140"/>
      <c r="JR231" s="110"/>
      <c r="JS231" s="137"/>
      <c r="JT231" s="97"/>
      <c r="JU231" s="138">
        <f t="shared" ref="JU231:JV231" si="6585">JU172+JU202</f>
        <v>3082.5050999999999</v>
      </c>
      <c r="JV231" s="110">
        <f t="shared" si="6585"/>
        <v>6165.01</v>
      </c>
      <c r="JW231" s="110"/>
      <c r="JX231" s="139"/>
      <c r="JY231" s="225">
        <f t="shared" si="6417"/>
        <v>1.0404500000000001</v>
      </c>
      <c r="JZ231" s="198">
        <f t="shared" si="6083"/>
        <v>0</v>
      </c>
      <c r="KA231" s="140"/>
      <c r="KB231" s="110"/>
      <c r="KC231" s="137"/>
      <c r="KD231" s="97"/>
      <c r="KE231" s="138">
        <f t="shared" ref="KE231:KF231" si="6586">KE172+KE202</f>
        <v>0</v>
      </c>
      <c r="KF231" s="110">
        <f t="shared" si="6586"/>
        <v>0</v>
      </c>
      <c r="KG231" s="110"/>
      <c r="KH231" s="139"/>
      <c r="KI231" s="225">
        <f t="shared" si="6419"/>
        <v>0</v>
      </c>
      <c r="KJ231" s="198">
        <f t="shared" si="6083"/>
        <v>0</v>
      </c>
      <c r="KK231" s="140"/>
      <c r="KL231" s="110"/>
      <c r="KM231" s="137"/>
      <c r="KN231" s="97"/>
      <c r="KO231" s="138">
        <f t="shared" ref="KO231:KP231" si="6587">KO172+KO202</f>
        <v>0</v>
      </c>
      <c r="KP231" s="110">
        <f t="shared" si="6587"/>
        <v>0</v>
      </c>
      <c r="KQ231" s="110"/>
      <c r="KR231" s="139"/>
      <c r="KS231" s="225">
        <f t="shared" si="6421"/>
        <v>0</v>
      </c>
      <c r="KT231" s="198">
        <f t="shared" si="6083"/>
        <v>1</v>
      </c>
      <c r="KU231" s="140"/>
      <c r="KV231" s="110"/>
      <c r="KW231" s="137"/>
      <c r="KX231" s="97"/>
      <c r="KY231" s="138">
        <f t="shared" ref="KY231:KZ231" si="6588">KY172+KY202</f>
        <v>12587.4692</v>
      </c>
      <c r="KZ231" s="110">
        <f t="shared" si="6588"/>
        <v>12587.47</v>
      </c>
      <c r="LA231" s="110"/>
      <c r="LB231" s="139"/>
      <c r="LC231" s="225">
        <f t="shared" si="6423"/>
        <v>4.2486899999999999</v>
      </c>
      <c r="LD231" s="198">
        <f t="shared" ref="LD231" si="6589">LD27</f>
        <v>63</v>
      </c>
      <c r="LE231" s="140"/>
      <c r="LF231" s="110"/>
      <c r="LG231" s="137"/>
      <c r="LH231" s="97"/>
      <c r="LI231" s="138">
        <f t="shared" ref="LI231:LJ231" si="6590">LI172+LI202</f>
        <v>2962.6713100000002</v>
      </c>
      <c r="LJ231" s="110">
        <f t="shared" si="6590"/>
        <v>186648.29</v>
      </c>
      <c r="LK231" s="110"/>
      <c r="LL231" s="139"/>
    </row>
    <row r="232" spans="1:324" ht="16.5" customHeight="1" x14ac:dyDescent="0.25">
      <c r="A232" s="246"/>
      <c r="B232" s="229" t="s">
        <v>608</v>
      </c>
      <c r="C232" s="12" t="s">
        <v>728</v>
      </c>
      <c r="D232" s="12" t="s">
        <v>430</v>
      </c>
      <c r="E232" s="4"/>
      <c r="F232" s="198">
        <f t="shared" si="6097"/>
        <v>0</v>
      </c>
      <c r="G232" s="140"/>
      <c r="H232" s="110"/>
      <c r="I232" s="137"/>
      <c r="J232" s="97"/>
      <c r="K232" s="138">
        <f t="shared" ref="K232:L232" si="6591">K173+K203</f>
        <v>0</v>
      </c>
      <c r="L232" s="110">
        <f t="shared" si="6591"/>
        <v>0</v>
      </c>
      <c r="M232" s="110"/>
      <c r="N232" s="139"/>
      <c r="O232" s="225">
        <f t="shared" si="6363"/>
        <v>0</v>
      </c>
      <c r="P232" s="198">
        <f t="shared" si="6005"/>
        <v>0</v>
      </c>
      <c r="Q232" s="140"/>
      <c r="R232" s="110"/>
      <c r="S232" s="137"/>
      <c r="T232" s="97"/>
      <c r="U232" s="138">
        <f t="shared" ref="U232:V232" si="6592">U173+U203</f>
        <v>0</v>
      </c>
      <c r="V232" s="110">
        <f t="shared" si="6592"/>
        <v>0</v>
      </c>
      <c r="W232" s="110"/>
      <c r="X232" s="139"/>
      <c r="Y232" s="225">
        <f t="shared" si="6365"/>
        <v>0</v>
      </c>
      <c r="Z232" s="198">
        <f t="shared" si="6005"/>
        <v>0</v>
      </c>
      <c r="AA232" s="140"/>
      <c r="AB232" s="110"/>
      <c r="AC232" s="137"/>
      <c r="AD232" s="97"/>
      <c r="AE232" s="138">
        <f t="shared" ref="AE232:AF232" si="6593">AE173+AE203</f>
        <v>0</v>
      </c>
      <c r="AF232" s="110">
        <f t="shared" si="6593"/>
        <v>0</v>
      </c>
      <c r="AG232" s="110"/>
      <c r="AH232" s="139"/>
      <c r="AI232" s="225">
        <f t="shared" si="6367"/>
        <v>0</v>
      </c>
      <c r="AJ232" s="198">
        <f t="shared" si="6005"/>
        <v>0</v>
      </c>
      <c r="AK232" s="140"/>
      <c r="AL232" s="110"/>
      <c r="AM232" s="137"/>
      <c r="AN232" s="97"/>
      <c r="AO232" s="138">
        <f t="shared" ref="AO232:AP232" si="6594">AO173+AO203</f>
        <v>0</v>
      </c>
      <c r="AP232" s="110">
        <f t="shared" si="6594"/>
        <v>0</v>
      </c>
      <c r="AQ232" s="110"/>
      <c r="AR232" s="139"/>
      <c r="AS232" s="225">
        <f t="shared" si="6369"/>
        <v>0</v>
      </c>
      <c r="AT232" s="198">
        <f t="shared" si="6005"/>
        <v>0</v>
      </c>
      <c r="AU232" s="140"/>
      <c r="AV232" s="110"/>
      <c r="AW232" s="137"/>
      <c r="AX232" s="97"/>
      <c r="AY232" s="138">
        <f t="shared" ref="AY232:AZ232" si="6595">AY173+AY203</f>
        <v>0</v>
      </c>
      <c r="AZ232" s="110">
        <f t="shared" si="6595"/>
        <v>0</v>
      </c>
      <c r="BA232" s="110"/>
      <c r="BB232" s="139"/>
      <c r="BC232" s="225">
        <f t="shared" si="6371"/>
        <v>0</v>
      </c>
      <c r="BD232" s="198">
        <f t="shared" si="6005"/>
        <v>0</v>
      </c>
      <c r="BE232" s="140"/>
      <c r="BF232" s="110"/>
      <c r="BG232" s="137"/>
      <c r="BH232" s="97"/>
      <c r="BI232" s="138">
        <f t="shared" ref="BI232:BJ232" si="6596">BI173+BI203</f>
        <v>0</v>
      </c>
      <c r="BJ232" s="110">
        <f t="shared" si="6596"/>
        <v>0</v>
      </c>
      <c r="BK232" s="110"/>
      <c r="BL232" s="139"/>
      <c r="BM232" s="225">
        <f t="shared" si="6373"/>
        <v>0</v>
      </c>
      <c r="BN232" s="198">
        <f t="shared" si="6005"/>
        <v>0</v>
      </c>
      <c r="BO232" s="140"/>
      <c r="BP232" s="110"/>
      <c r="BQ232" s="137"/>
      <c r="BR232" s="97"/>
      <c r="BS232" s="138">
        <f t="shared" ref="BS232:BT232" si="6597">BS173+BS203</f>
        <v>0</v>
      </c>
      <c r="BT232" s="110">
        <f t="shared" si="6597"/>
        <v>0</v>
      </c>
      <c r="BU232" s="110"/>
      <c r="BV232" s="139"/>
      <c r="BW232" s="225">
        <f t="shared" si="6375"/>
        <v>0</v>
      </c>
      <c r="BX232" s="198">
        <f t="shared" si="6005"/>
        <v>0</v>
      </c>
      <c r="BY232" s="140"/>
      <c r="BZ232" s="110"/>
      <c r="CA232" s="137"/>
      <c r="CB232" s="97"/>
      <c r="CC232" s="138">
        <f t="shared" ref="CC232:CD232" si="6598">CC173+CC203</f>
        <v>0</v>
      </c>
      <c r="CD232" s="110">
        <f t="shared" si="6598"/>
        <v>0</v>
      </c>
      <c r="CE232" s="110"/>
      <c r="CF232" s="139"/>
      <c r="CG232" s="225">
        <f t="shared" si="6377"/>
        <v>0</v>
      </c>
      <c r="CH232" s="198">
        <f t="shared" si="6026"/>
        <v>0</v>
      </c>
      <c r="CI232" s="140"/>
      <c r="CJ232" s="110"/>
      <c r="CK232" s="137"/>
      <c r="CL232" s="97"/>
      <c r="CM232" s="138">
        <f t="shared" ref="CM232:CN232" si="6599">CM173+CM203</f>
        <v>0</v>
      </c>
      <c r="CN232" s="110">
        <f t="shared" si="6599"/>
        <v>0</v>
      </c>
      <c r="CO232" s="110"/>
      <c r="CP232" s="139"/>
      <c r="CQ232" s="225">
        <f t="shared" si="6379"/>
        <v>0</v>
      </c>
      <c r="CR232" s="198">
        <f t="shared" si="6026"/>
        <v>0</v>
      </c>
      <c r="CS232" s="140"/>
      <c r="CT232" s="110"/>
      <c r="CU232" s="137"/>
      <c r="CV232" s="97"/>
      <c r="CW232" s="138">
        <f t="shared" ref="CW232:CX232" si="6600">CW173+CW203</f>
        <v>0</v>
      </c>
      <c r="CX232" s="110">
        <f t="shared" si="6600"/>
        <v>0</v>
      </c>
      <c r="CY232" s="110"/>
      <c r="CZ232" s="139"/>
      <c r="DA232" s="225">
        <f t="shared" si="6381"/>
        <v>0</v>
      </c>
      <c r="DB232" s="198">
        <f t="shared" si="6026"/>
        <v>0</v>
      </c>
      <c r="DC232" s="140"/>
      <c r="DD232" s="110"/>
      <c r="DE232" s="137"/>
      <c r="DF232" s="97"/>
      <c r="DG232" s="138">
        <f t="shared" ref="DG232:DH232" si="6601">DG173+DG203</f>
        <v>0</v>
      </c>
      <c r="DH232" s="110">
        <f t="shared" si="6601"/>
        <v>0</v>
      </c>
      <c r="DI232" s="110"/>
      <c r="DJ232" s="139"/>
      <c r="DK232" s="225">
        <f t="shared" si="6383"/>
        <v>0</v>
      </c>
      <c r="DL232" s="198">
        <f t="shared" si="6026"/>
        <v>119</v>
      </c>
      <c r="DM232" s="140"/>
      <c r="DN232" s="110"/>
      <c r="DO232" s="137"/>
      <c r="DP232" s="97"/>
      <c r="DQ232" s="138">
        <f t="shared" ref="DQ232:DR232" si="6602">DQ173+DQ203</f>
        <v>3740.9614200000001</v>
      </c>
      <c r="DR232" s="110">
        <f t="shared" si="6602"/>
        <v>445174.41</v>
      </c>
      <c r="DS232" s="110"/>
      <c r="DT232" s="139"/>
      <c r="DU232" s="225">
        <f t="shared" si="6385"/>
        <v>1.2640199999999999</v>
      </c>
      <c r="DV232" s="198">
        <f t="shared" si="6026"/>
        <v>0</v>
      </c>
      <c r="DW232" s="140"/>
      <c r="DX232" s="110"/>
      <c r="DY232" s="137"/>
      <c r="DZ232" s="97"/>
      <c r="EA232" s="138">
        <f t="shared" ref="EA232:EB232" si="6603">EA173+EA203</f>
        <v>0</v>
      </c>
      <c r="EB232" s="110">
        <f t="shared" si="6603"/>
        <v>0</v>
      </c>
      <c r="EC232" s="110"/>
      <c r="ED232" s="139"/>
      <c r="EE232" s="225">
        <f t="shared" si="6387"/>
        <v>0</v>
      </c>
      <c r="EF232" s="198">
        <f t="shared" si="6026"/>
        <v>0</v>
      </c>
      <c r="EG232" s="140"/>
      <c r="EH232" s="110"/>
      <c r="EI232" s="137"/>
      <c r="EJ232" s="97"/>
      <c r="EK232" s="138">
        <f t="shared" ref="EK232:EL232" si="6604">EK173+EK203</f>
        <v>0</v>
      </c>
      <c r="EL232" s="110">
        <f t="shared" si="6604"/>
        <v>0</v>
      </c>
      <c r="EM232" s="110"/>
      <c r="EN232" s="139"/>
      <c r="EO232" s="225">
        <f t="shared" si="6389"/>
        <v>0</v>
      </c>
      <c r="EP232" s="198">
        <f t="shared" si="6026"/>
        <v>0</v>
      </c>
      <c r="EQ232" s="140"/>
      <c r="ER232" s="110"/>
      <c r="ES232" s="137"/>
      <c r="ET232" s="97"/>
      <c r="EU232" s="138">
        <f t="shared" ref="EU232:EV232" si="6605">EU173+EU203</f>
        <v>0</v>
      </c>
      <c r="EV232" s="110">
        <f t="shared" si="6605"/>
        <v>0</v>
      </c>
      <c r="EW232" s="110"/>
      <c r="EX232" s="139"/>
      <c r="EY232" s="225">
        <f t="shared" si="6391"/>
        <v>0</v>
      </c>
      <c r="EZ232" s="198">
        <f t="shared" si="6047"/>
        <v>0</v>
      </c>
      <c r="FA232" s="140"/>
      <c r="FB232" s="110"/>
      <c r="FC232" s="137"/>
      <c r="FD232" s="97"/>
      <c r="FE232" s="138">
        <f t="shared" ref="FE232:FF232" si="6606">FE173+FE203</f>
        <v>0</v>
      </c>
      <c r="FF232" s="110">
        <f t="shared" si="6606"/>
        <v>0</v>
      </c>
      <c r="FG232" s="110"/>
      <c r="FH232" s="139"/>
      <c r="FI232" s="225">
        <f t="shared" si="6393"/>
        <v>0</v>
      </c>
      <c r="FJ232" s="198">
        <f t="shared" si="6047"/>
        <v>0</v>
      </c>
      <c r="FK232" s="140"/>
      <c r="FL232" s="110"/>
      <c r="FM232" s="137"/>
      <c r="FN232" s="97"/>
      <c r="FO232" s="138">
        <f t="shared" ref="FO232:FP232" si="6607">FO173+FO203</f>
        <v>0</v>
      </c>
      <c r="FP232" s="110">
        <f t="shared" si="6607"/>
        <v>0</v>
      </c>
      <c r="FQ232" s="110"/>
      <c r="FR232" s="139"/>
      <c r="FS232" s="225">
        <f t="shared" si="6395"/>
        <v>0</v>
      </c>
      <c r="FT232" s="198">
        <f t="shared" si="6047"/>
        <v>0</v>
      </c>
      <c r="FU232" s="140"/>
      <c r="FV232" s="110"/>
      <c r="FW232" s="137"/>
      <c r="FX232" s="97"/>
      <c r="FY232" s="138">
        <f t="shared" ref="FY232:FZ232" si="6608">FY173+FY203</f>
        <v>0</v>
      </c>
      <c r="FZ232" s="110">
        <f t="shared" si="6608"/>
        <v>0</v>
      </c>
      <c r="GA232" s="110"/>
      <c r="GB232" s="139"/>
      <c r="GC232" s="225">
        <f t="shared" si="6397"/>
        <v>0</v>
      </c>
      <c r="GD232" s="198">
        <f t="shared" si="6047"/>
        <v>0</v>
      </c>
      <c r="GE232" s="140"/>
      <c r="GF232" s="110"/>
      <c r="GG232" s="137"/>
      <c r="GH232" s="97"/>
      <c r="GI232" s="138">
        <f t="shared" ref="GI232:GJ232" si="6609">GI173+GI203</f>
        <v>0</v>
      </c>
      <c r="GJ232" s="110">
        <f t="shared" si="6609"/>
        <v>0</v>
      </c>
      <c r="GK232" s="110"/>
      <c r="GL232" s="139"/>
      <c r="GM232" s="225">
        <f t="shared" si="6399"/>
        <v>0</v>
      </c>
      <c r="GN232" s="198">
        <f t="shared" si="6059"/>
        <v>0</v>
      </c>
      <c r="GO232" s="140"/>
      <c r="GP232" s="110"/>
      <c r="GQ232" s="137"/>
      <c r="GR232" s="97"/>
      <c r="GS232" s="138">
        <f t="shared" ref="GS232:GT232" si="6610">GS173+GS203</f>
        <v>0</v>
      </c>
      <c r="GT232" s="110">
        <f t="shared" si="6610"/>
        <v>0</v>
      </c>
      <c r="GU232" s="110"/>
      <c r="GV232" s="139"/>
      <c r="GW232" s="225">
        <f t="shared" si="6401"/>
        <v>0</v>
      </c>
      <c r="GX232" s="198">
        <f t="shared" si="6059"/>
        <v>0</v>
      </c>
      <c r="GY232" s="140"/>
      <c r="GZ232" s="110"/>
      <c r="HA232" s="137"/>
      <c r="HB232" s="97"/>
      <c r="HC232" s="138">
        <f t="shared" ref="HC232:HD232" si="6611">HC173+HC203</f>
        <v>0</v>
      </c>
      <c r="HD232" s="110">
        <f t="shared" si="6611"/>
        <v>0</v>
      </c>
      <c r="HE232" s="110"/>
      <c r="HF232" s="139"/>
      <c r="HG232" s="225">
        <f t="shared" si="6403"/>
        <v>0</v>
      </c>
      <c r="HH232" s="198">
        <f t="shared" si="6059"/>
        <v>0</v>
      </c>
      <c r="HI232" s="140"/>
      <c r="HJ232" s="110"/>
      <c r="HK232" s="137"/>
      <c r="HL232" s="97"/>
      <c r="HM232" s="138">
        <f t="shared" ref="HM232:HN232" si="6612">HM173+HM203</f>
        <v>0</v>
      </c>
      <c r="HN232" s="110">
        <f t="shared" si="6612"/>
        <v>0</v>
      </c>
      <c r="HO232" s="110"/>
      <c r="HP232" s="139"/>
      <c r="HQ232" s="225">
        <f t="shared" si="6405"/>
        <v>0</v>
      </c>
      <c r="HR232" s="198">
        <f t="shared" si="6059"/>
        <v>0</v>
      </c>
      <c r="HS232" s="140"/>
      <c r="HT232" s="110"/>
      <c r="HU232" s="137"/>
      <c r="HV232" s="97"/>
      <c r="HW232" s="138">
        <f t="shared" ref="HW232:HX232" si="6613">HW173+HW203</f>
        <v>0</v>
      </c>
      <c r="HX232" s="110">
        <f t="shared" si="6613"/>
        <v>0</v>
      </c>
      <c r="HY232" s="110"/>
      <c r="HZ232" s="139"/>
      <c r="IA232" s="225">
        <f t="shared" si="6407"/>
        <v>0</v>
      </c>
      <c r="IB232" s="198">
        <f t="shared" si="6071"/>
        <v>0</v>
      </c>
      <c r="IC232" s="140"/>
      <c r="ID232" s="110"/>
      <c r="IE232" s="137"/>
      <c r="IF232" s="97"/>
      <c r="IG232" s="138">
        <f t="shared" ref="IG232:IH232" si="6614">IG173+IG203</f>
        <v>0</v>
      </c>
      <c r="IH232" s="110">
        <f t="shared" si="6614"/>
        <v>0</v>
      </c>
      <c r="II232" s="110"/>
      <c r="IJ232" s="139"/>
      <c r="IK232" s="225">
        <f t="shared" si="6409"/>
        <v>0</v>
      </c>
      <c r="IL232" s="198">
        <f t="shared" si="6071"/>
        <v>0</v>
      </c>
      <c r="IM232" s="140"/>
      <c r="IN232" s="110"/>
      <c r="IO232" s="137"/>
      <c r="IP232" s="97"/>
      <c r="IQ232" s="138">
        <f t="shared" ref="IQ232:IR232" si="6615">IQ173+IQ203</f>
        <v>0</v>
      </c>
      <c r="IR232" s="110">
        <f t="shared" si="6615"/>
        <v>0</v>
      </c>
      <c r="IS232" s="110"/>
      <c r="IT232" s="139"/>
      <c r="IU232" s="225">
        <f t="shared" si="6411"/>
        <v>0</v>
      </c>
      <c r="IV232" s="198">
        <f t="shared" si="6071"/>
        <v>0</v>
      </c>
      <c r="IW232" s="140"/>
      <c r="IX232" s="110"/>
      <c r="IY232" s="137"/>
      <c r="IZ232" s="97"/>
      <c r="JA232" s="138">
        <f t="shared" ref="JA232:JB232" si="6616">JA173+JA203</f>
        <v>0</v>
      </c>
      <c r="JB232" s="110">
        <f t="shared" si="6616"/>
        <v>0</v>
      </c>
      <c r="JC232" s="110"/>
      <c r="JD232" s="139"/>
      <c r="JE232" s="225">
        <f t="shared" si="6413"/>
        <v>0</v>
      </c>
      <c r="JF232" s="198">
        <f t="shared" si="6071"/>
        <v>0</v>
      </c>
      <c r="JG232" s="140"/>
      <c r="JH232" s="110"/>
      <c r="JI232" s="137"/>
      <c r="JJ232" s="97"/>
      <c r="JK232" s="138">
        <f t="shared" ref="JK232:JL232" si="6617">JK173+JK203</f>
        <v>0</v>
      </c>
      <c r="JL232" s="110">
        <f t="shared" si="6617"/>
        <v>0</v>
      </c>
      <c r="JM232" s="110"/>
      <c r="JN232" s="139"/>
      <c r="JO232" s="225">
        <f t="shared" si="6415"/>
        <v>0</v>
      </c>
      <c r="JP232" s="198">
        <f t="shared" si="6083"/>
        <v>0</v>
      </c>
      <c r="JQ232" s="140"/>
      <c r="JR232" s="110"/>
      <c r="JS232" s="137"/>
      <c r="JT232" s="97"/>
      <c r="JU232" s="138">
        <f t="shared" ref="JU232:JV232" si="6618">JU173+JU203</f>
        <v>0</v>
      </c>
      <c r="JV232" s="110">
        <f t="shared" si="6618"/>
        <v>0</v>
      </c>
      <c r="JW232" s="110"/>
      <c r="JX232" s="139"/>
      <c r="JY232" s="225">
        <f t="shared" si="6417"/>
        <v>0</v>
      </c>
      <c r="JZ232" s="198">
        <f t="shared" si="6083"/>
        <v>0</v>
      </c>
      <c r="KA232" s="140"/>
      <c r="KB232" s="110"/>
      <c r="KC232" s="137"/>
      <c r="KD232" s="97"/>
      <c r="KE232" s="138">
        <f t="shared" ref="KE232:KF232" si="6619">KE173+KE203</f>
        <v>0</v>
      </c>
      <c r="KF232" s="110">
        <f t="shared" si="6619"/>
        <v>0</v>
      </c>
      <c r="KG232" s="110"/>
      <c r="KH232" s="139"/>
      <c r="KI232" s="225">
        <f t="shared" si="6419"/>
        <v>0</v>
      </c>
      <c r="KJ232" s="198">
        <f t="shared" si="6083"/>
        <v>0</v>
      </c>
      <c r="KK232" s="140"/>
      <c r="KL232" s="110"/>
      <c r="KM232" s="137"/>
      <c r="KN232" s="97"/>
      <c r="KO232" s="138">
        <f t="shared" ref="KO232:KP232" si="6620">KO173+KO203</f>
        <v>0</v>
      </c>
      <c r="KP232" s="110">
        <f t="shared" si="6620"/>
        <v>0</v>
      </c>
      <c r="KQ232" s="110"/>
      <c r="KR232" s="139"/>
      <c r="KS232" s="225">
        <f t="shared" si="6421"/>
        <v>0</v>
      </c>
      <c r="KT232" s="198">
        <f t="shared" si="6083"/>
        <v>0</v>
      </c>
      <c r="KU232" s="140"/>
      <c r="KV232" s="110"/>
      <c r="KW232" s="137"/>
      <c r="KX232" s="97"/>
      <c r="KY232" s="138">
        <f t="shared" ref="KY232:KZ232" si="6621">KY173+KY203</f>
        <v>0</v>
      </c>
      <c r="KZ232" s="110">
        <f t="shared" si="6621"/>
        <v>0</v>
      </c>
      <c r="LA232" s="110"/>
      <c r="LB232" s="139"/>
      <c r="LC232" s="225">
        <f t="shared" si="6423"/>
        <v>0</v>
      </c>
      <c r="LD232" s="198">
        <f t="shared" ref="LD232" si="6622">LD28</f>
        <v>119</v>
      </c>
      <c r="LE232" s="140"/>
      <c r="LF232" s="110"/>
      <c r="LG232" s="137"/>
      <c r="LH232" s="97"/>
      <c r="LI232" s="138">
        <f t="shared" ref="LI232:LJ232" si="6623">LI173+LI203</f>
        <v>2959.5847100000001</v>
      </c>
      <c r="LJ232" s="110">
        <f t="shared" si="6623"/>
        <v>352190.58</v>
      </c>
      <c r="LK232" s="110"/>
      <c r="LL232" s="139"/>
    </row>
    <row r="233" spans="1:324" ht="16.5" hidden="1" customHeight="1" x14ac:dyDescent="0.25">
      <c r="A233" s="247"/>
      <c r="B233" s="93" t="s">
        <v>611</v>
      </c>
      <c r="C233" s="12" t="s">
        <v>728</v>
      </c>
      <c r="D233" s="12" t="s">
        <v>430</v>
      </c>
      <c r="E233" s="4"/>
      <c r="F233" s="198">
        <f t="shared" si="6097"/>
        <v>0</v>
      </c>
      <c r="G233" s="140"/>
      <c r="H233" s="110"/>
      <c r="I233" s="137"/>
      <c r="J233" s="97"/>
      <c r="K233" s="138">
        <f t="shared" ref="K233:L233" si="6624">K174+K204</f>
        <v>0</v>
      </c>
      <c r="L233" s="110">
        <f t="shared" si="6624"/>
        <v>0</v>
      </c>
      <c r="M233" s="110"/>
      <c r="N233" s="139"/>
      <c r="O233" s="225">
        <f t="shared" si="6363"/>
        <v>0</v>
      </c>
      <c r="P233" s="198">
        <f t="shared" ref="P233:BX242" si="6625">P29</f>
        <v>0</v>
      </c>
      <c r="Q233" s="140"/>
      <c r="R233" s="110"/>
      <c r="S233" s="137"/>
      <c r="T233" s="97"/>
      <c r="U233" s="138">
        <f t="shared" ref="U233:V233" si="6626">U174+U204</f>
        <v>0</v>
      </c>
      <c r="V233" s="110">
        <f t="shared" si="6626"/>
        <v>0</v>
      </c>
      <c r="W233" s="110"/>
      <c r="X233" s="139"/>
      <c r="Y233" s="225">
        <f t="shared" si="6365"/>
        <v>0</v>
      </c>
      <c r="Z233" s="198">
        <f t="shared" si="6625"/>
        <v>0</v>
      </c>
      <c r="AA233" s="140"/>
      <c r="AB233" s="110"/>
      <c r="AC233" s="137"/>
      <c r="AD233" s="97"/>
      <c r="AE233" s="138">
        <f t="shared" ref="AE233:AF233" si="6627">AE174+AE204</f>
        <v>0</v>
      </c>
      <c r="AF233" s="110">
        <f t="shared" si="6627"/>
        <v>0</v>
      </c>
      <c r="AG233" s="110"/>
      <c r="AH233" s="139"/>
      <c r="AI233" s="225">
        <f t="shared" si="6367"/>
        <v>0</v>
      </c>
      <c r="AJ233" s="198">
        <f t="shared" si="6625"/>
        <v>0</v>
      </c>
      <c r="AK233" s="140"/>
      <c r="AL233" s="110"/>
      <c r="AM233" s="137"/>
      <c r="AN233" s="97"/>
      <c r="AO233" s="138">
        <f t="shared" ref="AO233:AP233" si="6628">AO174+AO204</f>
        <v>0</v>
      </c>
      <c r="AP233" s="110">
        <f t="shared" si="6628"/>
        <v>0</v>
      </c>
      <c r="AQ233" s="110"/>
      <c r="AR233" s="139"/>
      <c r="AS233" s="225">
        <f t="shared" si="6369"/>
        <v>0</v>
      </c>
      <c r="AT233" s="198">
        <f t="shared" si="6625"/>
        <v>0</v>
      </c>
      <c r="AU233" s="140"/>
      <c r="AV233" s="110"/>
      <c r="AW233" s="137"/>
      <c r="AX233" s="97"/>
      <c r="AY233" s="138">
        <f t="shared" ref="AY233:AZ233" si="6629">AY174+AY204</f>
        <v>0</v>
      </c>
      <c r="AZ233" s="110">
        <f t="shared" si="6629"/>
        <v>0</v>
      </c>
      <c r="BA233" s="110"/>
      <c r="BB233" s="139"/>
      <c r="BC233" s="225">
        <f t="shared" si="6371"/>
        <v>0</v>
      </c>
      <c r="BD233" s="198">
        <f t="shared" si="6625"/>
        <v>0</v>
      </c>
      <c r="BE233" s="140"/>
      <c r="BF233" s="110"/>
      <c r="BG233" s="137"/>
      <c r="BH233" s="97"/>
      <c r="BI233" s="138">
        <f t="shared" ref="BI233:BJ233" si="6630">BI174+BI204</f>
        <v>0</v>
      </c>
      <c r="BJ233" s="110">
        <f t="shared" si="6630"/>
        <v>0</v>
      </c>
      <c r="BK233" s="110"/>
      <c r="BL233" s="139"/>
      <c r="BM233" s="225">
        <f t="shared" si="6373"/>
        <v>0</v>
      </c>
      <c r="BN233" s="198">
        <f t="shared" si="6625"/>
        <v>0</v>
      </c>
      <c r="BO233" s="140"/>
      <c r="BP233" s="110"/>
      <c r="BQ233" s="137"/>
      <c r="BR233" s="97"/>
      <c r="BS233" s="138">
        <f t="shared" ref="BS233:BT233" si="6631">BS174+BS204</f>
        <v>0</v>
      </c>
      <c r="BT233" s="110">
        <f t="shared" si="6631"/>
        <v>0</v>
      </c>
      <c r="BU233" s="110"/>
      <c r="BV233" s="139"/>
      <c r="BW233" s="225">
        <f t="shared" si="6375"/>
        <v>0</v>
      </c>
      <c r="BX233" s="198">
        <f t="shared" si="6625"/>
        <v>0</v>
      </c>
      <c r="BY233" s="140"/>
      <c r="BZ233" s="110"/>
      <c r="CA233" s="137"/>
      <c r="CB233" s="97"/>
      <c r="CC233" s="138">
        <f t="shared" ref="CC233:CD233" si="6632">CC174+CC204</f>
        <v>0</v>
      </c>
      <c r="CD233" s="110">
        <f t="shared" si="6632"/>
        <v>0</v>
      </c>
      <c r="CE233" s="110"/>
      <c r="CF233" s="139"/>
      <c r="CG233" s="225">
        <f t="shared" si="6377"/>
        <v>0</v>
      </c>
      <c r="CH233" s="198">
        <f t="shared" ref="CH233:EP242" si="6633">CH29</f>
        <v>0</v>
      </c>
      <c r="CI233" s="140"/>
      <c r="CJ233" s="110"/>
      <c r="CK233" s="137"/>
      <c r="CL233" s="97"/>
      <c r="CM233" s="138">
        <f t="shared" ref="CM233:CN233" si="6634">CM174+CM204</f>
        <v>0</v>
      </c>
      <c r="CN233" s="110">
        <f t="shared" si="6634"/>
        <v>0</v>
      </c>
      <c r="CO233" s="110"/>
      <c r="CP233" s="139"/>
      <c r="CQ233" s="225">
        <f t="shared" si="6379"/>
        <v>0</v>
      </c>
      <c r="CR233" s="198">
        <f t="shared" si="6633"/>
        <v>0</v>
      </c>
      <c r="CS233" s="140"/>
      <c r="CT233" s="110"/>
      <c r="CU233" s="137"/>
      <c r="CV233" s="97"/>
      <c r="CW233" s="138">
        <f t="shared" ref="CW233:CX233" si="6635">CW174+CW204</f>
        <v>0</v>
      </c>
      <c r="CX233" s="110">
        <f t="shared" si="6635"/>
        <v>0</v>
      </c>
      <c r="CY233" s="110"/>
      <c r="CZ233" s="139"/>
      <c r="DA233" s="225">
        <f t="shared" si="6381"/>
        <v>0</v>
      </c>
      <c r="DB233" s="198">
        <f t="shared" si="6633"/>
        <v>0</v>
      </c>
      <c r="DC233" s="140"/>
      <c r="DD233" s="110"/>
      <c r="DE233" s="137"/>
      <c r="DF233" s="97"/>
      <c r="DG233" s="138">
        <f t="shared" ref="DG233:DH233" si="6636">DG174+DG204</f>
        <v>0</v>
      </c>
      <c r="DH233" s="110">
        <f t="shared" si="6636"/>
        <v>0</v>
      </c>
      <c r="DI233" s="110"/>
      <c r="DJ233" s="139"/>
      <c r="DK233" s="225">
        <f t="shared" si="6383"/>
        <v>0</v>
      </c>
      <c r="DL233" s="198">
        <f t="shared" si="6633"/>
        <v>5</v>
      </c>
      <c r="DM233" s="140"/>
      <c r="DN233" s="110"/>
      <c r="DO233" s="137"/>
      <c r="DP233" s="97"/>
      <c r="DQ233" s="138">
        <f t="shared" ref="DQ233:DR233" si="6637">DQ174+DQ204</f>
        <v>3744.3634999999999</v>
      </c>
      <c r="DR233" s="110">
        <f t="shared" si="6637"/>
        <v>18721.82</v>
      </c>
      <c r="DS233" s="110"/>
      <c r="DT233" s="139"/>
      <c r="DU233" s="225">
        <f t="shared" si="6385"/>
        <v>1.2311000000000001</v>
      </c>
      <c r="DV233" s="198">
        <f t="shared" si="6633"/>
        <v>0</v>
      </c>
      <c r="DW233" s="140"/>
      <c r="DX233" s="110"/>
      <c r="DY233" s="137"/>
      <c r="DZ233" s="97"/>
      <c r="EA233" s="138">
        <f t="shared" ref="EA233:EB233" si="6638">EA174+EA204</f>
        <v>0</v>
      </c>
      <c r="EB233" s="110">
        <f t="shared" si="6638"/>
        <v>0</v>
      </c>
      <c r="EC233" s="110"/>
      <c r="ED233" s="139"/>
      <c r="EE233" s="225">
        <f t="shared" si="6387"/>
        <v>0</v>
      </c>
      <c r="EF233" s="198">
        <f t="shared" si="6633"/>
        <v>0</v>
      </c>
      <c r="EG233" s="140"/>
      <c r="EH233" s="110"/>
      <c r="EI233" s="137"/>
      <c r="EJ233" s="97"/>
      <c r="EK233" s="138">
        <f t="shared" ref="EK233:EL233" si="6639">EK174+EK204</f>
        <v>0</v>
      </c>
      <c r="EL233" s="110">
        <f t="shared" si="6639"/>
        <v>0</v>
      </c>
      <c r="EM233" s="110"/>
      <c r="EN233" s="139"/>
      <c r="EO233" s="225">
        <f t="shared" si="6389"/>
        <v>0</v>
      </c>
      <c r="EP233" s="198">
        <f t="shared" si="6633"/>
        <v>0</v>
      </c>
      <c r="EQ233" s="140"/>
      <c r="ER233" s="110"/>
      <c r="ES233" s="137"/>
      <c r="ET233" s="97"/>
      <c r="EU233" s="138">
        <f t="shared" ref="EU233:EV233" si="6640">EU174+EU204</f>
        <v>0</v>
      </c>
      <c r="EV233" s="110">
        <f t="shared" si="6640"/>
        <v>0</v>
      </c>
      <c r="EW233" s="110"/>
      <c r="EX233" s="139"/>
      <c r="EY233" s="225">
        <f t="shared" si="6391"/>
        <v>0</v>
      </c>
      <c r="EZ233" s="198">
        <f t="shared" ref="EZ233:HH242" si="6641">EZ29</f>
        <v>0</v>
      </c>
      <c r="FA233" s="140"/>
      <c r="FB233" s="110"/>
      <c r="FC233" s="137"/>
      <c r="FD233" s="97"/>
      <c r="FE233" s="138">
        <f t="shared" ref="FE233:FF233" si="6642">FE174+FE204</f>
        <v>0</v>
      </c>
      <c r="FF233" s="110">
        <f t="shared" si="6642"/>
        <v>0</v>
      </c>
      <c r="FG233" s="110"/>
      <c r="FH233" s="139"/>
      <c r="FI233" s="225">
        <f t="shared" si="6393"/>
        <v>0</v>
      </c>
      <c r="FJ233" s="198">
        <f t="shared" si="6641"/>
        <v>0</v>
      </c>
      <c r="FK233" s="140"/>
      <c r="FL233" s="110"/>
      <c r="FM233" s="137"/>
      <c r="FN233" s="97"/>
      <c r="FO233" s="138">
        <f t="shared" ref="FO233:FP233" si="6643">FO174+FO204</f>
        <v>0</v>
      </c>
      <c r="FP233" s="110">
        <f t="shared" si="6643"/>
        <v>0</v>
      </c>
      <c r="FQ233" s="110"/>
      <c r="FR233" s="139"/>
      <c r="FS233" s="225">
        <f t="shared" si="6395"/>
        <v>0</v>
      </c>
      <c r="FT233" s="198">
        <f t="shared" si="6641"/>
        <v>0</v>
      </c>
      <c r="FU233" s="140"/>
      <c r="FV233" s="110"/>
      <c r="FW233" s="137"/>
      <c r="FX233" s="97"/>
      <c r="FY233" s="138">
        <f t="shared" ref="FY233:FZ233" si="6644">FY174+FY204</f>
        <v>0</v>
      </c>
      <c r="FZ233" s="110">
        <f t="shared" si="6644"/>
        <v>0</v>
      </c>
      <c r="GA233" s="110"/>
      <c r="GB233" s="139"/>
      <c r="GC233" s="225">
        <f t="shared" si="6397"/>
        <v>0</v>
      </c>
      <c r="GD233" s="198">
        <f t="shared" si="6641"/>
        <v>0</v>
      </c>
      <c r="GE233" s="140"/>
      <c r="GF233" s="110"/>
      <c r="GG233" s="137"/>
      <c r="GH233" s="97"/>
      <c r="GI233" s="138">
        <f t="shared" ref="GI233:GJ233" si="6645">GI174+GI204</f>
        <v>0</v>
      </c>
      <c r="GJ233" s="110">
        <f t="shared" si="6645"/>
        <v>0</v>
      </c>
      <c r="GK233" s="110"/>
      <c r="GL233" s="139"/>
      <c r="GM233" s="225">
        <f t="shared" si="6399"/>
        <v>0</v>
      </c>
      <c r="GN233" s="198">
        <f t="shared" si="6641"/>
        <v>0</v>
      </c>
      <c r="GO233" s="140"/>
      <c r="GP233" s="110"/>
      <c r="GQ233" s="137"/>
      <c r="GR233" s="97"/>
      <c r="GS233" s="138">
        <f t="shared" ref="GS233:GT233" si="6646">GS174+GS204</f>
        <v>0</v>
      </c>
      <c r="GT233" s="110">
        <f t="shared" si="6646"/>
        <v>0</v>
      </c>
      <c r="GU233" s="110"/>
      <c r="GV233" s="139"/>
      <c r="GW233" s="225">
        <f t="shared" si="6401"/>
        <v>0</v>
      </c>
      <c r="GX233" s="198">
        <f t="shared" si="6641"/>
        <v>0</v>
      </c>
      <c r="GY233" s="140"/>
      <c r="GZ233" s="110"/>
      <c r="HA233" s="137"/>
      <c r="HB233" s="97"/>
      <c r="HC233" s="138">
        <f t="shared" ref="HC233:HD233" si="6647">HC174+HC204</f>
        <v>0</v>
      </c>
      <c r="HD233" s="110">
        <f t="shared" si="6647"/>
        <v>0</v>
      </c>
      <c r="HE233" s="110"/>
      <c r="HF233" s="139"/>
      <c r="HG233" s="225">
        <f t="shared" si="6403"/>
        <v>0</v>
      </c>
      <c r="HH233" s="198">
        <f t="shared" si="6641"/>
        <v>0</v>
      </c>
      <c r="HI233" s="140"/>
      <c r="HJ233" s="110"/>
      <c r="HK233" s="137"/>
      <c r="HL233" s="97"/>
      <c r="HM233" s="138">
        <f t="shared" ref="HM233:HN233" si="6648">HM174+HM204</f>
        <v>0</v>
      </c>
      <c r="HN233" s="110">
        <f t="shared" si="6648"/>
        <v>0</v>
      </c>
      <c r="HO233" s="110"/>
      <c r="HP233" s="139"/>
      <c r="HQ233" s="225">
        <f t="shared" si="6405"/>
        <v>0</v>
      </c>
      <c r="HR233" s="198">
        <f t="shared" ref="HR233:JZ242" si="6649">HR29</f>
        <v>0</v>
      </c>
      <c r="HS233" s="140"/>
      <c r="HT233" s="110"/>
      <c r="HU233" s="137"/>
      <c r="HV233" s="97"/>
      <c r="HW233" s="138">
        <f t="shared" ref="HW233:HX233" si="6650">HW174+HW204</f>
        <v>0</v>
      </c>
      <c r="HX233" s="110">
        <f t="shared" si="6650"/>
        <v>0</v>
      </c>
      <c r="HY233" s="110"/>
      <c r="HZ233" s="139"/>
      <c r="IA233" s="225">
        <f t="shared" si="6407"/>
        <v>0</v>
      </c>
      <c r="IB233" s="198">
        <f t="shared" si="6649"/>
        <v>0</v>
      </c>
      <c r="IC233" s="140"/>
      <c r="ID233" s="110"/>
      <c r="IE233" s="137"/>
      <c r="IF233" s="97"/>
      <c r="IG233" s="138">
        <f t="shared" ref="IG233:IH233" si="6651">IG174+IG204</f>
        <v>0</v>
      </c>
      <c r="IH233" s="110">
        <f t="shared" si="6651"/>
        <v>0</v>
      </c>
      <c r="II233" s="110"/>
      <c r="IJ233" s="139"/>
      <c r="IK233" s="225">
        <f t="shared" si="6409"/>
        <v>0</v>
      </c>
      <c r="IL233" s="198">
        <f t="shared" si="6649"/>
        <v>0</v>
      </c>
      <c r="IM233" s="140"/>
      <c r="IN233" s="110"/>
      <c r="IO233" s="137"/>
      <c r="IP233" s="97"/>
      <c r="IQ233" s="138">
        <f t="shared" ref="IQ233:IR233" si="6652">IQ174+IQ204</f>
        <v>0</v>
      </c>
      <c r="IR233" s="110">
        <f t="shared" si="6652"/>
        <v>0</v>
      </c>
      <c r="IS233" s="110"/>
      <c r="IT233" s="139"/>
      <c r="IU233" s="225">
        <f t="shared" si="6411"/>
        <v>0</v>
      </c>
      <c r="IV233" s="198">
        <f t="shared" si="6649"/>
        <v>0</v>
      </c>
      <c r="IW233" s="140"/>
      <c r="IX233" s="110"/>
      <c r="IY233" s="137"/>
      <c r="IZ233" s="97"/>
      <c r="JA233" s="138">
        <f t="shared" ref="JA233:JB233" si="6653">JA174+JA204</f>
        <v>0</v>
      </c>
      <c r="JB233" s="110">
        <f t="shared" si="6653"/>
        <v>0</v>
      </c>
      <c r="JC233" s="110"/>
      <c r="JD233" s="139"/>
      <c r="JE233" s="225">
        <f t="shared" si="6413"/>
        <v>0</v>
      </c>
      <c r="JF233" s="198">
        <f t="shared" si="6649"/>
        <v>0</v>
      </c>
      <c r="JG233" s="140"/>
      <c r="JH233" s="110"/>
      <c r="JI233" s="137"/>
      <c r="JJ233" s="97"/>
      <c r="JK233" s="138">
        <f t="shared" ref="JK233:JL233" si="6654">JK174+JK204</f>
        <v>0</v>
      </c>
      <c r="JL233" s="110">
        <f t="shared" si="6654"/>
        <v>0</v>
      </c>
      <c r="JM233" s="110"/>
      <c r="JN233" s="139"/>
      <c r="JO233" s="225">
        <f t="shared" si="6415"/>
        <v>0</v>
      </c>
      <c r="JP233" s="198">
        <f t="shared" si="6649"/>
        <v>0</v>
      </c>
      <c r="JQ233" s="140"/>
      <c r="JR233" s="110"/>
      <c r="JS233" s="137"/>
      <c r="JT233" s="97"/>
      <c r="JU233" s="138">
        <f t="shared" ref="JU233:JV233" si="6655">JU174+JU204</f>
        <v>0</v>
      </c>
      <c r="JV233" s="110">
        <f t="shared" si="6655"/>
        <v>0</v>
      </c>
      <c r="JW233" s="110"/>
      <c r="JX233" s="139"/>
      <c r="JY233" s="225">
        <f t="shared" si="6417"/>
        <v>0</v>
      </c>
      <c r="JZ233" s="198">
        <f t="shared" si="6649"/>
        <v>0</v>
      </c>
      <c r="KA233" s="140"/>
      <c r="KB233" s="110"/>
      <c r="KC233" s="137"/>
      <c r="KD233" s="97"/>
      <c r="KE233" s="138">
        <f t="shared" ref="KE233:KF233" si="6656">KE174+KE204</f>
        <v>0</v>
      </c>
      <c r="KF233" s="110">
        <f t="shared" si="6656"/>
        <v>0</v>
      </c>
      <c r="KG233" s="110"/>
      <c r="KH233" s="139"/>
      <c r="KI233" s="225">
        <f t="shared" si="6419"/>
        <v>0</v>
      </c>
      <c r="KJ233" s="198">
        <f t="shared" ref="KJ233:KT242" si="6657">KJ29</f>
        <v>0</v>
      </c>
      <c r="KK233" s="140"/>
      <c r="KL233" s="110"/>
      <c r="KM233" s="137"/>
      <c r="KN233" s="97"/>
      <c r="KO233" s="138">
        <f t="shared" ref="KO233:KP233" si="6658">KO174+KO204</f>
        <v>0</v>
      </c>
      <c r="KP233" s="110">
        <f t="shared" si="6658"/>
        <v>0</v>
      </c>
      <c r="KQ233" s="110"/>
      <c r="KR233" s="139"/>
      <c r="KS233" s="225">
        <f t="shared" si="6421"/>
        <v>0</v>
      </c>
      <c r="KT233" s="198">
        <f t="shared" si="6657"/>
        <v>0</v>
      </c>
      <c r="KU233" s="140"/>
      <c r="KV233" s="110"/>
      <c r="KW233" s="137"/>
      <c r="KX233" s="97"/>
      <c r="KY233" s="138">
        <f t="shared" ref="KY233:KZ233" si="6659">KY174+KY204</f>
        <v>0</v>
      </c>
      <c r="KZ233" s="110">
        <f t="shared" si="6659"/>
        <v>0</v>
      </c>
      <c r="LA233" s="110"/>
      <c r="LB233" s="139"/>
      <c r="LC233" s="225">
        <f t="shared" si="6423"/>
        <v>0</v>
      </c>
      <c r="LD233" s="198">
        <f t="shared" ref="LD233" si="6660">LD29</f>
        <v>5</v>
      </c>
      <c r="LE233" s="140"/>
      <c r="LF233" s="110"/>
      <c r="LG233" s="137"/>
      <c r="LH233" s="97"/>
      <c r="LI233" s="138">
        <f t="shared" ref="LI233:LJ233" si="6661">LI174+LI204</f>
        <v>3041.4663999999998</v>
      </c>
      <c r="LJ233" s="110">
        <f t="shared" si="6661"/>
        <v>15207.34</v>
      </c>
      <c r="LK233" s="110"/>
      <c r="LL233" s="139"/>
    </row>
    <row r="234" spans="1:324" ht="16.5" customHeight="1" x14ac:dyDescent="0.25">
      <c r="A234" s="244"/>
      <c r="B234" s="244" t="s">
        <v>855</v>
      </c>
      <c r="C234" s="12"/>
      <c r="D234" s="12"/>
      <c r="E234" s="4"/>
      <c r="F234" s="198">
        <f t="shared" si="6097"/>
        <v>0</v>
      </c>
      <c r="G234" s="140"/>
      <c r="H234" s="110"/>
      <c r="I234" s="137"/>
      <c r="J234" s="97"/>
      <c r="K234" s="138">
        <f t="shared" ref="K234:L234" si="6662">K175+K205</f>
        <v>0</v>
      </c>
      <c r="L234" s="110">
        <f t="shared" si="6662"/>
        <v>0</v>
      </c>
      <c r="M234" s="110"/>
      <c r="N234" s="139"/>
      <c r="O234" s="225"/>
      <c r="P234" s="198">
        <f t="shared" si="6625"/>
        <v>0</v>
      </c>
      <c r="Q234" s="140"/>
      <c r="R234" s="110"/>
      <c r="S234" s="137"/>
      <c r="T234" s="97"/>
      <c r="U234" s="138">
        <f t="shared" ref="U234:V234" si="6663">U175+U205</f>
        <v>0</v>
      </c>
      <c r="V234" s="110">
        <f t="shared" si="6663"/>
        <v>0</v>
      </c>
      <c r="W234" s="110"/>
      <c r="X234" s="139"/>
      <c r="Y234" s="225"/>
      <c r="Z234" s="198">
        <f t="shared" si="6625"/>
        <v>0</v>
      </c>
      <c r="AA234" s="140"/>
      <c r="AB234" s="110"/>
      <c r="AC234" s="137"/>
      <c r="AD234" s="97"/>
      <c r="AE234" s="138">
        <f t="shared" ref="AE234:AF234" si="6664">AE175+AE205</f>
        <v>0</v>
      </c>
      <c r="AF234" s="110">
        <f t="shared" si="6664"/>
        <v>0</v>
      </c>
      <c r="AG234" s="110"/>
      <c r="AH234" s="139"/>
      <c r="AI234" s="225"/>
      <c r="AJ234" s="198">
        <f t="shared" si="6625"/>
        <v>0</v>
      </c>
      <c r="AK234" s="140"/>
      <c r="AL234" s="110"/>
      <c r="AM234" s="137"/>
      <c r="AN234" s="97"/>
      <c r="AO234" s="138">
        <f t="shared" ref="AO234:AP234" si="6665">AO175+AO205</f>
        <v>0</v>
      </c>
      <c r="AP234" s="110">
        <f t="shared" si="6665"/>
        <v>0</v>
      </c>
      <c r="AQ234" s="110"/>
      <c r="AR234" s="139"/>
      <c r="AS234" s="225"/>
      <c r="AT234" s="198">
        <f t="shared" si="6625"/>
        <v>0</v>
      </c>
      <c r="AU234" s="140"/>
      <c r="AV234" s="110"/>
      <c r="AW234" s="137"/>
      <c r="AX234" s="97"/>
      <c r="AY234" s="138">
        <f t="shared" ref="AY234:AZ234" si="6666">AY175+AY205</f>
        <v>0</v>
      </c>
      <c r="AZ234" s="110">
        <f t="shared" si="6666"/>
        <v>0</v>
      </c>
      <c r="BA234" s="110"/>
      <c r="BB234" s="139"/>
      <c r="BC234" s="225"/>
      <c r="BD234" s="198">
        <f t="shared" si="6625"/>
        <v>0</v>
      </c>
      <c r="BE234" s="140"/>
      <c r="BF234" s="110"/>
      <c r="BG234" s="137"/>
      <c r="BH234" s="97"/>
      <c r="BI234" s="138">
        <f t="shared" ref="BI234:BJ234" si="6667">BI175+BI205</f>
        <v>0</v>
      </c>
      <c r="BJ234" s="110">
        <f t="shared" si="6667"/>
        <v>0</v>
      </c>
      <c r="BK234" s="110"/>
      <c r="BL234" s="139"/>
      <c r="BM234" s="225"/>
      <c r="BN234" s="198">
        <f t="shared" si="6625"/>
        <v>0</v>
      </c>
      <c r="BO234" s="140"/>
      <c r="BP234" s="110"/>
      <c r="BQ234" s="137"/>
      <c r="BR234" s="97"/>
      <c r="BS234" s="138">
        <f t="shared" ref="BS234:BT234" si="6668">BS175+BS205</f>
        <v>0</v>
      </c>
      <c r="BT234" s="110">
        <f t="shared" si="6668"/>
        <v>0</v>
      </c>
      <c r="BU234" s="110"/>
      <c r="BV234" s="139"/>
      <c r="BW234" s="225"/>
      <c r="BX234" s="198">
        <f t="shared" si="6625"/>
        <v>0</v>
      </c>
      <c r="BY234" s="140"/>
      <c r="BZ234" s="110"/>
      <c r="CA234" s="137"/>
      <c r="CB234" s="97"/>
      <c r="CC234" s="138">
        <f t="shared" ref="CC234:CD234" si="6669">CC175+CC205</f>
        <v>0</v>
      </c>
      <c r="CD234" s="110">
        <f t="shared" si="6669"/>
        <v>0</v>
      </c>
      <c r="CE234" s="110"/>
      <c r="CF234" s="139"/>
      <c r="CG234" s="225"/>
      <c r="CH234" s="198">
        <f t="shared" si="6633"/>
        <v>0</v>
      </c>
      <c r="CI234" s="140"/>
      <c r="CJ234" s="110"/>
      <c r="CK234" s="137"/>
      <c r="CL234" s="97"/>
      <c r="CM234" s="138">
        <f t="shared" ref="CM234:CN234" si="6670">CM175+CM205</f>
        <v>0</v>
      </c>
      <c r="CN234" s="110">
        <f t="shared" si="6670"/>
        <v>0</v>
      </c>
      <c r="CO234" s="110"/>
      <c r="CP234" s="139"/>
      <c r="CQ234" s="225"/>
      <c r="CR234" s="198">
        <f t="shared" si="6633"/>
        <v>0</v>
      </c>
      <c r="CS234" s="140"/>
      <c r="CT234" s="110"/>
      <c r="CU234" s="137"/>
      <c r="CV234" s="97"/>
      <c r="CW234" s="138">
        <f t="shared" ref="CW234:CX234" si="6671">CW175+CW205</f>
        <v>0</v>
      </c>
      <c r="CX234" s="110">
        <f t="shared" si="6671"/>
        <v>0</v>
      </c>
      <c r="CY234" s="110"/>
      <c r="CZ234" s="139"/>
      <c r="DA234" s="225"/>
      <c r="DB234" s="198">
        <f t="shared" si="6633"/>
        <v>0</v>
      </c>
      <c r="DC234" s="140"/>
      <c r="DD234" s="110"/>
      <c r="DE234" s="137"/>
      <c r="DF234" s="97"/>
      <c r="DG234" s="138">
        <f t="shared" ref="DG234:DH234" si="6672">DG175+DG205</f>
        <v>0</v>
      </c>
      <c r="DH234" s="110">
        <f t="shared" si="6672"/>
        <v>0</v>
      </c>
      <c r="DI234" s="110"/>
      <c r="DJ234" s="139"/>
      <c r="DK234" s="225"/>
      <c r="DL234" s="198">
        <f t="shared" si="6633"/>
        <v>0</v>
      </c>
      <c r="DM234" s="140"/>
      <c r="DN234" s="110"/>
      <c r="DO234" s="137"/>
      <c r="DP234" s="97"/>
      <c r="DQ234" s="138">
        <f t="shared" ref="DQ234:DR234" si="6673">DQ175+DQ205</f>
        <v>0</v>
      </c>
      <c r="DR234" s="110">
        <f t="shared" si="6673"/>
        <v>0</v>
      </c>
      <c r="DS234" s="110"/>
      <c r="DT234" s="139"/>
      <c r="DU234" s="225"/>
      <c r="DV234" s="198">
        <f t="shared" si="6633"/>
        <v>0</v>
      </c>
      <c r="DW234" s="140"/>
      <c r="DX234" s="110"/>
      <c r="DY234" s="137"/>
      <c r="DZ234" s="97"/>
      <c r="EA234" s="138">
        <f t="shared" ref="EA234:EB234" si="6674">EA175+EA205</f>
        <v>0</v>
      </c>
      <c r="EB234" s="110">
        <f t="shared" si="6674"/>
        <v>0</v>
      </c>
      <c r="EC234" s="110"/>
      <c r="ED234" s="139"/>
      <c r="EE234" s="225"/>
      <c r="EF234" s="198">
        <f t="shared" si="6633"/>
        <v>0</v>
      </c>
      <c r="EG234" s="140"/>
      <c r="EH234" s="110"/>
      <c r="EI234" s="137"/>
      <c r="EJ234" s="97"/>
      <c r="EK234" s="138">
        <f t="shared" ref="EK234:EL234" si="6675">EK175+EK205</f>
        <v>0</v>
      </c>
      <c r="EL234" s="110">
        <f t="shared" si="6675"/>
        <v>0</v>
      </c>
      <c r="EM234" s="110"/>
      <c r="EN234" s="139"/>
      <c r="EO234" s="225"/>
      <c r="EP234" s="198">
        <f t="shared" si="6633"/>
        <v>0</v>
      </c>
      <c r="EQ234" s="140"/>
      <c r="ER234" s="110"/>
      <c r="ES234" s="137"/>
      <c r="ET234" s="97"/>
      <c r="EU234" s="138">
        <f t="shared" ref="EU234:EV234" si="6676">EU175+EU205</f>
        <v>0</v>
      </c>
      <c r="EV234" s="110">
        <f t="shared" si="6676"/>
        <v>0</v>
      </c>
      <c r="EW234" s="110"/>
      <c r="EX234" s="139"/>
      <c r="EY234" s="225"/>
      <c r="EZ234" s="198">
        <f t="shared" si="6641"/>
        <v>0</v>
      </c>
      <c r="FA234" s="140"/>
      <c r="FB234" s="110"/>
      <c r="FC234" s="137"/>
      <c r="FD234" s="97"/>
      <c r="FE234" s="138">
        <f t="shared" ref="FE234:FF234" si="6677">FE175+FE205</f>
        <v>0</v>
      </c>
      <c r="FF234" s="110">
        <f t="shared" si="6677"/>
        <v>0</v>
      </c>
      <c r="FG234" s="110"/>
      <c r="FH234" s="139"/>
      <c r="FI234" s="225"/>
      <c r="FJ234" s="198">
        <f t="shared" si="6641"/>
        <v>0</v>
      </c>
      <c r="FK234" s="140"/>
      <c r="FL234" s="110"/>
      <c r="FM234" s="137"/>
      <c r="FN234" s="97"/>
      <c r="FO234" s="138">
        <f t="shared" ref="FO234:FP234" si="6678">FO175+FO205</f>
        <v>0</v>
      </c>
      <c r="FP234" s="110">
        <f t="shared" si="6678"/>
        <v>0</v>
      </c>
      <c r="FQ234" s="110"/>
      <c r="FR234" s="139"/>
      <c r="FS234" s="225"/>
      <c r="FT234" s="198">
        <f t="shared" si="6641"/>
        <v>0</v>
      </c>
      <c r="FU234" s="140"/>
      <c r="FV234" s="110"/>
      <c r="FW234" s="137"/>
      <c r="FX234" s="97"/>
      <c r="FY234" s="138">
        <f t="shared" ref="FY234:FZ234" si="6679">FY175+FY205</f>
        <v>0</v>
      </c>
      <c r="FZ234" s="110">
        <f t="shared" si="6679"/>
        <v>0</v>
      </c>
      <c r="GA234" s="110"/>
      <c r="GB234" s="139"/>
      <c r="GC234" s="225"/>
      <c r="GD234" s="198">
        <f t="shared" si="6641"/>
        <v>0</v>
      </c>
      <c r="GE234" s="140"/>
      <c r="GF234" s="110"/>
      <c r="GG234" s="137"/>
      <c r="GH234" s="97"/>
      <c r="GI234" s="138">
        <f t="shared" ref="GI234:GJ234" si="6680">GI175+GI205</f>
        <v>0</v>
      </c>
      <c r="GJ234" s="110">
        <f t="shared" si="6680"/>
        <v>0</v>
      </c>
      <c r="GK234" s="110"/>
      <c r="GL234" s="139"/>
      <c r="GM234" s="225"/>
      <c r="GN234" s="198">
        <f t="shared" si="6641"/>
        <v>0</v>
      </c>
      <c r="GO234" s="140"/>
      <c r="GP234" s="110"/>
      <c r="GQ234" s="137"/>
      <c r="GR234" s="97"/>
      <c r="GS234" s="138">
        <f t="shared" ref="GS234:GT234" si="6681">GS175+GS205</f>
        <v>0</v>
      </c>
      <c r="GT234" s="110">
        <f t="shared" si="6681"/>
        <v>0</v>
      </c>
      <c r="GU234" s="110"/>
      <c r="GV234" s="139"/>
      <c r="GW234" s="225"/>
      <c r="GX234" s="198">
        <f t="shared" si="6641"/>
        <v>0</v>
      </c>
      <c r="GY234" s="140"/>
      <c r="GZ234" s="110"/>
      <c r="HA234" s="137"/>
      <c r="HB234" s="97"/>
      <c r="HC234" s="138">
        <f t="shared" ref="HC234:HD234" si="6682">HC175+HC205</f>
        <v>0</v>
      </c>
      <c r="HD234" s="110">
        <f t="shared" si="6682"/>
        <v>0</v>
      </c>
      <c r="HE234" s="110"/>
      <c r="HF234" s="139"/>
      <c r="HG234" s="225"/>
      <c r="HH234" s="198">
        <f t="shared" si="6641"/>
        <v>0</v>
      </c>
      <c r="HI234" s="140"/>
      <c r="HJ234" s="110"/>
      <c r="HK234" s="137"/>
      <c r="HL234" s="97"/>
      <c r="HM234" s="138">
        <f t="shared" ref="HM234:HN234" si="6683">HM175+HM205</f>
        <v>0</v>
      </c>
      <c r="HN234" s="110">
        <f t="shared" si="6683"/>
        <v>0</v>
      </c>
      <c r="HO234" s="110"/>
      <c r="HP234" s="139"/>
      <c r="HQ234" s="225"/>
      <c r="HR234" s="198">
        <f t="shared" si="6649"/>
        <v>0</v>
      </c>
      <c r="HS234" s="140"/>
      <c r="HT234" s="110"/>
      <c r="HU234" s="137"/>
      <c r="HV234" s="97"/>
      <c r="HW234" s="138">
        <f t="shared" ref="HW234:HX234" si="6684">HW175+HW205</f>
        <v>0</v>
      </c>
      <c r="HX234" s="110">
        <f t="shared" si="6684"/>
        <v>0</v>
      </c>
      <c r="HY234" s="110"/>
      <c r="HZ234" s="139"/>
      <c r="IA234" s="225"/>
      <c r="IB234" s="198">
        <f t="shared" si="6649"/>
        <v>0</v>
      </c>
      <c r="IC234" s="140"/>
      <c r="ID234" s="110"/>
      <c r="IE234" s="137"/>
      <c r="IF234" s="97"/>
      <c r="IG234" s="138">
        <f t="shared" ref="IG234:IH234" si="6685">IG175+IG205</f>
        <v>0</v>
      </c>
      <c r="IH234" s="110">
        <f t="shared" si="6685"/>
        <v>0</v>
      </c>
      <c r="II234" s="110"/>
      <c r="IJ234" s="139"/>
      <c r="IK234" s="225"/>
      <c r="IL234" s="198">
        <f t="shared" si="6649"/>
        <v>0</v>
      </c>
      <c r="IM234" s="140"/>
      <c r="IN234" s="110"/>
      <c r="IO234" s="137"/>
      <c r="IP234" s="97"/>
      <c r="IQ234" s="138">
        <f t="shared" ref="IQ234:IR234" si="6686">IQ175+IQ205</f>
        <v>0</v>
      </c>
      <c r="IR234" s="110">
        <f t="shared" si="6686"/>
        <v>0</v>
      </c>
      <c r="IS234" s="110"/>
      <c r="IT234" s="139"/>
      <c r="IU234" s="225"/>
      <c r="IV234" s="198">
        <f t="shared" si="6649"/>
        <v>0</v>
      </c>
      <c r="IW234" s="140"/>
      <c r="IX234" s="110"/>
      <c r="IY234" s="137"/>
      <c r="IZ234" s="97"/>
      <c r="JA234" s="138">
        <f t="shared" ref="JA234:JB234" si="6687">JA175+JA205</f>
        <v>0</v>
      </c>
      <c r="JB234" s="110">
        <f t="shared" si="6687"/>
        <v>0</v>
      </c>
      <c r="JC234" s="110"/>
      <c r="JD234" s="139"/>
      <c r="JE234" s="225"/>
      <c r="JF234" s="198">
        <f t="shared" si="6649"/>
        <v>0</v>
      </c>
      <c r="JG234" s="140"/>
      <c r="JH234" s="110"/>
      <c r="JI234" s="137"/>
      <c r="JJ234" s="97"/>
      <c r="JK234" s="138">
        <f t="shared" ref="JK234:JL234" si="6688">JK175+JK205</f>
        <v>0</v>
      </c>
      <c r="JL234" s="110">
        <f t="shared" si="6688"/>
        <v>0</v>
      </c>
      <c r="JM234" s="110"/>
      <c r="JN234" s="139"/>
      <c r="JO234" s="225"/>
      <c r="JP234" s="198">
        <f t="shared" si="6649"/>
        <v>0</v>
      </c>
      <c r="JQ234" s="140"/>
      <c r="JR234" s="110"/>
      <c r="JS234" s="137"/>
      <c r="JT234" s="97"/>
      <c r="JU234" s="138">
        <f t="shared" ref="JU234:JV234" si="6689">JU175+JU205</f>
        <v>0</v>
      </c>
      <c r="JV234" s="110">
        <f t="shared" si="6689"/>
        <v>0</v>
      </c>
      <c r="JW234" s="110"/>
      <c r="JX234" s="139"/>
      <c r="JY234" s="225"/>
      <c r="JZ234" s="198">
        <f t="shared" si="6649"/>
        <v>0</v>
      </c>
      <c r="KA234" s="140"/>
      <c r="KB234" s="110"/>
      <c r="KC234" s="137"/>
      <c r="KD234" s="97"/>
      <c r="KE234" s="138">
        <f t="shared" ref="KE234:KF234" si="6690">KE175+KE205</f>
        <v>0</v>
      </c>
      <c r="KF234" s="110">
        <f t="shared" si="6690"/>
        <v>0</v>
      </c>
      <c r="KG234" s="110"/>
      <c r="KH234" s="139"/>
      <c r="KI234" s="225"/>
      <c r="KJ234" s="198">
        <f t="shared" si="6657"/>
        <v>0</v>
      </c>
      <c r="KK234" s="140"/>
      <c r="KL234" s="110"/>
      <c r="KM234" s="137"/>
      <c r="KN234" s="97"/>
      <c r="KO234" s="138">
        <f t="shared" ref="KO234:KP234" si="6691">KO175+KO205</f>
        <v>0</v>
      </c>
      <c r="KP234" s="110">
        <f t="shared" si="6691"/>
        <v>0</v>
      </c>
      <c r="KQ234" s="110"/>
      <c r="KR234" s="139"/>
      <c r="KS234" s="225"/>
      <c r="KT234" s="198">
        <f t="shared" si="6657"/>
        <v>0</v>
      </c>
      <c r="KU234" s="140"/>
      <c r="KV234" s="110"/>
      <c r="KW234" s="137"/>
      <c r="KX234" s="97"/>
      <c r="KY234" s="138">
        <f t="shared" ref="KY234:KZ234" si="6692">KY175+KY205</f>
        <v>0</v>
      </c>
      <c r="KZ234" s="110">
        <f t="shared" si="6692"/>
        <v>0</v>
      </c>
      <c r="LA234" s="110"/>
      <c r="LB234" s="139"/>
      <c r="LC234" s="225"/>
      <c r="LD234" s="198">
        <f t="shared" ref="LD234" si="6693">LD30</f>
        <v>0</v>
      </c>
      <c r="LE234" s="140"/>
      <c r="LF234" s="110"/>
      <c r="LG234" s="137"/>
      <c r="LH234" s="97"/>
      <c r="LI234" s="138">
        <f t="shared" ref="LI234:LJ234" si="6694">LI175+LI205</f>
        <v>0</v>
      </c>
      <c r="LJ234" s="110">
        <f t="shared" si="6694"/>
        <v>0</v>
      </c>
      <c r="LK234" s="110"/>
      <c r="LL234" s="139"/>
    </row>
    <row r="235" spans="1:324" ht="16.5" customHeight="1" x14ac:dyDescent="0.25">
      <c r="A235" s="245"/>
      <c r="B235" s="12" t="s">
        <v>609</v>
      </c>
      <c r="C235" s="12" t="s">
        <v>728</v>
      </c>
      <c r="D235" s="12" t="s">
        <v>430</v>
      </c>
      <c r="E235" s="4"/>
      <c r="F235" s="198">
        <f t="shared" si="6097"/>
        <v>49</v>
      </c>
      <c r="G235" s="140"/>
      <c r="H235" s="110"/>
      <c r="I235" s="137"/>
      <c r="J235" s="97"/>
      <c r="K235" s="138">
        <f t="shared" ref="K235:L235" si="6695">K176+K206</f>
        <v>1755.72783</v>
      </c>
      <c r="L235" s="110">
        <f t="shared" si="6695"/>
        <v>86030.66</v>
      </c>
      <c r="M235" s="110"/>
      <c r="N235" s="139"/>
      <c r="O235" s="225">
        <f t="shared" ref="O235:O242" si="6696">K235/$LI235</f>
        <v>0.59336999999999995</v>
      </c>
      <c r="P235" s="198">
        <f t="shared" si="6625"/>
        <v>79</v>
      </c>
      <c r="Q235" s="140"/>
      <c r="R235" s="110"/>
      <c r="S235" s="137"/>
      <c r="T235" s="97"/>
      <c r="U235" s="138">
        <f t="shared" ref="U235:V235" si="6697">U176+U206</f>
        <v>2343.5317399999999</v>
      </c>
      <c r="V235" s="110">
        <f t="shared" si="6697"/>
        <v>185139.01</v>
      </c>
      <c r="W235" s="110"/>
      <c r="X235" s="139"/>
      <c r="Y235" s="225">
        <f t="shared" ref="Y235:Y242" si="6698">U235/$LI235</f>
        <v>0.79201999999999995</v>
      </c>
      <c r="Z235" s="198">
        <f t="shared" si="6625"/>
        <v>214</v>
      </c>
      <c r="AA235" s="140"/>
      <c r="AB235" s="110"/>
      <c r="AC235" s="137"/>
      <c r="AD235" s="97"/>
      <c r="AE235" s="138">
        <f t="shared" ref="AE235:AF235" si="6699">AE176+AE206</f>
        <v>2259.8351200000002</v>
      </c>
      <c r="AF235" s="110">
        <f t="shared" si="6699"/>
        <v>483604.71</v>
      </c>
      <c r="AG235" s="110"/>
      <c r="AH235" s="139"/>
      <c r="AI235" s="225">
        <f t="shared" ref="AI235:AI242" si="6700">AE235/$LI235</f>
        <v>0.76373000000000002</v>
      </c>
      <c r="AJ235" s="198">
        <f t="shared" si="6625"/>
        <v>43</v>
      </c>
      <c r="AK235" s="140"/>
      <c r="AL235" s="110"/>
      <c r="AM235" s="137"/>
      <c r="AN235" s="97"/>
      <c r="AO235" s="138">
        <f t="shared" ref="AO235:AP235" si="6701">AO176+AO206</f>
        <v>1955.7911300000001</v>
      </c>
      <c r="AP235" s="110">
        <f t="shared" si="6701"/>
        <v>84099.02</v>
      </c>
      <c r="AQ235" s="110"/>
      <c r="AR235" s="139"/>
      <c r="AS235" s="225">
        <f t="shared" ref="AS235:AS242" si="6702">AO235/$LI235</f>
        <v>0.66098000000000001</v>
      </c>
      <c r="AT235" s="198">
        <f t="shared" si="6625"/>
        <v>54</v>
      </c>
      <c r="AU235" s="140"/>
      <c r="AV235" s="110"/>
      <c r="AW235" s="137"/>
      <c r="AX235" s="97"/>
      <c r="AY235" s="138">
        <f t="shared" ref="AY235:AZ235" si="6703">AY176+AY206</f>
        <v>1222.00432</v>
      </c>
      <c r="AZ235" s="110">
        <f t="shared" si="6703"/>
        <v>65988.23</v>
      </c>
      <c r="BA235" s="110"/>
      <c r="BB235" s="139"/>
      <c r="BC235" s="225">
        <f t="shared" ref="BC235:BC242" si="6704">AY235/$LI235</f>
        <v>0.41299000000000002</v>
      </c>
      <c r="BD235" s="198">
        <f t="shared" si="6625"/>
        <v>38</v>
      </c>
      <c r="BE235" s="140"/>
      <c r="BF235" s="110"/>
      <c r="BG235" s="137"/>
      <c r="BH235" s="97"/>
      <c r="BI235" s="138">
        <f t="shared" ref="BI235:BJ235" si="6705">BI176+BI206</f>
        <v>2182.6888100000001</v>
      </c>
      <c r="BJ235" s="110">
        <f t="shared" si="6705"/>
        <v>82942.179999999993</v>
      </c>
      <c r="BK235" s="110"/>
      <c r="BL235" s="139"/>
      <c r="BM235" s="225">
        <f t="shared" ref="BM235:BM242" si="6706">BI235/$LI235</f>
        <v>0.73765999999999998</v>
      </c>
      <c r="BN235" s="198">
        <f t="shared" si="6625"/>
        <v>51</v>
      </c>
      <c r="BO235" s="140"/>
      <c r="BP235" s="110"/>
      <c r="BQ235" s="137"/>
      <c r="BR235" s="97"/>
      <c r="BS235" s="138">
        <f t="shared" ref="BS235:BT235" si="6707">BS176+BS206</f>
        <v>2593.0681</v>
      </c>
      <c r="BT235" s="110">
        <f t="shared" si="6707"/>
        <v>132246.47</v>
      </c>
      <c r="BU235" s="110"/>
      <c r="BV235" s="139"/>
      <c r="BW235" s="225">
        <f t="shared" ref="BW235:BW242" si="6708">BS235/$LI235</f>
        <v>0.87634999999999996</v>
      </c>
      <c r="BX235" s="198">
        <f t="shared" si="6625"/>
        <v>72</v>
      </c>
      <c r="BY235" s="140"/>
      <c r="BZ235" s="110"/>
      <c r="CA235" s="137"/>
      <c r="CB235" s="97"/>
      <c r="CC235" s="138">
        <f t="shared" ref="CC235:CD235" si="6709">CC176+CC206</f>
        <v>2029.2614900000001</v>
      </c>
      <c r="CD235" s="110">
        <f t="shared" si="6709"/>
        <v>146106.82999999999</v>
      </c>
      <c r="CE235" s="110"/>
      <c r="CF235" s="139"/>
      <c r="CG235" s="225">
        <f t="shared" ref="CG235:CG242" si="6710">CC235/$LI235</f>
        <v>0.68581000000000003</v>
      </c>
      <c r="CH235" s="198">
        <f t="shared" si="6633"/>
        <v>109</v>
      </c>
      <c r="CI235" s="140"/>
      <c r="CJ235" s="110"/>
      <c r="CK235" s="137"/>
      <c r="CL235" s="97"/>
      <c r="CM235" s="138">
        <f t="shared" ref="CM235:CN235" si="6711">CM176+CM206</f>
        <v>2502.5090500000001</v>
      </c>
      <c r="CN235" s="110">
        <f t="shared" si="6711"/>
        <v>272773.49</v>
      </c>
      <c r="CO235" s="110"/>
      <c r="CP235" s="139"/>
      <c r="CQ235" s="225">
        <f t="shared" ref="CQ235:CQ242" si="6712">CM235/$LI235</f>
        <v>0.84575</v>
      </c>
      <c r="CR235" s="198">
        <f t="shared" si="6633"/>
        <v>38</v>
      </c>
      <c r="CS235" s="140"/>
      <c r="CT235" s="110"/>
      <c r="CU235" s="137"/>
      <c r="CV235" s="97"/>
      <c r="CW235" s="138">
        <f t="shared" ref="CW235:CX235" si="6713">CW176+CW206</f>
        <v>3130.2008000000001</v>
      </c>
      <c r="CX235" s="110">
        <f t="shared" si="6713"/>
        <v>118947.63</v>
      </c>
      <c r="CY235" s="110"/>
      <c r="CZ235" s="139"/>
      <c r="DA235" s="225">
        <f t="shared" ref="DA235:DA242" si="6714">CW235/$LI235</f>
        <v>1.0578799999999999</v>
      </c>
      <c r="DB235" s="198">
        <f t="shared" si="6633"/>
        <v>86</v>
      </c>
      <c r="DC235" s="140"/>
      <c r="DD235" s="110"/>
      <c r="DE235" s="137"/>
      <c r="DF235" s="97"/>
      <c r="DG235" s="138">
        <f t="shared" ref="DG235:DH235" si="6715">DG176+DG206</f>
        <v>2690.8972800000001</v>
      </c>
      <c r="DH235" s="110">
        <f t="shared" si="6715"/>
        <v>231417.17</v>
      </c>
      <c r="DI235" s="110"/>
      <c r="DJ235" s="139"/>
      <c r="DK235" s="225">
        <f t="shared" ref="DK235:DK242" si="6716">DG235/$LI235</f>
        <v>0.90942000000000001</v>
      </c>
      <c r="DL235" s="198">
        <f t="shared" si="6633"/>
        <v>0</v>
      </c>
      <c r="DM235" s="140"/>
      <c r="DN235" s="110"/>
      <c r="DO235" s="137"/>
      <c r="DP235" s="97"/>
      <c r="DQ235" s="138">
        <f t="shared" ref="DQ235:DR235" si="6717">DQ176+DQ206</f>
        <v>0</v>
      </c>
      <c r="DR235" s="110">
        <f t="shared" si="6717"/>
        <v>0</v>
      </c>
      <c r="DS235" s="110"/>
      <c r="DT235" s="139"/>
      <c r="DU235" s="225">
        <f t="shared" ref="DU235:DU242" si="6718">DQ235/$LI235</f>
        <v>0</v>
      </c>
      <c r="DV235" s="198">
        <f t="shared" si="6633"/>
        <v>49</v>
      </c>
      <c r="DW235" s="140"/>
      <c r="DX235" s="110"/>
      <c r="DY235" s="137"/>
      <c r="DZ235" s="97"/>
      <c r="EA235" s="138">
        <f t="shared" ref="EA235:EB235" si="6719">EA176+EA206</f>
        <v>2231.1089999999999</v>
      </c>
      <c r="EB235" s="110">
        <f t="shared" si="6719"/>
        <v>109324.33</v>
      </c>
      <c r="EC235" s="110"/>
      <c r="ED235" s="139"/>
      <c r="EE235" s="225">
        <f t="shared" ref="EE235:EE242" si="6720">EA235/$LI235</f>
        <v>0.75402999999999998</v>
      </c>
      <c r="EF235" s="198">
        <f t="shared" si="6633"/>
        <v>66</v>
      </c>
      <c r="EG235" s="140"/>
      <c r="EH235" s="110"/>
      <c r="EI235" s="137"/>
      <c r="EJ235" s="97"/>
      <c r="EK235" s="138">
        <f t="shared" ref="EK235:EL235" si="6721">EK176+EK206</f>
        <v>1904.8460600000001</v>
      </c>
      <c r="EL235" s="110">
        <f t="shared" si="6721"/>
        <v>125719.84</v>
      </c>
      <c r="EM235" s="110"/>
      <c r="EN235" s="139"/>
      <c r="EO235" s="225">
        <f t="shared" ref="EO235:EO242" si="6722">EK235/$LI235</f>
        <v>0.64376</v>
      </c>
      <c r="EP235" s="198">
        <f t="shared" si="6633"/>
        <v>72</v>
      </c>
      <c r="EQ235" s="140"/>
      <c r="ER235" s="110"/>
      <c r="ES235" s="137"/>
      <c r="ET235" s="97"/>
      <c r="EU235" s="138">
        <f t="shared" ref="EU235:EV235" si="6723">EU176+EU206</f>
        <v>3283.2273</v>
      </c>
      <c r="EV235" s="110">
        <f t="shared" si="6723"/>
        <v>236392.36</v>
      </c>
      <c r="EW235" s="110"/>
      <c r="EX235" s="139"/>
      <c r="EY235" s="225">
        <f t="shared" ref="EY235:EY242" si="6724">EU235/$LI235</f>
        <v>1.1095999999999999</v>
      </c>
      <c r="EZ235" s="198">
        <f t="shared" si="6641"/>
        <v>45</v>
      </c>
      <c r="FA235" s="140"/>
      <c r="FB235" s="110"/>
      <c r="FC235" s="137"/>
      <c r="FD235" s="97"/>
      <c r="FE235" s="138">
        <f t="shared" ref="FE235:FF235" si="6725">FE176+FE206</f>
        <v>1432.2150899999999</v>
      </c>
      <c r="FF235" s="110">
        <f t="shared" si="6725"/>
        <v>64449.67</v>
      </c>
      <c r="FG235" s="110"/>
      <c r="FH235" s="139"/>
      <c r="FI235" s="225">
        <f t="shared" ref="FI235:FI242" si="6726">FE235/$LI235</f>
        <v>0.48403000000000002</v>
      </c>
      <c r="FJ235" s="198">
        <f t="shared" si="6641"/>
        <v>102</v>
      </c>
      <c r="FK235" s="140"/>
      <c r="FL235" s="110"/>
      <c r="FM235" s="137"/>
      <c r="FN235" s="97"/>
      <c r="FO235" s="138">
        <f t="shared" ref="FO235:FP235" si="6727">FO176+FO206</f>
        <v>2898.2628199999999</v>
      </c>
      <c r="FP235" s="110">
        <f t="shared" si="6727"/>
        <v>295622.81</v>
      </c>
      <c r="FQ235" s="110"/>
      <c r="FR235" s="139"/>
      <c r="FS235" s="225">
        <f t="shared" ref="FS235:FS242" si="6728">FO235/$LI235</f>
        <v>0.97950000000000004</v>
      </c>
      <c r="FT235" s="198">
        <f t="shared" si="6641"/>
        <v>59</v>
      </c>
      <c r="FU235" s="140"/>
      <c r="FV235" s="110"/>
      <c r="FW235" s="137"/>
      <c r="FX235" s="97"/>
      <c r="FY235" s="138">
        <f t="shared" ref="FY235:FZ235" si="6729">FY176+FY206</f>
        <v>2763.3161500000001</v>
      </c>
      <c r="FZ235" s="110">
        <f t="shared" si="6729"/>
        <v>163035.64000000001</v>
      </c>
      <c r="GA235" s="110"/>
      <c r="GB235" s="139"/>
      <c r="GC235" s="225">
        <f t="shared" ref="GC235:GC242" si="6730">FY235/$LI235</f>
        <v>0.93389</v>
      </c>
      <c r="GD235" s="198">
        <f t="shared" si="6641"/>
        <v>34</v>
      </c>
      <c r="GE235" s="140"/>
      <c r="GF235" s="110"/>
      <c r="GG235" s="137"/>
      <c r="GH235" s="97"/>
      <c r="GI235" s="138">
        <f t="shared" ref="GI235:GJ235" si="6731">GI176+GI206</f>
        <v>2242.0657799999999</v>
      </c>
      <c r="GJ235" s="110">
        <f t="shared" si="6731"/>
        <v>76230.240000000005</v>
      </c>
      <c r="GK235" s="110"/>
      <c r="GL235" s="139"/>
      <c r="GM235" s="225">
        <f t="shared" ref="GM235:GM242" si="6732">GI235/$LI235</f>
        <v>0.75773000000000001</v>
      </c>
      <c r="GN235" s="198">
        <f t="shared" si="6641"/>
        <v>86</v>
      </c>
      <c r="GO235" s="140"/>
      <c r="GP235" s="110"/>
      <c r="GQ235" s="137"/>
      <c r="GR235" s="97"/>
      <c r="GS235" s="138">
        <f t="shared" ref="GS235:GT235" si="6733">GS176+GS206</f>
        <v>3817.1816100000001</v>
      </c>
      <c r="GT235" s="110">
        <f t="shared" si="6733"/>
        <v>328277.63</v>
      </c>
      <c r="GU235" s="110"/>
      <c r="GV235" s="139"/>
      <c r="GW235" s="225">
        <f t="shared" ref="GW235:GW242" si="6734">GS235/$LI235</f>
        <v>1.29006</v>
      </c>
      <c r="GX235" s="198">
        <f t="shared" si="6641"/>
        <v>164</v>
      </c>
      <c r="GY235" s="140"/>
      <c r="GZ235" s="110"/>
      <c r="HA235" s="137"/>
      <c r="HB235" s="97"/>
      <c r="HC235" s="138">
        <f t="shared" ref="HC235:HD235" si="6735">HC176+HC206</f>
        <v>2359.13519</v>
      </c>
      <c r="HD235" s="110">
        <f t="shared" si="6735"/>
        <v>386898.18</v>
      </c>
      <c r="HE235" s="110"/>
      <c r="HF235" s="139"/>
      <c r="HG235" s="225">
        <f t="shared" ref="HG235:HG242" si="6736">HC235/$LI235</f>
        <v>0.79729000000000005</v>
      </c>
      <c r="HH235" s="198">
        <f t="shared" si="6641"/>
        <v>57</v>
      </c>
      <c r="HI235" s="140"/>
      <c r="HJ235" s="110"/>
      <c r="HK235" s="137"/>
      <c r="HL235" s="97"/>
      <c r="HM235" s="138">
        <f t="shared" ref="HM235:HN235" si="6737">HM176+HM206</f>
        <v>2542.8848499999999</v>
      </c>
      <c r="HN235" s="110">
        <f t="shared" si="6737"/>
        <v>144944.45000000001</v>
      </c>
      <c r="HO235" s="110"/>
      <c r="HP235" s="139"/>
      <c r="HQ235" s="225">
        <f t="shared" ref="HQ235:HQ242" si="6738">HM235/$LI235</f>
        <v>0.85938999999999999</v>
      </c>
      <c r="HR235" s="198">
        <f t="shared" si="6649"/>
        <v>50</v>
      </c>
      <c r="HS235" s="140"/>
      <c r="HT235" s="110"/>
      <c r="HU235" s="137"/>
      <c r="HV235" s="97"/>
      <c r="HW235" s="138">
        <f t="shared" ref="HW235:HX235" si="6739">HW176+HW206</f>
        <v>3349.39723</v>
      </c>
      <c r="HX235" s="110">
        <f t="shared" si="6739"/>
        <v>167469.87</v>
      </c>
      <c r="HY235" s="110"/>
      <c r="HZ235" s="139"/>
      <c r="IA235" s="225">
        <f t="shared" ref="IA235:IA242" si="6740">HW235/$LI235</f>
        <v>1.1319600000000001</v>
      </c>
      <c r="IB235" s="198">
        <f t="shared" si="6649"/>
        <v>29</v>
      </c>
      <c r="IC235" s="140"/>
      <c r="ID235" s="110"/>
      <c r="IE235" s="137"/>
      <c r="IF235" s="97"/>
      <c r="IG235" s="138">
        <f t="shared" ref="IG235:IH235" si="6741">IG176+IG206</f>
        <v>4693.7243399999998</v>
      </c>
      <c r="IH235" s="110">
        <f t="shared" si="6741"/>
        <v>136118</v>
      </c>
      <c r="II235" s="110"/>
      <c r="IJ235" s="139"/>
      <c r="IK235" s="225">
        <f t="shared" ref="IK235:IK242" si="6742">IG235/$LI235</f>
        <v>1.58629</v>
      </c>
      <c r="IL235" s="198">
        <f t="shared" si="6649"/>
        <v>72</v>
      </c>
      <c r="IM235" s="140"/>
      <c r="IN235" s="110"/>
      <c r="IO235" s="137"/>
      <c r="IP235" s="97"/>
      <c r="IQ235" s="138">
        <f t="shared" ref="IQ235:IR235" si="6743">IQ176+IQ206</f>
        <v>1999.63184</v>
      </c>
      <c r="IR235" s="110">
        <f t="shared" si="6743"/>
        <v>143973.5</v>
      </c>
      <c r="IS235" s="110"/>
      <c r="IT235" s="139"/>
      <c r="IU235" s="225">
        <f t="shared" ref="IU235:IU242" si="6744">IQ235/$LI235</f>
        <v>0.67579999999999996</v>
      </c>
      <c r="IV235" s="198">
        <f t="shared" si="6649"/>
        <v>42</v>
      </c>
      <c r="IW235" s="140"/>
      <c r="IX235" s="110"/>
      <c r="IY235" s="137"/>
      <c r="IZ235" s="97"/>
      <c r="JA235" s="138">
        <f t="shared" ref="JA235:JB235" si="6745">JA176+JA206</f>
        <v>2915.0039000000002</v>
      </c>
      <c r="JB235" s="110">
        <f t="shared" si="6745"/>
        <v>122430.17</v>
      </c>
      <c r="JC235" s="110"/>
      <c r="JD235" s="139"/>
      <c r="JE235" s="225">
        <f t="shared" ref="JE235:JE242" si="6746">JA235/$LI235</f>
        <v>0.98516000000000004</v>
      </c>
      <c r="JF235" s="198">
        <f t="shared" si="6649"/>
        <v>105</v>
      </c>
      <c r="JG235" s="140"/>
      <c r="JH235" s="110"/>
      <c r="JI235" s="137"/>
      <c r="JJ235" s="97"/>
      <c r="JK235" s="138">
        <f t="shared" ref="JK235:JL235" si="6747">JK176+JK206</f>
        <v>2866.4548500000001</v>
      </c>
      <c r="JL235" s="110">
        <f t="shared" si="6747"/>
        <v>300977.76</v>
      </c>
      <c r="JM235" s="110"/>
      <c r="JN235" s="139"/>
      <c r="JO235" s="225">
        <f t="shared" ref="JO235:JO242" si="6748">JK235/$LI235</f>
        <v>0.96875</v>
      </c>
      <c r="JP235" s="198">
        <f t="shared" si="6649"/>
        <v>45</v>
      </c>
      <c r="JQ235" s="140"/>
      <c r="JR235" s="110"/>
      <c r="JS235" s="137"/>
      <c r="JT235" s="97"/>
      <c r="JU235" s="138">
        <f t="shared" ref="JU235:JV235" si="6749">JU176+JU206</f>
        <v>3091.8497200000002</v>
      </c>
      <c r="JV235" s="110">
        <f t="shared" si="6749"/>
        <v>139133.24</v>
      </c>
      <c r="JW235" s="110"/>
      <c r="JX235" s="139"/>
      <c r="JY235" s="225">
        <f t="shared" ref="JY235:JY242" si="6750">JU235/$LI235</f>
        <v>1.0449200000000001</v>
      </c>
      <c r="JZ235" s="198">
        <f t="shared" si="6649"/>
        <v>120</v>
      </c>
      <c r="KA235" s="140"/>
      <c r="KB235" s="110"/>
      <c r="KC235" s="137"/>
      <c r="KD235" s="97"/>
      <c r="KE235" s="138">
        <f t="shared" ref="KE235:KF235" si="6751">KE176+KE206</f>
        <v>3395.8787200000002</v>
      </c>
      <c r="KF235" s="110">
        <f t="shared" si="6751"/>
        <v>407505.46</v>
      </c>
      <c r="KG235" s="110"/>
      <c r="KH235" s="139"/>
      <c r="KI235" s="225">
        <f t="shared" ref="KI235:KI242" si="6752">KE235/$LI235</f>
        <v>1.14767</v>
      </c>
      <c r="KJ235" s="198">
        <f t="shared" si="6657"/>
        <v>143</v>
      </c>
      <c r="KK235" s="140"/>
      <c r="KL235" s="110"/>
      <c r="KM235" s="137"/>
      <c r="KN235" s="97"/>
      <c r="KO235" s="138">
        <f t="shared" ref="KO235:KP235" si="6753">KO176+KO206</f>
        <v>2286.5966600000002</v>
      </c>
      <c r="KP235" s="110">
        <f t="shared" si="6753"/>
        <v>326983.32</v>
      </c>
      <c r="KQ235" s="110"/>
      <c r="KR235" s="139"/>
      <c r="KS235" s="225">
        <f t="shared" ref="KS235:KS242" si="6754">KO235/$LI235</f>
        <v>0.77278000000000002</v>
      </c>
      <c r="KT235" s="198">
        <f t="shared" si="6657"/>
        <v>56</v>
      </c>
      <c r="KU235" s="140"/>
      <c r="KV235" s="110"/>
      <c r="KW235" s="137"/>
      <c r="KX235" s="97"/>
      <c r="KY235" s="138">
        <f t="shared" ref="KY235:KZ235" si="6755">KY176+KY206</f>
        <v>12586.331190000001</v>
      </c>
      <c r="KZ235" s="110">
        <f t="shared" si="6755"/>
        <v>704834.55</v>
      </c>
      <c r="LA235" s="110"/>
      <c r="LB235" s="139"/>
      <c r="LC235" s="225">
        <f t="shared" ref="LC235:LC242" si="6756">KY235/$LI235</f>
        <v>4.2536800000000001</v>
      </c>
      <c r="LD235" s="198">
        <f t="shared" ref="LD235" si="6757">LD31</f>
        <v>2229</v>
      </c>
      <c r="LE235" s="140"/>
      <c r="LF235" s="110"/>
      <c r="LG235" s="137"/>
      <c r="LH235" s="97"/>
      <c r="LI235" s="138">
        <f t="shared" ref="LI235:LJ235" si="6758">LI176+LI206</f>
        <v>2958.92704</v>
      </c>
      <c r="LJ235" s="110">
        <f t="shared" si="6758"/>
        <v>6595448.3700000001</v>
      </c>
      <c r="LK235" s="110"/>
      <c r="LL235" s="139"/>
    </row>
    <row r="236" spans="1:324" ht="16.5" hidden="1" customHeight="1" x14ac:dyDescent="0.25">
      <c r="A236" s="246"/>
      <c r="B236" s="92" t="s">
        <v>610</v>
      </c>
      <c r="C236" s="12" t="s">
        <v>728</v>
      </c>
      <c r="D236" s="12" t="s">
        <v>430</v>
      </c>
      <c r="E236" s="4"/>
      <c r="F236" s="198">
        <f t="shared" si="6097"/>
        <v>0</v>
      </c>
      <c r="G236" s="140"/>
      <c r="H236" s="110"/>
      <c r="I236" s="137"/>
      <c r="J236" s="97"/>
      <c r="K236" s="138">
        <f t="shared" ref="K236:L236" si="6759">K177+K207</f>
        <v>0</v>
      </c>
      <c r="L236" s="110">
        <f t="shared" si="6759"/>
        <v>0</v>
      </c>
      <c r="M236" s="110"/>
      <c r="N236" s="139"/>
      <c r="O236" s="225" t="e">
        <f t="shared" si="6696"/>
        <v>#DIV/0!</v>
      </c>
      <c r="P236" s="198">
        <f t="shared" si="6625"/>
        <v>0</v>
      </c>
      <c r="Q236" s="140"/>
      <c r="R236" s="110"/>
      <c r="S236" s="137"/>
      <c r="T236" s="97"/>
      <c r="U236" s="138">
        <f t="shared" ref="U236:V236" si="6760">U177+U207</f>
        <v>0</v>
      </c>
      <c r="V236" s="110">
        <f t="shared" si="6760"/>
        <v>0</v>
      </c>
      <c r="W236" s="110"/>
      <c r="X236" s="139"/>
      <c r="Y236" s="225" t="e">
        <f t="shared" si="6698"/>
        <v>#DIV/0!</v>
      </c>
      <c r="Z236" s="198">
        <f t="shared" si="6625"/>
        <v>0</v>
      </c>
      <c r="AA236" s="140"/>
      <c r="AB236" s="110"/>
      <c r="AC236" s="137"/>
      <c r="AD236" s="97"/>
      <c r="AE236" s="138">
        <f t="shared" ref="AE236:AF236" si="6761">AE177+AE207</f>
        <v>0</v>
      </c>
      <c r="AF236" s="110">
        <f t="shared" si="6761"/>
        <v>0</v>
      </c>
      <c r="AG236" s="110"/>
      <c r="AH236" s="139"/>
      <c r="AI236" s="225" t="e">
        <f t="shared" si="6700"/>
        <v>#DIV/0!</v>
      </c>
      <c r="AJ236" s="198">
        <f t="shared" si="6625"/>
        <v>0</v>
      </c>
      <c r="AK236" s="140"/>
      <c r="AL236" s="110"/>
      <c r="AM236" s="137"/>
      <c r="AN236" s="97"/>
      <c r="AO236" s="138">
        <f t="shared" ref="AO236:AP236" si="6762">AO177+AO207</f>
        <v>0</v>
      </c>
      <c r="AP236" s="110">
        <f t="shared" si="6762"/>
        <v>0</v>
      </c>
      <c r="AQ236" s="110"/>
      <c r="AR236" s="139"/>
      <c r="AS236" s="225" t="e">
        <f t="shared" si="6702"/>
        <v>#DIV/0!</v>
      </c>
      <c r="AT236" s="198">
        <f t="shared" si="6625"/>
        <v>0</v>
      </c>
      <c r="AU236" s="140"/>
      <c r="AV236" s="110"/>
      <c r="AW236" s="137"/>
      <c r="AX236" s="97"/>
      <c r="AY236" s="138">
        <f t="shared" ref="AY236:AZ236" si="6763">AY177+AY207</f>
        <v>0</v>
      </c>
      <c r="AZ236" s="110">
        <f t="shared" si="6763"/>
        <v>0</v>
      </c>
      <c r="BA236" s="110"/>
      <c r="BB236" s="139"/>
      <c r="BC236" s="225" t="e">
        <f t="shared" si="6704"/>
        <v>#DIV/0!</v>
      </c>
      <c r="BD236" s="198">
        <f t="shared" si="6625"/>
        <v>0</v>
      </c>
      <c r="BE236" s="140"/>
      <c r="BF236" s="110"/>
      <c r="BG236" s="137"/>
      <c r="BH236" s="97"/>
      <c r="BI236" s="138">
        <f t="shared" ref="BI236:BJ236" si="6764">BI177+BI207</f>
        <v>0</v>
      </c>
      <c r="BJ236" s="110">
        <f t="shared" si="6764"/>
        <v>0</v>
      </c>
      <c r="BK236" s="110"/>
      <c r="BL236" s="139"/>
      <c r="BM236" s="225" t="e">
        <f t="shared" si="6706"/>
        <v>#DIV/0!</v>
      </c>
      <c r="BN236" s="198">
        <f t="shared" si="6625"/>
        <v>0</v>
      </c>
      <c r="BO236" s="140"/>
      <c r="BP236" s="110"/>
      <c r="BQ236" s="137"/>
      <c r="BR236" s="97"/>
      <c r="BS236" s="138">
        <f t="shared" ref="BS236:BT236" si="6765">BS177+BS207</f>
        <v>0</v>
      </c>
      <c r="BT236" s="110">
        <f t="shared" si="6765"/>
        <v>0</v>
      </c>
      <c r="BU236" s="110"/>
      <c r="BV236" s="139"/>
      <c r="BW236" s="225" t="e">
        <f t="shared" si="6708"/>
        <v>#DIV/0!</v>
      </c>
      <c r="BX236" s="198">
        <f t="shared" si="6625"/>
        <v>0</v>
      </c>
      <c r="BY236" s="140"/>
      <c r="BZ236" s="110"/>
      <c r="CA236" s="137"/>
      <c r="CB236" s="97"/>
      <c r="CC236" s="138">
        <f t="shared" ref="CC236:CD236" si="6766">CC177+CC207</f>
        <v>0</v>
      </c>
      <c r="CD236" s="110">
        <f t="shared" si="6766"/>
        <v>0</v>
      </c>
      <c r="CE236" s="110"/>
      <c r="CF236" s="139"/>
      <c r="CG236" s="225" t="e">
        <f t="shared" si="6710"/>
        <v>#DIV/0!</v>
      </c>
      <c r="CH236" s="198">
        <f t="shared" si="6633"/>
        <v>0</v>
      </c>
      <c r="CI236" s="140"/>
      <c r="CJ236" s="110"/>
      <c r="CK236" s="137"/>
      <c r="CL236" s="97"/>
      <c r="CM236" s="138">
        <f t="shared" ref="CM236:CN236" si="6767">CM177+CM207</f>
        <v>0</v>
      </c>
      <c r="CN236" s="110">
        <f t="shared" si="6767"/>
        <v>0</v>
      </c>
      <c r="CO236" s="110"/>
      <c r="CP236" s="139"/>
      <c r="CQ236" s="225" t="e">
        <f t="shared" si="6712"/>
        <v>#DIV/0!</v>
      </c>
      <c r="CR236" s="198">
        <f t="shared" si="6633"/>
        <v>0</v>
      </c>
      <c r="CS236" s="140"/>
      <c r="CT236" s="110"/>
      <c r="CU236" s="137"/>
      <c r="CV236" s="97"/>
      <c r="CW236" s="138">
        <f t="shared" ref="CW236:CX236" si="6768">CW177+CW207</f>
        <v>0</v>
      </c>
      <c r="CX236" s="110">
        <f t="shared" si="6768"/>
        <v>0</v>
      </c>
      <c r="CY236" s="110"/>
      <c r="CZ236" s="139"/>
      <c r="DA236" s="225" t="e">
        <f t="shared" si="6714"/>
        <v>#DIV/0!</v>
      </c>
      <c r="DB236" s="198">
        <f t="shared" si="6633"/>
        <v>0</v>
      </c>
      <c r="DC236" s="140"/>
      <c r="DD236" s="110"/>
      <c r="DE236" s="137"/>
      <c r="DF236" s="97"/>
      <c r="DG236" s="138">
        <f t="shared" ref="DG236:DH236" si="6769">DG177+DG207</f>
        <v>0</v>
      </c>
      <c r="DH236" s="110">
        <f t="shared" si="6769"/>
        <v>0</v>
      </c>
      <c r="DI236" s="110"/>
      <c r="DJ236" s="139"/>
      <c r="DK236" s="225" t="e">
        <f t="shared" si="6716"/>
        <v>#DIV/0!</v>
      </c>
      <c r="DL236" s="198">
        <f t="shared" si="6633"/>
        <v>0</v>
      </c>
      <c r="DM236" s="140"/>
      <c r="DN236" s="110"/>
      <c r="DO236" s="137"/>
      <c r="DP236" s="97"/>
      <c r="DQ236" s="138">
        <f t="shared" ref="DQ236:DR236" si="6770">DQ177+DQ207</f>
        <v>0</v>
      </c>
      <c r="DR236" s="110">
        <f t="shared" si="6770"/>
        <v>0</v>
      </c>
      <c r="DS236" s="110"/>
      <c r="DT236" s="139"/>
      <c r="DU236" s="225" t="e">
        <f t="shared" si="6718"/>
        <v>#DIV/0!</v>
      </c>
      <c r="DV236" s="198">
        <f t="shared" si="6633"/>
        <v>0</v>
      </c>
      <c r="DW236" s="140"/>
      <c r="DX236" s="110"/>
      <c r="DY236" s="137"/>
      <c r="DZ236" s="97"/>
      <c r="EA236" s="138">
        <f t="shared" ref="EA236:EB236" si="6771">EA177+EA207</f>
        <v>0</v>
      </c>
      <c r="EB236" s="110">
        <f t="shared" si="6771"/>
        <v>0</v>
      </c>
      <c r="EC236" s="110"/>
      <c r="ED236" s="139"/>
      <c r="EE236" s="225" t="e">
        <f t="shared" si="6720"/>
        <v>#DIV/0!</v>
      </c>
      <c r="EF236" s="198">
        <f t="shared" si="6633"/>
        <v>0</v>
      </c>
      <c r="EG236" s="140"/>
      <c r="EH236" s="110"/>
      <c r="EI236" s="137"/>
      <c r="EJ236" s="97"/>
      <c r="EK236" s="138">
        <f t="shared" ref="EK236:EL236" si="6772">EK177+EK207</f>
        <v>0</v>
      </c>
      <c r="EL236" s="110">
        <f t="shared" si="6772"/>
        <v>0</v>
      </c>
      <c r="EM236" s="110"/>
      <c r="EN236" s="139"/>
      <c r="EO236" s="225" t="e">
        <f t="shared" si="6722"/>
        <v>#DIV/0!</v>
      </c>
      <c r="EP236" s="198">
        <f t="shared" si="6633"/>
        <v>0</v>
      </c>
      <c r="EQ236" s="140"/>
      <c r="ER236" s="110"/>
      <c r="ES236" s="137"/>
      <c r="ET236" s="97"/>
      <c r="EU236" s="138">
        <f t="shared" ref="EU236:EV236" si="6773">EU177+EU207</f>
        <v>0</v>
      </c>
      <c r="EV236" s="110">
        <f t="shared" si="6773"/>
        <v>0</v>
      </c>
      <c r="EW236" s="110"/>
      <c r="EX236" s="139"/>
      <c r="EY236" s="225" t="e">
        <f t="shared" si="6724"/>
        <v>#DIV/0!</v>
      </c>
      <c r="EZ236" s="198">
        <f t="shared" si="6641"/>
        <v>0</v>
      </c>
      <c r="FA236" s="140"/>
      <c r="FB236" s="110"/>
      <c r="FC236" s="137"/>
      <c r="FD236" s="97"/>
      <c r="FE236" s="138">
        <f t="shared" ref="FE236:FF236" si="6774">FE177+FE207</f>
        <v>0</v>
      </c>
      <c r="FF236" s="110">
        <f t="shared" si="6774"/>
        <v>0</v>
      </c>
      <c r="FG236" s="110"/>
      <c r="FH236" s="139"/>
      <c r="FI236" s="225" t="e">
        <f t="shared" si="6726"/>
        <v>#DIV/0!</v>
      </c>
      <c r="FJ236" s="198">
        <f t="shared" si="6641"/>
        <v>0</v>
      </c>
      <c r="FK236" s="140"/>
      <c r="FL236" s="110"/>
      <c r="FM236" s="137"/>
      <c r="FN236" s="97"/>
      <c r="FO236" s="138">
        <f t="shared" ref="FO236:FP236" si="6775">FO177+FO207</f>
        <v>0</v>
      </c>
      <c r="FP236" s="110">
        <f t="shared" si="6775"/>
        <v>0</v>
      </c>
      <c r="FQ236" s="110"/>
      <c r="FR236" s="139"/>
      <c r="FS236" s="225" t="e">
        <f t="shared" si="6728"/>
        <v>#DIV/0!</v>
      </c>
      <c r="FT236" s="198">
        <f t="shared" si="6641"/>
        <v>0</v>
      </c>
      <c r="FU236" s="140"/>
      <c r="FV236" s="110"/>
      <c r="FW236" s="137"/>
      <c r="FX236" s="97"/>
      <c r="FY236" s="138">
        <f t="shared" ref="FY236:FZ236" si="6776">FY177+FY207</f>
        <v>0</v>
      </c>
      <c r="FZ236" s="110">
        <f t="shared" si="6776"/>
        <v>0</v>
      </c>
      <c r="GA236" s="110"/>
      <c r="GB236" s="139"/>
      <c r="GC236" s="225" t="e">
        <f t="shared" si="6730"/>
        <v>#DIV/0!</v>
      </c>
      <c r="GD236" s="198">
        <f t="shared" si="6641"/>
        <v>0</v>
      </c>
      <c r="GE236" s="140"/>
      <c r="GF236" s="110"/>
      <c r="GG236" s="137"/>
      <c r="GH236" s="97"/>
      <c r="GI236" s="138">
        <f t="shared" ref="GI236:GJ236" si="6777">GI177+GI207</f>
        <v>0</v>
      </c>
      <c r="GJ236" s="110">
        <f t="shared" si="6777"/>
        <v>0</v>
      </c>
      <c r="GK236" s="110"/>
      <c r="GL236" s="139"/>
      <c r="GM236" s="225" t="e">
        <f t="shared" si="6732"/>
        <v>#DIV/0!</v>
      </c>
      <c r="GN236" s="198">
        <f t="shared" si="6641"/>
        <v>0</v>
      </c>
      <c r="GO236" s="140"/>
      <c r="GP236" s="110"/>
      <c r="GQ236" s="137"/>
      <c r="GR236" s="97"/>
      <c r="GS236" s="138">
        <f t="shared" ref="GS236:GT236" si="6778">GS177+GS207</f>
        <v>0</v>
      </c>
      <c r="GT236" s="110">
        <f t="shared" si="6778"/>
        <v>0</v>
      </c>
      <c r="GU236" s="110"/>
      <c r="GV236" s="139"/>
      <c r="GW236" s="225" t="e">
        <f t="shared" si="6734"/>
        <v>#DIV/0!</v>
      </c>
      <c r="GX236" s="198">
        <f t="shared" si="6641"/>
        <v>0</v>
      </c>
      <c r="GY236" s="140"/>
      <c r="GZ236" s="110"/>
      <c r="HA236" s="137"/>
      <c r="HB236" s="97"/>
      <c r="HC236" s="138">
        <f t="shared" ref="HC236:HD236" si="6779">HC177+HC207</f>
        <v>0</v>
      </c>
      <c r="HD236" s="110">
        <f t="shared" si="6779"/>
        <v>0</v>
      </c>
      <c r="HE236" s="110"/>
      <c r="HF236" s="139"/>
      <c r="HG236" s="225" t="e">
        <f t="shared" si="6736"/>
        <v>#DIV/0!</v>
      </c>
      <c r="HH236" s="198">
        <f t="shared" si="6641"/>
        <v>0</v>
      </c>
      <c r="HI236" s="140"/>
      <c r="HJ236" s="110"/>
      <c r="HK236" s="137"/>
      <c r="HL236" s="97"/>
      <c r="HM236" s="138">
        <f t="shared" ref="HM236:HN236" si="6780">HM177+HM207</f>
        <v>0</v>
      </c>
      <c r="HN236" s="110">
        <f t="shared" si="6780"/>
        <v>0</v>
      </c>
      <c r="HO236" s="110"/>
      <c r="HP236" s="139"/>
      <c r="HQ236" s="225" t="e">
        <f t="shared" si="6738"/>
        <v>#DIV/0!</v>
      </c>
      <c r="HR236" s="198">
        <f t="shared" si="6649"/>
        <v>0</v>
      </c>
      <c r="HS236" s="140"/>
      <c r="HT236" s="110"/>
      <c r="HU236" s="137"/>
      <c r="HV236" s="97"/>
      <c r="HW236" s="138">
        <f t="shared" ref="HW236:HX236" si="6781">HW177+HW207</f>
        <v>0</v>
      </c>
      <c r="HX236" s="110">
        <f t="shared" si="6781"/>
        <v>0</v>
      </c>
      <c r="HY236" s="110"/>
      <c r="HZ236" s="139"/>
      <c r="IA236" s="225" t="e">
        <f t="shared" si="6740"/>
        <v>#DIV/0!</v>
      </c>
      <c r="IB236" s="198">
        <f t="shared" si="6649"/>
        <v>0</v>
      </c>
      <c r="IC236" s="140"/>
      <c r="ID236" s="110"/>
      <c r="IE236" s="137"/>
      <c r="IF236" s="97"/>
      <c r="IG236" s="138">
        <f t="shared" ref="IG236:IH236" si="6782">IG177+IG207</f>
        <v>0</v>
      </c>
      <c r="IH236" s="110">
        <f t="shared" si="6782"/>
        <v>0</v>
      </c>
      <c r="II236" s="110"/>
      <c r="IJ236" s="139"/>
      <c r="IK236" s="225" t="e">
        <f t="shared" si="6742"/>
        <v>#DIV/0!</v>
      </c>
      <c r="IL236" s="198">
        <f t="shared" si="6649"/>
        <v>0</v>
      </c>
      <c r="IM236" s="140"/>
      <c r="IN236" s="110"/>
      <c r="IO236" s="137"/>
      <c r="IP236" s="97"/>
      <c r="IQ236" s="138">
        <f t="shared" ref="IQ236:IR236" si="6783">IQ177+IQ207</f>
        <v>0</v>
      </c>
      <c r="IR236" s="110">
        <f t="shared" si="6783"/>
        <v>0</v>
      </c>
      <c r="IS236" s="110"/>
      <c r="IT236" s="139"/>
      <c r="IU236" s="225" t="e">
        <f t="shared" si="6744"/>
        <v>#DIV/0!</v>
      </c>
      <c r="IV236" s="198">
        <f t="shared" si="6649"/>
        <v>0</v>
      </c>
      <c r="IW236" s="140"/>
      <c r="IX236" s="110"/>
      <c r="IY236" s="137"/>
      <c r="IZ236" s="97"/>
      <c r="JA236" s="138">
        <f t="shared" ref="JA236:JB236" si="6784">JA177+JA207</f>
        <v>0</v>
      </c>
      <c r="JB236" s="110">
        <f t="shared" si="6784"/>
        <v>0</v>
      </c>
      <c r="JC236" s="110"/>
      <c r="JD236" s="139"/>
      <c r="JE236" s="225" t="e">
        <f t="shared" si="6746"/>
        <v>#DIV/0!</v>
      </c>
      <c r="JF236" s="198">
        <f t="shared" si="6649"/>
        <v>0</v>
      </c>
      <c r="JG236" s="140"/>
      <c r="JH236" s="110"/>
      <c r="JI236" s="137"/>
      <c r="JJ236" s="97"/>
      <c r="JK236" s="138">
        <f t="shared" ref="JK236:JL236" si="6785">JK177+JK207</f>
        <v>0</v>
      </c>
      <c r="JL236" s="110">
        <f t="shared" si="6785"/>
        <v>0</v>
      </c>
      <c r="JM236" s="110"/>
      <c r="JN236" s="139"/>
      <c r="JO236" s="225" t="e">
        <f t="shared" si="6748"/>
        <v>#DIV/0!</v>
      </c>
      <c r="JP236" s="198">
        <f t="shared" si="6649"/>
        <v>0</v>
      </c>
      <c r="JQ236" s="140"/>
      <c r="JR236" s="110"/>
      <c r="JS236" s="137"/>
      <c r="JT236" s="97"/>
      <c r="JU236" s="138">
        <f t="shared" ref="JU236:JV236" si="6786">JU177+JU207</f>
        <v>0</v>
      </c>
      <c r="JV236" s="110">
        <f t="shared" si="6786"/>
        <v>0</v>
      </c>
      <c r="JW236" s="110"/>
      <c r="JX236" s="139"/>
      <c r="JY236" s="225" t="e">
        <f t="shared" si="6750"/>
        <v>#DIV/0!</v>
      </c>
      <c r="JZ236" s="198">
        <f t="shared" si="6649"/>
        <v>0</v>
      </c>
      <c r="KA236" s="140"/>
      <c r="KB236" s="110"/>
      <c r="KC236" s="137"/>
      <c r="KD236" s="97"/>
      <c r="KE236" s="138">
        <f t="shared" ref="KE236:KF236" si="6787">KE177+KE207</f>
        <v>0</v>
      </c>
      <c r="KF236" s="110">
        <f t="shared" si="6787"/>
        <v>0</v>
      </c>
      <c r="KG236" s="110"/>
      <c r="KH236" s="139"/>
      <c r="KI236" s="225" t="e">
        <f t="shared" si="6752"/>
        <v>#DIV/0!</v>
      </c>
      <c r="KJ236" s="198">
        <f t="shared" si="6657"/>
        <v>0</v>
      </c>
      <c r="KK236" s="140"/>
      <c r="KL236" s="110"/>
      <c r="KM236" s="137"/>
      <c r="KN236" s="97"/>
      <c r="KO236" s="138">
        <f t="shared" ref="KO236:KP236" si="6788">KO177+KO207</f>
        <v>0</v>
      </c>
      <c r="KP236" s="110">
        <f t="shared" si="6788"/>
        <v>0</v>
      </c>
      <c r="KQ236" s="110"/>
      <c r="KR236" s="139"/>
      <c r="KS236" s="225" t="e">
        <f t="shared" si="6754"/>
        <v>#DIV/0!</v>
      </c>
      <c r="KT236" s="198">
        <f t="shared" si="6657"/>
        <v>0</v>
      </c>
      <c r="KU236" s="140"/>
      <c r="KV236" s="110"/>
      <c r="KW236" s="137"/>
      <c r="KX236" s="97"/>
      <c r="KY236" s="138">
        <f t="shared" ref="KY236:KZ236" si="6789">KY177+KY207</f>
        <v>0</v>
      </c>
      <c r="KZ236" s="110">
        <f t="shared" si="6789"/>
        <v>0</v>
      </c>
      <c r="LA236" s="110"/>
      <c r="LB236" s="139"/>
      <c r="LC236" s="225" t="e">
        <f t="shared" si="6756"/>
        <v>#DIV/0!</v>
      </c>
      <c r="LD236" s="198">
        <f t="shared" ref="LD236" si="6790">LD32</f>
        <v>0</v>
      </c>
      <c r="LE236" s="140"/>
      <c r="LF236" s="110"/>
      <c r="LG236" s="137"/>
      <c r="LH236" s="97"/>
      <c r="LI236" s="138">
        <f t="shared" ref="LI236:LJ236" si="6791">LI177+LI207</f>
        <v>0</v>
      </c>
      <c r="LJ236" s="110">
        <f t="shared" si="6791"/>
        <v>0</v>
      </c>
      <c r="LK236" s="110"/>
      <c r="LL236" s="139"/>
    </row>
    <row r="237" spans="1:324" ht="16.5" hidden="1" customHeight="1" x14ac:dyDescent="0.25">
      <c r="A237" s="246"/>
      <c r="B237" s="92" t="s">
        <v>625</v>
      </c>
      <c r="C237" s="12" t="s">
        <v>728</v>
      </c>
      <c r="D237" s="12" t="s">
        <v>430</v>
      </c>
      <c r="E237" s="4"/>
      <c r="F237" s="198">
        <f t="shared" si="6097"/>
        <v>0</v>
      </c>
      <c r="G237" s="140"/>
      <c r="H237" s="110"/>
      <c r="I237" s="137"/>
      <c r="J237" s="97"/>
      <c r="K237" s="138">
        <f t="shared" ref="K237:L237" si="6792">K178+K208</f>
        <v>0</v>
      </c>
      <c r="L237" s="110">
        <f t="shared" si="6792"/>
        <v>0</v>
      </c>
      <c r="M237" s="110"/>
      <c r="N237" s="139"/>
      <c r="O237" s="225" t="e">
        <f t="shared" si="6696"/>
        <v>#DIV/0!</v>
      </c>
      <c r="P237" s="198">
        <f t="shared" si="6625"/>
        <v>0</v>
      </c>
      <c r="Q237" s="140"/>
      <c r="R237" s="110"/>
      <c r="S237" s="137"/>
      <c r="T237" s="97"/>
      <c r="U237" s="138">
        <f t="shared" ref="U237:V237" si="6793">U178+U208</f>
        <v>0</v>
      </c>
      <c r="V237" s="110">
        <f t="shared" si="6793"/>
        <v>0</v>
      </c>
      <c r="W237" s="110"/>
      <c r="X237" s="139"/>
      <c r="Y237" s="225" t="e">
        <f t="shared" si="6698"/>
        <v>#DIV/0!</v>
      </c>
      <c r="Z237" s="198">
        <f t="shared" si="6625"/>
        <v>0</v>
      </c>
      <c r="AA237" s="140"/>
      <c r="AB237" s="110"/>
      <c r="AC237" s="137"/>
      <c r="AD237" s="97"/>
      <c r="AE237" s="138">
        <f t="shared" ref="AE237:AF237" si="6794">AE178+AE208</f>
        <v>0</v>
      </c>
      <c r="AF237" s="110">
        <f t="shared" si="6794"/>
        <v>0</v>
      </c>
      <c r="AG237" s="110"/>
      <c r="AH237" s="139"/>
      <c r="AI237" s="225" t="e">
        <f t="shared" si="6700"/>
        <v>#DIV/0!</v>
      </c>
      <c r="AJ237" s="198">
        <f t="shared" si="6625"/>
        <v>0</v>
      </c>
      <c r="AK237" s="140"/>
      <c r="AL237" s="110"/>
      <c r="AM237" s="137"/>
      <c r="AN237" s="97"/>
      <c r="AO237" s="138">
        <f t="shared" ref="AO237:AP237" si="6795">AO178+AO208</f>
        <v>0</v>
      </c>
      <c r="AP237" s="110">
        <f t="shared" si="6795"/>
        <v>0</v>
      </c>
      <c r="AQ237" s="110"/>
      <c r="AR237" s="139"/>
      <c r="AS237" s="225" t="e">
        <f t="shared" si="6702"/>
        <v>#DIV/0!</v>
      </c>
      <c r="AT237" s="198">
        <f t="shared" si="6625"/>
        <v>0</v>
      </c>
      <c r="AU237" s="140"/>
      <c r="AV237" s="110"/>
      <c r="AW237" s="137"/>
      <c r="AX237" s="97"/>
      <c r="AY237" s="138">
        <f t="shared" ref="AY237:AZ237" si="6796">AY178+AY208</f>
        <v>0</v>
      </c>
      <c r="AZ237" s="110">
        <f t="shared" si="6796"/>
        <v>0</v>
      </c>
      <c r="BA237" s="110"/>
      <c r="BB237" s="139"/>
      <c r="BC237" s="225" t="e">
        <f t="shared" si="6704"/>
        <v>#DIV/0!</v>
      </c>
      <c r="BD237" s="198">
        <f t="shared" si="6625"/>
        <v>0</v>
      </c>
      <c r="BE237" s="140"/>
      <c r="BF237" s="110"/>
      <c r="BG237" s="137"/>
      <c r="BH237" s="97"/>
      <c r="BI237" s="138">
        <f t="shared" ref="BI237:BJ237" si="6797">BI178+BI208</f>
        <v>0</v>
      </c>
      <c r="BJ237" s="110">
        <f t="shared" si="6797"/>
        <v>0</v>
      </c>
      <c r="BK237" s="110"/>
      <c r="BL237" s="139"/>
      <c r="BM237" s="225" t="e">
        <f t="shared" si="6706"/>
        <v>#DIV/0!</v>
      </c>
      <c r="BN237" s="198">
        <f t="shared" si="6625"/>
        <v>0</v>
      </c>
      <c r="BO237" s="140"/>
      <c r="BP237" s="110"/>
      <c r="BQ237" s="137"/>
      <c r="BR237" s="97"/>
      <c r="BS237" s="138">
        <f t="shared" ref="BS237:BT237" si="6798">BS178+BS208</f>
        <v>0</v>
      </c>
      <c r="BT237" s="110">
        <f t="shared" si="6798"/>
        <v>0</v>
      </c>
      <c r="BU237" s="110"/>
      <c r="BV237" s="139"/>
      <c r="BW237" s="225" t="e">
        <f t="shared" si="6708"/>
        <v>#DIV/0!</v>
      </c>
      <c r="BX237" s="198">
        <f t="shared" si="6625"/>
        <v>0</v>
      </c>
      <c r="BY237" s="140"/>
      <c r="BZ237" s="110"/>
      <c r="CA237" s="137"/>
      <c r="CB237" s="97"/>
      <c r="CC237" s="138">
        <f t="shared" ref="CC237:CD237" si="6799">CC178+CC208</f>
        <v>0</v>
      </c>
      <c r="CD237" s="110">
        <f t="shared" si="6799"/>
        <v>0</v>
      </c>
      <c r="CE237" s="110"/>
      <c r="CF237" s="139"/>
      <c r="CG237" s="225" t="e">
        <f t="shared" si="6710"/>
        <v>#DIV/0!</v>
      </c>
      <c r="CH237" s="198">
        <f t="shared" si="6633"/>
        <v>0</v>
      </c>
      <c r="CI237" s="140"/>
      <c r="CJ237" s="110"/>
      <c r="CK237" s="137"/>
      <c r="CL237" s="97"/>
      <c r="CM237" s="138">
        <f t="shared" ref="CM237:CN237" si="6800">CM178+CM208</f>
        <v>0</v>
      </c>
      <c r="CN237" s="110">
        <f t="shared" si="6800"/>
        <v>0</v>
      </c>
      <c r="CO237" s="110"/>
      <c r="CP237" s="139"/>
      <c r="CQ237" s="225" t="e">
        <f t="shared" si="6712"/>
        <v>#DIV/0!</v>
      </c>
      <c r="CR237" s="198">
        <f t="shared" si="6633"/>
        <v>0</v>
      </c>
      <c r="CS237" s="140"/>
      <c r="CT237" s="110"/>
      <c r="CU237" s="137"/>
      <c r="CV237" s="97"/>
      <c r="CW237" s="138">
        <f t="shared" ref="CW237:CX237" si="6801">CW178+CW208</f>
        <v>0</v>
      </c>
      <c r="CX237" s="110">
        <f t="shared" si="6801"/>
        <v>0</v>
      </c>
      <c r="CY237" s="110"/>
      <c r="CZ237" s="139"/>
      <c r="DA237" s="225" t="e">
        <f t="shared" si="6714"/>
        <v>#DIV/0!</v>
      </c>
      <c r="DB237" s="198">
        <f t="shared" si="6633"/>
        <v>0</v>
      </c>
      <c r="DC237" s="140"/>
      <c r="DD237" s="110"/>
      <c r="DE237" s="137"/>
      <c r="DF237" s="97"/>
      <c r="DG237" s="138">
        <f t="shared" ref="DG237:DH237" si="6802">DG178+DG208</f>
        <v>0</v>
      </c>
      <c r="DH237" s="110">
        <f t="shared" si="6802"/>
        <v>0</v>
      </c>
      <c r="DI237" s="110"/>
      <c r="DJ237" s="139"/>
      <c r="DK237" s="225" t="e">
        <f t="shared" si="6716"/>
        <v>#DIV/0!</v>
      </c>
      <c r="DL237" s="198">
        <f t="shared" si="6633"/>
        <v>0</v>
      </c>
      <c r="DM237" s="140"/>
      <c r="DN237" s="110"/>
      <c r="DO237" s="137"/>
      <c r="DP237" s="97"/>
      <c r="DQ237" s="138">
        <f t="shared" ref="DQ237:DR237" si="6803">DQ178+DQ208</f>
        <v>0</v>
      </c>
      <c r="DR237" s="110">
        <f t="shared" si="6803"/>
        <v>0</v>
      </c>
      <c r="DS237" s="110"/>
      <c r="DT237" s="139"/>
      <c r="DU237" s="225" t="e">
        <f t="shared" si="6718"/>
        <v>#DIV/0!</v>
      </c>
      <c r="DV237" s="198">
        <f t="shared" si="6633"/>
        <v>0</v>
      </c>
      <c r="DW237" s="140"/>
      <c r="DX237" s="110"/>
      <c r="DY237" s="137"/>
      <c r="DZ237" s="97"/>
      <c r="EA237" s="138">
        <f t="shared" ref="EA237:EB237" si="6804">EA178+EA208</f>
        <v>0</v>
      </c>
      <c r="EB237" s="110">
        <f t="shared" si="6804"/>
        <v>0</v>
      </c>
      <c r="EC237" s="110"/>
      <c r="ED237" s="139"/>
      <c r="EE237" s="225" t="e">
        <f t="shared" si="6720"/>
        <v>#DIV/0!</v>
      </c>
      <c r="EF237" s="198">
        <f t="shared" si="6633"/>
        <v>0</v>
      </c>
      <c r="EG237" s="140"/>
      <c r="EH237" s="110"/>
      <c r="EI237" s="137"/>
      <c r="EJ237" s="97"/>
      <c r="EK237" s="138">
        <f t="shared" ref="EK237:EL237" si="6805">EK178+EK208</f>
        <v>0</v>
      </c>
      <c r="EL237" s="110">
        <f t="shared" si="6805"/>
        <v>0</v>
      </c>
      <c r="EM237" s="110"/>
      <c r="EN237" s="139"/>
      <c r="EO237" s="225" t="e">
        <f t="shared" si="6722"/>
        <v>#DIV/0!</v>
      </c>
      <c r="EP237" s="198">
        <f t="shared" si="6633"/>
        <v>0</v>
      </c>
      <c r="EQ237" s="140"/>
      <c r="ER237" s="110"/>
      <c r="ES237" s="137"/>
      <c r="ET237" s="97"/>
      <c r="EU237" s="138">
        <f t="shared" ref="EU237:EV237" si="6806">EU178+EU208</f>
        <v>0</v>
      </c>
      <c r="EV237" s="110">
        <f t="shared" si="6806"/>
        <v>0</v>
      </c>
      <c r="EW237" s="110"/>
      <c r="EX237" s="139"/>
      <c r="EY237" s="225" t="e">
        <f t="shared" si="6724"/>
        <v>#DIV/0!</v>
      </c>
      <c r="EZ237" s="198">
        <f t="shared" si="6641"/>
        <v>0</v>
      </c>
      <c r="FA237" s="140"/>
      <c r="FB237" s="110"/>
      <c r="FC237" s="137"/>
      <c r="FD237" s="97"/>
      <c r="FE237" s="138">
        <f t="shared" ref="FE237:FF237" si="6807">FE178+FE208</f>
        <v>0</v>
      </c>
      <c r="FF237" s="110">
        <f t="shared" si="6807"/>
        <v>0</v>
      </c>
      <c r="FG237" s="110"/>
      <c r="FH237" s="139"/>
      <c r="FI237" s="225" t="e">
        <f t="shared" si="6726"/>
        <v>#DIV/0!</v>
      </c>
      <c r="FJ237" s="198">
        <f t="shared" si="6641"/>
        <v>0</v>
      </c>
      <c r="FK237" s="140"/>
      <c r="FL237" s="110"/>
      <c r="FM237" s="137"/>
      <c r="FN237" s="97"/>
      <c r="FO237" s="138">
        <f t="shared" ref="FO237:FP237" si="6808">FO178+FO208</f>
        <v>0</v>
      </c>
      <c r="FP237" s="110">
        <f t="shared" si="6808"/>
        <v>0</v>
      </c>
      <c r="FQ237" s="110"/>
      <c r="FR237" s="139"/>
      <c r="FS237" s="225" t="e">
        <f t="shared" si="6728"/>
        <v>#DIV/0!</v>
      </c>
      <c r="FT237" s="198">
        <f t="shared" si="6641"/>
        <v>0</v>
      </c>
      <c r="FU237" s="140"/>
      <c r="FV237" s="110"/>
      <c r="FW237" s="137"/>
      <c r="FX237" s="97"/>
      <c r="FY237" s="138">
        <f t="shared" ref="FY237:FZ237" si="6809">FY178+FY208</f>
        <v>0</v>
      </c>
      <c r="FZ237" s="110">
        <f t="shared" si="6809"/>
        <v>0</v>
      </c>
      <c r="GA237" s="110"/>
      <c r="GB237" s="139"/>
      <c r="GC237" s="225" t="e">
        <f t="shared" si="6730"/>
        <v>#DIV/0!</v>
      </c>
      <c r="GD237" s="198">
        <f t="shared" si="6641"/>
        <v>0</v>
      </c>
      <c r="GE237" s="140"/>
      <c r="GF237" s="110"/>
      <c r="GG237" s="137"/>
      <c r="GH237" s="97"/>
      <c r="GI237" s="138">
        <f t="shared" ref="GI237:GJ237" si="6810">GI178+GI208</f>
        <v>0</v>
      </c>
      <c r="GJ237" s="110">
        <f t="shared" si="6810"/>
        <v>0</v>
      </c>
      <c r="GK237" s="110"/>
      <c r="GL237" s="139"/>
      <c r="GM237" s="225" t="e">
        <f t="shared" si="6732"/>
        <v>#DIV/0!</v>
      </c>
      <c r="GN237" s="198">
        <f t="shared" si="6641"/>
        <v>0</v>
      </c>
      <c r="GO237" s="140"/>
      <c r="GP237" s="110"/>
      <c r="GQ237" s="137"/>
      <c r="GR237" s="97"/>
      <c r="GS237" s="138">
        <f t="shared" ref="GS237:GT237" si="6811">GS178+GS208</f>
        <v>0</v>
      </c>
      <c r="GT237" s="110">
        <f t="shared" si="6811"/>
        <v>0</v>
      </c>
      <c r="GU237" s="110"/>
      <c r="GV237" s="139"/>
      <c r="GW237" s="225" t="e">
        <f t="shared" si="6734"/>
        <v>#DIV/0!</v>
      </c>
      <c r="GX237" s="198">
        <f t="shared" si="6641"/>
        <v>0</v>
      </c>
      <c r="GY237" s="140"/>
      <c r="GZ237" s="110"/>
      <c r="HA237" s="137"/>
      <c r="HB237" s="97"/>
      <c r="HC237" s="138">
        <f t="shared" ref="HC237:HD237" si="6812">HC178+HC208</f>
        <v>0</v>
      </c>
      <c r="HD237" s="110">
        <f t="shared" si="6812"/>
        <v>0</v>
      </c>
      <c r="HE237" s="110"/>
      <c r="HF237" s="139"/>
      <c r="HG237" s="225" t="e">
        <f t="shared" si="6736"/>
        <v>#DIV/0!</v>
      </c>
      <c r="HH237" s="198">
        <f t="shared" si="6641"/>
        <v>0</v>
      </c>
      <c r="HI237" s="140"/>
      <c r="HJ237" s="110"/>
      <c r="HK237" s="137"/>
      <c r="HL237" s="97"/>
      <c r="HM237" s="138">
        <f t="shared" ref="HM237:HN237" si="6813">HM178+HM208</f>
        <v>0</v>
      </c>
      <c r="HN237" s="110">
        <f t="shared" si="6813"/>
        <v>0</v>
      </c>
      <c r="HO237" s="110"/>
      <c r="HP237" s="139"/>
      <c r="HQ237" s="225" t="e">
        <f t="shared" si="6738"/>
        <v>#DIV/0!</v>
      </c>
      <c r="HR237" s="198">
        <f t="shared" si="6649"/>
        <v>0</v>
      </c>
      <c r="HS237" s="140"/>
      <c r="HT237" s="110"/>
      <c r="HU237" s="137"/>
      <c r="HV237" s="97"/>
      <c r="HW237" s="138">
        <f t="shared" ref="HW237:HX237" si="6814">HW178+HW208</f>
        <v>0</v>
      </c>
      <c r="HX237" s="110">
        <f t="shared" si="6814"/>
        <v>0</v>
      </c>
      <c r="HY237" s="110"/>
      <c r="HZ237" s="139"/>
      <c r="IA237" s="225" t="e">
        <f t="shared" si="6740"/>
        <v>#DIV/0!</v>
      </c>
      <c r="IB237" s="198">
        <f t="shared" si="6649"/>
        <v>0</v>
      </c>
      <c r="IC237" s="140"/>
      <c r="ID237" s="110"/>
      <c r="IE237" s="137"/>
      <c r="IF237" s="97"/>
      <c r="IG237" s="138">
        <f t="shared" ref="IG237:IH237" si="6815">IG178+IG208</f>
        <v>0</v>
      </c>
      <c r="IH237" s="110">
        <f t="shared" si="6815"/>
        <v>0</v>
      </c>
      <c r="II237" s="110"/>
      <c r="IJ237" s="139"/>
      <c r="IK237" s="225" t="e">
        <f t="shared" si="6742"/>
        <v>#DIV/0!</v>
      </c>
      <c r="IL237" s="198">
        <f t="shared" si="6649"/>
        <v>0</v>
      </c>
      <c r="IM237" s="140"/>
      <c r="IN237" s="110"/>
      <c r="IO237" s="137"/>
      <c r="IP237" s="97"/>
      <c r="IQ237" s="138">
        <f t="shared" ref="IQ237:IR237" si="6816">IQ178+IQ208</f>
        <v>0</v>
      </c>
      <c r="IR237" s="110">
        <f t="shared" si="6816"/>
        <v>0</v>
      </c>
      <c r="IS237" s="110"/>
      <c r="IT237" s="139"/>
      <c r="IU237" s="225" t="e">
        <f t="shared" si="6744"/>
        <v>#DIV/0!</v>
      </c>
      <c r="IV237" s="198">
        <f t="shared" si="6649"/>
        <v>0</v>
      </c>
      <c r="IW237" s="140"/>
      <c r="IX237" s="110"/>
      <c r="IY237" s="137"/>
      <c r="IZ237" s="97"/>
      <c r="JA237" s="138">
        <f t="shared" ref="JA237:JB237" si="6817">JA178+JA208</f>
        <v>0</v>
      </c>
      <c r="JB237" s="110">
        <f t="shared" si="6817"/>
        <v>0</v>
      </c>
      <c r="JC237" s="110"/>
      <c r="JD237" s="139"/>
      <c r="JE237" s="225" t="e">
        <f t="shared" si="6746"/>
        <v>#DIV/0!</v>
      </c>
      <c r="JF237" s="198">
        <f t="shared" si="6649"/>
        <v>0</v>
      </c>
      <c r="JG237" s="140"/>
      <c r="JH237" s="110"/>
      <c r="JI237" s="137"/>
      <c r="JJ237" s="97"/>
      <c r="JK237" s="138">
        <f t="shared" ref="JK237:JL237" si="6818">JK178+JK208</f>
        <v>0</v>
      </c>
      <c r="JL237" s="110">
        <f t="shared" si="6818"/>
        <v>0</v>
      </c>
      <c r="JM237" s="110"/>
      <c r="JN237" s="139"/>
      <c r="JO237" s="225" t="e">
        <f t="shared" si="6748"/>
        <v>#DIV/0!</v>
      </c>
      <c r="JP237" s="198">
        <f t="shared" si="6649"/>
        <v>0</v>
      </c>
      <c r="JQ237" s="140"/>
      <c r="JR237" s="110"/>
      <c r="JS237" s="137"/>
      <c r="JT237" s="97"/>
      <c r="JU237" s="138">
        <f t="shared" ref="JU237:JV237" si="6819">JU178+JU208</f>
        <v>0</v>
      </c>
      <c r="JV237" s="110">
        <f t="shared" si="6819"/>
        <v>0</v>
      </c>
      <c r="JW237" s="110"/>
      <c r="JX237" s="139"/>
      <c r="JY237" s="225" t="e">
        <f t="shared" si="6750"/>
        <v>#DIV/0!</v>
      </c>
      <c r="JZ237" s="198">
        <f t="shared" si="6649"/>
        <v>0</v>
      </c>
      <c r="KA237" s="140"/>
      <c r="KB237" s="110"/>
      <c r="KC237" s="137"/>
      <c r="KD237" s="97"/>
      <c r="KE237" s="138">
        <f t="shared" ref="KE237:KF237" si="6820">KE178+KE208</f>
        <v>0</v>
      </c>
      <c r="KF237" s="110">
        <f t="shared" si="6820"/>
        <v>0</v>
      </c>
      <c r="KG237" s="110"/>
      <c r="KH237" s="139"/>
      <c r="KI237" s="225" t="e">
        <f t="shared" si="6752"/>
        <v>#DIV/0!</v>
      </c>
      <c r="KJ237" s="198">
        <f t="shared" si="6657"/>
        <v>0</v>
      </c>
      <c r="KK237" s="140"/>
      <c r="KL237" s="110"/>
      <c r="KM237" s="137"/>
      <c r="KN237" s="97"/>
      <c r="KO237" s="138">
        <f t="shared" ref="KO237:KP237" si="6821">KO178+KO208</f>
        <v>0</v>
      </c>
      <c r="KP237" s="110">
        <f t="shared" si="6821"/>
        <v>0</v>
      </c>
      <c r="KQ237" s="110"/>
      <c r="KR237" s="139"/>
      <c r="KS237" s="225" t="e">
        <f t="shared" si="6754"/>
        <v>#DIV/0!</v>
      </c>
      <c r="KT237" s="198">
        <f t="shared" si="6657"/>
        <v>0</v>
      </c>
      <c r="KU237" s="140"/>
      <c r="KV237" s="110"/>
      <c r="KW237" s="137"/>
      <c r="KX237" s="97"/>
      <c r="KY237" s="138">
        <f t="shared" ref="KY237:KZ237" si="6822">KY178+KY208</f>
        <v>0</v>
      </c>
      <c r="KZ237" s="110">
        <f t="shared" si="6822"/>
        <v>0</v>
      </c>
      <c r="LA237" s="110"/>
      <c r="LB237" s="139"/>
      <c r="LC237" s="225" t="e">
        <f t="shared" si="6756"/>
        <v>#DIV/0!</v>
      </c>
      <c r="LD237" s="198">
        <f t="shared" ref="LD237" si="6823">LD33</f>
        <v>0</v>
      </c>
      <c r="LE237" s="140"/>
      <c r="LF237" s="110"/>
      <c r="LG237" s="137"/>
      <c r="LH237" s="97"/>
      <c r="LI237" s="138">
        <f t="shared" ref="LI237:LJ237" si="6824">LI178+LI208</f>
        <v>0</v>
      </c>
      <c r="LJ237" s="110">
        <f t="shared" si="6824"/>
        <v>0</v>
      </c>
      <c r="LK237" s="110"/>
      <c r="LL237" s="139"/>
    </row>
    <row r="238" spans="1:324" ht="16.5" hidden="1" customHeight="1" x14ac:dyDescent="0.25">
      <c r="A238" s="246"/>
      <c r="B238" s="92" t="s">
        <v>639</v>
      </c>
      <c r="C238" s="12" t="s">
        <v>728</v>
      </c>
      <c r="D238" s="12" t="s">
        <v>430</v>
      </c>
      <c r="E238" s="4"/>
      <c r="F238" s="198">
        <f t="shared" si="6097"/>
        <v>0</v>
      </c>
      <c r="G238" s="140"/>
      <c r="H238" s="110"/>
      <c r="I238" s="137"/>
      <c r="J238" s="97"/>
      <c r="K238" s="138">
        <f t="shared" ref="K238:L238" si="6825">K179+K209</f>
        <v>0</v>
      </c>
      <c r="L238" s="110">
        <f t="shared" si="6825"/>
        <v>0</v>
      </c>
      <c r="M238" s="110"/>
      <c r="N238" s="139"/>
      <c r="O238" s="225" t="e">
        <f t="shared" si="6696"/>
        <v>#DIV/0!</v>
      </c>
      <c r="P238" s="198">
        <f t="shared" si="6625"/>
        <v>0</v>
      </c>
      <c r="Q238" s="140"/>
      <c r="R238" s="110"/>
      <c r="S238" s="137"/>
      <c r="T238" s="97"/>
      <c r="U238" s="138">
        <f t="shared" ref="U238:V238" si="6826">U179+U209</f>
        <v>0</v>
      </c>
      <c r="V238" s="110">
        <f t="shared" si="6826"/>
        <v>0</v>
      </c>
      <c r="W238" s="110"/>
      <c r="X238" s="139"/>
      <c r="Y238" s="225" t="e">
        <f t="shared" si="6698"/>
        <v>#DIV/0!</v>
      </c>
      <c r="Z238" s="198">
        <f t="shared" si="6625"/>
        <v>0</v>
      </c>
      <c r="AA238" s="140"/>
      <c r="AB238" s="110"/>
      <c r="AC238" s="137"/>
      <c r="AD238" s="97"/>
      <c r="AE238" s="138">
        <f t="shared" ref="AE238:AF238" si="6827">AE179+AE209</f>
        <v>0</v>
      </c>
      <c r="AF238" s="110">
        <f t="shared" si="6827"/>
        <v>0</v>
      </c>
      <c r="AG238" s="110"/>
      <c r="AH238" s="139"/>
      <c r="AI238" s="225" t="e">
        <f t="shared" si="6700"/>
        <v>#DIV/0!</v>
      </c>
      <c r="AJ238" s="198">
        <f t="shared" si="6625"/>
        <v>0</v>
      </c>
      <c r="AK238" s="140"/>
      <c r="AL238" s="110"/>
      <c r="AM238" s="137"/>
      <c r="AN238" s="97"/>
      <c r="AO238" s="138">
        <f t="shared" ref="AO238:AP238" si="6828">AO179+AO209</f>
        <v>0</v>
      </c>
      <c r="AP238" s="110">
        <f t="shared" si="6828"/>
        <v>0</v>
      </c>
      <c r="AQ238" s="110"/>
      <c r="AR238" s="139"/>
      <c r="AS238" s="225" t="e">
        <f t="shared" si="6702"/>
        <v>#DIV/0!</v>
      </c>
      <c r="AT238" s="198">
        <f t="shared" si="6625"/>
        <v>0</v>
      </c>
      <c r="AU238" s="140"/>
      <c r="AV238" s="110"/>
      <c r="AW238" s="137"/>
      <c r="AX238" s="97"/>
      <c r="AY238" s="138">
        <f t="shared" ref="AY238:AZ238" si="6829">AY179+AY209</f>
        <v>0</v>
      </c>
      <c r="AZ238" s="110">
        <f t="shared" si="6829"/>
        <v>0</v>
      </c>
      <c r="BA238" s="110"/>
      <c r="BB238" s="139"/>
      <c r="BC238" s="225" t="e">
        <f t="shared" si="6704"/>
        <v>#DIV/0!</v>
      </c>
      <c r="BD238" s="198">
        <f t="shared" si="6625"/>
        <v>0</v>
      </c>
      <c r="BE238" s="140"/>
      <c r="BF238" s="110"/>
      <c r="BG238" s="137"/>
      <c r="BH238" s="97"/>
      <c r="BI238" s="138">
        <f t="shared" ref="BI238:BJ238" si="6830">BI179+BI209</f>
        <v>0</v>
      </c>
      <c r="BJ238" s="110">
        <f t="shared" si="6830"/>
        <v>0</v>
      </c>
      <c r="BK238" s="110"/>
      <c r="BL238" s="139"/>
      <c r="BM238" s="225" t="e">
        <f t="shared" si="6706"/>
        <v>#DIV/0!</v>
      </c>
      <c r="BN238" s="198">
        <f t="shared" si="6625"/>
        <v>0</v>
      </c>
      <c r="BO238" s="140"/>
      <c r="BP238" s="110"/>
      <c r="BQ238" s="137"/>
      <c r="BR238" s="97"/>
      <c r="BS238" s="138">
        <f t="shared" ref="BS238:BT238" si="6831">BS179+BS209</f>
        <v>0</v>
      </c>
      <c r="BT238" s="110">
        <f t="shared" si="6831"/>
        <v>0</v>
      </c>
      <c r="BU238" s="110"/>
      <c r="BV238" s="139"/>
      <c r="BW238" s="225" t="e">
        <f t="shared" si="6708"/>
        <v>#DIV/0!</v>
      </c>
      <c r="BX238" s="198">
        <f t="shared" si="6625"/>
        <v>0</v>
      </c>
      <c r="BY238" s="140"/>
      <c r="BZ238" s="110"/>
      <c r="CA238" s="137"/>
      <c r="CB238" s="97"/>
      <c r="CC238" s="138">
        <f t="shared" ref="CC238:CD238" si="6832">CC179+CC209</f>
        <v>0</v>
      </c>
      <c r="CD238" s="110">
        <f t="shared" si="6832"/>
        <v>0</v>
      </c>
      <c r="CE238" s="110"/>
      <c r="CF238" s="139"/>
      <c r="CG238" s="225" t="e">
        <f t="shared" si="6710"/>
        <v>#DIV/0!</v>
      </c>
      <c r="CH238" s="198">
        <f t="shared" si="6633"/>
        <v>0</v>
      </c>
      <c r="CI238" s="140"/>
      <c r="CJ238" s="110"/>
      <c r="CK238" s="137"/>
      <c r="CL238" s="97"/>
      <c r="CM238" s="138">
        <f t="shared" ref="CM238:CN238" si="6833">CM179+CM209</f>
        <v>0</v>
      </c>
      <c r="CN238" s="110">
        <f t="shared" si="6833"/>
        <v>0</v>
      </c>
      <c r="CO238" s="110"/>
      <c r="CP238" s="139"/>
      <c r="CQ238" s="225" t="e">
        <f t="shared" si="6712"/>
        <v>#DIV/0!</v>
      </c>
      <c r="CR238" s="198">
        <f t="shared" si="6633"/>
        <v>0</v>
      </c>
      <c r="CS238" s="140"/>
      <c r="CT238" s="110"/>
      <c r="CU238" s="137"/>
      <c r="CV238" s="97"/>
      <c r="CW238" s="138">
        <f t="shared" ref="CW238:CX238" si="6834">CW179+CW209</f>
        <v>0</v>
      </c>
      <c r="CX238" s="110">
        <f t="shared" si="6834"/>
        <v>0</v>
      </c>
      <c r="CY238" s="110"/>
      <c r="CZ238" s="139"/>
      <c r="DA238" s="225" t="e">
        <f t="shared" si="6714"/>
        <v>#DIV/0!</v>
      </c>
      <c r="DB238" s="198">
        <f t="shared" si="6633"/>
        <v>0</v>
      </c>
      <c r="DC238" s="140"/>
      <c r="DD238" s="110"/>
      <c r="DE238" s="137"/>
      <c r="DF238" s="97"/>
      <c r="DG238" s="138">
        <f t="shared" ref="DG238:DH238" si="6835">DG179+DG209</f>
        <v>0</v>
      </c>
      <c r="DH238" s="110">
        <f t="shared" si="6835"/>
        <v>0</v>
      </c>
      <c r="DI238" s="110"/>
      <c r="DJ238" s="139"/>
      <c r="DK238" s="225" t="e">
        <f t="shared" si="6716"/>
        <v>#DIV/0!</v>
      </c>
      <c r="DL238" s="198">
        <f t="shared" si="6633"/>
        <v>0</v>
      </c>
      <c r="DM238" s="140"/>
      <c r="DN238" s="110"/>
      <c r="DO238" s="137"/>
      <c r="DP238" s="97"/>
      <c r="DQ238" s="138">
        <f t="shared" ref="DQ238:DR238" si="6836">DQ179+DQ209</f>
        <v>0</v>
      </c>
      <c r="DR238" s="110">
        <f t="shared" si="6836"/>
        <v>0</v>
      </c>
      <c r="DS238" s="110"/>
      <c r="DT238" s="139"/>
      <c r="DU238" s="225" t="e">
        <f t="shared" si="6718"/>
        <v>#DIV/0!</v>
      </c>
      <c r="DV238" s="198">
        <f t="shared" si="6633"/>
        <v>0</v>
      </c>
      <c r="DW238" s="140"/>
      <c r="DX238" s="110"/>
      <c r="DY238" s="137"/>
      <c r="DZ238" s="97"/>
      <c r="EA238" s="138">
        <f t="shared" ref="EA238:EB238" si="6837">EA179+EA209</f>
        <v>0</v>
      </c>
      <c r="EB238" s="110">
        <f t="shared" si="6837"/>
        <v>0</v>
      </c>
      <c r="EC238" s="110"/>
      <c r="ED238" s="139"/>
      <c r="EE238" s="225" t="e">
        <f t="shared" si="6720"/>
        <v>#DIV/0!</v>
      </c>
      <c r="EF238" s="198">
        <f t="shared" si="6633"/>
        <v>0</v>
      </c>
      <c r="EG238" s="140"/>
      <c r="EH238" s="110"/>
      <c r="EI238" s="137"/>
      <c r="EJ238" s="97"/>
      <c r="EK238" s="138">
        <f t="shared" ref="EK238:EL238" si="6838">EK179+EK209</f>
        <v>0</v>
      </c>
      <c r="EL238" s="110">
        <f t="shared" si="6838"/>
        <v>0</v>
      </c>
      <c r="EM238" s="110"/>
      <c r="EN238" s="139"/>
      <c r="EO238" s="225" t="e">
        <f t="shared" si="6722"/>
        <v>#DIV/0!</v>
      </c>
      <c r="EP238" s="198">
        <f t="shared" si="6633"/>
        <v>0</v>
      </c>
      <c r="EQ238" s="140"/>
      <c r="ER238" s="110"/>
      <c r="ES238" s="137"/>
      <c r="ET238" s="97"/>
      <c r="EU238" s="138">
        <f t="shared" ref="EU238:EV238" si="6839">EU179+EU209</f>
        <v>0</v>
      </c>
      <c r="EV238" s="110">
        <f t="shared" si="6839"/>
        <v>0</v>
      </c>
      <c r="EW238" s="110"/>
      <c r="EX238" s="139"/>
      <c r="EY238" s="225" t="e">
        <f t="shared" si="6724"/>
        <v>#DIV/0!</v>
      </c>
      <c r="EZ238" s="198">
        <f t="shared" si="6641"/>
        <v>0</v>
      </c>
      <c r="FA238" s="140"/>
      <c r="FB238" s="110"/>
      <c r="FC238" s="137"/>
      <c r="FD238" s="97"/>
      <c r="FE238" s="138">
        <f t="shared" ref="FE238:FF238" si="6840">FE179+FE209</f>
        <v>0</v>
      </c>
      <c r="FF238" s="110">
        <f t="shared" si="6840"/>
        <v>0</v>
      </c>
      <c r="FG238" s="110"/>
      <c r="FH238" s="139"/>
      <c r="FI238" s="225" t="e">
        <f t="shared" si="6726"/>
        <v>#DIV/0!</v>
      </c>
      <c r="FJ238" s="198">
        <f t="shared" si="6641"/>
        <v>0</v>
      </c>
      <c r="FK238" s="140"/>
      <c r="FL238" s="110"/>
      <c r="FM238" s="137"/>
      <c r="FN238" s="97"/>
      <c r="FO238" s="138">
        <f t="shared" ref="FO238:FP238" si="6841">FO179+FO209</f>
        <v>0</v>
      </c>
      <c r="FP238" s="110">
        <f t="shared" si="6841"/>
        <v>0</v>
      </c>
      <c r="FQ238" s="110"/>
      <c r="FR238" s="139"/>
      <c r="FS238" s="225" t="e">
        <f t="shared" si="6728"/>
        <v>#DIV/0!</v>
      </c>
      <c r="FT238" s="198">
        <f t="shared" si="6641"/>
        <v>0</v>
      </c>
      <c r="FU238" s="140"/>
      <c r="FV238" s="110"/>
      <c r="FW238" s="137"/>
      <c r="FX238" s="97"/>
      <c r="FY238" s="138">
        <f t="shared" ref="FY238:FZ238" si="6842">FY179+FY209</f>
        <v>0</v>
      </c>
      <c r="FZ238" s="110">
        <f t="shared" si="6842"/>
        <v>0</v>
      </c>
      <c r="GA238" s="110"/>
      <c r="GB238" s="139"/>
      <c r="GC238" s="225" t="e">
        <f t="shared" si="6730"/>
        <v>#DIV/0!</v>
      </c>
      <c r="GD238" s="198">
        <f t="shared" si="6641"/>
        <v>0</v>
      </c>
      <c r="GE238" s="140"/>
      <c r="GF238" s="110"/>
      <c r="GG238" s="137"/>
      <c r="GH238" s="97"/>
      <c r="GI238" s="138">
        <f t="shared" ref="GI238:GJ238" si="6843">GI179+GI209</f>
        <v>0</v>
      </c>
      <c r="GJ238" s="110">
        <f t="shared" si="6843"/>
        <v>0</v>
      </c>
      <c r="GK238" s="110"/>
      <c r="GL238" s="139"/>
      <c r="GM238" s="225" t="e">
        <f t="shared" si="6732"/>
        <v>#DIV/0!</v>
      </c>
      <c r="GN238" s="198">
        <f t="shared" si="6641"/>
        <v>0</v>
      </c>
      <c r="GO238" s="140"/>
      <c r="GP238" s="110"/>
      <c r="GQ238" s="137"/>
      <c r="GR238" s="97"/>
      <c r="GS238" s="138">
        <f t="shared" ref="GS238:GT238" si="6844">GS179+GS209</f>
        <v>0</v>
      </c>
      <c r="GT238" s="110">
        <f t="shared" si="6844"/>
        <v>0</v>
      </c>
      <c r="GU238" s="110"/>
      <c r="GV238" s="139"/>
      <c r="GW238" s="225" t="e">
        <f t="shared" si="6734"/>
        <v>#DIV/0!</v>
      </c>
      <c r="GX238" s="198">
        <f t="shared" si="6641"/>
        <v>0</v>
      </c>
      <c r="GY238" s="140"/>
      <c r="GZ238" s="110"/>
      <c r="HA238" s="137"/>
      <c r="HB238" s="97"/>
      <c r="HC238" s="138">
        <f t="shared" ref="HC238:HD238" si="6845">HC179+HC209</f>
        <v>0</v>
      </c>
      <c r="HD238" s="110">
        <f t="shared" si="6845"/>
        <v>0</v>
      </c>
      <c r="HE238" s="110"/>
      <c r="HF238" s="139"/>
      <c r="HG238" s="225" t="e">
        <f t="shared" si="6736"/>
        <v>#DIV/0!</v>
      </c>
      <c r="HH238" s="198">
        <f t="shared" si="6641"/>
        <v>0</v>
      </c>
      <c r="HI238" s="140"/>
      <c r="HJ238" s="110"/>
      <c r="HK238" s="137"/>
      <c r="HL238" s="97"/>
      <c r="HM238" s="138">
        <f t="shared" ref="HM238:HN238" si="6846">HM179+HM209</f>
        <v>0</v>
      </c>
      <c r="HN238" s="110">
        <f t="shared" si="6846"/>
        <v>0</v>
      </c>
      <c r="HO238" s="110"/>
      <c r="HP238" s="139"/>
      <c r="HQ238" s="225" t="e">
        <f t="shared" si="6738"/>
        <v>#DIV/0!</v>
      </c>
      <c r="HR238" s="198">
        <f t="shared" si="6649"/>
        <v>0</v>
      </c>
      <c r="HS238" s="140"/>
      <c r="HT238" s="110"/>
      <c r="HU238" s="137"/>
      <c r="HV238" s="97"/>
      <c r="HW238" s="138">
        <f t="shared" ref="HW238:HX238" si="6847">HW179+HW209</f>
        <v>0</v>
      </c>
      <c r="HX238" s="110">
        <f t="shared" si="6847"/>
        <v>0</v>
      </c>
      <c r="HY238" s="110"/>
      <c r="HZ238" s="139"/>
      <c r="IA238" s="225" t="e">
        <f t="shared" si="6740"/>
        <v>#DIV/0!</v>
      </c>
      <c r="IB238" s="198">
        <f t="shared" si="6649"/>
        <v>0</v>
      </c>
      <c r="IC238" s="140"/>
      <c r="ID238" s="110"/>
      <c r="IE238" s="137"/>
      <c r="IF238" s="97"/>
      <c r="IG238" s="138">
        <f t="shared" ref="IG238:IH238" si="6848">IG179+IG209</f>
        <v>0</v>
      </c>
      <c r="IH238" s="110">
        <f t="shared" si="6848"/>
        <v>0</v>
      </c>
      <c r="II238" s="110"/>
      <c r="IJ238" s="139"/>
      <c r="IK238" s="225" t="e">
        <f t="shared" si="6742"/>
        <v>#DIV/0!</v>
      </c>
      <c r="IL238" s="198">
        <f t="shared" si="6649"/>
        <v>0</v>
      </c>
      <c r="IM238" s="140"/>
      <c r="IN238" s="110"/>
      <c r="IO238" s="137"/>
      <c r="IP238" s="97"/>
      <c r="IQ238" s="138">
        <f t="shared" ref="IQ238:IR238" si="6849">IQ179+IQ209</f>
        <v>0</v>
      </c>
      <c r="IR238" s="110">
        <f t="shared" si="6849"/>
        <v>0</v>
      </c>
      <c r="IS238" s="110"/>
      <c r="IT238" s="139"/>
      <c r="IU238" s="225" t="e">
        <f t="shared" si="6744"/>
        <v>#DIV/0!</v>
      </c>
      <c r="IV238" s="198">
        <f t="shared" si="6649"/>
        <v>0</v>
      </c>
      <c r="IW238" s="140"/>
      <c r="IX238" s="110"/>
      <c r="IY238" s="137"/>
      <c r="IZ238" s="97"/>
      <c r="JA238" s="138">
        <f t="shared" ref="JA238:JB238" si="6850">JA179+JA209</f>
        <v>0</v>
      </c>
      <c r="JB238" s="110">
        <f t="shared" si="6850"/>
        <v>0</v>
      </c>
      <c r="JC238" s="110"/>
      <c r="JD238" s="139"/>
      <c r="JE238" s="225" t="e">
        <f t="shared" si="6746"/>
        <v>#DIV/0!</v>
      </c>
      <c r="JF238" s="198">
        <f t="shared" si="6649"/>
        <v>0</v>
      </c>
      <c r="JG238" s="140"/>
      <c r="JH238" s="110"/>
      <c r="JI238" s="137"/>
      <c r="JJ238" s="97"/>
      <c r="JK238" s="138">
        <f t="shared" ref="JK238:JL238" si="6851">JK179+JK209</f>
        <v>0</v>
      </c>
      <c r="JL238" s="110">
        <f t="shared" si="6851"/>
        <v>0</v>
      </c>
      <c r="JM238" s="110"/>
      <c r="JN238" s="139"/>
      <c r="JO238" s="225" t="e">
        <f t="shared" si="6748"/>
        <v>#DIV/0!</v>
      </c>
      <c r="JP238" s="198">
        <f t="shared" si="6649"/>
        <v>0</v>
      </c>
      <c r="JQ238" s="140"/>
      <c r="JR238" s="110"/>
      <c r="JS238" s="137"/>
      <c r="JT238" s="97"/>
      <c r="JU238" s="138">
        <f t="shared" ref="JU238:JV238" si="6852">JU179+JU209</f>
        <v>0</v>
      </c>
      <c r="JV238" s="110">
        <f t="shared" si="6852"/>
        <v>0</v>
      </c>
      <c r="JW238" s="110"/>
      <c r="JX238" s="139"/>
      <c r="JY238" s="225" t="e">
        <f t="shared" si="6750"/>
        <v>#DIV/0!</v>
      </c>
      <c r="JZ238" s="198">
        <f t="shared" si="6649"/>
        <v>0</v>
      </c>
      <c r="KA238" s="140"/>
      <c r="KB238" s="110"/>
      <c r="KC238" s="137"/>
      <c r="KD238" s="97"/>
      <c r="KE238" s="138">
        <f t="shared" ref="KE238:KF238" si="6853">KE179+KE209</f>
        <v>0</v>
      </c>
      <c r="KF238" s="110">
        <f t="shared" si="6853"/>
        <v>0</v>
      </c>
      <c r="KG238" s="110"/>
      <c r="KH238" s="139"/>
      <c r="KI238" s="225" t="e">
        <f t="shared" si="6752"/>
        <v>#DIV/0!</v>
      </c>
      <c r="KJ238" s="198">
        <f t="shared" si="6657"/>
        <v>0</v>
      </c>
      <c r="KK238" s="140"/>
      <c r="KL238" s="110"/>
      <c r="KM238" s="137"/>
      <c r="KN238" s="97"/>
      <c r="KO238" s="138">
        <f t="shared" ref="KO238:KP238" si="6854">KO179+KO209</f>
        <v>0</v>
      </c>
      <c r="KP238" s="110">
        <f t="shared" si="6854"/>
        <v>0</v>
      </c>
      <c r="KQ238" s="110"/>
      <c r="KR238" s="139"/>
      <c r="KS238" s="225" t="e">
        <f t="shared" si="6754"/>
        <v>#DIV/0!</v>
      </c>
      <c r="KT238" s="198">
        <f t="shared" si="6657"/>
        <v>0</v>
      </c>
      <c r="KU238" s="140"/>
      <c r="KV238" s="110"/>
      <c r="KW238" s="137"/>
      <c r="KX238" s="97"/>
      <c r="KY238" s="138">
        <f t="shared" ref="KY238:KZ238" si="6855">KY179+KY209</f>
        <v>0</v>
      </c>
      <c r="KZ238" s="110">
        <f t="shared" si="6855"/>
        <v>0</v>
      </c>
      <c r="LA238" s="110"/>
      <c r="LB238" s="139"/>
      <c r="LC238" s="225" t="e">
        <f t="shared" si="6756"/>
        <v>#DIV/0!</v>
      </c>
      <c r="LD238" s="198">
        <f t="shared" ref="LD238" si="6856">LD34</f>
        <v>0</v>
      </c>
      <c r="LE238" s="140"/>
      <c r="LF238" s="110"/>
      <c r="LG238" s="137"/>
      <c r="LH238" s="97"/>
      <c r="LI238" s="138">
        <f t="shared" ref="LI238:LJ238" si="6857">LI179+LI209</f>
        <v>0</v>
      </c>
      <c r="LJ238" s="110">
        <f t="shared" si="6857"/>
        <v>0</v>
      </c>
      <c r="LK238" s="110"/>
      <c r="LL238" s="139"/>
    </row>
    <row r="239" spans="1:324" ht="16.5" customHeight="1" x14ac:dyDescent="0.25">
      <c r="A239" s="246"/>
      <c r="B239" s="12" t="s">
        <v>626</v>
      </c>
      <c r="C239" s="12" t="s">
        <v>728</v>
      </c>
      <c r="D239" s="12" t="s">
        <v>430</v>
      </c>
      <c r="E239" s="4"/>
      <c r="F239" s="198">
        <f t="shared" si="6097"/>
        <v>0</v>
      </c>
      <c r="G239" s="140"/>
      <c r="H239" s="110"/>
      <c r="I239" s="137"/>
      <c r="J239" s="97"/>
      <c r="K239" s="138">
        <f t="shared" ref="K239:L239" si="6858">K180+K210</f>
        <v>0</v>
      </c>
      <c r="L239" s="110">
        <f t="shared" si="6858"/>
        <v>0</v>
      </c>
      <c r="M239" s="110"/>
      <c r="N239" s="139"/>
      <c r="O239" s="225">
        <f t="shared" si="6696"/>
        <v>0</v>
      </c>
      <c r="P239" s="198">
        <f t="shared" si="6625"/>
        <v>0</v>
      </c>
      <c r="Q239" s="140"/>
      <c r="R239" s="110"/>
      <c r="S239" s="137"/>
      <c r="T239" s="97"/>
      <c r="U239" s="138">
        <f t="shared" ref="U239:V239" si="6859">U180+U210</f>
        <v>0</v>
      </c>
      <c r="V239" s="110">
        <f t="shared" si="6859"/>
        <v>0</v>
      </c>
      <c r="W239" s="110"/>
      <c r="X239" s="139"/>
      <c r="Y239" s="225">
        <f t="shared" si="6698"/>
        <v>0</v>
      </c>
      <c r="Z239" s="198">
        <f t="shared" si="6625"/>
        <v>0</v>
      </c>
      <c r="AA239" s="140"/>
      <c r="AB239" s="110"/>
      <c r="AC239" s="137"/>
      <c r="AD239" s="97"/>
      <c r="AE239" s="138">
        <f t="shared" ref="AE239:AF239" si="6860">AE180+AE210</f>
        <v>0</v>
      </c>
      <c r="AF239" s="110">
        <f t="shared" si="6860"/>
        <v>0</v>
      </c>
      <c r="AG239" s="110"/>
      <c r="AH239" s="139"/>
      <c r="AI239" s="225">
        <f t="shared" si="6700"/>
        <v>0</v>
      </c>
      <c r="AJ239" s="198">
        <f t="shared" si="6625"/>
        <v>0</v>
      </c>
      <c r="AK239" s="140"/>
      <c r="AL239" s="110"/>
      <c r="AM239" s="137"/>
      <c r="AN239" s="97"/>
      <c r="AO239" s="138">
        <f t="shared" ref="AO239:AP239" si="6861">AO180+AO210</f>
        <v>0</v>
      </c>
      <c r="AP239" s="110">
        <f t="shared" si="6861"/>
        <v>0</v>
      </c>
      <c r="AQ239" s="110"/>
      <c r="AR239" s="139"/>
      <c r="AS239" s="225">
        <f t="shared" si="6702"/>
        <v>0</v>
      </c>
      <c r="AT239" s="198">
        <f t="shared" si="6625"/>
        <v>0</v>
      </c>
      <c r="AU239" s="140"/>
      <c r="AV239" s="110"/>
      <c r="AW239" s="137"/>
      <c r="AX239" s="97"/>
      <c r="AY239" s="138">
        <f t="shared" ref="AY239:AZ239" si="6862">AY180+AY210</f>
        <v>0</v>
      </c>
      <c r="AZ239" s="110">
        <f t="shared" si="6862"/>
        <v>0</v>
      </c>
      <c r="BA239" s="110"/>
      <c r="BB239" s="139"/>
      <c r="BC239" s="225">
        <f t="shared" si="6704"/>
        <v>0</v>
      </c>
      <c r="BD239" s="198">
        <f t="shared" si="6625"/>
        <v>0</v>
      </c>
      <c r="BE239" s="140"/>
      <c r="BF239" s="110"/>
      <c r="BG239" s="137"/>
      <c r="BH239" s="97"/>
      <c r="BI239" s="138">
        <f t="shared" ref="BI239:BJ239" si="6863">BI180+BI210</f>
        <v>0</v>
      </c>
      <c r="BJ239" s="110">
        <f t="shared" si="6863"/>
        <v>0</v>
      </c>
      <c r="BK239" s="110"/>
      <c r="BL239" s="139"/>
      <c r="BM239" s="225">
        <f t="shared" si="6706"/>
        <v>0</v>
      </c>
      <c r="BN239" s="198">
        <f t="shared" si="6625"/>
        <v>0</v>
      </c>
      <c r="BO239" s="140"/>
      <c r="BP239" s="110"/>
      <c r="BQ239" s="137"/>
      <c r="BR239" s="97"/>
      <c r="BS239" s="138">
        <f t="shared" ref="BS239:BT239" si="6864">BS180+BS210</f>
        <v>0</v>
      </c>
      <c r="BT239" s="110">
        <f t="shared" si="6864"/>
        <v>0</v>
      </c>
      <c r="BU239" s="110"/>
      <c r="BV239" s="139"/>
      <c r="BW239" s="225">
        <f t="shared" si="6708"/>
        <v>0</v>
      </c>
      <c r="BX239" s="198">
        <f t="shared" si="6625"/>
        <v>0</v>
      </c>
      <c r="BY239" s="140"/>
      <c r="BZ239" s="110"/>
      <c r="CA239" s="137"/>
      <c r="CB239" s="97"/>
      <c r="CC239" s="138">
        <f t="shared" ref="CC239:CD239" si="6865">CC180+CC210</f>
        <v>0</v>
      </c>
      <c r="CD239" s="110">
        <f t="shared" si="6865"/>
        <v>0</v>
      </c>
      <c r="CE239" s="110"/>
      <c r="CF239" s="139"/>
      <c r="CG239" s="225">
        <f t="shared" si="6710"/>
        <v>0</v>
      </c>
      <c r="CH239" s="198">
        <f t="shared" si="6633"/>
        <v>0</v>
      </c>
      <c r="CI239" s="140"/>
      <c r="CJ239" s="110"/>
      <c r="CK239" s="137"/>
      <c r="CL239" s="97"/>
      <c r="CM239" s="138">
        <f t="shared" ref="CM239:CN239" si="6866">CM180+CM210</f>
        <v>0</v>
      </c>
      <c r="CN239" s="110">
        <f t="shared" si="6866"/>
        <v>0</v>
      </c>
      <c r="CO239" s="110"/>
      <c r="CP239" s="139"/>
      <c r="CQ239" s="225">
        <f t="shared" si="6712"/>
        <v>0</v>
      </c>
      <c r="CR239" s="198">
        <f t="shared" si="6633"/>
        <v>1</v>
      </c>
      <c r="CS239" s="140"/>
      <c r="CT239" s="110"/>
      <c r="CU239" s="137"/>
      <c r="CV239" s="97"/>
      <c r="CW239" s="138">
        <f t="shared" ref="CW239:CX239" si="6867">CW180+CW210</f>
        <v>3119.8234000000002</v>
      </c>
      <c r="CX239" s="110">
        <f t="shared" si="6867"/>
        <v>3119.82</v>
      </c>
      <c r="CY239" s="110"/>
      <c r="CZ239" s="139"/>
      <c r="DA239" s="225">
        <f t="shared" si="6714"/>
        <v>1.0549200000000001</v>
      </c>
      <c r="DB239" s="198">
        <f t="shared" si="6633"/>
        <v>1</v>
      </c>
      <c r="DC239" s="140"/>
      <c r="DD239" s="110"/>
      <c r="DE239" s="137"/>
      <c r="DF239" s="97"/>
      <c r="DG239" s="138">
        <f t="shared" ref="DG239:DH239" si="6868">DG180+DG210</f>
        <v>2694.9445999999998</v>
      </c>
      <c r="DH239" s="110">
        <f t="shared" si="6868"/>
        <v>2694.95</v>
      </c>
      <c r="DI239" s="110"/>
      <c r="DJ239" s="139"/>
      <c r="DK239" s="225">
        <f t="shared" si="6716"/>
        <v>0.91125999999999996</v>
      </c>
      <c r="DL239" s="198">
        <f t="shared" si="6633"/>
        <v>0</v>
      </c>
      <c r="DM239" s="140"/>
      <c r="DN239" s="110"/>
      <c r="DO239" s="137"/>
      <c r="DP239" s="97"/>
      <c r="DQ239" s="138">
        <f t="shared" ref="DQ239:DR239" si="6869">DQ180+DQ210</f>
        <v>0</v>
      </c>
      <c r="DR239" s="110">
        <f t="shared" si="6869"/>
        <v>0</v>
      </c>
      <c r="DS239" s="110"/>
      <c r="DT239" s="139"/>
      <c r="DU239" s="225">
        <f t="shared" si="6718"/>
        <v>0</v>
      </c>
      <c r="DV239" s="198">
        <f t="shared" si="6633"/>
        <v>0</v>
      </c>
      <c r="DW239" s="140"/>
      <c r="DX239" s="110"/>
      <c r="DY239" s="137"/>
      <c r="DZ239" s="97"/>
      <c r="EA239" s="138">
        <f t="shared" ref="EA239:EB239" si="6870">EA180+EA210</f>
        <v>0</v>
      </c>
      <c r="EB239" s="110">
        <f t="shared" si="6870"/>
        <v>0</v>
      </c>
      <c r="EC239" s="110"/>
      <c r="ED239" s="139"/>
      <c r="EE239" s="225">
        <f t="shared" si="6720"/>
        <v>0</v>
      </c>
      <c r="EF239" s="198">
        <f t="shared" si="6633"/>
        <v>0</v>
      </c>
      <c r="EG239" s="140"/>
      <c r="EH239" s="110"/>
      <c r="EI239" s="137"/>
      <c r="EJ239" s="97"/>
      <c r="EK239" s="138">
        <f t="shared" ref="EK239:EL239" si="6871">EK180+EK210</f>
        <v>0</v>
      </c>
      <c r="EL239" s="110">
        <f t="shared" si="6871"/>
        <v>0</v>
      </c>
      <c r="EM239" s="110"/>
      <c r="EN239" s="139"/>
      <c r="EO239" s="225">
        <f t="shared" si="6722"/>
        <v>0</v>
      </c>
      <c r="EP239" s="198">
        <f t="shared" si="6633"/>
        <v>0</v>
      </c>
      <c r="EQ239" s="140"/>
      <c r="ER239" s="110"/>
      <c r="ES239" s="137"/>
      <c r="ET239" s="97"/>
      <c r="EU239" s="138">
        <f t="shared" ref="EU239:EV239" si="6872">EU180+EU210</f>
        <v>0</v>
      </c>
      <c r="EV239" s="110">
        <f t="shared" si="6872"/>
        <v>0</v>
      </c>
      <c r="EW239" s="110"/>
      <c r="EX239" s="139"/>
      <c r="EY239" s="225">
        <f t="shared" si="6724"/>
        <v>0</v>
      </c>
      <c r="EZ239" s="198">
        <f t="shared" si="6641"/>
        <v>0</v>
      </c>
      <c r="FA239" s="140"/>
      <c r="FB239" s="110"/>
      <c r="FC239" s="137"/>
      <c r="FD239" s="97"/>
      <c r="FE239" s="138">
        <f t="shared" ref="FE239:FF239" si="6873">FE180+FE210</f>
        <v>0</v>
      </c>
      <c r="FF239" s="110">
        <f t="shared" si="6873"/>
        <v>0</v>
      </c>
      <c r="FG239" s="110"/>
      <c r="FH239" s="139"/>
      <c r="FI239" s="225">
        <f t="shared" si="6726"/>
        <v>0</v>
      </c>
      <c r="FJ239" s="198">
        <f t="shared" si="6641"/>
        <v>0</v>
      </c>
      <c r="FK239" s="140"/>
      <c r="FL239" s="110"/>
      <c r="FM239" s="137"/>
      <c r="FN239" s="97"/>
      <c r="FO239" s="138">
        <f t="shared" ref="FO239:FP239" si="6874">FO180+FO210</f>
        <v>0</v>
      </c>
      <c r="FP239" s="110">
        <f t="shared" si="6874"/>
        <v>0</v>
      </c>
      <c r="FQ239" s="110"/>
      <c r="FR239" s="139"/>
      <c r="FS239" s="225">
        <f t="shared" si="6728"/>
        <v>0</v>
      </c>
      <c r="FT239" s="198">
        <f t="shared" si="6641"/>
        <v>1</v>
      </c>
      <c r="FU239" s="140"/>
      <c r="FV239" s="110"/>
      <c r="FW239" s="137"/>
      <c r="FX239" s="97"/>
      <c r="FY239" s="138">
        <f t="shared" ref="FY239:FZ239" si="6875">FY180+FY210</f>
        <v>2767.8330000000001</v>
      </c>
      <c r="FZ239" s="110">
        <f t="shared" si="6875"/>
        <v>2767.83</v>
      </c>
      <c r="GA239" s="110"/>
      <c r="GB239" s="139"/>
      <c r="GC239" s="225">
        <f t="shared" si="6730"/>
        <v>0.93589999999999995</v>
      </c>
      <c r="GD239" s="198">
        <f t="shared" si="6641"/>
        <v>0</v>
      </c>
      <c r="GE239" s="140"/>
      <c r="GF239" s="110"/>
      <c r="GG239" s="137"/>
      <c r="GH239" s="97"/>
      <c r="GI239" s="138">
        <f t="shared" ref="GI239:GJ239" si="6876">GI180+GI210</f>
        <v>0</v>
      </c>
      <c r="GJ239" s="110">
        <f t="shared" si="6876"/>
        <v>0</v>
      </c>
      <c r="GK239" s="110"/>
      <c r="GL239" s="139"/>
      <c r="GM239" s="225">
        <f t="shared" si="6732"/>
        <v>0</v>
      </c>
      <c r="GN239" s="198">
        <f t="shared" si="6641"/>
        <v>0</v>
      </c>
      <c r="GO239" s="140"/>
      <c r="GP239" s="110"/>
      <c r="GQ239" s="137"/>
      <c r="GR239" s="97"/>
      <c r="GS239" s="138">
        <f t="shared" ref="GS239:GT239" si="6877">GS180+GS210</f>
        <v>0</v>
      </c>
      <c r="GT239" s="110">
        <f t="shared" si="6877"/>
        <v>0</v>
      </c>
      <c r="GU239" s="110"/>
      <c r="GV239" s="139"/>
      <c r="GW239" s="225">
        <f t="shared" si="6734"/>
        <v>0</v>
      </c>
      <c r="GX239" s="198">
        <f t="shared" si="6641"/>
        <v>1</v>
      </c>
      <c r="GY239" s="140"/>
      <c r="GZ239" s="110"/>
      <c r="HA239" s="137"/>
      <c r="HB239" s="97"/>
      <c r="HC239" s="138">
        <f t="shared" ref="HC239:HD239" si="6878">HC180+HC210</f>
        <v>2381.9748</v>
      </c>
      <c r="HD239" s="110">
        <f t="shared" si="6878"/>
        <v>2381.9699999999998</v>
      </c>
      <c r="HE239" s="110"/>
      <c r="HF239" s="139"/>
      <c r="HG239" s="225">
        <f t="shared" si="6736"/>
        <v>0.80542999999999998</v>
      </c>
      <c r="HH239" s="198">
        <f t="shared" si="6641"/>
        <v>1</v>
      </c>
      <c r="HI239" s="140"/>
      <c r="HJ239" s="110"/>
      <c r="HK239" s="137"/>
      <c r="HL239" s="97"/>
      <c r="HM239" s="138">
        <f t="shared" ref="HM239:HN239" si="6879">HM180+HM210</f>
        <v>2546.2629000000002</v>
      </c>
      <c r="HN239" s="110">
        <f t="shared" si="6879"/>
        <v>2546.2600000000002</v>
      </c>
      <c r="HO239" s="110"/>
      <c r="HP239" s="139"/>
      <c r="HQ239" s="225">
        <f t="shared" si="6738"/>
        <v>0.86097999999999997</v>
      </c>
      <c r="HR239" s="198">
        <f t="shared" si="6649"/>
        <v>0</v>
      </c>
      <c r="HS239" s="140"/>
      <c r="HT239" s="110"/>
      <c r="HU239" s="137"/>
      <c r="HV239" s="97"/>
      <c r="HW239" s="138">
        <f t="shared" ref="HW239:HX239" si="6880">HW180+HW210</f>
        <v>0</v>
      </c>
      <c r="HX239" s="110">
        <f t="shared" si="6880"/>
        <v>0</v>
      </c>
      <c r="HY239" s="110"/>
      <c r="HZ239" s="139"/>
      <c r="IA239" s="225">
        <f t="shared" si="6740"/>
        <v>0</v>
      </c>
      <c r="IB239" s="198">
        <f t="shared" si="6649"/>
        <v>0</v>
      </c>
      <c r="IC239" s="140"/>
      <c r="ID239" s="110"/>
      <c r="IE239" s="137"/>
      <c r="IF239" s="97"/>
      <c r="IG239" s="138">
        <f t="shared" ref="IG239:IH239" si="6881">IG180+IG210</f>
        <v>0</v>
      </c>
      <c r="IH239" s="110">
        <f t="shared" si="6881"/>
        <v>0</v>
      </c>
      <c r="II239" s="110"/>
      <c r="IJ239" s="139"/>
      <c r="IK239" s="225">
        <f t="shared" si="6742"/>
        <v>0</v>
      </c>
      <c r="IL239" s="198">
        <f t="shared" si="6649"/>
        <v>1</v>
      </c>
      <c r="IM239" s="140"/>
      <c r="IN239" s="110"/>
      <c r="IO239" s="137"/>
      <c r="IP239" s="97"/>
      <c r="IQ239" s="138">
        <f t="shared" ref="IQ239:IR239" si="6882">IQ180+IQ210</f>
        <v>1999.7502999999999</v>
      </c>
      <c r="IR239" s="110">
        <f t="shared" si="6882"/>
        <v>1999.75</v>
      </c>
      <c r="IS239" s="110"/>
      <c r="IT239" s="139"/>
      <c r="IU239" s="225">
        <f t="shared" si="6744"/>
        <v>0.67618999999999996</v>
      </c>
      <c r="IV239" s="198">
        <f t="shared" si="6649"/>
        <v>0</v>
      </c>
      <c r="IW239" s="140"/>
      <c r="IX239" s="110"/>
      <c r="IY239" s="137"/>
      <c r="IZ239" s="97"/>
      <c r="JA239" s="138">
        <f t="shared" ref="JA239:JB239" si="6883">JA180+JA210</f>
        <v>0</v>
      </c>
      <c r="JB239" s="110">
        <f t="shared" si="6883"/>
        <v>0</v>
      </c>
      <c r="JC239" s="110"/>
      <c r="JD239" s="139"/>
      <c r="JE239" s="225">
        <f t="shared" si="6746"/>
        <v>0</v>
      </c>
      <c r="JF239" s="198">
        <f t="shared" si="6649"/>
        <v>0</v>
      </c>
      <c r="JG239" s="140"/>
      <c r="JH239" s="110"/>
      <c r="JI239" s="137"/>
      <c r="JJ239" s="97"/>
      <c r="JK239" s="138">
        <f t="shared" ref="JK239:JL239" si="6884">JK180+JK210</f>
        <v>0</v>
      </c>
      <c r="JL239" s="110">
        <f t="shared" si="6884"/>
        <v>0</v>
      </c>
      <c r="JM239" s="110"/>
      <c r="JN239" s="139"/>
      <c r="JO239" s="225">
        <f t="shared" si="6748"/>
        <v>0</v>
      </c>
      <c r="JP239" s="198">
        <f t="shared" si="6649"/>
        <v>0</v>
      </c>
      <c r="JQ239" s="140"/>
      <c r="JR239" s="110"/>
      <c r="JS239" s="137"/>
      <c r="JT239" s="97"/>
      <c r="JU239" s="138">
        <f t="shared" ref="JU239:JV239" si="6885">JU180+JU210</f>
        <v>0</v>
      </c>
      <c r="JV239" s="110">
        <f t="shared" si="6885"/>
        <v>0</v>
      </c>
      <c r="JW239" s="110"/>
      <c r="JX239" s="139"/>
      <c r="JY239" s="225">
        <f t="shared" si="6750"/>
        <v>0</v>
      </c>
      <c r="JZ239" s="198">
        <f t="shared" si="6649"/>
        <v>0</v>
      </c>
      <c r="KA239" s="140"/>
      <c r="KB239" s="110"/>
      <c r="KC239" s="137"/>
      <c r="KD239" s="97"/>
      <c r="KE239" s="138">
        <f t="shared" ref="KE239:KF239" si="6886">KE180+KE210</f>
        <v>0</v>
      </c>
      <c r="KF239" s="110">
        <f t="shared" si="6886"/>
        <v>0</v>
      </c>
      <c r="KG239" s="110"/>
      <c r="KH239" s="139"/>
      <c r="KI239" s="225">
        <f t="shared" si="6752"/>
        <v>0</v>
      </c>
      <c r="KJ239" s="198">
        <f t="shared" si="6657"/>
        <v>0</v>
      </c>
      <c r="KK239" s="140"/>
      <c r="KL239" s="110"/>
      <c r="KM239" s="137"/>
      <c r="KN239" s="97"/>
      <c r="KO239" s="138">
        <f t="shared" ref="KO239:KP239" si="6887">KO180+KO210</f>
        <v>0</v>
      </c>
      <c r="KP239" s="110">
        <f t="shared" si="6887"/>
        <v>0</v>
      </c>
      <c r="KQ239" s="110"/>
      <c r="KR239" s="139"/>
      <c r="KS239" s="225">
        <f t="shared" si="6754"/>
        <v>0</v>
      </c>
      <c r="KT239" s="198">
        <f t="shared" si="6657"/>
        <v>0</v>
      </c>
      <c r="KU239" s="140"/>
      <c r="KV239" s="110"/>
      <c r="KW239" s="137"/>
      <c r="KX239" s="97"/>
      <c r="KY239" s="138">
        <f t="shared" ref="KY239:KZ239" si="6888">KY180+KY210</f>
        <v>0</v>
      </c>
      <c r="KZ239" s="110">
        <f t="shared" si="6888"/>
        <v>0</v>
      </c>
      <c r="LA239" s="110"/>
      <c r="LB239" s="139"/>
      <c r="LC239" s="225">
        <f t="shared" si="6756"/>
        <v>0</v>
      </c>
      <c r="LD239" s="198">
        <f t="shared" ref="LD239" si="6889">LD35</f>
        <v>6</v>
      </c>
      <c r="LE239" s="140"/>
      <c r="LF239" s="110"/>
      <c r="LG239" s="137"/>
      <c r="LH239" s="97"/>
      <c r="LI239" s="138">
        <f t="shared" ref="LI239:LJ239" si="6890">LI180+LI210</f>
        <v>2957.3907300000001</v>
      </c>
      <c r="LJ239" s="110">
        <f t="shared" si="6890"/>
        <v>17744.349999999999</v>
      </c>
      <c r="LK239" s="110"/>
      <c r="LL239" s="139"/>
    </row>
    <row r="240" spans="1:324" ht="16.5" customHeight="1" x14ac:dyDescent="0.25">
      <c r="A240" s="246"/>
      <c r="B240" s="12" t="s">
        <v>627</v>
      </c>
      <c r="C240" s="12" t="s">
        <v>728</v>
      </c>
      <c r="D240" s="12" t="s">
        <v>430</v>
      </c>
      <c r="E240" s="4"/>
      <c r="F240" s="198">
        <f t="shared" si="6097"/>
        <v>0</v>
      </c>
      <c r="G240" s="140"/>
      <c r="H240" s="110"/>
      <c r="I240" s="137"/>
      <c r="J240" s="97"/>
      <c r="K240" s="138">
        <f t="shared" ref="K240:L240" si="6891">K181+K211</f>
        <v>0</v>
      </c>
      <c r="L240" s="110">
        <f t="shared" si="6891"/>
        <v>0</v>
      </c>
      <c r="M240" s="110"/>
      <c r="N240" s="139"/>
      <c r="O240" s="225">
        <f t="shared" si="6696"/>
        <v>0</v>
      </c>
      <c r="P240" s="198">
        <f t="shared" si="6625"/>
        <v>0</v>
      </c>
      <c r="Q240" s="140"/>
      <c r="R240" s="110"/>
      <c r="S240" s="137"/>
      <c r="T240" s="97"/>
      <c r="U240" s="138">
        <f t="shared" ref="U240:V240" si="6892">U181+U211</f>
        <v>0</v>
      </c>
      <c r="V240" s="110">
        <f t="shared" si="6892"/>
        <v>0</v>
      </c>
      <c r="W240" s="110"/>
      <c r="X240" s="139"/>
      <c r="Y240" s="225">
        <f t="shared" si="6698"/>
        <v>0</v>
      </c>
      <c r="Z240" s="198">
        <f t="shared" si="6625"/>
        <v>0</v>
      </c>
      <c r="AA240" s="140"/>
      <c r="AB240" s="110"/>
      <c r="AC240" s="137"/>
      <c r="AD240" s="97"/>
      <c r="AE240" s="138">
        <f t="shared" ref="AE240:AF240" si="6893">AE181+AE211</f>
        <v>0</v>
      </c>
      <c r="AF240" s="110">
        <f t="shared" si="6893"/>
        <v>0</v>
      </c>
      <c r="AG240" s="110"/>
      <c r="AH240" s="139"/>
      <c r="AI240" s="225">
        <f t="shared" si="6700"/>
        <v>0</v>
      </c>
      <c r="AJ240" s="198">
        <f t="shared" si="6625"/>
        <v>0</v>
      </c>
      <c r="AK240" s="140"/>
      <c r="AL240" s="110"/>
      <c r="AM240" s="137"/>
      <c r="AN240" s="97"/>
      <c r="AO240" s="138">
        <f t="shared" ref="AO240:AP240" si="6894">AO181+AO211</f>
        <v>0</v>
      </c>
      <c r="AP240" s="110">
        <f t="shared" si="6894"/>
        <v>0</v>
      </c>
      <c r="AQ240" s="110"/>
      <c r="AR240" s="139"/>
      <c r="AS240" s="225">
        <f t="shared" si="6702"/>
        <v>0</v>
      </c>
      <c r="AT240" s="198">
        <f t="shared" si="6625"/>
        <v>1</v>
      </c>
      <c r="AU240" s="140"/>
      <c r="AV240" s="110"/>
      <c r="AW240" s="137"/>
      <c r="AX240" s="97"/>
      <c r="AY240" s="138">
        <f t="shared" ref="AY240:AZ240" si="6895">AY181+AY211</f>
        <v>1215.3707999999999</v>
      </c>
      <c r="AZ240" s="110">
        <f t="shared" si="6895"/>
        <v>1215.3800000000001</v>
      </c>
      <c r="BA240" s="110"/>
      <c r="BB240" s="139"/>
      <c r="BC240" s="225">
        <f t="shared" si="6704"/>
        <v>0.36083999999999999</v>
      </c>
      <c r="BD240" s="198">
        <f t="shared" si="6625"/>
        <v>0</v>
      </c>
      <c r="BE240" s="140"/>
      <c r="BF240" s="110"/>
      <c r="BG240" s="137"/>
      <c r="BH240" s="97"/>
      <c r="BI240" s="138">
        <f t="shared" ref="BI240:BJ240" si="6896">BI181+BI211</f>
        <v>0</v>
      </c>
      <c r="BJ240" s="110">
        <f t="shared" si="6896"/>
        <v>0</v>
      </c>
      <c r="BK240" s="110"/>
      <c r="BL240" s="139"/>
      <c r="BM240" s="225">
        <f t="shared" si="6706"/>
        <v>0</v>
      </c>
      <c r="BN240" s="198">
        <f t="shared" si="6625"/>
        <v>0</v>
      </c>
      <c r="BO240" s="140"/>
      <c r="BP240" s="110"/>
      <c r="BQ240" s="137"/>
      <c r="BR240" s="97"/>
      <c r="BS240" s="138">
        <f t="shared" ref="BS240:BT240" si="6897">BS181+BS211</f>
        <v>0</v>
      </c>
      <c r="BT240" s="110">
        <f t="shared" si="6897"/>
        <v>0</v>
      </c>
      <c r="BU240" s="110"/>
      <c r="BV240" s="139"/>
      <c r="BW240" s="225">
        <f t="shared" si="6708"/>
        <v>0</v>
      </c>
      <c r="BX240" s="198">
        <f t="shared" si="6625"/>
        <v>0</v>
      </c>
      <c r="BY240" s="140"/>
      <c r="BZ240" s="110"/>
      <c r="CA240" s="137"/>
      <c r="CB240" s="97"/>
      <c r="CC240" s="138">
        <f t="shared" ref="CC240:CD240" si="6898">CC181+CC211</f>
        <v>0</v>
      </c>
      <c r="CD240" s="110">
        <f t="shared" si="6898"/>
        <v>0</v>
      </c>
      <c r="CE240" s="110"/>
      <c r="CF240" s="139"/>
      <c r="CG240" s="225">
        <f t="shared" si="6710"/>
        <v>0</v>
      </c>
      <c r="CH240" s="198">
        <f t="shared" si="6633"/>
        <v>0</v>
      </c>
      <c r="CI240" s="140"/>
      <c r="CJ240" s="110"/>
      <c r="CK240" s="137"/>
      <c r="CL240" s="97"/>
      <c r="CM240" s="138">
        <f t="shared" ref="CM240:CN240" si="6899">CM181+CM211</f>
        <v>0</v>
      </c>
      <c r="CN240" s="110">
        <f t="shared" si="6899"/>
        <v>0</v>
      </c>
      <c r="CO240" s="110"/>
      <c r="CP240" s="139"/>
      <c r="CQ240" s="225">
        <f t="shared" si="6712"/>
        <v>0</v>
      </c>
      <c r="CR240" s="198">
        <f t="shared" si="6633"/>
        <v>0</v>
      </c>
      <c r="CS240" s="140"/>
      <c r="CT240" s="110"/>
      <c r="CU240" s="137"/>
      <c r="CV240" s="97"/>
      <c r="CW240" s="138">
        <f t="shared" ref="CW240:CX240" si="6900">CW181+CW211</f>
        <v>0</v>
      </c>
      <c r="CX240" s="110">
        <f t="shared" si="6900"/>
        <v>0</v>
      </c>
      <c r="CY240" s="110"/>
      <c r="CZ240" s="139"/>
      <c r="DA240" s="225">
        <f t="shared" si="6714"/>
        <v>0</v>
      </c>
      <c r="DB240" s="198">
        <f t="shared" si="6633"/>
        <v>0</v>
      </c>
      <c r="DC240" s="140"/>
      <c r="DD240" s="110"/>
      <c r="DE240" s="137"/>
      <c r="DF240" s="97"/>
      <c r="DG240" s="138">
        <f t="shared" ref="DG240:DH240" si="6901">DG181+DG211</f>
        <v>0</v>
      </c>
      <c r="DH240" s="110">
        <f t="shared" si="6901"/>
        <v>0</v>
      </c>
      <c r="DI240" s="110"/>
      <c r="DJ240" s="139"/>
      <c r="DK240" s="225">
        <f t="shared" si="6716"/>
        <v>0</v>
      </c>
      <c r="DL240" s="198">
        <f t="shared" si="6633"/>
        <v>0</v>
      </c>
      <c r="DM240" s="140"/>
      <c r="DN240" s="110"/>
      <c r="DO240" s="137"/>
      <c r="DP240" s="97"/>
      <c r="DQ240" s="138">
        <f t="shared" ref="DQ240:DR240" si="6902">DQ181+DQ211</f>
        <v>0</v>
      </c>
      <c r="DR240" s="110">
        <f t="shared" si="6902"/>
        <v>0</v>
      </c>
      <c r="DS240" s="110"/>
      <c r="DT240" s="139"/>
      <c r="DU240" s="225">
        <f t="shared" si="6718"/>
        <v>0</v>
      </c>
      <c r="DV240" s="198">
        <f t="shared" si="6633"/>
        <v>0</v>
      </c>
      <c r="DW240" s="140"/>
      <c r="DX240" s="110"/>
      <c r="DY240" s="137"/>
      <c r="DZ240" s="97"/>
      <c r="EA240" s="138">
        <f t="shared" ref="EA240:EB240" si="6903">EA181+EA211</f>
        <v>0</v>
      </c>
      <c r="EB240" s="110">
        <f t="shared" si="6903"/>
        <v>0</v>
      </c>
      <c r="EC240" s="110"/>
      <c r="ED240" s="139"/>
      <c r="EE240" s="225">
        <f t="shared" si="6720"/>
        <v>0</v>
      </c>
      <c r="EF240" s="198">
        <f t="shared" si="6633"/>
        <v>0</v>
      </c>
      <c r="EG240" s="140"/>
      <c r="EH240" s="110"/>
      <c r="EI240" s="137"/>
      <c r="EJ240" s="97"/>
      <c r="EK240" s="138">
        <f t="shared" ref="EK240:EL240" si="6904">EK181+EK211</f>
        <v>0</v>
      </c>
      <c r="EL240" s="110">
        <f t="shared" si="6904"/>
        <v>0</v>
      </c>
      <c r="EM240" s="110"/>
      <c r="EN240" s="139"/>
      <c r="EO240" s="225">
        <f t="shared" si="6722"/>
        <v>0</v>
      </c>
      <c r="EP240" s="198">
        <f t="shared" si="6633"/>
        <v>0</v>
      </c>
      <c r="EQ240" s="140"/>
      <c r="ER240" s="110"/>
      <c r="ES240" s="137"/>
      <c r="ET240" s="97"/>
      <c r="EU240" s="138">
        <f t="shared" ref="EU240:EV240" si="6905">EU181+EU211</f>
        <v>0</v>
      </c>
      <c r="EV240" s="110">
        <f t="shared" si="6905"/>
        <v>0</v>
      </c>
      <c r="EW240" s="110"/>
      <c r="EX240" s="139"/>
      <c r="EY240" s="225">
        <f t="shared" si="6724"/>
        <v>0</v>
      </c>
      <c r="EZ240" s="198">
        <f t="shared" si="6641"/>
        <v>0</v>
      </c>
      <c r="FA240" s="140"/>
      <c r="FB240" s="110"/>
      <c r="FC240" s="137"/>
      <c r="FD240" s="97"/>
      <c r="FE240" s="138">
        <f t="shared" ref="FE240:FF240" si="6906">FE181+FE211</f>
        <v>0</v>
      </c>
      <c r="FF240" s="110">
        <f t="shared" si="6906"/>
        <v>0</v>
      </c>
      <c r="FG240" s="110"/>
      <c r="FH240" s="139"/>
      <c r="FI240" s="225">
        <f t="shared" si="6726"/>
        <v>0</v>
      </c>
      <c r="FJ240" s="198">
        <f t="shared" si="6641"/>
        <v>0</v>
      </c>
      <c r="FK240" s="140"/>
      <c r="FL240" s="110"/>
      <c r="FM240" s="137"/>
      <c r="FN240" s="97"/>
      <c r="FO240" s="138">
        <f t="shared" ref="FO240:FP240" si="6907">FO181+FO211</f>
        <v>0</v>
      </c>
      <c r="FP240" s="110">
        <f t="shared" si="6907"/>
        <v>0</v>
      </c>
      <c r="FQ240" s="110"/>
      <c r="FR240" s="139"/>
      <c r="FS240" s="225">
        <f t="shared" si="6728"/>
        <v>0</v>
      </c>
      <c r="FT240" s="198">
        <f t="shared" si="6641"/>
        <v>0</v>
      </c>
      <c r="FU240" s="140"/>
      <c r="FV240" s="110"/>
      <c r="FW240" s="137"/>
      <c r="FX240" s="97"/>
      <c r="FY240" s="138">
        <f t="shared" ref="FY240:FZ240" si="6908">FY181+FY211</f>
        <v>0</v>
      </c>
      <c r="FZ240" s="110">
        <f t="shared" si="6908"/>
        <v>0</v>
      </c>
      <c r="GA240" s="110"/>
      <c r="GB240" s="139"/>
      <c r="GC240" s="225">
        <f t="shared" si="6730"/>
        <v>0</v>
      </c>
      <c r="GD240" s="198">
        <f t="shared" si="6641"/>
        <v>0</v>
      </c>
      <c r="GE240" s="140"/>
      <c r="GF240" s="110"/>
      <c r="GG240" s="137"/>
      <c r="GH240" s="97"/>
      <c r="GI240" s="138">
        <f t="shared" ref="GI240:GJ240" si="6909">GI181+GI211</f>
        <v>0</v>
      </c>
      <c r="GJ240" s="110">
        <f t="shared" si="6909"/>
        <v>0</v>
      </c>
      <c r="GK240" s="110"/>
      <c r="GL240" s="139"/>
      <c r="GM240" s="225">
        <f t="shared" si="6732"/>
        <v>0</v>
      </c>
      <c r="GN240" s="198">
        <f t="shared" si="6641"/>
        <v>0</v>
      </c>
      <c r="GO240" s="140"/>
      <c r="GP240" s="110"/>
      <c r="GQ240" s="137"/>
      <c r="GR240" s="97"/>
      <c r="GS240" s="138">
        <f t="shared" ref="GS240:GT240" si="6910">GS181+GS211</f>
        <v>0</v>
      </c>
      <c r="GT240" s="110">
        <f t="shared" si="6910"/>
        <v>0</v>
      </c>
      <c r="GU240" s="110"/>
      <c r="GV240" s="139"/>
      <c r="GW240" s="225">
        <f t="shared" si="6734"/>
        <v>0</v>
      </c>
      <c r="GX240" s="198">
        <f t="shared" si="6641"/>
        <v>0</v>
      </c>
      <c r="GY240" s="140"/>
      <c r="GZ240" s="110"/>
      <c r="HA240" s="137"/>
      <c r="HB240" s="97"/>
      <c r="HC240" s="138">
        <f t="shared" ref="HC240:HD240" si="6911">HC181+HC211</f>
        <v>0</v>
      </c>
      <c r="HD240" s="110">
        <f t="shared" si="6911"/>
        <v>0</v>
      </c>
      <c r="HE240" s="110"/>
      <c r="HF240" s="139"/>
      <c r="HG240" s="225">
        <f t="shared" si="6736"/>
        <v>0</v>
      </c>
      <c r="HH240" s="198">
        <f t="shared" si="6641"/>
        <v>0</v>
      </c>
      <c r="HI240" s="140"/>
      <c r="HJ240" s="110"/>
      <c r="HK240" s="137"/>
      <c r="HL240" s="97"/>
      <c r="HM240" s="138">
        <f t="shared" ref="HM240:HN240" si="6912">HM181+HM211</f>
        <v>0</v>
      </c>
      <c r="HN240" s="110">
        <f t="shared" si="6912"/>
        <v>0</v>
      </c>
      <c r="HO240" s="110"/>
      <c r="HP240" s="139"/>
      <c r="HQ240" s="225">
        <f t="shared" si="6738"/>
        <v>0</v>
      </c>
      <c r="HR240" s="198">
        <f t="shared" si="6649"/>
        <v>0</v>
      </c>
      <c r="HS240" s="140"/>
      <c r="HT240" s="110"/>
      <c r="HU240" s="137"/>
      <c r="HV240" s="97"/>
      <c r="HW240" s="138">
        <f t="shared" ref="HW240:HX240" si="6913">HW181+HW211</f>
        <v>0</v>
      </c>
      <c r="HX240" s="110">
        <f t="shared" si="6913"/>
        <v>0</v>
      </c>
      <c r="HY240" s="110"/>
      <c r="HZ240" s="139"/>
      <c r="IA240" s="225">
        <f t="shared" si="6740"/>
        <v>0</v>
      </c>
      <c r="IB240" s="198">
        <f t="shared" si="6649"/>
        <v>0</v>
      </c>
      <c r="IC240" s="140"/>
      <c r="ID240" s="110"/>
      <c r="IE240" s="137"/>
      <c r="IF240" s="97"/>
      <c r="IG240" s="138">
        <f t="shared" ref="IG240:IH240" si="6914">IG181+IG211</f>
        <v>0</v>
      </c>
      <c r="IH240" s="110">
        <f t="shared" si="6914"/>
        <v>0</v>
      </c>
      <c r="II240" s="110"/>
      <c r="IJ240" s="139"/>
      <c r="IK240" s="225">
        <f t="shared" si="6742"/>
        <v>0</v>
      </c>
      <c r="IL240" s="198">
        <f t="shared" si="6649"/>
        <v>0</v>
      </c>
      <c r="IM240" s="140"/>
      <c r="IN240" s="110"/>
      <c r="IO240" s="137"/>
      <c r="IP240" s="97"/>
      <c r="IQ240" s="138">
        <f t="shared" ref="IQ240:IR240" si="6915">IQ181+IQ211</f>
        <v>0</v>
      </c>
      <c r="IR240" s="110">
        <f t="shared" si="6915"/>
        <v>0</v>
      </c>
      <c r="IS240" s="110"/>
      <c r="IT240" s="139"/>
      <c r="IU240" s="225">
        <f t="shared" si="6744"/>
        <v>0</v>
      </c>
      <c r="IV240" s="198">
        <f t="shared" si="6649"/>
        <v>0</v>
      </c>
      <c r="IW240" s="140"/>
      <c r="IX240" s="110"/>
      <c r="IY240" s="137"/>
      <c r="IZ240" s="97"/>
      <c r="JA240" s="138">
        <f t="shared" ref="JA240:JB240" si="6916">JA181+JA211</f>
        <v>0</v>
      </c>
      <c r="JB240" s="110">
        <f t="shared" si="6916"/>
        <v>0</v>
      </c>
      <c r="JC240" s="110"/>
      <c r="JD240" s="139"/>
      <c r="JE240" s="225">
        <f t="shared" si="6746"/>
        <v>0</v>
      </c>
      <c r="JF240" s="198">
        <f t="shared" si="6649"/>
        <v>0</v>
      </c>
      <c r="JG240" s="140"/>
      <c r="JH240" s="110"/>
      <c r="JI240" s="137"/>
      <c r="JJ240" s="97"/>
      <c r="JK240" s="138">
        <f t="shared" ref="JK240:JL240" si="6917">JK181+JK211</f>
        <v>0</v>
      </c>
      <c r="JL240" s="110">
        <f t="shared" si="6917"/>
        <v>0</v>
      </c>
      <c r="JM240" s="110"/>
      <c r="JN240" s="139"/>
      <c r="JO240" s="225">
        <f t="shared" si="6748"/>
        <v>0</v>
      </c>
      <c r="JP240" s="198">
        <f t="shared" si="6649"/>
        <v>0</v>
      </c>
      <c r="JQ240" s="140"/>
      <c r="JR240" s="110"/>
      <c r="JS240" s="137"/>
      <c r="JT240" s="97"/>
      <c r="JU240" s="138">
        <f t="shared" ref="JU240:JV240" si="6918">JU181+JU211</f>
        <v>0</v>
      </c>
      <c r="JV240" s="110">
        <f t="shared" si="6918"/>
        <v>0</v>
      </c>
      <c r="JW240" s="110"/>
      <c r="JX240" s="139"/>
      <c r="JY240" s="225">
        <f t="shared" si="6750"/>
        <v>0</v>
      </c>
      <c r="JZ240" s="198">
        <f t="shared" si="6649"/>
        <v>0</v>
      </c>
      <c r="KA240" s="140"/>
      <c r="KB240" s="110"/>
      <c r="KC240" s="137"/>
      <c r="KD240" s="97"/>
      <c r="KE240" s="138">
        <f t="shared" ref="KE240:KF240" si="6919">KE181+KE211</f>
        <v>0</v>
      </c>
      <c r="KF240" s="110">
        <f t="shared" si="6919"/>
        <v>0</v>
      </c>
      <c r="KG240" s="110"/>
      <c r="KH240" s="139"/>
      <c r="KI240" s="225">
        <f t="shared" si="6752"/>
        <v>0</v>
      </c>
      <c r="KJ240" s="198">
        <f t="shared" si="6657"/>
        <v>0</v>
      </c>
      <c r="KK240" s="140"/>
      <c r="KL240" s="110"/>
      <c r="KM240" s="137"/>
      <c r="KN240" s="97"/>
      <c r="KO240" s="138">
        <f t="shared" ref="KO240:KP240" si="6920">KO181+KO211</f>
        <v>0</v>
      </c>
      <c r="KP240" s="110">
        <f t="shared" si="6920"/>
        <v>0</v>
      </c>
      <c r="KQ240" s="110"/>
      <c r="KR240" s="139"/>
      <c r="KS240" s="225">
        <f t="shared" si="6754"/>
        <v>0</v>
      </c>
      <c r="KT240" s="198">
        <f t="shared" si="6657"/>
        <v>0</v>
      </c>
      <c r="KU240" s="140"/>
      <c r="KV240" s="110"/>
      <c r="KW240" s="137"/>
      <c r="KX240" s="97"/>
      <c r="KY240" s="138">
        <f t="shared" ref="KY240:KZ240" si="6921">KY181+KY211</f>
        <v>0</v>
      </c>
      <c r="KZ240" s="110">
        <f t="shared" si="6921"/>
        <v>0</v>
      </c>
      <c r="LA240" s="110"/>
      <c r="LB240" s="139"/>
      <c r="LC240" s="225">
        <f t="shared" si="6756"/>
        <v>0</v>
      </c>
      <c r="LD240" s="198">
        <f t="shared" ref="LD240" si="6922">LD36</f>
        <v>1</v>
      </c>
      <c r="LE240" s="140"/>
      <c r="LF240" s="110"/>
      <c r="LG240" s="137"/>
      <c r="LH240" s="97"/>
      <c r="LI240" s="138">
        <f t="shared" ref="LI240:LJ240" si="6923">LI181+LI211</f>
        <v>3368.2039</v>
      </c>
      <c r="LJ240" s="110">
        <f t="shared" si="6923"/>
        <v>3368.21</v>
      </c>
      <c r="LK240" s="110"/>
      <c r="LL240" s="139"/>
    </row>
    <row r="241" spans="1:324" ht="16.5" customHeight="1" x14ac:dyDescent="0.25">
      <c r="A241" s="246"/>
      <c r="B241" s="174" t="s">
        <v>608</v>
      </c>
      <c r="C241" s="12" t="s">
        <v>728</v>
      </c>
      <c r="D241" s="12" t="s">
        <v>430</v>
      </c>
      <c r="E241" s="4"/>
      <c r="F241" s="198">
        <f t="shared" si="6097"/>
        <v>0</v>
      </c>
      <c r="G241" s="140"/>
      <c r="H241" s="110"/>
      <c r="I241" s="137"/>
      <c r="J241" s="97"/>
      <c r="K241" s="138">
        <f t="shared" ref="K241:L241" si="6924">K182+K212</f>
        <v>0</v>
      </c>
      <c r="L241" s="110">
        <f t="shared" si="6924"/>
        <v>0</v>
      </c>
      <c r="M241" s="110"/>
      <c r="N241" s="139"/>
      <c r="O241" s="225">
        <f t="shared" si="6696"/>
        <v>0</v>
      </c>
      <c r="P241" s="198">
        <f t="shared" si="6625"/>
        <v>0</v>
      </c>
      <c r="Q241" s="140"/>
      <c r="R241" s="110"/>
      <c r="S241" s="137"/>
      <c r="T241" s="97"/>
      <c r="U241" s="138">
        <f t="shared" ref="U241:V241" si="6925">U182+U212</f>
        <v>0</v>
      </c>
      <c r="V241" s="110">
        <f t="shared" si="6925"/>
        <v>0</v>
      </c>
      <c r="W241" s="110"/>
      <c r="X241" s="139"/>
      <c r="Y241" s="225">
        <f t="shared" si="6698"/>
        <v>0</v>
      </c>
      <c r="Z241" s="198">
        <f t="shared" si="6625"/>
        <v>0</v>
      </c>
      <c r="AA241" s="140"/>
      <c r="AB241" s="110"/>
      <c r="AC241" s="137"/>
      <c r="AD241" s="97"/>
      <c r="AE241" s="138">
        <f t="shared" ref="AE241:AF241" si="6926">AE182+AE212</f>
        <v>0</v>
      </c>
      <c r="AF241" s="110">
        <f t="shared" si="6926"/>
        <v>0</v>
      </c>
      <c r="AG241" s="110"/>
      <c r="AH241" s="139"/>
      <c r="AI241" s="225">
        <f t="shared" si="6700"/>
        <v>0</v>
      </c>
      <c r="AJ241" s="198">
        <f t="shared" si="6625"/>
        <v>0</v>
      </c>
      <c r="AK241" s="140"/>
      <c r="AL241" s="110"/>
      <c r="AM241" s="137"/>
      <c r="AN241" s="97"/>
      <c r="AO241" s="138">
        <f t="shared" ref="AO241:AP241" si="6927">AO182+AO212</f>
        <v>0</v>
      </c>
      <c r="AP241" s="110">
        <f t="shared" si="6927"/>
        <v>0</v>
      </c>
      <c r="AQ241" s="110"/>
      <c r="AR241" s="139"/>
      <c r="AS241" s="225">
        <f t="shared" si="6702"/>
        <v>0</v>
      </c>
      <c r="AT241" s="198">
        <f t="shared" si="6625"/>
        <v>0</v>
      </c>
      <c r="AU241" s="140"/>
      <c r="AV241" s="110"/>
      <c r="AW241" s="137"/>
      <c r="AX241" s="97"/>
      <c r="AY241" s="138">
        <f t="shared" ref="AY241:AZ241" si="6928">AY182+AY212</f>
        <v>0</v>
      </c>
      <c r="AZ241" s="110">
        <f t="shared" si="6928"/>
        <v>0</v>
      </c>
      <c r="BA241" s="110"/>
      <c r="BB241" s="139"/>
      <c r="BC241" s="225">
        <f t="shared" si="6704"/>
        <v>0</v>
      </c>
      <c r="BD241" s="198">
        <f t="shared" si="6625"/>
        <v>0</v>
      </c>
      <c r="BE241" s="140"/>
      <c r="BF241" s="110"/>
      <c r="BG241" s="137"/>
      <c r="BH241" s="97"/>
      <c r="BI241" s="138">
        <f t="shared" ref="BI241:BJ241" si="6929">BI182+BI212</f>
        <v>0</v>
      </c>
      <c r="BJ241" s="110">
        <f t="shared" si="6929"/>
        <v>0</v>
      </c>
      <c r="BK241" s="110"/>
      <c r="BL241" s="139"/>
      <c r="BM241" s="225">
        <f t="shared" si="6706"/>
        <v>0</v>
      </c>
      <c r="BN241" s="198">
        <f t="shared" si="6625"/>
        <v>0</v>
      </c>
      <c r="BO241" s="140"/>
      <c r="BP241" s="110"/>
      <c r="BQ241" s="137"/>
      <c r="BR241" s="97"/>
      <c r="BS241" s="138">
        <f t="shared" ref="BS241:BT241" si="6930">BS182+BS212</f>
        <v>0</v>
      </c>
      <c r="BT241" s="110">
        <f t="shared" si="6930"/>
        <v>0</v>
      </c>
      <c r="BU241" s="110"/>
      <c r="BV241" s="139"/>
      <c r="BW241" s="225">
        <f t="shared" si="6708"/>
        <v>0</v>
      </c>
      <c r="BX241" s="198">
        <f t="shared" si="6625"/>
        <v>0</v>
      </c>
      <c r="BY241" s="140"/>
      <c r="BZ241" s="110"/>
      <c r="CA241" s="137"/>
      <c r="CB241" s="97"/>
      <c r="CC241" s="138">
        <f t="shared" ref="CC241:CD241" si="6931">CC182+CC212</f>
        <v>0</v>
      </c>
      <c r="CD241" s="110">
        <f t="shared" si="6931"/>
        <v>0</v>
      </c>
      <c r="CE241" s="110"/>
      <c r="CF241" s="139"/>
      <c r="CG241" s="225">
        <f t="shared" si="6710"/>
        <v>0</v>
      </c>
      <c r="CH241" s="198">
        <f t="shared" si="6633"/>
        <v>0</v>
      </c>
      <c r="CI241" s="140"/>
      <c r="CJ241" s="110"/>
      <c r="CK241" s="137"/>
      <c r="CL241" s="97"/>
      <c r="CM241" s="138">
        <f t="shared" ref="CM241:CN241" si="6932">CM182+CM212</f>
        <v>0</v>
      </c>
      <c r="CN241" s="110">
        <f t="shared" si="6932"/>
        <v>0</v>
      </c>
      <c r="CO241" s="110"/>
      <c r="CP241" s="139"/>
      <c r="CQ241" s="225">
        <f t="shared" si="6712"/>
        <v>0</v>
      </c>
      <c r="CR241" s="198">
        <f t="shared" si="6633"/>
        <v>0</v>
      </c>
      <c r="CS241" s="140"/>
      <c r="CT241" s="110"/>
      <c r="CU241" s="137"/>
      <c r="CV241" s="97"/>
      <c r="CW241" s="138">
        <f t="shared" ref="CW241:CX241" si="6933">CW182+CW212</f>
        <v>0</v>
      </c>
      <c r="CX241" s="110">
        <f t="shared" si="6933"/>
        <v>0</v>
      </c>
      <c r="CY241" s="110"/>
      <c r="CZ241" s="139"/>
      <c r="DA241" s="225">
        <f t="shared" si="6714"/>
        <v>0</v>
      </c>
      <c r="DB241" s="198">
        <f t="shared" si="6633"/>
        <v>0</v>
      </c>
      <c r="DC241" s="140"/>
      <c r="DD241" s="110"/>
      <c r="DE241" s="137"/>
      <c r="DF241" s="97"/>
      <c r="DG241" s="138">
        <f t="shared" ref="DG241:DH241" si="6934">DG182+DG212</f>
        <v>0</v>
      </c>
      <c r="DH241" s="110">
        <f t="shared" si="6934"/>
        <v>0</v>
      </c>
      <c r="DI241" s="110"/>
      <c r="DJ241" s="139"/>
      <c r="DK241" s="225">
        <f t="shared" si="6716"/>
        <v>0</v>
      </c>
      <c r="DL241" s="198">
        <f t="shared" si="6633"/>
        <v>41</v>
      </c>
      <c r="DM241" s="140"/>
      <c r="DN241" s="110"/>
      <c r="DO241" s="137"/>
      <c r="DP241" s="97"/>
      <c r="DQ241" s="138">
        <f t="shared" ref="DQ241:DR241" si="6935">DQ182+DQ212</f>
        <v>3741.1001799999999</v>
      </c>
      <c r="DR241" s="110">
        <f t="shared" si="6935"/>
        <v>153385.10999999999</v>
      </c>
      <c r="DS241" s="110"/>
      <c r="DT241" s="139"/>
      <c r="DU241" s="225">
        <f t="shared" si="6718"/>
        <v>1.2611300000000001</v>
      </c>
      <c r="DV241" s="198">
        <f t="shared" si="6633"/>
        <v>0</v>
      </c>
      <c r="DW241" s="140"/>
      <c r="DX241" s="110"/>
      <c r="DY241" s="137"/>
      <c r="DZ241" s="97"/>
      <c r="EA241" s="138">
        <f t="shared" ref="EA241:EB241" si="6936">EA182+EA212</f>
        <v>0</v>
      </c>
      <c r="EB241" s="110">
        <f t="shared" si="6936"/>
        <v>0</v>
      </c>
      <c r="EC241" s="110"/>
      <c r="ED241" s="139"/>
      <c r="EE241" s="225">
        <f t="shared" si="6720"/>
        <v>0</v>
      </c>
      <c r="EF241" s="198">
        <f t="shared" si="6633"/>
        <v>0</v>
      </c>
      <c r="EG241" s="140"/>
      <c r="EH241" s="110"/>
      <c r="EI241" s="137"/>
      <c r="EJ241" s="97"/>
      <c r="EK241" s="138">
        <f t="shared" ref="EK241:EL241" si="6937">EK182+EK212</f>
        <v>0</v>
      </c>
      <c r="EL241" s="110">
        <f t="shared" si="6937"/>
        <v>0</v>
      </c>
      <c r="EM241" s="110"/>
      <c r="EN241" s="139"/>
      <c r="EO241" s="225">
        <f t="shared" si="6722"/>
        <v>0</v>
      </c>
      <c r="EP241" s="198">
        <f t="shared" si="6633"/>
        <v>0</v>
      </c>
      <c r="EQ241" s="140"/>
      <c r="ER241" s="110"/>
      <c r="ES241" s="137"/>
      <c r="ET241" s="97"/>
      <c r="EU241" s="138">
        <f t="shared" ref="EU241:EV241" si="6938">EU182+EU212</f>
        <v>0</v>
      </c>
      <c r="EV241" s="110">
        <f t="shared" si="6938"/>
        <v>0</v>
      </c>
      <c r="EW241" s="110"/>
      <c r="EX241" s="139"/>
      <c r="EY241" s="225">
        <f t="shared" si="6724"/>
        <v>0</v>
      </c>
      <c r="EZ241" s="198">
        <f t="shared" si="6641"/>
        <v>0</v>
      </c>
      <c r="FA241" s="140"/>
      <c r="FB241" s="110"/>
      <c r="FC241" s="137"/>
      <c r="FD241" s="97"/>
      <c r="FE241" s="138">
        <f t="shared" ref="FE241:FF241" si="6939">FE182+FE212</f>
        <v>0</v>
      </c>
      <c r="FF241" s="110">
        <f t="shared" si="6939"/>
        <v>0</v>
      </c>
      <c r="FG241" s="110"/>
      <c r="FH241" s="139"/>
      <c r="FI241" s="225">
        <f t="shared" si="6726"/>
        <v>0</v>
      </c>
      <c r="FJ241" s="198">
        <f t="shared" si="6641"/>
        <v>0</v>
      </c>
      <c r="FK241" s="140"/>
      <c r="FL241" s="110"/>
      <c r="FM241" s="137"/>
      <c r="FN241" s="97"/>
      <c r="FO241" s="138">
        <f t="shared" ref="FO241:FP241" si="6940">FO182+FO212</f>
        <v>0</v>
      </c>
      <c r="FP241" s="110">
        <f t="shared" si="6940"/>
        <v>0</v>
      </c>
      <c r="FQ241" s="110"/>
      <c r="FR241" s="139"/>
      <c r="FS241" s="225">
        <f t="shared" si="6728"/>
        <v>0</v>
      </c>
      <c r="FT241" s="198">
        <f t="shared" si="6641"/>
        <v>0</v>
      </c>
      <c r="FU241" s="140"/>
      <c r="FV241" s="110"/>
      <c r="FW241" s="137"/>
      <c r="FX241" s="97"/>
      <c r="FY241" s="138">
        <f t="shared" ref="FY241:FZ241" si="6941">FY182+FY212</f>
        <v>0</v>
      </c>
      <c r="FZ241" s="110">
        <f t="shared" si="6941"/>
        <v>0</v>
      </c>
      <c r="GA241" s="110"/>
      <c r="GB241" s="139"/>
      <c r="GC241" s="225">
        <f t="shared" si="6730"/>
        <v>0</v>
      </c>
      <c r="GD241" s="198">
        <f t="shared" si="6641"/>
        <v>0</v>
      </c>
      <c r="GE241" s="140"/>
      <c r="GF241" s="110"/>
      <c r="GG241" s="137"/>
      <c r="GH241" s="97"/>
      <c r="GI241" s="138">
        <f t="shared" ref="GI241:GJ241" si="6942">GI182+GI212</f>
        <v>0</v>
      </c>
      <c r="GJ241" s="110">
        <f t="shared" si="6942"/>
        <v>0</v>
      </c>
      <c r="GK241" s="110"/>
      <c r="GL241" s="139"/>
      <c r="GM241" s="225">
        <f t="shared" si="6732"/>
        <v>0</v>
      </c>
      <c r="GN241" s="198">
        <f t="shared" si="6641"/>
        <v>0</v>
      </c>
      <c r="GO241" s="140"/>
      <c r="GP241" s="110"/>
      <c r="GQ241" s="137"/>
      <c r="GR241" s="97"/>
      <c r="GS241" s="138">
        <f t="shared" ref="GS241:GT241" si="6943">GS182+GS212</f>
        <v>0</v>
      </c>
      <c r="GT241" s="110">
        <f t="shared" si="6943"/>
        <v>0</v>
      </c>
      <c r="GU241" s="110"/>
      <c r="GV241" s="139"/>
      <c r="GW241" s="225">
        <f t="shared" si="6734"/>
        <v>0</v>
      </c>
      <c r="GX241" s="198">
        <f t="shared" si="6641"/>
        <v>0</v>
      </c>
      <c r="GY241" s="140"/>
      <c r="GZ241" s="110"/>
      <c r="HA241" s="137"/>
      <c r="HB241" s="97"/>
      <c r="HC241" s="138">
        <f t="shared" ref="HC241:HD241" si="6944">HC182+HC212</f>
        <v>0</v>
      </c>
      <c r="HD241" s="110">
        <f t="shared" si="6944"/>
        <v>0</v>
      </c>
      <c r="HE241" s="110"/>
      <c r="HF241" s="139"/>
      <c r="HG241" s="225">
        <f t="shared" si="6736"/>
        <v>0</v>
      </c>
      <c r="HH241" s="198">
        <f t="shared" si="6641"/>
        <v>0</v>
      </c>
      <c r="HI241" s="140"/>
      <c r="HJ241" s="110"/>
      <c r="HK241" s="137"/>
      <c r="HL241" s="97"/>
      <c r="HM241" s="138">
        <f t="shared" ref="HM241:HN241" si="6945">HM182+HM212</f>
        <v>0</v>
      </c>
      <c r="HN241" s="110">
        <f t="shared" si="6945"/>
        <v>0</v>
      </c>
      <c r="HO241" s="110"/>
      <c r="HP241" s="139"/>
      <c r="HQ241" s="225">
        <f t="shared" si="6738"/>
        <v>0</v>
      </c>
      <c r="HR241" s="198">
        <f t="shared" si="6649"/>
        <v>0</v>
      </c>
      <c r="HS241" s="140"/>
      <c r="HT241" s="110"/>
      <c r="HU241" s="137"/>
      <c r="HV241" s="97"/>
      <c r="HW241" s="138">
        <f t="shared" ref="HW241:HX241" si="6946">HW182+HW212</f>
        <v>0</v>
      </c>
      <c r="HX241" s="110">
        <f t="shared" si="6946"/>
        <v>0</v>
      </c>
      <c r="HY241" s="110"/>
      <c r="HZ241" s="139"/>
      <c r="IA241" s="225">
        <f t="shared" si="6740"/>
        <v>0</v>
      </c>
      <c r="IB241" s="198">
        <f t="shared" si="6649"/>
        <v>0</v>
      </c>
      <c r="IC241" s="140"/>
      <c r="ID241" s="110"/>
      <c r="IE241" s="137"/>
      <c r="IF241" s="97"/>
      <c r="IG241" s="138">
        <f t="shared" ref="IG241:IH241" si="6947">IG182+IG212</f>
        <v>0</v>
      </c>
      <c r="IH241" s="110">
        <f t="shared" si="6947"/>
        <v>0</v>
      </c>
      <c r="II241" s="110"/>
      <c r="IJ241" s="139"/>
      <c r="IK241" s="225">
        <f t="shared" si="6742"/>
        <v>0</v>
      </c>
      <c r="IL241" s="198">
        <f t="shared" si="6649"/>
        <v>0</v>
      </c>
      <c r="IM241" s="140"/>
      <c r="IN241" s="110"/>
      <c r="IO241" s="137"/>
      <c r="IP241" s="97"/>
      <c r="IQ241" s="138">
        <f t="shared" ref="IQ241:IR241" si="6948">IQ182+IQ212</f>
        <v>0</v>
      </c>
      <c r="IR241" s="110">
        <f t="shared" si="6948"/>
        <v>0</v>
      </c>
      <c r="IS241" s="110"/>
      <c r="IT241" s="139"/>
      <c r="IU241" s="225">
        <f t="shared" si="6744"/>
        <v>0</v>
      </c>
      <c r="IV241" s="198">
        <f t="shared" si="6649"/>
        <v>0</v>
      </c>
      <c r="IW241" s="140"/>
      <c r="IX241" s="110"/>
      <c r="IY241" s="137"/>
      <c r="IZ241" s="97"/>
      <c r="JA241" s="138">
        <f t="shared" ref="JA241:JB241" si="6949">JA182+JA212</f>
        <v>0</v>
      </c>
      <c r="JB241" s="110">
        <f t="shared" si="6949"/>
        <v>0</v>
      </c>
      <c r="JC241" s="110"/>
      <c r="JD241" s="139"/>
      <c r="JE241" s="225">
        <f t="shared" si="6746"/>
        <v>0</v>
      </c>
      <c r="JF241" s="198">
        <f t="shared" si="6649"/>
        <v>0</v>
      </c>
      <c r="JG241" s="140"/>
      <c r="JH241" s="110"/>
      <c r="JI241" s="137"/>
      <c r="JJ241" s="97"/>
      <c r="JK241" s="138">
        <f t="shared" ref="JK241:JL241" si="6950">JK182+JK212</f>
        <v>0</v>
      </c>
      <c r="JL241" s="110">
        <f t="shared" si="6950"/>
        <v>0</v>
      </c>
      <c r="JM241" s="110"/>
      <c r="JN241" s="139"/>
      <c r="JO241" s="225">
        <f t="shared" si="6748"/>
        <v>0</v>
      </c>
      <c r="JP241" s="198">
        <f t="shared" si="6649"/>
        <v>0</v>
      </c>
      <c r="JQ241" s="140"/>
      <c r="JR241" s="110"/>
      <c r="JS241" s="137"/>
      <c r="JT241" s="97"/>
      <c r="JU241" s="138">
        <f t="shared" ref="JU241:JV241" si="6951">JU182+JU212</f>
        <v>0</v>
      </c>
      <c r="JV241" s="110">
        <f t="shared" si="6951"/>
        <v>0</v>
      </c>
      <c r="JW241" s="110"/>
      <c r="JX241" s="139"/>
      <c r="JY241" s="225">
        <f t="shared" si="6750"/>
        <v>0</v>
      </c>
      <c r="JZ241" s="198">
        <f t="shared" si="6649"/>
        <v>0</v>
      </c>
      <c r="KA241" s="140"/>
      <c r="KB241" s="110"/>
      <c r="KC241" s="137"/>
      <c r="KD241" s="97"/>
      <c r="KE241" s="138">
        <f t="shared" ref="KE241:KF241" si="6952">KE182+KE212</f>
        <v>0</v>
      </c>
      <c r="KF241" s="110">
        <f t="shared" si="6952"/>
        <v>0</v>
      </c>
      <c r="KG241" s="110"/>
      <c r="KH241" s="139"/>
      <c r="KI241" s="225">
        <f t="shared" si="6752"/>
        <v>0</v>
      </c>
      <c r="KJ241" s="198">
        <f t="shared" si="6657"/>
        <v>0</v>
      </c>
      <c r="KK241" s="140"/>
      <c r="KL241" s="110"/>
      <c r="KM241" s="137"/>
      <c r="KN241" s="97"/>
      <c r="KO241" s="138">
        <f t="shared" ref="KO241:KP241" si="6953">KO182+KO212</f>
        <v>0</v>
      </c>
      <c r="KP241" s="110">
        <f t="shared" si="6953"/>
        <v>0</v>
      </c>
      <c r="KQ241" s="110"/>
      <c r="KR241" s="139"/>
      <c r="KS241" s="225">
        <f t="shared" si="6754"/>
        <v>0</v>
      </c>
      <c r="KT241" s="198">
        <f t="shared" si="6657"/>
        <v>0</v>
      </c>
      <c r="KU241" s="140"/>
      <c r="KV241" s="110"/>
      <c r="KW241" s="137"/>
      <c r="KX241" s="97"/>
      <c r="KY241" s="138">
        <f t="shared" ref="KY241:KZ241" si="6954">KY182+KY212</f>
        <v>0</v>
      </c>
      <c r="KZ241" s="110">
        <f t="shared" si="6954"/>
        <v>0</v>
      </c>
      <c r="LA241" s="110"/>
      <c r="LB241" s="139"/>
      <c r="LC241" s="225">
        <f t="shared" si="6756"/>
        <v>0</v>
      </c>
      <c r="LD241" s="198">
        <f t="shared" ref="LD241" si="6955">LD37</f>
        <v>41</v>
      </c>
      <c r="LE241" s="140"/>
      <c r="LF241" s="110"/>
      <c r="LG241" s="137"/>
      <c r="LH241" s="97"/>
      <c r="LI241" s="138">
        <f t="shared" ref="LI241:LJ241" si="6956">LI182+LI212</f>
        <v>2966.4685199999999</v>
      </c>
      <c r="LJ241" s="110">
        <f t="shared" si="6956"/>
        <v>121625.21</v>
      </c>
      <c r="LK241" s="110"/>
      <c r="LL241" s="139"/>
    </row>
    <row r="242" spans="1:324" ht="16.5" hidden="1" customHeight="1" x14ac:dyDescent="0.25">
      <c r="A242" s="247"/>
      <c r="B242" s="92" t="s">
        <v>611</v>
      </c>
      <c r="C242" s="12" t="s">
        <v>728</v>
      </c>
      <c r="D242" s="12" t="s">
        <v>430</v>
      </c>
      <c r="E242" s="4"/>
      <c r="F242" s="198">
        <f t="shared" si="6097"/>
        <v>0</v>
      </c>
      <c r="G242" s="140"/>
      <c r="H242" s="110"/>
      <c r="I242" s="137"/>
      <c r="J242" s="97"/>
      <c r="K242" s="138">
        <f t="shared" ref="K242:L242" si="6957">K183+K213</f>
        <v>0</v>
      </c>
      <c r="L242" s="110">
        <f t="shared" si="6957"/>
        <v>0</v>
      </c>
      <c r="M242" s="110"/>
      <c r="N242" s="139"/>
      <c r="O242" s="225" t="e">
        <f t="shared" si="6696"/>
        <v>#DIV/0!</v>
      </c>
      <c r="P242" s="198">
        <f t="shared" si="6625"/>
        <v>0</v>
      </c>
      <c r="Q242" s="140"/>
      <c r="R242" s="110"/>
      <c r="S242" s="137"/>
      <c r="T242" s="97"/>
      <c r="U242" s="138">
        <f t="shared" ref="U242:V242" si="6958">U183+U213</f>
        <v>0</v>
      </c>
      <c r="V242" s="110">
        <f t="shared" si="6958"/>
        <v>0</v>
      </c>
      <c r="W242" s="110"/>
      <c r="X242" s="139"/>
      <c r="Y242" s="225" t="e">
        <f t="shared" si="6698"/>
        <v>#DIV/0!</v>
      </c>
      <c r="Z242" s="198">
        <f t="shared" si="6625"/>
        <v>0</v>
      </c>
      <c r="AA242" s="140"/>
      <c r="AB242" s="110"/>
      <c r="AC242" s="137"/>
      <c r="AD242" s="97"/>
      <c r="AE242" s="138">
        <f t="shared" ref="AE242:AF242" si="6959">AE183+AE213</f>
        <v>0</v>
      </c>
      <c r="AF242" s="110">
        <f t="shared" si="6959"/>
        <v>0</v>
      </c>
      <c r="AG242" s="110"/>
      <c r="AH242" s="139"/>
      <c r="AI242" s="225" t="e">
        <f t="shared" si="6700"/>
        <v>#DIV/0!</v>
      </c>
      <c r="AJ242" s="198">
        <f t="shared" si="6625"/>
        <v>0</v>
      </c>
      <c r="AK242" s="140"/>
      <c r="AL242" s="110"/>
      <c r="AM242" s="137"/>
      <c r="AN242" s="97"/>
      <c r="AO242" s="138">
        <f t="shared" ref="AO242:AP242" si="6960">AO183+AO213</f>
        <v>0</v>
      </c>
      <c r="AP242" s="110">
        <f t="shared" si="6960"/>
        <v>0</v>
      </c>
      <c r="AQ242" s="110"/>
      <c r="AR242" s="139"/>
      <c r="AS242" s="225" t="e">
        <f t="shared" si="6702"/>
        <v>#DIV/0!</v>
      </c>
      <c r="AT242" s="198">
        <f t="shared" si="6625"/>
        <v>0</v>
      </c>
      <c r="AU242" s="140"/>
      <c r="AV242" s="110"/>
      <c r="AW242" s="137"/>
      <c r="AX242" s="97"/>
      <c r="AY242" s="138">
        <f t="shared" ref="AY242:AZ242" si="6961">AY183+AY213</f>
        <v>0</v>
      </c>
      <c r="AZ242" s="110">
        <f t="shared" si="6961"/>
        <v>0</v>
      </c>
      <c r="BA242" s="110"/>
      <c r="BB242" s="139"/>
      <c r="BC242" s="225" t="e">
        <f t="shared" si="6704"/>
        <v>#DIV/0!</v>
      </c>
      <c r="BD242" s="198">
        <f t="shared" si="6625"/>
        <v>0</v>
      </c>
      <c r="BE242" s="140"/>
      <c r="BF242" s="110"/>
      <c r="BG242" s="137"/>
      <c r="BH242" s="97"/>
      <c r="BI242" s="138">
        <f t="shared" ref="BI242:BJ242" si="6962">BI183+BI213</f>
        <v>0</v>
      </c>
      <c r="BJ242" s="110">
        <f t="shared" si="6962"/>
        <v>0</v>
      </c>
      <c r="BK242" s="110"/>
      <c r="BL242" s="139"/>
      <c r="BM242" s="225" t="e">
        <f t="shared" si="6706"/>
        <v>#DIV/0!</v>
      </c>
      <c r="BN242" s="198">
        <f t="shared" si="6625"/>
        <v>0</v>
      </c>
      <c r="BO242" s="140"/>
      <c r="BP242" s="110"/>
      <c r="BQ242" s="137"/>
      <c r="BR242" s="97"/>
      <c r="BS242" s="138">
        <f t="shared" ref="BS242:BT242" si="6963">BS183+BS213</f>
        <v>0</v>
      </c>
      <c r="BT242" s="110">
        <f t="shared" si="6963"/>
        <v>0</v>
      </c>
      <c r="BU242" s="110"/>
      <c r="BV242" s="139"/>
      <c r="BW242" s="225" t="e">
        <f t="shared" si="6708"/>
        <v>#DIV/0!</v>
      </c>
      <c r="BX242" s="198">
        <f t="shared" si="6625"/>
        <v>0</v>
      </c>
      <c r="BY242" s="140"/>
      <c r="BZ242" s="110"/>
      <c r="CA242" s="137"/>
      <c r="CB242" s="97"/>
      <c r="CC242" s="138">
        <f t="shared" ref="CC242:CD242" si="6964">CC183+CC213</f>
        <v>0</v>
      </c>
      <c r="CD242" s="110">
        <f t="shared" si="6964"/>
        <v>0</v>
      </c>
      <c r="CE242" s="110"/>
      <c r="CF242" s="139"/>
      <c r="CG242" s="225" t="e">
        <f t="shared" si="6710"/>
        <v>#DIV/0!</v>
      </c>
      <c r="CH242" s="198">
        <f t="shared" si="6633"/>
        <v>0</v>
      </c>
      <c r="CI242" s="140"/>
      <c r="CJ242" s="110"/>
      <c r="CK242" s="137"/>
      <c r="CL242" s="97"/>
      <c r="CM242" s="138">
        <f t="shared" ref="CM242:CN242" si="6965">CM183+CM213</f>
        <v>0</v>
      </c>
      <c r="CN242" s="110">
        <f t="shared" si="6965"/>
        <v>0</v>
      </c>
      <c r="CO242" s="110"/>
      <c r="CP242" s="139"/>
      <c r="CQ242" s="225" t="e">
        <f t="shared" si="6712"/>
        <v>#DIV/0!</v>
      </c>
      <c r="CR242" s="198">
        <f t="shared" si="6633"/>
        <v>0</v>
      </c>
      <c r="CS242" s="140"/>
      <c r="CT242" s="110"/>
      <c r="CU242" s="137"/>
      <c r="CV242" s="97"/>
      <c r="CW242" s="138">
        <f t="shared" ref="CW242:CX242" si="6966">CW183+CW213</f>
        <v>0</v>
      </c>
      <c r="CX242" s="110">
        <f t="shared" si="6966"/>
        <v>0</v>
      </c>
      <c r="CY242" s="110"/>
      <c r="CZ242" s="139"/>
      <c r="DA242" s="225" t="e">
        <f t="shared" si="6714"/>
        <v>#DIV/0!</v>
      </c>
      <c r="DB242" s="198">
        <f t="shared" si="6633"/>
        <v>0</v>
      </c>
      <c r="DC242" s="140"/>
      <c r="DD242" s="110"/>
      <c r="DE242" s="137"/>
      <c r="DF242" s="97"/>
      <c r="DG242" s="138">
        <f t="shared" ref="DG242:DH242" si="6967">DG183+DG213</f>
        <v>0</v>
      </c>
      <c r="DH242" s="110">
        <f t="shared" si="6967"/>
        <v>0</v>
      </c>
      <c r="DI242" s="110"/>
      <c r="DJ242" s="139"/>
      <c r="DK242" s="225" t="e">
        <f t="shared" si="6716"/>
        <v>#DIV/0!</v>
      </c>
      <c r="DL242" s="198">
        <f t="shared" si="6633"/>
        <v>0</v>
      </c>
      <c r="DM242" s="140"/>
      <c r="DN242" s="110"/>
      <c r="DO242" s="137"/>
      <c r="DP242" s="97"/>
      <c r="DQ242" s="138">
        <f t="shared" ref="DQ242:DR242" si="6968">DQ183+DQ213</f>
        <v>0</v>
      </c>
      <c r="DR242" s="110">
        <f t="shared" si="6968"/>
        <v>0</v>
      </c>
      <c r="DS242" s="110"/>
      <c r="DT242" s="139"/>
      <c r="DU242" s="225" t="e">
        <f t="shared" si="6718"/>
        <v>#DIV/0!</v>
      </c>
      <c r="DV242" s="198">
        <f t="shared" si="6633"/>
        <v>0</v>
      </c>
      <c r="DW242" s="140"/>
      <c r="DX242" s="110"/>
      <c r="DY242" s="137"/>
      <c r="DZ242" s="97"/>
      <c r="EA242" s="138">
        <f t="shared" ref="EA242:EB242" si="6969">EA183+EA213</f>
        <v>0</v>
      </c>
      <c r="EB242" s="110">
        <f t="shared" si="6969"/>
        <v>0</v>
      </c>
      <c r="EC242" s="110"/>
      <c r="ED242" s="139"/>
      <c r="EE242" s="225" t="e">
        <f t="shared" si="6720"/>
        <v>#DIV/0!</v>
      </c>
      <c r="EF242" s="198">
        <f t="shared" si="6633"/>
        <v>0</v>
      </c>
      <c r="EG242" s="140"/>
      <c r="EH242" s="110"/>
      <c r="EI242" s="137"/>
      <c r="EJ242" s="97"/>
      <c r="EK242" s="138">
        <f t="shared" ref="EK242:EL242" si="6970">EK183+EK213</f>
        <v>0</v>
      </c>
      <c r="EL242" s="110">
        <f t="shared" si="6970"/>
        <v>0</v>
      </c>
      <c r="EM242" s="110"/>
      <c r="EN242" s="139"/>
      <c r="EO242" s="225" t="e">
        <f t="shared" si="6722"/>
        <v>#DIV/0!</v>
      </c>
      <c r="EP242" s="198">
        <f t="shared" si="6633"/>
        <v>0</v>
      </c>
      <c r="EQ242" s="140"/>
      <c r="ER242" s="110"/>
      <c r="ES242" s="137"/>
      <c r="ET242" s="97"/>
      <c r="EU242" s="138">
        <f t="shared" ref="EU242:EV242" si="6971">EU183+EU213</f>
        <v>0</v>
      </c>
      <c r="EV242" s="110">
        <f t="shared" si="6971"/>
        <v>0</v>
      </c>
      <c r="EW242" s="110"/>
      <c r="EX242" s="139"/>
      <c r="EY242" s="225" t="e">
        <f t="shared" si="6724"/>
        <v>#DIV/0!</v>
      </c>
      <c r="EZ242" s="198">
        <f t="shared" si="6641"/>
        <v>0</v>
      </c>
      <c r="FA242" s="140"/>
      <c r="FB242" s="110"/>
      <c r="FC242" s="137"/>
      <c r="FD242" s="97"/>
      <c r="FE242" s="138">
        <f t="shared" ref="FE242:FF242" si="6972">FE183+FE213</f>
        <v>0</v>
      </c>
      <c r="FF242" s="110">
        <f t="shared" si="6972"/>
        <v>0</v>
      </c>
      <c r="FG242" s="110"/>
      <c r="FH242" s="139"/>
      <c r="FI242" s="225" t="e">
        <f t="shared" si="6726"/>
        <v>#DIV/0!</v>
      </c>
      <c r="FJ242" s="198">
        <f t="shared" si="6641"/>
        <v>0</v>
      </c>
      <c r="FK242" s="140"/>
      <c r="FL242" s="110"/>
      <c r="FM242" s="137"/>
      <c r="FN242" s="97"/>
      <c r="FO242" s="138">
        <f t="shared" ref="FO242:FP242" si="6973">FO183+FO213</f>
        <v>0</v>
      </c>
      <c r="FP242" s="110">
        <f t="shared" si="6973"/>
        <v>0</v>
      </c>
      <c r="FQ242" s="110"/>
      <c r="FR242" s="139"/>
      <c r="FS242" s="225" t="e">
        <f t="shared" si="6728"/>
        <v>#DIV/0!</v>
      </c>
      <c r="FT242" s="198">
        <f t="shared" si="6641"/>
        <v>0</v>
      </c>
      <c r="FU242" s="140"/>
      <c r="FV242" s="110"/>
      <c r="FW242" s="137"/>
      <c r="FX242" s="97"/>
      <c r="FY242" s="138">
        <f t="shared" ref="FY242:FZ242" si="6974">FY183+FY213</f>
        <v>0</v>
      </c>
      <c r="FZ242" s="110">
        <f t="shared" si="6974"/>
        <v>0</v>
      </c>
      <c r="GA242" s="110"/>
      <c r="GB242" s="139"/>
      <c r="GC242" s="225" t="e">
        <f t="shared" si="6730"/>
        <v>#DIV/0!</v>
      </c>
      <c r="GD242" s="198">
        <f t="shared" si="6641"/>
        <v>0</v>
      </c>
      <c r="GE242" s="140"/>
      <c r="GF242" s="110"/>
      <c r="GG242" s="137"/>
      <c r="GH242" s="97"/>
      <c r="GI242" s="138">
        <f t="shared" ref="GI242:GJ242" si="6975">GI183+GI213</f>
        <v>0</v>
      </c>
      <c r="GJ242" s="110">
        <f t="shared" si="6975"/>
        <v>0</v>
      </c>
      <c r="GK242" s="110"/>
      <c r="GL242" s="139"/>
      <c r="GM242" s="225" t="e">
        <f t="shared" si="6732"/>
        <v>#DIV/0!</v>
      </c>
      <c r="GN242" s="198">
        <f t="shared" si="6641"/>
        <v>0</v>
      </c>
      <c r="GO242" s="140"/>
      <c r="GP242" s="110"/>
      <c r="GQ242" s="137"/>
      <c r="GR242" s="97"/>
      <c r="GS242" s="138">
        <f t="shared" ref="GS242:GT242" si="6976">GS183+GS213</f>
        <v>0</v>
      </c>
      <c r="GT242" s="110">
        <f t="shared" si="6976"/>
        <v>0</v>
      </c>
      <c r="GU242" s="110"/>
      <c r="GV242" s="139"/>
      <c r="GW242" s="225" t="e">
        <f t="shared" si="6734"/>
        <v>#DIV/0!</v>
      </c>
      <c r="GX242" s="198">
        <f t="shared" si="6641"/>
        <v>0</v>
      </c>
      <c r="GY242" s="140"/>
      <c r="GZ242" s="110"/>
      <c r="HA242" s="137"/>
      <c r="HB242" s="97"/>
      <c r="HC242" s="138">
        <f t="shared" ref="HC242:HD242" si="6977">HC183+HC213</f>
        <v>0</v>
      </c>
      <c r="HD242" s="110">
        <f t="shared" si="6977"/>
        <v>0</v>
      </c>
      <c r="HE242" s="110"/>
      <c r="HF242" s="139"/>
      <c r="HG242" s="225" t="e">
        <f t="shared" si="6736"/>
        <v>#DIV/0!</v>
      </c>
      <c r="HH242" s="198">
        <f t="shared" si="6641"/>
        <v>0</v>
      </c>
      <c r="HI242" s="140"/>
      <c r="HJ242" s="110"/>
      <c r="HK242" s="137"/>
      <c r="HL242" s="97"/>
      <c r="HM242" s="138">
        <f t="shared" ref="HM242:HN242" si="6978">HM183+HM213</f>
        <v>0</v>
      </c>
      <c r="HN242" s="110">
        <f t="shared" si="6978"/>
        <v>0</v>
      </c>
      <c r="HO242" s="110"/>
      <c r="HP242" s="139"/>
      <c r="HQ242" s="225" t="e">
        <f t="shared" si="6738"/>
        <v>#DIV/0!</v>
      </c>
      <c r="HR242" s="198">
        <f t="shared" si="6649"/>
        <v>0</v>
      </c>
      <c r="HS242" s="140"/>
      <c r="HT242" s="110"/>
      <c r="HU242" s="137"/>
      <c r="HV242" s="97"/>
      <c r="HW242" s="138">
        <f t="shared" ref="HW242:HX242" si="6979">HW183+HW213</f>
        <v>0</v>
      </c>
      <c r="HX242" s="110">
        <f t="shared" si="6979"/>
        <v>0</v>
      </c>
      <c r="HY242" s="110"/>
      <c r="HZ242" s="139"/>
      <c r="IA242" s="225" t="e">
        <f t="shared" si="6740"/>
        <v>#DIV/0!</v>
      </c>
      <c r="IB242" s="198">
        <f t="shared" si="6649"/>
        <v>0</v>
      </c>
      <c r="IC242" s="140"/>
      <c r="ID242" s="110"/>
      <c r="IE242" s="137"/>
      <c r="IF242" s="97"/>
      <c r="IG242" s="138">
        <f t="shared" ref="IG242:IH242" si="6980">IG183+IG213</f>
        <v>0</v>
      </c>
      <c r="IH242" s="110">
        <f t="shared" si="6980"/>
        <v>0</v>
      </c>
      <c r="II242" s="110"/>
      <c r="IJ242" s="139"/>
      <c r="IK242" s="225" t="e">
        <f t="shared" si="6742"/>
        <v>#DIV/0!</v>
      </c>
      <c r="IL242" s="198">
        <f t="shared" si="6649"/>
        <v>0</v>
      </c>
      <c r="IM242" s="140"/>
      <c r="IN242" s="110"/>
      <c r="IO242" s="137"/>
      <c r="IP242" s="97"/>
      <c r="IQ242" s="138">
        <f t="shared" ref="IQ242:IR242" si="6981">IQ183+IQ213</f>
        <v>0</v>
      </c>
      <c r="IR242" s="110">
        <f t="shared" si="6981"/>
        <v>0</v>
      </c>
      <c r="IS242" s="110"/>
      <c r="IT242" s="139"/>
      <c r="IU242" s="225" t="e">
        <f t="shared" si="6744"/>
        <v>#DIV/0!</v>
      </c>
      <c r="IV242" s="198">
        <f t="shared" si="6649"/>
        <v>0</v>
      </c>
      <c r="IW242" s="140"/>
      <c r="IX242" s="110"/>
      <c r="IY242" s="137"/>
      <c r="IZ242" s="97"/>
      <c r="JA242" s="138">
        <f t="shared" ref="JA242:JB242" si="6982">JA183+JA213</f>
        <v>0</v>
      </c>
      <c r="JB242" s="110">
        <f t="shared" si="6982"/>
        <v>0</v>
      </c>
      <c r="JC242" s="110"/>
      <c r="JD242" s="139"/>
      <c r="JE242" s="225" t="e">
        <f t="shared" si="6746"/>
        <v>#DIV/0!</v>
      </c>
      <c r="JF242" s="198">
        <f t="shared" si="6649"/>
        <v>0</v>
      </c>
      <c r="JG242" s="140"/>
      <c r="JH242" s="110"/>
      <c r="JI242" s="137"/>
      <c r="JJ242" s="97"/>
      <c r="JK242" s="138">
        <f t="shared" ref="JK242:JL242" si="6983">JK183+JK213</f>
        <v>0</v>
      </c>
      <c r="JL242" s="110">
        <f t="shared" si="6983"/>
        <v>0</v>
      </c>
      <c r="JM242" s="110"/>
      <c r="JN242" s="139"/>
      <c r="JO242" s="225" t="e">
        <f t="shared" si="6748"/>
        <v>#DIV/0!</v>
      </c>
      <c r="JP242" s="198">
        <f t="shared" si="6649"/>
        <v>0</v>
      </c>
      <c r="JQ242" s="140"/>
      <c r="JR242" s="110"/>
      <c r="JS242" s="137"/>
      <c r="JT242" s="97"/>
      <c r="JU242" s="138">
        <f t="shared" ref="JU242:JV242" si="6984">JU183+JU213</f>
        <v>0</v>
      </c>
      <c r="JV242" s="110">
        <f t="shared" si="6984"/>
        <v>0</v>
      </c>
      <c r="JW242" s="110"/>
      <c r="JX242" s="139"/>
      <c r="JY242" s="225" t="e">
        <f t="shared" si="6750"/>
        <v>#DIV/0!</v>
      </c>
      <c r="JZ242" s="198">
        <f t="shared" si="6649"/>
        <v>0</v>
      </c>
      <c r="KA242" s="140"/>
      <c r="KB242" s="110"/>
      <c r="KC242" s="137"/>
      <c r="KD242" s="97"/>
      <c r="KE242" s="138">
        <f t="shared" ref="KE242:KF242" si="6985">KE183+KE213</f>
        <v>0</v>
      </c>
      <c r="KF242" s="110">
        <f t="shared" si="6985"/>
        <v>0</v>
      </c>
      <c r="KG242" s="110"/>
      <c r="KH242" s="139"/>
      <c r="KI242" s="225" t="e">
        <f t="shared" si="6752"/>
        <v>#DIV/0!</v>
      </c>
      <c r="KJ242" s="198">
        <f t="shared" si="6657"/>
        <v>0</v>
      </c>
      <c r="KK242" s="140"/>
      <c r="KL242" s="110"/>
      <c r="KM242" s="137"/>
      <c r="KN242" s="97"/>
      <c r="KO242" s="138">
        <f t="shared" ref="KO242:KP242" si="6986">KO183+KO213</f>
        <v>0</v>
      </c>
      <c r="KP242" s="110">
        <f t="shared" si="6986"/>
        <v>0</v>
      </c>
      <c r="KQ242" s="110"/>
      <c r="KR242" s="139"/>
      <c r="KS242" s="225" t="e">
        <f t="shared" si="6754"/>
        <v>#DIV/0!</v>
      </c>
      <c r="KT242" s="198">
        <f t="shared" si="6657"/>
        <v>0</v>
      </c>
      <c r="KU242" s="140"/>
      <c r="KV242" s="110"/>
      <c r="KW242" s="137"/>
      <c r="KX242" s="97"/>
      <c r="KY242" s="138">
        <f t="shared" ref="KY242:KZ242" si="6987">KY183+KY213</f>
        <v>0</v>
      </c>
      <c r="KZ242" s="110">
        <f t="shared" si="6987"/>
        <v>0</v>
      </c>
      <c r="LA242" s="110"/>
      <c r="LB242" s="139"/>
      <c r="LC242" s="225" t="e">
        <f t="shared" si="6756"/>
        <v>#DIV/0!</v>
      </c>
      <c r="LD242" s="198">
        <f t="shared" ref="LD242" si="6988">LD38</f>
        <v>0</v>
      </c>
      <c r="LE242" s="140"/>
      <c r="LF242" s="110"/>
      <c r="LG242" s="137"/>
      <c r="LH242" s="97"/>
      <c r="LI242" s="138">
        <f t="shared" ref="LI242:LJ242" si="6989">LI183+LI213</f>
        <v>0</v>
      </c>
      <c r="LJ242" s="110">
        <f t="shared" si="6989"/>
        <v>0</v>
      </c>
      <c r="LK242" s="110"/>
      <c r="LL242" s="139"/>
    </row>
  </sheetData>
  <mergeCells count="37">
    <mergeCell ref="LD5:LL5"/>
    <mergeCell ref="GN6:GW6"/>
    <mergeCell ref="CH6:CQ6"/>
    <mergeCell ref="CR6:DA6"/>
    <mergeCell ref="DB6:DK6"/>
    <mergeCell ref="DL6:DU6"/>
    <mergeCell ref="DV6:EE6"/>
    <mergeCell ref="EP6:EY6"/>
    <mergeCell ref="EZ6:FI6"/>
    <mergeCell ref="FJ6:FS6"/>
    <mergeCell ref="FT6:GC6"/>
    <mergeCell ref="GD6:GM6"/>
    <mergeCell ref="EF6:EO6"/>
    <mergeCell ref="KT6:LC6"/>
    <mergeCell ref="LD6:LL6"/>
    <mergeCell ref="GX6:HG6"/>
    <mergeCell ref="JF6:JO6"/>
    <mergeCell ref="JP6:JY6"/>
    <mergeCell ref="JZ6:KI6"/>
    <mergeCell ref="KJ6:KS6"/>
    <mergeCell ref="BX6:CG6"/>
    <mergeCell ref="HH6:HQ6"/>
    <mergeCell ref="HR6:IA6"/>
    <mergeCell ref="IB6:IK6"/>
    <mergeCell ref="IL6:IU6"/>
    <mergeCell ref="IV6:JE6"/>
    <mergeCell ref="P6:Y6"/>
    <mergeCell ref="A2:E2"/>
    <mergeCell ref="A3:E3"/>
    <mergeCell ref="A4:E4"/>
    <mergeCell ref="A5:E5"/>
    <mergeCell ref="F6:O6"/>
    <mergeCell ref="Z6:AI6"/>
    <mergeCell ref="AJ6:AS6"/>
    <mergeCell ref="AT6:BC6"/>
    <mergeCell ref="BD6:BM6"/>
    <mergeCell ref="BN6:BW6"/>
  </mergeCells>
  <pageMargins left="0.31496062992125984" right="0" top="0" bottom="0" header="0" footer="0"/>
  <pageSetup paperSize="9" scale="45" fitToWidth="0" fitToHeight="0" orientation="landscape" r:id="rId1"/>
  <colBreaks count="15" manualBreakCount="15">
    <brk id="25" max="240" man="1"/>
    <brk id="45" max="240" man="1"/>
    <brk id="65" max="240" man="1"/>
    <brk id="85" max="240" man="1"/>
    <brk id="105" max="240" man="1"/>
    <brk id="125" max="240" man="1"/>
    <brk id="145" max="240" man="1"/>
    <brk id="165" max="240" man="1"/>
    <brk id="185" max="240" man="1"/>
    <brk id="205" max="240" man="1"/>
    <brk id="225" max="240" man="1"/>
    <brk id="245" max="240" man="1"/>
    <brk id="265" max="240" man="1"/>
    <brk id="285" max="240" man="1"/>
    <brk id="305" max="240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F60"/>
  <sheetViews>
    <sheetView view="pageBreakPreview" zoomScale="80" zoomScaleSheetLayoutView="80" workbookViewId="0">
      <pane xSplit="1" ySplit="14" topLeftCell="B15" activePane="bottomRight" state="frozen"/>
      <selection activeCell="S49" sqref="S49"/>
      <selection pane="topRight" activeCell="S49" sqref="S49"/>
      <selection pane="bottomLeft" activeCell="S49" sqref="S49"/>
      <selection pane="bottomRight" activeCell="N15" sqref="N15:N16"/>
    </sheetView>
  </sheetViews>
  <sheetFormatPr defaultRowHeight="15.75" x14ac:dyDescent="0.25"/>
  <cols>
    <col min="1" max="1" width="28.5703125" style="863" customWidth="1"/>
    <col min="2" max="2" width="11.28515625" style="942" customWidth="1"/>
    <col min="3" max="3" width="9.85546875" style="905" customWidth="1"/>
    <col min="4" max="4" width="13.5703125" style="905" customWidth="1"/>
    <col min="5" max="5" width="10.28515625" style="906" customWidth="1"/>
    <col min="6" max="6" width="13.5703125" style="906" customWidth="1"/>
    <col min="7" max="7" width="11" style="906" hidden="1" customWidth="1"/>
    <col min="8" max="8" width="15.42578125" style="906" hidden="1" customWidth="1"/>
    <col min="9" max="9" width="11" style="906" hidden="1" customWidth="1"/>
    <col min="10" max="10" width="6.5703125" style="905" customWidth="1"/>
    <col min="11" max="11" width="11.42578125" style="905" customWidth="1"/>
    <col min="12" max="12" width="13" style="905" customWidth="1"/>
    <col min="13" max="13" width="11.140625" style="905" customWidth="1"/>
    <col min="14" max="14" width="13" style="906" customWidth="1"/>
    <col min="15" max="15" width="11" style="906" hidden="1" customWidth="1"/>
    <col min="16" max="16" width="15.42578125" style="906" hidden="1" customWidth="1"/>
    <col min="17" max="17" width="11" style="906" hidden="1" customWidth="1"/>
    <col min="18" max="18" width="8.85546875" style="942" customWidth="1"/>
    <col min="19" max="19" width="12.42578125" style="905" customWidth="1"/>
    <col min="20" max="20" width="13.5703125" style="905" customWidth="1"/>
    <col min="21" max="21" width="13" style="905" customWidth="1"/>
    <col min="22" max="22" width="13.5703125" style="906" customWidth="1"/>
    <col min="23" max="23" width="11" style="906" hidden="1" customWidth="1"/>
    <col min="24" max="24" width="15.42578125" style="906" hidden="1" customWidth="1"/>
    <col min="25" max="25" width="11" style="906" hidden="1" customWidth="1"/>
    <col min="26" max="26" width="11.7109375" style="863" customWidth="1"/>
    <col min="27" max="27" width="9.85546875" style="942" customWidth="1"/>
    <col min="28" max="28" width="8.7109375" style="863" customWidth="1"/>
    <col min="29" max="29" width="9.85546875" style="863" customWidth="1"/>
    <col min="30" max="30" width="11" style="863" customWidth="1"/>
    <col min="31" max="32" width="12.42578125" style="905" customWidth="1"/>
    <col min="33" max="33" width="10.85546875" style="905" customWidth="1"/>
    <col min="34" max="34" width="12.42578125" style="905" customWidth="1"/>
    <col min="35" max="35" width="11.42578125" style="905" customWidth="1"/>
    <col min="36" max="36" width="12.42578125" style="906" customWidth="1"/>
    <col min="37" max="37" width="11" style="906" hidden="1" customWidth="1"/>
    <col min="38" max="38" width="15.42578125" style="906" hidden="1" customWidth="1"/>
    <col min="39" max="39" width="11" style="906" hidden="1" customWidth="1"/>
    <col min="40" max="40" width="7.140625" style="567" customWidth="1"/>
    <col min="41" max="41" width="9.85546875" style="567" customWidth="1"/>
    <col min="42" max="42" width="11" style="567" customWidth="1"/>
    <col min="43" max="43" width="12.42578125" style="567" customWidth="1"/>
    <col min="44" max="44" width="10.5703125" style="857" customWidth="1"/>
    <col min="45" max="45" width="12.42578125" style="857" customWidth="1"/>
    <col min="46" max="46" width="16.140625" style="857" hidden="1" customWidth="1"/>
    <col min="47" max="47" width="15.5703125" style="567" hidden="1" customWidth="1"/>
    <col min="48" max="48" width="10.5703125" style="567" hidden="1" customWidth="1"/>
    <col min="49" max="49" width="20.42578125" style="861" hidden="1" customWidth="1"/>
    <col min="50" max="51" width="17.5703125" style="862" hidden="1" customWidth="1"/>
    <col min="52" max="52" width="16.85546875" style="906" hidden="1" customWidth="1"/>
    <col min="53" max="53" width="13.7109375" style="906" hidden="1" customWidth="1"/>
    <col min="54" max="54" width="16.28515625" style="906" hidden="1" customWidth="1"/>
    <col min="55" max="55" width="15" style="862" customWidth="1"/>
    <col min="56" max="56" width="14.85546875" style="862" customWidth="1"/>
    <col min="57" max="57" width="16.5703125" style="862" customWidth="1"/>
    <col min="58" max="58" width="12.140625" style="863" bestFit="1" customWidth="1"/>
    <col min="59" max="273" width="9.140625" style="863"/>
    <col min="274" max="274" width="0" style="863" hidden="1" customWidth="1"/>
    <col min="275" max="275" width="6.28515625" style="863" customWidth="1"/>
    <col min="276" max="276" width="1.42578125" style="863" customWidth="1"/>
    <col min="277" max="277" width="1.140625" style="863" customWidth="1"/>
    <col min="278" max="278" width="1.42578125" style="863" customWidth="1"/>
    <col min="279" max="279" width="1.140625" style="863" customWidth="1"/>
    <col min="280" max="282" width="1.5703125" style="863" customWidth="1"/>
    <col min="283" max="283" width="1.7109375" style="863" customWidth="1"/>
    <col min="284" max="284" width="1.28515625" style="863" customWidth="1"/>
    <col min="285" max="286" width="1.7109375" style="863" customWidth="1"/>
    <col min="287" max="287" width="1.140625" style="863" customWidth="1"/>
    <col min="288" max="288" width="1.5703125" style="863" customWidth="1"/>
    <col min="289" max="289" width="2" style="863" customWidth="1"/>
    <col min="290" max="290" width="1.140625" style="863" customWidth="1"/>
    <col min="291" max="291" width="1.28515625" style="863" customWidth="1"/>
    <col min="292" max="293" width="1.5703125" style="863" customWidth="1"/>
    <col min="294" max="294" width="1.85546875" style="863" customWidth="1"/>
    <col min="295" max="295" width="3.140625" style="863" customWidth="1"/>
    <col min="296" max="529" width="9.140625" style="863"/>
    <col min="530" max="530" width="0" style="863" hidden="1" customWidth="1"/>
    <col min="531" max="531" width="6.28515625" style="863" customWidth="1"/>
    <col min="532" max="532" width="1.42578125" style="863" customWidth="1"/>
    <col min="533" max="533" width="1.140625" style="863" customWidth="1"/>
    <col min="534" max="534" width="1.42578125" style="863" customWidth="1"/>
    <col min="535" max="535" width="1.140625" style="863" customWidth="1"/>
    <col min="536" max="538" width="1.5703125" style="863" customWidth="1"/>
    <col min="539" max="539" width="1.7109375" style="863" customWidth="1"/>
    <col min="540" max="540" width="1.28515625" style="863" customWidth="1"/>
    <col min="541" max="542" width="1.7109375" style="863" customWidth="1"/>
    <col min="543" max="543" width="1.140625" style="863" customWidth="1"/>
    <col min="544" max="544" width="1.5703125" style="863" customWidth="1"/>
    <col min="545" max="545" width="2" style="863" customWidth="1"/>
    <col min="546" max="546" width="1.140625" style="863" customWidth="1"/>
    <col min="547" max="547" width="1.28515625" style="863" customWidth="1"/>
    <col min="548" max="549" width="1.5703125" style="863" customWidth="1"/>
    <col min="550" max="550" width="1.85546875" style="863" customWidth="1"/>
    <col min="551" max="551" width="3.140625" style="863" customWidth="1"/>
    <col min="552" max="785" width="9.140625" style="863"/>
    <col min="786" max="786" width="0" style="863" hidden="1" customWidth="1"/>
    <col min="787" max="787" width="6.28515625" style="863" customWidth="1"/>
    <col min="788" max="788" width="1.42578125" style="863" customWidth="1"/>
    <col min="789" max="789" width="1.140625" style="863" customWidth="1"/>
    <col min="790" max="790" width="1.42578125" style="863" customWidth="1"/>
    <col min="791" max="791" width="1.140625" style="863" customWidth="1"/>
    <col min="792" max="794" width="1.5703125" style="863" customWidth="1"/>
    <col min="795" max="795" width="1.7109375" style="863" customWidth="1"/>
    <col min="796" max="796" width="1.28515625" style="863" customWidth="1"/>
    <col min="797" max="798" width="1.7109375" style="863" customWidth="1"/>
    <col min="799" max="799" width="1.140625" style="863" customWidth="1"/>
    <col min="800" max="800" width="1.5703125" style="863" customWidth="1"/>
    <col min="801" max="801" width="2" style="863" customWidth="1"/>
    <col min="802" max="802" width="1.140625" style="863" customWidth="1"/>
    <col min="803" max="803" width="1.28515625" style="863" customWidth="1"/>
    <col min="804" max="805" width="1.5703125" style="863" customWidth="1"/>
    <col min="806" max="806" width="1.85546875" style="863" customWidth="1"/>
    <col min="807" max="807" width="3.140625" style="863" customWidth="1"/>
    <col min="808" max="1041" width="9.140625" style="863"/>
    <col min="1042" max="1042" width="0" style="863" hidden="1" customWidth="1"/>
    <col min="1043" max="1043" width="6.28515625" style="863" customWidth="1"/>
    <col min="1044" max="1044" width="1.42578125" style="863" customWidth="1"/>
    <col min="1045" max="1045" width="1.140625" style="863" customWidth="1"/>
    <col min="1046" max="1046" width="1.42578125" style="863" customWidth="1"/>
    <col min="1047" max="1047" width="1.140625" style="863" customWidth="1"/>
    <col min="1048" max="1050" width="1.5703125" style="863" customWidth="1"/>
    <col min="1051" max="1051" width="1.7109375" style="863" customWidth="1"/>
    <col min="1052" max="1052" width="1.28515625" style="863" customWidth="1"/>
    <col min="1053" max="1054" width="1.7109375" style="863" customWidth="1"/>
    <col min="1055" max="1055" width="1.140625" style="863" customWidth="1"/>
    <col min="1056" max="1056" width="1.5703125" style="863" customWidth="1"/>
    <col min="1057" max="1057" width="2" style="863" customWidth="1"/>
    <col min="1058" max="1058" width="1.140625" style="863" customWidth="1"/>
    <col min="1059" max="1059" width="1.28515625" style="863" customWidth="1"/>
    <col min="1060" max="1061" width="1.5703125" style="863" customWidth="1"/>
    <col min="1062" max="1062" width="1.85546875" style="863" customWidth="1"/>
    <col min="1063" max="1063" width="3.140625" style="863" customWidth="1"/>
    <col min="1064" max="1297" width="9.140625" style="863"/>
    <col min="1298" max="1298" width="0" style="863" hidden="1" customWidth="1"/>
    <col min="1299" max="1299" width="6.28515625" style="863" customWidth="1"/>
    <col min="1300" max="1300" width="1.42578125" style="863" customWidth="1"/>
    <col min="1301" max="1301" width="1.140625" style="863" customWidth="1"/>
    <col min="1302" max="1302" width="1.42578125" style="863" customWidth="1"/>
    <col min="1303" max="1303" width="1.140625" style="863" customWidth="1"/>
    <col min="1304" max="1306" width="1.5703125" style="863" customWidth="1"/>
    <col min="1307" max="1307" width="1.7109375" style="863" customWidth="1"/>
    <col min="1308" max="1308" width="1.28515625" style="863" customWidth="1"/>
    <col min="1309" max="1310" width="1.7109375" style="863" customWidth="1"/>
    <col min="1311" max="1311" width="1.140625" style="863" customWidth="1"/>
    <col min="1312" max="1312" width="1.5703125" style="863" customWidth="1"/>
    <col min="1313" max="1313" width="2" style="863" customWidth="1"/>
    <col min="1314" max="1314" width="1.140625" style="863" customWidth="1"/>
    <col min="1315" max="1315" width="1.28515625" style="863" customWidth="1"/>
    <col min="1316" max="1317" width="1.5703125" style="863" customWidth="1"/>
    <col min="1318" max="1318" width="1.85546875" style="863" customWidth="1"/>
    <col min="1319" max="1319" width="3.140625" style="863" customWidth="1"/>
    <col min="1320" max="1553" width="9.140625" style="863"/>
    <col min="1554" max="1554" width="0" style="863" hidden="1" customWidth="1"/>
    <col min="1555" max="1555" width="6.28515625" style="863" customWidth="1"/>
    <col min="1556" max="1556" width="1.42578125" style="863" customWidth="1"/>
    <col min="1557" max="1557" width="1.140625" style="863" customWidth="1"/>
    <col min="1558" max="1558" width="1.42578125" style="863" customWidth="1"/>
    <col min="1559" max="1559" width="1.140625" style="863" customWidth="1"/>
    <col min="1560" max="1562" width="1.5703125" style="863" customWidth="1"/>
    <col min="1563" max="1563" width="1.7109375" style="863" customWidth="1"/>
    <col min="1564" max="1564" width="1.28515625" style="863" customWidth="1"/>
    <col min="1565" max="1566" width="1.7109375" style="863" customWidth="1"/>
    <col min="1567" max="1567" width="1.140625" style="863" customWidth="1"/>
    <col min="1568" max="1568" width="1.5703125" style="863" customWidth="1"/>
    <col min="1569" max="1569" width="2" style="863" customWidth="1"/>
    <col min="1570" max="1570" width="1.140625" style="863" customWidth="1"/>
    <col min="1571" max="1571" width="1.28515625" style="863" customWidth="1"/>
    <col min="1572" max="1573" width="1.5703125" style="863" customWidth="1"/>
    <col min="1574" max="1574" width="1.85546875" style="863" customWidth="1"/>
    <col min="1575" max="1575" width="3.140625" style="863" customWidth="1"/>
    <col min="1576" max="1809" width="9.140625" style="863"/>
    <col min="1810" max="1810" width="0" style="863" hidden="1" customWidth="1"/>
    <col min="1811" max="1811" width="6.28515625" style="863" customWidth="1"/>
    <col min="1812" max="1812" width="1.42578125" style="863" customWidth="1"/>
    <col min="1813" max="1813" width="1.140625" style="863" customWidth="1"/>
    <col min="1814" max="1814" width="1.42578125" style="863" customWidth="1"/>
    <col min="1815" max="1815" width="1.140625" style="863" customWidth="1"/>
    <col min="1816" max="1818" width="1.5703125" style="863" customWidth="1"/>
    <col min="1819" max="1819" width="1.7109375" style="863" customWidth="1"/>
    <col min="1820" max="1820" width="1.28515625" style="863" customWidth="1"/>
    <col min="1821" max="1822" width="1.7109375" style="863" customWidth="1"/>
    <col min="1823" max="1823" width="1.140625" style="863" customWidth="1"/>
    <col min="1824" max="1824" width="1.5703125" style="863" customWidth="1"/>
    <col min="1825" max="1825" width="2" style="863" customWidth="1"/>
    <col min="1826" max="1826" width="1.140625" style="863" customWidth="1"/>
    <col min="1827" max="1827" width="1.28515625" style="863" customWidth="1"/>
    <col min="1828" max="1829" width="1.5703125" style="863" customWidth="1"/>
    <col min="1830" max="1830" width="1.85546875" style="863" customWidth="1"/>
    <col min="1831" max="1831" width="3.140625" style="863" customWidth="1"/>
    <col min="1832" max="2065" width="9.140625" style="863"/>
    <col min="2066" max="2066" width="0" style="863" hidden="1" customWidth="1"/>
    <col min="2067" max="2067" width="6.28515625" style="863" customWidth="1"/>
    <col min="2068" max="2068" width="1.42578125" style="863" customWidth="1"/>
    <col min="2069" max="2069" width="1.140625" style="863" customWidth="1"/>
    <col min="2070" max="2070" width="1.42578125" style="863" customWidth="1"/>
    <col min="2071" max="2071" width="1.140625" style="863" customWidth="1"/>
    <col min="2072" max="2074" width="1.5703125" style="863" customWidth="1"/>
    <col min="2075" max="2075" width="1.7109375" style="863" customWidth="1"/>
    <col min="2076" max="2076" width="1.28515625" style="863" customWidth="1"/>
    <col min="2077" max="2078" width="1.7109375" style="863" customWidth="1"/>
    <col min="2079" max="2079" width="1.140625" style="863" customWidth="1"/>
    <col min="2080" max="2080" width="1.5703125" style="863" customWidth="1"/>
    <col min="2081" max="2081" width="2" style="863" customWidth="1"/>
    <col min="2082" max="2082" width="1.140625" style="863" customWidth="1"/>
    <col min="2083" max="2083" width="1.28515625" style="863" customWidth="1"/>
    <col min="2084" max="2085" width="1.5703125" style="863" customWidth="1"/>
    <col min="2086" max="2086" width="1.85546875" style="863" customWidth="1"/>
    <col min="2087" max="2087" width="3.140625" style="863" customWidth="1"/>
    <col min="2088" max="2321" width="9.140625" style="863"/>
    <col min="2322" max="2322" width="0" style="863" hidden="1" customWidth="1"/>
    <col min="2323" max="2323" width="6.28515625" style="863" customWidth="1"/>
    <col min="2324" max="2324" width="1.42578125" style="863" customWidth="1"/>
    <col min="2325" max="2325" width="1.140625" style="863" customWidth="1"/>
    <col min="2326" max="2326" width="1.42578125" style="863" customWidth="1"/>
    <col min="2327" max="2327" width="1.140625" style="863" customWidth="1"/>
    <col min="2328" max="2330" width="1.5703125" style="863" customWidth="1"/>
    <col min="2331" max="2331" width="1.7109375" style="863" customWidth="1"/>
    <col min="2332" max="2332" width="1.28515625" style="863" customWidth="1"/>
    <col min="2333" max="2334" width="1.7109375" style="863" customWidth="1"/>
    <col min="2335" max="2335" width="1.140625" style="863" customWidth="1"/>
    <col min="2336" max="2336" width="1.5703125" style="863" customWidth="1"/>
    <col min="2337" max="2337" width="2" style="863" customWidth="1"/>
    <col min="2338" max="2338" width="1.140625" style="863" customWidth="1"/>
    <col min="2339" max="2339" width="1.28515625" style="863" customWidth="1"/>
    <col min="2340" max="2341" width="1.5703125" style="863" customWidth="1"/>
    <col min="2342" max="2342" width="1.85546875" style="863" customWidth="1"/>
    <col min="2343" max="2343" width="3.140625" style="863" customWidth="1"/>
    <col min="2344" max="2577" width="9.140625" style="863"/>
    <col min="2578" max="2578" width="0" style="863" hidden="1" customWidth="1"/>
    <col min="2579" max="2579" width="6.28515625" style="863" customWidth="1"/>
    <col min="2580" max="2580" width="1.42578125" style="863" customWidth="1"/>
    <col min="2581" max="2581" width="1.140625" style="863" customWidth="1"/>
    <col min="2582" max="2582" width="1.42578125" style="863" customWidth="1"/>
    <col min="2583" max="2583" width="1.140625" style="863" customWidth="1"/>
    <col min="2584" max="2586" width="1.5703125" style="863" customWidth="1"/>
    <col min="2587" max="2587" width="1.7109375" style="863" customWidth="1"/>
    <col min="2588" max="2588" width="1.28515625" style="863" customWidth="1"/>
    <col min="2589" max="2590" width="1.7109375" style="863" customWidth="1"/>
    <col min="2591" max="2591" width="1.140625" style="863" customWidth="1"/>
    <col min="2592" max="2592" width="1.5703125" style="863" customWidth="1"/>
    <col min="2593" max="2593" width="2" style="863" customWidth="1"/>
    <col min="2594" max="2594" width="1.140625" style="863" customWidth="1"/>
    <col min="2595" max="2595" width="1.28515625" style="863" customWidth="1"/>
    <col min="2596" max="2597" width="1.5703125" style="863" customWidth="1"/>
    <col min="2598" max="2598" width="1.85546875" style="863" customWidth="1"/>
    <col min="2599" max="2599" width="3.140625" style="863" customWidth="1"/>
    <col min="2600" max="2833" width="9.140625" style="863"/>
    <col min="2834" max="2834" width="0" style="863" hidden="1" customWidth="1"/>
    <col min="2835" max="2835" width="6.28515625" style="863" customWidth="1"/>
    <col min="2836" max="2836" width="1.42578125" style="863" customWidth="1"/>
    <col min="2837" max="2837" width="1.140625" style="863" customWidth="1"/>
    <col min="2838" max="2838" width="1.42578125" style="863" customWidth="1"/>
    <col min="2839" max="2839" width="1.140625" style="863" customWidth="1"/>
    <col min="2840" max="2842" width="1.5703125" style="863" customWidth="1"/>
    <col min="2843" max="2843" width="1.7109375" style="863" customWidth="1"/>
    <col min="2844" max="2844" width="1.28515625" style="863" customWidth="1"/>
    <col min="2845" max="2846" width="1.7109375" style="863" customWidth="1"/>
    <col min="2847" max="2847" width="1.140625" style="863" customWidth="1"/>
    <col min="2848" max="2848" width="1.5703125" style="863" customWidth="1"/>
    <col min="2849" max="2849" width="2" style="863" customWidth="1"/>
    <col min="2850" max="2850" width="1.140625" style="863" customWidth="1"/>
    <col min="2851" max="2851" width="1.28515625" style="863" customWidth="1"/>
    <col min="2852" max="2853" width="1.5703125" style="863" customWidth="1"/>
    <col min="2854" max="2854" width="1.85546875" style="863" customWidth="1"/>
    <col min="2855" max="2855" width="3.140625" style="863" customWidth="1"/>
    <col min="2856" max="3089" width="9.140625" style="863"/>
    <col min="3090" max="3090" width="0" style="863" hidden="1" customWidth="1"/>
    <col min="3091" max="3091" width="6.28515625" style="863" customWidth="1"/>
    <col min="3092" max="3092" width="1.42578125" style="863" customWidth="1"/>
    <col min="3093" max="3093" width="1.140625" style="863" customWidth="1"/>
    <col min="3094" max="3094" width="1.42578125" style="863" customWidth="1"/>
    <col min="3095" max="3095" width="1.140625" style="863" customWidth="1"/>
    <col min="3096" max="3098" width="1.5703125" style="863" customWidth="1"/>
    <col min="3099" max="3099" width="1.7109375" style="863" customWidth="1"/>
    <col min="3100" max="3100" width="1.28515625" style="863" customWidth="1"/>
    <col min="3101" max="3102" width="1.7109375" style="863" customWidth="1"/>
    <col min="3103" max="3103" width="1.140625" style="863" customWidth="1"/>
    <col min="3104" max="3104" width="1.5703125" style="863" customWidth="1"/>
    <col min="3105" max="3105" width="2" style="863" customWidth="1"/>
    <col min="3106" max="3106" width="1.140625" style="863" customWidth="1"/>
    <col min="3107" max="3107" width="1.28515625" style="863" customWidth="1"/>
    <col min="3108" max="3109" width="1.5703125" style="863" customWidth="1"/>
    <col min="3110" max="3110" width="1.85546875" style="863" customWidth="1"/>
    <col min="3111" max="3111" width="3.140625" style="863" customWidth="1"/>
    <col min="3112" max="3345" width="9.140625" style="863"/>
    <col min="3346" max="3346" width="0" style="863" hidden="1" customWidth="1"/>
    <col min="3347" max="3347" width="6.28515625" style="863" customWidth="1"/>
    <col min="3348" max="3348" width="1.42578125" style="863" customWidth="1"/>
    <col min="3349" max="3349" width="1.140625" style="863" customWidth="1"/>
    <col min="3350" max="3350" width="1.42578125" style="863" customWidth="1"/>
    <col min="3351" max="3351" width="1.140625" style="863" customWidth="1"/>
    <col min="3352" max="3354" width="1.5703125" style="863" customWidth="1"/>
    <col min="3355" max="3355" width="1.7109375" style="863" customWidth="1"/>
    <col min="3356" max="3356" width="1.28515625" style="863" customWidth="1"/>
    <col min="3357" max="3358" width="1.7109375" style="863" customWidth="1"/>
    <col min="3359" max="3359" width="1.140625" style="863" customWidth="1"/>
    <col min="3360" max="3360" width="1.5703125" style="863" customWidth="1"/>
    <col min="3361" max="3361" width="2" style="863" customWidth="1"/>
    <col min="3362" max="3362" width="1.140625" style="863" customWidth="1"/>
    <col min="3363" max="3363" width="1.28515625" style="863" customWidth="1"/>
    <col min="3364" max="3365" width="1.5703125" style="863" customWidth="1"/>
    <col min="3366" max="3366" width="1.85546875" style="863" customWidth="1"/>
    <col min="3367" max="3367" width="3.140625" style="863" customWidth="1"/>
    <col min="3368" max="3601" width="9.140625" style="863"/>
    <col min="3602" max="3602" width="0" style="863" hidden="1" customWidth="1"/>
    <col min="3603" max="3603" width="6.28515625" style="863" customWidth="1"/>
    <col min="3604" max="3604" width="1.42578125" style="863" customWidth="1"/>
    <col min="3605" max="3605" width="1.140625" style="863" customWidth="1"/>
    <col min="3606" max="3606" width="1.42578125" style="863" customWidth="1"/>
    <col min="3607" max="3607" width="1.140625" style="863" customWidth="1"/>
    <col min="3608" max="3610" width="1.5703125" style="863" customWidth="1"/>
    <col min="3611" max="3611" width="1.7109375" style="863" customWidth="1"/>
    <col min="3612" max="3612" width="1.28515625" style="863" customWidth="1"/>
    <col min="3613" max="3614" width="1.7109375" style="863" customWidth="1"/>
    <col min="3615" max="3615" width="1.140625" style="863" customWidth="1"/>
    <col min="3616" max="3616" width="1.5703125" style="863" customWidth="1"/>
    <col min="3617" max="3617" width="2" style="863" customWidth="1"/>
    <col min="3618" max="3618" width="1.140625" style="863" customWidth="1"/>
    <col min="3619" max="3619" width="1.28515625" style="863" customWidth="1"/>
    <col min="3620" max="3621" width="1.5703125" style="863" customWidth="1"/>
    <col min="3622" max="3622" width="1.85546875" style="863" customWidth="1"/>
    <col min="3623" max="3623" width="3.140625" style="863" customWidth="1"/>
    <col min="3624" max="3857" width="9.140625" style="863"/>
    <col min="3858" max="3858" width="0" style="863" hidden="1" customWidth="1"/>
    <col min="3859" max="3859" width="6.28515625" style="863" customWidth="1"/>
    <col min="3860" max="3860" width="1.42578125" style="863" customWidth="1"/>
    <col min="3861" max="3861" width="1.140625" style="863" customWidth="1"/>
    <col min="3862" max="3862" width="1.42578125" style="863" customWidth="1"/>
    <col min="3863" max="3863" width="1.140625" style="863" customWidth="1"/>
    <col min="3864" max="3866" width="1.5703125" style="863" customWidth="1"/>
    <col min="3867" max="3867" width="1.7109375" style="863" customWidth="1"/>
    <col min="3868" max="3868" width="1.28515625" style="863" customWidth="1"/>
    <col min="3869" max="3870" width="1.7109375" style="863" customWidth="1"/>
    <col min="3871" max="3871" width="1.140625" style="863" customWidth="1"/>
    <col min="3872" max="3872" width="1.5703125" style="863" customWidth="1"/>
    <col min="3873" max="3873" width="2" style="863" customWidth="1"/>
    <col min="3874" max="3874" width="1.140625" style="863" customWidth="1"/>
    <col min="3875" max="3875" width="1.28515625" style="863" customWidth="1"/>
    <col min="3876" max="3877" width="1.5703125" style="863" customWidth="1"/>
    <col min="3878" max="3878" width="1.85546875" style="863" customWidth="1"/>
    <col min="3879" max="3879" width="3.140625" style="863" customWidth="1"/>
    <col min="3880" max="4113" width="9.140625" style="863"/>
    <col min="4114" max="4114" width="0" style="863" hidden="1" customWidth="1"/>
    <col min="4115" max="4115" width="6.28515625" style="863" customWidth="1"/>
    <col min="4116" max="4116" width="1.42578125" style="863" customWidth="1"/>
    <col min="4117" max="4117" width="1.140625" style="863" customWidth="1"/>
    <col min="4118" max="4118" width="1.42578125" style="863" customWidth="1"/>
    <col min="4119" max="4119" width="1.140625" style="863" customWidth="1"/>
    <col min="4120" max="4122" width="1.5703125" style="863" customWidth="1"/>
    <col min="4123" max="4123" width="1.7109375" style="863" customWidth="1"/>
    <col min="4124" max="4124" width="1.28515625" style="863" customWidth="1"/>
    <col min="4125" max="4126" width="1.7109375" style="863" customWidth="1"/>
    <col min="4127" max="4127" width="1.140625" style="863" customWidth="1"/>
    <col min="4128" max="4128" width="1.5703125" style="863" customWidth="1"/>
    <col min="4129" max="4129" width="2" style="863" customWidth="1"/>
    <col min="4130" max="4130" width="1.140625" style="863" customWidth="1"/>
    <col min="4131" max="4131" width="1.28515625" style="863" customWidth="1"/>
    <col min="4132" max="4133" width="1.5703125" style="863" customWidth="1"/>
    <col min="4134" max="4134" width="1.85546875" style="863" customWidth="1"/>
    <col min="4135" max="4135" width="3.140625" style="863" customWidth="1"/>
    <col min="4136" max="4369" width="9.140625" style="863"/>
    <col min="4370" max="4370" width="0" style="863" hidden="1" customWidth="1"/>
    <col min="4371" max="4371" width="6.28515625" style="863" customWidth="1"/>
    <col min="4372" max="4372" width="1.42578125" style="863" customWidth="1"/>
    <col min="4373" max="4373" width="1.140625" style="863" customWidth="1"/>
    <col min="4374" max="4374" width="1.42578125" style="863" customWidth="1"/>
    <col min="4375" max="4375" width="1.140625" style="863" customWidth="1"/>
    <col min="4376" max="4378" width="1.5703125" style="863" customWidth="1"/>
    <col min="4379" max="4379" width="1.7109375" style="863" customWidth="1"/>
    <col min="4380" max="4380" width="1.28515625" style="863" customWidth="1"/>
    <col min="4381" max="4382" width="1.7109375" style="863" customWidth="1"/>
    <col min="4383" max="4383" width="1.140625" style="863" customWidth="1"/>
    <col min="4384" max="4384" width="1.5703125" style="863" customWidth="1"/>
    <col min="4385" max="4385" width="2" style="863" customWidth="1"/>
    <col min="4386" max="4386" width="1.140625" style="863" customWidth="1"/>
    <col min="4387" max="4387" width="1.28515625" style="863" customWidth="1"/>
    <col min="4388" max="4389" width="1.5703125" style="863" customWidth="1"/>
    <col min="4390" max="4390" width="1.85546875" style="863" customWidth="1"/>
    <col min="4391" max="4391" width="3.140625" style="863" customWidth="1"/>
    <col min="4392" max="4625" width="9.140625" style="863"/>
    <col min="4626" max="4626" width="0" style="863" hidden="1" customWidth="1"/>
    <col min="4627" max="4627" width="6.28515625" style="863" customWidth="1"/>
    <col min="4628" max="4628" width="1.42578125" style="863" customWidth="1"/>
    <col min="4629" max="4629" width="1.140625" style="863" customWidth="1"/>
    <col min="4630" max="4630" width="1.42578125" style="863" customWidth="1"/>
    <col min="4631" max="4631" width="1.140625" style="863" customWidth="1"/>
    <col min="4632" max="4634" width="1.5703125" style="863" customWidth="1"/>
    <col min="4635" max="4635" width="1.7109375" style="863" customWidth="1"/>
    <col min="4636" max="4636" width="1.28515625" style="863" customWidth="1"/>
    <col min="4637" max="4638" width="1.7109375" style="863" customWidth="1"/>
    <col min="4639" max="4639" width="1.140625" style="863" customWidth="1"/>
    <col min="4640" max="4640" width="1.5703125" style="863" customWidth="1"/>
    <col min="4641" max="4641" width="2" style="863" customWidth="1"/>
    <col min="4642" max="4642" width="1.140625" style="863" customWidth="1"/>
    <col min="4643" max="4643" width="1.28515625" style="863" customWidth="1"/>
    <col min="4644" max="4645" width="1.5703125" style="863" customWidth="1"/>
    <col min="4646" max="4646" width="1.85546875" style="863" customWidth="1"/>
    <col min="4647" max="4647" width="3.140625" style="863" customWidth="1"/>
    <col min="4648" max="4881" width="9.140625" style="863"/>
    <col min="4882" max="4882" width="0" style="863" hidden="1" customWidth="1"/>
    <col min="4883" max="4883" width="6.28515625" style="863" customWidth="1"/>
    <col min="4884" max="4884" width="1.42578125" style="863" customWidth="1"/>
    <col min="4885" max="4885" width="1.140625" style="863" customWidth="1"/>
    <col min="4886" max="4886" width="1.42578125" style="863" customWidth="1"/>
    <col min="4887" max="4887" width="1.140625" style="863" customWidth="1"/>
    <col min="4888" max="4890" width="1.5703125" style="863" customWidth="1"/>
    <col min="4891" max="4891" width="1.7109375" style="863" customWidth="1"/>
    <col min="4892" max="4892" width="1.28515625" style="863" customWidth="1"/>
    <col min="4893" max="4894" width="1.7109375" style="863" customWidth="1"/>
    <col min="4895" max="4895" width="1.140625" style="863" customWidth="1"/>
    <col min="4896" max="4896" width="1.5703125" style="863" customWidth="1"/>
    <col min="4897" max="4897" width="2" style="863" customWidth="1"/>
    <col min="4898" max="4898" width="1.140625" style="863" customWidth="1"/>
    <col min="4899" max="4899" width="1.28515625" style="863" customWidth="1"/>
    <col min="4900" max="4901" width="1.5703125" style="863" customWidth="1"/>
    <col min="4902" max="4902" width="1.85546875" style="863" customWidth="1"/>
    <col min="4903" max="4903" width="3.140625" style="863" customWidth="1"/>
    <col min="4904" max="5137" width="9.140625" style="863"/>
    <col min="5138" max="5138" width="0" style="863" hidden="1" customWidth="1"/>
    <col min="5139" max="5139" width="6.28515625" style="863" customWidth="1"/>
    <col min="5140" max="5140" width="1.42578125" style="863" customWidth="1"/>
    <col min="5141" max="5141" width="1.140625" style="863" customWidth="1"/>
    <col min="5142" max="5142" width="1.42578125" style="863" customWidth="1"/>
    <col min="5143" max="5143" width="1.140625" style="863" customWidth="1"/>
    <col min="5144" max="5146" width="1.5703125" style="863" customWidth="1"/>
    <col min="5147" max="5147" width="1.7109375" style="863" customWidth="1"/>
    <col min="5148" max="5148" width="1.28515625" style="863" customWidth="1"/>
    <col min="5149" max="5150" width="1.7109375" style="863" customWidth="1"/>
    <col min="5151" max="5151" width="1.140625" style="863" customWidth="1"/>
    <col min="5152" max="5152" width="1.5703125" style="863" customWidth="1"/>
    <col min="5153" max="5153" width="2" style="863" customWidth="1"/>
    <col min="5154" max="5154" width="1.140625" style="863" customWidth="1"/>
    <col min="5155" max="5155" width="1.28515625" style="863" customWidth="1"/>
    <col min="5156" max="5157" width="1.5703125" style="863" customWidth="1"/>
    <col min="5158" max="5158" width="1.85546875" style="863" customWidth="1"/>
    <col min="5159" max="5159" width="3.140625" style="863" customWidth="1"/>
    <col min="5160" max="5393" width="9.140625" style="863"/>
    <col min="5394" max="5394" width="0" style="863" hidden="1" customWidth="1"/>
    <col min="5395" max="5395" width="6.28515625" style="863" customWidth="1"/>
    <col min="5396" max="5396" width="1.42578125" style="863" customWidth="1"/>
    <col min="5397" max="5397" width="1.140625" style="863" customWidth="1"/>
    <col min="5398" max="5398" width="1.42578125" style="863" customWidth="1"/>
    <col min="5399" max="5399" width="1.140625" style="863" customWidth="1"/>
    <col min="5400" max="5402" width="1.5703125" style="863" customWidth="1"/>
    <col min="5403" max="5403" width="1.7109375" style="863" customWidth="1"/>
    <col min="5404" max="5404" width="1.28515625" style="863" customWidth="1"/>
    <col min="5405" max="5406" width="1.7109375" style="863" customWidth="1"/>
    <col min="5407" max="5407" width="1.140625" style="863" customWidth="1"/>
    <col min="5408" max="5408" width="1.5703125" style="863" customWidth="1"/>
    <col min="5409" max="5409" width="2" style="863" customWidth="1"/>
    <col min="5410" max="5410" width="1.140625" style="863" customWidth="1"/>
    <col min="5411" max="5411" width="1.28515625" style="863" customWidth="1"/>
    <col min="5412" max="5413" width="1.5703125" style="863" customWidth="1"/>
    <col min="5414" max="5414" width="1.85546875" style="863" customWidth="1"/>
    <col min="5415" max="5415" width="3.140625" style="863" customWidth="1"/>
    <col min="5416" max="5649" width="9.140625" style="863"/>
    <col min="5650" max="5650" width="0" style="863" hidden="1" customWidth="1"/>
    <col min="5651" max="5651" width="6.28515625" style="863" customWidth="1"/>
    <col min="5652" max="5652" width="1.42578125" style="863" customWidth="1"/>
    <col min="5653" max="5653" width="1.140625" style="863" customWidth="1"/>
    <col min="5654" max="5654" width="1.42578125" style="863" customWidth="1"/>
    <col min="5655" max="5655" width="1.140625" style="863" customWidth="1"/>
    <col min="5656" max="5658" width="1.5703125" style="863" customWidth="1"/>
    <col min="5659" max="5659" width="1.7109375" style="863" customWidth="1"/>
    <col min="5660" max="5660" width="1.28515625" style="863" customWidth="1"/>
    <col min="5661" max="5662" width="1.7109375" style="863" customWidth="1"/>
    <col min="5663" max="5663" width="1.140625" style="863" customWidth="1"/>
    <col min="5664" max="5664" width="1.5703125" style="863" customWidth="1"/>
    <col min="5665" max="5665" width="2" style="863" customWidth="1"/>
    <col min="5666" max="5666" width="1.140625" style="863" customWidth="1"/>
    <col min="5667" max="5667" width="1.28515625" style="863" customWidth="1"/>
    <col min="5668" max="5669" width="1.5703125" style="863" customWidth="1"/>
    <col min="5670" max="5670" width="1.85546875" style="863" customWidth="1"/>
    <col min="5671" max="5671" width="3.140625" style="863" customWidth="1"/>
    <col min="5672" max="5905" width="9.140625" style="863"/>
    <col min="5906" max="5906" width="0" style="863" hidden="1" customWidth="1"/>
    <col min="5907" max="5907" width="6.28515625" style="863" customWidth="1"/>
    <col min="5908" max="5908" width="1.42578125" style="863" customWidth="1"/>
    <col min="5909" max="5909" width="1.140625" style="863" customWidth="1"/>
    <col min="5910" max="5910" width="1.42578125" style="863" customWidth="1"/>
    <col min="5911" max="5911" width="1.140625" style="863" customWidth="1"/>
    <col min="5912" max="5914" width="1.5703125" style="863" customWidth="1"/>
    <col min="5915" max="5915" width="1.7109375" style="863" customWidth="1"/>
    <col min="5916" max="5916" width="1.28515625" style="863" customWidth="1"/>
    <col min="5917" max="5918" width="1.7109375" style="863" customWidth="1"/>
    <col min="5919" max="5919" width="1.140625" style="863" customWidth="1"/>
    <col min="5920" max="5920" width="1.5703125" style="863" customWidth="1"/>
    <col min="5921" max="5921" width="2" style="863" customWidth="1"/>
    <col min="5922" max="5922" width="1.140625" style="863" customWidth="1"/>
    <col min="5923" max="5923" width="1.28515625" style="863" customWidth="1"/>
    <col min="5924" max="5925" width="1.5703125" style="863" customWidth="1"/>
    <col min="5926" max="5926" width="1.85546875" style="863" customWidth="1"/>
    <col min="5927" max="5927" width="3.140625" style="863" customWidth="1"/>
    <col min="5928" max="6161" width="9.140625" style="863"/>
    <col min="6162" max="6162" width="0" style="863" hidden="1" customWidth="1"/>
    <col min="6163" max="6163" width="6.28515625" style="863" customWidth="1"/>
    <col min="6164" max="6164" width="1.42578125" style="863" customWidth="1"/>
    <col min="6165" max="6165" width="1.140625" style="863" customWidth="1"/>
    <col min="6166" max="6166" width="1.42578125" style="863" customWidth="1"/>
    <col min="6167" max="6167" width="1.140625" style="863" customWidth="1"/>
    <col min="6168" max="6170" width="1.5703125" style="863" customWidth="1"/>
    <col min="6171" max="6171" width="1.7109375" style="863" customWidth="1"/>
    <col min="6172" max="6172" width="1.28515625" style="863" customWidth="1"/>
    <col min="6173" max="6174" width="1.7109375" style="863" customWidth="1"/>
    <col min="6175" max="6175" width="1.140625" style="863" customWidth="1"/>
    <col min="6176" max="6176" width="1.5703125" style="863" customWidth="1"/>
    <col min="6177" max="6177" width="2" style="863" customWidth="1"/>
    <col min="6178" max="6178" width="1.140625" style="863" customWidth="1"/>
    <col min="6179" max="6179" width="1.28515625" style="863" customWidth="1"/>
    <col min="6180" max="6181" width="1.5703125" style="863" customWidth="1"/>
    <col min="6182" max="6182" width="1.85546875" style="863" customWidth="1"/>
    <col min="6183" max="6183" width="3.140625" style="863" customWidth="1"/>
    <col min="6184" max="6417" width="9.140625" style="863"/>
    <col min="6418" max="6418" width="0" style="863" hidden="1" customWidth="1"/>
    <col min="6419" max="6419" width="6.28515625" style="863" customWidth="1"/>
    <col min="6420" max="6420" width="1.42578125" style="863" customWidth="1"/>
    <col min="6421" max="6421" width="1.140625" style="863" customWidth="1"/>
    <col min="6422" max="6422" width="1.42578125" style="863" customWidth="1"/>
    <col min="6423" max="6423" width="1.140625" style="863" customWidth="1"/>
    <col min="6424" max="6426" width="1.5703125" style="863" customWidth="1"/>
    <col min="6427" max="6427" width="1.7109375" style="863" customWidth="1"/>
    <col min="6428" max="6428" width="1.28515625" style="863" customWidth="1"/>
    <col min="6429" max="6430" width="1.7109375" style="863" customWidth="1"/>
    <col min="6431" max="6431" width="1.140625" style="863" customWidth="1"/>
    <col min="6432" max="6432" width="1.5703125" style="863" customWidth="1"/>
    <col min="6433" max="6433" width="2" style="863" customWidth="1"/>
    <col min="6434" max="6434" width="1.140625" style="863" customWidth="1"/>
    <col min="6435" max="6435" width="1.28515625" style="863" customWidth="1"/>
    <col min="6436" max="6437" width="1.5703125" style="863" customWidth="1"/>
    <col min="6438" max="6438" width="1.85546875" style="863" customWidth="1"/>
    <col min="6439" max="6439" width="3.140625" style="863" customWidth="1"/>
    <col min="6440" max="6673" width="9.140625" style="863"/>
    <col min="6674" max="6674" width="0" style="863" hidden="1" customWidth="1"/>
    <col min="6675" max="6675" width="6.28515625" style="863" customWidth="1"/>
    <col min="6676" max="6676" width="1.42578125" style="863" customWidth="1"/>
    <col min="6677" max="6677" width="1.140625" style="863" customWidth="1"/>
    <col min="6678" max="6678" width="1.42578125" style="863" customWidth="1"/>
    <col min="6679" max="6679" width="1.140625" style="863" customWidth="1"/>
    <col min="6680" max="6682" width="1.5703125" style="863" customWidth="1"/>
    <col min="6683" max="6683" width="1.7109375" style="863" customWidth="1"/>
    <col min="6684" max="6684" width="1.28515625" style="863" customWidth="1"/>
    <col min="6685" max="6686" width="1.7109375" style="863" customWidth="1"/>
    <col min="6687" max="6687" width="1.140625" style="863" customWidth="1"/>
    <col min="6688" max="6688" width="1.5703125" style="863" customWidth="1"/>
    <col min="6689" max="6689" width="2" style="863" customWidth="1"/>
    <col min="6690" max="6690" width="1.140625" style="863" customWidth="1"/>
    <col min="6691" max="6691" width="1.28515625" style="863" customWidth="1"/>
    <col min="6692" max="6693" width="1.5703125" style="863" customWidth="1"/>
    <col min="6694" max="6694" width="1.85546875" style="863" customWidth="1"/>
    <col min="6695" max="6695" width="3.140625" style="863" customWidth="1"/>
    <col min="6696" max="6929" width="9.140625" style="863"/>
    <col min="6930" max="6930" width="0" style="863" hidden="1" customWidth="1"/>
    <col min="6931" max="6931" width="6.28515625" style="863" customWidth="1"/>
    <col min="6932" max="6932" width="1.42578125" style="863" customWidth="1"/>
    <col min="6933" max="6933" width="1.140625" style="863" customWidth="1"/>
    <col min="6934" max="6934" width="1.42578125" style="863" customWidth="1"/>
    <col min="6935" max="6935" width="1.140625" style="863" customWidth="1"/>
    <col min="6936" max="6938" width="1.5703125" style="863" customWidth="1"/>
    <col min="6939" max="6939" width="1.7109375" style="863" customWidth="1"/>
    <col min="6940" max="6940" width="1.28515625" style="863" customWidth="1"/>
    <col min="6941" max="6942" width="1.7109375" style="863" customWidth="1"/>
    <col min="6943" max="6943" width="1.140625" style="863" customWidth="1"/>
    <col min="6944" max="6944" width="1.5703125" style="863" customWidth="1"/>
    <col min="6945" max="6945" width="2" style="863" customWidth="1"/>
    <col min="6946" max="6946" width="1.140625" style="863" customWidth="1"/>
    <col min="6947" max="6947" width="1.28515625" style="863" customWidth="1"/>
    <col min="6948" max="6949" width="1.5703125" style="863" customWidth="1"/>
    <col min="6950" max="6950" width="1.85546875" style="863" customWidth="1"/>
    <col min="6951" max="6951" width="3.140625" style="863" customWidth="1"/>
    <col min="6952" max="7185" width="9.140625" style="863"/>
    <col min="7186" max="7186" width="0" style="863" hidden="1" customWidth="1"/>
    <col min="7187" max="7187" width="6.28515625" style="863" customWidth="1"/>
    <col min="7188" max="7188" width="1.42578125" style="863" customWidth="1"/>
    <col min="7189" max="7189" width="1.140625" style="863" customWidth="1"/>
    <col min="7190" max="7190" width="1.42578125" style="863" customWidth="1"/>
    <col min="7191" max="7191" width="1.140625" style="863" customWidth="1"/>
    <col min="7192" max="7194" width="1.5703125" style="863" customWidth="1"/>
    <col min="7195" max="7195" width="1.7109375" style="863" customWidth="1"/>
    <col min="7196" max="7196" width="1.28515625" style="863" customWidth="1"/>
    <col min="7197" max="7198" width="1.7109375" style="863" customWidth="1"/>
    <col min="7199" max="7199" width="1.140625" style="863" customWidth="1"/>
    <col min="7200" max="7200" width="1.5703125" style="863" customWidth="1"/>
    <col min="7201" max="7201" width="2" style="863" customWidth="1"/>
    <col min="7202" max="7202" width="1.140625" style="863" customWidth="1"/>
    <col min="7203" max="7203" width="1.28515625" style="863" customWidth="1"/>
    <col min="7204" max="7205" width="1.5703125" style="863" customWidth="1"/>
    <col min="7206" max="7206" width="1.85546875" style="863" customWidth="1"/>
    <col min="7207" max="7207" width="3.140625" style="863" customWidth="1"/>
    <col min="7208" max="7441" width="9.140625" style="863"/>
    <col min="7442" max="7442" width="0" style="863" hidden="1" customWidth="1"/>
    <col min="7443" max="7443" width="6.28515625" style="863" customWidth="1"/>
    <col min="7444" max="7444" width="1.42578125" style="863" customWidth="1"/>
    <col min="7445" max="7445" width="1.140625" style="863" customWidth="1"/>
    <col min="7446" max="7446" width="1.42578125" style="863" customWidth="1"/>
    <col min="7447" max="7447" width="1.140625" style="863" customWidth="1"/>
    <col min="7448" max="7450" width="1.5703125" style="863" customWidth="1"/>
    <col min="7451" max="7451" width="1.7109375" style="863" customWidth="1"/>
    <col min="7452" max="7452" width="1.28515625" style="863" customWidth="1"/>
    <col min="7453" max="7454" width="1.7109375" style="863" customWidth="1"/>
    <col min="7455" max="7455" width="1.140625" style="863" customWidth="1"/>
    <col min="7456" max="7456" width="1.5703125" style="863" customWidth="1"/>
    <col min="7457" max="7457" width="2" style="863" customWidth="1"/>
    <col min="7458" max="7458" width="1.140625" style="863" customWidth="1"/>
    <col min="7459" max="7459" width="1.28515625" style="863" customWidth="1"/>
    <col min="7460" max="7461" width="1.5703125" style="863" customWidth="1"/>
    <col min="7462" max="7462" width="1.85546875" style="863" customWidth="1"/>
    <col min="7463" max="7463" width="3.140625" style="863" customWidth="1"/>
    <col min="7464" max="7697" width="9.140625" style="863"/>
    <col min="7698" max="7698" width="0" style="863" hidden="1" customWidth="1"/>
    <col min="7699" max="7699" width="6.28515625" style="863" customWidth="1"/>
    <col min="7700" max="7700" width="1.42578125" style="863" customWidth="1"/>
    <col min="7701" max="7701" width="1.140625" style="863" customWidth="1"/>
    <col min="7702" max="7702" width="1.42578125" style="863" customWidth="1"/>
    <col min="7703" max="7703" width="1.140625" style="863" customWidth="1"/>
    <col min="7704" max="7706" width="1.5703125" style="863" customWidth="1"/>
    <col min="7707" max="7707" width="1.7109375" style="863" customWidth="1"/>
    <col min="7708" max="7708" width="1.28515625" style="863" customWidth="1"/>
    <col min="7709" max="7710" width="1.7109375" style="863" customWidth="1"/>
    <col min="7711" max="7711" width="1.140625" style="863" customWidth="1"/>
    <col min="7712" max="7712" width="1.5703125" style="863" customWidth="1"/>
    <col min="7713" max="7713" width="2" style="863" customWidth="1"/>
    <col min="7714" max="7714" width="1.140625" style="863" customWidth="1"/>
    <col min="7715" max="7715" width="1.28515625" style="863" customWidth="1"/>
    <col min="7716" max="7717" width="1.5703125" style="863" customWidth="1"/>
    <col min="7718" max="7718" width="1.85546875" style="863" customWidth="1"/>
    <col min="7719" max="7719" width="3.140625" style="863" customWidth="1"/>
    <col min="7720" max="7953" width="9.140625" style="863"/>
    <col min="7954" max="7954" width="0" style="863" hidden="1" customWidth="1"/>
    <col min="7955" max="7955" width="6.28515625" style="863" customWidth="1"/>
    <col min="7956" max="7956" width="1.42578125" style="863" customWidth="1"/>
    <col min="7957" max="7957" width="1.140625" style="863" customWidth="1"/>
    <col min="7958" max="7958" width="1.42578125" style="863" customWidth="1"/>
    <col min="7959" max="7959" width="1.140625" style="863" customWidth="1"/>
    <col min="7960" max="7962" width="1.5703125" style="863" customWidth="1"/>
    <col min="7963" max="7963" width="1.7109375" style="863" customWidth="1"/>
    <col min="7964" max="7964" width="1.28515625" style="863" customWidth="1"/>
    <col min="7965" max="7966" width="1.7109375" style="863" customWidth="1"/>
    <col min="7967" max="7967" width="1.140625" style="863" customWidth="1"/>
    <col min="7968" max="7968" width="1.5703125" style="863" customWidth="1"/>
    <col min="7969" max="7969" width="2" style="863" customWidth="1"/>
    <col min="7970" max="7970" width="1.140625" style="863" customWidth="1"/>
    <col min="7971" max="7971" width="1.28515625" style="863" customWidth="1"/>
    <col min="7972" max="7973" width="1.5703125" style="863" customWidth="1"/>
    <col min="7974" max="7974" width="1.85546875" style="863" customWidth="1"/>
    <col min="7975" max="7975" width="3.140625" style="863" customWidth="1"/>
    <col min="7976" max="8209" width="9.140625" style="863"/>
    <col min="8210" max="8210" width="0" style="863" hidden="1" customWidth="1"/>
    <col min="8211" max="8211" width="6.28515625" style="863" customWidth="1"/>
    <col min="8212" max="8212" width="1.42578125" style="863" customWidth="1"/>
    <col min="8213" max="8213" width="1.140625" style="863" customWidth="1"/>
    <col min="8214" max="8214" width="1.42578125" style="863" customWidth="1"/>
    <col min="8215" max="8215" width="1.140625" style="863" customWidth="1"/>
    <col min="8216" max="8218" width="1.5703125" style="863" customWidth="1"/>
    <col min="8219" max="8219" width="1.7109375" style="863" customWidth="1"/>
    <col min="8220" max="8220" width="1.28515625" style="863" customWidth="1"/>
    <col min="8221" max="8222" width="1.7109375" style="863" customWidth="1"/>
    <col min="8223" max="8223" width="1.140625" style="863" customWidth="1"/>
    <col min="8224" max="8224" width="1.5703125" style="863" customWidth="1"/>
    <col min="8225" max="8225" width="2" style="863" customWidth="1"/>
    <col min="8226" max="8226" width="1.140625" style="863" customWidth="1"/>
    <col min="8227" max="8227" width="1.28515625" style="863" customWidth="1"/>
    <col min="8228" max="8229" width="1.5703125" style="863" customWidth="1"/>
    <col min="8230" max="8230" width="1.85546875" style="863" customWidth="1"/>
    <col min="8231" max="8231" width="3.140625" style="863" customWidth="1"/>
    <col min="8232" max="8465" width="9.140625" style="863"/>
    <col min="8466" max="8466" width="0" style="863" hidden="1" customWidth="1"/>
    <col min="8467" max="8467" width="6.28515625" style="863" customWidth="1"/>
    <col min="8468" max="8468" width="1.42578125" style="863" customWidth="1"/>
    <col min="8469" max="8469" width="1.140625" style="863" customWidth="1"/>
    <col min="8470" max="8470" width="1.42578125" style="863" customWidth="1"/>
    <col min="8471" max="8471" width="1.140625" style="863" customWidth="1"/>
    <col min="8472" max="8474" width="1.5703125" style="863" customWidth="1"/>
    <col min="8475" max="8475" width="1.7109375" style="863" customWidth="1"/>
    <col min="8476" max="8476" width="1.28515625" style="863" customWidth="1"/>
    <col min="8477" max="8478" width="1.7109375" style="863" customWidth="1"/>
    <col min="8479" max="8479" width="1.140625" style="863" customWidth="1"/>
    <col min="8480" max="8480" width="1.5703125" style="863" customWidth="1"/>
    <col min="8481" max="8481" width="2" style="863" customWidth="1"/>
    <col min="8482" max="8482" width="1.140625" style="863" customWidth="1"/>
    <col min="8483" max="8483" width="1.28515625" style="863" customWidth="1"/>
    <col min="8484" max="8485" width="1.5703125" style="863" customWidth="1"/>
    <col min="8486" max="8486" width="1.85546875" style="863" customWidth="1"/>
    <col min="8487" max="8487" width="3.140625" style="863" customWidth="1"/>
    <col min="8488" max="8721" width="9.140625" style="863"/>
    <col min="8722" max="8722" width="0" style="863" hidden="1" customWidth="1"/>
    <col min="8723" max="8723" width="6.28515625" style="863" customWidth="1"/>
    <col min="8724" max="8724" width="1.42578125" style="863" customWidth="1"/>
    <col min="8725" max="8725" width="1.140625" style="863" customWidth="1"/>
    <col min="8726" max="8726" width="1.42578125" style="863" customWidth="1"/>
    <col min="8727" max="8727" width="1.140625" style="863" customWidth="1"/>
    <col min="8728" max="8730" width="1.5703125" style="863" customWidth="1"/>
    <col min="8731" max="8731" width="1.7109375" style="863" customWidth="1"/>
    <col min="8732" max="8732" width="1.28515625" style="863" customWidth="1"/>
    <col min="8733" max="8734" width="1.7109375" style="863" customWidth="1"/>
    <col min="8735" max="8735" width="1.140625" style="863" customWidth="1"/>
    <col min="8736" max="8736" width="1.5703125" style="863" customWidth="1"/>
    <col min="8737" max="8737" width="2" style="863" customWidth="1"/>
    <col min="8738" max="8738" width="1.140625" style="863" customWidth="1"/>
    <col min="8739" max="8739" width="1.28515625" style="863" customWidth="1"/>
    <col min="8740" max="8741" width="1.5703125" style="863" customWidth="1"/>
    <col min="8742" max="8742" width="1.85546875" style="863" customWidth="1"/>
    <col min="8743" max="8743" width="3.140625" style="863" customWidth="1"/>
    <col min="8744" max="8977" width="9.140625" style="863"/>
    <col min="8978" max="8978" width="0" style="863" hidden="1" customWidth="1"/>
    <col min="8979" max="8979" width="6.28515625" style="863" customWidth="1"/>
    <col min="8980" max="8980" width="1.42578125" style="863" customWidth="1"/>
    <col min="8981" max="8981" width="1.140625" style="863" customWidth="1"/>
    <col min="8982" max="8982" width="1.42578125" style="863" customWidth="1"/>
    <col min="8983" max="8983" width="1.140625" style="863" customWidth="1"/>
    <col min="8984" max="8986" width="1.5703125" style="863" customWidth="1"/>
    <col min="8987" max="8987" width="1.7109375" style="863" customWidth="1"/>
    <col min="8988" max="8988" width="1.28515625" style="863" customWidth="1"/>
    <col min="8989" max="8990" width="1.7109375" style="863" customWidth="1"/>
    <col min="8991" max="8991" width="1.140625" style="863" customWidth="1"/>
    <col min="8992" max="8992" width="1.5703125" style="863" customWidth="1"/>
    <col min="8993" max="8993" width="2" style="863" customWidth="1"/>
    <col min="8994" max="8994" width="1.140625" style="863" customWidth="1"/>
    <col min="8995" max="8995" width="1.28515625" style="863" customWidth="1"/>
    <col min="8996" max="8997" width="1.5703125" style="863" customWidth="1"/>
    <col min="8998" max="8998" width="1.85546875" style="863" customWidth="1"/>
    <col min="8999" max="8999" width="3.140625" style="863" customWidth="1"/>
    <col min="9000" max="9233" width="9.140625" style="863"/>
    <col min="9234" max="9234" width="0" style="863" hidden="1" customWidth="1"/>
    <col min="9235" max="9235" width="6.28515625" style="863" customWidth="1"/>
    <col min="9236" max="9236" width="1.42578125" style="863" customWidth="1"/>
    <col min="9237" max="9237" width="1.140625" style="863" customWidth="1"/>
    <col min="9238" max="9238" width="1.42578125" style="863" customWidth="1"/>
    <col min="9239" max="9239" width="1.140625" style="863" customWidth="1"/>
    <col min="9240" max="9242" width="1.5703125" style="863" customWidth="1"/>
    <col min="9243" max="9243" width="1.7109375" style="863" customWidth="1"/>
    <col min="9244" max="9244" width="1.28515625" style="863" customWidth="1"/>
    <col min="9245" max="9246" width="1.7109375" style="863" customWidth="1"/>
    <col min="9247" max="9247" width="1.140625" style="863" customWidth="1"/>
    <col min="9248" max="9248" width="1.5703125" style="863" customWidth="1"/>
    <col min="9249" max="9249" width="2" style="863" customWidth="1"/>
    <col min="9250" max="9250" width="1.140625" style="863" customWidth="1"/>
    <col min="9251" max="9251" width="1.28515625" style="863" customWidth="1"/>
    <col min="9252" max="9253" width="1.5703125" style="863" customWidth="1"/>
    <col min="9254" max="9254" width="1.85546875" style="863" customWidth="1"/>
    <col min="9255" max="9255" width="3.140625" style="863" customWidth="1"/>
    <col min="9256" max="9489" width="9.140625" style="863"/>
    <col min="9490" max="9490" width="0" style="863" hidden="1" customWidth="1"/>
    <col min="9491" max="9491" width="6.28515625" style="863" customWidth="1"/>
    <col min="9492" max="9492" width="1.42578125" style="863" customWidth="1"/>
    <col min="9493" max="9493" width="1.140625" style="863" customWidth="1"/>
    <col min="9494" max="9494" width="1.42578125" style="863" customWidth="1"/>
    <col min="9495" max="9495" width="1.140625" style="863" customWidth="1"/>
    <col min="9496" max="9498" width="1.5703125" style="863" customWidth="1"/>
    <col min="9499" max="9499" width="1.7109375" style="863" customWidth="1"/>
    <col min="9500" max="9500" width="1.28515625" style="863" customWidth="1"/>
    <col min="9501" max="9502" width="1.7109375" style="863" customWidth="1"/>
    <col min="9503" max="9503" width="1.140625" style="863" customWidth="1"/>
    <col min="9504" max="9504" width="1.5703125" style="863" customWidth="1"/>
    <col min="9505" max="9505" width="2" style="863" customWidth="1"/>
    <col min="9506" max="9506" width="1.140625" style="863" customWidth="1"/>
    <col min="9507" max="9507" width="1.28515625" style="863" customWidth="1"/>
    <col min="9508" max="9509" width="1.5703125" style="863" customWidth="1"/>
    <col min="9510" max="9510" width="1.85546875" style="863" customWidth="1"/>
    <col min="9511" max="9511" width="3.140625" style="863" customWidth="1"/>
    <col min="9512" max="9745" width="9.140625" style="863"/>
    <col min="9746" max="9746" width="0" style="863" hidden="1" customWidth="1"/>
    <col min="9747" max="9747" width="6.28515625" style="863" customWidth="1"/>
    <col min="9748" max="9748" width="1.42578125" style="863" customWidth="1"/>
    <col min="9749" max="9749" width="1.140625" style="863" customWidth="1"/>
    <col min="9750" max="9750" width="1.42578125" style="863" customWidth="1"/>
    <col min="9751" max="9751" width="1.140625" style="863" customWidth="1"/>
    <col min="9752" max="9754" width="1.5703125" style="863" customWidth="1"/>
    <col min="9755" max="9755" width="1.7109375" style="863" customWidth="1"/>
    <col min="9756" max="9756" width="1.28515625" style="863" customWidth="1"/>
    <col min="9757" max="9758" width="1.7109375" style="863" customWidth="1"/>
    <col min="9759" max="9759" width="1.140625" style="863" customWidth="1"/>
    <col min="9760" max="9760" width="1.5703125" style="863" customWidth="1"/>
    <col min="9761" max="9761" width="2" style="863" customWidth="1"/>
    <col min="9762" max="9762" width="1.140625" style="863" customWidth="1"/>
    <col min="9763" max="9763" width="1.28515625" style="863" customWidth="1"/>
    <col min="9764" max="9765" width="1.5703125" style="863" customWidth="1"/>
    <col min="9766" max="9766" width="1.85546875" style="863" customWidth="1"/>
    <col min="9767" max="9767" width="3.140625" style="863" customWidth="1"/>
    <col min="9768" max="10001" width="9.140625" style="863"/>
    <col min="10002" max="10002" width="0" style="863" hidden="1" customWidth="1"/>
    <col min="10003" max="10003" width="6.28515625" style="863" customWidth="1"/>
    <col min="10004" max="10004" width="1.42578125" style="863" customWidth="1"/>
    <col min="10005" max="10005" width="1.140625" style="863" customWidth="1"/>
    <col min="10006" max="10006" width="1.42578125" style="863" customWidth="1"/>
    <col min="10007" max="10007" width="1.140625" style="863" customWidth="1"/>
    <col min="10008" max="10010" width="1.5703125" style="863" customWidth="1"/>
    <col min="10011" max="10011" width="1.7109375" style="863" customWidth="1"/>
    <col min="10012" max="10012" width="1.28515625" style="863" customWidth="1"/>
    <col min="10013" max="10014" width="1.7109375" style="863" customWidth="1"/>
    <col min="10015" max="10015" width="1.140625" style="863" customWidth="1"/>
    <col min="10016" max="10016" width="1.5703125" style="863" customWidth="1"/>
    <col min="10017" max="10017" width="2" style="863" customWidth="1"/>
    <col min="10018" max="10018" width="1.140625" style="863" customWidth="1"/>
    <col min="10019" max="10019" width="1.28515625" style="863" customWidth="1"/>
    <col min="10020" max="10021" width="1.5703125" style="863" customWidth="1"/>
    <col min="10022" max="10022" width="1.85546875" style="863" customWidth="1"/>
    <col min="10023" max="10023" width="3.140625" style="863" customWidth="1"/>
    <col min="10024" max="10257" width="9.140625" style="863"/>
    <col min="10258" max="10258" width="0" style="863" hidden="1" customWidth="1"/>
    <col min="10259" max="10259" width="6.28515625" style="863" customWidth="1"/>
    <col min="10260" max="10260" width="1.42578125" style="863" customWidth="1"/>
    <col min="10261" max="10261" width="1.140625" style="863" customWidth="1"/>
    <col min="10262" max="10262" width="1.42578125" style="863" customWidth="1"/>
    <col min="10263" max="10263" width="1.140625" style="863" customWidth="1"/>
    <col min="10264" max="10266" width="1.5703125" style="863" customWidth="1"/>
    <col min="10267" max="10267" width="1.7109375" style="863" customWidth="1"/>
    <col min="10268" max="10268" width="1.28515625" style="863" customWidth="1"/>
    <col min="10269" max="10270" width="1.7109375" style="863" customWidth="1"/>
    <col min="10271" max="10271" width="1.140625" style="863" customWidth="1"/>
    <col min="10272" max="10272" width="1.5703125" style="863" customWidth="1"/>
    <col min="10273" max="10273" width="2" style="863" customWidth="1"/>
    <col min="10274" max="10274" width="1.140625" style="863" customWidth="1"/>
    <col min="10275" max="10275" width="1.28515625" style="863" customWidth="1"/>
    <col min="10276" max="10277" width="1.5703125" style="863" customWidth="1"/>
    <col min="10278" max="10278" width="1.85546875" style="863" customWidth="1"/>
    <col min="10279" max="10279" width="3.140625" style="863" customWidth="1"/>
    <col min="10280" max="10513" width="9.140625" style="863"/>
    <col min="10514" max="10514" width="0" style="863" hidden="1" customWidth="1"/>
    <col min="10515" max="10515" width="6.28515625" style="863" customWidth="1"/>
    <col min="10516" max="10516" width="1.42578125" style="863" customWidth="1"/>
    <col min="10517" max="10517" width="1.140625" style="863" customWidth="1"/>
    <col min="10518" max="10518" width="1.42578125" style="863" customWidth="1"/>
    <col min="10519" max="10519" width="1.140625" style="863" customWidth="1"/>
    <col min="10520" max="10522" width="1.5703125" style="863" customWidth="1"/>
    <col min="10523" max="10523" width="1.7109375" style="863" customWidth="1"/>
    <col min="10524" max="10524" width="1.28515625" style="863" customWidth="1"/>
    <col min="10525" max="10526" width="1.7109375" style="863" customWidth="1"/>
    <col min="10527" max="10527" width="1.140625" style="863" customWidth="1"/>
    <col min="10528" max="10528" width="1.5703125" style="863" customWidth="1"/>
    <col min="10529" max="10529" width="2" style="863" customWidth="1"/>
    <col min="10530" max="10530" width="1.140625" style="863" customWidth="1"/>
    <col min="10531" max="10531" width="1.28515625" style="863" customWidth="1"/>
    <col min="10532" max="10533" width="1.5703125" style="863" customWidth="1"/>
    <col min="10534" max="10534" width="1.85546875" style="863" customWidth="1"/>
    <col min="10535" max="10535" width="3.140625" style="863" customWidth="1"/>
    <col min="10536" max="10769" width="9.140625" style="863"/>
    <col min="10770" max="10770" width="0" style="863" hidden="1" customWidth="1"/>
    <col min="10771" max="10771" width="6.28515625" style="863" customWidth="1"/>
    <col min="10772" max="10772" width="1.42578125" style="863" customWidth="1"/>
    <col min="10773" max="10773" width="1.140625" style="863" customWidth="1"/>
    <col min="10774" max="10774" width="1.42578125" style="863" customWidth="1"/>
    <col min="10775" max="10775" width="1.140625" style="863" customWidth="1"/>
    <col min="10776" max="10778" width="1.5703125" style="863" customWidth="1"/>
    <col min="10779" max="10779" width="1.7109375" style="863" customWidth="1"/>
    <col min="10780" max="10780" width="1.28515625" style="863" customWidth="1"/>
    <col min="10781" max="10782" width="1.7109375" style="863" customWidth="1"/>
    <col min="10783" max="10783" width="1.140625" style="863" customWidth="1"/>
    <col min="10784" max="10784" width="1.5703125" style="863" customWidth="1"/>
    <col min="10785" max="10785" width="2" style="863" customWidth="1"/>
    <col min="10786" max="10786" width="1.140625" style="863" customWidth="1"/>
    <col min="10787" max="10787" width="1.28515625" style="863" customWidth="1"/>
    <col min="10788" max="10789" width="1.5703125" style="863" customWidth="1"/>
    <col min="10790" max="10790" width="1.85546875" style="863" customWidth="1"/>
    <col min="10791" max="10791" width="3.140625" style="863" customWidth="1"/>
    <col min="10792" max="11025" width="9.140625" style="863"/>
    <col min="11026" max="11026" width="0" style="863" hidden="1" customWidth="1"/>
    <col min="11027" max="11027" width="6.28515625" style="863" customWidth="1"/>
    <col min="11028" max="11028" width="1.42578125" style="863" customWidth="1"/>
    <col min="11029" max="11029" width="1.140625" style="863" customWidth="1"/>
    <col min="11030" max="11030" width="1.42578125" style="863" customWidth="1"/>
    <col min="11031" max="11031" width="1.140625" style="863" customWidth="1"/>
    <col min="11032" max="11034" width="1.5703125" style="863" customWidth="1"/>
    <col min="11035" max="11035" width="1.7109375" style="863" customWidth="1"/>
    <col min="11036" max="11036" width="1.28515625" style="863" customWidth="1"/>
    <col min="11037" max="11038" width="1.7109375" style="863" customWidth="1"/>
    <col min="11039" max="11039" width="1.140625" style="863" customWidth="1"/>
    <col min="11040" max="11040" width="1.5703125" style="863" customWidth="1"/>
    <col min="11041" max="11041" width="2" style="863" customWidth="1"/>
    <col min="11042" max="11042" width="1.140625" style="863" customWidth="1"/>
    <col min="11043" max="11043" width="1.28515625" style="863" customWidth="1"/>
    <col min="11044" max="11045" width="1.5703125" style="863" customWidth="1"/>
    <col min="11046" max="11046" width="1.85546875" style="863" customWidth="1"/>
    <col min="11047" max="11047" width="3.140625" style="863" customWidth="1"/>
    <col min="11048" max="11281" width="9.140625" style="863"/>
    <col min="11282" max="11282" width="0" style="863" hidden="1" customWidth="1"/>
    <col min="11283" max="11283" width="6.28515625" style="863" customWidth="1"/>
    <col min="11284" max="11284" width="1.42578125" style="863" customWidth="1"/>
    <col min="11285" max="11285" width="1.140625" style="863" customWidth="1"/>
    <col min="11286" max="11286" width="1.42578125" style="863" customWidth="1"/>
    <col min="11287" max="11287" width="1.140625" style="863" customWidth="1"/>
    <col min="11288" max="11290" width="1.5703125" style="863" customWidth="1"/>
    <col min="11291" max="11291" width="1.7109375" style="863" customWidth="1"/>
    <col min="11292" max="11292" width="1.28515625" style="863" customWidth="1"/>
    <col min="11293" max="11294" width="1.7109375" style="863" customWidth="1"/>
    <col min="11295" max="11295" width="1.140625" style="863" customWidth="1"/>
    <col min="11296" max="11296" width="1.5703125" style="863" customWidth="1"/>
    <col min="11297" max="11297" width="2" style="863" customWidth="1"/>
    <col min="11298" max="11298" width="1.140625" style="863" customWidth="1"/>
    <col min="11299" max="11299" width="1.28515625" style="863" customWidth="1"/>
    <col min="11300" max="11301" width="1.5703125" style="863" customWidth="1"/>
    <col min="11302" max="11302" width="1.85546875" style="863" customWidth="1"/>
    <col min="11303" max="11303" width="3.140625" style="863" customWidth="1"/>
    <col min="11304" max="11537" width="9.140625" style="863"/>
    <col min="11538" max="11538" width="0" style="863" hidden="1" customWidth="1"/>
    <col min="11539" max="11539" width="6.28515625" style="863" customWidth="1"/>
    <col min="11540" max="11540" width="1.42578125" style="863" customWidth="1"/>
    <col min="11541" max="11541" width="1.140625" style="863" customWidth="1"/>
    <col min="11542" max="11542" width="1.42578125" style="863" customWidth="1"/>
    <col min="11543" max="11543" width="1.140625" style="863" customWidth="1"/>
    <col min="11544" max="11546" width="1.5703125" style="863" customWidth="1"/>
    <col min="11547" max="11547" width="1.7109375" style="863" customWidth="1"/>
    <col min="11548" max="11548" width="1.28515625" style="863" customWidth="1"/>
    <col min="11549" max="11550" width="1.7109375" style="863" customWidth="1"/>
    <col min="11551" max="11551" width="1.140625" style="863" customWidth="1"/>
    <col min="11552" max="11552" width="1.5703125" style="863" customWidth="1"/>
    <col min="11553" max="11553" width="2" style="863" customWidth="1"/>
    <col min="11554" max="11554" width="1.140625" style="863" customWidth="1"/>
    <col min="11555" max="11555" width="1.28515625" style="863" customWidth="1"/>
    <col min="11556" max="11557" width="1.5703125" style="863" customWidth="1"/>
    <col min="11558" max="11558" width="1.85546875" style="863" customWidth="1"/>
    <col min="11559" max="11559" width="3.140625" style="863" customWidth="1"/>
    <col min="11560" max="11793" width="9.140625" style="863"/>
    <col min="11794" max="11794" width="0" style="863" hidden="1" customWidth="1"/>
    <col min="11795" max="11795" width="6.28515625" style="863" customWidth="1"/>
    <col min="11796" max="11796" width="1.42578125" style="863" customWidth="1"/>
    <col min="11797" max="11797" width="1.140625" style="863" customWidth="1"/>
    <col min="11798" max="11798" width="1.42578125" style="863" customWidth="1"/>
    <col min="11799" max="11799" width="1.140625" style="863" customWidth="1"/>
    <col min="11800" max="11802" width="1.5703125" style="863" customWidth="1"/>
    <col min="11803" max="11803" width="1.7109375" style="863" customWidth="1"/>
    <col min="11804" max="11804" width="1.28515625" style="863" customWidth="1"/>
    <col min="11805" max="11806" width="1.7109375" style="863" customWidth="1"/>
    <col min="11807" max="11807" width="1.140625" style="863" customWidth="1"/>
    <col min="11808" max="11808" width="1.5703125" style="863" customWidth="1"/>
    <col min="11809" max="11809" width="2" style="863" customWidth="1"/>
    <col min="11810" max="11810" width="1.140625" style="863" customWidth="1"/>
    <col min="11811" max="11811" width="1.28515625" style="863" customWidth="1"/>
    <col min="11812" max="11813" width="1.5703125" style="863" customWidth="1"/>
    <col min="11814" max="11814" width="1.85546875" style="863" customWidth="1"/>
    <col min="11815" max="11815" width="3.140625" style="863" customWidth="1"/>
    <col min="11816" max="12049" width="9.140625" style="863"/>
    <col min="12050" max="12050" width="0" style="863" hidden="1" customWidth="1"/>
    <col min="12051" max="12051" width="6.28515625" style="863" customWidth="1"/>
    <col min="12052" max="12052" width="1.42578125" style="863" customWidth="1"/>
    <col min="12053" max="12053" width="1.140625" style="863" customWidth="1"/>
    <col min="12054" max="12054" width="1.42578125" style="863" customWidth="1"/>
    <col min="12055" max="12055" width="1.140625" style="863" customWidth="1"/>
    <col min="12056" max="12058" width="1.5703125" style="863" customWidth="1"/>
    <col min="12059" max="12059" width="1.7109375" style="863" customWidth="1"/>
    <col min="12060" max="12060" width="1.28515625" style="863" customWidth="1"/>
    <col min="12061" max="12062" width="1.7109375" style="863" customWidth="1"/>
    <col min="12063" max="12063" width="1.140625" style="863" customWidth="1"/>
    <col min="12064" max="12064" width="1.5703125" style="863" customWidth="1"/>
    <col min="12065" max="12065" width="2" style="863" customWidth="1"/>
    <col min="12066" max="12066" width="1.140625" style="863" customWidth="1"/>
    <col min="12067" max="12067" width="1.28515625" style="863" customWidth="1"/>
    <col min="12068" max="12069" width="1.5703125" style="863" customWidth="1"/>
    <col min="12070" max="12070" width="1.85546875" style="863" customWidth="1"/>
    <col min="12071" max="12071" width="3.140625" style="863" customWidth="1"/>
    <col min="12072" max="12305" width="9.140625" style="863"/>
    <col min="12306" max="12306" width="0" style="863" hidden="1" customWidth="1"/>
    <col min="12307" max="12307" width="6.28515625" style="863" customWidth="1"/>
    <col min="12308" max="12308" width="1.42578125" style="863" customWidth="1"/>
    <col min="12309" max="12309" width="1.140625" style="863" customWidth="1"/>
    <col min="12310" max="12310" width="1.42578125" style="863" customWidth="1"/>
    <col min="12311" max="12311" width="1.140625" style="863" customWidth="1"/>
    <col min="12312" max="12314" width="1.5703125" style="863" customWidth="1"/>
    <col min="12315" max="12315" width="1.7109375" style="863" customWidth="1"/>
    <col min="12316" max="12316" width="1.28515625" style="863" customWidth="1"/>
    <col min="12317" max="12318" width="1.7109375" style="863" customWidth="1"/>
    <col min="12319" max="12319" width="1.140625" style="863" customWidth="1"/>
    <col min="12320" max="12320" width="1.5703125" style="863" customWidth="1"/>
    <col min="12321" max="12321" width="2" style="863" customWidth="1"/>
    <col min="12322" max="12322" width="1.140625" style="863" customWidth="1"/>
    <col min="12323" max="12323" width="1.28515625" style="863" customWidth="1"/>
    <col min="12324" max="12325" width="1.5703125" style="863" customWidth="1"/>
    <col min="12326" max="12326" width="1.85546875" style="863" customWidth="1"/>
    <col min="12327" max="12327" width="3.140625" style="863" customWidth="1"/>
    <col min="12328" max="12561" width="9.140625" style="863"/>
    <col min="12562" max="12562" width="0" style="863" hidden="1" customWidth="1"/>
    <col min="12563" max="12563" width="6.28515625" style="863" customWidth="1"/>
    <col min="12564" max="12564" width="1.42578125" style="863" customWidth="1"/>
    <col min="12565" max="12565" width="1.140625" style="863" customWidth="1"/>
    <col min="12566" max="12566" width="1.42578125" style="863" customWidth="1"/>
    <col min="12567" max="12567" width="1.140625" style="863" customWidth="1"/>
    <col min="12568" max="12570" width="1.5703125" style="863" customWidth="1"/>
    <col min="12571" max="12571" width="1.7109375" style="863" customWidth="1"/>
    <col min="12572" max="12572" width="1.28515625" style="863" customWidth="1"/>
    <col min="12573" max="12574" width="1.7109375" style="863" customWidth="1"/>
    <col min="12575" max="12575" width="1.140625" style="863" customWidth="1"/>
    <col min="12576" max="12576" width="1.5703125" style="863" customWidth="1"/>
    <col min="12577" max="12577" width="2" style="863" customWidth="1"/>
    <col min="12578" max="12578" width="1.140625" style="863" customWidth="1"/>
    <col min="12579" max="12579" width="1.28515625" style="863" customWidth="1"/>
    <col min="12580" max="12581" width="1.5703125" style="863" customWidth="1"/>
    <col min="12582" max="12582" width="1.85546875" style="863" customWidth="1"/>
    <col min="12583" max="12583" width="3.140625" style="863" customWidth="1"/>
    <col min="12584" max="12817" width="9.140625" style="863"/>
    <col min="12818" max="12818" width="0" style="863" hidden="1" customWidth="1"/>
    <col min="12819" max="12819" width="6.28515625" style="863" customWidth="1"/>
    <col min="12820" max="12820" width="1.42578125" style="863" customWidth="1"/>
    <col min="12821" max="12821" width="1.140625" style="863" customWidth="1"/>
    <col min="12822" max="12822" width="1.42578125" style="863" customWidth="1"/>
    <col min="12823" max="12823" width="1.140625" style="863" customWidth="1"/>
    <col min="12824" max="12826" width="1.5703125" style="863" customWidth="1"/>
    <col min="12827" max="12827" width="1.7109375" style="863" customWidth="1"/>
    <col min="12828" max="12828" width="1.28515625" style="863" customWidth="1"/>
    <col min="12829" max="12830" width="1.7109375" style="863" customWidth="1"/>
    <col min="12831" max="12831" width="1.140625" style="863" customWidth="1"/>
    <col min="12832" max="12832" width="1.5703125" style="863" customWidth="1"/>
    <col min="12833" max="12833" width="2" style="863" customWidth="1"/>
    <col min="12834" max="12834" width="1.140625" style="863" customWidth="1"/>
    <col min="12835" max="12835" width="1.28515625" style="863" customWidth="1"/>
    <col min="12836" max="12837" width="1.5703125" style="863" customWidth="1"/>
    <col min="12838" max="12838" width="1.85546875" style="863" customWidth="1"/>
    <col min="12839" max="12839" width="3.140625" style="863" customWidth="1"/>
    <col min="12840" max="13073" width="9.140625" style="863"/>
    <col min="13074" max="13074" width="0" style="863" hidden="1" customWidth="1"/>
    <col min="13075" max="13075" width="6.28515625" style="863" customWidth="1"/>
    <col min="13076" max="13076" width="1.42578125" style="863" customWidth="1"/>
    <col min="13077" max="13077" width="1.140625" style="863" customWidth="1"/>
    <col min="13078" max="13078" width="1.42578125" style="863" customWidth="1"/>
    <col min="13079" max="13079" width="1.140625" style="863" customWidth="1"/>
    <col min="13080" max="13082" width="1.5703125" style="863" customWidth="1"/>
    <col min="13083" max="13083" width="1.7109375" style="863" customWidth="1"/>
    <col min="13084" max="13084" width="1.28515625" style="863" customWidth="1"/>
    <col min="13085" max="13086" width="1.7109375" style="863" customWidth="1"/>
    <col min="13087" max="13087" width="1.140625" style="863" customWidth="1"/>
    <col min="13088" max="13088" width="1.5703125" style="863" customWidth="1"/>
    <col min="13089" max="13089" width="2" style="863" customWidth="1"/>
    <col min="13090" max="13090" width="1.140625" style="863" customWidth="1"/>
    <col min="13091" max="13091" width="1.28515625" style="863" customWidth="1"/>
    <col min="13092" max="13093" width="1.5703125" style="863" customWidth="1"/>
    <col min="13094" max="13094" width="1.85546875" style="863" customWidth="1"/>
    <col min="13095" max="13095" width="3.140625" style="863" customWidth="1"/>
    <col min="13096" max="13329" width="9.140625" style="863"/>
    <col min="13330" max="13330" width="0" style="863" hidden="1" customWidth="1"/>
    <col min="13331" max="13331" width="6.28515625" style="863" customWidth="1"/>
    <col min="13332" max="13332" width="1.42578125" style="863" customWidth="1"/>
    <col min="13333" max="13333" width="1.140625" style="863" customWidth="1"/>
    <col min="13334" max="13334" width="1.42578125" style="863" customWidth="1"/>
    <col min="13335" max="13335" width="1.140625" style="863" customWidth="1"/>
    <col min="13336" max="13338" width="1.5703125" style="863" customWidth="1"/>
    <col min="13339" max="13339" width="1.7109375" style="863" customWidth="1"/>
    <col min="13340" max="13340" width="1.28515625" style="863" customWidth="1"/>
    <col min="13341" max="13342" width="1.7109375" style="863" customWidth="1"/>
    <col min="13343" max="13343" width="1.140625" style="863" customWidth="1"/>
    <col min="13344" max="13344" width="1.5703125" style="863" customWidth="1"/>
    <col min="13345" max="13345" width="2" style="863" customWidth="1"/>
    <col min="13346" max="13346" width="1.140625" style="863" customWidth="1"/>
    <col min="13347" max="13347" width="1.28515625" style="863" customWidth="1"/>
    <col min="13348" max="13349" width="1.5703125" style="863" customWidth="1"/>
    <col min="13350" max="13350" width="1.85546875" style="863" customWidth="1"/>
    <col min="13351" max="13351" width="3.140625" style="863" customWidth="1"/>
    <col min="13352" max="13585" width="9.140625" style="863"/>
    <col min="13586" max="13586" width="0" style="863" hidden="1" customWidth="1"/>
    <col min="13587" max="13587" width="6.28515625" style="863" customWidth="1"/>
    <col min="13588" max="13588" width="1.42578125" style="863" customWidth="1"/>
    <col min="13589" max="13589" width="1.140625" style="863" customWidth="1"/>
    <col min="13590" max="13590" width="1.42578125" style="863" customWidth="1"/>
    <col min="13591" max="13591" width="1.140625" style="863" customWidth="1"/>
    <col min="13592" max="13594" width="1.5703125" style="863" customWidth="1"/>
    <col min="13595" max="13595" width="1.7109375" style="863" customWidth="1"/>
    <col min="13596" max="13596" width="1.28515625" style="863" customWidth="1"/>
    <col min="13597" max="13598" width="1.7109375" style="863" customWidth="1"/>
    <col min="13599" max="13599" width="1.140625" style="863" customWidth="1"/>
    <col min="13600" max="13600" width="1.5703125" style="863" customWidth="1"/>
    <col min="13601" max="13601" width="2" style="863" customWidth="1"/>
    <col min="13602" max="13602" width="1.140625" style="863" customWidth="1"/>
    <col min="13603" max="13603" width="1.28515625" style="863" customWidth="1"/>
    <col min="13604" max="13605" width="1.5703125" style="863" customWidth="1"/>
    <col min="13606" max="13606" width="1.85546875" style="863" customWidth="1"/>
    <col min="13607" max="13607" width="3.140625" style="863" customWidth="1"/>
    <col min="13608" max="13841" width="9.140625" style="863"/>
    <col min="13842" max="13842" width="0" style="863" hidden="1" customWidth="1"/>
    <col min="13843" max="13843" width="6.28515625" style="863" customWidth="1"/>
    <col min="13844" max="13844" width="1.42578125" style="863" customWidth="1"/>
    <col min="13845" max="13845" width="1.140625" style="863" customWidth="1"/>
    <col min="13846" max="13846" width="1.42578125" style="863" customWidth="1"/>
    <col min="13847" max="13847" width="1.140625" style="863" customWidth="1"/>
    <col min="13848" max="13850" width="1.5703125" style="863" customWidth="1"/>
    <col min="13851" max="13851" width="1.7109375" style="863" customWidth="1"/>
    <col min="13852" max="13852" width="1.28515625" style="863" customWidth="1"/>
    <col min="13853" max="13854" width="1.7109375" style="863" customWidth="1"/>
    <col min="13855" max="13855" width="1.140625" style="863" customWidth="1"/>
    <col min="13856" max="13856" width="1.5703125" style="863" customWidth="1"/>
    <col min="13857" max="13857" width="2" style="863" customWidth="1"/>
    <col min="13858" max="13858" width="1.140625" style="863" customWidth="1"/>
    <col min="13859" max="13859" width="1.28515625" style="863" customWidth="1"/>
    <col min="13860" max="13861" width="1.5703125" style="863" customWidth="1"/>
    <col min="13862" max="13862" width="1.85546875" style="863" customWidth="1"/>
    <col min="13863" max="13863" width="3.140625" style="863" customWidth="1"/>
    <col min="13864" max="14097" width="9.140625" style="863"/>
    <col min="14098" max="14098" width="0" style="863" hidden="1" customWidth="1"/>
    <col min="14099" max="14099" width="6.28515625" style="863" customWidth="1"/>
    <col min="14100" max="14100" width="1.42578125" style="863" customWidth="1"/>
    <col min="14101" max="14101" width="1.140625" style="863" customWidth="1"/>
    <col min="14102" max="14102" width="1.42578125" style="863" customWidth="1"/>
    <col min="14103" max="14103" width="1.140625" style="863" customWidth="1"/>
    <col min="14104" max="14106" width="1.5703125" style="863" customWidth="1"/>
    <col min="14107" max="14107" width="1.7109375" style="863" customWidth="1"/>
    <col min="14108" max="14108" width="1.28515625" style="863" customWidth="1"/>
    <col min="14109" max="14110" width="1.7109375" style="863" customWidth="1"/>
    <col min="14111" max="14111" width="1.140625" style="863" customWidth="1"/>
    <col min="14112" max="14112" width="1.5703125" style="863" customWidth="1"/>
    <col min="14113" max="14113" width="2" style="863" customWidth="1"/>
    <col min="14114" max="14114" width="1.140625" style="863" customWidth="1"/>
    <col min="14115" max="14115" width="1.28515625" style="863" customWidth="1"/>
    <col min="14116" max="14117" width="1.5703125" style="863" customWidth="1"/>
    <col min="14118" max="14118" width="1.85546875" style="863" customWidth="1"/>
    <col min="14119" max="14119" width="3.140625" style="863" customWidth="1"/>
    <col min="14120" max="14353" width="9.140625" style="863"/>
    <col min="14354" max="14354" width="0" style="863" hidden="1" customWidth="1"/>
    <col min="14355" max="14355" width="6.28515625" style="863" customWidth="1"/>
    <col min="14356" max="14356" width="1.42578125" style="863" customWidth="1"/>
    <col min="14357" max="14357" width="1.140625" style="863" customWidth="1"/>
    <col min="14358" max="14358" width="1.42578125" style="863" customWidth="1"/>
    <col min="14359" max="14359" width="1.140625" style="863" customWidth="1"/>
    <col min="14360" max="14362" width="1.5703125" style="863" customWidth="1"/>
    <col min="14363" max="14363" width="1.7109375" style="863" customWidth="1"/>
    <col min="14364" max="14364" width="1.28515625" style="863" customWidth="1"/>
    <col min="14365" max="14366" width="1.7109375" style="863" customWidth="1"/>
    <col min="14367" max="14367" width="1.140625" style="863" customWidth="1"/>
    <col min="14368" max="14368" width="1.5703125" style="863" customWidth="1"/>
    <col min="14369" max="14369" width="2" style="863" customWidth="1"/>
    <col min="14370" max="14370" width="1.140625" style="863" customWidth="1"/>
    <col min="14371" max="14371" width="1.28515625" style="863" customWidth="1"/>
    <col min="14372" max="14373" width="1.5703125" style="863" customWidth="1"/>
    <col min="14374" max="14374" width="1.85546875" style="863" customWidth="1"/>
    <col min="14375" max="14375" width="3.140625" style="863" customWidth="1"/>
    <col min="14376" max="14609" width="9.140625" style="863"/>
    <col min="14610" max="14610" width="0" style="863" hidden="1" customWidth="1"/>
    <col min="14611" max="14611" width="6.28515625" style="863" customWidth="1"/>
    <col min="14612" max="14612" width="1.42578125" style="863" customWidth="1"/>
    <col min="14613" max="14613" width="1.140625" style="863" customWidth="1"/>
    <col min="14614" max="14614" width="1.42578125" style="863" customWidth="1"/>
    <col min="14615" max="14615" width="1.140625" style="863" customWidth="1"/>
    <col min="14616" max="14618" width="1.5703125" style="863" customWidth="1"/>
    <col min="14619" max="14619" width="1.7109375" style="863" customWidth="1"/>
    <col min="14620" max="14620" width="1.28515625" style="863" customWidth="1"/>
    <col min="14621" max="14622" width="1.7109375" style="863" customWidth="1"/>
    <col min="14623" max="14623" width="1.140625" style="863" customWidth="1"/>
    <col min="14624" max="14624" width="1.5703125" style="863" customWidth="1"/>
    <col min="14625" max="14625" width="2" style="863" customWidth="1"/>
    <col min="14626" max="14626" width="1.140625" style="863" customWidth="1"/>
    <col min="14627" max="14627" width="1.28515625" style="863" customWidth="1"/>
    <col min="14628" max="14629" width="1.5703125" style="863" customWidth="1"/>
    <col min="14630" max="14630" width="1.85546875" style="863" customWidth="1"/>
    <col min="14631" max="14631" width="3.140625" style="863" customWidth="1"/>
    <col min="14632" max="14865" width="9.140625" style="863"/>
    <col min="14866" max="14866" width="0" style="863" hidden="1" customWidth="1"/>
    <col min="14867" max="14867" width="6.28515625" style="863" customWidth="1"/>
    <col min="14868" max="14868" width="1.42578125" style="863" customWidth="1"/>
    <col min="14869" max="14869" width="1.140625" style="863" customWidth="1"/>
    <col min="14870" max="14870" width="1.42578125" style="863" customWidth="1"/>
    <col min="14871" max="14871" width="1.140625" style="863" customWidth="1"/>
    <col min="14872" max="14874" width="1.5703125" style="863" customWidth="1"/>
    <col min="14875" max="14875" width="1.7109375" style="863" customWidth="1"/>
    <col min="14876" max="14876" width="1.28515625" style="863" customWidth="1"/>
    <col min="14877" max="14878" width="1.7109375" style="863" customWidth="1"/>
    <col min="14879" max="14879" width="1.140625" style="863" customWidth="1"/>
    <col min="14880" max="14880" width="1.5703125" style="863" customWidth="1"/>
    <col min="14881" max="14881" width="2" style="863" customWidth="1"/>
    <col min="14882" max="14882" width="1.140625" style="863" customWidth="1"/>
    <col min="14883" max="14883" width="1.28515625" style="863" customWidth="1"/>
    <col min="14884" max="14885" width="1.5703125" style="863" customWidth="1"/>
    <col min="14886" max="14886" width="1.85546875" style="863" customWidth="1"/>
    <col min="14887" max="14887" width="3.140625" style="863" customWidth="1"/>
    <col min="14888" max="15121" width="9.140625" style="863"/>
    <col min="15122" max="15122" width="0" style="863" hidden="1" customWidth="1"/>
    <col min="15123" max="15123" width="6.28515625" style="863" customWidth="1"/>
    <col min="15124" max="15124" width="1.42578125" style="863" customWidth="1"/>
    <col min="15125" max="15125" width="1.140625" style="863" customWidth="1"/>
    <col min="15126" max="15126" width="1.42578125" style="863" customWidth="1"/>
    <col min="15127" max="15127" width="1.140625" style="863" customWidth="1"/>
    <col min="15128" max="15130" width="1.5703125" style="863" customWidth="1"/>
    <col min="15131" max="15131" width="1.7109375" style="863" customWidth="1"/>
    <col min="15132" max="15132" width="1.28515625" style="863" customWidth="1"/>
    <col min="15133" max="15134" width="1.7109375" style="863" customWidth="1"/>
    <col min="15135" max="15135" width="1.140625" style="863" customWidth="1"/>
    <col min="15136" max="15136" width="1.5703125" style="863" customWidth="1"/>
    <col min="15137" max="15137" width="2" style="863" customWidth="1"/>
    <col min="15138" max="15138" width="1.140625" style="863" customWidth="1"/>
    <col min="15139" max="15139" width="1.28515625" style="863" customWidth="1"/>
    <col min="15140" max="15141" width="1.5703125" style="863" customWidth="1"/>
    <col min="15142" max="15142" width="1.85546875" style="863" customWidth="1"/>
    <col min="15143" max="15143" width="3.140625" style="863" customWidth="1"/>
    <col min="15144" max="15377" width="9.140625" style="863"/>
    <col min="15378" max="15378" width="0" style="863" hidden="1" customWidth="1"/>
    <col min="15379" max="15379" width="6.28515625" style="863" customWidth="1"/>
    <col min="15380" max="15380" width="1.42578125" style="863" customWidth="1"/>
    <col min="15381" max="15381" width="1.140625" style="863" customWidth="1"/>
    <col min="15382" max="15382" width="1.42578125" style="863" customWidth="1"/>
    <col min="15383" max="15383" width="1.140625" style="863" customWidth="1"/>
    <col min="15384" max="15386" width="1.5703125" style="863" customWidth="1"/>
    <col min="15387" max="15387" width="1.7109375" style="863" customWidth="1"/>
    <col min="15388" max="15388" width="1.28515625" style="863" customWidth="1"/>
    <col min="15389" max="15390" width="1.7109375" style="863" customWidth="1"/>
    <col min="15391" max="15391" width="1.140625" style="863" customWidth="1"/>
    <col min="15392" max="15392" width="1.5703125" style="863" customWidth="1"/>
    <col min="15393" max="15393" width="2" style="863" customWidth="1"/>
    <col min="15394" max="15394" width="1.140625" style="863" customWidth="1"/>
    <col min="15395" max="15395" width="1.28515625" style="863" customWidth="1"/>
    <col min="15396" max="15397" width="1.5703125" style="863" customWidth="1"/>
    <col min="15398" max="15398" width="1.85546875" style="863" customWidth="1"/>
    <col min="15399" max="15399" width="3.140625" style="863" customWidth="1"/>
    <col min="15400" max="15633" width="9.140625" style="863"/>
    <col min="15634" max="15634" width="0" style="863" hidden="1" customWidth="1"/>
    <col min="15635" max="15635" width="6.28515625" style="863" customWidth="1"/>
    <col min="15636" max="15636" width="1.42578125" style="863" customWidth="1"/>
    <col min="15637" max="15637" width="1.140625" style="863" customWidth="1"/>
    <col min="15638" max="15638" width="1.42578125" style="863" customWidth="1"/>
    <col min="15639" max="15639" width="1.140625" style="863" customWidth="1"/>
    <col min="15640" max="15642" width="1.5703125" style="863" customWidth="1"/>
    <col min="15643" max="15643" width="1.7109375" style="863" customWidth="1"/>
    <col min="15644" max="15644" width="1.28515625" style="863" customWidth="1"/>
    <col min="15645" max="15646" width="1.7109375" style="863" customWidth="1"/>
    <col min="15647" max="15647" width="1.140625" style="863" customWidth="1"/>
    <col min="15648" max="15648" width="1.5703125" style="863" customWidth="1"/>
    <col min="15649" max="15649" width="2" style="863" customWidth="1"/>
    <col min="15650" max="15650" width="1.140625" style="863" customWidth="1"/>
    <col min="15651" max="15651" width="1.28515625" style="863" customWidth="1"/>
    <col min="15652" max="15653" width="1.5703125" style="863" customWidth="1"/>
    <col min="15654" max="15654" width="1.85546875" style="863" customWidth="1"/>
    <col min="15655" max="15655" width="3.140625" style="863" customWidth="1"/>
    <col min="15656" max="15889" width="9.140625" style="863"/>
    <col min="15890" max="15890" width="0" style="863" hidden="1" customWidth="1"/>
    <col min="15891" max="15891" width="6.28515625" style="863" customWidth="1"/>
    <col min="15892" max="15892" width="1.42578125" style="863" customWidth="1"/>
    <col min="15893" max="15893" width="1.140625" style="863" customWidth="1"/>
    <col min="15894" max="15894" width="1.42578125" style="863" customWidth="1"/>
    <col min="15895" max="15895" width="1.140625" style="863" customWidth="1"/>
    <col min="15896" max="15898" width="1.5703125" style="863" customWidth="1"/>
    <col min="15899" max="15899" width="1.7109375" style="863" customWidth="1"/>
    <col min="15900" max="15900" width="1.28515625" style="863" customWidth="1"/>
    <col min="15901" max="15902" width="1.7109375" style="863" customWidth="1"/>
    <col min="15903" max="15903" width="1.140625" style="863" customWidth="1"/>
    <col min="15904" max="15904" width="1.5703125" style="863" customWidth="1"/>
    <col min="15905" max="15905" width="2" style="863" customWidth="1"/>
    <col min="15906" max="15906" width="1.140625" style="863" customWidth="1"/>
    <col min="15907" max="15907" width="1.28515625" style="863" customWidth="1"/>
    <col min="15908" max="15909" width="1.5703125" style="863" customWidth="1"/>
    <col min="15910" max="15910" width="1.85546875" style="863" customWidth="1"/>
    <col min="15911" max="15911" width="3.140625" style="863" customWidth="1"/>
    <col min="15912" max="16145" width="9.140625" style="863"/>
    <col min="16146" max="16146" width="0" style="863" hidden="1" customWidth="1"/>
    <col min="16147" max="16147" width="6.28515625" style="863" customWidth="1"/>
    <col min="16148" max="16148" width="1.42578125" style="863" customWidth="1"/>
    <col min="16149" max="16149" width="1.140625" style="863" customWidth="1"/>
    <col min="16150" max="16150" width="1.42578125" style="863" customWidth="1"/>
    <col min="16151" max="16151" width="1.140625" style="863" customWidth="1"/>
    <col min="16152" max="16154" width="1.5703125" style="863" customWidth="1"/>
    <col min="16155" max="16155" width="1.7109375" style="863" customWidth="1"/>
    <col min="16156" max="16156" width="1.28515625" style="863" customWidth="1"/>
    <col min="16157" max="16158" width="1.7109375" style="863" customWidth="1"/>
    <col min="16159" max="16159" width="1.140625" style="863" customWidth="1"/>
    <col min="16160" max="16160" width="1.5703125" style="863" customWidth="1"/>
    <col min="16161" max="16161" width="2" style="863" customWidth="1"/>
    <col min="16162" max="16162" width="1.140625" style="863" customWidth="1"/>
    <col min="16163" max="16163" width="1.28515625" style="863" customWidth="1"/>
    <col min="16164" max="16165" width="1.5703125" style="863" customWidth="1"/>
    <col min="16166" max="16166" width="1.85546875" style="863" customWidth="1"/>
    <col min="16167" max="16167" width="3.140625" style="863" customWidth="1"/>
    <col min="16168" max="16384" width="9.140625" style="863"/>
  </cols>
  <sheetData>
    <row r="1" spans="1:58" s="859" customFormat="1" ht="18" customHeight="1" x14ac:dyDescent="0.25">
      <c r="A1" s="567"/>
      <c r="B1" s="567"/>
      <c r="C1" s="567"/>
      <c r="D1" s="567"/>
      <c r="E1" s="856"/>
      <c r="F1" s="856"/>
      <c r="G1" s="856"/>
      <c r="H1" s="856"/>
      <c r="I1" s="856"/>
      <c r="J1" s="567"/>
      <c r="K1" s="567"/>
      <c r="L1" s="567"/>
      <c r="M1" s="567"/>
      <c r="N1" s="856"/>
      <c r="O1" s="856"/>
      <c r="P1" s="856"/>
      <c r="Q1" s="856"/>
      <c r="R1" s="567"/>
      <c r="S1" s="567"/>
      <c r="T1" s="567"/>
      <c r="U1" s="567"/>
      <c r="V1" s="856"/>
      <c r="W1" s="856"/>
      <c r="X1" s="856"/>
      <c r="Y1" s="856"/>
      <c r="Z1" s="567"/>
      <c r="AA1" s="567"/>
      <c r="AB1" s="567"/>
      <c r="AC1" s="567"/>
      <c r="AD1" s="567"/>
      <c r="AE1" s="567"/>
      <c r="AF1" s="567"/>
      <c r="AG1" s="567"/>
      <c r="AH1" s="567"/>
      <c r="AI1" s="567"/>
      <c r="AJ1" s="856"/>
      <c r="AK1" s="856"/>
      <c r="AL1" s="856"/>
      <c r="AM1" s="856"/>
      <c r="AN1" s="567"/>
      <c r="AO1" s="567"/>
      <c r="AP1" s="567"/>
      <c r="AQ1" s="567"/>
      <c r="AR1" s="857"/>
      <c r="AS1" s="857"/>
      <c r="AT1" s="857"/>
      <c r="AU1" s="567"/>
      <c r="AV1" s="567"/>
      <c r="AW1" s="856"/>
      <c r="AX1" s="857"/>
      <c r="AY1" s="857"/>
      <c r="AZ1" s="856"/>
      <c r="BA1" s="856"/>
      <c r="BB1" s="856"/>
      <c r="BC1" s="858"/>
      <c r="BD1" s="858"/>
      <c r="BE1" s="858"/>
    </row>
    <row r="2" spans="1:58" ht="23.25" x14ac:dyDescent="0.25">
      <c r="A2" s="1550" t="s">
        <v>1621</v>
      </c>
      <c r="B2" s="1550"/>
      <c r="C2" s="1550"/>
      <c r="D2" s="1550"/>
      <c r="E2" s="1550"/>
      <c r="F2" s="1550"/>
      <c r="G2" s="1550"/>
      <c r="H2" s="1550"/>
      <c r="I2" s="1550"/>
      <c r="J2" s="1550"/>
      <c r="K2" s="1550"/>
      <c r="L2" s="1550"/>
      <c r="M2" s="1550"/>
      <c r="N2" s="1550"/>
      <c r="O2" s="1550"/>
      <c r="P2" s="1550"/>
      <c r="Q2" s="1550"/>
      <c r="R2" s="1550"/>
      <c r="S2" s="1550"/>
      <c r="T2" s="1550"/>
      <c r="U2" s="1550"/>
      <c r="V2" s="1550"/>
      <c r="W2" s="1550"/>
      <c r="X2" s="1550"/>
      <c r="Y2" s="1550"/>
      <c r="Z2" s="1550"/>
      <c r="AA2" s="1550"/>
      <c r="AB2" s="1550"/>
      <c r="AC2" s="1550"/>
      <c r="AD2" s="1550"/>
      <c r="AE2" s="1550"/>
      <c r="AF2" s="1550"/>
      <c r="AG2" s="1550"/>
      <c r="AH2" s="1550"/>
      <c r="AI2" s="1550"/>
      <c r="AJ2" s="1550"/>
      <c r="AK2" s="1550"/>
      <c r="AL2" s="1550"/>
      <c r="AM2" s="1550"/>
      <c r="AN2" s="1550"/>
      <c r="AO2" s="1550"/>
      <c r="AP2" s="1550"/>
      <c r="AQ2" s="1550"/>
      <c r="AR2" s="1550"/>
      <c r="AS2" s="1550"/>
      <c r="AT2" s="1550"/>
      <c r="AU2" s="1550"/>
      <c r="AV2" s="1550"/>
      <c r="AW2" s="1550"/>
      <c r="AX2" s="860"/>
      <c r="AY2" s="860"/>
      <c r="AZ2" s="861"/>
      <c r="BA2" s="861"/>
      <c r="BB2" s="861"/>
    </row>
    <row r="3" spans="1:58" ht="23.25" x14ac:dyDescent="0.25">
      <c r="A3" s="1550" t="s">
        <v>1622</v>
      </c>
      <c r="B3" s="1550"/>
      <c r="C3" s="1550"/>
      <c r="D3" s="1550"/>
      <c r="E3" s="1550"/>
      <c r="F3" s="1550"/>
      <c r="G3" s="1550"/>
      <c r="H3" s="1550"/>
      <c r="I3" s="1550"/>
      <c r="J3" s="1550"/>
      <c r="K3" s="1550"/>
      <c r="L3" s="1550"/>
      <c r="M3" s="1550"/>
      <c r="N3" s="1550"/>
      <c r="O3" s="1550"/>
      <c r="P3" s="1550"/>
      <c r="Q3" s="1550"/>
      <c r="R3" s="1550"/>
      <c r="S3" s="1550"/>
      <c r="T3" s="1550"/>
      <c r="U3" s="1550"/>
      <c r="V3" s="1550"/>
      <c r="W3" s="1550"/>
      <c r="X3" s="1550"/>
      <c r="Y3" s="1550"/>
      <c r="Z3" s="1550"/>
      <c r="AA3" s="1550"/>
      <c r="AB3" s="1550"/>
      <c r="AC3" s="1550"/>
      <c r="AD3" s="1550"/>
      <c r="AE3" s="1550"/>
      <c r="AF3" s="1550"/>
      <c r="AG3" s="1550"/>
      <c r="AH3" s="1550"/>
      <c r="AI3" s="1550"/>
      <c r="AJ3" s="1550"/>
      <c r="AK3" s="1550"/>
      <c r="AL3" s="1550"/>
      <c r="AM3" s="1550"/>
      <c r="AN3" s="1550"/>
      <c r="AO3" s="1550"/>
      <c r="AP3" s="1550"/>
      <c r="AQ3" s="1550"/>
      <c r="AR3" s="1550"/>
      <c r="AS3" s="1550"/>
      <c r="AT3" s="1550"/>
      <c r="AU3" s="1550"/>
      <c r="AV3" s="1550"/>
      <c r="AW3" s="1550"/>
      <c r="AX3" s="860"/>
      <c r="AY3" s="860"/>
      <c r="AZ3" s="861"/>
      <c r="BA3" s="861"/>
      <c r="BB3" s="861"/>
    </row>
    <row r="4" spans="1:58" ht="0.75" customHeight="1" x14ac:dyDescent="0.25">
      <c r="A4" s="1551"/>
      <c r="B4" s="1551"/>
      <c r="C4" s="1551"/>
      <c r="D4" s="1551"/>
      <c r="E4" s="1551"/>
      <c r="F4" s="1551"/>
      <c r="G4" s="1551"/>
      <c r="H4" s="1551"/>
      <c r="I4" s="1551"/>
      <c r="J4" s="1551"/>
      <c r="K4" s="1551"/>
      <c r="L4" s="1551"/>
      <c r="M4" s="1551"/>
      <c r="N4" s="1551"/>
      <c r="O4" s="1551"/>
      <c r="P4" s="1551"/>
      <c r="Q4" s="1551"/>
      <c r="R4" s="1551"/>
      <c r="S4" s="1551"/>
      <c r="T4" s="1551"/>
      <c r="U4" s="1551"/>
      <c r="V4" s="1551"/>
      <c r="W4" s="1551"/>
      <c r="X4" s="1551"/>
      <c r="Y4" s="1551"/>
      <c r="Z4" s="1551"/>
      <c r="AA4" s="1551"/>
      <c r="AB4" s="1551"/>
      <c r="AC4" s="1551"/>
      <c r="AD4" s="1551"/>
      <c r="AE4" s="1551"/>
      <c r="AF4" s="1551"/>
      <c r="AG4" s="1551"/>
      <c r="AH4" s="1551"/>
      <c r="AI4" s="1551"/>
      <c r="AJ4" s="1551"/>
      <c r="AK4" s="1551"/>
      <c r="AL4" s="1551"/>
      <c r="AM4" s="1551"/>
      <c r="AN4" s="1551"/>
      <c r="AO4" s="1551"/>
      <c r="AP4" s="1551"/>
      <c r="AQ4" s="1551"/>
      <c r="AR4" s="1551"/>
      <c r="AS4" s="1551"/>
      <c r="AT4" s="1551"/>
      <c r="AU4" s="1551"/>
      <c r="AV4" s="1551"/>
      <c r="AW4" s="1551"/>
      <c r="AX4" s="864"/>
      <c r="AY4" s="864"/>
      <c r="AZ4" s="861"/>
      <c r="BA4" s="861"/>
      <c r="BB4" s="861"/>
    </row>
    <row r="5" spans="1:58" ht="23.25" x14ac:dyDescent="0.25">
      <c r="A5" s="1550" t="s">
        <v>1533</v>
      </c>
      <c r="B5" s="1550"/>
      <c r="C5" s="1550"/>
      <c r="D5" s="1550"/>
      <c r="E5" s="1550"/>
      <c r="F5" s="1550"/>
      <c r="G5" s="1550"/>
      <c r="H5" s="1550"/>
      <c r="I5" s="1550"/>
      <c r="J5" s="1550"/>
      <c r="K5" s="1550"/>
      <c r="L5" s="1550"/>
      <c r="M5" s="1550"/>
      <c r="N5" s="1550"/>
      <c r="O5" s="1550"/>
      <c r="P5" s="1550"/>
      <c r="Q5" s="1550"/>
      <c r="R5" s="1550"/>
      <c r="S5" s="1550"/>
      <c r="T5" s="1550"/>
      <c r="U5" s="1550"/>
      <c r="V5" s="1550"/>
      <c r="W5" s="1550"/>
      <c r="X5" s="1550"/>
      <c r="Y5" s="1550"/>
      <c r="Z5" s="1550"/>
      <c r="AA5" s="1550"/>
      <c r="AB5" s="1550"/>
      <c r="AC5" s="1550"/>
      <c r="AD5" s="1550"/>
      <c r="AE5" s="1550"/>
      <c r="AF5" s="1550"/>
      <c r="AG5" s="1550"/>
      <c r="AH5" s="1550"/>
      <c r="AI5" s="1550"/>
      <c r="AJ5" s="1550"/>
      <c r="AK5" s="1550"/>
      <c r="AL5" s="1550"/>
      <c r="AM5" s="1550"/>
      <c r="AN5" s="1550"/>
      <c r="AO5" s="1550"/>
      <c r="AP5" s="1550"/>
      <c r="AQ5" s="1550"/>
      <c r="AR5" s="1550"/>
      <c r="AS5" s="1550"/>
      <c r="AT5" s="1550"/>
      <c r="AU5" s="1550"/>
      <c r="AV5" s="1550"/>
      <c r="AW5" s="1550"/>
      <c r="AX5" s="860"/>
      <c r="AY5" s="860"/>
      <c r="AZ5" s="861"/>
      <c r="BA5" s="861"/>
      <c r="BB5" s="861"/>
      <c r="BC5" s="862" t="s">
        <v>467</v>
      </c>
    </row>
    <row r="6" spans="1:58" ht="6.75" customHeight="1" x14ac:dyDescent="0.25">
      <c r="A6" s="567"/>
      <c r="B6" s="567"/>
      <c r="C6" s="567"/>
      <c r="D6" s="567"/>
      <c r="E6" s="856"/>
      <c r="F6" s="856"/>
      <c r="G6" s="856"/>
      <c r="H6" s="856"/>
      <c r="I6" s="856"/>
      <c r="J6" s="567"/>
      <c r="K6" s="567"/>
      <c r="L6" s="567"/>
      <c r="M6" s="567"/>
      <c r="N6" s="856"/>
      <c r="O6" s="856"/>
      <c r="P6" s="856"/>
      <c r="Q6" s="856"/>
      <c r="R6" s="567"/>
      <c r="S6" s="567"/>
      <c r="T6" s="567"/>
      <c r="U6" s="567"/>
      <c r="V6" s="856"/>
      <c r="W6" s="856"/>
      <c r="X6" s="856"/>
      <c r="Y6" s="856"/>
      <c r="Z6" s="567"/>
      <c r="AA6" s="567"/>
      <c r="AB6" s="567"/>
      <c r="AC6" s="567"/>
      <c r="AD6" s="567"/>
      <c r="AE6" s="567"/>
      <c r="AF6" s="567"/>
      <c r="AG6" s="567"/>
      <c r="AH6" s="567"/>
      <c r="AI6" s="567"/>
      <c r="AJ6" s="856"/>
      <c r="AK6" s="856"/>
      <c r="AL6" s="856"/>
      <c r="AM6" s="856"/>
      <c r="AN6" s="856"/>
      <c r="AO6" s="856"/>
      <c r="AP6" s="856"/>
      <c r="AQ6" s="856"/>
      <c r="AR6" s="865"/>
      <c r="AS6" s="865"/>
      <c r="AT6" s="865"/>
      <c r="AU6" s="866"/>
      <c r="AV6" s="866"/>
      <c r="AW6" s="856"/>
      <c r="AX6" s="857"/>
      <c r="AY6" s="857"/>
      <c r="AZ6" s="856"/>
      <c r="BA6" s="856"/>
      <c r="BB6" s="856"/>
    </row>
    <row r="7" spans="1:58" s="867" customFormat="1" ht="21.75" customHeight="1" x14ac:dyDescent="0.25">
      <c r="A7" s="1552" t="s">
        <v>1623</v>
      </c>
      <c r="B7" s="1553" t="s">
        <v>1624</v>
      </c>
      <c r="C7" s="1554"/>
      <c r="D7" s="1554"/>
      <c r="E7" s="1554"/>
      <c r="F7" s="1554"/>
      <c r="G7" s="1554"/>
      <c r="H7" s="1554"/>
      <c r="I7" s="1555"/>
      <c r="J7" s="1556" t="s">
        <v>1625</v>
      </c>
      <c r="K7" s="1557"/>
      <c r="L7" s="1557"/>
      <c r="M7" s="1557"/>
      <c r="N7" s="1557"/>
      <c r="O7" s="1557"/>
      <c r="P7" s="1557"/>
      <c r="Q7" s="1558"/>
      <c r="R7" s="1553" t="s">
        <v>1626</v>
      </c>
      <c r="S7" s="1554"/>
      <c r="T7" s="1554"/>
      <c r="U7" s="1554"/>
      <c r="V7" s="1554"/>
      <c r="W7" s="1554"/>
      <c r="X7" s="1554"/>
      <c r="Y7" s="1555"/>
      <c r="Z7" s="1553" t="s">
        <v>1627</v>
      </c>
      <c r="AA7" s="1554"/>
      <c r="AB7" s="1554"/>
      <c r="AC7" s="1554"/>
      <c r="AD7" s="1554"/>
      <c r="AE7" s="1554"/>
      <c r="AF7" s="1554"/>
      <c r="AG7" s="1554"/>
      <c r="AH7" s="1554"/>
      <c r="AI7" s="1554"/>
      <c r="AJ7" s="1554"/>
      <c r="AK7" s="1554"/>
      <c r="AL7" s="1554"/>
      <c r="AM7" s="1555"/>
      <c r="AN7" s="1559" t="s">
        <v>1628</v>
      </c>
      <c r="AO7" s="1559"/>
      <c r="AP7" s="1559"/>
      <c r="AQ7" s="1559"/>
      <c r="AR7" s="1545" t="s">
        <v>1629</v>
      </c>
      <c r="AS7" s="1521" t="s">
        <v>1630</v>
      </c>
      <c r="AT7" s="1521" t="s">
        <v>1631</v>
      </c>
      <c r="AU7" s="1546" t="s">
        <v>1632</v>
      </c>
      <c r="AV7" s="1546"/>
      <c r="AW7" s="1540" t="s">
        <v>1633</v>
      </c>
      <c r="AX7" s="1547" t="s">
        <v>1634</v>
      </c>
      <c r="AY7" s="1537" t="s">
        <v>1635</v>
      </c>
      <c r="AZ7" s="1540" t="s">
        <v>1632</v>
      </c>
      <c r="BA7" s="1540"/>
      <c r="BB7" s="1541" t="s">
        <v>1636</v>
      </c>
      <c r="BC7" s="1542" t="s">
        <v>1637</v>
      </c>
      <c r="BD7" s="1542" t="s">
        <v>1634</v>
      </c>
      <c r="BE7" s="1542" t="s">
        <v>1638</v>
      </c>
    </row>
    <row r="8" spans="1:58" s="868" customFormat="1" ht="12.75" customHeight="1" x14ac:dyDescent="0.25">
      <c r="A8" s="1552"/>
      <c r="B8" s="1526" t="s">
        <v>1639</v>
      </c>
      <c r="C8" s="1523" t="s">
        <v>1640</v>
      </c>
      <c r="D8" s="1526" t="s">
        <v>1641</v>
      </c>
      <c r="E8" s="1526"/>
      <c r="F8" s="1527" t="s">
        <v>1642</v>
      </c>
      <c r="G8" s="1527" t="s">
        <v>1631</v>
      </c>
      <c r="H8" s="1527" t="s">
        <v>1642</v>
      </c>
      <c r="I8" s="1527" t="s">
        <v>1643</v>
      </c>
      <c r="J8" s="1526" t="s">
        <v>1644</v>
      </c>
      <c r="K8" s="1526" t="s">
        <v>1645</v>
      </c>
      <c r="L8" s="1526" t="s">
        <v>1646</v>
      </c>
      <c r="M8" s="1526"/>
      <c r="N8" s="1527" t="s">
        <v>1642</v>
      </c>
      <c r="O8" s="1527" t="s">
        <v>1631</v>
      </c>
      <c r="P8" s="1527" t="s">
        <v>1642</v>
      </c>
      <c r="Q8" s="1527" t="s">
        <v>1643</v>
      </c>
      <c r="R8" s="1526" t="s">
        <v>1647</v>
      </c>
      <c r="S8" s="1526" t="s">
        <v>1648</v>
      </c>
      <c r="T8" s="1526" t="s">
        <v>1649</v>
      </c>
      <c r="U8" s="1526"/>
      <c r="V8" s="1527" t="s">
        <v>1642</v>
      </c>
      <c r="W8" s="1527" t="s">
        <v>1631</v>
      </c>
      <c r="X8" s="1527" t="s">
        <v>1642</v>
      </c>
      <c r="Y8" s="1527" t="s">
        <v>1643</v>
      </c>
      <c r="Z8" s="1523" t="s">
        <v>1650</v>
      </c>
      <c r="AA8" s="1530" t="s">
        <v>1651</v>
      </c>
      <c r="AB8" s="1523" t="s">
        <v>1652</v>
      </c>
      <c r="AC8" s="1523" t="s">
        <v>1653</v>
      </c>
      <c r="AD8" s="1523" t="s">
        <v>1654</v>
      </c>
      <c r="AE8" s="1526" t="s">
        <v>1655</v>
      </c>
      <c r="AF8" s="1526"/>
      <c r="AG8" s="1526"/>
      <c r="AH8" s="1526"/>
      <c r="AI8" s="1526"/>
      <c r="AJ8" s="1527" t="s">
        <v>1656</v>
      </c>
      <c r="AK8" s="1527" t="s">
        <v>1631</v>
      </c>
      <c r="AL8" s="1527" t="s">
        <v>1642</v>
      </c>
      <c r="AM8" s="1527" t="s">
        <v>1643</v>
      </c>
      <c r="AN8" s="1534" t="s">
        <v>1657</v>
      </c>
      <c r="AO8" s="1534"/>
      <c r="AP8" s="1534"/>
      <c r="AQ8" s="1534"/>
      <c r="AR8" s="1545"/>
      <c r="AS8" s="1521"/>
      <c r="AT8" s="1521"/>
      <c r="AU8" s="1521" t="s">
        <v>1658</v>
      </c>
      <c r="AV8" s="1521" t="s">
        <v>1659</v>
      </c>
      <c r="AW8" s="1540"/>
      <c r="AX8" s="1548"/>
      <c r="AY8" s="1538"/>
      <c r="AZ8" s="1527" t="s">
        <v>1658</v>
      </c>
      <c r="BA8" s="1527" t="s">
        <v>1659</v>
      </c>
      <c r="BB8" s="1541"/>
      <c r="BC8" s="1543"/>
      <c r="BD8" s="1543"/>
      <c r="BE8" s="1543"/>
    </row>
    <row r="9" spans="1:58" s="868" customFormat="1" ht="12.75" customHeight="1" x14ac:dyDescent="0.25">
      <c r="A9" s="1552"/>
      <c r="B9" s="1526"/>
      <c r="C9" s="1524"/>
      <c r="D9" s="1526"/>
      <c r="E9" s="1526"/>
      <c r="F9" s="1528"/>
      <c r="G9" s="1528"/>
      <c r="H9" s="1528"/>
      <c r="I9" s="1528"/>
      <c r="J9" s="1526"/>
      <c r="K9" s="1526"/>
      <c r="L9" s="1526"/>
      <c r="M9" s="1526"/>
      <c r="N9" s="1528"/>
      <c r="O9" s="1528"/>
      <c r="P9" s="1528"/>
      <c r="Q9" s="1528"/>
      <c r="R9" s="1526"/>
      <c r="S9" s="1526"/>
      <c r="T9" s="1526"/>
      <c r="U9" s="1526"/>
      <c r="V9" s="1528"/>
      <c r="W9" s="1528"/>
      <c r="X9" s="1528"/>
      <c r="Y9" s="1528"/>
      <c r="Z9" s="1524"/>
      <c r="AA9" s="1531"/>
      <c r="AB9" s="1524"/>
      <c r="AC9" s="1524"/>
      <c r="AD9" s="1524"/>
      <c r="AE9" s="1526"/>
      <c r="AF9" s="1526"/>
      <c r="AG9" s="1526"/>
      <c r="AH9" s="1526"/>
      <c r="AI9" s="1526"/>
      <c r="AJ9" s="1528"/>
      <c r="AK9" s="1528"/>
      <c r="AL9" s="1528"/>
      <c r="AM9" s="1528"/>
      <c r="AN9" s="1535" t="s">
        <v>1660</v>
      </c>
      <c r="AO9" s="1536" t="s">
        <v>1661</v>
      </c>
      <c r="AP9" s="1536" t="s">
        <v>1662</v>
      </c>
      <c r="AQ9" s="1536" t="s">
        <v>1663</v>
      </c>
      <c r="AR9" s="1545"/>
      <c r="AS9" s="1521"/>
      <c r="AT9" s="1521"/>
      <c r="AU9" s="1521"/>
      <c r="AV9" s="1521"/>
      <c r="AW9" s="1540"/>
      <c r="AX9" s="1548"/>
      <c r="AY9" s="1538"/>
      <c r="AZ9" s="1528"/>
      <c r="BA9" s="1528"/>
      <c r="BB9" s="1541"/>
      <c r="BC9" s="1543"/>
      <c r="BD9" s="1543"/>
      <c r="BE9" s="1543"/>
    </row>
    <row r="10" spans="1:58" s="868" customFormat="1" ht="14.25" customHeight="1" x14ac:dyDescent="0.25">
      <c r="A10" s="1552"/>
      <c r="B10" s="1526"/>
      <c r="C10" s="1524"/>
      <c r="D10" s="1526" t="s">
        <v>1664</v>
      </c>
      <c r="E10" s="1521" t="s">
        <v>1629</v>
      </c>
      <c r="F10" s="1528"/>
      <c r="G10" s="1528"/>
      <c r="H10" s="1528"/>
      <c r="I10" s="1528"/>
      <c r="J10" s="1526"/>
      <c r="K10" s="1526"/>
      <c r="L10" s="1526" t="s">
        <v>1664</v>
      </c>
      <c r="M10" s="1521" t="s">
        <v>1629</v>
      </c>
      <c r="N10" s="1528"/>
      <c r="O10" s="1528"/>
      <c r="P10" s="1528"/>
      <c r="Q10" s="1528"/>
      <c r="R10" s="1526"/>
      <c r="S10" s="1526"/>
      <c r="T10" s="1526" t="s">
        <v>1664</v>
      </c>
      <c r="U10" s="1521" t="s">
        <v>1629</v>
      </c>
      <c r="V10" s="1528"/>
      <c r="W10" s="1528"/>
      <c r="X10" s="1528"/>
      <c r="Y10" s="1528"/>
      <c r="Z10" s="1524"/>
      <c r="AA10" s="1531"/>
      <c r="AB10" s="1524"/>
      <c r="AC10" s="1524"/>
      <c r="AD10" s="1524"/>
      <c r="AE10" s="1526" t="s">
        <v>1665</v>
      </c>
      <c r="AF10" s="1526" t="s">
        <v>1666</v>
      </c>
      <c r="AG10" s="1523" t="s">
        <v>1667</v>
      </c>
      <c r="AH10" s="1526" t="s">
        <v>1664</v>
      </c>
      <c r="AI10" s="1521" t="s">
        <v>1629</v>
      </c>
      <c r="AJ10" s="1528"/>
      <c r="AK10" s="1528"/>
      <c r="AL10" s="1528"/>
      <c r="AM10" s="1528"/>
      <c r="AN10" s="1535"/>
      <c r="AO10" s="1536"/>
      <c r="AP10" s="1536"/>
      <c r="AQ10" s="1536"/>
      <c r="AR10" s="1545"/>
      <c r="AS10" s="1521"/>
      <c r="AT10" s="1521"/>
      <c r="AU10" s="1521"/>
      <c r="AV10" s="1521"/>
      <c r="AW10" s="1540"/>
      <c r="AX10" s="1548"/>
      <c r="AY10" s="1538"/>
      <c r="AZ10" s="1528"/>
      <c r="BA10" s="1528"/>
      <c r="BB10" s="1541"/>
      <c r="BC10" s="1543"/>
      <c r="BD10" s="1543"/>
      <c r="BE10" s="1543"/>
    </row>
    <row r="11" spans="1:58" s="868" customFormat="1" ht="14.25" customHeight="1" x14ac:dyDescent="0.25">
      <c r="A11" s="1552"/>
      <c r="B11" s="1526"/>
      <c r="C11" s="1524"/>
      <c r="D11" s="1526"/>
      <c r="E11" s="1521"/>
      <c r="F11" s="1528"/>
      <c r="G11" s="1528"/>
      <c r="H11" s="1528"/>
      <c r="I11" s="1528"/>
      <c r="J11" s="1526"/>
      <c r="K11" s="1526"/>
      <c r="L11" s="1526"/>
      <c r="M11" s="1521"/>
      <c r="N11" s="1528"/>
      <c r="O11" s="1528"/>
      <c r="P11" s="1528"/>
      <c r="Q11" s="1528"/>
      <c r="R11" s="1526"/>
      <c r="S11" s="1526"/>
      <c r="T11" s="1526"/>
      <c r="U11" s="1521"/>
      <c r="V11" s="1528"/>
      <c r="W11" s="1528"/>
      <c r="X11" s="1528"/>
      <c r="Y11" s="1528"/>
      <c r="Z11" s="1524"/>
      <c r="AA11" s="1531"/>
      <c r="AB11" s="1524"/>
      <c r="AC11" s="1524"/>
      <c r="AD11" s="1524"/>
      <c r="AE11" s="1526"/>
      <c r="AF11" s="1526"/>
      <c r="AG11" s="1524"/>
      <c r="AH11" s="1526"/>
      <c r="AI11" s="1521"/>
      <c r="AJ11" s="1528"/>
      <c r="AK11" s="1528"/>
      <c r="AL11" s="1528"/>
      <c r="AM11" s="1528"/>
      <c r="AN11" s="1535"/>
      <c r="AO11" s="1536"/>
      <c r="AP11" s="1536"/>
      <c r="AQ11" s="1536"/>
      <c r="AR11" s="1545"/>
      <c r="AS11" s="1521"/>
      <c r="AT11" s="1521"/>
      <c r="AU11" s="1521"/>
      <c r="AV11" s="1521"/>
      <c r="AW11" s="1540"/>
      <c r="AX11" s="1548"/>
      <c r="AY11" s="1538"/>
      <c r="AZ11" s="1528"/>
      <c r="BA11" s="1528"/>
      <c r="BB11" s="1541"/>
      <c r="BC11" s="1543"/>
      <c r="BD11" s="1543"/>
      <c r="BE11" s="1543"/>
    </row>
    <row r="12" spans="1:58" s="868" customFormat="1" ht="130.5" customHeight="1" x14ac:dyDescent="0.25">
      <c r="A12" s="1552"/>
      <c r="B12" s="1526"/>
      <c r="C12" s="1525"/>
      <c r="D12" s="1526"/>
      <c r="E12" s="1521"/>
      <c r="F12" s="1529"/>
      <c r="G12" s="1529"/>
      <c r="H12" s="1529"/>
      <c r="I12" s="1529"/>
      <c r="J12" s="1526"/>
      <c r="K12" s="1526"/>
      <c r="L12" s="1526"/>
      <c r="M12" s="1521"/>
      <c r="N12" s="1529"/>
      <c r="O12" s="1529"/>
      <c r="P12" s="1529"/>
      <c r="Q12" s="1529"/>
      <c r="R12" s="1526"/>
      <c r="S12" s="1526"/>
      <c r="T12" s="1526"/>
      <c r="U12" s="1521"/>
      <c r="V12" s="1529"/>
      <c r="W12" s="1529"/>
      <c r="X12" s="1529"/>
      <c r="Y12" s="1529"/>
      <c r="Z12" s="1525"/>
      <c r="AA12" s="1532"/>
      <c r="AB12" s="1525"/>
      <c r="AC12" s="1525"/>
      <c r="AD12" s="1525"/>
      <c r="AE12" s="1526"/>
      <c r="AF12" s="1526"/>
      <c r="AG12" s="1525"/>
      <c r="AH12" s="1526"/>
      <c r="AI12" s="1521"/>
      <c r="AJ12" s="1529"/>
      <c r="AK12" s="1529"/>
      <c r="AL12" s="1529"/>
      <c r="AM12" s="1529"/>
      <c r="AN12" s="1535"/>
      <c r="AO12" s="1536"/>
      <c r="AP12" s="1536"/>
      <c r="AQ12" s="1536"/>
      <c r="AR12" s="1545"/>
      <c r="AS12" s="1521"/>
      <c r="AT12" s="1521"/>
      <c r="AU12" s="1521"/>
      <c r="AV12" s="1521"/>
      <c r="AW12" s="1540"/>
      <c r="AX12" s="1549"/>
      <c r="AY12" s="1539"/>
      <c r="AZ12" s="1529"/>
      <c r="BA12" s="1529"/>
      <c r="BB12" s="1541"/>
      <c r="BC12" s="1544"/>
      <c r="BD12" s="1544"/>
      <c r="BE12" s="1544"/>
    </row>
    <row r="13" spans="1:58" s="868" customFormat="1" ht="16.5" customHeight="1" x14ac:dyDescent="0.25">
      <c r="A13" s="1552"/>
      <c r="B13" s="869" t="s">
        <v>1668</v>
      </c>
      <c r="C13" s="870" t="s">
        <v>34</v>
      </c>
      <c r="D13" s="870" t="s">
        <v>850</v>
      </c>
      <c r="E13" s="871" t="s">
        <v>850</v>
      </c>
      <c r="F13" s="871"/>
      <c r="G13" s="871"/>
      <c r="H13" s="871"/>
      <c r="I13" s="871"/>
      <c r="J13" s="869" t="s">
        <v>1669</v>
      </c>
      <c r="K13" s="870" t="s">
        <v>1670</v>
      </c>
      <c r="L13" s="870" t="s">
        <v>850</v>
      </c>
      <c r="M13" s="870" t="s">
        <v>850</v>
      </c>
      <c r="N13" s="871"/>
      <c r="O13" s="871"/>
      <c r="P13" s="871"/>
      <c r="Q13" s="871"/>
      <c r="R13" s="869" t="s">
        <v>1671</v>
      </c>
      <c r="S13" s="870" t="s">
        <v>1672</v>
      </c>
      <c r="T13" s="870" t="s">
        <v>850</v>
      </c>
      <c r="U13" s="870" t="s">
        <v>850</v>
      </c>
      <c r="V13" s="871"/>
      <c r="W13" s="871"/>
      <c r="X13" s="871"/>
      <c r="Y13" s="871"/>
      <c r="Z13" s="872" t="s">
        <v>1673</v>
      </c>
      <c r="AA13" s="873" t="s">
        <v>1670</v>
      </c>
      <c r="AB13" s="872" t="s">
        <v>1673</v>
      </c>
      <c r="AC13" s="873" t="s">
        <v>1670</v>
      </c>
      <c r="AD13" s="872" t="s">
        <v>1673</v>
      </c>
      <c r="AE13" s="870" t="s">
        <v>850</v>
      </c>
      <c r="AF13" s="870" t="s">
        <v>850</v>
      </c>
      <c r="AG13" s="870" t="s">
        <v>850</v>
      </c>
      <c r="AH13" s="870" t="s">
        <v>850</v>
      </c>
      <c r="AI13" s="870" t="s">
        <v>850</v>
      </c>
      <c r="AJ13" s="871"/>
      <c r="AK13" s="871"/>
      <c r="AL13" s="871"/>
      <c r="AM13" s="871"/>
      <c r="AQ13" s="874" t="s">
        <v>850</v>
      </c>
      <c r="AS13" s="875"/>
      <c r="AT13" s="875"/>
      <c r="AU13" s="875"/>
      <c r="AV13" s="875"/>
      <c r="AW13" s="871" t="s">
        <v>850</v>
      </c>
      <c r="AX13" s="876"/>
      <c r="AY13" s="870"/>
      <c r="AZ13" s="871"/>
      <c r="BA13" s="871"/>
      <c r="BC13" s="877"/>
      <c r="BD13" s="877"/>
      <c r="BE13" s="877"/>
    </row>
    <row r="14" spans="1:58" s="868" customFormat="1" ht="13.5" x14ac:dyDescent="0.25">
      <c r="A14" s="878">
        <v>1</v>
      </c>
      <c r="B14" s="878">
        <v>2</v>
      </c>
      <c r="C14" s="878">
        <v>3</v>
      </c>
      <c r="D14" s="878" t="s">
        <v>1674</v>
      </c>
      <c r="E14" s="879"/>
      <c r="F14" s="879"/>
      <c r="G14" s="879"/>
      <c r="H14" s="879"/>
      <c r="I14" s="879"/>
      <c r="J14" s="878">
        <v>5</v>
      </c>
      <c r="K14" s="878">
        <v>6</v>
      </c>
      <c r="L14" s="878" t="s">
        <v>1675</v>
      </c>
      <c r="M14" s="878"/>
      <c r="N14" s="879"/>
      <c r="O14" s="879"/>
      <c r="P14" s="879"/>
      <c r="Q14" s="879"/>
      <c r="R14" s="878">
        <v>8</v>
      </c>
      <c r="S14" s="878">
        <v>9</v>
      </c>
      <c r="T14" s="878" t="s">
        <v>1676</v>
      </c>
      <c r="U14" s="878"/>
      <c r="V14" s="879"/>
      <c r="W14" s="879"/>
      <c r="X14" s="879"/>
      <c r="Y14" s="879"/>
      <c r="Z14" s="878">
        <v>11</v>
      </c>
      <c r="AA14" s="878">
        <v>12</v>
      </c>
      <c r="AB14" s="878">
        <v>13</v>
      </c>
      <c r="AC14" s="878">
        <v>14</v>
      </c>
      <c r="AD14" s="878"/>
      <c r="AE14" s="878" t="s">
        <v>1677</v>
      </c>
      <c r="AF14" s="878" t="s">
        <v>1678</v>
      </c>
      <c r="AG14" s="878">
        <v>17</v>
      </c>
      <c r="AH14" s="878" t="s">
        <v>1679</v>
      </c>
      <c r="AI14" s="878"/>
      <c r="AJ14" s="879"/>
      <c r="AK14" s="879"/>
      <c r="AL14" s="879"/>
      <c r="AM14" s="879"/>
      <c r="AN14" s="880">
        <v>2</v>
      </c>
      <c r="AO14" s="880">
        <v>3</v>
      </c>
      <c r="AP14" s="880">
        <v>4</v>
      </c>
      <c r="AQ14" s="880" t="s">
        <v>1680</v>
      </c>
      <c r="AR14" s="881">
        <v>6</v>
      </c>
      <c r="AS14" s="880"/>
      <c r="AT14" s="880"/>
      <c r="AU14" s="880">
        <v>7</v>
      </c>
      <c r="AV14" s="880">
        <v>8</v>
      </c>
      <c r="AW14" s="879" t="s">
        <v>1681</v>
      </c>
      <c r="AX14" s="882"/>
      <c r="AY14" s="878"/>
      <c r="AZ14" s="879"/>
      <c r="BA14" s="879"/>
      <c r="BB14" s="883"/>
      <c r="BC14" s="879"/>
      <c r="BD14" s="879"/>
      <c r="BE14" s="879"/>
    </row>
    <row r="15" spans="1:58" s="893" customFormat="1" ht="30" x14ac:dyDescent="0.25">
      <c r="A15" s="955" t="s">
        <v>1549</v>
      </c>
      <c r="B15" s="956">
        <v>2644.05</v>
      </c>
      <c r="C15" s="956">
        <v>204.94</v>
      </c>
      <c r="D15" s="957">
        <f t="shared" ref="D15:D45" si="0">B15*C15</f>
        <v>541871.61</v>
      </c>
      <c r="E15" s="957"/>
      <c r="F15" s="958">
        <f>D15-E15</f>
        <v>541871.61</v>
      </c>
      <c r="G15" s="959">
        <v>0.84471229999999997</v>
      </c>
      <c r="H15" s="958">
        <f t="shared" ref="H15:H45" si="1">F15*G15</f>
        <v>457725.61</v>
      </c>
      <c r="I15" s="960">
        <f>ROUND(H15/1000,1)</f>
        <v>457.7</v>
      </c>
      <c r="J15" s="961"/>
      <c r="K15" s="961"/>
      <c r="L15" s="957">
        <f t="shared" ref="L15:L45" si="2">J15*K15</f>
        <v>0</v>
      </c>
      <c r="M15" s="962"/>
      <c r="N15" s="958">
        <f>L15-M15</f>
        <v>0</v>
      </c>
      <c r="O15" s="959">
        <v>0.84471229999999997</v>
      </c>
      <c r="P15" s="958">
        <f t="shared" ref="P15:P45" si="3">N15*O15</f>
        <v>0</v>
      </c>
      <c r="Q15" s="960">
        <f t="shared" ref="Q15:Q45" si="4">ROUND(P15/1000,1)</f>
        <v>0</v>
      </c>
      <c r="R15" s="956">
        <v>10.36</v>
      </c>
      <c r="S15" s="956">
        <v>49110</v>
      </c>
      <c r="T15" s="957">
        <f t="shared" ref="T15:T45" si="5">R15*S15</f>
        <v>508779.6</v>
      </c>
      <c r="U15" s="957">
        <v>136800</v>
      </c>
      <c r="V15" s="958">
        <f>T15-U15</f>
        <v>371979.6</v>
      </c>
      <c r="W15" s="959">
        <v>0.84471229999999997</v>
      </c>
      <c r="X15" s="958">
        <f t="shared" ref="X15:X45" si="6">V15*W15</f>
        <v>314215.74</v>
      </c>
      <c r="Y15" s="960">
        <f t="shared" ref="Y15:Y45" si="7">ROUND(X15/1000,1)</f>
        <v>314.2</v>
      </c>
      <c r="Z15" s="956">
        <v>57.88</v>
      </c>
      <c r="AA15" s="963">
        <v>930</v>
      </c>
      <c r="AB15" s="964">
        <v>24.35</v>
      </c>
      <c r="AC15" s="963">
        <f>AA15*1</f>
        <v>930</v>
      </c>
      <c r="AD15" s="964">
        <v>12.18</v>
      </c>
      <c r="AE15" s="957">
        <f>Z15*AA15</f>
        <v>53828.4</v>
      </c>
      <c r="AF15" s="957">
        <f>AB15*AC15</f>
        <v>22645.5</v>
      </c>
      <c r="AG15" s="965">
        <f>AC15*AD15</f>
        <v>11327.4</v>
      </c>
      <c r="AH15" s="966">
        <f t="shared" ref="AH15:AH45" si="8">AG15+AE15+AF15</f>
        <v>87801.3</v>
      </c>
      <c r="AI15" s="957">
        <v>31572</v>
      </c>
      <c r="AJ15" s="958">
        <f>AH15-AI15</f>
        <v>56229.3</v>
      </c>
      <c r="AK15" s="959">
        <v>0.84471229999999997</v>
      </c>
      <c r="AL15" s="958">
        <f t="shared" ref="AL15:AL45" si="9">AJ15*AK15</f>
        <v>47497.58</v>
      </c>
      <c r="AM15" s="960">
        <f t="shared" ref="AM15:AM45" si="10">ROUND(AL15/1000,1)</f>
        <v>47.5</v>
      </c>
      <c r="AN15" s="967">
        <v>9.75</v>
      </c>
      <c r="AO15" s="968">
        <v>744.63</v>
      </c>
      <c r="AP15" s="969">
        <v>12</v>
      </c>
      <c r="AQ15" s="970">
        <f>AN15*AO15*AP15</f>
        <v>87121.71</v>
      </c>
      <c r="AR15" s="971"/>
      <c r="AS15" s="957">
        <f t="shared" ref="AS15:AS45" si="11">AQ15-AR15</f>
        <v>87121.71</v>
      </c>
      <c r="AT15" s="885">
        <v>0.84471229999999997</v>
      </c>
      <c r="AU15" s="886">
        <f>AS15*AT15</f>
        <v>73592.78</v>
      </c>
      <c r="AV15" s="887">
        <f t="shared" ref="AV15:AV44" si="12">ROUND(AU15/1000,1)</f>
        <v>73.599999999999994</v>
      </c>
      <c r="AW15" s="884">
        <f>D15+L15+T15+AH15+AQ15</f>
        <v>1225574.22</v>
      </c>
      <c r="AX15" s="888">
        <f t="shared" ref="AX15:AX45" si="13">E15+M15+U15+AI15</f>
        <v>168372</v>
      </c>
      <c r="AY15" s="889">
        <f>AW15-AX15</f>
        <v>1057202.22</v>
      </c>
      <c r="AZ15" s="886">
        <f>H15+P15+X15+AL15+AU15</f>
        <v>893031.71</v>
      </c>
      <c r="BA15" s="887">
        <f>I15+Q15+Y15+AM15+AV15</f>
        <v>893</v>
      </c>
      <c r="BB15" s="890">
        <f>AZ15-AY15</f>
        <v>-164170.51</v>
      </c>
      <c r="BC15" s="891">
        <f t="shared" ref="BC15:BD45" si="14">D15+L15+T15+AH15</f>
        <v>1138452.51</v>
      </c>
      <c r="BD15" s="891">
        <f t="shared" si="14"/>
        <v>168372</v>
      </c>
      <c r="BE15" s="891">
        <f>BC15-BD15</f>
        <v>970080.51</v>
      </c>
      <c r="BF15" s="892">
        <f>AZ15-BE15</f>
        <v>-77048.800000000003</v>
      </c>
    </row>
    <row r="16" spans="1:58" s="893" customFormat="1" ht="19.5" x14ac:dyDescent="0.25">
      <c r="A16" s="972" t="s">
        <v>1682</v>
      </c>
      <c r="B16" s="956">
        <v>3163.33</v>
      </c>
      <c r="C16" s="956">
        <v>548.26</v>
      </c>
      <c r="D16" s="957">
        <f t="shared" si="0"/>
        <v>1734327.31</v>
      </c>
      <c r="E16" s="957"/>
      <c r="F16" s="958">
        <f t="shared" ref="F16:F45" si="15">D16-E16</f>
        <v>1734327.31</v>
      </c>
      <c r="G16" s="959">
        <v>0.84471229999999997</v>
      </c>
      <c r="H16" s="958">
        <f t="shared" si="1"/>
        <v>1465007.61</v>
      </c>
      <c r="I16" s="960">
        <f t="shared" ref="I16:I45" si="16">ROUND(H16/1000,1)</f>
        <v>1465</v>
      </c>
      <c r="J16" s="961"/>
      <c r="K16" s="961"/>
      <c r="L16" s="957">
        <f t="shared" si="2"/>
        <v>0</v>
      </c>
      <c r="M16" s="962"/>
      <c r="N16" s="958">
        <f t="shared" ref="N16:N45" si="17">L16-M16</f>
        <v>0</v>
      </c>
      <c r="O16" s="959">
        <v>0.84471229999999997</v>
      </c>
      <c r="P16" s="958">
        <f t="shared" si="3"/>
        <v>0</v>
      </c>
      <c r="Q16" s="960">
        <f t="shared" si="4"/>
        <v>0</v>
      </c>
      <c r="R16" s="956">
        <v>10.36</v>
      </c>
      <c r="S16" s="956">
        <v>76200</v>
      </c>
      <c r="T16" s="957">
        <f t="shared" si="5"/>
        <v>789432</v>
      </c>
      <c r="U16" s="957">
        <v>162406.44</v>
      </c>
      <c r="V16" s="958">
        <f t="shared" ref="V16:V45" si="18">T16-U16</f>
        <v>627025.56000000006</v>
      </c>
      <c r="W16" s="959">
        <v>0.84471229999999997</v>
      </c>
      <c r="X16" s="958">
        <f t="shared" si="6"/>
        <v>529656.19999999995</v>
      </c>
      <c r="Y16" s="960">
        <f t="shared" si="7"/>
        <v>529.70000000000005</v>
      </c>
      <c r="Z16" s="956">
        <v>57.88</v>
      </c>
      <c r="AA16" s="963">
        <v>1610</v>
      </c>
      <c r="AB16" s="964">
        <v>24.35</v>
      </c>
      <c r="AC16" s="963">
        <f t="shared" ref="AC16:AC45" si="19">AA16*1</f>
        <v>1610</v>
      </c>
      <c r="AD16" s="964">
        <v>12.18</v>
      </c>
      <c r="AE16" s="957">
        <f t="shared" ref="AE16:AE45" si="20">Z16*AA16</f>
        <v>93186.8</v>
      </c>
      <c r="AF16" s="957">
        <f t="shared" ref="AF16:AG45" si="21">AB16*AC16</f>
        <v>39203.5</v>
      </c>
      <c r="AG16" s="965">
        <f t="shared" si="21"/>
        <v>19609.8</v>
      </c>
      <c r="AH16" s="966">
        <f t="shared" si="8"/>
        <v>152000.1</v>
      </c>
      <c r="AI16" s="957">
        <v>70097.820000000007</v>
      </c>
      <c r="AJ16" s="958">
        <f t="shared" ref="AJ16:AJ45" si="22">AH16-AI16</f>
        <v>81902.28</v>
      </c>
      <c r="AK16" s="959">
        <v>0.84471229999999997</v>
      </c>
      <c r="AL16" s="958">
        <f t="shared" si="9"/>
        <v>69183.86</v>
      </c>
      <c r="AM16" s="960">
        <f t="shared" si="10"/>
        <v>69.2</v>
      </c>
      <c r="AN16" s="967">
        <v>14</v>
      </c>
      <c r="AO16" s="968">
        <v>744.63</v>
      </c>
      <c r="AP16" s="969">
        <v>12</v>
      </c>
      <c r="AQ16" s="970">
        <f t="shared" ref="AQ16:AQ45" si="23">AN16*AO16*AP16</f>
        <v>125097.84</v>
      </c>
      <c r="AR16" s="971"/>
      <c r="AS16" s="957">
        <f t="shared" si="11"/>
        <v>125097.84</v>
      </c>
      <c r="AT16" s="885">
        <v>0.84471229999999997</v>
      </c>
      <c r="AU16" s="886">
        <f t="shared" ref="AU16:AU45" si="24">AS16*AT16</f>
        <v>105671.67999999999</v>
      </c>
      <c r="AV16" s="887">
        <f t="shared" si="12"/>
        <v>105.7</v>
      </c>
      <c r="AW16" s="884">
        <f t="shared" ref="AW16:AW45" si="25">D16+L16+T16+AH16+AQ16</f>
        <v>2800857.25</v>
      </c>
      <c r="AX16" s="888">
        <f t="shared" si="13"/>
        <v>232504.26</v>
      </c>
      <c r="AY16" s="889">
        <f t="shared" ref="AY16:AY45" si="26">AW16-AX16</f>
        <v>2568352.9900000002</v>
      </c>
      <c r="AZ16" s="886">
        <f t="shared" ref="AZ16:BA45" si="27">H16+P16+X16+AL16+AU16</f>
        <v>2169519.35</v>
      </c>
      <c r="BA16" s="887">
        <f t="shared" si="27"/>
        <v>2169.6</v>
      </c>
      <c r="BB16" s="890">
        <f t="shared" ref="BB16:BB45" si="28">AZ16-AY16</f>
        <v>-398833.64</v>
      </c>
      <c r="BC16" s="891">
        <f t="shared" si="14"/>
        <v>2675759.41</v>
      </c>
      <c r="BD16" s="891">
        <f t="shared" si="14"/>
        <v>232504.26</v>
      </c>
      <c r="BE16" s="891">
        <f t="shared" ref="BE16:BE45" si="29">BC16-BD16</f>
        <v>2443255.15</v>
      </c>
      <c r="BF16" s="892">
        <f t="shared" ref="BF16:BF45" si="30">AZ16-BE16</f>
        <v>-273735.8</v>
      </c>
    </row>
    <row r="17" spans="1:58" s="894" customFormat="1" ht="19.5" x14ac:dyDescent="0.25">
      <c r="A17" s="955" t="s">
        <v>1683</v>
      </c>
      <c r="B17" s="956">
        <v>2644.05</v>
      </c>
      <c r="C17" s="956">
        <v>473.19</v>
      </c>
      <c r="D17" s="957">
        <f t="shared" si="0"/>
        <v>1251138.02</v>
      </c>
      <c r="E17" s="957">
        <v>16980.11</v>
      </c>
      <c r="F17" s="958">
        <f t="shared" si="15"/>
        <v>1234157.9099999999</v>
      </c>
      <c r="G17" s="959">
        <v>0.84471229999999997</v>
      </c>
      <c r="H17" s="958">
        <f t="shared" si="1"/>
        <v>1042508.37</v>
      </c>
      <c r="I17" s="960">
        <f t="shared" si="16"/>
        <v>1042.5</v>
      </c>
      <c r="J17" s="961"/>
      <c r="K17" s="961"/>
      <c r="L17" s="957">
        <f t="shared" si="2"/>
        <v>0</v>
      </c>
      <c r="M17" s="962"/>
      <c r="N17" s="958">
        <f t="shared" si="17"/>
        <v>0</v>
      </c>
      <c r="O17" s="959">
        <v>0.84471229999999997</v>
      </c>
      <c r="P17" s="958">
        <f t="shared" si="3"/>
        <v>0</v>
      </c>
      <c r="Q17" s="960">
        <f t="shared" si="4"/>
        <v>0</v>
      </c>
      <c r="R17" s="956">
        <v>10.36</v>
      </c>
      <c r="S17" s="956">
        <v>58520</v>
      </c>
      <c r="T17" s="957">
        <f t="shared" si="5"/>
        <v>606267.19999999995</v>
      </c>
      <c r="U17" s="957">
        <v>91200</v>
      </c>
      <c r="V17" s="958">
        <f t="shared" si="18"/>
        <v>515067.2</v>
      </c>
      <c r="W17" s="959">
        <v>0.84471229999999997</v>
      </c>
      <c r="X17" s="958">
        <f t="shared" si="6"/>
        <v>435083.6</v>
      </c>
      <c r="Y17" s="960">
        <f t="shared" si="7"/>
        <v>435.1</v>
      </c>
      <c r="Z17" s="956">
        <v>57.88</v>
      </c>
      <c r="AA17" s="963">
        <v>1290</v>
      </c>
      <c r="AB17" s="964">
        <v>24.35</v>
      </c>
      <c r="AC17" s="963">
        <f t="shared" si="19"/>
        <v>1290</v>
      </c>
      <c r="AD17" s="964">
        <v>12.18</v>
      </c>
      <c r="AE17" s="957">
        <f t="shared" si="20"/>
        <v>74665.2</v>
      </c>
      <c r="AF17" s="957">
        <f t="shared" si="21"/>
        <v>31411.5</v>
      </c>
      <c r="AG17" s="965">
        <f t="shared" si="21"/>
        <v>15712.2</v>
      </c>
      <c r="AH17" s="966">
        <f t="shared" si="8"/>
        <v>121788.9</v>
      </c>
      <c r="AI17" s="957">
        <v>7763</v>
      </c>
      <c r="AJ17" s="958">
        <f t="shared" si="22"/>
        <v>114025.9</v>
      </c>
      <c r="AK17" s="959">
        <v>0.84471229999999997</v>
      </c>
      <c r="AL17" s="958">
        <f t="shared" si="9"/>
        <v>96319.08</v>
      </c>
      <c r="AM17" s="960">
        <f t="shared" si="10"/>
        <v>96.3</v>
      </c>
      <c r="AN17" s="967">
        <v>10</v>
      </c>
      <c r="AO17" s="968">
        <v>744.63</v>
      </c>
      <c r="AP17" s="969">
        <v>12</v>
      </c>
      <c r="AQ17" s="970">
        <f t="shared" si="23"/>
        <v>89355.6</v>
      </c>
      <c r="AR17" s="971"/>
      <c r="AS17" s="957">
        <f t="shared" si="11"/>
        <v>89355.6</v>
      </c>
      <c r="AT17" s="885">
        <v>0.84471229999999997</v>
      </c>
      <c r="AU17" s="886">
        <f t="shared" si="24"/>
        <v>75479.77</v>
      </c>
      <c r="AV17" s="887">
        <f t="shared" si="12"/>
        <v>75.5</v>
      </c>
      <c r="AW17" s="884">
        <f t="shared" si="25"/>
        <v>2068549.72</v>
      </c>
      <c r="AX17" s="888">
        <f t="shared" si="13"/>
        <v>115943.11</v>
      </c>
      <c r="AY17" s="889">
        <f t="shared" si="26"/>
        <v>1952606.61</v>
      </c>
      <c r="AZ17" s="886">
        <f t="shared" si="27"/>
        <v>1649390.82</v>
      </c>
      <c r="BA17" s="887">
        <f t="shared" si="27"/>
        <v>1649.4</v>
      </c>
      <c r="BB17" s="890">
        <f t="shared" si="28"/>
        <v>-303215.78999999998</v>
      </c>
      <c r="BC17" s="891">
        <f t="shared" si="14"/>
        <v>1979194.12</v>
      </c>
      <c r="BD17" s="891">
        <f t="shared" si="14"/>
        <v>115943.11</v>
      </c>
      <c r="BE17" s="891">
        <f t="shared" si="29"/>
        <v>1863251.01</v>
      </c>
      <c r="BF17" s="892">
        <f t="shared" si="30"/>
        <v>-213860.19</v>
      </c>
    </row>
    <row r="18" spans="1:58" s="894" customFormat="1" ht="19.5" x14ac:dyDescent="0.25">
      <c r="A18" s="972" t="s">
        <v>1554</v>
      </c>
      <c r="B18" s="956">
        <v>2644.05</v>
      </c>
      <c r="C18" s="956">
        <v>346.56</v>
      </c>
      <c r="D18" s="957">
        <f t="shared" si="0"/>
        <v>916321.97</v>
      </c>
      <c r="E18" s="957"/>
      <c r="F18" s="958">
        <f t="shared" si="15"/>
        <v>916321.97</v>
      </c>
      <c r="G18" s="959">
        <v>0.84471229999999997</v>
      </c>
      <c r="H18" s="958">
        <f t="shared" si="1"/>
        <v>774028.44</v>
      </c>
      <c r="I18" s="960">
        <f t="shared" si="16"/>
        <v>774</v>
      </c>
      <c r="J18" s="961"/>
      <c r="K18" s="961"/>
      <c r="L18" s="957">
        <f t="shared" si="2"/>
        <v>0</v>
      </c>
      <c r="M18" s="962"/>
      <c r="N18" s="958">
        <f t="shared" si="17"/>
        <v>0</v>
      </c>
      <c r="O18" s="959">
        <v>0.84471229999999997</v>
      </c>
      <c r="P18" s="958">
        <f t="shared" si="3"/>
        <v>0</v>
      </c>
      <c r="Q18" s="960">
        <f t="shared" si="4"/>
        <v>0</v>
      </c>
      <c r="R18" s="956">
        <v>10.36</v>
      </c>
      <c r="S18" s="956">
        <v>26980</v>
      </c>
      <c r="T18" s="957">
        <f t="shared" si="5"/>
        <v>279512.8</v>
      </c>
      <c r="U18" s="957">
        <v>76608</v>
      </c>
      <c r="V18" s="958">
        <f t="shared" si="18"/>
        <v>202904.8</v>
      </c>
      <c r="W18" s="959">
        <v>0.84471229999999997</v>
      </c>
      <c r="X18" s="958">
        <f t="shared" si="6"/>
        <v>171396.18</v>
      </c>
      <c r="Y18" s="960">
        <f t="shared" si="7"/>
        <v>171.4</v>
      </c>
      <c r="Z18" s="956">
        <v>57.88</v>
      </c>
      <c r="AA18" s="963">
        <v>1141</v>
      </c>
      <c r="AB18" s="964">
        <v>24.35</v>
      </c>
      <c r="AC18" s="963">
        <f t="shared" si="19"/>
        <v>1141</v>
      </c>
      <c r="AD18" s="964">
        <v>12.18</v>
      </c>
      <c r="AE18" s="957">
        <f t="shared" si="20"/>
        <v>66041.08</v>
      </c>
      <c r="AF18" s="957">
        <f t="shared" si="21"/>
        <v>27783.35</v>
      </c>
      <c r="AG18" s="965">
        <f t="shared" si="21"/>
        <v>13897.38</v>
      </c>
      <c r="AH18" s="966">
        <f t="shared" si="8"/>
        <v>107721.81</v>
      </c>
      <c r="AI18" s="957">
        <v>7893</v>
      </c>
      <c r="AJ18" s="958">
        <f t="shared" si="22"/>
        <v>99828.81</v>
      </c>
      <c r="AK18" s="959">
        <v>0.84471229999999997</v>
      </c>
      <c r="AL18" s="958">
        <f t="shared" si="9"/>
        <v>84326.62</v>
      </c>
      <c r="AM18" s="960">
        <f t="shared" si="10"/>
        <v>84.3</v>
      </c>
      <c r="AN18" s="967">
        <v>9.1199999999999992</v>
      </c>
      <c r="AO18" s="968">
        <v>744.63</v>
      </c>
      <c r="AP18" s="969">
        <v>12</v>
      </c>
      <c r="AQ18" s="970">
        <f t="shared" si="23"/>
        <v>81492.31</v>
      </c>
      <c r="AR18" s="971"/>
      <c r="AS18" s="957">
        <f t="shared" si="11"/>
        <v>81492.31</v>
      </c>
      <c r="AT18" s="885">
        <v>0.84471229999999997</v>
      </c>
      <c r="AU18" s="886">
        <f t="shared" si="24"/>
        <v>68837.56</v>
      </c>
      <c r="AV18" s="887">
        <f>ROUND(AU18/1000,1)</f>
        <v>68.8</v>
      </c>
      <c r="AW18" s="884">
        <f t="shared" si="25"/>
        <v>1385048.89</v>
      </c>
      <c r="AX18" s="888">
        <f t="shared" si="13"/>
        <v>84501</v>
      </c>
      <c r="AY18" s="889">
        <f t="shared" si="26"/>
        <v>1300547.8899999999</v>
      </c>
      <c r="AZ18" s="886">
        <f t="shared" si="27"/>
        <v>1098588.8</v>
      </c>
      <c r="BA18" s="887">
        <f t="shared" si="27"/>
        <v>1098.5</v>
      </c>
      <c r="BB18" s="890">
        <f t="shared" si="28"/>
        <v>-201959.09</v>
      </c>
      <c r="BC18" s="891">
        <f t="shared" si="14"/>
        <v>1303556.58</v>
      </c>
      <c r="BD18" s="891">
        <f t="shared" si="14"/>
        <v>84501</v>
      </c>
      <c r="BE18" s="891">
        <f t="shared" si="29"/>
        <v>1219055.58</v>
      </c>
      <c r="BF18" s="892">
        <f t="shared" si="30"/>
        <v>-120466.78</v>
      </c>
    </row>
    <row r="19" spans="1:58" s="894" customFormat="1" ht="19.5" x14ac:dyDescent="0.25">
      <c r="A19" s="972" t="s">
        <v>665</v>
      </c>
      <c r="B19" s="956">
        <v>1786.28</v>
      </c>
      <c r="C19" s="956">
        <v>403.58</v>
      </c>
      <c r="D19" s="957">
        <f t="shared" si="0"/>
        <v>720906.88</v>
      </c>
      <c r="E19" s="957"/>
      <c r="F19" s="958">
        <f t="shared" si="15"/>
        <v>720906.88</v>
      </c>
      <c r="G19" s="959">
        <v>0.84471229999999997</v>
      </c>
      <c r="H19" s="958">
        <f t="shared" si="1"/>
        <v>608958.91</v>
      </c>
      <c r="I19" s="960">
        <f>ROUND(H19/1000,1)-0.1</f>
        <v>608.9</v>
      </c>
      <c r="J19" s="961"/>
      <c r="K19" s="961"/>
      <c r="L19" s="957">
        <f t="shared" si="2"/>
        <v>0</v>
      </c>
      <c r="M19" s="962"/>
      <c r="N19" s="958">
        <f t="shared" si="17"/>
        <v>0</v>
      </c>
      <c r="O19" s="959">
        <v>0.84471229999999997</v>
      </c>
      <c r="P19" s="958">
        <f t="shared" si="3"/>
        <v>0</v>
      </c>
      <c r="Q19" s="960">
        <f t="shared" si="4"/>
        <v>0</v>
      </c>
      <c r="R19" s="956">
        <v>10.36</v>
      </c>
      <c r="S19" s="956">
        <v>41690</v>
      </c>
      <c r="T19" s="957">
        <f t="shared" si="5"/>
        <v>431908.4</v>
      </c>
      <c r="U19" s="957">
        <v>144916.79999999999</v>
      </c>
      <c r="V19" s="958">
        <f t="shared" si="18"/>
        <v>286991.59999999998</v>
      </c>
      <c r="W19" s="959">
        <v>0.84471229999999997</v>
      </c>
      <c r="X19" s="958">
        <f t="shared" si="6"/>
        <v>242425.33</v>
      </c>
      <c r="Y19" s="960">
        <f t="shared" si="7"/>
        <v>242.4</v>
      </c>
      <c r="Z19" s="956">
        <v>57.88</v>
      </c>
      <c r="AA19" s="963">
        <v>910</v>
      </c>
      <c r="AB19" s="964">
        <v>24.35</v>
      </c>
      <c r="AC19" s="963">
        <f t="shared" si="19"/>
        <v>910</v>
      </c>
      <c r="AD19" s="964">
        <v>12.18</v>
      </c>
      <c r="AE19" s="957">
        <f t="shared" si="20"/>
        <v>52670.8</v>
      </c>
      <c r="AF19" s="957">
        <f t="shared" si="21"/>
        <v>22158.5</v>
      </c>
      <c r="AG19" s="965">
        <f t="shared" si="21"/>
        <v>11083.8</v>
      </c>
      <c r="AH19" s="966">
        <f t="shared" si="8"/>
        <v>85913.1</v>
      </c>
      <c r="AI19" s="957">
        <v>15154.56</v>
      </c>
      <c r="AJ19" s="958">
        <f t="shared" si="22"/>
        <v>70758.539999999994</v>
      </c>
      <c r="AK19" s="959">
        <v>0.84471229999999997</v>
      </c>
      <c r="AL19" s="958">
        <f t="shared" si="9"/>
        <v>59770.61</v>
      </c>
      <c r="AM19" s="960">
        <f t="shared" si="10"/>
        <v>59.8</v>
      </c>
      <c r="AN19" s="967">
        <v>9.35</v>
      </c>
      <c r="AO19" s="968">
        <v>744.63</v>
      </c>
      <c r="AP19" s="969">
        <v>12</v>
      </c>
      <c r="AQ19" s="970">
        <f t="shared" si="23"/>
        <v>83547.490000000005</v>
      </c>
      <c r="AR19" s="971"/>
      <c r="AS19" s="957">
        <f t="shared" si="11"/>
        <v>83547.490000000005</v>
      </c>
      <c r="AT19" s="885">
        <v>0.84471229999999997</v>
      </c>
      <c r="AU19" s="886">
        <f t="shared" si="24"/>
        <v>70573.59</v>
      </c>
      <c r="AV19" s="887">
        <f t="shared" si="12"/>
        <v>70.599999999999994</v>
      </c>
      <c r="AW19" s="884">
        <f t="shared" si="25"/>
        <v>1322275.8700000001</v>
      </c>
      <c r="AX19" s="888">
        <f t="shared" si="13"/>
        <v>160071.35999999999</v>
      </c>
      <c r="AY19" s="889">
        <f t="shared" si="26"/>
        <v>1162204.51</v>
      </c>
      <c r="AZ19" s="886">
        <f t="shared" si="27"/>
        <v>981728.44</v>
      </c>
      <c r="BA19" s="887">
        <f t="shared" si="27"/>
        <v>981.7</v>
      </c>
      <c r="BB19" s="890">
        <f t="shared" si="28"/>
        <v>-180476.07</v>
      </c>
      <c r="BC19" s="891">
        <f t="shared" si="14"/>
        <v>1238728.3799999999</v>
      </c>
      <c r="BD19" s="891">
        <f t="shared" si="14"/>
        <v>160071.35999999999</v>
      </c>
      <c r="BE19" s="891">
        <f t="shared" si="29"/>
        <v>1078657.02</v>
      </c>
      <c r="BF19" s="892">
        <f t="shared" si="30"/>
        <v>-96928.58</v>
      </c>
    </row>
    <row r="20" spans="1:58" s="894" customFormat="1" ht="19.5" x14ac:dyDescent="0.25">
      <c r="A20" s="972" t="s">
        <v>666</v>
      </c>
      <c r="B20" s="956">
        <v>3163.33</v>
      </c>
      <c r="C20" s="956">
        <v>312.51</v>
      </c>
      <c r="D20" s="957">
        <f t="shared" si="0"/>
        <v>988572.26</v>
      </c>
      <c r="E20" s="957"/>
      <c r="F20" s="958">
        <f t="shared" si="15"/>
        <v>988572.26</v>
      </c>
      <c r="G20" s="959">
        <v>0.84471229999999997</v>
      </c>
      <c r="H20" s="958">
        <f t="shared" si="1"/>
        <v>835059.15</v>
      </c>
      <c r="I20" s="960">
        <f t="shared" si="16"/>
        <v>835.1</v>
      </c>
      <c r="J20" s="961"/>
      <c r="K20" s="961"/>
      <c r="L20" s="957">
        <f t="shared" si="2"/>
        <v>0</v>
      </c>
      <c r="M20" s="962"/>
      <c r="N20" s="958">
        <f t="shared" si="17"/>
        <v>0</v>
      </c>
      <c r="O20" s="959">
        <v>0.84471229999999997</v>
      </c>
      <c r="P20" s="958">
        <f t="shared" si="3"/>
        <v>0</v>
      </c>
      <c r="Q20" s="960">
        <f t="shared" si="4"/>
        <v>0</v>
      </c>
      <c r="R20" s="956">
        <v>10.36</v>
      </c>
      <c r="S20" s="956">
        <v>44020</v>
      </c>
      <c r="T20" s="957">
        <f t="shared" si="5"/>
        <v>456047.2</v>
      </c>
      <c r="U20" s="957">
        <v>27360</v>
      </c>
      <c r="V20" s="958">
        <f t="shared" si="18"/>
        <v>428687.2</v>
      </c>
      <c r="W20" s="959">
        <v>0.84471229999999997</v>
      </c>
      <c r="X20" s="958">
        <f t="shared" si="6"/>
        <v>362117.35</v>
      </c>
      <c r="Y20" s="960">
        <f t="shared" si="7"/>
        <v>362.1</v>
      </c>
      <c r="Z20" s="956">
        <v>57.88</v>
      </c>
      <c r="AA20" s="963">
        <v>1420</v>
      </c>
      <c r="AB20" s="964">
        <v>24.35</v>
      </c>
      <c r="AC20" s="963">
        <f t="shared" si="19"/>
        <v>1420</v>
      </c>
      <c r="AD20" s="964">
        <v>12.18</v>
      </c>
      <c r="AE20" s="957">
        <f t="shared" si="20"/>
        <v>82189.600000000006</v>
      </c>
      <c r="AF20" s="957">
        <f t="shared" si="21"/>
        <v>34577</v>
      </c>
      <c r="AG20" s="965">
        <f t="shared" si="21"/>
        <v>17295.599999999999</v>
      </c>
      <c r="AH20" s="966">
        <f t="shared" si="8"/>
        <v>134062.20000000001</v>
      </c>
      <c r="AI20" s="957">
        <v>7893</v>
      </c>
      <c r="AJ20" s="958">
        <f t="shared" si="22"/>
        <v>126169.2</v>
      </c>
      <c r="AK20" s="959">
        <v>0.84471229999999997</v>
      </c>
      <c r="AL20" s="958">
        <f t="shared" si="9"/>
        <v>106576.68</v>
      </c>
      <c r="AM20" s="960">
        <f t="shared" si="10"/>
        <v>106.6</v>
      </c>
      <c r="AN20" s="967">
        <v>9</v>
      </c>
      <c r="AO20" s="968">
        <v>744.63</v>
      </c>
      <c r="AP20" s="969">
        <v>12</v>
      </c>
      <c r="AQ20" s="970">
        <f t="shared" si="23"/>
        <v>80420.039999999994</v>
      </c>
      <c r="AR20" s="971"/>
      <c r="AS20" s="957">
        <f t="shared" si="11"/>
        <v>80420.039999999994</v>
      </c>
      <c r="AT20" s="885">
        <v>0.84471229999999997</v>
      </c>
      <c r="AU20" s="886">
        <f t="shared" si="24"/>
        <v>67931.8</v>
      </c>
      <c r="AV20" s="887">
        <f t="shared" si="12"/>
        <v>67.900000000000006</v>
      </c>
      <c r="AW20" s="884">
        <f t="shared" si="25"/>
        <v>1659101.7</v>
      </c>
      <c r="AX20" s="888">
        <f t="shared" si="13"/>
        <v>35253</v>
      </c>
      <c r="AY20" s="889">
        <f t="shared" si="26"/>
        <v>1623848.7</v>
      </c>
      <c r="AZ20" s="886">
        <f t="shared" si="27"/>
        <v>1371684.98</v>
      </c>
      <c r="BA20" s="887">
        <f t="shared" si="27"/>
        <v>1371.7</v>
      </c>
      <c r="BB20" s="890">
        <f t="shared" si="28"/>
        <v>-252163.72</v>
      </c>
      <c r="BC20" s="891">
        <f t="shared" si="14"/>
        <v>1578681.66</v>
      </c>
      <c r="BD20" s="891">
        <f t="shared" si="14"/>
        <v>35253</v>
      </c>
      <c r="BE20" s="891">
        <f t="shared" si="29"/>
        <v>1543428.66</v>
      </c>
      <c r="BF20" s="892">
        <f t="shared" si="30"/>
        <v>-171743.68</v>
      </c>
    </row>
    <row r="21" spans="1:58" s="894" customFormat="1" ht="18.75" customHeight="1" x14ac:dyDescent="0.25">
      <c r="A21" s="972" t="s">
        <v>667</v>
      </c>
      <c r="B21" s="956">
        <v>2182.42</v>
      </c>
      <c r="C21" s="956">
        <v>425</v>
      </c>
      <c r="D21" s="957">
        <f t="shared" si="0"/>
        <v>927528.5</v>
      </c>
      <c r="E21" s="957"/>
      <c r="F21" s="958">
        <f t="shared" si="15"/>
        <v>927528.5</v>
      </c>
      <c r="G21" s="959">
        <v>0.84471229999999997</v>
      </c>
      <c r="H21" s="958">
        <f t="shared" si="1"/>
        <v>783494.73</v>
      </c>
      <c r="I21" s="960">
        <f t="shared" si="16"/>
        <v>783.5</v>
      </c>
      <c r="J21" s="961"/>
      <c r="K21" s="961"/>
      <c r="L21" s="957">
        <f t="shared" si="2"/>
        <v>0</v>
      </c>
      <c r="M21" s="962"/>
      <c r="N21" s="958">
        <f t="shared" si="17"/>
        <v>0</v>
      </c>
      <c r="O21" s="959">
        <v>0.84471229999999997</v>
      </c>
      <c r="P21" s="958">
        <f t="shared" si="3"/>
        <v>0</v>
      </c>
      <c r="Q21" s="960">
        <f t="shared" si="4"/>
        <v>0</v>
      </c>
      <c r="R21" s="956">
        <v>10.36</v>
      </c>
      <c r="S21" s="956">
        <v>47080</v>
      </c>
      <c r="T21" s="957">
        <f t="shared" si="5"/>
        <v>487748.8</v>
      </c>
      <c r="U21" s="957">
        <v>1692</v>
      </c>
      <c r="V21" s="958">
        <f t="shared" si="18"/>
        <v>486056.8</v>
      </c>
      <c r="W21" s="959">
        <v>0.84471229999999997</v>
      </c>
      <c r="X21" s="958">
        <f t="shared" si="6"/>
        <v>410578.16</v>
      </c>
      <c r="Y21" s="960">
        <f t="shared" si="7"/>
        <v>410.6</v>
      </c>
      <c r="Z21" s="956">
        <v>57.88</v>
      </c>
      <c r="AA21" s="956">
        <v>1220</v>
      </c>
      <c r="AB21" s="964">
        <v>24.35</v>
      </c>
      <c r="AC21" s="963">
        <f t="shared" si="19"/>
        <v>1220</v>
      </c>
      <c r="AD21" s="964">
        <v>12.18</v>
      </c>
      <c r="AE21" s="957">
        <f t="shared" si="20"/>
        <v>70613.600000000006</v>
      </c>
      <c r="AF21" s="957">
        <f t="shared" si="21"/>
        <v>29707</v>
      </c>
      <c r="AG21" s="965">
        <f t="shared" si="21"/>
        <v>14859.6</v>
      </c>
      <c r="AH21" s="966">
        <f t="shared" si="8"/>
        <v>115180.2</v>
      </c>
      <c r="AI21" s="957">
        <v>9120</v>
      </c>
      <c r="AJ21" s="958">
        <f t="shared" si="22"/>
        <v>106060.2</v>
      </c>
      <c r="AK21" s="959">
        <v>0.84471229999999997</v>
      </c>
      <c r="AL21" s="958">
        <f t="shared" si="9"/>
        <v>89590.36</v>
      </c>
      <c r="AM21" s="960">
        <f t="shared" si="10"/>
        <v>89.6</v>
      </c>
      <c r="AN21" s="967">
        <v>9</v>
      </c>
      <c r="AO21" s="968">
        <v>744.63</v>
      </c>
      <c r="AP21" s="973">
        <v>12</v>
      </c>
      <c r="AQ21" s="974">
        <f t="shared" si="23"/>
        <v>80420.039999999994</v>
      </c>
      <c r="AR21" s="971"/>
      <c r="AS21" s="957">
        <f t="shared" si="11"/>
        <v>80420.039999999994</v>
      </c>
      <c r="AT21" s="885">
        <v>0.84471229999999997</v>
      </c>
      <c r="AU21" s="886">
        <f t="shared" si="24"/>
        <v>67931.8</v>
      </c>
      <c r="AV21" s="887">
        <f t="shared" si="12"/>
        <v>67.900000000000006</v>
      </c>
      <c r="AW21" s="884">
        <f t="shared" si="25"/>
        <v>1610877.54</v>
      </c>
      <c r="AX21" s="888">
        <f t="shared" si="13"/>
        <v>10812</v>
      </c>
      <c r="AY21" s="889">
        <f t="shared" si="26"/>
        <v>1600065.54</v>
      </c>
      <c r="AZ21" s="886">
        <f t="shared" si="27"/>
        <v>1351595.05</v>
      </c>
      <c r="BA21" s="887">
        <f t="shared" si="27"/>
        <v>1351.6</v>
      </c>
      <c r="BB21" s="890">
        <f t="shared" si="28"/>
        <v>-248470.49</v>
      </c>
      <c r="BC21" s="891">
        <f t="shared" si="14"/>
        <v>1530457.5</v>
      </c>
      <c r="BD21" s="891">
        <f t="shared" si="14"/>
        <v>10812</v>
      </c>
      <c r="BE21" s="891">
        <f t="shared" si="29"/>
        <v>1519645.5</v>
      </c>
      <c r="BF21" s="892">
        <f t="shared" si="30"/>
        <v>-168050.45</v>
      </c>
    </row>
    <row r="22" spans="1:58" s="894" customFormat="1" ht="19.5" x14ac:dyDescent="0.25">
      <c r="A22" s="972" t="s">
        <v>668</v>
      </c>
      <c r="B22" s="956">
        <v>2644.05</v>
      </c>
      <c r="C22" s="956">
        <v>319.89999999999998</v>
      </c>
      <c r="D22" s="957">
        <f t="shared" si="0"/>
        <v>845831.6</v>
      </c>
      <c r="E22" s="957"/>
      <c r="F22" s="958">
        <f t="shared" si="15"/>
        <v>845831.6</v>
      </c>
      <c r="G22" s="959">
        <v>0.84471229999999997</v>
      </c>
      <c r="H22" s="958">
        <f t="shared" si="1"/>
        <v>714484.36</v>
      </c>
      <c r="I22" s="960">
        <f t="shared" si="16"/>
        <v>714.5</v>
      </c>
      <c r="J22" s="961"/>
      <c r="K22" s="961"/>
      <c r="L22" s="957">
        <f t="shared" si="2"/>
        <v>0</v>
      </c>
      <c r="M22" s="962"/>
      <c r="N22" s="958">
        <f t="shared" si="17"/>
        <v>0</v>
      </c>
      <c r="O22" s="959">
        <v>0.84471229999999997</v>
      </c>
      <c r="P22" s="958">
        <f t="shared" si="3"/>
        <v>0</v>
      </c>
      <c r="Q22" s="960">
        <f t="shared" si="4"/>
        <v>0</v>
      </c>
      <c r="R22" s="956">
        <v>10.36</v>
      </c>
      <c r="S22" s="956">
        <v>62800</v>
      </c>
      <c r="T22" s="957">
        <f t="shared" si="5"/>
        <v>650608</v>
      </c>
      <c r="U22" s="957">
        <v>155380</v>
      </c>
      <c r="V22" s="958">
        <f t="shared" si="18"/>
        <v>495228</v>
      </c>
      <c r="W22" s="959">
        <v>0.84471229999999997</v>
      </c>
      <c r="X22" s="958">
        <f t="shared" si="6"/>
        <v>418325.18</v>
      </c>
      <c r="Y22" s="960">
        <f t="shared" si="7"/>
        <v>418.3</v>
      </c>
      <c r="Z22" s="956">
        <v>57.88</v>
      </c>
      <c r="AA22" s="963">
        <v>1470</v>
      </c>
      <c r="AB22" s="964">
        <v>24.35</v>
      </c>
      <c r="AC22" s="963">
        <f t="shared" si="19"/>
        <v>1470</v>
      </c>
      <c r="AD22" s="964">
        <v>12.18</v>
      </c>
      <c r="AE22" s="957">
        <f t="shared" si="20"/>
        <v>85083.6</v>
      </c>
      <c r="AF22" s="957">
        <f t="shared" si="21"/>
        <v>35794.5</v>
      </c>
      <c r="AG22" s="965">
        <f t="shared" si="21"/>
        <v>17904.599999999999</v>
      </c>
      <c r="AH22" s="966">
        <f t="shared" si="8"/>
        <v>138782.70000000001</v>
      </c>
      <c r="AI22" s="957">
        <v>18066</v>
      </c>
      <c r="AJ22" s="958">
        <f t="shared" si="22"/>
        <v>120716.7</v>
      </c>
      <c r="AK22" s="959">
        <v>0.84471229999999997</v>
      </c>
      <c r="AL22" s="958">
        <f t="shared" si="9"/>
        <v>101970.88</v>
      </c>
      <c r="AM22" s="960">
        <f t="shared" si="10"/>
        <v>102</v>
      </c>
      <c r="AN22" s="967">
        <v>15.33</v>
      </c>
      <c r="AO22" s="968">
        <v>744.63</v>
      </c>
      <c r="AP22" s="969">
        <v>12</v>
      </c>
      <c r="AQ22" s="970">
        <f t="shared" si="23"/>
        <v>136982.13</v>
      </c>
      <c r="AR22" s="971"/>
      <c r="AS22" s="957">
        <f t="shared" si="11"/>
        <v>136982.13</v>
      </c>
      <c r="AT22" s="885">
        <v>0.84471229999999997</v>
      </c>
      <c r="AU22" s="886">
        <f t="shared" si="24"/>
        <v>115710.49</v>
      </c>
      <c r="AV22" s="887">
        <f t="shared" si="12"/>
        <v>115.7</v>
      </c>
      <c r="AW22" s="884">
        <f t="shared" si="25"/>
        <v>1772204.43</v>
      </c>
      <c r="AX22" s="888">
        <f t="shared" si="13"/>
        <v>173446</v>
      </c>
      <c r="AY22" s="889">
        <f t="shared" si="26"/>
        <v>1598758.43</v>
      </c>
      <c r="AZ22" s="886">
        <f t="shared" si="27"/>
        <v>1350490.91</v>
      </c>
      <c r="BA22" s="887">
        <f t="shared" si="27"/>
        <v>1350.5</v>
      </c>
      <c r="BB22" s="890">
        <f t="shared" si="28"/>
        <v>-248267.51999999999</v>
      </c>
      <c r="BC22" s="891">
        <f t="shared" si="14"/>
        <v>1635222.3</v>
      </c>
      <c r="BD22" s="891">
        <f t="shared" si="14"/>
        <v>173446</v>
      </c>
      <c r="BE22" s="891">
        <f t="shared" si="29"/>
        <v>1461776.3</v>
      </c>
      <c r="BF22" s="892">
        <f t="shared" si="30"/>
        <v>-111285.39</v>
      </c>
    </row>
    <row r="23" spans="1:58" s="894" customFormat="1" ht="19.5" x14ac:dyDescent="0.25">
      <c r="A23" s="955" t="s">
        <v>669</v>
      </c>
      <c r="B23" s="956">
        <v>2644.05</v>
      </c>
      <c r="C23" s="956">
        <v>374.91</v>
      </c>
      <c r="D23" s="957">
        <f t="shared" si="0"/>
        <v>991280.79</v>
      </c>
      <c r="E23" s="957"/>
      <c r="F23" s="958">
        <f t="shared" si="15"/>
        <v>991280.79</v>
      </c>
      <c r="G23" s="959">
        <v>0.84471229999999997</v>
      </c>
      <c r="H23" s="958">
        <f t="shared" si="1"/>
        <v>837347.08</v>
      </c>
      <c r="I23" s="960">
        <f t="shared" si="16"/>
        <v>837.3</v>
      </c>
      <c r="J23" s="961"/>
      <c r="K23" s="961"/>
      <c r="L23" s="957">
        <f t="shared" si="2"/>
        <v>0</v>
      </c>
      <c r="M23" s="962"/>
      <c r="N23" s="958">
        <f t="shared" si="17"/>
        <v>0</v>
      </c>
      <c r="O23" s="959">
        <v>0.84471229999999997</v>
      </c>
      <c r="P23" s="958">
        <f t="shared" si="3"/>
        <v>0</v>
      </c>
      <c r="Q23" s="960">
        <f t="shared" si="4"/>
        <v>0</v>
      </c>
      <c r="R23" s="956">
        <v>10.36</v>
      </c>
      <c r="S23" s="956">
        <v>120200</v>
      </c>
      <c r="T23" s="957">
        <f t="shared" si="5"/>
        <v>1245272</v>
      </c>
      <c r="U23" s="957">
        <v>255360</v>
      </c>
      <c r="V23" s="958">
        <f t="shared" si="18"/>
        <v>989912</v>
      </c>
      <c r="W23" s="959">
        <v>0.84471229999999997</v>
      </c>
      <c r="X23" s="958">
        <f t="shared" si="6"/>
        <v>836190.84</v>
      </c>
      <c r="Y23" s="960">
        <f t="shared" si="7"/>
        <v>836.2</v>
      </c>
      <c r="Z23" s="956">
        <v>57.88</v>
      </c>
      <c r="AA23" s="963">
        <v>2340</v>
      </c>
      <c r="AB23" s="964">
        <v>24.35</v>
      </c>
      <c r="AC23" s="963">
        <f t="shared" si="19"/>
        <v>2340</v>
      </c>
      <c r="AD23" s="964">
        <v>12.18</v>
      </c>
      <c r="AE23" s="957">
        <f t="shared" si="20"/>
        <v>135439.20000000001</v>
      </c>
      <c r="AF23" s="957">
        <f t="shared" si="21"/>
        <v>56979</v>
      </c>
      <c r="AG23" s="965">
        <f t="shared" si="21"/>
        <v>28501.200000000001</v>
      </c>
      <c r="AH23" s="966">
        <f t="shared" si="8"/>
        <v>220919.4</v>
      </c>
      <c r="AI23" s="957">
        <v>51304.5</v>
      </c>
      <c r="AJ23" s="958">
        <f t="shared" si="22"/>
        <v>169614.9</v>
      </c>
      <c r="AK23" s="959">
        <v>0.84471229999999997</v>
      </c>
      <c r="AL23" s="958">
        <f t="shared" si="9"/>
        <v>143275.79</v>
      </c>
      <c r="AM23" s="960">
        <f t="shared" si="10"/>
        <v>143.30000000000001</v>
      </c>
      <c r="AN23" s="967">
        <v>18</v>
      </c>
      <c r="AO23" s="968">
        <v>744.63</v>
      </c>
      <c r="AP23" s="969">
        <v>12</v>
      </c>
      <c r="AQ23" s="970">
        <f t="shared" si="23"/>
        <v>160840.07999999999</v>
      </c>
      <c r="AR23" s="971"/>
      <c r="AS23" s="957">
        <f t="shared" si="11"/>
        <v>160840.07999999999</v>
      </c>
      <c r="AT23" s="885">
        <v>0.84471229999999997</v>
      </c>
      <c r="AU23" s="886">
        <f t="shared" si="24"/>
        <v>135863.59</v>
      </c>
      <c r="AV23" s="887">
        <f t="shared" si="12"/>
        <v>135.9</v>
      </c>
      <c r="AW23" s="884">
        <f t="shared" si="25"/>
        <v>2618312.27</v>
      </c>
      <c r="AX23" s="888">
        <f t="shared" si="13"/>
        <v>306664.5</v>
      </c>
      <c r="AY23" s="889">
        <f t="shared" si="26"/>
        <v>2311647.77</v>
      </c>
      <c r="AZ23" s="886">
        <f t="shared" si="27"/>
        <v>1952677.3</v>
      </c>
      <c r="BA23" s="887">
        <f t="shared" si="27"/>
        <v>1952.7</v>
      </c>
      <c r="BB23" s="890">
        <f t="shared" si="28"/>
        <v>-358970.47</v>
      </c>
      <c r="BC23" s="891">
        <f t="shared" si="14"/>
        <v>2457472.19</v>
      </c>
      <c r="BD23" s="891">
        <f t="shared" si="14"/>
        <v>306664.5</v>
      </c>
      <c r="BE23" s="891">
        <f t="shared" si="29"/>
        <v>2150807.69</v>
      </c>
      <c r="BF23" s="892">
        <f t="shared" si="30"/>
        <v>-198130.39</v>
      </c>
    </row>
    <row r="24" spans="1:58" s="894" customFormat="1" ht="19.5" x14ac:dyDescent="0.25">
      <c r="A24" s="955" t="s">
        <v>670</v>
      </c>
      <c r="B24" s="956">
        <v>3163.33</v>
      </c>
      <c r="C24" s="956">
        <v>500</v>
      </c>
      <c r="D24" s="957">
        <f t="shared" si="0"/>
        <v>1581665</v>
      </c>
      <c r="E24" s="957"/>
      <c r="F24" s="958">
        <f t="shared" si="15"/>
        <v>1581665</v>
      </c>
      <c r="G24" s="959">
        <v>0.84471229999999997</v>
      </c>
      <c r="H24" s="958">
        <f t="shared" si="1"/>
        <v>1336051.8799999999</v>
      </c>
      <c r="I24" s="960">
        <f t="shared" si="16"/>
        <v>1336.1</v>
      </c>
      <c r="J24" s="961"/>
      <c r="K24" s="961"/>
      <c r="L24" s="957">
        <f t="shared" si="2"/>
        <v>0</v>
      </c>
      <c r="M24" s="962"/>
      <c r="N24" s="958">
        <f t="shared" si="17"/>
        <v>0</v>
      </c>
      <c r="O24" s="959">
        <v>0.84471229999999997</v>
      </c>
      <c r="P24" s="958">
        <f t="shared" si="3"/>
        <v>0</v>
      </c>
      <c r="Q24" s="960">
        <f t="shared" si="4"/>
        <v>0</v>
      </c>
      <c r="R24" s="956">
        <v>10.36</v>
      </c>
      <c r="S24" s="956">
        <v>63240</v>
      </c>
      <c r="T24" s="957">
        <f t="shared" si="5"/>
        <v>655166.4</v>
      </c>
      <c r="U24" s="957">
        <v>91200</v>
      </c>
      <c r="V24" s="958">
        <f t="shared" si="18"/>
        <v>563966.4</v>
      </c>
      <c r="W24" s="959">
        <v>0.84471229999999997</v>
      </c>
      <c r="X24" s="958">
        <f t="shared" si="6"/>
        <v>476389.35</v>
      </c>
      <c r="Y24" s="960">
        <f t="shared" si="7"/>
        <v>476.4</v>
      </c>
      <c r="Z24" s="956">
        <v>57.88</v>
      </c>
      <c r="AA24" s="963">
        <v>1201</v>
      </c>
      <c r="AB24" s="964">
        <v>24.35</v>
      </c>
      <c r="AC24" s="963">
        <f t="shared" si="19"/>
        <v>1201</v>
      </c>
      <c r="AD24" s="964">
        <v>12.18</v>
      </c>
      <c r="AE24" s="957">
        <f t="shared" si="20"/>
        <v>69513.88</v>
      </c>
      <c r="AF24" s="957">
        <f t="shared" si="21"/>
        <v>29244.35</v>
      </c>
      <c r="AG24" s="965">
        <f t="shared" si="21"/>
        <v>14628.18</v>
      </c>
      <c r="AH24" s="966">
        <f t="shared" si="8"/>
        <v>113386.41</v>
      </c>
      <c r="AI24" s="957">
        <v>19872.599999999999</v>
      </c>
      <c r="AJ24" s="958">
        <f t="shared" si="22"/>
        <v>93513.81</v>
      </c>
      <c r="AK24" s="959">
        <v>0.84471229999999997</v>
      </c>
      <c r="AL24" s="958">
        <f t="shared" si="9"/>
        <v>78992.27</v>
      </c>
      <c r="AM24" s="960">
        <f t="shared" si="10"/>
        <v>79</v>
      </c>
      <c r="AN24" s="967">
        <v>10</v>
      </c>
      <c r="AO24" s="968">
        <v>744.63</v>
      </c>
      <c r="AP24" s="969">
        <v>12</v>
      </c>
      <c r="AQ24" s="970">
        <f t="shared" si="23"/>
        <v>89355.6</v>
      </c>
      <c r="AR24" s="971"/>
      <c r="AS24" s="957">
        <f t="shared" si="11"/>
        <v>89355.6</v>
      </c>
      <c r="AT24" s="885">
        <v>0.84471229999999997</v>
      </c>
      <c r="AU24" s="886">
        <f t="shared" si="24"/>
        <v>75479.77</v>
      </c>
      <c r="AV24" s="887">
        <f t="shared" si="12"/>
        <v>75.5</v>
      </c>
      <c r="AW24" s="884">
        <f t="shared" si="25"/>
        <v>2439573.41</v>
      </c>
      <c r="AX24" s="888">
        <f t="shared" si="13"/>
        <v>111072.6</v>
      </c>
      <c r="AY24" s="889">
        <f t="shared" si="26"/>
        <v>2328500.81</v>
      </c>
      <c r="AZ24" s="886">
        <f t="shared" si="27"/>
        <v>1966913.27</v>
      </c>
      <c r="BA24" s="887">
        <f t="shared" si="27"/>
        <v>1967</v>
      </c>
      <c r="BB24" s="890">
        <f t="shared" si="28"/>
        <v>-361587.54</v>
      </c>
      <c r="BC24" s="891">
        <f t="shared" si="14"/>
        <v>2350217.81</v>
      </c>
      <c r="BD24" s="891">
        <f t="shared" si="14"/>
        <v>111072.6</v>
      </c>
      <c r="BE24" s="891">
        <f t="shared" si="29"/>
        <v>2239145.21</v>
      </c>
      <c r="BF24" s="892">
        <f t="shared" si="30"/>
        <v>-272231.94</v>
      </c>
    </row>
    <row r="25" spans="1:58" s="894" customFormat="1" ht="30" x14ac:dyDescent="0.25">
      <c r="A25" s="955" t="s">
        <v>1684</v>
      </c>
      <c r="B25" s="956">
        <v>2644.05</v>
      </c>
      <c r="C25" s="956">
        <v>600.72</v>
      </c>
      <c r="D25" s="957">
        <f t="shared" si="0"/>
        <v>1588333.72</v>
      </c>
      <c r="E25" s="957"/>
      <c r="F25" s="958">
        <f t="shared" si="15"/>
        <v>1588333.72</v>
      </c>
      <c r="G25" s="959">
        <v>0.84471229999999997</v>
      </c>
      <c r="H25" s="958">
        <f t="shared" si="1"/>
        <v>1341685.03</v>
      </c>
      <c r="I25" s="960">
        <f t="shared" si="16"/>
        <v>1341.7</v>
      </c>
      <c r="J25" s="961"/>
      <c r="K25" s="961"/>
      <c r="L25" s="957">
        <f t="shared" si="2"/>
        <v>0</v>
      </c>
      <c r="M25" s="962"/>
      <c r="N25" s="958">
        <f t="shared" si="17"/>
        <v>0</v>
      </c>
      <c r="O25" s="959">
        <v>0.84471229999999997</v>
      </c>
      <c r="P25" s="958">
        <f t="shared" si="3"/>
        <v>0</v>
      </c>
      <c r="Q25" s="960">
        <f t="shared" si="4"/>
        <v>0</v>
      </c>
      <c r="R25" s="956">
        <v>10.36</v>
      </c>
      <c r="S25" s="956">
        <v>52260</v>
      </c>
      <c r="T25" s="957">
        <f t="shared" si="5"/>
        <v>541413.6</v>
      </c>
      <c r="U25" s="957">
        <v>150480</v>
      </c>
      <c r="V25" s="958">
        <f t="shared" si="18"/>
        <v>390933.6</v>
      </c>
      <c r="W25" s="959">
        <v>0.84471229999999997</v>
      </c>
      <c r="X25" s="958">
        <f t="shared" si="6"/>
        <v>330226.42</v>
      </c>
      <c r="Y25" s="960">
        <f t="shared" si="7"/>
        <v>330.2</v>
      </c>
      <c r="Z25" s="956">
        <v>57.88</v>
      </c>
      <c r="AA25" s="963">
        <v>1114</v>
      </c>
      <c r="AB25" s="964">
        <v>24.35</v>
      </c>
      <c r="AC25" s="963">
        <f t="shared" si="19"/>
        <v>1114</v>
      </c>
      <c r="AD25" s="964">
        <v>12.18</v>
      </c>
      <c r="AE25" s="957">
        <f t="shared" si="20"/>
        <v>64478.32</v>
      </c>
      <c r="AF25" s="957">
        <f t="shared" si="21"/>
        <v>27125.9</v>
      </c>
      <c r="AG25" s="965">
        <f t="shared" si="21"/>
        <v>13568.52</v>
      </c>
      <c r="AH25" s="966">
        <f t="shared" si="8"/>
        <v>105172.74</v>
      </c>
      <c r="AI25" s="957">
        <v>11839.5</v>
      </c>
      <c r="AJ25" s="958">
        <f t="shared" si="22"/>
        <v>93333.24</v>
      </c>
      <c r="AK25" s="959">
        <v>0.84471229999999997</v>
      </c>
      <c r="AL25" s="958">
        <f t="shared" si="9"/>
        <v>78839.740000000005</v>
      </c>
      <c r="AM25" s="960">
        <f>ROUND(AL25/1000,1)+0.1</f>
        <v>78.900000000000006</v>
      </c>
      <c r="AN25" s="967">
        <v>16.5</v>
      </c>
      <c r="AO25" s="968">
        <v>744.63</v>
      </c>
      <c r="AP25" s="969">
        <v>12</v>
      </c>
      <c r="AQ25" s="970">
        <f t="shared" si="23"/>
        <v>147436.74</v>
      </c>
      <c r="AR25" s="971"/>
      <c r="AS25" s="957">
        <f t="shared" si="11"/>
        <v>147436.74</v>
      </c>
      <c r="AT25" s="885">
        <v>0.84471229999999997</v>
      </c>
      <c r="AU25" s="886">
        <f t="shared" si="24"/>
        <v>124541.63</v>
      </c>
      <c r="AV25" s="887">
        <f t="shared" si="12"/>
        <v>124.5</v>
      </c>
      <c r="AW25" s="884">
        <f t="shared" si="25"/>
        <v>2382356.7999999998</v>
      </c>
      <c r="AX25" s="888">
        <f t="shared" si="13"/>
        <v>162319.5</v>
      </c>
      <c r="AY25" s="889">
        <f t="shared" si="26"/>
        <v>2220037.2999999998</v>
      </c>
      <c r="AZ25" s="886">
        <f t="shared" si="27"/>
        <v>1875292.82</v>
      </c>
      <c r="BA25" s="887">
        <f t="shared" si="27"/>
        <v>1875.3</v>
      </c>
      <c r="BB25" s="890">
        <f t="shared" si="28"/>
        <v>-344744.48</v>
      </c>
      <c r="BC25" s="891">
        <f t="shared" si="14"/>
        <v>2234920.06</v>
      </c>
      <c r="BD25" s="891">
        <f t="shared" si="14"/>
        <v>162319.5</v>
      </c>
      <c r="BE25" s="891">
        <f t="shared" si="29"/>
        <v>2072600.56</v>
      </c>
      <c r="BF25" s="892">
        <f t="shared" si="30"/>
        <v>-197307.74</v>
      </c>
    </row>
    <row r="26" spans="1:58" s="894" customFormat="1" ht="19.5" x14ac:dyDescent="0.25">
      <c r="A26" s="972" t="s">
        <v>1565</v>
      </c>
      <c r="B26" s="956">
        <v>2644.05</v>
      </c>
      <c r="C26" s="956">
        <v>233.45</v>
      </c>
      <c r="D26" s="957">
        <f t="shared" si="0"/>
        <v>617253.47</v>
      </c>
      <c r="E26" s="957"/>
      <c r="F26" s="958">
        <f t="shared" si="15"/>
        <v>617253.47</v>
      </c>
      <c r="G26" s="959">
        <v>0.84471229999999997</v>
      </c>
      <c r="H26" s="958">
        <f t="shared" si="1"/>
        <v>521401.59999999998</v>
      </c>
      <c r="I26" s="960">
        <f t="shared" si="16"/>
        <v>521.4</v>
      </c>
      <c r="J26" s="961"/>
      <c r="K26" s="961"/>
      <c r="L26" s="957">
        <f t="shared" si="2"/>
        <v>0</v>
      </c>
      <c r="M26" s="962"/>
      <c r="N26" s="958">
        <f t="shared" si="17"/>
        <v>0</v>
      </c>
      <c r="O26" s="959">
        <v>0.84471229999999997</v>
      </c>
      <c r="P26" s="958">
        <f t="shared" si="3"/>
        <v>0</v>
      </c>
      <c r="Q26" s="960">
        <f t="shared" si="4"/>
        <v>0</v>
      </c>
      <c r="R26" s="956">
        <v>10.36</v>
      </c>
      <c r="S26" s="956">
        <v>35790</v>
      </c>
      <c r="T26" s="957">
        <f t="shared" si="5"/>
        <v>370784.4</v>
      </c>
      <c r="U26" s="957">
        <v>76608</v>
      </c>
      <c r="V26" s="958">
        <f t="shared" si="18"/>
        <v>294176.40000000002</v>
      </c>
      <c r="W26" s="959">
        <v>0.84471229999999997</v>
      </c>
      <c r="X26" s="958">
        <f t="shared" si="6"/>
        <v>248494.42</v>
      </c>
      <c r="Y26" s="960">
        <f t="shared" si="7"/>
        <v>248.5</v>
      </c>
      <c r="Z26" s="956">
        <v>57.88</v>
      </c>
      <c r="AA26" s="963">
        <v>750</v>
      </c>
      <c r="AB26" s="964">
        <v>24.35</v>
      </c>
      <c r="AC26" s="963">
        <f t="shared" si="19"/>
        <v>750</v>
      </c>
      <c r="AD26" s="964">
        <v>12.18</v>
      </c>
      <c r="AE26" s="957">
        <f t="shared" si="20"/>
        <v>43410</v>
      </c>
      <c r="AF26" s="957">
        <f t="shared" si="21"/>
        <v>18262.5</v>
      </c>
      <c r="AG26" s="965">
        <f t="shared" si="21"/>
        <v>9135</v>
      </c>
      <c r="AH26" s="966">
        <f t="shared" si="8"/>
        <v>70807.5</v>
      </c>
      <c r="AI26" s="957">
        <v>3946.5</v>
      </c>
      <c r="AJ26" s="958">
        <f t="shared" si="22"/>
        <v>66861</v>
      </c>
      <c r="AK26" s="959">
        <v>0.84471229999999997</v>
      </c>
      <c r="AL26" s="958">
        <f t="shared" si="9"/>
        <v>56478.31</v>
      </c>
      <c r="AM26" s="960">
        <f t="shared" si="10"/>
        <v>56.5</v>
      </c>
      <c r="AN26" s="967">
        <v>9</v>
      </c>
      <c r="AO26" s="968">
        <v>744.63</v>
      </c>
      <c r="AP26" s="969">
        <v>12</v>
      </c>
      <c r="AQ26" s="970">
        <f t="shared" si="23"/>
        <v>80420.039999999994</v>
      </c>
      <c r="AR26" s="971"/>
      <c r="AS26" s="957">
        <f t="shared" si="11"/>
        <v>80420.039999999994</v>
      </c>
      <c r="AT26" s="885">
        <v>0.84471229999999997</v>
      </c>
      <c r="AU26" s="886">
        <f t="shared" si="24"/>
        <v>67931.8</v>
      </c>
      <c r="AV26" s="887">
        <f t="shared" si="12"/>
        <v>67.900000000000006</v>
      </c>
      <c r="AW26" s="884">
        <f t="shared" si="25"/>
        <v>1139265.4099999999</v>
      </c>
      <c r="AX26" s="888">
        <f t="shared" si="13"/>
        <v>80554.5</v>
      </c>
      <c r="AY26" s="889">
        <f t="shared" si="26"/>
        <v>1058710.9099999999</v>
      </c>
      <c r="AZ26" s="886">
        <f t="shared" si="27"/>
        <v>894306.13</v>
      </c>
      <c r="BA26" s="887">
        <f t="shared" si="27"/>
        <v>894.3</v>
      </c>
      <c r="BB26" s="890">
        <f t="shared" si="28"/>
        <v>-164404.78</v>
      </c>
      <c r="BC26" s="891">
        <f t="shared" si="14"/>
        <v>1058845.3700000001</v>
      </c>
      <c r="BD26" s="891">
        <f t="shared" si="14"/>
        <v>80554.5</v>
      </c>
      <c r="BE26" s="891">
        <f t="shared" si="29"/>
        <v>978290.87</v>
      </c>
      <c r="BF26" s="892">
        <f t="shared" si="30"/>
        <v>-83984.74</v>
      </c>
    </row>
    <row r="27" spans="1:58" s="894" customFormat="1" ht="19.5" x14ac:dyDescent="0.25">
      <c r="A27" s="972" t="s">
        <v>673</v>
      </c>
      <c r="B27" s="956">
        <v>2644.05</v>
      </c>
      <c r="C27" s="956">
        <v>277.69</v>
      </c>
      <c r="D27" s="957">
        <f t="shared" si="0"/>
        <v>734226.24</v>
      </c>
      <c r="E27" s="957"/>
      <c r="F27" s="958">
        <f t="shared" si="15"/>
        <v>734226.24</v>
      </c>
      <c r="G27" s="959">
        <v>0.84471229999999997</v>
      </c>
      <c r="H27" s="958">
        <f t="shared" si="1"/>
        <v>620209.93999999994</v>
      </c>
      <c r="I27" s="960">
        <f t="shared" si="16"/>
        <v>620.20000000000005</v>
      </c>
      <c r="J27" s="961"/>
      <c r="K27" s="961"/>
      <c r="L27" s="957">
        <f t="shared" si="2"/>
        <v>0</v>
      </c>
      <c r="M27" s="962"/>
      <c r="N27" s="958">
        <f t="shared" si="17"/>
        <v>0</v>
      </c>
      <c r="O27" s="959">
        <v>0.84471229999999997</v>
      </c>
      <c r="P27" s="958">
        <f t="shared" si="3"/>
        <v>0</v>
      </c>
      <c r="Q27" s="960">
        <f t="shared" si="4"/>
        <v>0</v>
      </c>
      <c r="R27" s="956">
        <v>10.36</v>
      </c>
      <c r="S27" s="956">
        <v>141490</v>
      </c>
      <c r="T27" s="957">
        <f t="shared" si="5"/>
        <v>1465836.4</v>
      </c>
      <c r="U27" s="957">
        <v>346560</v>
      </c>
      <c r="V27" s="958">
        <f t="shared" si="18"/>
        <v>1119276.3999999999</v>
      </c>
      <c r="W27" s="959">
        <v>0.84471229999999997</v>
      </c>
      <c r="X27" s="958">
        <f t="shared" si="6"/>
        <v>945466.54</v>
      </c>
      <c r="Y27" s="960">
        <f t="shared" si="7"/>
        <v>945.5</v>
      </c>
      <c r="Z27" s="956">
        <v>57.88</v>
      </c>
      <c r="AA27" s="963">
        <v>1330</v>
      </c>
      <c r="AB27" s="964">
        <v>24.35</v>
      </c>
      <c r="AC27" s="963">
        <f t="shared" si="19"/>
        <v>1330</v>
      </c>
      <c r="AD27" s="964">
        <v>12.18</v>
      </c>
      <c r="AE27" s="957">
        <f t="shared" si="20"/>
        <v>76980.399999999994</v>
      </c>
      <c r="AF27" s="957">
        <f t="shared" si="21"/>
        <v>32385.5</v>
      </c>
      <c r="AG27" s="965">
        <f t="shared" si="21"/>
        <v>16199.4</v>
      </c>
      <c r="AH27" s="966">
        <f t="shared" si="8"/>
        <v>125565.3</v>
      </c>
      <c r="AI27" s="957">
        <v>63144</v>
      </c>
      <c r="AJ27" s="958">
        <f t="shared" si="22"/>
        <v>62421.3</v>
      </c>
      <c r="AK27" s="959">
        <v>0.84471229999999997</v>
      </c>
      <c r="AL27" s="958">
        <f t="shared" si="9"/>
        <v>52728.04</v>
      </c>
      <c r="AM27" s="960">
        <f t="shared" si="10"/>
        <v>52.7</v>
      </c>
      <c r="AN27" s="967">
        <v>9.19</v>
      </c>
      <c r="AO27" s="968">
        <v>744.63</v>
      </c>
      <c r="AP27" s="969">
        <v>12</v>
      </c>
      <c r="AQ27" s="970">
        <f t="shared" si="23"/>
        <v>82117.8</v>
      </c>
      <c r="AR27" s="971">
        <v>39150</v>
      </c>
      <c r="AS27" s="957">
        <f t="shared" si="11"/>
        <v>42967.8</v>
      </c>
      <c r="AT27" s="885">
        <v>0.84471229999999997</v>
      </c>
      <c r="AU27" s="886">
        <f t="shared" si="24"/>
        <v>36295.43</v>
      </c>
      <c r="AV27" s="887">
        <f t="shared" si="12"/>
        <v>36.299999999999997</v>
      </c>
      <c r="AW27" s="884">
        <f t="shared" si="25"/>
        <v>2407745.7400000002</v>
      </c>
      <c r="AX27" s="888">
        <f t="shared" si="13"/>
        <v>409704</v>
      </c>
      <c r="AY27" s="889">
        <f t="shared" si="26"/>
        <v>1998041.74</v>
      </c>
      <c r="AZ27" s="886">
        <f t="shared" si="27"/>
        <v>1654699.95</v>
      </c>
      <c r="BA27" s="887">
        <f t="shared" si="27"/>
        <v>1654.7</v>
      </c>
      <c r="BB27" s="890">
        <f t="shared" si="28"/>
        <v>-343341.79</v>
      </c>
      <c r="BC27" s="891">
        <f t="shared" si="14"/>
        <v>2325627.94</v>
      </c>
      <c r="BD27" s="891">
        <f t="shared" si="14"/>
        <v>409704</v>
      </c>
      <c r="BE27" s="891">
        <f t="shared" si="29"/>
        <v>1915923.94</v>
      </c>
      <c r="BF27" s="892">
        <f t="shared" si="30"/>
        <v>-261223.99</v>
      </c>
    </row>
    <row r="28" spans="1:58" s="894" customFormat="1" ht="19.5" x14ac:dyDescent="0.25">
      <c r="A28" s="972" t="s">
        <v>674</v>
      </c>
      <c r="B28" s="956">
        <v>3163.33</v>
      </c>
      <c r="C28" s="956">
        <v>380.1</v>
      </c>
      <c r="D28" s="957">
        <f t="shared" si="0"/>
        <v>1202381.73</v>
      </c>
      <c r="E28" s="957"/>
      <c r="F28" s="958">
        <f t="shared" si="15"/>
        <v>1202381.73</v>
      </c>
      <c r="G28" s="959">
        <v>0.84471229999999997</v>
      </c>
      <c r="H28" s="958">
        <f t="shared" si="1"/>
        <v>1015666.64</v>
      </c>
      <c r="I28" s="960">
        <f t="shared" si="16"/>
        <v>1015.7</v>
      </c>
      <c r="J28" s="961"/>
      <c r="K28" s="961"/>
      <c r="L28" s="957">
        <f t="shared" si="2"/>
        <v>0</v>
      </c>
      <c r="M28" s="962"/>
      <c r="N28" s="958">
        <f t="shared" si="17"/>
        <v>0</v>
      </c>
      <c r="O28" s="959">
        <v>0.84471229999999997</v>
      </c>
      <c r="P28" s="958">
        <f t="shared" si="3"/>
        <v>0</v>
      </c>
      <c r="Q28" s="960">
        <f t="shared" si="4"/>
        <v>0</v>
      </c>
      <c r="R28" s="956">
        <v>10.36</v>
      </c>
      <c r="S28" s="956">
        <v>58110</v>
      </c>
      <c r="T28" s="957">
        <f t="shared" si="5"/>
        <v>602019.6</v>
      </c>
      <c r="U28" s="957">
        <v>158750</v>
      </c>
      <c r="V28" s="958">
        <f t="shared" si="18"/>
        <v>443269.6</v>
      </c>
      <c r="W28" s="959">
        <v>0.84471229999999997</v>
      </c>
      <c r="X28" s="958">
        <f t="shared" si="6"/>
        <v>374435.28</v>
      </c>
      <c r="Y28" s="960">
        <f>ROUND(X28/1000,1)+0.1</f>
        <v>374.5</v>
      </c>
      <c r="Z28" s="956">
        <v>57.88</v>
      </c>
      <c r="AA28" s="963">
        <v>920</v>
      </c>
      <c r="AB28" s="964">
        <v>24.35</v>
      </c>
      <c r="AC28" s="963">
        <f t="shared" si="19"/>
        <v>920</v>
      </c>
      <c r="AD28" s="964">
        <v>12.18</v>
      </c>
      <c r="AE28" s="957">
        <f t="shared" si="20"/>
        <v>53249.599999999999</v>
      </c>
      <c r="AF28" s="957">
        <f t="shared" si="21"/>
        <v>22402</v>
      </c>
      <c r="AG28" s="965">
        <f t="shared" si="21"/>
        <v>11205.6</v>
      </c>
      <c r="AH28" s="966">
        <f t="shared" si="8"/>
        <v>86857.2</v>
      </c>
      <c r="AI28" s="957">
        <v>24570</v>
      </c>
      <c r="AJ28" s="958">
        <f t="shared" si="22"/>
        <v>62287.199999999997</v>
      </c>
      <c r="AK28" s="959">
        <v>0.84471229999999997</v>
      </c>
      <c r="AL28" s="958">
        <f t="shared" si="9"/>
        <v>52614.76</v>
      </c>
      <c r="AM28" s="960">
        <f t="shared" si="10"/>
        <v>52.6</v>
      </c>
      <c r="AN28" s="967">
        <v>9</v>
      </c>
      <c r="AO28" s="968">
        <v>744.63</v>
      </c>
      <c r="AP28" s="969">
        <v>12</v>
      </c>
      <c r="AQ28" s="970">
        <f t="shared" si="23"/>
        <v>80420.039999999994</v>
      </c>
      <c r="AR28" s="971"/>
      <c r="AS28" s="957">
        <f t="shared" si="11"/>
        <v>80420.039999999994</v>
      </c>
      <c r="AT28" s="885">
        <v>0.84471229999999997</v>
      </c>
      <c r="AU28" s="886">
        <f t="shared" si="24"/>
        <v>67931.8</v>
      </c>
      <c r="AV28" s="887">
        <f t="shared" si="12"/>
        <v>67.900000000000006</v>
      </c>
      <c r="AW28" s="884">
        <f t="shared" si="25"/>
        <v>1971678.57</v>
      </c>
      <c r="AX28" s="888">
        <f t="shared" si="13"/>
        <v>183320</v>
      </c>
      <c r="AY28" s="889">
        <f t="shared" si="26"/>
        <v>1788358.57</v>
      </c>
      <c r="AZ28" s="886">
        <f t="shared" si="27"/>
        <v>1510648.48</v>
      </c>
      <c r="BA28" s="887">
        <f t="shared" si="27"/>
        <v>1510.7</v>
      </c>
      <c r="BB28" s="890">
        <f t="shared" si="28"/>
        <v>-277710.09000000003</v>
      </c>
      <c r="BC28" s="891">
        <f t="shared" si="14"/>
        <v>1891258.53</v>
      </c>
      <c r="BD28" s="891">
        <f t="shared" si="14"/>
        <v>183320</v>
      </c>
      <c r="BE28" s="891">
        <f t="shared" si="29"/>
        <v>1707938.53</v>
      </c>
      <c r="BF28" s="892">
        <f t="shared" si="30"/>
        <v>-197290.05</v>
      </c>
    </row>
    <row r="29" spans="1:58" s="894" customFormat="1" ht="19.5" x14ac:dyDescent="0.25">
      <c r="A29" s="955" t="s">
        <v>675</v>
      </c>
      <c r="B29" s="956">
        <v>3163.33</v>
      </c>
      <c r="C29" s="956">
        <v>714.44</v>
      </c>
      <c r="D29" s="957">
        <f t="shared" si="0"/>
        <v>2260009.4900000002</v>
      </c>
      <c r="E29" s="957"/>
      <c r="F29" s="958">
        <f t="shared" si="15"/>
        <v>2260009.4900000002</v>
      </c>
      <c r="G29" s="959">
        <v>0.84471229999999997</v>
      </c>
      <c r="H29" s="958">
        <f t="shared" si="1"/>
        <v>1909057.81</v>
      </c>
      <c r="I29" s="960">
        <f>ROUND(H29/1000,1)-0.1</f>
        <v>1909</v>
      </c>
      <c r="J29" s="961"/>
      <c r="K29" s="961"/>
      <c r="L29" s="957">
        <f t="shared" si="2"/>
        <v>0</v>
      </c>
      <c r="M29" s="962"/>
      <c r="N29" s="958">
        <f t="shared" si="17"/>
        <v>0</v>
      </c>
      <c r="O29" s="959">
        <v>0.84471229999999997</v>
      </c>
      <c r="P29" s="958">
        <f t="shared" si="3"/>
        <v>0</v>
      </c>
      <c r="Q29" s="960">
        <f t="shared" si="4"/>
        <v>0</v>
      </c>
      <c r="R29" s="956">
        <v>10.36</v>
      </c>
      <c r="S29" s="956">
        <v>67320</v>
      </c>
      <c r="T29" s="957">
        <f t="shared" si="5"/>
        <v>697435.2</v>
      </c>
      <c r="U29" s="957">
        <v>162000</v>
      </c>
      <c r="V29" s="958">
        <f t="shared" si="18"/>
        <v>535435.19999999995</v>
      </c>
      <c r="W29" s="959">
        <v>0.84471229999999997</v>
      </c>
      <c r="X29" s="958">
        <f t="shared" si="6"/>
        <v>452288.7</v>
      </c>
      <c r="Y29" s="960">
        <f t="shared" si="7"/>
        <v>452.3</v>
      </c>
      <c r="Z29" s="956">
        <v>57.88</v>
      </c>
      <c r="AA29" s="963">
        <v>2180</v>
      </c>
      <c r="AB29" s="964">
        <v>24.35</v>
      </c>
      <c r="AC29" s="963">
        <f t="shared" si="19"/>
        <v>2180</v>
      </c>
      <c r="AD29" s="964">
        <v>12.18</v>
      </c>
      <c r="AE29" s="957">
        <f t="shared" si="20"/>
        <v>126178.4</v>
      </c>
      <c r="AF29" s="957">
        <f t="shared" si="21"/>
        <v>53083</v>
      </c>
      <c r="AG29" s="965">
        <f t="shared" si="21"/>
        <v>26552.400000000001</v>
      </c>
      <c r="AH29" s="966">
        <f t="shared" si="8"/>
        <v>205813.8</v>
      </c>
      <c r="AI29" s="957">
        <v>25578</v>
      </c>
      <c r="AJ29" s="958">
        <f t="shared" si="22"/>
        <v>180235.8</v>
      </c>
      <c r="AK29" s="959">
        <v>0.84471229999999997</v>
      </c>
      <c r="AL29" s="958">
        <f t="shared" si="9"/>
        <v>152247.4</v>
      </c>
      <c r="AM29" s="960">
        <f t="shared" si="10"/>
        <v>152.19999999999999</v>
      </c>
      <c r="AN29" s="967">
        <v>13.5</v>
      </c>
      <c r="AO29" s="968">
        <v>744.63</v>
      </c>
      <c r="AP29" s="969">
        <v>12</v>
      </c>
      <c r="AQ29" s="970">
        <f t="shared" si="23"/>
        <v>120630.06</v>
      </c>
      <c r="AR29" s="971"/>
      <c r="AS29" s="957">
        <f t="shared" si="11"/>
        <v>120630.06</v>
      </c>
      <c r="AT29" s="885">
        <v>0.84471229999999997</v>
      </c>
      <c r="AU29" s="886">
        <f t="shared" si="24"/>
        <v>101897.7</v>
      </c>
      <c r="AV29" s="887">
        <f t="shared" si="12"/>
        <v>101.9</v>
      </c>
      <c r="AW29" s="884">
        <f t="shared" si="25"/>
        <v>3283888.55</v>
      </c>
      <c r="AX29" s="888">
        <f t="shared" si="13"/>
        <v>187578</v>
      </c>
      <c r="AY29" s="889">
        <f t="shared" si="26"/>
        <v>3096310.55</v>
      </c>
      <c r="AZ29" s="886">
        <f t="shared" si="27"/>
        <v>2615491.61</v>
      </c>
      <c r="BA29" s="887">
        <f t="shared" si="27"/>
        <v>2615.4</v>
      </c>
      <c r="BB29" s="890">
        <f t="shared" si="28"/>
        <v>-480818.94</v>
      </c>
      <c r="BC29" s="891">
        <f t="shared" si="14"/>
        <v>3163258.49</v>
      </c>
      <c r="BD29" s="891">
        <f t="shared" si="14"/>
        <v>187578</v>
      </c>
      <c r="BE29" s="891">
        <f t="shared" si="29"/>
        <v>2975680.49</v>
      </c>
      <c r="BF29" s="892">
        <f t="shared" si="30"/>
        <v>-360188.88</v>
      </c>
    </row>
    <row r="30" spans="1:58" s="894" customFormat="1" ht="19.5" x14ac:dyDescent="0.25">
      <c r="A30" s="972" t="s">
        <v>676</v>
      </c>
      <c r="B30" s="956"/>
      <c r="C30" s="956"/>
      <c r="D30" s="957"/>
      <c r="E30" s="957"/>
      <c r="F30" s="958">
        <f t="shared" si="15"/>
        <v>0</v>
      </c>
      <c r="G30" s="959">
        <v>0.84471229999999997</v>
      </c>
      <c r="H30" s="958">
        <f t="shared" si="1"/>
        <v>0</v>
      </c>
      <c r="I30" s="960">
        <f t="shared" si="16"/>
        <v>0</v>
      </c>
      <c r="J30" s="956">
        <v>9.92</v>
      </c>
      <c r="K30" s="956">
        <v>64700</v>
      </c>
      <c r="L30" s="957">
        <f t="shared" si="2"/>
        <v>641824</v>
      </c>
      <c r="M30" s="962"/>
      <c r="N30" s="958">
        <f t="shared" si="17"/>
        <v>641824</v>
      </c>
      <c r="O30" s="959">
        <v>0.84471229999999997</v>
      </c>
      <c r="P30" s="958">
        <f t="shared" si="3"/>
        <v>542156.63</v>
      </c>
      <c r="Q30" s="960">
        <f t="shared" si="4"/>
        <v>542.20000000000005</v>
      </c>
      <c r="R30" s="956">
        <v>10.36</v>
      </c>
      <c r="S30" s="956">
        <v>66270</v>
      </c>
      <c r="T30" s="957">
        <f t="shared" si="5"/>
        <v>686557.2</v>
      </c>
      <c r="U30" s="957">
        <v>10032</v>
      </c>
      <c r="V30" s="958">
        <f t="shared" si="18"/>
        <v>676525.2</v>
      </c>
      <c r="W30" s="959">
        <v>0.84471229999999997</v>
      </c>
      <c r="X30" s="958">
        <f t="shared" si="6"/>
        <v>571469.16</v>
      </c>
      <c r="Y30" s="960">
        <f t="shared" si="7"/>
        <v>571.5</v>
      </c>
      <c r="Z30" s="956">
        <v>57.88</v>
      </c>
      <c r="AA30" s="963">
        <v>1800</v>
      </c>
      <c r="AB30" s="964">
        <v>24.35</v>
      </c>
      <c r="AC30" s="963">
        <f t="shared" si="19"/>
        <v>1800</v>
      </c>
      <c r="AD30" s="964">
        <v>12.18</v>
      </c>
      <c r="AE30" s="957">
        <f t="shared" si="20"/>
        <v>104184</v>
      </c>
      <c r="AF30" s="957">
        <f t="shared" si="21"/>
        <v>43830</v>
      </c>
      <c r="AG30" s="965">
        <f t="shared" si="21"/>
        <v>21924</v>
      </c>
      <c r="AH30" s="966">
        <f t="shared" si="8"/>
        <v>169938</v>
      </c>
      <c r="AI30" s="957">
        <v>8682.2999999999993</v>
      </c>
      <c r="AJ30" s="958">
        <f t="shared" si="22"/>
        <v>161255.70000000001</v>
      </c>
      <c r="AK30" s="959">
        <v>0.84471229999999997</v>
      </c>
      <c r="AL30" s="958">
        <f t="shared" si="9"/>
        <v>136214.67000000001</v>
      </c>
      <c r="AM30" s="960">
        <f t="shared" si="10"/>
        <v>136.19999999999999</v>
      </c>
      <c r="AN30" s="967">
        <v>13.43</v>
      </c>
      <c r="AO30" s="968">
        <v>744.63</v>
      </c>
      <c r="AP30" s="969">
        <v>12</v>
      </c>
      <c r="AQ30" s="970">
        <f t="shared" si="23"/>
        <v>120004.57</v>
      </c>
      <c r="AR30" s="971"/>
      <c r="AS30" s="957">
        <f t="shared" si="11"/>
        <v>120004.57</v>
      </c>
      <c r="AT30" s="885">
        <v>0.84471229999999997</v>
      </c>
      <c r="AU30" s="886">
        <f t="shared" si="24"/>
        <v>101369.34</v>
      </c>
      <c r="AV30" s="887">
        <f>ROUND(AU30/1000,1)+0.1</f>
        <v>101.5</v>
      </c>
      <c r="AW30" s="884">
        <f t="shared" si="25"/>
        <v>1618323.77</v>
      </c>
      <c r="AX30" s="888">
        <f t="shared" si="13"/>
        <v>18714.3</v>
      </c>
      <c r="AY30" s="889">
        <f t="shared" si="26"/>
        <v>1599609.47</v>
      </c>
      <c r="AZ30" s="886">
        <f t="shared" si="27"/>
        <v>1351209.8</v>
      </c>
      <c r="BA30" s="887">
        <f t="shared" si="27"/>
        <v>1351.4</v>
      </c>
      <c r="BB30" s="890">
        <f t="shared" si="28"/>
        <v>-248399.67</v>
      </c>
      <c r="BC30" s="891">
        <f t="shared" si="14"/>
        <v>1498319.2</v>
      </c>
      <c r="BD30" s="891">
        <f t="shared" si="14"/>
        <v>18714.3</v>
      </c>
      <c r="BE30" s="891">
        <f t="shared" si="29"/>
        <v>1479604.9</v>
      </c>
      <c r="BF30" s="892">
        <f t="shared" si="30"/>
        <v>-128395.1</v>
      </c>
    </row>
    <row r="31" spans="1:58" s="894" customFormat="1" ht="19.5" x14ac:dyDescent="0.25">
      <c r="A31" s="972" t="s">
        <v>677</v>
      </c>
      <c r="B31" s="956">
        <v>3163.33</v>
      </c>
      <c r="C31" s="956">
        <v>527.54999999999995</v>
      </c>
      <c r="D31" s="957">
        <f t="shared" si="0"/>
        <v>1668814.74</v>
      </c>
      <c r="E31" s="957"/>
      <c r="F31" s="958">
        <f t="shared" si="15"/>
        <v>1668814.74</v>
      </c>
      <c r="G31" s="959">
        <v>0.84471229999999997</v>
      </c>
      <c r="H31" s="958">
        <f t="shared" si="1"/>
        <v>1409668.34</v>
      </c>
      <c r="I31" s="960">
        <f t="shared" si="16"/>
        <v>1409.7</v>
      </c>
      <c r="J31" s="956"/>
      <c r="K31" s="956"/>
      <c r="L31" s="957">
        <f t="shared" si="2"/>
        <v>0</v>
      </c>
      <c r="M31" s="962"/>
      <c r="N31" s="958">
        <f t="shared" si="17"/>
        <v>0</v>
      </c>
      <c r="O31" s="959">
        <v>0.84471229999999997</v>
      </c>
      <c r="P31" s="958">
        <f t="shared" si="3"/>
        <v>0</v>
      </c>
      <c r="Q31" s="960">
        <f t="shared" si="4"/>
        <v>0</v>
      </c>
      <c r="R31" s="956">
        <v>10.36</v>
      </c>
      <c r="S31" s="956">
        <v>107050</v>
      </c>
      <c r="T31" s="957">
        <f t="shared" si="5"/>
        <v>1109038</v>
      </c>
      <c r="U31" s="957">
        <v>90000</v>
      </c>
      <c r="V31" s="958">
        <f t="shared" si="18"/>
        <v>1019038</v>
      </c>
      <c r="W31" s="959">
        <v>0.84471229999999997</v>
      </c>
      <c r="X31" s="958">
        <f t="shared" si="6"/>
        <v>860793.93</v>
      </c>
      <c r="Y31" s="960">
        <f t="shared" si="7"/>
        <v>860.8</v>
      </c>
      <c r="Z31" s="956">
        <v>57.88</v>
      </c>
      <c r="AA31" s="963">
        <v>1720</v>
      </c>
      <c r="AB31" s="964">
        <v>24.35</v>
      </c>
      <c r="AC31" s="963">
        <f t="shared" si="19"/>
        <v>1720</v>
      </c>
      <c r="AD31" s="964">
        <v>12.18</v>
      </c>
      <c r="AE31" s="957">
        <f t="shared" si="20"/>
        <v>99553.600000000006</v>
      </c>
      <c r="AF31" s="957">
        <f t="shared" si="21"/>
        <v>41882</v>
      </c>
      <c r="AG31" s="965">
        <f t="shared" si="21"/>
        <v>20949.599999999999</v>
      </c>
      <c r="AH31" s="966">
        <f t="shared" si="8"/>
        <v>162385.20000000001</v>
      </c>
      <c r="AI31" s="957">
        <v>62400</v>
      </c>
      <c r="AJ31" s="958">
        <f t="shared" si="22"/>
        <v>99985.2</v>
      </c>
      <c r="AK31" s="959">
        <v>0.84471229999999997</v>
      </c>
      <c r="AL31" s="958">
        <f t="shared" si="9"/>
        <v>84458.73</v>
      </c>
      <c r="AM31" s="960">
        <f>ROUND(AL31/1000,1)-0.1</f>
        <v>84.4</v>
      </c>
      <c r="AN31" s="967">
        <v>19.5</v>
      </c>
      <c r="AO31" s="968">
        <v>744.63</v>
      </c>
      <c r="AP31" s="969">
        <v>12</v>
      </c>
      <c r="AQ31" s="970">
        <f t="shared" si="23"/>
        <v>174243.42</v>
      </c>
      <c r="AR31" s="971"/>
      <c r="AS31" s="957">
        <f t="shared" si="11"/>
        <v>174243.42</v>
      </c>
      <c r="AT31" s="885">
        <v>0.84471229999999997</v>
      </c>
      <c r="AU31" s="886">
        <f t="shared" si="24"/>
        <v>147185.56</v>
      </c>
      <c r="AV31" s="887">
        <f t="shared" si="12"/>
        <v>147.19999999999999</v>
      </c>
      <c r="AW31" s="884">
        <f t="shared" si="25"/>
        <v>3114481.36</v>
      </c>
      <c r="AX31" s="888">
        <f t="shared" si="13"/>
        <v>152400</v>
      </c>
      <c r="AY31" s="889">
        <f t="shared" si="26"/>
        <v>2962081.36</v>
      </c>
      <c r="AZ31" s="886">
        <f t="shared" si="27"/>
        <v>2502106.56</v>
      </c>
      <c r="BA31" s="887">
        <f t="shared" si="27"/>
        <v>2502.1</v>
      </c>
      <c r="BB31" s="890">
        <f t="shared" si="28"/>
        <v>-459974.8</v>
      </c>
      <c r="BC31" s="891">
        <f t="shared" si="14"/>
        <v>2940237.94</v>
      </c>
      <c r="BD31" s="891">
        <f t="shared" si="14"/>
        <v>152400</v>
      </c>
      <c r="BE31" s="891">
        <f t="shared" si="29"/>
        <v>2787837.94</v>
      </c>
      <c r="BF31" s="892">
        <f t="shared" si="30"/>
        <v>-285731.38</v>
      </c>
    </row>
    <row r="32" spans="1:58" s="894" customFormat="1" ht="19.5" x14ac:dyDescent="0.25">
      <c r="A32" s="975" t="s">
        <v>678</v>
      </c>
      <c r="B32" s="956">
        <v>3163.33</v>
      </c>
      <c r="C32" s="956">
        <v>474.49</v>
      </c>
      <c r="D32" s="957">
        <f t="shared" si="0"/>
        <v>1500968.45</v>
      </c>
      <c r="E32" s="957"/>
      <c r="F32" s="958">
        <f t="shared" si="15"/>
        <v>1500968.45</v>
      </c>
      <c r="G32" s="959">
        <v>0.84471229999999997</v>
      </c>
      <c r="H32" s="958">
        <f t="shared" si="1"/>
        <v>1267886.51</v>
      </c>
      <c r="I32" s="960">
        <f t="shared" si="16"/>
        <v>1267.9000000000001</v>
      </c>
      <c r="J32" s="956"/>
      <c r="K32" s="956"/>
      <c r="L32" s="957">
        <f t="shared" si="2"/>
        <v>0</v>
      </c>
      <c r="M32" s="962"/>
      <c r="N32" s="958">
        <f t="shared" si="17"/>
        <v>0</v>
      </c>
      <c r="O32" s="959">
        <v>0.84471229999999997</v>
      </c>
      <c r="P32" s="958">
        <f t="shared" si="3"/>
        <v>0</v>
      </c>
      <c r="Q32" s="960">
        <f t="shared" si="4"/>
        <v>0</v>
      </c>
      <c r="R32" s="956">
        <v>10.36</v>
      </c>
      <c r="S32" s="956">
        <v>50020</v>
      </c>
      <c r="T32" s="957">
        <f t="shared" si="5"/>
        <v>518207.2</v>
      </c>
      <c r="U32" s="957">
        <v>39585</v>
      </c>
      <c r="V32" s="958">
        <f t="shared" si="18"/>
        <v>478622.2</v>
      </c>
      <c r="W32" s="959">
        <v>0.84471229999999997</v>
      </c>
      <c r="X32" s="958">
        <f t="shared" si="6"/>
        <v>404298.06</v>
      </c>
      <c r="Y32" s="960">
        <f t="shared" si="7"/>
        <v>404.3</v>
      </c>
      <c r="Z32" s="956">
        <v>57.88</v>
      </c>
      <c r="AA32" s="963">
        <v>1424</v>
      </c>
      <c r="AB32" s="964">
        <v>24.35</v>
      </c>
      <c r="AC32" s="963">
        <f t="shared" si="19"/>
        <v>1424</v>
      </c>
      <c r="AD32" s="964">
        <v>12.18</v>
      </c>
      <c r="AE32" s="957">
        <f t="shared" si="20"/>
        <v>82421.119999999995</v>
      </c>
      <c r="AF32" s="957">
        <f t="shared" si="21"/>
        <v>34674.400000000001</v>
      </c>
      <c r="AG32" s="965">
        <f t="shared" si="21"/>
        <v>17344.32</v>
      </c>
      <c r="AH32" s="966">
        <f t="shared" si="8"/>
        <v>134439.84</v>
      </c>
      <c r="AI32" s="957">
        <v>11130</v>
      </c>
      <c r="AJ32" s="958">
        <f t="shared" si="22"/>
        <v>123309.84</v>
      </c>
      <c r="AK32" s="959">
        <v>0.84471229999999997</v>
      </c>
      <c r="AL32" s="958">
        <f t="shared" si="9"/>
        <v>104161.34</v>
      </c>
      <c r="AM32" s="960">
        <f t="shared" si="10"/>
        <v>104.2</v>
      </c>
      <c r="AN32" s="967">
        <v>13</v>
      </c>
      <c r="AO32" s="968">
        <v>744.63</v>
      </c>
      <c r="AP32" s="969">
        <v>12</v>
      </c>
      <c r="AQ32" s="970">
        <f t="shared" si="23"/>
        <v>116162.28</v>
      </c>
      <c r="AR32" s="971"/>
      <c r="AS32" s="957">
        <f t="shared" si="11"/>
        <v>116162.28</v>
      </c>
      <c r="AT32" s="885">
        <v>0.84471229999999997</v>
      </c>
      <c r="AU32" s="886">
        <f t="shared" si="24"/>
        <v>98123.71</v>
      </c>
      <c r="AV32" s="887">
        <f t="shared" si="12"/>
        <v>98.1</v>
      </c>
      <c r="AW32" s="884">
        <f t="shared" si="25"/>
        <v>2269777.77</v>
      </c>
      <c r="AX32" s="888">
        <f t="shared" si="13"/>
        <v>50715</v>
      </c>
      <c r="AY32" s="889">
        <f t="shared" si="26"/>
        <v>2219062.77</v>
      </c>
      <c r="AZ32" s="886">
        <f t="shared" si="27"/>
        <v>1874469.62</v>
      </c>
      <c r="BA32" s="887">
        <f t="shared" si="27"/>
        <v>1874.5</v>
      </c>
      <c r="BB32" s="890">
        <f t="shared" si="28"/>
        <v>-344593.15</v>
      </c>
      <c r="BC32" s="891">
        <f t="shared" si="14"/>
        <v>2153615.4900000002</v>
      </c>
      <c r="BD32" s="891">
        <f t="shared" si="14"/>
        <v>50715</v>
      </c>
      <c r="BE32" s="891">
        <f t="shared" si="29"/>
        <v>2102900.4900000002</v>
      </c>
      <c r="BF32" s="892">
        <f t="shared" si="30"/>
        <v>-228430.87</v>
      </c>
    </row>
    <row r="33" spans="1:58" s="894" customFormat="1" ht="19.5" x14ac:dyDescent="0.25">
      <c r="A33" s="972" t="s">
        <v>679</v>
      </c>
      <c r="B33" s="956"/>
      <c r="C33" s="956"/>
      <c r="D33" s="957"/>
      <c r="E33" s="957"/>
      <c r="F33" s="958">
        <f t="shared" si="15"/>
        <v>0</v>
      </c>
      <c r="G33" s="959">
        <v>0.84471229999999997</v>
      </c>
      <c r="H33" s="958">
        <f t="shared" si="1"/>
        <v>0</v>
      </c>
      <c r="I33" s="960">
        <f t="shared" si="16"/>
        <v>0</v>
      </c>
      <c r="J33" s="956">
        <v>9.92</v>
      </c>
      <c r="K33" s="956">
        <v>63400</v>
      </c>
      <c r="L33" s="957">
        <f t="shared" si="2"/>
        <v>628928</v>
      </c>
      <c r="M33" s="962"/>
      <c r="N33" s="958">
        <f t="shared" si="17"/>
        <v>628928</v>
      </c>
      <c r="O33" s="959">
        <v>0.84471229999999997</v>
      </c>
      <c r="P33" s="958">
        <f t="shared" si="3"/>
        <v>531263.22</v>
      </c>
      <c r="Q33" s="960">
        <f>ROUND(P33/1000,1)-0.1</f>
        <v>531.20000000000005</v>
      </c>
      <c r="R33" s="956">
        <v>10.36</v>
      </c>
      <c r="S33" s="956">
        <v>43260</v>
      </c>
      <c r="T33" s="957">
        <f t="shared" si="5"/>
        <v>448173.6</v>
      </c>
      <c r="U33" s="957">
        <v>85272</v>
      </c>
      <c r="V33" s="958">
        <f t="shared" si="18"/>
        <v>362901.6</v>
      </c>
      <c r="W33" s="959">
        <v>0.84471229999999997</v>
      </c>
      <c r="X33" s="958">
        <f t="shared" si="6"/>
        <v>306547.45</v>
      </c>
      <c r="Y33" s="960">
        <f t="shared" si="7"/>
        <v>306.5</v>
      </c>
      <c r="Z33" s="956">
        <v>57.88</v>
      </c>
      <c r="AA33" s="963">
        <v>860</v>
      </c>
      <c r="AB33" s="964">
        <v>24.35</v>
      </c>
      <c r="AC33" s="963">
        <f t="shared" si="19"/>
        <v>860</v>
      </c>
      <c r="AD33" s="964">
        <v>12.18</v>
      </c>
      <c r="AE33" s="957">
        <f t="shared" si="20"/>
        <v>49776.800000000003</v>
      </c>
      <c r="AF33" s="957">
        <f t="shared" si="21"/>
        <v>20941</v>
      </c>
      <c r="AG33" s="965">
        <f t="shared" si="21"/>
        <v>10474.799999999999</v>
      </c>
      <c r="AH33" s="966">
        <f t="shared" si="8"/>
        <v>81192.600000000006</v>
      </c>
      <c r="AI33" s="957">
        <v>5594.6</v>
      </c>
      <c r="AJ33" s="958">
        <f t="shared" si="22"/>
        <v>75598</v>
      </c>
      <c r="AK33" s="959">
        <v>0.84471229999999997</v>
      </c>
      <c r="AL33" s="958">
        <f t="shared" si="9"/>
        <v>63858.559999999998</v>
      </c>
      <c r="AM33" s="960">
        <f t="shared" si="10"/>
        <v>63.9</v>
      </c>
      <c r="AN33" s="967">
        <v>9</v>
      </c>
      <c r="AO33" s="968">
        <v>744.63</v>
      </c>
      <c r="AP33" s="969">
        <v>12</v>
      </c>
      <c r="AQ33" s="970">
        <f t="shared" si="23"/>
        <v>80420.039999999994</v>
      </c>
      <c r="AR33" s="971"/>
      <c r="AS33" s="957">
        <f t="shared" si="11"/>
        <v>80420.039999999994</v>
      </c>
      <c r="AT33" s="885">
        <v>0.84471229999999997</v>
      </c>
      <c r="AU33" s="886">
        <f t="shared" si="24"/>
        <v>67931.8</v>
      </c>
      <c r="AV33" s="887">
        <f t="shared" si="12"/>
        <v>67.900000000000006</v>
      </c>
      <c r="AW33" s="884">
        <f t="shared" si="25"/>
        <v>1238714.24</v>
      </c>
      <c r="AX33" s="888">
        <f t="shared" si="13"/>
        <v>90866.6</v>
      </c>
      <c r="AY33" s="889">
        <f t="shared" si="26"/>
        <v>1147847.6399999999</v>
      </c>
      <c r="AZ33" s="886">
        <f t="shared" si="27"/>
        <v>969601.03</v>
      </c>
      <c r="BA33" s="887">
        <f t="shared" si="27"/>
        <v>969.5</v>
      </c>
      <c r="BB33" s="890">
        <f t="shared" si="28"/>
        <v>-178246.61</v>
      </c>
      <c r="BC33" s="891">
        <f t="shared" si="14"/>
        <v>1158294.2</v>
      </c>
      <c r="BD33" s="891">
        <f t="shared" si="14"/>
        <v>90866.6</v>
      </c>
      <c r="BE33" s="891">
        <f t="shared" si="29"/>
        <v>1067427.6000000001</v>
      </c>
      <c r="BF33" s="892">
        <f t="shared" si="30"/>
        <v>-97826.57</v>
      </c>
    </row>
    <row r="34" spans="1:58" s="894" customFormat="1" ht="19.5" x14ac:dyDescent="0.25">
      <c r="A34" s="955" t="s">
        <v>680</v>
      </c>
      <c r="B34" s="956">
        <v>2644.05</v>
      </c>
      <c r="C34" s="956">
        <v>810</v>
      </c>
      <c r="D34" s="957">
        <f t="shared" si="0"/>
        <v>2141680.5</v>
      </c>
      <c r="E34" s="957"/>
      <c r="F34" s="958">
        <f t="shared" si="15"/>
        <v>2141680.5</v>
      </c>
      <c r="G34" s="959">
        <v>0.84471229999999997</v>
      </c>
      <c r="H34" s="958">
        <f t="shared" si="1"/>
        <v>1809103.86</v>
      </c>
      <c r="I34" s="960">
        <f t="shared" si="16"/>
        <v>1809.1</v>
      </c>
      <c r="J34" s="956"/>
      <c r="K34" s="956"/>
      <c r="L34" s="957">
        <f t="shared" si="2"/>
        <v>0</v>
      </c>
      <c r="M34" s="962"/>
      <c r="N34" s="958">
        <f t="shared" si="17"/>
        <v>0</v>
      </c>
      <c r="O34" s="959">
        <v>0.84471229999999997</v>
      </c>
      <c r="P34" s="958">
        <f t="shared" si="3"/>
        <v>0</v>
      </c>
      <c r="Q34" s="960">
        <f t="shared" si="4"/>
        <v>0</v>
      </c>
      <c r="R34" s="956">
        <v>10.36</v>
      </c>
      <c r="S34" s="956">
        <v>103620</v>
      </c>
      <c r="T34" s="957">
        <f t="shared" si="5"/>
        <v>1073503.2</v>
      </c>
      <c r="U34" s="957">
        <v>282720</v>
      </c>
      <c r="V34" s="958">
        <f t="shared" si="18"/>
        <v>790783.2</v>
      </c>
      <c r="W34" s="959">
        <v>0.84471229999999997</v>
      </c>
      <c r="X34" s="958">
        <f t="shared" si="6"/>
        <v>667984.30000000005</v>
      </c>
      <c r="Y34" s="960">
        <f t="shared" si="7"/>
        <v>668</v>
      </c>
      <c r="Z34" s="956">
        <v>57.88</v>
      </c>
      <c r="AA34" s="963">
        <v>2750</v>
      </c>
      <c r="AB34" s="964">
        <v>24.35</v>
      </c>
      <c r="AC34" s="963">
        <f t="shared" si="19"/>
        <v>2750</v>
      </c>
      <c r="AD34" s="964">
        <v>12.18</v>
      </c>
      <c r="AE34" s="957">
        <f t="shared" si="20"/>
        <v>159170</v>
      </c>
      <c r="AF34" s="957">
        <f t="shared" si="21"/>
        <v>66962.5</v>
      </c>
      <c r="AG34" s="965">
        <f t="shared" si="21"/>
        <v>33495</v>
      </c>
      <c r="AH34" s="966">
        <f t="shared" si="8"/>
        <v>259627.5</v>
      </c>
      <c r="AI34" s="957">
        <v>31615.5</v>
      </c>
      <c r="AJ34" s="958">
        <f t="shared" si="22"/>
        <v>228012</v>
      </c>
      <c r="AK34" s="959">
        <v>0.84471229999999997</v>
      </c>
      <c r="AL34" s="958">
        <f t="shared" si="9"/>
        <v>192604.54</v>
      </c>
      <c r="AM34" s="960">
        <f t="shared" si="10"/>
        <v>192.6</v>
      </c>
      <c r="AN34" s="967">
        <v>15.4</v>
      </c>
      <c r="AO34" s="968">
        <v>744.63</v>
      </c>
      <c r="AP34" s="969">
        <v>12</v>
      </c>
      <c r="AQ34" s="970">
        <f t="shared" si="23"/>
        <v>137607.62</v>
      </c>
      <c r="AR34" s="971"/>
      <c r="AS34" s="957">
        <f t="shared" si="11"/>
        <v>137607.62</v>
      </c>
      <c r="AT34" s="885">
        <v>0.84471229999999997</v>
      </c>
      <c r="AU34" s="886">
        <f t="shared" si="24"/>
        <v>116238.85</v>
      </c>
      <c r="AV34" s="887">
        <f t="shared" si="12"/>
        <v>116.2</v>
      </c>
      <c r="AW34" s="884">
        <f t="shared" si="25"/>
        <v>3612418.82</v>
      </c>
      <c r="AX34" s="888">
        <f t="shared" si="13"/>
        <v>314335.5</v>
      </c>
      <c r="AY34" s="889">
        <f t="shared" si="26"/>
        <v>3298083.32</v>
      </c>
      <c r="AZ34" s="886">
        <f t="shared" si="27"/>
        <v>2785931.55</v>
      </c>
      <c r="BA34" s="887">
        <f t="shared" si="27"/>
        <v>2785.9</v>
      </c>
      <c r="BB34" s="890">
        <f t="shared" si="28"/>
        <v>-512151.77</v>
      </c>
      <c r="BC34" s="891">
        <f t="shared" si="14"/>
        <v>3474811.2</v>
      </c>
      <c r="BD34" s="891">
        <f t="shared" si="14"/>
        <v>314335.5</v>
      </c>
      <c r="BE34" s="891">
        <f t="shared" si="29"/>
        <v>3160475.7</v>
      </c>
      <c r="BF34" s="892">
        <f t="shared" si="30"/>
        <v>-374544.15</v>
      </c>
    </row>
    <row r="35" spans="1:58" s="894" customFormat="1" ht="19.5" x14ac:dyDescent="0.25">
      <c r="A35" s="955" t="s">
        <v>681</v>
      </c>
      <c r="B35" s="956">
        <v>2644.05</v>
      </c>
      <c r="C35" s="956">
        <v>510</v>
      </c>
      <c r="D35" s="957">
        <f t="shared" si="0"/>
        <v>1348465.5</v>
      </c>
      <c r="E35" s="957"/>
      <c r="F35" s="958">
        <f t="shared" si="15"/>
        <v>1348465.5</v>
      </c>
      <c r="G35" s="959">
        <v>0.84471229999999997</v>
      </c>
      <c r="H35" s="958">
        <f t="shared" si="1"/>
        <v>1139065.3899999999</v>
      </c>
      <c r="I35" s="960">
        <f t="shared" si="16"/>
        <v>1139.0999999999999</v>
      </c>
      <c r="J35" s="956">
        <v>9.92</v>
      </c>
      <c r="K35" s="956">
        <v>108200</v>
      </c>
      <c r="L35" s="957">
        <f t="shared" si="2"/>
        <v>1073344</v>
      </c>
      <c r="M35" s="962"/>
      <c r="N35" s="958">
        <f t="shared" si="17"/>
        <v>1073344</v>
      </c>
      <c r="O35" s="959">
        <v>0.84471229999999997</v>
      </c>
      <c r="P35" s="958">
        <f t="shared" si="3"/>
        <v>906666.88</v>
      </c>
      <c r="Q35" s="960">
        <f t="shared" si="4"/>
        <v>906.7</v>
      </c>
      <c r="R35" s="956">
        <v>10.36</v>
      </c>
      <c r="S35" s="956">
        <v>184810</v>
      </c>
      <c r="T35" s="957">
        <f t="shared" si="5"/>
        <v>1914631.6</v>
      </c>
      <c r="U35" s="957">
        <v>1010000</v>
      </c>
      <c r="V35" s="958">
        <f t="shared" si="18"/>
        <v>904631.6</v>
      </c>
      <c r="W35" s="959">
        <v>0.84471229999999997</v>
      </c>
      <c r="X35" s="958">
        <f t="shared" si="6"/>
        <v>764153.44</v>
      </c>
      <c r="Y35" s="960">
        <f t="shared" si="7"/>
        <v>764.2</v>
      </c>
      <c r="Z35" s="956">
        <v>57.88</v>
      </c>
      <c r="AA35" s="963">
        <v>4453</v>
      </c>
      <c r="AB35" s="964">
        <v>24.35</v>
      </c>
      <c r="AC35" s="963">
        <f t="shared" si="19"/>
        <v>4453</v>
      </c>
      <c r="AD35" s="964">
        <v>12.18</v>
      </c>
      <c r="AE35" s="957">
        <f t="shared" si="20"/>
        <v>257739.64</v>
      </c>
      <c r="AF35" s="957">
        <f t="shared" si="21"/>
        <v>108430.55</v>
      </c>
      <c r="AG35" s="965">
        <f t="shared" si="21"/>
        <v>54237.54</v>
      </c>
      <c r="AH35" s="966">
        <f t="shared" si="8"/>
        <v>420407.73</v>
      </c>
      <c r="AI35" s="957">
        <v>136220</v>
      </c>
      <c r="AJ35" s="958">
        <f t="shared" si="22"/>
        <v>284187.73</v>
      </c>
      <c r="AK35" s="959">
        <v>0.84471229999999997</v>
      </c>
      <c r="AL35" s="958">
        <f t="shared" si="9"/>
        <v>240056.87</v>
      </c>
      <c r="AM35" s="960">
        <f t="shared" si="10"/>
        <v>240.1</v>
      </c>
      <c r="AN35" s="967">
        <v>24</v>
      </c>
      <c r="AO35" s="968">
        <v>744.63</v>
      </c>
      <c r="AP35" s="969">
        <v>12</v>
      </c>
      <c r="AQ35" s="970">
        <f t="shared" si="23"/>
        <v>214453.44</v>
      </c>
      <c r="AR35" s="971"/>
      <c r="AS35" s="957">
        <f t="shared" si="11"/>
        <v>214453.44</v>
      </c>
      <c r="AT35" s="885">
        <v>0.84471229999999997</v>
      </c>
      <c r="AU35" s="886">
        <f t="shared" si="24"/>
        <v>181151.46</v>
      </c>
      <c r="AV35" s="887">
        <f t="shared" si="12"/>
        <v>181.2</v>
      </c>
      <c r="AW35" s="884">
        <f t="shared" si="25"/>
        <v>4971302.2699999996</v>
      </c>
      <c r="AX35" s="888">
        <f t="shared" si="13"/>
        <v>1146220</v>
      </c>
      <c r="AY35" s="889">
        <f t="shared" si="26"/>
        <v>3825082.27</v>
      </c>
      <c r="AZ35" s="886">
        <f t="shared" si="27"/>
        <v>3231094.04</v>
      </c>
      <c r="BA35" s="887">
        <f t="shared" si="27"/>
        <v>3231.3</v>
      </c>
      <c r="BB35" s="890">
        <f t="shared" si="28"/>
        <v>-593988.23</v>
      </c>
      <c r="BC35" s="891">
        <f t="shared" si="14"/>
        <v>4756848.83</v>
      </c>
      <c r="BD35" s="891">
        <f t="shared" si="14"/>
        <v>1146220</v>
      </c>
      <c r="BE35" s="891">
        <f t="shared" si="29"/>
        <v>3610628.83</v>
      </c>
      <c r="BF35" s="892">
        <f t="shared" si="30"/>
        <v>-379534.79</v>
      </c>
    </row>
    <row r="36" spans="1:58" s="894" customFormat="1" ht="19.5" x14ac:dyDescent="0.25">
      <c r="A36" s="976" t="s">
        <v>682</v>
      </c>
      <c r="B36" s="956">
        <v>2644.05</v>
      </c>
      <c r="C36" s="956">
        <v>736.7</v>
      </c>
      <c r="D36" s="957">
        <f t="shared" si="0"/>
        <v>1947871.64</v>
      </c>
      <c r="E36" s="957">
        <v>34500</v>
      </c>
      <c r="F36" s="958">
        <f t="shared" si="15"/>
        <v>1913371.64</v>
      </c>
      <c r="G36" s="959">
        <v>0.84471229999999997</v>
      </c>
      <c r="H36" s="958">
        <f t="shared" si="1"/>
        <v>1616248.56</v>
      </c>
      <c r="I36" s="960">
        <f t="shared" si="16"/>
        <v>1616.2</v>
      </c>
      <c r="J36" s="956"/>
      <c r="K36" s="961"/>
      <c r="L36" s="957">
        <f t="shared" si="2"/>
        <v>0</v>
      </c>
      <c r="M36" s="962"/>
      <c r="N36" s="958">
        <f t="shared" si="17"/>
        <v>0</v>
      </c>
      <c r="O36" s="959">
        <v>0.84471229999999997</v>
      </c>
      <c r="P36" s="958">
        <f t="shared" si="3"/>
        <v>0</v>
      </c>
      <c r="Q36" s="960">
        <f t="shared" si="4"/>
        <v>0</v>
      </c>
      <c r="R36" s="956">
        <v>10.36</v>
      </c>
      <c r="S36" s="956">
        <v>102660</v>
      </c>
      <c r="T36" s="957">
        <f t="shared" si="5"/>
        <v>1063557.6000000001</v>
      </c>
      <c r="U36" s="957">
        <v>449616</v>
      </c>
      <c r="V36" s="958">
        <f t="shared" si="18"/>
        <v>613941.6</v>
      </c>
      <c r="W36" s="959">
        <v>0.84471229999999997</v>
      </c>
      <c r="X36" s="958">
        <f t="shared" si="6"/>
        <v>518604.02</v>
      </c>
      <c r="Y36" s="960">
        <f t="shared" si="7"/>
        <v>518.6</v>
      </c>
      <c r="Z36" s="956">
        <v>57.88</v>
      </c>
      <c r="AA36" s="963">
        <v>3330</v>
      </c>
      <c r="AB36" s="964">
        <v>24.35</v>
      </c>
      <c r="AC36" s="963">
        <f t="shared" si="19"/>
        <v>3330</v>
      </c>
      <c r="AD36" s="964">
        <v>12.18</v>
      </c>
      <c r="AE36" s="957">
        <f t="shared" si="20"/>
        <v>192740.4</v>
      </c>
      <c r="AF36" s="957">
        <f t="shared" si="21"/>
        <v>81085.5</v>
      </c>
      <c r="AG36" s="965">
        <f t="shared" si="21"/>
        <v>40559.4</v>
      </c>
      <c r="AH36" s="966">
        <f t="shared" si="8"/>
        <v>314385.3</v>
      </c>
      <c r="AI36" s="957">
        <v>55251</v>
      </c>
      <c r="AJ36" s="958">
        <f t="shared" si="22"/>
        <v>259134.3</v>
      </c>
      <c r="AK36" s="959">
        <v>0.84471229999999997</v>
      </c>
      <c r="AL36" s="958">
        <f t="shared" si="9"/>
        <v>218893.93</v>
      </c>
      <c r="AM36" s="960">
        <f t="shared" si="10"/>
        <v>218.9</v>
      </c>
      <c r="AN36" s="977">
        <v>16.3</v>
      </c>
      <c r="AO36" s="968">
        <v>744.63</v>
      </c>
      <c r="AP36" s="969">
        <v>12</v>
      </c>
      <c r="AQ36" s="970">
        <f t="shared" si="23"/>
        <v>145649.63</v>
      </c>
      <c r="AR36" s="971">
        <v>2610</v>
      </c>
      <c r="AS36" s="957">
        <f t="shared" si="11"/>
        <v>143039.63</v>
      </c>
      <c r="AT36" s="885">
        <v>0.84471229999999997</v>
      </c>
      <c r="AU36" s="886">
        <f t="shared" si="24"/>
        <v>120827.33</v>
      </c>
      <c r="AV36" s="887">
        <f t="shared" si="12"/>
        <v>120.8</v>
      </c>
      <c r="AW36" s="884">
        <f t="shared" si="25"/>
        <v>3471464.17</v>
      </c>
      <c r="AX36" s="888">
        <f t="shared" si="13"/>
        <v>539367</v>
      </c>
      <c r="AY36" s="889">
        <f t="shared" si="26"/>
        <v>2932097.17</v>
      </c>
      <c r="AZ36" s="886">
        <f t="shared" si="27"/>
        <v>2474573.84</v>
      </c>
      <c r="BA36" s="887">
        <f t="shared" si="27"/>
        <v>2474.5</v>
      </c>
      <c r="BB36" s="890">
        <f t="shared" si="28"/>
        <v>-457523.33</v>
      </c>
      <c r="BC36" s="891">
        <f t="shared" si="14"/>
        <v>3325814.54</v>
      </c>
      <c r="BD36" s="891">
        <f t="shared" si="14"/>
        <v>539367</v>
      </c>
      <c r="BE36" s="891">
        <f t="shared" si="29"/>
        <v>2786447.54</v>
      </c>
      <c r="BF36" s="892">
        <f t="shared" si="30"/>
        <v>-311873.7</v>
      </c>
    </row>
    <row r="37" spans="1:58" s="894" customFormat="1" ht="19.5" x14ac:dyDescent="0.25">
      <c r="A37" s="972" t="s">
        <v>683</v>
      </c>
      <c r="B37" s="956">
        <v>3163.33</v>
      </c>
      <c r="C37" s="956">
        <v>664.1</v>
      </c>
      <c r="D37" s="957">
        <f t="shared" si="0"/>
        <v>2100767.4500000002</v>
      </c>
      <c r="E37" s="957"/>
      <c r="F37" s="958">
        <f t="shared" si="15"/>
        <v>2100767.4500000002</v>
      </c>
      <c r="G37" s="959">
        <v>0.84471229999999997</v>
      </c>
      <c r="H37" s="958">
        <f t="shared" si="1"/>
        <v>1774544.1</v>
      </c>
      <c r="I37" s="960">
        <f t="shared" si="16"/>
        <v>1774.5</v>
      </c>
      <c r="J37" s="961"/>
      <c r="K37" s="961"/>
      <c r="L37" s="957">
        <f t="shared" si="2"/>
        <v>0</v>
      </c>
      <c r="M37" s="962"/>
      <c r="N37" s="958">
        <f t="shared" si="17"/>
        <v>0</v>
      </c>
      <c r="O37" s="959">
        <v>0.84471229999999997</v>
      </c>
      <c r="P37" s="958">
        <f t="shared" si="3"/>
        <v>0</v>
      </c>
      <c r="Q37" s="960">
        <f t="shared" si="4"/>
        <v>0</v>
      </c>
      <c r="R37" s="956">
        <v>10.36</v>
      </c>
      <c r="S37" s="956">
        <v>39200</v>
      </c>
      <c r="T37" s="957">
        <f t="shared" si="5"/>
        <v>406112</v>
      </c>
      <c r="U37" s="957">
        <v>23712</v>
      </c>
      <c r="V37" s="958">
        <f t="shared" si="18"/>
        <v>382400</v>
      </c>
      <c r="W37" s="959">
        <v>0.84471229999999997</v>
      </c>
      <c r="X37" s="958">
        <f t="shared" si="6"/>
        <v>323017.98</v>
      </c>
      <c r="Y37" s="960">
        <f t="shared" si="7"/>
        <v>323</v>
      </c>
      <c r="Z37" s="956">
        <v>57.88</v>
      </c>
      <c r="AA37" s="963">
        <v>900</v>
      </c>
      <c r="AB37" s="964">
        <v>24.35</v>
      </c>
      <c r="AC37" s="963">
        <f t="shared" si="19"/>
        <v>900</v>
      </c>
      <c r="AD37" s="964">
        <v>12.18</v>
      </c>
      <c r="AE37" s="957">
        <f t="shared" si="20"/>
        <v>52092</v>
      </c>
      <c r="AF37" s="957">
        <f t="shared" si="21"/>
        <v>21915</v>
      </c>
      <c r="AG37" s="965">
        <f t="shared" si="21"/>
        <v>10962</v>
      </c>
      <c r="AH37" s="966">
        <f t="shared" si="8"/>
        <v>84969</v>
      </c>
      <c r="AI37" s="957">
        <v>9471.6</v>
      </c>
      <c r="AJ37" s="958">
        <f t="shared" si="22"/>
        <v>75497.399999999994</v>
      </c>
      <c r="AK37" s="959">
        <v>0.84471229999999997</v>
      </c>
      <c r="AL37" s="958">
        <f t="shared" si="9"/>
        <v>63773.58</v>
      </c>
      <c r="AM37" s="960">
        <f t="shared" si="10"/>
        <v>63.8</v>
      </c>
      <c r="AN37" s="967">
        <v>9</v>
      </c>
      <c r="AO37" s="968">
        <v>744.63</v>
      </c>
      <c r="AP37" s="969">
        <v>12</v>
      </c>
      <c r="AQ37" s="970">
        <f t="shared" si="23"/>
        <v>80420.039999999994</v>
      </c>
      <c r="AR37" s="971"/>
      <c r="AS37" s="957">
        <f t="shared" si="11"/>
        <v>80420.039999999994</v>
      </c>
      <c r="AT37" s="885">
        <v>0.84471229999999997</v>
      </c>
      <c r="AU37" s="886">
        <f t="shared" si="24"/>
        <v>67931.8</v>
      </c>
      <c r="AV37" s="887">
        <f>ROUND(AU37/1000,1)+0.1</f>
        <v>68</v>
      </c>
      <c r="AW37" s="884">
        <f t="shared" si="25"/>
        <v>2672268.4900000002</v>
      </c>
      <c r="AX37" s="888">
        <f t="shared" si="13"/>
        <v>33183.599999999999</v>
      </c>
      <c r="AY37" s="889">
        <f t="shared" si="26"/>
        <v>2639084.89</v>
      </c>
      <c r="AZ37" s="886">
        <f t="shared" si="27"/>
        <v>2229267.46</v>
      </c>
      <c r="BA37" s="887">
        <f t="shared" si="27"/>
        <v>2229.3000000000002</v>
      </c>
      <c r="BB37" s="890">
        <f t="shared" si="28"/>
        <v>-409817.43</v>
      </c>
      <c r="BC37" s="891">
        <f t="shared" si="14"/>
        <v>2591848.4500000002</v>
      </c>
      <c r="BD37" s="891">
        <f t="shared" si="14"/>
        <v>33183.599999999999</v>
      </c>
      <c r="BE37" s="891">
        <f t="shared" si="29"/>
        <v>2558664.85</v>
      </c>
      <c r="BF37" s="892">
        <f t="shared" si="30"/>
        <v>-329397.39</v>
      </c>
    </row>
    <row r="38" spans="1:58" s="894" customFormat="1" ht="19.5" x14ac:dyDescent="0.25">
      <c r="A38" s="972" t="s">
        <v>684</v>
      </c>
      <c r="B38" s="956">
        <v>3163.33</v>
      </c>
      <c r="C38" s="956">
        <v>680</v>
      </c>
      <c r="D38" s="957">
        <f t="shared" si="0"/>
        <v>2151064.4</v>
      </c>
      <c r="E38" s="957"/>
      <c r="F38" s="958">
        <f t="shared" si="15"/>
        <v>2151064.4</v>
      </c>
      <c r="G38" s="959">
        <v>0.84471229999999997</v>
      </c>
      <c r="H38" s="958">
        <f t="shared" si="1"/>
        <v>1817030.56</v>
      </c>
      <c r="I38" s="960">
        <f t="shared" si="16"/>
        <v>1817</v>
      </c>
      <c r="J38" s="961"/>
      <c r="K38" s="961"/>
      <c r="L38" s="957">
        <f t="shared" si="2"/>
        <v>0</v>
      </c>
      <c r="M38" s="962"/>
      <c r="N38" s="958">
        <f t="shared" si="17"/>
        <v>0</v>
      </c>
      <c r="O38" s="959">
        <v>0.84471229999999997</v>
      </c>
      <c r="P38" s="958">
        <f t="shared" si="3"/>
        <v>0</v>
      </c>
      <c r="Q38" s="960">
        <f t="shared" si="4"/>
        <v>0</v>
      </c>
      <c r="R38" s="956">
        <v>10.36</v>
      </c>
      <c r="S38" s="956">
        <v>32590</v>
      </c>
      <c r="T38" s="957">
        <f t="shared" si="5"/>
        <v>337632.4</v>
      </c>
      <c r="U38" s="957">
        <v>84861.6</v>
      </c>
      <c r="V38" s="958">
        <f t="shared" si="18"/>
        <v>252770.8</v>
      </c>
      <c r="W38" s="959">
        <v>0.84471229999999997</v>
      </c>
      <c r="X38" s="958">
        <f t="shared" si="6"/>
        <v>213518.6</v>
      </c>
      <c r="Y38" s="960">
        <f t="shared" si="7"/>
        <v>213.5</v>
      </c>
      <c r="Z38" s="956">
        <v>57.88</v>
      </c>
      <c r="AA38" s="963">
        <v>430</v>
      </c>
      <c r="AB38" s="964">
        <v>24.35</v>
      </c>
      <c r="AC38" s="963">
        <f t="shared" si="19"/>
        <v>430</v>
      </c>
      <c r="AD38" s="964">
        <v>12.18</v>
      </c>
      <c r="AE38" s="957">
        <f t="shared" si="20"/>
        <v>24888.400000000001</v>
      </c>
      <c r="AF38" s="957">
        <f t="shared" si="21"/>
        <v>10470.5</v>
      </c>
      <c r="AG38" s="965">
        <f t="shared" si="21"/>
        <v>5237.3999999999996</v>
      </c>
      <c r="AH38" s="966">
        <f t="shared" si="8"/>
        <v>40596.300000000003</v>
      </c>
      <c r="AI38" s="957">
        <v>6774.75</v>
      </c>
      <c r="AJ38" s="958">
        <f t="shared" si="22"/>
        <v>33821.550000000003</v>
      </c>
      <c r="AK38" s="959">
        <v>0.84471229999999997</v>
      </c>
      <c r="AL38" s="958">
        <f t="shared" si="9"/>
        <v>28569.48</v>
      </c>
      <c r="AM38" s="960">
        <f t="shared" si="10"/>
        <v>28.6</v>
      </c>
      <c r="AN38" s="967">
        <v>15</v>
      </c>
      <c r="AO38" s="968">
        <v>744.63</v>
      </c>
      <c r="AP38" s="969">
        <v>12</v>
      </c>
      <c r="AQ38" s="970">
        <f t="shared" si="23"/>
        <v>134033.4</v>
      </c>
      <c r="AR38" s="971"/>
      <c r="AS38" s="957">
        <f t="shared" si="11"/>
        <v>134033.4</v>
      </c>
      <c r="AT38" s="885">
        <v>0.84471229999999997</v>
      </c>
      <c r="AU38" s="886">
        <f t="shared" si="24"/>
        <v>113219.66</v>
      </c>
      <c r="AV38" s="887">
        <f t="shared" si="12"/>
        <v>113.2</v>
      </c>
      <c r="AW38" s="884">
        <f t="shared" si="25"/>
        <v>2663326.5</v>
      </c>
      <c r="AX38" s="888">
        <f t="shared" si="13"/>
        <v>91636.35</v>
      </c>
      <c r="AY38" s="889">
        <f t="shared" si="26"/>
        <v>2571690.15</v>
      </c>
      <c r="AZ38" s="886">
        <f t="shared" si="27"/>
        <v>2172338.2999999998</v>
      </c>
      <c r="BA38" s="887">
        <f t="shared" si="27"/>
        <v>2172.3000000000002</v>
      </c>
      <c r="BB38" s="890">
        <f t="shared" si="28"/>
        <v>-399351.85</v>
      </c>
      <c r="BC38" s="891">
        <f t="shared" si="14"/>
        <v>2529293.1</v>
      </c>
      <c r="BD38" s="891">
        <f t="shared" si="14"/>
        <v>91636.35</v>
      </c>
      <c r="BE38" s="891">
        <f t="shared" si="29"/>
        <v>2437656.75</v>
      </c>
      <c r="BF38" s="892">
        <f t="shared" si="30"/>
        <v>-265318.45</v>
      </c>
    </row>
    <row r="39" spans="1:58" s="895" customFormat="1" ht="19.5" x14ac:dyDescent="0.25">
      <c r="A39" s="972" t="s">
        <v>685</v>
      </c>
      <c r="B39" s="956">
        <v>2644.05</v>
      </c>
      <c r="C39" s="956">
        <v>645.08000000000004</v>
      </c>
      <c r="D39" s="965">
        <f t="shared" si="0"/>
        <v>1705623.77</v>
      </c>
      <c r="E39" s="965"/>
      <c r="F39" s="958">
        <f t="shared" si="15"/>
        <v>1705623.77</v>
      </c>
      <c r="G39" s="959">
        <v>0.84471229999999997</v>
      </c>
      <c r="H39" s="958">
        <f t="shared" si="1"/>
        <v>1440761.38</v>
      </c>
      <c r="I39" s="960">
        <f t="shared" si="16"/>
        <v>1440.8</v>
      </c>
      <c r="J39" s="961"/>
      <c r="K39" s="961"/>
      <c r="L39" s="965">
        <f t="shared" si="2"/>
        <v>0</v>
      </c>
      <c r="M39" s="978"/>
      <c r="N39" s="958">
        <f t="shared" si="17"/>
        <v>0</v>
      </c>
      <c r="O39" s="959">
        <v>0.84471229999999997</v>
      </c>
      <c r="P39" s="958">
        <f t="shared" si="3"/>
        <v>0</v>
      </c>
      <c r="Q39" s="960">
        <f t="shared" si="4"/>
        <v>0</v>
      </c>
      <c r="R39" s="956">
        <v>10.36</v>
      </c>
      <c r="S39" s="956">
        <v>52330</v>
      </c>
      <c r="T39" s="957">
        <f t="shared" si="5"/>
        <v>542138.80000000005</v>
      </c>
      <c r="U39" s="957">
        <v>154903.20000000001</v>
      </c>
      <c r="V39" s="958">
        <f t="shared" si="18"/>
        <v>387235.6</v>
      </c>
      <c r="W39" s="959">
        <v>0.84471229999999997</v>
      </c>
      <c r="X39" s="958">
        <f t="shared" si="6"/>
        <v>327102.67</v>
      </c>
      <c r="Y39" s="960">
        <f t="shared" si="7"/>
        <v>327.10000000000002</v>
      </c>
      <c r="Z39" s="956">
        <v>57.88</v>
      </c>
      <c r="AA39" s="963">
        <v>2942</v>
      </c>
      <c r="AB39" s="964">
        <v>24.35</v>
      </c>
      <c r="AC39" s="963">
        <f t="shared" si="19"/>
        <v>2942</v>
      </c>
      <c r="AD39" s="964">
        <v>12.18</v>
      </c>
      <c r="AE39" s="965">
        <f t="shared" si="20"/>
        <v>170282.96</v>
      </c>
      <c r="AF39" s="965">
        <f t="shared" si="21"/>
        <v>71637.7</v>
      </c>
      <c r="AG39" s="965">
        <f t="shared" si="21"/>
        <v>35833.56</v>
      </c>
      <c r="AH39" s="979">
        <f t="shared" si="8"/>
        <v>277754.21999999997</v>
      </c>
      <c r="AI39" s="957">
        <v>20521.8</v>
      </c>
      <c r="AJ39" s="958">
        <f t="shared" si="22"/>
        <v>257232.42</v>
      </c>
      <c r="AK39" s="959">
        <v>0.84471229999999997</v>
      </c>
      <c r="AL39" s="958">
        <f t="shared" si="9"/>
        <v>217287.39</v>
      </c>
      <c r="AM39" s="960">
        <f t="shared" si="10"/>
        <v>217.3</v>
      </c>
      <c r="AN39" s="980">
        <v>22</v>
      </c>
      <c r="AO39" s="968">
        <v>744.63</v>
      </c>
      <c r="AP39" s="969">
        <v>12</v>
      </c>
      <c r="AQ39" s="970">
        <f t="shared" si="23"/>
        <v>196582.32</v>
      </c>
      <c r="AR39" s="971">
        <v>17400</v>
      </c>
      <c r="AS39" s="957">
        <f t="shared" si="11"/>
        <v>179182.32</v>
      </c>
      <c r="AT39" s="885">
        <v>0.84471229999999997</v>
      </c>
      <c r="AU39" s="886">
        <f t="shared" si="24"/>
        <v>151357.51</v>
      </c>
      <c r="AV39" s="887">
        <f t="shared" si="12"/>
        <v>151.4</v>
      </c>
      <c r="AW39" s="884">
        <f t="shared" si="25"/>
        <v>2722099.11</v>
      </c>
      <c r="AX39" s="888">
        <f t="shared" si="13"/>
        <v>175425</v>
      </c>
      <c r="AY39" s="889">
        <f t="shared" si="26"/>
        <v>2546674.11</v>
      </c>
      <c r="AZ39" s="886">
        <f t="shared" si="27"/>
        <v>2136508.9500000002</v>
      </c>
      <c r="BA39" s="887">
        <f t="shared" si="27"/>
        <v>2136.6</v>
      </c>
      <c r="BB39" s="890">
        <f t="shared" si="28"/>
        <v>-410165.16</v>
      </c>
      <c r="BC39" s="891">
        <f t="shared" si="14"/>
        <v>2525516.79</v>
      </c>
      <c r="BD39" s="891">
        <f t="shared" si="14"/>
        <v>175425</v>
      </c>
      <c r="BE39" s="891">
        <f t="shared" si="29"/>
        <v>2350091.79</v>
      </c>
      <c r="BF39" s="892">
        <f t="shared" si="30"/>
        <v>-213582.84</v>
      </c>
    </row>
    <row r="40" spans="1:58" s="894" customFormat="1" ht="19.5" x14ac:dyDescent="0.25">
      <c r="A40" s="972" t="s">
        <v>686</v>
      </c>
      <c r="B40" s="956">
        <v>3163.33</v>
      </c>
      <c r="C40" s="956">
        <v>504.43</v>
      </c>
      <c r="D40" s="957">
        <f t="shared" si="0"/>
        <v>1595678.55</v>
      </c>
      <c r="E40" s="957"/>
      <c r="F40" s="958">
        <f t="shared" si="15"/>
        <v>1595678.55</v>
      </c>
      <c r="G40" s="959">
        <v>0.84471229999999997</v>
      </c>
      <c r="H40" s="958">
        <f t="shared" si="1"/>
        <v>1347889.3</v>
      </c>
      <c r="I40" s="960">
        <f t="shared" si="16"/>
        <v>1347.9</v>
      </c>
      <c r="J40" s="961"/>
      <c r="K40" s="961"/>
      <c r="L40" s="957">
        <f t="shared" si="2"/>
        <v>0</v>
      </c>
      <c r="M40" s="962"/>
      <c r="N40" s="958">
        <f t="shared" si="17"/>
        <v>0</v>
      </c>
      <c r="O40" s="959">
        <v>0.84471229999999997</v>
      </c>
      <c r="P40" s="958">
        <f t="shared" si="3"/>
        <v>0</v>
      </c>
      <c r="Q40" s="960">
        <f t="shared" si="4"/>
        <v>0</v>
      </c>
      <c r="R40" s="956">
        <v>10.36</v>
      </c>
      <c r="S40" s="956">
        <v>40940</v>
      </c>
      <c r="T40" s="957">
        <f t="shared" si="5"/>
        <v>424138.4</v>
      </c>
      <c r="U40" s="957">
        <v>29640</v>
      </c>
      <c r="V40" s="958">
        <f t="shared" si="18"/>
        <v>394498.4</v>
      </c>
      <c r="W40" s="959">
        <v>0.84471229999999997</v>
      </c>
      <c r="X40" s="958">
        <f t="shared" si="6"/>
        <v>333237.65000000002</v>
      </c>
      <c r="Y40" s="960">
        <f t="shared" si="7"/>
        <v>333.2</v>
      </c>
      <c r="Z40" s="956">
        <v>57.88</v>
      </c>
      <c r="AA40" s="963">
        <v>1600</v>
      </c>
      <c r="AB40" s="964">
        <v>24.35</v>
      </c>
      <c r="AC40" s="963">
        <f t="shared" si="19"/>
        <v>1600</v>
      </c>
      <c r="AD40" s="964">
        <v>12.18</v>
      </c>
      <c r="AE40" s="957">
        <f t="shared" si="20"/>
        <v>92608</v>
      </c>
      <c r="AF40" s="957">
        <f t="shared" si="21"/>
        <v>38960</v>
      </c>
      <c r="AG40" s="965">
        <f t="shared" si="21"/>
        <v>19488</v>
      </c>
      <c r="AH40" s="966">
        <f t="shared" si="8"/>
        <v>151056</v>
      </c>
      <c r="AI40" s="957">
        <v>10131</v>
      </c>
      <c r="AJ40" s="958">
        <f t="shared" si="22"/>
        <v>140925</v>
      </c>
      <c r="AK40" s="959">
        <v>0.84471229999999997</v>
      </c>
      <c r="AL40" s="958">
        <f t="shared" si="9"/>
        <v>119041.08</v>
      </c>
      <c r="AM40" s="960">
        <f t="shared" si="10"/>
        <v>119</v>
      </c>
      <c r="AN40" s="967">
        <v>13</v>
      </c>
      <c r="AO40" s="968">
        <v>744.63</v>
      </c>
      <c r="AP40" s="969">
        <v>12</v>
      </c>
      <c r="AQ40" s="970">
        <f t="shared" si="23"/>
        <v>116162.28</v>
      </c>
      <c r="AR40" s="971"/>
      <c r="AS40" s="957">
        <f t="shared" si="11"/>
        <v>116162.28</v>
      </c>
      <c r="AT40" s="885">
        <v>0.84471229999999997</v>
      </c>
      <c r="AU40" s="886">
        <f t="shared" si="24"/>
        <v>98123.71</v>
      </c>
      <c r="AV40" s="887">
        <f t="shared" si="12"/>
        <v>98.1</v>
      </c>
      <c r="AW40" s="884">
        <f t="shared" si="25"/>
        <v>2287035.23</v>
      </c>
      <c r="AX40" s="888">
        <f t="shared" si="13"/>
        <v>39771</v>
      </c>
      <c r="AY40" s="889">
        <f t="shared" si="26"/>
        <v>2247264.23</v>
      </c>
      <c r="AZ40" s="886">
        <f t="shared" si="27"/>
        <v>1898291.74</v>
      </c>
      <c r="BA40" s="887">
        <f t="shared" si="27"/>
        <v>1898.2</v>
      </c>
      <c r="BB40" s="890">
        <f t="shared" si="28"/>
        <v>-348972.49</v>
      </c>
      <c r="BC40" s="891">
        <f t="shared" si="14"/>
        <v>2170872.9500000002</v>
      </c>
      <c r="BD40" s="891">
        <f t="shared" si="14"/>
        <v>39771</v>
      </c>
      <c r="BE40" s="891">
        <f t="shared" si="29"/>
        <v>2131101.9500000002</v>
      </c>
      <c r="BF40" s="892">
        <f t="shared" si="30"/>
        <v>-232810.21</v>
      </c>
    </row>
    <row r="41" spans="1:58" s="894" customFormat="1" ht="19.5" x14ac:dyDescent="0.25">
      <c r="A41" s="972" t="s">
        <v>687</v>
      </c>
      <c r="B41" s="956">
        <v>2644.05</v>
      </c>
      <c r="C41" s="956">
        <v>900</v>
      </c>
      <c r="D41" s="957">
        <f t="shared" si="0"/>
        <v>2379645</v>
      </c>
      <c r="E41" s="957"/>
      <c r="F41" s="958">
        <f t="shared" si="15"/>
        <v>2379645</v>
      </c>
      <c r="G41" s="959">
        <v>0.84471229999999997</v>
      </c>
      <c r="H41" s="958">
        <f t="shared" si="1"/>
        <v>2010115.4</v>
      </c>
      <c r="I41" s="960">
        <f t="shared" si="16"/>
        <v>2010.1</v>
      </c>
      <c r="J41" s="961"/>
      <c r="K41" s="961"/>
      <c r="L41" s="957">
        <f t="shared" si="2"/>
        <v>0</v>
      </c>
      <c r="M41" s="962"/>
      <c r="N41" s="958">
        <f t="shared" si="17"/>
        <v>0</v>
      </c>
      <c r="O41" s="959">
        <v>0.84471229999999997</v>
      </c>
      <c r="P41" s="958">
        <f t="shared" si="3"/>
        <v>0</v>
      </c>
      <c r="Q41" s="960">
        <f t="shared" si="4"/>
        <v>0</v>
      </c>
      <c r="R41" s="956">
        <v>10.36</v>
      </c>
      <c r="S41" s="956">
        <v>108960</v>
      </c>
      <c r="T41" s="957">
        <f t="shared" si="5"/>
        <v>1128825.6000000001</v>
      </c>
      <c r="U41" s="957">
        <v>136800</v>
      </c>
      <c r="V41" s="958">
        <f t="shared" si="18"/>
        <v>992025.59999999998</v>
      </c>
      <c r="W41" s="959">
        <v>0.84471229999999997</v>
      </c>
      <c r="X41" s="958">
        <f t="shared" si="6"/>
        <v>837976.23</v>
      </c>
      <c r="Y41" s="960">
        <f t="shared" si="7"/>
        <v>838</v>
      </c>
      <c r="Z41" s="956">
        <v>57.88</v>
      </c>
      <c r="AA41" s="963">
        <v>3820</v>
      </c>
      <c r="AB41" s="964">
        <v>24.35</v>
      </c>
      <c r="AC41" s="963">
        <f t="shared" si="19"/>
        <v>3820</v>
      </c>
      <c r="AD41" s="964">
        <v>12.18</v>
      </c>
      <c r="AE41" s="957">
        <f t="shared" si="20"/>
        <v>221101.6</v>
      </c>
      <c r="AF41" s="957">
        <f t="shared" si="21"/>
        <v>93017</v>
      </c>
      <c r="AG41" s="965">
        <f t="shared" si="21"/>
        <v>46527.6</v>
      </c>
      <c r="AH41" s="966">
        <f t="shared" si="8"/>
        <v>360646.2</v>
      </c>
      <c r="AI41" s="957">
        <v>111300</v>
      </c>
      <c r="AJ41" s="958">
        <f t="shared" si="22"/>
        <v>249346.2</v>
      </c>
      <c r="AK41" s="959">
        <v>0.84471229999999997</v>
      </c>
      <c r="AL41" s="958">
        <f t="shared" si="9"/>
        <v>210625.8</v>
      </c>
      <c r="AM41" s="960">
        <f t="shared" si="10"/>
        <v>210.6</v>
      </c>
      <c r="AN41" s="967">
        <v>25</v>
      </c>
      <c r="AO41" s="968">
        <v>744.63</v>
      </c>
      <c r="AP41" s="969">
        <v>12</v>
      </c>
      <c r="AQ41" s="970">
        <f t="shared" si="23"/>
        <v>223389</v>
      </c>
      <c r="AR41" s="971"/>
      <c r="AS41" s="957">
        <f t="shared" si="11"/>
        <v>223389</v>
      </c>
      <c r="AT41" s="885">
        <v>0.84471229999999997</v>
      </c>
      <c r="AU41" s="886">
        <f t="shared" si="24"/>
        <v>188699.44</v>
      </c>
      <c r="AV41" s="887">
        <f t="shared" si="12"/>
        <v>188.7</v>
      </c>
      <c r="AW41" s="884">
        <f t="shared" si="25"/>
        <v>4092505.8</v>
      </c>
      <c r="AX41" s="888">
        <f t="shared" si="13"/>
        <v>248100</v>
      </c>
      <c r="AY41" s="889">
        <f t="shared" si="26"/>
        <v>3844405.8</v>
      </c>
      <c r="AZ41" s="886">
        <f t="shared" si="27"/>
        <v>3247416.87</v>
      </c>
      <c r="BA41" s="887">
        <f t="shared" si="27"/>
        <v>3247.4</v>
      </c>
      <c r="BB41" s="890">
        <f t="shared" si="28"/>
        <v>-596988.93000000005</v>
      </c>
      <c r="BC41" s="891">
        <f t="shared" si="14"/>
        <v>3869116.8</v>
      </c>
      <c r="BD41" s="891">
        <f t="shared" si="14"/>
        <v>248100</v>
      </c>
      <c r="BE41" s="891">
        <f t="shared" si="29"/>
        <v>3621016.8</v>
      </c>
      <c r="BF41" s="892">
        <f t="shared" si="30"/>
        <v>-373599.93</v>
      </c>
    </row>
    <row r="42" spans="1:58" s="894" customFormat="1" ht="19.5" x14ac:dyDescent="0.25">
      <c r="A42" s="981" t="s">
        <v>1685</v>
      </c>
      <c r="B42" s="956">
        <v>2644.05</v>
      </c>
      <c r="C42" s="956">
        <v>765</v>
      </c>
      <c r="D42" s="957">
        <f t="shared" si="0"/>
        <v>2022698.25</v>
      </c>
      <c r="E42" s="957">
        <v>9200</v>
      </c>
      <c r="F42" s="958">
        <f t="shared" si="15"/>
        <v>2013498.25</v>
      </c>
      <c r="G42" s="959">
        <v>0.84471229999999997</v>
      </c>
      <c r="H42" s="958">
        <f t="shared" si="1"/>
        <v>1700826.74</v>
      </c>
      <c r="I42" s="960">
        <f t="shared" si="16"/>
        <v>1700.8</v>
      </c>
      <c r="J42" s="961"/>
      <c r="K42" s="961"/>
      <c r="L42" s="957">
        <f t="shared" si="2"/>
        <v>0</v>
      </c>
      <c r="M42" s="962"/>
      <c r="N42" s="958">
        <f t="shared" si="17"/>
        <v>0</v>
      </c>
      <c r="O42" s="959">
        <v>0.84471229999999997</v>
      </c>
      <c r="P42" s="958">
        <f t="shared" si="3"/>
        <v>0</v>
      </c>
      <c r="Q42" s="960">
        <f t="shared" si="4"/>
        <v>0</v>
      </c>
      <c r="R42" s="956">
        <v>10.36</v>
      </c>
      <c r="S42" s="956">
        <v>130660</v>
      </c>
      <c r="T42" s="957">
        <f t="shared" si="5"/>
        <v>1353637.6</v>
      </c>
      <c r="U42" s="957">
        <v>27360</v>
      </c>
      <c r="V42" s="958">
        <f t="shared" si="18"/>
        <v>1326277.6000000001</v>
      </c>
      <c r="W42" s="959">
        <v>0.84471229999999997</v>
      </c>
      <c r="X42" s="958">
        <f t="shared" si="6"/>
        <v>1120323</v>
      </c>
      <c r="Y42" s="960">
        <f t="shared" si="7"/>
        <v>1120.3</v>
      </c>
      <c r="Z42" s="956">
        <v>57.88</v>
      </c>
      <c r="AA42" s="963">
        <v>3800</v>
      </c>
      <c r="AB42" s="964">
        <v>24.35</v>
      </c>
      <c r="AC42" s="963">
        <f t="shared" si="19"/>
        <v>3800</v>
      </c>
      <c r="AD42" s="964">
        <v>12.18</v>
      </c>
      <c r="AE42" s="957">
        <f t="shared" si="20"/>
        <v>219944</v>
      </c>
      <c r="AF42" s="957">
        <f t="shared" si="21"/>
        <v>92530</v>
      </c>
      <c r="AG42" s="965">
        <f t="shared" si="21"/>
        <v>46284</v>
      </c>
      <c r="AH42" s="966">
        <f t="shared" si="8"/>
        <v>358758</v>
      </c>
      <c r="AI42" s="957">
        <v>6314.4</v>
      </c>
      <c r="AJ42" s="958">
        <f t="shared" si="22"/>
        <v>352443.6</v>
      </c>
      <c r="AK42" s="959">
        <v>0.84471229999999997</v>
      </c>
      <c r="AL42" s="958">
        <f t="shared" si="9"/>
        <v>297713.44</v>
      </c>
      <c r="AM42" s="960">
        <f t="shared" si="10"/>
        <v>297.7</v>
      </c>
      <c r="AN42" s="967">
        <v>19</v>
      </c>
      <c r="AO42" s="968">
        <v>744.63</v>
      </c>
      <c r="AP42" s="969">
        <v>12</v>
      </c>
      <c r="AQ42" s="970">
        <f t="shared" si="23"/>
        <v>169775.64</v>
      </c>
      <c r="AR42" s="971"/>
      <c r="AS42" s="957">
        <f t="shared" si="11"/>
        <v>169775.64</v>
      </c>
      <c r="AT42" s="885">
        <v>0.84471229999999997</v>
      </c>
      <c r="AU42" s="886">
        <f t="shared" si="24"/>
        <v>143411.57</v>
      </c>
      <c r="AV42" s="887">
        <f t="shared" si="12"/>
        <v>143.4</v>
      </c>
      <c r="AW42" s="884">
        <f t="shared" si="25"/>
        <v>3904869.49</v>
      </c>
      <c r="AX42" s="888">
        <f t="shared" si="13"/>
        <v>42874.400000000001</v>
      </c>
      <c r="AY42" s="889">
        <f t="shared" si="26"/>
        <v>3861995.09</v>
      </c>
      <c r="AZ42" s="886">
        <f t="shared" si="27"/>
        <v>3262274.75</v>
      </c>
      <c r="BA42" s="887">
        <f t="shared" si="27"/>
        <v>3262.2</v>
      </c>
      <c r="BB42" s="890">
        <f t="shared" si="28"/>
        <v>-599720.34</v>
      </c>
      <c r="BC42" s="891">
        <f t="shared" si="14"/>
        <v>3735093.85</v>
      </c>
      <c r="BD42" s="891">
        <f t="shared" si="14"/>
        <v>42874.400000000001</v>
      </c>
      <c r="BE42" s="891">
        <f t="shared" si="29"/>
        <v>3692219.45</v>
      </c>
      <c r="BF42" s="892">
        <f t="shared" si="30"/>
        <v>-429944.7</v>
      </c>
    </row>
    <row r="43" spans="1:58" s="894" customFormat="1" ht="19.5" x14ac:dyDescent="0.25">
      <c r="A43" s="955" t="s">
        <v>1686</v>
      </c>
      <c r="B43" s="956">
        <v>3163.33</v>
      </c>
      <c r="C43" s="956">
        <v>700</v>
      </c>
      <c r="D43" s="957">
        <f t="shared" si="0"/>
        <v>2214331</v>
      </c>
      <c r="E43" s="957"/>
      <c r="F43" s="958">
        <f t="shared" si="15"/>
        <v>2214331</v>
      </c>
      <c r="G43" s="959">
        <v>0.84471229999999997</v>
      </c>
      <c r="H43" s="958">
        <f t="shared" si="1"/>
        <v>1870472.63</v>
      </c>
      <c r="I43" s="960">
        <f t="shared" si="16"/>
        <v>1870.5</v>
      </c>
      <c r="J43" s="961"/>
      <c r="K43" s="961"/>
      <c r="L43" s="957">
        <f t="shared" si="2"/>
        <v>0</v>
      </c>
      <c r="M43" s="962"/>
      <c r="N43" s="958">
        <f t="shared" si="17"/>
        <v>0</v>
      </c>
      <c r="O43" s="959">
        <v>0.84471229999999997</v>
      </c>
      <c r="P43" s="958">
        <f t="shared" si="3"/>
        <v>0</v>
      </c>
      <c r="Q43" s="960">
        <f t="shared" si="4"/>
        <v>0</v>
      </c>
      <c r="R43" s="956">
        <v>10.36</v>
      </c>
      <c r="S43" s="956">
        <v>163040</v>
      </c>
      <c r="T43" s="957">
        <f t="shared" si="5"/>
        <v>1689094.4</v>
      </c>
      <c r="U43" s="957">
        <v>362000</v>
      </c>
      <c r="V43" s="958">
        <f t="shared" si="18"/>
        <v>1327094.3999999999</v>
      </c>
      <c r="W43" s="959">
        <v>0.84471229999999997</v>
      </c>
      <c r="X43" s="958">
        <f t="shared" si="6"/>
        <v>1121012.96</v>
      </c>
      <c r="Y43" s="960">
        <f t="shared" si="7"/>
        <v>1121</v>
      </c>
      <c r="Z43" s="956">
        <v>57.88</v>
      </c>
      <c r="AA43" s="963">
        <v>2660</v>
      </c>
      <c r="AB43" s="964">
        <v>24.35</v>
      </c>
      <c r="AC43" s="963">
        <f t="shared" si="19"/>
        <v>2660</v>
      </c>
      <c r="AD43" s="964">
        <v>12.18</v>
      </c>
      <c r="AE43" s="957">
        <f t="shared" si="20"/>
        <v>153960.79999999999</v>
      </c>
      <c r="AF43" s="957">
        <f t="shared" si="21"/>
        <v>64771</v>
      </c>
      <c r="AG43" s="965">
        <f t="shared" si="21"/>
        <v>32398.799999999999</v>
      </c>
      <c r="AH43" s="966">
        <f t="shared" si="8"/>
        <v>251130.6</v>
      </c>
      <c r="AI43" s="957">
        <v>33150.6</v>
      </c>
      <c r="AJ43" s="958">
        <f t="shared" si="22"/>
        <v>217980</v>
      </c>
      <c r="AK43" s="959">
        <v>0.84471229999999997</v>
      </c>
      <c r="AL43" s="958">
        <f t="shared" si="9"/>
        <v>184130.39</v>
      </c>
      <c r="AM43" s="960">
        <f t="shared" si="10"/>
        <v>184.1</v>
      </c>
      <c r="AN43" s="967">
        <v>21.25</v>
      </c>
      <c r="AO43" s="968">
        <v>744.63</v>
      </c>
      <c r="AP43" s="969">
        <v>12</v>
      </c>
      <c r="AQ43" s="970">
        <f t="shared" si="23"/>
        <v>189880.65</v>
      </c>
      <c r="AR43" s="971"/>
      <c r="AS43" s="957">
        <f t="shared" si="11"/>
        <v>189880.65</v>
      </c>
      <c r="AT43" s="885">
        <v>0.84471229999999997</v>
      </c>
      <c r="AU43" s="886">
        <f t="shared" si="24"/>
        <v>160394.51999999999</v>
      </c>
      <c r="AV43" s="887">
        <f t="shared" si="12"/>
        <v>160.4</v>
      </c>
      <c r="AW43" s="884">
        <f t="shared" si="25"/>
        <v>4344436.6500000004</v>
      </c>
      <c r="AX43" s="888">
        <f t="shared" si="13"/>
        <v>395150.6</v>
      </c>
      <c r="AY43" s="889">
        <f t="shared" si="26"/>
        <v>3949286.05</v>
      </c>
      <c r="AZ43" s="886">
        <f t="shared" si="27"/>
        <v>3336010.5</v>
      </c>
      <c r="BA43" s="887">
        <f t="shared" si="27"/>
        <v>3336</v>
      </c>
      <c r="BB43" s="890">
        <f t="shared" si="28"/>
        <v>-613275.55000000005</v>
      </c>
      <c r="BC43" s="891">
        <f t="shared" si="14"/>
        <v>4154556</v>
      </c>
      <c r="BD43" s="891">
        <f t="shared" si="14"/>
        <v>395150.6</v>
      </c>
      <c r="BE43" s="891">
        <f t="shared" si="29"/>
        <v>3759405.4</v>
      </c>
      <c r="BF43" s="892">
        <f t="shared" si="30"/>
        <v>-423394.9</v>
      </c>
    </row>
    <row r="44" spans="1:58" s="894" customFormat="1" ht="19.5" x14ac:dyDescent="0.25">
      <c r="A44" s="972" t="s">
        <v>690</v>
      </c>
      <c r="B44" s="956">
        <v>2644.05</v>
      </c>
      <c r="C44" s="956">
        <v>770</v>
      </c>
      <c r="D44" s="957">
        <f t="shared" si="0"/>
        <v>2035918.5</v>
      </c>
      <c r="E44" s="957"/>
      <c r="F44" s="958">
        <f t="shared" si="15"/>
        <v>2035918.5</v>
      </c>
      <c r="G44" s="959">
        <v>0.84471229999999997</v>
      </c>
      <c r="H44" s="958">
        <f t="shared" si="1"/>
        <v>1719765.4</v>
      </c>
      <c r="I44" s="960">
        <f t="shared" si="16"/>
        <v>1719.8</v>
      </c>
      <c r="J44" s="961"/>
      <c r="K44" s="961"/>
      <c r="L44" s="957">
        <f t="shared" si="2"/>
        <v>0</v>
      </c>
      <c r="M44" s="962"/>
      <c r="N44" s="958">
        <f t="shared" si="17"/>
        <v>0</v>
      </c>
      <c r="O44" s="959">
        <v>0.84471229999999997</v>
      </c>
      <c r="P44" s="958">
        <f t="shared" si="3"/>
        <v>0</v>
      </c>
      <c r="Q44" s="960">
        <f t="shared" si="4"/>
        <v>0</v>
      </c>
      <c r="R44" s="956">
        <v>10.36</v>
      </c>
      <c r="S44" s="956">
        <v>70220</v>
      </c>
      <c r="T44" s="957">
        <f t="shared" si="5"/>
        <v>727479.2</v>
      </c>
      <c r="U44" s="957">
        <v>93888</v>
      </c>
      <c r="V44" s="958">
        <f t="shared" si="18"/>
        <v>633591.19999999995</v>
      </c>
      <c r="W44" s="959">
        <v>0.84471229999999997</v>
      </c>
      <c r="X44" s="958">
        <f t="shared" si="6"/>
        <v>535202.28</v>
      </c>
      <c r="Y44" s="960">
        <f t="shared" si="7"/>
        <v>535.20000000000005</v>
      </c>
      <c r="Z44" s="956">
        <v>57.88</v>
      </c>
      <c r="AA44" s="963">
        <v>2653</v>
      </c>
      <c r="AB44" s="964">
        <v>24.35</v>
      </c>
      <c r="AC44" s="963">
        <f t="shared" si="19"/>
        <v>2653</v>
      </c>
      <c r="AD44" s="964">
        <v>12.18</v>
      </c>
      <c r="AE44" s="957">
        <f t="shared" si="20"/>
        <v>153555.64000000001</v>
      </c>
      <c r="AF44" s="957">
        <f t="shared" si="21"/>
        <v>64600.55</v>
      </c>
      <c r="AG44" s="965">
        <f t="shared" si="21"/>
        <v>32313.54</v>
      </c>
      <c r="AH44" s="966">
        <f t="shared" si="8"/>
        <v>250469.73</v>
      </c>
      <c r="AI44" s="957">
        <v>32368.1</v>
      </c>
      <c r="AJ44" s="958">
        <f t="shared" si="22"/>
        <v>218101.63</v>
      </c>
      <c r="AK44" s="959">
        <v>0.84471229999999997</v>
      </c>
      <c r="AL44" s="958">
        <f t="shared" si="9"/>
        <v>184233.13</v>
      </c>
      <c r="AM44" s="960">
        <f t="shared" si="10"/>
        <v>184.2</v>
      </c>
      <c r="AN44" s="967">
        <v>20.02</v>
      </c>
      <c r="AO44" s="968">
        <v>744.63</v>
      </c>
      <c r="AP44" s="969">
        <v>12</v>
      </c>
      <c r="AQ44" s="970">
        <f t="shared" si="23"/>
        <v>178889.91</v>
      </c>
      <c r="AR44" s="971"/>
      <c r="AS44" s="957">
        <f t="shared" si="11"/>
        <v>178889.91</v>
      </c>
      <c r="AT44" s="885">
        <v>0.84471229999999997</v>
      </c>
      <c r="AU44" s="886">
        <f t="shared" si="24"/>
        <v>151110.51</v>
      </c>
      <c r="AV44" s="887">
        <f t="shared" si="12"/>
        <v>151.1</v>
      </c>
      <c r="AW44" s="884">
        <f t="shared" si="25"/>
        <v>3192757.34</v>
      </c>
      <c r="AX44" s="888">
        <f t="shared" si="13"/>
        <v>126256.1</v>
      </c>
      <c r="AY44" s="889">
        <f t="shared" si="26"/>
        <v>3066501.24</v>
      </c>
      <c r="AZ44" s="886">
        <f t="shared" si="27"/>
        <v>2590311.3199999998</v>
      </c>
      <c r="BA44" s="887">
        <f t="shared" si="27"/>
        <v>2590.3000000000002</v>
      </c>
      <c r="BB44" s="890">
        <f t="shared" si="28"/>
        <v>-476189.92</v>
      </c>
      <c r="BC44" s="891">
        <f t="shared" si="14"/>
        <v>3013867.43</v>
      </c>
      <c r="BD44" s="891">
        <f t="shared" si="14"/>
        <v>126256.1</v>
      </c>
      <c r="BE44" s="891">
        <f t="shared" si="29"/>
        <v>2887611.33</v>
      </c>
      <c r="BF44" s="892">
        <f t="shared" si="30"/>
        <v>-297300.01</v>
      </c>
    </row>
    <row r="45" spans="1:58" s="894" customFormat="1" ht="19.5" x14ac:dyDescent="0.25">
      <c r="A45" s="975" t="s">
        <v>691</v>
      </c>
      <c r="B45" s="956">
        <v>3163.33</v>
      </c>
      <c r="C45" s="956">
        <v>2800</v>
      </c>
      <c r="D45" s="957">
        <f t="shared" si="0"/>
        <v>8857324</v>
      </c>
      <c r="E45" s="957"/>
      <c r="F45" s="958">
        <f t="shared" si="15"/>
        <v>8857324</v>
      </c>
      <c r="G45" s="959">
        <v>0.84471229999999997</v>
      </c>
      <c r="H45" s="958">
        <f t="shared" si="1"/>
        <v>7481890.5300000003</v>
      </c>
      <c r="I45" s="960">
        <f t="shared" si="16"/>
        <v>7481.9</v>
      </c>
      <c r="J45" s="961"/>
      <c r="K45" s="961"/>
      <c r="L45" s="957">
        <f t="shared" si="2"/>
        <v>0</v>
      </c>
      <c r="M45" s="962"/>
      <c r="N45" s="958">
        <f t="shared" si="17"/>
        <v>0</v>
      </c>
      <c r="O45" s="959">
        <v>0.84471229999999997</v>
      </c>
      <c r="P45" s="958">
        <f t="shared" si="3"/>
        <v>0</v>
      </c>
      <c r="Q45" s="960">
        <f t="shared" si="4"/>
        <v>0</v>
      </c>
      <c r="R45" s="956">
        <v>10.36</v>
      </c>
      <c r="S45" s="956">
        <v>450000</v>
      </c>
      <c r="T45" s="957">
        <f t="shared" si="5"/>
        <v>4662000</v>
      </c>
      <c r="U45" s="957">
        <v>190210.8</v>
      </c>
      <c r="V45" s="958">
        <f t="shared" si="18"/>
        <v>4471789.2</v>
      </c>
      <c r="W45" s="959">
        <v>0.84471229999999997</v>
      </c>
      <c r="X45" s="958">
        <f t="shared" si="6"/>
        <v>3777375.34</v>
      </c>
      <c r="Y45" s="960">
        <f t="shared" si="7"/>
        <v>3777.4</v>
      </c>
      <c r="Z45" s="956">
        <v>57.88</v>
      </c>
      <c r="AA45" s="982">
        <f>6720-390</f>
        <v>6330</v>
      </c>
      <c r="AB45" s="964">
        <v>24.35</v>
      </c>
      <c r="AC45" s="982">
        <f t="shared" si="19"/>
        <v>6330</v>
      </c>
      <c r="AD45" s="964">
        <v>12.18</v>
      </c>
      <c r="AE45" s="983">
        <f t="shared" si="20"/>
        <v>366380.4</v>
      </c>
      <c r="AF45" s="983">
        <f t="shared" si="21"/>
        <v>154135.5</v>
      </c>
      <c r="AG45" s="984">
        <f t="shared" si="21"/>
        <v>77099.399999999994</v>
      </c>
      <c r="AH45" s="983">
        <f t="shared" si="8"/>
        <v>597615.30000000005</v>
      </c>
      <c r="AI45" s="957">
        <v>28274.17</v>
      </c>
      <c r="AJ45" s="958">
        <f t="shared" si="22"/>
        <v>569341.13</v>
      </c>
      <c r="AK45" s="959">
        <v>0.84471229999999997</v>
      </c>
      <c r="AL45" s="958">
        <f t="shared" si="9"/>
        <v>480929.46</v>
      </c>
      <c r="AM45" s="985">
        <f t="shared" si="10"/>
        <v>480.9</v>
      </c>
      <c r="AN45" s="986">
        <v>27.72</v>
      </c>
      <c r="AO45" s="968">
        <v>744.63</v>
      </c>
      <c r="AP45" s="969">
        <v>12</v>
      </c>
      <c r="AQ45" s="970">
        <f t="shared" si="23"/>
        <v>247693.72</v>
      </c>
      <c r="AR45" s="971"/>
      <c r="AS45" s="957">
        <f t="shared" si="11"/>
        <v>247693.72</v>
      </c>
      <c r="AT45" s="885">
        <v>0.84471229999999997</v>
      </c>
      <c r="AU45" s="886">
        <f t="shared" si="24"/>
        <v>209229.93</v>
      </c>
      <c r="AV45" s="887">
        <f>ROUND(AU45/1000,1)</f>
        <v>209.2</v>
      </c>
      <c r="AW45" s="884">
        <f t="shared" si="25"/>
        <v>14364633.02</v>
      </c>
      <c r="AX45" s="888">
        <f t="shared" si="13"/>
        <v>218484.97</v>
      </c>
      <c r="AY45" s="889">
        <f t="shared" si="26"/>
        <v>14146148.050000001</v>
      </c>
      <c r="AZ45" s="886">
        <f t="shared" si="27"/>
        <v>11949425.26</v>
      </c>
      <c r="BA45" s="887">
        <f t="shared" si="27"/>
        <v>11949.4</v>
      </c>
      <c r="BB45" s="890">
        <f t="shared" si="28"/>
        <v>-2196722.79</v>
      </c>
      <c r="BC45" s="891">
        <f t="shared" si="14"/>
        <v>14116939.300000001</v>
      </c>
      <c r="BD45" s="891">
        <f t="shared" si="14"/>
        <v>218484.97</v>
      </c>
      <c r="BE45" s="891">
        <f t="shared" si="29"/>
        <v>13898454.33</v>
      </c>
      <c r="BF45" s="892">
        <f t="shared" si="30"/>
        <v>-1949029.07</v>
      </c>
    </row>
    <row r="46" spans="1:58" s="894" customFormat="1" x14ac:dyDescent="0.25">
      <c r="A46" s="987" t="s">
        <v>1218</v>
      </c>
      <c r="B46" s="988"/>
      <c r="C46" s="988">
        <f t="shared" ref="C46:BE46" si="31">SUM(C15:C45)</f>
        <v>17602.599999999999</v>
      </c>
      <c r="D46" s="988">
        <f t="shared" si="31"/>
        <v>50572500.340000004</v>
      </c>
      <c r="E46" s="988">
        <f t="shared" si="31"/>
        <v>60680.11</v>
      </c>
      <c r="F46" s="988">
        <f t="shared" si="31"/>
        <v>50511820.229999997</v>
      </c>
      <c r="G46" s="988"/>
      <c r="H46" s="988">
        <f t="shared" ref="H46:I46" si="32">SUM(H15:H45)</f>
        <v>42667955.859999999</v>
      </c>
      <c r="I46" s="989">
        <f t="shared" si="32"/>
        <v>42667.9</v>
      </c>
      <c r="J46" s="988"/>
      <c r="K46" s="988">
        <f t="shared" si="31"/>
        <v>236300</v>
      </c>
      <c r="L46" s="988">
        <f t="shared" si="31"/>
        <v>2344096</v>
      </c>
      <c r="M46" s="988">
        <f t="shared" si="31"/>
        <v>0</v>
      </c>
      <c r="N46" s="988">
        <f t="shared" si="31"/>
        <v>2344096</v>
      </c>
      <c r="O46" s="988"/>
      <c r="P46" s="988">
        <f t="shared" ref="P46:Q46" si="33">SUM(P15:P45)</f>
        <v>1980086.73</v>
      </c>
      <c r="Q46" s="989">
        <f t="shared" si="33"/>
        <v>1980.1</v>
      </c>
      <c r="R46" s="988"/>
      <c r="S46" s="988">
        <f t="shared" si="31"/>
        <v>2690440</v>
      </c>
      <c r="T46" s="988">
        <f t="shared" si="31"/>
        <v>27872958.399999999</v>
      </c>
      <c r="U46" s="988">
        <f t="shared" si="31"/>
        <v>5107921.84</v>
      </c>
      <c r="V46" s="988">
        <f t="shared" si="31"/>
        <v>22765036.559999999</v>
      </c>
      <c r="W46" s="988"/>
      <c r="X46" s="988">
        <f t="shared" ref="X46:Y46" si="34">SUM(X15:X45)</f>
        <v>19229906.359999999</v>
      </c>
      <c r="Y46" s="989">
        <f t="shared" si="34"/>
        <v>19230</v>
      </c>
      <c r="Z46" s="988"/>
      <c r="AA46" s="988">
        <f t="shared" si="31"/>
        <v>61298</v>
      </c>
      <c r="AB46" s="988"/>
      <c r="AC46" s="988">
        <f t="shared" si="31"/>
        <v>61298</v>
      </c>
      <c r="AD46" s="988"/>
      <c r="AE46" s="988">
        <f t="shared" si="31"/>
        <v>3547928.24</v>
      </c>
      <c r="AF46" s="988">
        <f t="shared" si="31"/>
        <v>1492606.3</v>
      </c>
      <c r="AG46" s="988">
        <f t="shared" si="31"/>
        <v>746609.64</v>
      </c>
      <c r="AH46" s="988">
        <f t="shared" si="31"/>
        <v>5787144.1799999997</v>
      </c>
      <c r="AI46" s="988">
        <f t="shared" si="31"/>
        <v>937014.3</v>
      </c>
      <c r="AJ46" s="988">
        <f t="shared" si="31"/>
        <v>4850129.88</v>
      </c>
      <c r="AK46" s="988"/>
      <c r="AL46" s="988">
        <f t="shared" ref="AL46:AM46" si="35">SUM(AL15:AL45)</f>
        <v>4096964.37</v>
      </c>
      <c r="AM46" s="989">
        <f t="shared" si="35"/>
        <v>4097</v>
      </c>
      <c r="AN46" s="988">
        <f>SUM(AN15:AN45)</f>
        <v>453.36</v>
      </c>
      <c r="AO46" s="988">
        <f>SUM(AO15:AO45)</f>
        <v>23083.53</v>
      </c>
      <c r="AP46" s="988"/>
      <c r="AQ46" s="988">
        <f>SUM(AQ15:AQ45)</f>
        <v>4051025.48</v>
      </c>
      <c r="AR46" s="990">
        <f>SUM(AR15:AR45)</f>
        <v>59160</v>
      </c>
      <c r="AS46" s="988">
        <f>SUM(AS15:AS45)</f>
        <v>3991865.48</v>
      </c>
      <c r="AT46" s="898"/>
      <c r="AU46" s="897">
        <f>SUM(AU15:AU45)</f>
        <v>3371977.89</v>
      </c>
      <c r="AV46" s="899">
        <f>SUM(AV15:AV45)</f>
        <v>3372</v>
      </c>
      <c r="AW46" s="896">
        <f t="shared" si="31"/>
        <v>90627724.400000006</v>
      </c>
      <c r="AX46" s="900">
        <f t="shared" si="31"/>
        <v>6105616.25</v>
      </c>
      <c r="AY46" s="900">
        <f t="shared" si="31"/>
        <v>84522108.150000006</v>
      </c>
      <c r="AZ46" s="900">
        <f t="shared" si="31"/>
        <v>71346891.209999993</v>
      </c>
      <c r="BA46" s="900">
        <f t="shared" si="31"/>
        <v>71347</v>
      </c>
      <c r="BB46" s="900">
        <f t="shared" si="31"/>
        <v>-13175216.939999999</v>
      </c>
      <c r="BC46" s="896">
        <f t="shared" si="31"/>
        <v>86576698.920000002</v>
      </c>
      <c r="BD46" s="896">
        <f t="shared" si="31"/>
        <v>6105616.25</v>
      </c>
      <c r="BE46" s="896">
        <f t="shared" si="31"/>
        <v>80471082.670000002</v>
      </c>
    </row>
    <row r="47" spans="1:58" s="894" customFormat="1" x14ac:dyDescent="0.25">
      <c r="A47" s="987" t="s">
        <v>1334</v>
      </c>
      <c r="B47" s="991"/>
      <c r="C47" s="991">
        <f t="shared" ref="C47:BE47" si="36">C46-C48</f>
        <v>9439.91</v>
      </c>
      <c r="D47" s="991">
        <f t="shared" si="36"/>
        <v>26295432.260000002</v>
      </c>
      <c r="E47" s="991">
        <f t="shared" si="36"/>
        <v>43700</v>
      </c>
      <c r="F47" s="991">
        <f t="shared" si="36"/>
        <v>26251732.260000002</v>
      </c>
      <c r="G47" s="991"/>
      <c r="H47" s="991">
        <f t="shared" ref="H47:I47" si="37">H46-H48</f>
        <v>22175161.16</v>
      </c>
      <c r="I47" s="992">
        <f t="shared" si="37"/>
        <v>22175.1</v>
      </c>
      <c r="J47" s="991"/>
      <c r="K47" s="991">
        <f t="shared" si="36"/>
        <v>128100</v>
      </c>
      <c r="L47" s="991">
        <f t="shared" si="36"/>
        <v>1270752</v>
      </c>
      <c r="M47" s="991">
        <f t="shared" si="36"/>
        <v>0</v>
      </c>
      <c r="N47" s="991">
        <f t="shared" si="36"/>
        <v>1270752</v>
      </c>
      <c r="O47" s="991"/>
      <c r="P47" s="991">
        <f t="shared" ref="P47:Q47" si="38">P46-P48</f>
        <v>1073419.8500000001</v>
      </c>
      <c r="Q47" s="992">
        <f t="shared" si="38"/>
        <v>1073.4000000000001</v>
      </c>
      <c r="R47" s="991"/>
      <c r="S47" s="991">
        <f t="shared" si="36"/>
        <v>1328300</v>
      </c>
      <c r="T47" s="991">
        <f t="shared" si="36"/>
        <v>13761188</v>
      </c>
      <c r="U47" s="991">
        <f t="shared" si="36"/>
        <v>2336366.04</v>
      </c>
      <c r="V47" s="991">
        <f t="shared" si="36"/>
        <v>11424821.960000001</v>
      </c>
      <c r="W47" s="991"/>
      <c r="X47" s="991">
        <f t="shared" ref="X47:Y47" si="39">X46-X48</f>
        <v>9650687.6099999994</v>
      </c>
      <c r="Y47" s="992">
        <f t="shared" si="39"/>
        <v>9650.7000000000007</v>
      </c>
      <c r="Z47" s="991"/>
      <c r="AA47" s="991">
        <f t="shared" si="36"/>
        <v>34626</v>
      </c>
      <c r="AB47" s="991"/>
      <c r="AC47" s="991">
        <f t="shared" si="36"/>
        <v>34626</v>
      </c>
      <c r="AD47" s="991"/>
      <c r="AE47" s="991">
        <f t="shared" si="36"/>
        <v>2004152.88</v>
      </c>
      <c r="AF47" s="991">
        <f t="shared" si="36"/>
        <v>843143.1</v>
      </c>
      <c r="AG47" s="991">
        <f t="shared" si="36"/>
        <v>421744.68</v>
      </c>
      <c r="AH47" s="991">
        <f t="shared" si="36"/>
        <v>3269040.66</v>
      </c>
      <c r="AI47" s="991">
        <f t="shared" si="36"/>
        <v>548694.43000000005</v>
      </c>
      <c r="AJ47" s="991">
        <f t="shared" si="36"/>
        <v>2720346.23</v>
      </c>
      <c r="AK47" s="991"/>
      <c r="AL47" s="991">
        <f t="shared" ref="AL47:AM47" si="40">AL46-AL48</f>
        <v>2297909.91</v>
      </c>
      <c r="AM47" s="992">
        <f t="shared" si="40"/>
        <v>2297.9</v>
      </c>
      <c r="AN47" s="991">
        <f>AN46-AN48</f>
        <v>274.24</v>
      </c>
      <c r="AO47" s="991">
        <f>AO46-AO48</f>
        <v>14892.6</v>
      </c>
      <c r="AP47" s="991"/>
      <c r="AQ47" s="991">
        <f>AQ46-AQ48</f>
        <v>2450487.98</v>
      </c>
      <c r="AR47" s="993">
        <f>AR46-AR48</f>
        <v>59160</v>
      </c>
      <c r="AS47" s="991">
        <f>AS46-AS48</f>
        <v>2391327.98</v>
      </c>
      <c r="AT47" s="902"/>
      <c r="AU47" s="605">
        <f>AU46-AU48</f>
        <v>2019984.18</v>
      </c>
      <c r="AV47" s="903">
        <f>AV46-AV48</f>
        <v>2020</v>
      </c>
      <c r="AW47" s="896">
        <f t="shared" si="36"/>
        <v>47046900.899999999</v>
      </c>
      <c r="AX47" s="900">
        <f t="shared" si="36"/>
        <v>2928760.47</v>
      </c>
      <c r="AY47" s="900">
        <f t="shared" si="36"/>
        <v>44118140.43</v>
      </c>
      <c r="AZ47" s="900">
        <f t="shared" si="36"/>
        <v>37217162.710000001</v>
      </c>
      <c r="BA47" s="900">
        <f t="shared" si="36"/>
        <v>37217.1</v>
      </c>
      <c r="BB47" s="900">
        <f t="shared" si="36"/>
        <v>-6900977.7199999997</v>
      </c>
      <c r="BC47" s="901">
        <f t="shared" si="36"/>
        <v>44596412.920000002</v>
      </c>
      <c r="BD47" s="901">
        <f t="shared" si="36"/>
        <v>2928760.47</v>
      </c>
      <c r="BE47" s="901">
        <f t="shared" si="36"/>
        <v>41667652.450000003</v>
      </c>
    </row>
    <row r="48" spans="1:58" s="894" customFormat="1" x14ac:dyDescent="0.25">
      <c r="A48" s="987" t="s">
        <v>1335</v>
      </c>
      <c r="B48" s="991"/>
      <c r="C48" s="991">
        <f t="shared" ref="C48:BE48" si="41">C15+C17+C23+C24+C25+C29+C32+C34+C35+C43+C45</f>
        <v>8162.69</v>
      </c>
      <c r="D48" s="991">
        <f t="shared" si="41"/>
        <v>24277068.079999998</v>
      </c>
      <c r="E48" s="991">
        <f t="shared" si="41"/>
        <v>16980.11</v>
      </c>
      <c r="F48" s="991">
        <f t="shared" si="41"/>
        <v>24260087.969999999</v>
      </c>
      <c r="G48" s="991"/>
      <c r="H48" s="991">
        <f t="shared" ref="H48:I48" si="42">H15+H17+H23+H24+H25+H29+H32+H34+H35+H43+H45</f>
        <v>20492794.699999999</v>
      </c>
      <c r="I48" s="992">
        <f t="shared" si="42"/>
        <v>20492.8</v>
      </c>
      <c r="J48" s="991"/>
      <c r="K48" s="991">
        <f t="shared" si="41"/>
        <v>108200</v>
      </c>
      <c r="L48" s="991">
        <f t="shared" si="41"/>
        <v>1073344</v>
      </c>
      <c r="M48" s="991">
        <f t="shared" si="41"/>
        <v>0</v>
      </c>
      <c r="N48" s="991">
        <f t="shared" si="41"/>
        <v>1073344</v>
      </c>
      <c r="O48" s="991"/>
      <c r="P48" s="991">
        <f t="shared" ref="P48:Q48" si="43">P15+P17+P23+P24+P25+P29+P32+P34+P35+P43+P45</f>
        <v>906666.88</v>
      </c>
      <c r="Q48" s="992">
        <f t="shared" si="43"/>
        <v>906.7</v>
      </c>
      <c r="R48" s="991"/>
      <c r="S48" s="991">
        <f t="shared" si="41"/>
        <v>1362140</v>
      </c>
      <c r="T48" s="991">
        <f t="shared" si="41"/>
        <v>14111770.4</v>
      </c>
      <c r="U48" s="991">
        <f t="shared" si="41"/>
        <v>2771555.8</v>
      </c>
      <c r="V48" s="991">
        <f t="shared" si="41"/>
        <v>11340214.6</v>
      </c>
      <c r="W48" s="991"/>
      <c r="X48" s="991">
        <f t="shared" ref="X48:Y48" si="44">X15+X17+X23+X24+X25+X29+X32+X34+X35+X43+X45</f>
        <v>9579218.75</v>
      </c>
      <c r="Y48" s="992">
        <f t="shared" si="44"/>
        <v>9579.2999999999993</v>
      </c>
      <c r="Z48" s="991"/>
      <c r="AA48" s="991">
        <f t="shared" si="41"/>
        <v>26672</v>
      </c>
      <c r="AB48" s="991"/>
      <c r="AC48" s="991">
        <f t="shared" si="41"/>
        <v>26672</v>
      </c>
      <c r="AD48" s="991"/>
      <c r="AE48" s="991">
        <f t="shared" si="41"/>
        <v>1543775.36</v>
      </c>
      <c r="AF48" s="991">
        <f t="shared" si="41"/>
        <v>649463.19999999995</v>
      </c>
      <c r="AG48" s="991">
        <f t="shared" si="41"/>
        <v>324864.96000000002</v>
      </c>
      <c r="AH48" s="991">
        <f t="shared" si="41"/>
        <v>2518103.52</v>
      </c>
      <c r="AI48" s="991">
        <f t="shared" si="41"/>
        <v>388319.87</v>
      </c>
      <c r="AJ48" s="991">
        <f t="shared" si="41"/>
        <v>2129783.65</v>
      </c>
      <c r="AK48" s="991"/>
      <c r="AL48" s="991">
        <f t="shared" ref="AL48:AM48" si="45">AL15+AL17+AL23+AL24+AL25+AL29+AL32+AL34+AL35+AL43+AL45</f>
        <v>1799054.46</v>
      </c>
      <c r="AM48" s="992">
        <f t="shared" si="45"/>
        <v>1799.1</v>
      </c>
      <c r="AN48" s="991">
        <f>AN15+AN17+AN23+AN24+AN25+AN29+AN32+AN34+AN35+AN43+AN45</f>
        <v>179.12</v>
      </c>
      <c r="AO48" s="991">
        <f>AO15+AO17+AO23+AO24+AO25+AO29+AO32+AO34+AO35+AO43+AO45</f>
        <v>8190.93</v>
      </c>
      <c r="AP48" s="991"/>
      <c r="AQ48" s="991">
        <f>AQ15+AQ17+AQ23+AQ24+AQ25+AQ29+AQ32+AQ34+AQ35+AQ43+AQ45</f>
        <v>1600537.5</v>
      </c>
      <c r="AR48" s="993">
        <f>AR15+AR17+AR23+AR24+AR25+AR29+AR32+AR34+AR35+AR43+AR45</f>
        <v>0</v>
      </c>
      <c r="AS48" s="991">
        <f>AS15+AS17+AS23+AS24+AS25+AS29+AS32+AS34+AS35+AS43+AS45</f>
        <v>1600537.5</v>
      </c>
      <c r="AT48" s="902"/>
      <c r="AU48" s="605">
        <f>AU15+AU17+AU23+AU24+AU25+AU29+AU32+AU34+AU35+AU43+AU45</f>
        <v>1351993.71</v>
      </c>
      <c r="AV48" s="903">
        <f>AV15+AV17+AV23+AV24+AV25+AV29+AV32+AV34+AV35+AV43+AV45</f>
        <v>1352</v>
      </c>
      <c r="AW48" s="896">
        <f t="shared" si="41"/>
        <v>43580823.5</v>
      </c>
      <c r="AX48" s="900">
        <f t="shared" si="41"/>
        <v>3176855.78</v>
      </c>
      <c r="AY48" s="900">
        <f t="shared" si="41"/>
        <v>40403967.719999999</v>
      </c>
      <c r="AZ48" s="900">
        <f t="shared" si="41"/>
        <v>34129728.5</v>
      </c>
      <c r="BA48" s="900">
        <f t="shared" si="41"/>
        <v>34129.9</v>
      </c>
      <c r="BB48" s="900">
        <f t="shared" si="41"/>
        <v>-6274239.2199999997</v>
      </c>
      <c r="BC48" s="901">
        <f t="shared" si="41"/>
        <v>41980286</v>
      </c>
      <c r="BD48" s="901">
        <f t="shared" si="41"/>
        <v>3176855.78</v>
      </c>
      <c r="BE48" s="901">
        <f t="shared" si="41"/>
        <v>38803430.219999999</v>
      </c>
    </row>
    <row r="49" spans="1:57" x14ac:dyDescent="0.25">
      <c r="A49" s="868"/>
      <c r="B49" s="904"/>
      <c r="R49" s="904"/>
      <c r="Z49" s="868"/>
      <c r="AA49" s="904"/>
      <c r="AB49" s="868"/>
      <c r="AC49" s="868"/>
      <c r="AD49" s="868"/>
      <c r="AN49" s="906"/>
      <c r="AO49" s="906"/>
      <c r="AP49" s="906"/>
      <c r="AQ49" s="906"/>
      <c r="AU49" s="907"/>
      <c r="AV49" s="907"/>
      <c r="AW49" s="867"/>
      <c r="AX49" s="908"/>
      <c r="AY49" s="908"/>
      <c r="AZ49" s="909"/>
    </row>
    <row r="50" spans="1:57" s="929" customFormat="1" ht="42" hidden="1" customHeight="1" x14ac:dyDescent="0.25">
      <c r="A50" s="910" t="s">
        <v>1687</v>
      </c>
      <c r="B50" s="911">
        <v>2300</v>
      </c>
      <c r="C50" s="912">
        <v>390.35</v>
      </c>
      <c r="D50" s="913">
        <f t="shared" ref="D50" si="46">B50*C50</f>
        <v>897805</v>
      </c>
      <c r="E50" s="914">
        <v>1</v>
      </c>
      <c r="F50" s="915">
        <f t="shared" ref="F50" si="47">D50*E50</f>
        <v>897805</v>
      </c>
      <c r="G50" s="916">
        <f t="shared" ref="G50" si="48">F50/1000</f>
        <v>897.8</v>
      </c>
      <c r="H50" s="916"/>
      <c r="I50" s="916"/>
      <c r="J50" s="917"/>
      <c r="K50" s="918"/>
      <c r="L50" s="919">
        <f t="shared" ref="L50" si="49">J50*K50</f>
        <v>0</v>
      </c>
      <c r="M50" s="914">
        <v>1</v>
      </c>
      <c r="N50" s="920">
        <f t="shared" ref="N50" si="50">L50*M50</f>
        <v>0</v>
      </c>
      <c r="O50" s="916">
        <f t="shared" ref="O50" si="51">N50/1000</f>
        <v>0</v>
      </c>
      <c r="P50" s="916"/>
      <c r="Q50" s="916"/>
      <c r="R50" s="911">
        <v>9.1199999999999992</v>
      </c>
      <c r="S50" s="921">
        <v>64200</v>
      </c>
      <c r="T50" s="913">
        <f t="shared" ref="T50" si="52">R50*S50</f>
        <v>585504</v>
      </c>
      <c r="U50" s="914">
        <v>1</v>
      </c>
      <c r="V50" s="915">
        <f t="shared" ref="V50" si="53">T50*U50</f>
        <v>585504</v>
      </c>
      <c r="W50" s="916">
        <f t="shared" ref="W50" si="54">V50/1000</f>
        <v>585.5</v>
      </c>
      <c r="X50" s="916"/>
      <c r="Y50" s="916"/>
      <c r="Z50" s="911">
        <v>56.14</v>
      </c>
      <c r="AA50" s="911">
        <v>1293</v>
      </c>
      <c r="AB50" s="921">
        <v>22.8</v>
      </c>
      <c r="AC50" s="922">
        <v>1293</v>
      </c>
      <c r="AD50" s="923">
        <v>11.4</v>
      </c>
      <c r="AE50" s="913">
        <f t="shared" ref="AE50" si="55">Z50*AA50</f>
        <v>72589.02</v>
      </c>
      <c r="AF50" s="913">
        <f t="shared" ref="AF50:AG50" si="56">AB50*AC50</f>
        <v>29480.400000000001</v>
      </c>
      <c r="AG50" s="924">
        <f t="shared" si="56"/>
        <v>14740.2</v>
      </c>
      <c r="AH50" s="925">
        <f t="shared" ref="AH50" si="57">AG50+AE50+AF50</f>
        <v>116809.62</v>
      </c>
      <c r="AI50" s="914">
        <v>1</v>
      </c>
      <c r="AJ50" s="915">
        <f t="shared" ref="AJ50" si="58">AH50*AI50</f>
        <v>116809.62</v>
      </c>
      <c r="AK50" s="916">
        <f t="shared" ref="AK50" si="59">AJ50/1000</f>
        <v>116.8</v>
      </c>
      <c r="AL50" s="916"/>
      <c r="AM50" s="916"/>
      <c r="AN50" s="916"/>
      <c r="AO50" s="916"/>
      <c r="AP50" s="916"/>
      <c r="AQ50" s="916"/>
      <c r="AR50" s="857"/>
      <c r="AS50" s="857"/>
      <c r="AT50" s="857"/>
      <c r="AU50" s="916"/>
      <c r="AV50" s="916"/>
      <c r="AW50" s="915">
        <f t="shared" ref="AW50" si="60">D50+L50+T50+AH50</f>
        <v>1600118.62</v>
      </c>
      <c r="AX50" s="926"/>
      <c r="AY50" s="926"/>
      <c r="AZ50" s="915">
        <f>F50+N50+V50+AJ50</f>
        <v>1600118.62</v>
      </c>
      <c r="BA50" s="915">
        <f>G50+Q50+Y50+AK50</f>
        <v>1014.6</v>
      </c>
      <c r="BB50" s="927"/>
      <c r="BC50" s="928"/>
      <c r="BD50" s="928"/>
      <c r="BE50" s="928"/>
    </row>
    <row r="51" spans="1:57" s="933" customFormat="1" ht="31.5" customHeight="1" x14ac:dyDescent="0.25">
      <c r="A51" s="930"/>
      <c r="B51" s="931"/>
      <c r="C51" s="932">
        <v>1094.57</v>
      </c>
      <c r="D51" s="567"/>
      <c r="E51" s="1518"/>
      <c r="F51" s="1518"/>
      <c r="G51" s="1518"/>
      <c r="H51" s="1518"/>
      <c r="I51" s="1518"/>
      <c r="J51" s="1518"/>
      <c r="K51" s="1518"/>
      <c r="L51" s="1518"/>
      <c r="M51" s="1518"/>
      <c r="N51" s="1518"/>
      <c r="O51" s="1518"/>
      <c r="P51" s="1518"/>
      <c r="Q51" s="1518"/>
      <c r="R51" s="1518"/>
      <c r="AL51" s="933" t="s">
        <v>1688</v>
      </c>
      <c r="AM51" s="933">
        <v>512</v>
      </c>
      <c r="AN51" s="567"/>
      <c r="AO51" s="567"/>
      <c r="AP51" s="567"/>
      <c r="AQ51" s="567"/>
      <c r="AR51" s="857"/>
      <c r="AS51" s="857"/>
      <c r="AT51" s="857"/>
      <c r="AU51" s="567"/>
      <c r="AV51" s="567"/>
      <c r="AW51" s="934"/>
      <c r="AX51" s="935"/>
      <c r="AY51" s="935"/>
      <c r="BA51" s="934"/>
      <c r="BB51" s="934"/>
      <c r="BC51" s="935"/>
      <c r="BD51" s="935"/>
      <c r="BE51" s="935"/>
    </row>
    <row r="52" spans="1:57" s="936" customFormat="1" ht="31.5" x14ac:dyDescent="0.5">
      <c r="A52" s="1522" t="s">
        <v>1689</v>
      </c>
      <c r="B52" s="1522"/>
      <c r="C52" s="1522"/>
      <c r="D52" s="1522"/>
      <c r="E52" s="1522"/>
      <c r="F52" s="1522"/>
      <c r="G52" s="1522"/>
      <c r="H52" s="1522"/>
      <c r="I52" s="1522"/>
      <c r="J52" s="1522"/>
      <c r="K52" s="1522"/>
      <c r="L52" s="1522"/>
      <c r="M52" s="1522"/>
      <c r="N52" s="1519"/>
      <c r="O52" s="1519"/>
      <c r="P52" s="1519"/>
      <c r="Q52" s="1519"/>
      <c r="R52" s="1519"/>
      <c r="U52" s="1520" t="s">
        <v>1690</v>
      </c>
      <c r="V52" s="1520"/>
      <c r="W52" s="1520"/>
      <c r="X52" s="1520"/>
      <c r="Y52" s="1520"/>
      <c r="AJ52" s="937"/>
      <c r="AK52" s="937"/>
      <c r="AL52" s="938" t="s">
        <v>1691</v>
      </c>
      <c r="AM52" s="939">
        <f>AM45-AM51</f>
        <v>-31.1</v>
      </c>
      <c r="AN52" s="567" t="s">
        <v>1692</v>
      </c>
      <c r="AO52" s="567"/>
      <c r="AP52" s="567"/>
      <c r="AQ52" s="567"/>
      <c r="AR52" s="857"/>
      <c r="AS52" s="857"/>
      <c r="AT52" s="857"/>
      <c r="AU52" s="567"/>
      <c r="AV52" s="567"/>
      <c r="AW52" s="1533"/>
      <c r="AX52" s="1533"/>
      <c r="AY52" s="1533"/>
      <c r="AZ52" s="1533"/>
      <c r="BA52" s="1533"/>
      <c r="BB52" s="940"/>
      <c r="BC52" s="941"/>
      <c r="BD52" s="941"/>
      <c r="BE52" s="941"/>
    </row>
    <row r="53" spans="1:57" s="933" customFormat="1" ht="15" customHeight="1" x14ac:dyDescent="0.25">
      <c r="A53" s="930"/>
      <c r="B53" s="931"/>
      <c r="C53" s="567"/>
      <c r="D53" s="567"/>
      <c r="E53" s="1518"/>
      <c r="F53" s="1518"/>
      <c r="G53" s="1518"/>
      <c r="H53" s="1518"/>
      <c r="I53" s="1518"/>
      <c r="J53" s="1518"/>
      <c r="K53" s="1518"/>
      <c r="L53" s="1518"/>
      <c r="M53" s="1518"/>
      <c r="N53" s="1518"/>
      <c r="O53" s="1518"/>
      <c r="P53" s="1518"/>
      <c r="Q53" s="1518"/>
      <c r="R53" s="1518"/>
      <c r="AN53" s="567"/>
      <c r="AO53" s="567"/>
      <c r="AP53" s="567"/>
      <c r="AQ53" s="567"/>
      <c r="AR53" s="857"/>
      <c r="AS53" s="857"/>
      <c r="AT53" s="857"/>
      <c r="AU53" s="567"/>
      <c r="AV53" s="567"/>
      <c r="AW53" s="934"/>
      <c r="AX53" s="935"/>
      <c r="AY53" s="935"/>
      <c r="AZ53" s="934"/>
      <c r="BA53" s="934"/>
      <c r="BB53" s="934"/>
      <c r="BC53" s="935"/>
      <c r="BD53" s="935"/>
      <c r="BE53" s="935"/>
    </row>
    <row r="54" spans="1:57" x14ac:dyDescent="0.25">
      <c r="A54" s="567"/>
      <c r="B54" s="931"/>
      <c r="C54" s="567"/>
      <c r="D54" s="567"/>
      <c r="E54" s="856"/>
      <c r="F54" s="856"/>
      <c r="G54" s="856"/>
      <c r="H54" s="856"/>
      <c r="I54" s="856"/>
      <c r="J54" s="567"/>
      <c r="K54" s="907"/>
      <c r="L54" s="907"/>
      <c r="M54" s="907"/>
      <c r="N54" s="856"/>
      <c r="O54" s="856"/>
      <c r="P54" s="856"/>
      <c r="Q54" s="856"/>
      <c r="R54" s="907"/>
      <c r="V54" s="856"/>
      <c r="W54" s="856"/>
      <c r="X54" s="856"/>
      <c r="Y54" s="856"/>
      <c r="AJ54" s="856"/>
      <c r="AK54" s="856"/>
      <c r="AL54" s="856"/>
      <c r="AM54" s="856"/>
      <c r="AU54" s="856"/>
      <c r="AV54" s="856"/>
      <c r="AZ54" s="856"/>
      <c r="BA54" s="856"/>
      <c r="BB54" s="856"/>
    </row>
    <row r="55" spans="1:57" x14ac:dyDescent="0.25">
      <c r="A55" s="930"/>
      <c r="B55" s="931"/>
      <c r="C55" s="567"/>
      <c r="D55" s="567"/>
      <c r="E55" s="856"/>
      <c r="F55" s="856"/>
      <c r="G55" s="856"/>
      <c r="H55" s="856"/>
      <c r="I55" s="856"/>
      <c r="J55" s="567"/>
      <c r="K55" s="907"/>
      <c r="L55" s="907"/>
      <c r="M55" s="907"/>
      <c r="N55" s="856"/>
      <c r="O55" s="856"/>
      <c r="P55" s="856"/>
      <c r="Q55" s="856"/>
      <c r="R55" s="907"/>
      <c r="V55" s="856"/>
      <c r="W55" s="856"/>
      <c r="X55" s="856"/>
      <c r="Y55" s="856"/>
      <c r="AJ55" s="856"/>
      <c r="AK55" s="856"/>
      <c r="AL55" s="856"/>
      <c r="AM55" s="856"/>
      <c r="AZ55" s="856"/>
      <c r="BA55" s="856"/>
      <c r="BB55" s="856"/>
    </row>
    <row r="56" spans="1:57" s="946" customFormat="1" ht="27" customHeight="1" x14ac:dyDescent="0.5">
      <c r="A56" s="943" t="s">
        <v>1693</v>
      </c>
      <c r="B56" s="944"/>
      <c r="C56" s="943"/>
      <c r="D56" s="943"/>
      <c r="E56" s="943"/>
      <c r="F56" s="943"/>
      <c r="G56" s="943"/>
      <c r="H56" s="943"/>
      <c r="I56" s="943"/>
      <c r="J56" s="943"/>
      <c r="K56" s="943"/>
      <c r="L56" s="943"/>
      <c r="M56" s="943"/>
      <c r="N56" s="1519"/>
      <c r="O56" s="1519"/>
      <c r="P56" s="1519"/>
      <c r="Q56" s="1519"/>
      <c r="R56" s="943"/>
      <c r="S56" s="945"/>
      <c r="T56" s="945"/>
      <c r="U56" s="1520" t="s">
        <v>1694</v>
      </c>
      <c r="V56" s="1520"/>
      <c r="W56" s="1520"/>
      <c r="X56" s="1520"/>
      <c r="Y56" s="1520"/>
      <c r="AA56" s="947"/>
      <c r="AE56" s="945"/>
      <c r="AF56" s="945"/>
      <c r="AG56" s="945"/>
      <c r="AH56" s="945"/>
      <c r="AI56" s="945"/>
      <c r="AJ56" s="937"/>
      <c r="AK56" s="943"/>
      <c r="AL56" s="937"/>
      <c r="AM56" s="937"/>
      <c r="AN56" s="567"/>
      <c r="AO56" s="567"/>
      <c r="AP56" s="567"/>
      <c r="AQ56" s="567"/>
      <c r="AR56" s="857"/>
      <c r="AS56" s="857"/>
      <c r="AT56" s="857"/>
      <c r="AU56" s="567"/>
      <c r="AV56" s="567"/>
      <c r="AW56" s="948"/>
      <c r="AX56" s="949"/>
      <c r="AY56" s="949"/>
      <c r="AZ56" s="937"/>
      <c r="BA56" s="937"/>
      <c r="BB56" s="937"/>
      <c r="BC56" s="949"/>
      <c r="BD56" s="949"/>
      <c r="BE56" s="949"/>
    </row>
    <row r="60" spans="1:57" ht="109.5" customHeight="1" x14ac:dyDescent="0.3">
      <c r="A60" s="950" t="s">
        <v>1695</v>
      </c>
    </row>
  </sheetData>
  <mergeCells count="81">
    <mergeCell ref="A2:AW2"/>
    <mergeCell ref="A3:AW3"/>
    <mergeCell ref="A4:AW4"/>
    <mergeCell ref="A5:AW5"/>
    <mergeCell ref="A7:A13"/>
    <mergeCell ref="B7:I7"/>
    <mergeCell ref="J7:Q7"/>
    <mergeCell ref="R7:Y7"/>
    <mergeCell ref="Z7:AM7"/>
    <mergeCell ref="AN7:AQ7"/>
    <mergeCell ref="O8:O12"/>
    <mergeCell ref="L10:L12"/>
    <mergeCell ref="M10:M12"/>
    <mergeCell ref="B8:B12"/>
    <mergeCell ref="C8:C12"/>
    <mergeCell ref="D8:E9"/>
    <mergeCell ref="BB7:BB12"/>
    <mergeCell ref="BC7:BC12"/>
    <mergeCell ref="BD7:BD12"/>
    <mergeCell ref="BE7:BE12"/>
    <mergeCell ref="AR7:AR12"/>
    <mergeCell ref="AS7:AS12"/>
    <mergeCell ref="AT7:AT12"/>
    <mergeCell ref="AU7:AV7"/>
    <mergeCell ref="AW7:AW12"/>
    <mergeCell ref="AX7:AX12"/>
    <mergeCell ref="F8:F12"/>
    <mergeCell ref="G8:G12"/>
    <mergeCell ref="H8:H12"/>
    <mergeCell ref="D10:D12"/>
    <mergeCell ref="E10:E12"/>
    <mergeCell ref="I8:I12"/>
    <mergeCell ref="J8:J12"/>
    <mergeCell ref="K8:K12"/>
    <mergeCell ref="L8:M9"/>
    <mergeCell ref="N8:N12"/>
    <mergeCell ref="AB8:AB12"/>
    <mergeCell ref="P8:P12"/>
    <mergeCell ref="Q8:Q12"/>
    <mergeCell ref="R8:R12"/>
    <mergeCell ref="S8:S12"/>
    <mergeCell ref="T8:U9"/>
    <mergeCell ref="V8:V12"/>
    <mergeCell ref="T10:T12"/>
    <mergeCell ref="U10:U12"/>
    <mergeCell ref="AJ8:AJ12"/>
    <mergeCell ref="AK8:AK12"/>
    <mergeCell ref="AL8:AL12"/>
    <mergeCell ref="AE10:AE12"/>
    <mergeCell ref="AF10:AF12"/>
    <mergeCell ref="AG10:AG12"/>
    <mergeCell ref="AH10:AH12"/>
    <mergeCell ref="AW52:BA52"/>
    <mergeCell ref="AM8:AM12"/>
    <mergeCell ref="AN8:AQ8"/>
    <mergeCell ref="AU8:AU12"/>
    <mergeCell ref="AV8:AV12"/>
    <mergeCell ref="AZ8:AZ12"/>
    <mergeCell ref="BA8:BA12"/>
    <mergeCell ref="AN9:AN12"/>
    <mergeCell ref="AO9:AO12"/>
    <mergeCell ref="AP9:AP12"/>
    <mergeCell ref="AQ9:AQ12"/>
    <mergeCell ref="AY7:AY12"/>
    <mergeCell ref="AZ7:BA7"/>
    <mergeCell ref="E53:R53"/>
    <mergeCell ref="N56:Q56"/>
    <mergeCell ref="U56:Y56"/>
    <mergeCell ref="AI10:AI12"/>
    <mergeCell ref="E51:R51"/>
    <mergeCell ref="A52:M52"/>
    <mergeCell ref="N52:R52"/>
    <mergeCell ref="U52:Y52"/>
    <mergeCell ref="AC8:AC12"/>
    <mergeCell ref="AD8:AD12"/>
    <mergeCell ref="AE8:AI9"/>
    <mergeCell ref="W8:W12"/>
    <mergeCell ref="X8:X12"/>
    <mergeCell ref="Y8:Y12"/>
    <mergeCell ref="Z8:Z12"/>
    <mergeCell ref="AA8:AA12"/>
  </mergeCells>
  <printOptions horizontalCentered="1"/>
  <pageMargins left="0.59055118110236227" right="0.39370078740157483" top="0.19685039370078741" bottom="0.23622047244094491" header="0.19685039370078741" footer="0.19685039370078741"/>
  <pageSetup paperSize="9" scale="58" firstPageNumber="0" fitToWidth="2" orientation="landscape" horizontalDpi="300" verticalDpi="300" r:id="rId1"/>
  <headerFooter alignWithMargins="0"/>
  <colBreaks count="1" manualBreakCount="1">
    <brk id="25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AV24"/>
  <sheetViews>
    <sheetView view="pageBreakPreview" zoomScale="75" zoomScaleNormal="75" zoomScaleSheetLayoutView="75" workbookViewId="0">
      <pane xSplit="1" ySplit="6" topLeftCell="B11" activePane="bottomRight" state="frozen"/>
      <selection pane="topRight" activeCell="C1" sqref="C1"/>
      <selection pane="bottomLeft" activeCell="A6" sqref="A6"/>
      <selection pane="bottomRight" activeCell="Q2" sqref="Q2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8" width="12.85546875" style="72" customWidth="1"/>
    <col min="9" max="9" width="13.7109375" style="72" customWidth="1"/>
    <col min="10" max="10" width="12.7109375" style="72" customWidth="1"/>
    <col min="11" max="11" width="14.28515625" style="72" customWidth="1"/>
    <col min="12" max="12" width="12.7109375" style="72" customWidth="1"/>
    <col min="13" max="13" width="14.28515625" style="72" customWidth="1"/>
    <col min="14" max="14" width="16" style="72" customWidth="1"/>
    <col min="15" max="15" width="20.5703125" style="72" customWidth="1"/>
    <col min="16" max="16" width="15.28515625" style="72" customWidth="1"/>
    <col min="17" max="17" width="13.42578125" style="72" customWidth="1"/>
    <col min="18" max="18" width="10.85546875" style="72" customWidth="1"/>
    <col min="19" max="21" width="12.85546875" style="72" customWidth="1"/>
    <col min="22" max="22" width="12.42578125" style="72" customWidth="1"/>
    <col min="23" max="23" width="10.85546875" style="72" customWidth="1"/>
    <col min="24" max="24" width="14" style="72" customWidth="1"/>
    <col min="25" max="25" width="15.7109375" style="72" customWidth="1"/>
    <col min="26" max="26" width="14.28515625" style="72" customWidth="1"/>
    <col min="27" max="27" width="15" style="72" customWidth="1"/>
    <col min="28" max="28" width="14.140625" style="72" customWidth="1"/>
    <col min="29" max="30" width="12.42578125" style="72" customWidth="1"/>
    <col min="31" max="31" width="12.7109375" style="72" customWidth="1"/>
    <col min="32" max="32" width="14" style="72" customWidth="1"/>
    <col min="33" max="33" width="12.5703125" style="72" hidden="1" customWidth="1"/>
    <col min="34" max="34" width="13.42578125" style="72" hidden="1" customWidth="1"/>
    <col min="35" max="35" width="15" style="72" customWidth="1"/>
    <col min="36" max="36" width="14.85546875" style="72" hidden="1" customWidth="1"/>
    <col min="37" max="37" width="15" style="72" customWidth="1"/>
    <col min="38" max="38" width="14.5703125" style="72" hidden="1" customWidth="1"/>
    <col min="39" max="39" width="16" style="72" customWidth="1"/>
    <col min="40" max="40" width="14.5703125" style="72" customWidth="1"/>
    <col min="41" max="41" width="13.85546875" style="72" customWidth="1"/>
    <col min="42" max="43" width="14.5703125" style="72" customWidth="1"/>
    <col min="44" max="44" width="16.5703125" style="72" customWidth="1"/>
    <col min="45" max="45" width="3.28515625" style="72" customWidth="1"/>
    <col min="46" max="46" width="16" style="72" customWidth="1"/>
    <col min="47" max="47" width="9.140625" style="72"/>
    <col min="48" max="48" width="13.140625" style="72" customWidth="1"/>
    <col min="49" max="16384" width="9.140625" style="72"/>
  </cols>
  <sheetData>
    <row r="2" spans="1:48" s="657" customFormat="1" ht="18.75" customHeight="1" x14ac:dyDescent="0.25">
      <c r="K2" s="1278" t="s">
        <v>1934</v>
      </c>
      <c r="Q2" s="1169"/>
    </row>
    <row r="3" spans="1:48" s="657" customFormat="1" ht="17.25" customHeight="1" x14ac:dyDescent="0.25">
      <c r="A3" s="657" t="s">
        <v>1490</v>
      </c>
    </row>
    <row r="5" spans="1:48" ht="15.75" customHeight="1" x14ac:dyDescent="0.25">
      <c r="A5" s="1348" t="s">
        <v>270</v>
      </c>
      <c r="B5" s="1349" t="s">
        <v>1426</v>
      </c>
      <c r="C5" s="1350" t="s">
        <v>31</v>
      </c>
      <c r="D5" s="1350"/>
      <c r="E5" s="1349" t="s">
        <v>1427</v>
      </c>
      <c r="F5" s="1350" t="s">
        <v>31</v>
      </c>
      <c r="G5" s="1350"/>
      <c r="H5" s="1347" t="s">
        <v>1428</v>
      </c>
      <c r="I5" s="1347" t="s">
        <v>1429</v>
      </c>
      <c r="J5" s="1347" t="s">
        <v>1430</v>
      </c>
      <c r="K5" s="1347" t="s">
        <v>1431</v>
      </c>
      <c r="L5" s="1365" t="s">
        <v>1418</v>
      </c>
      <c r="M5" s="1351" t="s">
        <v>1479</v>
      </c>
      <c r="N5" s="1347" t="s">
        <v>1433</v>
      </c>
      <c r="O5" s="1347" t="s">
        <v>1434</v>
      </c>
      <c r="P5" s="1347" t="s">
        <v>1435</v>
      </c>
      <c r="Q5" s="1347" t="s">
        <v>888</v>
      </c>
      <c r="R5" s="1347" t="s">
        <v>271</v>
      </c>
      <c r="S5" s="1347" t="s">
        <v>1436</v>
      </c>
      <c r="T5" s="1347" t="s">
        <v>2226</v>
      </c>
      <c r="U5" s="1353" t="s">
        <v>31</v>
      </c>
      <c r="V5" s="1354"/>
      <c r="W5" s="1354"/>
      <c r="X5" s="1355"/>
      <c r="Y5" s="1356" t="s">
        <v>1437</v>
      </c>
      <c r="Z5" s="1356" t="s">
        <v>1438</v>
      </c>
      <c r="AA5" s="1358" t="s">
        <v>1439</v>
      </c>
      <c r="AB5" s="1359"/>
      <c r="AC5" s="1353" t="s">
        <v>1440</v>
      </c>
      <c r="AD5" s="1355"/>
      <c r="AE5" s="1356" t="s">
        <v>945</v>
      </c>
      <c r="AF5" s="1347" t="s">
        <v>946</v>
      </c>
      <c r="AG5" s="1362" t="s">
        <v>1441</v>
      </c>
      <c r="AH5" s="1362" t="s">
        <v>1442</v>
      </c>
      <c r="AI5" s="1347" t="s">
        <v>1480</v>
      </c>
      <c r="AJ5" s="1353" t="s">
        <v>31</v>
      </c>
      <c r="AK5" s="1354"/>
      <c r="AL5" s="1355"/>
      <c r="AM5" s="1363" t="s">
        <v>1444</v>
      </c>
      <c r="AN5" s="1363"/>
      <c r="AO5" s="1363"/>
      <c r="AP5" s="1363"/>
      <c r="AQ5" s="1363"/>
      <c r="AR5" s="1363"/>
      <c r="AT5" s="1364" t="s">
        <v>1445</v>
      </c>
      <c r="AV5" s="1360" t="s">
        <v>282</v>
      </c>
    </row>
    <row r="6" spans="1:48" ht="175.5" customHeight="1" x14ac:dyDescent="0.25">
      <c r="A6" s="1348"/>
      <c r="B6" s="1349"/>
      <c r="C6" s="659" t="s">
        <v>1447</v>
      </c>
      <c r="D6" s="659" t="s">
        <v>1448</v>
      </c>
      <c r="E6" s="1349"/>
      <c r="F6" s="659" t="s">
        <v>1449</v>
      </c>
      <c r="G6" s="659" t="s">
        <v>1448</v>
      </c>
      <c r="H6" s="1347"/>
      <c r="I6" s="1347"/>
      <c r="J6" s="1347"/>
      <c r="K6" s="1347"/>
      <c r="L6" s="1365"/>
      <c r="M6" s="1352"/>
      <c r="N6" s="1347"/>
      <c r="O6" s="1347"/>
      <c r="P6" s="1347"/>
      <c r="Q6" s="1347"/>
      <c r="R6" s="1347"/>
      <c r="S6" s="1347"/>
      <c r="T6" s="1347"/>
      <c r="U6" s="660" t="s">
        <v>1481</v>
      </c>
      <c r="V6" s="660" t="s">
        <v>1451</v>
      </c>
      <c r="W6" s="660" t="s">
        <v>1452</v>
      </c>
      <c r="X6" s="661" t="s">
        <v>1453</v>
      </c>
      <c r="Y6" s="1357"/>
      <c r="Z6" s="1357"/>
      <c r="AA6" s="661" t="s">
        <v>1454</v>
      </c>
      <c r="AB6" s="660" t="s">
        <v>1455</v>
      </c>
      <c r="AC6" s="661" t="s">
        <v>1456</v>
      </c>
      <c r="AD6" s="660" t="s">
        <v>1457</v>
      </c>
      <c r="AE6" s="1357"/>
      <c r="AF6" s="1347"/>
      <c r="AG6" s="1362"/>
      <c r="AH6" s="1362"/>
      <c r="AI6" s="1347"/>
      <c r="AJ6" s="662" t="s">
        <v>1458</v>
      </c>
      <c r="AK6" s="663" t="s">
        <v>1459</v>
      </c>
      <c r="AL6" s="662" t="s">
        <v>1458</v>
      </c>
      <c r="AM6" s="664" t="s">
        <v>1482</v>
      </c>
      <c r="AN6" s="664" t="s">
        <v>1483</v>
      </c>
      <c r="AO6" s="665" t="s">
        <v>1462</v>
      </c>
      <c r="AP6" s="666" t="s">
        <v>1463</v>
      </c>
      <c r="AQ6" s="665" t="s">
        <v>1464</v>
      </c>
      <c r="AR6" s="667" t="s">
        <v>1465</v>
      </c>
      <c r="AT6" s="1364"/>
      <c r="AV6" s="1361"/>
    </row>
    <row r="7" spans="1:48" ht="93.75" customHeight="1" x14ac:dyDescent="0.25">
      <c r="A7" s="668" t="s">
        <v>1466</v>
      </c>
      <c r="B7" s="669" t="s">
        <v>1467</v>
      </c>
      <c r="C7" s="669" t="s">
        <v>1468</v>
      </c>
      <c r="D7" s="669" t="s">
        <v>1469</v>
      </c>
      <c r="E7" s="669" t="s">
        <v>269</v>
      </c>
      <c r="F7" s="669" t="s">
        <v>1470</v>
      </c>
      <c r="G7" s="669" t="s">
        <v>4</v>
      </c>
      <c r="H7" s="669">
        <v>4</v>
      </c>
      <c r="I7" s="669">
        <v>5</v>
      </c>
      <c r="J7" s="669">
        <v>6</v>
      </c>
      <c r="K7" s="669">
        <v>7</v>
      </c>
      <c r="L7" s="669" t="s">
        <v>254</v>
      </c>
      <c r="M7" s="669">
        <v>8</v>
      </c>
      <c r="N7" s="669">
        <v>9</v>
      </c>
      <c r="O7" s="669">
        <v>10</v>
      </c>
      <c r="P7" s="669">
        <v>11</v>
      </c>
      <c r="Q7" s="669">
        <v>12</v>
      </c>
      <c r="R7" s="669">
        <v>13</v>
      </c>
      <c r="S7" s="669">
        <v>14</v>
      </c>
      <c r="T7" s="669">
        <v>15</v>
      </c>
      <c r="U7" s="669">
        <v>16</v>
      </c>
      <c r="V7" s="669">
        <v>17</v>
      </c>
      <c r="W7" s="669">
        <v>18</v>
      </c>
      <c r="X7" s="669">
        <v>19</v>
      </c>
      <c r="Y7" s="669">
        <v>20</v>
      </c>
      <c r="Z7" s="669">
        <v>21</v>
      </c>
      <c r="AA7" s="669">
        <v>22</v>
      </c>
      <c r="AB7" s="669">
        <v>23</v>
      </c>
      <c r="AC7" s="669">
        <v>24</v>
      </c>
      <c r="AD7" s="669">
        <v>25</v>
      </c>
      <c r="AE7" s="669">
        <v>26</v>
      </c>
      <c r="AF7" s="669">
        <v>27</v>
      </c>
      <c r="AG7" s="669">
        <v>8</v>
      </c>
      <c r="AH7" s="669">
        <v>8</v>
      </c>
      <c r="AI7" s="669">
        <v>28</v>
      </c>
      <c r="AJ7" s="669">
        <v>29</v>
      </c>
      <c r="AK7" s="669">
        <v>30</v>
      </c>
      <c r="AL7" s="670">
        <v>31</v>
      </c>
      <c r="AM7" s="671" t="s">
        <v>1471</v>
      </c>
      <c r="AN7" s="671" t="s">
        <v>1484</v>
      </c>
      <c r="AO7" s="671" t="s">
        <v>1473</v>
      </c>
      <c r="AP7" s="671" t="s">
        <v>1474</v>
      </c>
      <c r="AQ7" s="671" t="s">
        <v>1475</v>
      </c>
      <c r="AR7" s="671">
        <v>37</v>
      </c>
      <c r="AT7" s="1263" t="s">
        <v>2225</v>
      </c>
      <c r="AV7" s="1264" t="s">
        <v>2228</v>
      </c>
    </row>
    <row r="8" spans="1:48" ht="18.75" customHeight="1" x14ac:dyDescent="0.25">
      <c r="A8" s="673"/>
      <c r="B8" s="674"/>
      <c r="C8" s="674"/>
      <c r="D8" s="674"/>
      <c r="E8" s="674"/>
      <c r="F8" s="674"/>
      <c r="G8" s="674"/>
      <c r="H8" s="675"/>
      <c r="I8" s="675"/>
      <c r="J8" s="675"/>
      <c r="K8" s="675"/>
      <c r="L8" s="676"/>
      <c r="M8" s="676"/>
      <c r="N8" s="675"/>
      <c r="O8" s="677"/>
      <c r="P8" s="678"/>
      <c r="Q8" s="506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5"/>
      <c r="AE8" s="675"/>
      <c r="AF8" s="675"/>
      <c r="AG8" s="679"/>
      <c r="AH8" s="679"/>
      <c r="AI8" s="506"/>
      <c r="AJ8" s="680"/>
      <c r="AK8" s="680"/>
      <c r="AL8" s="680"/>
      <c r="AM8" s="681"/>
      <c r="AN8" s="681">
        <f>32069.71*1.00333*1.061*1.01</f>
        <v>34480.699999999997</v>
      </c>
      <c r="AO8" s="682"/>
      <c r="AP8" s="683">
        <f>1055.4/1392.98</f>
        <v>0.757656</v>
      </c>
      <c r="AQ8" s="684"/>
      <c r="AR8" s="685"/>
      <c r="AS8" s="686"/>
      <c r="AT8" s="677"/>
      <c r="AV8" s="1265"/>
    </row>
    <row r="9" spans="1:48" ht="18.75" hidden="1" customHeight="1" x14ac:dyDescent="0.25">
      <c r="A9" s="673"/>
      <c r="B9" s="674"/>
      <c r="C9" s="674"/>
      <c r="D9" s="674"/>
      <c r="E9" s="674"/>
      <c r="F9" s="674"/>
      <c r="G9" s="674"/>
      <c r="H9" s="675"/>
      <c r="I9" s="675"/>
      <c r="J9" s="675"/>
      <c r="K9" s="675"/>
      <c r="L9" s="675"/>
      <c r="M9" s="675"/>
      <c r="N9" s="675"/>
      <c r="O9" s="677"/>
      <c r="P9" s="678"/>
      <c r="Q9" s="506"/>
      <c r="R9" s="675"/>
      <c r="S9" s="675"/>
      <c r="T9" s="675"/>
      <c r="U9" s="675"/>
      <c r="V9" s="675"/>
      <c r="W9" s="675"/>
      <c r="X9" s="675"/>
      <c r="Y9" s="675"/>
      <c r="Z9" s="675"/>
      <c r="AA9" s="675"/>
      <c r="AB9" s="675"/>
      <c r="AC9" s="675"/>
      <c r="AD9" s="675"/>
      <c r="AE9" s="675"/>
      <c r="AF9" s="675"/>
      <c r="AG9" s="679"/>
      <c r="AH9" s="679"/>
      <c r="AI9" s="506"/>
      <c r="AJ9" s="687"/>
      <c r="AK9" s="687"/>
      <c r="AL9" s="687"/>
      <c r="AM9" s="688"/>
      <c r="AN9" s="688"/>
      <c r="AO9" s="689"/>
      <c r="AP9" s="690"/>
      <c r="AQ9" s="688"/>
      <c r="AR9" s="691"/>
      <c r="AS9" s="686"/>
      <c r="AT9" s="677"/>
    </row>
    <row r="10" spans="1:48" ht="18.75" hidden="1" customHeight="1" x14ac:dyDescent="0.25">
      <c r="A10" s="673"/>
      <c r="B10" s="674"/>
      <c r="C10" s="674"/>
      <c r="D10" s="674"/>
      <c r="E10" s="674"/>
      <c r="F10" s="674"/>
      <c r="G10" s="674"/>
      <c r="H10" s="675"/>
      <c r="I10" s="675"/>
      <c r="J10" s="675"/>
      <c r="K10" s="675"/>
      <c r="L10" s="675"/>
      <c r="M10" s="675"/>
      <c r="N10" s="675"/>
      <c r="O10" s="677"/>
      <c r="P10" s="678"/>
      <c r="Q10" s="506"/>
      <c r="R10" s="675"/>
      <c r="S10" s="675"/>
      <c r="T10" s="675"/>
      <c r="U10" s="675"/>
      <c r="V10" s="675"/>
      <c r="W10" s="675"/>
      <c r="X10" s="675"/>
      <c r="Y10" s="675"/>
      <c r="Z10" s="675"/>
      <c r="AA10" s="675"/>
      <c r="AB10" s="675"/>
      <c r="AC10" s="675"/>
      <c r="AD10" s="675"/>
      <c r="AE10" s="675"/>
      <c r="AF10" s="675"/>
      <c r="AG10" s="679"/>
      <c r="AH10" s="679"/>
      <c r="AI10" s="506"/>
      <c r="AJ10" s="687"/>
      <c r="AK10" s="687"/>
      <c r="AL10" s="687"/>
      <c r="AM10" s="688"/>
      <c r="AN10" s="688"/>
      <c r="AO10" s="689"/>
      <c r="AP10" s="690"/>
      <c r="AQ10" s="688"/>
      <c r="AR10" s="691"/>
      <c r="AS10" s="686"/>
      <c r="AT10" s="677"/>
    </row>
    <row r="11" spans="1:48" ht="24" x14ac:dyDescent="0.25">
      <c r="A11" s="644" t="s">
        <v>421</v>
      </c>
      <c r="B11" s="692">
        <f>C11+D11</f>
        <v>87473</v>
      </c>
      <c r="C11" s="692">
        <f>F11+AR11</f>
        <v>77616</v>
      </c>
      <c r="D11" s="692">
        <f>G11</f>
        <v>9857</v>
      </c>
      <c r="E11" s="692">
        <f t="shared" ref="E11:E24" si="0">ROUND(I11/J11*N11*O11*P11*Q11*R11/S11*AE11*AF11*AG11*AH11*AI11,0)</f>
        <v>67841</v>
      </c>
      <c r="F11" s="692">
        <f t="shared" ref="F11:F24" si="1">ROUND(I11/J11*N11*O11*P11*R11/S11*AF11*Q11*AI11*AG11*AH11,0)</f>
        <v>57984</v>
      </c>
      <c r="G11" s="692">
        <f>E11-F11</f>
        <v>9857</v>
      </c>
      <c r="H11" s="675">
        <v>12</v>
      </c>
      <c r="I11" s="675">
        <f t="shared" ref="I11:I24" si="2">H11*5</f>
        <v>60</v>
      </c>
      <c r="J11" s="675">
        <v>36</v>
      </c>
      <c r="K11" s="693">
        <v>13772</v>
      </c>
      <c r="L11" s="646">
        <v>1.0609999999999999</v>
      </c>
      <c r="M11" s="646">
        <v>1.01</v>
      </c>
      <c r="N11" s="694">
        <f>K11*L11*M11</f>
        <v>14758</v>
      </c>
      <c r="O11" s="677">
        <v>1.302</v>
      </c>
      <c r="P11" s="678">
        <v>1.325</v>
      </c>
      <c r="Q11" s="695">
        <v>1.01</v>
      </c>
      <c r="R11" s="675">
        <v>12</v>
      </c>
      <c r="S11" s="675">
        <v>15</v>
      </c>
      <c r="T11" s="506">
        <f>13.76-2</f>
        <v>11.76</v>
      </c>
      <c r="U11" s="506">
        <v>0</v>
      </c>
      <c r="V11" s="508">
        <f>T11-U11-W11</f>
        <v>5.75</v>
      </c>
      <c r="W11" s="506">
        <v>6.01</v>
      </c>
      <c r="X11" s="506">
        <v>5.01</v>
      </c>
      <c r="Y11" s="696">
        <f>N11*O11*P11*X11</f>
        <v>127553</v>
      </c>
      <c r="Z11" s="696">
        <f t="shared" ref="Z11:Z24" si="3">Y11/X11*(W11-X11)</f>
        <v>25460</v>
      </c>
      <c r="AA11" s="693">
        <v>39111</v>
      </c>
      <c r="AB11" s="696">
        <f>(AA11+AA11*(U11-1)*0.8)*1.01*1.302*L11*M11</f>
        <v>11023</v>
      </c>
      <c r="AC11" s="693">
        <v>16242</v>
      </c>
      <c r="AD11" s="696">
        <f>V11*AC11*1.01*1.302</f>
        <v>122812</v>
      </c>
      <c r="AE11" s="508">
        <f>Z11/(Y11+Z11)+1</f>
        <v>1.17</v>
      </c>
      <c r="AF11" s="508">
        <f>(AB11+AD11)/(Y11+AB11+AD11)+1</f>
        <v>1.51</v>
      </c>
      <c r="AG11" s="679">
        <v>1</v>
      </c>
      <c r="AH11" s="679">
        <v>1</v>
      </c>
      <c r="AI11" s="697">
        <f>ROUND(AJ11*AK11*AL11,2)</f>
        <v>1.1200000000000001</v>
      </c>
      <c r="AJ11" s="698">
        <v>1</v>
      </c>
      <c r="AK11" s="699">
        <f t="shared" ref="AK11:AK15" si="4">1+(42+3)/365</f>
        <v>1.1232899999999999</v>
      </c>
      <c r="AL11" s="698">
        <v>1</v>
      </c>
      <c r="AM11" s="700">
        <f>N11*P11</f>
        <v>19554.349999999999</v>
      </c>
      <c r="AN11" s="701">
        <v>34480.699999999997</v>
      </c>
      <c r="AO11" s="702">
        <f>(AN11-N11*P11)</f>
        <v>14926.35</v>
      </c>
      <c r="AP11" s="703">
        <v>0.757656</v>
      </c>
      <c r="AQ11" s="704">
        <f>AO11*AP11</f>
        <v>11309</v>
      </c>
      <c r="AR11" s="705">
        <f>ROUND(I11/J11*AQ11*R11/S11*O11,0)</f>
        <v>19632</v>
      </c>
      <c r="AS11" s="686"/>
      <c r="AT11" s="706">
        <f t="shared" ref="AT11:AT24" si="5">I11/S11</f>
        <v>4</v>
      </c>
      <c r="AV11" s="201">
        <f>247*T11/3/S11</f>
        <v>64.55</v>
      </c>
    </row>
    <row r="12" spans="1:48" ht="24" x14ac:dyDescent="0.25">
      <c r="A12" s="644" t="s">
        <v>413</v>
      </c>
      <c r="B12" s="692">
        <f t="shared" ref="B12:B24" si="6">C12+D12</f>
        <v>66725</v>
      </c>
      <c r="C12" s="692">
        <f t="shared" ref="C12:C24" si="7">F12+AR12</f>
        <v>57348</v>
      </c>
      <c r="D12" s="692">
        <f t="shared" ref="D12:D24" si="8">G12</f>
        <v>9377</v>
      </c>
      <c r="E12" s="692">
        <f t="shared" si="0"/>
        <v>52001</v>
      </c>
      <c r="F12" s="692">
        <f t="shared" si="1"/>
        <v>42624</v>
      </c>
      <c r="G12" s="692">
        <f t="shared" ref="G12:G24" si="9">E12-F12</f>
        <v>9377</v>
      </c>
      <c r="H12" s="675">
        <v>12</v>
      </c>
      <c r="I12" s="675">
        <f t="shared" si="2"/>
        <v>60</v>
      </c>
      <c r="J12" s="675">
        <v>36</v>
      </c>
      <c r="K12" s="693">
        <v>13772</v>
      </c>
      <c r="L12" s="646">
        <v>1.0609999999999999</v>
      </c>
      <c r="M12" s="646">
        <v>1.01</v>
      </c>
      <c r="N12" s="694">
        <f t="shared" ref="N12:N24" si="10">K12*L12*M12</f>
        <v>14758</v>
      </c>
      <c r="O12" s="677">
        <v>1.302</v>
      </c>
      <c r="P12" s="678">
        <v>1.325</v>
      </c>
      <c r="Q12" s="695">
        <v>1.01</v>
      </c>
      <c r="R12" s="675">
        <v>12</v>
      </c>
      <c r="S12" s="675">
        <v>20</v>
      </c>
      <c r="T12" s="506">
        <f>13.39-2</f>
        <v>11.39</v>
      </c>
      <c r="U12" s="506">
        <v>0</v>
      </c>
      <c r="V12" s="508">
        <f t="shared" ref="V12:V24" si="11">T12-U12-W12</f>
        <v>5</v>
      </c>
      <c r="W12" s="506">
        <v>6.39</v>
      </c>
      <c r="X12" s="506">
        <v>5.01</v>
      </c>
      <c r="Y12" s="696">
        <f t="shared" ref="Y12:Y24" si="12">N12*O12*P12*X12</f>
        <v>127553</v>
      </c>
      <c r="Z12" s="696">
        <f t="shared" si="3"/>
        <v>35134</v>
      </c>
      <c r="AA12" s="693">
        <v>39111</v>
      </c>
      <c r="AB12" s="696">
        <f t="shared" ref="AB12:AB24" si="13">(AA12+AA12*(U12-1)*0.8)*1.01*1.302*L12*M12</f>
        <v>11023</v>
      </c>
      <c r="AC12" s="693">
        <v>16242</v>
      </c>
      <c r="AD12" s="696">
        <f t="shared" ref="AD12:AD24" si="14">V12*AC12*1.01*1.302</f>
        <v>106793</v>
      </c>
      <c r="AE12" s="508">
        <f t="shared" ref="AE12:AE24" si="15">Z12/(Y12+Z12)+1</f>
        <v>1.22</v>
      </c>
      <c r="AF12" s="508">
        <f t="shared" ref="AF12:AF24" si="16">(AB12+AD12)/(Y12+AB12+AD12)+1</f>
        <v>1.48</v>
      </c>
      <c r="AG12" s="679">
        <v>1</v>
      </c>
      <c r="AH12" s="679">
        <v>1</v>
      </c>
      <c r="AI12" s="697">
        <f t="shared" ref="AI12:AI24" si="17">ROUND(AJ12*AK12*AL12,2)</f>
        <v>1.1200000000000001</v>
      </c>
      <c r="AJ12" s="698">
        <v>1</v>
      </c>
      <c r="AK12" s="699">
        <f t="shared" si="4"/>
        <v>1.1232899999999999</v>
      </c>
      <c r="AL12" s="698">
        <v>1</v>
      </c>
      <c r="AM12" s="700">
        <f t="shared" ref="AM12:AM24" si="18">N12*P12</f>
        <v>19554.349999999999</v>
      </c>
      <c r="AN12" s="701">
        <v>34480.699999999997</v>
      </c>
      <c r="AO12" s="702">
        <f t="shared" ref="AO12:AO24" si="19">(AN12-N12*P12)</f>
        <v>14926.35</v>
      </c>
      <c r="AP12" s="703">
        <v>0.757656</v>
      </c>
      <c r="AQ12" s="704">
        <f t="shared" ref="AQ12:AQ24" si="20">AO12*AP12</f>
        <v>11309</v>
      </c>
      <c r="AR12" s="705">
        <f t="shared" ref="AR12:AR24" si="21">ROUND(I12/J12*AQ12*R12/S12*O12,0)</f>
        <v>14724</v>
      </c>
      <c r="AT12" s="706">
        <f t="shared" si="5"/>
        <v>3</v>
      </c>
      <c r="AV12" s="201">
        <f t="shared" ref="AV12:AV23" si="22">247*T12/3/S12</f>
        <v>46.89</v>
      </c>
    </row>
    <row r="13" spans="1:48" ht="24" x14ac:dyDescent="0.25">
      <c r="A13" s="644" t="s">
        <v>947</v>
      </c>
      <c r="B13" s="692">
        <f t="shared" si="6"/>
        <v>66725</v>
      </c>
      <c r="C13" s="692">
        <f t="shared" si="7"/>
        <v>57348</v>
      </c>
      <c r="D13" s="692">
        <f t="shared" si="8"/>
        <v>9377</v>
      </c>
      <c r="E13" s="692">
        <f t="shared" si="0"/>
        <v>52001</v>
      </c>
      <c r="F13" s="692">
        <f t="shared" si="1"/>
        <v>42624</v>
      </c>
      <c r="G13" s="692">
        <f t="shared" si="9"/>
        <v>9377</v>
      </c>
      <c r="H13" s="675">
        <v>12</v>
      </c>
      <c r="I13" s="675">
        <f t="shared" si="2"/>
        <v>60</v>
      </c>
      <c r="J13" s="675">
        <v>36</v>
      </c>
      <c r="K13" s="693">
        <v>13772</v>
      </c>
      <c r="L13" s="646">
        <v>1.0609999999999999</v>
      </c>
      <c r="M13" s="646">
        <v>1.01</v>
      </c>
      <c r="N13" s="694">
        <f t="shared" si="10"/>
        <v>14758</v>
      </c>
      <c r="O13" s="677">
        <v>1.302</v>
      </c>
      <c r="P13" s="678">
        <v>1.325</v>
      </c>
      <c r="Q13" s="695">
        <v>1.01</v>
      </c>
      <c r="R13" s="675">
        <v>12</v>
      </c>
      <c r="S13" s="675">
        <v>20</v>
      </c>
      <c r="T13" s="506">
        <f>13.39-2</f>
        <v>11.39</v>
      </c>
      <c r="U13" s="506">
        <v>0</v>
      </c>
      <c r="V13" s="508">
        <f t="shared" si="11"/>
        <v>5</v>
      </c>
      <c r="W13" s="506">
        <v>6.39</v>
      </c>
      <c r="X13" s="506">
        <v>5.01</v>
      </c>
      <c r="Y13" s="696">
        <f t="shared" si="12"/>
        <v>127553</v>
      </c>
      <c r="Z13" s="696">
        <f t="shared" si="3"/>
        <v>35134</v>
      </c>
      <c r="AA13" s="693">
        <v>39111</v>
      </c>
      <c r="AB13" s="696">
        <f t="shared" si="13"/>
        <v>11023</v>
      </c>
      <c r="AC13" s="693">
        <v>16242</v>
      </c>
      <c r="AD13" s="696">
        <f t="shared" si="14"/>
        <v>106793</v>
      </c>
      <c r="AE13" s="508">
        <f t="shared" si="15"/>
        <v>1.22</v>
      </c>
      <c r="AF13" s="508">
        <f t="shared" si="16"/>
        <v>1.48</v>
      </c>
      <c r="AG13" s="679">
        <v>1</v>
      </c>
      <c r="AH13" s="679">
        <v>1</v>
      </c>
      <c r="AI13" s="697">
        <f t="shared" si="17"/>
        <v>1.1200000000000001</v>
      </c>
      <c r="AJ13" s="698">
        <v>1</v>
      </c>
      <c r="AK13" s="699">
        <f t="shared" si="4"/>
        <v>1.1232899999999999</v>
      </c>
      <c r="AL13" s="698">
        <v>1</v>
      </c>
      <c r="AM13" s="700">
        <f t="shared" si="18"/>
        <v>19554.349999999999</v>
      </c>
      <c r="AN13" s="701">
        <v>34480.699999999997</v>
      </c>
      <c r="AO13" s="702">
        <f t="shared" si="19"/>
        <v>14926.35</v>
      </c>
      <c r="AP13" s="703">
        <v>0.757656</v>
      </c>
      <c r="AQ13" s="704">
        <f t="shared" si="20"/>
        <v>11309</v>
      </c>
      <c r="AR13" s="705">
        <f t="shared" si="21"/>
        <v>14724</v>
      </c>
      <c r="AT13" s="706">
        <f t="shared" si="5"/>
        <v>3</v>
      </c>
      <c r="AV13" s="201">
        <f t="shared" si="22"/>
        <v>46.89</v>
      </c>
    </row>
    <row r="14" spans="1:48" ht="24" x14ac:dyDescent="0.25">
      <c r="A14" s="644" t="s">
        <v>414</v>
      </c>
      <c r="B14" s="692">
        <f t="shared" si="6"/>
        <v>66725</v>
      </c>
      <c r="C14" s="692">
        <f t="shared" si="7"/>
        <v>57348</v>
      </c>
      <c r="D14" s="692">
        <f t="shared" si="8"/>
        <v>9377</v>
      </c>
      <c r="E14" s="692">
        <f t="shared" si="0"/>
        <v>52001</v>
      </c>
      <c r="F14" s="692">
        <f t="shared" si="1"/>
        <v>42624</v>
      </c>
      <c r="G14" s="692">
        <f t="shared" si="9"/>
        <v>9377</v>
      </c>
      <c r="H14" s="675">
        <v>12</v>
      </c>
      <c r="I14" s="675">
        <f t="shared" si="2"/>
        <v>60</v>
      </c>
      <c r="J14" s="675">
        <v>36</v>
      </c>
      <c r="K14" s="693">
        <v>13772</v>
      </c>
      <c r="L14" s="646">
        <v>1.0609999999999999</v>
      </c>
      <c r="M14" s="646">
        <v>1.01</v>
      </c>
      <c r="N14" s="694">
        <f t="shared" si="10"/>
        <v>14758</v>
      </c>
      <c r="O14" s="677">
        <v>1.302</v>
      </c>
      <c r="P14" s="678">
        <v>1.325</v>
      </c>
      <c r="Q14" s="695">
        <v>1.01</v>
      </c>
      <c r="R14" s="675">
        <v>12</v>
      </c>
      <c r="S14" s="675">
        <v>20</v>
      </c>
      <c r="T14" s="506">
        <f>13.39-2</f>
        <v>11.39</v>
      </c>
      <c r="U14" s="506">
        <v>0</v>
      </c>
      <c r="V14" s="508">
        <f t="shared" si="11"/>
        <v>5</v>
      </c>
      <c r="W14" s="506">
        <v>6.39</v>
      </c>
      <c r="X14" s="506">
        <v>5.01</v>
      </c>
      <c r="Y14" s="696">
        <f t="shared" si="12"/>
        <v>127553</v>
      </c>
      <c r="Z14" s="696">
        <f t="shared" si="3"/>
        <v>35134</v>
      </c>
      <c r="AA14" s="693">
        <v>39111</v>
      </c>
      <c r="AB14" s="696">
        <f t="shared" si="13"/>
        <v>11023</v>
      </c>
      <c r="AC14" s="693">
        <v>16242</v>
      </c>
      <c r="AD14" s="696">
        <f t="shared" si="14"/>
        <v>106793</v>
      </c>
      <c r="AE14" s="508">
        <f t="shared" si="15"/>
        <v>1.22</v>
      </c>
      <c r="AF14" s="508">
        <f t="shared" si="16"/>
        <v>1.48</v>
      </c>
      <c r="AG14" s="679">
        <v>1</v>
      </c>
      <c r="AH14" s="679">
        <v>1</v>
      </c>
      <c r="AI14" s="697">
        <f t="shared" si="17"/>
        <v>1.1200000000000001</v>
      </c>
      <c r="AJ14" s="698">
        <v>1</v>
      </c>
      <c r="AK14" s="699">
        <f t="shared" si="4"/>
        <v>1.1232899999999999</v>
      </c>
      <c r="AL14" s="698">
        <v>1</v>
      </c>
      <c r="AM14" s="700">
        <f t="shared" si="18"/>
        <v>19554.349999999999</v>
      </c>
      <c r="AN14" s="701">
        <v>34480.699999999997</v>
      </c>
      <c r="AO14" s="702">
        <f t="shared" si="19"/>
        <v>14926.35</v>
      </c>
      <c r="AP14" s="703">
        <v>0.757656</v>
      </c>
      <c r="AQ14" s="704">
        <f t="shared" si="20"/>
        <v>11309</v>
      </c>
      <c r="AR14" s="705">
        <f t="shared" si="21"/>
        <v>14724</v>
      </c>
      <c r="AT14" s="706">
        <f t="shared" si="5"/>
        <v>3</v>
      </c>
      <c r="AV14" s="201">
        <f t="shared" si="22"/>
        <v>46.89</v>
      </c>
    </row>
    <row r="15" spans="1:48" ht="24" x14ac:dyDescent="0.25">
      <c r="A15" s="644" t="s">
        <v>415</v>
      </c>
      <c r="B15" s="692">
        <f t="shared" si="6"/>
        <v>66725</v>
      </c>
      <c r="C15" s="692">
        <f t="shared" si="7"/>
        <v>57348</v>
      </c>
      <c r="D15" s="692">
        <f t="shared" si="8"/>
        <v>9377</v>
      </c>
      <c r="E15" s="692">
        <f t="shared" si="0"/>
        <v>52001</v>
      </c>
      <c r="F15" s="692">
        <f t="shared" si="1"/>
        <v>42624</v>
      </c>
      <c r="G15" s="692">
        <f t="shared" si="9"/>
        <v>9377</v>
      </c>
      <c r="H15" s="675">
        <v>12</v>
      </c>
      <c r="I15" s="675">
        <f t="shared" si="2"/>
        <v>60</v>
      </c>
      <c r="J15" s="675">
        <v>36</v>
      </c>
      <c r="K15" s="693">
        <v>13772</v>
      </c>
      <c r="L15" s="646">
        <v>1.0609999999999999</v>
      </c>
      <c r="M15" s="646">
        <v>1.01</v>
      </c>
      <c r="N15" s="694">
        <f t="shared" si="10"/>
        <v>14758</v>
      </c>
      <c r="O15" s="677">
        <v>1.302</v>
      </c>
      <c r="P15" s="678">
        <v>1.325</v>
      </c>
      <c r="Q15" s="695">
        <v>1.01</v>
      </c>
      <c r="R15" s="675">
        <v>12</v>
      </c>
      <c r="S15" s="675">
        <v>20</v>
      </c>
      <c r="T15" s="506">
        <f>13.39-2</f>
        <v>11.39</v>
      </c>
      <c r="U15" s="506">
        <v>0</v>
      </c>
      <c r="V15" s="508">
        <f t="shared" si="11"/>
        <v>5</v>
      </c>
      <c r="W15" s="506">
        <v>6.39</v>
      </c>
      <c r="X15" s="506">
        <v>5.01</v>
      </c>
      <c r="Y15" s="696">
        <f t="shared" si="12"/>
        <v>127553</v>
      </c>
      <c r="Z15" s="696">
        <f t="shared" si="3"/>
        <v>35134</v>
      </c>
      <c r="AA15" s="693">
        <v>39111</v>
      </c>
      <c r="AB15" s="696">
        <f t="shared" si="13"/>
        <v>11023</v>
      </c>
      <c r="AC15" s="693">
        <v>16242</v>
      </c>
      <c r="AD15" s="696">
        <f t="shared" si="14"/>
        <v>106793</v>
      </c>
      <c r="AE15" s="508">
        <f t="shared" si="15"/>
        <v>1.22</v>
      </c>
      <c r="AF15" s="508">
        <f t="shared" si="16"/>
        <v>1.48</v>
      </c>
      <c r="AG15" s="679">
        <v>1</v>
      </c>
      <c r="AH15" s="679">
        <v>1</v>
      </c>
      <c r="AI15" s="697">
        <f t="shared" si="17"/>
        <v>1.1200000000000001</v>
      </c>
      <c r="AJ15" s="698">
        <v>1</v>
      </c>
      <c r="AK15" s="699">
        <f t="shared" si="4"/>
        <v>1.1232899999999999</v>
      </c>
      <c r="AL15" s="698">
        <v>1</v>
      </c>
      <c r="AM15" s="700">
        <f t="shared" si="18"/>
        <v>19554.349999999999</v>
      </c>
      <c r="AN15" s="701">
        <v>34480.699999999997</v>
      </c>
      <c r="AO15" s="702">
        <f t="shared" si="19"/>
        <v>14926.35</v>
      </c>
      <c r="AP15" s="703">
        <v>0.757656</v>
      </c>
      <c r="AQ15" s="704">
        <f t="shared" si="20"/>
        <v>11309</v>
      </c>
      <c r="AR15" s="705">
        <f t="shared" si="21"/>
        <v>14724</v>
      </c>
      <c r="AT15" s="706">
        <f t="shared" si="5"/>
        <v>3</v>
      </c>
      <c r="AV15" s="201">
        <f t="shared" si="22"/>
        <v>46.89</v>
      </c>
    </row>
    <row r="16" spans="1:48" ht="24" x14ac:dyDescent="0.25">
      <c r="A16" s="708" t="s">
        <v>416</v>
      </c>
      <c r="B16" s="692">
        <f t="shared" si="6"/>
        <v>180766</v>
      </c>
      <c r="C16" s="692">
        <f t="shared" si="7"/>
        <v>139278</v>
      </c>
      <c r="D16" s="692">
        <f t="shared" si="8"/>
        <v>41488</v>
      </c>
      <c r="E16" s="692">
        <f t="shared" si="0"/>
        <v>150668</v>
      </c>
      <c r="F16" s="692">
        <f t="shared" si="1"/>
        <v>109180</v>
      </c>
      <c r="G16" s="692">
        <f t="shared" si="9"/>
        <v>41488</v>
      </c>
      <c r="H16" s="675">
        <v>12</v>
      </c>
      <c r="I16" s="675">
        <f t="shared" si="2"/>
        <v>60</v>
      </c>
      <c r="J16" s="675">
        <v>25</v>
      </c>
      <c r="K16" s="693">
        <v>13772</v>
      </c>
      <c r="L16" s="646">
        <v>1.0609999999999999</v>
      </c>
      <c r="M16" s="646">
        <v>1.01</v>
      </c>
      <c r="N16" s="694">
        <f t="shared" si="10"/>
        <v>14758</v>
      </c>
      <c r="O16" s="677">
        <v>1.302</v>
      </c>
      <c r="P16" s="709">
        <v>1.4750000000000001</v>
      </c>
      <c r="Q16" s="695">
        <v>1.01</v>
      </c>
      <c r="R16" s="675">
        <v>12</v>
      </c>
      <c r="S16" s="675">
        <v>12</v>
      </c>
      <c r="T16" s="506">
        <f>18.58-2</f>
        <v>16.579999999999998</v>
      </c>
      <c r="U16" s="506">
        <v>0</v>
      </c>
      <c r="V16" s="508">
        <f t="shared" si="11"/>
        <v>5</v>
      </c>
      <c r="W16" s="506">
        <v>11.58</v>
      </c>
      <c r="X16" s="506">
        <v>7.2</v>
      </c>
      <c r="Y16" s="696">
        <f t="shared" si="12"/>
        <v>204062</v>
      </c>
      <c r="Z16" s="696">
        <f t="shared" si="3"/>
        <v>124138</v>
      </c>
      <c r="AA16" s="693">
        <v>39111</v>
      </c>
      <c r="AB16" s="696">
        <f t="shared" si="13"/>
        <v>11023</v>
      </c>
      <c r="AC16" s="693">
        <v>16242</v>
      </c>
      <c r="AD16" s="696">
        <f t="shared" si="14"/>
        <v>106793</v>
      </c>
      <c r="AE16" s="508">
        <f t="shared" si="15"/>
        <v>1.38</v>
      </c>
      <c r="AF16" s="508">
        <f t="shared" si="16"/>
        <v>1.37</v>
      </c>
      <c r="AG16" s="679">
        <v>1</v>
      </c>
      <c r="AH16" s="679">
        <v>1</v>
      </c>
      <c r="AI16" s="697">
        <f t="shared" si="17"/>
        <v>1.1599999999999999</v>
      </c>
      <c r="AJ16" s="698">
        <v>1</v>
      </c>
      <c r="AK16" s="710">
        <f t="shared" ref="AK16:AK19" si="23">1+(56+3)/365</f>
        <v>1.16164</v>
      </c>
      <c r="AL16" s="698">
        <v>1</v>
      </c>
      <c r="AM16" s="700">
        <f t="shared" si="18"/>
        <v>21768.05</v>
      </c>
      <c r="AN16" s="701">
        <v>34480.699999999997</v>
      </c>
      <c r="AO16" s="702">
        <f t="shared" si="19"/>
        <v>12712.65</v>
      </c>
      <c r="AP16" s="703">
        <v>0.757656</v>
      </c>
      <c r="AQ16" s="704">
        <f t="shared" si="20"/>
        <v>9632</v>
      </c>
      <c r="AR16" s="705">
        <f t="shared" si="21"/>
        <v>30098</v>
      </c>
      <c r="AT16" s="706">
        <f t="shared" si="5"/>
        <v>5</v>
      </c>
      <c r="AV16" s="201">
        <f t="shared" si="22"/>
        <v>113.76</v>
      </c>
    </row>
    <row r="17" spans="1:48" ht="48" x14ac:dyDescent="0.25">
      <c r="A17" s="643" t="s">
        <v>417</v>
      </c>
      <c r="B17" s="692">
        <f t="shared" si="6"/>
        <v>216919</v>
      </c>
      <c r="C17" s="692">
        <f t="shared" si="7"/>
        <v>167134</v>
      </c>
      <c r="D17" s="692">
        <f t="shared" si="8"/>
        <v>49785</v>
      </c>
      <c r="E17" s="692">
        <f t="shared" si="0"/>
        <v>180801</v>
      </c>
      <c r="F17" s="692">
        <f t="shared" si="1"/>
        <v>131016</v>
      </c>
      <c r="G17" s="692">
        <f t="shared" si="9"/>
        <v>49785</v>
      </c>
      <c r="H17" s="675">
        <v>12</v>
      </c>
      <c r="I17" s="675">
        <f t="shared" si="2"/>
        <v>60</v>
      </c>
      <c r="J17" s="675">
        <v>25</v>
      </c>
      <c r="K17" s="693">
        <v>13772</v>
      </c>
      <c r="L17" s="646">
        <v>1.0609999999999999</v>
      </c>
      <c r="M17" s="646">
        <v>1.01</v>
      </c>
      <c r="N17" s="694">
        <f t="shared" si="10"/>
        <v>14758</v>
      </c>
      <c r="O17" s="677">
        <v>1.302</v>
      </c>
      <c r="P17" s="709">
        <v>1.4750000000000001</v>
      </c>
      <c r="Q17" s="695">
        <v>1.01</v>
      </c>
      <c r="R17" s="675">
        <v>12</v>
      </c>
      <c r="S17" s="675">
        <v>10</v>
      </c>
      <c r="T17" s="506">
        <f>18.58-2</f>
        <v>16.579999999999998</v>
      </c>
      <c r="U17" s="506">
        <v>0</v>
      </c>
      <c r="V17" s="508">
        <f t="shared" si="11"/>
        <v>5</v>
      </c>
      <c r="W17" s="506">
        <v>11.58</v>
      </c>
      <c r="X17" s="506">
        <v>7.2</v>
      </c>
      <c r="Y17" s="696">
        <f t="shared" si="12"/>
        <v>204062</v>
      </c>
      <c r="Z17" s="696">
        <f t="shared" si="3"/>
        <v>124138</v>
      </c>
      <c r="AA17" s="693">
        <v>39111</v>
      </c>
      <c r="AB17" s="696">
        <f t="shared" si="13"/>
        <v>11023</v>
      </c>
      <c r="AC17" s="693">
        <v>16242</v>
      </c>
      <c r="AD17" s="696">
        <f t="shared" si="14"/>
        <v>106793</v>
      </c>
      <c r="AE17" s="508">
        <f t="shared" si="15"/>
        <v>1.38</v>
      </c>
      <c r="AF17" s="508">
        <f t="shared" si="16"/>
        <v>1.37</v>
      </c>
      <c r="AG17" s="679">
        <v>1</v>
      </c>
      <c r="AH17" s="679">
        <v>1</v>
      </c>
      <c r="AI17" s="697">
        <f t="shared" si="17"/>
        <v>1.1599999999999999</v>
      </c>
      <c r="AJ17" s="698">
        <v>1</v>
      </c>
      <c r="AK17" s="710">
        <f t="shared" si="23"/>
        <v>1.16164</v>
      </c>
      <c r="AL17" s="698">
        <v>1</v>
      </c>
      <c r="AM17" s="700">
        <f t="shared" si="18"/>
        <v>21768.05</v>
      </c>
      <c r="AN17" s="701">
        <v>34480.699999999997</v>
      </c>
      <c r="AO17" s="702">
        <f t="shared" si="19"/>
        <v>12712.65</v>
      </c>
      <c r="AP17" s="703">
        <v>0.757656</v>
      </c>
      <c r="AQ17" s="704">
        <f t="shared" si="20"/>
        <v>9632</v>
      </c>
      <c r="AR17" s="705">
        <f t="shared" si="21"/>
        <v>36118</v>
      </c>
      <c r="AT17" s="706">
        <f t="shared" si="5"/>
        <v>6</v>
      </c>
      <c r="AV17" s="201">
        <f t="shared" si="22"/>
        <v>136.51</v>
      </c>
    </row>
    <row r="18" spans="1:48" ht="48" x14ac:dyDescent="0.25">
      <c r="A18" s="643" t="s">
        <v>422</v>
      </c>
      <c r="B18" s="692">
        <f t="shared" si="6"/>
        <v>363668</v>
      </c>
      <c r="C18" s="692">
        <f t="shared" si="7"/>
        <v>283337</v>
      </c>
      <c r="D18" s="692">
        <f t="shared" si="8"/>
        <v>80331</v>
      </c>
      <c r="E18" s="692">
        <f t="shared" si="0"/>
        <v>303472</v>
      </c>
      <c r="F18" s="692">
        <f t="shared" si="1"/>
        <v>223141</v>
      </c>
      <c r="G18" s="692">
        <f t="shared" si="9"/>
        <v>80331</v>
      </c>
      <c r="H18" s="675">
        <v>12</v>
      </c>
      <c r="I18" s="675">
        <f t="shared" si="2"/>
        <v>60</v>
      </c>
      <c r="J18" s="675">
        <v>25</v>
      </c>
      <c r="K18" s="693">
        <v>13772</v>
      </c>
      <c r="L18" s="646">
        <v>1.0609999999999999</v>
      </c>
      <c r="M18" s="646">
        <v>1.01</v>
      </c>
      <c r="N18" s="694">
        <f t="shared" si="10"/>
        <v>14758</v>
      </c>
      <c r="O18" s="677">
        <v>1.302</v>
      </c>
      <c r="P18" s="709">
        <v>1.4750000000000001</v>
      </c>
      <c r="Q18" s="695">
        <v>1.01</v>
      </c>
      <c r="R18" s="675">
        <v>12</v>
      </c>
      <c r="S18" s="675">
        <v>6</v>
      </c>
      <c r="T18" s="506">
        <f>18.95-2</f>
        <v>16.95</v>
      </c>
      <c r="U18" s="506">
        <v>0</v>
      </c>
      <c r="V18" s="508">
        <f t="shared" si="11"/>
        <v>5.75</v>
      </c>
      <c r="W18" s="506">
        <v>11.2</v>
      </c>
      <c r="X18" s="506">
        <v>7.2</v>
      </c>
      <c r="Y18" s="696">
        <f t="shared" si="12"/>
        <v>204062</v>
      </c>
      <c r="Z18" s="696">
        <f t="shared" si="3"/>
        <v>113368</v>
      </c>
      <c r="AA18" s="693">
        <v>39111</v>
      </c>
      <c r="AB18" s="696">
        <f t="shared" si="13"/>
        <v>11023</v>
      </c>
      <c r="AC18" s="693">
        <v>16242</v>
      </c>
      <c r="AD18" s="696">
        <f t="shared" si="14"/>
        <v>122812</v>
      </c>
      <c r="AE18" s="508">
        <f t="shared" si="15"/>
        <v>1.36</v>
      </c>
      <c r="AF18" s="508">
        <f t="shared" si="16"/>
        <v>1.4</v>
      </c>
      <c r="AG18" s="679">
        <v>1</v>
      </c>
      <c r="AH18" s="679">
        <v>1</v>
      </c>
      <c r="AI18" s="697">
        <f t="shared" si="17"/>
        <v>1.1599999999999999</v>
      </c>
      <c r="AJ18" s="698">
        <v>1</v>
      </c>
      <c r="AK18" s="710">
        <f t="shared" si="23"/>
        <v>1.16164</v>
      </c>
      <c r="AL18" s="698">
        <v>1</v>
      </c>
      <c r="AM18" s="700">
        <f t="shared" si="18"/>
        <v>21768.05</v>
      </c>
      <c r="AN18" s="701">
        <v>34480.699999999997</v>
      </c>
      <c r="AO18" s="702">
        <f t="shared" si="19"/>
        <v>12712.65</v>
      </c>
      <c r="AP18" s="703">
        <v>0.757656</v>
      </c>
      <c r="AQ18" s="704">
        <f t="shared" si="20"/>
        <v>9632</v>
      </c>
      <c r="AR18" s="705">
        <f t="shared" si="21"/>
        <v>60196</v>
      </c>
      <c r="AT18" s="706">
        <f t="shared" si="5"/>
        <v>10</v>
      </c>
      <c r="AV18" s="201">
        <f t="shared" si="22"/>
        <v>232.59</v>
      </c>
    </row>
    <row r="19" spans="1:48" ht="48" x14ac:dyDescent="0.25">
      <c r="A19" s="643" t="s">
        <v>418</v>
      </c>
      <c r="B19" s="692">
        <f t="shared" si="6"/>
        <v>271149</v>
      </c>
      <c r="C19" s="692">
        <f t="shared" si="7"/>
        <v>208916</v>
      </c>
      <c r="D19" s="692">
        <f t="shared" si="8"/>
        <v>62233</v>
      </c>
      <c r="E19" s="692">
        <f t="shared" si="0"/>
        <v>226002</v>
      </c>
      <c r="F19" s="692">
        <f t="shared" si="1"/>
        <v>163769</v>
      </c>
      <c r="G19" s="692">
        <f t="shared" si="9"/>
        <v>62233</v>
      </c>
      <c r="H19" s="675">
        <v>12</v>
      </c>
      <c r="I19" s="675">
        <f t="shared" si="2"/>
        <v>60</v>
      </c>
      <c r="J19" s="675">
        <v>25</v>
      </c>
      <c r="K19" s="693">
        <v>13772</v>
      </c>
      <c r="L19" s="646">
        <v>1.0609999999999999</v>
      </c>
      <c r="M19" s="646">
        <v>1.01</v>
      </c>
      <c r="N19" s="694">
        <f t="shared" si="10"/>
        <v>14758</v>
      </c>
      <c r="O19" s="677">
        <v>1.302</v>
      </c>
      <c r="P19" s="709">
        <v>1.4750000000000001</v>
      </c>
      <c r="Q19" s="695">
        <v>1.01</v>
      </c>
      <c r="R19" s="675">
        <v>12</v>
      </c>
      <c r="S19" s="675">
        <v>8</v>
      </c>
      <c r="T19" s="506">
        <f>18.58-2</f>
        <v>16.579999999999998</v>
      </c>
      <c r="U19" s="506">
        <v>0</v>
      </c>
      <c r="V19" s="508">
        <f t="shared" si="11"/>
        <v>5</v>
      </c>
      <c r="W19" s="506">
        <v>11.58</v>
      </c>
      <c r="X19" s="506">
        <v>7.2</v>
      </c>
      <c r="Y19" s="696">
        <f t="shared" si="12"/>
        <v>204062</v>
      </c>
      <c r="Z19" s="696">
        <f t="shared" si="3"/>
        <v>124138</v>
      </c>
      <c r="AA19" s="693">
        <v>39111</v>
      </c>
      <c r="AB19" s="696">
        <f t="shared" si="13"/>
        <v>11023</v>
      </c>
      <c r="AC19" s="693">
        <v>16242</v>
      </c>
      <c r="AD19" s="696">
        <f t="shared" si="14"/>
        <v>106793</v>
      </c>
      <c r="AE19" s="508">
        <f t="shared" si="15"/>
        <v>1.38</v>
      </c>
      <c r="AF19" s="508">
        <f t="shared" si="16"/>
        <v>1.37</v>
      </c>
      <c r="AG19" s="679">
        <v>1</v>
      </c>
      <c r="AH19" s="679">
        <v>1</v>
      </c>
      <c r="AI19" s="697">
        <f t="shared" si="17"/>
        <v>1.1599999999999999</v>
      </c>
      <c r="AJ19" s="698">
        <v>1</v>
      </c>
      <c r="AK19" s="710">
        <f t="shared" si="23"/>
        <v>1.16164</v>
      </c>
      <c r="AL19" s="698">
        <v>1</v>
      </c>
      <c r="AM19" s="700">
        <f t="shared" si="18"/>
        <v>21768.05</v>
      </c>
      <c r="AN19" s="701">
        <v>34480.699999999997</v>
      </c>
      <c r="AO19" s="702">
        <f t="shared" si="19"/>
        <v>12712.65</v>
      </c>
      <c r="AP19" s="703">
        <v>0.757656</v>
      </c>
      <c r="AQ19" s="704">
        <f t="shared" si="20"/>
        <v>9632</v>
      </c>
      <c r="AR19" s="705">
        <f t="shared" si="21"/>
        <v>45147</v>
      </c>
      <c r="AT19" s="706">
        <f t="shared" si="5"/>
        <v>7.5</v>
      </c>
      <c r="AV19" s="201">
        <f t="shared" si="22"/>
        <v>170.64</v>
      </c>
    </row>
    <row r="20" spans="1:48" x14ac:dyDescent="0.25">
      <c r="A20" s="708" t="s">
        <v>423</v>
      </c>
      <c r="B20" s="692">
        <f t="shared" si="6"/>
        <v>87473</v>
      </c>
      <c r="C20" s="692">
        <f t="shared" si="7"/>
        <v>77616</v>
      </c>
      <c r="D20" s="692">
        <f t="shared" si="8"/>
        <v>9857</v>
      </c>
      <c r="E20" s="692">
        <f t="shared" si="0"/>
        <v>67841</v>
      </c>
      <c r="F20" s="692">
        <f t="shared" si="1"/>
        <v>57984</v>
      </c>
      <c r="G20" s="692">
        <f t="shared" si="9"/>
        <v>9857</v>
      </c>
      <c r="H20" s="675">
        <v>12</v>
      </c>
      <c r="I20" s="675">
        <f t="shared" si="2"/>
        <v>60</v>
      </c>
      <c r="J20" s="675">
        <v>36</v>
      </c>
      <c r="K20" s="693">
        <v>13772</v>
      </c>
      <c r="L20" s="646">
        <v>1.0609999999999999</v>
      </c>
      <c r="M20" s="646">
        <v>1.01</v>
      </c>
      <c r="N20" s="694">
        <f t="shared" si="10"/>
        <v>14758</v>
      </c>
      <c r="O20" s="677">
        <v>1.302</v>
      </c>
      <c r="P20" s="678">
        <v>1.325</v>
      </c>
      <c r="Q20" s="695">
        <v>1.01</v>
      </c>
      <c r="R20" s="675">
        <v>12</v>
      </c>
      <c r="S20" s="675">
        <v>15</v>
      </c>
      <c r="T20" s="506">
        <f>13.76-2</f>
        <v>11.76</v>
      </c>
      <c r="U20" s="506">
        <v>0</v>
      </c>
      <c r="V20" s="508">
        <f t="shared" si="11"/>
        <v>5.75</v>
      </c>
      <c r="W20" s="506">
        <v>6.01</v>
      </c>
      <c r="X20" s="506">
        <v>5.01</v>
      </c>
      <c r="Y20" s="696">
        <f t="shared" si="12"/>
        <v>127553</v>
      </c>
      <c r="Z20" s="696">
        <f t="shared" si="3"/>
        <v>25460</v>
      </c>
      <c r="AA20" s="693">
        <v>39111</v>
      </c>
      <c r="AB20" s="696">
        <f t="shared" si="13"/>
        <v>11023</v>
      </c>
      <c r="AC20" s="693">
        <v>16242</v>
      </c>
      <c r="AD20" s="696">
        <f t="shared" si="14"/>
        <v>122812</v>
      </c>
      <c r="AE20" s="508">
        <f t="shared" si="15"/>
        <v>1.17</v>
      </c>
      <c r="AF20" s="508">
        <f t="shared" si="16"/>
        <v>1.51</v>
      </c>
      <c r="AG20" s="679">
        <v>1</v>
      </c>
      <c r="AH20" s="679">
        <v>1</v>
      </c>
      <c r="AI20" s="697">
        <f t="shared" si="17"/>
        <v>1.1200000000000001</v>
      </c>
      <c r="AJ20" s="698">
        <v>1</v>
      </c>
      <c r="AK20" s="699">
        <f t="shared" ref="AK20:AK24" si="24">1+(42+3)/365</f>
        <v>1.1232899999999999</v>
      </c>
      <c r="AL20" s="698">
        <v>1</v>
      </c>
      <c r="AM20" s="700">
        <f t="shared" si="18"/>
        <v>19554.349999999999</v>
      </c>
      <c r="AN20" s="701">
        <v>34480.699999999997</v>
      </c>
      <c r="AO20" s="702">
        <f t="shared" si="19"/>
        <v>14926.35</v>
      </c>
      <c r="AP20" s="703">
        <v>0.757656</v>
      </c>
      <c r="AQ20" s="704">
        <f t="shared" si="20"/>
        <v>11309</v>
      </c>
      <c r="AR20" s="705">
        <f t="shared" si="21"/>
        <v>19632</v>
      </c>
      <c r="AT20" s="706">
        <f t="shared" si="5"/>
        <v>4</v>
      </c>
      <c r="AV20" s="201">
        <f t="shared" si="22"/>
        <v>64.55</v>
      </c>
    </row>
    <row r="21" spans="1:48" ht="24" x14ac:dyDescent="0.25">
      <c r="A21" s="643" t="s">
        <v>419</v>
      </c>
      <c r="B21" s="692">
        <f t="shared" si="6"/>
        <v>66725</v>
      </c>
      <c r="C21" s="692">
        <f t="shared" si="7"/>
        <v>57348</v>
      </c>
      <c r="D21" s="692">
        <f t="shared" si="8"/>
        <v>9377</v>
      </c>
      <c r="E21" s="692">
        <f t="shared" si="0"/>
        <v>52001</v>
      </c>
      <c r="F21" s="692">
        <f t="shared" si="1"/>
        <v>42624</v>
      </c>
      <c r="G21" s="692">
        <f t="shared" si="9"/>
        <v>9377</v>
      </c>
      <c r="H21" s="675">
        <v>12</v>
      </c>
      <c r="I21" s="675">
        <f t="shared" si="2"/>
        <v>60</v>
      </c>
      <c r="J21" s="675">
        <v>36</v>
      </c>
      <c r="K21" s="693">
        <v>13772</v>
      </c>
      <c r="L21" s="646">
        <v>1.0609999999999999</v>
      </c>
      <c r="M21" s="646">
        <v>1.01</v>
      </c>
      <c r="N21" s="694">
        <f t="shared" si="10"/>
        <v>14758</v>
      </c>
      <c r="O21" s="677">
        <v>1.302</v>
      </c>
      <c r="P21" s="678">
        <v>1.325</v>
      </c>
      <c r="Q21" s="695">
        <v>1.01</v>
      </c>
      <c r="R21" s="675">
        <v>12</v>
      </c>
      <c r="S21" s="675">
        <v>20</v>
      </c>
      <c r="T21" s="506">
        <f>13.39-2</f>
        <v>11.39</v>
      </c>
      <c r="U21" s="506">
        <v>0</v>
      </c>
      <c r="V21" s="508">
        <f t="shared" si="11"/>
        <v>5</v>
      </c>
      <c r="W21" s="506">
        <v>6.39</v>
      </c>
      <c r="X21" s="506">
        <v>5.01</v>
      </c>
      <c r="Y21" s="696">
        <f t="shared" si="12"/>
        <v>127553</v>
      </c>
      <c r="Z21" s="696">
        <f t="shared" si="3"/>
        <v>35134</v>
      </c>
      <c r="AA21" s="693">
        <v>39111</v>
      </c>
      <c r="AB21" s="696">
        <f t="shared" si="13"/>
        <v>11023</v>
      </c>
      <c r="AC21" s="693">
        <v>16242</v>
      </c>
      <c r="AD21" s="696">
        <f t="shared" si="14"/>
        <v>106793</v>
      </c>
      <c r="AE21" s="508">
        <f t="shared" si="15"/>
        <v>1.22</v>
      </c>
      <c r="AF21" s="508">
        <f t="shared" si="16"/>
        <v>1.48</v>
      </c>
      <c r="AG21" s="679">
        <v>1</v>
      </c>
      <c r="AH21" s="679">
        <v>1</v>
      </c>
      <c r="AI21" s="697">
        <f t="shared" si="17"/>
        <v>1.1200000000000001</v>
      </c>
      <c r="AJ21" s="698">
        <v>1</v>
      </c>
      <c r="AK21" s="699">
        <f t="shared" si="24"/>
        <v>1.1232899999999999</v>
      </c>
      <c r="AL21" s="698">
        <v>1</v>
      </c>
      <c r="AM21" s="700">
        <f t="shared" si="18"/>
        <v>19554.349999999999</v>
      </c>
      <c r="AN21" s="701">
        <v>34480.699999999997</v>
      </c>
      <c r="AO21" s="702">
        <f t="shared" si="19"/>
        <v>14926.35</v>
      </c>
      <c r="AP21" s="703">
        <v>0.757656</v>
      </c>
      <c r="AQ21" s="704">
        <f t="shared" si="20"/>
        <v>11309</v>
      </c>
      <c r="AR21" s="705">
        <f t="shared" si="21"/>
        <v>14724</v>
      </c>
      <c r="AT21" s="706">
        <f t="shared" si="5"/>
        <v>3</v>
      </c>
      <c r="AV21" s="201">
        <f t="shared" si="22"/>
        <v>46.89</v>
      </c>
    </row>
    <row r="22" spans="1:48" x14ac:dyDescent="0.25">
      <c r="A22" s="708" t="s">
        <v>424</v>
      </c>
      <c r="B22" s="692">
        <f t="shared" si="6"/>
        <v>141641</v>
      </c>
      <c r="C22" s="692">
        <f t="shared" si="7"/>
        <v>120622</v>
      </c>
      <c r="D22" s="692">
        <f t="shared" si="8"/>
        <v>21019</v>
      </c>
      <c r="E22" s="692">
        <f t="shared" si="0"/>
        <v>116559</v>
      </c>
      <c r="F22" s="692">
        <f t="shared" si="1"/>
        <v>95540</v>
      </c>
      <c r="G22" s="692">
        <f t="shared" si="9"/>
        <v>21019</v>
      </c>
      <c r="H22" s="675">
        <v>12</v>
      </c>
      <c r="I22" s="675">
        <f t="shared" si="2"/>
        <v>60</v>
      </c>
      <c r="J22" s="675">
        <v>36</v>
      </c>
      <c r="K22" s="693">
        <v>13772</v>
      </c>
      <c r="L22" s="646">
        <v>1.0609999999999999</v>
      </c>
      <c r="M22" s="646">
        <v>1.01</v>
      </c>
      <c r="N22" s="694">
        <f t="shared" si="10"/>
        <v>14758</v>
      </c>
      <c r="O22" s="677">
        <v>1.302</v>
      </c>
      <c r="P22" s="709">
        <v>1.4750000000000001</v>
      </c>
      <c r="Q22" s="695">
        <v>1.01</v>
      </c>
      <c r="R22" s="675">
        <v>12</v>
      </c>
      <c r="S22" s="675">
        <v>10</v>
      </c>
      <c r="T22" s="506">
        <f>14.14-2</f>
        <v>12.14</v>
      </c>
      <c r="U22" s="506">
        <v>0</v>
      </c>
      <c r="V22" s="508">
        <f t="shared" si="11"/>
        <v>5.75</v>
      </c>
      <c r="W22" s="506">
        <v>6.39</v>
      </c>
      <c r="X22" s="506">
        <v>5.01</v>
      </c>
      <c r="Y22" s="696">
        <f t="shared" si="12"/>
        <v>141993</v>
      </c>
      <c r="Z22" s="696">
        <f t="shared" si="3"/>
        <v>39112</v>
      </c>
      <c r="AA22" s="693">
        <v>39111</v>
      </c>
      <c r="AB22" s="696">
        <f t="shared" si="13"/>
        <v>11023</v>
      </c>
      <c r="AC22" s="693">
        <v>16242</v>
      </c>
      <c r="AD22" s="696">
        <f t="shared" si="14"/>
        <v>122812</v>
      </c>
      <c r="AE22" s="508">
        <f t="shared" si="15"/>
        <v>1.22</v>
      </c>
      <c r="AF22" s="508">
        <f t="shared" si="16"/>
        <v>1.49</v>
      </c>
      <c r="AG22" s="679">
        <v>1</v>
      </c>
      <c r="AH22" s="679">
        <v>1</v>
      </c>
      <c r="AI22" s="697">
        <f t="shared" si="17"/>
        <v>1.1200000000000001</v>
      </c>
      <c r="AJ22" s="698">
        <v>1</v>
      </c>
      <c r="AK22" s="699">
        <f t="shared" si="24"/>
        <v>1.1232899999999999</v>
      </c>
      <c r="AL22" s="698">
        <v>1</v>
      </c>
      <c r="AM22" s="700">
        <f t="shared" si="18"/>
        <v>21768.05</v>
      </c>
      <c r="AN22" s="701">
        <v>34480.699999999997</v>
      </c>
      <c r="AO22" s="702">
        <f t="shared" si="19"/>
        <v>12712.65</v>
      </c>
      <c r="AP22" s="703">
        <v>0.757656</v>
      </c>
      <c r="AQ22" s="704">
        <f t="shared" si="20"/>
        <v>9632</v>
      </c>
      <c r="AR22" s="705">
        <f t="shared" si="21"/>
        <v>25082</v>
      </c>
      <c r="AT22" s="706">
        <f t="shared" si="5"/>
        <v>6</v>
      </c>
      <c r="AV22" s="201">
        <f t="shared" si="22"/>
        <v>99.95</v>
      </c>
    </row>
    <row r="23" spans="1:48" ht="24" x14ac:dyDescent="0.25">
      <c r="A23" s="643" t="s">
        <v>420</v>
      </c>
      <c r="B23" s="692">
        <f t="shared" si="6"/>
        <v>101594</v>
      </c>
      <c r="C23" s="692">
        <f t="shared" si="7"/>
        <v>84327</v>
      </c>
      <c r="D23" s="692">
        <f t="shared" si="8"/>
        <v>17267</v>
      </c>
      <c r="E23" s="692">
        <f t="shared" si="0"/>
        <v>83678</v>
      </c>
      <c r="F23" s="692">
        <f t="shared" si="1"/>
        <v>66411</v>
      </c>
      <c r="G23" s="692">
        <f t="shared" si="9"/>
        <v>17267</v>
      </c>
      <c r="H23" s="675">
        <v>12</v>
      </c>
      <c r="I23" s="675">
        <f t="shared" si="2"/>
        <v>60</v>
      </c>
      <c r="J23" s="675">
        <v>36</v>
      </c>
      <c r="K23" s="693">
        <v>13772</v>
      </c>
      <c r="L23" s="646">
        <v>1.0609999999999999</v>
      </c>
      <c r="M23" s="646">
        <v>1.01</v>
      </c>
      <c r="N23" s="694">
        <f t="shared" si="10"/>
        <v>14758</v>
      </c>
      <c r="O23" s="677">
        <v>1.302</v>
      </c>
      <c r="P23" s="709">
        <v>1.4750000000000001</v>
      </c>
      <c r="Q23" s="695">
        <v>1.01</v>
      </c>
      <c r="R23" s="675">
        <v>12</v>
      </c>
      <c r="S23" s="675">
        <v>14</v>
      </c>
      <c r="T23" s="506">
        <f>13.77-2</f>
        <v>11.77</v>
      </c>
      <c r="U23" s="506">
        <v>0</v>
      </c>
      <c r="V23" s="508">
        <f t="shared" si="11"/>
        <v>5</v>
      </c>
      <c r="W23" s="506">
        <v>6.77</v>
      </c>
      <c r="X23" s="506">
        <v>5.01</v>
      </c>
      <c r="Y23" s="696">
        <f t="shared" si="12"/>
        <v>141993</v>
      </c>
      <c r="Z23" s="696">
        <f t="shared" si="3"/>
        <v>49882</v>
      </c>
      <c r="AA23" s="693">
        <v>39111</v>
      </c>
      <c r="AB23" s="696">
        <f t="shared" si="13"/>
        <v>11023</v>
      </c>
      <c r="AC23" s="693">
        <v>16242</v>
      </c>
      <c r="AD23" s="696">
        <f t="shared" si="14"/>
        <v>106793</v>
      </c>
      <c r="AE23" s="508">
        <f t="shared" si="15"/>
        <v>1.26</v>
      </c>
      <c r="AF23" s="508">
        <f t="shared" si="16"/>
        <v>1.45</v>
      </c>
      <c r="AG23" s="679">
        <v>1</v>
      </c>
      <c r="AH23" s="679">
        <v>1</v>
      </c>
      <c r="AI23" s="697">
        <f t="shared" si="17"/>
        <v>1.1200000000000001</v>
      </c>
      <c r="AJ23" s="698">
        <v>1</v>
      </c>
      <c r="AK23" s="699">
        <f t="shared" si="24"/>
        <v>1.1232899999999999</v>
      </c>
      <c r="AL23" s="698">
        <v>1</v>
      </c>
      <c r="AM23" s="700">
        <f t="shared" si="18"/>
        <v>21768.05</v>
      </c>
      <c r="AN23" s="701">
        <v>34480.699999999997</v>
      </c>
      <c r="AO23" s="702">
        <f t="shared" si="19"/>
        <v>12712.65</v>
      </c>
      <c r="AP23" s="703">
        <v>0.757656</v>
      </c>
      <c r="AQ23" s="704">
        <f t="shared" si="20"/>
        <v>9632</v>
      </c>
      <c r="AR23" s="705">
        <f t="shared" si="21"/>
        <v>17916</v>
      </c>
      <c r="AT23" s="706">
        <f t="shared" si="5"/>
        <v>4.2857139999999996</v>
      </c>
      <c r="AV23" s="201">
        <f t="shared" si="22"/>
        <v>69.22</v>
      </c>
    </row>
    <row r="24" spans="1:48" ht="24" hidden="1" customHeight="1" x14ac:dyDescent="0.25">
      <c r="A24" s="644" t="s">
        <v>1476</v>
      </c>
      <c r="B24" s="692">
        <f t="shared" si="6"/>
        <v>126217</v>
      </c>
      <c r="C24" s="692">
        <f t="shared" si="7"/>
        <v>115849</v>
      </c>
      <c r="D24" s="692">
        <f t="shared" si="8"/>
        <v>10368</v>
      </c>
      <c r="E24" s="692">
        <f t="shared" si="0"/>
        <v>96768</v>
      </c>
      <c r="F24" s="692">
        <f t="shared" si="1"/>
        <v>86400</v>
      </c>
      <c r="G24" s="692">
        <f t="shared" si="9"/>
        <v>10368</v>
      </c>
      <c r="H24" s="675">
        <v>24</v>
      </c>
      <c r="I24" s="675">
        <f t="shared" si="2"/>
        <v>120</v>
      </c>
      <c r="J24" s="675">
        <v>36</v>
      </c>
      <c r="K24" s="693">
        <v>13772</v>
      </c>
      <c r="L24" s="646">
        <v>1.0609999999999999</v>
      </c>
      <c r="M24" s="646">
        <v>1.01</v>
      </c>
      <c r="N24" s="694">
        <f t="shared" si="10"/>
        <v>14758</v>
      </c>
      <c r="O24" s="677">
        <v>1.302</v>
      </c>
      <c r="P24" s="678">
        <v>1.325</v>
      </c>
      <c r="Q24" s="695">
        <v>1.01</v>
      </c>
      <c r="R24" s="675">
        <v>12</v>
      </c>
      <c r="S24" s="675">
        <v>20</v>
      </c>
      <c r="T24" s="714">
        <v>60.89</v>
      </c>
      <c r="U24" s="714">
        <v>1</v>
      </c>
      <c r="V24" s="715">
        <f t="shared" si="11"/>
        <v>29.5</v>
      </c>
      <c r="W24" s="714">
        <v>30.39</v>
      </c>
      <c r="X24" s="714">
        <v>26.72</v>
      </c>
      <c r="Y24" s="696">
        <f t="shared" si="12"/>
        <v>680285</v>
      </c>
      <c r="Z24" s="696">
        <f t="shared" si="3"/>
        <v>93437</v>
      </c>
      <c r="AA24" s="693">
        <v>39111</v>
      </c>
      <c r="AB24" s="696">
        <f t="shared" si="13"/>
        <v>55115</v>
      </c>
      <c r="AC24" s="693">
        <v>16242</v>
      </c>
      <c r="AD24" s="696">
        <f t="shared" si="14"/>
        <v>630077</v>
      </c>
      <c r="AE24" s="508">
        <f t="shared" si="15"/>
        <v>1.1200000000000001</v>
      </c>
      <c r="AF24" s="508">
        <f t="shared" si="16"/>
        <v>1.5</v>
      </c>
      <c r="AG24" s="679">
        <v>1</v>
      </c>
      <c r="AH24" s="679">
        <v>1</v>
      </c>
      <c r="AI24" s="697">
        <f t="shared" si="17"/>
        <v>1.1200000000000001</v>
      </c>
      <c r="AJ24" s="698">
        <v>1</v>
      </c>
      <c r="AK24" s="699">
        <f t="shared" si="24"/>
        <v>1.1232899999999999</v>
      </c>
      <c r="AL24" s="698">
        <v>1</v>
      </c>
      <c r="AM24" s="700">
        <f t="shared" si="18"/>
        <v>19554.349999999999</v>
      </c>
      <c r="AN24" s="701">
        <v>34480.699999999997</v>
      </c>
      <c r="AO24" s="702">
        <f t="shared" si="19"/>
        <v>14926.35</v>
      </c>
      <c r="AP24" s="703">
        <v>0.757656</v>
      </c>
      <c r="AQ24" s="704">
        <f t="shared" si="20"/>
        <v>11309</v>
      </c>
      <c r="AR24" s="705">
        <f t="shared" si="21"/>
        <v>29449</v>
      </c>
      <c r="AT24" s="706">
        <f t="shared" si="5"/>
        <v>6</v>
      </c>
    </row>
  </sheetData>
  <mergeCells count="32">
    <mergeCell ref="AV5:AV6"/>
    <mergeCell ref="AT5:AT6"/>
    <mergeCell ref="T5:T6"/>
    <mergeCell ref="U5:X5"/>
    <mergeCell ref="Z5:Z6"/>
    <mergeCell ref="AA5:AB5"/>
    <mergeCell ref="AC5:AD5"/>
    <mergeCell ref="AI5:AI6"/>
    <mergeCell ref="AJ5:AL5"/>
    <mergeCell ref="AM5:AR5"/>
    <mergeCell ref="AF5:AF6"/>
    <mergeCell ref="AG5:AG6"/>
    <mergeCell ref="AH5:AH6"/>
    <mergeCell ref="Y5:Y6"/>
    <mergeCell ref="AE5:AE6"/>
    <mergeCell ref="O5:O6"/>
    <mergeCell ref="P5:P6"/>
    <mergeCell ref="Q5:Q6"/>
    <mergeCell ref="R5:R6"/>
    <mergeCell ref="S5:S6"/>
    <mergeCell ref="N5:N6"/>
    <mergeCell ref="A5:A6"/>
    <mergeCell ref="B5:B6"/>
    <mergeCell ref="C5:D5"/>
    <mergeCell ref="E5:E6"/>
    <mergeCell ref="F5:G5"/>
    <mergeCell ref="H5:H6"/>
    <mergeCell ref="I5:I6"/>
    <mergeCell ref="J5:J6"/>
    <mergeCell ref="K5:K6"/>
    <mergeCell ref="L5:L6"/>
    <mergeCell ref="M5:M6"/>
  </mergeCells>
  <pageMargins left="0" right="0" top="0" bottom="0" header="0.31496062992125984" footer="0.31496062992125984"/>
  <pageSetup paperSize="9" scale="55" fitToWidth="3" fitToHeight="0" orientation="landscape" r:id="rId1"/>
  <colBreaks count="2" manualBreakCount="2">
    <brk id="15" max="1048575" man="1"/>
    <brk id="38" max="1048575" man="1"/>
  </col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40">
    <tabColor rgb="FF00B050"/>
    <pageSetUpPr fitToPage="1"/>
  </sheetPr>
  <dimension ref="A1:S294"/>
  <sheetViews>
    <sheetView view="pageBreakPreview" zoomScaleNormal="100" zoomScaleSheetLayoutView="100" workbookViewId="0">
      <pane xSplit="1" ySplit="30" topLeftCell="B254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G298" sqref="G298"/>
    </sheetView>
  </sheetViews>
  <sheetFormatPr defaultRowHeight="15" x14ac:dyDescent="0.2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6" x14ac:dyDescent="0.25">
      <c r="P1" s="1" t="s">
        <v>955</v>
      </c>
    </row>
    <row r="2" spans="1:16" x14ac:dyDescent="0.25">
      <c r="B2" s="1410" t="s">
        <v>47</v>
      </c>
      <c r="C2" s="1410"/>
      <c r="D2" s="1410"/>
      <c r="E2" s="1410"/>
      <c r="F2" s="1410"/>
      <c r="G2" s="1410"/>
      <c r="H2" s="1410"/>
      <c r="I2" s="1410"/>
      <c r="J2" s="1410"/>
      <c r="K2" s="1410"/>
      <c r="L2" s="1410"/>
      <c r="M2" s="1410"/>
      <c r="N2" s="1410"/>
      <c r="O2" s="1410"/>
      <c r="P2" s="1410"/>
    </row>
    <row r="3" spans="1:16" x14ac:dyDescent="0.25">
      <c r="B3" s="1410" t="s">
        <v>48</v>
      </c>
      <c r="C3" s="1410"/>
      <c r="D3" s="1410"/>
      <c r="E3" s="1410"/>
      <c r="F3" s="1410"/>
      <c r="G3" s="1410"/>
      <c r="H3" s="1410"/>
      <c r="I3" s="1410"/>
      <c r="J3" s="1410"/>
      <c r="K3" s="1410"/>
      <c r="L3" s="1410"/>
      <c r="M3" s="1410"/>
      <c r="N3" s="1410"/>
      <c r="O3" s="1410"/>
      <c r="P3" s="1410"/>
    </row>
    <row r="4" spans="1:16" x14ac:dyDescent="0.25">
      <c r="B4" s="1410" t="s">
        <v>250</v>
      </c>
      <c r="C4" s="1410"/>
      <c r="D4" s="1410"/>
      <c r="E4" s="1410"/>
      <c r="F4" s="1410"/>
      <c r="G4" s="1410"/>
      <c r="H4" s="1410"/>
      <c r="I4" s="1410"/>
      <c r="J4" s="1410"/>
      <c r="K4" s="1410"/>
      <c r="L4" s="1410"/>
      <c r="M4" s="1410"/>
      <c r="N4" s="1410"/>
      <c r="O4" s="1410"/>
      <c r="P4" s="1410"/>
    </row>
    <row r="5" spans="1:16" x14ac:dyDescent="0.25">
      <c r="B5" s="1411" t="s">
        <v>776</v>
      </c>
      <c r="C5" s="1411"/>
      <c r="D5" s="1411"/>
      <c r="E5" s="1411"/>
      <c r="F5" s="1411"/>
      <c r="G5" s="1411"/>
      <c r="H5" s="1411"/>
      <c r="I5" s="1411"/>
      <c r="J5" s="1411"/>
      <c r="K5" s="1411"/>
      <c r="L5" s="1411"/>
      <c r="M5" s="1411"/>
      <c r="N5" s="1411"/>
      <c r="O5" s="1411"/>
      <c r="P5" s="1411"/>
    </row>
    <row r="6" spans="1:16" x14ac:dyDescent="0.25"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</row>
    <row r="7" spans="1:16" hidden="1" x14ac:dyDescent="0.25">
      <c r="A7" s="1" t="s">
        <v>777</v>
      </c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</row>
    <row r="8" spans="1:16" hidden="1" x14ac:dyDescent="0.25">
      <c r="A8" s="31" t="s">
        <v>778</v>
      </c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</row>
    <row r="9" spans="1:16" hidden="1" x14ac:dyDescent="0.25">
      <c r="A9" s="31" t="s">
        <v>779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</row>
    <row r="10" spans="1:16" hidden="1" x14ac:dyDescent="0.25">
      <c r="A10" s="31" t="s">
        <v>780</v>
      </c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</row>
    <row r="11" spans="1:16" hidden="1" x14ac:dyDescent="0.25">
      <c r="A11" s="31" t="s">
        <v>781</v>
      </c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</row>
    <row r="12" spans="1:16" hidden="1" x14ac:dyDescent="0.25">
      <c r="A12" s="31" t="s">
        <v>782</v>
      </c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</row>
    <row r="13" spans="1:16" hidden="1" x14ac:dyDescent="0.25">
      <c r="A13" s="31" t="s">
        <v>783</v>
      </c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</row>
    <row r="14" spans="1:16" hidden="1" x14ac:dyDescent="0.25">
      <c r="A14" s="31" t="s">
        <v>784</v>
      </c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</row>
    <row r="15" spans="1:16" hidden="1" x14ac:dyDescent="0.25">
      <c r="A15" s="31" t="s">
        <v>785</v>
      </c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</row>
    <row r="16" spans="1:16" hidden="1" x14ac:dyDescent="0.25">
      <c r="A16" s="31" t="s">
        <v>786</v>
      </c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</row>
    <row r="17" spans="1:17" hidden="1" x14ac:dyDescent="0.25">
      <c r="A17" s="31" t="s">
        <v>787</v>
      </c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</row>
    <row r="18" spans="1:17" hidden="1" x14ac:dyDescent="0.25">
      <c r="A18" s="31" t="s">
        <v>788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</row>
    <row r="19" spans="1:17" hidden="1" x14ac:dyDescent="0.25">
      <c r="A19" s="31" t="s">
        <v>789</v>
      </c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</row>
    <row r="20" spans="1:17" hidden="1" x14ac:dyDescent="0.25">
      <c r="A20" s="34" t="s">
        <v>790</v>
      </c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</row>
    <row r="21" spans="1:17" hidden="1" x14ac:dyDescent="0.25">
      <c r="A21" s="34" t="s">
        <v>791</v>
      </c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</row>
    <row r="22" spans="1:17" hidden="1" x14ac:dyDescent="0.25">
      <c r="A22" s="34" t="s">
        <v>792</v>
      </c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</row>
    <row r="23" spans="1:17" hidden="1" x14ac:dyDescent="0.25">
      <c r="A23" s="34" t="s">
        <v>793</v>
      </c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</row>
    <row r="24" spans="1:17" hidden="1" x14ac:dyDescent="0.25">
      <c r="A24" s="34" t="s">
        <v>794</v>
      </c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</row>
    <row r="25" spans="1:17" hidden="1" x14ac:dyDescent="0.25">
      <c r="A25" s="34" t="s">
        <v>795</v>
      </c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</row>
    <row r="26" spans="1:17" hidden="1" x14ac:dyDescent="0.25">
      <c r="A26" s="34" t="s">
        <v>796</v>
      </c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</row>
    <row r="27" spans="1:17" hidden="1" x14ac:dyDescent="0.25">
      <c r="A27" s="34" t="s">
        <v>797</v>
      </c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</row>
    <row r="28" spans="1:17" ht="60" customHeight="1" x14ac:dyDescent="0.25">
      <c r="A28" s="1567" t="s">
        <v>220</v>
      </c>
      <c r="B28" s="1309" t="s">
        <v>3</v>
      </c>
      <c r="C28" s="1563" t="s">
        <v>49</v>
      </c>
      <c r="D28" s="1563" t="s">
        <v>240</v>
      </c>
      <c r="E28" s="1568" t="s">
        <v>204</v>
      </c>
      <c r="F28" s="1569"/>
      <c r="G28" s="1563" t="s">
        <v>57</v>
      </c>
      <c r="H28" s="1414" t="s">
        <v>31</v>
      </c>
      <c r="I28" s="1415"/>
      <c r="J28" s="1416"/>
      <c r="K28" s="1563" t="s">
        <v>62</v>
      </c>
      <c r="L28" s="1563" t="s">
        <v>61</v>
      </c>
      <c r="M28" s="1414" t="s">
        <v>31</v>
      </c>
      <c r="N28" s="1415"/>
      <c r="O28" s="1416"/>
      <c r="P28" s="1329" t="s">
        <v>50</v>
      </c>
      <c r="Q28" s="1566" t="s">
        <v>194</v>
      </c>
    </row>
    <row r="29" spans="1:17" ht="64.5" customHeight="1" x14ac:dyDescent="0.25">
      <c r="A29" s="1401"/>
      <c r="B29" s="1311"/>
      <c r="C29" s="1403"/>
      <c r="D29" s="1403"/>
      <c r="E29" s="38" t="s">
        <v>191</v>
      </c>
      <c r="F29" s="38" t="s">
        <v>192</v>
      </c>
      <c r="G29" s="1403"/>
      <c r="H29" s="38" t="s">
        <v>146</v>
      </c>
      <c r="I29" s="38" t="s">
        <v>223</v>
      </c>
      <c r="J29" s="38" t="s">
        <v>147</v>
      </c>
      <c r="K29" s="1403"/>
      <c r="L29" s="1403"/>
      <c r="M29" s="38" t="s">
        <v>146</v>
      </c>
      <c r="N29" s="38" t="s">
        <v>223</v>
      </c>
      <c r="O29" s="38" t="s">
        <v>147</v>
      </c>
      <c r="P29" s="1331"/>
      <c r="Q29" s="1409"/>
    </row>
    <row r="30" spans="1:17" ht="33.75" x14ac:dyDescent="0.25">
      <c r="A30" s="59">
        <v>1</v>
      </c>
      <c r="B30" s="194">
        <v>2</v>
      </c>
      <c r="C30" s="3">
        <v>3</v>
      </c>
      <c r="D30" s="3">
        <v>4</v>
      </c>
      <c r="E30" s="3">
        <v>5</v>
      </c>
      <c r="F30" s="3">
        <v>6</v>
      </c>
      <c r="G30" s="3" t="s">
        <v>252</v>
      </c>
      <c r="H30" s="3" t="s">
        <v>253</v>
      </c>
      <c r="I30" s="3" t="s">
        <v>254</v>
      </c>
      <c r="J30" s="3">
        <v>9</v>
      </c>
      <c r="K30" s="3">
        <v>10</v>
      </c>
      <c r="L30" s="3" t="s">
        <v>255</v>
      </c>
      <c r="M30" s="3" t="s">
        <v>256</v>
      </c>
      <c r="N30" s="3" t="s">
        <v>257</v>
      </c>
      <c r="O30" s="3" t="s">
        <v>258</v>
      </c>
      <c r="P30" s="3">
        <v>14</v>
      </c>
      <c r="Q30" s="3">
        <v>15</v>
      </c>
    </row>
    <row r="31" spans="1:17" x14ac:dyDescent="0.25">
      <c r="A31" s="52"/>
      <c r="B31" s="1561" t="s">
        <v>71</v>
      </c>
      <c r="C31" s="1561"/>
      <c r="D31" s="1561"/>
      <c r="E31" s="1561"/>
      <c r="F31" s="1561"/>
      <c r="G31" s="1561"/>
      <c r="H31" s="1561"/>
      <c r="I31" s="1561"/>
      <c r="J31" s="1561"/>
      <c r="K31" s="1561"/>
      <c r="L31" s="1561"/>
      <c r="M31" s="1561"/>
      <c r="N31" s="1561"/>
      <c r="O31" s="1561"/>
      <c r="P31" s="1562"/>
      <c r="Q31" s="53"/>
    </row>
    <row r="32" spans="1:17" ht="22.5" x14ac:dyDescent="0.25">
      <c r="A32" s="47"/>
      <c r="B32" s="37" t="s">
        <v>52</v>
      </c>
      <c r="C32" s="19">
        <v>5</v>
      </c>
      <c r="D32" s="21">
        <v>718</v>
      </c>
      <c r="E32" s="21">
        <f>1+2+2+1+1</f>
        <v>7</v>
      </c>
      <c r="F32" s="21">
        <f>1*52/10</f>
        <v>5</v>
      </c>
      <c r="G32" s="22">
        <f>(E32+F32)/D32/C32</f>
        <v>3.3400000000000001E-3</v>
      </c>
      <c r="H32" s="22">
        <f>G32-J32</f>
        <v>3.3400000000000001E-3</v>
      </c>
      <c r="I32" s="22">
        <f>(F32)/D32/C32</f>
        <v>1.39E-3</v>
      </c>
      <c r="J32" s="22"/>
      <c r="K32" s="19">
        <v>40000</v>
      </c>
      <c r="L32" s="23">
        <f>G32*K32</f>
        <v>133.6</v>
      </c>
      <c r="M32" s="23">
        <f>H32*K32</f>
        <v>133.6</v>
      </c>
      <c r="N32" s="23">
        <f>I32*K32</f>
        <v>55.6</v>
      </c>
      <c r="O32" s="23">
        <f>L32-M32</f>
        <v>0</v>
      </c>
      <c r="P32" s="20" t="s">
        <v>798</v>
      </c>
      <c r="Q32" s="20"/>
    </row>
    <row r="33" spans="1:17" ht="22.5" x14ac:dyDescent="0.25">
      <c r="A33" s="47"/>
      <c r="B33" s="37" t="s">
        <v>53</v>
      </c>
      <c r="C33" s="19">
        <v>5</v>
      </c>
      <c r="D33" s="21">
        <v>718</v>
      </c>
      <c r="E33" s="24">
        <f>E32</f>
        <v>7</v>
      </c>
      <c r="F33" s="24">
        <f>F32</f>
        <v>5</v>
      </c>
      <c r="G33" s="22">
        <f>(E33+F33)/D33/C33</f>
        <v>3.3400000000000001E-3</v>
      </c>
      <c r="H33" s="22">
        <f t="shared" ref="H33:H39" si="0">G33-J33</f>
        <v>3.3400000000000001E-3</v>
      </c>
      <c r="I33" s="22">
        <f>(F33)/D33/C33</f>
        <v>1.39E-3</v>
      </c>
      <c r="J33" s="22"/>
      <c r="K33" s="19">
        <v>6700</v>
      </c>
      <c r="L33" s="23">
        <f>G33*K33</f>
        <v>22.38</v>
      </c>
      <c r="M33" s="23">
        <f t="shared" ref="M33:M39" si="1">H33*K33</f>
        <v>22.38</v>
      </c>
      <c r="N33" s="23">
        <f t="shared" ref="N33:N39" si="2">I33*K33</f>
        <v>9.31</v>
      </c>
      <c r="O33" s="23">
        <f t="shared" ref="O33:O39" si="3">L33-M33</f>
        <v>0</v>
      </c>
      <c r="P33" s="20" t="s">
        <v>798</v>
      </c>
      <c r="Q33" s="20"/>
    </row>
    <row r="34" spans="1:17" ht="33.75" x14ac:dyDescent="0.25">
      <c r="A34" s="47"/>
      <c r="B34" s="37" t="s">
        <v>54</v>
      </c>
      <c r="C34" s="19">
        <v>5</v>
      </c>
      <c r="D34" s="21">
        <v>718</v>
      </c>
      <c r="E34" s="21">
        <v>1</v>
      </c>
      <c r="F34" s="21"/>
      <c r="G34" s="22">
        <f>(E34+F34)/D34/C34</f>
        <v>2.7999999999999998E-4</v>
      </c>
      <c r="H34" s="22">
        <f t="shared" si="0"/>
        <v>2.7999999999999998E-4</v>
      </c>
      <c r="I34" s="22"/>
      <c r="J34" s="22"/>
      <c r="K34" s="19">
        <v>25800</v>
      </c>
      <c r="L34" s="23">
        <f>G34*K34</f>
        <v>7.22</v>
      </c>
      <c r="M34" s="23">
        <f t="shared" si="1"/>
        <v>7.22</v>
      </c>
      <c r="N34" s="23">
        <f t="shared" si="2"/>
        <v>0</v>
      </c>
      <c r="O34" s="23">
        <f t="shared" si="3"/>
        <v>0</v>
      </c>
      <c r="P34" s="19" t="s">
        <v>64</v>
      </c>
      <c r="Q34" s="20"/>
    </row>
    <row r="35" spans="1:17" x14ac:dyDescent="0.25">
      <c r="A35" s="47"/>
      <c r="B35" s="37" t="s">
        <v>55</v>
      </c>
      <c r="C35" s="19">
        <v>5</v>
      </c>
      <c r="D35" s="21">
        <v>718</v>
      </c>
      <c r="E35" s="21">
        <v>1</v>
      </c>
      <c r="F35" s="21"/>
      <c r="G35" s="22">
        <f>(E35+F35)/D35/C35</f>
        <v>2.7999999999999998E-4</v>
      </c>
      <c r="H35" s="22">
        <f t="shared" si="0"/>
        <v>2.7999999999999998E-4</v>
      </c>
      <c r="I35" s="22"/>
      <c r="J35" s="22"/>
      <c r="K35" s="19">
        <v>7500</v>
      </c>
      <c r="L35" s="23">
        <f>G35*K35</f>
        <v>2.1</v>
      </c>
      <c r="M35" s="23">
        <f t="shared" si="1"/>
        <v>2.1</v>
      </c>
      <c r="N35" s="23">
        <f t="shared" si="2"/>
        <v>0</v>
      </c>
      <c r="O35" s="23">
        <f t="shared" si="3"/>
        <v>0</v>
      </c>
      <c r="P35" s="19" t="s">
        <v>63</v>
      </c>
      <c r="Q35" s="20"/>
    </row>
    <row r="36" spans="1:17" ht="22.5" x14ac:dyDescent="0.25">
      <c r="A36" s="47"/>
      <c r="B36" s="37" t="s">
        <v>59</v>
      </c>
      <c r="C36" s="19">
        <v>1</v>
      </c>
      <c r="D36" s="21">
        <v>718</v>
      </c>
      <c r="E36" s="24">
        <f>1*E33/5</f>
        <v>1</v>
      </c>
      <c r="F36" s="24">
        <f>1*F33/5</f>
        <v>1</v>
      </c>
      <c r="G36" s="22">
        <f t="shared" ref="G36:G96" si="4">(E36+F36)/D36/C36</f>
        <v>2.7899999999999999E-3</v>
      </c>
      <c r="H36" s="22">
        <f t="shared" si="0"/>
        <v>2.7899999999999999E-3</v>
      </c>
      <c r="I36" s="22">
        <f>(F36)/D36/C36</f>
        <v>1.39E-3</v>
      </c>
      <c r="J36" s="22"/>
      <c r="K36" s="19">
        <v>7000</v>
      </c>
      <c r="L36" s="23">
        <f t="shared" ref="L36:L96" si="5">G36*K36</f>
        <v>19.53</v>
      </c>
      <c r="M36" s="23">
        <f t="shared" si="1"/>
        <v>19.53</v>
      </c>
      <c r="N36" s="23">
        <f t="shared" si="2"/>
        <v>9.73</v>
      </c>
      <c r="O36" s="23">
        <f t="shared" si="3"/>
        <v>0</v>
      </c>
      <c r="P36" s="19" t="s">
        <v>193</v>
      </c>
      <c r="Q36" s="20"/>
    </row>
    <row r="37" spans="1:17" x14ac:dyDescent="0.25">
      <c r="A37" s="47"/>
      <c r="B37" s="37" t="s">
        <v>60</v>
      </c>
      <c r="C37" s="19">
        <v>1</v>
      </c>
      <c r="D37" s="21">
        <v>718</v>
      </c>
      <c r="E37" s="24">
        <f>1*E34</f>
        <v>1</v>
      </c>
      <c r="F37" s="24">
        <f>1*F34</f>
        <v>0</v>
      </c>
      <c r="G37" s="22">
        <f t="shared" si="4"/>
        <v>1.39E-3</v>
      </c>
      <c r="H37" s="22">
        <f t="shared" si="0"/>
        <v>1.39E-3</v>
      </c>
      <c r="I37" s="22"/>
      <c r="J37" s="22"/>
      <c r="K37" s="19">
        <v>9000</v>
      </c>
      <c r="L37" s="23">
        <f t="shared" si="5"/>
        <v>12.51</v>
      </c>
      <c r="M37" s="23">
        <f t="shared" si="1"/>
        <v>12.51</v>
      </c>
      <c r="N37" s="23">
        <f t="shared" si="2"/>
        <v>0</v>
      </c>
      <c r="O37" s="23">
        <f t="shared" si="3"/>
        <v>0</v>
      </c>
      <c r="P37" s="19" t="s">
        <v>58</v>
      </c>
      <c r="Q37" s="20"/>
    </row>
    <row r="38" spans="1:17" ht="22.5" x14ac:dyDescent="0.25">
      <c r="A38" s="47"/>
      <c r="B38" s="37" t="s">
        <v>56</v>
      </c>
      <c r="C38" s="19">
        <v>1</v>
      </c>
      <c r="D38" s="21">
        <v>718</v>
      </c>
      <c r="E38" s="24">
        <f>1*E35*12</f>
        <v>12</v>
      </c>
      <c r="F38" s="24">
        <f>1*F35*12</f>
        <v>0</v>
      </c>
      <c r="G38" s="22">
        <f t="shared" si="4"/>
        <v>1.6709999999999999E-2</v>
      </c>
      <c r="H38" s="22">
        <f t="shared" si="0"/>
        <v>1.6709999999999999E-2</v>
      </c>
      <c r="I38" s="22"/>
      <c r="J38" s="22"/>
      <c r="K38" s="19">
        <v>90</v>
      </c>
      <c r="L38" s="23">
        <f t="shared" si="5"/>
        <v>1.5</v>
      </c>
      <c r="M38" s="23">
        <f t="shared" si="1"/>
        <v>1.5</v>
      </c>
      <c r="N38" s="23">
        <f t="shared" si="2"/>
        <v>0</v>
      </c>
      <c r="O38" s="23">
        <f t="shared" si="3"/>
        <v>0</v>
      </c>
      <c r="P38" s="19" t="s">
        <v>65</v>
      </c>
      <c r="Q38" s="20"/>
    </row>
    <row r="39" spans="1:17" ht="33.75" x14ac:dyDescent="0.25">
      <c r="A39" s="47"/>
      <c r="B39" s="37" t="s">
        <v>51</v>
      </c>
      <c r="C39" s="19">
        <v>1</v>
      </c>
      <c r="D39" s="21">
        <v>718</v>
      </c>
      <c r="E39" s="21">
        <f>(2+4+1+2)*12</f>
        <v>108</v>
      </c>
      <c r="F39" s="21">
        <f>2*52*4</f>
        <v>416</v>
      </c>
      <c r="G39" s="22">
        <f t="shared" si="4"/>
        <v>0.72980999999999996</v>
      </c>
      <c r="H39" s="22">
        <f t="shared" si="0"/>
        <v>0.72980999999999996</v>
      </c>
      <c r="I39" s="22">
        <f>(F39)/D39/C39</f>
        <v>0.57938999999999996</v>
      </c>
      <c r="J39" s="22"/>
      <c r="K39" s="19">
        <v>220</v>
      </c>
      <c r="L39" s="23">
        <f t="shared" si="5"/>
        <v>160.56</v>
      </c>
      <c r="M39" s="23">
        <f t="shared" si="1"/>
        <v>160.56</v>
      </c>
      <c r="N39" s="23">
        <f t="shared" si="2"/>
        <v>127.47</v>
      </c>
      <c r="O39" s="23">
        <f t="shared" si="3"/>
        <v>0</v>
      </c>
      <c r="P39" s="20" t="s">
        <v>799</v>
      </c>
      <c r="Q39" s="20"/>
    </row>
    <row r="40" spans="1:17" x14ac:dyDescent="0.25">
      <c r="A40" s="47"/>
      <c r="B40" s="1564" t="s">
        <v>66</v>
      </c>
      <c r="C40" s="1564"/>
      <c r="D40" s="1564"/>
      <c r="E40" s="1564"/>
      <c r="F40" s="1564"/>
      <c r="G40" s="1564"/>
      <c r="H40" s="1564"/>
      <c r="I40" s="1564"/>
      <c r="J40" s="1564"/>
      <c r="K40" s="1564"/>
      <c r="L40" s="1564"/>
      <c r="M40" s="1564"/>
      <c r="N40" s="1564"/>
      <c r="O40" s="1564"/>
      <c r="P40" s="1565"/>
      <c r="Q40" s="20"/>
    </row>
    <row r="41" spans="1:17" ht="45" x14ac:dyDescent="0.25">
      <c r="A41" s="47"/>
      <c r="B41" s="37" t="s">
        <v>67</v>
      </c>
      <c r="C41" s="19">
        <v>3</v>
      </c>
      <c r="D41" s="21">
        <v>718</v>
      </c>
      <c r="E41" s="25">
        <f>1*7+1+1</f>
        <v>9</v>
      </c>
      <c r="F41" s="25">
        <f>1*52</f>
        <v>52</v>
      </c>
      <c r="G41" s="22">
        <f t="shared" si="4"/>
        <v>2.8320000000000001E-2</v>
      </c>
      <c r="H41" s="22">
        <f>G41-J41</f>
        <v>2.8320000000000001E-2</v>
      </c>
      <c r="I41" s="22"/>
      <c r="J41" s="22"/>
      <c r="K41" s="19">
        <v>500</v>
      </c>
      <c r="L41" s="23">
        <f t="shared" si="5"/>
        <v>14.16</v>
      </c>
      <c r="M41" s="23">
        <f>H41*K41</f>
        <v>14.16</v>
      </c>
      <c r="N41" s="23">
        <f>I41*K41</f>
        <v>0</v>
      </c>
      <c r="O41" s="23">
        <f>L41-M41</f>
        <v>0</v>
      </c>
      <c r="P41" s="20" t="s">
        <v>141</v>
      </c>
      <c r="Q41" s="20"/>
    </row>
    <row r="42" spans="1:17" x14ac:dyDescent="0.25">
      <c r="A42" s="47"/>
      <c r="B42" s="37" t="s">
        <v>68</v>
      </c>
      <c r="C42" s="19">
        <v>5</v>
      </c>
      <c r="D42" s="21">
        <v>718</v>
      </c>
      <c r="E42" s="21">
        <v>2</v>
      </c>
      <c r="F42" s="21"/>
      <c r="G42" s="22">
        <f t="shared" si="4"/>
        <v>5.5999999999999995E-4</v>
      </c>
      <c r="H42" s="22">
        <f>G42-J42</f>
        <v>5.5999999999999995E-4</v>
      </c>
      <c r="I42" s="22"/>
      <c r="J42" s="22"/>
      <c r="K42" s="19">
        <v>5500</v>
      </c>
      <c r="L42" s="23">
        <f t="shared" si="5"/>
        <v>3.08</v>
      </c>
      <c r="M42" s="23">
        <f>H42*K42</f>
        <v>3.08</v>
      </c>
      <c r="N42" s="23">
        <f>I42*K42</f>
        <v>0</v>
      </c>
      <c r="O42" s="23">
        <f>L42-M42</f>
        <v>0</v>
      </c>
      <c r="P42" s="19" t="s">
        <v>69</v>
      </c>
      <c r="Q42" s="20"/>
    </row>
    <row r="43" spans="1:17" x14ac:dyDescent="0.25">
      <c r="A43" s="47"/>
      <c r="B43" s="44" t="s">
        <v>212</v>
      </c>
      <c r="C43" s="40"/>
      <c r="D43" s="41"/>
      <c r="E43" s="41"/>
      <c r="F43" s="41"/>
      <c r="G43" s="42"/>
      <c r="H43" s="42"/>
      <c r="I43" s="42"/>
      <c r="J43" s="42"/>
      <c r="K43" s="40"/>
      <c r="L43" s="43">
        <f>SUM(L32:L39,L41:L42)</f>
        <v>376.64</v>
      </c>
      <c r="M43" s="43">
        <f>SUM(M32:M39,M41:M42)</f>
        <v>376.64</v>
      </c>
      <c r="N43" s="43">
        <f>SUM(N32:N39,N41:N42)</f>
        <v>202.11</v>
      </c>
      <c r="O43" s="43">
        <f>SUM(O32:O39,O41:O42)</f>
        <v>0</v>
      </c>
      <c r="P43" s="40"/>
      <c r="Q43" s="20"/>
    </row>
    <row r="44" spans="1:17" x14ac:dyDescent="0.25">
      <c r="A44" s="47" t="s">
        <v>221</v>
      </c>
      <c r="B44" s="44"/>
      <c r="C44" s="40"/>
      <c r="D44" s="41"/>
      <c r="E44" s="41"/>
      <c r="F44" s="41"/>
      <c r="G44" s="42"/>
      <c r="H44" s="42"/>
      <c r="I44" s="42"/>
      <c r="J44" s="42"/>
      <c r="K44" s="40"/>
      <c r="L44" s="43">
        <f>SUM(M44:O44)</f>
        <v>202.11</v>
      </c>
      <c r="M44" s="43"/>
      <c r="N44" s="43">
        <f>N43</f>
        <v>202.11</v>
      </c>
      <c r="O44" s="43"/>
      <c r="P44" s="40" t="s">
        <v>294</v>
      </c>
      <c r="Q44" s="20"/>
    </row>
    <row r="45" spans="1:17" x14ac:dyDescent="0.25">
      <c r="A45" s="47" t="s">
        <v>222</v>
      </c>
      <c r="B45" s="44"/>
      <c r="C45" s="40"/>
      <c r="D45" s="41"/>
      <c r="E45" s="41"/>
      <c r="F45" s="41"/>
      <c r="G45" s="42"/>
      <c r="H45" s="42"/>
      <c r="I45" s="42"/>
      <c r="J45" s="42"/>
      <c r="K45" s="40"/>
      <c r="L45" s="43">
        <f>SUM(M45:O45)</f>
        <v>174.53</v>
      </c>
      <c r="M45" s="43">
        <f>M43-N44</f>
        <v>174.53</v>
      </c>
      <c r="N45" s="43"/>
      <c r="O45" s="43"/>
      <c r="P45" s="40" t="s">
        <v>294</v>
      </c>
      <c r="Q45" s="20"/>
    </row>
    <row r="46" spans="1:17" x14ac:dyDescent="0.25">
      <c r="A46" s="52"/>
      <c r="B46" s="1561" t="s">
        <v>70</v>
      </c>
      <c r="C46" s="1561"/>
      <c r="D46" s="1561"/>
      <c r="E46" s="1561"/>
      <c r="F46" s="1561"/>
      <c r="G46" s="1561"/>
      <c r="H46" s="1561"/>
      <c r="I46" s="1561"/>
      <c r="J46" s="1561"/>
      <c r="K46" s="1561"/>
      <c r="L46" s="1561"/>
      <c r="M46" s="1561"/>
      <c r="N46" s="1561"/>
      <c r="O46" s="1561"/>
      <c r="P46" s="1562"/>
      <c r="Q46" s="53"/>
    </row>
    <row r="47" spans="1:17" ht="22.5" x14ac:dyDescent="0.25">
      <c r="A47" s="47"/>
      <c r="B47" s="37" t="s">
        <v>72</v>
      </c>
      <c r="C47" s="19">
        <v>1</v>
      </c>
      <c r="D47" s="21">
        <v>718</v>
      </c>
      <c r="E47" s="21">
        <f>7*1</f>
        <v>7</v>
      </c>
      <c r="F47" s="25">
        <f>52</f>
        <v>52</v>
      </c>
      <c r="G47" s="22">
        <f t="shared" si="4"/>
        <v>8.2170000000000007E-2</v>
      </c>
      <c r="H47" s="22">
        <f t="shared" ref="H47:H87" si="6">G47-J47</f>
        <v>8.2170000000000007E-2</v>
      </c>
      <c r="I47" s="22">
        <f t="shared" ref="I47:I87" si="7">(F47)/D47/C47</f>
        <v>7.2419999999999998E-2</v>
      </c>
      <c r="J47" s="22"/>
      <c r="K47" s="19">
        <v>170</v>
      </c>
      <c r="L47" s="23">
        <f t="shared" si="5"/>
        <v>13.97</v>
      </c>
      <c r="M47" s="23">
        <f t="shared" ref="M47:M87" si="8">H47*K47</f>
        <v>13.97</v>
      </c>
      <c r="N47" s="23">
        <f t="shared" ref="N47:N87" si="9">I47*K47</f>
        <v>12.31</v>
      </c>
      <c r="O47" s="23">
        <f t="shared" ref="O47:O87" si="10">L47-M47</f>
        <v>0</v>
      </c>
      <c r="P47" s="19" t="s">
        <v>142</v>
      </c>
      <c r="Q47" s="20"/>
    </row>
    <row r="48" spans="1:17" x14ac:dyDescent="0.25">
      <c r="A48" s="47"/>
      <c r="B48" s="37" t="s">
        <v>73</v>
      </c>
      <c r="C48" s="19">
        <v>5</v>
      </c>
      <c r="D48" s="21">
        <v>718</v>
      </c>
      <c r="E48" s="21">
        <f>7*1</f>
        <v>7</v>
      </c>
      <c r="F48" s="25">
        <f>52</f>
        <v>52</v>
      </c>
      <c r="G48" s="22">
        <f t="shared" si="4"/>
        <v>1.643E-2</v>
      </c>
      <c r="H48" s="22">
        <f t="shared" si="6"/>
        <v>1.643E-2</v>
      </c>
      <c r="I48" s="22">
        <f t="shared" si="7"/>
        <v>1.448E-2</v>
      </c>
      <c r="J48" s="22"/>
      <c r="K48" s="19">
        <v>360</v>
      </c>
      <c r="L48" s="23">
        <f t="shared" si="5"/>
        <v>5.91</v>
      </c>
      <c r="M48" s="23">
        <f t="shared" si="8"/>
        <v>5.91</v>
      </c>
      <c r="N48" s="23">
        <f t="shared" si="9"/>
        <v>5.21</v>
      </c>
      <c r="O48" s="23">
        <f t="shared" si="10"/>
        <v>0</v>
      </c>
      <c r="P48" s="19" t="s">
        <v>142</v>
      </c>
      <c r="Q48" s="20"/>
    </row>
    <row r="49" spans="1:17" x14ac:dyDescent="0.25">
      <c r="A49" s="47"/>
      <c r="B49" s="37" t="s">
        <v>74</v>
      </c>
      <c r="C49" s="19">
        <v>3</v>
      </c>
      <c r="D49" s="21">
        <v>718</v>
      </c>
      <c r="E49" s="21">
        <f>7*1</f>
        <v>7</v>
      </c>
      <c r="F49" s="25">
        <f>52</f>
        <v>52</v>
      </c>
      <c r="G49" s="22">
        <f t="shared" si="4"/>
        <v>2.7390000000000001E-2</v>
      </c>
      <c r="H49" s="22">
        <f t="shared" si="6"/>
        <v>2.7390000000000001E-2</v>
      </c>
      <c r="I49" s="22">
        <f t="shared" si="7"/>
        <v>2.4140000000000002E-2</v>
      </c>
      <c r="J49" s="22"/>
      <c r="K49" s="19">
        <v>20</v>
      </c>
      <c r="L49" s="23">
        <f t="shared" si="5"/>
        <v>0.55000000000000004</v>
      </c>
      <c r="M49" s="23">
        <f t="shared" si="8"/>
        <v>0.55000000000000004</v>
      </c>
      <c r="N49" s="23">
        <f t="shared" si="9"/>
        <v>0.48</v>
      </c>
      <c r="O49" s="23">
        <f t="shared" si="10"/>
        <v>0</v>
      </c>
      <c r="P49" s="19" t="s">
        <v>142</v>
      </c>
      <c r="Q49" s="20"/>
    </row>
    <row r="50" spans="1:17" x14ac:dyDescent="0.25">
      <c r="A50" s="47"/>
      <c r="B50" s="37" t="s">
        <v>75</v>
      </c>
      <c r="C50" s="19">
        <v>1</v>
      </c>
      <c r="D50" s="21">
        <v>718</v>
      </c>
      <c r="E50" s="21">
        <f>7*1</f>
        <v>7</v>
      </c>
      <c r="F50" s="25">
        <f>52</f>
        <v>52</v>
      </c>
      <c r="G50" s="22">
        <f t="shared" si="4"/>
        <v>8.2170000000000007E-2</v>
      </c>
      <c r="H50" s="22">
        <f t="shared" si="6"/>
        <v>8.2170000000000007E-2</v>
      </c>
      <c r="I50" s="22">
        <f t="shared" si="7"/>
        <v>7.2419999999999998E-2</v>
      </c>
      <c r="J50" s="22"/>
      <c r="K50" s="19">
        <v>20</v>
      </c>
      <c r="L50" s="23">
        <f t="shared" si="5"/>
        <v>1.64</v>
      </c>
      <c r="M50" s="23">
        <f t="shared" si="8"/>
        <v>1.64</v>
      </c>
      <c r="N50" s="23">
        <f t="shared" si="9"/>
        <v>1.45</v>
      </c>
      <c r="O50" s="23">
        <f t="shared" si="10"/>
        <v>0</v>
      </c>
      <c r="P50" s="19" t="s">
        <v>142</v>
      </c>
      <c r="Q50" s="20"/>
    </row>
    <row r="51" spans="1:17" x14ac:dyDescent="0.25">
      <c r="A51" s="47"/>
      <c r="B51" s="37" t="s">
        <v>76</v>
      </c>
      <c r="C51" s="19">
        <v>1</v>
      </c>
      <c r="D51" s="21">
        <v>718</v>
      </c>
      <c r="E51" s="21">
        <v>5</v>
      </c>
      <c r="F51" s="21"/>
      <c r="G51" s="22">
        <f t="shared" si="4"/>
        <v>6.96E-3</v>
      </c>
      <c r="H51" s="22">
        <f t="shared" si="6"/>
        <v>6.96E-3</v>
      </c>
      <c r="I51" s="22">
        <f t="shared" si="7"/>
        <v>0</v>
      </c>
      <c r="J51" s="22"/>
      <c r="K51" s="19">
        <v>120</v>
      </c>
      <c r="L51" s="23">
        <f t="shared" si="5"/>
        <v>0.84</v>
      </c>
      <c r="M51" s="23">
        <f t="shared" si="8"/>
        <v>0.84</v>
      </c>
      <c r="N51" s="23">
        <f t="shared" si="9"/>
        <v>0</v>
      </c>
      <c r="O51" s="23">
        <f t="shared" si="10"/>
        <v>0</v>
      </c>
      <c r="P51" s="19" t="s">
        <v>77</v>
      </c>
      <c r="Q51" s="20"/>
    </row>
    <row r="52" spans="1:17" x14ac:dyDescent="0.25">
      <c r="A52" s="47"/>
      <c r="B52" s="37" t="s">
        <v>78</v>
      </c>
      <c r="C52" s="19">
        <v>1</v>
      </c>
      <c r="D52" s="21">
        <v>718</v>
      </c>
      <c r="E52" s="25">
        <f>7*4</f>
        <v>28</v>
      </c>
      <c r="F52" s="25">
        <f>4*30</f>
        <v>120</v>
      </c>
      <c r="G52" s="22">
        <f t="shared" si="4"/>
        <v>0.20613000000000001</v>
      </c>
      <c r="H52" s="22">
        <f t="shared" si="6"/>
        <v>0.20613000000000001</v>
      </c>
      <c r="I52" s="22">
        <f t="shared" si="7"/>
        <v>0.16713</v>
      </c>
      <c r="J52" s="22"/>
      <c r="K52" s="19">
        <v>15</v>
      </c>
      <c r="L52" s="23">
        <f t="shared" si="5"/>
        <v>3.09</v>
      </c>
      <c r="M52" s="23">
        <f t="shared" si="8"/>
        <v>3.09</v>
      </c>
      <c r="N52" s="23">
        <f t="shared" si="9"/>
        <v>2.5099999999999998</v>
      </c>
      <c r="O52" s="23">
        <f t="shared" si="10"/>
        <v>0</v>
      </c>
      <c r="P52" s="27" t="s">
        <v>800</v>
      </c>
      <c r="Q52" s="20"/>
    </row>
    <row r="53" spans="1:17" x14ac:dyDescent="0.25">
      <c r="A53" s="47"/>
      <c r="B53" s="37" t="s">
        <v>80</v>
      </c>
      <c r="C53" s="19">
        <v>1</v>
      </c>
      <c r="D53" s="21">
        <v>718</v>
      </c>
      <c r="E53" s="25">
        <f>7*4</f>
        <v>28</v>
      </c>
      <c r="F53" s="25">
        <f>4*718</f>
        <v>2872</v>
      </c>
      <c r="G53" s="22">
        <f t="shared" si="4"/>
        <v>4.0389999999999997</v>
      </c>
      <c r="H53" s="22">
        <f t="shared" si="6"/>
        <v>4.0389999999999997</v>
      </c>
      <c r="I53" s="22">
        <f t="shared" si="7"/>
        <v>4</v>
      </c>
      <c r="J53" s="22"/>
      <c r="K53" s="19">
        <v>15</v>
      </c>
      <c r="L53" s="23">
        <f t="shared" si="5"/>
        <v>60.59</v>
      </c>
      <c r="M53" s="23">
        <f t="shared" si="8"/>
        <v>60.59</v>
      </c>
      <c r="N53" s="23">
        <f t="shared" si="9"/>
        <v>60</v>
      </c>
      <c r="O53" s="23">
        <f t="shared" si="10"/>
        <v>0</v>
      </c>
      <c r="P53" s="27" t="s">
        <v>363</v>
      </c>
      <c r="Q53" s="20"/>
    </row>
    <row r="54" spans="1:17" ht="22.5" x14ac:dyDescent="0.25">
      <c r="A54" s="47"/>
      <c r="B54" s="37" t="s">
        <v>81</v>
      </c>
      <c r="C54" s="19">
        <v>1</v>
      </c>
      <c r="D54" s="21">
        <v>718</v>
      </c>
      <c r="E54" s="21">
        <f>7*1</f>
        <v>7</v>
      </c>
      <c r="F54" s="21">
        <f>52*1</f>
        <v>52</v>
      </c>
      <c r="G54" s="22">
        <f t="shared" si="4"/>
        <v>8.2170000000000007E-2</v>
      </c>
      <c r="H54" s="22">
        <f t="shared" si="6"/>
        <v>8.2170000000000007E-2</v>
      </c>
      <c r="I54" s="22">
        <f t="shared" si="7"/>
        <v>7.2419999999999998E-2</v>
      </c>
      <c r="J54" s="22"/>
      <c r="K54" s="19">
        <v>250</v>
      </c>
      <c r="L54" s="23">
        <f t="shared" si="5"/>
        <v>20.54</v>
      </c>
      <c r="M54" s="23">
        <f t="shared" si="8"/>
        <v>20.54</v>
      </c>
      <c r="N54" s="23">
        <f t="shared" si="9"/>
        <v>18.11</v>
      </c>
      <c r="O54" s="23">
        <f t="shared" si="10"/>
        <v>0</v>
      </c>
      <c r="P54" s="26" t="s">
        <v>83</v>
      </c>
      <c r="Q54" s="20"/>
    </row>
    <row r="55" spans="1:17" x14ac:dyDescent="0.25">
      <c r="A55" s="47"/>
      <c r="B55" s="37" t="s">
        <v>82</v>
      </c>
      <c r="C55" s="19">
        <v>1</v>
      </c>
      <c r="D55" s="21">
        <v>718</v>
      </c>
      <c r="E55" s="21">
        <f>7*1</f>
        <v>7</v>
      </c>
      <c r="F55" s="21">
        <f>52*1</f>
        <v>52</v>
      </c>
      <c r="G55" s="22">
        <f t="shared" si="4"/>
        <v>8.2170000000000007E-2</v>
      </c>
      <c r="H55" s="22">
        <f t="shared" si="6"/>
        <v>8.2170000000000007E-2</v>
      </c>
      <c r="I55" s="22">
        <f t="shared" si="7"/>
        <v>7.2419999999999998E-2</v>
      </c>
      <c r="J55" s="22"/>
      <c r="K55" s="19">
        <v>260</v>
      </c>
      <c r="L55" s="23">
        <f t="shared" si="5"/>
        <v>21.36</v>
      </c>
      <c r="M55" s="23">
        <f t="shared" si="8"/>
        <v>21.36</v>
      </c>
      <c r="N55" s="23">
        <f t="shared" si="9"/>
        <v>18.829999999999998</v>
      </c>
      <c r="O55" s="23">
        <f t="shared" si="10"/>
        <v>0</v>
      </c>
      <c r="P55" s="19" t="s">
        <v>142</v>
      </c>
      <c r="Q55" s="20"/>
    </row>
    <row r="56" spans="1:17" x14ac:dyDescent="0.25">
      <c r="A56" s="47"/>
      <c r="B56" s="37" t="s">
        <v>84</v>
      </c>
      <c r="C56" s="19">
        <v>1</v>
      </c>
      <c r="D56" s="21">
        <v>718</v>
      </c>
      <c r="E56" s="25">
        <f>7*4</f>
        <v>28</v>
      </c>
      <c r="F56" s="25">
        <f>4*30</f>
        <v>120</v>
      </c>
      <c r="G56" s="22">
        <f t="shared" si="4"/>
        <v>0.20613000000000001</v>
      </c>
      <c r="H56" s="22">
        <f t="shared" si="6"/>
        <v>0.20613000000000001</v>
      </c>
      <c r="I56" s="22">
        <f t="shared" si="7"/>
        <v>0.16713</v>
      </c>
      <c r="J56" s="22"/>
      <c r="K56" s="19">
        <v>10</v>
      </c>
      <c r="L56" s="23">
        <f t="shared" si="5"/>
        <v>2.06</v>
      </c>
      <c r="M56" s="23">
        <f t="shared" si="8"/>
        <v>2.06</v>
      </c>
      <c r="N56" s="23">
        <f t="shared" si="9"/>
        <v>1.67</v>
      </c>
      <c r="O56" s="23">
        <f t="shared" si="10"/>
        <v>0</v>
      </c>
      <c r="P56" s="19" t="s">
        <v>800</v>
      </c>
      <c r="Q56" s="20"/>
    </row>
    <row r="57" spans="1:17" x14ac:dyDescent="0.25">
      <c r="A57" s="47"/>
      <c r="B57" s="37" t="s">
        <v>85</v>
      </c>
      <c r="C57" s="19">
        <v>5</v>
      </c>
      <c r="D57" s="21">
        <v>718</v>
      </c>
      <c r="E57" s="21">
        <f>7*1</f>
        <v>7</v>
      </c>
      <c r="F57" s="21">
        <f>52*1</f>
        <v>52</v>
      </c>
      <c r="G57" s="22">
        <f t="shared" si="4"/>
        <v>1.643E-2</v>
      </c>
      <c r="H57" s="22">
        <f t="shared" si="6"/>
        <v>1.643E-2</v>
      </c>
      <c r="I57" s="22">
        <f t="shared" si="7"/>
        <v>1.448E-2</v>
      </c>
      <c r="J57" s="22"/>
      <c r="K57" s="19">
        <v>27</v>
      </c>
      <c r="L57" s="23">
        <f t="shared" si="5"/>
        <v>0.44</v>
      </c>
      <c r="M57" s="23">
        <f t="shared" si="8"/>
        <v>0.44</v>
      </c>
      <c r="N57" s="23">
        <f t="shared" si="9"/>
        <v>0.39</v>
      </c>
      <c r="O57" s="23">
        <f t="shared" si="10"/>
        <v>0</v>
      </c>
      <c r="P57" s="19" t="s">
        <v>142</v>
      </c>
      <c r="Q57" s="20"/>
    </row>
    <row r="58" spans="1:17" x14ac:dyDescent="0.25">
      <c r="A58" s="47"/>
      <c r="B58" s="37" t="s">
        <v>86</v>
      </c>
      <c r="C58" s="19">
        <v>3</v>
      </c>
      <c r="D58" s="21">
        <v>718</v>
      </c>
      <c r="E58" s="21">
        <f>7*1</f>
        <v>7</v>
      </c>
      <c r="F58" s="21">
        <f>52*1</f>
        <v>52</v>
      </c>
      <c r="G58" s="22">
        <f t="shared" si="4"/>
        <v>2.7390000000000001E-2</v>
      </c>
      <c r="H58" s="22">
        <f t="shared" si="6"/>
        <v>2.7390000000000001E-2</v>
      </c>
      <c r="I58" s="22">
        <f t="shared" si="7"/>
        <v>2.4140000000000002E-2</v>
      </c>
      <c r="J58" s="22"/>
      <c r="K58" s="19">
        <v>250</v>
      </c>
      <c r="L58" s="23">
        <f t="shared" si="5"/>
        <v>6.85</v>
      </c>
      <c r="M58" s="23">
        <f t="shared" si="8"/>
        <v>6.85</v>
      </c>
      <c r="N58" s="23">
        <f t="shared" si="9"/>
        <v>6.04</v>
      </c>
      <c r="O58" s="23">
        <f t="shared" si="10"/>
        <v>0</v>
      </c>
      <c r="P58" s="19" t="s">
        <v>142</v>
      </c>
      <c r="Q58" s="20"/>
    </row>
    <row r="59" spans="1:17" x14ac:dyDescent="0.25">
      <c r="A59" s="47"/>
      <c r="B59" s="37" t="s">
        <v>87</v>
      </c>
      <c r="C59" s="19">
        <v>3</v>
      </c>
      <c r="D59" s="21">
        <v>718</v>
      </c>
      <c r="E59" s="21">
        <f>7*1</f>
        <v>7</v>
      </c>
      <c r="F59" s="21">
        <f>52*1</f>
        <v>52</v>
      </c>
      <c r="G59" s="22">
        <f t="shared" si="4"/>
        <v>2.7390000000000001E-2</v>
      </c>
      <c r="H59" s="22">
        <f t="shared" si="6"/>
        <v>2.7390000000000001E-2</v>
      </c>
      <c r="I59" s="22">
        <f t="shared" si="7"/>
        <v>2.4140000000000002E-2</v>
      </c>
      <c r="J59" s="22"/>
      <c r="K59" s="19">
        <v>316</v>
      </c>
      <c r="L59" s="23">
        <f t="shared" si="5"/>
        <v>8.66</v>
      </c>
      <c r="M59" s="23">
        <f t="shared" si="8"/>
        <v>8.66</v>
      </c>
      <c r="N59" s="23">
        <f t="shared" si="9"/>
        <v>7.63</v>
      </c>
      <c r="O59" s="23">
        <f t="shared" si="10"/>
        <v>0</v>
      </c>
      <c r="P59" s="19" t="s">
        <v>142</v>
      </c>
      <c r="Q59" s="20"/>
    </row>
    <row r="60" spans="1:17" x14ac:dyDescent="0.25">
      <c r="A60" s="47"/>
      <c r="B60" s="37" t="s">
        <v>88</v>
      </c>
      <c r="C60" s="19">
        <v>1</v>
      </c>
      <c r="D60" s="21">
        <v>718</v>
      </c>
      <c r="E60" s="21">
        <f>7*4</f>
        <v>28</v>
      </c>
      <c r="F60" s="21">
        <f>52*4</f>
        <v>208</v>
      </c>
      <c r="G60" s="22">
        <f t="shared" si="4"/>
        <v>0.32868999999999998</v>
      </c>
      <c r="H60" s="22">
        <f t="shared" si="6"/>
        <v>0.32868999999999998</v>
      </c>
      <c r="I60" s="22">
        <f t="shared" si="7"/>
        <v>0.28969</v>
      </c>
      <c r="J60" s="22"/>
      <c r="K60" s="19">
        <v>20</v>
      </c>
      <c r="L60" s="23">
        <f t="shared" si="5"/>
        <v>6.57</v>
      </c>
      <c r="M60" s="23">
        <f t="shared" si="8"/>
        <v>6.57</v>
      </c>
      <c r="N60" s="23">
        <f t="shared" si="9"/>
        <v>5.79</v>
      </c>
      <c r="O60" s="23">
        <f t="shared" si="10"/>
        <v>0</v>
      </c>
      <c r="P60" s="19" t="s">
        <v>144</v>
      </c>
      <c r="Q60" s="20"/>
    </row>
    <row r="61" spans="1:17" x14ac:dyDescent="0.25">
      <c r="A61" s="47"/>
      <c r="B61" s="37" t="s">
        <v>89</v>
      </c>
      <c r="C61" s="19">
        <v>1</v>
      </c>
      <c r="D61" s="21">
        <v>718</v>
      </c>
      <c r="E61" s="21">
        <f>7*4</f>
        <v>28</v>
      </c>
      <c r="F61" s="21">
        <f>52*4</f>
        <v>208</v>
      </c>
      <c r="G61" s="22">
        <f t="shared" si="4"/>
        <v>0.32868999999999998</v>
      </c>
      <c r="H61" s="22">
        <f t="shared" si="6"/>
        <v>0.32868999999999998</v>
      </c>
      <c r="I61" s="22">
        <f t="shared" si="7"/>
        <v>0.28969</v>
      </c>
      <c r="J61" s="22"/>
      <c r="K61" s="19">
        <v>30</v>
      </c>
      <c r="L61" s="23">
        <f t="shared" si="5"/>
        <v>9.86</v>
      </c>
      <c r="M61" s="23">
        <f t="shared" si="8"/>
        <v>9.86</v>
      </c>
      <c r="N61" s="23">
        <f t="shared" si="9"/>
        <v>8.69</v>
      </c>
      <c r="O61" s="23">
        <f t="shared" si="10"/>
        <v>0</v>
      </c>
      <c r="P61" s="19" t="s">
        <v>144</v>
      </c>
      <c r="Q61" s="20"/>
    </row>
    <row r="62" spans="1:17" x14ac:dyDescent="0.25">
      <c r="A62" s="47"/>
      <c r="B62" s="37" t="s">
        <v>801</v>
      </c>
      <c r="C62" s="19">
        <v>1</v>
      </c>
      <c r="D62" s="21">
        <v>718</v>
      </c>
      <c r="E62" s="21">
        <f>7*1</f>
        <v>7</v>
      </c>
      <c r="F62" s="21">
        <f>52*1</f>
        <v>52</v>
      </c>
      <c r="G62" s="22">
        <f t="shared" si="4"/>
        <v>8.2170000000000007E-2</v>
      </c>
      <c r="H62" s="22">
        <f t="shared" si="6"/>
        <v>8.2170000000000007E-2</v>
      </c>
      <c r="I62" s="22">
        <f t="shared" si="7"/>
        <v>7.2419999999999998E-2</v>
      </c>
      <c r="J62" s="22"/>
      <c r="K62" s="19">
        <v>20</v>
      </c>
      <c r="L62" s="23">
        <f t="shared" si="5"/>
        <v>1.64</v>
      </c>
      <c r="M62" s="23">
        <f t="shared" si="8"/>
        <v>1.64</v>
      </c>
      <c r="N62" s="23">
        <f t="shared" si="9"/>
        <v>1.45</v>
      </c>
      <c r="O62" s="23">
        <f t="shared" si="10"/>
        <v>0</v>
      </c>
      <c r="P62" s="19" t="s">
        <v>142</v>
      </c>
      <c r="Q62" s="20"/>
    </row>
    <row r="63" spans="1:17" x14ac:dyDescent="0.25">
      <c r="A63" s="47"/>
      <c r="B63" s="37" t="s">
        <v>90</v>
      </c>
      <c r="C63" s="19">
        <v>1</v>
      </c>
      <c r="D63" s="21">
        <v>718</v>
      </c>
      <c r="E63" s="21">
        <f>7*4</f>
        <v>28</v>
      </c>
      <c r="F63" s="21">
        <f>52*4</f>
        <v>208</v>
      </c>
      <c r="G63" s="22">
        <f t="shared" si="4"/>
        <v>0.32868999999999998</v>
      </c>
      <c r="H63" s="22">
        <f t="shared" si="6"/>
        <v>0.32868999999999998</v>
      </c>
      <c r="I63" s="22">
        <f t="shared" si="7"/>
        <v>0.28969</v>
      </c>
      <c r="J63" s="22"/>
      <c r="K63" s="19">
        <v>25</v>
      </c>
      <c r="L63" s="23">
        <f t="shared" si="5"/>
        <v>8.2200000000000006</v>
      </c>
      <c r="M63" s="23">
        <f t="shared" si="8"/>
        <v>8.2200000000000006</v>
      </c>
      <c r="N63" s="23">
        <f t="shared" si="9"/>
        <v>7.24</v>
      </c>
      <c r="O63" s="23">
        <f t="shared" si="10"/>
        <v>0</v>
      </c>
      <c r="P63" s="19" t="s">
        <v>144</v>
      </c>
      <c r="Q63" s="20"/>
    </row>
    <row r="64" spans="1:17" x14ac:dyDescent="0.25">
      <c r="A64" s="47"/>
      <c r="B64" s="37" t="s">
        <v>91</v>
      </c>
      <c r="C64" s="19">
        <v>1</v>
      </c>
      <c r="D64" s="21">
        <v>718</v>
      </c>
      <c r="E64" s="21">
        <f>7*1</f>
        <v>7</v>
      </c>
      <c r="F64" s="21">
        <f>52*1</f>
        <v>52</v>
      </c>
      <c r="G64" s="22">
        <f t="shared" si="4"/>
        <v>8.2170000000000007E-2</v>
      </c>
      <c r="H64" s="22">
        <f t="shared" si="6"/>
        <v>8.2170000000000007E-2</v>
      </c>
      <c r="I64" s="22">
        <f t="shared" si="7"/>
        <v>7.2419999999999998E-2</v>
      </c>
      <c r="J64" s="22"/>
      <c r="K64" s="19">
        <v>60</v>
      </c>
      <c r="L64" s="23">
        <f t="shared" si="5"/>
        <v>4.93</v>
      </c>
      <c r="M64" s="23">
        <f t="shared" si="8"/>
        <v>4.93</v>
      </c>
      <c r="N64" s="23">
        <f t="shared" si="9"/>
        <v>4.3499999999999996</v>
      </c>
      <c r="O64" s="23">
        <f t="shared" si="10"/>
        <v>0</v>
      </c>
      <c r="P64" s="19" t="s">
        <v>142</v>
      </c>
      <c r="Q64" s="20"/>
    </row>
    <row r="65" spans="1:17" x14ac:dyDescent="0.25">
      <c r="A65" s="47"/>
      <c r="B65" s="37" t="s">
        <v>92</v>
      </c>
      <c r="C65" s="19">
        <v>1</v>
      </c>
      <c r="D65" s="21">
        <v>718</v>
      </c>
      <c r="E65" s="21">
        <f>7*1</f>
        <v>7</v>
      </c>
      <c r="F65" s="21">
        <f>52*1</f>
        <v>52</v>
      </c>
      <c r="G65" s="22">
        <f t="shared" si="4"/>
        <v>8.2170000000000007E-2</v>
      </c>
      <c r="H65" s="22">
        <f t="shared" si="6"/>
        <v>8.2170000000000007E-2</v>
      </c>
      <c r="I65" s="22">
        <f t="shared" si="7"/>
        <v>7.2419999999999998E-2</v>
      </c>
      <c r="J65" s="22"/>
      <c r="K65" s="19">
        <v>60</v>
      </c>
      <c r="L65" s="23">
        <f t="shared" si="5"/>
        <v>4.93</v>
      </c>
      <c r="M65" s="23">
        <f t="shared" si="8"/>
        <v>4.93</v>
      </c>
      <c r="N65" s="23">
        <f t="shared" si="9"/>
        <v>4.3499999999999996</v>
      </c>
      <c r="O65" s="23">
        <f t="shared" si="10"/>
        <v>0</v>
      </c>
      <c r="P65" s="19" t="s">
        <v>142</v>
      </c>
      <c r="Q65" s="20"/>
    </row>
    <row r="66" spans="1:17" x14ac:dyDescent="0.25">
      <c r="A66" s="47"/>
      <c r="B66" s="37" t="s">
        <v>93</v>
      </c>
      <c r="C66" s="19">
        <v>5</v>
      </c>
      <c r="D66" s="21">
        <v>718</v>
      </c>
      <c r="E66" s="21">
        <f>7*1</f>
        <v>7</v>
      </c>
      <c r="F66" s="21">
        <f>52*1</f>
        <v>52</v>
      </c>
      <c r="G66" s="22">
        <f t="shared" si="4"/>
        <v>1.643E-2</v>
      </c>
      <c r="H66" s="22">
        <f t="shared" si="6"/>
        <v>1.643E-2</v>
      </c>
      <c r="I66" s="22">
        <f t="shared" si="7"/>
        <v>1.448E-2</v>
      </c>
      <c r="J66" s="22"/>
      <c r="K66" s="19">
        <v>1000</v>
      </c>
      <c r="L66" s="23">
        <f t="shared" si="5"/>
        <v>16.43</v>
      </c>
      <c r="M66" s="23">
        <f t="shared" si="8"/>
        <v>16.43</v>
      </c>
      <c r="N66" s="23">
        <f t="shared" si="9"/>
        <v>14.48</v>
      </c>
      <c r="O66" s="23">
        <f t="shared" si="10"/>
        <v>0</v>
      </c>
      <c r="P66" s="19" t="s">
        <v>142</v>
      </c>
      <c r="Q66" s="20"/>
    </row>
    <row r="67" spans="1:17" x14ac:dyDescent="0.25">
      <c r="A67" s="47"/>
      <c r="B67" s="37" t="s">
        <v>94</v>
      </c>
      <c r="C67" s="19">
        <v>1</v>
      </c>
      <c r="D67" s="21">
        <v>718</v>
      </c>
      <c r="E67" s="21">
        <f>7*4</f>
        <v>28</v>
      </c>
      <c r="F67" s="21">
        <f>52*4</f>
        <v>208</v>
      </c>
      <c r="G67" s="22">
        <f t="shared" si="4"/>
        <v>0.32868999999999998</v>
      </c>
      <c r="H67" s="22">
        <f t="shared" si="6"/>
        <v>0.32868999999999998</v>
      </c>
      <c r="I67" s="22">
        <f t="shared" si="7"/>
        <v>0.28969</v>
      </c>
      <c r="J67" s="22"/>
      <c r="K67" s="19">
        <v>20</v>
      </c>
      <c r="L67" s="23">
        <f t="shared" si="5"/>
        <v>6.57</v>
      </c>
      <c r="M67" s="23">
        <f t="shared" si="8"/>
        <v>6.57</v>
      </c>
      <c r="N67" s="23">
        <f t="shared" si="9"/>
        <v>5.79</v>
      </c>
      <c r="O67" s="23">
        <f t="shared" si="10"/>
        <v>0</v>
      </c>
      <c r="P67" s="19" t="s">
        <v>144</v>
      </c>
      <c r="Q67" s="20"/>
    </row>
    <row r="68" spans="1:17" x14ac:dyDescent="0.25">
      <c r="A68" s="47"/>
      <c r="B68" s="37" t="s">
        <v>95</v>
      </c>
      <c r="C68" s="19">
        <v>1</v>
      </c>
      <c r="D68" s="21">
        <v>718</v>
      </c>
      <c r="E68" s="21">
        <f>7*1</f>
        <v>7</v>
      </c>
      <c r="F68" s="21">
        <f>52*1</f>
        <v>52</v>
      </c>
      <c r="G68" s="22">
        <f t="shared" si="4"/>
        <v>8.2170000000000007E-2</v>
      </c>
      <c r="H68" s="22">
        <f t="shared" si="6"/>
        <v>8.2170000000000007E-2</v>
      </c>
      <c r="I68" s="22">
        <f t="shared" si="7"/>
        <v>7.2419999999999998E-2</v>
      </c>
      <c r="J68" s="22"/>
      <c r="K68" s="19">
        <v>25</v>
      </c>
      <c r="L68" s="23">
        <f t="shared" si="5"/>
        <v>2.0499999999999998</v>
      </c>
      <c r="M68" s="23">
        <f t="shared" si="8"/>
        <v>2.0499999999999998</v>
      </c>
      <c r="N68" s="23">
        <f t="shared" si="9"/>
        <v>1.81</v>
      </c>
      <c r="O68" s="23">
        <f t="shared" si="10"/>
        <v>0</v>
      </c>
      <c r="P68" s="19" t="s">
        <v>142</v>
      </c>
      <c r="Q68" s="20"/>
    </row>
    <row r="69" spans="1:17" x14ac:dyDescent="0.25">
      <c r="A69" s="47"/>
      <c r="B69" s="37" t="s">
        <v>96</v>
      </c>
      <c r="C69" s="19">
        <v>5</v>
      </c>
      <c r="D69" s="21">
        <v>718</v>
      </c>
      <c r="E69" s="21">
        <f>7*1</f>
        <v>7</v>
      </c>
      <c r="F69" s="21">
        <f>52*1</f>
        <v>52</v>
      </c>
      <c r="G69" s="22">
        <f t="shared" si="4"/>
        <v>1.643E-2</v>
      </c>
      <c r="H69" s="22">
        <f t="shared" si="6"/>
        <v>1.643E-2</v>
      </c>
      <c r="I69" s="22">
        <f t="shared" si="7"/>
        <v>1.448E-2</v>
      </c>
      <c r="J69" s="22"/>
      <c r="K69" s="19">
        <v>60</v>
      </c>
      <c r="L69" s="23">
        <f t="shared" si="5"/>
        <v>0.99</v>
      </c>
      <c r="M69" s="23">
        <f t="shared" si="8"/>
        <v>0.99</v>
      </c>
      <c r="N69" s="23">
        <f t="shared" si="9"/>
        <v>0.87</v>
      </c>
      <c r="O69" s="23">
        <f t="shared" si="10"/>
        <v>0</v>
      </c>
      <c r="P69" s="19" t="s">
        <v>142</v>
      </c>
      <c r="Q69" s="20"/>
    </row>
    <row r="70" spans="1:17" x14ac:dyDescent="0.25">
      <c r="A70" s="47"/>
      <c r="B70" s="37" t="s">
        <v>97</v>
      </c>
      <c r="C70" s="19">
        <v>5</v>
      </c>
      <c r="D70" s="21">
        <v>718</v>
      </c>
      <c r="E70" s="21">
        <v>4</v>
      </c>
      <c r="F70" s="21"/>
      <c r="G70" s="22">
        <f t="shared" si="4"/>
        <v>1.1100000000000001E-3</v>
      </c>
      <c r="H70" s="22">
        <f t="shared" si="6"/>
        <v>1.1100000000000001E-3</v>
      </c>
      <c r="I70" s="22">
        <f t="shared" si="7"/>
        <v>0</v>
      </c>
      <c r="J70" s="22"/>
      <c r="K70" s="19">
        <v>250</v>
      </c>
      <c r="L70" s="23">
        <f t="shared" si="5"/>
        <v>0.28000000000000003</v>
      </c>
      <c r="M70" s="23">
        <f t="shared" si="8"/>
        <v>0.28000000000000003</v>
      </c>
      <c r="N70" s="23">
        <f t="shared" si="9"/>
        <v>0</v>
      </c>
      <c r="O70" s="23">
        <f t="shared" si="10"/>
        <v>0</v>
      </c>
      <c r="P70" s="20" t="s">
        <v>289</v>
      </c>
      <c r="Q70" s="20"/>
    </row>
    <row r="71" spans="1:17" x14ac:dyDescent="0.25">
      <c r="A71" s="47"/>
      <c r="B71" s="37" t="s">
        <v>98</v>
      </c>
      <c r="C71" s="19">
        <v>1</v>
      </c>
      <c r="D71" s="21">
        <v>718</v>
      </c>
      <c r="E71" s="21">
        <f t="shared" ref="E71:E77" si="11">7*1</f>
        <v>7</v>
      </c>
      <c r="F71" s="21">
        <f t="shared" ref="F71:F77" si="12">52*1</f>
        <v>52</v>
      </c>
      <c r="G71" s="22">
        <f t="shared" si="4"/>
        <v>8.2170000000000007E-2</v>
      </c>
      <c r="H71" s="22">
        <f t="shared" si="6"/>
        <v>8.2170000000000007E-2</v>
      </c>
      <c r="I71" s="22">
        <f t="shared" si="7"/>
        <v>7.2419999999999998E-2</v>
      </c>
      <c r="J71" s="22"/>
      <c r="K71" s="19">
        <v>3</v>
      </c>
      <c r="L71" s="23">
        <f t="shared" si="5"/>
        <v>0.25</v>
      </c>
      <c r="M71" s="23">
        <f t="shared" si="8"/>
        <v>0.25</v>
      </c>
      <c r="N71" s="23">
        <f t="shared" si="9"/>
        <v>0.22</v>
      </c>
      <c r="O71" s="23">
        <f t="shared" si="10"/>
        <v>0</v>
      </c>
      <c r="P71" s="19" t="s">
        <v>142</v>
      </c>
      <c r="Q71" s="20"/>
    </row>
    <row r="72" spans="1:17" x14ac:dyDescent="0.25">
      <c r="A72" s="47"/>
      <c r="B72" s="37" t="s">
        <v>99</v>
      </c>
      <c r="C72" s="19">
        <v>1</v>
      </c>
      <c r="D72" s="21">
        <v>718</v>
      </c>
      <c r="E72" s="21">
        <f t="shared" si="11"/>
        <v>7</v>
      </c>
      <c r="F72" s="21">
        <f t="shared" si="12"/>
        <v>52</v>
      </c>
      <c r="G72" s="22">
        <f t="shared" si="4"/>
        <v>8.2170000000000007E-2</v>
      </c>
      <c r="H72" s="22">
        <f t="shared" si="6"/>
        <v>8.2170000000000007E-2</v>
      </c>
      <c r="I72" s="22">
        <f t="shared" si="7"/>
        <v>7.2419999999999998E-2</v>
      </c>
      <c r="J72" s="22"/>
      <c r="K72" s="19">
        <v>6</v>
      </c>
      <c r="L72" s="23">
        <f t="shared" si="5"/>
        <v>0.49</v>
      </c>
      <c r="M72" s="23">
        <f t="shared" si="8"/>
        <v>0.49</v>
      </c>
      <c r="N72" s="23">
        <f t="shared" si="9"/>
        <v>0.43</v>
      </c>
      <c r="O72" s="23">
        <f t="shared" si="10"/>
        <v>0</v>
      </c>
      <c r="P72" s="19" t="s">
        <v>142</v>
      </c>
      <c r="Q72" s="20"/>
    </row>
    <row r="73" spans="1:17" x14ac:dyDescent="0.25">
      <c r="A73" s="47"/>
      <c r="B73" s="37" t="s">
        <v>100</v>
      </c>
      <c r="C73" s="19">
        <v>1</v>
      </c>
      <c r="D73" s="21">
        <v>718</v>
      </c>
      <c r="E73" s="21">
        <f t="shared" si="11"/>
        <v>7</v>
      </c>
      <c r="F73" s="21">
        <f t="shared" si="12"/>
        <v>52</v>
      </c>
      <c r="G73" s="22">
        <f t="shared" si="4"/>
        <v>8.2170000000000007E-2</v>
      </c>
      <c r="H73" s="22">
        <f t="shared" si="6"/>
        <v>8.2170000000000007E-2</v>
      </c>
      <c r="I73" s="22">
        <f t="shared" si="7"/>
        <v>7.2419999999999998E-2</v>
      </c>
      <c r="J73" s="22"/>
      <c r="K73" s="19">
        <v>13</v>
      </c>
      <c r="L73" s="23">
        <f t="shared" si="5"/>
        <v>1.07</v>
      </c>
      <c r="M73" s="23">
        <f t="shared" si="8"/>
        <v>1.07</v>
      </c>
      <c r="N73" s="23">
        <f t="shared" si="9"/>
        <v>0.94</v>
      </c>
      <c r="O73" s="23">
        <f t="shared" si="10"/>
        <v>0</v>
      </c>
      <c r="P73" s="19" t="s">
        <v>142</v>
      </c>
      <c r="Q73" s="20"/>
    </row>
    <row r="74" spans="1:17" ht="22.5" x14ac:dyDescent="0.25">
      <c r="A74" s="47"/>
      <c r="B74" s="37" t="s">
        <v>101</v>
      </c>
      <c r="C74" s="19">
        <v>2</v>
      </c>
      <c r="D74" s="21">
        <v>718</v>
      </c>
      <c r="E74" s="21">
        <f t="shared" si="11"/>
        <v>7</v>
      </c>
      <c r="F74" s="21">
        <f t="shared" si="12"/>
        <v>52</v>
      </c>
      <c r="G74" s="22">
        <f t="shared" si="4"/>
        <v>4.1090000000000002E-2</v>
      </c>
      <c r="H74" s="22">
        <f t="shared" si="6"/>
        <v>4.1090000000000002E-2</v>
      </c>
      <c r="I74" s="22">
        <f t="shared" si="7"/>
        <v>3.6209999999999999E-2</v>
      </c>
      <c r="J74" s="22"/>
      <c r="K74" s="19">
        <v>50</v>
      </c>
      <c r="L74" s="23">
        <f t="shared" si="5"/>
        <v>2.0499999999999998</v>
      </c>
      <c r="M74" s="23">
        <f t="shared" si="8"/>
        <v>2.0499999999999998</v>
      </c>
      <c r="N74" s="23">
        <f t="shared" si="9"/>
        <v>1.81</v>
      </c>
      <c r="O74" s="23">
        <f t="shared" si="10"/>
        <v>0</v>
      </c>
      <c r="P74" s="19" t="s">
        <v>142</v>
      </c>
      <c r="Q74" s="20"/>
    </row>
    <row r="75" spans="1:17" x14ac:dyDescent="0.25">
      <c r="A75" s="47"/>
      <c r="B75" s="37" t="s">
        <v>102</v>
      </c>
      <c r="C75" s="19">
        <v>1</v>
      </c>
      <c r="D75" s="21">
        <v>718</v>
      </c>
      <c r="E75" s="21">
        <f t="shared" si="11"/>
        <v>7</v>
      </c>
      <c r="F75" s="21">
        <f t="shared" si="12"/>
        <v>52</v>
      </c>
      <c r="G75" s="22">
        <f t="shared" si="4"/>
        <v>8.2170000000000007E-2</v>
      </c>
      <c r="H75" s="22">
        <f t="shared" si="6"/>
        <v>8.2170000000000007E-2</v>
      </c>
      <c r="I75" s="22">
        <f t="shared" si="7"/>
        <v>7.2419999999999998E-2</v>
      </c>
      <c r="J75" s="22"/>
      <c r="K75" s="19">
        <v>50</v>
      </c>
      <c r="L75" s="23">
        <f t="shared" si="5"/>
        <v>4.1100000000000003</v>
      </c>
      <c r="M75" s="23">
        <f t="shared" si="8"/>
        <v>4.1100000000000003</v>
      </c>
      <c r="N75" s="23">
        <f t="shared" si="9"/>
        <v>3.62</v>
      </c>
      <c r="O75" s="23">
        <f t="shared" si="10"/>
        <v>0</v>
      </c>
      <c r="P75" s="19" t="s">
        <v>142</v>
      </c>
      <c r="Q75" s="20"/>
    </row>
    <row r="76" spans="1:17" x14ac:dyDescent="0.25">
      <c r="A76" s="47"/>
      <c r="B76" s="37" t="s">
        <v>103</v>
      </c>
      <c r="C76" s="19">
        <v>1</v>
      </c>
      <c r="D76" s="21">
        <v>718</v>
      </c>
      <c r="E76" s="21">
        <f t="shared" si="11"/>
        <v>7</v>
      </c>
      <c r="F76" s="21">
        <f t="shared" si="12"/>
        <v>52</v>
      </c>
      <c r="G76" s="22">
        <f t="shared" si="4"/>
        <v>8.2170000000000007E-2</v>
      </c>
      <c r="H76" s="22">
        <f t="shared" si="6"/>
        <v>8.2170000000000007E-2</v>
      </c>
      <c r="I76" s="22">
        <f t="shared" si="7"/>
        <v>7.2419999999999998E-2</v>
      </c>
      <c r="J76" s="22"/>
      <c r="K76" s="19">
        <v>50</v>
      </c>
      <c r="L76" s="23">
        <f t="shared" si="5"/>
        <v>4.1100000000000003</v>
      </c>
      <c r="M76" s="23">
        <f t="shared" si="8"/>
        <v>4.1100000000000003</v>
      </c>
      <c r="N76" s="23">
        <f t="shared" si="9"/>
        <v>3.62</v>
      </c>
      <c r="O76" s="23">
        <f t="shared" si="10"/>
        <v>0</v>
      </c>
      <c r="P76" s="19" t="s">
        <v>142</v>
      </c>
      <c r="Q76" s="20"/>
    </row>
    <row r="77" spans="1:17" x14ac:dyDescent="0.25">
      <c r="A77" s="47"/>
      <c r="B77" s="37" t="s">
        <v>104</v>
      </c>
      <c r="C77" s="19">
        <v>5</v>
      </c>
      <c r="D77" s="21">
        <v>718</v>
      </c>
      <c r="E77" s="21">
        <f t="shared" si="11"/>
        <v>7</v>
      </c>
      <c r="F77" s="21">
        <f t="shared" si="12"/>
        <v>52</v>
      </c>
      <c r="G77" s="22">
        <f t="shared" si="4"/>
        <v>1.643E-2</v>
      </c>
      <c r="H77" s="22">
        <f t="shared" si="6"/>
        <v>1.643E-2</v>
      </c>
      <c r="I77" s="22">
        <f t="shared" si="7"/>
        <v>1.448E-2</v>
      </c>
      <c r="J77" s="22"/>
      <c r="K77" s="19">
        <v>100</v>
      </c>
      <c r="L77" s="23">
        <f t="shared" si="5"/>
        <v>1.64</v>
      </c>
      <c r="M77" s="23">
        <f t="shared" si="8"/>
        <v>1.64</v>
      </c>
      <c r="N77" s="23">
        <f t="shared" si="9"/>
        <v>1.45</v>
      </c>
      <c r="O77" s="23">
        <f t="shared" si="10"/>
        <v>0</v>
      </c>
      <c r="P77" s="19" t="s">
        <v>142</v>
      </c>
      <c r="Q77" s="20"/>
    </row>
    <row r="78" spans="1:17" ht="33.75" x14ac:dyDescent="0.25">
      <c r="A78" s="47"/>
      <c r="B78" s="37" t="s">
        <v>105</v>
      </c>
      <c r="C78" s="19">
        <v>1</v>
      </c>
      <c r="D78" s="21">
        <v>718</v>
      </c>
      <c r="E78" s="21">
        <f>7*2</f>
        <v>14</v>
      </c>
      <c r="F78" s="21">
        <f>52*2</f>
        <v>104</v>
      </c>
      <c r="G78" s="22">
        <f t="shared" si="4"/>
        <v>0.16435</v>
      </c>
      <c r="H78" s="22">
        <f t="shared" si="6"/>
        <v>0.16435</v>
      </c>
      <c r="I78" s="22">
        <f t="shared" si="7"/>
        <v>0.14485000000000001</v>
      </c>
      <c r="J78" s="22"/>
      <c r="K78" s="19">
        <v>40</v>
      </c>
      <c r="L78" s="23">
        <f t="shared" si="5"/>
        <v>6.57</v>
      </c>
      <c r="M78" s="23">
        <f t="shared" si="8"/>
        <v>6.57</v>
      </c>
      <c r="N78" s="23">
        <f t="shared" si="9"/>
        <v>5.79</v>
      </c>
      <c r="O78" s="23">
        <f t="shared" si="10"/>
        <v>0</v>
      </c>
      <c r="P78" s="19" t="s">
        <v>143</v>
      </c>
      <c r="Q78" s="20"/>
    </row>
    <row r="79" spans="1:17" ht="22.5" x14ac:dyDescent="0.25">
      <c r="A79" s="47"/>
      <c r="B79" s="37" t="s">
        <v>106</v>
      </c>
      <c r="C79" s="19">
        <v>1</v>
      </c>
      <c r="D79" s="21">
        <v>718</v>
      </c>
      <c r="E79" s="21">
        <f>7*2</f>
        <v>14</v>
      </c>
      <c r="F79" s="21">
        <f>52*2</f>
        <v>104</v>
      </c>
      <c r="G79" s="22">
        <f t="shared" si="4"/>
        <v>0.16435</v>
      </c>
      <c r="H79" s="22">
        <f t="shared" si="6"/>
        <v>0.16435</v>
      </c>
      <c r="I79" s="22">
        <f t="shared" si="7"/>
        <v>0.14485000000000001</v>
      </c>
      <c r="J79" s="22"/>
      <c r="K79" s="19">
        <v>200</v>
      </c>
      <c r="L79" s="23">
        <f t="shared" si="5"/>
        <v>32.869999999999997</v>
      </c>
      <c r="M79" s="23">
        <f t="shared" si="8"/>
        <v>32.869999999999997</v>
      </c>
      <c r="N79" s="23">
        <f t="shared" si="9"/>
        <v>28.97</v>
      </c>
      <c r="O79" s="23">
        <f t="shared" si="10"/>
        <v>0</v>
      </c>
      <c r="P79" s="19" t="s">
        <v>143</v>
      </c>
      <c r="Q79" s="20"/>
    </row>
    <row r="80" spans="1:17" x14ac:dyDescent="0.25">
      <c r="A80" s="47"/>
      <c r="B80" s="37" t="s">
        <v>107</v>
      </c>
      <c r="C80" s="19">
        <v>1</v>
      </c>
      <c r="D80" s="21">
        <v>718</v>
      </c>
      <c r="E80" s="21">
        <f>7*1</f>
        <v>7</v>
      </c>
      <c r="F80" s="21">
        <f>52*1</f>
        <v>52</v>
      </c>
      <c r="G80" s="22">
        <f t="shared" si="4"/>
        <v>8.2170000000000007E-2</v>
      </c>
      <c r="H80" s="22">
        <f t="shared" si="6"/>
        <v>8.2170000000000007E-2</v>
      </c>
      <c r="I80" s="22">
        <f t="shared" si="7"/>
        <v>7.2419999999999998E-2</v>
      </c>
      <c r="J80" s="22"/>
      <c r="K80" s="19">
        <v>50</v>
      </c>
      <c r="L80" s="23">
        <f t="shared" si="5"/>
        <v>4.1100000000000003</v>
      </c>
      <c r="M80" s="23">
        <f t="shared" si="8"/>
        <v>4.1100000000000003</v>
      </c>
      <c r="N80" s="23">
        <f t="shared" si="9"/>
        <v>3.62</v>
      </c>
      <c r="O80" s="23">
        <f t="shared" si="10"/>
        <v>0</v>
      </c>
      <c r="P80" s="19" t="s">
        <v>142</v>
      </c>
      <c r="Q80" s="20"/>
    </row>
    <row r="81" spans="1:17" x14ac:dyDescent="0.25">
      <c r="A81" s="47"/>
      <c r="B81" s="37" t="s">
        <v>108</v>
      </c>
      <c r="C81" s="19">
        <v>1</v>
      </c>
      <c r="D81" s="21">
        <v>718</v>
      </c>
      <c r="E81" s="21">
        <f>7*2</f>
        <v>14</v>
      </c>
      <c r="F81" s="21">
        <f>52*2</f>
        <v>104</v>
      </c>
      <c r="G81" s="22">
        <f t="shared" si="4"/>
        <v>0.16435</v>
      </c>
      <c r="H81" s="22">
        <f t="shared" si="6"/>
        <v>0.16435</v>
      </c>
      <c r="I81" s="22">
        <f t="shared" si="7"/>
        <v>0.14485000000000001</v>
      </c>
      <c r="J81" s="22"/>
      <c r="K81" s="19">
        <v>45</v>
      </c>
      <c r="L81" s="23">
        <f t="shared" si="5"/>
        <v>7.4</v>
      </c>
      <c r="M81" s="23">
        <f t="shared" si="8"/>
        <v>7.4</v>
      </c>
      <c r="N81" s="23">
        <f t="shared" si="9"/>
        <v>6.52</v>
      </c>
      <c r="O81" s="23">
        <f t="shared" si="10"/>
        <v>0</v>
      </c>
      <c r="P81" s="19" t="s">
        <v>143</v>
      </c>
      <c r="Q81" s="20"/>
    </row>
    <row r="82" spans="1:17" x14ac:dyDescent="0.25">
      <c r="A82" s="47"/>
      <c r="B82" s="37" t="s">
        <v>109</v>
      </c>
      <c r="C82" s="19">
        <v>3</v>
      </c>
      <c r="D82" s="21">
        <v>718</v>
      </c>
      <c r="E82" s="21">
        <f>7*1</f>
        <v>7</v>
      </c>
      <c r="F82" s="21">
        <f>52*1</f>
        <v>52</v>
      </c>
      <c r="G82" s="22">
        <f t="shared" si="4"/>
        <v>2.7390000000000001E-2</v>
      </c>
      <c r="H82" s="22">
        <f t="shared" si="6"/>
        <v>2.7390000000000001E-2</v>
      </c>
      <c r="I82" s="22">
        <f t="shared" si="7"/>
        <v>2.4140000000000002E-2</v>
      </c>
      <c r="J82" s="22"/>
      <c r="K82" s="19">
        <v>60</v>
      </c>
      <c r="L82" s="23">
        <f t="shared" si="5"/>
        <v>1.64</v>
      </c>
      <c r="M82" s="23">
        <f t="shared" si="8"/>
        <v>1.64</v>
      </c>
      <c r="N82" s="23">
        <f t="shared" si="9"/>
        <v>1.45</v>
      </c>
      <c r="O82" s="23">
        <f t="shared" si="10"/>
        <v>0</v>
      </c>
      <c r="P82" s="19" t="s">
        <v>142</v>
      </c>
      <c r="Q82" s="20"/>
    </row>
    <row r="83" spans="1:17" x14ac:dyDescent="0.25">
      <c r="A83" s="47"/>
      <c r="B83" s="37" t="s">
        <v>110</v>
      </c>
      <c r="C83" s="19">
        <v>1</v>
      </c>
      <c r="D83" s="21">
        <v>718</v>
      </c>
      <c r="E83" s="21">
        <f>7*1</f>
        <v>7</v>
      </c>
      <c r="F83" s="21">
        <f>52*1</f>
        <v>52</v>
      </c>
      <c r="G83" s="22">
        <f t="shared" si="4"/>
        <v>8.2170000000000007E-2</v>
      </c>
      <c r="H83" s="22">
        <f t="shared" si="6"/>
        <v>8.2170000000000007E-2</v>
      </c>
      <c r="I83" s="22">
        <f t="shared" si="7"/>
        <v>7.2419999999999998E-2</v>
      </c>
      <c r="J83" s="22"/>
      <c r="K83" s="19">
        <v>60</v>
      </c>
      <c r="L83" s="23">
        <f t="shared" si="5"/>
        <v>4.93</v>
      </c>
      <c r="M83" s="23">
        <f t="shared" si="8"/>
        <v>4.93</v>
      </c>
      <c r="N83" s="23">
        <f t="shared" si="9"/>
        <v>4.3499999999999996</v>
      </c>
      <c r="O83" s="23">
        <f t="shared" si="10"/>
        <v>0</v>
      </c>
      <c r="P83" s="19" t="s">
        <v>142</v>
      </c>
      <c r="Q83" s="20"/>
    </row>
    <row r="84" spans="1:17" x14ac:dyDescent="0.25">
      <c r="A84" s="47"/>
      <c r="B84" s="37" t="s">
        <v>111</v>
      </c>
      <c r="C84" s="19">
        <v>5</v>
      </c>
      <c r="D84" s="21">
        <v>718</v>
      </c>
      <c r="E84" s="21">
        <f>7*1</f>
        <v>7</v>
      </c>
      <c r="F84" s="21">
        <f>52*1</f>
        <v>52</v>
      </c>
      <c r="G84" s="22">
        <f t="shared" si="4"/>
        <v>1.643E-2</v>
      </c>
      <c r="H84" s="22">
        <f t="shared" si="6"/>
        <v>1.643E-2</v>
      </c>
      <c r="I84" s="22">
        <f t="shared" si="7"/>
        <v>1.448E-2</v>
      </c>
      <c r="J84" s="22"/>
      <c r="K84" s="19">
        <v>150</v>
      </c>
      <c r="L84" s="23">
        <f t="shared" si="5"/>
        <v>2.46</v>
      </c>
      <c r="M84" s="23">
        <f t="shared" si="8"/>
        <v>2.46</v>
      </c>
      <c r="N84" s="23">
        <f t="shared" si="9"/>
        <v>2.17</v>
      </c>
      <c r="O84" s="23">
        <f t="shared" si="10"/>
        <v>0</v>
      </c>
      <c r="P84" s="19" t="s">
        <v>142</v>
      </c>
      <c r="Q84" s="20"/>
    </row>
    <row r="85" spans="1:17" x14ac:dyDescent="0.25">
      <c r="A85" s="47"/>
      <c r="B85" s="37" t="s">
        <v>112</v>
      </c>
      <c r="C85" s="19">
        <v>5</v>
      </c>
      <c r="D85" s="21">
        <v>718</v>
      </c>
      <c r="E85" s="21">
        <f>7*1</f>
        <v>7</v>
      </c>
      <c r="F85" s="21">
        <f>52*1</f>
        <v>52</v>
      </c>
      <c r="G85" s="22">
        <f t="shared" si="4"/>
        <v>1.643E-2</v>
      </c>
      <c r="H85" s="22">
        <f t="shared" si="6"/>
        <v>1.643E-2</v>
      </c>
      <c r="I85" s="22">
        <f t="shared" si="7"/>
        <v>1.448E-2</v>
      </c>
      <c r="J85" s="22"/>
      <c r="K85" s="19">
        <v>300</v>
      </c>
      <c r="L85" s="23">
        <f t="shared" si="5"/>
        <v>4.93</v>
      </c>
      <c r="M85" s="23">
        <f t="shared" si="8"/>
        <v>4.93</v>
      </c>
      <c r="N85" s="23">
        <f t="shared" si="9"/>
        <v>4.34</v>
      </c>
      <c r="O85" s="23">
        <f t="shared" si="10"/>
        <v>0</v>
      </c>
      <c r="P85" s="19" t="s">
        <v>142</v>
      </c>
      <c r="Q85" s="20"/>
    </row>
    <row r="86" spans="1:17" x14ac:dyDescent="0.25">
      <c r="A86" s="47"/>
      <c r="B86" s="37" t="s">
        <v>113</v>
      </c>
      <c r="C86" s="19">
        <v>1</v>
      </c>
      <c r="D86" s="21">
        <v>718</v>
      </c>
      <c r="E86" s="21">
        <v>2</v>
      </c>
      <c r="F86" s="21"/>
      <c r="G86" s="22">
        <f t="shared" si="4"/>
        <v>2.7899999999999999E-3</v>
      </c>
      <c r="H86" s="22">
        <f t="shared" si="6"/>
        <v>2.7899999999999999E-3</v>
      </c>
      <c r="I86" s="22">
        <f t="shared" si="7"/>
        <v>0</v>
      </c>
      <c r="J86" s="22"/>
      <c r="K86" s="19">
        <v>60</v>
      </c>
      <c r="L86" s="23">
        <f t="shared" si="5"/>
        <v>0.17</v>
      </c>
      <c r="M86" s="23">
        <f t="shared" si="8"/>
        <v>0.17</v>
      </c>
      <c r="N86" s="23">
        <f t="shared" si="9"/>
        <v>0</v>
      </c>
      <c r="O86" s="23">
        <f t="shared" si="10"/>
        <v>0</v>
      </c>
      <c r="P86" s="19" t="s">
        <v>115</v>
      </c>
      <c r="Q86" s="20"/>
    </row>
    <row r="87" spans="1:17" x14ac:dyDescent="0.25">
      <c r="A87" s="47"/>
      <c r="B87" s="37" t="s">
        <v>114</v>
      </c>
      <c r="C87" s="19">
        <v>1</v>
      </c>
      <c r="D87" s="21">
        <v>718</v>
      </c>
      <c r="E87" s="21">
        <f>7*1</f>
        <v>7</v>
      </c>
      <c r="F87" s="21">
        <f>52*1</f>
        <v>52</v>
      </c>
      <c r="G87" s="22">
        <f t="shared" si="4"/>
        <v>8.2170000000000007E-2</v>
      </c>
      <c r="H87" s="22">
        <f t="shared" si="6"/>
        <v>8.2170000000000007E-2</v>
      </c>
      <c r="I87" s="22">
        <f t="shared" si="7"/>
        <v>7.2419999999999998E-2</v>
      </c>
      <c r="J87" s="22"/>
      <c r="K87" s="19">
        <v>600</v>
      </c>
      <c r="L87" s="23">
        <f t="shared" si="5"/>
        <v>49.3</v>
      </c>
      <c r="M87" s="23">
        <f t="shared" si="8"/>
        <v>49.3</v>
      </c>
      <c r="N87" s="23">
        <f t="shared" si="9"/>
        <v>43.45</v>
      </c>
      <c r="O87" s="23">
        <f t="shared" si="10"/>
        <v>0</v>
      </c>
      <c r="P87" s="19" t="s">
        <v>142</v>
      </c>
      <c r="Q87" s="20"/>
    </row>
    <row r="88" spans="1:17" x14ac:dyDescent="0.25">
      <c r="A88" s="47"/>
      <c r="B88" s="44" t="s">
        <v>212</v>
      </c>
      <c r="C88" s="40"/>
      <c r="D88" s="41"/>
      <c r="E88" s="41"/>
      <c r="F88" s="41"/>
      <c r="G88" s="42"/>
      <c r="H88" s="42"/>
      <c r="I88" s="42"/>
      <c r="J88" s="42"/>
      <c r="K88" s="40"/>
      <c r="L88" s="43">
        <f>SUM(L47:L87)</f>
        <v>337.07</v>
      </c>
      <c r="M88" s="43">
        <f>SUM(M47:M87)</f>
        <v>337.07</v>
      </c>
      <c r="N88" s="43">
        <f>SUM(N47:N87)</f>
        <v>302.2</v>
      </c>
      <c r="O88" s="43">
        <f>SUM(O47:O87)</f>
        <v>0</v>
      </c>
      <c r="P88" s="40"/>
      <c r="Q88" s="20"/>
    </row>
    <row r="89" spans="1:17" x14ac:dyDescent="0.25">
      <c r="A89" s="47" t="s">
        <v>221</v>
      </c>
      <c r="B89" s="44"/>
      <c r="C89" s="40"/>
      <c r="D89" s="41"/>
      <c r="E89" s="41"/>
      <c r="F89" s="41"/>
      <c r="G89" s="42"/>
      <c r="H89" s="42"/>
      <c r="I89" s="42"/>
      <c r="J89" s="42"/>
      <c r="K89" s="40"/>
      <c r="L89" s="43">
        <f>SUM(M89:O89)</f>
        <v>302.2</v>
      </c>
      <c r="M89" s="43"/>
      <c r="N89" s="43">
        <f>N88</f>
        <v>302.2</v>
      </c>
      <c r="O89" s="43"/>
      <c r="P89" s="40" t="s">
        <v>294</v>
      </c>
      <c r="Q89" s="20"/>
    </row>
    <row r="90" spans="1:17" x14ac:dyDescent="0.25">
      <c r="A90" s="47" t="s">
        <v>222</v>
      </c>
      <c r="B90" s="44"/>
      <c r="C90" s="40"/>
      <c r="D90" s="41"/>
      <c r="E90" s="41"/>
      <c r="F90" s="41"/>
      <c r="G90" s="42"/>
      <c r="H90" s="42"/>
      <c r="I90" s="42"/>
      <c r="J90" s="42"/>
      <c r="K90" s="40"/>
      <c r="L90" s="43">
        <f>SUM(M90:O90)</f>
        <v>34.869999999999997</v>
      </c>
      <c r="M90" s="43">
        <f>M88-N89</f>
        <v>34.869999999999997</v>
      </c>
      <c r="N90" s="43"/>
      <c r="O90" s="43"/>
      <c r="P90" s="40" t="s">
        <v>294</v>
      </c>
      <c r="Q90" s="20"/>
    </row>
    <row r="91" spans="1:17" x14ac:dyDescent="0.25">
      <c r="A91" s="52"/>
      <c r="B91" s="1561" t="s">
        <v>802</v>
      </c>
      <c r="C91" s="1561"/>
      <c r="D91" s="1561"/>
      <c r="E91" s="1561"/>
      <c r="F91" s="1561"/>
      <c r="G91" s="1561"/>
      <c r="H91" s="1561"/>
      <c r="I91" s="1561"/>
      <c r="J91" s="1561"/>
      <c r="K91" s="1561"/>
      <c r="L91" s="1561"/>
      <c r="M91" s="1561"/>
      <c r="N91" s="1561"/>
      <c r="O91" s="1561"/>
      <c r="P91" s="1562"/>
      <c r="Q91" s="53"/>
    </row>
    <row r="92" spans="1:17" x14ac:dyDescent="0.25">
      <c r="A92" s="47"/>
      <c r="B92" s="37" t="s">
        <v>116</v>
      </c>
      <c r="C92" s="19">
        <v>5</v>
      </c>
      <c r="D92" s="21">
        <v>718</v>
      </c>
      <c r="E92" s="21">
        <f>7*1</f>
        <v>7</v>
      </c>
      <c r="F92" s="21">
        <f>28*1</f>
        <v>28</v>
      </c>
      <c r="G92" s="22">
        <f t="shared" si="4"/>
        <v>9.75E-3</v>
      </c>
      <c r="H92" s="22">
        <f t="shared" ref="H92:H108" si="13">G92-J92</f>
        <v>9.75E-3</v>
      </c>
      <c r="I92" s="22"/>
      <c r="J92" s="22"/>
      <c r="K92" s="19">
        <v>80</v>
      </c>
      <c r="L92" s="23">
        <f t="shared" si="5"/>
        <v>0.78</v>
      </c>
      <c r="M92" s="23">
        <f t="shared" ref="M92:M108" si="14">H92*K92</f>
        <v>0.78</v>
      </c>
      <c r="N92" s="23">
        <f t="shared" ref="N92:N108" si="15">I92*K92</f>
        <v>0</v>
      </c>
      <c r="O92" s="23">
        <f t="shared" ref="O92:O108" si="16">L92-M92</f>
        <v>0</v>
      </c>
      <c r="P92" s="19" t="s">
        <v>803</v>
      </c>
      <c r="Q92" s="20"/>
    </row>
    <row r="93" spans="1:17" ht="22.5" x14ac:dyDescent="0.25">
      <c r="A93" s="47"/>
      <c r="B93" s="37" t="s">
        <v>119</v>
      </c>
      <c r="C93" s="19">
        <v>5</v>
      </c>
      <c r="D93" s="21">
        <v>718</v>
      </c>
      <c r="E93" s="21">
        <v>2</v>
      </c>
      <c r="F93" s="21">
        <f>4</f>
        <v>4</v>
      </c>
      <c r="G93" s="22">
        <f>(E93+F93)/D93/C93</f>
        <v>1.67E-3</v>
      </c>
      <c r="H93" s="22">
        <f t="shared" si="13"/>
        <v>1.67E-3</v>
      </c>
      <c r="I93" s="22"/>
      <c r="J93" s="22"/>
      <c r="K93" s="19">
        <v>80</v>
      </c>
      <c r="L93" s="23">
        <f>G93*K93</f>
        <v>0.13</v>
      </c>
      <c r="M93" s="23">
        <f t="shared" si="14"/>
        <v>0.13</v>
      </c>
      <c r="N93" s="23">
        <f t="shared" si="15"/>
        <v>0</v>
      </c>
      <c r="O93" s="23">
        <f t="shared" si="16"/>
        <v>0</v>
      </c>
      <c r="P93" s="20" t="s">
        <v>804</v>
      </c>
      <c r="Q93" s="20"/>
    </row>
    <row r="94" spans="1:17" ht="33.75" x14ac:dyDescent="0.25">
      <c r="A94" s="47"/>
      <c r="B94" s="37" t="s">
        <v>120</v>
      </c>
      <c r="C94" s="19">
        <v>1</v>
      </c>
      <c r="D94" s="21">
        <v>718</v>
      </c>
      <c r="E94" s="24">
        <f>(E92+E93)*12</f>
        <v>108</v>
      </c>
      <c r="F94" s="24">
        <f>(F92+F93)*12</f>
        <v>384</v>
      </c>
      <c r="G94" s="22">
        <f>(E94+F94)/D94/C94</f>
        <v>0.68523999999999996</v>
      </c>
      <c r="H94" s="22">
        <f t="shared" si="13"/>
        <v>0.68523999999999996</v>
      </c>
      <c r="I94" s="22"/>
      <c r="J94" s="22"/>
      <c r="K94" s="19">
        <v>16</v>
      </c>
      <c r="L94" s="23">
        <f>G94*K94</f>
        <v>10.96</v>
      </c>
      <c r="M94" s="23">
        <f t="shared" si="14"/>
        <v>10.96</v>
      </c>
      <c r="N94" s="23">
        <f t="shared" si="15"/>
        <v>0</v>
      </c>
      <c r="O94" s="23">
        <f t="shared" si="16"/>
        <v>0</v>
      </c>
      <c r="P94" s="20" t="s">
        <v>805</v>
      </c>
      <c r="Q94" s="20"/>
    </row>
    <row r="95" spans="1:17" x14ac:dyDescent="0.25">
      <c r="A95" s="47"/>
      <c r="B95" s="37" t="s">
        <v>117</v>
      </c>
      <c r="C95" s="19">
        <v>10</v>
      </c>
      <c r="D95" s="21">
        <v>718</v>
      </c>
      <c r="E95" s="21">
        <f>7*1</f>
        <v>7</v>
      </c>
      <c r="F95" s="21">
        <f>52*1</f>
        <v>52</v>
      </c>
      <c r="G95" s="22">
        <f t="shared" si="4"/>
        <v>8.2199999999999999E-3</v>
      </c>
      <c r="H95" s="22">
        <f t="shared" si="13"/>
        <v>8.2199999999999999E-3</v>
      </c>
      <c r="I95" s="22"/>
      <c r="J95" s="22"/>
      <c r="K95" s="19">
        <v>100</v>
      </c>
      <c r="L95" s="23">
        <f t="shared" si="5"/>
        <v>0.82</v>
      </c>
      <c r="M95" s="23">
        <f t="shared" si="14"/>
        <v>0.82</v>
      </c>
      <c r="N95" s="23">
        <f t="shared" si="15"/>
        <v>0</v>
      </c>
      <c r="O95" s="23">
        <f t="shared" si="16"/>
        <v>0</v>
      </c>
      <c r="P95" s="19" t="s">
        <v>142</v>
      </c>
      <c r="Q95" s="20"/>
    </row>
    <row r="96" spans="1:17" ht="22.5" x14ac:dyDescent="0.25">
      <c r="A96" s="47"/>
      <c r="B96" s="37" t="s">
        <v>118</v>
      </c>
      <c r="C96" s="19">
        <v>1</v>
      </c>
      <c r="D96" s="21">
        <v>718</v>
      </c>
      <c r="E96" s="21">
        <v>2</v>
      </c>
      <c r="F96" s="21">
        <v>1</v>
      </c>
      <c r="G96" s="22">
        <f t="shared" si="4"/>
        <v>4.1799999999999997E-3</v>
      </c>
      <c r="H96" s="22">
        <f t="shared" si="13"/>
        <v>4.1799999999999997E-3</v>
      </c>
      <c r="I96" s="22"/>
      <c r="J96" s="22"/>
      <c r="K96" s="19">
        <v>30</v>
      </c>
      <c r="L96" s="23">
        <f t="shared" si="5"/>
        <v>0.13</v>
      </c>
      <c r="M96" s="23">
        <f t="shared" si="14"/>
        <v>0.13</v>
      </c>
      <c r="N96" s="23">
        <f t="shared" si="15"/>
        <v>0</v>
      </c>
      <c r="O96" s="23">
        <f t="shared" si="16"/>
        <v>0</v>
      </c>
      <c r="P96" s="20" t="s">
        <v>136</v>
      </c>
      <c r="Q96" s="20"/>
    </row>
    <row r="97" spans="1:17" x14ac:dyDescent="0.25">
      <c r="A97" s="47"/>
      <c r="B97" s="37" t="s">
        <v>122</v>
      </c>
      <c r="C97" s="19">
        <v>1</v>
      </c>
      <c r="D97" s="21">
        <v>718</v>
      </c>
      <c r="E97" s="21">
        <f>1+2+2+1+1</f>
        <v>7</v>
      </c>
      <c r="F97" s="21">
        <f>1*52/10</f>
        <v>5</v>
      </c>
      <c r="G97" s="22">
        <f>(E97+F97)/D97/C97</f>
        <v>1.6709999999999999E-2</v>
      </c>
      <c r="H97" s="22">
        <f t="shared" si="13"/>
        <v>1.6709999999999999E-2</v>
      </c>
      <c r="I97" s="22"/>
      <c r="J97" s="22"/>
      <c r="K97" s="19">
        <v>200</v>
      </c>
      <c r="L97" s="23">
        <f>G97*K97</f>
        <v>3.34</v>
      </c>
      <c r="M97" s="23">
        <f t="shared" si="14"/>
        <v>3.34</v>
      </c>
      <c r="N97" s="23">
        <f t="shared" si="15"/>
        <v>0</v>
      </c>
      <c r="O97" s="23">
        <f t="shared" si="16"/>
        <v>0</v>
      </c>
      <c r="P97" s="19" t="s">
        <v>133</v>
      </c>
      <c r="Q97" s="20"/>
    </row>
    <row r="98" spans="1:17" ht="22.5" x14ac:dyDescent="0.25">
      <c r="A98" s="47"/>
      <c r="B98" s="37" t="s">
        <v>127</v>
      </c>
      <c r="C98" s="19">
        <v>1</v>
      </c>
      <c r="D98" s="21">
        <v>718</v>
      </c>
      <c r="E98" s="21">
        <f>12*10</f>
        <v>120</v>
      </c>
      <c r="F98" s="21"/>
      <c r="G98" s="22">
        <f>(E98+F98)/D98/C98</f>
        <v>0.16713</v>
      </c>
      <c r="H98" s="22">
        <f t="shared" si="13"/>
        <v>0.16713</v>
      </c>
      <c r="I98" s="22"/>
      <c r="J98" s="22"/>
      <c r="K98" s="19">
        <v>55</v>
      </c>
      <c r="L98" s="23">
        <f>G98*K98</f>
        <v>9.19</v>
      </c>
      <c r="M98" s="23">
        <f t="shared" si="14"/>
        <v>9.19</v>
      </c>
      <c r="N98" s="23">
        <f t="shared" si="15"/>
        <v>0</v>
      </c>
      <c r="O98" s="23">
        <f t="shared" si="16"/>
        <v>0</v>
      </c>
      <c r="P98" s="19" t="s">
        <v>290</v>
      </c>
      <c r="Q98" s="20"/>
    </row>
    <row r="99" spans="1:17" ht="22.5" x14ac:dyDescent="0.25">
      <c r="A99" s="47"/>
      <c r="B99" s="37" t="s">
        <v>128</v>
      </c>
      <c r="C99" s="19">
        <v>5</v>
      </c>
      <c r="D99" s="21">
        <v>718</v>
      </c>
      <c r="E99" s="21">
        <f>1*10</f>
        <v>10</v>
      </c>
      <c r="F99" s="21"/>
      <c r="G99" s="22">
        <f t="shared" ref="G99:G108" si="17">(E99+F99)/D99/C99</f>
        <v>2.7899999999999999E-3</v>
      </c>
      <c r="H99" s="22">
        <f t="shared" si="13"/>
        <v>2.7899999999999999E-3</v>
      </c>
      <c r="I99" s="22"/>
      <c r="J99" s="22"/>
      <c r="K99" s="19">
        <v>250</v>
      </c>
      <c r="L99" s="23">
        <f t="shared" ref="L99:L108" si="18">G99*K99</f>
        <v>0.7</v>
      </c>
      <c r="M99" s="23">
        <f t="shared" si="14"/>
        <v>0.7</v>
      </c>
      <c r="N99" s="23">
        <f t="shared" si="15"/>
        <v>0</v>
      </c>
      <c r="O99" s="23">
        <f t="shared" si="16"/>
        <v>0</v>
      </c>
      <c r="P99" s="27" t="s">
        <v>206</v>
      </c>
      <c r="Q99" s="20"/>
    </row>
    <row r="100" spans="1:17" ht="22.5" x14ac:dyDescent="0.25">
      <c r="A100" s="47"/>
      <c r="B100" s="37" t="s">
        <v>132</v>
      </c>
      <c r="C100" s="19">
        <v>5</v>
      </c>
      <c r="D100" s="21">
        <v>718</v>
      </c>
      <c r="E100" s="21">
        <f>1*10</f>
        <v>10</v>
      </c>
      <c r="F100" s="21"/>
      <c r="G100" s="22">
        <f t="shared" si="17"/>
        <v>2.7899999999999999E-3</v>
      </c>
      <c r="H100" s="22">
        <f t="shared" si="13"/>
        <v>2.7899999999999999E-3</v>
      </c>
      <c r="I100" s="22"/>
      <c r="J100" s="22"/>
      <c r="K100" s="19">
        <v>1282</v>
      </c>
      <c r="L100" s="23">
        <f t="shared" si="18"/>
        <v>3.58</v>
      </c>
      <c r="M100" s="23">
        <f t="shared" si="14"/>
        <v>3.58</v>
      </c>
      <c r="N100" s="23">
        <f t="shared" si="15"/>
        <v>0</v>
      </c>
      <c r="O100" s="23">
        <f t="shared" si="16"/>
        <v>0</v>
      </c>
      <c r="P100" s="27" t="s">
        <v>206</v>
      </c>
      <c r="Q100" s="20"/>
    </row>
    <row r="101" spans="1:17" ht="22.5" x14ac:dyDescent="0.25">
      <c r="A101" s="47"/>
      <c r="B101" s="37" t="s">
        <v>129</v>
      </c>
      <c r="C101" s="19">
        <v>1</v>
      </c>
      <c r="D101" s="21">
        <v>718</v>
      </c>
      <c r="E101" s="21">
        <f>4*10</f>
        <v>40</v>
      </c>
      <c r="F101" s="21"/>
      <c r="G101" s="22">
        <f t="shared" si="17"/>
        <v>5.5710000000000003E-2</v>
      </c>
      <c r="H101" s="22">
        <f t="shared" si="13"/>
        <v>5.5710000000000003E-2</v>
      </c>
      <c r="I101" s="22"/>
      <c r="J101" s="22"/>
      <c r="K101" s="19">
        <v>270</v>
      </c>
      <c r="L101" s="23">
        <f t="shared" si="18"/>
        <v>15.04</v>
      </c>
      <c r="M101" s="23">
        <f t="shared" si="14"/>
        <v>15.04</v>
      </c>
      <c r="N101" s="23">
        <f t="shared" si="15"/>
        <v>0</v>
      </c>
      <c r="O101" s="23">
        <f t="shared" si="16"/>
        <v>0</v>
      </c>
      <c r="P101" s="27" t="s">
        <v>364</v>
      </c>
      <c r="Q101" s="20"/>
    </row>
    <row r="102" spans="1:17" ht="22.5" x14ac:dyDescent="0.25">
      <c r="A102" s="47"/>
      <c r="B102" s="37" t="s">
        <v>123</v>
      </c>
      <c r="C102" s="19">
        <v>1</v>
      </c>
      <c r="D102" s="21">
        <v>718</v>
      </c>
      <c r="E102" s="21">
        <v>2</v>
      </c>
      <c r="F102" s="21">
        <v>4</v>
      </c>
      <c r="G102" s="22">
        <f t="shared" si="17"/>
        <v>8.3599999999999994E-3</v>
      </c>
      <c r="H102" s="22">
        <f t="shared" si="13"/>
        <v>8.3599999999999994E-3</v>
      </c>
      <c r="I102" s="22"/>
      <c r="J102" s="22"/>
      <c r="K102" s="19">
        <v>150</v>
      </c>
      <c r="L102" s="23">
        <f t="shared" si="18"/>
        <v>1.25</v>
      </c>
      <c r="M102" s="23">
        <f t="shared" si="14"/>
        <v>1.25</v>
      </c>
      <c r="N102" s="23">
        <f t="shared" si="15"/>
        <v>0</v>
      </c>
      <c r="O102" s="23">
        <f t="shared" si="16"/>
        <v>0</v>
      </c>
      <c r="P102" s="20" t="s">
        <v>806</v>
      </c>
      <c r="Q102" s="20"/>
    </row>
    <row r="103" spans="1:17" ht="22.5" x14ac:dyDescent="0.25">
      <c r="A103" s="47"/>
      <c r="B103" s="37" t="s">
        <v>134</v>
      </c>
      <c r="C103" s="19">
        <v>1</v>
      </c>
      <c r="D103" s="21">
        <v>718</v>
      </c>
      <c r="E103" s="21">
        <f>4*10</f>
        <v>40</v>
      </c>
      <c r="F103" s="21"/>
      <c r="G103" s="22">
        <f>(E103+F103)/D103/C103</f>
        <v>5.5710000000000003E-2</v>
      </c>
      <c r="H103" s="22">
        <f t="shared" si="13"/>
        <v>5.5710000000000003E-2</v>
      </c>
      <c r="I103" s="22"/>
      <c r="J103" s="22"/>
      <c r="K103" s="19">
        <v>150</v>
      </c>
      <c r="L103" s="23">
        <f>G103*K103</f>
        <v>8.36</v>
      </c>
      <c r="M103" s="23">
        <f t="shared" si="14"/>
        <v>8.36</v>
      </c>
      <c r="N103" s="23">
        <f t="shared" si="15"/>
        <v>0</v>
      </c>
      <c r="O103" s="23">
        <f t="shared" si="16"/>
        <v>0</v>
      </c>
      <c r="P103" s="20" t="s">
        <v>291</v>
      </c>
      <c r="Q103" s="20"/>
    </row>
    <row r="104" spans="1:17" ht="22.5" x14ac:dyDescent="0.25">
      <c r="A104" s="47"/>
      <c r="B104" s="37" t="s">
        <v>207</v>
      </c>
      <c r="C104" s="19">
        <v>1</v>
      </c>
      <c r="D104" s="21">
        <v>718</v>
      </c>
      <c r="E104" s="21">
        <v>2</v>
      </c>
      <c r="F104" s="21">
        <f>0.5*28</f>
        <v>14</v>
      </c>
      <c r="G104" s="22">
        <f>(E104+F104)/D104/C104</f>
        <v>2.2280000000000001E-2</v>
      </c>
      <c r="H104" s="22">
        <f t="shared" si="13"/>
        <v>2.2280000000000001E-2</v>
      </c>
      <c r="I104" s="22"/>
      <c r="J104" s="22"/>
      <c r="K104" s="19">
        <v>300</v>
      </c>
      <c r="L104" s="23">
        <f>G104*K104</f>
        <v>6.68</v>
      </c>
      <c r="M104" s="23">
        <f t="shared" si="14"/>
        <v>6.68</v>
      </c>
      <c r="N104" s="23">
        <f t="shared" si="15"/>
        <v>0</v>
      </c>
      <c r="O104" s="23">
        <f t="shared" si="16"/>
        <v>0</v>
      </c>
      <c r="P104" s="26" t="s">
        <v>807</v>
      </c>
      <c r="Q104" s="20"/>
    </row>
    <row r="105" spans="1:17" x14ac:dyDescent="0.25">
      <c r="A105" s="47"/>
      <c r="B105" s="37" t="s">
        <v>130</v>
      </c>
      <c r="C105" s="19">
        <v>1</v>
      </c>
      <c r="D105" s="21">
        <v>718</v>
      </c>
      <c r="E105" s="21">
        <f>2*12*10</f>
        <v>240</v>
      </c>
      <c r="F105" s="21"/>
      <c r="G105" s="22">
        <f t="shared" si="17"/>
        <v>0.33426</v>
      </c>
      <c r="H105" s="22">
        <f t="shared" si="13"/>
        <v>0.33426</v>
      </c>
      <c r="I105" s="22"/>
      <c r="J105" s="22"/>
      <c r="K105" s="19">
        <v>50</v>
      </c>
      <c r="L105" s="23">
        <f t="shared" si="18"/>
        <v>16.71</v>
      </c>
      <c r="M105" s="23">
        <f t="shared" si="14"/>
        <v>16.71</v>
      </c>
      <c r="N105" s="23">
        <f t="shared" si="15"/>
        <v>0</v>
      </c>
      <c r="O105" s="23">
        <f t="shared" si="16"/>
        <v>0</v>
      </c>
      <c r="P105" s="19" t="s">
        <v>137</v>
      </c>
      <c r="Q105" s="20"/>
    </row>
    <row r="106" spans="1:17" ht="22.5" x14ac:dyDescent="0.25">
      <c r="A106" s="47"/>
      <c r="B106" s="37" t="s">
        <v>131</v>
      </c>
      <c r="C106" s="19">
        <v>1</v>
      </c>
      <c r="D106" s="21">
        <v>718</v>
      </c>
      <c r="E106" s="21">
        <f>4*12</f>
        <v>48</v>
      </c>
      <c r="F106" s="21">
        <f>80*12</f>
        <v>960</v>
      </c>
      <c r="G106" s="22">
        <f t="shared" si="17"/>
        <v>1.4038999999999999</v>
      </c>
      <c r="H106" s="22">
        <f t="shared" si="13"/>
        <v>1.4038999999999999</v>
      </c>
      <c r="I106" s="22"/>
      <c r="J106" s="22"/>
      <c r="K106" s="19">
        <v>13</v>
      </c>
      <c r="L106" s="23">
        <f t="shared" si="18"/>
        <v>18.25</v>
      </c>
      <c r="M106" s="23">
        <f t="shared" si="14"/>
        <v>18.25</v>
      </c>
      <c r="N106" s="23">
        <f t="shared" si="15"/>
        <v>0</v>
      </c>
      <c r="O106" s="23">
        <f t="shared" si="16"/>
        <v>0</v>
      </c>
      <c r="P106" s="20" t="s">
        <v>808</v>
      </c>
      <c r="Q106" s="20"/>
    </row>
    <row r="107" spans="1:17" ht="22.5" x14ac:dyDescent="0.25">
      <c r="A107" s="47"/>
      <c r="B107" s="37" t="s">
        <v>121</v>
      </c>
      <c r="C107" s="19">
        <v>1</v>
      </c>
      <c r="D107" s="21">
        <v>718</v>
      </c>
      <c r="E107" s="21">
        <f>2*12</f>
        <v>24</v>
      </c>
      <c r="F107" s="21">
        <f>16*12</f>
        <v>192</v>
      </c>
      <c r="G107" s="22">
        <f t="shared" si="17"/>
        <v>0.30084</v>
      </c>
      <c r="H107" s="22">
        <f t="shared" si="13"/>
        <v>0.30084</v>
      </c>
      <c r="I107" s="22"/>
      <c r="J107" s="22"/>
      <c r="K107" s="19">
        <v>60</v>
      </c>
      <c r="L107" s="23">
        <f t="shared" si="18"/>
        <v>18.05</v>
      </c>
      <c r="M107" s="23">
        <f t="shared" si="14"/>
        <v>18.05</v>
      </c>
      <c r="N107" s="23">
        <f t="shared" si="15"/>
        <v>0</v>
      </c>
      <c r="O107" s="23">
        <f t="shared" si="16"/>
        <v>0</v>
      </c>
      <c r="P107" s="20" t="s">
        <v>809</v>
      </c>
      <c r="Q107" s="20"/>
    </row>
    <row r="108" spans="1:17" ht="22.5" x14ac:dyDescent="0.25">
      <c r="A108" s="47"/>
      <c r="B108" s="45" t="s">
        <v>205</v>
      </c>
      <c r="C108" s="27">
        <v>5</v>
      </c>
      <c r="D108" s="21">
        <v>718</v>
      </c>
      <c r="E108" s="28">
        <f>1*10</f>
        <v>10</v>
      </c>
      <c r="F108" s="28"/>
      <c r="G108" s="29">
        <f t="shared" si="17"/>
        <v>2.7899999999999999E-3</v>
      </c>
      <c r="H108" s="22">
        <f t="shared" si="13"/>
        <v>2.7899999999999999E-3</v>
      </c>
      <c r="I108" s="22"/>
      <c r="J108" s="29"/>
      <c r="K108" s="27">
        <v>750</v>
      </c>
      <c r="L108" s="30">
        <f t="shared" si="18"/>
        <v>2.09</v>
      </c>
      <c r="M108" s="23">
        <f t="shared" si="14"/>
        <v>2.09</v>
      </c>
      <c r="N108" s="23">
        <f t="shared" si="15"/>
        <v>0</v>
      </c>
      <c r="O108" s="23">
        <f t="shared" si="16"/>
        <v>0</v>
      </c>
      <c r="P108" s="19" t="s">
        <v>206</v>
      </c>
      <c r="Q108" s="20"/>
    </row>
    <row r="109" spans="1:17" x14ac:dyDescent="0.25">
      <c r="A109" s="47" t="s">
        <v>222</v>
      </c>
      <c r="B109" s="44" t="s">
        <v>212</v>
      </c>
      <c r="C109" s="40"/>
      <c r="D109" s="41"/>
      <c r="E109" s="41"/>
      <c r="F109" s="41"/>
      <c r="G109" s="42"/>
      <c r="H109" s="42"/>
      <c r="I109" s="42"/>
      <c r="J109" s="42"/>
      <c r="K109" s="40"/>
      <c r="L109" s="43">
        <f>SUM(L92:L108)</f>
        <v>116.06</v>
      </c>
      <c r="M109" s="43">
        <f>SUM(M92:M108)</f>
        <v>116.06</v>
      </c>
      <c r="N109" s="43">
        <f>SUM(N92:N108)</f>
        <v>0</v>
      </c>
      <c r="O109" s="43">
        <f>SUM(O92:O108)</f>
        <v>0</v>
      </c>
      <c r="P109" s="40" t="s">
        <v>294</v>
      </c>
      <c r="Q109" s="20"/>
    </row>
    <row r="110" spans="1:17" x14ac:dyDescent="0.25">
      <c r="A110" s="52"/>
      <c r="B110" s="1561" t="s">
        <v>810</v>
      </c>
      <c r="C110" s="1561"/>
      <c r="D110" s="1561"/>
      <c r="E110" s="1561"/>
      <c r="F110" s="1561"/>
      <c r="G110" s="1561"/>
      <c r="H110" s="1561"/>
      <c r="I110" s="1561"/>
      <c r="J110" s="1561"/>
      <c r="K110" s="1561"/>
      <c r="L110" s="1561"/>
      <c r="M110" s="1561"/>
      <c r="N110" s="1561"/>
      <c r="O110" s="1561"/>
      <c r="P110" s="1562"/>
      <c r="Q110" s="53"/>
    </row>
    <row r="111" spans="1:17" hidden="1" x14ac:dyDescent="0.25">
      <c r="A111" s="47"/>
      <c r="B111" s="45" t="s">
        <v>126</v>
      </c>
      <c r="C111" s="27">
        <v>10</v>
      </c>
      <c r="D111" s="21">
        <v>718</v>
      </c>
      <c r="E111" s="28">
        <f>1*1+28*1</f>
        <v>29</v>
      </c>
      <c r="F111" s="28"/>
      <c r="G111" s="29">
        <f>(E111+F111)/D111/C111</f>
        <v>4.0400000000000002E-3</v>
      </c>
      <c r="H111" s="22">
        <f>G111-J111</f>
        <v>0</v>
      </c>
      <c r="I111" s="22"/>
      <c r="J111" s="22">
        <f>E111/D111/C111</f>
        <v>4.0400000000000002E-3</v>
      </c>
      <c r="K111" s="27"/>
      <c r="L111" s="30">
        <f>G111*K111</f>
        <v>0</v>
      </c>
      <c r="M111" s="23">
        <f>H111*K111</f>
        <v>0</v>
      </c>
      <c r="N111" s="23">
        <f>I111*K111</f>
        <v>0</v>
      </c>
      <c r="O111" s="23">
        <f>L111-M111</f>
        <v>0</v>
      </c>
      <c r="P111" s="27" t="s">
        <v>135</v>
      </c>
      <c r="Q111" s="20"/>
    </row>
    <row r="112" spans="1:17" x14ac:dyDescent="0.25">
      <c r="A112" s="47"/>
      <c r="B112" s="37" t="s">
        <v>124</v>
      </c>
      <c r="C112" s="19">
        <v>1</v>
      </c>
      <c r="D112" s="21">
        <v>718</v>
      </c>
      <c r="E112" s="21">
        <f>1*1+28*1</f>
        <v>29</v>
      </c>
      <c r="F112" s="21"/>
      <c r="G112" s="22">
        <f>(E112+F112)/D112/C112</f>
        <v>4.0390000000000002E-2</v>
      </c>
      <c r="H112" s="22">
        <f>G112-J112</f>
        <v>0</v>
      </c>
      <c r="I112" s="22"/>
      <c r="J112" s="22">
        <f>E112/D112/C112</f>
        <v>4.0390000000000002E-2</v>
      </c>
      <c r="K112" s="19">
        <f>250</f>
        <v>250</v>
      </c>
      <c r="L112" s="23">
        <f>G112*K112</f>
        <v>10.1</v>
      </c>
      <c r="M112" s="23">
        <f>H112*K112</f>
        <v>0</v>
      </c>
      <c r="N112" s="23">
        <f>I112*K112</f>
        <v>0</v>
      </c>
      <c r="O112" s="23">
        <f>L112-M112</f>
        <v>10.1</v>
      </c>
      <c r="P112" s="19" t="s">
        <v>125</v>
      </c>
      <c r="Q112" s="20"/>
    </row>
    <row r="113" spans="1:17" hidden="1" x14ac:dyDescent="0.25">
      <c r="A113" s="47"/>
      <c r="B113" s="46" t="s">
        <v>307</v>
      </c>
      <c r="C113" s="19">
        <v>1</v>
      </c>
      <c r="D113" s="21">
        <v>718</v>
      </c>
      <c r="E113" s="24"/>
      <c r="F113" s="24"/>
      <c r="G113" s="22">
        <f>(E113+F113)/D113/C113</f>
        <v>0</v>
      </c>
      <c r="H113" s="22">
        <f>G113-J113</f>
        <v>0</v>
      </c>
      <c r="I113" s="22"/>
      <c r="J113" s="22">
        <f>E113/D113/C113</f>
        <v>0</v>
      </c>
      <c r="K113" s="19">
        <v>3.5</v>
      </c>
      <c r="L113" s="23">
        <f>G113*K113</f>
        <v>0</v>
      </c>
      <c r="M113" s="23">
        <f>H113*K113</f>
        <v>0</v>
      </c>
      <c r="N113" s="23">
        <f>I113*K113</f>
        <v>0</v>
      </c>
      <c r="O113" s="23">
        <f>L113-M113</f>
        <v>0</v>
      </c>
      <c r="P113" s="20" t="s">
        <v>811</v>
      </c>
      <c r="Q113" s="20"/>
    </row>
    <row r="114" spans="1:17" ht="22.5" hidden="1" x14ac:dyDescent="0.25">
      <c r="A114" s="47"/>
      <c r="B114" s="46" t="s">
        <v>308</v>
      </c>
      <c r="C114" s="19">
        <v>1</v>
      </c>
      <c r="D114" s="21">
        <v>718</v>
      </c>
      <c r="E114" s="24"/>
      <c r="F114" s="24"/>
      <c r="G114" s="22">
        <f>(E114+F114)/D114/C114</f>
        <v>0</v>
      </c>
      <c r="H114" s="22">
        <f>G114-J114</f>
        <v>0</v>
      </c>
      <c r="I114" s="22"/>
      <c r="J114" s="22">
        <f>E114/D114/C114</f>
        <v>0</v>
      </c>
      <c r="K114" s="19">
        <v>0.6</v>
      </c>
      <c r="L114" s="23">
        <f>G114*K114</f>
        <v>0</v>
      </c>
      <c r="M114" s="23">
        <f>H114*K114</f>
        <v>0</v>
      </c>
      <c r="N114" s="23">
        <f>I114*K114</f>
        <v>0</v>
      </c>
      <c r="O114" s="23">
        <f>L114-M114</f>
        <v>0</v>
      </c>
      <c r="P114" s="20" t="s">
        <v>812</v>
      </c>
      <c r="Q114" s="20"/>
    </row>
    <row r="115" spans="1:17" x14ac:dyDescent="0.25">
      <c r="A115" s="47" t="s">
        <v>224</v>
      </c>
      <c r="B115" s="44" t="s">
        <v>212</v>
      </c>
      <c r="C115" s="40"/>
      <c r="D115" s="41"/>
      <c r="E115" s="41"/>
      <c r="F115" s="41"/>
      <c r="G115" s="42"/>
      <c r="H115" s="42"/>
      <c r="I115" s="42"/>
      <c r="J115" s="42"/>
      <c r="K115" s="40"/>
      <c r="L115" s="43">
        <f>SUM(L111:L114)</f>
        <v>10.1</v>
      </c>
      <c r="M115" s="43">
        <f>SUM(M111:M114)</f>
        <v>0</v>
      </c>
      <c r="N115" s="43">
        <f>SUM(N111:N114)</f>
        <v>0</v>
      </c>
      <c r="O115" s="43">
        <f>SUM(O111:O114)</f>
        <v>10.1</v>
      </c>
      <c r="P115" s="40" t="s">
        <v>295</v>
      </c>
      <c r="Q115" s="20"/>
    </row>
    <row r="116" spans="1:17" x14ac:dyDescent="0.25">
      <c r="A116" s="52"/>
      <c r="B116" s="1561" t="s">
        <v>145</v>
      </c>
      <c r="C116" s="1561"/>
      <c r="D116" s="1561"/>
      <c r="E116" s="1561"/>
      <c r="F116" s="1561"/>
      <c r="G116" s="1561"/>
      <c r="H116" s="1561"/>
      <c r="I116" s="1561"/>
      <c r="J116" s="1561"/>
      <c r="K116" s="1561"/>
      <c r="L116" s="1561"/>
      <c r="M116" s="1561"/>
      <c r="N116" s="1561"/>
      <c r="O116" s="1561"/>
      <c r="P116" s="1562"/>
      <c r="Q116" s="53"/>
    </row>
    <row r="117" spans="1:17" ht="22.5" x14ac:dyDescent="0.25">
      <c r="A117" s="47"/>
      <c r="B117" s="37" t="s">
        <v>148</v>
      </c>
      <c r="C117" s="19">
        <v>1</v>
      </c>
      <c r="D117" s="21">
        <v>718</v>
      </c>
      <c r="E117" s="21">
        <v>1</v>
      </c>
      <c r="F117" s="21"/>
      <c r="G117" s="22">
        <f t="shared" ref="G117:G180" si="19">(E117+F117)/D117/C117</f>
        <v>1.39E-3</v>
      </c>
      <c r="H117" s="22">
        <f t="shared" ref="H117:H122" si="20">G117-J117</f>
        <v>0</v>
      </c>
      <c r="I117" s="22"/>
      <c r="J117" s="22">
        <f t="shared" ref="J117:J122" si="21">E117/D117/C117</f>
        <v>1.39E-3</v>
      </c>
      <c r="K117" s="19">
        <v>1200</v>
      </c>
      <c r="L117" s="23">
        <f t="shared" ref="L117:L180" si="22">G117*K117</f>
        <v>1.67</v>
      </c>
      <c r="M117" s="23">
        <f t="shared" ref="M117:M122" si="23">H117*K117</f>
        <v>0</v>
      </c>
      <c r="N117" s="23">
        <f t="shared" ref="N117:N122" si="24">I117*K117</f>
        <v>0</v>
      </c>
      <c r="O117" s="23">
        <f t="shared" ref="O117:O122" si="25">L117-M117</f>
        <v>1.67</v>
      </c>
      <c r="P117" s="19" t="s">
        <v>153</v>
      </c>
      <c r="Q117" s="20"/>
    </row>
    <row r="118" spans="1:17" x14ac:dyDescent="0.25">
      <c r="A118" s="47"/>
      <c r="B118" s="37" t="s">
        <v>149</v>
      </c>
      <c r="C118" s="19">
        <v>1</v>
      </c>
      <c r="D118" s="21">
        <v>718</v>
      </c>
      <c r="E118" s="21">
        <v>1</v>
      </c>
      <c r="F118" s="21"/>
      <c r="G118" s="22">
        <f t="shared" si="19"/>
        <v>1.39E-3</v>
      </c>
      <c r="H118" s="22">
        <f t="shared" si="20"/>
        <v>0</v>
      </c>
      <c r="I118" s="22"/>
      <c r="J118" s="22">
        <f t="shared" si="21"/>
        <v>1.39E-3</v>
      </c>
      <c r="K118" s="19">
        <v>1200</v>
      </c>
      <c r="L118" s="23">
        <f t="shared" si="22"/>
        <v>1.67</v>
      </c>
      <c r="M118" s="23">
        <f t="shared" si="23"/>
        <v>0</v>
      </c>
      <c r="N118" s="23">
        <f t="shared" si="24"/>
        <v>0</v>
      </c>
      <c r="O118" s="23">
        <f t="shared" si="25"/>
        <v>1.67</v>
      </c>
      <c r="P118" s="19" t="s">
        <v>153</v>
      </c>
      <c r="Q118" s="20"/>
    </row>
    <row r="119" spans="1:17" ht="22.5" x14ac:dyDescent="0.25">
      <c r="A119" s="47"/>
      <c r="B119" s="37" t="s">
        <v>151</v>
      </c>
      <c r="C119" s="19">
        <v>1</v>
      </c>
      <c r="D119" s="21">
        <v>718</v>
      </c>
      <c r="E119" s="21">
        <v>2</v>
      </c>
      <c r="F119" s="21"/>
      <c r="G119" s="22">
        <f t="shared" si="19"/>
        <v>2.7899999999999999E-3</v>
      </c>
      <c r="H119" s="22">
        <f t="shared" si="20"/>
        <v>0</v>
      </c>
      <c r="I119" s="22"/>
      <c r="J119" s="22">
        <f t="shared" si="21"/>
        <v>2.7899999999999999E-3</v>
      </c>
      <c r="K119" s="19">
        <v>1200</v>
      </c>
      <c r="L119" s="23">
        <f t="shared" si="22"/>
        <v>3.35</v>
      </c>
      <c r="M119" s="23">
        <f t="shared" si="23"/>
        <v>0</v>
      </c>
      <c r="N119" s="23">
        <f t="shared" si="24"/>
        <v>0</v>
      </c>
      <c r="O119" s="23">
        <f t="shared" si="25"/>
        <v>3.35</v>
      </c>
      <c r="P119" s="19" t="s">
        <v>813</v>
      </c>
      <c r="Q119" s="20"/>
    </row>
    <row r="120" spans="1:17" x14ac:dyDescent="0.25">
      <c r="A120" s="47"/>
      <c r="B120" s="37" t="s">
        <v>150</v>
      </c>
      <c r="C120" s="19">
        <v>1</v>
      </c>
      <c r="D120" s="21">
        <v>718</v>
      </c>
      <c r="E120" s="21">
        <v>2</v>
      </c>
      <c r="F120" s="21"/>
      <c r="G120" s="22">
        <f t="shared" si="19"/>
        <v>2.7899999999999999E-3</v>
      </c>
      <c r="H120" s="22">
        <f t="shared" si="20"/>
        <v>0</v>
      </c>
      <c r="I120" s="22"/>
      <c r="J120" s="22">
        <f t="shared" si="21"/>
        <v>2.7899999999999999E-3</v>
      </c>
      <c r="K120" s="19">
        <v>1500</v>
      </c>
      <c r="L120" s="23">
        <f t="shared" si="22"/>
        <v>4.1900000000000004</v>
      </c>
      <c r="M120" s="23">
        <f t="shared" si="23"/>
        <v>0</v>
      </c>
      <c r="N120" s="23">
        <f t="shared" si="24"/>
        <v>0</v>
      </c>
      <c r="O120" s="23">
        <f t="shared" si="25"/>
        <v>4.1900000000000004</v>
      </c>
      <c r="P120" s="19" t="s">
        <v>813</v>
      </c>
      <c r="Q120" s="20"/>
    </row>
    <row r="121" spans="1:17" x14ac:dyDescent="0.25">
      <c r="A121" s="47"/>
      <c r="B121" s="37" t="s">
        <v>152</v>
      </c>
      <c r="C121" s="19">
        <v>1</v>
      </c>
      <c r="D121" s="21">
        <v>718</v>
      </c>
      <c r="E121" s="21">
        <v>76</v>
      </c>
      <c r="F121" s="21"/>
      <c r="G121" s="22">
        <f t="shared" si="19"/>
        <v>0.10585</v>
      </c>
      <c r="H121" s="22">
        <f t="shared" si="20"/>
        <v>0</v>
      </c>
      <c r="I121" s="22"/>
      <c r="J121" s="22">
        <f t="shared" si="21"/>
        <v>0.10585</v>
      </c>
      <c r="K121" s="19">
        <v>350</v>
      </c>
      <c r="L121" s="23">
        <f t="shared" si="22"/>
        <v>37.049999999999997</v>
      </c>
      <c r="M121" s="23">
        <f t="shared" si="23"/>
        <v>0</v>
      </c>
      <c r="N121" s="23">
        <f t="shared" si="24"/>
        <v>0</v>
      </c>
      <c r="O121" s="23">
        <f t="shared" si="25"/>
        <v>37.049999999999997</v>
      </c>
      <c r="P121" s="19" t="s">
        <v>155</v>
      </c>
      <c r="Q121" s="20"/>
    </row>
    <row r="122" spans="1:17" ht="22.5" x14ac:dyDescent="0.25">
      <c r="A122" s="47"/>
      <c r="B122" s="37" t="s">
        <v>138</v>
      </c>
      <c r="C122" s="19">
        <v>1</v>
      </c>
      <c r="D122" s="21">
        <v>718</v>
      </c>
      <c r="E122" s="21">
        <v>1</v>
      </c>
      <c r="F122" s="21"/>
      <c r="G122" s="22">
        <f t="shared" si="19"/>
        <v>1.39E-3</v>
      </c>
      <c r="H122" s="22">
        <f t="shared" si="20"/>
        <v>0</v>
      </c>
      <c r="I122" s="22"/>
      <c r="J122" s="22">
        <f t="shared" si="21"/>
        <v>1.39E-3</v>
      </c>
      <c r="K122" s="19">
        <v>1200</v>
      </c>
      <c r="L122" s="23">
        <f t="shared" si="22"/>
        <v>1.67</v>
      </c>
      <c r="M122" s="23">
        <f t="shared" si="23"/>
        <v>0</v>
      </c>
      <c r="N122" s="23">
        <f t="shared" si="24"/>
        <v>0</v>
      </c>
      <c r="O122" s="23">
        <f t="shared" si="25"/>
        <v>1.67</v>
      </c>
      <c r="P122" s="19" t="s">
        <v>153</v>
      </c>
      <c r="Q122" s="20"/>
    </row>
    <row r="123" spans="1:17" x14ac:dyDescent="0.25">
      <c r="A123" s="47" t="s">
        <v>224</v>
      </c>
      <c r="B123" s="44" t="s">
        <v>212</v>
      </c>
      <c r="C123" s="40"/>
      <c r="D123" s="41"/>
      <c r="E123" s="41"/>
      <c r="F123" s="41"/>
      <c r="G123" s="42"/>
      <c r="H123" s="42"/>
      <c r="I123" s="42"/>
      <c r="J123" s="42"/>
      <c r="K123" s="40"/>
      <c r="L123" s="43">
        <f>SUM(L117:L122)</f>
        <v>49.6</v>
      </c>
      <c r="M123" s="43">
        <f>SUM(M117:M122)</f>
        <v>0</v>
      </c>
      <c r="N123" s="43">
        <f>SUM(N117:N122)</f>
        <v>0</v>
      </c>
      <c r="O123" s="43">
        <f>SUM(O117:O122)</f>
        <v>49.6</v>
      </c>
      <c r="P123" s="40" t="s">
        <v>295</v>
      </c>
      <c r="Q123" s="20"/>
    </row>
    <row r="124" spans="1:17" x14ac:dyDescent="0.25">
      <c r="A124" s="52"/>
      <c r="B124" s="1561" t="s">
        <v>814</v>
      </c>
      <c r="C124" s="1561"/>
      <c r="D124" s="1561"/>
      <c r="E124" s="1561"/>
      <c r="F124" s="1561"/>
      <c r="G124" s="1561"/>
      <c r="H124" s="1561"/>
      <c r="I124" s="1561"/>
      <c r="J124" s="1561"/>
      <c r="K124" s="1561"/>
      <c r="L124" s="1561"/>
      <c r="M124" s="1561"/>
      <c r="N124" s="1561"/>
      <c r="O124" s="1561"/>
      <c r="P124" s="1562"/>
      <c r="Q124" s="53"/>
    </row>
    <row r="125" spans="1:17" x14ac:dyDescent="0.25">
      <c r="A125" s="47"/>
      <c r="B125" s="37" t="s">
        <v>156</v>
      </c>
      <c r="C125" s="19">
        <v>1</v>
      </c>
      <c r="D125" s="21">
        <v>718</v>
      </c>
      <c r="E125" s="28">
        <v>5</v>
      </c>
      <c r="F125" s="28">
        <v>5</v>
      </c>
      <c r="G125" s="22">
        <f t="shared" si="19"/>
        <v>1.393E-2</v>
      </c>
      <c r="H125" s="22">
        <f t="shared" ref="H125:H130" si="26">G125-J125</f>
        <v>6.9699999999999996E-3</v>
      </c>
      <c r="I125" s="22">
        <f>(F125)/D125/C125</f>
        <v>6.96E-3</v>
      </c>
      <c r="J125" s="22">
        <f t="shared" ref="J125:J130" si="27">E125/D125/C125</f>
        <v>6.96E-3</v>
      </c>
      <c r="K125" s="19">
        <v>1323</v>
      </c>
      <c r="L125" s="23">
        <f t="shared" si="22"/>
        <v>18.43</v>
      </c>
      <c r="M125" s="23">
        <f t="shared" ref="M125:M130" si="28">H125*K125</f>
        <v>9.2200000000000006</v>
      </c>
      <c r="N125" s="23">
        <f t="shared" ref="N125:N130" si="29">I125*K125</f>
        <v>9.2100000000000009</v>
      </c>
      <c r="O125" s="23">
        <f t="shared" ref="O125:O130" si="30">L125-M125</f>
        <v>9.2100000000000009</v>
      </c>
      <c r="P125" s="19" t="s">
        <v>177</v>
      </c>
      <c r="Q125" s="20"/>
    </row>
    <row r="126" spans="1:17" x14ac:dyDescent="0.25">
      <c r="A126" s="47"/>
      <c r="B126" s="37" t="s">
        <v>157</v>
      </c>
      <c r="C126" s="19">
        <v>1</v>
      </c>
      <c r="D126" s="21">
        <v>718</v>
      </c>
      <c r="E126" s="28">
        <v>21</v>
      </c>
      <c r="F126" s="28">
        <v>45</v>
      </c>
      <c r="G126" s="22">
        <f t="shared" si="19"/>
        <v>9.1920000000000002E-2</v>
      </c>
      <c r="H126" s="22">
        <f>G126-J126</f>
        <v>6.2670000000000003E-2</v>
      </c>
      <c r="I126" s="22">
        <f>(F126)/D126/C126</f>
        <v>6.2670000000000003E-2</v>
      </c>
      <c r="J126" s="22">
        <f t="shared" si="27"/>
        <v>2.9250000000000002E-2</v>
      </c>
      <c r="K126" s="19">
        <v>1745</v>
      </c>
      <c r="L126" s="23">
        <f t="shared" si="22"/>
        <v>160.4</v>
      </c>
      <c r="M126" s="23">
        <f t="shared" si="28"/>
        <v>109.36</v>
      </c>
      <c r="N126" s="23">
        <f t="shared" si="29"/>
        <v>109.36</v>
      </c>
      <c r="O126" s="23">
        <f t="shared" si="30"/>
        <v>51.04</v>
      </c>
      <c r="P126" s="19" t="s">
        <v>177</v>
      </c>
      <c r="Q126" s="20"/>
    </row>
    <row r="127" spans="1:17" x14ac:dyDescent="0.25">
      <c r="A127" s="47"/>
      <c r="B127" s="45" t="s">
        <v>158</v>
      </c>
      <c r="C127" s="19">
        <v>1</v>
      </c>
      <c r="D127" s="28">
        <v>743</v>
      </c>
      <c r="E127" s="21">
        <f>1000*1</f>
        <v>1000</v>
      </c>
      <c r="F127" s="21"/>
      <c r="G127" s="22">
        <f t="shared" si="19"/>
        <v>1.3459000000000001</v>
      </c>
      <c r="H127" s="22">
        <f t="shared" si="26"/>
        <v>0</v>
      </c>
      <c r="I127" s="22"/>
      <c r="J127" s="22">
        <f t="shared" si="27"/>
        <v>1.3459000000000001</v>
      </c>
      <c r="K127" s="19">
        <v>0.22</v>
      </c>
      <c r="L127" s="23">
        <f t="shared" si="22"/>
        <v>0.3</v>
      </c>
      <c r="M127" s="23">
        <f t="shared" si="28"/>
        <v>0</v>
      </c>
      <c r="N127" s="23">
        <f t="shared" si="29"/>
        <v>0</v>
      </c>
      <c r="O127" s="23">
        <f t="shared" si="30"/>
        <v>0.3</v>
      </c>
      <c r="P127" s="20" t="s">
        <v>292</v>
      </c>
      <c r="Q127" s="20" t="s">
        <v>815</v>
      </c>
    </row>
    <row r="128" spans="1:17" x14ac:dyDescent="0.25">
      <c r="A128" s="47"/>
      <c r="B128" s="37" t="s">
        <v>159</v>
      </c>
      <c r="C128" s="19">
        <v>1</v>
      </c>
      <c r="D128" s="28">
        <v>743</v>
      </c>
      <c r="E128" s="21">
        <v>1000</v>
      </c>
      <c r="F128" s="21"/>
      <c r="G128" s="22">
        <f t="shared" si="19"/>
        <v>1.3459000000000001</v>
      </c>
      <c r="H128" s="22">
        <f t="shared" si="26"/>
        <v>0</v>
      </c>
      <c r="I128" s="22"/>
      <c r="J128" s="22">
        <f t="shared" si="27"/>
        <v>1.3459000000000001</v>
      </c>
      <c r="K128" s="19">
        <v>0.8</v>
      </c>
      <c r="L128" s="23">
        <f t="shared" si="22"/>
        <v>1.08</v>
      </c>
      <c r="M128" s="23">
        <f t="shared" si="28"/>
        <v>0</v>
      </c>
      <c r="N128" s="23">
        <f t="shared" si="29"/>
        <v>0</v>
      </c>
      <c r="O128" s="23">
        <f t="shared" si="30"/>
        <v>1.08</v>
      </c>
      <c r="P128" s="20" t="s">
        <v>292</v>
      </c>
      <c r="Q128" s="20" t="s">
        <v>815</v>
      </c>
    </row>
    <row r="129" spans="1:17" x14ac:dyDescent="0.25">
      <c r="A129" s="47"/>
      <c r="B129" s="37" t="s">
        <v>160</v>
      </c>
      <c r="C129" s="19">
        <v>1</v>
      </c>
      <c r="D129" s="28">
        <v>743</v>
      </c>
      <c r="E129" s="21">
        <v>2500</v>
      </c>
      <c r="F129" s="21"/>
      <c r="G129" s="22">
        <f t="shared" si="19"/>
        <v>3.3647399999999998</v>
      </c>
      <c r="H129" s="22">
        <f t="shared" si="26"/>
        <v>0</v>
      </c>
      <c r="I129" s="22"/>
      <c r="J129" s="22">
        <f t="shared" si="27"/>
        <v>3.3647399999999998</v>
      </c>
      <c r="K129" s="19">
        <f>400/1000</f>
        <v>0.4</v>
      </c>
      <c r="L129" s="23">
        <f t="shared" si="22"/>
        <v>1.35</v>
      </c>
      <c r="M129" s="23">
        <f t="shared" si="28"/>
        <v>0</v>
      </c>
      <c r="N129" s="23">
        <f t="shared" si="29"/>
        <v>0</v>
      </c>
      <c r="O129" s="23">
        <f t="shared" si="30"/>
        <v>1.35</v>
      </c>
      <c r="P129" s="20" t="s">
        <v>292</v>
      </c>
      <c r="Q129" s="20" t="s">
        <v>815</v>
      </c>
    </row>
    <row r="130" spans="1:17" x14ac:dyDescent="0.25">
      <c r="A130" s="47"/>
      <c r="B130" s="37" t="s">
        <v>161</v>
      </c>
      <c r="C130" s="19">
        <v>1</v>
      </c>
      <c r="D130" s="28">
        <v>743</v>
      </c>
      <c r="E130" s="21">
        <v>4</v>
      </c>
      <c r="F130" s="21"/>
      <c r="G130" s="22">
        <f t="shared" si="19"/>
        <v>5.3800000000000002E-3</v>
      </c>
      <c r="H130" s="22">
        <f t="shared" si="26"/>
        <v>0</v>
      </c>
      <c r="I130" s="22"/>
      <c r="J130" s="22">
        <f t="shared" si="27"/>
        <v>5.3800000000000002E-3</v>
      </c>
      <c r="K130" s="19">
        <v>2100</v>
      </c>
      <c r="L130" s="23">
        <f t="shared" si="22"/>
        <v>11.3</v>
      </c>
      <c r="M130" s="23">
        <f t="shared" si="28"/>
        <v>0</v>
      </c>
      <c r="N130" s="23">
        <f t="shared" si="29"/>
        <v>0</v>
      </c>
      <c r="O130" s="23">
        <f t="shared" si="30"/>
        <v>11.3</v>
      </c>
      <c r="P130" s="19" t="s">
        <v>816</v>
      </c>
      <c r="Q130" s="20" t="s">
        <v>815</v>
      </c>
    </row>
    <row r="131" spans="1:17" ht="14.25" customHeight="1" x14ac:dyDescent="0.25">
      <c r="A131" s="47"/>
      <c r="B131" s="37" t="s">
        <v>817</v>
      </c>
      <c r="C131" s="19"/>
      <c r="D131" s="28"/>
      <c r="E131" s="21"/>
      <c r="F131" s="21"/>
      <c r="G131" s="22"/>
      <c r="H131" s="22"/>
      <c r="I131" s="22"/>
      <c r="J131" s="22"/>
      <c r="K131" s="19"/>
      <c r="L131" s="23"/>
      <c r="M131" s="23"/>
      <c r="N131" s="23"/>
      <c r="O131" s="23"/>
      <c r="P131" s="19" t="s">
        <v>818</v>
      </c>
      <c r="Q131" s="20"/>
    </row>
    <row r="132" spans="1:17" hidden="1" x14ac:dyDescent="0.25">
      <c r="A132" s="47"/>
      <c r="B132" s="46" t="s">
        <v>162</v>
      </c>
      <c r="C132" s="19"/>
      <c r="D132" s="21">
        <v>1371</v>
      </c>
      <c r="E132" s="21"/>
      <c r="F132" s="21"/>
      <c r="G132" s="22" t="e">
        <f t="shared" si="19"/>
        <v>#DIV/0!</v>
      </c>
      <c r="H132" s="22"/>
      <c r="I132" s="22"/>
      <c r="J132" s="22"/>
      <c r="K132" s="19"/>
      <c r="L132" s="23" t="e">
        <f t="shared" si="22"/>
        <v>#DIV/0!</v>
      </c>
      <c r="M132" s="23"/>
      <c r="N132" s="23"/>
      <c r="O132" s="23"/>
      <c r="P132" s="19"/>
      <c r="Q132" s="20"/>
    </row>
    <row r="133" spans="1:17" x14ac:dyDescent="0.25">
      <c r="A133" s="47"/>
      <c r="B133" s="44" t="s">
        <v>212</v>
      </c>
      <c r="C133" s="40"/>
      <c r="D133" s="41"/>
      <c r="E133" s="41"/>
      <c r="F133" s="41"/>
      <c r="G133" s="42"/>
      <c r="H133" s="42"/>
      <c r="I133" s="42"/>
      <c r="J133" s="42"/>
      <c r="K133" s="40"/>
      <c r="L133" s="43">
        <f>SUM(L125:L131)</f>
        <v>192.86</v>
      </c>
      <c r="M133" s="43">
        <f>SUM(M125:M131)</f>
        <v>118.58</v>
      </c>
      <c r="N133" s="43">
        <f>SUM(N125:N131)</f>
        <v>118.57</v>
      </c>
      <c r="O133" s="43">
        <f>SUM(O125:O131)</f>
        <v>74.28</v>
      </c>
      <c r="P133" s="40"/>
      <c r="Q133" s="20"/>
    </row>
    <row r="134" spans="1:17" x14ac:dyDescent="0.25">
      <c r="A134" s="47" t="s">
        <v>222</v>
      </c>
      <c r="B134" s="44"/>
      <c r="C134" s="40"/>
      <c r="D134" s="41"/>
      <c r="E134" s="41"/>
      <c r="F134" s="41"/>
      <c r="G134" s="42"/>
      <c r="H134" s="42"/>
      <c r="I134" s="42"/>
      <c r="J134" s="42"/>
      <c r="K134" s="40"/>
      <c r="L134" s="43">
        <f>SUM(M134:O134)</f>
        <v>118.57</v>
      </c>
      <c r="M134" s="43"/>
      <c r="N134" s="43">
        <f>N133</f>
        <v>118.57</v>
      </c>
      <c r="O134" s="43"/>
      <c r="P134" s="40" t="s">
        <v>294</v>
      </c>
      <c r="Q134" s="20"/>
    </row>
    <row r="135" spans="1:17" x14ac:dyDescent="0.25">
      <c r="A135" s="47" t="s">
        <v>224</v>
      </c>
      <c r="B135" s="44"/>
      <c r="C135" s="40"/>
      <c r="D135" s="41"/>
      <c r="E135" s="41"/>
      <c r="F135" s="41"/>
      <c r="G135" s="42"/>
      <c r="H135" s="42"/>
      <c r="I135" s="42"/>
      <c r="J135" s="42"/>
      <c r="K135" s="40"/>
      <c r="L135" s="43">
        <f>SUM(M135:O135)</f>
        <v>74.290000000000006</v>
      </c>
      <c r="M135" s="43">
        <f>M133-N134</f>
        <v>0.01</v>
      </c>
      <c r="N135" s="43"/>
      <c r="O135" s="43">
        <f>O133</f>
        <v>74.28</v>
      </c>
      <c r="P135" s="40" t="s">
        <v>295</v>
      </c>
      <c r="Q135" s="20"/>
    </row>
    <row r="136" spans="1:17" x14ac:dyDescent="0.25">
      <c r="A136" s="52"/>
      <c r="B136" s="1561" t="s">
        <v>164</v>
      </c>
      <c r="C136" s="1561"/>
      <c r="D136" s="1561"/>
      <c r="E136" s="1561"/>
      <c r="F136" s="1561"/>
      <c r="G136" s="1561"/>
      <c r="H136" s="1561"/>
      <c r="I136" s="1561"/>
      <c r="J136" s="1561"/>
      <c r="K136" s="1561"/>
      <c r="L136" s="1561"/>
      <c r="M136" s="1561"/>
      <c r="N136" s="1561"/>
      <c r="O136" s="1561"/>
      <c r="P136" s="1562"/>
      <c r="Q136" s="53"/>
    </row>
    <row r="137" spans="1:17" x14ac:dyDescent="0.25">
      <c r="A137" s="47"/>
      <c r="B137" s="37" t="s">
        <v>165</v>
      </c>
      <c r="C137" s="19">
        <v>1</v>
      </c>
      <c r="D137" s="21">
        <v>718</v>
      </c>
      <c r="E137" s="21">
        <v>12</v>
      </c>
      <c r="F137" s="21"/>
      <c r="G137" s="22">
        <f t="shared" si="19"/>
        <v>1.6709999999999999E-2</v>
      </c>
      <c r="H137" s="22">
        <f t="shared" ref="H137:H141" si="31">G137-J137</f>
        <v>1.6709999999999999E-2</v>
      </c>
      <c r="I137" s="22"/>
      <c r="J137" s="22"/>
      <c r="K137" s="21">
        <v>2000</v>
      </c>
      <c r="L137" s="23">
        <f t="shared" si="22"/>
        <v>33.42</v>
      </c>
      <c r="M137" s="23">
        <f t="shared" ref="M137:M141" si="32">H137*K137</f>
        <v>33.42</v>
      </c>
      <c r="N137" s="23">
        <f t="shared" ref="N137:N141" si="33">I137*K137</f>
        <v>0</v>
      </c>
      <c r="O137" s="23">
        <f t="shared" ref="O137:O141" si="34">L137-M137</f>
        <v>0</v>
      </c>
      <c r="P137" s="19" t="s">
        <v>169</v>
      </c>
      <c r="Q137" s="20"/>
    </row>
    <row r="138" spans="1:17" x14ac:dyDescent="0.25">
      <c r="A138" s="47"/>
      <c r="B138" s="37" t="s">
        <v>166</v>
      </c>
      <c r="C138" s="19">
        <v>1</v>
      </c>
      <c r="D138" s="21">
        <v>718</v>
      </c>
      <c r="E138" s="21">
        <v>12</v>
      </c>
      <c r="F138" s="21"/>
      <c r="G138" s="22">
        <f t="shared" si="19"/>
        <v>1.6709999999999999E-2</v>
      </c>
      <c r="H138" s="22">
        <f t="shared" si="31"/>
        <v>1.6709999999999999E-2</v>
      </c>
      <c r="I138" s="22"/>
      <c r="J138" s="22"/>
      <c r="K138" s="21">
        <v>6000</v>
      </c>
      <c r="L138" s="23">
        <f t="shared" si="22"/>
        <v>100.26</v>
      </c>
      <c r="M138" s="23">
        <f t="shared" si="32"/>
        <v>100.26</v>
      </c>
      <c r="N138" s="23">
        <f t="shared" si="33"/>
        <v>0</v>
      </c>
      <c r="O138" s="23">
        <f t="shared" si="34"/>
        <v>0</v>
      </c>
      <c r="P138" s="19" t="s">
        <v>169</v>
      </c>
      <c r="Q138" s="20"/>
    </row>
    <row r="139" spans="1:17" x14ac:dyDescent="0.25">
      <c r="A139" s="47"/>
      <c r="B139" s="37" t="s">
        <v>167</v>
      </c>
      <c r="C139" s="19">
        <v>1</v>
      </c>
      <c r="D139" s="21">
        <v>718</v>
      </c>
      <c r="E139" s="21">
        <v>12</v>
      </c>
      <c r="F139" s="21"/>
      <c r="G139" s="22">
        <f t="shared" si="19"/>
        <v>1.6709999999999999E-2</v>
      </c>
      <c r="H139" s="22">
        <f t="shared" si="31"/>
        <v>1.6709999999999999E-2</v>
      </c>
      <c r="I139" s="22"/>
      <c r="J139" s="22"/>
      <c r="K139" s="21">
        <v>380</v>
      </c>
      <c r="L139" s="23">
        <f t="shared" si="22"/>
        <v>6.35</v>
      </c>
      <c r="M139" s="23">
        <f t="shared" si="32"/>
        <v>6.35</v>
      </c>
      <c r="N139" s="23">
        <f t="shared" si="33"/>
        <v>0</v>
      </c>
      <c r="O139" s="23">
        <f t="shared" si="34"/>
        <v>0</v>
      </c>
      <c r="P139" s="19" t="s">
        <v>169</v>
      </c>
      <c r="Q139" s="20"/>
    </row>
    <row r="140" spans="1:17" x14ac:dyDescent="0.25">
      <c r="A140" s="47"/>
      <c r="B140" s="37" t="s">
        <v>168</v>
      </c>
      <c r="C140" s="19">
        <v>1</v>
      </c>
      <c r="D140" s="21">
        <v>718</v>
      </c>
      <c r="E140" s="21">
        <v>12</v>
      </c>
      <c r="F140" s="21"/>
      <c r="G140" s="22">
        <f t="shared" si="19"/>
        <v>1.6709999999999999E-2</v>
      </c>
      <c r="H140" s="22">
        <f t="shared" si="31"/>
        <v>1.6709999999999999E-2</v>
      </c>
      <c r="I140" s="22"/>
      <c r="J140" s="22"/>
      <c r="K140" s="21">
        <v>260</v>
      </c>
      <c r="L140" s="23">
        <f t="shared" si="22"/>
        <v>4.34</v>
      </c>
      <c r="M140" s="23">
        <f t="shared" si="32"/>
        <v>4.34</v>
      </c>
      <c r="N140" s="23">
        <f t="shared" si="33"/>
        <v>0</v>
      </c>
      <c r="O140" s="23">
        <f t="shared" si="34"/>
        <v>0</v>
      </c>
      <c r="P140" s="19" t="s">
        <v>169</v>
      </c>
      <c r="Q140" s="20"/>
    </row>
    <row r="141" spans="1:17" ht="22.5" x14ac:dyDescent="0.25">
      <c r="A141" s="47"/>
      <c r="B141" s="37" t="s">
        <v>195</v>
      </c>
      <c r="C141" s="19">
        <v>1</v>
      </c>
      <c r="D141" s="21">
        <v>718</v>
      </c>
      <c r="E141" s="21">
        <v>1</v>
      </c>
      <c r="F141" s="21"/>
      <c r="G141" s="22">
        <f t="shared" si="19"/>
        <v>1.39E-3</v>
      </c>
      <c r="H141" s="22">
        <f t="shared" si="31"/>
        <v>1.39E-3</v>
      </c>
      <c r="I141" s="22"/>
      <c r="J141" s="22"/>
      <c r="K141" s="21">
        <v>6320</v>
      </c>
      <c r="L141" s="23">
        <f t="shared" si="22"/>
        <v>8.7799999999999994</v>
      </c>
      <c r="M141" s="23">
        <f t="shared" si="32"/>
        <v>8.7799999999999994</v>
      </c>
      <c r="N141" s="23">
        <f t="shared" si="33"/>
        <v>0</v>
      </c>
      <c r="O141" s="23">
        <f t="shared" si="34"/>
        <v>0</v>
      </c>
      <c r="P141" s="19" t="s">
        <v>170</v>
      </c>
      <c r="Q141" s="20"/>
    </row>
    <row r="142" spans="1:17" x14ac:dyDescent="0.25">
      <c r="A142" s="47"/>
      <c r="B142" s="44" t="s">
        <v>212</v>
      </c>
      <c r="C142" s="40"/>
      <c r="D142" s="41"/>
      <c r="E142" s="41"/>
      <c r="F142" s="41"/>
      <c r="G142" s="42"/>
      <c r="H142" s="42"/>
      <c r="I142" s="42"/>
      <c r="J142" s="42"/>
      <c r="K142" s="40"/>
      <c r="L142" s="43">
        <f>SUM(L137:L141)</f>
        <v>153.15</v>
      </c>
      <c r="M142" s="43">
        <f>SUM(M137:M141)</f>
        <v>153.15</v>
      </c>
      <c r="N142" s="43">
        <f>SUM(N137:N141)</f>
        <v>0</v>
      </c>
      <c r="O142" s="43">
        <f>SUM(O137:O141)</f>
        <v>0</v>
      </c>
      <c r="P142" s="40"/>
      <c r="Q142" s="20"/>
    </row>
    <row r="143" spans="1:17" x14ac:dyDescent="0.25">
      <c r="A143" s="47" t="s">
        <v>222</v>
      </c>
      <c r="B143" s="44"/>
      <c r="C143" s="40"/>
      <c r="D143" s="41"/>
      <c r="E143" s="41"/>
      <c r="F143" s="41"/>
      <c r="G143" s="42"/>
      <c r="H143" s="42"/>
      <c r="I143" s="42"/>
      <c r="J143" s="42"/>
      <c r="K143" s="40"/>
      <c r="L143" s="43">
        <f>SUM(M143:O143)</f>
        <v>153.15</v>
      </c>
      <c r="M143" s="43">
        <f>M142</f>
        <v>153.15</v>
      </c>
      <c r="N143" s="43">
        <f>N142</f>
        <v>0</v>
      </c>
      <c r="O143" s="80"/>
      <c r="P143" s="40" t="s">
        <v>294</v>
      </c>
      <c r="Q143" s="20"/>
    </row>
    <row r="144" spans="1:17" x14ac:dyDescent="0.25">
      <c r="A144" s="47" t="s">
        <v>242</v>
      </c>
      <c r="B144" s="44"/>
      <c r="C144" s="40"/>
      <c r="D144" s="41"/>
      <c r="E144" s="41"/>
      <c r="F144" s="41"/>
      <c r="G144" s="42"/>
      <c r="H144" s="42"/>
      <c r="I144" s="42"/>
      <c r="J144" s="42"/>
      <c r="K144" s="40"/>
      <c r="L144" s="43">
        <f>SUM(M144:O144)</f>
        <v>0</v>
      </c>
      <c r="M144" s="80"/>
      <c r="N144" s="80"/>
      <c r="O144" s="43">
        <f>O142</f>
        <v>0</v>
      </c>
      <c r="P144" s="40" t="s">
        <v>295</v>
      </c>
      <c r="Q144" s="20"/>
    </row>
    <row r="145" spans="1:17" x14ac:dyDescent="0.25">
      <c r="A145" s="52"/>
      <c r="B145" s="1561" t="s">
        <v>171</v>
      </c>
      <c r="C145" s="1561"/>
      <c r="D145" s="1561"/>
      <c r="E145" s="1561"/>
      <c r="F145" s="1561"/>
      <c r="G145" s="1561"/>
      <c r="H145" s="1561"/>
      <c r="I145" s="1561"/>
      <c r="J145" s="1561"/>
      <c r="K145" s="1561"/>
      <c r="L145" s="1561"/>
      <c r="M145" s="1561"/>
      <c r="N145" s="1561"/>
      <c r="O145" s="1561"/>
      <c r="P145" s="1562"/>
      <c r="Q145" s="53"/>
    </row>
    <row r="146" spans="1:17" hidden="1" x14ac:dyDescent="0.25">
      <c r="A146" s="47"/>
      <c r="B146" s="37" t="s">
        <v>176</v>
      </c>
      <c r="C146" s="19">
        <v>1</v>
      </c>
      <c r="D146" s="36">
        <v>743</v>
      </c>
      <c r="E146" s="21">
        <v>12</v>
      </c>
      <c r="F146" s="21"/>
      <c r="G146" s="22">
        <f t="shared" si="19"/>
        <v>1.6150000000000001E-2</v>
      </c>
      <c r="H146" s="22">
        <f>G146-J146</f>
        <v>0</v>
      </c>
      <c r="I146" s="22"/>
      <c r="J146" s="22">
        <f>E146/D146/C146</f>
        <v>1.6150000000000001E-2</v>
      </c>
      <c r="K146" s="21">
        <f>3120-3120</f>
        <v>0</v>
      </c>
      <c r="L146" s="23">
        <f t="shared" si="22"/>
        <v>0</v>
      </c>
      <c r="M146" s="23">
        <f>H146*K146</f>
        <v>0</v>
      </c>
      <c r="N146" s="23">
        <f>I146*K146</f>
        <v>0</v>
      </c>
      <c r="O146" s="23">
        <f>L146-M146</f>
        <v>0</v>
      </c>
      <c r="P146" s="19" t="s">
        <v>169</v>
      </c>
      <c r="Q146" s="20" t="s">
        <v>815</v>
      </c>
    </row>
    <row r="147" spans="1:17" x14ac:dyDescent="0.25">
      <c r="A147" s="47"/>
      <c r="B147" s="37" t="s">
        <v>174</v>
      </c>
      <c r="C147" s="19">
        <v>1</v>
      </c>
      <c r="D147" s="28">
        <v>743</v>
      </c>
      <c r="E147" s="32">
        <f>3226.2*12</f>
        <v>38714.400000000001</v>
      </c>
      <c r="F147" s="21"/>
      <c r="G147" s="22">
        <f t="shared" si="19"/>
        <v>52.105519999999999</v>
      </c>
      <c r="H147" s="22">
        <f>G147-J147</f>
        <v>0</v>
      </c>
      <c r="I147" s="22"/>
      <c r="J147" s="22">
        <f>E147/D147/C147</f>
        <v>52.105519999999999</v>
      </c>
      <c r="K147" s="19">
        <v>0.64</v>
      </c>
      <c r="L147" s="23">
        <f t="shared" si="22"/>
        <v>33.35</v>
      </c>
      <c r="M147" s="23">
        <f>H147*K147</f>
        <v>0</v>
      </c>
      <c r="N147" s="23">
        <f>I147*K147</f>
        <v>0</v>
      </c>
      <c r="O147" s="23">
        <f>L147-M147</f>
        <v>33.35</v>
      </c>
      <c r="P147" s="20" t="s">
        <v>172</v>
      </c>
      <c r="Q147" s="20" t="s">
        <v>815</v>
      </c>
    </row>
    <row r="148" spans="1:17" x14ac:dyDescent="0.25">
      <c r="A148" s="47"/>
      <c r="B148" s="37" t="s">
        <v>175</v>
      </c>
      <c r="C148" s="19">
        <v>1</v>
      </c>
      <c r="D148" s="28">
        <v>743</v>
      </c>
      <c r="E148" s="32">
        <f>3226.2*4</f>
        <v>12904.8</v>
      </c>
      <c r="F148" s="21"/>
      <c r="G148" s="22">
        <f t="shared" si="19"/>
        <v>17.368510000000001</v>
      </c>
      <c r="H148" s="22">
        <f>G148-J148</f>
        <v>0</v>
      </c>
      <c r="I148" s="22"/>
      <c r="J148" s="22">
        <f>E148/D148/C148</f>
        <v>17.368510000000001</v>
      </c>
      <c r="K148" s="33">
        <v>0.73</v>
      </c>
      <c r="L148" s="23">
        <f t="shared" si="22"/>
        <v>12.68</v>
      </c>
      <c r="M148" s="23">
        <f>H148*K148</f>
        <v>0</v>
      </c>
      <c r="N148" s="23">
        <f>I148*K148</f>
        <v>0</v>
      </c>
      <c r="O148" s="23">
        <f>L148-M148</f>
        <v>12.68</v>
      </c>
      <c r="P148" s="20" t="s">
        <v>173</v>
      </c>
      <c r="Q148" s="20" t="s">
        <v>815</v>
      </c>
    </row>
    <row r="149" spans="1:17" x14ac:dyDescent="0.25">
      <c r="A149" s="47" t="s">
        <v>243</v>
      </c>
      <c r="B149" s="44" t="s">
        <v>212</v>
      </c>
      <c r="C149" s="40"/>
      <c r="D149" s="41"/>
      <c r="E149" s="41"/>
      <c r="F149" s="41"/>
      <c r="G149" s="42"/>
      <c r="H149" s="42"/>
      <c r="I149" s="42"/>
      <c r="J149" s="42"/>
      <c r="K149" s="40"/>
      <c r="L149" s="43">
        <f>SUM(L146:L148)</f>
        <v>46.03</v>
      </c>
      <c r="M149" s="43">
        <f>SUM(M146:M148)</f>
        <v>0</v>
      </c>
      <c r="N149" s="43">
        <f>SUM(N146:N148)</f>
        <v>0</v>
      </c>
      <c r="O149" s="43">
        <f>SUM(O146:O148)</f>
        <v>46.03</v>
      </c>
      <c r="P149" s="40" t="s">
        <v>295</v>
      </c>
      <c r="Q149" s="20"/>
    </row>
    <row r="150" spans="1:17" x14ac:dyDescent="0.25">
      <c r="A150" s="52"/>
      <c r="B150" s="1561" t="s">
        <v>179</v>
      </c>
      <c r="C150" s="1561"/>
      <c r="D150" s="1561"/>
      <c r="E150" s="1561"/>
      <c r="F150" s="1561"/>
      <c r="G150" s="1561"/>
      <c r="H150" s="1561"/>
      <c r="I150" s="1561"/>
      <c r="J150" s="1561"/>
      <c r="K150" s="1561"/>
      <c r="L150" s="1561"/>
      <c r="M150" s="1561"/>
      <c r="N150" s="1561"/>
      <c r="O150" s="1561"/>
      <c r="P150" s="1562"/>
      <c r="Q150" s="53"/>
    </row>
    <row r="151" spans="1:17" x14ac:dyDescent="0.25">
      <c r="A151" s="47"/>
      <c r="B151" s="37" t="s">
        <v>178</v>
      </c>
      <c r="C151" s="19">
        <v>1</v>
      </c>
      <c r="D151" s="28">
        <v>743</v>
      </c>
      <c r="E151" s="21">
        <v>1</v>
      </c>
      <c r="F151" s="21"/>
      <c r="G151" s="22">
        <f t="shared" si="19"/>
        <v>1.3500000000000001E-3</v>
      </c>
      <c r="H151" s="22">
        <f>G151-J151</f>
        <v>0</v>
      </c>
      <c r="I151" s="22"/>
      <c r="J151" s="22">
        <f>E151/D151/C151</f>
        <v>1.3500000000000001E-3</v>
      </c>
      <c r="K151" s="19">
        <v>5000</v>
      </c>
      <c r="L151" s="23">
        <f t="shared" si="22"/>
        <v>6.75</v>
      </c>
      <c r="M151" s="23">
        <f t="shared" ref="M151:M164" si="35">H151*K151</f>
        <v>0</v>
      </c>
      <c r="N151" s="23">
        <f t="shared" ref="N151:N164" si="36">I151*K151</f>
        <v>0</v>
      </c>
      <c r="O151" s="23">
        <f t="shared" ref="O151:O164" si="37">L151-M151</f>
        <v>6.75</v>
      </c>
      <c r="P151" s="19" t="s">
        <v>170</v>
      </c>
      <c r="Q151" s="20" t="s">
        <v>815</v>
      </c>
    </row>
    <row r="152" spans="1:17" x14ac:dyDescent="0.25">
      <c r="A152" s="47"/>
      <c r="B152" s="37" t="s">
        <v>180</v>
      </c>
      <c r="C152" s="19">
        <v>1</v>
      </c>
      <c r="D152" s="28">
        <v>743</v>
      </c>
      <c r="E152" s="21">
        <v>1</v>
      </c>
      <c r="F152" s="21"/>
      <c r="G152" s="22">
        <f t="shared" si="19"/>
        <v>1.3500000000000001E-3</v>
      </c>
      <c r="H152" s="22">
        <f>G152-J152</f>
        <v>0</v>
      </c>
      <c r="I152" s="22"/>
      <c r="J152" s="22">
        <f>E152/D152/C152</f>
        <v>1.3500000000000001E-3</v>
      </c>
      <c r="K152" s="19">
        <v>11000</v>
      </c>
      <c r="L152" s="23">
        <f t="shared" si="22"/>
        <v>14.85</v>
      </c>
      <c r="M152" s="23">
        <f t="shared" si="35"/>
        <v>0</v>
      </c>
      <c r="N152" s="23">
        <f t="shared" si="36"/>
        <v>0</v>
      </c>
      <c r="O152" s="23">
        <f t="shared" si="37"/>
        <v>14.85</v>
      </c>
      <c r="P152" s="19" t="s">
        <v>170</v>
      </c>
      <c r="Q152" s="20" t="s">
        <v>815</v>
      </c>
    </row>
    <row r="153" spans="1:17" ht="22.5" x14ac:dyDescent="0.25">
      <c r="A153" s="47"/>
      <c r="B153" s="37" t="s">
        <v>181</v>
      </c>
      <c r="C153" s="19">
        <v>1</v>
      </c>
      <c r="D153" s="28">
        <v>743</v>
      </c>
      <c r="E153" s="21">
        <v>1</v>
      </c>
      <c r="F153" s="21"/>
      <c r="G153" s="22">
        <f t="shared" si="19"/>
        <v>1.3500000000000001E-3</v>
      </c>
      <c r="H153" s="22">
        <f>G153-J153</f>
        <v>0</v>
      </c>
      <c r="I153" s="22"/>
      <c r="J153" s="22">
        <f>E153/D153/C153</f>
        <v>1.3500000000000001E-3</v>
      </c>
      <c r="K153" s="19">
        <v>600</v>
      </c>
      <c r="L153" s="23">
        <f t="shared" si="22"/>
        <v>0.81</v>
      </c>
      <c r="M153" s="23">
        <f t="shared" si="35"/>
        <v>0</v>
      </c>
      <c r="N153" s="23">
        <f t="shared" si="36"/>
        <v>0</v>
      </c>
      <c r="O153" s="23">
        <f t="shared" si="37"/>
        <v>0.81</v>
      </c>
      <c r="P153" s="19" t="s">
        <v>170</v>
      </c>
      <c r="Q153" s="20" t="s">
        <v>815</v>
      </c>
    </row>
    <row r="154" spans="1:17" x14ac:dyDescent="0.25">
      <c r="A154" s="47"/>
      <c r="B154" s="37" t="s">
        <v>182</v>
      </c>
      <c r="C154" s="19">
        <v>1</v>
      </c>
      <c r="D154" s="28">
        <v>743</v>
      </c>
      <c r="E154" s="21">
        <v>1</v>
      </c>
      <c r="F154" s="21"/>
      <c r="G154" s="22">
        <f t="shared" si="19"/>
        <v>1.3500000000000001E-3</v>
      </c>
      <c r="H154" s="22">
        <f>G154-J154</f>
        <v>0</v>
      </c>
      <c r="I154" s="22"/>
      <c r="J154" s="22">
        <f>E154/D154/C154</f>
        <v>1.3500000000000001E-3</v>
      </c>
      <c r="K154" s="19">
        <v>13200</v>
      </c>
      <c r="L154" s="23">
        <f t="shared" si="22"/>
        <v>17.82</v>
      </c>
      <c r="M154" s="23">
        <f t="shared" si="35"/>
        <v>0</v>
      </c>
      <c r="N154" s="23">
        <f t="shared" si="36"/>
        <v>0</v>
      </c>
      <c r="O154" s="23">
        <f t="shared" si="37"/>
        <v>17.82</v>
      </c>
      <c r="P154" s="19" t="s">
        <v>170</v>
      </c>
      <c r="Q154" s="20" t="s">
        <v>815</v>
      </c>
    </row>
    <row r="155" spans="1:17" ht="22.5" x14ac:dyDescent="0.25">
      <c r="A155" s="47"/>
      <c r="B155" s="37" t="s">
        <v>183</v>
      </c>
      <c r="C155" s="19">
        <v>1</v>
      </c>
      <c r="D155" s="28">
        <v>743</v>
      </c>
      <c r="E155" s="21">
        <v>1</v>
      </c>
      <c r="F155" s="21"/>
      <c r="G155" s="22">
        <f t="shared" si="19"/>
        <v>1.3500000000000001E-3</v>
      </c>
      <c r="H155" s="22">
        <f>G155-J155</f>
        <v>0</v>
      </c>
      <c r="I155" s="22"/>
      <c r="J155" s="22">
        <f>E155/D155/C155</f>
        <v>1.3500000000000001E-3</v>
      </c>
      <c r="K155" s="19">
        <v>7500</v>
      </c>
      <c r="L155" s="23">
        <f t="shared" si="22"/>
        <v>10.130000000000001</v>
      </c>
      <c r="M155" s="23">
        <f t="shared" si="35"/>
        <v>0</v>
      </c>
      <c r="N155" s="23">
        <f t="shared" si="36"/>
        <v>0</v>
      </c>
      <c r="O155" s="23">
        <f t="shared" si="37"/>
        <v>10.130000000000001</v>
      </c>
      <c r="P155" s="19" t="s">
        <v>170</v>
      </c>
      <c r="Q155" s="20" t="s">
        <v>815</v>
      </c>
    </row>
    <row r="156" spans="1:17" x14ac:dyDescent="0.25">
      <c r="A156" s="47"/>
      <c r="B156" s="37"/>
      <c r="C156" s="19"/>
      <c r="D156" s="28"/>
      <c r="E156" s="21"/>
      <c r="F156" s="21"/>
      <c r="G156" s="22"/>
      <c r="H156" s="22"/>
      <c r="I156" s="22"/>
      <c r="J156" s="22"/>
      <c r="K156" s="19"/>
      <c r="L156" s="23"/>
      <c r="M156" s="23">
        <f t="shared" si="35"/>
        <v>0</v>
      </c>
      <c r="N156" s="23">
        <f t="shared" si="36"/>
        <v>0</v>
      </c>
      <c r="O156" s="23">
        <f t="shared" si="37"/>
        <v>0</v>
      </c>
      <c r="P156" s="19"/>
      <c r="Q156" s="20"/>
    </row>
    <row r="157" spans="1:17" x14ac:dyDescent="0.25">
      <c r="A157" s="47"/>
      <c r="B157" s="37" t="s">
        <v>186</v>
      </c>
      <c r="C157" s="19">
        <v>1</v>
      </c>
      <c r="D157" s="28">
        <v>718</v>
      </c>
      <c r="E157" s="21">
        <f>12*3</f>
        <v>36</v>
      </c>
      <c r="F157" s="21"/>
      <c r="G157" s="22">
        <f t="shared" si="19"/>
        <v>5.0139999999999997E-2</v>
      </c>
      <c r="H157" s="22">
        <f>G157-J157</f>
        <v>5.0139999999999997E-2</v>
      </c>
      <c r="I157" s="22">
        <f>(F157)/D157/C157</f>
        <v>0</v>
      </c>
      <c r="J157" s="22"/>
      <c r="K157" s="21">
        <v>578</v>
      </c>
      <c r="L157" s="23">
        <f t="shared" si="22"/>
        <v>28.98</v>
      </c>
      <c r="M157" s="23">
        <f t="shared" si="35"/>
        <v>28.98</v>
      </c>
      <c r="N157" s="23">
        <f t="shared" si="36"/>
        <v>0</v>
      </c>
      <c r="O157" s="23">
        <f t="shared" si="37"/>
        <v>0</v>
      </c>
      <c r="P157" s="19" t="s">
        <v>296</v>
      </c>
      <c r="Q157" s="20"/>
    </row>
    <row r="158" spans="1:17" x14ac:dyDescent="0.25">
      <c r="A158" s="47"/>
      <c r="B158" s="37" t="s">
        <v>184</v>
      </c>
      <c r="C158" s="19">
        <v>1</v>
      </c>
      <c r="D158" s="28">
        <v>718</v>
      </c>
      <c r="E158" s="21">
        <f>12*1</f>
        <v>12</v>
      </c>
      <c r="F158" s="21"/>
      <c r="G158" s="22">
        <f t="shared" si="19"/>
        <v>1.6709999999999999E-2</v>
      </c>
      <c r="H158" s="22">
        <f>G158-J158</f>
        <v>1.6709999999999999E-2</v>
      </c>
      <c r="I158" s="22">
        <f>(F158)/D158/C158</f>
        <v>0</v>
      </c>
      <c r="J158" s="22"/>
      <c r="K158" s="21">
        <v>2000</v>
      </c>
      <c r="L158" s="23">
        <f t="shared" si="22"/>
        <v>33.42</v>
      </c>
      <c r="M158" s="23">
        <f t="shared" si="35"/>
        <v>33.42</v>
      </c>
      <c r="N158" s="23">
        <f t="shared" si="36"/>
        <v>0</v>
      </c>
      <c r="O158" s="23">
        <f t="shared" si="37"/>
        <v>0</v>
      </c>
      <c r="P158" s="19" t="s">
        <v>188</v>
      </c>
      <c r="Q158" s="20"/>
    </row>
    <row r="159" spans="1:17" x14ac:dyDescent="0.25">
      <c r="A159" s="47"/>
      <c r="B159" s="37" t="s">
        <v>185</v>
      </c>
      <c r="C159" s="19">
        <v>1</v>
      </c>
      <c r="D159" s="28">
        <v>718</v>
      </c>
      <c r="E159" s="21">
        <f>1*2</f>
        <v>2</v>
      </c>
      <c r="F159" s="21"/>
      <c r="G159" s="22">
        <f t="shared" si="19"/>
        <v>2.7899999999999999E-3</v>
      </c>
      <c r="H159" s="22">
        <f>G159-J159</f>
        <v>2.7899999999999999E-3</v>
      </c>
      <c r="I159" s="22">
        <f>(F159)/D159/C159</f>
        <v>0</v>
      </c>
      <c r="J159" s="22"/>
      <c r="K159" s="21">
        <v>7000</v>
      </c>
      <c r="L159" s="23">
        <f t="shared" si="22"/>
        <v>19.53</v>
      </c>
      <c r="M159" s="23">
        <f t="shared" si="35"/>
        <v>19.53</v>
      </c>
      <c r="N159" s="23">
        <f t="shared" si="36"/>
        <v>0</v>
      </c>
      <c r="O159" s="23">
        <f t="shared" si="37"/>
        <v>0</v>
      </c>
      <c r="P159" s="19" t="s">
        <v>297</v>
      </c>
      <c r="Q159" s="20"/>
    </row>
    <row r="160" spans="1:17" ht="22.5" x14ac:dyDescent="0.25">
      <c r="A160" s="47"/>
      <c r="B160" s="37" t="s">
        <v>187</v>
      </c>
      <c r="C160" s="19">
        <v>1</v>
      </c>
      <c r="D160" s="28">
        <v>718</v>
      </c>
      <c r="E160" s="21">
        <f>1*4</f>
        <v>4</v>
      </c>
      <c r="F160" s="21"/>
      <c r="G160" s="22">
        <f t="shared" si="19"/>
        <v>5.5700000000000003E-3</v>
      </c>
      <c r="H160" s="22">
        <f>G160-J160</f>
        <v>5.5700000000000003E-3</v>
      </c>
      <c r="I160" s="22">
        <f>(F160)/D160/C160</f>
        <v>0</v>
      </c>
      <c r="J160" s="22"/>
      <c r="K160" s="21">
        <v>4692</v>
      </c>
      <c r="L160" s="23">
        <f t="shared" si="22"/>
        <v>26.13</v>
      </c>
      <c r="M160" s="23">
        <f t="shared" si="35"/>
        <v>26.13</v>
      </c>
      <c r="N160" s="23">
        <f t="shared" si="36"/>
        <v>0</v>
      </c>
      <c r="O160" s="23">
        <f t="shared" si="37"/>
        <v>0</v>
      </c>
      <c r="P160" s="19" t="s">
        <v>189</v>
      </c>
      <c r="Q160" s="20"/>
    </row>
    <row r="161" spans="1:17" x14ac:dyDescent="0.25">
      <c r="A161" s="47"/>
      <c r="B161" s="37"/>
      <c r="C161" s="19"/>
      <c r="D161" s="28"/>
      <c r="E161" s="21"/>
      <c r="F161" s="21"/>
      <c r="G161" s="22"/>
      <c r="H161" s="22"/>
      <c r="I161" s="22"/>
      <c r="J161" s="22"/>
      <c r="K161" s="21"/>
      <c r="L161" s="23"/>
      <c r="M161" s="23"/>
      <c r="N161" s="23"/>
      <c r="O161" s="23"/>
      <c r="P161" s="19"/>
      <c r="Q161" s="20"/>
    </row>
    <row r="162" spans="1:17" ht="15" customHeight="1" x14ac:dyDescent="0.25">
      <c r="A162" s="47"/>
      <c r="B162" s="37" t="s">
        <v>299</v>
      </c>
      <c r="C162" s="19">
        <v>1</v>
      </c>
      <c r="D162" s="28">
        <v>1000</v>
      </c>
      <c r="E162" s="21">
        <v>1</v>
      </c>
      <c r="F162" s="21"/>
      <c r="G162" s="22">
        <f>(E162+F162)/D162/C162</f>
        <v>1E-3</v>
      </c>
      <c r="H162" s="22">
        <f>G162-J162</f>
        <v>0</v>
      </c>
      <c r="I162" s="22"/>
      <c r="J162" s="22">
        <f>E162/D162/C162</f>
        <v>1E-3</v>
      </c>
      <c r="K162" s="21">
        <v>980</v>
      </c>
      <c r="L162" s="23">
        <f>G162*K162</f>
        <v>0.98</v>
      </c>
      <c r="M162" s="23">
        <f>H162*K162</f>
        <v>0</v>
      </c>
      <c r="N162" s="23">
        <f>I162*K162</f>
        <v>0</v>
      </c>
      <c r="O162" s="23">
        <f>L162-M162</f>
        <v>0.98</v>
      </c>
      <c r="P162" s="19" t="s">
        <v>298</v>
      </c>
      <c r="Q162" s="20" t="s">
        <v>819</v>
      </c>
    </row>
    <row r="163" spans="1:17" ht="78.75" x14ac:dyDescent="0.25">
      <c r="A163" s="47"/>
      <c r="B163" s="37" t="s">
        <v>300</v>
      </c>
      <c r="C163" s="19">
        <v>1</v>
      </c>
      <c r="D163" s="28">
        <v>1000</v>
      </c>
      <c r="E163" s="21">
        <v>1</v>
      </c>
      <c r="F163" s="21"/>
      <c r="G163" s="22">
        <f>(E163+F163)/D163/C163</f>
        <v>1E-3</v>
      </c>
      <c r="H163" s="22">
        <f>G163-J163</f>
        <v>0</v>
      </c>
      <c r="I163" s="22"/>
      <c r="J163" s="22">
        <f>E163/D163/C163</f>
        <v>1E-3</v>
      </c>
      <c r="K163" s="21">
        <v>4394</v>
      </c>
      <c r="L163" s="23">
        <f>G163*K163</f>
        <v>4.3899999999999997</v>
      </c>
      <c r="M163" s="23">
        <f>H163*K163</f>
        <v>0</v>
      </c>
      <c r="N163" s="23">
        <f>I163*K163</f>
        <v>0</v>
      </c>
      <c r="O163" s="23">
        <f>L163-M163</f>
        <v>4.3899999999999997</v>
      </c>
      <c r="P163" s="19" t="s">
        <v>298</v>
      </c>
      <c r="Q163" s="20" t="s">
        <v>819</v>
      </c>
    </row>
    <row r="164" spans="1:17" ht="22.5" x14ac:dyDescent="0.25">
      <c r="A164" s="47"/>
      <c r="B164" s="37" t="s">
        <v>820</v>
      </c>
      <c r="C164" s="19">
        <v>1</v>
      </c>
      <c r="D164" s="28">
        <v>743</v>
      </c>
      <c r="E164" s="21">
        <v>1</v>
      </c>
      <c r="F164" s="21"/>
      <c r="G164" s="22">
        <f t="shared" si="19"/>
        <v>1.3500000000000001E-3</v>
      </c>
      <c r="H164" s="22">
        <f>G164-J164</f>
        <v>0</v>
      </c>
      <c r="I164" s="22"/>
      <c r="J164" s="22">
        <f>E164/D164/C164</f>
        <v>1.3500000000000001E-3</v>
      </c>
      <c r="K164" s="21">
        <v>10000</v>
      </c>
      <c r="L164" s="23">
        <f t="shared" si="22"/>
        <v>13.5</v>
      </c>
      <c r="M164" s="23">
        <f t="shared" si="35"/>
        <v>0</v>
      </c>
      <c r="N164" s="23">
        <f t="shared" si="36"/>
        <v>0</v>
      </c>
      <c r="O164" s="23">
        <f t="shared" si="37"/>
        <v>13.5</v>
      </c>
      <c r="P164" s="19" t="s">
        <v>298</v>
      </c>
      <c r="Q164" s="20" t="s">
        <v>815</v>
      </c>
    </row>
    <row r="165" spans="1:17" x14ac:dyDescent="0.25">
      <c r="A165" s="47"/>
      <c r="B165" s="44" t="s">
        <v>212</v>
      </c>
      <c r="C165" s="40"/>
      <c r="D165" s="41"/>
      <c r="E165" s="41"/>
      <c r="F165" s="41"/>
      <c r="G165" s="42"/>
      <c r="H165" s="42"/>
      <c r="I165" s="42"/>
      <c r="J165" s="42"/>
      <c r="K165" s="40"/>
      <c r="L165" s="43">
        <f>SUM(L151:L164)</f>
        <v>177.29</v>
      </c>
      <c r="M165" s="43">
        <f>SUM(M151:M164)</f>
        <v>108.06</v>
      </c>
      <c r="N165" s="43">
        <f>SUM(N151:N164)</f>
        <v>0</v>
      </c>
      <c r="O165" s="43">
        <f>SUM(O151:O164)</f>
        <v>69.23</v>
      </c>
      <c r="P165" s="40"/>
      <c r="Q165" s="20"/>
    </row>
    <row r="166" spans="1:17" x14ac:dyDescent="0.25">
      <c r="A166" s="47" t="s">
        <v>222</v>
      </c>
      <c r="B166" s="44"/>
      <c r="C166" s="40"/>
      <c r="D166" s="41"/>
      <c r="E166" s="41"/>
      <c r="F166" s="41"/>
      <c r="G166" s="42"/>
      <c r="H166" s="42"/>
      <c r="I166" s="42"/>
      <c r="J166" s="42"/>
      <c r="K166" s="40"/>
      <c r="L166" s="43">
        <f>SUM(M166:O166)</f>
        <v>108.06</v>
      </c>
      <c r="M166" s="43">
        <f>M165</f>
        <v>108.06</v>
      </c>
      <c r="N166" s="43">
        <f>N165</f>
        <v>0</v>
      </c>
      <c r="O166" s="43"/>
      <c r="P166" s="40" t="s">
        <v>294</v>
      </c>
      <c r="Q166" s="20"/>
    </row>
    <row r="167" spans="1:17" x14ac:dyDescent="0.25">
      <c r="A167" s="47" t="s">
        <v>244</v>
      </c>
      <c r="B167" s="44"/>
      <c r="C167" s="40"/>
      <c r="D167" s="41"/>
      <c r="E167" s="41"/>
      <c r="F167" s="41"/>
      <c r="G167" s="42"/>
      <c r="H167" s="42"/>
      <c r="I167" s="42"/>
      <c r="J167" s="42"/>
      <c r="K167" s="40"/>
      <c r="L167" s="43">
        <f>SUM(M167:O167)</f>
        <v>69.23</v>
      </c>
      <c r="M167" s="43"/>
      <c r="N167" s="43"/>
      <c r="O167" s="43">
        <f>O165</f>
        <v>69.23</v>
      </c>
      <c r="P167" s="40" t="s">
        <v>295</v>
      </c>
      <c r="Q167" s="20"/>
    </row>
    <row r="168" spans="1:17" hidden="1" x14ac:dyDescent="0.25">
      <c r="A168" s="52"/>
      <c r="B168" s="1561" t="s">
        <v>305</v>
      </c>
      <c r="C168" s="1561"/>
      <c r="D168" s="1561"/>
      <c r="E168" s="1561"/>
      <c r="F168" s="1561"/>
      <c r="G168" s="1561"/>
      <c r="H168" s="1561"/>
      <c r="I168" s="1561"/>
      <c r="J168" s="1561"/>
      <c r="K168" s="1561"/>
      <c r="L168" s="1561"/>
      <c r="M168" s="1561"/>
      <c r="N168" s="1561"/>
      <c r="O168" s="1561"/>
      <c r="P168" s="1562"/>
      <c r="Q168" s="53"/>
    </row>
    <row r="169" spans="1:17" hidden="1" x14ac:dyDescent="0.25">
      <c r="A169" s="47"/>
      <c r="B169" s="37" t="s">
        <v>821</v>
      </c>
      <c r="C169" s="19">
        <v>1</v>
      </c>
      <c r="D169" s="36">
        <v>429</v>
      </c>
      <c r="E169" s="21">
        <v>12</v>
      </c>
      <c r="F169" s="21"/>
      <c r="G169" s="22">
        <f>(E169+F169)/D169/C169</f>
        <v>2.7969999999999998E-2</v>
      </c>
      <c r="H169" s="22">
        <f>G169-J169</f>
        <v>0</v>
      </c>
      <c r="I169" s="22"/>
      <c r="J169" s="22">
        <f>E169/D169/C169</f>
        <v>2.7969999999999998E-2</v>
      </c>
      <c r="K169" s="21"/>
      <c r="L169" s="23">
        <f>G169*K169</f>
        <v>0</v>
      </c>
      <c r="M169" s="23">
        <f>H169*K169</f>
        <v>0</v>
      </c>
      <c r="N169" s="23">
        <f>I169*K169</f>
        <v>0</v>
      </c>
      <c r="O169" s="23">
        <f>L169-M169</f>
        <v>0</v>
      </c>
      <c r="P169" s="19" t="s">
        <v>298</v>
      </c>
      <c r="Q169" s="20" t="s">
        <v>822</v>
      </c>
    </row>
    <row r="170" spans="1:17" ht="46.5" hidden="1" customHeight="1" x14ac:dyDescent="0.25">
      <c r="A170" s="47"/>
      <c r="B170" s="37" t="s">
        <v>306</v>
      </c>
      <c r="C170" s="19">
        <v>1</v>
      </c>
      <c r="D170" s="36">
        <v>429</v>
      </c>
      <c r="E170" s="32">
        <v>12</v>
      </c>
      <c r="F170" s="21"/>
      <c r="G170" s="22">
        <f>(E170+F170)/D170/C170</f>
        <v>2.7969999999999998E-2</v>
      </c>
      <c r="H170" s="22">
        <f>G170-J170</f>
        <v>0</v>
      </c>
      <c r="I170" s="22"/>
      <c r="J170" s="22">
        <f>E170/D170/C170</f>
        <v>2.7969999999999998E-2</v>
      </c>
      <c r="K170" s="19"/>
      <c r="L170" s="23">
        <f>G170*K170</f>
        <v>0</v>
      </c>
      <c r="M170" s="23">
        <f>H170*K170</f>
        <v>0</v>
      </c>
      <c r="N170" s="23">
        <f>I170*K170</f>
        <v>0</v>
      </c>
      <c r="O170" s="23">
        <f>L170-M170</f>
        <v>0</v>
      </c>
      <c r="P170" s="19" t="s">
        <v>298</v>
      </c>
      <c r="Q170" s="20" t="s">
        <v>822</v>
      </c>
    </row>
    <row r="171" spans="1:17" hidden="1" x14ac:dyDescent="0.25">
      <c r="A171" s="81" t="s">
        <v>224</v>
      </c>
      <c r="B171" s="44" t="s">
        <v>212</v>
      </c>
      <c r="C171" s="40"/>
      <c r="D171" s="41"/>
      <c r="E171" s="41"/>
      <c r="F171" s="41"/>
      <c r="G171" s="42"/>
      <c r="H171" s="42"/>
      <c r="I171" s="42"/>
      <c r="J171" s="42"/>
      <c r="K171" s="40"/>
      <c r="L171" s="43">
        <f>SUM(L169:L170)</f>
        <v>0</v>
      </c>
      <c r="M171" s="43">
        <f>SUM(M169:M170)</f>
        <v>0</v>
      </c>
      <c r="N171" s="43">
        <f>SUM(N169:N170)</f>
        <v>0</v>
      </c>
      <c r="O171" s="43">
        <f>SUM(O169:O170)</f>
        <v>0</v>
      </c>
      <c r="P171" s="40" t="s">
        <v>295</v>
      </c>
      <c r="Q171" s="20"/>
    </row>
    <row r="172" spans="1:17" x14ac:dyDescent="0.25">
      <c r="A172" s="52"/>
      <c r="B172" s="1561" t="s">
        <v>190</v>
      </c>
      <c r="C172" s="1561"/>
      <c r="D172" s="1561"/>
      <c r="E172" s="1561"/>
      <c r="F172" s="1561"/>
      <c r="G172" s="1561"/>
      <c r="H172" s="1561"/>
      <c r="I172" s="1561"/>
      <c r="J172" s="1561"/>
      <c r="K172" s="1561"/>
      <c r="L172" s="1561"/>
      <c r="M172" s="1561"/>
      <c r="N172" s="1561"/>
      <c r="O172" s="1561"/>
      <c r="P172" s="1562"/>
      <c r="Q172" s="53"/>
    </row>
    <row r="173" spans="1:17" x14ac:dyDescent="0.25">
      <c r="A173" s="47"/>
      <c r="B173" s="37" t="s">
        <v>196</v>
      </c>
      <c r="C173" s="19">
        <v>1</v>
      </c>
      <c r="D173" s="21">
        <v>718</v>
      </c>
      <c r="E173" s="21">
        <v>1</v>
      </c>
      <c r="F173" s="21"/>
      <c r="G173" s="22">
        <f t="shared" si="19"/>
        <v>1.39E-3</v>
      </c>
      <c r="H173" s="22">
        <f t="shared" ref="H173:H181" si="38">G173-J173</f>
        <v>1.39E-3</v>
      </c>
      <c r="I173" s="22"/>
      <c r="J173" s="22"/>
      <c r="K173" s="19">
        <v>6000</v>
      </c>
      <c r="L173" s="23">
        <f t="shared" si="22"/>
        <v>8.34</v>
      </c>
      <c r="M173" s="23">
        <f t="shared" ref="M173:M181" si="39">H173*K173</f>
        <v>8.34</v>
      </c>
      <c r="N173" s="23">
        <f t="shared" ref="N173:N181" si="40">I173*K173</f>
        <v>0</v>
      </c>
      <c r="O173" s="23">
        <f t="shared" ref="O173:O181" si="41">L173-M173</f>
        <v>0</v>
      </c>
      <c r="P173" s="19" t="s">
        <v>208</v>
      </c>
      <c r="Q173" s="20"/>
    </row>
    <row r="174" spans="1:17" x14ac:dyDescent="0.25">
      <c r="A174" s="47"/>
      <c r="B174" s="37" t="s">
        <v>197</v>
      </c>
      <c r="C174" s="19">
        <v>1</v>
      </c>
      <c r="D174" s="21">
        <v>718</v>
      </c>
      <c r="E174" s="21">
        <v>1</v>
      </c>
      <c r="F174" s="21"/>
      <c r="G174" s="22">
        <f t="shared" si="19"/>
        <v>1.39E-3</v>
      </c>
      <c r="H174" s="22">
        <f t="shared" si="38"/>
        <v>1.39E-3</v>
      </c>
      <c r="I174" s="22"/>
      <c r="J174" s="22"/>
      <c r="K174" s="19">
        <v>7500</v>
      </c>
      <c r="L174" s="23">
        <f t="shared" si="22"/>
        <v>10.43</v>
      </c>
      <c r="M174" s="23">
        <f t="shared" si="39"/>
        <v>10.43</v>
      </c>
      <c r="N174" s="23">
        <f t="shared" si="40"/>
        <v>0</v>
      </c>
      <c r="O174" s="23">
        <f t="shared" si="41"/>
        <v>0</v>
      </c>
      <c r="P174" s="19" t="s">
        <v>208</v>
      </c>
      <c r="Q174" s="20"/>
    </row>
    <row r="175" spans="1:17" ht="22.5" x14ac:dyDescent="0.25">
      <c r="A175" s="47"/>
      <c r="B175" s="37" t="s">
        <v>198</v>
      </c>
      <c r="C175" s="19">
        <v>1</v>
      </c>
      <c r="D175" s="21">
        <v>718</v>
      </c>
      <c r="E175" s="21">
        <v>1</v>
      </c>
      <c r="F175" s="21"/>
      <c r="G175" s="22">
        <f t="shared" si="19"/>
        <v>1.39E-3</v>
      </c>
      <c r="H175" s="22">
        <f t="shared" si="38"/>
        <v>1.39E-3</v>
      </c>
      <c r="I175" s="22"/>
      <c r="J175" s="22"/>
      <c r="K175" s="19">
        <v>10000</v>
      </c>
      <c r="L175" s="23">
        <f t="shared" si="22"/>
        <v>13.9</v>
      </c>
      <c r="M175" s="23">
        <f t="shared" si="39"/>
        <v>13.9</v>
      </c>
      <c r="N175" s="23">
        <f t="shared" si="40"/>
        <v>0</v>
      </c>
      <c r="O175" s="23">
        <f t="shared" si="41"/>
        <v>0</v>
      </c>
      <c r="P175" s="19" t="s">
        <v>208</v>
      </c>
      <c r="Q175" s="20"/>
    </row>
    <row r="176" spans="1:17" x14ac:dyDescent="0.25">
      <c r="A176" s="47"/>
      <c r="B176" s="37" t="s">
        <v>199</v>
      </c>
      <c r="C176" s="19">
        <v>1</v>
      </c>
      <c r="D176" s="21">
        <v>718</v>
      </c>
      <c r="E176" s="21">
        <v>1</v>
      </c>
      <c r="F176" s="21"/>
      <c r="G176" s="22">
        <f t="shared" si="19"/>
        <v>1.39E-3</v>
      </c>
      <c r="H176" s="22">
        <f t="shared" si="38"/>
        <v>1.39E-3</v>
      </c>
      <c r="I176" s="22"/>
      <c r="J176" s="22"/>
      <c r="K176" s="19">
        <v>15000</v>
      </c>
      <c r="L176" s="23">
        <f t="shared" si="22"/>
        <v>20.85</v>
      </c>
      <c r="M176" s="23">
        <f t="shared" si="39"/>
        <v>20.85</v>
      </c>
      <c r="N176" s="23">
        <f t="shared" si="40"/>
        <v>0</v>
      </c>
      <c r="O176" s="23">
        <f t="shared" si="41"/>
        <v>0</v>
      </c>
      <c r="P176" s="19" t="s">
        <v>208</v>
      </c>
      <c r="Q176" s="20"/>
    </row>
    <row r="177" spans="1:17" x14ac:dyDescent="0.25">
      <c r="A177" s="47"/>
      <c r="B177" s="37" t="s">
        <v>200</v>
      </c>
      <c r="C177" s="19">
        <v>1</v>
      </c>
      <c r="D177" s="21">
        <v>718</v>
      </c>
      <c r="E177" s="21">
        <v>1</v>
      </c>
      <c r="F177" s="21"/>
      <c r="G177" s="22">
        <f t="shared" si="19"/>
        <v>1.39E-3</v>
      </c>
      <c r="H177" s="22">
        <f t="shared" si="38"/>
        <v>1.39E-3</v>
      </c>
      <c r="I177" s="22"/>
      <c r="J177" s="22"/>
      <c r="K177" s="19">
        <v>3000</v>
      </c>
      <c r="L177" s="23">
        <f t="shared" si="22"/>
        <v>4.17</v>
      </c>
      <c r="M177" s="23">
        <f t="shared" si="39"/>
        <v>4.17</v>
      </c>
      <c r="N177" s="23">
        <f t="shared" si="40"/>
        <v>0</v>
      </c>
      <c r="O177" s="23">
        <f t="shared" si="41"/>
        <v>0</v>
      </c>
      <c r="P177" s="19" t="s">
        <v>208</v>
      </c>
      <c r="Q177" s="20"/>
    </row>
    <row r="178" spans="1:17" ht="22.5" x14ac:dyDescent="0.25">
      <c r="A178" s="47"/>
      <c r="B178" s="37" t="s">
        <v>201</v>
      </c>
      <c r="C178" s="19">
        <v>1</v>
      </c>
      <c r="D178" s="21">
        <v>718</v>
      </c>
      <c r="E178" s="21">
        <v>1</v>
      </c>
      <c r="F178" s="21"/>
      <c r="G178" s="22">
        <f t="shared" si="19"/>
        <v>1.39E-3</v>
      </c>
      <c r="H178" s="22">
        <f t="shared" si="38"/>
        <v>1.39E-3</v>
      </c>
      <c r="I178" s="22"/>
      <c r="J178" s="22"/>
      <c r="K178" s="19">
        <v>6500</v>
      </c>
      <c r="L178" s="23">
        <f t="shared" si="22"/>
        <v>9.0399999999999991</v>
      </c>
      <c r="M178" s="23">
        <f t="shared" si="39"/>
        <v>9.0399999999999991</v>
      </c>
      <c r="N178" s="23">
        <f t="shared" si="40"/>
        <v>0</v>
      </c>
      <c r="O178" s="23">
        <f t="shared" si="41"/>
        <v>0</v>
      </c>
      <c r="P178" s="19" t="s">
        <v>208</v>
      </c>
      <c r="Q178" s="20"/>
    </row>
    <row r="179" spans="1:17" ht="22.5" x14ac:dyDescent="0.25">
      <c r="A179" s="47"/>
      <c r="B179" s="37" t="s">
        <v>202</v>
      </c>
      <c r="C179" s="19">
        <v>1</v>
      </c>
      <c r="D179" s="21">
        <v>718</v>
      </c>
      <c r="E179" s="21">
        <v>7</v>
      </c>
      <c r="F179" s="21"/>
      <c r="G179" s="22">
        <f t="shared" si="19"/>
        <v>9.75E-3</v>
      </c>
      <c r="H179" s="22">
        <f t="shared" si="38"/>
        <v>9.75E-3</v>
      </c>
      <c r="I179" s="22"/>
      <c r="J179" s="22"/>
      <c r="K179" s="19">
        <v>2500</v>
      </c>
      <c r="L179" s="23">
        <f t="shared" si="22"/>
        <v>24.38</v>
      </c>
      <c r="M179" s="23">
        <f t="shared" si="39"/>
        <v>24.38</v>
      </c>
      <c r="N179" s="23">
        <f t="shared" si="40"/>
        <v>0</v>
      </c>
      <c r="O179" s="23">
        <f t="shared" si="41"/>
        <v>0</v>
      </c>
      <c r="P179" s="19" t="s">
        <v>208</v>
      </c>
      <c r="Q179" s="20"/>
    </row>
    <row r="180" spans="1:17" ht="22.5" x14ac:dyDescent="0.25">
      <c r="A180" s="47"/>
      <c r="B180" s="37" t="s">
        <v>203</v>
      </c>
      <c r="C180" s="19">
        <v>1</v>
      </c>
      <c r="D180" s="21">
        <v>718</v>
      </c>
      <c r="E180" s="21">
        <v>7</v>
      </c>
      <c r="F180" s="21"/>
      <c r="G180" s="22">
        <f t="shared" si="19"/>
        <v>9.75E-3</v>
      </c>
      <c r="H180" s="22">
        <f t="shared" si="38"/>
        <v>9.75E-3</v>
      </c>
      <c r="I180" s="22"/>
      <c r="J180" s="22"/>
      <c r="K180" s="19">
        <v>6200</v>
      </c>
      <c r="L180" s="23">
        <f t="shared" si="22"/>
        <v>60.45</v>
      </c>
      <c r="M180" s="23">
        <f t="shared" si="39"/>
        <v>60.45</v>
      </c>
      <c r="N180" s="23">
        <f t="shared" si="40"/>
        <v>0</v>
      </c>
      <c r="O180" s="23">
        <f t="shared" si="41"/>
        <v>0</v>
      </c>
      <c r="P180" s="19" t="s">
        <v>208</v>
      </c>
      <c r="Q180" s="20"/>
    </row>
    <row r="181" spans="1:17" ht="22.5" x14ac:dyDescent="0.25">
      <c r="A181" s="47"/>
      <c r="B181" s="37" t="s">
        <v>365</v>
      </c>
      <c r="C181" s="19">
        <v>1</v>
      </c>
      <c r="D181" s="21">
        <v>718</v>
      </c>
      <c r="E181" s="21">
        <v>1</v>
      </c>
      <c r="F181" s="21"/>
      <c r="G181" s="22">
        <f t="shared" ref="G181:G184" si="42">(E181+F181)/D181/C181</f>
        <v>1.39E-3</v>
      </c>
      <c r="H181" s="22">
        <f t="shared" si="38"/>
        <v>1.39E-3</v>
      </c>
      <c r="I181" s="22"/>
      <c r="J181" s="22"/>
      <c r="K181" s="19">
        <v>4500</v>
      </c>
      <c r="L181" s="23">
        <f t="shared" ref="L181:L184" si="43">G181*K181</f>
        <v>6.26</v>
      </c>
      <c r="M181" s="23">
        <f t="shared" si="39"/>
        <v>6.26</v>
      </c>
      <c r="N181" s="23">
        <f t="shared" si="40"/>
        <v>0</v>
      </c>
      <c r="O181" s="23">
        <f t="shared" si="41"/>
        <v>0</v>
      </c>
      <c r="P181" s="19" t="s">
        <v>208</v>
      </c>
      <c r="Q181" s="20"/>
    </row>
    <row r="182" spans="1:17" x14ac:dyDescent="0.25">
      <c r="A182" s="50" t="s">
        <v>222</v>
      </c>
      <c r="B182" s="44" t="s">
        <v>212</v>
      </c>
      <c r="C182" s="40"/>
      <c r="D182" s="41"/>
      <c r="E182" s="41"/>
      <c r="F182" s="41"/>
      <c r="G182" s="42"/>
      <c r="H182" s="42"/>
      <c r="I182" s="42"/>
      <c r="J182" s="42"/>
      <c r="K182" s="40"/>
      <c r="L182" s="43">
        <f>SUM(L173:L181)</f>
        <v>157.82</v>
      </c>
      <c r="M182" s="43">
        <f>SUM(M173:M181)</f>
        <v>157.82</v>
      </c>
      <c r="N182" s="43">
        <f>SUM(N173:N181)</f>
        <v>0</v>
      </c>
      <c r="O182" s="43">
        <f>SUM(O173:O181)</f>
        <v>0</v>
      </c>
      <c r="P182" s="40" t="s">
        <v>294</v>
      </c>
      <c r="Q182" s="20"/>
    </row>
    <row r="183" spans="1:17" x14ac:dyDescent="0.25">
      <c r="A183" s="52"/>
      <c r="B183" s="1561" t="s">
        <v>209</v>
      </c>
      <c r="C183" s="1561"/>
      <c r="D183" s="1561"/>
      <c r="E183" s="1561"/>
      <c r="F183" s="1561"/>
      <c r="G183" s="1561"/>
      <c r="H183" s="1561"/>
      <c r="I183" s="1561"/>
      <c r="J183" s="1561"/>
      <c r="K183" s="1561"/>
      <c r="L183" s="1561"/>
      <c r="M183" s="1561"/>
      <c r="N183" s="1561"/>
      <c r="O183" s="1561"/>
      <c r="P183" s="1562"/>
      <c r="Q183" s="53"/>
    </row>
    <row r="184" spans="1:17" x14ac:dyDescent="0.25">
      <c r="A184" s="47"/>
      <c r="B184" s="37" t="s">
        <v>210</v>
      </c>
      <c r="C184" s="19">
        <v>1</v>
      </c>
      <c r="D184" s="28">
        <v>970</v>
      </c>
      <c r="E184" s="21">
        <v>1</v>
      </c>
      <c r="F184" s="21"/>
      <c r="G184" s="22">
        <f t="shared" si="42"/>
        <v>1.0300000000000001E-3</v>
      </c>
      <c r="H184" s="22">
        <f>G184-J184</f>
        <v>0</v>
      </c>
      <c r="I184" s="22"/>
      <c r="J184" s="22">
        <f>E184/D184/C184</f>
        <v>1.0300000000000001E-3</v>
      </c>
      <c r="K184" s="19">
        <v>89799</v>
      </c>
      <c r="L184" s="23">
        <f t="shared" si="43"/>
        <v>92.49</v>
      </c>
      <c r="M184" s="23">
        <f>H184*K184</f>
        <v>0</v>
      </c>
      <c r="N184" s="23">
        <f>I184*K184</f>
        <v>0</v>
      </c>
      <c r="O184" s="23">
        <f>L184-M184</f>
        <v>92.49</v>
      </c>
      <c r="P184" s="19" t="s">
        <v>208</v>
      </c>
      <c r="Q184" s="20" t="s">
        <v>823</v>
      </c>
    </row>
    <row r="185" spans="1:17" x14ac:dyDescent="0.25">
      <c r="A185" s="47" t="s">
        <v>243</v>
      </c>
      <c r="B185" s="44" t="s">
        <v>212</v>
      </c>
      <c r="C185" s="40"/>
      <c r="D185" s="41"/>
      <c r="E185" s="41"/>
      <c r="F185" s="41"/>
      <c r="G185" s="42"/>
      <c r="H185" s="42"/>
      <c r="I185" s="42"/>
      <c r="J185" s="42"/>
      <c r="K185" s="40"/>
      <c r="L185" s="43">
        <f>SUM(L184:L184)</f>
        <v>92.49</v>
      </c>
      <c r="M185" s="43">
        <f>SUM(M184:M184)</f>
        <v>0</v>
      </c>
      <c r="N185" s="43">
        <f>SUM(N184:N184)</f>
        <v>0</v>
      </c>
      <c r="O185" s="43">
        <f>SUM(O184:O184)</f>
        <v>92.49</v>
      </c>
      <c r="P185" s="40" t="s">
        <v>295</v>
      </c>
      <c r="Q185" s="20"/>
    </row>
    <row r="186" spans="1:17" x14ac:dyDescent="0.25">
      <c r="A186" s="52"/>
      <c r="B186" s="1561" t="s">
        <v>225</v>
      </c>
      <c r="C186" s="1561"/>
      <c r="D186" s="1561"/>
      <c r="E186" s="1561"/>
      <c r="F186" s="1561"/>
      <c r="G186" s="1561"/>
      <c r="H186" s="1561"/>
      <c r="I186" s="1561"/>
      <c r="J186" s="1561"/>
      <c r="K186" s="1561"/>
      <c r="L186" s="1561"/>
      <c r="M186" s="1561"/>
      <c r="N186" s="1561"/>
      <c r="O186" s="1561"/>
      <c r="P186" s="1562"/>
      <c r="Q186" s="53"/>
    </row>
    <row r="187" spans="1:17" x14ac:dyDescent="0.25">
      <c r="A187" s="47"/>
      <c r="B187" s="37" t="s">
        <v>228</v>
      </c>
      <c r="C187" s="19">
        <v>1</v>
      </c>
      <c r="D187" s="28">
        <v>743</v>
      </c>
      <c r="E187" s="21">
        <f>12*1</f>
        <v>12</v>
      </c>
      <c r="F187" s="21"/>
      <c r="G187" s="22">
        <f>(E187+F187)/D187/C187</f>
        <v>1.6150000000000001E-2</v>
      </c>
      <c r="H187" s="22">
        <f>G187-J187</f>
        <v>0</v>
      </c>
      <c r="I187" s="22"/>
      <c r="J187" s="22">
        <f>E187/D187/C187</f>
        <v>1.6150000000000001E-2</v>
      </c>
      <c r="K187" s="19">
        <v>500</v>
      </c>
      <c r="L187" s="23">
        <f>G187*K187</f>
        <v>8.08</v>
      </c>
      <c r="M187" s="23">
        <f>H187*K187</f>
        <v>0</v>
      </c>
      <c r="N187" s="23">
        <f>I187*K187</f>
        <v>0</v>
      </c>
      <c r="O187" s="23">
        <f>L187-M187</f>
        <v>8.08</v>
      </c>
      <c r="P187" s="19" t="s">
        <v>301</v>
      </c>
      <c r="Q187" s="20" t="s">
        <v>815</v>
      </c>
    </row>
    <row r="188" spans="1:17" x14ac:dyDescent="0.25">
      <c r="A188" s="47" t="s">
        <v>224</v>
      </c>
      <c r="B188" s="44" t="s">
        <v>212</v>
      </c>
      <c r="C188" s="40"/>
      <c r="D188" s="41"/>
      <c r="E188" s="41"/>
      <c r="F188" s="41"/>
      <c r="G188" s="42"/>
      <c r="H188" s="42"/>
      <c r="I188" s="42"/>
      <c r="J188" s="42"/>
      <c r="K188" s="40"/>
      <c r="L188" s="43">
        <f>SUM(L187:L187)</f>
        <v>8.08</v>
      </c>
      <c r="M188" s="43">
        <f>SUM(M187:M187)</f>
        <v>0</v>
      </c>
      <c r="N188" s="43">
        <f>SUM(N187:N187)</f>
        <v>0</v>
      </c>
      <c r="O188" s="43">
        <f>SUM(O187:O187)</f>
        <v>8.08</v>
      </c>
      <c r="P188" s="40" t="s">
        <v>295</v>
      </c>
      <c r="Q188" s="20"/>
    </row>
    <row r="189" spans="1:17" x14ac:dyDescent="0.25">
      <c r="A189" s="52"/>
      <c r="B189" s="1561" t="s">
        <v>227</v>
      </c>
      <c r="C189" s="1561"/>
      <c r="D189" s="1561"/>
      <c r="E189" s="1561"/>
      <c r="F189" s="1561"/>
      <c r="G189" s="1561"/>
      <c r="H189" s="1561"/>
      <c r="I189" s="1561"/>
      <c r="J189" s="1561"/>
      <c r="K189" s="1561"/>
      <c r="L189" s="1561"/>
      <c r="M189" s="1561"/>
      <c r="N189" s="1561"/>
      <c r="O189" s="1561"/>
      <c r="P189" s="1562"/>
      <c r="Q189" s="53"/>
    </row>
    <row r="190" spans="1:17" x14ac:dyDescent="0.25">
      <c r="A190" s="47"/>
      <c r="B190" s="37" t="s">
        <v>228</v>
      </c>
      <c r="C190" s="19">
        <v>1</v>
      </c>
      <c r="D190" s="28">
        <v>743</v>
      </c>
      <c r="E190" s="21">
        <f>12*1</f>
        <v>12</v>
      </c>
      <c r="F190" s="21"/>
      <c r="G190" s="22">
        <f>(E190+F190)/D190/C190</f>
        <v>1.6150000000000001E-2</v>
      </c>
      <c r="H190" s="22">
        <f>G190-J190</f>
        <v>0</v>
      </c>
      <c r="I190" s="22"/>
      <c r="J190" s="22">
        <f>E190/D190/C190</f>
        <v>1.6150000000000001E-2</v>
      </c>
      <c r="K190" s="19">
        <v>3294</v>
      </c>
      <c r="L190" s="23">
        <f>G190*K190</f>
        <v>53.2</v>
      </c>
      <c r="M190" s="23">
        <f>H190*K190</f>
        <v>0</v>
      </c>
      <c r="N190" s="23">
        <f>I190*K190</f>
        <v>0</v>
      </c>
      <c r="O190" s="23">
        <f>L190-M190</f>
        <v>53.2</v>
      </c>
      <c r="P190" s="19" t="s">
        <v>301</v>
      </c>
      <c r="Q190" s="20" t="s">
        <v>815</v>
      </c>
    </row>
    <row r="191" spans="1:17" x14ac:dyDescent="0.25">
      <c r="A191" s="47"/>
      <c r="B191" s="37" t="s">
        <v>229</v>
      </c>
      <c r="C191" s="19">
        <v>1</v>
      </c>
      <c r="D191" s="28">
        <v>743</v>
      </c>
      <c r="E191" s="21">
        <f>12*1</f>
        <v>12</v>
      </c>
      <c r="F191" s="21"/>
      <c r="G191" s="22">
        <f>(E191+F191)/D191/C191</f>
        <v>1.6150000000000001E-2</v>
      </c>
      <c r="H191" s="22">
        <f>G191-J191</f>
        <v>0</v>
      </c>
      <c r="I191" s="22"/>
      <c r="J191" s="22">
        <f>E191/D191/C191</f>
        <v>1.6150000000000001E-2</v>
      </c>
      <c r="K191" s="19">
        <v>1995</v>
      </c>
      <c r="L191" s="23">
        <f>G191*K191</f>
        <v>32.22</v>
      </c>
      <c r="M191" s="23">
        <f>H191*K191</f>
        <v>0</v>
      </c>
      <c r="N191" s="23">
        <f>I191*K191</f>
        <v>0</v>
      </c>
      <c r="O191" s="23">
        <f>L191-M191</f>
        <v>32.22</v>
      </c>
      <c r="P191" s="19" t="s">
        <v>301</v>
      </c>
      <c r="Q191" s="20" t="s">
        <v>815</v>
      </c>
    </row>
    <row r="192" spans="1:17" x14ac:dyDescent="0.25">
      <c r="A192" s="47" t="s">
        <v>244</v>
      </c>
      <c r="B192" s="44" t="s">
        <v>212</v>
      </c>
      <c r="C192" s="40"/>
      <c r="D192" s="41"/>
      <c r="E192" s="41"/>
      <c r="F192" s="41"/>
      <c r="G192" s="42"/>
      <c r="H192" s="42"/>
      <c r="I192" s="42"/>
      <c r="J192" s="42"/>
      <c r="K192" s="40"/>
      <c r="L192" s="43">
        <f>SUM(L190:L191)</f>
        <v>85.42</v>
      </c>
      <c r="M192" s="43">
        <f>SUM(M190:M191)</f>
        <v>0</v>
      </c>
      <c r="N192" s="43">
        <f>SUM(N190:N191)</f>
        <v>0</v>
      </c>
      <c r="O192" s="43">
        <f>SUM(O190:O191)</f>
        <v>85.42</v>
      </c>
      <c r="P192" s="40" t="s">
        <v>295</v>
      </c>
      <c r="Q192" s="20"/>
    </row>
    <row r="193" spans="1:17" x14ac:dyDescent="0.25">
      <c r="A193" s="52"/>
      <c r="B193" s="1561" t="s">
        <v>226</v>
      </c>
      <c r="C193" s="1561"/>
      <c r="D193" s="1561"/>
      <c r="E193" s="1561"/>
      <c r="F193" s="1561"/>
      <c r="G193" s="1561"/>
      <c r="H193" s="1561"/>
      <c r="I193" s="1561"/>
      <c r="J193" s="1561"/>
      <c r="K193" s="1561"/>
      <c r="L193" s="1561"/>
      <c r="M193" s="1561"/>
      <c r="N193" s="1561"/>
      <c r="O193" s="1561"/>
      <c r="P193" s="1562"/>
      <c r="Q193" s="53"/>
    </row>
    <row r="194" spans="1:17" x14ac:dyDescent="0.25">
      <c r="A194" s="47"/>
      <c r="B194" s="37" t="s">
        <v>230</v>
      </c>
      <c r="C194" s="19">
        <v>1</v>
      </c>
      <c r="D194" s="28">
        <v>970</v>
      </c>
      <c r="E194" s="21">
        <v>20</v>
      </c>
      <c r="F194" s="21"/>
      <c r="G194" s="22">
        <f>(E194+F194)/D194/C194</f>
        <v>2.0619999999999999E-2</v>
      </c>
      <c r="H194" s="22">
        <f>G194-J194</f>
        <v>0</v>
      </c>
      <c r="I194" s="22"/>
      <c r="J194" s="22">
        <f>E194/D194/C194</f>
        <v>2.0619999999999999E-2</v>
      </c>
      <c r="K194" s="19">
        <v>450</v>
      </c>
      <c r="L194" s="23">
        <f>G194*K194</f>
        <v>9.2799999999999994</v>
      </c>
      <c r="M194" s="23">
        <f>H194*K194</f>
        <v>0</v>
      </c>
      <c r="N194" s="23">
        <f>I194*K194</f>
        <v>0</v>
      </c>
      <c r="O194" s="23">
        <f>L194-M194</f>
        <v>9.2799999999999994</v>
      </c>
      <c r="P194" s="19" t="s">
        <v>234</v>
      </c>
      <c r="Q194" s="20" t="s">
        <v>823</v>
      </c>
    </row>
    <row r="195" spans="1:17" x14ac:dyDescent="0.25">
      <c r="A195" s="47"/>
      <c r="B195" s="37" t="s">
        <v>231</v>
      </c>
      <c r="C195" s="19">
        <v>1</v>
      </c>
      <c r="D195" s="28">
        <v>718</v>
      </c>
      <c r="E195" s="21"/>
      <c r="F195" s="21"/>
      <c r="G195" s="22">
        <f>(E195+F195)/D195/C195</f>
        <v>0</v>
      </c>
      <c r="H195" s="22">
        <f>G195-J195</f>
        <v>0</v>
      </c>
      <c r="I195" s="22"/>
      <c r="J195" s="22">
        <f>E195/D195/C195</f>
        <v>0</v>
      </c>
      <c r="K195" s="19"/>
      <c r="L195" s="23">
        <f>G195*K195</f>
        <v>0</v>
      </c>
      <c r="M195" s="23">
        <f>H195*K195</f>
        <v>0</v>
      </c>
      <c r="N195" s="23">
        <f>I195*K195</f>
        <v>0</v>
      </c>
      <c r="O195" s="23">
        <f>L195-M195</f>
        <v>0</v>
      </c>
      <c r="P195" s="19" t="s">
        <v>236</v>
      </c>
      <c r="Q195" s="20"/>
    </row>
    <row r="196" spans="1:17" ht="22.5" x14ac:dyDescent="0.25">
      <c r="A196" s="47"/>
      <c r="B196" s="37" t="s">
        <v>232</v>
      </c>
      <c r="C196" s="19">
        <v>1</v>
      </c>
      <c r="D196" s="28">
        <v>750</v>
      </c>
      <c r="E196" s="21">
        <f>2*1</f>
        <v>2</v>
      </c>
      <c r="F196" s="21"/>
      <c r="G196" s="22">
        <f>(E196+F196)/D196/C196</f>
        <v>2.6700000000000001E-3</v>
      </c>
      <c r="H196" s="22">
        <f>G196-J196</f>
        <v>0</v>
      </c>
      <c r="I196" s="22"/>
      <c r="J196" s="22">
        <f>E196/D196/C196</f>
        <v>2.6700000000000001E-3</v>
      </c>
      <c r="K196" s="19">
        <v>7000</v>
      </c>
      <c r="L196" s="23">
        <f>G196*K196</f>
        <v>18.690000000000001</v>
      </c>
      <c r="M196" s="23">
        <f>H196*K196</f>
        <v>0</v>
      </c>
      <c r="N196" s="23">
        <f>I196*K196</f>
        <v>0</v>
      </c>
      <c r="O196" s="23">
        <f>L196-M196</f>
        <v>18.690000000000001</v>
      </c>
      <c r="P196" s="19" t="s">
        <v>235</v>
      </c>
      <c r="Q196" s="20" t="s">
        <v>304</v>
      </c>
    </row>
    <row r="197" spans="1:17" x14ac:dyDescent="0.25">
      <c r="A197" s="47"/>
      <c r="B197" s="37" t="s">
        <v>233</v>
      </c>
      <c r="C197" s="19">
        <v>5</v>
      </c>
      <c r="D197" s="28">
        <v>750</v>
      </c>
      <c r="E197" s="21">
        <v>1</v>
      </c>
      <c r="F197" s="21"/>
      <c r="G197" s="22">
        <f>(E197+F197)/D197/C197</f>
        <v>2.7E-4</v>
      </c>
      <c r="H197" s="22">
        <f>G197-J197</f>
        <v>0</v>
      </c>
      <c r="I197" s="22"/>
      <c r="J197" s="22">
        <f>E197/D197/C197</f>
        <v>2.7E-4</v>
      </c>
      <c r="K197" s="19">
        <v>8000</v>
      </c>
      <c r="L197" s="23">
        <f>G197*K197</f>
        <v>2.16</v>
      </c>
      <c r="M197" s="23">
        <f>H197*K197</f>
        <v>0</v>
      </c>
      <c r="N197" s="23">
        <f>I197*K197</f>
        <v>0</v>
      </c>
      <c r="O197" s="23">
        <f>L197-M197</f>
        <v>2.16</v>
      </c>
      <c r="P197" s="19" t="s">
        <v>303</v>
      </c>
      <c r="Q197" s="20" t="s">
        <v>304</v>
      </c>
    </row>
    <row r="198" spans="1:17" x14ac:dyDescent="0.25">
      <c r="A198" s="47"/>
      <c r="B198" s="37" t="s">
        <v>302</v>
      </c>
      <c r="C198" s="19">
        <v>5</v>
      </c>
      <c r="D198" s="28">
        <v>750</v>
      </c>
      <c r="E198" s="21">
        <v>1</v>
      </c>
      <c r="F198" s="21"/>
      <c r="G198" s="22">
        <f>(E198+F198)/D198/C198</f>
        <v>2.7E-4</v>
      </c>
      <c r="H198" s="22">
        <f>G198-J198</f>
        <v>0</v>
      </c>
      <c r="I198" s="22"/>
      <c r="J198" s="22">
        <f>E198/D198/C198</f>
        <v>2.7E-4</v>
      </c>
      <c r="K198" s="19">
        <v>12000</v>
      </c>
      <c r="L198" s="23">
        <f>G198*K198</f>
        <v>3.24</v>
      </c>
      <c r="M198" s="23">
        <f>H198*K198</f>
        <v>0</v>
      </c>
      <c r="N198" s="23">
        <f>I198*K198</f>
        <v>0</v>
      </c>
      <c r="O198" s="23">
        <f>L198-M198</f>
        <v>3.24</v>
      </c>
      <c r="P198" s="19" t="s">
        <v>303</v>
      </c>
      <c r="Q198" s="20" t="s">
        <v>304</v>
      </c>
    </row>
    <row r="199" spans="1:17" x14ac:dyDescent="0.25">
      <c r="A199" s="47" t="s">
        <v>244</v>
      </c>
      <c r="B199" s="44" t="s">
        <v>212</v>
      </c>
      <c r="C199" s="40"/>
      <c r="D199" s="41"/>
      <c r="E199" s="41"/>
      <c r="F199" s="41"/>
      <c r="G199" s="42"/>
      <c r="H199" s="42"/>
      <c r="I199" s="42"/>
      <c r="J199" s="42"/>
      <c r="K199" s="40"/>
      <c r="L199" s="43">
        <f>SUM(L194:L198)</f>
        <v>33.369999999999997</v>
      </c>
      <c r="M199" s="43">
        <f>SUM(M194:M198)</f>
        <v>0</v>
      </c>
      <c r="N199" s="43">
        <f>SUM(N194:N198)</f>
        <v>0</v>
      </c>
      <c r="O199" s="43">
        <f>SUM(O194:O198)</f>
        <v>33.369999999999997</v>
      </c>
      <c r="P199" s="40" t="s">
        <v>295</v>
      </c>
      <c r="Q199" s="20"/>
    </row>
    <row r="200" spans="1:17" hidden="1" x14ac:dyDescent="0.25">
      <c r="A200" s="52"/>
      <c r="B200" s="1561" t="s">
        <v>239</v>
      </c>
      <c r="C200" s="1561"/>
      <c r="D200" s="1561"/>
      <c r="E200" s="1561"/>
      <c r="F200" s="1561"/>
      <c r="G200" s="1561"/>
      <c r="H200" s="1561"/>
      <c r="I200" s="1561"/>
      <c r="J200" s="1561"/>
      <c r="K200" s="1561"/>
      <c r="L200" s="1561"/>
      <c r="M200" s="1561"/>
      <c r="N200" s="1561"/>
      <c r="O200" s="1561"/>
      <c r="P200" s="1562"/>
      <c r="Q200" s="53"/>
    </row>
    <row r="201" spans="1:17" hidden="1" x14ac:dyDescent="0.25">
      <c r="A201" s="47"/>
      <c r="B201" s="37" t="s">
        <v>237</v>
      </c>
      <c r="C201" s="19">
        <v>1</v>
      </c>
      <c r="D201" s="21">
        <v>718</v>
      </c>
      <c r="E201" s="21">
        <v>4</v>
      </c>
      <c r="F201" s="21"/>
      <c r="G201" s="22">
        <f>(E201+F201)/D201/C201</f>
        <v>5.5700000000000003E-3</v>
      </c>
      <c r="H201" s="22">
        <f>G201-J201</f>
        <v>0</v>
      </c>
      <c r="I201" s="22"/>
      <c r="J201" s="22">
        <f>E201/D201/C201</f>
        <v>5.5700000000000003E-3</v>
      </c>
      <c r="K201" s="21"/>
      <c r="L201" s="23">
        <f>G201*K201</f>
        <v>0</v>
      </c>
      <c r="M201" s="23">
        <f>H201*K201</f>
        <v>0</v>
      </c>
      <c r="N201" s="23">
        <f>I201*K201</f>
        <v>0</v>
      </c>
      <c r="O201" s="23">
        <f>L201-M201</f>
        <v>0</v>
      </c>
      <c r="P201" s="19" t="s">
        <v>241</v>
      </c>
      <c r="Q201" s="20"/>
    </row>
    <row r="202" spans="1:17" hidden="1" x14ac:dyDescent="0.25">
      <c r="A202" s="47" t="s">
        <v>224</v>
      </c>
      <c r="B202" s="44" t="s">
        <v>212</v>
      </c>
      <c r="C202" s="40"/>
      <c r="D202" s="41"/>
      <c r="E202" s="41"/>
      <c r="F202" s="41"/>
      <c r="G202" s="42"/>
      <c r="H202" s="42"/>
      <c r="I202" s="42"/>
      <c r="J202" s="42"/>
      <c r="K202" s="40"/>
      <c r="L202" s="43">
        <f>SUM(L201:L201)</f>
        <v>0</v>
      </c>
      <c r="M202" s="43">
        <f>SUM(M201:M201)</f>
        <v>0</v>
      </c>
      <c r="N202" s="43">
        <f>SUM(N201:N201)</f>
        <v>0</v>
      </c>
      <c r="O202" s="43">
        <f>SUM(O201:O201)</f>
        <v>0</v>
      </c>
      <c r="P202" s="40" t="s">
        <v>295</v>
      </c>
      <c r="Q202" s="20"/>
    </row>
    <row r="203" spans="1:17" x14ac:dyDescent="0.25">
      <c r="A203" s="52"/>
      <c r="B203" s="1561" t="s">
        <v>824</v>
      </c>
      <c r="C203" s="1561"/>
      <c r="D203" s="1561"/>
      <c r="E203" s="1561"/>
      <c r="F203" s="1561"/>
      <c r="G203" s="1561"/>
      <c r="H203" s="1561"/>
      <c r="I203" s="1561"/>
      <c r="J203" s="1561"/>
      <c r="K203" s="1561"/>
      <c r="L203" s="1561"/>
      <c r="M203" s="1561"/>
      <c r="N203" s="1561"/>
      <c r="O203" s="1561"/>
      <c r="P203" s="1562"/>
      <c r="Q203" s="53"/>
    </row>
    <row r="204" spans="1:17" x14ac:dyDescent="0.25">
      <c r="A204" s="47" t="s">
        <v>244</v>
      </c>
      <c r="B204" s="37" t="s">
        <v>825</v>
      </c>
      <c r="C204" s="19">
        <v>1</v>
      </c>
      <c r="D204" s="28">
        <v>925</v>
      </c>
      <c r="E204" s="21">
        <f>3*127</f>
        <v>381</v>
      </c>
      <c r="F204" s="21"/>
      <c r="G204" s="22">
        <f>(E204+F204)/D204/C204</f>
        <v>0.41188999999999998</v>
      </c>
      <c r="H204" s="22">
        <f>G204-J204</f>
        <v>0</v>
      </c>
      <c r="I204" s="22"/>
      <c r="J204" s="22">
        <f>E204/D204/C204</f>
        <v>0.41188999999999998</v>
      </c>
      <c r="K204" s="21">
        <v>100</v>
      </c>
      <c r="L204" s="23">
        <f>G204*K204</f>
        <v>41.19</v>
      </c>
      <c r="M204" s="23">
        <f>H204*K204</f>
        <v>0</v>
      </c>
      <c r="N204" s="23">
        <f>I204*K204</f>
        <v>0</v>
      </c>
      <c r="O204" s="23">
        <f>L204-M204</f>
        <v>41.19</v>
      </c>
      <c r="P204" s="19" t="s">
        <v>826</v>
      </c>
      <c r="Q204" s="20" t="s">
        <v>827</v>
      </c>
    </row>
    <row r="205" spans="1:17" x14ac:dyDescent="0.25">
      <c r="A205" s="47" t="s">
        <v>244</v>
      </c>
      <c r="B205" s="37" t="s">
        <v>309</v>
      </c>
      <c r="C205" s="19">
        <v>1</v>
      </c>
      <c r="D205" s="28">
        <v>925</v>
      </c>
      <c r="E205" s="21">
        <f>3*1</f>
        <v>3</v>
      </c>
      <c r="F205" s="21"/>
      <c r="G205" s="22">
        <f t="shared" ref="G205:G210" si="44">(E205+F205)/D205/C205</f>
        <v>3.2399999999999998E-3</v>
      </c>
      <c r="H205" s="22">
        <f t="shared" ref="H205:H210" si="45">G205-J205</f>
        <v>0</v>
      </c>
      <c r="I205" s="22"/>
      <c r="J205" s="22">
        <f t="shared" ref="J205:J210" si="46">E205/D205/C205</f>
        <v>3.2399999999999998E-3</v>
      </c>
      <c r="K205" s="21">
        <v>26757</v>
      </c>
      <c r="L205" s="23">
        <f t="shared" ref="L205:L210" si="47">G205*K205</f>
        <v>86.69</v>
      </c>
      <c r="M205" s="23">
        <f t="shared" ref="M205:M210" si="48">H205*K205</f>
        <v>0</v>
      </c>
      <c r="N205" s="23">
        <f t="shared" ref="N205:N210" si="49">I205*K205</f>
        <v>0</v>
      </c>
      <c r="O205" s="23">
        <f t="shared" ref="O205:O210" si="50">L205-M205</f>
        <v>86.69</v>
      </c>
      <c r="P205" s="19" t="s">
        <v>828</v>
      </c>
      <c r="Q205" s="20" t="s">
        <v>827</v>
      </c>
    </row>
    <row r="206" spans="1:17" x14ac:dyDescent="0.25">
      <c r="A206" s="47" t="s">
        <v>244</v>
      </c>
      <c r="B206" s="37" t="s">
        <v>310</v>
      </c>
      <c r="C206" s="19">
        <v>1</v>
      </c>
      <c r="D206" s="28">
        <v>925</v>
      </c>
      <c r="E206" s="21">
        <v>17031</v>
      </c>
      <c r="F206" s="21"/>
      <c r="G206" s="22">
        <f t="shared" si="44"/>
        <v>18.41189</v>
      </c>
      <c r="H206" s="22">
        <f t="shared" si="45"/>
        <v>0</v>
      </c>
      <c r="I206" s="22"/>
      <c r="J206" s="22">
        <f t="shared" si="46"/>
        <v>18.41189</v>
      </c>
      <c r="K206" s="21">
        <v>34</v>
      </c>
      <c r="L206" s="23">
        <f t="shared" si="47"/>
        <v>626</v>
      </c>
      <c r="M206" s="23">
        <f t="shared" si="48"/>
        <v>0</v>
      </c>
      <c r="N206" s="23">
        <f t="shared" si="49"/>
        <v>0</v>
      </c>
      <c r="O206" s="23">
        <f t="shared" si="50"/>
        <v>626</v>
      </c>
      <c r="P206" s="19" t="s">
        <v>829</v>
      </c>
      <c r="Q206" s="20" t="s">
        <v>827</v>
      </c>
    </row>
    <row r="207" spans="1:17" x14ac:dyDescent="0.25">
      <c r="A207" s="47" t="s">
        <v>244</v>
      </c>
      <c r="B207" s="37" t="s">
        <v>311</v>
      </c>
      <c r="C207" s="19">
        <v>1</v>
      </c>
      <c r="D207" s="28">
        <v>925</v>
      </c>
      <c r="E207" s="21">
        <v>3</v>
      </c>
      <c r="F207" s="21"/>
      <c r="G207" s="22">
        <f>(E207+F207)/D207/C207</f>
        <v>3.2399999999999998E-3</v>
      </c>
      <c r="H207" s="22">
        <f>G207-J207</f>
        <v>0</v>
      </c>
      <c r="I207" s="22"/>
      <c r="J207" s="22">
        <f>E207/D207/C207</f>
        <v>3.2399999999999998E-3</v>
      </c>
      <c r="K207" s="21">
        <v>4267</v>
      </c>
      <c r="L207" s="23">
        <f>G207*K207</f>
        <v>13.83</v>
      </c>
      <c r="M207" s="23">
        <f>H207*K207</f>
        <v>0</v>
      </c>
      <c r="N207" s="23">
        <f>I207*K207</f>
        <v>0</v>
      </c>
      <c r="O207" s="23">
        <f>L207-M207</f>
        <v>13.83</v>
      </c>
      <c r="P207" s="19" t="s">
        <v>828</v>
      </c>
      <c r="Q207" s="20" t="s">
        <v>827</v>
      </c>
    </row>
    <row r="208" spans="1:17" ht="39.75" customHeight="1" x14ac:dyDescent="0.25">
      <c r="A208" s="47" t="s">
        <v>242</v>
      </c>
      <c r="B208" s="37" t="s">
        <v>293</v>
      </c>
      <c r="C208" s="19">
        <v>1</v>
      </c>
      <c r="D208" s="28">
        <v>925</v>
      </c>
      <c r="E208" s="21">
        <v>12</v>
      </c>
      <c r="F208" s="21"/>
      <c r="G208" s="22">
        <f t="shared" ref="G208" si="51">(E208+F208)/D208/C208</f>
        <v>1.2970000000000001E-2</v>
      </c>
      <c r="H208" s="22">
        <f t="shared" ref="H208" si="52">G208-J208</f>
        <v>0</v>
      </c>
      <c r="I208" s="22"/>
      <c r="J208" s="22">
        <f>E208/D208/C208</f>
        <v>1.2970000000000001E-2</v>
      </c>
      <c r="K208" s="21">
        <v>1500</v>
      </c>
      <c r="L208" s="23">
        <f t="shared" ref="L208" si="53">G208*K208</f>
        <v>19.46</v>
      </c>
      <c r="M208" s="23">
        <f t="shared" ref="M208" si="54">H208*K208</f>
        <v>0</v>
      </c>
      <c r="N208" s="23">
        <f t="shared" ref="N208" si="55">I208*K208</f>
        <v>0</v>
      </c>
      <c r="O208" s="23">
        <f t="shared" ref="O208" si="56">L208-M208</f>
        <v>19.46</v>
      </c>
      <c r="P208" s="19" t="s">
        <v>169</v>
      </c>
      <c r="Q208" s="20" t="s">
        <v>827</v>
      </c>
    </row>
    <row r="209" spans="1:18" x14ac:dyDescent="0.25">
      <c r="A209" s="47" t="s">
        <v>224</v>
      </c>
      <c r="B209" s="37" t="s">
        <v>287</v>
      </c>
      <c r="C209" s="19">
        <v>1</v>
      </c>
      <c r="D209" s="28">
        <v>925</v>
      </c>
      <c r="E209" s="21">
        <f>3*127</f>
        <v>381</v>
      </c>
      <c r="F209" s="21"/>
      <c r="G209" s="22">
        <f t="shared" si="44"/>
        <v>0.41188999999999998</v>
      </c>
      <c r="H209" s="22">
        <f t="shared" si="45"/>
        <v>0</v>
      </c>
      <c r="I209" s="22"/>
      <c r="J209" s="22">
        <f t="shared" si="46"/>
        <v>0.41188999999999998</v>
      </c>
      <c r="K209" s="21">
        <v>100</v>
      </c>
      <c r="L209" s="23">
        <f t="shared" si="47"/>
        <v>41.19</v>
      </c>
      <c r="M209" s="23">
        <f t="shared" si="48"/>
        <v>0</v>
      </c>
      <c r="N209" s="23">
        <f t="shared" si="49"/>
        <v>0</v>
      </c>
      <c r="O209" s="23">
        <f t="shared" si="50"/>
        <v>41.19</v>
      </c>
      <c r="P209" s="19" t="s">
        <v>826</v>
      </c>
      <c r="Q209" s="20" t="s">
        <v>827</v>
      </c>
    </row>
    <row r="210" spans="1:18" x14ac:dyDescent="0.25">
      <c r="A210" s="47" t="s">
        <v>224</v>
      </c>
      <c r="B210" s="37" t="s">
        <v>288</v>
      </c>
      <c r="C210" s="19">
        <v>1</v>
      </c>
      <c r="D210" s="28">
        <v>925</v>
      </c>
      <c r="E210" s="21">
        <f>3*365</f>
        <v>1095</v>
      </c>
      <c r="F210" s="21"/>
      <c r="G210" s="22">
        <f t="shared" si="44"/>
        <v>1.1837800000000001</v>
      </c>
      <c r="H210" s="22">
        <f t="shared" si="45"/>
        <v>0</v>
      </c>
      <c r="I210" s="22"/>
      <c r="J210" s="22">
        <f t="shared" si="46"/>
        <v>1.1837800000000001</v>
      </c>
      <c r="K210" s="21">
        <v>100</v>
      </c>
      <c r="L210" s="23">
        <f t="shared" si="47"/>
        <v>118.38</v>
      </c>
      <c r="M210" s="23">
        <f t="shared" si="48"/>
        <v>0</v>
      </c>
      <c r="N210" s="23">
        <f t="shared" si="49"/>
        <v>0</v>
      </c>
      <c r="O210" s="23">
        <f t="shared" si="50"/>
        <v>118.38</v>
      </c>
      <c r="P210" s="19" t="s">
        <v>830</v>
      </c>
      <c r="Q210" s="20" t="s">
        <v>827</v>
      </c>
    </row>
    <row r="211" spans="1:18" x14ac:dyDescent="0.25">
      <c r="A211" s="47" t="s">
        <v>224</v>
      </c>
      <c r="B211" s="37" t="s">
        <v>238</v>
      </c>
      <c r="C211" s="19">
        <v>1</v>
      </c>
      <c r="D211" s="28">
        <v>925</v>
      </c>
      <c r="E211" s="21">
        <v>4</v>
      </c>
      <c r="F211" s="21"/>
      <c r="G211" s="22">
        <f>(E211+F211)/D211/C211</f>
        <v>4.3200000000000001E-3</v>
      </c>
      <c r="H211" s="22">
        <f>G211-J211</f>
        <v>0</v>
      </c>
      <c r="I211" s="22"/>
      <c r="J211" s="22">
        <f>E211/D211/C211</f>
        <v>4.3200000000000001E-3</v>
      </c>
      <c r="K211" s="21">
        <v>4594</v>
      </c>
      <c r="L211" s="23">
        <f>G211*K211</f>
        <v>19.850000000000001</v>
      </c>
      <c r="M211" s="23">
        <f>H211*K211</f>
        <v>0</v>
      </c>
      <c r="N211" s="23">
        <f>I211*K211</f>
        <v>0</v>
      </c>
      <c r="O211" s="23">
        <f>L211-M211</f>
        <v>19.850000000000001</v>
      </c>
      <c r="P211" s="19" t="s">
        <v>241</v>
      </c>
      <c r="Q211" s="20" t="s">
        <v>827</v>
      </c>
    </row>
    <row r="212" spans="1:18" x14ac:dyDescent="0.25">
      <c r="A212" s="47" t="s">
        <v>244</v>
      </c>
      <c r="B212" s="44" t="s">
        <v>212</v>
      </c>
      <c r="C212" s="40"/>
      <c r="D212" s="41"/>
      <c r="E212" s="41"/>
      <c r="F212" s="41"/>
      <c r="G212" s="42"/>
      <c r="H212" s="42"/>
      <c r="I212" s="42"/>
      <c r="J212" s="42"/>
      <c r="K212" s="40"/>
      <c r="L212" s="43">
        <f>L204+L205+L206+L207</f>
        <v>767.71</v>
      </c>
      <c r="M212" s="43">
        <f t="shared" ref="M212:O212" si="57">M204+M205+M206+M207</f>
        <v>0</v>
      </c>
      <c r="N212" s="43">
        <f t="shared" si="57"/>
        <v>0</v>
      </c>
      <c r="O212" s="43">
        <f t="shared" si="57"/>
        <v>767.71</v>
      </c>
      <c r="P212" s="40" t="s">
        <v>295</v>
      </c>
      <c r="Q212" s="20"/>
    </row>
    <row r="213" spans="1:18" x14ac:dyDescent="0.25">
      <c r="A213" s="47" t="s">
        <v>242</v>
      </c>
      <c r="B213" s="44" t="s">
        <v>212</v>
      </c>
      <c r="C213" s="40"/>
      <c r="D213" s="41"/>
      <c r="E213" s="41"/>
      <c r="F213" s="41"/>
      <c r="G213" s="42"/>
      <c r="H213" s="42"/>
      <c r="I213" s="42"/>
      <c r="J213" s="42"/>
      <c r="K213" s="40"/>
      <c r="L213" s="43">
        <f>L208</f>
        <v>19.46</v>
      </c>
      <c r="M213" s="43">
        <f t="shared" ref="M213:O213" si="58">M208</f>
        <v>0</v>
      </c>
      <c r="N213" s="43">
        <f t="shared" si="58"/>
        <v>0</v>
      </c>
      <c r="O213" s="43">
        <f t="shared" si="58"/>
        <v>19.46</v>
      </c>
      <c r="P213" s="40" t="s">
        <v>295</v>
      </c>
      <c r="Q213" s="20"/>
    </row>
    <row r="214" spans="1:18" x14ac:dyDescent="0.25">
      <c r="A214" s="47" t="s">
        <v>224</v>
      </c>
      <c r="B214" s="44" t="s">
        <v>212</v>
      </c>
      <c r="C214" s="40"/>
      <c r="D214" s="41"/>
      <c r="E214" s="41"/>
      <c r="F214" s="41"/>
      <c r="G214" s="42"/>
      <c r="H214" s="42"/>
      <c r="I214" s="42"/>
      <c r="J214" s="42"/>
      <c r="K214" s="40"/>
      <c r="L214" s="43">
        <f>L209+L210+L211</f>
        <v>179.42</v>
      </c>
      <c r="M214" s="43">
        <f t="shared" ref="M214:O214" si="59">M209+M210+M211</f>
        <v>0</v>
      </c>
      <c r="N214" s="43">
        <f t="shared" si="59"/>
        <v>0</v>
      </c>
      <c r="O214" s="43">
        <f t="shared" si="59"/>
        <v>179.42</v>
      </c>
      <c r="P214" s="40" t="s">
        <v>295</v>
      </c>
      <c r="Q214" s="20"/>
    </row>
    <row r="215" spans="1:18" x14ac:dyDescent="0.25">
      <c r="A215" s="52"/>
      <c r="B215" s="1561" t="s">
        <v>831</v>
      </c>
      <c r="C215" s="1561"/>
      <c r="D215" s="1561"/>
      <c r="E215" s="1561"/>
      <c r="F215" s="1561"/>
      <c r="G215" s="1561"/>
      <c r="H215" s="1561"/>
      <c r="I215" s="1561"/>
      <c r="J215" s="1561"/>
      <c r="K215" s="1561"/>
      <c r="L215" s="1561"/>
      <c r="M215" s="1561"/>
      <c r="N215" s="1561"/>
      <c r="O215" s="1561"/>
      <c r="P215" s="1562"/>
      <c r="Q215" s="53"/>
    </row>
    <row r="216" spans="1:18" ht="56.25" hidden="1" x14ac:dyDescent="0.25">
      <c r="A216" s="47"/>
      <c r="B216" s="37" t="s">
        <v>832</v>
      </c>
      <c r="C216" s="19">
        <v>1</v>
      </c>
      <c r="D216" s="217">
        <v>743</v>
      </c>
      <c r="E216" s="32">
        <v>12</v>
      </c>
      <c r="F216" s="21"/>
      <c r="G216" s="22">
        <f>(E216+F216)/D216/C216</f>
        <v>1.6150000000000001E-2</v>
      </c>
      <c r="H216" s="22">
        <f>G216-J216</f>
        <v>0</v>
      </c>
      <c r="I216" s="22"/>
      <c r="J216" s="22">
        <f>E216/D216/C216</f>
        <v>1.6150000000000001E-2</v>
      </c>
      <c r="K216" s="33"/>
      <c r="L216" s="23">
        <f>G216*K216</f>
        <v>0</v>
      </c>
      <c r="M216" s="23">
        <f>H216*K216</f>
        <v>0</v>
      </c>
      <c r="N216" s="23">
        <f>I216*K216</f>
        <v>0</v>
      </c>
      <c r="O216" s="23">
        <f>L216-M216</f>
        <v>0</v>
      </c>
      <c r="P216" s="19" t="s">
        <v>169</v>
      </c>
      <c r="Q216" s="20" t="s">
        <v>815</v>
      </c>
      <c r="R216" s="1" t="s">
        <v>833</v>
      </c>
    </row>
    <row r="217" spans="1:18" x14ac:dyDescent="0.25">
      <c r="A217" s="81" t="s">
        <v>224</v>
      </c>
      <c r="B217" s="44" t="s">
        <v>212</v>
      </c>
      <c r="C217" s="40"/>
      <c r="D217" s="41"/>
      <c r="E217" s="41"/>
      <c r="F217" s="41"/>
      <c r="G217" s="42"/>
      <c r="H217" s="42"/>
      <c r="I217" s="42"/>
      <c r="J217" s="42"/>
      <c r="K217" s="40"/>
      <c r="L217" s="43">
        <f>SUM(L216:L216)</f>
        <v>0</v>
      </c>
      <c r="M217" s="43">
        <f>SUM(M216:M216)</f>
        <v>0</v>
      </c>
      <c r="N217" s="43">
        <f>SUM(N216:N216)</f>
        <v>0</v>
      </c>
      <c r="O217" s="43">
        <f>SUM(O216:O216)</f>
        <v>0</v>
      </c>
      <c r="P217" s="40" t="s">
        <v>295</v>
      </c>
      <c r="Q217" s="20"/>
    </row>
    <row r="218" spans="1:18" x14ac:dyDescent="0.25">
      <c r="A218" s="52"/>
      <c r="B218" s="1561" t="s">
        <v>366</v>
      </c>
      <c r="C218" s="1561"/>
      <c r="D218" s="1561"/>
      <c r="E218" s="1561"/>
      <c r="F218" s="1561"/>
      <c r="G218" s="1561"/>
      <c r="H218" s="1561"/>
      <c r="I218" s="1561"/>
      <c r="J218" s="1561"/>
      <c r="K218" s="1561"/>
      <c r="L218" s="1561"/>
      <c r="M218" s="1561"/>
      <c r="N218" s="1561"/>
      <c r="O218" s="1561"/>
      <c r="P218" s="1562"/>
      <c r="Q218" s="53"/>
    </row>
    <row r="219" spans="1:18" ht="22.5" x14ac:dyDescent="0.25">
      <c r="A219" s="47"/>
      <c r="B219" s="37" t="s">
        <v>367</v>
      </c>
      <c r="C219" s="19">
        <v>5</v>
      </c>
      <c r="D219" s="21">
        <v>718</v>
      </c>
      <c r="E219" s="21">
        <f>3*10</f>
        <v>30</v>
      </c>
      <c r="F219" s="21">
        <f>(50)*10</f>
        <v>500</v>
      </c>
      <c r="G219" s="22">
        <f t="shared" ref="G219:G221" si="60">(E219+F219)/D219/C219</f>
        <v>0.14763000000000001</v>
      </c>
      <c r="H219" s="22">
        <f t="shared" ref="H219:H221" si="61">G219-J219</f>
        <v>0.14763000000000001</v>
      </c>
      <c r="I219" s="22"/>
      <c r="J219" s="22"/>
      <c r="K219" s="21">
        <v>700</v>
      </c>
      <c r="L219" s="23">
        <f t="shared" ref="L219:L221" si="62">G219*K219</f>
        <v>103.34</v>
      </c>
      <c r="M219" s="23">
        <f>H219*K219</f>
        <v>103.34</v>
      </c>
      <c r="N219" s="23">
        <f>I219*K219</f>
        <v>0</v>
      </c>
      <c r="O219" s="23">
        <f>L219-M219</f>
        <v>0</v>
      </c>
      <c r="P219" s="20" t="s">
        <v>834</v>
      </c>
      <c r="Q219" s="20"/>
    </row>
    <row r="220" spans="1:18" ht="33.75" x14ac:dyDescent="0.25">
      <c r="A220" s="47"/>
      <c r="B220" s="37" t="s">
        <v>368</v>
      </c>
      <c r="C220" s="19">
        <v>5</v>
      </c>
      <c r="D220" s="21">
        <v>718</v>
      </c>
      <c r="E220" s="21">
        <f>3*2</f>
        <v>6</v>
      </c>
      <c r="F220" s="21">
        <f>(50)*2</f>
        <v>100</v>
      </c>
      <c r="G220" s="22">
        <f t="shared" si="60"/>
        <v>2.9530000000000001E-2</v>
      </c>
      <c r="H220" s="22">
        <f t="shared" si="61"/>
        <v>2.9530000000000001E-2</v>
      </c>
      <c r="I220" s="22"/>
      <c r="J220" s="22"/>
      <c r="K220" s="21">
        <v>120</v>
      </c>
      <c r="L220" s="23">
        <f t="shared" si="62"/>
        <v>3.54</v>
      </c>
      <c r="M220" s="23">
        <f>H220*K220</f>
        <v>3.54</v>
      </c>
      <c r="N220" s="23">
        <f>I220*K220</f>
        <v>0</v>
      </c>
      <c r="O220" s="23">
        <f>L220-M220</f>
        <v>0</v>
      </c>
      <c r="P220" s="20" t="s">
        <v>835</v>
      </c>
      <c r="Q220" s="20"/>
    </row>
    <row r="221" spans="1:18" ht="22.5" x14ac:dyDescent="0.25">
      <c r="A221" s="47"/>
      <c r="B221" s="45" t="s">
        <v>369</v>
      </c>
      <c r="C221" s="19">
        <v>5</v>
      </c>
      <c r="D221" s="21">
        <v>718</v>
      </c>
      <c r="E221" s="21">
        <f>3*10</f>
        <v>30</v>
      </c>
      <c r="F221" s="21">
        <f>(50)*10</f>
        <v>500</v>
      </c>
      <c r="G221" s="22">
        <f t="shared" si="60"/>
        <v>0.14763000000000001</v>
      </c>
      <c r="H221" s="22">
        <f t="shared" si="61"/>
        <v>0.14763000000000001</v>
      </c>
      <c r="I221" s="22"/>
      <c r="J221" s="22"/>
      <c r="K221" s="21">
        <v>550</v>
      </c>
      <c r="L221" s="23">
        <f t="shared" si="62"/>
        <v>81.2</v>
      </c>
      <c r="M221" s="23">
        <f t="shared" ref="M221" si="63">H221*K221</f>
        <v>81.2</v>
      </c>
      <c r="N221" s="23">
        <f t="shared" ref="N221" si="64">I221*K221</f>
        <v>0</v>
      </c>
      <c r="O221" s="23">
        <f t="shared" ref="O221" si="65">L221-M221</f>
        <v>0</v>
      </c>
      <c r="P221" s="20" t="s">
        <v>834</v>
      </c>
      <c r="Q221" s="20"/>
    </row>
    <row r="222" spans="1:18" x14ac:dyDescent="0.25">
      <c r="A222" s="47"/>
      <c r="B222" s="44" t="s">
        <v>212</v>
      </c>
      <c r="C222" s="40"/>
      <c r="D222" s="41"/>
      <c r="E222" s="41"/>
      <c r="F222" s="41"/>
      <c r="G222" s="42"/>
      <c r="H222" s="42"/>
      <c r="I222" s="42"/>
      <c r="J222" s="42"/>
      <c r="K222" s="40"/>
      <c r="L222" s="43">
        <f>SUM(L219:L221)</f>
        <v>188.08</v>
      </c>
      <c r="M222" s="43">
        <f>SUM(M219:M221)</f>
        <v>188.08</v>
      </c>
      <c r="N222" s="43">
        <f>SUM(N219:N221)</f>
        <v>0</v>
      </c>
      <c r="O222" s="43">
        <f>SUM(O219:O221)</f>
        <v>0</v>
      </c>
      <c r="P222" s="40"/>
      <c r="Q222" s="20"/>
    </row>
    <row r="223" spans="1:18" x14ac:dyDescent="0.25">
      <c r="A223" s="47" t="s">
        <v>222</v>
      </c>
      <c r="B223" s="44"/>
      <c r="C223" s="40"/>
      <c r="D223" s="41"/>
      <c r="E223" s="41"/>
      <c r="F223" s="41"/>
      <c r="G223" s="42"/>
      <c r="H223" s="42"/>
      <c r="I223" s="42"/>
      <c r="J223" s="42"/>
      <c r="K223" s="40"/>
      <c r="L223" s="43">
        <f t="shared" ref="L223:L224" si="66">SUM(M223:O223)</f>
        <v>184.54</v>
      </c>
      <c r="M223" s="43">
        <f>M219+M221</f>
        <v>184.54</v>
      </c>
      <c r="N223" s="43">
        <f>N222</f>
        <v>0</v>
      </c>
      <c r="O223" s="43"/>
      <c r="P223" s="40" t="s">
        <v>294</v>
      </c>
      <c r="Q223" s="20"/>
    </row>
    <row r="224" spans="1:18" x14ac:dyDescent="0.25">
      <c r="A224" s="47" t="s">
        <v>247</v>
      </c>
      <c r="B224" s="44"/>
      <c r="C224" s="40"/>
      <c r="D224" s="41"/>
      <c r="E224" s="41"/>
      <c r="F224" s="41"/>
      <c r="G224" s="42"/>
      <c r="H224" s="42"/>
      <c r="I224" s="42"/>
      <c r="J224" s="42"/>
      <c r="K224" s="40"/>
      <c r="L224" s="43">
        <f t="shared" si="66"/>
        <v>0</v>
      </c>
      <c r="M224" s="43"/>
      <c r="N224" s="43"/>
      <c r="O224" s="43">
        <f>O222</f>
        <v>0</v>
      </c>
      <c r="P224" s="40" t="s">
        <v>295</v>
      </c>
      <c r="Q224" s="20"/>
    </row>
    <row r="225" spans="1:19" x14ac:dyDescent="0.25">
      <c r="A225" s="52"/>
      <c r="B225" s="1561" t="s">
        <v>370</v>
      </c>
      <c r="C225" s="1561"/>
      <c r="D225" s="1561"/>
      <c r="E225" s="1561"/>
      <c r="F225" s="1561"/>
      <c r="G225" s="1561"/>
      <c r="H225" s="1561"/>
      <c r="I225" s="1561"/>
      <c r="J225" s="1561"/>
      <c r="K225" s="1561"/>
      <c r="L225" s="1561"/>
      <c r="M225" s="1561"/>
      <c r="N225" s="1561"/>
      <c r="O225" s="1561"/>
      <c r="P225" s="1562"/>
      <c r="Q225" s="53"/>
    </row>
    <row r="226" spans="1:19" ht="33.75" x14ac:dyDescent="0.25">
      <c r="A226" s="47"/>
      <c r="B226" s="37" t="s">
        <v>371</v>
      </c>
      <c r="C226" s="19">
        <v>5</v>
      </c>
      <c r="D226" s="21">
        <v>718</v>
      </c>
      <c r="E226" s="21">
        <f>1+2</f>
        <v>3</v>
      </c>
      <c r="F226" s="21">
        <f>(50)</f>
        <v>50</v>
      </c>
      <c r="G226" s="22">
        <f t="shared" ref="G226" si="67">(E226+F226)/D226/C226</f>
        <v>1.4760000000000001E-2</v>
      </c>
      <c r="H226" s="22">
        <f t="shared" ref="H226" si="68">G226-J226</f>
        <v>1.4760000000000001E-2</v>
      </c>
      <c r="I226" s="22"/>
      <c r="J226" s="22"/>
      <c r="K226" s="21">
        <v>5300</v>
      </c>
      <c r="L226" s="23">
        <f t="shared" ref="L226" si="69">G226*K226</f>
        <v>78.23</v>
      </c>
      <c r="M226" s="23">
        <f>H226*K226</f>
        <v>78.23</v>
      </c>
      <c r="N226" s="23">
        <f>I226*K226</f>
        <v>0</v>
      </c>
      <c r="O226" s="23">
        <f>L226-M226</f>
        <v>0</v>
      </c>
      <c r="P226" s="20" t="s">
        <v>836</v>
      </c>
      <c r="Q226" s="20"/>
    </row>
    <row r="227" spans="1:19" x14ac:dyDescent="0.25">
      <c r="A227" s="47" t="s">
        <v>222</v>
      </c>
      <c r="B227" s="44" t="s">
        <v>212</v>
      </c>
      <c r="C227" s="40"/>
      <c r="D227" s="41"/>
      <c r="E227" s="41"/>
      <c r="F227" s="41"/>
      <c r="G227" s="42"/>
      <c r="H227" s="42"/>
      <c r="I227" s="42"/>
      <c r="J227" s="42"/>
      <c r="K227" s="40"/>
      <c r="L227" s="43">
        <f>SUM(L226:L226)</f>
        <v>78.23</v>
      </c>
      <c r="M227" s="43">
        <f>SUM(M226:M226)</f>
        <v>78.23</v>
      </c>
      <c r="N227" s="43">
        <f>SUM(N226:N226)</f>
        <v>0</v>
      </c>
      <c r="O227" s="43">
        <f>SUM(O226:O226)</f>
        <v>0</v>
      </c>
      <c r="P227" s="40" t="s">
        <v>294</v>
      </c>
      <c r="Q227" s="20"/>
    </row>
    <row r="228" spans="1:19" x14ac:dyDescent="0.25">
      <c r="A228" s="52"/>
      <c r="B228" s="1561" t="s">
        <v>372</v>
      </c>
      <c r="C228" s="1561"/>
      <c r="D228" s="1561"/>
      <c r="E228" s="1561"/>
      <c r="F228" s="1561"/>
      <c r="G228" s="1561"/>
      <c r="H228" s="1561"/>
      <c r="I228" s="1561"/>
      <c r="J228" s="1561"/>
      <c r="K228" s="1561"/>
      <c r="L228" s="1561"/>
      <c r="M228" s="1561"/>
      <c r="N228" s="1561"/>
      <c r="O228" s="1561"/>
      <c r="P228" s="1562"/>
      <c r="Q228" s="53"/>
    </row>
    <row r="229" spans="1:19" x14ac:dyDescent="0.25">
      <c r="A229" s="47"/>
      <c r="B229" s="37" t="s">
        <v>373</v>
      </c>
      <c r="C229" s="19">
        <v>1</v>
      </c>
      <c r="D229" s="21">
        <v>718</v>
      </c>
      <c r="E229" s="21">
        <v>12</v>
      </c>
      <c r="F229" s="21"/>
      <c r="G229" s="22">
        <f t="shared" ref="G229:G235" si="70">(E229+F229)/D229/C229</f>
        <v>1.6709999999999999E-2</v>
      </c>
      <c r="H229" s="22">
        <f t="shared" ref="H229:H235" si="71">G229-J229</f>
        <v>1.6709999999999999E-2</v>
      </c>
      <c r="I229" s="22"/>
      <c r="J229" s="22"/>
      <c r="K229" s="21">
        <v>400</v>
      </c>
      <c r="L229" s="23">
        <f t="shared" ref="L229:L235" si="72">G229*K229</f>
        <v>6.68</v>
      </c>
      <c r="M229" s="23">
        <f>H229*K229</f>
        <v>6.68</v>
      </c>
      <c r="N229" s="23">
        <f>I229*K229</f>
        <v>0</v>
      </c>
      <c r="O229" s="23">
        <f>L229-M229</f>
        <v>0</v>
      </c>
      <c r="P229" s="20" t="s">
        <v>374</v>
      </c>
      <c r="Q229" s="20"/>
    </row>
    <row r="230" spans="1:19" x14ac:dyDescent="0.25">
      <c r="A230" s="47"/>
      <c r="B230" s="37" t="s">
        <v>314</v>
      </c>
      <c r="C230" s="19">
        <v>1</v>
      </c>
      <c r="D230" s="21">
        <v>718</v>
      </c>
      <c r="E230" s="21">
        <v>12</v>
      </c>
      <c r="F230" s="21"/>
      <c r="G230" s="22">
        <f t="shared" si="70"/>
        <v>1.6709999999999999E-2</v>
      </c>
      <c r="H230" s="22">
        <f t="shared" si="71"/>
        <v>1.6709999999999999E-2</v>
      </c>
      <c r="I230" s="22"/>
      <c r="J230" s="22"/>
      <c r="K230" s="21">
        <v>1400</v>
      </c>
      <c r="L230" s="23">
        <f t="shared" si="72"/>
        <v>23.39</v>
      </c>
      <c r="M230" s="23">
        <f>H230*K230</f>
        <v>23.39</v>
      </c>
      <c r="N230" s="23">
        <f>I230*K230</f>
        <v>0</v>
      </c>
      <c r="O230" s="23">
        <f>L230-M230</f>
        <v>0</v>
      </c>
      <c r="P230" s="20" t="s">
        <v>374</v>
      </c>
      <c r="Q230" s="20"/>
    </row>
    <row r="231" spans="1:19" x14ac:dyDescent="0.25">
      <c r="A231" s="47"/>
      <c r="B231" s="45" t="s">
        <v>837</v>
      </c>
      <c r="C231" s="19">
        <v>1</v>
      </c>
      <c r="D231" s="21">
        <v>718</v>
      </c>
      <c r="E231" s="21"/>
      <c r="F231" s="21">
        <v>12</v>
      </c>
      <c r="G231" s="22">
        <f t="shared" si="70"/>
        <v>1.6709999999999999E-2</v>
      </c>
      <c r="H231" s="22">
        <f t="shared" si="71"/>
        <v>1.6709999999999999E-2</v>
      </c>
      <c r="I231" s="22"/>
      <c r="J231" s="22"/>
      <c r="K231" s="28">
        <v>370</v>
      </c>
      <c r="L231" s="23">
        <f t="shared" si="72"/>
        <v>6.18</v>
      </c>
      <c r="M231" s="23">
        <f t="shared" ref="M231:M235" si="73">H231*K231</f>
        <v>6.18</v>
      </c>
      <c r="N231" s="23">
        <f t="shared" ref="N231:N235" si="74">I231*K231</f>
        <v>0</v>
      </c>
      <c r="O231" s="23">
        <f t="shared" ref="O231:O235" si="75">L231-M231</f>
        <v>0</v>
      </c>
      <c r="P231" s="20" t="s">
        <v>374</v>
      </c>
      <c r="Q231" s="20"/>
    </row>
    <row r="232" spans="1:19" x14ac:dyDescent="0.25">
      <c r="A232" s="47"/>
      <c r="B232" s="45" t="s">
        <v>838</v>
      </c>
      <c r="C232" s="19">
        <v>1</v>
      </c>
      <c r="D232" s="21">
        <v>718</v>
      </c>
      <c r="E232" s="21"/>
      <c r="F232" s="21">
        <v>12</v>
      </c>
      <c r="G232" s="22">
        <f t="shared" si="70"/>
        <v>1.6709999999999999E-2</v>
      </c>
      <c r="H232" s="22">
        <f t="shared" si="71"/>
        <v>1.6709999999999999E-2</v>
      </c>
      <c r="I232" s="22"/>
      <c r="J232" s="22"/>
      <c r="K232" s="28">
        <v>170</v>
      </c>
      <c r="L232" s="23">
        <f t="shared" si="72"/>
        <v>2.84</v>
      </c>
      <c r="M232" s="23">
        <f t="shared" si="73"/>
        <v>2.84</v>
      </c>
      <c r="N232" s="23">
        <f t="shared" si="74"/>
        <v>0</v>
      </c>
      <c r="O232" s="23">
        <f t="shared" si="75"/>
        <v>0</v>
      </c>
      <c r="P232" s="20" t="s">
        <v>374</v>
      </c>
      <c r="Q232" s="20"/>
    </row>
    <row r="233" spans="1:19" x14ac:dyDescent="0.25">
      <c r="A233" s="47"/>
      <c r="B233" s="45" t="s">
        <v>839</v>
      </c>
      <c r="C233" s="19">
        <v>1</v>
      </c>
      <c r="D233" s="21">
        <v>718</v>
      </c>
      <c r="E233" s="21"/>
      <c r="F233" s="21">
        <v>12</v>
      </c>
      <c r="G233" s="22">
        <f t="shared" si="70"/>
        <v>1.6709999999999999E-2</v>
      </c>
      <c r="H233" s="22">
        <f t="shared" si="71"/>
        <v>1.6709999999999999E-2</v>
      </c>
      <c r="I233" s="22"/>
      <c r="J233" s="22"/>
      <c r="K233" s="28">
        <v>125</v>
      </c>
      <c r="L233" s="23">
        <f t="shared" si="72"/>
        <v>2.09</v>
      </c>
      <c r="M233" s="23">
        <f t="shared" si="73"/>
        <v>2.09</v>
      </c>
      <c r="N233" s="23">
        <f t="shared" si="74"/>
        <v>0</v>
      </c>
      <c r="O233" s="23">
        <f t="shared" si="75"/>
        <v>0</v>
      </c>
      <c r="P233" s="20" t="s">
        <v>374</v>
      </c>
      <c r="Q233" s="20"/>
    </row>
    <row r="234" spans="1:19" x14ac:dyDescent="0.25">
      <c r="A234" s="47"/>
      <c r="B234" s="45" t="s">
        <v>840</v>
      </c>
      <c r="C234" s="19">
        <v>1</v>
      </c>
      <c r="D234" s="21">
        <v>718</v>
      </c>
      <c r="E234" s="21"/>
      <c r="F234" s="21">
        <v>12</v>
      </c>
      <c r="G234" s="22">
        <f t="shared" si="70"/>
        <v>1.6709999999999999E-2</v>
      </c>
      <c r="H234" s="22">
        <f t="shared" si="71"/>
        <v>1.6709999999999999E-2</v>
      </c>
      <c r="I234" s="22"/>
      <c r="J234" s="22"/>
      <c r="K234" s="28">
        <v>315</v>
      </c>
      <c r="L234" s="23">
        <f t="shared" si="72"/>
        <v>5.26</v>
      </c>
      <c r="M234" s="23">
        <f t="shared" si="73"/>
        <v>5.26</v>
      </c>
      <c r="N234" s="23">
        <f t="shared" si="74"/>
        <v>0</v>
      </c>
      <c r="O234" s="23">
        <f t="shared" si="75"/>
        <v>0</v>
      </c>
      <c r="P234" s="20" t="s">
        <v>374</v>
      </c>
      <c r="Q234" s="20"/>
    </row>
    <row r="235" spans="1:19" x14ac:dyDescent="0.25">
      <c r="A235" s="47"/>
      <c r="B235" s="45" t="s">
        <v>375</v>
      </c>
      <c r="C235" s="19">
        <v>1</v>
      </c>
      <c r="D235" s="21">
        <v>718</v>
      </c>
      <c r="E235" s="21"/>
      <c r="F235" s="21">
        <v>12</v>
      </c>
      <c r="G235" s="22">
        <f t="shared" si="70"/>
        <v>1.6709999999999999E-2</v>
      </c>
      <c r="H235" s="22">
        <f t="shared" si="71"/>
        <v>1.6709999999999999E-2</v>
      </c>
      <c r="I235" s="22"/>
      <c r="J235" s="22"/>
      <c r="K235" s="21">
        <v>250</v>
      </c>
      <c r="L235" s="23">
        <f t="shared" si="72"/>
        <v>4.18</v>
      </c>
      <c r="M235" s="23">
        <f t="shared" si="73"/>
        <v>4.18</v>
      </c>
      <c r="N235" s="23">
        <f t="shared" si="74"/>
        <v>0</v>
      </c>
      <c r="O235" s="23">
        <f t="shared" si="75"/>
        <v>0</v>
      </c>
      <c r="P235" s="20" t="s">
        <v>374</v>
      </c>
      <c r="Q235" s="20"/>
    </row>
    <row r="236" spans="1:19" x14ac:dyDescent="0.25">
      <c r="A236" s="47" t="s">
        <v>222</v>
      </c>
      <c r="B236" s="44" t="s">
        <v>212</v>
      </c>
      <c r="C236" s="40"/>
      <c r="D236" s="41"/>
      <c r="E236" s="41"/>
      <c r="F236" s="41"/>
      <c r="G236" s="42"/>
      <c r="H236" s="42"/>
      <c r="I236" s="42"/>
      <c r="J236" s="42"/>
      <c r="K236" s="40"/>
      <c r="L236" s="43">
        <f>SUM(L229:L235)</f>
        <v>50.62</v>
      </c>
      <c r="M236" s="43">
        <f>SUM(M229:M235)</f>
        <v>50.62</v>
      </c>
      <c r="N236" s="43">
        <f>SUM(N229:N235)</f>
        <v>0</v>
      </c>
      <c r="O236" s="43">
        <f>SUM(O229:O235)</f>
        <v>0</v>
      </c>
      <c r="P236" s="40" t="s">
        <v>294</v>
      </c>
      <c r="Q236" s="20"/>
    </row>
    <row r="237" spans="1:19" x14ac:dyDescent="0.25">
      <c r="A237" s="52"/>
      <c r="B237" s="1561" t="s">
        <v>376</v>
      </c>
      <c r="C237" s="1561"/>
      <c r="D237" s="1561"/>
      <c r="E237" s="1561"/>
      <c r="F237" s="1561"/>
      <c r="G237" s="1561"/>
      <c r="H237" s="1561"/>
      <c r="I237" s="1561"/>
      <c r="J237" s="1561"/>
      <c r="K237" s="1561"/>
      <c r="L237" s="1561"/>
      <c r="M237" s="1561"/>
      <c r="N237" s="1561"/>
      <c r="O237" s="1561"/>
      <c r="P237" s="1562"/>
      <c r="Q237" s="53"/>
    </row>
    <row r="238" spans="1:19" x14ac:dyDescent="0.25">
      <c r="A238" s="47"/>
      <c r="B238" s="45" t="s">
        <v>841</v>
      </c>
      <c r="C238" s="19">
        <v>5</v>
      </c>
      <c r="D238" s="28">
        <v>293</v>
      </c>
      <c r="E238" s="21"/>
      <c r="F238" s="21">
        <f>D238*9</f>
        <v>2637</v>
      </c>
      <c r="G238" s="22">
        <f t="shared" ref="G238:G242" si="76">(E238+F238)/D238/C238</f>
        <v>1.8</v>
      </c>
      <c r="H238" s="22">
        <f t="shared" ref="H238:H242" si="77">G238-J238</f>
        <v>1.8</v>
      </c>
      <c r="I238" s="22"/>
      <c r="J238" s="22"/>
      <c r="K238" s="21">
        <v>1192</v>
      </c>
      <c r="L238" s="23">
        <f t="shared" ref="L238:L242" si="78">G238*K238</f>
        <v>2145.6</v>
      </c>
      <c r="M238" s="23">
        <f>H238*K238</f>
        <v>2145.6</v>
      </c>
      <c r="N238" s="23">
        <f>I238*K238</f>
        <v>0</v>
      </c>
      <c r="O238" s="23">
        <f>L238-M238</f>
        <v>0</v>
      </c>
      <c r="P238" s="20" t="s">
        <v>842</v>
      </c>
      <c r="Q238" s="20"/>
      <c r="S238" s="1">
        <f>D238*L238</f>
        <v>628660.80000000005</v>
      </c>
    </row>
    <row r="239" spans="1:19" x14ac:dyDescent="0.25">
      <c r="A239" s="47"/>
      <c r="B239" s="45" t="s">
        <v>843</v>
      </c>
      <c r="C239" s="19">
        <v>5</v>
      </c>
      <c r="D239" s="28">
        <v>342</v>
      </c>
      <c r="E239" s="21"/>
      <c r="F239" s="21">
        <f>D239*16</f>
        <v>5472</v>
      </c>
      <c r="G239" s="22">
        <f t="shared" si="76"/>
        <v>3.2</v>
      </c>
      <c r="H239" s="22">
        <f t="shared" si="77"/>
        <v>3.2</v>
      </c>
      <c r="I239" s="22"/>
      <c r="J239" s="22"/>
      <c r="K239" s="21">
        <v>1045</v>
      </c>
      <c r="L239" s="23">
        <f t="shared" si="78"/>
        <v>3344</v>
      </c>
      <c r="M239" s="23">
        <f>H239*K239</f>
        <v>3344</v>
      </c>
      <c r="N239" s="23">
        <f>I239*K239</f>
        <v>0</v>
      </c>
      <c r="O239" s="23">
        <f>L239-M239</f>
        <v>0</v>
      </c>
      <c r="P239" s="20" t="s">
        <v>844</v>
      </c>
      <c r="Q239" s="20"/>
    </row>
    <row r="240" spans="1:19" x14ac:dyDescent="0.25">
      <c r="A240" s="47"/>
      <c r="B240" s="45" t="s">
        <v>845</v>
      </c>
      <c r="C240" s="19">
        <v>5</v>
      </c>
      <c r="D240" s="28">
        <v>83</v>
      </c>
      <c r="E240" s="21"/>
      <c r="F240" s="21">
        <f>D240*20</f>
        <v>1660</v>
      </c>
      <c r="G240" s="22">
        <f t="shared" si="76"/>
        <v>4</v>
      </c>
      <c r="H240" s="22">
        <f t="shared" si="77"/>
        <v>4</v>
      </c>
      <c r="I240" s="22"/>
      <c r="J240" s="22"/>
      <c r="K240" s="21">
        <v>850</v>
      </c>
      <c r="L240" s="23">
        <f t="shared" si="78"/>
        <v>3400</v>
      </c>
      <c r="M240" s="23">
        <f>H240*K240</f>
        <v>3400</v>
      </c>
      <c r="N240" s="23">
        <f>I240*K240</f>
        <v>0</v>
      </c>
      <c r="O240" s="23">
        <f>L240-M240</f>
        <v>0</v>
      </c>
      <c r="P240" s="20" t="s">
        <v>846</v>
      </c>
      <c r="Q240" s="20"/>
    </row>
    <row r="241" spans="1:17" ht="22.5" x14ac:dyDescent="0.25">
      <c r="A241" s="47"/>
      <c r="B241" s="45" t="s">
        <v>847</v>
      </c>
      <c r="C241" s="19">
        <v>15</v>
      </c>
      <c r="D241" s="21">
        <v>718</v>
      </c>
      <c r="E241" s="21"/>
      <c r="F241" s="21">
        <f>1*28</f>
        <v>28</v>
      </c>
      <c r="G241" s="22">
        <f t="shared" si="76"/>
        <v>2.5999999999999999E-3</v>
      </c>
      <c r="H241" s="22">
        <f t="shared" si="77"/>
        <v>2.5999999999999999E-3</v>
      </c>
      <c r="I241" s="22"/>
      <c r="J241" s="22"/>
      <c r="K241" s="21">
        <v>10000</v>
      </c>
      <c r="L241" s="23">
        <f t="shared" si="78"/>
        <v>26</v>
      </c>
      <c r="M241" s="23">
        <f>H241*K241</f>
        <v>26</v>
      </c>
      <c r="N241" s="23">
        <f>I241*K241</f>
        <v>0</v>
      </c>
      <c r="O241" s="23">
        <f>L241-M241</f>
        <v>0</v>
      </c>
      <c r="P241" s="20" t="s">
        <v>848</v>
      </c>
      <c r="Q241" s="20"/>
    </row>
    <row r="242" spans="1:17" x14ac:dyDescent="0.25">
      <c r="A242" s="47"/>
      <c r="B242" s="45" t="s">
        <v>849</v>
      </c>
      <c r="C242" s="19">
        <v>5</v>
      </c>
      <c r="D242" s="21">
        <v>718</v>
      </c>
      <c r="E242" s="21"/>
      <c r="F242" s="21">
        <v>1</v>
      </c>
      <c r="G242" s="22">
        <f t="shared" si="76"/>
        <v>2.7999999999999998E-4</v>
      </c>
      <c r="H242" s="22">
        <f t="shared" si="77"/>
        <v>2.7999999999999998E-4</v>
      </c>
      <c r="I242" s="22"/>
      <c r="J242" s="22"/>
      <c r="K242" s="21">
        <v>30000</v>
      </c>
      <c r="L242" s="23">
        <f t="shared" si="78"/>
        <v>8.4</v>
      </c>
      <c r="M242" s="23">
        <f t="shared" ref="M242" si="79">H242*K242</f>
        <v>8.4</v>
      </c>
      <c r="N242" s="23">
        <f t="shared" ref="N242" si="80">I242*K242</f>
        <v>0</v>
      </c>
      <c r="O242" s="23">
        <f t="shared" ref="O242" si="81">L242-M242</f>
        <v>0</v>
      </c>
      <c r="P242" s="20" t="s">
        <v>389</v>
      </c>
      <c r="Q242" s="20"/>
    </row>
    <row r="243" spans="1:17" x14ac:dyDescent="0.25">
      <c r="A243" s="47" t="s">
        <v>221</v>
      </c>
      <c r="B243" s="44" t="s">
        <v>212</v>
      </c>
      <c r="C243" s="40"/>
      <c r="D243" s="41"/>
      <c r="E243" s="41"/>
      <c r="F243" s="41"/>
      <c r="G243" s="42"/>
      <c r="H243" s="42"/>
      <c r="I243" s="42"/>
      <c r="J243" s="42"/>
      <c r="K243" s="40"/>
      <c r="L243" s="43">
        <f>SUM(L238:L242)</f>
        <v>8924</v>
      </c>
      <c r="M243" s="43">
        <f>SUM(M238:M242)</f>
        <v>8924</v>
      </c>
      <c r="N243" s="43">
        <f>SUM(N238:N242)</f>
        <v>0</v>
      </c>
      <c r="O243" s="43">
        <f>SUM(O238:O242)</f>
        <v>0</v>
      </c>
      <c r="P243" s="40" t="s">
        <v>294</v>
      </c>
      <c r="Q243" s="20"/>
    </row>
    <row r="244" spans="1:17" x14ac:dyDescent="0.25">
      <c r="A244" s="162"/>
      <c r="B244" s="82"/>
      <c r="C244" s="83"/>
      <c r="D244" s="84"/>
      <c r="E244" s="84"/>
      <c r="F244" s="84"/>
      <c r="G244" s="85"/>
      <c r="H244" s="85"/>
      <c r="I244" s="85"/>
      <c r="J244" s="85"/>
      <c r="K244" s="83"/>
      <c r="L244" s="86"/>
      <c r="M244" s="86"/>
      <c r="N244" s="86"/>
      <c r="O244" s="86"/>
      <c r="P244" s="83"/>
      <c r="Q244" s="87"/>
    </row>
    <row r="245" spans="1:17" x14ac:dyDescent="0.25">
      <c r="A245" s="52"/>
      <c r="B245" s="54" t="s">
        <v>211</v>
      </c>
      <c r="C245" s="55"/>
      <c r="D245" s="56"/>
      <c r="E245" s="56"/>
      <c r="F245" s="56"/>
      <c r="G245" s="57"/>
      <c r="H245" s="57"/>
      <c r="I245" s="57"/>
      <c r="J245" s="57"/>
      <c r="K245" s="56"/>
      <c r="L245" s="58">
        <f>L43+L88+L109+L115+L123+L133+L142+L149+L165+L171+L182+L185+L188+L192+L199+L202+L222+L227+L236+L243</f>
        <v>11076.91</v>
      </c>
      <c r="M245" s="58">
        <f t="shared" ref="M245:O245" si="82">M43+M88+M109+M115+M123+M133+M142+M149+M165+M171+M182+M185+M188+M192+M199+M202+M222+M227+M236+M243</f>
        <v>10608.31</v>
      </c>
      <c r="N245" s="58">
        <f t="shared" si="82"/>
        <v>622.88</v>
      </c>
      <c r="O245" s="58">
        <f t="shared" si="82"/>
        <v>468.6</v>
      </c>
      <c r="P245" s="55"/>
      <c r="Q245" s="53"/>
    </row>
    <row r="246" spans="1:17" ht="22.5" x14ac:dyDescent="0.25">
      <c r="A246" s="52"/>
      <c r="B246" s="54" t="s">
        <v>312</v>
      </c>
      <c r="C246" s="55"/>
      <c r="D246" s="56"/>
      <c r="E246" s="56"/>
      <c r="F246" s="56"/>
      <c r="G246" s="57"/>
      <c r="H246" s="57"/>
      <c r="I246" s="57"/>
      <c r="J246" s="57"/>
      <c r="K246" s="56"/>
      <c r="L246" s="58">
        <f>L115+L123+L135+L144+L149+L167+L171+L185+L188+L192+L199+L202+L224</f>
        <v>468.61</v>
      </c>
      <c r="M246" s="58">
        <f t="shared" ref="M246:O246" si="83">M115+M123+M135+M144+M149+M167+M171+M185+M188+M192+M199+M202+M224</f>
        <v>0.01</v>
      </c>
      <c r="N246" s="58">
        <f t="shared" si="83"/>
        <v>0</v>
      </c>
      <c r="O246" s="58">
        <f t="shared" si="83"/>
        <v>468.6</v>
      </c>
      <c r="P246" s="55"/>
      <c r="Q246" s="53"/>
    </row>
    <row r="248" spans="1:17" x14ac:dyDescent="0.25">
      <c r="A248" s="1213" t="s">
        <v>2218</v>
      </c>
    </row>
    <row r="249" spans="1:17" x14ac:dyDescent="0.25">
      <c r="A249" s="47" t="s">
        <v>246</v>
      </c>
      <c r="B249" s="44" t="s">
        <v>212</v>
      </c>
      <c r="C249" s="40"/>
      <c r="D249" s="41"/>
      <c r="E249" s="41"/>
      <c r="F249" s="41"/>
      <c r="G249" s="42"/>
      <c r="H249" s="42"/>
      <c r="I249" s="42"/>
      <c r="J249" s="42"/>
      <c r="K249" s="40"/>
      <c r="L249" s="65">
        <v>0</v>
      </c>
      <c r="M249" s="65">
        <v>0</v>
      </c>
      <c r="N249" s="65">
        <v>0</v>
      </c>
      <c r="O249" s="65">
        <v>0</v>
      </c>
      <c r="P249" s="40" t="s">
        <v>313</v>
      </c>
      <c r="Q249" s="20"/>
    </row>
    <row r="250" spans="1:17" x14ac:dyDescent="0.25">
      <c r="A250" s="47" t="s">
        <v>221</v>
      </c>
      <c r="B250" s="44" t="s">
        <v>212</v>
      </c>
      <c r="C250" s="40"/>
      <c r="D250" s="41"/>
      <c r="E250" s="41"/>
      <c r="F250" s="41"/>
      <c r="G250" s="42"/>
      <c r="H250" s="42"/>
      <c r="I250" s="42"/>
      <c r="J250" s="42"/>
      <c r="K250" s="40"/>
      <c r="L250" s="243">
        <f>L44+L89+L243</f>
        <v>9428</v>
      </c>
      <c r="M250" s="65">
        <f t="shared" ref="M250:O250" si="84">M44+M89+M243</f>
        <v>8924</v>
      </c>
      <c r="N250" s="65">
        <f t="shared" si="84"/>
        <v>504</v>
      </c>
      <c r="O250" s="65">
        <f t="shared" si="84"/>
        <v>0</v>
      </c>
      <c r="P250" s="40" t="s">
        <v>313</v>
      </c>
      <c r="Q250" s="20"/>
    </row>
    <row r="251" spans="1:17" x14ac:dyDescent="0.25">
      <c r="A251" s="47" t="s">
        <v>222</v>
      </c>
      <c r="B251" s="44" t="s">
        <v>212</v>
      </c>
      <c r="C251" s="40"/>
      <c r="D251" s="41"/>
      <c r="E251" s="41"/>
      <c r="F251" s="41"/>
      <c r="G251" s="42"/>
      <c r="H251" s="42"/>
      <c r="I251" s="42"/>
      <c r="J251" s="42"/>
      <c r="K251" s="40"/>
      <c r="L251" s="243">
        <f>L45+L90+L109+L134+L143+L166+L182+L223+L227+L236</f>
        <v>1176</v>
      </c>
      <c r="M251" s="65">
        <f t="shared" ref="M251:O251" si="85">M45+M90+M109+M134+M143+M166+M182+M223+M227+M236</f>
        <v>1058</v>
      </c>
      <c r="N251" s="65">
        <f t="shared" si="85"/>
        <v>119</v>
      </c>
      <c r="O251" s="65">
        <f t="shared" si="85"/>
        <v>0</v>
      </c>
      <c r="P251" s="40" t="s">
        <v>313</v>
      </c>
      <c r="Q251" s="20"/>
    </row>
    <row r="252" spans="1:17" x14ac:dyDescent="0.25">
      <c r="A252" s="47" t="s">
        <v>248</v>
      </c>
      <c r="B252" s="44" t="s">
        <v>212</v>
      </c>
      <c r="C252" s="40"/>
      <c r="D252" s="41"/>
      <c r="E252" s="41"/>
      <c r="F252" s="41"/>
      <c r="G252" s="42"/>
      <c r="H252" s="42"/>
      <c r="I252" s="42"/>
      <c r="J252" s="42"/>
      <c r="K252" s="40"/>
      <c r="L252" s="65">
        <v>0</v>
      </c>
      <c r="M252" s="65">
        <v>0</v>
      </c>
      <c r="N252" s="65">
        <v>0</v>
      </c>
      <c r="O252" s="65">
        <v>0</v>
      </c>
      <c r="P252" s="40" t="s">
        <v>249</v>
      </c>
      <c r="Q252" s="20"/>
    </row>
    <row r="253" spans="1:17" x14ac:dyDescent="0.25">
      <c r="A253" s="47" t="s">
        <v>243</v>
      </c>
      <c r="B253" s="44" t="s">
        <v>212</v>
      </c>
      <c r="C253" s="40"/>
      <c r="D253" s="41"/>
      <c r="E253" s="41"/>
      <c r="F253" s="41"/>
      <c r="G253" s="42"/>
      <c r="H253" s="42"/>
      <c r="I253" s="42"/>
      <c r="J253" s="42"/>
      <c r="K253" s="40"/>
      <c r="L253" s="66">
        <f>L149+L185</f>
        <v>139</v>
      </c>
      <c r="M253" s="66">
        <f>M149+M185</f>
        <v>0</v>
      </c>
      <c r="N253" s="66">
        <f>N149+N185</f>
        <v>0</v>
      </c>
      <c r="O253" s="66">
        <f>O149+O185</f>
        <v>139</v>
      </c>
      <c r="P253" s="40"/>
      <c r="Q253" s="20"/>
    </row>
    <row r="254" spans="1:17" x14ac:dyDescent="0.25">
      <c r="A254" s="47" t="s">
        <v>244</v>
      </c>
      <c r="B254" s="44" t="s">
        <v>212</v>
      </c>
      <c r="C254" s="40"/>
      <c r="D254" s="41"/>
      <c r="E254" s="41"/>
      <c r="F254" s="41"/>
      <c r="G254" s="42"/>
      <c r="H254" s="42"/>
      <c r="I254" s="42"/>
      <c r="J254" s="42"/>
      <c r="K254" s="40"/>
      <c r="L254" s="66">
        <f>L167+L192+L199</f>
        <v>188</v>
      </c>
      <c r="M254" s="66">
        <f>M167+M192+M199</f>
        <v>0</v>
      </c>
      <c r="N254" s="66">
        <f>N167+N192+N199</f>
        <v>0</v>
      </c>
      <c r="O254" s="66">
        <f>O167+O192+O199</f>
        <v>188</v>
      </c>
      <c r="P254" s="40"/>
      <c r="Q254" s="20"/>
    </row>
    <row r="255" spans="1:17" x14ac:dyDescent="0.25">
      <c r="A255" s="47" t="s">
        <v>242</v>
      </c>
      <c r="B255" s="44" t="s">
        <v>212</v>
      </c>
      <c r="C255" s="40"/>
      <c r="D255" s="41"/>
      <c r="E255" s="41"/>
      <c r="F255" s="41"/>
      <c r="G255" s="42"/>
      <c r="H255" s="42"/>
      <c r="I255" s="42"/>
      <c r="J255" s="42"/>
      <c r="K255" s="40"/>
      <c r="L255" s="65">
        <v>0</v>
      </c>
      <c r="M255" s="65">
        <v>0</v>
      </c>
      <c r="N255" s="65">
        <v>0</v>
      </c>
      <c r="O255" s="65">
        <v>0</v>
      </c>
      <c r="P255" s="40" t="s">
        <v>313</v>
      </c>
      <c r="Q255" s="20"/>
    </row>
    <row r="256" spans="1:17" x14ac:dyDescent="0.25">
      <c r="A256" s="47" t="s">
        <v>247</v>
      </c>
      <c r="B256" s="44" t="s">
        <v>212</v>
      </c>
      <c r="C256" s="40"/>
      <c r="D256" s="41"/>
      <c r="E256" s="41"/>
      <c r="F256" s="41"/>
      <c r="G256" s="42"/>
      <c r="H256" s="42"/>
      <c r="I256" s="42"/>
      <c r="J256" s="42"/>
      <c r="K256" s="40"/>
      <c r="L256" s="65">
        <v>0</v>
      </c>
      <c r="M256" s="65">
        <v>0</v>
      </c>
      <c r="N256" s="65">
        <v>0</v>
      </c>
      <c r="O256" s="65">
        <v>0</v>
      </c>
      <c r="P256" s="39" t="s">
        <v>251</v>
      </c>
      <c r="Q256" s="20"/>
    </row>
    <row r="257" spans="1:17" x14ac:dyDescent="0.25">
      <c r="A257" s="47" t="s">
        <v>245</v>
      </c>
      <c r="B257" s="44" t="s">
        <v>212</v>
      </c>
      <c r="C257" s="40"/>
      <c r="D257" s="41"/>
      <c r="E257" s="41"/>
      <c r="F257" s="41"/>
      <c r="G257" s="42"/>
      <c r="H257" s="42"/>
      <c r="I257" s="42"/>
      <c r="J257" s="42"/>
      <c r="K257" s="40"/>
      <c r="L257" s="65">
        <v>0</v>
      </c>
      <c r="M257" s="65">
        <v>0</v>
      </c>
      <c r="N257" s="65">
        <v>0</v>
      </c>
      <c r="O257" s="65">
        <v>0</v>
      </c>
      <c r="P257" s="40" t="s">
        <v>249</v>
      </c>
      <c r="Q257" s="20"/>
    </row>
    <row r="258" spans="1:17" x14ac:dyDescent="0.25">
      <c r="A258" s="47" t="s">
        <v>224</v>
      </c>
      <c r="B258" s="44" t="s">
        <v>212</v>
      </c>
      <c r="C258" s="40"/>
      <c r="D258" s="41"/>
      <c r="E258" s="41"/>
      <c r="F258" s="41"/>
      <c r="G258" s="42"/>
      <c r="H258" s="42"/>
      <c r="I258" s="42"/>
      <c r="J258" s="42"/>
      <c r="K258" s="40"/>
      <c r="L258" s="66">
        <f>L115+L123+L135+L171+L188+L202</f>
        <v>142</v>
      </c>
      <c r="M258" s="66">
        <f>M115+M123+M135+M171+M188+M202</f>
        <v>0</v>
      </c>
      <c r="N258" s="66">
        <f>N115+N123+N135+N171+N188+N202</f>
        <v>0</v>
      </c>
      <c r="O258" s="66">
        <f>O115+O123+O135+O171+O188+O202</f>
        <v>142</v>
      </c>
      <c r="P258" s="40"/>
      <c r="Q258" s="20"/>
    </row>
    <row r="259" spans="1:17" x14ac:dyDescent="0.25">
      <c r="A259" s="48"/>
      <c r="B259" s="60" t="s">
        <v>211</v>
      </c>
      <c r="C259" s="61"/>
      <c r="D259" s="62"/>
      <c r="E259" s="62"/>
      <c r="F259" s="62"/>
      <c r="G259" s="63"/>
      <c r="H259" s="63"/>
      <c r="I259" s="63"/>
      <c r="J259" s="63"/>
      <c r="K259" s="62"/>
      <c r="L259" s="67">
        <f>SUM(L249:L258)</f>
        <v>11073</v>
      </c>
      <c r="M259" s="67">
        <f>SUM(M249:M258)</f>
        <v>9982</v>
      </c>
      <c r="N259" s="67">
        <f>SUM(N249:N258)</f>
        <v>623</v>
      </c>
      <c r="O259" s="67">
        <f>SUM(O249:O258)</f>
        <v>469</v>
      </c>
      <c r="P259" s="61"/>
      <c r="Q259" s="49"/>
    </row>
    <row r="261" spans="1:17" s="1213" customFormat="1" ht="24.75" customHeight="1" x14ac:dyDescent="0.25">
      <c r="I261" s="1422" t="s">
        <v>1503</v>
      </c>
      <c r="J261" s="1417"/>
      <c r="K261" s="1418"/>
      <c r="L261" s="1423" t="s">
        <v>1504</v>
      </c>
      <c r="M261" s="1423"/>
      <c r="N261" s="1423"/>
      <c r="O261" s="1423"/>
      <c r="Q261" s="9"/>
    </row>
    <row r="262" spans="1:17" ht="21" x14ac:dyDescent="0.25">
      <c r="B262" s="209" t="s">
        <v>768</v>
      </c>
      <c r="C262" s="234"/>
      <c r="D262" s="235"/>
      <c r="E262" s="264"/>
      <c r="F262" s="264"/>
      <c r="G262" s="264"/>
      <c r="H262" s="265"/>
      <c r="I262" s="1215" t="s">
        <v>942</v>
      </c>
      <c r="J262" s="1215" t="s">
        <v>943</v>
      </c>
      <c r="K262" s="1215" t="s">
        <v>944</v>
      </c>
      <c r="L262" s="266" t="s">
        <v>769</v>
      </c>
      <c r="M262" s="266" t="s">
        <v>770</v>
      </c>
      <c r="N262" s="266" t="s">
        <v>771</v>
      </c>
      <c r="O262" s="267" t="s">
        <v>772</v>
      </c>
    </row>
    <row r="263" spans="1:17" ht="36" customHeight="1" x14ac:dyDescent="0.25">
      <c r="B263" s="96" t="s">
        <v>624</v>
      </c>
      <c r="C263" s="99" t="s">
        <v>877</v>
      </c>
      <c r="D263" s="255"/>
      <c r="E263" s="262"/>
      <c r="F263" s="262"/>
      <c r="G263" s="262"/>
      <c r="H263" s="263"/>
      <c r="I263" s="99"/>
      <c r="J263" s="255"/>
      <c r="K263" s="100"/>
      <c r="L263" s="260"/>
      <c r="M263" s="260"/>
      <c r="N263" s="260"/>
      <c r="O263" s="261"/>
    </row>
    <row r="264" spans="1:17" ht="15" customHeight="1" x14ac:dyDescent="0.25">
      <c r="B264" s="12" t="s">
        <v>609</v>
      </c>
      <c r="C264" s="234" t="s">
        <v>612</v>
      </c>
      <c r="D264" s="235"/>
      <c r="E264" s="232"/>
      <c r="F264" s="232"/>
      <c r="G264" s="232"/>
      <c r="H264" s="233"/>
      <c r="I264" s="774" t="s">
        <v>2217</v>
      </c>
      <c r="J264" s="775">
        <f>$L$250</f>
        <v>9428</v>
      </c>
      <c r="K264" s="775">
        <f>$L$251</f>
        <v>1176</v>
      </c>
      <c r="L264" s="210">
        <f>O$253</f>
        <v>139</v>
      </c>
      <c r="M264" s="210">
        <f>O$254</f>
        <v>188</v>
      </c>
      <c r="N264" s="210">
        <f>O$256</f>
        <v>0</v>
      </c>
      <c r="O264" s="254">
        <f>O$258</f>
        <v>142</v>
      </c>
    </row>
    <row r="265" spans="1:17" ht="72" hidden="1" customHeight="1" x14ac:dyDescent="0.25">
      <c r="B265" s="92" t="s">
        <v>610</v>
      </c>
      <c r="C265" s="1322" t="s">
        <v>628</v>
      </c>
      <c r="D265" s="1560"/>
      <c r="E265" s="1560"/>
      <c r="F265" s="1560"/>
      <c r="G265" s="1560"/>
      <c r="H265" s="1323"/>
      <c r="I265" s="774" t="s">
        <v>2217</v>
      </c>
      <c r="J265" s="775">
        <f t="shared" ref="J265:J271" si="86">$L$250</f>
        <v>9428</v>
      </c>
      <c r="K265" s="775">
        <f t="shared" ref="K265:K271" si="87">$L$251</f>
        <v>1176</v>
      </c>
      <c r="L265" s="210">
        <f t="shared" ref="L265:L271" si="88">O$253</f>
        <v>139</v>
      </c>
      <c r="M265" s="210">
        <f t="shared" ref="M265:M271" si="89">O$254</f>
        <v>188</v>
      </c>
      <c r="N265" s="210">
        <f t="shared" ref="N265:N271" si="90">O$256</f>
        <v>0</v>
      </c>
      <c r="O265" s="254">
        <f t="shared" ref="O265:O271" si="91">O$258</f>
        <v>142</v>
      </c>
    </row>
    <row r="266" spans="1:17" ht="48" customHeight="1" x14ac:dyDescent="0.25">
      <c r="B266" s="12" t="s">
        <v>625</v>
      </c>
      <c r="C266" s="1322" t="s">
        <v>613</v>
      </c>
      <c r="D266" s="1560"/>
      <c r="E266" s="1560"/>
      <c r="F266" s="1560"/>
      <c r="G266" s="1560"/>
      <c r="H266" s="1323"/>
      <c r="I266" s="774" t="s">
        <v>2217</v>
      </c>
      <c r="J266" s="775">
        <f t="shared" si="86"/>
        <v>9428</v>
      </c>
      <c r="K266" s="775">
        <f t="shared" si="87"/>
        <v>1176</v>
      </c>
      <c r="L266" s="210">
        <f t="shared" si="88"/>
        <v>139</v>
      </c>
      <c r="M266" s="210">
        <f t="shared" si="89"/>
        <v>188</v>
      </c>
      <c r="N266" s="210">
        <f t="shared" si="90"/>
        <v>0</v>
      </c>
      <c r="O266" s="254">
        <f t="shared" si="91"/>
        <v>142</v>
      </c>
    </row>
    <row r="267" spans="1:17" ht="24" customHeight="1" x14ac:dyDescent="0.25">
      <c r="B267" s="12" t="s">
        <v>626</v>
      </c>
      <c r="C267" s="1322" t="s">
        <v>616</v>
      </c>
      <c r="D267" s="1560"/>
      <c r="E267" s="1560"/>
      <c r="F267" s="1560"/>
      <c r="G267" s="1560"/>
      <c r="H267" s="1323"/>
      <c r="I267" s="774" t="s">
        <v>2217</v>
      </c>
      <c r="J267" s="775">
        <f t="shared" si="86"/>
        <v>9428</v>
      </c>
      <c r="K267" s="775">
        <f t="shared" si="87"/>
        <v>1176</v>
      </c>
      <c r="L267" s="210">
        <f t="shared" si="88"/>
        <v>139</v>
      </c>
      <c r="M267" s="210">
        <f t="shared" si="89"/>
        <v>188</v>
      </c>
      <c r="N267" s="210">
        <f t="shared" si="90"/>
        <v>0</v>
      </c>
      <c r="O267" s="254">
        <f t="shared" si="91"/>
        <v>142</v>
      </c>
    </row>
    <row r="268" spans="1:17" ht="60" hidden="1" customHeight="1" x14ac:dyDescent="0.25">
      <c r="B268" s="92" t="s">
        <v>639</v>
      </c>
      <c r="C268" s="1322" t="s">
        <v>615</v>
      </c>
      <c r="D268" s="1560"/>
      <c r="E268" s="1560"/>
      <c r="F268" s="1560"/>
      <c r="G268" s="1560"/>
      <c r="H268" s="1323"/>
      <c r="I268" s="774" t="s">
        <v>2217</v>
      </c>
      <c r="J268" s="775">
        <f t="shared" si="86"/>
        <v>9428</v>
      </c>
      <c r="K268" s="775">
        <f t="shared" si="87"/>
        <v>1176</v>
      </c>
      <c r="L268" s="210">
        <f t="shared" si="88"/>
        <v>139</v>
      </c>
      <c r="M268" s="210">
        <f t="shared" si="89"/>
        <v>188</v>
      </c>
      <c r="N268" s="210">
        <f t="shared" si="90"/>
        <v>0</v>
      </c>
      <c r="O268" s="254">
        <f t="shared" si="91"/>
        <v>142</v>
      </c>
    </row>
    <row r="269" spans="1:17" ht="36" customHeight="1" x14ac:dyDescent="0.25">
      <c r="B269" s="12" t="s">
        <v>627</v>
      </c>
      <c r="C269" s="234" t="s">
        <v>614</v>
      </c>
      <c r="D269" s="235"/>
      <c r="E269" s="232"/>
      <c r="F269" s="232"/>
      <c r="G269" s="232"/>
      <c r="H269" s="233"/>
      <c r="I269" s="774" t="s">
        <v>2217</v>
      </c>
      <c r="J269" s="775">
        <f t="shared" si="86"/>
        <v>9428</v>
      </c>
      <c r="K269" s="775">
        <f t="shared" si="87"/>
        <v>1176</v>
      </c>
      <c r="L269" s="210">
        <f t="shared" si="88"/>
        <v>139</v>
      </c>
      <c r="M269" s="210">
        <f t="shared" si="89"/>
        <v>188</v>
      </c>
      <c r="N269" s="210">
        <f t="shared" si="90"/>
        <v>0</v>
      </c>
      <c r="O269" s="254">
        <f t="shared" si="91"/>
        <v>142</v>
      </c>
    </row>
    <row r="270" spans="1:17" ht="15" hidden="1" customHeight="1" x14ac:dyDescent="0.25">
      <c r="B270" s="92" t="s">
        <v>608</v>
      </c>
      <c r="C270" s="234" t="s">
        <v>629</v>
      </c>
      <c r="D270" s="235"/>
      <c r="E270" s="232"/>
      <c r="F270" s="232"/>
      <c r="G270" s="232"/>
      <c r="H270" s="233"/>
      <c r="I270" s="774" t="s">
        <v>2217</v>
      </c>
      <c r="J270" s="775">
        <f t="shared" si="86"/>
        <v>9428</v>
      </c>
      <c r="K270" s="775">
        <f t="shared" si="87"/>
        <v>1176</v>
      </c>
      <c r="L270" s="210">
        <f t="shared" si="88"/>
        <v>139</v>
      </c>
      <c r="M270" s="210">
        <f t="shared" si="89"/>
        <v>188</v>
      </c>
      <c r="N270" s="210">
        <f t="shared" si="90"/>
        <v>0</v>
      </c>
      <c r="O270" s="254">
        <f t="shared" si="91"/>
        <v>142</v>
      </c>
    </row>
    <row r="271" spans="1:17" ht="15" hidden="1" customHeight="1" x14ac:dyDescent="0.25">
      <c r="B271" s="92" t="s">
        <v>611</v>
      </c>
      <c r="C271" s="234" t="s">
        <v>630</v>
      </c>
      <c r="D271" s="235"/>
      <c r="E271" s="232"/>
      <c r="F271" s="232"/>
      <c r="G271" s="232"/>
      <c r="H271" s="233"/>
      <c r="I271" s="774" t="s">
        <v>2217</v>
      </c>
      <c r="J271" s="775">
        <f t="shared" si="86"/>
        <v>9428</v>
      </c>
      <c r="K271" s="775">
        <f t="shared" si="87"/>
        <v>1176</v>
      </c>
      <c r="L271" s="210">
        <f t="shared" si="88"/>
        <v>139</v>
      </c>
      <c r="M271" s="210">
        <f t="shared" si="89"/>
        <v>188</v>
      </c>
      <c r="N271" s="210">
        <f t="shared" si="90"/>
        <v>0</v>
      </c>
      <c r="O271" s="254">
        <f t="shared" si="91"/>
        <v>142</v>
      </c>
    </row>
    <row r="272" spans="1:17" ht="36" customHeight="1" x14ac:dyDescent="0.25">
      <c r="B272" s="96" t="s">
        <v>603</v>
      </c>
      <c r="C272" s="99" t="s">
        <v>877</v>
      </c>
      <c r="D272" s="255"/>
      <c r="E272" s="262"/>
      <c r="F272" s="262"/>
      <c r="G272" s="262"/>
      <c r="H272" s="263"/>
      <c r="I272" s="99"/>
      <c r="J272" s="255"/>
      <c r="K272" s="100"/>
      <c r="L272" s="260"/>
      <c r="M272" s="260"/>
      <c r="N272" s="260"/>
      <c r="O272" s="261"/>
    </row>
    <row r="273" spans="2:15" ht="15" customHeight="1" x14ac:dyDescent="0.25">
      <c r="B273" s="12" t="s">
        <v>609</v>
      </c>
      <c r="C273" s="234" t="s">
        <v>631</v>
      </c>
      <c r="D273" s="235"/>
      <c r="E273" s="232"/>
      <c r="F273" s="232"/>
      <c r="G273" s="232"/>
      <c r="H273" s="233"/>
      <c r="I273" s="774" t="s">
        <v>2217</v>
      </c>
      <c r="J273" s="775">
        <f t="shared" ref="J273:J280" si="92">$L$250</f>
        <v>9428</v>
      </c>
      <c r="K273" s="775">
        <f t="shared" ref="K273:K280" si="93">$L$251</f>
        <v>1176</v>
      </c>
      <c r="L273" s="210">
        <f t="shared" ref="L273:L280" si="94">O$253</f>
        <v>139</v>
      </c>
      <c r="M273" s="210">
        <f t="shared" ref="M273:M280" si="95">O$254</f>
        <v>188</v>
      </c>
      <c r="N273" s="210">
        <f t="shared" ref="N273:N280" si="96">O$256</f>
        <v>0</v>
      </c>
      <c r="O273" s="254">
        <f t="shared" ref="O273:O280" si="97">O$258</f>
        <v>142</v>
      </c>
    </row>
    <row r="274" spans="2:15" ht="72" hidden="1" customHeight="1" x14ac:dyDescent="0.25">
      <c r="B274" s="92" t="s">
        <v>610</v>
      </c>
      <c r="C274" s="1322" t="s">
        <v>632</v>
      </c>
      <c r="D274" s="1560"/>
      <c r="E274" s="1560"/>
      <c r="F274" s="1560"/>
      <c r="G274" s="1560"/>
      <c r="H274" s="1323"/>
      <c r="I274" s="774" t="s">
        <v>2217</v>
      </c>
      <c r="J274" s="775">
        <f t="shared" si="92"/>
        <v>9428</v>
      </c>
      <c r="K274" s="775">
        <f t="shared" si="93"/>
        <v>1176</v>
      </c>
      <c r="L274" s="210">
        <f t="shared" si="94"/>
        <v>139</v>
      </c>
      <c r="M274" s="210">
        <f t="shared" si="95"/>
        <v>188</v>
      </c>
      <c r="N274" s="210">
        <f t="shared" si="96"/>
        <v>0</v>
      </c>
      <c r="O274" s="254">
        <f t="shared" si="97"/>
        <v>142</v>
      </c>
    </row>
    <row r="275" spans="2:15" ht="48" customHeight="1" x14ac:dyDescent="0.25">
      <c r="B275" s="12" t="s">
        <v>625</v>
      </c>
      <c r="C275" s="234" t="s">
        <v>633</v>
      </c>
      <c r="D275" s="235"/>
      <c r="E275" s="232"/>
      <c r="F275" s="232"/>
      <c r="G275" s="232"/>
      <c r="H275" s="233"/>
      <c r="I275" s="774" t="s">
        <v>2217</v>
      </c>
      <c r="J275" s="775">
        <f t="shared" si="92"/>
        <v>9428</v>
      </c>
      <c r="K275" s="775">
        <f t="shared" si="93"/>
        <v>1176</v>
      </c>
      <c r="L275" s="210">
        <f t="shared" si="94"/>
        <v>139</v>
      </c>
      <c r="M275" s="210">
        <f t="shared" si="95"/>
        <v>188</v>
      </c>
      <c r="N275" s="210">
        <f t="shared" si="96"/>
        <v>0</v>
      </c>
      <c r="O275" s="254">
        <f t="shared" si="97"/>
        <v>142</v>
      </c>
    </row>
    <row r="276" spans="2:15" ht="60" hidden="1" customHeight="1" x14ac:dyDescent="0.25">
      <c r="B276" s="92" t="s">
        <v>639</v>
      </c>
      <c r="C276" s="1322" t="s">
        <v>634</v>
      </c>
      <c r="D276" s="1560"/>
      <c r="E276" s="1560"/>
      <c r="F276" s="1560"/>
      <c r="G276" s="1560"/>
      <c r="H276" s="1323"/>
      <c r="I276" s="774" t="s">
        <v>2217</v>
      </c>
      <c r="J276" s="775">
        <f t="shared" si="92"/>
        <v>9428</v>
      </c>
      <c r="K276" s="775">
        <f t="shared" si="93"/>
        <v>1176</v>
      </c>
      <c r="L276" s="210">
        <f t="shared" si="94"/>
        <v>139</v>
      </c>
      <c r="M276" s="210">
        <f t="shared" si="95"/>
        <v>188</v>
      </c>
      <c r="N276" s="210">
        <f t="shared" si="96"/>
        <v>0</v>
      </c>
      <c r="O276" s="254">
        <f t="shared" si="97"/>
        <v>142</v>
      </c>
    </row>
    <row r="277" spans="2:15" ht="24" customHeight="1" x14ac:dyDescent="0.25">
      <c r="B277" s="12" t="s">
        <v>626</v>
      </c>
      <c r="C277" s="1322" t="s">
        <v>635</v>
      </c>
      <c r="D277" s="1560"/>
      <c r="E277" s="1560"/>
      <c r="F277" s="1560"/>
      <c r="G277" s="1560"/>
      <c r="H277" s="1323"/>
      <c r="I277" s="774" t="s">
        <v>2217</v>
      </c>
      <c r="J277" s="775">
        <f t="shared" si="92"/>
        <v>9428</v>
      </c>
      <c r="K277" s="775">
        <f t="shared" si="93"/>
        <v>1176</v>
      </c>
      <c r="L277" s="210">
        <f t="shared" si="94"/>
        <v>139</v>
      </c>
      <c r="M277" s="210">
        <f t="shared" si="95"/>
        <v>188</v>
      </c>
      <c r="N277" s="210">
        <f t="shared" si="96"/>
        <v>0</v>
      </c>
      <c r="O277" s="254">
        <f t="shared" si="97"/>
        <v>142</v>
      </c>
    </row>
    <row r="278" spans="2:15" ht="36" customHeight="1" x14ac:dyDescent="0.25">
      <c r="B278" s="12" t="s">
        <v>627</v>
      </c>
      <c r="C278" s="234" t="s">
        <v>636</v>
      </c>
      <c r="D278" s="235"/>
      <c r="E278" s="256"/>
      <c r="F278" s="256"/>
      <c r="G278" s="256"/>
      <c r="H278" s="257"/>
      <c r="I278" s="774" t="s">
        <v>2217</v>
      </c>
      <c r="J278" s="775">
        <f t="shared" si="92"/>
        <v>9428</v>
      </c>
      <c r="K278" s="775">
        <f t="shared" si="93"/>
        <v>1176</v>
      </c>
      <c r="L278" s="210">
        <f t="shared" si="94"/>
        <v>139</v>
      </c>
      <c r="M278" s="210">
        <f t="shared" si="95"/>
        <v>188</v>
      </c>
      <c r="N278" s="210">
        <f t="shared" si="96"/>
        <v>0</v>
      </c>
      <c r="O278" s="254">
        <f t="shared" si="97"/>
        <v>142</v>
      </c>
    </row>
    <row r="279" spans="2:15" ht="15" customHeight="1" x14ac:dyDescent="0.25">
      <c r="B279" s="174" t="s">
        <v>608</v>
      </c>
      <c r="C279" s="234" t="s">
        <v>637</v>
      </c>
      <c r="D279" s="235"/>
      <c r="E279" s="256"/>
      <c r="F279" s="256"/>
      <c r="G279" s="256"/>
      <c r="H279" s="257"/>
      <c r="I279" s="774" t="s">
        <v>2217</v>
      </c>
      <c r="J279" s="775">
        <f t="shared" si="92"/>
        <v>9428</v>
      </c>
      <c r="K279" s="775">
        <f t="shared" si="93"/>
        <v>1176</v>
      </c>
      <c r="L279" s="210">
        <f t="shared" si="94"/>
        <v>139</v>
      </c>
      <c r="M279" s="210">
        <f t="shared" si="95"/>
        <v>188</v>
      </c>
      <c r="N279" s="210">
        <f t="shared" si="96"/>
        <v>0</v>
      </c>
      <c r="O279" s="254">
        <f t="shared" si="97"/>
        <v>142</v>
      </c>
    </row>
    <row r="280" spans="2:15" ht="15" customHeight="1" x14ac:dyDescent="0.25">
      <c r="B280" s="174" t="s">
        <v>611</v>
      </c>
      <c r="C280" s="234" t="s">
        <v>638</v>
      </c>
      <c r="D280" s="235"/>
      <c r="E280" s="256"/>
      <c r="F280" s="256"/>
      <c r="G280" s="256"/>
      <c r="H280" s="257"/>
      <c r="I280" s="774" t="s">
        <v>2217</v>
      </c>
      <c r="J280" s="775">
        <f t="shared" si="92"/>
        <v>9428</v>
      </c>
      <c r="K280" s="775">
        <f t="shared" si="93"/>
        <v>1176</v>
      </c>
      <c r="L280" s="210">
        <f t="shared" si="94"/>
        <v>139</v>
      </c>
      <c r="M280" s="210">
        <f t="shared" si="95"/>
        <v>188</v>
      </c>
      <c r="N280" s="210">
        <f t="shared" si="96"/>
        <v>0</v>
      </c>
      <c r="O280" s="254">
        <f t="shared" si="97"/>
        <v>142</v>
      </c>
    </row>
    <row r="281" spans="2:15" ht="36" customHeight="1" x14ac:dyDescent="0.25">
      <c r="B281" s="96" t="s">
        <v>620</v>
      </c>
      <c r="C281" s="99" t="s">
        <v>877</v>
      </c>
      <c r="D281" s="255"/>
      <c r="E281" s="258"/>
      <c r="F281" s="258"/>
      <c r="G281" s="258"/>
      <c r="H281" s="259"/>
      <c r="I281" s="99"/>
      <c r="J281" s="258"/>
      <c r="K281" s="259"/>
      <c r="L281" s="260"/>
      <c r="M281" s="260"/>
      <c r="N281" s="260"/>
      <c r="O281" s="261"/>
    </row>
    <row r="282" spans="2:15" ht="31.5" customHeight="1" x14ac:dyDescent="0.25">
      <c r="B282" s="12" t="s">
        <v>609</v>
      </c>
      <c r="C282" s="234" t="s">
        <v>640</v>
      </c>
      <c r="D282" s="235"/>
      <c r="E282" s="155"/>
      <c r="F282" s="155"/>
      <c r="G282" s="155"/>
      <c r="H282" s="231"/>
      <c r="I282" s="774" t="s">
        <v>2217</v>
      </c>
      <c r="J282" s="775">
        <f t="shared" ref="J282:J288" si="98">$L$250</f>
        <v>9428</v>
      </c>
      <c r="K282" s="775">
        <f t="shared" ref="K282:K288" si="99">$L$251</f>
        <v>1176</v>
      </c>
      <c r="L282" s="210">
        <f t="shared" ref="L282:L289" si="100">O$253</f>
        <v>139</v>
      </c>
      <c r="M282" s="210">
        <f t="shared" ref="M282:M289" si="101">O$254</f>
        <v>188</v>
      </c>
      <c r="N282" s="210">
        <f t="shared" ref="N282:N289" si="102">O$256</f>
        <v>0</v>
      </c>
      <c r="O282" s="254">
        <f t="shared" ref="O282:O289" si="103">O$258</f>
        <v>142</v>
      </c>
    </row>
    <row r="283" spans="2:15" ht="72" hidden="1" customHeight="1" x14ac:dyDescent="0.25">
      <c r="B283" s="92" t="s">
        <v>610</v>
      </c>
      <c r="C283" s="1322" t="s">
        <v>641</v>
      </c>
      <c r="D283" s="1560"/>
      <c r="E283" s="1560"/>
      <c r="F283" s="1560"/>
      <c r="G283" s="1560"/>
      <c r="H283" s="1323"/>
      <c r="I283" s="774" t="s">
        <v>2217</v>
      </c>
      <c r="J283" s="775">
        <f t="shared" si="98"/>
        <v>9428</v>
      </c>
      <c r="K283" s="775">
        <f t="shared" si="99"/>
        <v>1176</v>
      </c>
      <c r="L283" s="210">
        <f t="shared" si="100"/>
        <v>139</v>
      </c>
      <c r="M283" s="210">
        <f t="shared" si="101"/>
        <v>188</v>
      </c>
      <c r="N283" s="210">
        <f t="shared" si="102"/>
        <v>0</v>
      </c>
      <c r="O283" s="254">
        <f t="shared" si="103"/>
        <v>142</v>
      </c>
    </row>
    <row r="284" spans="2:15" ht="48" hidden="1" customHeight="1" x14ac:dyDescent="0.25">
      <c r="B284" s="92" t="s">
        <v>625</v>
      </c>
      <c r="C284" s="234" t="s">
        <v>642</v>
      </c>
      <c r="D284" s="235"/>
      <c r="E284" s="155"/>
      <c r="F284" s="155"/>
      <c r="G284" s="155"/>
      <c r="H284" s="231"/>
      <c r="I284" s="774" t="s">
        <v>2217</v>
      </c>
      <c r="J284" s="775">
        <f t="shared" si="98"/>
        <v>9428</v>
      </c>
      <c r="K284" s="775">
        <f t="shared" si="99"/>
        <v>1176</v>
      </c>
      <c r="L284" s="210">
        <f t="shared" si="100"/>
        <v>139</v>
      </c>
      <c r="M284" s="210">
        <f t="shared" si="101"/>
        <v>188</v>
      </c>
      <c r="N284" s="210">
        <f t="shared" si="102"/>
        <v>0</v>
      </c>
      <c r="O284" s="254">
        <f t="shared" si="103"/>
        <v>142</v>
      </c>
    </row>
    <row r="285" spans="2:15" ht="60" hidden="1" customHeight="1" x14ac:dyDescent="0.25">
      <c r="B285" s="92" t="s">
        <v>639</v>
      </c>
      <c r="C285" s="1322" t="s">
        <v>643</v>
      </c>
      <c r="D285" s="1560"/>
      <c r="E285" s="1560"/>
      <c r="F285" s="1560"/>
      <c r="G285" s="1560"/>
      <c r="H285" s="1323"/>
      <c r="I285" s="774" t="s">
        <v>2217</v>
      </c>
      <c r="J285" s="775">
        <f t="shared" si="98"/>
        <v>9428</v>
      </c>
      <c r="K285" s="775">
        <f t="shared" si="99"/>
        <v>1176</v>
      </c>
      <c r="L285" s="210">
        <f t="shared" si="100"/>
        <v>139</v>
      </c>
      <c r="M285" s="210">
        <f t="shared" si="101"/>
        <v>188</v>
      </c>
      <c r="N285" s="210">
        <f t="shared" si="102"/>
        <v>0</v>
      </c>
      <c r="O285" s="254">
        <f t="shared" si="103"/>
        <v>142</v>
      </c>
    </row>
    <row r="286" spans="2:15" ht="24" customHeight="1" x14ac:dyDescent="0.25">
      <c r="B286" s="12" t="s">
        <v>626</v>
      </c>
      <c r="C286" s="1322" t="s">
        <v>644</v>
      </c>
      <c r="D286" s="1560"/>
      <c r="E286" s="1560"/>
      <c r="F286" s="1560"/>
      <c r="G286" s="1560"/>
      <c r="H286" s="1323"/>
      <c r="I286" s="774" t="s">
        <v>2217</v>
      </c>
      <c r="J286" s="775">
        <f t="shared" si="98"/>
        <v>9428</v>
      </c>
      <c r="K286" s="775">
        <f t="shared" si="99"/>
        <v>1176</v>
      </c>
      <c r="L286" s="210">
        <f t="shared" si="100"/>
        <v>139</v>
      </c>
      <c r="M286" s="210">
        <f t="shared" si="101"/>
        <v>188</v>
      </c>
      <c r="N286" s="210">
        <f t="shared" si="102"/>
        <v>0</v>
      </c>
      <c r="O286" s="254">
        <f t="shared" si="103"/>
        <v>142</v>
      </c>
    </row>
    <row r="287" spans="2:15" ht="36" customHeight="1" x14ac:dyDescent="0.25">
      <c r="B287" s="12" t="s">
        <v>627</v>
      </c>
      <c r="C287" s="234" t="s">
        <v>645</v>
      </c>
      <c r="D287" s="235"/>
      <c r="E287" s="256"/>
      <c r="F287" s="256"/>
      <c r="G287" s="256"/>
      <c r="H287" s="257"/>
      <c r="I287" s="774" t="s">
        <v>2217</v>
      </c>
      <c r="J287" s="775">
        <f t="shared" si="98"/>
        <v>9428</v>
      </c>
      <c r="K287" s="775">
        <f t="shared" si="99"/>
        <v>1176</v>
      </c>
      <c r="L287" s="210">
        <f t="shared" si="100"/>
        <v>139</v>
      </c>
      <c r="M287" s="210">
        <f t="shared" si="101"/>
        <v>188</v>
      </c>
      <c r="N287" s="210">
        <f t="shared" si="102"/>
        <v>0</v>
      </c>
      <c r="O287" s="254">
        <f t="shared" si="103"/>
        <v>142</v>
      </c>
    </row>
    <row r="288" spans="2:15" ht="15" customHeight="1" x14ac:dyDescent="0.25">
      <c r="B288" s="174" t="s">
        <v>608</v>
      </c>
      <c r="C288" s="234" t="s">
        <v>646</v>
      </c>
      <c r="D288" s="235"/>
      <c r="E288" s="256"/>
      <c r="F288" s="256"/>
      <c r="G288" s="256"/>
      <c r="H288" s="257"/>
      <c r="I288" s="774" t="s">
        <v>2217</v>
      </c>
      <c r="J288" s="775">
        <f t="shared" si="98"/>
        <v>9428</v>
      </c>
      <c r="K288" s="775">
        <f t="shared" si="99"/>
        <v>1176</v>
      </c>
      <c r="L288" s="210">
        <f t="shared" si="100"/>
        <v>139</v>
      </c>
      <c r="M288" s="210">
        <f t="shared" si="101"/>
        <v>188</v>
      </c>
      <c r="N288" s="210">
        <f t="shared" si="102"/>
        <v>0</v>
      </c>
      <c r="O288" s="254">
        <f t="shared" si="103"/>
        <v>142</v>
      </c>
    </row>
    <row r="289" spans="2:17" ht="15" hidden="1" customHeight="1" x14ac:dyDescent="0.25">
      <c r="B289" s="92" t="s">
        <v>611</v>
      </c>
      <c r="C289" s="234" t="s">
        <v>647</v>
      </c>
      <c r="D289" s="235"/>
      <c r="E289" s="256"/>
      <c r="F289" s="256"/>
      <c r="G289" s="256"/>
      <c r="H289" s="257"/>
      <c r="I289" s="774" t="s">
        <v>2217</v>
      </c>
      <c r="J289" s="775">
        <f>$L$250</f>
        <v>9428</v>
      </c>
      <c r="K289" s="775">
        <f>$L$251</f>
        <v>1176</v>
      </c>
      <c r="L289" s="210">
        <f t="shared" si="100"/>
        <v>139</v>
      </c>
      <c r="M289" s="210">
        <f t="shared" si="101"/>
        <v>188</v>
      </c>
      <c r="N289" s="210">
        <f t="shared" si="102"/>
        <v>0</v>
      </c>
      <c r="O289" s="254">
        <f t="shared" si="103"/>
        <v>142</v>
      </c>
    </row>
    <row r="292" spans="2:17" x14ac:dyDescent="0.25">
      <c r="B292" s="1" t="s">
        <v>316</v>
      </c>
      <c r="Q292" s="1"/>
    </row>
    <row r="294" spans="2:17" x14ac:dyDescent="0.25">
      <c r="B294" s="1" t="s">
        <v>411</v>
      </c>
      <c r="L294" s="218"/>
      <c r="M294" s="218"/>
      <c r="N294" s="218"/>
      <c r="O294" s="218"/>
    </row>
  </sheetData>
  <mergeCells count="51">
    <mergeCell ref="A28:A29"/>
    <mergeCell ref="B28:B29"/>
    <mergeCell ref="C28:C29"/>
    <mergeCell ref="D28:D29"/>
    <mergeCell ref="E28:F28"/>
    <mergeCell ref="Q28:Q29"/>
    <mergeCell ref="B2:P2"/>
    <mergeCell ref="B3:P3"/>
    <mergeCell ref="B4:P4"/>
    <mergeCell ref="B5:P5"/>
    <mergeCell ref="G28:G29"/>
    <mergeCell ref="B116:P116"/>
    <mergeCell ref="H28:J28"/>
    <mergeCell ref="K28:K29"/>
    <mergeCell ref="L28:L29"/>
    <mergeCell ref="M28:O28"/>
    <mergeCell ref="P28:P29"/>
    <mergeCell ref="B31:P31"/>
    <mergeCell ref="B40:P40"/>
    <mergeCell ref="B46:P46"/>
    <mergeCell ref="B91:P91"/>
    <mergeCell ref="B110:P110"/>
    <mergeCell ref="B203:P203"/>
    <mergeCell ref="B124:P124"/>
    <mergeCell ref="B136:P136"/>
    <mergeCell ref="B145:P145"/>
    <mergeCell ref="B150:P150"/>
    <mergeCell ref="B168:P168"/>
    <mergeCell ref="B172:P172"/>
    <mergeCell ref="B183:P183"/>
    <mergeCell ref="B186:P186"/>
    <mergeCell ref="B189:P189"/>
    <mergeCell ref="B193:P193"/>
    <mergeCell ref="B200:P200"/>
    <mergeCell ref="B215:P215"/>
    <mergeCell ref="B218:P218"/>
    <mergeCell ref="B225:P225"/>
    <mergeCell ref="B228:P228"/>
    <mergeCell ref="B237:P237"/>
    <mergeCell ref="L261:O261"/>
    <mergeCell ref="I261:K261"/>
    <mergeCell ref="C286:H286"/>
    <mergeCell ref="C285:H285"/>
    <mergeCell ref="C277:H277"/>
    <mergeCell ref="C283:H283"/>
    <mergeCell ref="C276:H276"/>
    <mergeCell ref="C274:H274"/>
    <mergeCell ref="C266:H266"/>
    <mergeCell ref="C267:H267"/>
    <mergeCell ref="C268:H268"/>
    <mergeCell ref="C265:H265"/>
  </mergeCells>
  <pageMargins left="0.70866141732283472" right="0.70866141732283472" top="0.74803149606299213" bottom="0.74803149606299213" header="0.31496062992125984" footer="0.31496062992125984"/>
  <pageSetup paperSize="9" scale="54" fitToHeight="6" orientation="landscape" verticalDpi="18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R42"/>
  <sheetViews>
    <sheetView view="pageBreakPreview" zoomScale="85" zoomScaleSheetLayoutView="85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I11" sqref="I11"/>
    </sheetView>
  </sheetViews>
  <sheetFormatPr defaultRowHeight="15" x14ac:dyDescent="0.25"/>
  <cols>
    <col min="1" max="1" width="19.5703125" customWidth="1"/>
    <col min="2" max="4" width="13.42578125" customWidth="1"/>
    <col min="5" max="5" width="14.85546875" customWidth="1"/>
    <col min="6" max="11" width="13.42578125" customWidth="1"/>
    <col min="12" max="12" width="14.85546875" customWidth="1"/>
    <col min="13" max="15" width="13.42578125" customWidth="1"/>
  </cols>
  <sheetData>
    <row r="1" spans="1:18" x14ac:dyDescent="0.25">
      <c r="B1" t="s">
        <v>1327</v>
      </c>
    </row>
    <row r="3" spans="1:18" x14ac:dyDescent="0.25">
      <c r="A3" s="1570" t="s">
        <v>1132</v>
      </c>
      <c r="B3" s="1571" t="s">
        <v>1043</v>
      </c>
      <c r="C3" s="1572"/>
      <c r="D3" s="1572"/>
      <c r="E3" s="1572"/>
      <c r="F3" s="1572"/>
      <c r="G3" s="1572"/>
      <c r="H3" s="1573"/>
      <c r="I3" s="1571" t="s">
        <v>1328</v>
      </c>
      <c r="J3" s="1572"/>
      <c r="K3" s="1572"/>
      <c r="L3" s="1572"/>
      <c r="M3" s="1572"/>
      <c r="N3" s="1572"/>
      <c r="O3" s="1573"/>
    </row>
    <row r="4" spans="1:18" ht="15" customHeight="1" x14ac:dyDescent="0.25">
      <c r="A4" s="1570"/>
      <c r="B4" s="1574" t="s">
        <v>1329</v>
      </c>
      <c r="C4" s="1570" t="s">
        <v>1330</v>
      </c>
      <c r="D4" s="1570"/>
      <c r="E4" s="1570" t="s">
        <v>969</v>
      </c>
      <c r="F4" s="1570" t="s">
        <v>1329</v>
      </c>
      <c r="G4" s="1570" t="s">
        <v>1330</v>
      </c>
      <c r="H4" s="1570"/>
      <c r="I4" s="1574" t="s">
        <v>1329</v>
      </c>
      <c r="J4" s="1570" t="s">
        <v>1330</v>
      </c>
      <c r="K4" s="1570"/>
      <c r="L4" s="1570" t="s">
        <v>969</v>
      </c>
      <c r="M4" s="1570" t="s">
        <v>1329</v>
      </c>
      <c r="N4" s="1570" t="s">
        <v>1330</v>
      </c>
      <c r="O4" s="1570"/>
    </row>
    <row r="5" spans="1:18" ht="36.75" customHeight="1" x14ac:dyDescent="0.25">
      <c r="A5" s="1570"/>
      <c r="B5" s="1574"/>
      <c r="C5" s="556" t="s">
        <v>1331</v>
      </c>
      <c r="D5" s="556" t="s">
        <v>1332</v>
      </c>
      <c r="E5" s="1570"/>
      <c r="F5" s="1570"/>
      <c r="G5" s="556" t="s">
        <v>1331</v>
      </c>
      <c r="H5" s="556" t="s">
        <v>1332</v>
      </c>
      <c r="I5" s="1574"/>
      <c r="J5" s="556" t="s">
        <v>1331</v>
      </c>
      <c r="K5" s="556" t="s">
        <v>1332</v>
      </c>
      <c r="L5" s="1570"/>
      <c r="M5" s="1570"/>
      <c r="N5" s="556" t="s">
        <v>1331</v>
      </c>
      <c r="O5" s="556" t="s">
        <v>1332</v>
      </c>
    </row>
    <row r="6" spans="1:18" x14ac:dyDescent="0.25">
      <c r="A6" s="557">
        <v>1</v>
      </c>
      <c r="B6" s="557">
        <v>2</v>
      </c>
      <c r="C6" s="557">
        <v>3</v>
      </c>
      <c r="D6" s="557">
        <v>4</v>
      </c>
      <c r="E6" s="557">
        <v>5</v>
      </c>
      <c r="F6" s="557">
        <v>2</v>
      </c>
      <c r="G6" s="557">
        <v>3</v>
      </c>
      <c r="H6" s="557">
        <v>4</v>
      </c>
      <c r="I6" s="557">
        <v>2</v>
      </c>
      <c r="J6" s="557">
        <v>3</v>
      </c>
      <c r="K6" s="557">
        <v>4</v>
      </c>
      <c r="L6" s="557">
        <v>5</v>
      </c>
      <c r="M6" s="557">
        <v>2</v>
      </c>
      <c r="N6" s="557">
        <v>3</v>
      </c>
      <c r="O6" s="557">
        <v>4</v>
      </c>
    </row>
    <row r="7" spans="1:18" ht="28.5" customHeight="1" x14ac:dyDescent="0.25">
      <c r="A7" s="951" t="s">
        <v>1549</v>
      </c>
      <c r="B7" s="558">
        <f>C7+D7</f>
        <v>1093998.96</v>
      </c>
      <c r="C7" s="559">
        <f>'291 имущ'!K14</f>
        <v>0</v>
      </c>
      <c r="D7" s="559">
        <f>'291 земля'!$G$16</f>
        <v>1093998.96</v>
      </c>
      <c r="E7" s="560">
        <v>0.98231481679999999</v>
      </c>
      <c r="F7" s="558">
        <f>G7+H7</f>
        <v>1074651.3899999999</v>
      </c>
      <c r="G7" s="952">
        <f>C7*E7</f>
        <v>0</v>
      </c>
      <c r="H7" s="952">
        <f>D7*E7</f>
        <v>1074651.3899999999</v>
      </c>
      <c r="I7" s="558">
        <f>J7+K7</f>
        <v>1093998.96</v>
      </c>
      <c r="J7" s="559">
        <f>'291 имущ'!K14</f>
        <v>0</v>
      </c>
      <c r="K7" s="559">
        <f>'291 земля'!$G$16</f>
        <v>1093998.96</v>
      </c>
      <c r="L7" s="560">
        <v>0.98231481679999999</v>
      </c>
      <c r="M7" s="558">
        <f>N7+O7</f>
        <v>1074651.3899999999</v>
      </c>
      <c r="N7" s="952">
        <f>J7*L7</f>
        <v>0</v>
      </c>
      <c r="O7" s="952">
        <f>K7*L7</f>
        <v>1074651.3899999999</v>
      </c>
      <c r="Q7">
        <v>1074.7</v>
      </c>
      <c r="R7" s="954">
        <f>Q7-F7/1000</f>
        <v>0</v>
      </c>
    </row>
    <row r="8" spans="1:18" ht="24" x14ac:dyDescent="0.25">
      <c r="A8" s="561" t="s">
        <v>1614</v>
      </c>
      <c r="B8" s="558">
        <f t="shared" ref="B8:B38" si="0">C8+D8</f>
        <v>1988587.92</v>
      </c>
      <c r="C8" s="559">
        <f>'291 имущ'!K15</f>
        <v>130766.04</v>
      </c>
      <c r="D8" s="559">
        <f>'291 земля'!$G$20</f>
        <v>1857821.88</v>
      </c>
      <c r="E8" s="560">
        <v>0.9925194651</v>
      </c>
      <c r="F8" s="558">
        <f t="shared" ref="F8:F38" si="1">G8+H8</f>
        <v>1973712.22</v>
      </c>
      <c r="G8" s="952">
        <f t="shared" ref="G8:G38" si="2">C8*E8</f>
        <v>129787.84</v>
      </c>
      <c r="H8" s="952">
        <f t="shared" ref="H8:H38" si="3">D8*E8</f>
        <v>1843924.38</v>
      </c>
      <c r="I8" s="558">
        <f t="shared" ref="I8:I38" si="4">J8+K8</f>
        <v>1988587.92</v>
      </c>
      <c r="J8" s="559">
        <f>'291 имущ'!K15</f>
        <v>130766.04</v>
      </c>
      <c r="K8" s="559">
        <f>'291 земля'!$G$20</f>
        <v>1857821.88</v>
      </c>
      <c r="L8" s="560">
        <v>0.9925194651</v>
      </c>
      <c r="M8" s="558">
        <f t="shared" ref="M8:M38" si="5">N8+O8</f>
        <v>1973712.22</v>
      </c>
      <c r="N8" s="952">
        <f t="shared" ref="N8:N38" si="6">J8*L8</f>
        <v>129787.84</v>
      </c>
      <c r="O8" s="952">
        <f t="shared" ref="O8:O38" si="7">K8*L8</f>
        <v>1843924.38</v>
      </c>
      <c r="Q8">
        <v>1973.7</v>
      </c>
      <c r="R8" s="954">
        <f t="shared" ref="R8:R39" si="8">Q8-F8/1000</f>
        <v>0</v>
      </c>
    </row>
    <row r="9" spans="1:18" x14ac:dyDescent="0.25">
      <c r="A9" s="563" t="s">
        <v>663</v>
      </c>
      <c r="B9" s="558">
        <f t="shared" si="0"/>
        <v>587857.93999999994</v>
      </c>
      <c r="C9" s="559">
        <f>'291 имущ'!K16</f>
        <v>9820.64</v>
      </c>
      <c r="D9" s="559">
        <f>'291 земля'!$G$24</f>
        <v>578037.30000000005</v>
      </c>
      <c r="E9" s="560">
        <v>0.89274530740000002</v>
      </c>
      <c r="F9" s="558">
        <f t="shared" si="1"/>
        <v>524807.42000000004</v>
      </c>
      <c r="G9" s="952">
        <f t="shared" si="2"/>
        <v>8767.33</v>
      </c>
      <c r="H9" s="952">
        <f t="shared" si="3"/>
        <v>516040.09</v>
      </c>
      <c r="I9" s="558">
        <f t="shared" si="4"/>
        <v>587857.93999999994</v>
      </c>
      <c r="J9" s="559">
        <f>'291 имущ'!K16</f>
        <v>9820.64</v>
      </c>
      <c r="K9" s="559">
        <f>'291 земля'!$G$24</f>
        <v>578037.30000000005</v>
      </c>
      <c r="L9" s="560">
        <v>0.89274530740000002</v>
      </c>
      <c r="M9" s="558">
        <f t="shared" si="5"/>
        <v>524807.42000000004</v>
      </c>
      <c r="N9" s="952">
        <f t="shared" si="6"/>
        <v>8767.33</v>
      </c>
      <c r="O9" s="952">
        <f t="shared" si="7"/>
        <v>516040.09</v>
      </c>
      <c r="Q9">
        <v>524.70000000000005</v>
      </c>
      <c r="R9" s="954">
        <f t="shared" si="8"/>
        <v>-0.1</v>
      </c>
    </row>
    <row r="10" spans="1:18" x14ac:dyDescent="0.25">
      <c r="A10" s="953" t="s">
        <v>1554</v>
      </c>
      <c r="B10" s="558">
        <f t="shared" si="0"/>
        <v>1098063.3500000001</v>
      </c>
      <c r="C10" s="559">
        <f>'291 имущ'!K17</f>
        <v>59804.25</v>
      </c>
      <c r="D10" s="559">
        <f>'291 земля'!$G$28</f>
        <v>1038259.1</v>
      </c>
      <c r="E10" s="560">
        <v>0.97319667610000005</v>
      </c>
      <c r="F10" s="558">
        <f t="shared" si="1"/>
        <v>1068631.6100000001</v>
      </c>
      <c r="G10" s="952">
        <f t="shared" si="2"/>
        <v>58201.3</v>
      </c>
      <c r="H10" s="952">
        <f t="shared" si="3"/>
        <v>1010430.31</v>
      </c>
      <c r="I10" s="558">
        <f t="shared" si="4"/>
        <v>1098063.3500000001</v>
      </c>
      <c r="J10" s="559">
        <f>'291 имущ'!K17</f>
        <v>59804.25</v>
      </c>
      <c r="K10" s="559">
        <f>'291 земля'!$G$28</f>
        <v>1038259.1</v>
      </c>
      <c r="L10" s="560">
        <v>0.97319667610000005</v>
      </c>
      <c r="M10" s="558">
        <f t="shared" si="5"/>
        <v>1068631.6100000001</v>
      </c>
      <c r="N10" s="952">
        <f t="shared" si="6"/>
        <v>58201.3</v>
      </c>
      <c r="O10" s="952">
        <f t="shared" si="7"/>
        <v>1010430.31</v>
      </c>
      <c r="Q10">
        <v>1068.7</v>
      </c>
      <c r="R10" s="954">
        <f t="shared" si="8"/>
        <v>0.1</v>
      </c>
    </row>
    <row r="11" spans="1:18" x14ac:dyDescent="0.25">
      <c r="A11" s="953" t="s">
        <v>665</v>
      </c>
      <c r="B11" s="558">
        <f t="shared" si="0"/>
        <v>1156340.75</v>
      </c>
      <c r="C11" s="559">
        <f>'291 имущ'!K18</f>
        <v>75069.179999999993</v>
      </c>
      <c r="D11" s="559">
        <f>'291 земля'!$G$32</f>
        <v>1081271.57</v>
      </c>
      <c r="E11" s="560">
        <v>0.98687629690000001</v>
      </c>
      <c r="F11" s="558">
        <f t="shared" si="1"/>
        <v>1141165.27</v>
      </c>
      <c r="G11" s="952">
        <f t="shared" si="2"/>
        <v>74083.990000000005</v>
      </c>
      <c r="H11" s="952">
        <f t="shared" si="3"/>
        <v>1067081.28</v>
      </c>
      <c r="I11" s="558">
        <f t="shared" si="4"/>
        <v>1156340.75</v>
      </c>
      <c r="J11" s="559">
        <f>'291 имущ'!K18</f>
        <v>75069.179999999993</v>
      </c>
      <c r="K11" s="559">
        <f>'291 земля'!$G$32</f>
        <v>1081271.57</v>
      </c>
      <c r="L11" s="560">
        <v>0.98687629690000001</v>
      </c>
      <c r="M11" s="558">
        <f t="shared" si="5"/>
        <v>1141165.27</v>
      </c>
      <c r="N11" s="952">
        <f t="shared" si="6"/>
        <v>74083.990000000005</v>
      </c>
      <c r="O11" s="952">
        <f t="shared" si="7"/>
        <v>1067081.28</v>
      </c>
      <c r="Q11">
        <v>1141.2</v>
      </c>
      <c r="R11" s="954">
        <f t="shared" si="8"/>
        <v>0</v>
      </c>
    </row>
    <row r="12" spans="1:18" x14ac:dyDescent="0.25">
      <c r="A12" s="953" t="s">
        <v>1557</v>
      </c>
      <c r="B12" s="558">
        <f t="shared" si="0"/>
        <v>1416545.12</v>
      </c>
      <c r="C12" s="559">
        <f>'291 имущ'!K19</f>
        <v>46377.27</v>
      </c>
      <c r="D12" s="559">
        <f>'291 земля'!$G$36</f>
        <v>1370167.85</v>
      </c>
      <c r="E12" s="560">
        <v>0.9921768285</v>
      </c>
      <c r="F12" s="558">
        <f t="shared" si="1"/>
        <v>1405463.24</v>
      </c>
      <c r="G12" s="952">
        <f t="shared" si="2"/>
        <v>46014.45</v>
      </c>
      <c r="H12" s="952">
        <f t="shared" si="3"/>
        <v>1359448.79</v>
      </c>
      <c r="I12" s="558">
        <f t="shared" si="4"/>
        <v>1416545.12</v>
      </c>
      <c r="J12" s="559">
        <f>'291 имущ'!K19</f>
        <v>46377.27</v>
      </c>
      <c r="K12" s="559">
        <f>'291 земля'!$G$36</f>
        <v>1370167.85</v>
      </c>
      <c r="L12" s="560">
        <v>0.9921768285</v>
      </c>
      <c r="M12" s="558">
        <f t="shared" si="5"/>
        <v>1405463.24</v>
      </c>
      <c r="N12" s="952">
        <f t="shared" si="6"/>
        <v>46014.45</v>
      </c>
      <c r="O12" s="952">
        <f t="shared" si="7"/>
        <v>1359448.79</v>
      </c>
      <c r="Q12">
        <v>1405.5</v>
      </c>
      <c r="R12" s="954">
        <f t="shared" si="8"/>
        <v>0</v>
      </c>
    </row>
    <row r="13" spans="1:18" x14ac:dyDescent="0.25">
      <c r="A13" s="953" t="s">
        <v>1615</v>
      </c>
      <c r="B13" s="558">
        <f t="shared" si="0"/>
        <v>738517.7</v>
      </c>
      <c r="C13" s="559">
        <f>'291 имущ'!K20</f>
        <v>22401.38</v>
      </c>
      <c r="D13" s="559">
        <f>'291 земля'!$G$40</f>
        <v>716116.32</v>
      </c>
      <c r="E13" s="560">
        <v>0.96896676680000005</v>
      </c>
      <c r="F13" s="558">
        <f t="shared" si="1"/>
        <v>715599.11</v>
      </c>
      <c r="G13" s="952">
        <f t="shared" si="2"/>
        <v>21706.19</v>
      </c>
      <c r="H13" s="952">
        <f t="shared" si="3"/>
        <v>693892.92</v>
      </c>
      <c r="I13" s="558">
        <f t="shared" si="4"/>
        <v>738517.7</v>
      </c>
      <c r="J13" s="559">
        <f>'291 имущ'!K20</f>
        <v>22401.38</v>
      </c>
      <c r="K13" s="559">
        <f>'291 земля'!$G$40</f>
        <v>716116.32</v>
      </c>
      <c r="L13" s="560">
        <v>0.96896676680000005</v>
      </c>
      <c r="M13" s="558">
        <f t="shared" si="5"/>
        <v>715599.11</v>
      </c>
      <c r="N13" s="952">
        <f t="shared" si="6"/>
        <v>21706.19</v>
      </c>
      <c r="O13" s="952">
        <f t="shared" si="7"/>
        <v>693892.92</v>
      </c>
      <c r="Q13">
        <v>715.6</v>
      </c>
      <c r="R13" s="954">
        <f t="shared" si="8"/>
        <v>0</v>
      </c>
    </row>
    <row r="14" spans="1:18" x14ac:dyDescent="0.25">
      <c r="A14" s="953" t="s">
        <v>1560</v>
      </c>
      <c r="B14" s="558">
        <f t="shared" si="0"/>
        <v>732897.55</v>
      </c>
      <c r="C14" s="559">
        <f>'291 имущ'!K21</f>
        <v>0</v>
      </c>
      <c r="D14" s="559">
        <f>'291 земля'!$G$44</f>
        <v>732897.55</v>
      </c>
      <c r="E14" s="560">
        <v>0.9829452407</v>
      </c>
      <c r="F14" s="558">
        <f t="shared" si="1"/>
        <v>720398.16</v>
      </c>
      <c r="G14" s="952">
        <f t="shared" si="2"/>
        <v>0</v>
      </c>
      <c r="H14" s="952">
        <f t="shared" si="3"/>
        <v>720398.16</v>
      </c>
      <c r="I14" s="558">
        <f t="shared" si="4"/>
        <v>732897.55</v>
      </c>
      <c r="J14" s="559">
        <f>'291 имущ'!K21</f>
        <v>0</v>
      </c>
      <c r="K14" s="559">
        <f>'291 земля'!$G$44</f>
        <v>732897.55</v>
      </c>
      <c r="L14" s="560">
        <v>0.9829452407</v>
      </c>
      <c r="M14" s="558">
        <f t="shared" si="5"/>
        <v>720398.16</v>
      </c>
      <c r="N14" s="952">
        <f t="shared" si="6"/>
        <v>0</v>
      </c>
      <c r="O14" s="952">
        <f t="shared" si="7"/>
        <v>720398.16</v>
      </c>
      <c r="Q14">
        <v>720.4</v>
      </c>
      <c r="R14" s="954">
        <f t="shared" si="8"/>
        <v>0</v>
      </c>
    </row>
    <row r="15" spans="1:18" x14ac:dyDescent="0.25">
      <c r="A15" s="563" t="s">
        <v>669</v>
      </c>
      <c r="B15" s="558">
        <f t="shared" si="0"/>
        <v>2206264.0099999998</v>
      </c>
      <c r="C15" s="559">
        <f>'291 имущ'!K22</f>
        <v>0</v>
      </c>
      <c r="D15" s="559">
        <f>'291 земля'!$G$48</f>
        <v>2206264.0099999998</v>
      </c>
      <c r="E15" s="560">
        <v>0.92393380290000005</v>
      </c>
      <c r="F15" s="558">
        <f t="shared" si="1"/>
        <v>2038441.9</v>
      </c>
      <c r="G15" s="952">
        <f t="shared" si="2"/>
        <v>0</v>
      </c>
      <c r="H15" s="952">
        <f t="shared" si="3"/>
        <v>2038441.9</v>
      </c>
      <c r="I15" s="558">
        <f t="shared" si="4"/>
        <v>2206264.0099999998</v>
      </c>
      <c r="J15" s="559">
        <f>'291 имущ'!K22</f>
        <v>0</v>
      </c>
      <c r="K15" s="559">
        <f>'291 земля'!$G$48</f>
        <v>2206264.0099999998</v>
      </c>
      <c r="L15" s="560">
        <v>0.92393380290000005</v>
      </c>
      <c r="M15" s="558">
        <f t="shared" si="5"/>
        <v>2038441.9</v>
      </c>
      <c r="N15" s="952">
        <f t="shared" si="6"/>
        <v>0</v>
      </c>
      <c r="O15" s="952">
        <f t="shared" si="7"/>
        <v>2038441.9</v>
      </c>
      <c r="Q15">
        <v>2038.5</v>
      </c>
      <c r="R15" s="954">
        <f t="shared" si="8"/>
        <v>0.1</v>
      </c>
    </row>
    <row r="16" spans="1:18" x14ac:dyDescent="0.25">
      <c r="A16" s="563" t="s">
        <v>1616</v>
      </c>
      <c r="B16" s="558">
        <f t="shared" si="0"/>
        <v>2093299.01</v>
      </c>
      <c r="C16" s="559">
        <f>'291 имущ'!K23</f>
        <v>0</v>
      </c>
      <c r="D16" s="559">
        <f>'291 земля'!$G$52</f>
        <v>2093299.01</v>
      </c>
      <c r="E16" s="560">
        <v>0.99227506269999999</v>
      </c>
      <c r="F16" s="558">
        <f t="shared" si="1"/>
        <v>2077128.41</v>
      </c>
      <c r="G16" s="952">
        <f t="shared" si="2"/>
        <v>0</v>
      </c>
      <c r="H16" s="952">
        <f t="shared" si="3"/>
        <v>2077128.41</v>
      </c>
      <c r="I16" s="558">
        <f t="shared" si="4"/>
        <v>2093299.01</v>
      </c>
      <c r="J16" s="559">
        <f>'291 имущ'!K23</f>
        <v>0</v>
      </c>
      <c r="K16" s="559">
        <f>'291 земля'!$G$52</f>
        <v>2093299.01</v>
      </c>
      <c r="L16" s="560">
        <v>0.99227506269999999</v>
      </c>
      <c r="M16" s="558">
        <f t="shared" si="5"/>
        <v>2077128.41</v>
      </c>
      <c r="N16" s="952">
        <f t="shared" si="6"/>
        <v>0</v>
      </c>
      <c r="O16" s="952">
        <f t="shared" si="7"/>
        <v>2077128.41</v>
      </c>
      <c r="Q16">
        <v>2077.1</v>
      </c>
      <c r="R16" s="954">
        <f t="shared" si="8"/>
        <v>0</v>
      </c>
    </row>
    <row r="17" spans="1:18" x14ac:dyDescent="0.25">
      <c r="A17" s="563" t="s">
        <v>1617</v>
      </c>
      <c r="B17" s="558">
        <f t="shared" si="0"/>
        <v>1232946.5900000001</v>
      </c>
      <c r="C17" s="559">
        <f>'291 имущ'!K24</f>
        <v>0</v>
      </c>
      <c r="D17" s="559">
        <f>'291 земля'!$G$56</f>
        <v>1232946.5900000001</v>
      </c>
      <c r="E17" s="560">
        <v>0.98615727659999997</v>
      </c>
      <c r="F17" s="558">
        <f t="shared" si="1"/>
        <v>1215879.25</v>
      </c>
      <c r="G17" s="952">
        <f t="shared" si="2"/>
        <v>0</v>
      </c>
      <c r="H17" s="952">
        <f t="shared" si="3"/>
        <v>1215879.25</v>
      </c>
      <c r="I17" s="558">
        <f t="shared" si="4"/>
        <v>1232946.5900000001</v>
      </c>
      <c r="J17" s="559">
        <f>'291 имущ'!K24</f>
        <v>0</v>
      </c>
      <c r="K17" s="559">
        <f>'291 земля'!$G$56</f>
        <v>1232946.5900000001</v>
      </c>
      <c r="L17" s="560">
        <v>0.98615727659999997</v>
      </c>
      <c r="M17" s="558">
        <f t="shared" si="5"/>
        <v>1215879.25</v>
      </c>
      <c r="N17" s="952">
        <f t="shared" si="6"/>
        <v>0</v>
      </c>
      <c r="O17" s="952">
        <f t="shared" si="7"/>
        <v>1215879.25</v>
      </c>
      <c r="Q17">
        <v>1215.8</v>
      </c>
      <c r="R17" s="954">
        <f t="shared" si="8"/>
        <v>-0.1</v>
      </c>
    </row>
    <row r="18" spans="1:18" x14ac:dyDescent="0.25">
      <c r="A18" s="953" t="s">
        <v>1565</v>
      </c>
      <c r="B18" s="558">
        <f t="shared" si="0"/>
        <v>597297.71</v>
      </c>
      <c r="C18" s="559">
        <f>'291 имущ'!K25</f>
        <v>39347.279999999999</v>
      </c>
      <c r="D18" s="559">
        <f>'291 земля'!$G$60</f>
        <v>557950.43000000005</v>
      </c>
      <c r="E18" s="560">
        <v>1</v>
      </c>
      <c r="F18" s="558">
        <f t="shared" si="1"/>
        <v>597297.71</v>
      </c>
      <c r="G18" s="952">
        <f t="shared" si="2"/>
        <v>39347.279999999999</v>
      </c>
      <c r="H18" s="952">
        <f t="shared" si="3"/>
        <v>557950.43000000005</v>
      </c>
      <c r="I18" s="558">
        <f t="shared" si="4"/>
        <v>597297.71</v>
      </c>
      <c r="J18" s="559">
        <f>'291 имущ'!K25</f>
        <v>39347.279999999999</v>
      </c>
      <c r="K18" s="559">
        <f>'291 земля'!$G$60</f>
        <v>557950.43000000005</v>
      </c>
      <c r="L18" s="560">
        <v>1</v>
      </c>
      <c r="M18" s="558">
        <f t="shared" si="5"/>
        <v>597297.71</v>
      </c>
      <c r="N18" s="952">
        <f t="shared" si="6"/>
        <v>39347.279999999999</v>
      </c>
      <c r="O18" s="952">
        <f t="shared" si="7"/>
        <v>557950.43000000005</v>
      </c>
      <c r="Q18">
        <v>597.29999999999995</v>
      </c>
      <c r="R18" s="954">
        <f t="shared" si="8"/>
        <v>0</v>
      </c>
    </row>
    <row r="19" spans="1:18" x14ac:dyDescent="0.25">
      <c r="A19" s="953" t="s">
        <v>673</v>
      </c>
      <c r="B19" s="558">
        <f t="shared" si="0"/>
        <v>1297609.92</v>
      </c>
      <c r="C19" s="559">
        <f>'291 имущ'!K26</f>
        <v>15817.33</v>
      </c>
      <c r="D19" s="559">
        <f>'291 земля'!$G$64</f>
        <v>1281792.5900000001</v>
      </c>
      <c r="E19" s="560">
        <v>0.99437014290000003</v>
      </c>
      <c r="F19" s="558">
        <f t="shared" si="1"/>
        <v>1290304.56</v>
      </c>
      <c r="G19" s="952">
        <f t="shared" si="2"/>
        <v>15728.28</v>
      </c>
      <c r="H19" s="952">
        <f t="shared" si="3"/>
        <v>1274576.28</v>
      </c>
      <c r="I19" s="558">
        <f t="shared" si="4"/>
        <v>1297609.92</v>
      </c>
      <c r="J19" s="559">
        <f>'291 имущ'!K26</f>
        <v>15817.33</v>
      </c>
      <c r="K19" s="559">
        <f>'291 земля'!$G$64</f>
        <v>1281792.5900000001</v>
      </c>
      <c r="L19" s="560">
        <v>0.99437014290000003</v>
      </c>
      <c r="M19" s="558">
        <f t="shared" si="5"/>
        <v>1290304.56</v>
      </c>
      <c r="N19" s="952">
        <f t="shared" si="6"/>
        <v>15728.28</v>
      </c>
      <c r="O19" s="952">
        <f t="shared" si="7"/>
        <v>1274576.28</v>
      </c>
      <c r="Q19">
        <v>1290.3</v>
      </c>
      <c r="R19" s="954">
        <f t="shared" si="8"/>
        <v>0</v>
      </c>
    </row>
    <row r="20" spans="1:18" x14ac:dyDescent="0.25">
      <c r="A20" s="953" t="s">
        <v>674</v>
      </c>
      <c r="B20" s="558">
        <f t="shared" si="0"/>
        <v>1581689.15</v>
      </c>
      <c r="C20" s="559">
        <f>'291 имущ'!K27</f>
        <v>0</v>
      </c>
      <c r="D20" s="559">
        <f>'291 земля'!$G$66</f>
        <v>1581689.15</v>
      </c>
      <c r="E20" s="560">
        <v>0.99044820749999996</v>
      </c>
      <c r="F20" s="558">
        <f t="shared" si="1"/>
        <v>1566581.18</v>
      </c>
      <c r="G20" s="952">
        <f t="shared" si="2"/>
        <v>0</v>
      </c>
      <c r="H20" s="952">
        <f t="shared" si="3"/>
        <v>1566581.18</v>
      </c>
      <c r="I20" s="558">
        <f t="shared" si="4"/>
        <v>1581689.15</v>
      </c>
      <c r="J20" s="559">
        <f>'291 имущ'!K27</f>
        <v>0</v>
      </c>
      <c r="K20" s="559">
        <f>'291 земля'!$G$66</f>
        <v>1581689.15</v>
      </c>
      <c r="L20" s="560">
        <v>0.99044820749999996</v>
      </c>
      <c r="M20" s="558">
        <f t="shared" si="5"/>
        <v>1566581.18</v>
      </c>
      <c r="N20" s="952">
        <f t="shared" si="6"/>
        <v>0</v>
      </c>
      <c r="O20" s="952">
        <f t="shared" si="7"/>
        <v>1566581.18</v>
      </c>
      <c r="Q20">
        <v>1566.6</v>
      </c>
      <c r="R20" s="954">
        <f t="shared" si="8"/>
        <v>0</v>
      </c>
    </row>
    <row r="21" spans="1:18" x14ac:dyDescent="0.25">
      <c r="A21" s="563" t="s">
        <v>1570</v>
      </c>
      <c r="B21" s="558">
        <f t="shared" si="0"/>
        <v>1816211.55</v>
      </c>
      <c r="C21" s="559">
        <f>'291 имущ'!K28</f>
        <v>0</v>
      </c>
      <c r="D21" s="559">
        <f>'291 земля'!$G$68</f>
        <v>1816211.55</v>
      </c>
      <c r="E21" s="560">
        <v>0.98055003129999996</v>
      </c>
      <c r="F21" s="558">
        <f t="shared" si="1"/>
        <v>1780886.29</v>
      </c>
      <c r="G21" s="952">
        <f t="shared" si="2"/>
        <v>0</v>
      </c>
      <c r="H21" s="952">
        <f t="shared" si="3"/>
        <v>1780886.29</v>
      </c>
      <c r="I21" s="558">
        <f t="shared" si="4"/>
        <v>1816211.55</v>
      </c>
      <c r="J21" s="559">
        <f>'291 имущ'!K28</f>
        <v>0</v>
      </c>
      <c r="K21" s="559">
        <f>'291 земля'!$G$68</f>
        <v>1816211.55</v>
      </c>
      <c r="L21" s="560">
        <v>0.98055003129999996</v>
      </c>
      <c r="M21" s="558">
        <f t="shared" si="5"/>
        <v>1780886.29</v>
      </c>
      <c r="N21" s="952">
        <f t="shared" si="6"/>
        <v>0</v>
      </c>
      <c r="O21" s="952">
        <f t="shared" si="7"/>
        <v>1780886.29</v>
      </c>
      <c r="Q21">
        <v>1780.9</v>
      </c>
      <c r="R21" s="954">
        <f t="shared" si="8"/>
        <v>0</v>
      </c>
    </row>
    <row r="22" spans="1:18" x14ac:dyDescent="0.25">
      <c r="A22" s="562" t="s">
        <v>676</v>
      </c>
      <c r="B22" s="558">
        <f t="shared" si="0"/>
        <v>1995188.67</v>
      </c>
      <c r="C22" s="559">
        <f>'291 имущ'!K29</f>
        <v>4405.87</v>
      </c>
      <c r="D22" s="559">
        <f>'291 земля'!$G$70</f>
        <v>1990782.8</v>
      </c>
      <c r="E22" s="560">
        <v>0.93628310000000003</v>
      </c>
      <c r="F22" s="558">
        <f t="shared" si="1"/>
        <v>1868061.43</v>
      </c>
      <c r="G22" s="952">
        <f t="shared" si="2"/>
        <v>4125.1400000000003</v>
      </c>
      <c r="H22" s="952">
        <f t="shared" si="3"/>
        <v>1863936.29</v>
      </c>
      <c r="I22" s="558">
        <f t="shared" si="4"/>
        <v>1995188.67</v>
      </c>
      <c r="J22" s="559">
        <f>'291 имущ'!K29</f>
        <v>4405.87</v>
      </c>
      <c r="K22" s="559">
        <f>'291 земля'!$G$70</f>
        <v>1990782.8</v>
      </c>
      <c r="L22" s="560">
        <v>0.93628310000000003</v>
      </c>
      <c r="M22" s="558">
        <f t="shared" si="5"/>
        <v>1868061.43</v>
      </c>
      <c r="N22" s="952">
        <f t="shared" si="6"/>
        <v>4125.1400000000003</v>
      </c>
      <c r="O22" s="952">
        <f t="shared" si="7"/>
        <v>1863936.29</v>
      </c>
      <c r="Q22">
        <v>1868.1</v>
      </c>
      <c r="R22" s="954">
        <f t="shared" si="8"/>
        <v>0</v>
      </c>
    </row>
    <row r="23" spans="1:18" x14ac:dyDescent="0.25">
      <c r="A23" s="562" t="s">
        <v>677</v>
      </c>
      <c r="B23" s="558">
        <f t="shared" si="0"/>
        <v>1194888.53</v>
      </c>
      <c r="C23" s="559">
        <f>'291 имущ'!K30</f>
        <v>1764.86</v>
      </c>
      <c r="D23" s="559">
        <f>'291 земля'!$G$72</f>
        <v>1193123.67</v>
      </c>
      <c r="E23" s="560">
        <v>0.98666027860000005</v>
      </c>
      <c r="F23" s="558">
        <f t="shared" si="1"/>
        <v>1178949.05</v>
      </c>
      <c r="G23" s="952">
        <f t="shared" si="2"/>
        <v>1741.32</v>
      </c>
      <c r="H23" s="952">
        <f t="shared" si="3"/>
        <v>1177207.73</v>
      </c>
      <c r="I23" s="558">
        <f t="shared" si="4"/>
        <v>1194888.53</v>
      </c>
      <c r="J23" s="559">
        <f>'291 имущ'!K30</f>
        <v>1764.86</v>
      </c>
      <c r="K23" s="559">
        <f>'291 земля'!$G$72</f>
        <v>1193123.67</v>
      </c>
      <c r="L23" s="560">
        <v>0.98666027860000005</v>
      </c>
      <c r="M23" s="558">
        <f t="shared" si="5"/>
        <v>1178949.05</v>
      </c>
      <c r="N23" s="952">
        <f t="shared" si="6"/>
        <v>1741.32</v>
      </c>
      <c r="O23" s="952">
        <f t="shared" si="7"/>
        <v>1177207.73</v>
      </c>
      <c r="Q23">
        <v>1179</v>
      </c>
      <c r="R23" s="954">
        <f t="shared" si="8"/>
        <v>0.1</v>
      </c>
    </row>
    <row r="24" spans="1:18" x14ac:dyDescent="0.25">
      <c r="A24" s="563" t="s">
        <v>678</v>
      </c>
      <c r="B24" s="558">
        <f t="shared" si="0"/>
        <v>1856595.35</v>
      </c>
      <c r="C24" s="559">
        <f>'291 имущ'!K31</f>
        <v>0</v>
      </c>
      <c r="D24" s="559">
        <f>'291 земля'!$G$75</f>
        <v>1856595.35</v>
      </c>
      <c r="E24" s="560">
        <v>0.98881925240000001</v>
      </c>
      <c r="F24" s="558">
        <f t="shared" si="1"/>
        <v>1835837.23</v>
      </c>
      <c r="G24" s="952">
        <f t="shared" si="2"/>
        <v>0</v>
      </c>
      <c r="H24" s="952">
        <f t="shared" si="3"/>
        <v>1835837.23</v>
      </c>
      <c r="I24" s="558">
        <f t="shared" si="4"/>
        <v>1856595.35</v>
      </c>
      <c r="J24" s="559">
        <f>'291 имущ'!K31</f>
        <v>0</v>
      </c>
      <c r="K24" s="559">
        <f>'291 земля'!$G$75</f>
        <v>1856595.35</v>
      </c>
      <c r="L24" s="560">
        <v>0.98881925240000001</v>
      </c>
      <c r="M24" s="558">
        <f t="shared" si="5"/>
        <v>1835837.23</v>
      </c>
      <c r="N24" s="952">
        <f t="shared" si="6"/>
        <v>0</v>
      </c>
      <c r="O24" s="952">
        <f t="shared" si="7"/>
        <v>1835837.23</v>
      </c>
      <c r="Q24">
        <v>1835.8</v>
      </c>
      <c r="R24" s="954">
        <f t="shared" si="8"/>
        <v>0</v>
      </c>
    </row>
    <row r="25" spans="1:18" x14ac:dyDescent="0.25">
      <c r="A25" s="562" t="s">
        <v>679</v>
      </c>
      <c r="B25" s="558">
        <f t="shared" si="0"/>
        <v>1053524.22</v>
      </c>
      <c r="C25" s="559">
        <f>'291 имущ'!K32</f>
        <v>37468.400000000001</v>
      </c>
      <c r="D25" s="559">
        <f>'291 земля'!$G$77</f>
        <v>1016055.82</v>
      </c>
      <c r="E25" s="560">
        <v>0.9823927402</v>
      </c>
      <c r="F25" s="558">
        <f t="shared" si="1"/>
        <v>1034974.54</v>
      </c>
      <c r="G25" s="952">
        <f t="shared" si="2"/>
        <v>36808.68</v>
      </c>
      <c r="H25" s="952">
        <f t="shared" si="3"/>
        <v>998165.86</v>
      </c>
      <c r="I25" s="558">
        <f t="shared" si="4"/>
        <v>1053524.22</v>
      </c>
      <c r="J25" s="559">
        <f>'291 имущ'!K32</f>
        <v>37468.400000000001</v>
      </c>
      <c r="K25" s="559">
        <f>'291 земля'!$G$77</f>
        <v>1016055.82</v>
      </c>
      <c r="L25" s="560">
        <v>0.9823927402</v>
      </c>
      <c r="M25" s="558">
        <f t="shared" si="5"/>
        <v>1034974.54</v>
      </c>
      <c r="N25" s="952">
        <f t="shared" si="6"/>
        <v>36808.68</v>
      </c>
      <c r="O25" s="952">
        <f t="shared" si="7"/>
        <v>998165.86</v>
      </c>
      <c r="Q25">
        <v>1035</v>
      </c>
      <c r="R25" s="954">
        <f t="shared" si="8"/>
        <v>0</v>
      </c>
    </row>
    <row r="26" spans="1:18" x14ac:dyDescent="0.25">
      <c r="A26" s="563" t="s">
        <v>680</v>
      </c>
      <c r="B26" s="558">
        <f t="shared" si="0"/>
        <v>2033910.32</v>
      </c>
      <c r="C26" s="559">
        <f>'291 имущ'!K33</f>
        <v>0</v>
      </c>
      <c r="D26" s="559">
        <f>'291 земля'!$G$79</f>
        <v>2033910.32</v>
      </c>
      <c r="E26" s="560">
        <v>0.97548029469999997</v>
      </c>
      <c r="F26" s="558">
        <f t="shared" si="1"/>
        <v>1984039.44</v>
      </c>
      <c r="G26" s="952">
        <f t="shared" si="2"/>
        <v>0</v>
      </c>
      <c r="H26" s="952">
        <f t="shared" si="3"/>
        <v>1984039.44</v>
      </c>
      <c r="I26" s="558">
        <f t="shared" si="4"/>
        <v>2033910.32</v>
      </c>
      <c r="J26" s="559">
        <f>'291 имущ'!K33</f>
        <v>0</v>
      </c>
      <c r="K26" s="559">
        <f>'291 земля'!$G$79</f>
        <v>2033910.32</v>
      </c>
      <c r="L26" s="560">
        <v>0.97548029469999997</v>
      </c>
      <c r="M26" s="558">
        <f t="shared" si="5"/>
        <v>1984039.44</v>
      </c>
      <c r="N26" s="952">
        <f t="shared" si="6"/>
        <v>0</v>
      </c>
      <c r="O26" s="952">
        <f t="shared" si="7"/>
        <v>1984039.44</v>
      </c>
      <c r="Q26">
        <v>1984</v>
      </c>
      <c r="R26" s="954">
        <f t="shared" si="8"/>
        <v>0</v>
      </c>
    </row>
    <row r="27" spans="1:18" x14ac:dyDescent="0.25">
      <c r="A27" s="563" t="s">
        <v>1618</v>
      </c>
      <c r="B27" s="558">
        <f t="shared" si="0"/>
        <v>2581706.62</v>
      </c>
      <c r="C27" s="559">
        <f>'291 имущ'!K34</f>
        <v>205152.53</v>
      </c>
      <c r="D27" s="559">
        <f>'291 земля'!$G$82</f>
        <v>2376554.09</v>
      </c>
      <c r="E27" s="560">
        <v>0.97636352510000002</v>
      </c>
      <c r="F27" s="558">
        <f t="shared" si="1"/>
        <v>2520684.1800000002</v>
      </c>
      <c r="G27" s="952">
        <f t="shared" si="2"/>
        <v>200303.45</v>
      </c>
      <c r="H27" s="952">
        <f t="shared" si="3"/>
        <v>2320380.73</v>
      </c>
      <c r="I27" s="558">
        <f t="shared" si="4"/>
        <v>2581706.62</v>
      </c>
      <c r="J27" s="559">
        <f>'291 имущ'!K34</f>
        <v>205152.53</v>
      </c>
      <c r="K27" s="559">
        <f>'291 земля'!$G$82</f>
        <v>2376554.09</v>
      </c>
      <c r="L27" s="560">
        <v>0.97636352510000002</v>
      </c>
      <c r="M27" s="558">
        <f t="shared" si="5"/>
        <v>2520684.1800000002</v>
      </c>
      <c r="N27" s="952">
        <f t="shared" si="6"/>
        <v>200303.45</v>
      </c>
      <c r="O27" s="952">
        <f t="shared" si="7"/>
        <v>2320380.73</v>
      </c>
      <c r="Q27">
        <v>2520.6999999999998</v>
      </c>
      <c r="R27" s="954">
        <f t="shared" si="8"/>
        <v>0</v>
      </c>
    </row>
    <row r="28" spans="1:18" x14ac:dyDescent="0.25">
      <c r="A28" s="562" t="s">
        <v>682</v>
      </c>
      <c r="B28" s="558">
        <f t="shared" si="0"/>
        <v>3405572.3</v>
      </c>
      <c r="C28" s="559">
        <f>'291 имущ'!K35</f>
        <v>294536.57</v>
      </c>
      <c r="D28" s="559">
        <f>'291 земля'!$G$84</f>
        <v>3111035.73</v>
      </c>
      <c r="E28" s="560">
        <v>0.99397414070000001</v>
      </c>
      <c r="F28" s="558">
        <f t="shared" si="1"/>
        <v>3385050.8</v>
      </c>
      <c r="G28" s="952">
        <f t="shared" si="2"/>
        <v>292761.73</v>
      </c>
      <c r="H28" s="952">
        <f t="shared" si="3"/>
        <v>3092289.07</v>
      </c>
      <c r="I28" s="558">
        <f t="shared" si="4"/>
        <v>3405572.3</v>
      </c>
      <c r="J28" s="559">
        <f>'291 имущ'!K35</f>
        <v>294536.57</v>
      </c>
      <c r="K28" s="559">
        <f>'291 земля'!$G$84</f>
        <v>3111035.73</v>
      </c>
      <c r="L28" s="560">
        <v>0.99397414070000001</v>
      </c>
      <c r="M28" s="558">
        <f t="shared" si="5"/>
        <v>3385050.8</v>
      </c>
      <c r="N28" s="952">
        <f t="shared" si="6"/>
        <v>292761.73</v>
      </c>
      <c r="O28" s="952">
        <f t="shared" si="7"/>
        <v>3092289.07</v>
      </c>
      <c r="Q28">
        <v>3385</v>
      </c>
      <c r="R28" s="954">
        <f t="shared" si="8"/>
        <v>-0.1</v>
      </c>
    </row>
    <row r="29" spans="1:18" x14ac:dyDescent="0.25">
      <c r="A29" s="562" t="s">
        <v>683</v>
      </c>
      <c r="B29" s="558">
        <f t="shared" si="0"/>
        <v>1246603.22</v>
      </c>
      <c r="C29" s="559">
        <f>'291 имущ'!K36</f>
        <v>0</v>
      </c>
      <c r="D29" s="559">
        <f>'291 земля'!$G$86</f>
        <v>1246603.22</v>
      </c>
      <c r="E29" s="560">
        <v>0.98365203840000004</v>
      </c>
      <c r="F29" s="558">
        <f t="shared" si="1"/>
        <v>1226223.8</v>
      </c>
      <c r="G29" s="952">
        <f t="shared" si="2"/>
        <v>0</v>
      </c>
      <c r="H29" s="952">
        <f t="shared" si="3"/>
        <v>1226223.8</v>
      </c>
      <c r="I29" s="558">
        <f t="shared" si="4"/>
        <v>1246603.22</v>
      </c>
      <c r="J29" s="559">
        <f>'291 имущ'!K36</f>
        <v>0</v>
      </c>
      <c r="K29" s="559">
        <f>'291 земля'!$G$86</f>
        <v>1246603.22</v>
      </c>
      <c r="L29" s="560">
        <v>0.98365203840000004</v>
      </c>
      <c r="M29" s="558">
        <f t="shared" si="5"/>
        <v>1226223.8</v>
      </c>
      <c r="N29" s="952">
        <f t="shared" si="6"/>
        <v>0</v>
      </c>
      <c r="O29" s="952">
        <f t="shared" si="7"/>
        <v>1226223.8</v>
      </c>
      <c r="Q29">
        <v>1226.2</v>
      </c>
      <c r="R29" s="954">
        <f t="shared" si="8"/>
        <v>0</v>
      </c>
    </row>
    <row r="30" spans="1:18" x14ac:dyDescent="0.25">
      <c r="A30" s="562" t="s">
        <v>684</v>
      </c>
      <c r="B30" s="558">
        <f t="shared" si="0"/>
        <v>1626173.93</v>
      </c>
      <c r="C30" s="559">
        <f>'291 имущ'!K37</f>
        <v>33124.78</v>
      </c>
      <c r="D30" s="559">
        <f>'291 земля'!$G$88</f>
        <v>1593049.15</v>
      </c>
      <c r="E30" s="560">
        <v>0.99587834129999997</v>
      </c>
      <c r="F30" s="558">
        <f t="shared" si="1"/>
        <v>1619471.4</v>
      </c>
      <c r="G30" s="952">
        <f t="shared" si="2"/>
        <v>32988.25</v>
      </c>
      <c r="H30" s="952">
        <f t="shared" si="3"/>
        <v>1586483.15</v>
      </c>
      <c r="I30" s="558">
        <f t="shared" si="4"/>
        <v>1626173.93</v>
      </c>
      <c r="J30" s="559">
        <f>'291 имущ'!K37</f>
        <v>33124.78</v>
      </c>
      <c r="K30" s="559">
        <f>'291 земля'!$G$88</f>
        <v>1593049.15</v>
      </c>
      <c r="L30" s="560">
        <v>0.99587834129999997</v>
      </c>
      <c r="M30" s="558">
        <f t="shared" si="5"/>
        <v>1619471.4</v>
      </c>
      <c r="N30" s="952">
        <f t="shared" si="6"/>
        <v>32988.25</v>
      </c>
      <c r="O30" s="952">
        <f t="shared" si="7"/>
        <v>1586483.15</v>
      </c>
      <c r="Q30">
        <v>1619.4</v>
      </c>
      <c r="R30" s="954">
        <f t="shared" si="8"/>
        <v>-0.1</v>
      </c>
    </row>
    <row r="31" spans="1:18" x14ac:dyDescent="0.25">
      <c r="A31" s="562" t="s">
        <v>685</v>
      </c>
      <c r="B31" s="558">
        <f t="shared" si="0"/>
        <v>4339218.97</v>
      </c>
      <c r="C31" s="559">
        <f>'291 имущ'!K38</f>
        <v>127910.32</v>
      </c>
      <c r="D31" s="559">
        <f>'291 земля'!$G$94</f>
        <v>4211308.6500000004</v>
      </c>
      <c r="E31" s="560">
        <v>0.97761135899999996</v>
      </c>
      <c r="F31" s="558">
        <f t="shared" si="1"/>
        <v>4242069.75</v>
      </c>
      <c r="G31" s="952">
        <f t="shared" si="2"/>
        <v>125046.58</v>
      </c>
      <c r="H31" s="952">
        <f t="shared" si="3"/>
        <v>4117023.17</v>
      </c>
      <c r="I31" s="558">
        <f t="shared" si="4"/>
        <v>4339218.97</v>
      </c>
      <c r="J31" s="559">
        <f>'291 имущ'!K38</f>
        <v>127910.32</v>
      </c>
      <c r="K31" s="559">
        <f>'291 земля'!$G$94</f>
        <v>4211308.6500000004</v>
      </c>
      <c r="L31" s="560">
        <v>0.97761135899999996</v>
      </c>
      <c r="M31" s="558">
        <f t="shared" si="5"/>
        <v>4242069.75</v>
      </c>
      <c r="N31" s="952">
        <f t="shared" si="6"/>
        <v>125046.58</v>
      </c>
      <c r="O31" s="952">
        <f t="shared" si="7"/>
        <v>4117023.17</v>
      </c>
      <c r="Q31">
        <v>4242</v>
      </c>
      <c r="R31" s="954">
        <f t="shared" si="8"/>
        <v>-0.1</v>
      </c>
    </row>
    <row r="32" spans="1:18" x14ac:dyDescent="0.25">
      <c r="A32" s="562" t="s">
        <v>1589</v>
      </c>
      <c r="B32" s="558">
        <f t="shared" si="0"/>
        <v>2173643.2599999998</v>
      </c>
      <c r="C32" s="559">
        <f>'291 имущ'!K39</f>
        <v>26882.69</v>
      </c>
      <c r="D32" s="559">
        <f>'291 земля'!$G$96</f>
        <v>2146760.5699999998</v>
      </c>
      <c r="E32" s="560">
        <v>0.95776520350000005</v>
      </c>
      <c r="F32" s="558">
        <f t="shared" si="1"/>
        <v>2081839.88</v>
      </c>
      <c r="G32" s="952">
        <f t="shared" si="2"/>
        <v>25747.31</v>
      </c>
      <c r="H32" s="952">
        <f t="shared" si="3"/>
        <v>2056092.57</v>
      </c>
      <c r="I32" s="558">
        <f t="shared" si="4"/>
        <v>2173643.2599999998</v>
      </c>
      <c r="J32" s="559">
        <f>'291 имущ'!K39</f>
        <v>26882.69</v>
      </c>
      <c r="K32" s="559">
        <f>'291 земля'!$G$96</f>
        <v>2146760.5699999998</v>
      </c>
      <c r="L32" s="560">
        <v>0.95776520350000005</v>
      </c>
      <c r="M32" s="558">
        <f t="shared" si="5"/>
        <v>2081839.88</v>
      </c>
      <c r="N32" s="952">
        <f t="shared" si="6"/>
        <v>25747.31</v>
      </c>
      <c r="O32" s="952">
        <f t="shared" si="7"/>
        <v>2056092.57</v>
      </c>
      <c r="Q32">
        <v>2081.9</v>
      </c>
      <c r="R32" s="954">
        <f t="shared" si="8"/>
        <v>0.1</v>
      </c>
    </row>
    <row r="33" spans="1:18" x14ac:dyDescent="0.25">
      <c r="A33" s="562" t="s">
        <v>687</v>
      </c>
      <c r="B33" s="558">
        <f t="shared" si="0"/>
        <v>3049287.32</v>
      </c>
      <c r="C33" s="559">
        <f>'291 имущ'!K40</f>
        <v>368709</v>
      </c>
      <c r="D33" s="559">
        <f>'291 земля'!$G$98</f>
        <v>2680578.3199999998</v>
      </c>
      <c r="E33" s="560">
        <v>0.98256217150000003</v>
      </c>
      <c r="F33" s="558">
        <f t="shared" si="1"/>
        <v>2996114.37</v>
      </c>
      <c r="G33" s="952">
        <f t="shared" si="2"/>
        <v>362279.52</v>
      </c>
      <c r="H33" s="952">
        <f t="shared" si="3"/>
        <v>2633834.85</v>
      </c>
      <c r="I33" s="558">
        <f t="shared" si="4"/>
        <v>3049287.32</v>
      </c>
      <c r="J33" s="559">
        <f>'291 имущ'!K40</f>
        <v>368709</v>
      </c>
      <c r="K33" s="559">
        <f>'291 земля'!$G$98</f>
        <v>2680578.3199999998</v>
      </c>
      <c r="L33" s="560">
        <v>0.98256217150000003</v>
      </c>
      <c r="M33" s="558">
        <f t="shared" si="5"/>
        <v>2996114.37</v>
      </c>
      <c r="N33" s="952">
        <f t="shared" si="6"/>
        <v>362279.52</v>
      </c>
      <c r="O33" s="952">
        <f t="shared" si="7"/>
        <v>2633834.85</v>
      </c>
      <c r="Q33">
        <v>2996.2</v>
      </c>
      <c r="R33" s="954">
        <f t="shared" si="8"/>
        <v>0.1</v>
      </c>
    </row>
    <row r="34" spans="1:18" x14ac:dyDescent="0.25">
      <c r="A34" s="562" t="s">
        <v>688</v>
      </c>
      <c r="B34" s="558">
        <f t="shared" si="0"/>
        <v>2686287.02</v>
      </c>
      <c r="C34" s="559">
        <f>'291 имущ'!K41</f>
        <v>755639.61</v>
      </c>
      <c r="D34" s="559">
        <f>'291 земля'!$G$100</f>
        <v>1930647.41</v>
      </c>
      <c r="E34" s="560">
        <v>0.99338519140000003</v>
      </c>
      <c r="F34" s="558">
        <f t="shared" si="1"/>
        <v>2668517.75</v>
      </c>
      <c r="G34" s="952">
        <f t="shared" si="2"/>
        <v>750641.2</v>
      </c>
      <c r="H34" s="952">
        <f t="shared" si="3"/>
        <v>1917876.55</v>
      </c>
      <c r="I34" s="558">
        <f t="shared" si="4"/>
        <v>2686287.02</v>
      </c>
      <c r="J34" s="559">
        <f>'291 имущ'!K41</f>
        <v>755639.61</v>
      </c>
      <c r="K34" s="559">
        <f>'291 земля'!$G$100</f>
        <v>1930647.41</v>
      </c>
      <c r="L34" s="560">
        <v>0.99338519140000003</v>
      </c>
      <c r="M34" s="558">
        <f t="shared" si="5"/>
        <v>2668517.75</v>
      </c>
      <c r="N34" s="952">
        <f t="shared" si="6"/>
        <v>750641.2</v>
      </c>
      <c r="O34" s="952">
        <f t="shared" si="7"/>
        <v>1917876.55</v>
      </c>
      <c r="Q34">
        <v>2668.4</v>
      </c>
      <c r="R34" s="954">
        <f t="shared" si="8"/>
        <v>-0.1</v>
      </c>
    </row>
    <row r="35" spans="1:18" x14ac:dyDescent="0.25">
      <c r="A35" s="563" t="s">
        <v>689</v>
      </c>
      <c r="B35" s="558">
        <f t="shared" si="0"/>
        <v>2548629.02</v>
      </c>
      <c r="C35" s="559">
        <f>'291 имущ'!K42</f>
        <v>1051912.03</v>
      </c>
      <c r="D35" s="559">
        <f>'291 земля'!$G$102</f>
        <v>1496716.99</v>
      </c>
      <c r="E35" s="560">
        <v>0.88427152539999998</v>
      </c>
      <c r="F35" s="558">
        <f t="shared" si="1"/>
        <v>2253680.08</v>
      </c>
      <c r="G35" s="952">
        <f t="shared" si="2"/>
        <v>930175.86</v>
      </c>
      <c r="H35" s="952">
        <f t="shared" si="3"/>
        <v>1323504.22</v>
      </c>
      <c r="I35" s="558">
        <f t="shared" si="4"/>
        <v>2548629.02</v>
      </c>
      <c r="J35" s="559">
        <f>'291 имущ'!K42</f>
        <v>1051912.03</v>
      </c>
      <c r="K35" s="559">
        <f>'291 земля'!$G$102</f>
        <v>1496716.99</v>
      </c>
      <c r="L35" s="560">
        <v>0.88427152539999998</v>
      </c>
      <c r="M35" s="558">
        <f t="shared" si="5"/>
        <v>2253680.08</v>
      </c>
      <c r="N35" s="952">
        <f t="shared" si="6"/>
        <v>930175.86</v>
      </c>
      <c r="O35" s="952">
        <f t="shared" si="7"/>
        <v>1323504.22</v>
      </c>
      <c r="Q35">
        <v>2253.8000000000002</v>
      </c>
      <c r="R35" s="954">
        <f t="shared" si="8"/>
        <v>0.1</v>
      </c>
    </row>
    <row r="36" spans="1:18" x14ac:dyDescent="0.25">
      <c r="A36" s="562" t="s">
        <v>1619</v>
      </c>
      <c r="B36" s="558">
        <f t="shared" si="0"/>
        <v>4707251.29</v>
      </c>
      <c r="C36" s="559">
        <f>'291 имущ'!K43</f>
        <v>2196578.75</v>
      </c>
      <c r="D36" s="559">
        <f>'291 земля'!$G$104</f>
        <v>2510672.54</v>
      </c>
      <c r="E36" s="560">
        <v>0.96771819709999995</v>
      </c>
      <c r="F36" s="558">
        <f t="shared" si="1"/>
        <v>4555292.7300000004</v>
      </c>
      <c r="G36" s="952">
        <f t="shared" si="2"/>
        <v>2125669.23</v>
      </c>
      <c r="H36" s="952">
        <f t="shared" si="3"/>
        <v>2429623.5</v>
      </c>
      <c r="I36" s="558">
        <f t="shared" si="4"/>
        <v>4707251.29</v>
      </c>
      <c r="J36" s="559">
        <f>'291 имущ'!K43</f>
        <v>2196578.75</v>
      </c>
      <c r="K36" s="559">
        <f>'291 земля'!$G$104</f>
        <v>2510672.54</v>
      </c>
      <c r="L36" s="560">
        <v>0.96771819709999995</v>
      </c>
      <c r="M36" s="558">
        <f t="shared" si="5"/>
        <v>4555292.7300000004</v>
      </c>
      <c r="N36" s="952">
        <f t="shared" si="6"/>
        <v>2125669.23</v>
      </c>
      <c r="O36" s="952">
        <f t="shared" si="7"/>
        <v>2429623.5</v>
      </c>
      <c r="Q36">
        <v>4555.3999999999996</v>
      </c>
      <c r="R36" s="954">
        <f t="shared" si="8"/>
        <v>0.1</v>
      </c>
    </row>
    <row r="37" spans="1:18" x14ac:dyDescent="0.25">
      <c r="A37" s="563" t="s">
        <v>691</v>
      </c>
      <c r="B37" s="558">
        <f t="shared" si="0"/>
        <v>23930920.140000001</v>
      </c>
      <c r="C37" s="559">
        <f>'291 имущ'!K44</f>
        <v>23894637.440000001</v>
      </c>
      <c r="D37" s="559">
        <f>'291 земля'!$G$106</f>
        <v>36282.699999999997</v>
      </c>
      <c r="E37" s="560">
        <v>1</v>
      </c>
      <c r="F37" s="558">
        <f t="shared" si="1"/>
        <v>23930920.140000001</v>
      </c>
      <c r="G37" s="952">
        <f t="shared" si="2"/>
        <v>23894637.440000001</v>
      </c>
      <c r="H37" s="952">
        <f t="shared" si="3"/>
        <v>36282.699999999997</v>
      </c>
      <c r="I37" s="558">
        <f t="shared" si="4"/>
        <v>23930920.140000001</v>
      </c>
      <c r="J37" s="559">
        <f>'291 имущ'!K44</f>
        <v>23894637.440000001</v>
      </c>
      <c r="K37" s="559">
        <f>'291 земля'!$G$106</f>
        <v>36282.699999999997</v>
      </c>
      <c r="L37" s="560">
        <v>1</v>
      </c>
      <c r="M37" s="558">
        <f t="shared" si="5"/>
        <v>23930920.140000001</v>
      </c>
      <c r="N37" s="952">
        <f t="shared" si="6"/>
        <v>23894637.440000001</v>
      </c>
      <c r="O37" s="952">
        <f t="shared" si="7"/>
        <v>36282.699999999997</v>
      </c>
      <c r="Q37">
        <v>23930.9</v>
      </c>
      <c r="R37" s="954">
        <f t="shared" si="8"/>
        <v>0</v>
      </c>
    </row>
    <row r="38" spans="1:18" x14ac:dyDescent="0.25">
      <c r="A38" s="562"/>
      <c r="B38" s="558">
        <f t="shared" si="0"/>
        <v>0</v>
      </c>
      <c r="C38" s="559"/>
      <c r="D38" s="559"/>
      <c r="E38" s="560"/>
      <c r="F38" s="558">
        <f t="shared" si="1"/>
        <v>0</v>
      </c>
      <c r="G38" s="952">
        <f t="shared" si="2"/>
        <v>0</v>
      </c>
      <c r="H38" s="952">
        <f t="shared" si="3"/>
        <v>0</v>
      </c>
      <c r="I38" s="558">
        <f t="shared" si="4"/>
        <v>0</v>
      </c>
      <c r="J38" s="559"/>
      <c r="K38" s="559"/>
      <c r="L38" s="560"/>
      <c r="M38" s="558">
        <f t="shared" si="5"/>
        <v>0</v>
      </c>
      <c r="N38" s="952">
        <f t="shared" si="6"/>
        <v>0</v>
      </c>
      <c r="O38" s="952">
        <f t="shared" si="7"/>
        <v>0</v>
      </c>
    </row>
    <row r="39" spans="1:18" x14ac:dyDescent="0.25">
      <c r="A39" s="564" t="s">
        <v>1333</v>
      </c>
      <c r="B39" s="565">
        <f>SUM(B7:B38)</f>
        <v>80067527.409999996</v>
      </c>
      <c r="C39" s="565">
        <f t="shared" ref="C39:D39" si="9">SUM(C7:C38)</f>
        <v>29398126.219999999</v>
      </c>
      <c r="D39" s="565">
        <f t="shared" si="9"/>
        <v>50669401.189999998</v>
      </c>
      <c r="E39" s="566"/>
      <c r="F39" s="565">
        <f t="shared" ref="F39:K39" si="10">SUM(F7:F38)</f>
        <v>78572674.290000007</v>
      </c>
      <c r="G39" s="565">
        <f t="shared" si="10"/>
        <v>29176562.370000001</v>
      </c>
      <c r="H39" s="565">
        <f t="shared" si="10"/>
        <v>49396111.920000002</v>
      </c>
      <c r="I39" s="565">
        <f t="shared" si="10"/>
        <v>80067527.409999996</v>
      </c>
      <c r="J39" s="565">
        <f t="shared" si="10"/>
        <v>29398126.219999999</v>
      </c>
      <c r="K39" s="565">
        <f t="shared" si="10"/>
        <v>50669401.189999998</v>
      </c>
      <c r="L39" s="566"/>
      <c r="M39" s="565">
        <f t="shared" ref="M39:O39" si="11">SUM(M7:M38)</f>
        <v>78572674.290000007</v>
      </c>
      <c r="N39" s="565">
        <f t="shared" si="11"/>
        <v>29176562.370000001</v>
      </c>
      <c r="O39" s="565">
        <f t="shared" si="11"/>
        <v>49396111.920000002</v>
      </c>
      <c r="Q39">
        <v>78572.800000000003</v>
      </c>
      <c r="R39" s="954">
        <f t="shared" si="8"/>
        <v>0.1</v>
      </c>
    </row>
    <row r="40" spans="1:18" x14ac:dyDescent="0.25">
      <c r="A40" s="564" t="s">
        <v>1334</v>
      </c>
      <c r="B40" s="565">
        <f t="shared" ref="B40" si="12">B39-B41</f>
        <v>38085187.899999999</v>
      </c>
      <c r="C40" s="565">
        <f t="shared" ref="C40:D40" si="13">C39-C41</f>
        <v>4236603.58</v>
      </c>
      <c r="D40" s="565">
        <f t="shared" si="13"/>
        <v>33848584.32</v>
      </c>
      <c r="E40" s="566"/>
      <c r="F40" s="565">
        <f t="shared" ref="F40:K40" si="14">F39-F41</f>
        <v>37335718.560000002</v>
      </c>
      <c r="G40" s="565">
        <f t="shared" si="14"/>
        <v>4142678.29</v>
      </c>
      <c r="H40" s="565">
        <f t="shared" si="14"/>
        <v>33193040.27</v>
      </c>
      <c r="I40" s="565">
        <f t="shared" si="14"/>
        <v>38085187.899999999</v>
      </c>
      <c r="J40" s="565">
        <f t="shared" si="14"/>
        <v>4236603.58</v>
      </c>
      <c r="K40" s="565">
        <f t="shared" si="14"/>
        <v>33848584.32</v>
      </c>
      <c r="L40" s="566"/>
      <c r="M40" s="565">
        <f t="shared" ref="M40:O40" si="15">M39-M41</f>
        <v>37335718.560000002</v>
      </c>
      <c r="N40" s="565">
        <f t="shared" si="15"/>
        <v>4142678.29</v>
      </c>
      <c r="O40" s="565">
        <f t="shared" si="15"/>
        <v>33193040.27</v>
      </c>
    </row>
    <row r="41" spans="1:18" x14ac:dyDescent="0.25">
      <c r="A41" s="564" t="s">
        <v>1335</v>
      </c>
      <c r="B41" s="565">
        <f>B7+B9+B15+B16+B17+B21+B24+B26+B27+B35+B37</f>
        <v>41982339.509999998</v>
      </c>
      <c r="C41" s="565">
        <f t="shared" ref="C41:D41" si="16">C7+C9+C15+C16+C17+C21+C24+C26+C27+C35+C37</f>
        <v>25161522.640000001</v>
      </c>
      <c r="D41" s="565">
        <f t="shared" si="16"/>
        <v>16820816.870000001</v>
      </c>
      <c r="E41" s="566"/>
      <c r="F41" s="565">
        <f t="shared" ref="F41:K41" si="17">F7+F9+F15+F16+F17+F21+F24+F26+F27+F35+F37</f>
        <v>41236955.729999997</v>
      </c>
      <c r="G41" s="565">
        <f t="shared" si="17"/>
        <v>25033884.079999998</v>
      </c>
      <c r="H41" s="565">
        <f t="shared" si="17"/>
        <v>16203071.65</v>
      </c>
      <c r="I41" s="565">
        <f t="shared" si="17"/>
        <v>41982339.509999998</v>
      </c>
      <c r="J41" s="565">
        <f t="shared" si="17"/>
        <v>25161522.640000001</v>
      </c>
      <c r="K41" s="565">
        <f t="shared" si="17"/>
        <v>16820816.870000001</v>
      </c>
      <c r="L41" s="566"/>
      <c r="M41" s="565">
        <f t="shared" ref="M41:O41" si="18">M7+M9+M15+M16+M17+M21+M24+M26+M27+M35+M37</f>
        <v>41236955.729999997</v>
      </c>
      <c r="N41" s="565">
        <f t="shared" si="18"/>
        <v>25033884.079999998</v>
      </c>
      <c r="O41" s="565">
        <f t="shared" si="18"/>
        <v>16203071.65</v>
      </c>
    </row>
    <row r="42" spans="1:18" x14ac:dyDescent="0.25">
      <c r="A42" s="567"/>
      <c r="B42" s="568"/>
      <c r="C42" s="568"/>
      <c r="D42" s="568"/>
      <c r="E42" s="569"/>
      <c r="F42" s="568"/>
      <c r="G42" s="568"/>
      <c r="H42" s="568"/>
      <c r="I42" s="568"/>
      <c r="J42" s="568"/>
      <c r="K42" s="568"/>
      <c r="L42" s="569"/>
      <c r="M42" s="568"/>
      <c r="N42" s="568"/>
      <c r="O42" s="568"/>
    </row>
  </sheetData>
  <mergeCells count="13">
    <mergeCell ref="L4:L5"/>
    <mergeCell ref="M4:M5"/>
    <mergeCell ref="N4:O4"/>
    <mergeCell ref="A3:A5"/>
    <mergeCell ref="B3:H3"/>
    <mergeCell ref="I3:O3"/>
    <mergeCell ref="B4:B5"/>
    <mergeCell ref="C4:D4"/>
    <mergeCell ref="E4:E5"/>
    <mergeCell ref="F4:F5"/>
    <mergeCell ref="G4:H4"/>
    <mergeCell ref="I4:I5"/>
    <mergeCell ref="J4:K4"/>
  </mergeCells>
  <pageMargins left="0.11811023622047245" right="0" top="0" bottom="0" header="0" footer="0"/>
  <pageSetup paperSize="9" scale="6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BK47"/>
  <sheetViews>
    <sheetView tabSelected="1" view="pageBreakPreview" topLeftCell="A17" zoomScale="70" zoomScaleSheetLayoutView="70" workbookViewId="0">
      <selection activeCell="K14" sqref="K14:K44"/>
    </sheetView>
  </sheetViews>
  <sheetFormatPr defaultColWidth="19.7109375" defaultRowHeight="12.75" x14ac:dyDescent="0.25"/>
  <cols>
    <col min="1" max="1" width="19.7109375" style="787"/>
    <col min="2" max="5" width="18.85546875" style="787" bestFit="1" customWidth="1"/>
    <col min="6" max="6" width="24.5703125" style="787" bestFit="1" customWidth="1"/>
    <col min="7" max="7" width="19.5703125" style="787" bestFit="1" customWidth="1"/>
    <col min="8" max="8" width="9.7109375" style="787" customWidth="1"/>
    <col min="9" max="9" width="18.5703125" style="787" customWidth="1"/>
    <col min="10" max="10" width="16.42578125" style="787" customWidth="1"/>
    <col min="11" max="11" width="18" style="787" customWidth="1"/>
    <col min="12" max="13" width="16.42578125" style="787" customWidth="1"/>
    <col min="14" max="14" width="17.140625" style="787" customWidth="1"/>
    <col min="15" max="15" width="16.85546875" style="787" customWidth="1"/>
    <col min="16" max="16384" width="19.7109375" style="787"/>
  </cols>
  <sheetData>
    <row r="1" spans="1:63" ht="13.5" hidden="1" customHeight="1" x14ac:dyDescent="0.25">
      <c r="A1" s="833"/>
      <c r="B1" s="794"/>
      <c r="C1" s="794"/>
      <c r="D1" s="1579"/>
      <c r="E1" s="1579"/>
      <c r="F1" s="1579"/>
      <c r="G1" s="1579"/>
      <c r="H1" s="1579"/>
      <c r="I1" s="1579"/>
      <c r="J1" s="1579"/>
      <c r="K1" s="834"/>
      <c r="L1" s="835"/>
      <c r="M1" s="835"/>
      <c r="N1" s="835"/>
      <c r="O1" s="835"/>
      <c r="P1" s="835"/>
      <c r="Q1" s="835"/>
      <c r="R1" s="835"/>
      <c r="S1" s="835"/>
      <c r="T1" s="835"/>
      <c r="U1" s="835"/>
      <c r="V1" s="835"/>
      <c r="W1" s="835"/>
      <c r="X1" s="835"/>
      <c r="Y1" s="835"/>
      <c r="Z1" s="835"/>
      <c r="AA1" s="835"/>
      <c r="AB1" s="835"/>
      <c r="AC1" s="835"/>
      <c r="AD1" s="835"/>
      <c r="AE1" s="835"/>
      <c r="AF1" s="835"/>
      <c r="AG1" s="835"/>
      <c r="AH1" s="835"/>
      <c r="AI1" s="835"/>
      <c r="AJ1" s="835"/>
      <c r="AK1" s="835"/>
      <c r="AL1" s="835"/>
      <c r="AM1" s="835"/>
      <c r="AN1" s="835"/>
      <c r="AO1" s="835"/>
      <c r="AP1" s="835"/>
      <c r="AQ1" s="835"/>
      <c r="AR1" s="835"/>
      <c r="AS1" s="835"/>
      <c r="AT1" s="835"/>
      <c r="AU1" s="835"/>
      <c r="AV1" s="835"/>
      <c r="AW1" s="835"/>
      <c r="AX1" s="835"/>
      <c r="AY1" s="835"/>
      <c r="AZ1" s="835"/>
      <c r="BA1" s="835"/>
      <c r="BB1" s="835"/>
      <c r="BC1" s="835"/>
      <c r="BD1" s="835"/>
      <c r="BE1" s="835"/>
      <c r="BF1" s="835"/>
      <c r="BG1" s="835"/>
      <c r="BH1" s="835"/>
      <c r="BI1" s="835"/>
      <c r="BJ1" s="835"/>
      <c r="BK1" s="835"/>
    </row>
    <row r="2" spans="1:63" ht="13.5" customHeight="1" x14ac:dyDescent="0.25">
      <c r="A2" s="833"/>
      <c r="B2" s="794"/>
      <c r="C2" s="794"/>
      <c r="D2" s="834"/>
      <c r="E2" s="834"/>
      <c r="F2" s="834"/>
      <c r="G2" s="834"/>
      <c r="H2" s="1580"/>
      <c r="I2" s="1580"/>
      <c r="J2" s="1580"/>
      <c r="K2" s="1580"/>
      <c r="L2" s="835"/>
      <c r="M2" s="835"/>
      <c r="N2" s="835"/>
      <c r="O2" s="835"/>
      <c r="P2" s="835"/>
      <c r="Q2" s="835"/>
      <c r="R2" s="835"/>
      <c r="S2" s="835"/>
      <c r="T2" s="835"/>
      <c r="U2" s="835"/>
      <c r="V2" s="835"/>
      <c r="W2" s="835"/>
      <c r="X2" s="835"/>
      <c r="Y2" s="835"/>
      <c r="Z2" s="835"/>
      <c r="AA2" s="835"/>
      <c r="AB2" s="835"/>
      <c r="AC2" s="835"/>
      <c r="AD2" s="835"/>
      <c r="AE2" s="835"/>
      <c r="AF2" s="835"/>
      <c r="AG2" s="835"/>
      <c r="AH2" s="835"/>
      <c r="AI2" s="835"/>
      <c r="AJ2" s="835"/>
      <c r="AK2" s="835"/>
      <c r="AL2" s="835"/>
      <c r="AM2" s="835"/>
      <c r="AN2" s="835"/>
      <c r="AO2" s="835"/>
      <c r="AP2" s="835"/>
      <c r="AQ2" s="835"/>
      <c r="AR2" s="835"/>
      <c r="AS2" s="835"/>
      <c r="AT2" s="835"/>
      <c r="AU2" s="835"/>
      <c r="AV2" s="835"/>
      <c r="AW2" s="835"/>
      <c r="AX2" s="835"/>
      <c r="AY2" s="835"/>
      <c r="AZ2" s="835"/>
      <c r="BA2" s="835"/>
      <c r="BB2" s="835"/>
      <c r="BC2" s="835"/>
      <c r="BD2" s="835"/>
      <c r="BE2" s="835"/>
      <c r="BF2" s="835"/>
      <c r="BG2" s="835"/>
      <c r="BH2" s="835"/>
      <c r="BI2" s="835"/>
      <c r="BJ2" s="835"/>
      <c r="BK2" s="835"/>
    </row>
    <row r="3" spans="1:63" ht="14.25" x14ac:dyDescent="0.25">
      <c r="A3" s="1581" t="s">
        <v>1531</v>
      </c>
      <c r="B3" s="1581"/>
      <c r="C3" s="1581"/>
      <c r="D3" s="1581"/>
      <c r="E3" s="1581"/>
      <c r="F3" s="1581"/>
      <c r="G3" s="1581"/>
      <c r="H3" s="1581"/>
      <c r="I3" s="1581"/>
      <c r="J3" s="1581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  <c r="AB3" s="835"/>
      <c r="AC3" s="835"/>
      <c r="AD3" s="835"/>
      <c r="AE3" s="835"/>
      <c r="AF3" s="835"/>
      <c r="AG3" s="835"/>
      <c r="AH3" s="835"/>
      <c r="AI3" s="835"/>
      <c r="AJ3" s="835"/>
      <c r="AK3" s="835"/>
      <c r="AL3" s="835"/>
      <c r="AM3" s="835"/>
      <c r="AN3" s="835"/>
      <c r="AO3" s="835"/>
      <c r="AP3" s="835"/>
      <c r="AQ3" s="835"/>
      <c r="AR3" s="835"/>
      <c r="AS3" s="835"/>
      <c r="AT3" s="835"/>
      <c r="AU3" s="835"/>
      <c r="AV3" s="835"/>
      <c r="AW3" s="835"/>
      <c r="AX3" s="835"/>
      <c r="AY3" s="835"/>
      <c r="AZ3" s="835"/>
      <c r="BA3" s="835"/>
      <c r="BB3" s="835"/>
      <c r="BC3" s="835"/>
      <c r="BD3" s="835"/>
      <c r="BE3" s="835"/>
      <c r="BF3" s="835"/>
      <c r="BG3" s="835"/>
      <c r="BH3" s="835"/>
      <c r="BI3" s="835"/>
      <c r="BJ3" s="835"/>
      <c r="BK3" s="835"/>
    </row>
    <row r="4" spans="1:63" ht="14.25" x14ac:dyDescent="0.25">
      <c r="A4" s="1582" t="s">
        <v>1532</v>
      </c>
      <c r="B4" s="1582"/>
      <c r="C4" s="1582"/>
      <c r="D4" s="1582"/>
      <c r="E4" s="1582"/>
      <c r="F4" s="1582"/>
      <c r="G4" s="1582"/>
      <c r="H4" s="1582"/>
      <c r="I4" s="1582"/>
      <c r="J4" s="1582"/>
      <c r="K4" s="835"/>
      <c r="L4" s="835"/>
      <c r="M4" s="835"/>
      <c r="N4" s="835"/>
      <c r="O4" s="835"/>
      <c r="P4" s="835"/>
      <c r="Q4" s="835"/>
      <c r="R4" s="835"/>
      <c r="S4" s="835"/>
      <c r="T4" s="835"/>
      <c r="U4" s="835"/>
      <c r="V4" s="835"/>
      <c r="W4" s="835"/>
      <c r="X4" s="835"/>
      <c r="Y4" s="835"/>
      <c r="Z4" s="835"/>
      <c r="AA4" s="835"/>
      <c r="AB4" s="835"/>
      <c r="AC4" s="835"/>
      <c r="AD4" s="835"/>
      <c r="AE4" s="835"/>
      <c r="AF4" s="835"/>
      <c r="AG4" s="835"/>
      <c r="AH4" s="835"/>
      <c r="AI4" s="835"/>
      <c r="AJ4" s="835"/>
      <c r="AK4" s="835"/>
      <c r="AL4" s="835"/>
      <c r="AM4" s="835"/>
      <c r="AN4" s="835"/>
      <c r="AO4" s="835"/>
      <c r="AP4" s="835"/>
      <c r="AQ4" s="835"/>
      <c r="AR4" s="835"/>
      <c r="AS4" s="835"/>
      <c r="AT4" s="835"/>
      <c r="AU4" s="835"/>
      <c r="AV4" s="835"/>
      <c r="AW4" s="835"/>
      <c r="AX4" s="835"/>
      <c r="AY4" s="835"/>
      <c r="AZ4" s="835"/>
      <c r="BA4" s="835"/>
      <c r="BB4" s="835"/>
      <c r="BC4" s="835"/>
      <c r="BD4" s="835"/>
      <c r="BE4" s="835"/>
      <c r="BF4" s="835"/>
      <c r="BG4" s="835"/>
      <c r="BH4" s="835"/>
      <c r="BI4" s="835"/>
      <c r="BJ4" s="835"/>
      <c r="BK4" s="835"/>
    </row>
    <row r="5" spans="1:63" ht="14.25" x14ac:dyDescent="0.25">
      <c r="A5" s="1581" t="s">
        <v>1533</v>
      </c>
      <c r="B5" s="1581"/>
      <c r="C5" s="1581"/>
      <c r="D5" s="1581"/>
      <c r="E5" s="1581"/>
      <c r="F5" s="1581"/>
      <c r="G5" s="1581"/>
      <c r="H5" s="1581"/>
      <c r="I5" s="1581"/>
      <c r="J5" s="1581"/>
      <c r="K5" s="835"/>
      <c r="L5" s="835"/>
      <c r="M5" s="835"/>
      <c r="N5" s="835"/>
      <c r="O5" s="835"/>
      <c r="P5" s="835"/>
      <c r="Q5" s="835"/>
      <c r="R5" s="835"/>
      <c r="S5" s="835"/>
      <c r="T5" s="835"/>
      <c r="U5" s="835"/>
      <c r="V5" s="835"/>
      <c r="W5" s="835"/>
      <c r="X5" s="835"/>
      <c r="Y5" s="835"/>
      <c r="Z5" s="835"/>
      <c r="AA5" s="835"/>
      <c r="AB5" s="835"/>
      <c r="AC5" s="835"/>
      <c r="AD5" s="835"/>
      <c r="AE5" s="835"/>
      <c r="AF5" s="835"/>
      <c r="AG5" s="835"/>
      <c r="AH5" s="835"/>
      <c r="AI5" s="835"/>
      <c r="AJ5" s="835"/>
      <c r="AK5" s="835"/>
      <c r="AL5" s="835"/>
      <c r="AM5" s="835"/>
      <c r="AN5" s="835"/>
      <c r="AO5" s="835"/>
      <c r="AP5" s="835"/>
      <c r="AQ5" s="835"/>
      <c r="AR5" s="835"/>
      <c r="AS5" s="835"/>
      <c r="AT5" s="835"/>
      <c r="AU5" s="835"/>
      <c r="AV5" s="835"/>
      <c r="AW5" s="835"/>
      <c r="AX5" s="835"/>
      <c r="AY5" s="835"/>
      <c r="AZ5" s="835"/>
      <c r="BA5" s="835"/>
      <c r="BB5" s="835"/>
      <c r="BC5" s="835"/>
      <c r="BD5" s="835"/>
      <c r="BE5" s="835"/>
      <c r="BF5" s="835"/>
      <c r="BG5" s="835"/>
      <c r="BH5" s="835"/>
      <c r="BI5" s="835"/>
      <c r="BJ5" s="835"/>
      <c r="BK5" s="835"/>
    </row>
    <row r="6" spans="1:63" ht="13.5" hidden="1" customHeight="1" x14ac:dyDescent="0.25">
      <c r="A6" s="833"/>
      <c r="B6" s="794"/>
      <c r="C6" s="794"/>
      <c r="D6" s="834"/>
      <c r="E6" s="794"/>
      <c r="F6" s="794"/>
      <c r="G6" s="794"/>
      <c r="H6" s="834"/>
      <c r="I6" s="834"/>
      <c r="J6" s="834"/>
      <c r="K6" s="834"/>
      <c r="L6" s="835"/>
      <c r="M6" s="835"/>
      <c r="N6" s="835"/>
      <c r="O6" s="835"/>
      <c r="P6" s="835"/>
      <c r="Q6" s="835"/>
      <c r="R6" s="835"/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835"/>
      <c r="AS6" s="835"/>
      <c r="AT6" s="835"/>
      <c r="AU6" s="835"/>
      <c r="AV6" s="835"/>
      <c r="AW6" s="835"/>
      <c r="AX6" s="835"/>
      <c r="AY6" s="835"/>
      <c r="AZ6" s="835"/>
      <c r="BA6" s="835"/>
      <c r="BB6" s="835"/>
      <c r="BC6" s="835"/>
      <c r="BD6" s="835"/>
      <c r="BE6" s="835"/>
      <c r="BF6" s="835"/>
      <c r="BG6" s="835"/>
      <c r="BH6" s="835"/>
      <c r="BI6" s="835"/>
      <c r="BJ6" s="835"/>
      <c r="BK6" s="835"/>
    </row>
    <row r="7" spans="1:63" ht="15.75" x14ac:dyDescent="0.25">
      <c r="A7" s="1583" t="s">
        <v>1596</v>
      </c>
      <c r="B7" s="1583"/>
      <c r="C7" s="1583"/>
      <c r="D7" s="1583"/>
      <c r="E7" s="1583"/>
      <c r="F7" s="1583"/>
      <c r="G7" s="1583"/>
      <c r="H7" s="1583"/>
      <c r="I7" s="1583"/>
      <c r="J7" s="1583"/>
      <c r="K7" s="835"/>
      <c r="L7" s="835"/>
      <c r="M7" s="835"/>
      <c r="N7" s="835"/>
      <c r="O7" s="835"/>
      <c r="P7" s="835"/>
      <c r="Q7" s="835"/>
      <c r="R7" s="835"/>
      <c r="S7" s="835"/>
      <c r="T7" s="835"/>
      <c r="U7" s="835"/>
      <c r="V7" s="835"/>
      <c r="W7" s="835"/>
      <c r="X7" s="835"/>
      <c r="Y7" s="835"/>
      <c r="Z7" s="835"/>
      <c r="AA7" s="835"/>
      <c r="AB7" s="835"/>
      <c r="AC7" s="835"/>
      <c r="AD7" s="835"/>
      <c r="AE7" s="835"/>
      <c r="AF7" s="835"/>
      <c r="AG7" s="835"/>
      <c r="AH7" s="835"/>
      <c r="AI7" s="835"/>
      <c r="AJ7" s="835"/>
      <c r="AK7" s="835"/>
      <c r="AL7" s="835"/>
      <c r="AM7" s="835"/>
      <c r="AN7" s="835"/>
      <c r="AO7" s="835"/>
      <c r="AP7" s="835"/>
      <c r="AQ7" s="835"/>
      <c r="AR7" s="835"/>
      <c r="AS7" s="835"/>
      <c r="AT7" s="835"/>
      <c r="AU7" s="835"/>
      <c r="AV7" s="835"/>
      <c r="AW7" s="835"/>
      <c r="AX7" s="835"/>
      <c r="AY7" s="835"/>
      <c r="AZ7" s="835"/>
      <c r="BA7" s="835"/>
      <c r="BB7" s="835"/>
      <c r="BC7" s="835"/>
      <c r="BD7" s="835"/>
      <c r="BE7" s="835"/>
      <c r="BF7" s="835"/>
      <c r="BG7" s="835"/>
      <c r="BH7" s="835"/>
      <c r="BI7" s="835"/>
      <c r="BJ7" s="835"/>
      <c r="BK7" s="835"/>
    </row>
    <row r="8" spans="1:63" x14ac:dyDescent="0.25">
      <c r="A8" s="833"/>
      <c r="B8" s="794"/>
      <c r="C8" s="794"/>
      <c r="D8" s="794"/>
      <c r="E8" s="794"/>
      <c r="F8" s="794"/>
      <c r="G8" s="794"/>
      <c r="H8" s="1594" t="s">
        <v>1535</v>
      </c>
      <c r="I8" s="1594"/>
      <c r="J8" s="836"/>
      <c r="K8" s="795" t="s">
        <v>1597</v>
      </c>
      <c r="L8" s="835"/>
      <c r="M8" s="835"/>
      <c r="N8" s="835"/>
      <c r="O8" s="835"/>
      <c r="P8" s="835"/>
      <c r="Q8" s="835"/>
      <c r="R8" s="835"/>
      <c r="S8" s="835"/>
      <c r="T8" s="835"/>
      <c r="U8" s="835"/>
      <c r="V8" s="835"/>
      <c r="W8" s="835"/>
      <c r="X8" s="835"/>
      <c r="Y8" s="835"/>
      <c r="Z8" s="835"/>
      <c r="AA8" s="835"/>
      <c r="AB8" s="835"/>
      <c r="AC8" s="835"/>
      <c r="AD8" s="835"/>
      <c r="AE8" s="835"/>
      <c r="AF8" s="835"/>
      <c r="AG8" s="835"/>
      <c r="AH8" s="835"/>
      <c r="AI8" s="835"/>
      <c r="AJ8" s="835"/>
      <c r="AK8" s="835"/>
      <c r="AL8" s="835"/>
      <c r="AM8" s="835"/>
      <c r="AN8" s="835"/>
      <c r="AO8" s="835"/>
      <c r="AP8" s="835"/>
      <c r="AQ8" s="835"/>
      <c r="AR8" s="835"/>
      <c r="AS8" s="835"/>
      <c r="AT8" s="835"/>
      <c r="AU8" s="835"/>
      <c r="AV8" s="835"/>
      <c r="AW8" s="835"/>
      <c r="AX8" s="835"/>
      <c r="AY8" s="835"/>
      <c r="AZ8" s="835"/>
      <c r="BA8" s="835"/>
      <c r="BB8" s="835"/>
      <c r="BC8" s="835"/>
      <c r="BD8" s="835"/>
      <c r="BE8" s="835"/>
      <c r="BF8" s="835"/>
      <c r="BG8" s="835"/>
      <c r="BH8" s="835"/>
      <c r="BI8" s="835"/>
      <c r="BJ8" s="835"/>
      <c r="BK8" s="835"/>
    </row>
    <row r="9" spans="1:63" ht="17.25" customHeight="1" x14ac:dyDescent="0.25">
      <c r="A9" s="1575" t="s">
        <v>1132</v>
      </c>
      <c r="B9" s="1590" t="s">
        <v>1598</v>
      </c>
      <c r="C9" s="1591"/>
      <c r="D9" s="1591"/>
      <c r="E9" s="1591"/>
      <c r="F9" s="1591"/>
      <c r="G9" s="1592"/>
      <c r="H9" s="1595" t="s">
        <v>1599</v>
      </c>
      <c r="I9" s="1576" t="s">
        <v>1600</v>
      </c>
      <c r="J9" s="1576" t="s">
        <v>1601</v>
      </c>
      <c r="K9" s="1575" t="s">
        <v>1602</v>
      </c>
      <c r="L9" s="1575" t="s">
        <v>1603</v>
      </c>
      <c r="M9" s="1575" t="s">
        <v>969</v>
      </c>
      <c r="N9" s="1576" t="s">
        <v>1542</v>
      </c>
      <c r="O9" s="1576" t="s">
        <v>1543</v>
      </c>
      <c r="P9" s="837"/>
      <c r="Q9" s="837"/>
      <c r="R9" s="837"/>
      <c r="S9" s="837"/>
      <c r="T9" s="837"/>
      <c r="U9" s="837"/>
      <c r="V9" s="837"/>
      <c r="W9" s="837"/>
      <c r="X9" s="837"/>
      <c r="Y9" s="837"/>
      <c r="Z9" s="837"/>
      <c r="AA9" s="837"/>
      <c r="AB9" s="837"/>
      <c r="AC9" s="837"/>
      <c r="AD9" s="837"/>
      <c r="AE9" s="837"/>
      <c r="AF9" s="837"/>
      <c r="AG9" s="837"/>
      <c r="AH9" s="837"/>
      <c r="AI9" s="837"/>
      <c r="AJ9" s="837"/>
      <c r="AK9" s="837"/>
      <c r="AL9" s="837"/>
      <c r="AM9" s="837"/>
      <c r="AN9" s="837"/>
      <c r="AO9" s="837"/>
      <c r="AP9" s="837"/>
      <c r="AQ9" s="837"/>
      <c r="AR9" s="837"/>
      <c r="AS9" s="837"/>
      <c r="AT9" s="837"/>
      <c r="AU9" s="837"/>
      <c r="AV9" s="837"/>
      <c r="AW9" s="837"/>
      <c r="AX9" s="837"/>
      <c r="AY9" s="837"/>
      <c r="AZ9" s="837"/>
      <c r="BA9" s="837"/>
      <c r="BB9" s="837"/>
      <c r="BC9" s="837"/>
      <c r="BD9" s="837"/>
      <c r="BE9" s="837"/>
      <c r="BF9" s="837"/>
      <c r="BG9" s="837"/>
      <c r="BH9" s="837"/>
      <c r="BI9" s="837"/>
      <c r="BJ9" s="837"/>
      <c r="BK9" s="837"/>
    </row>
    <row r="10" spans="1:63" ht="15.75" customHeight="1" x14ac:dyDescent="0.25">
      <c r="A10" s="1575"/>
      <c r="B10" s="1584" t="s">
        <v>1604</v>
      </c>
      <c r="C10" s="1585"/>
      <c r="D10" s="1586"/>
      <c r="E10" s="1590" t="s">
        <v>1605</v>
      </c>
      <c r="F10" s="1591"/>
      <c r="G10" s="1592"/>
      <c r="H10" s="1595"/>
      <c r="I10" s="1577"/>
      <c r="J10" s="1577"/>
      <c r="K10" s="1575"/>
      <c r="L10" s="1575"/>
      <c r="M10" s="1575"/>
      <c r="N10" s="1577"/>
      <c r="O10" s="1577"/>
      <c r="P10" s="837"/>
      <c r="Q10" s="837"/>
      <c r="R10" s="837"/>
      <c r="S10" s="837"/>
      <c r="T10" s="837"/>
      <c r="U10" s="837"/>
      <c r="V10" s="837"/>
      <c r="W10" s="837"/>
      <c r="X10" s="837"/>
      <c r="Y10" s="837"/>
      <c r="Z10" s="837"/>
      <c r="AA10" s="837"/>
      <c r="AB10" s="837"/>
      <c r="AC10" s="837"/>
      <c r="AD10" s="837"/>
      <c r="AE10" s="837"/>
      <c r="AF10" s="837"/>
      <c r="AG10" s="837"/>
      <c r="AH10" s="837"/>
      <c r="AI10" s="837"/>
      <c r="AJ10" s="837"/>
      <c r="AK10" s="837"/>
      <c r="AL10" s="837"/>
      <c r="AM10" s="837"/>
      <c r="AN10" s="837"/>
      <c r="AO10" s="837"/>
      <c r="AP10" s="837"/>
      <c r="AQ10" s="837"/>
      <c r="AR10" s="837"/>
      <c r="AS10" s="837"/>
      <c r="AT10" s="837"/>
      <c r="AU10" s="837"/>
      <c r="AV10" s="837"/>
      <c r="AW10" s="837"/>
      <c r="AX10" s="837"/>
      <c r="AY10" s="837"/>
      <c r="AZ10" s="837"/>
      <c r="BA10" s="837"/>
      <c r="BB10" s="837"/>
      <c r="BC10" s="837"/>
      <c r="BD10" s="837"/>
      <c r="BE10" s="837"/>
      <c r="BF10" s="837"/>
      <c r="BG10" s="837"/>
      <c r="BH10" s="837"/>
      <c r="BI10" s="837"/>
      <c r="BJ10" s="837"/>
      <c r="BK10" s="837"/>
    </row>
    <row r="11" spans="1:63" ht="49.5" customHeight="1" x14ac:dyDescent="0.25">
      <c r="A11" s="1575"/>
      <c r="B11" s="1587"/>
      <c r="C11" s="1588"/>
      <c r="D11" s="1589"/>
      <c r="E11" s="1593" t="s">
        <v>1606</v>
      </c>
      <c r="F11" s="1593"/>
      <c r="G11" s="1593"/>
      <c r="H11" s="1595"/>
      <c r="I11" s="1577"/>
      <c r="J11" s="1577"/>
      <c r="K11" s="1575"/>
      <c r="L11" s="1575"/>
      <c r="M11" s="1575"/>
      <c r="N11" s="1577"/>
      <c r="O11" s="1577"/>
      <c r="P11" s="837"/>
      <c r="Q11" s="837"/>
      <c r="R11" s="837"/>
      <c r="S11" s="837"/>
      <c r="T11" s="837"/>
      <c r="U11" s="837"/>
      <c r="V11" s="837"/>
      <c r="W11" s="837"/>
      <c r="X11" s="837"/>
      <c r="Y11" s="837"/>
      <c r="Z11" s="837"/>
      <c r="AA11" s="837"/>
      <c r="AB11" s="837"/>
      <c r="AC11" s="837"/>
      <c r="AD11" s="837"/>
      <c r="AE11" s="837"/>
      <c r="AF11" s="837"/>
      <c r="AG11" s="837"/>
      <c r="AH11" s="837"/>
      <c r="AI11" s="837"/>
      <c r="AJ11" s="837"/>
      <c r="AK11" s="837"/>
      <c r="AL11" s="837"/>
      <c r="AM11" s="837"/>
      <c r="AN11" s="837"/>
      <c r="AO11" s="837"/>
      <c r="AP11" s="837"/>
      <c r="AQ11" s="837"/>
      <c r="AR11" s="837"/>
      <c r="AS11" s="837"/>
      <c r="AT11" s="837"/>
      <c r="AU11" s="837"/>
      <c r="AV11" s="837"/>
      <c r="AW11" s="837"/>
      <c r="AX11" s="837"/>
      <c r="AY11" s="837"/>
      <c r="AZ11" s="837"/>
      <c r="BA11" s="837"/>
      <c r="BB11" s="837"/>
      <c r="BC11" s="837"/>
      <c r="BD11" s="837"/>
      <c r="BE11" s="837"/>
      <c r="BF11" s="837"/>
      <c r="BG11" s="837"/>
      <c r="BH11" s="837"/>
      <c r="BI11" s="837"/>
      <c r="BJ11" s="837"/>
      <c r="BK11" s="837"/>
    </row>
    <row r="12" spans="1:63" ht="67.5" customHeight="1" x14ac:dyDescent="0.25">
      <c r="A12" s="1575"/>
      <c r="B12" s="838" t="s">
        <v>1607</v>
      </c>
      <c r="C12" s="839" t="s">
        <v>1608</v>
      </c>
      <c r="D12" s="840" t="s">
        <v>1609</v>
      </c>
      <c r="E12" s="838" t="s">
        <v>1607</v>
      </c>
      <c r="F12" s="839" t="s">
        <v>1608</v>
      </c>
      <c r="G12" s="840" t="s">
        <v>1609</v>
      </c>
      <c r="H12" s="1595"/>
      <c r="I12" s="1578"/>
      <c r="J12" s="1578"/>
      <c r="K12" s="1575"/>
      <c r="L12" s="1575"/>
      <c r="M12" s="1575"/>
      <c r="N12" s="1578"/>
      <c r="O12" s="1578"/>
      <c r="P12" s="837"/>
      <c r="Q12" s="837"/>
      <c r="R12" s="837"/>
      <c r="S12" s="837"/>
      <c r="T12" s="837"/>
      <c r="U12" s="837"/>
      <c r="V12" s="837"/>
      <c r="W12" s="837"/>
      <c r="X12" s="837"/>
      <c r="Y12" s="837"/>
      <c r="Z12" s="837"/>
      <c r="AA12" s="837"/>
      <c r="AB12" s="837"/>
      <c r="AC12" s="837"/>
      <c r="AD12" s="837"/>
      <c r="AE12" s="837"/>
      <c r="AF12" s="837"/>
      <c r="AG12" s="837"/>
      <c r="AH12" s="837"/>
      <c r="AI12" s="837"/>
      <c r="AJ12" s="837"/>
      <c r="AK12" s="837"/>
      <c r="AL12" s="837"/>
      <c r="AM12" s="837"/>
      <c r="AN12" s="837"/>
      <c r="AO12" s="837"/>
      <c r="AP12" s="837"/>
      <c r="AQ12" s="837"/>
      <c r="AR12" s="837"/>
      <c r="AS12" s="837"/>
      <c r="AT12" s="837"/>
      <c r="AU12" s="837"/>
      <c r="AV12" s="837"/>
      <c r="AW12" s="837"/>
      <c r="AX12" s="837"/>
      <c r="AY12" s="837"/>
      <c r="AZ12" s="837"/>
      <c r="BA12" s="837"/>
      <c r="BB12" s="837"/>
      <c r="BC12" s="837"/>
      <c r="BD12" s="837"/>
      <c r="BE12" s="837"/>
      <c r="BF12" s="837"/>
      <c r="BG12" s="837"/>
      <c r="BH12" s="837"/>
      <c r="BI12" s="837"/>
      <c r="BJ12" s="837"/>
      <c r="BK12" s="837"/>
    </row>
    <row r="13" spans="1:63" ht="22.5" x14ac:dyDescent="0.25">
      <c r="A13" s="841">
        <v>1</v>
      </c>
      <c r="B13" s="841">
        <v>2</v>
      </c>
      <c r="C13" s="841">
        <v>3</v>
      </c>
      <c r="D13" s="841">
        <v>4</v>
      </c>
      <c r="E13" s="841">
        <v>5</v>
      </c>
      <c r="F13" s="841">
        <v>6</v>
      </c>
      <c r="G13" s="841">
        <v>7</v>
      </c>
      <c r="H13" s="842">
        <v>8</v>
      </c>
      <c r="I13" s="841">
        <v>9</v>
      </c>
      <c r="J13" s="841">
        <v>10</v>
      </c>
      <c r="K13" s="843" t="s">
        <v>1610</v>
      </c>
      <c r="L13" s="844" t="s">
        <v>1611</v>
      </c>
      <c r="M13" s="844">
        <v>13</v>
      </c>
      <c r="N13" s="844" t="s">
        <v>1612</v>
      </c>
      <c r="O13" s="844" t="s">
        <v>1613</v>
      </c>
      <c r="P13" s="837"/>
      <c r="Q13" s="837"/>
      <c r="R13" s="837"/>
      <c r="S13" s="837"/>
      <c r="T13" s="837"/>
      <c r="U13" s="837"/>
      <c r="V13" s="837"/>
      <c r="W13" s="837"/>
      <c r="X13" s="837"/>
      <c r="Y13" s="837"/>
      <c r="Z13" s="837"/>
      <c r="AA13" s="837"/>
      <c r="AB13" s="837"/>
      <c r="AC13" s="837"/>
      <c r="AD13" s="837"/>
      <c r="AE13" s="837"/>
      <c r="AF13" s="837"/>
      <c r="AG13" s="837"/>
      <c r="AH13" s="837"/>
      <c r="AI13" s="837"/>
      <c r="AJ13" s="837"/>
      <c r="AK13" s="837"/>
      <c r="AL13" s="837"/>
      <c r="AM13" s="837"/>
      <c r="AN13" s="837"/>
      <c r="AO13" s="837"/>
      <c r="AP13" s="837"/>
      <c r="AQ13" s="837"/>
      <c r="AR13" s="837"/>
      <c r="AS13" s="837"/>
      <c r="AT13" s="837"/>
      <c r="AU13" s="837"/>
      <c r="AV13" s="837"/>
      <c r="AW13" s="837"/>
      <c r="AX13" s="837"/>
      <c r="AY13" s="837"/>
      <c r="AZ13" s="837"/>
      <c r="BA13" s="837"/>
      <c r="BB13" s="837"/>
      <c r="BC13" s="837"/>
      <c r="BD13" s="837"/>
      <c r="BE13" s="837"/>
      <c r="BF13" s="837"/>
      <c r="BG13" s="837"/>
      <c r="BH13" s="837"/>
      <c r="BI13" s="837"/>
      <c r="BJ13" s="837"/>
      <c r="BK13" s="837"/>
    </row>
    <row r="14" spans="1:63" ht="27.75" customHeight="1" x14ac:dyDescent="0.25">
      <c r="A14" s="845" t="s">
        <v>1549</v>
      </c>
      <c r="B14" s="820"/>
      <c r="C14" s="820"/>
      <c r="D14" s="820"/>
      <c r="E14" s="820"/>
      <c r="F14" s="820"/>
      <c r="G14" s="820"/>
      <c r="H14" s="820">
        <v>2.2000000000000002</v>
      </c>
      <c r="I14" s="820"/>
      <c r="J14" s="820"/>
      <c r="K14" s="846">
        <f t="shared" ref="K14:K44" si="0">(C14/4+D14/4*3)*H14/100</f>
        <v>0</v>
      </c>
      <c r="L14" s="847">
        <f t="shared" ref="L14:L44" si="1">K14/1000</f>
        <v>0</v>
      </c>
      <c r="M14" s="848">
        <v>0.98231481679999999</v>
      </c>
      <c r="N14" s="815">
        <f>L14*M14</f>
        <v>0</v>
      </c>
      <c r="O14" s="815">
        <f>L14-N14</f>
        <v>0</v>
      </c>
    </row>
    <row r="15" spans="1:63" ht="26.45" customHeight="1" x14ac:dyDescent="0.25">
      <c r="A15" s="849" t="s">
        <v>1614</v>
      </c>
      <c r="B15" s="820">
        <f>15138249.81-8977684.16</f>
        <v>6160565.6500000004</v>
      </c>
      <c r="C15" s="820">
        <v>6036763.0300000003</v>
      </c>
      <c r="D15" s="820">
        <f>C15-123802.62</f>
        <v>5912960.4100000001</v>
      </c>
      <c r="E15" s="820">
        <f>15138249.81-8977684.16</f>
        <v>6160565.6500000004</v>
      </c>
      <c r="F15" s="820">
        <v>6036763.0300000003</v>
      </c>
      <c r="G15" s="820">
        <f>F15-123802.62</f>
        <v>5912960.4100000001</v>
      </c>
      <c r="H15" s="820">
        <v>2.2000000000000002</v>
      </c>
      <c r="I15" s="820">
        <v>174256</v>
      </c>
      <c r="J15" s="820">
        <v>136684</v>
      </c>
      <c r="K15" s="846">
        <f t="shared" si="0"/>
        <v>130766.04</v>
      </c>
      <c r="L15" s="847">
        <f t="shared" si="1"/>
        <v>130.80000000000001</v>
      </c>
      <c r="M15" s="848">
        <v>0.9925194651</v>
      </c>
      <c r="N15" s="815">
        <f t="shared" ref="N15:N44" si="2">L15*M15</f>
        <v>129.80000000000001</v>
      </c>
      <c r="O15" s="815">
        <f t="shared" ref="O15:O44" si="3">L15-N15</f>
        <v>1</v>
      </c>
    </row>
    <row r="16" spans="1:63" ht="37.5" customHeight="1" x14ac:dyDescent="0.25">
      <c r="A16" s="849" t="s">
        <v>663</v>
      </c>
      <c r="B16" s="820">
        <v>460748.31</v>
      </c>
      <c r="C16" s="820">
        <v>452545.05</v>
      </c>
      <c r="D16" s="820">
        <v>444341.79</v>
      </c>
      <c r="E16" s="820"/>
      <c r="F16" s="820"/>
      <c r="G16" s="820"/>
      <c r="H16" s="820">
        <v>2.2000000000000002</v>
      </c>
      <c r="I16" s="820"/>
      <c r="J16" s="820"/>
      <c r="K16" s="846">
        <f t="shared" si="0"/>
        <v>9820.64</v>
      </c>
      <c r="L16" s="847">
        <f t="shared" si="1"/>
        <v>9.8000000000000007</v>
      </c>
      <c r="M16" s="848">
        <v>0.89274530740000002</v>
      </c>
      <c r="N16" s="815">
        <f t="shared" si="2"/>
        <v>8.6999999999999993</v>
      </c>
      <c r="O16" s="815">
        <f t="shared" si="3"/>
        <v>1.1000000000000001</v>
      </c>
    </row>
    <row r="17" spans="1:15" ht="22.5" customHeight="1" x14ac:dyDescent="0.25">
      <c r="A17" s="849" t="s">
        <v>1554</v>
      </c>
      <c r="B17" s="820">
        <v>2787549</v>
      </c>
      <c r="C17" s="820">
        <v>2748021</v>
      </c>
      <c r="D17" s="820">
        <v>2708493</v>
      </c>
      <c r="E17" s="820"/>
      <c r="F17" s="820"/>
      <c r="G17" s="820"/>
      <c r="H17" s="820">
        <v>2.2000000000000002</v>
      </c>
      <c r="I17" s="820">
        <v>46626</v>
      </c>
      <c r="J17" s="820">
        <v>59804.25</v>
      </c>
      <c r="K17" s="846">
        <f t="shared" si="0"/>
        <v>59804.25</v>
      </c>
      <c r="L17" s="847">
        <f t="shared" si="1"/>
        <v>59.8</v>
      </c>
      <c r="M17" s="848">
        <v>0.97319667610000005</v>
      </c>
      <c r="N17" s="815">
        <f t="shared" si="2"/>
        <v>58.2</v>
      </c>
      <c r="O17" s="815">
        <f t="shared" si="3"/>
        <v>1.6</v>
      </c>
    </row>
    <row r="18" spans="1:15" ht="22.5" customHeight="1" x14ac:dyDescent="0.25">
      <c r="A18" s="849" t="s">
        <v>665</v>
      </c>
      <c r="B18" s="820">
        <v>3488385</v>
      </c>
      <c r="C18" s="820">
        <v>3444871</v>
      </c>
      <c r="D18" s="820">
        <v>3401357</v>
      </c>
      <c r="E18" s="820"/>
      <c r="F18" s="820"/>
      <c r="G18" s="820"/>
      <c r="H18" s="820">
        <v>2.2000000000000002</v>
      </c>
      <c r="I18" s="820">
        <v>78179</v>
      </c>
      <c r="J18" s="820">
        <v>76266</v>
      </c>
      <c r="K18" s="846">
        <f t="shared" si="0"/>
        <v>75069.179999999993</v>
      </c>
      <c r="L18" s="847">
        <f t="shared" si="1"/>
        <v>75.099999999999994</v>
      </c>
      <c r="M18" s="848">
        <v>0.98687629690000001</v>
      </c>
      <c r="N18" s="815">
        <f t="shared" si="2"/>
        <v>74.099999999999994</v>
      </c>
      <c r="O18" s="815">
        <f t="shared" si="3"/>
        <v>1</v>
      </c>
    </row>
    <row r="19" spans="1:15" ht="22.5" customHeight="1" x14ac:dyDescent="0.25">
      <c r="A19" s="849" t="s">
        <v>1557</v>
      </c>
      <c r="B19" s="820">
        <v>2226801.61</v>
      </c>
      <c r="C19" s="820">
        <v>2158947.9700000002</v>
      </c>
      <c r="D19" s="820">
        <v>2091094.33</v>
      </c>
      <c r="E19" s="820"/>
      <c r="F19" s="820"/>
      <c r="G19" s="820"/>
      <c r="H19" s="820">
        <v>2.2000000000000002</v>
      </c>
      <c r="I19" s="820">
        <v>51229</v>
      </c>
      <c r="J19" s="820">
        <v>50248</v>
      </c>
      <c r="K19" s="846">
        <f t="shared" si="0"/>
        <v>46377.27</v>
      </c>
      <c r="L19" s="847">
        <f t="shared" si="1"/>
        <v>46.4</v>
      </c>
      <c r="M19" s="848">
        <v>0.9921768285</v>
      </c>
      <c r="N19" s="815">
        <f t="shared" si="2"/>
        <v>46</v>
      </c>
      <c r="O19" s="815">
        <f t="shared" si="3"/>
        <v>0.4</v>
      </c>
    </row>
    <row r="20" spans="1:15" ht="22.5" customHeight="1" x14ac:dyDescent="0.25">
      <c r="A20" s="849" t="s">
        <v>1615</v>
      </c>
      <c r="B20" s="820">
        <v>1043083.16</v>
      </c>
      <c r="C20" s="820">
        <v>1028889.68</v>
      </c>
      <c r="D20" s="820">
        <v>1014696.2</v>
      </c>
      <c r="E20" s="820"/>
      <c r="F20" s="820"/>
      <c r="G20" s="820"/>
      <c r="H20" s="820">
        <v>2.2000000000000002</v>
      </c>
      <c r="I20" s="820">
        <v>23280</v>
      </c>
      <c r="J20" s="820">
        <v>22401</v>
      </c>
      <c r="K20" s="846">
        <f t="shared" si="0"/>
        <v>22401.38</v>
      </c>
      <c r="L20" s="847">
        <f t="shared" si="1"/>
        <v>22.4</v>
      </c>
      <c r="M20" s="848">
        <v>0.96896676680000005</v>
      </c>
      <c r="N20" s="815">
        <f t="shared" si="2"/>
        <v>21.7</v>
      </c>
      <c r="O20" s="815">
        <f t="shared" si="3"/>
        <v>0.7</v>
      </c>
    </row>
    <row r="21" spans="1:15" ht="63" customHeight="1" x14ac:dyDescent="0.25">
      <c r="A21" s="849" t="s">
        <v>1560</v>
      </c>
      <c r="B21" s="820">
        <v>0</v>
      </c>
      <c r="C21" s="820">
        <v>0</v>
      </c>
      <c r="D21" s="820">
        <v>0</v>
      </c>
      <c r="E21" s="820">
        <v>0</v>
      </c>
      <c r="F21" s="820">
        <v>0</v>
      </c>
      <c r="G21" s="820">
        <v>0</v>
      </c>
      <c r="H21" s="820">
        <v>2.2000000000000002</v>
      </c>
      <c r="I21" s="820">
        <v>0</v>
      </c>
      <c r="J21" s="820">
        <v>0</v>
      </c>
      <c r="K21" s="846">
        <f t="shared" si="0"/>
        <v>0</v>
      </c>
      <c r="L21" s="847">
        <f t="shared" si="1"/>
        <v>0</v>
      </c>
      <c r="M21" s="848">
        <v>0.9829452407</v>
      </c>
      <c r="N21" s="815">
        <f t="shared" si="2"/>
        <v>0</v>
      </c>
      <c r="O21" s="815">
        <f t="shared" si="3"/>
        <v>0</v>
      </c>
    </row>
    <row r="22" spans="1:15" ht="22.5" customHeight="1" x14ac:dyDescent="0.25">
      <c r="A22" s="849" t="s">
        <v>669</v>
      </c>
      <c r="B22" s="820">
        <v>0</v>
      </c>
      <c r="C22" s="820">
        <v>0</v>
      </c>
      <c r="D22" s="820">
        <v>0</v>
      </c>
      <c r="E22" s="820">
        <v>0</v>
      </c>
      <c r="F22" s="820">
        <v>0</v>
      </c>
      <c r="G22" s="820">
        <v>0</v>
      </c>
      <c r="H22" s="820">
        <v>2.2000000000000002</v>
      </c>
      <c r="I22" s="820"/>
      <c r="J22" s="820"/>
      <c r="K22" s="846">
        <f t="shared" si="0"/>
        <v>0</v>
      </c>
      <c r="L22" s="847">
        <f t="shared" si="1"/>
        <v>0</v>
      </c>
      <c r="M22" s="848">
        <v>0.92393380290000005</v>
      </c>
      <c r="N22" s="815">
        <f t="shared" si="2"/>
        <v>0</v>
      </c>
      <c r="O22" s="815">
        <f t="shared" si="3"/>
        <v>0</v>
      </c>
    </row>
    <row r="23" spans="1:15" ht="22.5" customHeight="1" x14ac:dyDescent="0.25">
      <c r="A23" s="849" t="s">
        <v>1616</v>
      </c>
      <c r="B23" s="820"/>
      <c r="C23" s="820"/>
      <c r="D23" s="820"/>
      <c r="E23" s="820"/>
      <c r="F23" s="820"/>
      <c r="G23" s="820"/>
      <c r="H23" s="820">
        <v>2.2000000000000002</v>
      </c>
      <c r="I23" s="820"/>
      <c r="J23" s="820"/>
      <c r="K23" s="846">
        <f t="shared" si="0"/>
        <v>0</v>
      </c>
      <c r="L23" s="847">
        <f t="shared" si="1"/>
        <v>0</v>
      </c>
      <c r="M23" s="848">
        <v>0.99227506269999999</v>
      </c>
      <c r="N23" s="815">
        <f t="shared" si="2"/>
        <v>0</v>
      </c>
      <c r="O23" s="815">
        <f t="shared" si="3"/>
        <v>0</v>
      </c>
    </row>
    <row r="24" spans="1:15" ht="39.75" customHeight="1" x14ac:dyDescent="0.25">
      <c r="A24" s="849" t="s">
        <v>1617</v>
      </c>
      <c r="B24" s="820"/>
      <c r="C24" s="820"/>
      <c r="D24" s="820"/>
      <c r="E24" s="820"/>
      <c r="F24" s="820"/>
      <c r="G24" s="820"/>
      <c r="H24" s="820">
        <v>2.2000000000000002</v>
      </c>
      <c r="I24" s="820"/>
      <c r="J24" s="820"/>
      <c r="K24" s="846">
        <f t="shared" si="0"/>
        <v>0</v>
      </c>
      <c r="L24" s="847">
        <f t="shared" si="1"/>
        <v>0</v>
      </c>
      <c r="M24" s="848">
        <v>0.98615727659999997</v>
      </c>
      <c r="N24" s="815">
        <f t="shared" si="2"/>
        <v>0</v>
      </c>
      <c r="O24" s="815">
        <f t="shared" si="3"/>
        <v>0</v>
      </c>
    </row>
    <row r="25" spans="1:15" ht="22.5" customHeight="1" x14ac:dyDescent="0.25">
      <c r="A25" s="849" t="s">
        <v>1565</v>
      </c>
      <c r="B25" s="820">
        <v>1835014.04</v>
      </c>
      <c r="C25" s="820">
        <v>1809527.74</v>
      </c>
      <c r="D25" s="820">
        <v>1781507.72</v>
      </c>
      <c r="E25" s="820">
        <v>1835014.04</v>
      </c>
      <c r="F25" s="820">
        <v>1809527.74</v>
      </c>
      <c r="G25" s="820">
        <v>1781507.72</v>
      </c>
      <c r="H25" s="820">
        <v>2.2000000000000002</v>
      </c>
      <c r="I25" s="820">
        <v>41381</v>
      </c>
      <c r="J25" s="820">
        <v>39360</v>
      </c>
      <c r="K25" s="846">
        <f t="shared" si="0"/>
        <v>39347.279999999999</v>
      </c>
      <c r="L25" s="847">
        <f t="shared" si="1"/>
        <v>39.299999999999997</v>
      </c>
      <c r="M25" s="848">
        <v>1</v>
      </c>
      <c r="N25" s="815">
        <f t="shared" si="2"/>
        <v>39.299999999999997</v>
      </c>
      <c r="O25" s="815">
        <f t="shared" si="3"/>
        <v>0</v>
      </c>
    </row>
    <row r="26" spans="1:15" ht="22.5" customHeight="1" x14ac:dyDescent="0.25">
      <c r="A26" s="849" t="s">
        <v>673</v>
      </c>
      <c r="B26" s="820">
        <v>868534.02</v>
      </c>
      <c r="C26" s="820">
        <v>823551.9</v>
      </c>
      <c r="D26" s="820">
        <v>684108.52</v>
      </c>
      <c r="E26" s="820"/>
      <c r="F26" s="820"/>
      <c r="G26" s="820"/>
      <c r="H26" s="820">
        <v>2.2000000000000002</v>
      </c>
      <c r="I26" s="820">
        <v>21077</v>
      </c>
      <c r="J26" s="820">
        <v>21000</v>
      </c>
      <c r="K26" s="846">
        <f t="shared" si="0"/>
        <v>15817.33</v>
      </c>
      <c r="L26" s="847">
        <f t="shared" si="1"/>
        <v>15.8</v>
      </c>
      <c r="M26" s="848">
        <v>0.99437014290000003</v>
      </c>
      <c r="N26" s="815">
        <f t="shared" si="2"/>
        <v>15.7</v>
      </c>
      <c r="O26" s="815">
        <f t="shared" si="3"/>
        <v>0.1</v>
      </c>
    </row>
    <row r="27" spans="1:15" ht="22.5" customHeight="1" x14ac:dyDescent="0.25">
      <c r="A27" s="849" t="s">
        <v>674</v>
      </c>
      <c r="B27" s="820"/>
      <c r="C27" s="820"/>
      <c r="D27" s="820"/>
      <c r="E27" s="820"/>
      <c r="F27" s="820"/>
      <c r="G27" s="820"/>
      <c r="H27" s="820">
        <v>2.2000000000000002</v>
      </c>
      <c r="I27" s="820"/>
      <c r="J27" s="820"/>
      <c r="K27" s="846">
        <f t="shared" si="0"/>
        <v>0</v>
      </c>
      <c r="L27" s="847">
        <f t="shared" si="1"/>
        <v>0</v>
      </c>
      <c r="M27" s="848">
        <v>0.99044820749999996</v>
      </c>
      <c r="N27" s="815">
        <f t="shared" si="2"/>
        <v>0</v>
      </c>
      <c r="O27" s="815">
        <f t="shared" si="3"/>
        <v>0</v>
      </c>
    </row>
    <row r="28" spans="1:15" ht="22.5" customHeight="1" x14ac:dyDescent="0.25">
      <c r="A28" s="850" t="s">
        <v>1570</v>
      </c>
      <c r="B28" s="820"/>
      <c r="C28" s="820"/>
      <c r="D28" s="820"/>
      <c r="E28" s="820"/>
      <c r="F28" s="820"/>
      <c r="G28" s="820"/>
      <c r="H28" s="820">
        <v>2.2000000000000002</v>
      </c>
      <c r="I28" s="820"/>
      <c r="J28" s="820"/>
      <c r="K28" s="846">
        <f t="shared" si="0"/>
        <v>0</v>
      </c>
      <c r="L28" s="847">
        <f t="shared" si="1"/>
        <v>0</v>
      </c>
      <c r="M28" s="848">
        <v>0.98055003129999996</v>
      </c>
      <c r="N28" s="815">
        <f t="shared" si="2"/>
        <v>0</v>
      </c>
      <c r="O28" s="815">
        <f t="shared" si="3"/>
        <v>0</v>
      </c>
    </row>
    <row r="29" spans="1:15" ht="22.5" customHeight="1" x14ac:dyDescent="0.25">
      <c r="A29" s="849" t="s">
        <v>676</v>
      </c>
      <c r="B29" s="820">
        <v>344978.84</v>
      </c>
      <c r="C29" s="820">
        <v>262285.82</v>
      </c>
      <c r="D29" s="820">
        <v>179593.64</v>
      </c>
      <c r="E29" s="820"/>
      <c r="F29" s="820"/>
      <c r="G29" s="820"/>
      <c r="H29" s="820">
        <v>2.2000000000000002</v>
      </c>
      <c r="I29" s="820">
        <v>11015</v>
      </c>
      <c r="J29" s="820">
        <v>8017</v>
      </c>
      <c r="K29" s="846">
        <f t="shared" si="0"/>
        <v>4405.87</v>
      </c>
      <c r="L29" s="847">
        <f t="shared" si="1"/>
        <v>4.4000000000000004</v>
      </c>
      <c r="M29" s="848">
        <v>0.93628310000000003</v>
      </c>
      <c r="N29" s="815">
        <f t="shared" si="2"/>
        <v>4.0999999999999996</v>
      </c>
      <c r="O29" s="815">
        <f t="shared" si="3"/>
        <v>0.3</v>
      </c>
    </row>
    <row r="30" spans="1:15" ht="22.5" customHeight="1" x14ac:dyDescent="0.25">
      <c r="A30" s="849" t="s">
        <v>677</v>
      </c>
      <c r="B30" s="820">
        <v>81621</v>
      </c>
      <c r="C30" s="820">
        <v>80821</v>
      </c>
      <c r="D30" s="820">
        <v>80021</v>
      </c>
      <c r="E30" s="820"/>
      <c r="F30" s="820"/>
      <c r="G30" s="820"/>
      <c r="H30" s="820">
        <v>2.2000000000000002</v>
      </c>
      <c r="I30" s="820"/>
      <c r="J30" s="820">
        <v>4600</v>
      </c>
      <c r="K30" s="846">
        <f t="shared" si="0"/>
        <v>1764.86</v>
      </c>
      <c r="L30" s="847">
        <f t="shared" si="1"/>
        <v>1.8</v>
      </c>
      <c r="M30" s="848">
        <v>0.98666027860000005</v>
      </c>
      <c r="N30" s="815">
        <f t="shared" si="2"/>
        <v>1.8</v>
      </c>
      <c r="O30" s="815">
        <f t="shared" si="3"/>
        <v>0</v>
      </c>
    </row>
    <row r="31" spans="1:15" ht="22.5" customHeight="1" x14ac:dyDescent="0.25">
      <c r="A31" s="849" t="s">
        <v>678</v>
      </c>
      <c r="B31" s="820"/>
      <c r="C31" s="820"/>
      <c r="D31" s="820"/>
      <c r="E31" s="820"/>
      <c r="F31" s="820"/>
      <c r="G31" s="820"/>
      <c r="H31" s="820">
        <v>2.2000000000000002</v>
      </c>
      <c r="I31" s="820"/>
      <c r="J31" s="820"/>
      <c r="K31" s="846">
        <f t="shared" si="0"/>
        <v>0</v>
      </c>
      <c r="L31" s="847">
        <f t="shared" si="1"/>
        <v>0</v>
      </c>
      <c r="M31" s="848">
        <v>0.98881925240000001</v>
      </c>
      <c r="N31" s="815">
        <f t="shared" si="2"/>
        <v>0</v>
      </c>
      <c r="O31" s="815">
        <f t="shared" si="3"/>
        <v>0</v>
      </c>
    </row>
    <row r="32" spans="1:15" ht="22.5" customHeight="1" x14ac:dyDescent="0.25">
      <c r="A32" s="849" t="s">
        <v>679</v>
      </c>
      <c r="B32" s="820">
        <v>1818866.46</v>
      </c>
      <c r="C32" s="820">
        <v>1752718.98</v>
      </c>
      <c r="D32" s="820">
        <v>1686572.46</v>
      </c>
      <c r="E32" s="820">
        <v>1818866.46</v>
      </c>
      <c r="F32" s="820">
        <v>1752718.98</v>
      </c>
      <c r="G32" s="820">
        <v>1686572.46</v>
      </c>
      <c r="H32" s="820">
        <v>2.2000000000000002</v>
      </c>
      <c r="I32" s="820">
        <v>42288</v>
      </c>
      <c r="J32" s="820">
        <v>39288</v>
      </c>
      <c r="K32" s="846">
        <f t="shared" si="0"/>
        <v>37468.400000000001</v>
      </c>
      <c r="L32" s="847">
        <f t="shared" si="1"/>
        <v>37.5</v>
      </c>
      <c r="M32" s="848">
        <v>0.9823927402</v>
      </c>
      <c r="N32" s="815">
        <f t="shared" si="2"/>
        <v>36.799999999999997</v>
      </c>
      <c r="O32" s="815">
        <f t="shared" si="3"/>
        <v>0.7</v>
      </c>
    </row>
    <row r="33" spans="1:15" ht="22.5" customHeight="1" x14ac:dyDescent="0.25">
      <c r="A33" s="849" t="s">
        <v>680</v>
      </c>
      <c r="B33" s="820"/>
      <c r="C33" s="820"/>
      <c r="D33" s="820"/>
      <c r="E33" s="820"/>
      <c r="F33" s="820"/>
      <c r="G33" s="820"/>
      <c r="H33" s="820">
        <v>2.2000000000000002</v>
      </c>
      <c r="I33" s="820"/>
      <c r="J33" s="820"/>
      <c r="K33" s="846">
        <f t="shared" si="0"/>
        <v>0</v>
      </c>
      <c r="L33" s="847">
        <f t="shared" si="1"/>
        <v>0</v>
      </c>
      <c r="M33" s="848">
        <v>0.97548029469999997</v>
      </c>
      <c r="N33" s="815">
        <f t="shared" si="2"/>
        <v>0</v>
      </c>
      <c r="O33" s="815">
        <f t="shared" si="3"/>
        <v>0</v>
      </c>
    </row>
    <row r="34" spans="1:15" ht="22.5" customHeight="1" x14ac:dyDescent="0.25">
      <c r="A34" s="849" t="s">
        <v>1618</v>
      </c>
      <c r="B34" s="820">
        <v>9469674.1999999993</v>
      </c>
      <c r="C34" s="820">
        <v>9325115.1199999992</v>
      </c>
      <c r="D34" s="820">
        <v>9325115.1199999992</v>
      </c>
      <c r="E34" s="820"/>
      <c r="F34" s="820"/>
      <c r="G34" s="820"/>
      <c r="H34" s="820">
        <v>2.2000000000000002</v>
      </c>
      <c r="I34" s="820">
        <v>213303</v>
      </c>
      <c r="J34" s="820">
        <v>206543</v>
      </c>
      <c r="K34" s="846">
        <f t="shared" si="0"/>
        <v>205152.53</v>
      </c>
      <c r="L34" s="847">
        <f t="shared" si="1"/>
        <v>205.2</v>
      </c>
      <c r="M34" s="848">
        <v>0.97636352510000002</v>
      </c>
      <c r="N34" s="815">
        <f t="shared" si="2"/>
        <v>200.3</v>
      </c>
      <c r="O34" s="815">
        <f t="shared" si="3"/>
        <v>4.9000000000000004</v>
      </c>
    </row>
    <row r="35" spans="1:15" ht="22.5" customHeight="1" x14ac:dyDescent="0.25">
      <c r="A35" s="851" t="s">
        <v>682</v>
      </c>
      <c r="B35" s="820">
        <v>13621668.26</v>
      </c>
      <c r="C35" s="820">
        <v>13488158.359999999</v>
      </c>
      <c r="D35" s="852">
        <f>B35-((B35-C35)*2)</f>
        <v>13354648.460000001</v>
      </c>
      <c r="E35" s="820">
        <f>B35</f>
        <v>13621668.26</v>
      </c>
      <c r="F35" s="820">
        <f>C35</f>
        <v>13488158.359999999</v>
      </c>
      <c r="G35" s="820">
        <f>D35</f>
        <v>13354648.460000001</v>
      </c>
      <c r="H35" s="820">
        <v>2.2000000000000002</v>
      </c>
      <c r="I35" s="820">
        <v>303927</v>
      </c>
      <c r="J35" s="820">
        <v>298762</v>
      </c>
      <c r="K35" s="846">
        <f t="shared" si="0"/>
        <v>294536.57</v>
      </c>
      <c r="L35" s="847">
        <f t="shared" si="1"/>
        <v>294.5</v>
      </c>
      <c r="M35" s="848">
        <v>0.99397414070000001</v>
      </c>
      <c r="N35" s="815">
        <f t="shared" si="2"/>
        <v>292.7</v>
      </c>
      <c r="O35" s="815">
        <f t="shared" si="3"/>
        <v>1.8</v>
      </c>
    </row>
    <row r="36" spans="1:15" ht="22.5" customHeight="1" x14ac:dyDescent="0.25">
      <c r="A36" s="849" t="s">
        <v>683</v>
      </c>
      <c r="B36" s="820"/>
      <c r="C36" s="820"/>
      <c r="D36" s="820"/>
      <c r="E36" s="820"/>
      <c r="F36" s="820"/>
      <c r="G36" s="820"/>
      <c r="H36" s="820">
        <v>2.2000000000000002</v>
      </c>
      <c r="I36" s="820"/>
      <c r="J36" s="820"/>
      <c r="K36" s="846">
        <f t="shared" si="0"/>
        <v>0</v>
      </c>
      <c r="L36" s="847">
        <f t="shared" si="1"/>
        <v>0</v>
      </c>
      <c r="M36" s="848">
        <v>0.98365203840000004</v>
      </c>
      <c r="N36" s="815">
        <f t="shared" si="2"/>
        <v>0</v>
      </c>
      <c r="O36" s="815">
        <f t="shared" si="3"/>
        <v>0</v>
      </c>
    </row>
    <row r="37" spans="1:15" ht="22.5" customHeight="1" x14ac:dyDescent="0.25">
      <c r="A37" s="849" t="s">
        <v>684</v>
      </c>
      <c r="B37" s="820">
        <v>1586954</v>
      </c>
      <c r="C37" s="820">
        <v>1540507</v>
      </c>
      <c r="D37" s="820">
        <v>1494060</v>
      </c>
      <c r="E37" s="820"/>
      <c r="F37" s="820"/>
      <c r="G37" s="820"/>
      <c r="H37" s="820">
        <v>2.2000000000000002</v>
      </c>
      <c r="I37" s="820">
        <v>36997</v>
      </c>
      <c r="J37" s="820">
        <v>35781</v>
      </c>
      <c r="K37" s="846">
        <f t="shared" si="0"/>
        <v>33124.78</v>
      </c>
      <c r="L37" s="847">
        <f t="shared" si="1"/>
        <v>33.1</v>
      </c>
      <c r="M37" s="848">
        <v>0.99587834129999997</v>
      </c>
      <c r="N37" s="815">
        <f t="shared" si="2"/>
        <v>33</v>
      </c>
      <c r="O37" s="815">
        <f t="shared" si="3"/>
        <v>0.1</v>
      </c>
    </row>
    <row r="38" spans="1:15" ht="22.5" customHeight="1" x14ac:dyDescent="0.25">
      <c r="A38" s="849" t="s">
        <v>685</v>
      </c>
      <c r="B38" s="820">
        <v>5930791.9100000001</v>
      </c>
      <c r="C38" s="820">
        <v>5986645.3600000003</v>
      </c>
      <c r="D38" s="820">
        <v>5756592.4000000004</v>
      </c>
      <c r="E38" s="820"/>
      <c r="F38" s="820">
        <v>130679.39</v>
      </c>
      <c r="G38" s="820">
        <v>125104.25</v>
      </c>
      <c r="H38" s="820">
        <v>2.2000000000000002</v>
      </c>
      <c r="I38" s="820"/>
      <c r="J38" s="820"/>
      <c r="K38" s="846">
        <f t="shared" si="0"/>
        <v>127910.32</v>
      </c>
      <c r="L38" s="847">
        <f t="shared" si="1"/>
        <v>127.9</v>
      </c>
      <c r="M38" s="848">
        <v>0.97761135899999996</v>
      </c>
      <c r="N38" s="815">
        <f t="shared" si="2"/>
        <v>125</v>
      </c>
      <c r="O38" s="815">
        <f t="shared" si="3"/>
        <v>2.9</v>
      </c>
    </row>
    <row r="39" spans="1:15" ht="22.7" customHeight="1" x14ac:dyDescent="0.25">
      <c r="A39" s="849" t="s">
        <v>1589</v>
      </c>
      <c r="B39" s="820">
        <v>1503908.81</v>
      </c>
      <c r="C39" s="820">
        <v>1391121.52</v>
      </c>
      <c r="D39" s="820">
        <v>1165546.96</v>
      </c>
      <c r="E39" s="820">
        <v>1503908.81</v>
      </c>
      <c r="F39" s="820">
        <v>1391121.52</v>
      </c>
      <c r="G39" s="820">
        <v>1165546.96</v>
      </c>
      <c r="H39" s="820">
        <v>2.2000000000000002</v>
      </c>
      <c r="I39" s="820"/>
      <c r="J39" s="820"/>
      <c r="K39" s="846">
        <f t="shared" si="0"/>
        <v>26882.69</v>
      </c>
      <c r="L39" s="847">
        <f t="shared" si="1"/>
        <v>26.9</v>
      </c>
      <c r="M39" s="848">
        <v>0.95776520350000005</v>
      </c>
      <c r="N39" s="815">
        <f t="shared" si="2"/>
        <v>25.8</v>
      </c>
      <c r="O39" s="815">
        <f t="shared" si="3"/>
        <v>1.1000000000000001</v>
      </c>
    </row>
    <row r="40" spans="1:15" ht="22.5" customHeight="1" x14ac:dyDescent="0.25">
      <c r="A40" s="849" t="s">
        <v>687</v>
      </c>
      <c r="B40" s="820">
        <v>16997960</v>
      </c>
      <c r="C40" s="820">
        <v>16851216</v>
      </c>
      <c r="D40" s="820">
        <v>16728928</v>
      </c>
      <c r="E40" s="820"/>
      <c r="F40" s="820"/>
      <c r="G40" s="820"/>
      <c r="H40" s="820">
        <v>2.2000000000000002</v>
      </c>
      <c r="I40" s="820"/>
      <c r="J40" s="820"/>
      <c r="K40" s="846">
        <f t="shared" si="0"/>
        <v>368709</v>
      </c>
      <c r="L40" s="847">
        <f t="shared" si="1"/>
        <v>368.7</v>
      </c>
      <c r="M40" s="848">
        <v>0.98256217150000003</v>
      </c>
      <c r="N40" s="815">
        <f t="shared" si="2"/>
        <v>362.3</v>
      </c>
      <c r="O40" s="815">
        <f t="shared" si="3"/>
        <v>6.4</v>
      </c>
    </row>
    <row r="41" spans="1:15" ht="22.5" customHeight="1" x14ac:dyDescent="0.25">
      <c r="A41" s="849" t="s">
        <v>688</v>
      </c>
      <c r="B41" s="820">
        <v>34815931.170000002</v>
      </c>
      <c r="C41" s="820">
        <v>34548116.25</v>
      </c>
      <c r="D41" s="820">
        <v>34280301.329999998</v>
      </c>
      <c r="E41" s="820">
        <v>34815931.170000002</v>
      </c>
      <c r="F41" s="820">
        <v>34548116.25</v>
      </c>
      <c r="G41" s="820">
        <v>34280301.329999998</v>
      </c>
      <c r="H41" s="820">
        <v>2.2000000000000002</v>
      </c>
      <c r="I41" s="820">
        <v>774419</v>
      </c>
      <c r="J41" s="820">
        <v>757113</v>
      </c>
      <c r="K41" s="846">
        <f t="shared" si="0"/>
        <v>755639.61</v>
      </c>
      <c r="L41" s="847">
        <f t="shared" si="1"/>
        <v>755.6</v>
      </c>
      <c r="M41" s="848">
        <v>0.99338519140000003</v>
      </c>
      <c r="N41" s="815">
        <f t="shared" si="2"/>
        <v>750.6</v>
      </c>
      <c r="O41" s="815">
        <f t="shared" si="3"/>
        <v>5</v>
      </c>
    </row>
    <row r="42" spans="1:15" ht="22.5" customHeight="1" x14ac:dyDescent="0.25">
      <c r="A42" s="849" t="s">
        <v>689</v>
      </c>
      <c r="B42" s="820">
        <v>48938870.770000003</v>
      </c>
      <c r="C42" s="820">
        <v>48296192.049999997</v>
      </c>
      <c r="D42" s="820">
        <v>47653513.329999998</v>
      </c>
      <c r="E42" s="820"/>
      <c r="F42" s="820"/>
      <c r="G42" s="820"/>
      <c r="H42" s="820">
        <v>2.2000000000000002</v>
      </c>
      <c r="I42" s="820">
        <v>1108189</v>
      </c>
      <c r="J42" s="820">
        <f>266852+769970.79</f>
        <v>1036822.79</v>
      </c>
      <c r="K42" s="846">
        <f t="shared" si="0"/>
        <v>1051912.03</v>
      </c>
      <c r="L42" s="847">
        <f t="shared" si="1"/>
        <v>1051.9000000000001</v>
      </c>
      <c r="M42" s="848">
        <v>0.88427152539999998</v>
      </c>
      <c r="N42" s="815">
        <f t="shared" si="2"/>
        <v>930.2</v>
      </c>
      <c r="O42" s="815">
        <f t="shared" si="3"/>
        <v>121.7</v>
      </c>
    </row>
    <row r="43" spans="1:15" ht="22.5" customHeight="1" x14ac:dyDescent="0.25">
      <c r="A43" s="849" t="s">
        <v>1619</v>
      </c>
      <c r="B43" s="820">
        <v>101069052.79000001</v>
      </c>
      <c r="C43" s="820">
        <v>100369301.77</v>
      </c>
      <c r="D43" s="820">
        <v>99669550.75</v>
      </c>
      <c r="E43" s="820">
        <v>101069052.79000001</v>
      </c>
      <c r="F43" s="820">
        <v>100369301.77</v>
      </c>
      <c r="G43" s="820">
        <v>99669550.75</v>
      </c>
      <c r="H43" s="820">
        <v>2.2000000000000002</v>
      </c>
      <c r="I43" s="820">
        <v>2246451</v>
      </c>
      <c r="J43" s="820">
        <v>2218709</v>
      </c>
      <c r="K43" s="846">
        <f t="shared" si="0"/>
        <v>2196578.75</v>
      </c>
      <c r="L43" s="847">
        <f t="shared" si="1"/>
        <v>2196.6</v>
      </c>
      <c r="M43" s="848">
        <v>0.96771819709999995</v>
      </c>
      <c r="N43" s="815">
        <f t="shared" si="2"/>
        <v>2125.6999999999998</v>
      </c>
      <c r="O43" s="815">
        <f t="shared" si="3"/>
        <v>70.900000000000006</v>
      </c>
    </row>
    <row r="44" spans="1:15" ht="22.5" customHeight="1" x14ac:dyDescent="0.25">
      <c r="A44" s="849" t="s">
        <v>691</v>
      </c>
      <c r="B44" s="820">
        <v>1095200693.5</v>
      </c>
      <c r="C44" s="820">
        <v>1088596468.24</v>
      </c>
      <c r="D44" s="820">
        <v>1085294355.6099999</v>
      </c>
      <c r="E44" s="820">
        <v>1095200693.5</v>
      </c>
      <c r="F44" s="820">
        <v>1088596468.24</v>
      </c>
      <c r="G44" s="820">
        <v>1085294355.6099999</v>
      </c>
      <c r="H44" s="820">
        <v>2.2000000000000002</v>
      </c>
      <c r="I44" s="820">
        <v>15345617</v>
      </c>
      <c r="J44" s="820">
        <v>12029046</v>
      </c>
      <c r="K44" s="846">
        <f t="shared" si="0"/>
        <v>23894637.440000001</v>
      </c>
      <c r="L44" s="847">
        <f t="shared" si="1"/>
        <v>23894.6</v>
      </c>
      <c r="M44" s="848">
        <v>1</v>
      </c>
      <c r="N44" s="815">
        <f t="shared" si="2"/>
        <v>23894.6</v>
      </c>
      <c r="O44" s="815">
        <f t="shared" si="3"/>
        <v>0</v>
      </c>
    </row>
    <row r="45" spans="1:15" ht="15" x14ac:dyDescent="0.25">
      <c r="A45" s="853" t="s">
        <v>1620</v>
      </c>
      <c r="B45" s="828"/>
      <c r="C45" s="828"/>
      <c r="D45" s="828"/>
      <c r="E45" s="828"/>
      <c r="F45" s="828"/>
      <c r="G45" s="828"/>
      <c r="H45" s="828"/>
      <c r="I45" s="828"/>
      <c r="J45" s="828"/>
      <c r="K45" s="854">
        <f>SUM(K14:K44)</f>
        <v>29398126.219999999</v>
      </c>
      <c r="L45" s="855">
        <f>SUM(L14:L44)</f>
        <v>29398.1</v>
      </c>
      <c r="M45" s="855"/>
      <c r="N45" s="855">
        <f t="shared" ref="N45:O45" si="4">SUM(N14:N44)</f>
        <v>29176.400000000001</v>
      </c>
      <c r="O45" s="855">
        <f t="shared" si="4"/>
        <v>221.7</v>
      </c>
    </row>
    <row r="46" spans="1:15" ht="15" x14ac:dyDescent="0.25">
      <c r="A46" s="853" t="s">
        <v>1334</v>
      </c>
      <c r="B46" s="828"/>
      <c r="C46" s="828"/>
      <c r="D46" s="828"/>
      <c r="E46" s="828"/>
      <c r="F46" s="828"/>
      <c r="G46" s="828"/>
      <c r="H46" s="828"/>
      <c r="I46" s="828"/>
      <c r="J46" s="828"/>
      <c r="K46" s="854">
        <f>K15+K17+K18+K19+K20+K21+K25+K26+K27+K29+K30+K32+K35+K36+K37+K38+K39+K40+K41+K43</f>
        <v>4236603.58</v>
      </c>
      <c r="L46" s="855">
        <f>L15+L17+L18+L19+L20+L21+L25+L26+L27+L29+L30+L32+L35+L36+L37+L38+L39+L40+L41+L43</f>
        <v>4236.6000000000004</v>
      </c>
      <c r="M46" s="855"/>
      <c r="N46" s="855">
        <f t="shared" ref="N46:O46" si="5">N15+N17+N18+N19+N20+N21+N25+N26+N27+N29+N30+N32+N35+N36+N37+N38+N39+N40+N41+N43</f>
        <v>4142.6000000000004</v>
      </c>
      <c r="O46" s="855">
        <f t="shared" si="5"/>
        <v>94</v>
      </c>
    </row>
    <row r="47" spans="1:15" ht="15" x14ac:dyDescent="0.25">
      <c r="A47" s="853" t="s">
        <v>1335</v>
      </c>
      <c r="B47" s="828"/>
      <c r="C47" s="828"/>
      <c r="D47" s="828"/>
      <c r="E47" s="828"/>
      <c r="F47" s="828"/>
      <c r="G47" s="828"/>
      <c r="H47" s="828"/>
      <c r="I47" s="828"/>
      <c r="J47" s="828"/>
      <c r="K47" s="854">
        <f>K14+K16+K22+K23+K24+K28+K31+K33+K34+K42+K44</f>
        <v>25161522.640000001</v>
      </c>
      <c r="L47" s="855">
        <f>L14+L16+L22+L23+L24+L28+L31+L33+L34+L42+L44</f>
        <v>25161.5</v>
      </c>
      <c r="M47" s="855"/>
      <c r="N47" s="855">
        <f t="shared" ref="N47:O47" si="6">N14+N16+N22+N23+N24+N28+N31+N33+N34+N42+N44</f>
        <v>25033.8</v>
      </c>
      <c r="O47" s="855">
        <f t="shared" si="6"/>
        <v>127.7</v>
      </c>
    </row>
  </sheetData>
  <mergeCells count="20">
    <mergeCell ref="A7:J7"/>
    <mergeCell ref="B10:D11"/>
    <mergeCell ref="E10:G10"/>
    <mergeCell ref="E11:G11"/>
    <mergeCell ref="H8:I8"/>
    <mergeCell ref="A9:A12"/>
    <mergeCell ref="B9:G9"/>
    <mergeCell ref="H9:H12"/>
    <mergeCell ref="I9:I12"/>
    <mergeCell ref="D1:J1"/>
    <mergeCell ref="H2:K2"/>
    <mergeCell ref="A3:J3"/>
    <mergeCell ref="A4:J4"/>
    <mergeCell ref="A5:J5"/>
    <mergeCell ref="L9:L12"/>
    <mergeCell ref="M9:M12"/>
    <mergeCell ref="N9:N12"/>
    <mergeCell ref="O9:O12"/>
    <mergeCell ref="J9:J12"/>
    <mergeCell ref="K9:K12"/>
  </mergeCells>
  <printOptions horizontalCentered="1"/>
  <pageMargins left="0.19685039370078741" right="0.19685039370078741" top="0.15748031496062992" bottom="0.19685039370078741" header="0.15748031496062992" footer="0.15748031496062992"/>
  <pageSetup paperSize="9" scale="37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K382"/>
  <sheetViews>
    <sheetView view="pageBreakPreview" zoomScale="80" zoomScaleSheetLayoutView="80" workbookViewId="0">
      <pane xSplit="1" ySplit="12" topLeftCell="B92" activePane="bottomRight" state="frozen"/>
      <selection activeCell="S49" sqref="S49"/>
      <selection pane="topRight" activeCell="S49" sqref="S49"/>
      <selection pane="bottomLeft" activeCell="S49" sqref="S49"/>
      <selection pane="bottomRight" activeCell="G106" sqref="G106"/>
    </sheetView>
  </sheetViews>
  <sheetFormatPr defaultRowHeight="12.75" x14ac:dyDescent="0.25"/>
  <cols>
    <col min="1" max="1" width="18.7109375" style="787" customWidth="1"/>
    <col min="2" max="2" width="22.140625" style="833" customWidth="1"/>
    <col min="3" max="3" width="16.5703125" style="833" customWidth="1"/>
    <col min="4" max="4" width="8.85546875" style="833" customWidth="1"/>
    <col min="5" max="5" width="15.28515625" style="833" customWidth="1"/>
    <col min="6" max="6" width="15.7109375" style="833" customWidth="1"/>
    <col min="7" max="7" width="15.85546875" style="833" customWidth="1"/>
    <col min="8" max="8" width="13.140625" style="787" customWidth="1"/>
    <col min="9" max="9" width="13.42578125" style="787" customWidth="1"/>
    <col min="10" max="10" width="17.7109375" style="787" customWidth="1"/>
    <col min="11" max="11" width="17" style="787" customWidth="1"/>
    <col min="12" max="251" width="9.140625" style="787"/>
    <col min="252" max="252" width="2.7109375" style="787" customWidth="1"/>
    <col min="253" max="253" width="3.28515625" style="787" customWidth="1"/>
    <col min="254" max="254" width="2.5703125" style="787" customWidth="1"/>
    <col min="255" max="255" width="4.7109375" style="787" customWidth="1"/>
    <col min="256" max="256" width="5.140625" style="787" customWidth="1"/>
    <col min="257" max="257" width="5" style="787" customWidth="1"/>
    <col min="258" max="507" width="9.140625" style="787"/>
    <col min="508" max="508" width="2.7109375" style="787" customWidth="1"/>
    <col min="509" max="509" width="3.28515625" style="787" customWidth="1"/>
    <col min="510" max="510" width="2.5703125" style="787" customWidth="1"/>
    <col min="511" max="511" width="4.7109375" style="787" customWidth="1"/>
    <col min="512" max="512" width="5.140625" style="787" customWidth="1"/>
    <col min="513" max="513" width="5" style="787" customWidth="1"/>
    <col min="514" max="763" width="9.140625" style="787"/>
    <col min="764" max="764" width="2.7109375" style="787" customWidth="1"/>
    <col min="765" max="765" width="3.28515625" style="787" customWidth="1"/>
    <col min="766" max="766" width="2.5703125" style="787" customWidth="1"/>
    <col min="767" max="767" width="4.7109375" style="787" customWidth="1"/>
    <col min="768" max="768" width="5.140625" style="787" customWidth="1"/>
    <col min="769" max="769" width="5" style="787" customWidth="1"/>
    <col min="770" max="1019" width="9.140625" style="787"/>
    <col min="1020" max="1020" width="2.7109375" style="787" customWidth="1"/>
    <col min="1021" max="1021" width="3.28515625" style="787" customWidth="1"/>
    <col min="1022" max="1022" width="2.5703125" style="787" customWidth="1"/>
    <col min="1023" max="1023" width="4.7109375" style="787" customWidth="1"/>
    <col min="1024" max="1024" width="5.140625" style="787" customWidth="1"/>
    <col min="1025" max="1025" width="5" style="787" customWidth="1"/>
    <col min="1026" max="1275" width="9.140625" style="787"/>
    <col min="1276" max="1276" width="2.7109375" style="787" customWidth="1"/>
    <col min="1277" max="1277" width="3.28515625" style="787" customWidth="1"/>
    <col min="1278" max="1278" width="2.5703125" style="787" customWidth="1"/>
    <col min="1279" max="1279" width="4.7109375" style="787" customWidth="1"/>
    <col min="1280" max="1280" width="5.140625" style="787" customWidth="1"/>
    <col min="1281" max="1281" width="5" style="787" customWidth="1"/>
    <col min="1282" max="1531" width="9.140625" style="787"/>
    <col min="1532" max="1532" width="2.7109375" style="787" customWidth="1"/>
    <col min="1533" max="1533" width="3.28515625" style="787" customWidth="1"/>
    <col min="1534" max="1534" width="2.5703125" style="787" customWidth="1"/>
    <col min="1535" max="1535" width="4.7109375" style="787" customWidth="1"/>
    <col min="1536" max="1536" width="5.140625" style="787" customWidth="1"/>
    <col min="1537" max="1537" width="5" style="787" customWidth="1"/>
    <col min="1538" max="1787" width="9.140625" style="787"/>
    <col min="1788" max="1788" width="2.7109375" style="787" customWidth="1"/>
    <col min="1789" max="1789" width="3.28515625" style="787" customWidth="1"/>
    <col min="1790" max="1790" width="2.5703125" style="787" customWidth="1"/>
    <col min="1791" max="1791" width="4.7109375" style="787" customWidth="1"/>
    <col min="1792" max="1792" width="5.140625" style="787" customWidth="1"/>
    <col min="1793" max="1793" width="5" style="787" customWidth="1"/>
    <col min="1794" max="2043" width="9.140625" style="787"/>
    <col min="2044" max="2044" width="2.7109375" style="787" customWidth="1"/>
    <col min="2045" max="2045" width="3.28515625" style="787" customWidth="1"/>
    <col min="2046" max="2046" width="2.5703125" style="787" customWidth="1"/>
    <col min="2047" max="2047" width="4.7109375" style="787" customWidth="1"/>
    <col min="2048" max="2048" width="5.140625" style="787" customWidth="1"/>
    <col min="2049" max="2049" width="5" style="787" customWidth="1"/>
    <col min="2050" max="2299" width="9.140625" style="787"/>
    <col min="2300" max="2300" width="2.7109375" style="787" customWidth="1"/>
    <col min="2301" max="2301" width="3.28515625" style="787" customWidth="1"/>
    <col min="2302" max="2302" width="2.5703125" style="787" customWidth="1"/>
    <col min="2303" max="2303" width="4.7109375" style="787" customWidth="1"/>
    <col min="2304" max="2304" width="5.140625" style="787" customWidth="1"/>
    <col min="2305" max="2305" width="5" style="787" customWidth="1"/>
    <col min="2306" max="2555" width="9.140625" style="787"/>
    <col min="2556" max="2556" width="2.7109375" style="787" customWidth="1"/>
    <col min="2557" max="2557" width="3.28515625" style="787" customWidth="1"/>
    <col min="2558" max="2558" width="2.5703125" style="787" customWidth="1"/>
    <col min="2559" max="2559" width="4.7109375" style="787" customWidth="1"/>
    <col min="2560" max="2560" width="5.140625" style="787" customWidth="1"/>
    <col min="2561" max="2561" width="5" style="787" customWidth="1"/>
    <col min="2562" max="2811" width="9.140625" style="787"/>
    <col min="2812" max="2812" width="2.7109375" style="787" customWidth="1"/>
    <col min="2813" max="2813" width="3.28515625" style="787" customWidth="1"/>
    <col min="2814" max="2814" width="2.5703125" style="787" customWidth="1"/>
    <col min="2815" max="2815" width="4.7109375" style="787" customWidth="1"/>
    <col min="2816" max="2816" width="5.140625" style="787" customWidth="1"/>
    <col min="2817" max="2817" width="5" style="787" customWidth="1"/>
    <col min="2818" max="3067" width="9.140625" style="787"/>
    <col min="3068" max="3068" width="2.7109375" style="787" customWidth="1"/>
    <col min="3069" max="3069" width="3.28515625" style="787" customWidth="1"/>
    <col min="3070" max="3070" width="2.5703125" style="787" customWidth="1"/>
    <col min="3071" max="3071" width="4.7109375" style="787" customWidth="1"/>
    <col min="3072" max="3072" width="5.140625" style="787" customWidth="1"/>
    <col min="3073" max="3073" width="5" style="787" customWidth="1"/>
    <col min="3074" max="3323" width="9.140625" style="787"/>
    <col min="3324" max="3324" width="2.7109375" style="787" customWidth="1"/>
    <col min="3325" max="3325" width="3.28515625" style="787" customWidth="1"/>
    <col min="3326" max="3326" width="2.5703125" style="787" customWidth="1"/>
    <col min="3327" max="3327" width="4.7109375" style="787" customWidth="1"/>
    <col min="3328" max="3328" width="5.140625" style="787" customWidth="1"/>
    <col min="3329" max="3329" width="5" style="787" customWidth="1"/>
    <col min="3330" max="3579" width="9.140625" style="787"/>
    <col min="3580" max="3580" width="2.7109375" style="787" customWidth="1"/>
    <col min="3581" max="3581" width="3.28515625" style="787" customWidth="1"/>
    <col min="3582" max="3582" width="2.5703125" style="787" customWidth="1"/>
    <col min="3583" max="3583" width="4.7109375" style="787" customWidth="1"/>
    <col min="3584" max="3584" width="5.140625" style="787" customWidth="1"/>
    <col min="3585" max="3585" width="5" style="787" customWidth="1"/>
    <col min="3586" max="3835" width="9.140625" style="787"/>
    <col min="3836" max="3836" width="2.7109375" style="787" customWidth="1"/>
    <col min="3837" max="3837" width="3.28515625" style="787" customWidth="1"/>
    <col min="3838" max="3838" width="2.5703125" style="787" customWidth="1"/>
    <col min="3839" max="3839" width="4.7109375" style="787" customWidth="1"/>
    <col min="3840" max="3840" width="5.140625" style="787" customWidth="1"/>
    <col min="3841" max="3841" width="5" style="787" customWidth="1"/>
    <col min="3842" max="4091" width="9.140625" style="787"/>
    <col min="4092" max="4092" width="2.7109375" style="787" customWidth="1"/>
    <col min="4093" max="4093" width="3.28515625" style="787" customWidth="1"/>
    <col min="4094" max="4094" width="2.5703125" style="787" customWidth="1"/>
    <col min="4095" max="4095" width="4.7109375" style="787" customWidth="1"/>
    <col min="4096" max="4096" width="5.140625" style="787" customWidth="1"/>
    <col min="4097" max="4097" width="5" style="787" customWidth="1"/>
    <col min="4098" max="4347" width="9.140625" style="787"/>
    <col min="4348" max="4348" width="2.7109375" style="787" customWidth="1"/>
    <col min="4349" max="4349" width="3.28515625" style="787" customWidth="1"/>
    <col min="4350" max="4350" width="2.5703125" style="787" customWidth="1"/>
    <col min="4351" max="4351" width="4.7109375" style="787" customWidth="1"/>
    <col min="4352" max="4352" width="5.140625" style="787" customWidth="1"/>
    <col min="4353" max="4353" width="5" style="787" customWidth="1"/>
    <col min="4354" max="4603" width="9.140625" style="787"/>
    <col min="4604" max="4604" width="2.7109375" style="787" customWidth="1"/>
    <col min="4605" max="4605" width="3.28515625" style="787" customWidth="1"/>
    <col min="4606" max="4606" width="2.5703125" style="787" customWidth="1"/>
    <col min="4607" max="4607" width="4.7109375" style="787" customWidth="1"/>
    <col min="4608" max="4608" width="5.140625" style="787" customWidth="1"/>
    <col min="4609" max="4609" width="5" style="787" customWidth="1"/>
    <col min="4610" max="4859" width="9.140625" style="787"/>
    <col min="4860" max="4860" width="2.7109375" style="787" customWidth="1"/>
    <col min="4861" max="4861" width="3.28515625" style="787" customWidth="1"/>
    <col min="4862" max="4862" width="2.5703125" style="787" customWidth="1"/>
    <col min="4863" max="4863" width="4.7109375" style="787" customWidth="1"/>
    <col min="4864" max="4864" width="5.140625" style="787" customWidth="1"/>
    <col min="4865" max="4865" width="5" style="787" customWidth="1"/>
    <col min="4866" max="5115" width="9.140625" style="787"/>
    <col min="5116" max="5116" width="2.7109375" style="787" customWidth="1"/>
    <col min="5117" max="5117" width="3.28515625" style="787" customWidth="1"/>
    <col min="5118" max="5118" width="2.5703125" style="787" customWidth="1"/>
    <col min="5119" max="5119" width="4.7109375" style="787" customWidth="1"/>
    <col min="5120" max="5120" width="5.140625" style="787" customWidth="1"/>
    <col min="5121" max="5121" width="5" style="787" customWidth="1"/>
    <col min="5122" max="5371" width="9.140625" style="787"/>
    <col min="5372" max="5372" width="2.7109375" style="787" customWidth="1"/>
    <col min="5373" max="5373" width="3.28515625" style="787" customWidth="1"/>
    <col min="5374" max="5374" width="2.5703125" style="787" customWidth="1"/>
    <col min="5375" max="5375" width="4.7109375" style="787" customWidth="1"/>
    <col min="5376" max="5376" width="5.140625" style="787" customWidth="1"/>
    <col min="5377" max="5377" width="5" style="787" customWidth="1"/>
    <col min="5378" max="5627" width="9.140625" style="787"/>
    <col min="5628" max="5628" width="2.7109375" style="787" customWidth="1"/>
    <col min="5629" max="5629" width="3.28515625" style="787" customWidth="1"/>
    <col min="5630" max="5630" width="2.5703125" style="787" customWidth="1"/>
    <col min="5631" max="5631" width="4.7109375" style="787" customWidth="1"/>
    <col min="5632" max="5632" width="5.140625" style="787" customWidth="1"/>
    <col min="5633" max="5633" width="5" style="787" customWidth="1"/>
    <col min="5634" max="5883" width="9.140625" style="787"/>
    <col min="5884" max="5884" width="2.7109375" style="787" customWidth="1"/>
    <col min="5885" max="5885" width="3.28515625" style="787" customWidth="1"/>
    <col min="5886" max="5886" width="2.5703125" style="787" customWidth="1"/>
    <col min="5887" max="5887" width="4.7109375" style="787" customWidth="1"/>
    <col min="5888" max="5888" width="5.140625" style="787" customWidth="1"/>
    <col min="5889" max="5889" width="5" style="787" customWidth="1"/>
    <col min="5890" max="6139" width="9.140625" style="787"/>
    <col min="6140" max="6140" width="2.7109375" style="787" customWidth="1"/>
    <col min="6141" max="6141" width="3.28515625" style="787" customWidth="1"/>
    <col min="6142" max="6142" width="2.5703125" style="787" customWidth="1"/>
    <col min="6143" max="6143" width="4.7109375" style="787" customWidth="1"/>
    <col min="6144" max="6144" width="5.140625" style="787" customWidth="1"/>
    <col min="6145" max="6145" width="5" style="787" customWidth="1"/>
    <col min="6146" max="6395" width="9.140625" style="787"/>
    <col min="6396" max="6396" width="2.7109375" style="787" customWidth="1"/>
    <col min="6397" max="6397" width="3.28515625" style="787" customWidth="1"/>
    <col min="6398" max="6398" width="2.5703125" style="787" customWidth="1"/>
    <col min="6399" max="6399" width="4.7109375" style="787" customWidth="1"/>
    <col min="6400" max="6400" width="5.140625" style="787" customWidth="1"/>
    <col min="6401" max="6401" width="5" style="787" customWidth="1"/>
    <col min="6402" max="6651" width="9.140625" style="787"/>
    <col min="6652" max="6652" width="2.7109375" style="787" customWidth="1"/>
    <col min="6653" max="6653" width="3.28515625" style="787" customWidth="1"/>
    <col min="6654" max="6654" width="2.5703125" style="787" customWidth="1"/>
    <col min="6655" max="6655" width="4.7109375" style="787" customWidth="1"/>
    <col min="6656" max="6656" width="5.140625" style="787" customWidth="1"/>
    <col min="6657" max="6657" width="5" style="787" customWidth="1"/>
    <col min="6658" max="6907" width="9.140625" style="787"/>
    <col min="6908" max="6908" width="2.7109375" style="787" customWidth="1"/>
    <col min="6909" max="6909" width="3.28515625" style="787" customWidth="1"/>
    <col min="6910" max="6910" width="2.5703125" style="787" customWidth="1"/>
    <col min="6911" max="6911" width="4.7109375" style="787" customWidth="1"/>
    <col min="6912" max="6912" width="5.140625" style="787" customWidth="1"/>
    <col min="6913" max="6913" width="5" style="787" customWidth="1"/>
    <col min="6914" max="7163" width="9.140625" style="787"/>
    <col min="7164" max="7164" width="2.7109375" style="787" customWidth="1"/>
    <col min="7165" max="7165" width="3.28515625" style="787" customWidth="1"/>
    <col min="7166" max="7166" width="2.5703125" style="787" customWidth="1"/>
    <col min="7167" max="7167" width="4.7109375" style="787" customWidth="1"/>
    <col min="7168" max="7168" width="5.140625" style="787" customWidth="1"/>
    <col min="7169" max="7169" width="5" style="787" customWidth="1"/>
    <col min="7170" max="7419" width="9.140625" style="787"/>
    <col min="7420" max="7420" width="2.7109375" style="787" customWidth="1"/>
    <col min="7421" max="7421" width="3.28515625" style="787" customWidth="1"/>
    <col min="7422" max="7422" width="2.5703125" style="787" customWidth="1"/>
    <col min="7423" max="7423" width="4.7109375" style="787" customWidth="1"/>
    <col min="7424" max="7424" width="5.140625" style="787" customWidth="1"/>
    <col min="7425" max="7425" width="5" style="787" customWidth="1"/>
    <col min="7426" max="7675" width="9.140625" style="787"/>
    <col min="7676" max="7676" width="2.7109375" style="787" customWidth="1"/>
    <col min="7677" max="7677" width="3.28515625" style="787" customWidth="1"/>
    <col min="7678" max="7678" width="2.5703125" style="787" customWidth="1"/>
    <col min="7679" max="7679" width="4.7109375" style="787" customWidth="1"/>
    <col min="7680" max="7680" width="5.140625" style="787" customWidth="1"/>
    <col min="7681" max="7681" width="5" style="787" customWidth="1"/>
    <col min="7682" max="7931" width="9.140625" style="787"/>
    <col min="7932" max="7932" width="2.7109375" style="787" customWidth="1"/>
    <col min="7933" max="7933" width="3.28515625" style="787" customWidth="1"/>
    <col min="7934" max="7934" width="2.5703125" style="787" customWidth="1"/>
    <col min="7935" max="7935" width="4.7109375" style="787" customWidth="1"/>
    <col min="7936" max="7936" width="5.140625" style="787" customWidth="1"/>
    <col min="7937" max="7937" width="5" style="787" customWidth="1"/>
    <col min="7938" max="8187" width="9.140625" style="787"/>
    <col min="8188" max="8188" width="2.7109375" style="787" customWidth="1"/>
    <col min="8189" max="8189" width="3.28515625" style="787" customWidth="1"/>
    <col min="8190" max="8190" width="2.5703125" style="787" customWidth="1"/>
    <col min="8191" max="8191" width="4.7109375" style="787" customWidth="1"/>
    <col min="8192" max="8192" width="5.140625" style="787" customWidth="1"/>
    <col min="8193" max="8193" width="5" style="787" customWidth="1"/>
    <col min="8194" max="8443" width="9.140625" style="787"/>
    <col min="8444" max="8444" width="2.7109375" style="787" customWidth="1"/>
    <col min="8445" max="8445" width="3.28515625" style="787" customWidth="1"/>
    <col min="8446" max="8446" width="2.5703125" style="787" customWidth="1"/>
    <col min="8447" max="8447" width="4.7109375" style="787" customWidth="1"/>
    <col min="8448" max="8448" width="5.140625" style="787" customWidth="1"/>
    <col min="8449" max="8449" width="5" style="787" customWidth="1"/>
    <col min="8450" max="8699" width="9.140625" style="787"/>
    <col min="8700" max="8700" width="2.7109375" style="787" customWidth="1"/>
    <col min="8701" max="8701" width="3.28515625" style="787" customWidth="1"/>
    <col min="8702" max="8702" width="2.5703125" style="787" customWidth="1"/>
    <col min="8703" max="8703" width="4.7109375" style="787" customWidth="1"/>
    <col min="8704" max="8704" width="5.140625" style="787" customWidth="1"/>
    <col min="8705" max="8705" width="5" style="787" customWidth="1"/>
    <col min="8706" max="8955" width="9.140625" style="787"/>
    <col min="8956" max="8956" width="2.7109375" style="787" customWidth="1"/>
    <col min="8957" max="8957" width="3.28515625" style="787" customWidth="1"/>
    <col min="8958" max="8958" width="2.5703125" style="787" customWidth="1"/>
    <col min="8959" max="8959" width="4.7109375" style="787" customWidth="1"/>
    <col min="8960" max="8960" width="5.140625" style="787" customWidth="1"/>
    <col min="8961" max="8961" width="5" style="787" customWidth="1"/>
    <col min="8962" max="9211" width="9.140625" style="787"/>
    <col min="9212" max="9212" width="2.7109375" style="787" customWidth="1"/>
    <col min="9213" max="9213" width="3.28515625" style="787" customWidth="1"/>
    <col min="9214" max="9214" width="2.5703125" style="787" customWidth="1"/>
    <col min="9215" max="9215" width="4.7109375" style="787" customWidth="1"/>
    <col min="9216" max="9216" width="5.140625" style="787" customWidth="1"/>
    <col min="9217" max="9217" width="5" style="787" customWidth="1"/>
    <col min="9218" max="9467" width="9.140625" style="787"/>
    <col min="9468" max="9468" width="2.7109375" style="787" customWidth="1"/>
    <col min="9469" max="9469" width="3.28515625" style="787" customWidth="1"/>
    <col min="9470" max="9470" width="2.5703125" style="787" customWidth="1"/>
    <col min="9471" max="9471" width="4.7109375" style="787" customWidth="1"/>
    <col min="9472" max="9472" width="5.140625" style="787" customWidth="1"/>
    <col min="9473" max="9473" width="5" style="787" customWidth="1"/>
    <col min="9474" max="9723" width="9.140625" style="787"/>
    <col min="9724" max="9724" width="2.7109375" style="787" customWidth="1"/>
    <col min="9725" max="9725" width="3.28515625" style="787" customWidth="1"/>
    <col min="9726" max="9726" width="2.5703125" style="787" customWidth="1"/>
    <col min="9727" max="9727" width="4.7109375" style="787" customWidth="1"/>
    <col min="9728" max="9728" width="5.140625" style="787" customWidth="1"/>
    <col min="9729" max="9729" width="5" style="787" customWidth="1"/>
    <col min="9730" max="9979" width="9.140625" style="787"/>
    <col min="9980" max="9980" width="2.7109375" style="787" customWidth="1"/>
    <col min="9981" max="9981" width="3.28515625" style="787" customWidth="1"/>
    <col min="9982" max="9982" width="2.5703125" style="787" customWidth="1"/>
    <col min="9983" max="9983" width="4.7109375" style="787" customWidth="1"/>
    <col min="9984" max="9984" width="5.140625" style="787" customWidth="1"/>
    <col min="9985" max="9985" width="5" style="787" customWidth="1"/>
    <col min="9986" max="10235" width="9.140625" style="787"/>
    <col min="10236" max="10236" width="2.7109375" style="787" customWidth="1"/>
    <col min="10237" max="10237" width="3.28515625" style="787" customWidth="1"/>
    <col min="10238" max="10238" width="2.5703125" style="787" customWidth="1"/>
    <col min="10239" max="10239" width="4.7109375" style="787" customWidth="1"/>
    <col min="10240" max="10240" width="5.140625" style="787" customWidth="1"/>
    <col min="10241" max="10241" width="5" style="787" customWidth="1"/>
    <col min="10242" max="10491" width="9.140625" style="787"/>
    <col min="10492" max="10492" width="2.7109375" style="787" customWidth="1"/>
    <col min="10493" max="10493" width="3.28515625" style="787" customWidth="1"/>
    <col min="10494" max="10494" width="2.5703125" style="787" customWidth="1"/>
    <col min="10495" max="10495" width="4.7109375" style="787" customWidth="1"/>
    <col min="10496" max="10496" width="5.140625" style="787" customWidth="1"/>
    <col min="10497" max="10497" width="5" style="787" customWidth="1"/>
    <col min="10498" max="10747" width="9.140625" style="787"/>
    <col min="10748" max="10748" width="2.7109375" style="787" customWidth="1"/>
    <col min="10749" max="10749" width="3.28515625" style="787" customWidth="1"/>
    <col min="10750" max="10750" width="2.5703125" style="787" customWidth="1"/>
    <col min="10751" max="10751" width="4.7109375" style="787" customWidth="1"/>
    <col min="10752" max="10752" width="5.140625" style="787" customWidth="1"/>
    <col min="10753" max="10753" width="5" style="787" customWidth="1"/>
    <col min="10754" max="11003" width="9.140625" style="787"/>
    <col min="11004" max="11004" width="2.7109375" style="787" customWidth="1"/>
    <col min="11005" max="11005" width="3.28515625" style="787" customWidth="1"/>
    <col min="11006" max="11006" width="2.5703125" style="787" customWidth="1"/>
    <col min="11007" max="11007" width="4.7109375" style="787" customWidth="1"/>
    <col min="11008" max="11008" width="5.140625" style="787" customWidth="1"/>
    <col min="11009" max="11009" width="5" style="787" customWidth="1"/>
    <col min="11010" max="11259" width="9.140625" style="787"/>
    <col min="11260" max="11260" width="2.7109375" style="787" customWidth="1"/>
    <col min="11261" max="11261" width="3.28515625" style="787" customWidth="1"/>
    <col min="11262" max="11262" width="2.5703125" style="787" customWidth="1"/>
    <col min="11263" max="11263" width="4.7109375" style="787" customWidth="1"/>
    <col min="11264" max="11264" width="5.140625" style="787" customWidth="1"/>
    <col min="11265" max="11265" width="5" style="787" customWidth="1"/>
    <col min="11266" max="11515" width="9.140625" style="787"/>
    <col min="11516" max="11516" width="2.7109375" style="787" customWidth="1"/>
    <col min="11517" max="11517" width="3.28515625" style="787" customWidth="1"/>
    <col min="11518" max="11518" width="2.5703125" style="787" customWidth="1"/>
    <col min="11519" max="11519" width="4.7109375" style="787" customWidth="1"/>
    <col min="11520" max="11520" width="5.140625" style="787" customWidth="1"/>
    <col min="11521" max="11521" width="5" style="787" customWidth="1"/>
    <col min="11522" max="11771" width="9.140625" style="787"/>
    <col min="11772" max="11772" width="2.7109375" style="787" customWidth="1"/>
    <col min="11773" max="11773" width="3.28515625" style="787" customWidth="1"/>
    <col min="11774" max="11774" width="2.5703125" style="787" customWidth="1"/>
    <col min="11775" max="11775" width="4.7109375" style="787" customWidth="1"/>
    <col min="11776" max="11776" width="5.140625" style="787" customWidth="1"/>
    <col min="11777" max="11777" width="5" style="787" customWidth="1"/>
    <col min="11778" max="12027" width="9.140625" style="787"/>
    <col min="12028" max="12028" width="2.7109375" style="787" customWidth="1"/>
    <col min="12029" max="12029" width="3.28515625" style="787" customWidth="1"/>
    <col min="12030" max="12030" width="2.5703125" style="787" customWidth="1"/>
    <col min="12031" max="12031" width="4.7109375" style="787" customWidth="1"/>
    <col min="12032" max="12032" width="5.140625" style="787" customWidth="1"/>
    <col min="12033" max="12033" width="5" style="787" customWidth="1"/>
    <col min="12034" max="12283" width="9.140625" style="787"/>
    <col min="12284" max="12284" width="2.7109375" style="787" customWidth="1"/>
    <col min="12285" max="12285" width="3.28515625" style="787" customWidth="1"/>
    <col min="12286" max="12286" width="2.5703125" style="787" customWidth="1"/>
    <col min="12287" max="12287" width="4.7109375" style="787" customWidth="1"/>
    <col min="12288" max="12288" width="5.140625" style="787" customWidth="1"/>
    <col min="12289" max="12289" width="5" style="787" customWidth="1"/>
    <col min="12290" max="12539" width="9.140625" style="787"/>
    <col min="12540" max="12540" width="2.7109375" style="787" customWidth="1"/>
    <col min="12541" max="12541" width="3.28515625" style="787" customWidth="1"/>
    <col min="12542" max="12542" width="2.5703125" style="787" customWidth="1"/>
    <col min="12543" max="12543" width="4.7109375" style="787" customWidth="1"/>
    <col min="12544" max="12544" width="5.140625" style="787" customWidth="1"/>
    <col min="12545" max="12545" width="5" style="787" customWidth="1"/>
    <col min="12546" max="12795" width="9.140625" style="787"/>
    <col min="12796" max="12796" width="2.7109375" style="787" customWidth="1"/>
    <col min="12797" max="12797" width="3.28515625" style="787" customWidth="1"/>
    <col min="12798" max="12798" width="2.5703125" style="787" customWidth="1"/>
    <col min="12799" max="12799" width="4.7109375" style="787" customWidth="1"/>
    <col min="12800" max="12800" width="5.140625" style="787" customWidth="1"/>
    <col min="12801" max="12801" width="5" style="787" customWidth="1"/>
    <col min="12802" max="13051" width="9.140625" style="787"/>
    <col min="13052" max="13052" width="2.7109375" style="787" customWidth="1"/>
    <col min="13053" max="13053" width="3.28515625" style="787" customWidth="1"/>
    <col min="13054" max="13054" width="2.5703125" style="787" customWidth="1"/>
    <col min="13055" max="13055" width="4.7109375" style="787" customWidth="1"/>
    <col min="13056" max="13056" width="5.140625" style="787" customWidth="1"/>
    <col min="13057" max="13057" width="5" style="787" customWidth="1"/>
    <col min="13058" max="13307" width="9.140625" style="787"/>
    <col min="13308" max="13308" width="2.7109375" style="787" customWidth="1"/>
    <col min="13309" max="13309" width="3.28515625" style="787" customWidth="1"/>
    <col min="13310" max="13310" width="2.5703125" style="787" customWidth="1"/>
    <col min="13311" max="13311" width="4.7109375" style="787" customWidth="1"/>
    <col min="13312" max="13312" width="5.140625" style="787" customWidth="1"/>
    <col min="13313" max="13313" width="5" style="787" customWidth="1"/>
    <col min="13314" max="13563" width="9.140625" style="787"/>
    <col min="13564" max="13564" width="2.7109375" style="787" customWidth="1"/>
    <col min="13565" max="13565" width="3.28515625" style="787" customWidth="1"/>
    <col min="13566" max="13566" width="2.5703125" style="787" customWidth="1"/>
    <col min="13567" max="13567" width="4.7109375" style="787" customWidth="1"/>
    <col min="13568" max="13568" width="5.140625" style="787" customWidth="1"/>
    <col min="13569" max="13569" width="5" style="787" customWidth="1"/>
    <col min="13570" max="13819" width="9.140625" style="787"/>
    <col min="13820" max="13820" width="2.7109375" style="787" customWidth="1"/>
    <col min="13821" max="13821" width="3.28515625" style="787" customWidth="1"/>
    <col min="13822" max="13822" width="2.5703125" style="787" customWidth="1"/>
    <col min="13823" max="13823" width="4.7109375" style="787" customWidth="1"/>
    <col min="13824" max="13824" width="5.140625" style="787" customWidth="1"/>
    <col min="13825" max="13825" width="5" style="787" customWidth="1"/>
    <col min="13826" max="14075" width="9.140625" style="787"/>
    <col min="14076" max="14076" width="2.7109375" style="787" customWidth="1"/>
    <col min="14077" max="14077" width="3.28515625" style="787" customWidth="1"/>
    <col min="14078" max="14078" width="2.5703125" style="787" customWidth="1"/>
    <col min="14079" max="14079" width="4.7109375" style="787" customWidth="1"/>
    <col min="14080" max="14080" width="5.140625" style="787" customWidth="1"/>
    <col min="14081" max="14081" width="5" style="787" customWidth="1"/>
    <col min="14082" max="14331" width="9.140625" style="787"/>
    <col min="14332" max="14332" width="2.7109375" style="787" customWidth="1"/>
    <col min="14333" max="14333" width="3.28515625" style="787" customWidth="1"/>
    <col min="14334" max="14334" width="2.5703125" style="787" customWidth="1"/>
    <col min="14335" max="14335" width="4.7109375" style="787" customWidth="1"/>
    <col min="14336" max="14336" width="5.140625" style="787" customWidth="1"/>
    <col min="14337" max="14337" width="5" style="787" customWidth="1"/>
    <col min="14338" max="14587" width="9.140625" style="787"/>
    <col min="14588" max="14588" width="2.7109375" style="787" customWidth="1"/>
    <col min="14589" max="14589" width="3.28515625" style="787" customWidth="1"/>
    <col min="14590" max="14590" width="2.5703125" style="787" customWidth="1"/>
    <col min="14591" max="14591" width="4.7109375" style="787" customWidth="1"/>
    <col min="14592" max="14592" width="5.140625" style="787" customWidth="1"/>
    <col min="14593" max="14593" width="5" style="787" customWidth="1"/>
    <col min="14594" max="14843" width="9.140625" style="787"/>
    <col min="14844" max="14844" width="2.7109375" style="787" customWidth="1"/>
    <col min="14845" max="14845" width="3.28515625" style="787" customWidth="1"/>
    <col min="14846" max="14846" width="2.5703125" style="787" customWidth="1"/>
    <col min="14847" max="14847" width="4.7109375" style="787" customWidth="1"/>
    <col min="14848" max="14848" width="5.140625" style="787" customWidth="1"/>
    <col min="14849" max="14849" width="5" style="787" customWidth="1"/>
    <col min="14850" max="15099" width="9.140625" style="787"/>
    <col min="15100" max="15100" width="2.7109375" style="787" customWidth="1"/>
    <col min="15101" max="15101" width="3.28515625" style="787" customWidth="1"/>
    <col min="15102" max="15102" width="2.5703125" style="787" customWidth="1"/>
    <col min="15103" max="15103" width="4.7109375" style="787" customWidth="1"/>
    <col min="15104" max="15104" width="5.140625" style="787" customWidth="1"/>
    <col min="15105" max="15105" width="5" style="787" customWidth="1"/>
    <col min="15106" max="15355" width="9.140625" style="787"/>
    <col min="15356" max="15356" width="2.7109375" style="787" customWidth="1"/>
    <col min="15357" max="15357" width="3.28515625" style="787" customWidth="1"/>
    <col min="15358" max="15358" width="2.5703125" style="787" customWidth="1"/>
    <col min="15359" max="15359" width="4.7109375" style="787" customWidth="1"/>
    <col min="15360" max="15360" width="5.140625" style="787" customWidth="1"/>
    <col min="15361" max="15361" width="5" style="787" customWidth="1"/>
    <col min="15362" max="15611" width="9.140625" style="787"/>
    <col min="15612" max="15612" width="2.7109375" style="787" customWidth="1"/>
    <col min="15613" max="15613" width="3.28515625" style="787" customWidth="1"/>
    <col min="15614" max="15614" width="2.5703125" style="787" customWidth="1"/>
    <col min="15615" max="15615" width="4.7109375" style="787" customWidth="1"/>
    <col min="15616" max="15616" width="5.140625" style="787" customWidth="1"/>
    <col min="15617" max="15617" width="5" style="787" customWidth="1"/>
    <col min="15618" max="15867" width="9.140625" style="787"/>
    <col min="15868" max="15868" width="2.7109375" style="787" customWidth="1"/>
    <col min="15869" max="15869" width="3.28515625" style="787" customWidth="1"/>
    <col min="15870" max="15870" width="2.5703125" style="787" customWidth="1"/>
    <col min="15871" max="15871" width="4.7109375" style="787" customWidth="1"/>
    <col min="15872" max="15872" width="5.140625" style="787" customWidth="1"/>
    <col min="15873" max="15873" width="5" style="787" customWidth="1"/>
    <col min="15874" max="16123" width="9.140625" style="787"/>
    <col min="16124" max="16124" width="2.7109375" style="787" customWidth="1"/>
    <col min="16125" max="16125" width="3.28515625" style="787" customWidth="1"/>
    <col min="16126" max="16126" width="2.5703125" style="787" customWidth="1"/>
    <col min="16127" max="16127" width="4.7109375" style="787" customWidth="1"/>
    <col min="16128" max="16128" width="5.140625" style="787" customWidth="1"/>
    <col min="16129" max="16129" width="5" style="787" customWidth="1"/>
    <col min="16130" max="16383" width="9.140625" style="787"/>
    <col min="16384" max="16384" width="8.7109375" style="787" customWidth="1"/>
  </cols>
  <sheetData>
    <row r="1" spans="1:11" ht="15.75" hidden="1" x14ac:dyDescent="0.25">
      <c r="B1" s="788"/>
      <c r="C1" s="788"/>
      <c r="D1" s="788"/>
      <c r="E1" s="788"/>
      <c r="F1" s="789"/>
      <c r="G1" s="790"/>
    </row>
    <row r="2" spans="1:11" ht="15.75" customHeight="1" x14ac:dyDescent="0.25">
      <c r="B2" s="788"/>
      <c r="C2" s="788"/>
      <c r="D2" s="788"/>
      <c r="E2" s="788"/>
      <c r="F2" s="1580"/>
      <c r="G2" s="1580"/>
      <c r="H2" s="1580"/>
      <c r="I2" s="1580"/>
    </row>
    <row r="3" spans="1:11" ht="15" customHeight="1" x14ac:dyDescent="0.25">
      <c r="A3" s="1581" t="s">
        <v>1531</v>
      </c>
      <c r="B3" s="1581"/>
      <c r="C3" s="1581"/>
      <c r="D3" s="1581"/>
      <c r="E3" s="1581"/>
      <c r="F3" s="1581"/>
      <c r="G3" s="1581"/>
    </row>
    <row r="4" spans="1:11" ht="15" customHeight="1" x14ac:dyDescent="0.25">
      <c r="A4" s="1582" t="s">
        <v>1532</v>
      </c>
      <c r="B4" s="1582"/>
      <c r="C4" s="1582"/>
      <c r="D4" s="1582"/>
      <c r="E4" s="1582"/>
      <c r="F4" s="1582"/>
      <c r="G4" s="1582"/>
    </row>
    <row r="5" spans="1:11" ht="15" customHeight="1" x14ac:dyDescent="0.25">
      <c r="A5" s="1581" t="s">
        <v>1533</v>
      </c>
      <c r="B5" s="1581"/>
      <c r="C5" s="1581"/>
      <c r="D5" s="1581"/>
      <c r="E5" s="1581"/>
      <c r="F5" s="1581"/>
      <c r="G5" s="1581"/>
    </row>
    <row r="6" spans="1:11" ht="14.25" hidden="1" x14ac:dyDescent="0.25">
      <c r="B6" s="791"/>
      <c r="C6" s="791"/>
      <c r="D6" s="791"/>
      <c r="E6" s="791"/>
      <c r="F6" s="791"/>
      <c r="G6" s="791"/>
    </row>
    <row r="7" spans="1:11" ht="15.75" customHeight="1" x14ac:dyDescent="0.25">
      <c r="A7" s="1597" t="s">
        <v>1534</v>
      </c>
      <c r="B7" s="1597"/>
      <c r="C7" s="1597"/>
      <c r="D7" s="1597"/>
      <c r="E7" s="1597"/>
      <c r="F7" s="1597"/>
      <c r="G7" s="1597"/>
    </row>
    <row r="8" spans="1:11" ht="18.75" hidden="1" customHeight="1" x14ac:dyDescent="0.25">
      <c r="B8" s="792"/>
      <c r="C8" s="792"/>
      <c r="D8" s="792"/>
      <c r="E8" s="792"/>
      <c r="F8" s="792"/>
      <c r="G8" s="792"/>
    </row>
    <row r="9" spans="1:11" x14ac:dyDescent="0.25">
      <c r="A9" s="793" t="s">
        <v>1535</v>
      </c>
      <c r="B9" s="794"/>
      <c r="C9" s="794"/>
      <c r="D9" s="794"/>
      <c r="E9" s="794"/>
      <c r="F9" s="794"/>
      <c r="G9" s="795"/>
    </row>
    <row r="10" spans="1:11" ht="16.5" customHeight="1" x14ac:dyDescent="0.25">
      <c r="A10" s="1596" t="s">
        <v>1132</v>
      </c>
      <c r="B10" s="1596" t="s">
        <v>1536</v>
      </c>
      <c r="C10" s="1596"/>
      <c r="D10" s="1596" t="s">
        <v>1537</v>
      </c>
      <c r="E10" s="1596" t="s">
        <v>1538</v>
      </c>
      <c r="F10" s="1596" t="s">
        <v>1539</v>
      </c>
      <c r="G10" s="1596" t="s">
        <v>1540</v>
      </c>
      <c r="H10" s="1576" t="s">
        <v>1541</v>
      </c>
      <c r="I10" s="1576" t="s">
        <v>969</v>
      </c>
      <c r="J10" s="1576" t="s">
        <v>1542</v>
      </c>
      <c r="K10" s="1576" t="s">
        <v>1543</v>
      </c>
    </row>
    <row r="11" spans="1:11" ht="145.5" customHeight="1" x14ac:dyDescent="0.25">
      <c r="A11" s="1596"/>
      <c r="B11" s="796" t="s">
        <v>1544</v>
      </c>
      <c r="C11" s="796" t="s">
        <v>1545</v>
      </c>
      <c r="D11" s="1596"/>
      <c r="E11" s="1596"/>
      <c r="F11" s="1596"/>
      <c r="G11" s="1596"/>
      <c r="H11" s="1578"/>
      <c r="I11" s="1578"/>
      <c r="J11" s="1578"/>
      <c r="K11" s="1578"/>
    </row>
    <row r="12" spans="1:11" x14ac:dyDescent="0.25">
      <c r="A12" s="796">
        <v>1</v>
      </c>
      <c r="B12" s="796">
        <v>1</v>
      </c>
      <c r="C12" s="796">
        <v>2</v>
      </c>
      <c r="D12" s="796">
        <v>3</v>
      </c>
      <c r="E12" s="796">
        <v>4</v>
      </c>
      <c r="F12" s="796">
        <v>5</v>
      </c>
      <c r="G12" s="796" t="s">
        <v>1546</v>
      </c>
      <c r="H12" s="796" t="s">
        <v>1547</v>
      </c>
      <c r="I12" s="796">
        <v>8</v>
      </c>
      <c r="J12" s="796" t="s">
        <v>464</v>
      </c>
      <c r="K12" s="796" t="s">
        <v>1548</v>
      </c>
    </row>
    <row r="13" spans="1:11" ht="50.25" customHeight="1" x14ac:dyDescent="0.25">
      <c r="A13" s="797" t="s">
        <v>1549</v>
      </c>
      <c r="B13" s="798" t="s">
        <v>1550</v>
      </c>
      <c r="C13" s="799">
        <v>72933264.040000007</v>
      </c>
      <c r="D13" s="799">
        <v>1.5</v>
      </c>
      <c r="E13" s="799"/>
      <c r="F13" s="799"/>
      <c r="G13" s="800">
        <f>C13*D13/100</f>
        <v>1093998.96</v>
      </c>
      <c r="H13" s="800"/>
      <c r="I13" s="801"/>
      <c r="J13" s="802"/>
      <c r="K13" s="803"/>
    </row>
    <row r="14" spans="1:11" ht="15.75" hidden="1" x14ac:dyDescent="0.25">
      <c r="A14" s="797"/>
      <c r="B14" s="798"/>
      <c r="C14" s="799"/>
      <c r="D14" s="799">
        <v>1.5</v>
      </c>
      <c r="E14" s="799"/>
      <c r="F14" s="799"/>
      <c r="G14" s="800">
        <f t="shared" ref="G14:G15" si="0">C14*D14/100</f>
        <v>0</v>
      </c>
      <c r="H14" s="800"/>
      <c r="I14" s="804"/>
      <c r="J14" s="805"/>
      <c r="K14" s="806"/>
    </row>
    <row r="15" spans="1:11" ht="15.75" hidden="1" x14ac:dyDescent="0.25">
      <c r="A15" s="797"/>
      <c r="B15" s="798"/>
      <c r="C15" s="799"/>
      <c r="D15" s="799">
        <v>1.5</v>
      </c>
      <c r="E15" s="799"/>
      <c r="F15" s="799"/>
      <c r="G15" s="800">
        <f t="shared" si="0"/>
        <v>0</v>
      </c>
      <c r="H15" s="800"/>
      <c r="I15" s="804"/>
      <c r="J15" s="805"/>
      <c r="K15" s="806"/>
    </row>
    <row r="16" spans="1:11" ht="15.75" x14ac:dyDescent="0.25">
      <c r="A16" s="807" t="s">
        <v>851</v>
      </c>
      <c r="B16" s="808"/>
      <c r="C16" s="809">
        <f>SUM(C13:C15)</f>
        <v>72933264.040000007</v>
      </c>
      <c r="D16" s="810"/>
      <c r="E16" s="809">
        <f>SUM(E13:E15)</f>
        <v>0</v>
      </c>
      <c r="F16" s="809">
        <f>SUM(F13:F15)</f>
        <v>0</v>
      </c>
      <c r="G16" s="809">
        <f>SUM(G13:G15)</f>
        <v>1093998.96</v>
      </c>
      <c r="H16" s="811">
        <f>G16/1000</f>
        <v>1094</v>
      </c>
      <c r="I16" s="812">
        <f>'[3]291 имущ'!$M$14</f>
        <v>0.98231481679999999</v>
      </c>
      <c r="J16" s="813">
        <f>H16*I16</f>
        <v>1074.7</v>
      </c>
      <c r="K16" s="813">
        <f>H16-J16</f>
        <v>19.3</v>
      </c>
    </row>
    <row r="17" spans="1:11" ht="78.75" x14ac:dyDescent="0.25">
      <c r="A17" s="797" t="s">
        <v>1551</v>
      </c>
      <c r="B17" s="814" t="s">
        <v>1552</v>
      </c>
      <c r="C17" s="799">
        <v>123854792.13</v>
      </c>
      <c r="D17" s="799">
        <v>1.5</v>
      </c>
      <c r="E17" s="799">
        <f>2045479.06-174256</f>
        <v>1871223.06</v>
      </c>
      <c r="F17" s="799">
        <v>1857816</v>
      </c>
      <c r="G17" s="800">
        <f t="shared" ref="G17:G19" si="1">C17*D17/100</f>
        <v>1857821.88</v>
      </c>
      <c r="H17" s="800"/>
      <c r="I17" s="801"/>
      <c r="J17" s="815"/>
      <c r="K17" s="816"/>
    </row>
    <row r="18" spans="1:11" ht="15.75" hidden="1" x14ac:dyDescent="0.25">
      <c r="A18" s="797"/>
      <c r="B18" s="798"/>
      <c r="C18" s="799"/>
      <c r="D18" s="799">
        <v>1.5</v>
      </c>
      <c r="E18" s="799"/>
      <c r="F18" s="799"/>
      <c r="G18" s="800">
        <f t="shared" si="1"/>
        <v>0</v>
      </c>
      <c r="H18" s="800"/>
      <c r="I18" s="817"/>
      <c r="J18" s="815"/>
      <c r="K18" s="816"/>
    </row>
    <row r="19" spans="1:11" ht="15.75" hidden="1" x14ac:dyDescent="0.25">
      <c r="A19" s="797"/>
      <c r="B19" s="798"/>
      <c r="C19" s="799"/>
      <c r="D19" s="799">
        <v>1.5</v>
      </c>
      <c r="E19" s="799"/>
      <c r="F19" s="799"/>
      <c r="G19" s="800">
        <f t="shared" si="1"/>
        <v>0</v>
      </c>
      <c r="H19" s="800"/>
      <c r="I19" s="817"/>
      <c r="J19" s="815"/>
      <c r="K19" s="816"/>
    </row>
    <row r="20" spans="1:11" ht="15.75" x14ac:dyDescent="0.25">
      <c r="A20" s="807" t="s">
        <v>851</v>
      </c>
      <c r="B20" s="808"/>
      <c r="C20" s="809">
        <f>SUM(C17:C19)</f>
        <v>123854792.13</v>
      </c>
      <c r="D20" s="810"/>
      <c r="E20" s="809">
        <f>SUM(E17:E19)</f>
        <v>1871223.06</v>
      </c>
      <c r="F20" s="809">
        <f>SUM(F17:F19)</f>
        <v>1857816</v>
      </c>
      <c r="G20" s="809">
        <f>SUM(G17:G19)</f>
        <v>1857821.88</v>
      </c>
      <c r="H20" s="811">
        <f>G20/1000</f>
        <v>1857.8</v>
      </c>
      <c r="I20" s="812">
        <f>'[3]291 имущ'!$M$15</f>
        <v>0.9925194651</v>
      </c>
      <c r="J20" s="813">
        <f>H20*I20</f>
        <v>1843.9</v>
      </c>
      <c r="K20" s="813">
        <f>H20-J20</f>
        <v>13.9</v>
      </c>
    </row>
    <row r="21" spans="1:11" ht="31.5" x14ac:dyDescent="0.25">
      <c r="A21" s="797" t="s">
        <v>663</v>
      </c>
      <c r="B21" s="798" t="s">
        <v>1553</v>
      </c>
      <c r="C21" s="799">
        <v>38535820.289999999</v>
      </c>
      <c r="D21" s="799">
        <v>1.5</v>
      </c>
      <c r="E21" s="799"/>
      <c r="F21" s="799"/>
      <c r="G21" s="800">
        <f t="shared" ref="G21:G23" si="2">C21*D21/100</f>
        <v>578037.30000000005</v>
      </c>
      <c r="H21" s="800"/>
      <c r="I21" s="801"/>
      <c r="J21" s="815"/>
      <c r="K21" s="816"/>
    </row>
    <row r="22" spans="1:11" ht="15.75" hidden="1" x14ac:dyDescent="0.25">
      <c r="A22" s="797"/>
      <c r="B22" s="798"/>
      <c r="C22" s="799"/>
      <c r="D22" s="799">
        <v>1.5</v>
      </c>
      <c r="E22" s="799"/>
      <c r="F22" s="799"/>
      <c r="G22" s="800">
        <f t="shared" si="2"/>
        <v>0</v>
      </c>
      <c r="H22" s="800"/>
      <c r="I22" s="817"/>
      <c r="J22" s="815"/>
      <c r="K22" s="816"/>
    </row>
    <row r="23" spans="1:11" ht="15.75" hidden="1" x14ac:dyDescent="0.25">
      <c r="A23" s="797"/>
      <c r="B23" s="798"/>
      <c r="C23" s="799"/>
      <c r="D23" s="799">
        <v>1.5</v>
      </c>
      <c r="E23" s="799"/>
      <c r="F23" s="799"/>
      <c r="G23" s="800">
        <f t="shared" si="2"/>
        <v>0</v>
      </c>
      <c r="H23" s="800"/>
      <c r="I23" s="817"/>
      <c r="J23" s="815"/>
      <c r="K23" s="816"/>
    </row>
    <row r="24" spans="1:11" ht="15.75" x14ac:dyDescent="0.25">
      <c r="A24" s="807" t="s">
        <v>851</v>
      </c>
      <c r="B24" s="808"/>
      <c r="C24" s="809">
        <f>SUM(C21:C23)</f>
        <v>38535820.289999999</v>
      </c>
      <c r="D24" s="810"/>
      <c r="E24" s="809">
        <f>SUM(E21:E23)</f>
        <v>0</v>
      </c>
      <c r="F24" s="809">
        <f>SUM(F21:F23)</f>
        <v>0</v>
      </c>
      <c r="G24" s="809">
        <f>SUM(G21:G23)</f>
        <v>578037.30000000005</v>
      </c>
      <c r="H24" s="811">
        <f>G24/1000</f>
        <v>578</v>
      </c>
      <c r="I24" s="812">
        <f>'[3]291 имущ'!$M$16</f>
        <v>0.89274530740000002</v>
      </c>
      <c r="J24" s="813">
        <f>H24*I24</f>
        <v>516</v>
      </c>
      <c r="K24" s="813">
        <f>H24-J24</f>
        <v>62</v>
      </c>
    </row>
    <row r="25" spans="1:11" ht="15.75" x14ac:dyDescent="0.25">
      <c r="A25" s="818" t="s">
        <v>1554</v>
      </c>
      <c r="B25" s="798" t="s">
        <v>1555</v>
      </c>
      <c r="C25" s="799">
        <v>69217273</v>
      </c>
      <c r="D25" s="799">
        <v>1.5</v>
      </c>
      <c r="E25" s="799">
        <v>1036954</v>
      </c>
      <c r="F25" s="799">
        <v>1038259</v>
      </c>
      <c r="G25" s="800">
        <f t="shared" ref="G25:G27" si="3">C25*D25/100</f>
        <v>1038259.1</v>
      </c>
      <c r="H25" s="800"/>
      <c r="I25" s="817"/>
      <c r="J25" s="815"/>
      <c r="K25" s="816"/>
    </row>
    <row r="26" spans="1:11" ht="15.75" hidden="1" x14ac:dyDescent="0.25">
      <c r="A26" s="797"/>
      <c r="B26" s="798"/>
      <c r="C26" s="799"/>
      <c r="D26" s="799">
        <v>1.5</v>
      </c>
      <c r="E26" s="799"/>
      <c r="F26" s="799"/>
      <c r="G26" s="800">
        <f t="shared" si="3"/>
        <v>0</v>
      </c>
      <c r="H26" s="800"/>
      <c r="I26" s="817"/>
      <c r="J26" s="815"/>
      <c r="K26" s="816"/>
    </row>
    <row r="27" spans="1:11" ht="15.75" hidden="1" x14ac:dyDescent="0.25">
      <c r="A27" s="797"/>
      <c r="B27" s="798"/>
      <c r="C27" s="799"/>
      <c r="D27" s="799">
        <v>1.5</v>
      </c>
      <c r="E27" s="799"/>
      <c r="F27" s="799"/>
      <c r="G27" s="800">
        <f t="shared" si="3"/>
        <v>0</v>
      </c>
      <c r="H27" s="800"/>
      <c r="I27" s="817"/>
      <c r="J27" s="815"/>
      <c r="K27" s="816"/>
    </row>
    <row r="28" spans="1:11" ht="15.75" x14ac:dyDescent="0.25">
      <c r="A28" s="807" t="s">
        <v>851</v>
      </c>
      <c r="B28" s="808"/>
      <c r="C28" s="809">
        <f>SUM(C25:C27)</f>
        <v>69217273</v>
      </c>
      <c r="D28" s="810"/>
      <c r="E28" s="809">
        <f>SUM(E25:E27)</f>
        <v>1036954</v>
      </c>
      <c r="F28" s="809">
        <f>SUM(F25:F27)</f>
        <v>1038259</v>
      </c>
      <c r="G28" s="809">
        <f>SUM(G25:G27)</f>
        <v>1038259.1</v>
      </c>
      <c r="H28" s="811">
        <f>G28/1000</f>
        <v>1038.3</v>
      </c>
      <c r="I28" s="812">
        <f>'[3]291 имущ'!$M$17</f>
        <v>0.97319667610000005</v>
      </c>
      <c r="J28" s="813">
        <f>H28*I28</f>
        <v>1010.5</v>
      </c>
      <c r="K28" s="813">
        <f>H28-J28</f>
        <v>27.8</v>
      </c>
    </row>
    <row r="29" spans="1:11" ht="15.75" x14ac:dyDescent="0.25">
      <c r="A29" s="797" t="s">
        <v>665</v>
      </c>
      <c r="B29" s="798" t="s">
        <v>1556</v>
      </c>
      <c r="C29" s="799">
        <v>72084771</v>
      </c>
      <c r="D29" s="799">
        <v>1.5</v>
      </c>
      <c r="E29" s="799">
        <v>1081272</v>
      </c>
      <c r="F29" s="799">
        <v>1081272</v>
      </c>
      <c r="G29" s="800">
        <f t="shared" ref="G29:G31" si="4">C29*D29/100</f>
        <v>1081271.57</v>
      </c>
      <c r="H29" s="800"/>
      <c r="I29" s="817"/>
      <c r="J29" s="815"/>
      <c r="K29" s="816"/>
    </row>
    <row r="30" spans="1:11" ht="33" hidden="1" customHeight="1" x14ac:dyDescent="0.25">
      <c r="A30" s="797"/>
      <c r="B30" s="798"/>
      <c r="C30" s="799"/>
      <c r="D30" s="799">
        <v>1.5</v>
      </c>
      <c r="E30" s="799"/>
      <c r="F30" s="799"/>
      <c r="G30" s="800">
        <f t="shared" si="4"/>
        <v>0</v>
      </c>
      <c r="H30" s="800"/>
      <c r="I30" s="817"/>
      <c r="J30" s="815"/>
      <c r="K30" s="816"/>
    </row>
    <row r="31" spans="1:11" ht="15.75" hidden="1" x14ac:dyDescent="0.25">
      <c r="A31" s="797"/>
      <c r="B31" s="798"/>
      <c r="C31" s="799"/>
      <c r="D31" s="799">
        <v>1.5</v>
      </c>
      <c r="E31" s="799"/>
      <c r="F31" s="799"/>
      <c r="G31" s="800">
        <f t="shared" si="4"/>
        <v>0</v>
      </c>
      <c r="H31" s="800"/>
      <c r="I31" s="817"/>
      <c r="J31" s="815"/>
      <c r="K31" s="816"/>
    </row>
    <row r="32" spans="1:11" ht="15.75" x14ac:dyDescent="0.25">
      <c r="A32" s="807" t="s">
        <v>851</v>
      </c>
      <c r="B32" s="808"/>
      <c r="C32" s="809">
        <f>SUM(C29:C31)</f>
        <v>72084771</v>
      </c>
      <c r="D32" s="810"/>
      <c r="E32" s="809">
        <f>SUM(E29:E31)</f>
        <v>1081272</v>
      </c>
      <c r="F32" s="809">
        <f>SUM(F29:F31)</f>
        <v>1081272</v>
      </c>
      <c r="G32" s="809">
        <f>SUM(G29:G31)</f>
        <v>1081271.57</v>
      </c>
      <c r="H32" s="811">
        <f>G32/1000</f>
        <v>1081.3</v>
      </c>
      <c r="I32" s="812">
        <f>'[3]291 имущ'!$M$18</f>
        <v>0.98687629690000001</v>
      </c>
      <c r="J32" s="813">
        <f>H32*I32</f>
        <v>1067.0999999999999</v>
      </c>
      <c r="K32" s="813">
        <f>H32-J32</f>
        <v>14.2</v>
      </c>
    </row>
    <row r="33" spans="1:11" ht="15.75" x14ac:dyDescent="0.25">
      <c r="A33" s="797" t="s">
        <v>1557</v>
      </c>
      <c r="B33" s="798"/>
      <c r="C33" s="799">
        <v>91344523.5</v>
      </c>
      <c r="D33" s="799">
        <v>1.5</v>
      </c>
      <c r="E33" s="799">
        <v>1370168</v>
      </c>
      <c r="F33" s="799">
        <v>1370168</v>
      </c>
      <c r="G33" s="800">
        <f t="shared" ref="G33:G35" si="5">C33*D33/100</f>
        <v>1370167.85</v>
      </c>
      <c r="H33" s="800"/>
      <c r="I33" s="817"/>
      <c r="J33" s="815"/>
      <c r="K33" s="816"/>
    </row>
    <row r="34" spans="1:11" ht="15.75" hidden="1" x14ac:dyDescent="0.25">
      <c r="A34" s="797"/>
      <c r="B34" s="798"/>
      <c r="C34" s="799"/>
      <c r="D34" s="799">
        <v>1.5</v>
      </c>
      <c r="E34" s="799"/>
      <c r="F34" s="799"/>
      <c r="G34" s="800">
        <f t="shared" si="5"/>
        <v>0</v>
      </c>
      <c r="H34" s="800"/>
      <c r="I34" s="817"/>
      <c r="J34" s="815"/>
      <c r="K34" s="816"/>
    </row>
    <row r="35" spans="1:11" ht="15.75" hidden="1" x14ac:dyDescent="0.25">
      <c r="A35" s="797"/>
      <c r="B35" s="798"/>
      <c r="C35" s="799"/>
      <c r="D35" s="799">
        <v>1.5</v>
      </c>
      <c r="E35" s="799"/>
      <c r="F35" s="799"/>
      <c r="G35" s="800">
        <f t="shared" si="5"/>
        <v>0</v>
      </c>
      <c r="H35" s="800"/>
      <c r="I35" s="817"/>
      <c r="J35" s="815"/>
      <c r="K35" s="816"/>
    </row>
    <row r="36" spans="1:11" ht="15.75" x14ac:dyDescent="0.25">
      <c r="A36" s="807" t="s">
        <v>851</v>
      </c>
      <c r="B36" s="808"/>
      <c r="C36" s="809">
        <f>SUM(C33:C35)</f>
        <v>91344523.5</v>
      </c>
      <c r="D36" s="810"/>
      <c r="E36" s="809">
        <f>SUM(E33:E35)</f>
        <v>1370168</v>
      </c>
      <c r="F36" s="809">
        <f>SUM(F33:F35)</f>
        <v>1370168</v>
      </c>
      <c r="G36" s="809">
        <f>SUM(G33:G35)</f>
        <v>1370167.85</v>
      </c>
      <c r="H36" s="811">
        <f>G36/1000</f>
        <v>1370.2</v>
      </c>
      <c r="I36" s="812">
        <f>'[3]291 имущ'!$M$19</f>
        <v>0.9921768285</v>
      </c>
      <c r="J36" s="813">
        <f>H36*I36</f>
        <v>1359.5</v>
      </c>
      <c r="K36" s="813">
        <f>H36-J36</f>
        <v>10.7</v>
      </c>
    </row>
    <row r="37" spans="1:11" ht="31.5" x14ac:dyDescent="0.25">
      <c r="A37" s="797" t="s">
        <v>1558</v>
      </c>
      <c r="B37" s="798" t="s">
        <v>1559</v>
      </c>
      <c r="C37" s="799">
        <v>47741088</v>
      </c>
      <c r="D37" s="799">
        <v>1.5</v>
      </c>
      <c r="E37" s="799">
        <v>716116</v>
      </c>
      <c r="F37" s="799">
        <v>716116</v>
      </c>
      <c r="G37" s="800">
        <f t="shared" ref="G37:G39" si="6">C37*D37/100</f>
        <v>716116.32</v>
      </c>
      <c r="H37" s="800"/>
      <c r="I37" s="817"/>
      <c r="J37" s="815"/>
      <c r="K37" s="816"/>
    </row>
    <row r="38" spans="1:11" ht="15.75" hidden="1" x14ac:dyDescent="0.25">
      <c r="A38" s="797"/>
      <c r="B38" s="798"/>
      <c r="C38" s="799"/>
      <c r="D38" s="799">
        <v>1.5</v>
      </c>
      <c r="E38" s="799"/>
      <c r="F38" s="799"/>
      <c r="G38" s="800">
        <f t="shared" si="6"/>
        <v>0</v>
      </c>
      <c r="H38" s="800"/>
      <c r="I38" s="817"/>
      <c r="J38" s="815"/>
      <c r="K38" s="816"/>
    </row>
    <row r="39" spans="1:11" ht="15.75" hidden="1" x14ac:dyDescent="0.25">
      <c r="A39" s="797"/>
      <c r="B39" s="798"/>
      <c r="C39" s="799"/>
      <c r="D39" s="799">
        <v>1.5</v>
      </c>
      <c r="E39" s="799"/>
      <c r="F39" s="799"/>
      <c r="G39" s="800">
        <f t="shared" si="6"/>
        <v>0</v>
      </c>
      <c r="H39" s="800"/>
      <c r="I39" s="817"/>
      <c r="J39" s="815"/>
      <c r="K39" s="816"/>
    </row>
    <row r="40" spans="1:11" ht="15" customHeight="1" x14ac:dyDescent="0.25">
      <c r="A40" s="807" t="s">
        <v>851</v>
      </c>
      <c r="B40" s="808"/>
      <c r="C40" s="809">
        <f>SUM(C37:C39)</f>
        <v>47741088</v>
      </c>
      <c r="D40" s="810"/>
      <c r="E40" s="809">
        <f>SUM(E37:E39)</f>
        <v>716116</v>
      </c>
      <c r="F40" s="809">
        <f>SUM(F37:F39)</f>
        <v>716116</v>
      </c>
      <c r="G40" s="809">
        <f>SUM(G37:G39)</f>
        <v>716116.32</v>
      </c>
      <c r="H40" s="811">
        <f>G40/1000</f>
        <v>716.1</v>
      </c>
      <c r="I40" s="812">
        <f>'[3]291 имущ'!$M$20</f>
        <v>0.96896676680000005</v>
      </c>
      <c r="J40" s="813">
        <f>H40*I40</f>
        <v>693.9</v>
      </c>
      <c r="K40" s="813">
        <f>H40-J40</f>
        <v>22.2</v>
      </c>
    </row>
    <row r="41" spans="1:11" ht="78.75" x14ac:dyDescent="0.25">
      <c r="A41" s="797" t="s">
        <v>1560</v>
      </c>
      <c r="B41" s="798" t="s">
        <v>1561</v>
      </c>
      <c r="C41" s="799">
        <v>48859836.75</v>
      </c>
      <c r="D41" s="799">
        <v>1.5</v>
      </c>
      <c r="E41" s="799">
        <v>732897.6</v>
      </c>
      <c r="F41" s="799">
        <v>732897.6</v>
      </c>
      <c r="G41" s="800">
        <f t="shared" ref="G41:G43" si="7">C41*D41/100</f>
        <v>732897.55</v>
      </c>
      <c r="H41" s="800"/>
      <c r="I41" s="817"/>
      <c r="J41" s="815"/>
      <c r="K41" s="816"/>
    </row>
    <row r="42" spans="1:11" ht="15.75" hidden="1" x14ac:dyDescent="0.25">
      <c r="A42" s="797"/>
      <c r="B42" s="798"/>
      <c r="C42" s="799"/>
      <c r="D42" s="799">
        <v>1.5</v>
      </c>
      <c r="E42" s="799"/>
      <c r="F42" s="799"/>
      <c r="G42" s="800">
        <f t="shared" si="7"/>
        <v>0</v>
      </c>
      <c r="H42" s="800"/>
      <c r="I42" s="817"/>
      <c r="J42" s="815"/>
      <c r="K42" s="816"/>
    </row>
    <row r="43" spans="1:11" ht="15.75" hidden="1" x14ac:dyDescent="0.25">
      <c r="A43" s="797"/>
      <c r="B43" s="798"/>
      <c r="C43" s="799"/>
      <c r="D43" s="799">
        <v>1.5</v>
      </c>
      <c r="E43" s="799"/>
      <c r="F43" s="799"/>
      <c r="G43" s="800">
        <f t="shared" si="7"/>
        <v>0</v>
      </c>
      <c r="H43" s="800"/>
      <c r="I43" s="817"/>
      <c r="J43" s="815"/>
      <c r="K43" s="816"/>
    </row>
    <row r="44" spans="1:11" ht="15.75" x14ac:dyDescent="0.25">
      <c r="A44" s="807" t="s">
        <v>851</v>
      </c>
      <c r="B44" s="808"/>
      <c r="C44" s="809">
        <f>SUM(C41:C43)</f>
        <v>48859836.75</v>
      </c>
      <c r="D44" s="810"/>
      <c r="E44" s="809">
        <f>SUM(E41:E43)</f>
        <v>732897.6</v>
      </c>
      <c r="F44" s="809">
        <f>SUM(F41:F43)</f>
        <v>732897.6</v>
      </c>
      <c r="G44" s="809">
        <f>SUM(G41:G43)</f>
        <v>732897.55</v>
      </c>
      <c r="H44" s="811">
        <f>G44/1000</f>
        <v>732.9</v>
      </c>
      <c r="I44" s="812">
        <f>'[3]291 имущ'!$M$21</f>
        <v>0.9829452407</v>
      </c>
      <c r="J44" s="813">
        <f>H44*I44</f>
        <v>720.4</v>
      </c>
      <c r="K44" s="813">
        <f>H44-J44</f>
        <v>12.5</v>
      </c>
    </row>
    <row r="45" spans="1:11" ht="31.5" x14ac:dyDescent="0.25">
      <c r="A45" s="797" t="s">
        <v>669</v>
      </c>
      <c r="B45" s="819" t="s">
        <v>1562</v>
      </c>
      <c r="C45" s="799">
        <v>147084267</v>
      </c>
      <c r="D45" s="799">
        <v>1.5</v>
      </c>
      <c r="E45" s="799">
        <f>(529503.36*4)</f>
        <v>2118013.44</v>
      </c>
      <c r="F45" s="799">
        <f>(529503.36)+(529503.36*3)</f>
        <v>2118013.44</v>
      </c>
      <c r="G45" s="800">
        <f t="shared" ref="G45:G47" si="8">C45*D45/100</f>
        <v>2206264.0099999998</v>
      </c>
      <c r="H45" s="800"/>
      <c r="I45" s="817"/>
      <c r="J45" s="815"/>
      <c r="K45" s="816"/>
    </row>
    <row r="46" spans="1:11" ht="15.75" hidden="1" x14ac:dyDescent="0.25">
      <c r="A46" s="797"/>
      <c r="B46" s="798"/>
      <c r="C46" s="799"/>
      <c r="D46" s="799">
        <v>1.5</v>
      </c>
      <c r="E46" s="799"/>
      <c r="F46" s="799"/>
      <c r="G46" s="800">
        <f t="shared" si="8"/>
        <v>0</v>
      </c>
      <c r="H46" s="800"/>
      <c r="I46" s="817"/>
      <c r="J46" s="815"/>
      <c r="K46" s="816"/>
    </row>
    <row r="47" spans="1:11" ht="15.75" hidden="1" x14ac:dyDescent="0.25">
      <c r="A47" s="797"/>
      <c r="B47" s="798"/>
      <c r="C47" s="799"/>
      <c r="D47" s="799">
        <v>1.5</v>
      </c>
      <c r="E47" s="799"/>
      <c r="F47" s="799"/>
      <c r="G47" s="800">
        <f t="shared" si="8"/>
        <v>0</v>
      </c>
      <c r="H47" s="800"/>
      <c r="I47" s="817"/>
      <c r="J47" s="815"/>
      <c r="K47" s="816"/>
    </row>
    <row r="48" spans="1:11" ht="15.75" x14ac:dyDescent="0.25">
      <c r="A48" s="807" t="s">
        <v>851</v>
      </c>
      <c r="B48" s="808"/>
      <c r="C48" s="809">
        <f>SUM(C45:C47)</f>
        <v>147084267</v>
      </c>
      <c r="D48" s="810"/>
      <c r="E48" s="809">
        <f>SUM(E45:E47)</f>
        <v>2118013.44</v>
      </c>
      <c r="F48" s="809">
        <f>SUM(F45:F47)</f>
        <v>2118013.44</v>
      </c>
      <c r="G48" s="809">
        <f>SUM(G45:G47)</f>
        <v>2206264.0099999998</v>
      </c>
      <c r="H48" s="811">
        <f>G48/1000</f>
        <v>2206.3000000000002</v>
      </c>
      <c r="I48" s="812">
        <f>'[3]291 имущ'!$M$22</f>
        <v>0.92393380290000005</v>
      </c>
      <c r="J48" s="813">
        <f>H48*I48</f>
        <v>2038.5</v>
      </c>
      <c r="K48" s="813">
        <f>H48-J48</f>
        <v>167.8</v>
      </c>
    </row>
    <row r="49" spans="1:11" ht="31.5" x14ac:dyDescent="0.25">
      <c r="A49" s="797" t="s">
        <v>670</v>
      </c>
      <c r="B49" s="798" t="s">
        <v>1563</v>
      </c>
      <c r="C49" s="799">
        <v>139553267</v>
      </c>
      <c r="D49" s="799">
        <v>1.5</v>
      </c>
      <c r="E49" s="799">
        <v>2093299</v>
      </c>
      <c r="F49" s="799">
        <v>2093299</v>
      </c>
      <c r="G49" s="800">
        <f t="shared" ref="G49:G51" si="9">C49*D49/100</f>
        <v>2093299.01</v>
      </c>
      <c r="H49" s="800"/>
      <c r="I49" s="817"/>
      <c r="J49" s="815"/>
      <c r="K49" s="816"/>
    </row>
    <row r="50" spans="1:11" ht="15.75" hidden="1" x14ac:dyDescent="0.25">
      <c r="A50" s="797"/>
      <c r="B50" s="798"/>
      <c r="C50" s="799"/>
      <c r="D50" s="799">
        <v>1.5</v>
      </c>
      <c r="E50" s="799"/>
      <c r="F50" s="799"/>
      <c r="G50" s="800">
        <f t="shared" si="9"/>
        <v>0</v>
      </c>
      <c r="H50" s="800"/>
      <c r="I50" s="817"/>
      <c r="J50" s="815"/>
      <c r="K50" s="816"/>
    </row>
    <row r="51" spans="1:11" ht="15.75" hidden="1" x14ac:dyDescent="0.25">
      <c r="A51" s="797"/>
      <c r="B51" s="798"/>
      <c r="C51" s="799"/>
      <c r="D51" s="799">
        <v>1.5</v>
      </c>
      <c r="E51" s="799"/>
      <c r="F51" s="799"/>
      <c r="G51" s="800">
        <f t="shared" si="9"/>
        <v>0</v>
      </c>
      <c r="H51" s="800"/>
      <c r="I51" s="817"/>
      <c r="J51" s="815"/>
      <c r="K51" s="816"/>
    </row>
    <row r="52" spans="1:11" ht="15.75" x14ac:dyDescent="0.25">
      <c r="A52" s="807" t="s">
        <v>851</v>
      </c>
      <c r="B52" s="808"/>
      <c r="C52" s="809">
        <f>SUM(C49:C51)</f>
        <v>139553267</v>
      </c>
      <c r="D52" s="810"/>
      <c r="E52" s="809">
        <f>SUM(E49:E51)</f>
        <v>2093299</v>
      </c>
      <c r="F52" s="809">
        <f>SUM(F49:F51)</f>
        <v>2093299</v>
      </c>
      <c r="G52" s="809">
        <f>SUM(G49:G51)</f>
        <v>2093299.01</v>
      </c>
      <c r="H52" s="811">
        <f>G52/1000</f>
        <v>2093.3000000000002</v>
      </c>
      <c r="I52" s="812">
        <f>'[3]291 имущ'!$M$23</f>
        <v>0.99227506269999999</v>
      </c>
      <c r="J52" s="813">
        <f>H52*I52</f>
        <v>2077.1</v>
      </c>
      <c r="K52" s="813">
        <f>H52-J52</f>
        <v>16.2</v>
      </c>
    </row>
    <row r="53" spans="1:11" ht="31.5" x14ac:dyDescent="0.25">
      <c r="A53" s="797" t="s">
        <v>671</v>
      </c>
      <c r="B53" s="798" t="s">
        <v>1564</v>
      </c>
      <c r="C53" s="799">
        <v>82196439.269999996</v>
      </c>
      <c r="D53" s="799">
        <v>1.5</v>
      </c>
      <c r="E53" s="799">
        <v>1541183</v>
      </c>
      <c r="F53" s="799">
        <v>1209094.83</v>
      </c>
      <c r="G53" s="800">
        <f t="shared" ref="G53:G55" si="10">C53*D53/100</f>
        <v>1232946.5900000001</v>
      </c>
      <c r="H53" s="800"/>
      <c r="I53" s="817"/>
      <c r="J53" s="815"/>
      <c r="K53" s="816"/>
    </row>
    <row r="54" spans="1:11" ht="15.75" hidden="1" x14ac:dyDescent="0.25">
      <c r="A54" s="797"/>
      <c r="B54" s="798"/>
      <c r="C54" s="799"/>
      <c r="D54" s="799">
        <v>1.5</v>
      </c>
      <c r="E54" s="799"/>
      <c r="F54" s="799"/>
      <c r="G54" s="800">
        <f t="shared" si="10"/>
        <v>0</v>
      </c>
      <c r="H54" s="800"/>
      <c r="I54" s="817"/>
      <c r="J54" s="815"/>
      <c r="K54" s="816"/>
    </row>
    <row r="55" spans="1:11" ht="15.75" hidden="1" x14ac:dyDescent="0.25">
      <c r="A55" s="797"/>
      <c r="B55" s="798"/>
      <c r="C55" s="799"/>
      <c r="D55" s="799">
        <v>1.5</v>
      </c>
      <c r="E55" s="799"/>
      <c r="F55" s="799"/>
      <c r="G55" s="800">
        <f t="shared" si="10"/>
        <v>0</v>
      </c>
      <c r="H55" s="800"/>
      <c r="I55" s="817"/>
      <c r="J55" s="815"/>
      <c r="K55" s="816"/>
    </row>
    <row r="56" spans="1:11" ht="15.75" x14ac:dyDescent="0.25">
      <c r="A56" s="807" t="s">
        <v>851</v>
      </c>
      <c r="B56" s="808"/>
      <c r="C56" s="809">
        <f>SUM(C53:C55)</f>
        <v>82196439.269999996</v>
      </c>
      <c r="D56" s="810"/>
      <c r="E56" s="809">
        <f>SUM(E53:E55)</f>
        <v>1541183</v>
      </c>
      <c r="F56" s="809">
        <f>SUM(F53:F55)</f>
        <v>1209094.83</v>
      </c>
      <c r="G56" s="809">
        <f>SUM(G53:G55)</f>
        <v>1232946.5900000001</v>
      </c>
      <c r="H56" s="811">
        <f>G56/1000</f>
        <v>1232.9000000000001</v>
      </c>
      <c r="I56" s="812">
        <f>'[3]291 имущ'!$M$24</f>
        <v>0.98615727659999997</v>
      </c>
      <c r="J56" s="813">
        <f>H56*I56</f>
        <v>1215.8</v>
      </c>
      <c r="K56" s="813">
        <f>H56-J56</f>
        <v>17.100000000000001</v>
      </c>
    </row>
    <row r="57" spans="1:11" ht="31.5" x14ac:dyDescent="0.25">
      <c r="A57" s="797" t="s">
        <v>1565</v>
      </c>
      <c r="B57" s="798" t="s">
        <v>1566</v>
      </c>
      <c r="C57" s="799">
        <v>37196695.5</v>
      </c>
      <c r="D57" s="799">
        <v>1.5</v>
      </c>
      <c r="E57" s="799">
        <v>557953</v>
      </c>
      <c r="F57" s="799">
        <v>557950</v>
      </c>
      <c r="G57" s="800">
        <f t="shared" ref="G57:G59" si="11">C57*D57/100</f>
        <v>557950.43000000005</v>
      </c>
      <c r="H57" s="800"/>
      <c r="I57" s="817"/>
      <c r="J57" s="815"/>
      <c r="K57" s="816"/>
    </row>
    <row r="58" spans="1:11" ht="15.75" hidden="1" x14ac:dyDescent="0.25">
      <c r="A58" s="797"/>
      <c r="B58" s="798"/>
      <c r="C58" s="799"/>
      <c r="D58" s="799">
        <v>1.5</v>
      </c>
      <c r="E58" s="799"/>
      <c r="F58" s="799"/>
      <c r="G58" s="800">
        <f t="shared" si="11"/>
        <v>0</v>
      </c>
      <c r="H58" s="800"/>
      <c r="I58" s="817"/>
      <c r="J58" s="815"/>
      <c r="K58" s="816"/>
    </row>
    <row r="59" spans="1:11" ht="15.75" hidden="1" x14ac:dyDescent="0.25">
      <c r="A59" s="797"/>
      <c r="B59" s="798"/>
      <c r="C59" s="799"/>
      <c r="D59" s="799">
        <v>1.5</v>
      </c>
      <c r="E59" s="799"/>
      <c r="F59" s="799"/>
      <c r="G59" s="800">
        <f t="shared" si="11"/>
        <v>0</v>
      </c>
      <c r="H59" s="800"/>
      <c r="I59" s="817"/>
      <c r="J59" s="815"/>
      <c r="K59" s="816"/>
    </row>
    <row r="60" spans="1:11" ht="15.75" x14ac:dyDescent="0.25">
      <c r="A60" s="807" t="s">
        <v>851</v>
      </c>
      <c r="B60" s="808"/>
      <c r="C60" s="809">
        <f>SUM(C57:C59)</f>
        <v>37196695.5</v>
      </c>
      <c r="D60" s="810"/>
      <c r="E60" s="809">
        <f>SUM(E57:E59)</f>
        <v>557953</v>
      </c>
      <c r="F60" s="809">
        <f>SUM(F57:F59)</f>
        <v>557950</v>
      </c>
      <c r="G60" s="809">
        <f>SUM(G57:G59)</f>
        <v>557950.43000000005</v>
      </c>
      <c r="H60" s="811">
        <f>G60/1000</f>
        <v>558</v>
      </c>
      <c r="I60" s="812">
        <f>'[3]291 имущ'!$M$25</f>
        <v>1</v>
      </c>
      <c r="J60" s="813">
        <f>H60*I60</f>
        <v>558</v>
      </c>
      <c r="K60" s="813">
        <f>H60-J60</f>
        <v>0</v>
      </c>
    </row>
    <row r="61" spans="1:11" ht="31.5" x14ac:dyDescent="0.25">
      <c r="A61" s="797" t="s">
        <v>673</v>
      </c>
      <c r="B61" s="798" t="s">
        <v>1567</v>
      </c>
      <c r="C61" s="799">
        <v>85452839</v>
      </c>
      <c r="D61" s="799">
        <v>1.5</v>
      </c>
      <c r="E61" s="799">
        <v>1281791</v>
      </c>
      <c r="F61" s="799">
        <v>1281792.6000000001</v>
      </c>
      <c r="G61" s="800">
        <f>C61*D61/100</f>
        <v>1281792.5900000001</v>
      </c>
      <c r="H61" s="800"/>
      <c r="I61" s="817"/>
      <c r="J61" s="815"/>
      <c r="K61" s="816"/>
    </row>
    <row r="62" spans="1:11" ht="15.75" hidden="1" x14ac:dyDescent="0.25">
      <c r="A62" s="797"/>
      <c r="B62" s="798"/>
      <c r="C62" s="799"/>
      <c r="D62" s="799">
        <v>1.5</v>
      </c>
      <c r="E62" s="799"/>
      <c r="F62" s="799"/>
      <c r="G62" s="800">
        <f t="shared" ref="G62:G63" si="12">C62*D62/100</f>
        <v>0</v>
      </c>
      <c r="H62" s="800"/>
      <c r="I62" s="817"/>
      <c r="J62" s="815"/>
      <c r="K62" s="816"/>
    </row>
    <row r="63" spans="1:11" ht="15.75" hidden="1" x14ac:dyDescent="0.25">
      <c r="A63" s="797"/>
      <c r="B63" s="798"/>
      <c r="C63" s="799"/>
      <c r="D63" s="799">
        <v>1.5</v>
      </c>
      <c r="E63" s="799"/>
      <c r="F63" s="799"/>
      <c r="G63" s="800">
        <f t="shared" si="12"/>
        <v>0</v>
      </c>
      <c r="H63" s="800"/>
      <c r="I63" s="817"/>
      <c r="J63" s="815"/>
      <c r="K63" s="816"/>
    </row>
    <row r="64" spans="1:11" ht="15.75" x14ac:dyDescent="0.25">
      <c r="A64" s="807" t="s">
        <v>851</v>
      </c>
      <c r="B64" s="808"/>
      <c r="C64" s="809">
        <f>SUM(C61:C63)</f>
        <v>85452839</v>
      </c>
      <c r="D64" s="810"/>
      <c r="E64" s="809">
        <f>SUM(E61:E63)</f>
        <v>1281791</v>
      </c>
      <c r="F64" s="809">
        <f>SUM(F61:F63)</f>
        <v>1281792.6000000001</v>
      </c>
      <c r="G64" s="809">
        <f>SUM(G61:G63)</f>
        <v>1281792.5900000001</v>
      </c>
      <c r="H64" s="811">
        <f>G64/1000</f>
        <v>1281.8</v>
      </c>
      <c r="I64" s="812">
        <f>'[3]291 имущ'!$M$26</f>
        <v>0.99437014290000003</v>
      </c>
      <c r="J64" s="813">
        <f>H64*I64</f>
        <v>1274.5999999999999</v>
      </c>
      <c r="K64" s="813">
        <f>H64-J64</f>
        <v>7.2</v>
      </c>
    </row>
    <row r="65" spans="1:11" ht="31.5" x14ac:dyDescent="0.25">
      <c r="A65" s="818" t="s">
        <v>1568</v>
      </c>
      <c r="B65" s="798" t="s">
        <v>1569</v>
      </c>
      <c r="C65" s="799">
        <v>105445943.16</v>
      </c>
      <c r="D65" s="799">
        <v>1.5</v>
      </c>
      <c r="E65" s="799">
        <v>1581691</v>
      </c>
      <c r="F65" s="799">
        <v>1581695</v>
      </c>
      <c r="G65" s="800">
        <f>C65*D65/100</f>
        <v>1581689.15</v>
      </c>
      <c r="H65" s="800"/>
      <c r="I65" s="817"/>
      <c r="J65" s="815"/>
      <c r="K65" s="816"/>
    </row>
    <row r="66" spans="1:11" ht="15.75" x14ac:dyDescent="0.25">
      <c r="A66" s="807" t="s">
        <v>851</v>
      </c>
      <c r="B66" s="808"/>
      <c r="C66" s="809">
        <f>SUM(C65:C65)</f>
        <v>105445943.16</v>
      </c>
      <c r="D66" s="810"/>
      <c r="E66" s="809">
        <f>SUM(E65:E65)</f>
        <v>1581691</v>
      </c>
      <c r="F66" s="809">
        <f>SUM(F65:F65)</f>
        <v>1581695</v>
      </c>
      <c r="G66" s="809">
        <f>SUM(G65:G65)</f>
        <v>1581689.15</v>
      </c>
      <c r="H66" s="811">
        <f>G66/1000</f>
        <v>1581.7</v>
      </c>
      <c r="I66" s="812">
        <f>'[3]291 имущ'!$M$27</f>
        <v>0.99044820749999996</v>
      </c>
      <c r="J66" s="813">
        <f>H66*I66</f>
        <v>1566.6</v>
      </c>
      <c r="K66" s="813">
        <f>H66-J66</f>
        <v>15.1</v>
      </c>
    </row>
    <row r="67" spans="1:11" ht="15.75" x14ac:dyDescent="0.25">
      <c r="A67" s="797" t="s">
        <v>1570</v>
      </c>
      <c r="B67" s="798" t="s">
        <v>1571</v>
      </c>
      <c r="C67" s="820">
        <v>121080770</v>
      </c>
      <c r="D67" s="799">
        <v>1.5</v>
      </c>
      <c r="E67" s="799">
        <v>1816212</v>
      </c>
      <c r="F67" s="799">
        <v>1816212</v>
      </c>
      <c r="G67" s="800">
        <f t="shared" ref="G67" si="13">C67*D67/100</f>
        <v>1816211.55</v>
      </c>
      <c r="H67" s="800"/>
      <c r="I67" s="817"/>
      <c r="J67" s="815"/>
      <c r="K67" s="816"/>
    </row>
    <row r="68" spans="1:11" ht="15.75" x14ac:dyDescent="0.25">
      <c r="A68" s="807" t="s">
        <v>851</v>
      </c>
      <c r="B68" s="808"/>
      <c r="C68" s="809">
        <f>SUM(C67:C67)</f>
        <v>121080770</v>
      </c>
      <c r="D68" s="810"/>
      <c r="E68" s="809">
        <f>SUM(E67:E67)</f>
        <v>1816212</v>
      </c>
      <c r="F68" s="809">
        <f>SUM(F67:F67)</f>
        <v>1816212</v>
      </c>
      <c r="G68" s="809">
        <f>SUM(G67:G67)</f>
        <v>1816211.55</v>
      </c>
      <c r="H68" s="811">
        <f>G68/1000</f>
        <v>1816.2</v>
      </c>
      <c r="I68" s="812">
        <f>'[3]291 имущ'!$M$28</f>
        <v>0.98055003129999996</v>
      </c>
      <c r="J68" s="813">
        <f>H68*I68</f>
        <v>1780.9</v>
      </c>
      <c r="K68" s="813">
        <f>H68-J68</f>
        <v>35.299999999999997</v>
      </c>
    </row>
    <row r="69" spans="1:11" ht="31.5" x14ac:dyDescent="0.25">
      <c r="A69" s="797" t="s">
        <v>676</v>
      </c>
      <c r="B69" s="798" t="s">
        <v>1572</v>
      </c>
      <c r="C69" s="799">
        <v>132718853</v>
      </c>
      <c r="D69" s="799">
        <v>1.5</v>
      </c>
      <c r="E69" s="799">
        <v>1990783</v>
      </c>
      <c r="F69" s="799">
        <v>1990783</v>
      </c>
      <c r="G69" s="800">
        <f t="shared" ref="G69" si="14">C69*D69/100</f>
        <v>1990782.8</v>
      </c>
      <c r="H69" s="800"/>
      <c r="I69" s="817"/>
      <c r="J69" s="815"/>
      <c r="K69" s="816"/>
    </row>
    <row r="70" spans="1:11" ht="15.75" x14ac:dyDescent="0.25">
      <c r="A70" s="807" t="s">
        <v>851</v>
      </c>
      <c r="B70" s="808"/>
      <c r="C70" s="809">
        <f>SUM(C69:C69)</f>
        <v>132718853</v>
      </c>
      <c r="D70" s="810"/>
      <c r="E70" s="809">
        <f>SUM(E69:E69)</f>
        <v>1990783</v>
      </c>
      <c r="F70" s="809">
        <f>SUM(F69:F69)</f>
        <v>1990783</v>
      </c>
      <c r="G70" s="809">
        <f>SUM(G69:G69)</f>
        <v>1990782.8</v>
      </c>
      <c r="H70" s="811">
        <f>G70/1000</f>
        <v>1990.8</v>
      </c>
      <c r="I70" s="812">
        <f>'[3]291 имущ'!$M$29</f>
        <v>0.93628310000000003</v>
      </c>
      <c r="J70" s="813">
        <f>H70*I70</f>
        <v>1864</v>
      </c>
      <c r="K70" s="813">
        <f>H70-J70</f>
        <v>126.8</v>
      </c>
    </row>
    <row r="71" spans="1:11" ht="31.5" x14ac:dyDescent="0.25">
      <c r="A71" s="797" t="s">
        <v>677</v>
      </c>
      <c r="B71" s="798" t="s">
        <v>1573</v>
      </c>
      <c r="C71" s="799">
        <v>79541578.079999998</v>
      </c>
      <c r="D71" s="799">
        <v>1.5</v>
      </c>
      <c r="E71" s="799">
        <v>1193124</v>
      </c>
      <c r="F71" s="799">
        <v>1193124</v>
      </c>
      <c r="G71" s="800">
        <f t="shared" ref="G71" si="15">C71*D71/100</f>
        <v>1193123.67</v>
      </c>
      <c r="H71" s="800"/>
      <c r="I71" s="817"/>
      <c r="J71" s="815"/>
      <c r="K71" s="816"/>
    </row>
    <row r="72" spans="1:11" ht="15.75" x14ac:dyDescent="0.25">
      <c r="A72" s="807" t="s">
        <v>851</v>
      </c>
      <c r="B72" s="808"/>
      <c r="C72" s="809">
        <f>SUM(C71:C71)</f>
        <v>79541578.079999998</v>
      </c>
      <c r="D72" s="810"/>
      <c r="E72" s="809">
        <f>SUM(E71:E71)</f>
        <v>1193124</v>
      </c>
      <c r="F72" s="809">
        <f>SUM(F71:F71)</f>
        <v>1193124</v>
      </c>
      <c r="G72" s="809">
        <f>SUM(G71:G71)</f>
        <v>1193123.67</v>
      </c>
      <c r="H72" s="811">
        <f>G72/1000</f>
        <v>1193.0999999999999</v>
      </c>
      <c r="I72" s="812">
        <f>'[3]291 имущ'!$M$30</f>
        <v>0.98666027860000005</v>
      </c>
      <c r="J72" s="813">
        <f>H72*I72</f>
        <v>1177.2</v>
      </c>
      <c r="K72" s="813">
        <f>H72-J72</f>
        <v>15.9</v>
      </c>
    </row>
    <row r="73" spans="1:11" ht="31.5" x14ac:dyDescent="0.25">
      <c r="A73" s="797" t="s">
        <v>678</v>
      </c>
      <c r="B73" s="798" t="s">
        <v>1574</v>
      </c>
      <c r="C73" s="799">
        <v>83942828.140000001</v>
      </c>
      <c r="D73" s="799">
        <v>1.5</v>
      </c>
      <c r="E73" s="799">
        <v>1259142</v>
      </c>
      <c r="F73" s="799">
        <v>1259142</v>
      </c>
      <c r="G73" s="800">
        <f t="shared" ref="G73:G74" si="16">C73*D73/100</f>
        <v>1259142.42</v>
      </c>
      <c r="H73" s="800"/>
      <c r="I73" s="817"/>
      <c r="J73" s="815"/>
      <c r="K73" s="816"/>
    </row>
    <row r="74" spans="1:11" ht="31.5" x14ac:dyDescent="0.25">
      <c r="A74" s="797" t="s">
        <v>678</v>
      </c>
      <c r="B74" s="798" t="s">
        <v>1575</v>
      </c>
      <c r="C74" s="799">
        <v>39830195.140000001</v>
      </c>
      <c r="D74" s="799">
        <v>1.5</v>
      </c>
      <c r="E74" s="799">
        <v>597453</v>
      </c>
      <c r="F74" s="799">
        <v>597453</v>
      </c>
      <c r="G74" s="800">
        <f t="shared" si="16"/>
        <v>597452.93000000005</v>
      </c>
      <c r="H74" s="800"/>
      <c r="I74" s="817"/>
      <c r="J74" s="815"/>
      <c r="K74" s="816"/>
    </row>
    <row r="75" spans="1:11" ht="15.75" x14ac:dyDescent="0.25">
      <c r="A75" s="807" t="s">
        <v>851</v>
      </c>
      <c r="B75" s="808"/>
      <c r="C75" s="809">
        <f>SUM(C73:C74)</f>
        <v>123773023.28</v>
      </c>
      <c r="D75" s="810"/>
      <c r="E75" s="809">
        <f>SUM(E73:E74)</f>
        <v>1856595</v>
      </c>
      <c r="F75" s="809">
        <f>SUM(F73:F74)</f>
        <v>1856595</v>
      </c>
      <c r="G75" s="809">
        <f>SUM(G73:G74)</f>
        <v>1856595.35</v>
      </c>
      <c r="H75" s="811">
        <f>G75/1000</f>
        <v>1856.6</v>
      </c>
      <c r="I75" s="812">
        <f>'[3]291 имущ'!$M$31</f>
        <v>0.98881925240000001</v>
      </c>
      <c r="J75" s="813">
        <f>H75*I75</f>
        <v>1835.8</v>
      </c>
      <c r="K75" s="813">
        <f>H75-J75</f>
        <v>20.8</v>
      </c>
    </row>
    <row r="76" spans="1:11" ht="31.5" x14ac:dyDescent="0.25">
      <c r="A76" s="797" t="s">
        <v>679</v>
      </c>
      <c r="B76" s="798" t="s">
        <v>1576</v>
      </c>
      <c r="C76" s="799">
        <v>67737054.420000002</v>
      </c>
      <c r="D76" s="799">
        <v>1.5</v>
      </c>
      <c r="E76" s="799">
        <v>1016056</v>
      </c>
      <c r="F76" s="799">
        <v>1016056</v>
      </c>
      <c r="G76" s="800">
        <f t="shared" ref="G76" si="17">C76*D76/100</f>
        <v>1016055.82</v>
      </c>
      <c r="H76" s="800"/>
      <c r="I76" s="817"/>
      <c r="J76" s="815"/>
      <c r="K76" s="816"/>
    </row>
    <row r="77" spans="1:11" ht="15.75" x14ac:dyDescent="0.25">
      <c r="A77" s="807" t="s">
        <v>851</v>
      </c>
      <c r="B77" s="808"/>
      <c r="C77" s="809">
        <f>SUM(C76:C76)</f>
        <v>67737054.420000002</v>
      </c>
      <c r="D77" s="810"/>
      <c r="E77" s="809">
        <f>SUM(E76:E76)</f>
        <v>1016056</v>
      </c>
      <c r="F77" s="809">
        <f>SUM(F76:F76)</f>
        <v>1016056</v>
      </c>
      <c r="G77" s="809">
        <f>SUM(G76:G76)</f>
        <v>1016055.82</v>
      </c>
      <c r="H77" s="811">
        <f>G77/1000</f>
        <v>1016.1</v>
      </c>
      <c r="I77" s="812">
        <f>'[3]291 имущ'!$M$32</f>
        <v>0.9823927402</v>
      </c>
      <c r="J77" s="813">
        <f>H77*I77</f>
        <v>998.2</v>
      </c>
      <c r="K77" s="813">
        <f>H77-J77</f>
        <v>17.899999999999999</v>
      </c>
    </row>
    <row r="78" spans="1:11" ht="31.5" customHeight="1" x14ac:dyDescent="0.25">
      <c r="A78" s="797" t="s">
        <v>1577</v>
      </c>
      <c r="B78" s="821" t="s">
        <v>1578</v>
      </c>
      <c r="C78" s="799">
        <f>115223571.06+20370450</f>
        <v>135594021.06</v>
      </c>
      <c r="D78" s="799">
        <v>1.5</v>
      </c>
      <c r="E78" s="822">
        <v>2033909</v>
      </c>
      <c r="F78" s="822">
        <f>508477*4</f>
        <v>2033908</v>
      </c>
      <c r="G78" s="800">
        <f t="shared" ref="G78" si="18">C78*D78/100</f>
        <v>2033910.32</v>
      </c>
      <c r="H78" s="800"/>
      <c r="I78" s="817"/>
      <c r="J78" s="815"/>
      <c r="K78" s="816"/>
    </row>
    <row r="79" spans="1:11" ht="15.75" x14ac:dyDescent="0.25">
      <c r="A79" s="807" t="s">
        <v>851</v>
      </c>
      <c r="B79" s="808"/>
      <c r="C79" s="809">
        <f>SUM(C78:C78)</f>
        <v>135594021.06</v>
      </c>
      <c r="D79" s="810"/>
      <c r="E79" s="809">
        <f>SUM(E78:E78)</f>
        <v>2033909</v>
      </c>
      <c r="F79" s="809">
        <f>SUM(F78:F78)</f>
        <v>2033908</v>
      </c>
      <c r="G79" s="809">
        <f>SUM(G78:G78)</f>
        <v>2033910.32</v>
      </c>
      <c r="H79" s="811">
        <f>G79/1000</f>
        <v>2033.9</v>
      </c>
      <c r="I79" s="812">
        <f>'[3]291 имущ'!$M$33</f>
        <v>0.97548029469999997</v>
      </c>
      <c r="J79" s="813">
        <f>H79*I79</f>
        <v>1984</v>
      </c>
      <c r="K79" s="813">
        <f>H79-J79</f>
        <v>49.9</v>
      </c>
    </row>
    <row r="80" spans="1:11" ht="31.5" x14ac:dyDescent="0.25">
      <c r="A80" s="797" t="s">
        <v>681</v>
      </c>
      <c r="B80" s="798" t="s">
        <v>1579</v>
      </c>
      <c r="C80" s="799">
        <v>67107652</v>
      </c>
      <c r="D80" s="799">
        <v>1.5</v>
      </c>
      <c r="E80" s="799">
        <v>1006615</v>
      </c>
      <c r="F80" s="799">
        <v>1006615</v>
      </c>
      <c r="G80" s="800">
        <f t="shared" ref="G80:G81" si="19">C80*D80/100</f>
        <v>1006614.78</v>
      </c>
      <c r="H80" s="800"/>
      <c r="I80" s="817"/>
      <c r="J80" s="815"/>
      <c r="K80" s="816"/>
    </row>
    <row r="81" spans="1:11" ht="31.5" x14ac:dyDescent="0.25">
      <c r="A81" s="797" t="s">
        <v>681</v>
      </c>
      <c r="B81" s="798" t="s">
        <v>1580</v>
      </c>
      <c r="C81" s="799">
        <v>91329287</v>
      </c>
      <c r="D81" s="799">
        <v>1.5</v>
      </c>
      <c r="E81" s="799">
        <v>1369939</v>
      </c>
      <c r="F81" s="799">
        <v>1369939</v>
      </c>
      <c r="G81" s="800">
        <f t="shared" si="19"/>
        <v>1369939.31</v>
      </c>
      <c r="H81" s="800"/>
      <c r="I81" s="817"/>
      <c r="J81" s="815"/>
      <c r="K81" s="816"/>
    </row>
    <row r="82" spans="1:11" ht="15.75" x14ac:dyDescent="0.25">
      <c r="A82" s="807" t="s">
        <v>851</v>
      </c>
      <c r="B82" s="808"/>
      <c r="C82" s="809">
        <f>SUM(C80:C81)</f>
        <v>158436939</v>
      </c>
      <c r="D82" s="810"/>
      <c r="E82" s="809">
        <f>SUM(E80:E81)</f>
        <v>2376554</v>
      </c>
      <c r="F82" s="809">
        <f>SUM(F80:F81)</f>
        <v>2376554</v>
      </c>
      <c r="G82" s="809">
        <f>SUM(G80:G81)</f>
        <v>2376554.09</v>
      </c>
      <c r="H82" s="811">
        <f>G82/1000</f>
        <v>2376.6</v>
      </c>
      <c r="I82" s="812">
        <f>'[3]291 имущ'!$M$34</f>
        <v>0.97636352510000002</v>
      </c>
      <c r="J82" s="813">
        <f>H82*I82</f>
        <v>2320.4</v>
      </c>
      <c r="K82" s="813">
        <f>H82-J82</f>
        <v>56.2</v>
      </c>
    </row>
    <row r="83" spans="1:11" ht="31.5" x14ac:dyDescent="0.25">
      <c r="A83" s="797" t="s">
        <v>682</v>
      </c>
      <c r="B83" s="823" t="s">
        <v>1581</v>
      </c>
      <c r="C83" s="820">
        <v>207402382</v>
      </c>
      <c r="D83" s="799">
        <v>1.5</v>
      </c>
      <c r="E83" s="799">
        <v>3110920</v>
      </c>
      <c r="F83" s="799">
        <f>777748+2333277</f>
        <v>3111025</v>
      </c>
      <c r="G83" s="800">
        <f t="shared" ref="G83" si="20">C83*D83/100</f>
        <v>3111035.73</v>
      </c>
      <c r="H83" s="824">
        <f>G83/1000</f>
        <v>3111</v>
      </c>
      <c r="I83" s="817"/>
      <c r="J83" s="815"/>
      <c r="K83" s="816"/>
    </row>
    <row r="84" spans="1:11" ht="15.75" x14ac:dyDescent="0.25">
      <c r="A84" s="807" t="s">
        <v>851</v>
      </c>
      <c r="B84" s="808"/>
      <c r="C84" s="809">
        <f>SUM(C83:C83)</f>
        <v>207402382</v>
      </c>
      <c r="D84" s="810"/>
      <c r="E84" s="809">
        <f>SUM(E83:E83)</f>
        <v>3110920</v>
      </c>
      <c r="F84" s="809">
        <f>SUM(F83:F83)</f>
        <v>3111025</v>
      </c>
      <c r="G84" s="809">
        <f>SUM(G83:G83)</f>
        <v>3111035.73</v>
      </c>
      <c r="H84" s="811">
        <f>G84/1000</f>
        <v>3111</v>
      </c>
      <c r="I84" s="812">
        <f>'[3]291 имущ'!$M$35</f>
        <v>0.99397414070000001</v>
      </c>
      <c r="J84" s="813">
        <f>H84*I84</f>
        <v>3092.3</v>
      </c>
      <c r="K84" s="813">
        <f>H84-J84</f>
        <v>18.7</v>
      </c>
    </row>
    <row r="85" spans="1:11" ht="31.5" x14ac:dyDescent="0.25">
      <c r="A85" s="797" t="s">
        <v>683</v>
      </c>
      <c r="B85" s="825" t="s">
        <v>1582</v>
      </c>
      <c r="C85" s="799">
        <v>83106881.359999999</v>
      </c>
      <c r="D85" s="799">
        <v>1.5</v>
      </c>
      <c r="E85" s="799">
        <v>1246603</v>
      </c>
      <c r="F85" s="799">
        <v>1246603</v>
      </c>
      <c r="G85" s="800">
        <f t="shared" ref="G85" si="21">C85*D85/100</f>
        <v>1246603.22</v>
      </c>
      <c r="H85" s="800"/>
      <c r="I85" s="817"/>
      <c r="J85" s="815"/>
      <c r="K85" s="816"/>
    </row>
    <row r="86" spans="1:11" ht="15.75" x14ac:dyDescent="0.25">
      <c r="A86" s="807" t="s">
        <v>851</v>
      </c>
      <c r="B86" s="808"/>
      <c r="C86" s="809">
        <f>SUM(C85:C85)</f>
        <v>83106881.359999999</v>
      </c>
      <c r="D86" s="810"/>
      <c r="E86" s="809">
        <f>SUM(E85:E85)</f>
        <v>1246603</v>
      </c>
      <c r="F86" s="809">
        <f>SUM(F85:F85)</f>
        <v>1246603</v>
      </c>
      <c r="G86" s="809">
        <f>SUM(G85:G85)</f>
        <v>1246603.22</v>
      </c>
      <c r="H86" s="811">
        <f>G86/1000</f>
        <v>1246.5999999999999</v>
      </c>
      <c r="I86" s="812">
        <f>'[3]291 имущ'!$M$36</f>
        <v>0.98365203840000004</v>
      </c>
      <c r="J86" s="813">
        <f>H86*I86</f>
        <v>1226.2</v>
      </c>
      <c r="K86" s="813">
        <f>H86-J86</f>
        <v>20.399999999999999</v>
      </c>
    </row>
    <row r="87" spans="1:11" ht="31.5" x14ac:dyDescent="0.25">
      <c r="A87" s="797" t="s">
        <v>684</v>
      </c>
      <c r="B87" s="798" t="s">
        <v>1583</v>
      </c>
      <c r="C87" s="799">
        <v>106203276.95999999</v>
      </c>
      <c r="D87" s="799">
        <v>1.5</v>
      </c>
      <c r="E87" s="799">
        <v>1593052</v>
      </c>
      <c r="F87" s="799">
        <v>1593049</v>
      </c>
      <c r="G87" s="800">
        <f t="shared" ref="G87" si="22">C87*D87/100</f>
        <v>1593049.15</v>
      </c>
      <c r="H87" s="800"/>
      <c r="I87" s="817"/>
      <c r="J87" s="815"/>
      <c r="K87" s="816"/>
    </row>
    <row r="88" spans="1:11" ht="15.75" x14ac:dyDescent="0.25">
      <c r="A88" s="807" t="s">
        <v>851</v>
      </c>
      <c r="B88" s="808"/>
      <c r="C88" s="809">
        <f>SUM(C87:C87)</f>
        <v>106203276.95999999</v>
      </c>
      <c r="D88" s="810"/>
      <c r="E88" s="809">
        <f>SUM(E87:E87)</f>
        <v>1593052</v>
      </c>
      <c r="F88" s="809">
        <f>SUM(F87:F87)</f>
        <v>1593049</v>
      </c>
      <c r="G88" s="809">
        <f>SUM(G87:G87)</f>
        <v>1593049.15</v>
      </c>
      <c r="H88" s="811">
        <f>G88/1000</f>
        <v>1593</v>
      </c>
      <c r="I88" s="812">
        <f>'[3]291 имущ'!$M$37</f>
        <v>0.99587834129999997</v>
      </c>
      <c r="J88" s="813">
        <f>H88*I88</f>
        <v>1586.4</v>
      </c>
      <c r="K88" s="813">
        <f>H88-J88</f>
        <v>6.6</v>
      </c>
    </row>
    <row r="89" spans="1:11" ht="31.5" x14ac:dyDescent="0.25">
      <c r="A89" s="797" t="s">
        <v>685</v>
      </c>
      <c r="B89" s="798" t="s">
        <v>1584</v>
      </c>
      <c r="C89" s="799">
        <v>128811063.92</v>
      </c>
      <c r="D89" s="799">
        <v>1.5</v>
      </c>
      <c r="E89" s="799">
        <v>1932166</v>
      </c>
      <c r="F89" s="799">
        <v>1932166</v>
      </c>
      <c r="G89" s="800">
        <f t="shared" ref="G89:G93" si="23">C89*D89/100</f>
        <v>1932165.96</v>
      </c>
      <c r="H89" s="800"/>
      <c r="I89" s="817"/>
      <c r="J89" s="815"/>
      <c r="K89" s="816"/>
    </row>
    <row r="90" spans="1:11" ht="31.5" x14ac:dyDescent="0.25">
      <c r="A90" s="797" t="s">
        <v>685</v>
      </c>
      <c r="B90" s="798" t="s">
        <v>1585</v>
      </c>
      <c r="C90" s="799">
        <v>36966492.159999996</v>
      </c>
      <c r="D90" s="799">
        <v>1.5</v>
      </c>
      <c r="E90" s="799">
        <v>554497</v>
      </c>
      <c r="F90" s="799">
        <v>554497</v>
      </c>
      <c r="G90" s="800">
        <f t="shared" si="23"/>
        <v>554497.38</v>
      </c>
      <c r="H90" s="800"/>
      <c r="I90" s="817"/>
      <c r="J90" s="815"/>
      <c r="K90" s="816"/>
    </row>
    <row r="91" spans="1:11" ht="15.75" x14ac:dyDescent="0.25">
      <c r="A91" s="797"/>
      <c r="B91" s="798" t="s">
        <v>1586</v>
      </c>
      <c r="C91" s="799">
        <v>94792438.620000005</v>
      </c>
      <c r="D91" s="799">
        <v>1.5</v>
      </c>
      <c r="E91" s="799">
        <v>1160463</v>
      </c>
      <c r="F91" s="799">
        <v>1421887</v>
      </c>
      <c r="G91" s="800">
        <f t="shared" si="23"/>
        <v>1421886.58</v>
      </c>
      <c r="H91" s="800"/>
      <c r="I91" s="817"/>
      <c r="J91" s="815"/>
      <c r="K91" s="816"/>
    </row>
    <row r="92" spans="1:11" ht="15.75" x14ac:dyDescent="0.25">
      <c r="A92" s="797"/>
      <c r="B92" s="798" t="s">
        <v>1587</v>
      </c>
      <c r="C92" s="799">
        <v>19524794.190000001</v>
      </c>
      <c r="D92" s="799">
        <v>1.5</v>
      </c>
      <c r="E92" s="799">
        <v>24406</v>
      </c>
      <c r="F92" s="799">
        <v>292872</v>
      </c>
      <c r="G92" s="800">
        <f t="shared" si="23"/>
        <v>292871.90999999997</v>
      </c>
      <c r="H92" s="800"/>
      <c r="I92" s="817"/>
      <c r="J92" s="815"/>
      <c r="K92" s="816"/>
    </row>
    <row r="93" spans="1:11" ht="15.75" x14ac:dyDescent="0.25">
      <c r="A93" s="797"/>
      <c r="B93" s="798" t="s">
        <v>1588</v>
      </c>
      <c r="C93" s="799">
        <v>659121.54</v>
      </c>
      <c r="D93" s="799">
        <v>1.5</v>
      </c>
      <c r="E93" s="799">
        <v>824</v>
      </c>
      <c r="F93" s="799">
        <v>9887</v>
      </c>
      <c r="G93" s="800">
        <f t="shared" si="23"/>
        <v>9886.82</v>
      </c>
      <c r="H93" s="800"/>
      <c r="I93" s="817"/>
      <c r="J93" s="815"/>
      <c r="K93" s="816"/>
    </row>
    <row r="94" spans="1:11" ht="15.75" x14ac:dyDescent="0.25">
      <c r="A94" s="807" t="s">
        <v>851</v>
      </c>
      <c r="B94" s="808"/>
      <c r="C94" s="809">
        <f>SUM(C89:C93)</f>
        <v>280753910.43000001</v>
      </c>
      <c r="D94" s="810"/>
      <c r="E94" s="809">
        <f>SUM(E89:E93)</f>
        <v>3672356</v>
      </c>
      <c r="F94" s="809">
        <f>SUM(F89:F93)</f>
        <v>4211309</v>
      </c>
      <c r="G94" s="809">
        <f>SUM(G89:G93)</f>
        <v>4211308.6500000004</v>
      </c>
      <c r="H94" s="811">
        <f>G94/1000</f>
        <v>4211.3</v>
      </c>
      <c r="I94" s="812">
        <f>'[3]291 имущ'!$M$38</f>
        <v>0.97761135899999996</v>
      </c>
      <c r="J94" s="813">
        <f>H94*I94</f>
        <v>4117</v>
      </c>
      <c r="K94" s="813">
        <f>H94-J94</f>
        <v>94.3</v>
      </c>
    </row>
    <row r="95" spans="1:11" ht="26.45" customHeight="1" x14ac:dyDescent="0.25">
      <c r="A95" s="797" t="s">
        <v>1589</v>
      </c>
      <c r="B95" s="798" t="s">
        <v>1590</v>
      </c>
      <c r="C95" s="799">
        <v>143117371.38999999</v>
      </c>
      <c r="D95" s="799">
        <v>1.5</v>
      </c>
      <c r="E95" s="799">
        <v>536689</v>
      </c>
      <c r="F95" s="799">
        <v>2146761</v>
      </c>
      <c r="G95" s="800">
        <f t="shared" ref="G95" si="24">C95*D95/100</f>
        <v>2146760.5699999998</v>
      </c>
      <c r="H95" s="800"/>
      <c r="I95" s="817"/>
      <c r="J95" s="815"/>
      <c r="K95" s="816"/>
    </row>
    <row r="96" spans="1:11" ht="15.75" x14ac:dyDescent="0.25">
      <c r="A96" s="807" t="s">
        <v>851</v>
      </c>
      <c r="B96" s="808"/>
      <c r="C96" s="809">
        <f>SUM(C95:C95)</f>
        <v>143117371.38999999</v>
      </c>
      <c r="D96" s="810"/>
      <c r="E96" s="809">
        <f>SUM(E95:E95)</f>
        <v>536689</v>
      </c>
      <c r="F96" s="809">
        <f>SUM(F95:F95)</f>
        <v>2146761</v>
      </c>
      <c r="G96" s="809">
        <f>SUM(G95:G95)</f>
        <v>2146760.5699999998</v>
      </c>
      <c r="H96" s="811">
        <f>G96/1000</f>
        <v>2146.8000000000002</v>
      </c>
      <c r="I96" s="812">
        <f>'[3]291 имущ'!$M$39</f>
        <v>0.95776520350000005</v>
      </c>
      <c r="J96" s="813">
        <f>H96*I96</f>
        <v>2056.1</v>
      </c>
      <c r="K96" s="813">
        <f>H96-J96</f>
        <v>90.7</v>
      </c>
    </row>
    <row r="97" spans="1:11" ht="31.5" x14ac:dyDescent="0.25">
      <c r="A97" s="797" t="s">
        <v>687</v>
      </c>
      <c r="B97" s="798" t="s">
        <v>1591</v>
      </c>
      <c r="C97" s="799">
        <v>178705221</v>
      </c>
      <c r="D97" s="799">
        <v>1.5</v>
      </c>
      <c r="E97" s="799">
        <v>2680580</v>
      </c>
      <c r="F97" s="799">
        <v>2680580</v>
      </c>
      <c r="G97" s="800">
        <f>C97*D97/100</f>
        <v>2680578.3199999998</v>
      </c>
      <c r="H97" s="800"/>
      <c r="I97" s="817"/>
      <c r="J97" s="815"/>
      <c r="K97" s="816"/>
    </row>
    <row r="98" spans="1:11" ht="15.75" x14ac:dyDescent="0.25">
      <c r="A98" s="807" t="s">
        <v>851</v>
      </c>
      <c r="B98" s="808"/>
      <c r="C98" s="809">
        <f>SUM(C97:C97)</f>
        <v>178705221</v>
      </c>
      <c r="D98" s="810"/>
      <c r="E98" s="809">
        <f>SUM(E97:E97)</f>
        <v>2680580</v>
      </c>
      <c r="F98" s="809">
        <f>SUM(F97:F97)</f>
        <v>2680580</v>
      </c>
      <c r="G98" s="809">
        <f>SUM(G97:G97)</f>
        <v>2680578.3199999998</v>
      </c>
      <c r="H98" s="811">
        <f>G98/1000</f>
        <v>2680.6</v>
      </c>
      <c r="I98" s="812">
        <f>'[3]291 имущ'!$M$40</f>
        <v>0.98256217150000003</v>
      </c>
      <c r="J98" s="813">
        <f>H98*I98</f>
        <v>2633.9</v>
      </c>
      <c r="K98" s="813">
        <f>H98-J98</f>
        <v>46.7</v>
      </c>
    </row>
    <row r="99" spans="1:11" ht="31.5" x14ac:dyDescent="0.25">
      <c r="A99" s="797" t="s">
        <v>688</v>
      </c>
      <c r="B99" s="798" t="s">
        <v>1592</v>
      </c>
      <c r="C99" s="799">
        <v>128709827.23999999</v>
      </c>
      <c r="D99" s="799">
        <v>1.5</v>
      </c>
      <c r="E99" s="799">
        <v>2294564</v>
      </c>
      <c r="F99" s="799">
        <v>2021627</v>
      </c>
      <c r="G99" s="800">
        <f t="shared" ref="G99" si="25">C99*D99/100</f>
        <v>1930647.41</v>
      </c>
      <c r="H99" s="800"/>
      <c r="I99" s="817"/>
      <c r="J99" s="815"/>
      <c r="K99" s="816"/>
    </row>
    <row r="100" spans="1:11" ht="15.75" x14ac:dyDescent="0.25">
      <c r="A100" s="807" t="s">
        <v>851</v>
      </c>
      <c r="B100" s="808"/>
      <c r="C100" s="809">
        <f>SUM(C99:C99)</f>
        <v>128709827.23999999</v>
      </c>
      <c r="D100" s="810"/>
      <c r="E100" s="809">
        <f>SUM(E99:E99)</f>
        <v>2294564</v>
      </c>
      <c r="F100" s="809">
        <f>SUM(F99:F99)</f>
        <v>2021627</v>
      </c>
      <c r="G100" s="809">
        <f>SUM(G99:G99)</f>
        <v>1930647.41</v>
      </c>
      <c r="H100" s="811">
        <f>G100/1000</f>
        <v>1930.6</v>
      </c>
      <c r="I100" s="812">
        <f>'[3]291 имущ'!$M$41</f>
        <v>0.99338519140000003</v>
      </c>
      <c r="J100" s="813">
        <f>H100*I100</f>
        <v>1917.8</v>
      </c>
      <c r="K100" s="813">
        <f>H100-J100</f>
        <v>12.8</v>
      </c>
    </row>
    <row r="101" spans="1:11" ht="31.5" x14ac:dyDescent="0.25">
      <c r="A101" s="797" t="s">
        <v>689</v>
      </c>
      <c r="B101" s="826" t="s">
        <v>1593</v>
      </c>
      <c r="C101" s="799">
        <v>99781132.640000001</v>
      </c>
      <c r="D101" s="799">
        <v>1.5</v>
      </c>
      <c r="E101" s="799">
        <v>1496717</v>
      </c>
      <c r="F101" s="799">
        <v>1496717</v>
      </c>
      <c r="G101" s="800">
        <f t="shared" ref="G101" si="26">C101*D101/100</f>
        <v>1496716.99</v>
      </c>
      <c r="H101" s="800"/>
      <c r="I101" s="817"/>
      <c r="J101" s="815"/>
      <c r="K101" s="816"/>
    </row>
    <row r="102" spans="1:11" ht="15.75" x14ac:dyDescent="0.25">
      <c r="A102" s="807" t="s">
        <v>851</v>
      </c>
      <c r="B102" s="808"/>
      <c r="C102" s="809">
        <f>SUM(C101:C101)</f>
        <v>99781132.640000001</v>
      </c>
      <c r="D102" s="810"/>
      <c r="E102" s="809">
        <f>SUM(E101:E101)</f>
        <v>1496717</v>
      </c>
      <c r="F102" s="809">
        <f>SUM(F101:F101)</f>
        <v>1496717</v>
      </c>
      <c r="G102" s="809">
        <f>SUM(G101:G101)</f>
        <v>1496716.99</v>
      </c>
      <c r="H102" s="811">
        <f>G102/1000+0.1</f>
        <v>1496.8</v>
      </c>
      <c r="I102" s="812">
        <f>'[3]291 имущ'!$M$42</f>
        <v>0.88427152539999998</v>
      </c>
      <c r="J102" s="813">
        <f>H102*I102</f>
        <v>1323.6</v>
      </c>
      <c r="K102" s="813">
        <f>H102-J102</f>
        <v>173.2</v>
      </c>
    </row>
    <row r="103" spans="1:11" ht="31.5" x14ac:dyDescent="0.25">
      <c r="A103" s="797" t="s">
        <v>690</v>
      </c>
      <c r="B103" s="798" t="s">
        <v>1594</v>
      </c>
      <c r="C103" s="799">
        <v>167378169.40000001</v>
      </c>
      <c r="D103" s="799">
        <v>1.5</v>
      </c>
      <c r="E103" s="799">
        <v>2510673</v>
      </c>
      <c r="F103" s="799">
        <v>2510673</v>
      </c>
      <c r="G103" s="800">
        <f t="shared" ref="G103" si="27">C103*D103/100</f>
        <v>2510672.54</v>
      </c>
      <c r="H103" s="800"/>
      <c r="I103" s="817"/>
      <c r="J103" s="815"/>
      <c r="K103" s="816"/>
    </row>
    <row r="104" spans="1:11" ht="15.75" x14ac:dyDescent="0.25">
      <c r="A104" s="807" t="s">
        <v>851</v>
      </c>
      <c r="B104" s="808"/>
      <c r="C104" s="809">
        <f>SUM(C103:C103)</f>
        <v>167378169.40000001</v>
      </c>
      <c r="D104" s="810"/>
      <c r="E104" s="809">
        <f>SUM(E103:E103)</f>
        <v>2510673</v>
      </c>
      <c r="F104" s="809">
        <f>SUM(F103:F103)</f>
        <v>2510673</v>
      </c>
      <c r="G104" s="809">
        <f>SUM(G103:G103)</f>
        <v>2510672.54</v>
      </c>
      <c r="H104" s="811">
        <f>G104/1000</f>
        <v>2510.6999999999998</v>
      </c>
      <c r="I104" s="812">
        <f>'[3]291 имущ'!$M$43</f>
        <v>0.96771819709999995</v>
      </c>
      <c r="J104" s="813">
        <f>H104*I104</f>
        <v>2429.6999999999998</v>
      </c>
      <c r="K104" s="813">
        <f>H104-J104</f>
        <v>81</v>
      </c>
    </row>
    <row r="105" spans="1:11" ht="31.5" x14ac:dyDescent="0.25">
      <c r="A105" s="797" t="s">
        <v>691</v>
      </c>
      <c r="B105" s="798" t="s">
        <v>1595</v>
      </c>
      <c r="C105" s="799">
        <v>2418846.36</v>
      </c>
      <c r="D105" s="799">
        <v>1.5</v>
      </c>
      <c r="E105" s="799">
        <v>18142</v>
      </c>
      <c r="F105" s="799">
        <v>18142</v>
      </c>
      <c r="G105" s="800">
        <f t="shared" ref="G105" si="28">C105*D105/100</f>
        <v>36282.699999999997</v>
      </c>
      <c r="H105" s="800"/>
      <c r="I105" s="817"/>
      <c r="J105" s="815"/>
      <c r="K105" s="816"/>
    </row>
    <row r="106" spans="1:11" ht="15.75" x14ac:dyDescent="0.25">
      <c r="A106" s="807" t="s">
        <v>851</v>
      </c>
      <c r="B106" s="808"/>
      <c r="C106" s="809">
        <f>SUM(C105:C105)</f>
        <v>2418846.36</v>
      </c>
      <c r="D106" s="810"/>
      <c r="E106" s="809">
        <f>SUM(E105:E105)</f>
        <v>18142</v>
      </c>
      <c r="F106" s="809">
        <f>SUM(F105:F105)</f>
        <v>18142</v>
      </c>
      <c r="G106" s="809">
        <f>SUM(G105:G105)</f>
        <v>36282.699999999997</v>
      </c>
      <c r="H106" s="811">
        <f>G106/1000</f>
        <v>36.299999999999997</v>
      </c>
      <c r="I106" s="812">
        <f>'[3]291 имущ'!$M$44</f>
        <v>1</v>
      </c>
      <c r="J106" s="813">
        <f>H106*I106</f>
        <v>36.299999999999997</v>
      </c>
      <c r="K106" s="813">
        <f>H106-J106</f>
        <v>0</v>
      </c>
    </row>
    <row r="107" spans="1:11" ht="15.75" x14ac:dyDescent="0.25">
      <c r="A107" s="827" t="s">
        <v>35</v>
      </c>
      <c r="B107" s="828"/>
      <c r="C107" s="829"/>
      <c r="D107" s="828"/>
      <c r="E107" s="828"/>
      <c r="F107" s="828"/>
      <c r="G107" s="829">
        <f>G16+G20+G24+G28+G32+G36+G40+G44+G48+G52+G56+G60+G64+G66+G68+G70+G72+G75+G77+G79+G82+G84+G86+G88+G94+G96+G98+G100+G102+G104+G106</f>
        <v>50669401.189999998</v>
      </c>
      <c r="H107" s="830">
        <f>H16+H20+H24+H28+H32+H36+H40+H44+H48+H52+H56+H60+H64+H66+H68+H70+H72+H75+H77+H79+H82+H84+H86+H88+H94+H96+H98+H100+H102+H104+H106</f>
        <v>50669.599999999999</v>
      </c>
      <c r="I107" s="831"/>
      <c r="J107" s="830">
        <f t="shared" ref="J107:K107" si="29">J16+J20+J24+J28+J32+J36+J40+J44+J48+J52+J56+J60+J64+J66+J68+J70+J72+J75+J77+J79+J82+J84+J86+J88+J94+J96+J98+J100+J102+J104+J106</f>
        <v>49396.4</v>
      </c>
      <c r="K107" s="830">
        <f t="shared" si="29"/>
        <v>1273.2</v>
      </c>
    </row>
    <row r="108" spans="1:11" ht="15.75" x14ac:dyDescent="0.25">
      <c r="A108" s="827" t="s">
        <v>1334</v>
      </c>
      <c r="B108" s="828"/>
      <c r="C108" s="828"/>
      <c r="D108" s="828"/>
      <c r="E108" s="828"/>
      <c r="F108" s="828"/>
      <c r="G108" s="829">
        <f>G20+G28+G32+G36+G40+G44+G60+G64+G66+G70+G72+G77+G84+G86+G88+G94+G96+G98+G100+G104</f>
        <v>33848584.32</v>
      </c>
      <c r="H108" s="830">
        <f>H20+H28+H32+H36+H40+H44+H60+H64+H66+H70+H72+H77+H84+H86+H88+H94+H96+H98+H100+H104</f>
        <v>33848.699999999997</v>
      </c>
      <c r="I108" s="831"/>
      <c r="J108" s="830">
        <f t="shared" ref="J108:K108" si="30">J20+J28+J32+J36+J40+J44+J60+J64+J66+J70+J72+J77+J84+J86+J88+J94+J96+J98+J100+J104</f>
        <v>33193.300000000003</v>
      </c>
      <c r="K108" s="830">
        <f t="shared" si="30"/>
        <v>655.4</v>
      </c>
    </row>
    <row r="109" spans="1:11" ht="15.75" x14ac:dyDescent="0.25">
      <c r="A109" s="827" t="s">
        <v>1335</v>
      </c>
      <c r="B109" s="828"/>
      <c r="C109" s="828"/>
      <c r="D109" s="828"/>
      <c r="E109" s="828"/>
      <c r="F109" s="828"/>
      <c r="G109" s="829">
        <f>G16+G24+G48+G52+G56+G68+G75+G79+G82+G102+G106</f>
        <v>16820816.870000001</v>
      </c>
      <c r="H109" s="830">
        <f>H16+H24+H48+H52+H56+H68+H75+H79+H82+H102+H106</f>
        <v>16820.900000000001</v>
      </c>
      <c r="I109" s="831"/>
      <c r="J109" s="830">
        <f t="shared" ref="J109:K109" si="31">J16+J24+J48+J52+J56+J68+J75+J79+J82+J102+J106</f>
        <v>16203.1</v>
      </c>
      <c r="K109" s="830">
        <f t="shared" si="31"/>
        <v>617.79999999999995</v>
      </c>
    </row>
    <row r="110" spans="1:11" ht="24.75" customHeight="1" x14ac:dyDescent="0.25">
      <c r="A110" s="832"/>
      <c r="B110" s="787"/>
      <c r="C110" s="787"/>
      <c r="D110" s="787"/>
      <c r="E110" s="787"/>
      <c r="F110" s="787"/>
      <c r="G110" s="787"/>
    </row>
    <row r="111" spans="1:11" x14ac:dyDescent="0.25">
      <c r="B111" s="787"/>
      <c r="C111" s="787"/>
      <c r="D111" s="787"/>
      <c r="E111" s="787"/>
      <c r="F111" s="787"/>
      <c r="G111" s="787"/>
    </row>
    <row r="112" spans="1:11" x14ac:dyDescent="0.25">
      <c r="B112" s="787"/>
      <c r="C112" s="787"/>
      <c r="D112" s="787"/>
      <c r="E112" s="787"/>
      <c r="F112" s="787"/>
      <c r="G112" s="787"/>
    </row>
    <row r="113" s="787" customFormat="1" x14ac:dyDescent="0.25"/>
    <row r="114" s="787" customFormat="1" x14ac:dyDescent="0.25"/>
    <row r="115" s="787" customFormat="1" x14ac:dyDescent="0.25"/>
    <row r="116" s="787" customFormat="1" x14ac:dyDescent="0.25"/>
    <row r="117" s="787" customFormat="1" x14ac:dyDescent="0.25"/>
    <row r="118" s="787" customFormat="1" x14ac:dyDescent="0.25"/>
    <row r="119" s="787" customFormat="1" x14ac:dyDescent="0.25"/>
    <row r="120" s="787" customFormat="1" x14ac:dyDescent="0.25"/>
    <row r="121" s="787" customFormat="1" x14ac:dyDescent="0.25"/>
    <row r="122" s="787" customFormat="1" x14ac:dyDescent="0.25"/>
    <row r="123" s="787" customFormat="1" x14ac:dyDescent="0.25"/>
    <row r="124" s="787" customFormat="1" x14ac:dyDescent="0.25"/>
    <row r="125" s="787" customFormat="1" x14ac:dyDescent="0.25"/>
    <row r="126" s="787" customFormat="1" x14ac:dyDescent="0.25"/>
    <row r="127" s="787" customFormat="1" x14ac:dyDescent="0.25"/>
    <row r="128" s="787" customFormat="1" x14ac:dyDescent="0.25"/>
    <row r="129" s="787" customFormat="1" x14ac:dyDescent="0.25"/>
    <row r="130" s="787" customFormat="1" x14ac:dyDescent="0.25"/>
    <row r="131" s="787" customFormat="1" x14ac:dyDescent="0.25"/>
    <row r="132" s="787" customFormat="1" x14ac:dyDescent="0.25"/>
    <row r="133" s="787" customFormat="1" x14ac:dyDescent="0.25"/>
    <row r="134" s="787" customFormat="1" x14ac:dyDescent="0.25"/>
    <row r="135" s="787" customFormat="1" x14ac:dyDescent="0.25"/>
    <row r="136" s="787" customFormat="1" x14ac:dyDescent="0.25"/>
    <row r="137" s="787" customFormat="1" x14ac:dyDescent="0.25"/>
    <row r="138" s="787" customFormat="1" x14ac:dyDescent="0.25"/>
    <row r="139" s="787" customFormat="1" x14ac:dyDescent="0.25"/>
    <row r="140" s="787" customFormat="1" x14ac:dyDescent="0.25"/>
    <row r="141" s="787" customFormat="1" x14ac:dyDescent="0.25"/>
    <row r="142" s="787" customFormat="1" x14ac:dyDescent="0.25"/>
    <row r="143" s="787" customFormat="1" x14ac:dyDescent="0.25"/>
    <row r="144" s="787" customFormat="1" x14ac:dyDescent="0.25"/>
    <row r="145" s="787" customFormat="1" x14ac:dyDescent="0.25"/>
    <row r="146" s="787" customFormat="1" x14ac:dyDescent="0.25"/>
    <row r="147" s="787" customFormat="1" x14ac:dyDescent="0.25"/>
    <row r="148" s="787" customFormat="1" x14ac:dyDescent="0.25"/>
    <row r="149" s="787" customFormat="1" x14ac:dyDescent="0.25"/>
    <row r="150" s="787" customFormat="1" x14ac:dyDescent="0.25"/>
    <row r="151" s="787" customFormat="1" x14ac:dyDescent="0.25"/>
    <row r="152" s="787" customFormat="1" x14ac:dyDescent="0.25"/>
    <row r="153" s="787" customFormat="1" x14ac:dyDescent="0.25"/>
    <row r="154" s="787" customFormat="1" x14ac:dyDescent="0.25"/>
    <row r="155" s="787" customFormat="1" x14ac:dyDescent="0.25"/>
    <row r="156" s="787" customFormat="1" x14ac:dyDescent="0.25"/>
    <row r="157" s="787" customFormat="1" x14ac:dyDescent="0.25"/>
    <row r="158" s="787" customFormat="1" x14ac:dyDescent="0.25"/>
    <row r="159" s="787" customFormat="1" x14ac:dyDescent="0.25"/>
    <row r="160" s="787" customFormat="1" x14ac:dyDescent="0.25"/>
    <row r="161" s="787" customFormat="1" x14ac:dyDescent="0.25"/>
    <row r="162" s="787" customFormat="1" x14ac:dyDescent="0.25"/>
    <row r="163" s="787" customFormat="1" x14ac:dyDescent="0.25"/>
    <row r="164" s="787" customFormat="1" x14ac:dyDescent="0.25"/>
    <row r="165" s="787" customFormat="1" x14ac:dyDescent="0.25"/>
    <row r="166" s="787" customFormat="1" x14ac:dyDescent="0.25"/>
    <row r="167" s="787" customFormat="1" x14ac:dyDescent="0.25"/>
    <row r="168" s="787" customFormat="1" x14ac:dyDescent="0.25"/>
    <row r="169" s="787" customFormat="1" x14ac:dyDescent="0.25"/>
    <row r="170" s="787" customFormat="1" x14ac:dyDescent="0.25"/>
    <row r="171" s="787" customFormat="1" x14ac:dyDescent="0.25"/>
    <row r="172" s="787" customFormat="1" x14ac:dyDescent="0.25"/>
    <row r="173" s="787" customFormat="1" x14ac:dyDescent="0.25"/>
    <row r="174" s="787" customFormat="1" x14ac:dyDescent="0.25"/>
    <row r="175" s="787" customFormat="1" x14ac:dyDescent="0.25"/>
    <row r="176" s="787" customFormat="1" x14ac:dyDescent="0.25"/>
    <row r="177" s="787" customFormat="1" x14ac:dyDescent="0.25"/>
    <row r="178" s="787" customFormat="1" x14ac:dyDescent="0.25"/>
    <row r="179" s="787" customFormat="1" x14ac:dyDescent="0.25"/>
    <row r="180" s="787" customFormat="1" x14ac:dyDescent="0.25"/>
    <row r="181" s="787" customFormat="1" x14ac:dyDescent="0.25"/>
    <row r="182" s="787" customFormat="1" x14ac:dyDescent="0.25"/>
    <row r="183" s="787" customFormat="1" x14ac:dyDescent="0.25"/>
    <row r="184" s="787" customFormat="1" x14ac:dyDescent="0.25"/>
    <row r="185" s="787" customFormat="1" x14ac:dyDescent="0.25"/>
    <row r="186" s="787" customFormat="1" x14ac:dyDescent="0.25"/>
    <row r="187" s="787" customFormat="1" x14ac:dyDescent="0.25"/>
    <row r="188" s="787" customFormat="1" x14ac:dyDescent="0.25"/>
    <row r="189" s="787" customFormat="1" x14ac:dyDescent="0.25"/>
    <row r="190" s="787" customFormat="1" x14ac:dyDescent="0.25"/>
    <row r="191" s="787" customFormat="1" x14ac:dyDescent="0.25"/>
    <row r="192" s="787" customFormat="1" x14ac:dyDescent="0.25"/>
    <row r="193" s="787" customFormat="1" x14ac:dyDescent="0.25"/>
    <row r="194" s="787" customFormat="1" x14ac:dyDescent="0.25"/>
    <row r="195" s="787" customFormat="1" x14ac:dyDescent="0.25"/>
    <row r="196" s="787" customFormat="1" x14ac:dyDescent="0.25"/>
    <row r="197" s="787" customFormat="1" x14ac:dyDescent="0.25"/>
    <row r="198" s="787" customFormat="1" x14ac:dyDescent="0.25"/>
    <row r="199" s="787" customFormat="1" x14ac:dyDescent="0.25"/>
    <row r="200" s="787" customFormat="1" x14ac:dyDescent="0.25"/>
    <row r="201" s="787" customFormat="1" x14ac:dyDescent="0.25"/>
    <row r="202" s="787" customFormat="1" x14ac:dyDescent="0.25"/>
    <row r="203" s="787" customFormat="1" x14ac:dyDescent="0.25"/>
    <row r="204" s="787" customFormat="1" x14ac:dyDescent="0.25"/>
    <row r="205" s="787" customFormat="1" x14ac:dyDescent="0.25"/>
    <row r="206" s="787" customFormat="1" x14ac:dyDescent="0.25"/>
    <row r="207" s="787" customFormat="1" x14ac:dyDescent="0.25"/>
    <row r="208" s="787" customFormat="1" x14ac:dyDescent="0.25"/>
    <row r="209" s="787" customFormat="1" x14ac:dyDescent="0.25"/>
    <row r="210" s="787" customFormat="1" x14ac:dyDescent="0.25"/>
    <row r="211" s="787" customFormat="1" x14ac:dyDescent="0.25"/>
    <row r="212" s="787" customFormat="1" x14ac:dyDescent="0.25"/>
    <row r="213" s="787" customFormat="1" x14ac:dyDescent="0.25"/>
    <row r="214" s="787" customFormat="1" x14ac:dyDescent="0.25"/>
    <row r="215" s="787" customFormat="1" x14ac:dyDescent="0.25"/>
    <row r="216" s="787" customFormat="1" x14ac:dyDescent="0.25"/>
    <row r="217" s="787" customFormat="1" x14ac:dyDescent="0.25"/>
    <row r="218" s="787" customFormat="1" x14ac:dyDescent="0.25"/>
    <row r="219" s="787" customFormat="1" x14ac:dyDescent="0.25"/>
    <row r="220" s="787" customFormat="1" x14ac:dyDescent="0.25"/>
    <row r="221" s="787" customFormat="1" x14ac:dyDescent="0.25"/>
    <row r="222" s="787" customFormat="1" x14ac:dyDescent="0.25"/>
    <row r="223" s="787" customFormat="1" x14ac:dyDescent="0.25"/>
    <row r="224" s="787" customFormat="1" x14ac:dyDescent="0.25"/>
    <row r="225" s="787" customFormat="1" x14ac:dyDescent="0.25"/>
    <row r="226" s="787" customFormat="1" x14ac:dyDescent="0.25"/>
    <row r="227" s="787" customFormat="1" x14ac:dyDescent="0.25"/>
    <row r="228" s="787" customFormat="1" x14ac:dyDescent="0.25"/>
    <row r="229" s="787" customFormat="1" x14ac:dyDescent="0.25"/>
    <row r="230" s="787" customFormat="1" x14ac:dyDescent="0.25"/>
    <row r="231" s="787" customFormat="1" x14ac:dyDescent="0.25"/>
    <row r="232" s="787" customFormat="1" x14ac:dyDescent="0.25"/>
    <row r="233" s="787" customFormat="1" x14ac:dyDescent="0.25"/>
    <row r="234" s="787" customFormat="1" x14ac:dyDescent="0.25"/>
    <row r="235" s="787" customFormat="1" x14ac:dyDescent="0.25"/>
    <row r="236" s="787" customFormat="1" x14ac:dyDescent="0.25"/>
    <row r="237" s="787" customFormat="1" x14ac:dyDescent="0.25"/>
    <row r="238" s="787" customFormat="1" x14ac:dyDescent="0.25"/>
    <row r="239" s="787" customFormat="1" x14ac:dyDescent="0.25"/>
    <row r="240" s="787" customFormat="1" x14ac:dyDescent="0.25"/>
    <row r="241" s="787" customFormat="1" x14ac:dyDescent="0.25"/>
    <row r="242" s="787" customFormat="1" x14ac:dyDescent="0.25"/>
    <row r="243" s="787" customFormat="1" x14ac:dyDescent="0.25"/>
    <row r="244" s="787" customFormat="1" x14ac:dyDescent="0.25"/>
    <row r="245" s="787" customFormat="1" x14ac:dyDescent="0.25"/>
    <row r="246" s="787" customFormat="1" x14ac:dyDescent="0.25"/>
    <row r="247" s="787" customFormat="1" x14ac:dyDescent="0.25"/>
    <row r="248" s="787" customFormat="1" x14ac:dyDescent="0.25"/>
    <row r="249" s="787" customFormat="1" x14ac:dyDescent="0.25"/>
    <row r="250" s="787" customFormat="1" x14ac:dyDescent="0.25"/>
    <row r="251" s="787" customFormat="1" x14ac:dyDescent="0.25"/>
    <row r="252" s="787" customFormat="1" x14ac:dyDescent="0.25"/>
    <row r="253" s="787" customFormat="1" x14ac:dyDescent="0.25"/>
    <row r="254" s="787" customFormat="1" x14ac:dyDescent="0.25"/>
    <row r="255" s="787" customFormat="1" x14ac:dyDescent="0.25"/>
    <row r="256" s="787" customFormat="1" x14ac:dyDescent="0.25"/>
    <row r="257" s="787" customFormat="1" x14ac:dyDescent="0.25"/>
    <row r="258" s="787" customFormat="1" x14ac:dyDescent="0.25"/>
    <row r="259" s="787" customFormat="1" x14ac:dyDescent="0.25"/>
    <row r="260" s="787" customFormat="1" x14ac:dyDescent="0.25"/>
    <row r="261" s="787" customFormat="1" x14ac:dyDescent="0.25"/>
    <row r="262" s="787" customFormat="1" x14ac:dyDescent="0.25"/>
    <row r="263" s="787" customFormat="1" x14ac:dyDescent="0.25"/>
    <row r="264" s="787" customFormat="1" x14ac:dyDescent="0.25"/>
    <row r="265" s="787" customFormat="1" x14ac:dyDescent="0.25"/>
    <row r="266" s="787" customFormat="1" x14ac:dyDescent="0.25"/>
    <row r="267" s="787" customFormat="1" x14ac:dyDescent="0.25"/>
    <row r="268" s="787" customFormat="1" x14ac:dyDescent="0.25"/>
    <row r="269" s="787" customFormat="1" x14ac:dyDescent="0.25"/>
    <row r="270" s="787" customFormat="1" x14ac:dyDescent="0.25"/>
    <row r="271" s="787" customFormat="1" x14ac:dyDescent="0.25"/>
    <row r="272" s="787" customFormat="1" x14ac:dyDescent="0.25"/>
    <row r="273" s="787" customFormat="1" x14ac:dyDescent="0.25"/>
    <row r="274" s="787" customFormat="1" x14ac:dyDescent="0.25"/>
    <row r="275" s="787" customFormat="1" x14ac:dyDescent="0.25"/>
    <row r="276" s="787" customFormat="1" x14ac:dyDescent="0.25"/>
    <row r="277" s="787" customFormat="1" x14ac:dyDescent="0.25"/>
    <row r="278" s="787" customFormat="1" x14ac:dyDescent="0.25"/>
    <row r="279" s="787" customFormat="1" x14ac:dyDescent="0.25"/>
    <row r="280" s="787" customFormat="1" x14ac:dyDescent="0.25"/>
    <row r="281" s="787" customFormat="1" x14ac:dyDescent="0.25"/>
    <row r="282" s="787" customFormat="1" x14ac:dyDescent="0.25"/>
    <row r="283" s="787" customFormat="1" x14ac:dyDescent="0.25"/>
    <row r="284" s="787" customFormat="1" x14ac:dyDescent="0.25"/>
    <row r="285" s="787" customFormat="1" x14ac:dyDescent="0.25"/>
    <row r="286" s="787" customFormat="1" x14ac:dyDescent="0.25"/>
    <row r="287" s="787" customFormat="1" x14ac:dyDescent="0.25"/>
    <row r="288" s="787" customFormat="1" x14ac:dyDescent="0.25"/>
    <row r="289" s="787" customFormat="1" x14ac:dyDescent="0.25"/>
    <row r="290" s="787" customFormat="1" x14ac:dyDescent="0.25"/>
    <row r="291" s="787" customFormat="1" x14ac:dyDescent="0.25"/>
    <row r="292" s="787" customFormat="1" x14ac:dyDescent="0.25"/>
    <row r="293" s="787" customFormat="1" x14ac:dyDescent="0.25"/>
    <row r="294" s="787" customFormat="1" x14ac:dyDescent="0.25"/>
    <row r="295" s="787" customFormat="1" x14ac:dyDescent="0.25"/>
    <row r="296" s="787" customFormat="1" x14ac:dyDescent="0.25"/>
    <row r="297" s="787" customFormat="1" x14ac:dyDescent="0.25"/>
    <row r="298" s="787" customFormat="1" x14ac:dyDescent="0.25"/>
    <row r="299" s="787" customFormat="1" x14ac:dyDescent="0.25"/>
    <row r="300" s="787" customFormat="1" x14ac:dyDescent="0.25"/>
    <row r="301" s="787" customFormat="1" x14ac:dyDescent="0.25"/>
    <row r="302" s="787" customFormat="1" x14ac:dyDescent="0.25"/>
    <row r="303" s="787" customFormat="1" x14ac:dyDescent="0.25"/>
    <row r="304" s="787" customFormat="1" x14ac:dyDescent="0.25"/>
    <row r="305" s="787" customFormat="1" x14ac:dyDescent="0.25"/>
    <row r="306" s="787" customFormat="1" x14ac:dyDescent="0.25"/>
    <row r="307" s="787" customFormat="1" x14ac:dyDescent="0.25"/>
    <row r="308" s="787" customFormat="1" x14ac:dyDescent="0.25"/>
    <row r="309" s="787" customFormat="1" x14ac:dyDescent="0.25"/>
    <row r="310" s="787" customFormat="1" x14ac:dyDescent="0.25"/>
    <row r="311" s="787" customFormat="1" x14ac:dyDescent="0.25"/>
    <row r="312" s="787" customFormat="1" x14ac:dyDescent="0.25"/>
    <row r="313" s="787" customFormat="1" x14ac:dyDescent="0.25"/>
    <row r="314" s="787" customFormat="1" x14ac:dyDescent="0.25"/>
    <row r="315" s="787" customFormat="1" x14ac:dyDescent="0.25"/>
    <row r="316" s="787" customFormat="1" x14ac:dyDescent="0.25"/>
    <row r="317" s="787" customFormat="1" x14ac:dyDescent="0.25"/>
    <row r="318" s="787" customFormat="1" x14ac:dyDescent="0.25"/>
    <row r="319" s="787" customFormat="1" x14ac:dyDescent="0.25"/>
    <row r="320" s="787" customFormat="1" x14ac:dyDescent="0.25"/>
    <row r="321" s="787" customFormat="1" x14ac:dyDescent="0.25"/>
    <row r="322" s="787" customFormat="1" x14ac:dyDescent="0.25"/>
    <row r="323" s="787" customFormat="1" x14ac:dyDescent="0.25"/>
    <row r="324" s="787" customFormat="1" x14ac:dyDescent="0.25"/>
    <row r="325" s="787" customFormat="1" x14ac:dyDescent="0.25"/>
    <row r="326" s="787" customFormat="1" x14ac:dyDescent="0.25"/>
    <row r="327" s="787" customFormat="1" x14ac:dyDescent="0.25"/>
    <row r="328" s="787" customFormat="1" x14ac:dyDescent="0.25"/>
    <row r="329" s="787" customFormat="1" x14ac:dyDescent="0.25"/>
    <row r="330" s="787" customFormat="1" x14ac:dyDescent="0.25"/>
    <row r="331" s="787" customFormat="1" x14ac:dyDescent="0.25"/>
    <row r="332" s="787" customFormat="1" x14ac:dyDescent="0.25"/>
    <row r="333" s="787" customFormat="1" x14ac:dyDescent="0.25"/>
    <row r="334" s="787" customFormat="1" x14ac:dyDescent="0.25"/>
    <row r="335" s="787" customFormat="1" x14ac:dyDescent="0.25"/>
    <row r="336" s="787" customFormat="1" x14ac:dyDescent="0.25"/>
    <row r="337" s="787" customFormat="1" x14ac:dyDescent="0.25"/>
    <row r="338" s="787" customFormat="1" x14ac:dyDescent="0.25"/>
    <row r="339" s="787" customFormat="1" x14ac:dyDescent="0.25"/>
    <row r="340" s="787" customFormat="1" x14ac:dyDescent="0.25"/>
    <row r="341" s="787" customFormat="1" x14ac:dyDescent="0.25"/>
    <row r="342" s="787" customFormat="1" x14ac:dyDescent="0.25"/>
    <row r="343" s="787" customFormat="1" x14ac:dyDescent="0.25"/>
    <row r="344" s="787" customFormat="1" x14ac:dyDescent="0.25"/>
    <row r="345" s="787" customFormat="1" x14ac:dyDescent="0.25"/>
    <row r="346" s="787" customFormat="1" x14ac:dyDescent="0.25"/>
    <row r="347" s="787" customFormat="1" x14ac:dyDescent="0.25"/>
    <row r="348" s="787" customFormat="1" x14ac:dyDescent="0.25"/>
    <row r="349" s="787" customFormat="1" x14ac:dyDescent="0.25"/>
    <row r="350" s="787" customFormat="1" x14ac:dyDescent="0.25"/>
    <row r="351" s="787" customFormat="1" x14ac:dyDescent="0.25"/>
    <row r="352" s="787" customFormat="1" x14ac:dyDescent="0.25"/>
    <row r="353" s="787" customFormat="1" x14ac:dyDescent="0.25"/>
    <row r="354" s="787" customFormat="1" x14ac:dyDescent="0.25"/>
    <row r="355" s="787" customFormat="1" x14ac:dyDescent="0.25"/>
    <row r="356" s="787" customFormat="1" x14ac:dyDescent="0.25"/>
    <row r="357" s="787" customFormat="1" x14ac:dyDescent="0.25"/>
    <row r="358" s="787" customFormat="1" x14ac:dyDescent="0.25"/>
    <row r="359" s="787" customFormat="1" x14ac:dyDescent="0.25"/>
    <row r="360" s="787" customFormat="1" x14ac:dyDescent="0.25"/>
    <row r="361" s="787" customFormat="1" x14ac:dyDescent="0.25"/>
    <row r="362" s="787" customFormat="1" x14ac:dyDescent="0.25"/>
    <row r="363" s="787" customFormat="1" x14ac:dyDescent="0.25"/>
    <row r="364" s="787" customFormat="1" x14ac:dyDescent="0.25"/>
    <row r="365" s="787" customFormat="1" x14ac:dyDescent="0.25"/>
    <row r="366" s="787" customFormat="1" x14ac:dyDescent="0.25"/>
    <row r="367" s="787" customFormat="1" x14ac:dyDescent="0.25"/>
    <row r="368" s="787" customFormat="1" x14ac:dyDescent="0.25"/>
    <row r="369" s="787" customFormat="1" x14ac:dyDescent="0.25"/>
    <row r="370" s="787" customFormat="1" x14ac:dyDescent="0.25"/>
    <row r="371" s="787" customFormat="1" x14ac:dyDescent="0.25"/>
    <row r="372" s="787" customFormat="1" x14ac:dyDescent="0.25"/>
    <row r="373" s="787" customFormat="1" x14ac:dyDescent="0.25"/>
    <row r="374" s="787" customFormat="1" x14ac:dyDescent="0.25"/>
    <row r="375" s="787" customFormat="1" x14ac:dyDescent="0.25"/>
    <row r="376" s="787" customFormat="1" x14ac:dyDescent="0.25"/>
    <row r="377" s="787" customFormat="1" x14ac:dyDescent="0.25"/>
    <row r="378" s="787" customFormat="1" x14ac:dyDescent="0.25"/>
    <row r="379" s="787" customFormat="1" x14ac:dyDescent="0.25"/>
    <row r="380" s="787" customFormat="1" x14ac:dyDescent="0.25"/>
    <row r="381" s="787" customFormat="1" x14ac:dyDescent="0.25"/>
    <row r="382" s="787" customFormat="1" x14ac:dyDescent="0.25"/>
  </sheetData>
  <mergeCells count="15">
    <mergeCell ref="A10:A11"/>
    <mergeCell ref="B10:C10"/>
    <mergeCell ref="D10:D11"/>
    <mergeCell ref="E10:E11"/>
    <mergeCell ref="F10:F11"/>
    <mergeCell ref="F2:I2"/>
    <mergeCell ref="A3:G3"/>
    <mergeCell ref="A4:G4"/>
    <mergeCell ref="A5:G5"/>
    <mergeCell ref="A7:G7"/>
    <mergeCell ref="G10:G11"/>
    <mergeCell ref="H10:H11"/>
    <mergeCell ref="I10:I11"/>
    <mergeCell ref="J10:J11"/>
    <mergeCell ref="K10:K11"/>
  </mergeCells>
  <printOptions horizontalCentered="1"/>
  <pageMargins left="0.59055118110236227" right="0.39370078740157483" top="0.15748031496062992" bottom="0.23622047244094491" header="0.15748031496062992" footer="0.23622047244094491"/>
  <pageSetup paperSize="9" scale="55" fitToHeight="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 summaryRight="0"/>
    <pageSetUpPr autoPageBreaks="0" fitToPage="1"/>
  </sheetPr>
  <dimension ref="A1:G117"/>
  <sheetViews>
    <sheetView view="pageBreakPreview" zoomScale="6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W26" sqref="W26"/>
    </sheetView>
  </sheetViews>
  <sheetFormatPr defaultColWidth="9.140625" defaultRowHeight="11.25" x14ac:dyDescent="0.25"/>
  <cols>
    <col min="1" max="1" width="28.140625" style="539" customWidth="1"/>
    <col min="2" max="2" width="16.42578125" style="539" customWidth="1"/>
    <col min="3" max="3" width="21.28515625" style="539" customWidth="1"/>
    <col min="4" max="4" width="14.5703125" style="539" customWidth="1"/>
    <col min="5" max="5" width="12.7109375" style="539" customWidth="1"/>
    <col min="6" max="6" width="17" style="539" customWidth="1"/>
    <col min="7" max="7" width="14.28515625" style="539" customWidth="1"/>
    <col min="8" max="256" width="9.140625" style="539"/>
    <col min="257" max="257" width="28.140625" style="539" customWidth="1"/>
    <col min="258" max="258" width="16.42578125" style="539" customWidth="1"/>
    <col min="259" max="259" width="21.28515625" style="539" customWidth="1"/>
    <col min="260" max="260" width="14.5703125" style="539" customWidth="1"/>
    <col min="261" max="261" width="12.7109375" style="539" customWidth="1"/>
    <col min="262" max="262" width="17" style="539" customWidth="1"/>
    <col min="263" max="263" width="14.28515625" style="539" customWidth="1"/>
    <col min="264" max="512" width="9.140625" style="539"/>
    <col min="513" max="513" width="28.140625" style="539" customWidth="1"/>
    <col min="514" max="514" width="16.42578125" style="539" customWidth="1"/>
    <col min="515" max="515" width="21.28515625" style="539" customWidth="1"/>
    <col min="516" max="516" width="14.5703125" style="539" customWidth="1"/>
    <col min="517" max="517" width="12.7109375" style="539" customWidth="1"/>
    <col min="518" max="518" width="17" style="539" customWidth="1"/>
    <col min="519" max="519" width="14.28515625" style="539" customWidth="1"/>
    <col min="520" max="768" width="9.140625" style="539"/>
    <col min="769" max="769" width="28.140625" style="539" customWidth="1"/>
    <col min="770" max="770" width="16.42578125" style="539" customWidth="1"/>
    <col min="771" max="771" width="21.28515625" style="539" customWidth="1"/>
    <col min="772" max="772" width="14.5703125" style="539" customWidth="1"/>
    <col min="773" max="773" width="12.7109375" style="539" customWidth="1"/>
    <col min="774" max="774" width="17" style="539" customWidth="1"/>
    <col min="775" max="775" width="14.28515625" style="539" customWidth="1"/>
    <col min="776" max="1024" width="9.140625" style="539"/>
    <col min="1025" max="1025" width="28.140625" style="539" customWidth="1"/>
    <col min="1026" max="1026" width="16.42578125" style="539" customWidth="1"/>
    <col min="1027" max="1027" width="21.28515625" style="539" customWidth="1"/>
    <col min="1028" max="1028" width="14.5703125" style="539" customWidth="1"/>
    <col min="1029" max="1029" width="12.7109375" style="539" customWidth="1"/>
    <col min="1030" max="1030" width="17" style="539" customWidth="1"/>
    <col min="1031" max="1031" width="14.28515625" style="539" customWidth="1"/>
    <col min="1032" max="1280" width="9.140625" style="539"/>
    <col min="1281" max="1281" width="28.140625" style="539" customWidth="1"/>
    <col min="1282" max="1282" width="16.42578125" style="539" customWidth="1"/>
    <col min="1283" max="1283" width="21.28515625" style="539" customWidth="1"/>
    <col min="1284" max="1284" width="14.5703125" style="539" customWidth="1"/>
    <col min="1285" max="1285" width="12.7109375" style="539" customWidth="1"/>
    <col min="1286" max="1286" width="17" style="539" customWidth="1"/>
    <col min="1287" max="1287" width="14.28515625" style="539" customWidth="1"/>
    <col min="1288" max="1536" width="9.140625" style="539"/>
    <col min="1537" max="1537" width="28.140625" style="539" customWidth="1"/>
    <col min="1538" max="1538" width="16.42578125" style="539" customWidth="1"/>
    <col min="1539" max="1539" width="21.28515625" style="539" customWidth="1"/>
    <col min="1540" max="1540" width="14.5703125" style="539" customWidth="1"/>
    <col min="1541" max="1541" width="12.7109375" style="539" customWidth="1"/>
    <col min="1542" max="1542" width="17" style="539" customWidth="1"/>
    <col min="1543" max="1543" width="14.28515625" style="539" customWidth="1"/>
    <col min="1544" max="1792" width="9.140625" style="539"/>
    <col min="1793" max="1793" width="28.140625" style="539" customWidth="1"/>
    <col min="1794" max="1794" width="16.42578125" style="539" customWidth="1"/>
    <col min="1795" max="1795" width="21.28515625" style="539" customWidth="1"/>
    <col min="1796" max="1796" width="14.5703125" style="539" customWidth="1"/>
    <col min="1797" max="1797" width="12.7109375" style="539" customWidth="1"/>
    <col min="1798" max="1798" width="17" style="539" customWidth="1"/>
    <col min="1799" max="1799" width="14.28515625" style="539" customWidth="1"/>
    <col min="1800" max="2048" width="9.140625" style="539"/>
    <col min="2049" max="2049" width="28.140625" style="539" customWidth="1"/>
    <col min="2050" max="2050" width="16.42578125" style="539" customWidth="1"/>
    <col min="2051" max="2051" width="21.28515625" style="539" customWidth="1"/>
    <col min="2052" max="2052" width="14.5703125" style="539" customWidth="1"/>
    <col min="2053" max="2053" width="12.7109375" style="539" customWidth="1"/>
    <col min="2054" max="2054" width="17" style="539" customWidth="1"/>
    <col min="2055" max="2055" width="14.28515625" style="539" customWidth="1"/>
    <col min="2056" max="2304" width="9.140625" style="539"/>
    <col min="2305" max="2305" width="28.140625" style="539" customWidth="1"/>
    <col min="2306" max="2306" width="16.42578125" style="539" customWidth="1"/>
    <col min="2307" max="2307" width="21.28515625" style="539" customWidth="1"/>
    <col min="2308" max="2308" width="14.5703125" style="539" customWidth="1"/>
    <col min="2309" max="2309" width="12.7109375" style="539" customWidth="1"/>
    <col min="2310" max="2310" width="17" style="539" customWidth="1"/>
    <col min="2311" max="2311" width="14.28515625" style="539" customWidth="1"/>
    <col min="2312" max="2560" width="9.140625" style="539"/>
    <col min="2561" max="2561" width="28.140625" style="539" customWidth="1"/>
    <col min="2562" max="2562" width="16.42578125" style="539" customWidth="1"/>
    <col min="2563" max="2563" width="21.28515625" style="539" customWidth="1"/>
    <col min="2564" max="2564" width="14.5703125" style="539" customWidth="1"/>
    <col min="2565" max="2565" width="12.7109375" style="539" customWidth="1"/>
    <col min="2566" max="2566" width="17" style="539" customWidth="1"/>
    <col min="2567" max="2567" width="14.28515625" style="539" customWidth="1"/>
    <col min="2568" max="2816" width="9.140625" style="539"/>
    <col min="2817" max="2817" width="28.140625" style="539" customWidth="1"/>
    <col min="2818" max="2818" width="16.42578125" style="539" customWidth="1"/>
    <col min="2819" max="2819" width="21.28515625" style="539" customWidth="1"/>
    <col min="2820" max="2820" width="14.5703125" style="539" customWidth="1"/>
    <col min="2821" max="2821" width="12.7109375" style="539" customWidth="1"/>
    <col min="2822" max="2822" width="17" style="539" customWidth="1"/>
    <col min="2823" max="2823" width="14.28515625" style="539" customWidth="1"/>
    <col min="2824" max="3072" width="9.140625" style="539"/>
    <col min="3073" max="3073" width="28.140625" style="539" customWidth="1"/>
    <col min="3074" max="3074" width="16.42578125" style="539" customWidth="1"/>
    <col min="3075" max="3075" width="21.28515625" style="539" customWidth="1"/>
    <col min="3076" max="3076" width="14.5703125" style="539" customWidth="1"/>
    <col min="3077" max="3077" width="12.7109375" style="539" customWidth="1"/>
    <col min="3078" max="3078" width="17" style="539" customWidth="1"/>
    <col min="3079" max="3079" width="14.28515625" style="539" customWidth="1"/>
    <col min="3080" max="3328" width="9.140625" style="539"/>
    <col min="3329" max="3329" width="28.140625" style="539" customWidth="1"/>
    <col min="3330" max="3330" width="16.42578125" style="539" customWidth="1"/>
    <col min="3331" max="3331" width="21.28515625" style="539" customWidth="1"/>
    <col min="3332" max="3332" width="14.5703125" style="539" customWidth="1"/>
    <col min="3333" max="3333" width="12.7109375" style="539" customWidth="1"/>
    <col min="3334" max="3334" width="17" style="539" customWidth="1"/>
    <col min="3335" max="3335" width="14.28515625" style="539" customWidth="1"/>
    <col min="3336" max="3584" width="9.140625" style="539"/>
    <col min="3585" max="3585" width="28.140625" style="539" customWidth="1"/>
    <col min="3586" max="3586" width="16.42578125" style="539" customWidth="1"/>
    <col min="3587" max="3587" width="21.28515625" style="539" customWidth="1"/>
    <col min="3588" max="3588" width="14.5703125" style="539" customWidth="1"/>
    <col min="3589" max="3589" width="12.7109375" style="539" customWidth="1"/>
    <col min="3590" max="3590" width="17" style="539" customWidth="1"/>
    <col min="3591" max="3591" width="14.28515625" style="539" customWidth="1"/>
    <col min="3592" max="3840" width="9.140625" style="539"/>
    <col min="3841" max="3841" width="28.140625" style="539" customWidth="1"/>
    <col min="3842" max="3842" width="16.42578125" style="539" customWidth="1"/>
    <col min="3843" max="3843" width="21.28515625" style="539" customWidth="1"/>
    <col min="3844" max="3844" width="14.5703125" style="539" customWidth="1"/>
    <col min="3845" max="3845" width="12.7109375" style="539" customWidth="1"/>
    <col min="3846" max="3846" width="17" style="539" customWidth="1"/>
    <col min="3847" max="3847" width="14.28515625" style="539" customWidth="1"/>
    <col min="3848" max="4096" width="9.140625" style="539"/>
    <col min="4097" max="4097" width="28.140625" style="539" customWidth="1"/>
    <col min="4098" max="4098" width="16.42578125" style="539" customWidth="1"/>
    <col min="4099" max="4099" width="21.28515625" style="539" customWidth="1"/>
    <col min="4100" max="4100" width="14.5703125" style="539" customWidth="1"/>
    <col min="4101" max="4101" width="12.7109375" style="539" customWidth="1"/>
    <col min="4102" max="4102" width="17" style="539" customWidth="1"/>
    <col min="4103" max="4103" width="14.28515625" style="539" customWidth="1"/>
    <col min="4104" max="4352" width="9.140625" style="539"/>
    <col min="4353" max="4353" width="28.140625" style="539" customWidth="1"/>
    <col min="4354" max="4354" width="16.42578125" style="539" customWidth="1"/>
    <col min="4355" max="4355" width="21.28515625" style="539" customWidth="1"/>
    <col min="4356" max="4356" width="14.5703125" style="539" customWidth="1"/>
    <col min="4357" max="4357" width="12.7109375" style="539" customWidth="1"/>
    <col min="4358" max="4358" width="17" style="539" customWidth="1"/>
    <col min="4359" max="4359" width="14.28515625" style="539" customWidth="1"/>
    <col min="4360" max="4608" width="9.140625" style="539"/>
    <col min="4609" max="4609" width="28.140625" style="539" customWidth="1"/>
    <col min="4610" max="4610" width="16.42578125" style="539" customWidth="1"/>
    <col min="4611" max="4611" width="21.28515625" style="539" customWidth="1"/>
    <col min="4612" max="4612" width="14.5703125" style="539" customWidth="1"/>
    <col min="4613" max="4613" width="12.7109375" style="539" customWidth="1"/>
    <col min="4614" max="4614" width="17" style="539" customWidth="1"/>
    <col min="4615" max="4615" width="14.28515625" style="539" customWidth="1"/>
    <col min="4616" max="4864" width="9.140625" style="539"/>
    <col min="4865" max="4865" width="28.140625" style="539" customWidth="1"/>
    <col min="4866" max="4866" width="16.42578125" style="539" customWidth="1"/>
    <col min="4867" max="4867" width="21.28515625" style="539" customWidth="1"/>
    <col min="4868" max="4868" width="14.5703125" style="539" customWidth="1"/>
    <col min="4869" max="4869" width="12.7109375" style="539" customWidth="1"/>
    <col min="4870" max="4870" width="17" style="539" customWidth="1"/>
    <col min="4871" max="4871" width="14.28515625" style="539" customWidth="1"/>
    <col min="4872" max="5120" width="9.140625" style="539"/>
    <col min="5121" max="5121" width="28.140625" style="539" customWidth="1"/>
    <col min="5122" max="5122" width="16.42578125" style="539" customWidth="1"/>
    <col min="5123" max="5123" width="21.28515625" style="539" customWidth="1"/>
    <col min="5124" max="5124" width="14.5703125" style="539" customWidth="1"/>
    <col min="5125" max="5125" width="12.7109375" style="539" customWidth="1"/>
    <col min="5126" max="5126" width="17" style="539" customWidth="1"/>
    <col min="5127" max="5127" width="14.28515625" style="539" customWidth="1"/>
    <col min="5128" max="5376" width="9.140625" style="539"/>
    <col min="5377" max="5377" width="28.140625" style="539" customWidth="1"/>
    <col min="5378" max="5378" width="16.42578125" style="539" customWidth="1"/>
    <col min="5379" max="5379" width="21.28515625" style="539" customWidth="1"/>
    <col min="5380" max="5380" width="14.5703125" style="539" customWidth="1"/>
    <col min="5381" max="5381" width="12.7109375" style="539" customWidth="1"/>
    <col min="5382" max="5382" width="17" style="539" customWidth="1"/>
    <col min="5383" max="5383" width="14.28515625" style="539" customWidth="1"/>
    <col min="5384" max="5632" width="9.140625" style="539"/>
    <col min="5633" max="5633" width="28.140625" style="539" customWidth="1"/>
    <col min="5634" max="5634" width="16.42578125" style="539" customWidth="1"/>
    <col min="5635" max="5635" width="21.28515625" style="539" customWidth="1"/>
    <col min="5636" max="5636" width="14.5703125" style="539" customWidth="1"/>
    <col min="5637" max="5637" width="12.7109375" style="539" customWidth="1"/>
    <col min="5638" max="5638" width="17" style="539" customWidth="1"/>
    <col min="5639" max="5639" width="14.28515625" style="539" customWidth="1"/>
    <col min="5640" max="5888" width="9.140625" style="539"/>
    <col min="5889" max="5889" width="28.140625" style="539" customWidth="1"/>
    <col min="5890" max="5890" width="16.42578125" style="539" customWidth="1"/>
    <col min="5891" max="5891" width="21.28515625" style="539" customWidth="1"/>
    <col min="5892" max="5892" width="14.5703125" style="539" customWidth="1"/>
    <col min="5893" max="5893" width="12.7109375" style="539" customWidth="1"/>
    <col min="5894" max="5894" width="17" style="539" customWidth="1"/>
    <col min="5895" max="5895" width="14.28515625" style="539" customWidth="1"/>
    <col min="5896" max="6144" width="9.140625" style="539"/>
    <col min="6145" max="6145" width="28.140625" style="539" customWidth="1"/>
    <col min="6146" max="6146" width="16.42578125" style="539" customWidth="1"/>
    <col min="6147" max="6147" width="21.28515625" style="539" customWidth="1"/>
    <col min="6148" max="6148" width="14.5703125" style="539" customWidth="1"/>
    <col min="6149" max="6149" width="12.7109375" style="539" customWidth="1"/>
    <col min="6150" max="6150" width="17" style="539" customWidth="1"/>
    <col min="6151" max="6151" width="14.28515625" style="539" customWidth="1"/>
    <col min="6152" max="6400" width="9.140625" style="539"/>
    <col min="6401" max="6401" width="28.140625" style="539" customWidth="1"/>
    <col min="6402" max="6402" width="16.42578125" style="539" customWidth="1"/>
    <col min="6403" max="6403" width="21.28515625" style="539" customWidth="1"/>
    <col min="6404" max="6404" width="14.5703125" style="539" customWidth="1"/>
    <col min="6405" max="6405" width="12.7109375" style="539" customWidth="1"/>
    <col min="6406" max="6406" width="17" style="539" customWidth="1"/>
    <col min="6407" max="6407" width="14.28515625" style="539" customWidth="1"/>
    <col min="6408" max="6656" width="9.140625" style="539"/>
    <col min="6657" max="6657" width="28.140625" style="539" customWidth="1"/>
    <col min="6658" max="6658" width="16.42578125" style="539" customWidth="1"/>
    <col min="6659" max="6659" width="21.28515625" style="539" customWidth="1"/>
    <col min="6660" max="6660" width="14.5703125" style="539" customWidth="1"/>
    <col min="6661" max="6661" width="12.7109375" style="539" customWidth="1"/>
    <col min="6662" max="6662" width="17" style="539" customWidth="1"/>
    <col min="6663" max="6663" width="14.28515625" style="539" customWidth="1"/>
    <col min="6664" max="6912" width="9.140625" style="539"/>
    <col min="6913" max="6913" width="28.140625" style="539" customWidth="1"/>
    <col min="6914" max="6914" width="16.42578125" style="539" customWidth="1"/>
    <col min="6915" max="6915" width="21.28515625" style="539" customWidth="1"/>
    <col min="6916" max="6916" width="14.5703125" style="539" customWidth="1"/>
    <col min="6917" max="6917" width="12.7109375" style="539" customWidth="1"/>
    <col min="6918" max="6918" width="17" style="539" customWidth="1"/>
    <col min="6919" max="6919" width="14.28515625" style="539" customWidth="1"/>
    <col min="6920" max="7168" width="9.140625" style="539"/>
    <col min="7169" max="7169" width="28.140625" style="539" customWidth="1"/>
    <col min="7170" max="7170" width="16.42578125" style="539" customWidth="1"/>
    <col min="7171" max="7171" width="21.28515625" style="539" customWidth="1"/>
    <col min="7172" max="7172" width="14.5703125" style="539" customWidth="1"/>
    <col min="7173" max="7173" width="12.7109375" style="539" customWidth="1"/>
    <col min="7174" max="7174" width="17" style="539" customWidth="1"/>
    <col min="7175" max="7175" width="14.28515625" style="539" customWidth="1"/>
    <col min="7176" max="7424" width="9.140625" style="539"/>
    <col min="7425" max="7425" width="28.140625" style="539" customWidth="1"/>
    <col min="7426" max="7426" width="16.42578125" style="539" customWidth="1"/>
    <col min="7427" max="7427" width="21.28515625" style="539" customWidth="1"/>
    <col min="7428" max="7428" width="14.5703125" style="539" customWidth="1"/>
    <col min="7429" max="7429" width="12.7109375" style="539" customWidth="1"/>
    <col min="7430" max="7430" width="17" style="539" customWidth="1"/>
    <col min="7431" max="7431" width="14.28515625" style="539" customWidth="1"/>
    <col min="7432" max="7680" width="9.140625" style="539"/>
    <col min="7681" max="7681" width="28.140625" style="539" customWidth="1"/>
    <col min="7682" max="7682" width="16.42578125" style="539" customWidth="1"/>
    <col min="7683" max="7683" width="21.28515625" style="539" customWidth="1"/>
    <col min="7684" max="7684" width="14.5703125" style="539" customWidth="1"/>
    <col min="7685" max="7685" width="12.7109375" style="539" customWidth="1"/>
    <col min="7686" max="7686" width="17" style="539" customWidth="1"/>
    <col min="7687" max="7687" width="14.28515625" style="539" customWidth="1"/>
    <col min="7688" max="7936" width="9.140625" style="539"/>
    <col min="7937" max="7937" width="28.140625" style="539" customWidth="1"/>
    <col min="7938" max="7938" width="16.42578125" style="539" customWidth="1"/>
    <col min="7939" max="7939" width="21.28515625" style="539" customWidth="1"/>
    <col min="7940" max="7940" width="14.5703125" style="539" customWidth="1"/>
    <col min="7941" max="7941" width="12.7109375" style="539" customWidth="1"/>
    <col min="7942" max="7942" width="17" style="539" customWidth="1"/>
    <col min="7943" max="7943" width="14.28515625" style="539" customWidth="1"/>
    <col min="7944" max="8192" width="9.140625" style="539"/>
    <col min="8193" max="8193" width="28.140625" style="539" customWidth="1"/>
    <col min="8194" max="8194" width="16.42578125" style="539" customWidth="1"/>
    <col min="8195" max="8195" width="21.28515625" style="539" customWidth="1"/>
    <col min="8196" max="8196" width="14.5703125" style="539" customWidth="1"/>
    <col min="8197" max="8197" width="12.7109375" style="539" customWidth="1"/>
    <col min="8198" max="8198" width="17" style="539" customWidth="1"/>
    <col min="8199" max="8199" width="14.28515625" style="539" customWidth="1"/>
    <col min="8200" max="8448" width="9.140625" style="539"/>
    <col min="8449" max="8449" width="28.140625" style="539" customWidth="1"/>
    <col min="8450" max="8450" width="16.42578125" style="539" customWidth="1"/>
    <col min="8451" max="8451" width="21.28515625" style="539" customWidth="1"/>
    <col min="8452" max="8452" width="14.5703125" style="539" customWidth="1"/>
    <col min="8453" max="8453" width="12.7109375" style="539" customWidth="1"/>
    <col min="8454" max="8454" width="17" style="539" customWidth="1"/>
    <col min="8455" max="8455" width="14.28515625" style="539" customWidth="1"/>
    <col min="8456" max="8704" width="9.140625" style="539"/>
    <col min="8705" max="8705" width="28.140625" style="539" customWidth="1"/>
    <col min="8706" max="8706" width="16.42578125" style="539" customWidth="1"/>
    <col min="8707" max="8707" width="21.28515625" style="539" customWidth="1"/>
    <col min="8708" max="8708" width="14.5703125" style="539" customWidth="1"/>
    <col min="8709" max="8709" width="12.7109375" style="539" customWidth="1"/>
    <col min="8710" max="8710" width="17" style="539" customWidth="1"/>
    <col min="8711" max="8711" width="14.28515625" style="539" customWidth="1"/>
    <col min="8712" max="8960" width="9.140625" style="539"/>
    <col min="8961" max="8961" width="28.140625" style="539" customWidth="1"/>
    <col min="8962" max="8962" width="16.42578125" style="539" customWidth="1"/>
    <col min="8963" max="8963" width="21.28515625" style="539" customWidth="1"/>
    <col min="8964" max="8964" width="14.5703125" style="539" customWidth="1"/>
    <col min="8965" max="8965" width="12.7109375" style="539" customWidth="1"/>
    <col min="8966" max="8966" width="17" style="539" customWidth="1"/>
    <col min="8967" max="8967" width="14.28515625" style="539" customWidth="1"/>
    <col min="8968" max="9216" width="9.140625" style="539"/>
    <col min="9217" max="9217" width="28.140625" style="539" customWidth="1"/>
    <col min="9218" max="9218" width="16.42578125" style="539" customWidth="1"/>
    <col min="9219" max="9219" width="21.28515625" style="539" customWidth="1"/>
    <col min="9220" max="9220" width="14.5703125" style="539" customWidth="1"/>
    <col min="9221" max="9221" width="12.7109375" style="539" customWidth="1"/>
    <col min="9222" max="9222" width="17" style="539" customWidth="1"/>
    <col min="9223" max="9223" width="14.28515625" style="539" customWidth="1"/>
    <col min="9224" max="9472" width="9.140625" style="539"/>
    <col min="9473" max="9473" width="28.140625" style="539" customWidth="1"/>
    <col min="9474" max="9474" width="16.42578125" style="539" customWidth="1"/>
    <col min="9475" max="9475" width="21.28515625" style="539" customWidth="1"/>
    <col min="9476" max="9476" width="14.5703125" style="539" customWidth="1"/>
    <col min="9477" max="9477" width="12.7109375" style="539" customWidth="1"/>
    <col min="9478" max="9478" width="17" style="539" customWidth="1"/>
    <col min="9479" max="9479" width="14.28515625" style="539" customWidth="1"/>
    <col min="9480" max="9728" width="9.140625" style="539"/>
    <col min="9729" max="9729" width="28.140625" style="539" customWidth="1"/>
    <col min="9730" max="9730" width="16.42578125" style="539" customWidth="1"/>
    <col min="9731" max="9731" width="21.28515625" style="539" customWidth="1"/>
    <col min="9732" max="9732" width="14.5703125" style="539" customWidth="1"/>
    <col min="9733" max="9733" width="12.7109375" style="539" customWidth="1"/>
    <col min="9734" max="9734" width="17" style="539" customWidth="1"/>
    <col min="9735" max="9735" width="14.28515625" style="539" customWidth="1"/>
    <col min="9736" max="9984" width="9.140625" style="539"/>
    <col min="9985" max="9985" width="28.140625" style="539" customWidth="1"/>
    <col min="9986" max="9986" width="16.42578125" style="539" customWidth="1"/>
    <col min="9987" max="9987" width="21.28515625" style="539" customWidth="1"/>
    <col min="9988" max="9988" width="14.5703125" style="539" customWidth="1"/>
    <col min="9989" max="9989" width="12.7109375" style="539" customWidth="1"/>
    <col min="9990" max="9990" width="17" style="539" customWidth="1"/>
    <col min="9991" max="9991" width="14.28515625" style="539" customWidth="1"/>
    <col min="9992" max="10240" width="9.140625" style="539"/>
    <col min="10241" max="10241" width="28.140625" style="539" customWidth="1"/>
    <col min="10242" max="10242" width="16.42578125" style="539" customWidth="1"/>
    <col min="10243" max="10243" width="21.28515625" style="539" customWidth="1"/>
    <col min="10244" max="10244" width="14.5703125" style="539" customWidth="1"/>
    <col min="10245" max="10245" width="12.7109375" style="539" customWidth="1"/>
    <col min="10246" max="10246" width="17" style="539" customWidth="1"/>
    <col min="10247" max="10247" width="14.28515625" style="539" customWidth="1"/>
    <col min="10248" max="10496" width="9.140625" style="539"/>
    <col min="10497" max="10497" width="28.140625" style="539" customWidth="1"/>
    <col min="10498" max="10498" width="16.42578125" style="539" customWidth="1"/>
    <col min="10499" max="10499" width="21.28515625" style="539" customWidth="1"/>
    <col min="10500" max="10500" width="14.5703125" style="539" customWidth="1"/>
    <col min="10501" max="10501" width="12.7109375" style="539" customWidth="1"/>
    <col min="10502" max="10502" width="17" style="539" customWidth="1"/>
    <col min="10503" max="10503" width="14.28515625" style="539" customWidth="1"/>
    <col min="10504" max="10752" width="9.140625" style="539"/>
    <col min="10753" max="10753" width="28.140625" style="539" customWidth="1"/>
    <col min="10754" max="10754" width="16.42578125" style="539" customWidth="1"/>
    <col min="10755" max="10755" width="21.28515625" style="539" customWidth="1"/>
    <col min="10756" max="10756" width="14.5703125" style="539" customWidth="1"/>
    <col min="10757" max="10757" width="12.7109375" style="539" customWidth="1"/>
    <col min="10758" max="10758" width="17" style="539" customWidth="1"/>
    <col min="10759" max="10759" width="14.28515625" style="539" customWidth="1"/>
    <col min="10760" max="11008" width="9.140625" style="539"/>
    <col min="11009" max="11009" width="28.140625" style="539" customWidth="1"/>
    <col min="11010" max="11010" width="16.42578125" style="539" customWidth="1"/>
    <col min="11011" max="11011" width="21.28515625" style="539" customWidth="1"/>
    <col min="11012" max="11012" width="14.5703125" style="539" customWidth="1"/>
    <col min="11013" max="11013" width="12.7109375" style="539" customWidth="1"/>
    <col min="11014" max="11014" width="17" style="539" customWidth="1"/>
    <col min="11015" max="11015" width="14.28515625" style="539" customWidth="1"/>
    <col min="11016" max="11264" width="9.140625" style="539"/>
    <col min="11265" max="11265" width="28.140625" style="539" customWidth="1"/>
    <col min="11266" max="11266" width="16.42578125" style="539" customWidth="1"/>
    <col min="11267" max="11267" width="21.28515625" style="539" customWidth="1"/>
    <col min="11268" max="11268" width="14.5703125" style="539" customWidth="1"/>
    <col min="11269" max="11269" width="12.7109375" style="539" customWidth="1"/>
    <col min="11270" max="11270" width="17" style="539" customWidth="1"/>
    <col min="11271" max="11271" width="14.28515625" style="539" customWidth="1"/>
    <col min="11272" max="11520" width="9.140625" style="539"/>
    <col min="11521" max="11521" width="28.140625" style="539" customWidth="1"/>
    <col min="11522" max="11522" width="16.42578125" style="539" customWidth="1"/>
    <col min="11523" max="11523" width="21.28515625" style="539" customWidth="1"/>
    <col min="11524" max="11524" width="14.5703125" style="539" customWidth="1"/>
    <col min="11525" max="11525" width="12.7109375" style="539" customWidth="1"/>
    <col min="11526" max="11526" width="17" style="539" customWidth="1"/>
    <col min="11527" max="11527" width="14.28515625" style="539" customWidth="1"/>
    <col min="11528" max="11776" width="9.140625" style="539"/>
    <col min="11777" max="11777" width="28.140625" style="539" customWidth="1"/>
    <col min="11778" max="11778" width="16.42578125" style="539" customWidth="1"/>
    <col min="11779" max="11779" width="21.28515625" style="539" customWidth="1"/>
    <col min="11780" max="11780" width="14.5703125" style="539" customWidth="1"/>
    <col min="11781" max="11781" width="12.7109375" style="539" customWidth="1"/>
    <col min="11782" max="11782" width="17" style="539" customWidth="1"/>
    <col min="11783" max="11783" width="14.28515625" style="539" customWidth="1"/>
    <col min="11784" max="12032" width="9.140625" style="539"/>
    <col min="12033" max="12033" width="28.140625" style="539" customWidth="1"/>
    <col min="12034" max="12034" width="16.42578125" style="539" customWidth="1"/>
    <col min="12035" max="12035" width="21.28515625" style="539" customWidth="1"/>
    <col min="12036" max="12036" width="14.5703125" style="539" customWidth="1"/>
    <col min="12037" max="12037" width="12.7109375" style="539" customWidth="1"/>
    <col min="12038" max="12038" width="17" style="539" customWidth="1"/>
    <col min="12039" max="12039" width="14.28515625" style="539" customWidth="1"/>
    <col min="12040" max="12288" width="9.140625" style="539"/>
    <col min="12289" max="12289" width="28.140625" style="539" customWidth="1"/>
    <col min="12290" max="12290" width="16.42578125" style="539" customWidth="1"/>
    <col min="12291" max="12291" width="21.28515625" style="539" customWidth="1"/>
    <col min="12292" max="12292" width="14.5703125" style="539" customWidth="1"/>
    <col min="12293" max="12293" width="12.7109375" style="539" customWidth="1"/>
    <col min="12294" max="12294" width="17" style="539" customWidth="1"/>
    <col min="12295" max="12295" width="14.28515625" style="539" customWidth="1"/>
    <col min="12296" max="12544" width="9.140625" style="539"/>
    <col min="12545" max="12545" width="28.140625" style="539" customWidth="1"/>
    <col min="12546" max="12546" width="16.42578125" style="539" customWidth="1"/>
    <col min="12547" max="12547" width="21.28515625" style="539" customWidth="1"/>
    <col min="12548" max="12548" width="14.5703125" style="539" customWidth="1"/>
    <col min="12549" max="12549" width="12.7109375" style="539" customWidth="1"/>
    <col min="12550" max="12550" width="17" style="539" customWidth="1"/>
    <col min="12551" max="12551" width="14.28515625" style="539" customWidth="1"/>
    <col min="12552" max="12800" width="9.140625" style="539"/>
    <col min="12801" max="12801" width="28.140625" style="539" customWidth="1"/>
    <col min="12802" max="12802" width="16.42578125" style="539" customWidth="1"/>
    <col min="12803" max="12803" width="21.28515625" style="539" customWidth="1"/>
    <col min="12804" max="12804" width="14.5703125" style="539" customWidth="1"/>
    <col min="12805" max="12805" width="12.7109375" style="539" customWidth="1"/>
    <col min="12806" max="12806" width="17" style="539" customWidth="1"/>
    <col min="12807" max="12807" width="14.28515625" style="539" customWidth="1"/>
    <col min="12808" max="13056" width="9.140625" style="539"/>
    <col min="13057" max="13057" width="28.140625" style="539" customWidth="1"/>
    <col min="13058" max="13058" width="16.42578125" style="539" customWidth="1"/>
    <col min="13059" max="13059" width="21.28515625" style="539" customWidth="1"/>
    <col min="13060" max="13060" width="14.5703125" style="539" customWidth="1"/>
    <col min="13061" max="13061" width="12.7109375" style="539" customWidth="1"/>
    <col min="13062" max="13062" width="17" style="539" customWidth="1"/>
    <col min="13063" max="13063" width="14.28515625" style="539" customWidth="1"/>
    <col min="13064" max="13312" width="9.140625" style="539"/>
    <col min="13313" max="13313" width="28.140625" style="539" customWidth="1"/>
    <col min="13314" max="13314" width="16.42578125" style="539" customWidth="1"/>
    <col min="13315" max="13315" width="21.28515625" style="539" customWidth="1"/>
    <col min="13316" max="13316" width="14.5703125" style="539" customWidth="1"/>
    <col min="13317" max="13317" width="12.7109375" style="539" customWidth="1"/>
    <col min="13318" max="13318" width="17" style="539" customWidth="1"/>
    <col min="13319" max="13319" width="14.28515625" style="539" customWidth="1"/>
    <col min="13320" max="13568" width="9.140625" style="539"/>
    <col min="13569" max="13569" width="28.140625" style="539" customWidth="1"/>
    <col min="13570" max="13570" width="16.42578125" style="539" customWidth="1"/>
    <col min="13571" max="13571" width="21.28515625" style="539" customWidth="1"/>
    <col min="13572" max="13572" width="14.5703125" style="539" customWidth="1"/>
    <col min="13573" max="13573" width="12.7109375" style="539" customWidth="1"/>
    <col min="13574" max="13574" width="17" style="539" customWidth="1"/>
    <col min="13575" max="13575" width="14.28515625" style="539" customWidth="1"/>
    <col min="13576" max="13824" width="9.140625" style="539"/>
    <col min="13825" max="13825" width="28.140625" style="539" customWidth="1"/>
    <col min="13826" max="13826" width="16.42578125" style="539" customWidth="1"/>
    <col min="13827" max="13827" width="21.28515625" style="539" customWidth="1"/>
    <col min="13828" max="13828" width="14.5703125" style="539" customWidth="1"/>
    <col min="13829" max="13829" width="12.7109375" style="539" customWidth="1"/>
    <col min="13830" max="13830" width="17" style="539" customWidth="1"/>
    <col min="13831" max="13831" width="14.28515625" style="539" customWidth="1"/>
    <col min="13832" max="14080" width="9.140625" style="539"/>
    <col min="14081" max="14081" width="28.140625" style="539" customWidth="1"/>
    <col min="14082" max="14082" width="16.42578125" style="539" customWidth="1"/>
    <col min="14083" max="14083" width="21.28515625" style="539" customWidth="1"/>
    <col min="14084" max="14084" width="14.5703125" style="539" customWidth="1"/>
    <col min="14085" max="14085" width="12.7109375" style="539" customWidth="1"/>
    <col min="14086" max="14086" width="17" style="539" customWidth="1"/>
    <col min="14087" max="14087" width="14.28515625" style="539" customWidth="1"/>
    <col min="14088" max="14336" width="9.140625" style="539"/>
    <col min="14337" max="14337" width="28.140625" style="539" customWidth="1"/>
    <col min="14338" max="14338" width="16.42578125" style="539" customWidth="1"/>
    <col min="14339" max="14339" width="21.28515625" style="539" customWidth="1"/>
    <col min="14340" max="14340" width="14.5703125" style="539" customWidth="1"/>
    <col min="14341" max="14341" width="12.7109375" style="539" customWidth="1"/>
    <col min="14342" max="14342" width="17" style="539" customWidth="1"/>
    <col min="14343" max="14343" width="14.28515625" style="539" customWidth="1"/>
    <col min="14344" max="14592" width="9.140625" style="539"/>
    <col min="14593" max="14593" width="28.140625" style="539" customWidth="1"/>
    <col min="14594" max="14594" width="16.42578125" style="539" customWidth="1"/>
    <col min="14595" max="14595" width="21.28515625" style="539" customWidth="1"/>
    <col min="14596" max="14596" width="14.5703125" style="539" customWidth="1"/>
    <col min="14597" max="14597" width="12.7109375" style="539" customWidth="1"/>
    <col min="14598" max="14598" width="17" style="539" customWidth="1"/>
    <col min="14599" max="14599" width="14.28515625" style="539" customWidth="1"/>
    <col min="14600" max="14848" width="9.140625" style="539"/>
    <col min="14849" max="14849" width="28.140625" style="539" customWidth="1"/>
    <col min="14850" max="14850" width="16.42578125" style="539" customWidth="1"/>
    <col min="14851" max="14851" width="21.28515625" style="539" customWidth="1"/>
    <col min="14852" max="14852" width="14.5703125" style="539" customWidth="1"/>
    <col min="14853" max="14853" width="12.7109375" style="539" customWidth="1"/>
    <col min="14854" max="14854" width="17" style="539" customWidth="1"/>
    <col min="14855" max="14855" width="14.28515625" style="539" customWidth="1"/>
    <col min="14856" max="15104" width="9.140625" style="539"/>
    <col min="15105" max="15105" width="28.140625" style="539" customWidth="1"/>
    <col min="15106" max="15106" width="16.42578125" style="539" customWidth="1"/>
    <col min="15107" max="15107" width="21.28515625" style="539" customWidth="1"/>
    <col min="15108" max="15108" width="14.5703125" style="539" customWidth="1"/>
    <col min="15109" max="15109" width="12.7109375" style="539" customWidth="1"/>
    <col min="15110" max="15110" width="17" style="539" customWidth="1"/>
    <col min="15111" max="15111" width="14.28515625" style="539" customWidth="1"/>
    <col min="15112" max="15360" width="9.140625" style="539"/>
    <col min="15361" max="15361" width="28.140625" style="539" customWidth="1"/>
    <col min="15362" max="15362" width="16.42578125" style="539" customWidth="1"/>
    <col min="15363" max="15363" width="21.28515625" style="539" customWidth="1"/>
    <col min="15364" max="15364" width="14.5703125" style="539" customWidth="1"/>
    <col min="15365" max="15365" width="12.7109375" style="539" customWidth="1"/>
    <col min="15366" max="15366" width="17" style="539" customWidth="1"/>
    <col min="15367" max="15367" width="14.28515625" style="539" customWidth="1"/>
    <col min="15368" max="15616" width="9.140625" style="539"/>
    <col min="15617" max="15617" width="28.140625" style="539" customWidth="1"/>
    <col min="15618" max="15618" width="16.42578125" style="539" customWidth="1"/>
    <col min="15619" max="15619" width="21.28515625" style="539" customWidth="1"/>
    <col min="15620" max="15620" width="14.5703125" style="539" customWidth="1"/>
    <col min="15621" max="15621" width="12.7109375" style="539" customWidth="1"/>
    <col min="15622" max="15622" width="17" style="539" customWidth="1"/>
    <col min="15623" max="15623" width="14.28515625" style="539" customWidth="1"/>
    <col min="15624" max="15872" width="9.140625" style="539"/>
    <col min="15873" max="15873" width="28.140625" style="539" customWidth="1"/>
    <col min="15874" max="15874" width="16.42578125" style="539" customWidth="1"/>
    <col min="15875" max="15875" width="21.28515625" style="539" customWidth="1"/>
    <col min="15876" max="15876" width="14.5703125" style="539" customWidth="1"/>
    <col min="15877" max="15877" width="12.7109375" style="539" customWidth="1"/>
    <col min="15878" max="15878" width="17" style="539" customWidth="1"/>
    <col min="15879" max="15879" width="14.28515625" style="539" customWidth="1"/>
    <col min="15880" max="16128" width="9.140625" style="539"/>
    <col min="16129" max="16129" width="28.140625" style="539" customWidth="1"/>
    <col min="16130" max="16130" width="16.42578125" style="539" customWidth="1"/>
    <col min="16131" max="16131" width="21.28515625" style="539" customWidth="1"/>
    <col min="16132" max="16132" width="14.5703125" style="539" customWidth="1"/>
    <col min="16133" max="16133" width="12.7109375" style="539" customWidth="1"/>
    <col min="16134" max="16134" width="17" style="539" customWidth="1"/>
    <col min="16135" max="16135" width="14.28515625" style="539" customWidth="1"/>
    <col min="16136" max="16384" width="9.140625" style="539"/>
  </cols>
  <sheetData>
    <row r="1" spans="1:7" ht="9.9499999999999993" customHeight="1" x14ac:dyDescent="0.25"/>
    <row r="2" spans="1:7" ht="15.75" x14ac:dyDescent="0.25">
      <c r="A2" s="540" t="s">
        <v>1222</v>
      </c>
    </row>
    <row r="3" spans="1:7" ht="9.9499999999999993" customHeight="1" x14ac:dyDescent="0.25"/>
    <row r="4" spans="1:7" ht="12.75" customHeight="1" x14ac:dyDescent="0.25">
      <c r="A4" s="1599" t="s">
        <v>1223</v>
      </c>
      <c r="B4" s="1600" t="s">
        <v>1224</v>
      </c>
      <c r="C4" s="1600" t="s">
        <v>1225</v>
      </c>
      <c r="D4" s="1600" t="s">
        <v>1226</v>
      </c>
      <c r="E4" s="1600" t="s">
        <v>969</v>
      </c>
      <c r="F4" s="1600" t="s">
        <v>968</v>
      </c>
      <c r="G4" s="1598" t="s">
        <v>1227</v>
      </c>
    </row>
    <row r="5" spans="1:7" ht="104.25" customHeight="1" x14ac:dyDescent="0.25">
      <c r="A5" s="1599"/>
      <c r="B5" s="1600"/>
      <c r="C5" s="1600"/>
      <c r="D5" s="1600"/>
      <c r="E5" s="1600"/>
      <c r="F5" s="1600"/>
      <c r="G5" s="1598"/>
    </row>
    <row r="6" spans="1:7" ht="10.5" customHeight="1" x14ac:dyDescent="0.25">
      <c r="A6" s="541">
        <v>0</v>
      </c>
      <c r="B6" s="541">
        <v>1</v>
      </c>
      <c r="C6" s="541">
        <v>2</v>
      </c>
      <c r="D6" s="541">
        <v>3</v>
      </c>
      <c r="E6" s="541" t="s">
        <v>1228</v>
      </c>
      <c r="F6" s="541" t="s">
        <v>1229</v>
      </c>
      <c r="G6" s="541" t="s">
        <v>1230</v>
      </c>
    </row>
    <row r="7" spans="1:7" ht="11.25" customHeight="1" x14ac:dyDescent="0.25">
      <c r="A7" s="542" t="s">
        <v>1231</v>
      </c>
      <c r="B7" s="543">
        <v>453257.64</v>
      </c>
      <c r="C7" s="543">
        <v>25175972.989999998</v>
      </c>
      <c r="D7" s="543">
        <v>1094000</v>
      </c>
      <c r="E7" s="544">
        <f>IF(B7=0,1,C7/(B7+C7))</f>
        <v>0.98231481679999999</v>
      </c>
      <c r="F7" s="545">
        <f>D7*E7</f>
        <v>1074652.4099999999</v>
      </c>
      <c r="G7" s="546">
        <f>D7-F7</f>
        <v>19347.59</v>
      </c>
    </row>
    <row r="8" spans="1:7" ht="11.25" customHeight="1" x14ac:dyDescent="0.25">
      <c r="A8" s="542" t="s">
        <v>1232</v>
      </c>
      <c r="B8" s="543">
        <v>334562.03000000003</v>
      </c>
      <c r="C8" s="543">
        <v>44389783.619999997</v>
      </c>
      <c r="D8" s="543">
        <v>1988600</v>
      </c>
      <c r="E8" s="544">
        <f t="shared" ref="E8:E38" si="0">IF(B8=0,1,C8/(B8+C8))</f>
        <v>0.9925194651</v>
      </c>
      <c r="F8" s="545">
        <f t="shared" ref="F8:F37" si="1">D8*E8</f>
        <v>1973724.21</v>
      </c>
      <c r="G8" s="546">
        <f t="shared" ref="G8:G37" si="2">D8-F8</f>
        <v>14875.79</v>
      </c>
    </row>
    <row r="9" spans="1:7" ht="11.25" customHeight="1" x14ac:dyDescent="0.25">
      <c r="A9" s="542" t="s">
        <v>1233</v>
      </c>
      <c r="B9" s="543">
        <v>4015224.2</v>
      </c>
      <c r="C9" s="543">
        <v>33421125.68</v>
      </c>
      <c r="D9" s="543">
        <v>587800</v>
      </c>
      <c r="E9" s="544">
        <f t="shared" si="0"/>
        <v>0.89274530740000002</v>
      </c>
      <c r="F9" s="545">
        <f t="shared" si="1"/>
        <v>524755.68999999994</v>
      </c>
      <c r="G9" s="546">
        <f t="shared" si="2"/>
        <v>63044.31</v>
      </c>
    </row>
    <row r="10" spans="1:7" ht="11.25" customHeight="1" x14ac:dyDescent="0.25">
      <c r="A10" s="542" t="s">
        <v>1234</v>
      </c>
      <c r="B10" s="543">
        <v>768270.55</v>
      </c>
      <c r="C10" s="543">
        <v>27894986.050000001</v>
      </c>
      <c r="D10" s="543">
        <v>1098100</v>
      </c>
      <c r="E10" s="544">
        <f t="shared" si="0"/>
        <v>0.97319667610000005</v>
      </c>
      <c r="F10" s="545">
        <f t="shared" si="1"/>
        <v>1068667.27</v>
      </c>
      <c r="G10" s="546">
        <f t="shared" si="2"/>
        <v>29432.73</v>
      </c>
    </row>
    <row r="11" spans="1:7" ht="11.25" customHeight="1" x14ac:dyDescent="0.25">
      <c r="A11" s="542" t="s">
        <v>1235</v>
      </c>
      <c r="B11" s="543">
        <v>495989.3</v>
      </c>
      <c r="C11" s="543">
        <v>37297405.969999999</v>
      </c>
      <c r="D11" s="543">
        <v>1156400</v>
      </c>
      <c r="E11" s="544">
        <f t="shared" si="0"/>
        <v>0.98687629690000001</v>
      </c>
      <c r="F11" s="545">
        <f t="shared" si="1"/>
        <v>1141223.75</v>
      </c>
      <c r="G11" s="546">
        <f t="shared" si="2"/>
        <v>15176.25</v>
      </c>
    </row>
    <row r="12" spans="1:7" ht="11.25" customHeight="1" x14ac:dyDescent="0.25">
      <c r="A12" s="542" t="s">
        <v>1236</v>
      </c>
      <c r="B12" s="543">
        <v>228000</v>
      </c>
      <c r="C12" s="543">
        <v>28916190.449999999</v>
      </c>
      <c r="D12" s="543">
        <v>1416600</v>
      </c>
      <c r="E12" s="544">
        <f t="shared" si="0"/>
        <v>0.9921768285</v>
      </c>
      <c r="F12" s="545">
        <f t="shared" si="1"/>
        <v>1405517.7</v>
      </c>
      <c r="G12" s="546">
        <f t="shared" si="2"/>
        <v>11082.3</v>
      </c>
    </row>
    <row r="13" spans="1:7" ht="11.25" customHeight="1" x14ac:dyDescent="0.25">
      <c r="A13" s="542" t="s">
        <v>1237</v>
      </c>
      <c r="B13" s="543">
        <v>836540</v>
      </c>
      <c r="C13" s="543">
        <v>26119723.120000001</v>
      </c>
      <c r="D13" s="543">
        <v>738500</v>
      </c>
      <c r="E13" s="544">
        <f t="shared" si="0"/>
        <v>0.96896676680000005</v>
      </c>
      <c r="F13" s="545">
        <f t="shared" si="1"/>
        <v>715581.96</v>
      </c>
      <c r="G13" s="546">
        <f t="shared" si="2"/>
        <v>22918.04</v>
      </c>
    </row>
    <row r="14" spans="1:7" ht="11.25" customHeight="1" x14ac:dyDescent="0.25">
      <c r="A14" s="542" t="s">
        <v>1238</v>
      </c>
      <c r="B14" s="543">
        <v>609847.61</v>
      </c>
      <c r="C14" s="543">
        <v>35148359.149999999</v>
      </c>
      <c r="D14" s="543">
        <v>732900</v>
      </c>
      <c r="E14" s="544">
        <f t="shared" si="0"/>
        <v>0.9829452407</v>
      </c>
      <c r="F14" s="545">
        <f t="shared" si="1"/>
        <v>720400.57</v>
      </c>
      <c r="G14" s="546">
        <f t="shared" si="2"/>
        <v>12499.43</v>
      </c>
    </row>
    <row r="15" spans="1:7" ht="11.25" customHeight="1" x14ac:dyDescent="0.25">
      <c r="A15" s="542" t="s">
        <v>1239</v>
      </c>
      <c r="B15" s="543">
        <v>3167938.16</v>
      </c>
      <c r="C15" s="543">
        <v>38479183.450000003</v>
      </c>
      <c r="D15" s="543">
        <v>2206300</v>
      </c>
      <c r="E15" s="544">
        <f t="shared" si="0"/>
        <v>0.92393380290000005</v>
      </c>
      <c r="F15" s="545">
        <f t="shared" si="1"/>
        <v>2038475.15</v>
      </c>
      <c r="G15" s="546">
        <f t="shared" si="2"/>
        <v>167824.85</v>
      </c>
    </row>
    <row r="16" spans="1:7" ht="11.25" customHeight="1" x14ac:dyDescent="0.25">
      <c r="A16" s="542" t="s">
        <v>1240</v>
      </c>
      <c r="B16" s="543">
        <v>275723.28000000003</v>
      </c>
      <c r="C16" s="543">
        <v>35416900.600000001</v>
      </c>
      <c r="D16" s="543">
        <v>2093300</v>
      </c>
      <c r="E16" s="544">
        <f t="shared" si="0"/>
        <v>0.99227506269999999</v>
      </c>
      <c r="F16" s="545">
        <f t="shared" si="1"/>
        <v>2077129.39</v>
      </c>
      <c r="G16" s="546">
        <f t="shared" si="2"/>
        <v>16170.61</v>
      </c>
    </row>
    <row r="17" spans="1:7" ht="11.25" customHeight="1" x14ac:dyDescent="0.25">
      <c r="A17" s="542" t="s">
        <v>1241</v>
      </c>
      <c r="B17" s="543">
        <v>471546.45</v>
      </c>
      <c r="C17" s="543">
        <v>33593025.630000003</v>
      </c>
      <c r="D17" s="543">
        <v>1232900</v>
      </c>
      <c r="E17" s="544">
        <f t="shared" si="0"/>
        <v>0.98615727659999997</v>
      </c>
      <c r="F17" s="545">
        <f t="shared" si="1"/>
        <v>1215833.31</v>
      </c>
      <c r="G17" s="546">
        <f t="shared" si="2"/>
        <v>17066.689999999999</v>
      </c>
    </row>
    <row r="18" spans="1:7" ht="11.25" customHeight="1" x14ac:dyDescent="0.25">
      <c r="A18" s="547" t="s">
        <v>1242</v>
      </c>
      <c r="B18" s="543">
        <v>0</v>
      </c>
      <c r="C18" s="543">
        <v>22216930.5</v>
      </c>
      <c r="D18" s="543">
        <v>597300</v>
      </c>
      <c r="E18" s="544">
        <f>IF(B18=0,1,C18/(B18+C18))</f>
        <v>1</v>
      </c>
      <c r="F18" s="545">
        <f>D18*E18</f>
        <v>597300</v>
      </c>
      <c r="G18" s="546">
        <f>D18-F18</f>
        <v>0</v>
      </c>
    </row>
    <row r="19" spans="1:7" ht="11.25" customHeight="1" x14ac:dyDescent="0.25">
      <c r="A19" s="542" t="s">
        <v>1243</v>
      </c>
      <c r="B19" s="543">
        <v>192960.68</v>
      </c>
      <c r="C19" s="543">
        <v>34081564.590000004</v>
      </c>
      <c r="D19" s="543">
        <v>1297600</v>
      </c>
      <c r="E19" s="544">
        <f t="shared" si="0"/>
        <v>0.99437014290000003</v>
      </c>
      <c r="F19" s="545">
        <f t="shared" si="1"/>
        <v>1290294.7</v>
      </c>
      <c r="G19" s="546">
        <f t="shared" si="2"/>
        <v>7305.3</v>
      </c>
    </row>
    <row r="20" spans="1:7" ht="11.25" customHeight="1" x14ac:dyDescent="0.25">
      <c r="A20" s="542" t="s">
        <v>1244</v>
      </c>
      <c r="B20" s="543">
        <v>353787.98</v>
      </c>
      <c r="C20" s="543">
        <v>36685121.909999996</v>
      </c>
      <c r="D20" s="543">
        <v>1581700</v>
      </c>
      <c r="E20" s="544">
        <f t="shared" si="0"/>
        <v>0.99044820749999996</v>
      </c>
      <c r="F20" s="545">
        <f t="shared" si="1"/>
        <v>1566591.93</v>
      </c>
      <c r="G20" s="546">
        <f t="shared" si="2"/>
        <v>15108.07</v>
      </c>
    </row>
    <row r="21" spans="1:7" ht="11.25" customHeight="1" x14ac:dyDescent="0.25">
      <c r="A21" s="542" t="s">
        <v>1245</v>
      </c>
      <c r="B21" s="543">
        <v>686010</v>
      </c>
      <c r="C21" s="543">
        <v>34584483.840000004</v>
      </c>
      <c r="D21" s="543">
        <v>1816200</v>
      </c>
      <c r="E21" s="544">
        <f t="shared" si="0"/>
        <v>0.98055003129999996</v>
      </c>
      <c r="F21" s="545">
        <f t="shared" si="1"/>
        <v>1780874.97</v>
      </c>
      <c r="G21" s="546">
        <f t="shared" si="2"/>
        <v>35325.03</v>
      </c>
    </row>
    <row r="22" spans="1:7" ht="11.25" customHeight="1" x14ac:dyDescent="0.25">
      <c r="A22" s="542" t="s">
        <v>1246</v>
      </c>
      <c r="B22" s="543">
        <v>2590305.5699999998</v>
      </c>
      <c r="C22" s="543">
        <v>38063046.509999998</v>
      </c>
      <c r="D22" s="543">
        <v>1995200</v>
      </c>
      <c r="E22" s="544">
        <f t="shared" si="0"/>
        <v>0.93628310000000003</v>
      </c>
      <c r="F22" s="545">
        <f t="shared" si="1"/>
        <v>1868072.04</v>
      </c>
      <c r="G22" s="546">
        <f t="shared" si="2"/>
        <v>127127.96</v>
      </c>
    </row>
    <row r="23" spans="1:7" ht="11.25" customHeight="1" x14ac:dyDescent="0.25">
      <c r="A23" s="542" t="s">
        <v>1247</v>
      </c>
      <c r="B23" s="543">
        <v>515953.5</v>
      </c>
      <c r="C23" s="543">
        <v>38162028.140000001</v>
      </c>
      <c r="D23" s="543">
        <v>1194900</v>
      </c>
      <c r="E23" s="544">
        <f t="shared" si="0"/>
        <v>0.98666027860000005</v>
      </c>
      <c r="F23" s="545">
        <f t="shared" si="1"/>
        <v>1178960.3700000001</v>
      </c>
      <c r="G23" s="546">
        <f t="shared" si="2"/>
        <v>15939.63</v>
      </c>
    </row>
    <row r="24" spans="1:7" ht="11.25" customHeight="1" x14ac:dyDescent="0.25">
      <c r="A24" s="542" t="s">
        <v>1248</v>
      </c>
      <c r="B24" s="543">
        <v>355803.14</v>
      </c>
      <c r="C24" s="543">
        <v>31467036.68</v>
      </c>
      <c r="D24" s="543">
        <v>1856600</v>
      </c>
      <c r="E24" s="544">
        <f t="shared" si="0"/>
        <v>0.98881925240000001</v>
      </c>
      <c r="F24" s="545">
        <f t="shared" si="1"/>
        <v>1835841.82</v>
      </c>
      <c r="G24" s="546">
        <f t="shared" si="2"/>
        <v>20758.18</v>
      </c>
    </row>
    <row r="25" spans="1:7" ht="11.25" customHeight="1" x14ac:dyDescent="0.25">
      <c r="A25" s="542" t="s">
        <v>1249</v>
      </c>
      <c r="B25" s="543">
        <v>446440.5</v>
      </c>
      <c r="C25" s="543">
        <v>24909038.129999999</v>
      </c>
      <c r="D25" s="543">
        <v>1053600</v>
      </c>
      <c r="E25" s="544">
        <f t="shared" si="0"/>
        <v>0.9823927402</v>
      </c>
      <c r="F25" s="545">
        <f t="shared" si="1"/>
        <v>1035048.99</v>
      </c>
      <c r="G25" s="546">
        <f t="shared" si="2"/>
        <v>18551.009999999998</v>
      </c>
    </row>
    <row r="26" spans="1:7" ht="11.25" customHeight="1" x14ac:dyDescent="0.25">
      <c r="A26" s="542" t="s">
        <v>1250</v>
      </c>
      <c r="B26" s="543">
        <v>890866.12</v>
      </c>
      <c r="C26" s="543">
        <v>35441794.049999997</v>
      </c>
      <c r="D26" s="543">
        <v>2033900</v>
      </c>
      <c r="E26" s="544">
        <f t="shared" si="0"/>
        <v>0.97548029469999997</v>
      </c>
      <c r="F26" s="545">
        <f t="shared" si="1"/>
        <v>1984029.37</v>
      </c>
      <c r="G26" s="546">
        <f t="shared" si="2"/>
        <v>49870.63</v>
      </c>
    </row>
    <row r="27" spans="1:7" ht="11.25" customHeight="1" x14ac:dyDescent="0.25">
      <c r="A27" s="542" t="s">
        <v>1251</v>
      </c>
      <c r="B27" s="543">
        <v>1445263.26</v>
      </c>
      <c r="C27" s="543">
        <v>59700202.119999997</v>
      </c>
      <c r="D27" s="543">
        <v>2581800</v>
      </c>
      <c r="E27" s="544">
        <f t="shared" si="0"/>
        <v>0.97636352510000002</v>
      </c>
      <c r="F27" s="545">
        <f t="shared" si="1"/>
        <v>2520775.35</v>
      </c>
      <c r="G27" s="546">
        <f t="shared" si="2"/>
        <v>61024.65</v>
      </c>
    </row>
    <row r="28" spans="1:7" ht="11.25" customHeight="1" x14ac:dyDescent="0.25">
      <c r="A28" s="542" t="s">
        <v>1252</v>
      </c>
      <c r="B28" s="543">
        <v>281470.7</v>
      </c>
      <c r="C28" s="543">
        <v>46428995.969999999</v>
      </c>
      <c r="D28" s="543">
        <v>3405500</v>
      </c>
      <c r="E28" s="544">
        <f t="shared" si="0"/>
        <v>0.99397414070000001</v>
      </c>
      <c r="F28" s="545">
        <f t="shared" si="1"/>
        <v>3384978.94</v>
      </c>
      <c r="G28" s="546">
        <f t="shared" si="2"/>
        <v>20521.060000000001</v>
      </c>
    </row>
    <row r="29" spans="1:7" ht="11.25" customHeight="1" x14ac:dyDescent="0.25">
      <c r="A29" s="542" t="s">
        <v>1253</v>
      </c>
      <c r="B29" s="543">
        <v>503450</v>
      </c>
      <c r="C29" s="543">
        <v>30292438.25</v>
      </c>
      <c r="D29" s="543">
        <v>1246600</v>
      </c>
      <c r="E29" s="544">
        <f t="shared" si="0"/>
        <v>0.98365203840000004</v>
      </c>
      <c r="F29" s="545">
        <f t="shared" si="1"/>
        <v>1226220.6299999999</v>
      </c>
      <c r="G29" s="546">
        <f t="shared" si="2"/>
        <v>20379.37</v>
      </c>
    </row>
    <row r="30" spans="1:7" ht="11.25" customHeight="1" x14ac:dyDescent="0.25">
      <c r="A30" s="542" t="s">
        <v>1254</v>
      </c>
      <c r="B30" s="543">
        <v>102380</v>
      </c>
      <c r="C30" s="543">
        <v>24737134.039999999</v>
      </c>
      <c r="D30" s="543">
        <v>1626100</v>
      </c>
      <c r="E30" s="544">
        <f t="shared" si="0"/>
        <v>0.99587834129999997</v>
      </c>
      <c r="F30" s="545">
        <f t="shared" si="1"/>
        <v>1619397.77</v>
      </c>
      <c r="G30" s="546">
        <f t="shared" si="2"/>
        <v>6702.23</v>
      </c>
    </row>
    <row r="31" spans="1:7" ht="11.25" customHeight="1" x14ac:dyDescent="0.25">
      <c r="A31" s="542" t="s">
        <v>1255</v>
      </c>
      <c r="B31" s="543">
        <v>1188769.8799999999</v>
      </c>
      <c r="C31" s="543">
        <v>51908239.439999998</v>
      </c>
      <c r="D31" s="543">
        <v>4339200</v>
      </c>
      <c r="E31" s="544">
        <f t="shared" si="0"/>
        <v>0.97761135899999996</v>
      </c>
      <c r="F31" s="545">
        <f t="shared" si="1"/>
        <v>4242051.21</v>
      </c>
      <c r="G31" s="546">
        <f t="shared" si="2"/>
        <v>97148.79</v>
      </c>
    </row>
    <row r="32" spans="1:7" ht="11.25" customHeight="1" x14ac:dyDescent="0.25">
      <c r="A32" s="542" t="s">
        <v>1256</v>
      </c>
      <c r="B32" s="543">
        <v>1332015.52</v>
      </c>
      <c r="C32" s="543">
        <v>30206327.960000001</v>
      </c>
      <c r="D32" s="543">
        <v>2173700</v>
      </c>
      <c r="E32" s="544">
        <f t="shared" si="0"/>
        <v>0.95776520350000005</v>
      </c>
      <c r="F32" s="545">
        <f t="shared" si="1"/>
        <v>2081894.22</v>
      </c>
      <c r="G32" s="546">
        <f t="shared" si="2"/>
        <v>91805.78</v>
      </c>
    </row>
    <row r="33" spans="1:7" ht="11.25" customHeight="1" x14ac:dyDescent="0.25">
      <c r="A33" s="542" t="s">
        <v>1257</v>
      </c>
      <c r="B33" s="543">
        <v>1024205.15</v>
      </c>
      <c r="C33" s="543">
        <v>57710467.560000002</v>
      </c>
      <c r="D33" s="543">
        <v>3049300</v>
      </c>
      <c r="E33" s="544">
        <f t="shared" si="0"/>
        <v>0.98256217150000003</v>
      </c>
      <c r="F33" s="545">
        <f t="shared" si="1"/>
        <v>2996126.83</v>
      </c>
      <c r="G33" s="546">
        <f t="shared" si="2"/>
        <v>53173.17</v>
      </c>
    </row>
    <row r="34" spans="1:7" ht="11.25" customHeight="1" x14ac:dyDescent="0.25">
      <c r="A34" s="542" t="s">
        <v>1258</v>
      </c>
      <c r="B34" s="543">
        <v>343576.49</v>
      </c>
      <c r="C34" s="543">
        <v>51596927.020000003</v>
      </c>
      <c r="D34" s="543">
        <v>2686200</v>
      </c>
      <c r="E34" s="544">
        <f t="shared" si="0"/>
        <v>0.99338519140000003</v>
      </c>
      <c r="F34" s="545">
        <f t="shared" si="1"/>
        <v>2668431.2999999998</v>
      </c>
      <c r="G34" s="546">
        <f t="shared" si="2"/>
        <v>17768.7</v>
      </c>
    </row>
    <row r="35" spans="1:7" ht="11.25" customHeight="1" x14ac:dyDescent="0.25">
      <c r="A35" s="542" t="s">
        <v>1259</v>
      </c>
      <c r="B35" s="543">
        <v>5718005.79</v>
      </c>
      <c r="C35" s="543">
        <v>43690800.549999997</v>
      </c>
      <c r="D35" s="543">
        <v>2548700</v>
      </c>
      <c r="E35" s="544">
        <f t="shared" si="0"/>
        <v>0.88427152539999998</v>
      </c>
      <c r="F35" s="545">
        <f t="shared" si="1"/>
        <v>2253742.84</v>
      </c>
      <c r="G35" s="546">
        <f t="shared" si="2"/>
        <v>294957.15999999997</v>
      </c>
    </row>
    <row r="36" spans="1:7" ht="11.25" customHeight="1" x14ac:dyDescent="0.25">
      <c r="A36" s="542" t="s">
        <v>1260</v>
      </c>
      <c r="B36" s="543">
        <v>1695201.54</v>
      </c>
      <c r="C36" s="543">
        <v>50817402.649999999</v>
      </c>
      <c r="D36" s="543">
        <v>4707300</v>
      </c>
      <c r="E36" s="544">
        <f>IF(B36=0,1,C36/(B36+C36))</f>
        <v>0.96771819709999995</v>
      </c>
      <c r="F36" s="545">
        <f>D36*E36</f>
        <v>4555339.87</v>
      </c>
      <c r="G36" s="546">
        <f>D36-F36</f>
        <v>151960.13</v>
      </c>
    </row>
    <row r="37" spans="1:7" ht="11.25" customHeight="1" x14ac:dyDescent="0.25">
      <c r="A37" s="547" t="s">
        <v>1261</v>
      </c>
      <c r="B37" s="543">
        <v>0</v>
      </c>
      <c r="C37" s="543">
        <v>24601410.690000001</v>
      </c>
      <c r="D37" s="543">
        <v>23930900</v>
      </c>
      <c r="E37" s="544">
        <f t="shared" si="0"/>
        <v>1</v>
      </c>
      <c r="F37" s="545">
        <f t="shared" si="1"/>
        <v>23930900</v>
      </c>
      <c r="G37" s="546">
        <f t="shared" si="2"/>
        <v>0</v>
      </c>
    </row>
    <row r="38" spans="1:7" ht="12.75" customHeight="1" x14ac:dyDescent="0.25">
      <c r="A38" s="548" t="s">
        <v>1218</v>
      </c>
      <c r="B38" s="549">
        <f>SUM(B7:B37)</f>
        <v>31323365.039999999</v>
      </c>
      <c r="C38" s="549">
        <f>SUM(C7:C37)</f>
        <v>1133154047.3099999</v>
      </c>
      <c r="D38" s="549">
        <f>SUM(D7:D37)</f>
        <v>80067700</v>
      </c>
      <c r="E38" s="544">
        <f t="shared" si="0"/>
        <v>0.97310092520000002</v>
      </c>
      <c r="F38" s="549">
        <f>SUM(F7:F37)</f>
        <v>78572834.560000002</v>
      </c>
      <c r="G38" s="549">
        <f>SUM(G7:G37)</f>
        <v>1494865.44</v>
      </c>
    </row>
    <row r="39" spans="1:7" x14ac:dyDescent="0.25">
      <c r="B39" s="550">
        <v>31323365.039999999</v>
      </c>
      <c r="C39" s="550">
        <v>1133154047.3099999</v>
      </c>
      <c r="D39" s="550">
        <f>80067.7*1000</f>
        <v>80067700</v>
      </c>
      <c r="E39" s="551"/>
      <c r="F39" s="550"/>
      <c r="G39" s="550"/>
    </row>
    <row r="40" spans="1:7" x14ac:dyDescent="0.25">
      <c r="B40" s="552">
        <f>B38-B39</f>
        <v>0</v>
      </c>
      <c r="C40" s="552">
        <f>C38-C39</f>
        <v>0</v>
      </c>
      <c r="D40" s="552">
        <f>D38-D39</f>
        <v>0</v>
      </c>
      <c r="E40" s="551"/>
      <c r="F40" s="552"/>
      <c r="G40" s="550"/>
    </row>
    <row r="41" spans="1:7" ht="11.25" hidden="1" customHeight="1" x14ac:dyDescent="0.25">
      <c r="A41" s="553" t="s">
        <v>1262</v>
      </c>
      <c r="B41" s="543">
        <v>0</v>
      </c>
      <c r="C41" s="543">
        <v>22784937.390000001</v>
      </c>
      <c r="D41" s="543">
        <v>1206620.28</v>
      </c>
      <c r="E41" s="544">
        <f>IF(B41=0,1,C41/(B41+C41))</f>
        <v>1</v>
      </c>
      <c r="F41" s="545">
        <f>D41*E41</f>
        <v>1206620.28</v>
      </c>
      <c r="G41" s="545">
        <f>D41-F41</f>
        <v>0</v>
      </c>
    </row>
    <row r="42" spans="1:7" ht="11.25" hidden="1" customHeight="1" x14ac:dyDescent="0.25">
      <c r="A42" s="553" t="s">
        <v>1263</v>
      </c>
      <c r="B42" s="543">
        <v>0</v>
      </c>
      <c r="C42" s="543">
        <v>44905866.07</v>
      </c>
      <c r="D42" s="543">
        <v>3914289.84</v>
      </c>
      <c r="E42" s="544">
        <f t="shared" ref="E42:E96" si="3">IF(B42=0,1,C42/(B42+C42))</f>
        <v>1</v>
      </c>
      <c r="F42" s="545">
        <f t="shared" ref="F42:F95" si="4">D42*E42</f>
        <v>3914289.84</v>
      </c>
      <c r="G42" s="545">
        <f t="shared" ref="G42:G95" si="5">D42-F42</f>
        <v>0</v>
      </c>
    </row>
    <row r="43" spans="1:7" ht="11.25" hidden="1" customHeight="1" x14ac:dyDescent="0.25">
      <c r="A43" s="553" t="s">
        <v>1264</v>
      </c>
      <c r="B43" s="543">
        <v>0</v>
      </c>
      <c r="C43" s="543">
        <v>27683092.850000001</v>
      </c>
      <c r="D43" s="543">
        <v>4106379.03</v>
      </c>
      <c r="E43" s="544">
        <f t="shared" si="3"/>
        <v>1</v>
      </c>
      <c r="F43" s="545">
        <f t="shared" si="4"/>
        <v>4106379.03</v>
      </c>
      <c r="G43" s="545">
        <f t="shared" si="5"/>
        <v>0</v>
      </c>
    </row>
    <row r="44" spans="1:7" ht="11.25" hidden="1" customHeight="1" x14ac:dyDescent="0.25">
      <c r="A44" s="553" t="s">
        <v>1265</v>
      </c>
      <c r="B44" s="543">
        <v>0</v>
      </c>
      <c r="C44" s="543">
        <v>23360692</v>
      </c>
      <c r="D44" s="543">
        <v>1131716.58</v>
      </c>
      <c r="E44" s="544">
        <f t="shared" si="3"/>
        <v>1</v>
      </c>
      <c r="F44" s="545">
        <f t="shared" si="4"/>
        <v>1131716.58</v>
      </c>
      <c r="G44" s="545">
        <f t="shared" si="5"/>
        <v>0</v>
      </c>
    </row>
    <row r="45" spans="1:7" ht="11.25" hidden="1" customHeight="1" x14ac:dyDescent="0.25">
      <c r="A45" s="553" t="s">
        <v>1266</v>
      </c>
      <c r="B45" s="543">
        <v>0</v>
      </c>
      <c r="C45" s="543">
        <v>13993006.52</v>
      </c>
      <c r="D45" s="543">
        <v>1866077.67</v>
      </c>
      <c r="E45" s="544">
        <f t="shared" si="3"/>
        <v>1</v>
      </c>
      <c r="F45" s="545">
        <f t="shared" si="4"/>
        <v>1866077.67</v>
      </c>
      <c r="G45" s="545">
        <f t="shared" si="5"/>
        <v>0</v>
      </c>
    </row>
    <row r="46" spans="1:7" ht="11.25" hidden="1" customHeight="1" x14ac:dyDescent="0.25">
      <c r="A46" s="553" t="s">
        <v>1267</v>
      </c>
      <c r="B46" s="543">
        <v>0</v>
      </c>
      <c r="C46" s="543">
        <v>14463207.640000001</v>
      </c>
      <c r="D46" s="543">
        <v>281704.46999999997</v>
      </c>
      <c r="E46" s="544">
        <f t="shared" si="3"/>
        <v>1</v>
      </c>
      <c r="F46" s="545">
        <f t="shared" si="4"/>
        <v>281704.46999999997</v>
      </c>
      <c r="G46" s="545">
        <f t="shared" si="5"/>
        <v>0</v>
      </c>
    </row>
    <row r="47" spans="1:7" ht="11.25" hidden="1" customHeight="1" x14ac:dyDescent="0.25">
      <c r="A47" s="553" t="s">
        <v>1268</v>
      </c>
      <c r="B47" s="543">
        <v>0</v>
      </c>
      <c r="C47" s="543">
        <v>15784385.470000001</v>
      </c>
      <c r="D47" s="543">
        <v>629567.37</v>
      </c>
      <c r="E47" s="544">
        <f t="shared" si="3"/>
        <v>1</v>
      </c>
      <c r="F47" s="545">
        <f t="shared" si="4"/>
        <v>629567.37</v>
      </c>
      <c r="G47" s="545">
        <f t="shared" si="5"/>
        <v>0</v>
      </c>
    </row>
    <row r="48" spans="1:7" ht="11.25" hidden="1" customHeight="1" x14ac:dyDescent="0.25">
      <c r="A48" s="553" t="s">
        <v>1269</v>
      </c>
      <c r="B48" s="543">
        <v>0</v>
      </c>
      <c r="C48" s="543">
        <v>11908283.85</v>
      </c>
      <c r="D48" s="543">
        <v>397994.04</v>
      </c>
      <c r="E48" s="544">
        <f t="shared" si="3"/>
        <v>1</v>
      </c>
      <c r="F48" s="545">
        <f t="shared" si="4"/>
        <v>397994.04</v>
      </c>
      <c r="G48" s="545">
        <f t="shared" si="5"/>
        <v>0</v>
      </c>
    </row>
    <row r="49" spans="1:7" ht="11.25" hidden="1" customHeight="1" x14ac:dyDescent="0.25">
      <c r="A49" s="553" t="s">
        <v>1270</v>
      </c>
      <c r="B49" s="543">
        <v>0</v>
      </c>
      <c r="C49" s="543">
        <v>18200759.780000001</v>
      </c>
      <c r="D49" s="543">
        <v>944961.92</v>
      </c>
      <c r="E49" s="544">
        <f t="shared" si="3"/>
        <v>1</v>
      </c>
      <c r="F49" s="545">
        <f t="shared" si="4"/>
        <v>944961.92</v>
      </c>
      <c r="G49" s="545">
        <f t="shared" si="5"/>
        <v>0</v>
      </c>
    </row>
    <row r="50" spans="1:7" ht="11.25" hidden="1" customHeight="1" x14ac:dyDescent="0.25">
      <c r="A50" s="553" t="s">
        <v>1271</v>
      </c>
      <c r="B50" s="543">
        <v>0</v>
      </c>
      <c r="C50" s="543">
        <v>32907191.890000001</v>
      </c>
      <c r="D50" s="543">
        <v>1513490.23</v>
      </c>
      <c r="E50" s="544">
        <f t="shared" si="3"/>
        <v>1</v>
      </c>
      <c r="F50" s="545">
        <f t="shared" si="4"/>
        <v>1513490.23</v>
      </c>
      <c r="G50" s="545">
        <f t="shared" si="5"/>
        <v>0</v>
      </c>
    </row>
    <row r="51" spans="1:7" ht="11.25" hidden="1" customHeight="1" x14ac:dyDescent="0.25">
      <c r="A51" s="553" t="s">
        <v>1272</v>
      </c>
      <c r="B51" s="543">
        <v>0</v>
      </c>
      <c r="C51" s="543">
        <v>15004609</v>
      </c>
      <c r="D51" s="543">
        <v>380433.28</v>
      </c>
      <c r="E51" s="544">
        <f t="shared" si="3"/>
        <v>1</v>
      </c>
      <c r="F51" s="545">
        <f t="shared" si="4"/>
        <v>380433.28</v>
      </c>
      <c r="G51" s="545">
        <f t="shared" si="5"/>
        <v>0</v>
      </c>
    </row>
    <row r="52" spans="1:7" ht="11.25" hidden="1" customHeight="1" x14ac:dyDescent="0.25">
      <c r="A52" s="553" t="s">
        <v>1273</v>
      </c>
      <c r="B52" s="543">
        <v>0</v>
      </c>
      <c r="C52" s="543">
        <v>10847411</v>
      </c>
      <c r="D52" s="543">
        <v>329632.67</v>
      </c>
      <c r="E52" s="544">
        <f t="shared" si="3"/>
        <v>1</v>
      </c>
      <c r="F52" s="545">
        <f t="shared" si="4"/>
        <v>329632.67</v>
      </c>
      <c r="G52" s="545">
        <f t="shared" si="5"/>
        <v>0</v>
      </c>
    </row>
    <row r="53" spans="1:7" ht="11.25" hidden="1" customHeight="1" x14ac:dyDescent="0.25">
      <c r="A53" s="553" t="s">
        <v>1274</v>
      </c>
      <c r="B53" s="543">
        <v>0</v>
      </c>
      <c r="C53" s="543">
        <v>19203714.809999999</v>
      </c>
      <c r="D53" s="543">
        <v>780190.48</v>
      </c>
      <c r="E53" s="544">
        <f t="shared" si="3"/>
        <v>1</v>
      </c>
      <c r="F53" s="545">
        <f t="shared" si="4"/>
        <v>780190.48</v>
      </c>
      <c r="G53" s="545">
        <f t="shared" si="5"/>
        <v>0</v>
      </c>
    </row>
    <row r="54" spans="1:7" ht="11.25" hidden="1" customHeight="1" x14ac:dyDescent="0.25">
      <c r="A54" s="553" t="s">
        <v>1275</v>
      </c>
      <c r="B54" s="543">
        <v>0</v>
      </c>
      <c r="C54" s="543">
        <v>23142990.629999999</v>
      </c>
      <c r="D54" s="543">
        <v>850647.04000000004</v>
      </c>
      <c r="E54" s="544">
        <f>IF(B54=0,1,C54/(B54+C54))</f>
        <v>1</v>
      </c>
      <c r="F54" s="545">
        <f>D54*E54</f>
        <v>850647.04000000004</v>
      </c>
      <c r="G54" s="545">
        <f>D54-F54</f>
        <v>0</v>
      </c>
    </row>
    <row r="55" spans="1:7" ht="11.25" hidden="1" customHeight="1" x14ac:dyDescent="0.25">
      <c r="A55" s="553" t="s">
        <v>1276</v>
      </c>
      <c r="B55" s="543">
        <v>0</v>
      </c>
      <c r="C55" s="543">
        <v>10400689.810000001</v>
      </c>
      <c r="D55" s="543">
        <v>293799.46000000002</v>
      </c>
      <c r="E55" s="544">
        <f>IF(B55=0,1,C55/(B55+C55))</f>
        <v>1</v>
      </c>
      <c r="F55" s="545">
        <f>D55*E55</f>
        <v>293799.46000000002</v>
      </c>
      <c r="G55" s="545">
        <f>D55-F55</f>
        <v>0</v>
      </c>
    </row>
    <row r="56" spans="1:7" ht="11.25" hidden="1" customHeight="1" x14ac:dyDescent="0.25">
      <c r="A56" s="553" t="s">
        <v>1277</v>
      </c>
      <c r="B56" s="543">
        <v>0</v>
      </c>
      <c r="C56" s="543">
        <v>17378911.440000001</v>
      </c>
      <c r="D56" s="543">
        <v>773290.92</v>
      </c>
      <c r="E56" s="544">
        <f t="shared" si="3"/>
        <v>1</v>
      </c>
      <c r="F56" s="545">
        <f t="shared" si="4"/>
        <v>773290.92</v>
      </c>
      <c r="G56" s="545">
        <f t="shared" si="5"/>
        <v>0</v>
      </c>
    </row>
    <row r="57" spans="1:7" ht="11.25" hidden="1" customHeight="1" x14ac:dyDescent="0.25">
      <c r="A57" s="553" t="s">
        <v>1278</v>
      </c>
      <c r="B57" s="543">
        <v>0</v>
      </c>
      <c r="C57" s="543">
        <v>25777428.5</v>
      </c>
      <c r="D57" s="543">
        <v>1041462.55</v>
      </c>
      <c r="E57" s="544">
        <f t="shared" si="3"/>
        <v>1</v>
      </c>
      <c r="F57" s="545">
        <f t="shared" si="4"/>
        <v>1041462.55</v>
      </c>
      <c r="G57" s="545">
        <f t="shared" si="5"/>
        <v>0</v>
      </c>
    </row>
    <row r="58" spans="1:7" ht="11.25" hidden="1" customHeight="1" x14ac:dyDescent="0.25">
      <c r="A58" s="553" t="s">
        <v>1279</v>
      </c>
      <c r="B58" s="543">
        <v>0</v>
      </c>
      <c r="C58" s="543">
        <v>16058182.810000001</v>
      </c>
      <c r="D58" s="543">
        <v>668363.22</v>
      </c>
      <c r="E58" s="544">
        <f t="shared" si="3"/>
        <v>1</v>
      </c>
      <c r="F58" s="545">
        <f t="shared" si="4"/>
        <v>668363.22</v>
      </c>
      <c r="G58" s="545">
        <f t="shared" si="5"/>
        <v>0</v>
      </c>
    </row>
    <row r="59" spans="1:7" ht="11.25" hidden="1" customHeight="1" x14ac:dyDescent="0.25">
      <c r="A59" s="553" t="s">
        <v>1280</v>
      </c>
      <c r="B59" s="543">
        <v>0</v>
      </c>
      <c r="C59" s="543">
        <v>19083474.670000002</v>
      </c>
      <c r="D59" s="543">
        <v>539626.80000000005</v>
      </c>
      <c r="E59" s="544">
        <f t="shared" si="3"/>
        <v>1</v>
      </c>
      <c r="F59" s="545">
        <f t="shared" si="4"/>
        <v>539626.80000000005</v>
      </c>
      <c r="G59" s="545">
        <f t="shared" si="5"/>
        <v>0</v>
      </c>
    </row>
    <row r="60" spans="1:7" ht="11.25" hidden="1" customHeight="1" x14ac:dyDescent="0.25">
      <c r="A60" s="553" t="s">
        <v>1281</v>
      </c>
      <c r="B60" s="543">
        <v>0</v>
      </c>
      <c r="C60" s="543">
        <v>24838987.699999999</v>
      </c>
      <c r="D60" s="543">
        <v>854048.14</v>
      </c>
      <c r="E60" s="544">
        <f t="shared" si="3"/>
        <v>1</v>
      </c>
      <c r="F60" s="545">
        <f t="shared" si="4"/>
        <v>854048.14</v>
      </c>
      <c r="G60" s="545">
        <f t="shared" si="5"/>
        <v>0</v>
      </c>
    </row>
    <row r="61" spans="1:7" ht="11.25" hidden="1" customHeight="1" x14ac:dyDescent="0.25">
      <c r="A61" s="553" t="s">
        <v>1282</v>
      </c>
      <c r="B61" s="543">
        <v>0</v>
      </c>
      <c r="C61" s="543">
        <v>39928994.409999996</v>
      </c>
      <c r="D61" s="543">
        <v>1332634.68</v>
      </c>
      <c r="E61" s="544">
        <f t="shared" si="3"/>
        <v>1</v>
      </c>
      <c r="F61" s="545">
        <f t="shared" si="4"/>
        <v>1332634.68</v>
      </c>
      <c r="G61" s="545">
        <f t="shared" si="5"/>
        <v>0</v>
      </c>
    </row>
    <row r="62" spans="1:7" ht="11.25" hidden="1" customHeight="1" x14ac:dyDescent="0.25">
      <c r="A62" s="553" t="s">
        <v>1283</v>
      </c>
      <c r="B62" s="543">
        <v>0</v>
      </c>
      <c r="C62" s="543">
        <v>20485723.57</v>
      </c>
      <c r="D62" s="543">
        <v>798060.62</v>
      </c>
      <c r="E62" s="544">
        <f t="shared" si="3"/>
        <v>1</v>
      </c>
      <c r="F62" s="545">
        <f t="shared" si="4"/>
        <v>798060.62</v>
      </c>
      <c r="G62" s="545">
        <f t="shared" si="5"/>
        <v>0</v>
      </c>
    </row>
    <row r="63" spans="1:7" ht="11.25" hidden="1" customHeight="1" x14ac:dyDescent="0.25">
      <c r="A63" s="553" t="s">
        <v>1284</v>
      </c>
      <c r="B63" s="543">
        <v>0</v>
      </c>
      <c r="C63" s="543">
        <v>10918447.189999999</v>
      </c>
      <c r="D63" s="543">
        <v>379296.58</v>
      </c>
      <c r="E63" s="544">
        <f t="shared" si="3"/>
        <v>1</v>
      </c>
      <c r="F63" s="545">
        <f t="shared" si="4"/>
        <v>379296.58</v>
      </c>
      <c r="G63" s="545">
        <f t="shared" si="5"/>
        <v>0</v>
      </c>
    </row>
    <row r="64" spans="1:7" ht="11.25" hidden="1" customHeight="1" x14ac:dyDescent="0.25">
      <c r="A64" s="542" t="s">
        <v>1285</v>
      </c>
      <c r="B64" s="543">
        <v>371865</v>
      </c>
      <c r="C64" s="543">
        <v>27750692.149999999</v>
      </c>
      <c r="D64" s="543">
        <v>1375625.65</v>
      </c>
      <c r="E64" s="544">
        <f t="shared" si="3"/>
        <v>0.98677698479999998</v>
      </c>
      <c r="F64" s="545">
        <f t="shared" si="4"/>
        <v>1357435.73</v>
      </c>
      <c r="G64" s="545">
        <f t="shared" si="5"/>
        <v>18189.919999999998</v>
      </c>
    </row>
    <row r="65" spans="1:7" ht="11.25" hidden="1" customHeight="1" x14ac:dyDescent="0.25">
      <c r="A65" s="553" t="s">
        <v>1286</v>
      </c>
      <c r="B65" s="543">
        <v>0</v>
      </c>
      <c r="C65" s="543">
        <v>33694150.049999997</v>
      </c>
      <c r="D65" s="543">
        <v>1075421.22</v>
      </c>
      <c r="E65" s="544">
        <f t="shared" si="3"/>
        <v>1</v>
      </c>
      <c r="F65" s="545">
        <f t="shared" si="4"/>
        <v>1075421.22</v>
      </c>
      <c r="G65" s="545">
        <f t="shared" si="5"/>
        <v>0</v>
      </c>
    </row>
    <row r="66" spans="1:7" ht="11.25" hidden="1" customHeight="1" x14ac:dyDescent="0.25">
      <c r="A66" s="553" t="s">
        <v>1287</v>
      </c>
      <c r="B66" s="543">
        <v>0</v>
      </c>
      <c r="C66" s="543">
        <v>15537645.66</v>
      </c>
      <c r="D66" s="543">
        <v>580048.69999999995</v>
      </c>
      <c r="E66" s="544">
        <f t="shared" si="3"/>
        <v>1</v>
      </c>
      <c r="F66" s="545">
        <f t="shared" si="4"/>
        <v>580048.69999999995</v>
      </c>
      <c r="G66" s="545">
        <f t="shared" si="5"/>
        <v>0</v>
      </c>
    </row>
    <row r="67" spans="1:7" ht="11.25" hidden="1" customHeight="1" x14ac:dyDescent="0.25">
      <c r="A67" s="553" t="s">
        <v>1288</v>
      </c>
      <c r="B67" s="543">
        <v>0</v>
      </c>
      <c r="C67" s="543">
        <v>34062678.909999996</v>
      </c>
      <c r="D67" s="543">
        <v>1174917.05</v>
      </c>
      <c r="E67" s="544">
        <f t="shared" si="3"/>
        <v>1</v>
      </c>
      <c r="F67" s="545">
        <f t="shared" si="4"/>
        <v>1174917.05</v>
      </c>
      <c r="G67" s="545">
        <f t="shared" si="5"/>
        <v>0</v>
      </c>
    </row>
    <row r="68" spans="1:7" ht="11.25" hidden="1" customHeight="1" x14ac:dyDescent="0.25">
      <c r="A68" s="553" t="s">
        <v>1289</v>
      </c>
      <c r="B68" s="543">
        <v>0</v>
      </c>
      <c r="C68" s="543">
        <v>26423475.399999999</v>
      </c>
      <c r="D68" s="543">
        <v>1244061.1399999999</v>
      </c>
      <c r="E68" s="544">
        <f t="shared" si="3"/>
        <v>1</v>
      </c>
      <c r="F68" s="545">
        <f t="shared" si="4"/>
        <v>1244061.1399999999</v>
      </c>
      <c r="G68" s="545">
        <f t="shared" si="5"/>
        <v>0</v>
      </c>
    </row>
    <row r="69" spans="1:7" ht="11.25" hidden="1" customHeight="1" x14ac:dyDescent="0.25">
      <c r="A69" s="553" t="s">
        <v>1290</v>
      </c>
      <c r="B69" s="543">
        <v>0</v>
      </c>
      <c r="C69" s="543">
        <v>20439054</v>
      </c>
      <c r="D69" s="543">
        <v>922379.34</v>
      </c>
      <c r="E69" s="544">
        <f t="shared" si="3"/>
        <v>1</v>
      </c>
      <c r="F69" s="545">
        <f t="shared" si="4"/>
        <v>922379.34</v>
      </c>
      <c r="G69" s="545">
        <f t="shared" si="5"/>
        <v>0</v>
      </c>
    </row>
    <row r="70" spans="1:7" ht="11.25" hidden="1" customHeight="1" x14ac:dyDescent="0.25">
      <c r="A70" s="553" t="s">
        <v>1291</v>
      </c>
      <c r="B70" s="543">
        <v>0</v>
      </c>
      <c r="C70" s="543">
        <v>15032950.1</v>
      </c>
      <c r="D70" s="543">
        <v>840150.79</v>
      </c>
      <c r="E70" s="544">
        <f t="shared" si="3"/>
        <v>1</v>
      </c>
      <c r="F70" s="545">
        <f t="shared" si="4"/>
        <v>840150.79</v>
      </c>
      <c r="G70" s="545">
        <f t="shared" si="5"/>
        <v>0</v>
      </c>
    </row>
    <row r="71" spans="1:7" ht="11.25" hidden="1" customHeight="1" x14ac:dyDescent="0.25">
      <c r="A71" s="553" t="s">
        <v>1292</v>
      </c>
      <c r="B71" s="543">
        <v>0</v>
      </c>
      <c r="C71" s="543">
        <v>14328428.529999999</v>
      </c>
      <c r="D71" s="543">
        <v>564882.13</v>
      </c>
      <c r="E71" s="544">
        <f t="shared" si="3"/>
        <v>1</v>
      </c>
      <c r="F71" s="545">
        <f t="shared" si="4"/>
        <v>564882.13</v>
      </c>
      <c r="G71" s="545">
        <f t="shared" si="5"/>
        <v>0</v>
      </c>
    </row>
    <row r="72" spans="1:7" ht="11.25" hidden="1" customHeight="1" x14ac:dyDescent="0.25">
      <c r="A72" s="553" t="s">
        <v>1293</v>
      </c>
      <c r="B72" s="543">
        <v>0</v>
      </c>
      <c r="C72" s="543">
        <v>30771696.039999999</v>
      </c>
      <c r="D72" s="543">
        <v>855860.01</v>
      </c>
      <c r="E72" s="544">
        <f t="shared" si="3"/>
        <v>1</v>
      </c>
      <c r="F72" s="545">
        <f t="shared" si="4"/>
        <v>855860.01</v>
      </c>
      <c r="G72" s="545">
        <f t="shared" si="5"/>
        <v>0</v>
      </c>
    </row>
    <row r="73" spans="1:7" ht="11.25" hidden="1" customHeight="1" x14ac:dyDescent="0.25">
      <c r="A73" s="553" t="s">
        <v>1294</v>
      </c>
      <c r="B73" s="543">
        <v>0</v>
      </c>
      <c r="C73" s="543">
        <v>20191290.289999999</v>
      </c>
      <c r="D73" s="543">
        <v>645625.46</v>
      </c>
      <c r="E73" s="544">
        <f t="shared" si="3"/>
        <v>1</v>
      </c>
      <c r="F73" s="545">
        <f t="shared" si="4"/>
        <v>645625.46</v>
      </c>
      <c r="G73" s="545">
        <f t="shared" si="5"/>
        <v>0</v>
      </c>
    </row>
    <row r="74" spans="1:7" ht="11.25" hidden="1" customHeight="1" x14ac:dyDescent="0.25">
      <c r="A74" s="553" t="s">
        <v>1295</v>
      </c>
      <c r="B74" s="543">
        <v>0</v>
      </c>
      <c r="C74" s="543">
        <v>17375237.960000001</v>
      </c>
      <c r="D74" s="543">
        <v>535544.67000000004</v>
      </c>
      <c r="E74" s="544">
        <f t="shared" si="3"/>
        <v>1</v>
      </c>
      <c r="F74" s="545">
        <f t="shared" si="4"/>
        <v>535544.67000000004</v>
      </c>
      <c r="G74" s="545">
        <f t="shared" si="5"/>
        <v>0</v>
      </c>
    </row>
    <row r="75" spans="1:7" ht="11.25" hidden="1" customHeight="1" x14ac:dyDescent="0.25">
      <c r="A75" s="542" t="s">
        <v>1296</v>
      </c>
      <c r="B75" s="543">
        <v>71640</v>
      </c>
      <c r="C75" s="543">
        <v>48035563.909999996</v>
      </c>
      <c r="D75" s="543">
        <v>1848934.9</v>
      </c>
      <c r="E75" s="544">
        <f t="shared" si="3"/>
        <v>0.99851082589999995</v>
      </c>
      <c r="F75" s="545">
        <f t="shared" si="4"/>
        <v>1846181.51</v>
      </c>
      <c r="G75" s="545">
        <f t="shared" si="5"/>
        <v>2753.39</v>
      </c>
    </row>
    <row r="76" spans="1:7" ht="11.25" hidden="1" customHeight="1" x14ac:dyDescent="0.25">
      <c r="A76" s="553" t="s">
        <v>1297</v>
      </c>
      <c r="B76" s="543">
        <v>0</v>
      </c>
      <c r="C76" s="543">
        <v>23363265.469999999</v>
      </c>
      <c r="D76" s="543">
        <v>630962.46</v>
      </c>
      <c r="E76" s="544">
        <f t="shared" si="3"/>
        <v>1</v>
      </c>
      <c r="F76" s="545">
        <f t="shared" si="4"/>
        <v>630962.46</v>
      </c>
      <c r="G76" s="545">
        <f t="shared" si="5"/>
        <v>0</v>
      </c>
    </row>
    <row r="77" spans="1:7" ht="11.25" hidden="1" customHeight="1" x14ac:dyDescent="0.25">
      <c r="A77" s="542" t="s">
        <v>1298</v>
      </c>
      <c r="B77" s="543">
        <v>781125</v>
      </c>
      <c r="C77" s="543">
        <v>12695940.699999999</v>
      </c>
      <c r="D77" s="543">
        <v>416303.41</v>
      </c>
      <c r="E77" s="544">
        <f t="shared" si="3"/>
        <v>0.94204042499999996</v>
      </c>
      <c r="F77" s="545">
        <f t="shared" si="4"/>
        <v>392174.64</v>
      </c>
      <c r="G77" s="545">
        <f t="shared" si="5"/>
        <v>24128.77</v>
      </c>
    </row>
    <row r="78" spans="1:7" ht="11.25" hidden="1" customHeight="1" x14ac:dyDescent="0.25">
      <c r="A78" s="553" t="s">
        <v>1299</v>
      </c>
      <c r="B78" s="543">
        <v>0</v>
      </c>
      <c r="C78" s="543">
        <v>19161096.41</v>
      </c>
      <c r="D78" s="543">
        <v>524064.78</v>
      </c>
      <c r="E78" s="544">
        <f t="shared" si="3"/>
        <v>1</v>
      </c>
      <c r="F78" s="545">
        <f t="shared" si="4"/>
        <v>524064.78</v>
      </c>
      <c r="G78" s="545">
        <f t="shared" si="5"/>
        <v>0</v>
      </c>
    </row>
    <row r="79" spans="1:7" ht="11.25" hidden="1" customHeight="1" x14ac:dyDescent="0.25">
      <c r="A79" s="553" t="s">
        <v>1300</v>
      </c>
      <c r="B79" s="543">
        <v>0</v>
      </c>
      <c r="C79" s="543">
        <v>6872250.2300000004</v>
      </c>
      <c r="D79" s="543">
        <v>441414.99</v>
      </c>
      <c r="E79" s="544">
        <f t="shared" si="3"/>
        <v>1</v>
      </c>
      <c r="F79" s="545">
        <f t="shared" si="4"/>
        <v>441414.99</v>
      </c>
      <c r="G79" s="545">
        <f t="shared" si="5"/>
        <v>0</v>
      </c>
    </row>
    <row r="80" spans="1:7" ht="11.25" hidden="1" customHeight="1" x14ac:dyDescent="0.25">
      <c r="A80" s="553" t="s">
        <v>1301</v>
      </c>
      <c r="B80" s="543">
        <v>0</v>
      </c>
      <c r="C80" s="543">
        <v>13996183.539999999</v>
      </c>
      <c r="D80" s="543">
        <v>635272.95999999996</v>
      </c>
      <c r="E80" s="544">
        <f t="shared" si="3"/>
        <v>1</v>
      </c>
      <c r="F80" s="545">
        <f t="shared" si="4"/>
        <v>635272.95999999996</v>
      </c>
      <c r="G80" s="545">
        <f t="shared" si="5"/>
        <v>0</v>
      </c>
    </row>
    <row r="81" spans="1:7" ht="11.25" hidden="1" customHeight="1" x14ac:dyDescent="0.25">
      <c r="A81" s="553" t="s">
        <v>1302</v>
      </c>
      <c r="B81" s="543">
        <v>0</v>
      </c>
      <c r="C81" s="543">
        <v>20918818.59</v>
      </c>
      <c r="D81" s="543">
        <v>544962.03</v>
      </c>
      <c r="E81" s="544">
        <f t="shared" si="3"/>
        <v>1</v>
      </c>
      <c r="F81" s="545">
        <f t="shared" si="4"/>
        <v>544962.03</v>
      </c>
      <c r="G81" s="545">
        <f t="shared" si="5"/>
        <v>0</v>
      </c>
    </row>
    <row r="82" spans="1:7" ht="11.25" hidden="1" customHeight="1" x14ac:dyDescent="0.25">
      <c r="A82" s="553" t="s">
        <v>1303</v>
      </c>
      <c r="B82" s="543">
        <v>0</v>
      </c>
      <c r="C82" s="543">
        <v>14661505.75</v>
      </c>
      <c r="D82" s="543">
        <v>607976.43999999994</v>
      </c>
      <c r="E82" s="544">
        <f t="shared" si="3"/>
        <v>1</v>
      </c>
      <c r="F82" s="545">
        <f t="shared" si="4"/>
        <v>607976.43999999994</v>
      </c>
      <c r="G82" s="545">
        <f t="shared" si="5"/>
        <v>0</v>
      </c>
    </row>
    <row r="83" spans="1:7" ht="11.25" hidden="1" customHeight="1" x14ac:dyDescent="0.25">
      <c r="A83" s="553" t="s">
        <v>1304</v>
      </c>
      <c r="B83" s="543">
        <v>0</v>
      </c>
      <c r="C83" s="543">
        <v>15080364.439999999</v>
      </c>
      <c r="D83" s="543">
        <v>552024.69999999995</v>
      </c>
      <c r="E83" s="544">
        <f t="shared" si="3"/>
        <v>1</v>
      </c>
      <c r="F83" s="545">
        <f t="shared" si="4"/>
        <v>552024.69999999995</v>
      </c>
      <c r="G83" s="545">
        <f t="shared" si="5"/>
        <v>0</v>
      </c>
    </row>
    <row r="84" spans="1:7" ht="11.25" hidden="1" customHeight="1" x14ac:dyDescent="0.25">
      <c r="A84" s="553" t="s">
        <v>1305</v>
      </c>
      <c r="B84" s="543">
        <v>0</v>
      </c>
      <c r="C84" s="543">
        <v>14424009.34</v>
      </c>
      <c r="D84" s="543">
        <v>600358.61</v>
      </c>
      <c r="E84" s="544">
        <f t="shared" si="3"/>
        <v>1</v>
      </c>
      <c r="F84" s="545">
        <f t="shared" si="4"/>
        <v>600358.61</v>
      </c>
      <c r="G84" s="545">
        <f t="shared" si="5"/>
        <v>0</v>
      </c>
    </row>
    <row r="85" spans="1:7" ht="11.25" hidden="1" customHeight="1" x14ac:dyDescent="0.25">
      <c r="A85" s="542" t="s">
        <v>1306</v>
      </c>
      <c r="B85" s="543">
        <v>52799.97</v>
      </c>
      <c r="C85" s="543">
        <v>36657198.68</v>
      </c>
      <c r="D85" s="543">
        <v>1204611.95</v>
      </c>
      <c r="E85" s="544">
        <f t="shared" si="3"/>
        <v>0.99856170060000005</v>
      </c>
      <c r="F85" s="545">
        <f t="shared" si="4"/>
        <v>1202879.3600000001</v>
      </c>
      <c r="G85" s="545">
        <f t="shared" si="5"/>
        <v>1732.59</v>
      </c>
    </row>
    <row r="86" spans="1:7" ht="11.25" hidden="1" customHeight="1" x14ac:dyDescent="0.25">
      <c r="A86" s="542" t="s">
        <v>1307</v>
      </c>
      <c r="B86" s="543">
        <v>34911.75</v>
      </c>
      <c r="C86" s="543">
        <v>8982691.4199999999</v>
      </c>
      <c r="D86" s="543">
        <v>233870.05</v>
      </c>
      <c r="E86" s="544">
        <f t="shared" si="3"/>
        <v>0.99612848899999995</v>
      </c>
      <c r="F86" s="545">
        <f t="shared" si="4"/>
        <v>232964.62</v>
      </c>
      <c r="G86" s="545">
        <f t="shared" si="5"/>
        <v>905.43</v>
      </c>
    </row>
    <row r="87" spans="1:7" ht="11.25" hidden="1" customHeight="1" x14ac:dyDescent="0.25">
      <c r="A87" s="553" t="s">
        <v>1308</v>
      </c>
      <c r="B87" s="543">
        <v>0</v>
      </c>
      <c r="C87" s="543">
        <v>30262862.609999999</v>
      </c>
      <c r="D87" s="543">
        <v>1181210.83</v>
      </c>
      <c r="E87" s="544">
        <f t="shared" si="3"/>
        <v>1</v>
      </c>
      <c r="F87" s="545">
        <f t="shared" si="4"/>
        <v>1181210.83</v>
      </c>
      <c r="G87" s="545">
        <f t="shared" si="5"/>
        <v>0</v>
      </c>
    </row>
    <row r="88" spans="1:7" ht="11.25" hidden="1" customHeight="1" x14ac:dyDescent="0.25">
      <c r="A88" s="542" t="s">
        <v>1309</v>
      </c>
      <c r="B88" s="543">
        <v>139123.74</v>
      </c>
      <c r="C88" s="543">
        <v>26948925.73</v>
      </c>
      <c r="D88" s="543">
        <v>1221950.44</v>
      </c>
      <c r="E88" s="544">
        <f t="shared" si="3"/>
        <v>0.9948640178</v>
      </c>
      <c r="F88" s="545">
        <f t="shared" si="4"/>
        <v>1215674.52</v>
      </c>
      <c r="G88" s="545">
        <f t="shared" si="5"/>
        <v>6275.92</v>
      </c>
    </row>
    <row r="89" spans="1:7" ht="11.25" hidden="1" customHeight="1" x14ac:dyDescent="0.25">
      <c r="A89" s="553" t="s">
        <v>1310</v>
      </c>
      <c r="B89" s="543">
        <v>0</v>
      </c>
      <c r="C89" s="543">
        <v>14714689.1</v>
      </c>
      <c r="D89" s="543">
        <v>671634.02</v>
      </c>
      <c r="E89" s="544">
        <f t="shared" si="3"/>
        <v>1</v>
      </c>
      <c r="F89" s="545">
        <f t="shared" si="4"/>
        <v>671634.02</v>
      </c>
      <c r="G89" s="545">
        <f t="shared" si="5"/>
        <v>0</v>
      </c>
    </row>
    <row r="90" spans="1:7" ht="11.25" hidden="1" customHeight="1" x14ac:dyDescent="0.25">
      <c r="A90" s="553" t="s">
        <v>1311</v>
      </c>
      <c r="B90" s="543">
        <v>0</v>
      </c>
      <c r="C90" s="543">
        <v>28613581.66</v>
      </c>
      <c r="D90" s="543">
        <v>1069209.28</v>
      </c>
      <c r="E90" s="544">
        <f t="shared" si="3"/>
        <v>1</v>
      </c>
      <c r="F90" s="545">
        <f t="shared" si="4"/>
        <v>1069209.28</v>
      </c>
      <c r="G90" s="545">
        <f t="shared" si="5"/>
        <v>0</v>
      </c>
    </row>
    <row r="91" spans="1:7" ht="11.25" hidden="1" customHeight="1" x14ac:dyDescent="0.25">
      <c r="A91" s="553" t="s">
        <v>1312</v>
      </c>
      <c r="B91" s="543">
        <v>0</v>
      </c>
      <c r="C91" s="543">
        <v>16232491.66</v>
      </c>
      <c r="D91" s="543">
        <v>638753.25</v>
      </c>
      <c r="E91" s="544">
        <f t="shared" si="3"/>
        <v>1</v>
      </c>
      <c r="F91" s="545">
        <f t="shared" si="4"/>
        <v>638753.25</v>
      </c>
      <c r="G91" s="545">
        <f t="shared" si="5"/>
        <v>0</v>
      </c>
    </row>
    <row r="92" spans="1:7" ht="11.25" hidden="1" customHeight="1" x14ac:dyDescent="0.25">
      <c r="A92" s="553" t="s">
        <v>1313</v>
      </c>
      <c r="B92" s="543">
        <v>0</v>
      </c>
      <c r="C92" s="543">
        <v>29305790.5</v>
      </c>
      <c r="D92" s="543">
        <v>1082208.1000000001</v>
      </c>
      <c r="E92" s="544">
        <f t="shared" si="3"/>
        <v>1</v>
      </c>
      <c r="F92" s="545">
        <f t="shared" si="4"/>
        <v>1082208.1000000001</v>
      </c>
      <c r="G92" s="545">
        <f t="shared" si="5"/>
        <v>0</v>
      </c>
    </row>
    <row r="93" spans="1:7" ht="11.25" hidden="1" customHeight="1" x14ac:dyDescent="0.25">
      <c r="A93" s="553" t="s">
        <v>1314</v>
      </c>
      <c r="B93" s="543">
        <v>0</v>
      </c>
      <c r="C93" s="543">
        <v>30316919.969999999</v>
      </c>
      <c r="D93" s="543">
        <v>832046.27</v>
      </c>
      <c r="E93" s="544">
        <f t="shared" si="3"/>
        <v>1</v>
      </c>
      <c r="F93" s="545">
        <f t="shared" si="4"/>
        <v>832046.27</v>
      </c>
      <c r="G93" s="545">
        <f t="shared" si="5"/>
        <v>0</v>
      </c>
    </row>
    <row r="94" spans="1:7" ht="11.25" hidden="1" customHeight="1" x14ac:dyDescent="0.25">
      <c r="A94" s="553" t="s">
        <v>1315</v>
      </c>
      <c r="B94" s="543">
        <v>0</v>
      </c>
      <c r="C94" s="543">
        <v>49590631.520000003</v>
      </c>
      <c r="D94" s="543">
        <v>1862788.91</v>
      </c>
      <c r="E94" s="544">
        <f t="shared" si="3"/>
        <v>1</v>
      </c>
      <c r="F94" s="545">
        <f t="shared" si="4"/>
        <v>1862788.91</v>
      </c>
      <c r="G94" s="545">
        <f t="shared" si="5"/>
        <v>0</v>
      </c>
    </row>
    <row r="95" spans="1:7" ht="11.25" hidden="1" customHeight="1" x14ac:dyDescent="0.25">
      <c r="A95" s="542" t="s">
        <v>1316</v>
      </c>
      <c r="B95" s="543">
        <v>360679</v>
      </c>
      <c r="C95" s="543">
        <v>32779663.510000002</v>
      </c>
      <c r="D95" s="543">
        <v>1316122.8899999999</v>
      </c>
      <c r="E95" s="544">
        <f t="shared" si="3"/>
        <v>0.98911661819999996</v>
      </c>
      <c r="F95" s="545">
        <f t="shared" si="4"/>
        <v>1301799.02</v>
      </c>
      <c r="G95" s="545">
        <f t="shared" si="5"/>
        <v>14323.87</v>
      </c>
    </row>
    <row r="96" spans="1:7" ht="12.75" hidden="1" customHeight="1" x14ac:dyDescent="0.25">
      <c r="A96" s="548" t="s">
        <v>1218</v>
      </c>
      <c r="B96" s="549">
        <f>SUM(B41:B95)</f>
        <v>1812144.46</v>
      </c>
      <c r="C96" s="549">
        <f>SUM(C41:C95)</f>
        <v>1228282732.8299999</v>
      </c>
      <c r="D96" s="549">
        <f>SUM(D41:D95)</f>
        <v>52945485.299999997</v>
      </c>
      <c r="E96" s="544">
        <f t="shared" si="3"/>
        <v>0.99852682550000005</v>
      </c>
      <c r="F96" s="549">
        <f>SUM(F41:F95)</f>
        <v>52877175.409999996</v>
      </c>
      <c r="G96" s="549">
        <f>SUM(G41:G95)</f>
        <v>68309.89</v>
      </c>
    </row>
    <row r="97" spans="1:7" hidden="1" x14ac:dyDescent="0.25">
      <c r="B97" s="550"/>
      <c r="C97" s="550"/>
      <c r="D97" s="550"/>
      <c r="E97" s="551"/>
      <c r="F97" s="550"/>
      <c r="G97" s="550"/>
    </row>
    <row r="98" spans="1:7" hidden="1" x14ac:dyDescent="0.25">
      <c r="B98" s="552"/>
      <c r="C98" s="552"/>
      <c r="D98" s="552"/>
      <c r="E98" s="551"/>
      <c r="F98" s="552"/>
      <c r="G98" s="552"/>
    </row>
    <row r="99" spans="1:7" hidden="1" x14ac:dyDescent="0.25">
      <c r="A99" s="554" t="s">
        <v>1317</v>
      </c>
      <c r="B99" s="543">
        <v>0</v>
      </c>
      <c r="C99" s="555">
        <v>0</v>
      </c>
      <c r="D99" s="543">
        <v>3244934.45</v>
      </c>
      <c r="E99" s="544">
        <f>IF(B99=0,1,C99/(B99+C99))</f>
        <v>1</v>
      </c>
      <c r="F99" s="545">
        <f>D99*E99</f>
        <v>3244934.45</v>
      </c>
      <c r="G99" s="545">
        <f>D99-F99</f>
        <v>0</v>
      </c>
    </row>
    <row r="100" spans="1:7" hidden="1" x14ac:dyDescent="0.25">
      <c r="A100" s="554" t="s">
        <v>1318</v>
      </c>
      <c r="B100" s="543">
        <v>0</v>
      </c>
      <c r="C100" s="555">
        <v>0</v>
      </c>
      <c r="D100" s="543">
        <v>4066047.9</v>
      </c>
      <c r="E100" s="544">
        <f>IF(B100=0,1,C100/(B100+C100))</f>
        <v>1</v>
      </c>
      <c r="F100" s="545">
        <f>D100*E100</f>
        <v>4066047.9</v>
      </c>
      <c r="G100" s="545">
        <f>D100-F100</f>
        <v>0</v>
      </c>
    </row>
    <row r="101" spans="1:7" ht="12.75" hidden="1" x14ac:dyDescent="0.25">
      <c r="A101" s="548" t="s">
        <v>1218</v>
      </c>
      <c r="B101" s="549">
        <f>SUM(B99:B100)</f>
        <v>0</v>
      </c>
      <c r="C101" s="549">
        <f>SUM(C99:C100)</f>
        <v>0</v>
      </c>
      <c r="D101" s="549">
        <f>SUM(D99:D100)</f>
        <v>7310982.3499999996</v>
      </c>
      <c r="E101" s="544">
        <f>IF(B101=0,1,C101/(B101+C101))</f>
        <v>1</v>
      </c>
      <c r="F101" s="549">
        <f>SUM(F99:F100)</f>
        <v>7310982.3499999996</v>
      </c>
      <c r="G101" s="549">
        <f>SUM(G99:G100)</f>
        <v>0</v>
      </c>
    </row>
    <row r="102" spans="1:7" hidden="1" x14ac:dyDescent="0.25">
      <c r="B102" s="550"/>
      <c r="C102" s="550"/>
      <c r="D102" s="550"/>
      <c r="E102" s="551"/>
      <c r="F102" s="550"/>
      <c r="G102" s="550"/>
    </row>
    <row r="103" spans="1:7" hidden="1" x14ac:dyDescent="0.25">
      <c r="B103" s="552"/>
      <c r="C103" s="552"/>
      <c r="D103" s="552"/>
      <c r="E103" s="551"/>
      <c r="F103" s="552"/>
      <c r="G103" s="552"/>
    </row>
    <row r="104" spans="1:7" ht="12.75" hidden="1" x14ac:dyDescent="0.25">
      <c r="A104" s="548" t="s">
        <v>1319</v>
      </c>
      <c r="B104" s="549">
        <f>B96+B101</f>
        <v>1812144.46</v>
      </c>
      <c r="C104" s="549">
        <f>C96+C101</f>
        <v>1228282732.8299999</v>
      </c>
      <c r="D104" s="549">
        <f>D96+D101</f>
        <v>60256467.649999999</v>
      </c>
      <c r="E104" s="544">
        <f>IF(B104=0,1,C104/(B104+C104))</f>
        <v>0.99852682550000005</v>
      </c>
      <c r="F104" s="549">
        <f>F96+F101</f>
        <v>60188157.759999998</v>
      </c>
      <c r="G104" s="549">
        <f>G96+G101</f>
        <v>68309.89</v>
      </c>
    </row>
    <row r="105" spans="1:7" x14ac:dyDescent="0.25">
      <c r="B105" s="552"/>
      <c r="C105" s="552"/>
      <c r="D105" s="552"/>
      <c r="E105" s="551"/>
      <c r="F105" s="552"/>
      <c r="G105" s="552"/>
    </row>
    <row r="106" spans="1:7" x14ac:dyDescent="0.25">
      <c r="B106" s="552"/>
      <c r="C106" s="552"/>
      <c r="D106" s="552"/>
      <c r="E106" s="551"/>
      <c r="F106" s="552"/>
      <c r="G106" s="552"/>
    </row>
    <row r="107" spans="1:7" ht="11.25" hidden="1" customHeight="1" x14ac:dyDescent="0.25">
      <c r="A107" s="542" t="s">
        <v>1320</v>
      </c>
      <c r="B107" s="543">
        <v>585383.36</v>
      </c>
      <c r="C107" s="543">
        <v>58901100</v>
      </c>
      <c r="D107" s="543">
        <v>1374800</v>
      </c>
      <c r="E107" s="544">
        <f t="shared" ref="E107:E112" si="6">IF(B107=0,1,C107/(B107+C107))</f>
        <v>0.99015938869999998</v>
      </c>
      <c r="F107" s="545">
        <f>D107*E107</f>
        <v>1361271.13</v>
      </c>
      <c r="G107" s="545">
        <f>D107-F107</f>
        <v>13528.87</v>
      </c>
    </row>
    <row r="108" spans="1:7" ht="11.25" hidden="1" customHeight="1" x14ac:dyDescent="0.25">
      <c r="A108" s="542" t="s">
        <v>1321</v>
      </c>
      <c r="B108" s="543">
        <v>1184751.53</v>
      </c>
      <c r="C108" s="543">
        <v>41088288.560000002</v>
      </c>
      <c r="D108" s="543">
        <v>166300</v>
      </c>
      <c r="E108" s="544">
        <f>IF(B108=0,1,C108/(B108+C108))</f>
        <v>0.97197382710000002</v>
      </c>
      <c r="F108" s="545">
        <f>D108*E108</f>
        <v>161639.25</v>
      </c>
      <c r="G108" s="545">
        <f>D108-F108</f>
        <v>4660.75</v>
      </c>
    </row>
    <row r="109" spans="1:7" ht="11.25" hidden="1" customHeight="1" x14ac:dyDescent="0.25">
      <c r="A109" s="554" t="s">
        <v>1322</v>
      </c>
      <c r="B109" s="543">
        <v>0</v>
      </c>
      <c r="C109" s="543">
        <v>36290476.740000002</v>
      </c>
      <c r="D109" s="543">
        <v>532700</v>
      </c>
      <c r="E109" s="544">
        <f>IF(B109=0,1,C109/(B109+C109))</f>
        <v>1</v>
      </c>
      <c r="F109" s="545">
        <f>D109*E109</f>
        <v>532700</v>
      </c>
      <c r="G109" s="545">
        <f>D109-F109</f>
        <v>0</v>
      </c>
    </row>
    <row r="110" spans="1:7" ht="11.25" hidden="1" customHeight="1" x14ac:dyDescent="0.25">
      <c r="A110" s="554" t="s">
        <v>1323</v>
      </c>
      <c r="B110" s="543">
        <v>0</v>
      </c>
      <c r="C110" s="543">
        <v>9766889.7899999991</v>
      </c>
      <c r="D110" s="543">
        <v>0</v>
      </c>
      <c r="E110" s="544">
        <f>IF(B110=0,1,C110/(B110+C110))</f>
        <v>1</v>
      </c>
      <c r="F110" s="545">
        <f>D110*E110</f>
        <v>0</v>
      </c>
      <c r="G110" s="545">
        <f>D110-F110</f>
        <v>0</v>
      </c>
    </row>
    <row r="111" spans="1:7" ht="11.25" hidden="1" customHeight="1" x14ac:dyDescent="0.25">
      <c r="A111" s="554" t="s">
        <v>1324</v>
      </c>
      <c r="B111" s="543">
        <v>0</v>
      </c>
      <c r="C111" s="543">
        <v>5713222.2199999997</v>
      </c>
      <c r="D111" s="543">
        <v>16400</v>
      </c>
      <c r="E111" s="544">
        <f t="shared" si="6"/>
        <v>1</v>
      </c>
      <c r="F111" s="545">
        <f>D111*E111</f>
        <v>16400</v>
      </c>
      <c r="G111" s="545">
        <f>D111-F111</f>
        <v>0</v>
      </c>
    </row>
    <row r="112" spans="1:7" ht="12.75" hidden="1" customHeight="1" x14ac:dyDescent="0.25">
      <c r="A112" s="548" t="s">
        <v>1218</v>
      </c>
      <c r="B112" s="549">
        <f>SUM(B107:B111)</f>
        <v>1770134.89</v>
      </c>
      <c r="C112" s="549">
        <f>SUM(C107:C111)</f>
        <v>151759977.31</v>
      </c>
      <c r="D112" s="549">
        <f>SUM(D107:D111)</f>
        <v>2090200</v>
      </c>
      <c r="E112" s="544">
        <f t="shared" si="6"/>
        <v>0.98847043840000004</v>
      </c>
      <c r="F112" s="549">
        <f>SUM(F107:F111)</f>
        <v>2072010.38</v>
      </c>
      <c r="G112" s="549">
        <f>SUM(G107:G111)</f>
        <v>18189.62</v>
      </c>
    </row>
    <row r="113" spans="1:7" hidden="1" x14ac:dyDescent="0.25">
      <c r="B113" s="550">
        <v>1770134.89</v>
      </c>
      <c r="C113" s="550">
        <v>151759977.31</v>
      </c>
      <c r="D113" s="550">
        <f>2090.2*1000</f>
        <v>2090200</v>
      </c>
      <c r="E113" s="551"/>
      <c r="F113" s="550"/>
      <c r="G113" s="550"/>
    </row>
    <row r="114" spans="1:7" hidden="1" x14ac:dyDescent="0.25">
      <c r="B114" s="552">
        <f>B112-B113</f>
        <v>0</v>
      </c>
      <c r="C114" s="552">
        <f>C112-C113</f>
        <v>0</v>
      </c>
      <c r="D114" s="552">
        <f>D112-D113</f>
        <v>0</v>
      </c>
      <c r="E114" s="551"/>
      <c r="F114" s="552"/>
      <c r="G114" s="552"/>
    </row>
    <row r="115" spans="1:7" hidden="1" x14ac:dyDescent="0.25">
      <c r="A115" s="554" t="s">
        <v>1325</v>
      </c>
      <c r="B115" s="543">
        <v>0</v>
      </c>
      <c r="C115" s="543">
        <v>6540451.2300000004</v>
      </c>
      <c r="D115" s="543">
        <f>'[4]налоги проект допы, цмппс'!$B$13*1000</f>
        <v>8100</v>
      </c>
      <c r="E115" s="544">
        <f>IF(B115=0,1,C115/(B115+C115))</f>
        <v>1</v>
      </c>
      <c r="F115" s="545">
        <f>D115*E115</f>
        <v>8100</v>
      </c>
      <c r="G115" s="545">
        <f>D115-F115</f>
        <v>0</v>
      </c>
    </row>
    <row r="116" spans="1:7" ht="12.75" hidden="1" x14ac:dyDescent="0.25">
      <c r="A116" s="548" t="s">
        <v>1326</v>
      </c>
      <c r="B116" s="549">
        <f>B38+B96+B112+B115</f>
        <v>34905644.390000001</v>
      </c>
      <c r="C116" s="549">
        <f>C38+C96+C112+C115</f>
        <v>2519737208.6799998</v>
      </c>
      <c r="D116" s="549">
        <f>D38+D96+D112+D115</f>
        <v>135111485.30000001</v>
      </c>
      <c r="E116" s="544">
        <f>IF(B116=0,1,C116/(B116+C116))</f>
        <v>0.98633638970000004</v>
      </c>
      <c r="F116" s="549">
        <f>F38+F96+F112+F115</f>
        <v>133530120.34999999</v>
      </c>
      <c r="G116" s="549">
        <f>G38+G96+G112+G115</f>
        <v>1581364.95</v>
      </c>
    </row>
    <row r="117" spans="1:7" x14ac:dyDescent="0.25">
      <c r="B117" s="550"/>
      <c r="C117" s="550"/>
      <c r="D117" s="550"/>
      <c r="E117" s="550"/>
      <c r="F117" s="550"/>
      <c r="G117" s="550"/>
    </row>
  </sheetData>
  <mergeCells count="7">
    <mergeCell ref="G4:G5"/>
    <mergeCell ref="A4:A5"/>
    <mergeCell ref="B4:B5"/>
    <mergeCell ref="C4:C5"/>
    <mergeCell ref="D4:D5"/>
    <mergeCell ref="E4:E5"/>
    <mergeCell ref="F4:F5"/>
  </mergeCells>
  <pageMargins left="0.75" right="0.75" top="1" bottom="1" header="0.5" footer="0.5"/>
  <pageSetup paperSize="9" scale="80" orientation="landscape" horizontalDpi="1200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O51"/>
  <sheetViews>
    <sheetView zoomScale="80" zoomScaleNormal="80" zoomScaleSheetLayoutView="90" workbookViewId="0">
      <pane xSplit="1" ySplit="9" topLeftCell="DM36" activePane="bottomRight" state="frozen"/>
      <selection activeCell="LX47" sqref="LX47"/>
      <selection pane="topRight" activeCell="LX47" sqref="LX47"/>
      <selection pane="bottomLeft" activeCell="LX47" sqref="LX47"/>
      <selection pane="bottomRight" activeCell="DI76" sqref="DI76"/>
    </sheetView>
  </sheetViews>
  <sheetFormatPr defaultRowHeight="15" x14ac:dyDescent="0.25"/>
  <cols>
    <col min="1" max="1" width="24.140625" style="228" customWidth="1"/>
    <col min="2" max="3" width="10.28515625" style="444" bestFit="1" customWidth="1"/>
    <col min="4" max="11" width="9.140625" style="444"/>
    <col min="12" max="12" width="11.42578125" style="444" customWidth="1"/>
    <col min="13" max="13" width="19" style="444" customWidth="1"/>
    <col min="14" max="14" width="12.85546875" style="444" bestFit="1" customWidth="1"/>
    <col min="15" max="15" width="10.7109375" style="444" bestFit="1" customWidth="1"/>
    <col min="16" max="16" width="12" style="444" customWidth="1"/>
    <col min="17" max="18" width="11.5703125" style="444" bestFit="1" customWidth="1"/>
    <col min="19" max="19" width="9.140625" style="444"/>
    <col min="20" max="20" width="32.85546875" style="444" customWidth="1"/>
    <col min="21" max="38" width="9.140625" style="444"/>
    <col min="39" max="40" width="11.5703125" style="444" bestFit="1" customWidth="1"/>
    <col min="41" max="41" width="13.7109375" style="444" bestFit="1" customWidth="1"/>
    <col min="42" max="42" width="12.85546875" style="444" bestFit="1" customWidth="1"/>
    <col min="43" max="43" width="10.140625" style="444" bestFit="1" customWidth="1"/>
    <col min="44" max="45" width="9.140625" style="444"/>
    <col min="46" max="46" width="14.85546875" style="444" bestFit="1" customWidth="1"/>
    <col min="47" max="47" width="9.140625" style="444"/>
    <col min="48" max="48" width="12" style="444" bestFit="1" customWidth="1"/>
    <col min="49" max="50" width="12.85546875" style="444" bestFit="1" customWidth="1"/>
    <col min="51" max="51" width="9.140625" style="444"/>
    <col min="52" max="52" width="14.85546875" style="444" bestFit="1" customWidth="1"/>
    <col min="53" max="53" width="11.5703125" style="444" customWidth="1"/>
    <col min="54" max="54" width="12" style="444" bestFit="1" customWidth="1"/>
    <col min="55" max="55" width="11.5703125" style="444" bestFit="1" customWidth="1"/>
    <col min="56" max="56" width="12" style="444" bestFit="1" customWidth="1"/>
    <col min="57" max="57" width="13.7109375" style="444" bestFit="1" customWidth="1"/>
    <col min="58" max="58" width="12.85546875" style="444" bestFit="1" customWidth="1"/>
    <col min="59" max="59" width="11.5703125" style="444" bestFit="1" customWidth="1"/>
    <col min="60" max="62" width="14.85546875" style="444" bestFit="1" customWidth="1"/>
    <col min="63" max="70" width="9.140625" style="444"/>
    <col min="71" max="73" width="11.5703125" style="444" bestFit="1" customWidth="1"/>
    <col min="74" max="75" width="10.28515625" style="444" bestFit="1" customWidth="1"/>
    <col min="76" max="76" width="11.42578125" style="444" bestFit="1" customWidth="1"/>
    <col min="77" max="77" width="9.140625" style="444"/>
    <col min="78" max="79" width="11.5703125" style="444" bestFit="1" customWidth="1"/>
    <col min="80" max="81" width="9.140625" style="444"/>
    <col min="82" max="82" width="11.5703125" style="444" bestFit="1" customWidth="1"/>
    <col min="83" max="84" width="9.140625" style="444"/>
    <col min="85" max="86" width="11.5703125" style="444" bestFit="1" customWidth="1"/>
    <col min="87" max="87" width="12.85546875" style="444" bestFit="1" customWidth="1"/>
    <col min="88" max="88" width="1.42578125" style="444" customWidth="1"/>
    <col min="89" max="89" width="14.85546875" style="444" bestFit="1" customWidth="1"/>
    <col min="90" max="90" width="4.85546875" style="444" customWidth="1"/>
    <col min="91" max="106" width="9.140625" style="444"/>
    <col min="107" max="107" width="9.140625" style="271"/>
    <col min="108" max="108" width="12.28515625" style="444" bestFit="1" customWidth="1"/>
    <col min="109" max="109" width="14.28515625" style="444" customWidth="1"/>
    <col min="110" max="120" width="9.140625" style="444"/>
    <col min="121" max="121" width="12.28515625" style="444" bestFit="1" customWidth="1"/>
    <col min="122" max="122" width="13.7109375" style="444" customWidth="1"/>
    <col min="123" max="133" width="9.140625" style="444"/>
    <col min="134" max="134" width="12.28515625" style="444" bestFit="1" customWidth="1"/>
    <col min="135" max="135" width="13.140625" style="444" customWidth="1"/>
    <col min="136" max="143" width="9.140625" style="444"/>
    <col min="144" max="144" width="9.85546875" style="444" bestFit="1" customWidth="1"/>
    <col min="145" max="16384" width="9.140625" style="444"/>
  </cols>
  <sheetData>
    <row r="1" spans="1:145" ht="21" customHeight="1" x14ac:dyDescent="0.25">
      <c r="A1" s="994"/>
    </row>
    <row r="2" spans="1:145" ht="15.75" customHeight="1" x14ac:dyDescent="0.25">
      <c r="A2" s="995" t="s">
        <v>1698</v>
      </c>
    </row>
    <row r="3" spans="1:145" ht="19.5" customHeight="1" x14ac:dyDescent="0.25">
      <c r="A3" s="1629" t="s">
        <v>1699</v>
      </c>
      <c r="B3" s="1631" t="s">
        <v>1700</v>
      </c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1631"/>
      <c r="P3" s="1631"/>
      <c r="Q3" s="1631"/>
      <c r="R3" s="1631"/>
      <c r="S3" s="1631"/>
      <c r="T3" s="1631"/>
      <c r="U3" s="1631"/>
      <c r="V3" s="1631"/>
      <c r="W3" s="1631"/>
      <c r="X3" s="1631"/>
      <c r="Y3" s="1631"/>
      <c r="Z3" s="1631"/>
      <c r="AA3" s="1631"/>
      <c r="AB3" s="1631"/>
      <c r="AC3" s="1631"/>
      <c r="AD3" s="1631"/>
      <c r="AE3" s="1631"/>
      <c r="AF3" s="1631"/>
      <c r="AG3" s="1631"/>
      <c r="AH3" s="1631"/>
      <c r="AI3" s="1631"/>
      <c r="AJ3" s="1631"/>
      <c r="AK3" s="1631"/>
      <c r="AL3" s="1631"/>
      <c r="AM3" s="1631"/>
      <c r="AN3" s="1631"/>
      <c r="AO3" s="1631"/>
      <c r="AP3" s="1631"/>
      <c r="AQ3" s="1631"/>
      <c r="AR3" s="1631"/>
      <c r="AS3" s="1631"/>
      <c r="AT3" s="1631"/>
      <c r="AU3" s="1631"/>
      <c r="AV3" s="1631"/>
      <c r="AW3" s="1631"/>
      <c r="AX3" s="1631"/>
      <c r="AY3" s="1631"/>
      <c r="AZ3" s="1631"/>
      <c r="BA3" s="1631"/>
      <c r="BB3" s="1631"/>
      <c r="BC3" s="1631"/>
      <c r="BD3" s="1631"/>
      <c r="BE3" s="1631"/>
      <c r="BF3" s="1631"/>
      <c r="BG3" s="1631"/>
      <c r="BH3" s="1631"/>
      <c r="BI3" s="1631"/>
      <c r="BJ3" s="1631"/>
      <c r="BK3" s="996"/>
      <c r="BL3" s="1631" t="s">
        <v>1701</v>
      </c>
      <c r="BM3" s="1631"/>
      <c r="BN3" s="1631"/>
      <c r="BO3" s="1631"/>
      <c r="BP3" s="1631"/>
      <c r="BQ3" s="1631"/>
      <c r="BR3" s="1631"/>
      <c r="BS3" s="1631"/>
      <c r="BT3" s="1631"/>
      <c r="BU3" s="1631"/>
      <c r="BV3" s="1631"/>
      <c r="BW3" s="1631"/>
      <c r="BX3" s="1631"/>
      <c r="BY3" s="1631"/>
      <c r="BZ3" s="1631"/>
      <c r="CA3" s="1631"/>
      <c r="CB3" s="1631"/>
      <c r="CC3" s="1631"/>
      <c r="CD3" s="1631"/>
      <c r="CE3" s="1631"/>
      <c r="CF3" s="1631"/>
      <c r="CG3" s="1631"/>
      <c r="CH3" s="1631"/>
      <c r="CI3" s="1631"/>
      <c r="CJ3" s="996"/>
      <c r="CK3" s="1610" t="s">
        <v>1702</v>
      </c>
      <c r="CL3" s="996"/>
      <c r="CM3" s="1632" t="s">
        <v>1703</v>
      </c>
      <c r="CN3" s="1632"/>
      <c r="CO3" s="1632"/>
      <c r="CP3" s="1632"/>
      <c r="CQ3" s="1632"/>
      <c r="CR3" s="1632"/>
      <c r="CS3" s="1632"/>
      <c r="CT3" s="1632"/>
      <c r="CU3" s="1632"/>
      <c r="CV3" s="1632"/>
      <c r="CW3" s="1632"/>
      <c r="CX3" s="1632"/>
      <c r="CY3" s="1632"/>
      <c r="CZ3" s="1632"/>
      <c r="DA3" s="1632"/>
      <c r="DB3" s="1632"/>
      <c r="DC3" s="996"/>
      <c r="DD3" s="1619" t="s">
        <v>1043</v>
      </c>
      <c r="DE3" s="1619"/>
      <c r="DF3" s="1619"/>
      <c r="DG3" s="1619"/>
      <c r="DH3" s="1619"/>
      <c r="DI3" s="1619"/>
      <c r="DJ3" s="1619"/>
      <c r="DK3" s="1619"/>
      <c r="DL3" s="1619"/>
      <c r="DM3" s="1619"/>
      <c r="DN3" s="1619"/>
      <c r="DO3" s="1619"/>
      <c r="DP3" s="996"/>
      <c r="DQ3" s="1619" t="s">
        <v>1044</v>
      </c>
      <c r="DR3" s="1619"/>
      <c r="DS3" s="1619"/>
      <c r="DT3" s="1619"/>
      <c r="DU3" s="1619"/>
      <c r="DV3" s="1619"/>
      <c r="DW3" s="1619"/>
      <c r="DX3" s="1619"/>
      <c r="DY3" s="1619"/>
      <c r="DZ3" s="1619"/>
      <c r="EA3" s="1619"/>
      <c r="EB3" s="1619"/>
      <c r="EC3" s="996"/>
      <c r="ED3" s="1619" t="s">
        <v>1704</v>
      </c>
      <c r="EE3" s="1619"/>
      <c r="EF3" s="1619"/>
      <c r="EG3" s="1619"/>
      <c r="EH3" s="1619"/>
      <c r="EI3" s="1619"/>
      <c r="EJ3" s="1619"/>
      <c r="EK3" s="1619"/>
      <c r="EL3" s="1619"/>
      <c r="EM3" s="1619"/>
      <c r="EN3" s="1619"/>
      <c r="EO3" s="1619"/>
    </row>
    <row r="4" spans="1:145" s="228" customFormat="1" ht="21" customHeight="1" x14ac:dyDescent="0.25">
      <c r="A4" s="1630"/>
      <c r="B4" s="1602" t="s">
        <v>1705</v>
      </c>
      <c r="C4" s="1602"/>
      <c r="D4" s="1602"/>
      <c r="E4" s="1602"/>
      <c r="F4" s="1602"/>
      <c r="G4" s="1602"/>
      <c r="H4" s="1602"/>
      <c r="I4" s="1602"/>
      <c r="J4" s="1602"/>
      <c r="K4" s="1602"/>
      <c r="L4" s="1620" t="s">
        <v>1706</v>
      </c>
      <c r="M4" s="1620" t="s">
        <v>1707</v>
      </c>
      <c r="N4" s="1602" t="s">
        <v>1708</v>
      </c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2"/>
      <c r="Z4" s="1602"/>
      <c r="AA4" s="1602"/>
      <c r="AB4" s="1602"/>
      <c r="AC4" s="1602"/>
      <c r="AD4" s="1602"/>
      <c r="AE4" s="1602"/>
      <c r="AF4" s="1602"/>
      <c r="AG4" s="1622" t="s">
        <v>1709</v>
      </c>
      <c r="AH4" s="1623"/>
      <c r="AI4" s="1623"/>
      <c r="AJ4" s="1623"/>
      <c r="AK4" s="1623"/>
      <c r="AL4" s="1623"/>
      <c r="AM4" s="1623"/>
      <c r="AN4" s="1623"/>
      <c r="AO4" s="1623"/>
      <c r="AP4" s="1623"/>
      <c r="AQ4" s="1623"/>
      <c r="AR4" s="1623"/>
      <c r="AS4" s="1624"/>
      <c r="AT4" s="1625" t="s">
        <v>1710</v>
      </c>
      <c r="AU4" s="1625"/>
      <c r="AV4" s="1625"/>
      <c r="AW4" s="1625"/>
      <c r="AX4" s="1625"/>
      <c r="AY4" s="1625"/>
      <c r="AZ4" s="1625"/>
      <c r="BA4" s="1625"/>
      <c r="BB4" s="1625"/>
      <c r="BC4" s="1625"/>
      <c r="BD4" s="1625"/>
      <c r="BE4" s="1625"/>
      <c r="BF4" s="1625"/>
      <c r="BG4" s="1625"/>
      <c r="BH4" s="1625"/>
      <c r="BI4" s="1625"/>
      <c r="BJ4" s="1625"/>
      <c r="BK4" s="997"/>
      <c r="BL4" s="1602" t="s">
        <v>1709</v>
      </c>
      <c r="BM4" s="1602"/>
      <c r="BN4" s="1602"/>
      <c r="BO4" s="1602"/>
      <c r="BP4" s="1602"/>
      <c r="BQ4" s="1602"/>
      <c r="BR4" s="1606" t="s">
        <v>1711</v>
      </c>
      <c r="BS4" s="1602" t="s">
        <v>1712</v>
      </c>
      <c r="BT4" s="1616" t="s">
        <v>31</v>
      </c>
      <c r="BU4" s="1617"/>
      <c r="BV4" s="1617"/>
      <c r="BW4" s="1617"/>
      <c r="BX4" s="1617"/>
      <c r="BY4" s="1617"/>
      <c r="BZ4" s="1617"/>
      <c r="CA4" s="1617"/>
      <c r="CB4" s="1617"/>
      <c r="CC4" s="1618"/>
      <c r="CD4" s="1602" t="s">
        <v>1713</v>
      </c>
      <c r="CE4" s="1616" t="s">
        <v>31</v>
      </c>
      <c r="CF4" s="1617"/>
      <c r="CG4" s="1617"/>
      <c r="CH4" s="1618"/>
      <c r="CI4" s="1602" t="s">
        <v>1714</v>
      </c>
      <c r="CJ4" s="997"/>
      <c r="CK4" s="1610"/>
      <c r="CL4" s="997"/>
      <c r="CM4" s="1610" t="s">
        <v>1715</v>
      </c>
      <c r="CN4" s="1602" t="s">
        <v>31</v>
      </c>
      <c r="CO4" s="1602"/>
      <c r="CP4" s="1602"/>
      <c r="CQ4" s="1602"/>
      <c r="CR4" s="1602"/>
      <c r="CS4" s="1602"/>
      <c r="CT4" s="1602"/>
      <c r="CU4" s="1602"/>
      <c r="CV4" s="1602"/>
      <c r="CW4" s="1602"/>
      <c r="CX4" s="1602"/>
      <c r="CY4" s="1602"/>
      <c r="CZ4" s="1602"/>
      <c r="DA4" s="1602"/>
      <c r="DB4" s="1602"/>
      <c r="DC4" s="997"/>
      <c r="DD4" s="1607" t="s">
        <v>1716</v>
      </c>
      <c r="DE4" s="1609" t="s">
        <v>1717</v>
      </c>
      <c r="DF4" s="1608" t="s">
        <v>31</v>
      </c>
      <c r="DG4" s="1608"/>
      <c r="DH4" s="1608"/>
      <c r="DI4" s="1608"/>
      <c r="DJ4" s="1608"/>
      <c r="DK4" s="1608"/>
      <c r="DL4" s="1608"/>
      <c r="DM4" s="1608"/>
      <c r="DN4" s="1608"/>
      <c r="DO4" s="1602" t="s">
        <v>1718</v>
      </c>
      <c r="DP4" s="997"/>
      <c r="DQ4" s="1606" t="s">
        <v>1716</v>
      </c>
      <c r="DR4" s="1610" t="s">
        <v>1717</v>
      </c>
      <c r="DS4" s="1602" t="s">
        <v>31</v>
      </c>
      <c r="DT4" s="1602"/>
      <c r="DU4" s="1602"/>
      <c r="DV4" s="1602"/>
      <c r="DW4" s="1602"/>
      <c r="DX4" s="1602"/>
      <c r="DY4" s="1602"/>
      <c r="DZ4" s="1602"/>
      <c r="EA4" s="1602"/>
      <c r="EB4" s="1602" t="s">
        <v>1718</v>
      </c>
      <c r="EC4" s="997"/>
      <c r="ED4" s="1606" t="s">
        <v>1716</v>
      </c>
      <c r="EE4" s="1610" t="s">
        <v>1717</v>
      </c>
      <c r="EF4" s="1602" t="s">
        <v>31</v>
      </c>
      <c r="EG4" s="1602"/>
      <c r="EH4" s="1602"/>
      <c r="EI4" s="1602"/>
      <c r="EJ4" s="1602"/>
      <c r="EK4" s="1602"/>
      <c r="EL4" s="1602"/>
      <c r="EM4" s="1602"/>
      <c r="EN4" s="1602"/>
      <c r="EO4" s="1602" t="s">
        <v>1718</v>
      </c>
    </row>
    <row r="5" spans="1:145" s="228" customFormat="1" ht="28.5" customHeight="1" x14ac:dyDescent="0.25">
      <c r="A5" s="1630"/>
      <c r="B5" s="1606" t="s">
        <v>1719</v>
      </c>
      <c r="C5" s="1622" t="s">
        <v>1720</v>
      </c>
      <c r="D5" s="1623"/>
      <c r="E5" s="1623"/>
      <c r="F5" s="1623"/>
      <c r="G5" s="1623"/>
      <c r="H5" s="1623"/>
      <c r="I5" s="1623"/>
      <c r="J5" s="1623"/>
      <c r="K5" s="1624"/>
      <c r="L5" s="1621"/>
      <c r="M5" s="1621"/>
      <c r="N5" s="1626" t="s">
        <v>1721</v>
      </c>
      <c r="O5" s="1616" t="s">
        <v>31</v>
      </c>
      <c r="P5" s="1617"/>
      <c r="Q5" s="1617"/>
      <c r="R5" s="1617"/>
      <c r="S5" s="1617"/>
      <c r="T5" s="1618"/>
      <c r="U5" s="1608" t="s">
        <v>1722</v>
      </c>
      <c r="V5" s="1608"/>
      <c r="W5" s="1608"/>
      <c r="X5" s="1608"/>
      <c r="Y5" s="1608"/>
      <c r="Z5" s="1608"/>
      <c r="AA5" s="1608"/>
      <c r="AB5" s="1608"/>
      <c r="AC5" s="1608"/>
      <c r="AD5" s="1608"/>
      <c r="AE5" s="1608"/>
      <c r="AF5" s="1608"/>
      <c r="AG5" s="1606" t="s">
        <v>1723</v>
      </c>
      <c r="AH5" s="1606" t="s">
        <v>1724</v>
      </c>
      <c r="AI5" s="1633" t="s">
        <v>1725</v>
      </c>
      <c r="AJ5" s="1633" t="s">
        <v>1726</v>
      </c>
      <c r="AK5" s="1606" t="s">
        <v>1727</v>
      </c>
      <c r="AL5" s="1606" t="s">
        <v>1728</v>
      </c>
      <c r="AM5" s="1636" t="s">
        <v>1729</v>
      </c>
      <c r="AN5" s="1606" t="s">
        <v>1730</v>
      </c>
      <c r="AO5" s="1606" t="s">
        <v>1731</v>
      </c>
      <c r="AP5" s="1612" t="s">
        <v>1732</v>
      </c>
      <c r="AQ5" s="1601" t="s">
        <v>1733</v>
      </c>
      <c r="AR5" s="1601"/>
      <c r="AS5" s="1612" t="s">
        <v>1734</v>
      </c>
      <c r="AT5" s="1608" t="s">
        <v>1735</v>
      </c>
      <c r="AU5" s="1608"/>
      <c r="AV5" s="1608"/>
      <c r="AW5" s="1608"/>
      <c r="AX5" s="1608"/>
      <c r="AY5" s="1608"/>
      <c r="AZ5" s="1608"/>
      <c r="BA5" s="1602" t="s">
        <v>1736</v>
      </c>
      <c r="BB5" s="1602" t="s">
        <v>1737</v>
      </c>
      <c r="BC5" s="1602" t="s">
        <v>1738</v>
      </c>
      <c r="BD5" s="1602" t="s">
        <v>1739</v>
      </c>
      <c r="BE5" s="1611" t="s">
        <v>1740</v>
      </c>
      <c r="BF5" s="1611" t="s">
        <v>1741</v>
      </c>
      <c r="BG5" s="1611" t="s">
        <v>1742</v>
      </c>
      <c r="BH5" s="1602" t="s">
        <v>1743</v>
      </c>
      <c r="BI5" s="1602" t="s">
        <v>1744</v>
      </c>
      <c r="BJ5" s="1602" t="s">
        <v>1745</v>
      </c>
      <c r="BK5" s="997"/>
      <c r="BL5" s="1602" t="s">
        <v>1746</v>
      </c>
      <c r="BM5" s="1602"/>
      <c r="BN5" s="1602"/>
      <c r="BO5" s="1602"/>
      <c r="BP5" s="1602"/>
      <c r="BQ5" s="1602"/>
      <c r="BR5" s="1607"/>
      <c r="BS5" s="1602"/>
      <c r="BT5" s="1615" t="s">
        <v>1747</v>
      </c>
      <c r="BU5" s="1615"/>
      <c r="BV5" s="1615" t="s">
        <v>1748</v>
      </c>
      <c r="BW5" s="1615"/>
      <c r="BX5" s="1615" t="s">
        <v>1749</v>
      </c>
      <c r="BY5" s="1615"/>
      <c r="BZ5" s="1615" t="s">
        <v>1750</v>
      </c>
      <c r="CA5" s="1615"/>
      <c r="CB5" s="1615" t="s">
        <v>1751</v>
      </c>
      <c r="CC5" s="1615"/>
      <c r="CD5" s="1602"/>
      <c r="CE5" s="1615">
        <v>310</v>
      </c>
      <c r="CF5" s="1615"/>
      <c r="CG5" s="1615">
        <v>340</v>
      </c>
      <c r="CH5" s="1615"/>
      <c r="CI5" s="1602"/>
      <c r="CJ5" s="997"/>
      <c r="CK5" s="1610"/>
      <c r="CL5" s="997"/>
      <c r="CM5" s="1610"/>
      <c r="CN5" s="1606" t="s">
        <v>1752</v>
      </c>
      <c r="CO5" s="1616" t="s">
        <v>31</v>
      </c>
      <c r="CP5" s="1617"/>
      <c r="CQ5" s="1617"/>
      <c r="CR5" s="1617"/>
      <c r="CS5" s="1617"/>
      <c r="CT5" s="1618"/>
      <c r="CU5" s="1606" t="s">
        <v>1753</v>
      </c>
      <c r="CV5" s="1606" t="s">
        <v>1747</v>
      </c>
      <c r="CW5" s="1606" t="s">
        <v>1748</v>
      </c>
      <c r="CX5" s="1606" t="s">
        <v>1749</v>
      </c>
      <c r="CY5" s="1606" t="s">
        <v>1750</v>
      </c>
      <c r="CZ5" s="1606" t="s">
        <v>1754</v>
      </c>
      <c r="DA5" s="1606" t="s">
        <v>1755</v>
      </c>
      <c r="DB5" s="1606" t="s">
        <v>1756</v>
      </c>
      <c r="DC5" s="997"/>
      <c r="DD5" s="1607"/>
      <c r="DE5" s="1610"/>
      <c r="DF5" s="1606" t="s">
        <v>1752</v>
      </c>
      <c r="DG5" s="1606" t="s">
        <v>1753</v>
      </c>
      <c r="DH5" s="1606" t="s">
        <v>1747</v>
      </c>
      <c r="DI5" s="1606" t="s">
        <v>1748</v>
      </c>
      <c r="DJ5" s="1606" t="s">
        <v>1749</v>
      </c>
      <c r="DK5" s="1606" t="s">
        <v>1750</v>
      </c>
      <c r="DL5" s="1606" t="s">
        <v>1754</v>
      </c>
      <c r="DM5" s="1606" t="s">
        <v>1755</v>
      </c>
      <c r="DN5" s="1606" t="s">
        <v>1756</v>
      </c>
      <c r="DO5" s="1602"/>
      <c r="DP5" s="997"/>
      <c r="DQ5" s="1607"/>
      <c r="DR5" s="1610"/>
      <c r="DS5" s="1606" t="s">
        <v>1752</v>
      </c>
      <c r="DT5" s="1606" t="s">
        <v>1753</v>
      </c>
      <c r="DU5" s="1606" t="s">
        <v>1747</v>
      </c>
      <c r="DV5" s="1606" t="s">
        <v>1748</v>
      </c>
      <c r="DW5" s="1606" t="s">
        <v>1749</v>
      </c>
      <c r="DX5" s="1606" t="s">
        <v>1750</v>
      </c>
      <c r="DY5" s="1606" t="s">
        <v>1754</v>
      </c>
      <c r="DZ5" s="1606" t="s">
        <v>1755</v>
      </c>
      <c r="EA5" s="1606" t="s">
        <v>1756</v>
      </c>
      <c r="EB5" s="1602"/>
      <c r="EC5" s="997"/>
      <c r="ED5" s="1607"/>
      <c r="EE5" s="1610"/>
      <c r="EF5" s="1606" t="s">
        <v>1752</v>
      </c>
      <c r="EG5" s="1606" t="s">
        <v>1753</v>
      </c>
      <c r="EH5" s="1606" t="s">
        <v>1747</v>
      </c>
      <c r="EI5" s="1606" t="s">
        <v>1748</v>
      </c>
      <c r="EJ5" s="1606" t="s">
        <v>1749</v>
      </c>
      <c r="EK5" s="1606" t="s">
        <v>1750</v>
      </c>
      <c r="EL5" s="1606" t="s">
        <v>1754</v>
      </c>
      <c r="EM5" s="1606" t="s">
        <v>1755</v>
      </c>
      <c r="EN5" s="1606" t="s">
        <v>1756</v>
      </c>
      <c r="EO5" s="1602"/>
    </row>
    <row r="6" spans="1:145" s="9" customFormat="1" ht="17.25" customHeight="1" x14ac:dyDescent="0.25">
      <c r="A6" s="1630"/>
      <c r="B6" s="1607"/>
      <c r="C6" s="1602" t="s">
        <v>1757</v>
      </c>
      <c r="D6" s="1602" t="s">
        <v>31</v>
      </c>
      <c r="E6" s="1602"/>
      <c r="F6" s="1602"/>
      <c r="G6" s="1602"/>
      <c r="H6" s="1602"/>
      <c r="I6" s="1602"/>
      <c r="J6" s="1602"/>
      <c r="K6" s="1602"/>
      <c r="L6" s="1621"/>
      <c r="M6" s="1621"/>
      <c r="N6" s="1627"/>
      <c r="O6" s="1605" t="s">
        <v>1758</v>
      </c>
      <c r="P6" s="1605" t="s">
        <v>1759</v>
      </c>
      <c r="Q6" s="1605" t="s">
        <v>1760</v>
      </c>
      <c r="R6" s="1605" t="s">
        <v>1761</v>
      </c>
      <c r="S6" s="1605" t="s">
        <v>1762</v>
      </c>
      <c r="T6" s="1605" t="s">
        <v>1763</v>
      </c>
      <c r="U6" s="1602" t="s">
        <v>1764</v>
      </c>
      <c r="V6" s="1606" t="s">
        <v>1765</v>
      </c>
      <c r="W6" s="1602" t="s">
        <v>31</v>
      </c>
      <c r="X6" s="1602"/>
      <c r="Y6" s="1602"/>
      <c r="Z6" s="1602"/>
      <c r="AA6" s="1602"/>
      <c r="AB6" s="1602"/>
      <c r="AC6" s="1602"/>
      <c r="AD6" s="1602"/>
      <c r="AE6" s="1602"/>
      <c r="AF6" s="1602"/>
      <c r="AG6" s="1607"/>
      <c r="AH6" s="1607"/>
      <c r="AI6" s="1634"/>
      <c r="AJ6" s="1634"/>
      <c r="AK6" s="1607"/>
      <c r="AL6" s="1607"/>
      <c r="AM6" s="1637"/>
      <c r="AN6" s="1607"/>
      <c r="AO6" s="1607"/>
      <c r="AP6" s="1613"/>
      <c r="AQ6" s="1601" t="s">
        <v>1766</v>
      </c>
      <c r="AR6" s="1601" t="s">
        <v>1767</v>
      </c>
      <c r="AS6" s="1613"/>
      <c r="AT6" s="1602" t="s">
        <v>1721</v>
      </c>
      <c r="AU6" s="1616" t="s">
        <v>31</v>
      </c>
      <c r="AV6" s="1617"/>
      <c r="AW6" s="1617"/>
      <c r="AX6" s="1617"/>
      <c r="AY6" s="1617"/>
      <c r="AZ6" s="1618"/>
      <c r="BA6" s="1602"/>
      <c r="BB6" s="1602"/>
      <c r="BC6" s="1602"/>
      <c r="BD6" s="1602"/>
      <c r="BE6" s="1611"/>
      <c r="BF6" s="1611"/>
      <c r="BG6" s="1611"/>
      <c r="BH6" s="1602"/>
      <c r="BI6" s="1602"/>
      <c r="BJ6" s="1602"/>
      <c r="BK6" s="997"/>
      <c r="BL6" s="1602" t="s">
        <v>265</v>
      </c>
      <c r="BM6" s="1602" t="s">
        <v>31</v>
      </c>
      <c r="BN6" s="1602"/>
      <c r="BO6" s="1602"/>
      <c r="BP6" s="1602"/>
      <c r="BQ6" s="1602"/>
      <c r="BR6" s="1607"/>
      <c r="BS6" s="1602"/>
      <c r="BT6" s="1615"/>
      <c r="BU6" s="1615"/>
      <c r="BV6" s="1615"/>
      <c r="BW6" s="1615"/>
      <c r="BX6" s="1615"/>
      <c r="BY6" s="1615"/>
      <c r="BZ6" s="1615"/>
      <c r="CA6" s="1615"/>
      <c r="CB6" s="1615"/>
      <c r="CC6" s="1615"/>
      <c r="CD6" s="1602"/>
      <c r="CE6" s="1615"/>
      <c r="CF6" s="1615"/>
      <c r="CG6" s="1615"/>
      <c r="CH6" s="1615"/>
      <c r="CI6" s="1602"/>
      <c r="CJ6" s="997"/>
      <c r="CK6" s="1610"/>
      <c r="CL6" s="997"/>
      <c r="CM6" s="1610"/>
      <c r="CN6" s="1607"/>
      <c r="CO6" s="1602" t="s">
        <v>1768</v>
      </c>
      <c r="CP6" s="1602" t="s">
        <v>1769</v>
      </c>
      <c r="CQ6" s="1602" t="s">
        <v>1770</v>
      </c>
      <c r="CR6" s="1602" t="s">
        <v>1771</v>
      </c>
      <c r="CS6" s="1602" t="s">
        <v>1772</v>
      </c>
      <c r="CT6" s="1602" t="s">
        <v>1773</v>
      </c>
      <c r="CU6" s="1607"/>
      <c r="CV6" s="1607"/>
      <c r="CW6" s="1607"/>
      <c r="CX6" s="1607"/>
      <c r="CY6" s="1607"/>
      <c r="CZ6" s="1607"/>
      <c r="DA6" s="1607"/>
      <c r="DB6" s="1607"/>
      <c r="DC6" s="997"/>
      <c r="DD6" s="1607"/>
      <c r="DE6" s="1610"/>
      <c r="DF6" s="1607"/>
      <c r="DG6" s="1607"/>
      <c r="DH6" s="1607"/>
      <c r="DI6" s="1607"/>
      <c r="DJ6" s="1607"/>
      <c r="DK6" s="1607"/>
      <c r="DL6" s="1607"/>
      <c r="DM6" s="1607"/>
      <c r="DN6" s="1607"/>
      <c r="DO6" s="1602"/>
      <c r="DP6" s="997"/>
      <c r="DQ6" s="1607"/>
      <c r="DR6" s="1610"/>
      <c r="DS6" s="1607"/>
      <c r="DT6" s="1607"/>
      <c r="DU6" s="1607"/>
      <c r="DV6" s="1607"/>
      <c r="DW6" s="1607"/>
      <c r="DX6" s="1607"/>
      <c r="DY6" s="1607"/>
      <c r="DZ6" s="1607"/>
      <c r="EA6" s="1607"/>
      <c r="EB6" s="1602"/>
      <c r="EC6" s="997"/>
      <c r="ED6" s="1607"/>
      <c r="EE6" s="1610"/>
      <c r="EF6" s="1607"/>
      <c r="EG6" s="1607"/>
      <c r="EH6" s="1607"/>
      <c r="EI6" s="1607"/>
      <c r="EJ6" s="1607"/>
      <c r="EK6" s="1607"/>
      <c r="EL6" s="1607"/>
      <c r="EM6" s="1607"/>
      <c r="EN6" s="1607"/>
      <c r="EO6" s="1602"/>
    </row>
    <row r="7" spans="1:145" s="156" customFormat="1" ht="36.75" customHeight="1" x14ac:dyDescent="0.25">
      <c r="A7" s="1630"/>
      <c r="B7" s="1607"/>
      <c r="C7" s="1602"/>
      <c r="D7" s="1605" t="s">
        <v>1774</v>
      </c>
      <c r="E7" s="1605" t="s">
        <v>1775</v>
      </c>
      <c r="F7" s="1605" t="s">
        <v>1776</v>
      </c>
      <c r="G7" s="1605" t="s">
        <v>1777</v>
      </c>
      <c r="H7" s="1605" t="s">
        <v>1778</v>
      </c>
      <c r="I7" s="1605" t="s">
        <v>1779</v>
      </c>
      <c r="J7" s="1605" t="s">
        <v>1780</v>
      </c>
      <c r="K7" s="1605"/>
      <c r="L7" s="1621"/>
      <c r="M7" s="1621"/>
      <c r="N7" s="1627"/>
      <c r="O7" s="1605"/>
      <c r="P7" s="1605"/>
      <c r="Q7" s="1605"/>
      <c r="R7" s="1605"/>
      <c r="S7" s="1605"/>
      <c r="T7" s="1605"/>
      <c r="U7" s="1602"/>
      <c r="V7" s="1607"/>
      <c r="W7" s="1602" t="s">
        <v>1781</v>
      </c>
      <c r="X7" s="1602"/>
      <c r="Y7" s="1602" t="s">
        <v>1782</v>
      </c>
      <c r="Z7" s="1602"/>
      <c r="AA7" s="1602" t="s">
        <v>1783</v>
      </c>
      <c r="AB7" s="1602"/>
      <c r="AC7" s="1602" t="s">
        <v>1784</v>
      </c>
      <c r="AD7" s="1602"/>
      <c r="AE7" s="1602" t="s">
        <v>1785</v>
      </c>
      <c r="AF7" s="1602"/>
      <c r="AG7" s="1607"/>
      <c r="AH7" s="1607"/>
      <c r="AI7" s="1634"/>
      <c r="AJ7" s="1634"/>
      <c r="AK7" s="1607"/>
      <c r="AL7" s="1607"/>
      <c r="AM7" s="1637"/>
      <c r="AN7" s="1607"/>
      <c r="AO7" s="1607"/>
      <c r="AP7" s="1613"/>
      <c r="AQ7" s="1601"/>
      <c r="AR7" s="1601"/>
      <c r="AS7" s="1613"/>
      <c r="AT7" s="1602"/>
      <c r="AU7" s="1603" t="s">
        <v>1774</v>
      </c>
      <c r="AV7" s="1603" t="s">
        <v>1775</v>
      </c>
      <c r="AW7" s="1605" t="s">
        <v>1776</v>
      </c>
      <c r="AX7" s="1605" t="s">
        <v>1777</v>
      </c>
      <c r="AY7" s="1605" t="s">
        <v>1778</v>
      </c>
      <c r="AZ7" s="1603" t="s">
        <v>1779</v>
      </c>
      <c r="BA7" s="1602"/>
      <c r="BB7" s="1602"/>
      <c r="BC7" s="1602"/>
      <c r="BD7" s="1602"/>
      <c r="BE7" s="1611"/>
      <c r="BF7" s="1611"/>
      <c r="BG7" s="1611"/>
      <c r="BH7" s="1602"/>
      <c r="BI7" s="1602"/>
      <c r="BJ7" s="1602"/>
      <c r="BK7" s="998"/>
      <c r="BL7" s="1602"/>
      <c r="BM7" s="1602" t="s">
        <v>1786</v>
      </c>
      <c r="BN7" s="1602" t="s">
        <v>1782</v>
      </c>
      <c r="BO7" s="1602" t="s">
        <v>1787</v>
      </c>
      <c r="BP7" s="1602" t="s">
        <v>1788</v>
      </c>
      <c r="BQ7" s="1602" t="s">
        <v>1789</v>
      </c>
      <c r="BR7" s="1607"/>
      <c r="BS7" s="1602"/>
      <c r="BT7" s="1615"/>
      <c r="BU7" s="1615"/>
      <c r="BV7" s="1615"/>
      <c r="BW7" s="1615"/>
      <c r="BX7" s="1615"/>
      <c r="BY7" s="1615"/>
      <c r="BZ7" s="1615"/>
      <c r="CA7" s="1615"/>
      <c r="CB7" s="1615"/>
      <c r="CC7" s="1615"/>
      <c r="CD7" s="1602"/>
      <c r="CE7" s="1615"/>
      <c r="CF7" s="1615"/>
      <c r="CG7" s="1615"/>
      <c r="CH7" s="1615"/>
      <c r="CI7" s="1602"/>
      <c r="CJ7" s="998"/>
      <c r="CK7" s="1610"/>
      <c r="CL7" s="998"/>
      <c r="CM7" s="1610"/>
      <c r="CN7" s="1607"/>
      <c r="CO7" s="1602"/>
      <c r="CP7" s="1602"/>
      <c r="CQ7" s="1602"/>
      <c r="CR7" s="1602"/>
      <c r="CS7" s="1602"/>
      <c r="CT7" s="1602"/>
      <c r="CU7" s="1607"/>
      <c r="CV7" s="1607"/>
      <c r="CW7" s="1607"/>
      <c r="CX7" s="1607"/>
      <c r="CY7" s="1607"/>
      <c r="CZ7" s="1607"/>
      <c r="DA7" s="1607"/>
      <c r="DB7" s="1607"/>
      <c r="DC7" s="998"/>
      <c r="DD7" s="1607"/>
      <c r="DE7" s="1610"/>
      <c r="DF7" s="1607"/>
      <c r="DG7" s="1607"/>
      <c r="DH7" s="1607"/>
      <c r="DI7" s="1607"/>
      <c r="DJ7" s="1607"/>
      <c r="DK7" s="1607"/>
      <c r="DL7" s="1607"/>
      <c r="DM7" s="1607"/>
      <c r="DN7" s="1607"/>
      <c r="DO7" s="1602"/>
      <c r="DP7" s="998"/>
      <c r="DQ7" s="1607"/>
      <c r="DR7" s="1610"/>
      <c r="DS7" s="1607"/>
      <c r="DT7" s="1607"/>
      <c r="DU7" s="1607"/>
      <c r="DV7" s="1607"/>
      <c r="DW7" s="1607"/>
      <c r="DX7" s="1607"/>
      <c r="DY7" s="1607"/>
      <c r="DZ7" s="1607"/>
      <c r="EA7" s="1607"/>
      <c r="EB7" s="1602"/>
      <c r="EC7" s="998"/>
      <c r="ED7" s="1607"/>
      <c r="EE7" s="1610"/>
      <c r="EF7" s="1607"/>
      <c r="EG7" s="1607"/>
      <c r="EH7" s="1607"/>
      <c r="EI7" s="1607"/>
      <c r="EJ7" s="1607"/>
      <c r="EK7" s="1607"/>
      <c r="EL7" s="1607"/>
      <c r="EM7" s="1607"/>
      <c r="EN7" s="1607"/>
      <c r="EO7" s="1602"/>
    </row>
    <row r="8" spans="1:145" s="156" customFormat="1" ht="75.75" customHeight="1" x14ac:dyDescent="0.25">
      <c r="A8" s="1403"/>
      <c r="B8" s="1608"/>
      <c r="C8" s="1602"/>
      <c r="D8" s="1605"/>
      <c r="E8" s="1605"/>
      <c r="F8" s="1605"/>
      <c r="G8" s="1605"/>
      <c r="H8" s="1605"/>
      <c r="I8" s="1605"/>
      <c r="J8" s="999" t="s">
        <v>1790</v>
      </c>
      <c r="K8" s="999" t="s">
        <v>1791</v>
      </c>
      <c r="L8" s="1335"/>
      <c r="M8" s="1335"/>
      <c r="N8" s="1628"/>
      <c r="O8" s="1605"/>
      <c r="P8" s="1605"/>
      <c r="Q8" s="1605"/>
      <c r="R8" s="1605"/>
      <c r="S8" s="1605"/>
      <c r="T8" s="1605"/>
      <c r="U8" s="1602"/>
      <c r="V8" s="1608"/>
      <c r="W8" s="1000" t="s">
        <v>1792</v>
      </c>
      <c r="X8" s="1000" t="s">
        <v>1793</v>
      </c>
      <c r="Y8" s="1000" t="s">
        <v>1792</v>
      </c>
      <c r="Z8" s="1000" t="s">
        <v>1793</v>
      </c>
      <c r="AA8" s="1000" t="s">
        <v>1792</v>
      </c>
      <c r="AB8" s="1000" t="s">
        <v>1793</v>
      </c>
      <c r="AC8" s="1000" t="s">
        <v>1792</v>
      </c>
      <c r="AD8" s="1000" t="s">
        <v>1793</v>
      </c>
      <c r="AE8" s="1000" t="s">
        <v>1792</v>
      </c>
      <c r="AF8" s="1000" t="s">
        <v>1793</v>
      </c>
      <c r="AG8" s="1608"/>
      <c r="AH8" s="1608"/>
      <c r="AI8" s="1635"/>
      <c r="AJ8" s="1635"/>
      <c r="AK8" s="1608"/>
      <c r="AL8" s="1608"/>
      <c r="AM8" s="1638"/>
      <c r="AN8" s="1608"/>
      <c r="AO8" s="1608"/>
      <c r="AP8" s="1614"/>
      <c r="AQ8" s="1601"/>
      <c r="AR8" s="1601"/>
      <c r="AS8" s="1614"/>
      <c r="AT8" s="1602"/>
      <c r="AU8" s="1604"/>
      <c r="AV8" s="1604"/>
      <c r="AW8" s="1605"/>
      <c r="AX8" s="1605"/>
      <c r="AY8" s="1605"/>
      <c r="AZ8" s="1604"/>
      <c r="BA8" s="1602"/>
      <c r="BB8" s="1602"/>
      <c r="BC8" s="1602"/>
      <c r="BD8" s="1602"/>
      <c r="BE8" s="1611"/>
      <c r="BF8" s="1611"/>
      <c r="BG8" s="1611"/>
      <c r="BH8" s="1602"/>
      <c r="BI8" s="1602"/>
      <c r="BJ8" s="1602"/>
      <c r="BK8" s="998"/>
      <c r="BL8" s="1602"/>
      <c r="BM8" s="1602"/>
      <c r="BN8" s="1602"/>
      <c r="BO8" s="1602"/>
      <c r="BP8" s="1602"/>
      <c r="BQ8" s="1602"/>
      <c r="BR8" s="1608"/>
      <c r="BS8" s="1602"/>
      <c r="BT8" s="1000" t="s">
        <v>1794</v>
      </c>
      <c r="BU8" s="1000" t="s">
        <v>1795</v>
      </c>
      <c r="BV8" s="1000" t="s">
        <v>1794</v>
      </c>
      <c r="BW8" s="1000" t="s">
        <v>1795</v>
      </c>
      <c r="BX8" s="1000" t="s">
        <v>1794</v>
      </c>
      <c r="BY8" s="1000" t="s">
        <v>1795</v>
      </c>
      <c r="BZ8" s="1000" t="s">
        <v>1794</v>
      </c>
      <c r="CA8" s="1000" t="s">
        <v>1795</v>
      </c>
      <c r="CB8" s="1000" t="s">
        <v>1794</v>
      </c>
      <c r="CC8" s="1000" t="s">
        <v>1795</v>
      </c>
      <c r="CD8" s="1602"/>
      <c r="CE8" s="1000" t="s">
        <v>1794</v>
      </c>
      <c r="CF8" s="1000" t="s">
        <v>1795</v>
      </c>
      <c r="CG8" s="1000" t="s">
        <v>1794</v>
      </c>
      <c r="CH8" s="1000" t="s">
        <v>1795</v>
      </c>
      <c r="CI8" s="1602"/>
      <c r="CJ8" s="998"/>
      <c r="CK8" s="1610"/>
      <c r="CL8" s="998"/>
      <c r="CM8" s="1610"/>
      <c r="CN8" s="1608"/>
      <c r="CO8" s="1602"/>
      <c r="CP8" s="1602"/>
      <c r="CQ8" s="1602"/>
      <c r="CR8" s="1602"/>
      <c r="CS8" s="1602"/>
      <c r="CT8" s="1602"/>
      <c r="CU8" s="1608"/>
      <c r="CV8" s="1608"/>
      <c r="CW8" s="1608"/>
      <c r="CX8" s="1608"/>
      <c r="CY8" s="1608"/>
      <c r="CZ8" s="1608"/>
      <c r="DA8" s="1608"/>
      <c r="DB8" s="1608"/>
      <c r="DC8" s="1001"/>
      <c r="DD8" s="1608"/>
      <c r="DE8" s="1610"/>
      <c r="DF8" s="1608"/>
      <c r="DG8" s="1608"/>
      <c r="DH8" s="1608"/>
      <c r="DI8" s="1608"/>
      <c r="DJ8" s="1608"/>
      <c r="DK8" s="1608"/>
      <c r="DL8" s="1608"/>
      <c r="DM8" s="1608"/>
      <c r="DN8" s="1608"/>
      <c r="DO8" s="1602"/>
      <c r="DP8" s="998"/>
      <c r="DQ8" s="1608"/>
      <c r="DR8" s="1610"/>
      <c r="DS8" s="1608"/>
      <c r="DT8" s="1608"/>
      <c r="DU8" s="1608"/>
      <c r="DV8" s="1608"/>
      <c r="DW8" s="1608"/>
      <c r="DX8" s="1608"/>
      <c r="DY8" s="1608"/>
      <c r="DZ8" s="1608"/>
      <c r="EA8" s="1608"/>
      <c r="EB8" s="1602"/>
      <c r="EC8" s="998"/>
      <c r="ED8" s="1608"/>
      <c r="EE8" s="1610"/>
      <c r="EF8" s="1608"/>
      <c r="EG8" s="1608"/>
      <c r="EH8" s="1608"/>
      <c r="EI8" s="1608"/>
      <c r="EJ8" s="1608"/>
      <c r="EK8" s="1608"/>
      <c r="EL8" s="1608"/>
      <c r="EM8" s="1608"/>
      <c r="EN8" s="1608"/>
      <c r="EO8" s="1602"/>
    </row>
    <row r="9" spans="1:145" s="156" customFormat="1" ht="24" customHeight="1" x14ac:dyDescent="0.25">
      <c r="A9" s="1002"/>
      <c r="B9" s="1003"/>
      <c r="C9" s="1003"/>
      <c r="D9" s="1003"/>
      <c r="E9" s="1003"/>
      <c r="F9" s="1003"/>
      <c r="G9" s="1003"/>
      <c r="H9" s="1003"/>
      <c r="I9" s="1003"/>
      <c r="J9" s="1003"/>
      <c r="K9" s="1003"/>
      <c r="L9" s="1003"/>
      <c r="M9" s="1003"/>
      <c r="N9" s="1004"/>
      <c r="O9" s="1004"/>
      <c r="P9" s="1004"/>
      <c r="Q9" s="1005">
        <v>16242</v>
      </c>
      <c r="R9" s="1005">
        <v>16242</v>
      </c>
      <c r="S9" s="1005">
        <v>16242</v>
      </c>
      <c r="T9" s="1005">
        <f>ROUNDUP(13242*1.04,0)</f>
        <v>13772</v>
      </c>
      <c r="U9" s="1003"/>
      <c r="V9" s="1003"/>
      <c r="W9" s="1003"/>
      <c r="X9" s="1003"/>
      <c r="Y9" s="1003"/>
      <c r="Z9" s="1003"/>
      <c r="AA9" s="1003"/>
      <c r="AB9" s="1003"/>
      <c r="AC9" s="1003"/>
      <c r="AD9" s="1003"/>
      <c r="AE9" s="1003"/>
      <c r="AF9" s="1003"/>
      <c r="AG9" s="1003"/>
      <c r="AH9" s="1003"/>
      <c r="AI9" s="1003"/>
      <c r="AJ9" s="1003"/>
      <c r="AK9" s="1003"/>
      <c r="AL9" s="1003"/>
      <c r="AM9" s="1003"/>
      <c r="AN9" s="1003"/>
      <c r="AO9" s="1003"/>
      <c r="AP9" s="1003"/>
      <c r="AQ9" s="1003"/>
      <c r="AR9" s="1003"/>
      <c r="AS9" s="1003"/>
      <c r="AT9" s="1003"/>
      <c r="AU9" s="1006" t="s">
        <v>1796</v>
      </c>
      <c r="AV9" s="1006" t="s">
        <v>1796</v>
      </c>
      <c r="AW9" s="1006"/>
      <c r="AX9" s="1006"/>
      <c r="AY9" s="1006"/>
      <c r="AZ9" s="1006" t="s">
        <v>1796</v>
      </c>
      <c r="BA9" s="1003"/>
      <c r="BB9" s="1003"/>
      <c r="BC9" s="1005">
        <f>ROUNDUP(7456*1.04,0)</f>
        <v>7755</v>
      </c>
      <c r="BD9" s="1005">
        <f>ROUNDUP(8372*1.04,0)</f>
        <v>8707</v>
      </c>
      <c r="BE9" s="1003"/>
      <c r="BF9" s="1003"/>
      <c r="BG9" s="1003"/>
      <c r="BH9" s="1003"/>
      <c r="BI9" s="1003"/>
      <c r="BJ9" s="1003"/>
      <c r="BK9" s="1007"/>
      <c r="BL9" s="1003"/>
      <c r="BM9" s="1003"/>
      <c r="BN9" s="1003"/>
      <c r="BO9" s="1003"/>
      <c r="BP9" s="1003"/>
      <c r="BQ9" s="1003"/>
      <c r="BR9" s="1003"/>
      <c r="BS9" s="1003"/>
      <c r="BT9" s="1003"/>
      <c r="BU9" s="1003"/>
      <c r="BV9" s="1003"/>
      <c r="BW9" s="1003"/>
      <c r="BX9" s="1003"/>
      <c r="BY9" s="1003"/>
      <c r="BZ9" s="1003"/>
      <c r="CA9" s="1003"/>
      <c r="CB9" s="1003"/>
      <c r="CC9" s="1003"/>
      <c r="CD9" s="1003"/>
      <c r="CE9" s="1003"/>
      <c r="CF9" s="1003"/>
      <c r="CG9" s="1003"/>
      <c r="CH9" s="1003"/>
      <c r="CI9" s="1008"/>
      <c r="CJ9" s="1007"/>
      <c r="CK9" s="1003"/>
      <c r="CL9" s="1007"/>
      <c r="CM9" s="1003"/>
      <c r="CN9" s="1008"/>
      <c r="CO9" s="1008"/>
      <c r="CP9" s="1008"/>
      <c r="CQ9" s="1008"/>
      <c r="CR9" s="1008"/>
      <c r="CS9" s="1008"/>
      <c r="CT9" s="1008"/>
      <c r="CU9" s="1008"/>
      <c r="CV9" s="1008"/>
      <c r="CW9" s="1008"/>
      <c r="CX9" s="1008"/>
      <c r="CY9" s="1008"/>
      <c r="CZ9" s="1008"/>
      <c r="DA9" s="1008"/>
      <c r="DB9" s="1008"/>
      <c r="DC9" s="1009"/>
      <c r="DD9" s="1003"/>
      <c r="DE9" s="1003"/>
      <c r="DF9" s="1008"/>
      <c r="DG9" s="1008"/>
      <c r="DH9" s="1008"/>
      <c r="DI9" s="1008"/>
      <c r="DJ9" s="1008"/>
      <c r="DK9" s="1008"/>
      <c r="DL9" s="1008"/>
      <c r="DM9" s="1008"/>
      <c r="DN9" s="1008"/>
      <c r="DO9" s="1008"/>
      <c r="DP9" s="1007"/>
      <c r="DQ9" s="1003"/>
      <c r="DR9" s="1003"/>
      <c r="DS9" s="1008"/>
      <c r="DT9" s="1008"/>
      <c r="DU9" s="1008"/>
      <c r="DV9" s="1008"/>
      <c r="DW9" s="1008"/>
      <c r="DX9" s="1008"/>
      <c r="DY9" s="1008"/>
      <c r="DZ9" s="1008"/>
      <c r="EA9" s="1008"/>
      <c r="EB9" s="1008"/>
      <c r="EC9" s="1007"/>
      <c r="ED9" s="1003"/>
      <c r="EE9" s="1003"/>
      <c r="EF9" s="1008"/>
      <c r="EG9" s="1008"/>
      <c r="EH9" s="1008"/>
      <c r="EI9" s="1008"/>
      <c r="EJ9" s="1008"/>
      <c r="EK9" s="1008"/>
      <c r="EL9" s="1008"/>
      <c r="EM9" s="1008"/>
      <c r="EN9" s="1008"/>
      <c r="EO9" s="1008"/>
    </row>
    <row r="10" spans="1:145" ht="18.75" hidden="1" x14ac:dyDescent="0.25">
      <c r="A10" s="1010" t="s">
        <v>1797</v>
      </c>
      <c r="B10" s="1011">
        <f t="shared" ref="B10:B40" si="0">C10-J10+L10+M10</f>
        <v>0</v>
      </c>
      <c r="C10" s="1011">
        <f t="shared" ref="C10:C40" si="1">SUM(D10:I10)</f>
        <v>0</v>
      </c>
      <c r="D10" s="1012"/>
      <c r="E10" s="1012"/>
      <c r="F10" s="1012"/>
      <c r="G10" s="1012"/>
      <c r="H10" s="1012"/>
      <c r="I10" s="1012"/>
      <c r="J10" s="1012"/>
      <c r="K10" s="1013">
        <f t="shared" ref="K10:K40" si="2">I10-J10</f>
        <v>0</v>
      </c>
      <c r="L10" s="1013">
        <f t="shared" ref="L10:L40" si="3">W10*1.67+Y10*3.33+AA10*2.4+AC10*2.4+AE10*2</f>
        <v>0</v>
      </c>
      <c r="M10" s="1013">
        <f t="shared" ref="M10:M40" si="4">W10*1.67*0.123288+Y10*3.33*0.123288+AA10*2.4*0.161644+AC10*2.4*0.161644+AE10*2*0.161644</f>
        <v>0</v>
      </c>
      <c r="N10" s="1011">
        <f>SUM(O10:T10)-O10</f>
        <v>0</v>
      </c>
      <c r="O10" s="1012"/>
      <c r="P10" s="1014">
        <f t="shared" ref="P10:P40" si="5">E10*O10*0.9</f>
        <v>0</v>
      </c>
      <c r="Q10" s="1015">
        <f>F10*Q$9</f>
        <v>0</v>
      </c>
      <c r="R10" s="1015">
        <f>G10*R$9</f>
        <v>0</v>
      </c>
      <c r="S10" s="1015">
        <f>H10*S$9</f>
        <v>0</v>
      </c>
      <c r="T10" s="1015">
        <f>(I10-J10+L10+M10)*T$9*((15+12+20+V10)/100+1)</f>
        <v>0</v>
      </c>
      <c r="U10" s="1011">
        <f t="shared" ref="U10:U40" si="6">W10+Y10+AA10+AC10+AE10</f>
        <v>0</v>
      </c>
      <c r="V10" s="1014">
        <f>IF(U10=0,0,(W10*X10/100+Y10*Z10/100+AA10*AB10/100+AC10*AD10/100+AE10*AF10/100)/U10*100)</f>
        <v>0</v>
      </c>
      <c r="W10" s="1012"/>
      <c r="X10" s="1016">
        <v>0</v>
      </c>
      <c r="Y10" s="1012"/>
      <c r="Z10" s="1016">
        <v>0</v>
      </c>
      <c r="AA10" s="1012"/>
      <c r="AB10" s="1016">
        <v>15</v>
      </c>
      <c r="AC10" s="1012"/>
      <c r="AD10" s="1016">
        <v>15</v>
      </c>
      <c r="AE10" s="1012"/>
      <c r="AF10" s="1016">
        <v>0</v>
      </c>
      <c r="AG10" s="1017"/>
      <c r="AH10" s="1017"/>
      <c r="AI10" s="1017"/>
      <c r="AJ10" s="1018"/>
      <c r="AK10" s="1018">
        <f>IF(AG10=0,0,(I10-AH10)/AG10)</f>
        <v>0</v>
      </c>
      <c r="AL10" s="1019"/>
      <c r="AM10" s="1014">
        <f>IF(I10=0,0,(T10-(T10/(I10-J10+L10+M10)*AH10)+(AJ10*1000/12))/((I10-J10+L10+M10-AH10)/AL10))</f>
        <v>0</v>
      </c>
      <c r="AN10" s="1012"/>
      <c r="AO10" s="1014">
        <f>IF(AL10=0,0,(AN10-AM10)*(I10-J10+L10+M10-AH10)/AL10*12)</f>
        <v>0</v>
      </c>
      <c r="AP10" s="1020"/>
      <c r="AQ10" s="1021"/>
      <c r="AR10" s="1022"/>
      <c r="AS10" s="1021"/>
      <c r="AT10" s="1011">
        <f t="shared" ref="AT10:AT40" si="7">SUM(AU10:AZ10)</f>
        <v>0</v>
      </c>
      <c r="AU10" s="1023">
        <v>0</v>
      </c>
      <c r="AV10" s="1014">
        <f t="shared" ref="AV10:AV40" si="8">P10*12*AS10</f>
        <v>0</v>
      </c>
      <c r="AW10" s="1014">
        <f t="shared" ref="AW10:AY40" si="9">Q10*12</f>
        <v>0</v>
      </c>
      <c r="AX10" s="1014">
        <f t="shared" si="9"/>
        <v>0</v>
      </c>
      <c r="AY10" s="1014">
        <f t="shared" si="9"/>
        <v>0</v>
      </c>
      <c r="AZ10" s="1014">
        <f t="shared" ref="AZ10:AZ40" si="10">T10*12*AS10</f>
        <v>0</v>
      </c>
      <c r="BA10" s="1024">
        <f t="shared" ref="BA10:BA40" si="11">AX10*0.085</f>
        <v>0</v>
      </c>
      <c r="BB10" s="1024">
        <f t="shared" ref="BB10:BB40" si="12">(D10*AP10*12+E10*AP10*0.9*12)</f>
        <v>0</v>
      </c>
      <c r="BC10" s="1024">
        <f t="shared" ref="BC10:BC40" si="13">F10*BC$8*AR10/100*12</f>
        <v>0</v>
      </c>
      <c r="BD10" s="1024">
        <f t="shared" ref="BD10:BD40" si="14">G10*BD$8*AR10/100*12</f>
        <v>0</v>
      </c>
      <c r="BE10" s="1024">
        <f t="shared" ref="BE10:BE40" si="15">IF((AO10-AZ10*0.05)&gt;0,(AO10-AZ10*0.05),0)</f>
        <v>0</v>
      </c>
      <c r="BF10" s="1014">
        <f t="shared" ref="BF10:BF40" si="16">(AT10+BE10)*5/100</f>
        <v>0</v>
      </c>
      <c r="BG10" s="1014">
        <f t="shared" ref="BG10:BG40" si="17">(AT10+BE10)*1/100</f>
        <v>0</v>
      </c>
      <c r="BH10" s="1011">
        <f t="shared" ref="BH10:BH40" si="18">ROUND(AT10+BA10+BB10+BC10+BD10+BE10+BF10+BG10,1)</f>
        <v>0</v>
      </c>
      <c r="BI10" s="1011">
        <f t="shared" ref="BI10:BI40" si="19">ROUND(BH10*0.302,1)</f>
        <v>0</v>
      </c>
      <c r="BJ10" s="1011">
        <f t="shared" ref="BJ10:BJ40" si="20">BH10+BI10</f>
        <v>0</v>
      </c>
      <c r="BK10" s="1025"/>
      <c r="BL10" s="1026">
        <f t="shared" ref="BL10:BL40" si="21">BM10+BN10+BO10+BP10+BQ10</f>
        <v>0</v>
      </c>
      <c r="BM10" s="1027"/>
      <c r="BN10" s="1027"/>
      <c r="BO10" s="1027"/>
      <c r="BP10" s="1027"/>
      <c r="BQ10" s="1027"/>
      <c r="BR10" s="1028">
        <v>1.1072</v>
      </c>
      <c r="BS10" s="1011">
        <f t="shared" ref="BS10:BS40" si="22">BU10+BW10+BY10+CA10+CC10</f>
        <v>0</v>
      </c>
      <c r="BT10" s="1023"/>
      <c r="BU10" s="1015">
        <f t="shared" ref="BU10:BU35" si="23">BT10*BR10</f>
        <v>0</v>
      </c>
      <c r="BV10" s="1023"/>
      <c r="BW10" s="1015">
        <f t="shared" ref="BW10:BW35" si="24">I10*BV$45*BR10</f>
        <v>0</v>
      </c>
      <c r="BX10" s="1023"/>
      <c r="BY10" s="1015">
        <f t="shared" ref="BY10:BY35" si="25">BX10*BR10</f>
        <v>0</v>
      </c>
      <c r="BZ10" s="1023"/>
      <c r="CA10" s="1015">
        <f t="shared" ref="CA10:CA35" si="26">I10*BZ$45*BR10</f>
        <v>0</v>
      </c>
      <c r="CB10" s="1023"/>
      <c r="CC10" s="1015">
        <f t="shared" ref="CC10:CC35" si="27">I10*CB$45*BR10</f>
        <v>0</v>
      </c>
      <c r="CD10" s="1011">
        <f t="shared" ref="CD10:CD40" si="28">CF10+CH10</f>
        <v>0</v>
      </c>
      <c r="CE10" s="1023"/>
      <c r="CF10" s="1015">
        <f t="shared" ref="CF10:CF35" si="29">BL10*CE$46*BR10</f>
        <v>0</v>
      </c>
      <c r="CG10" s="1023"/>
      <c r="CH10" s="1015">
        <f t="shared" ref="CH10:CH35" si="30">BL10*CG$46*BR10</f>
        <v>0</v>
      </c>
      <c r="CI10" s="1011">
        <f t="shared" ref="CI10:CI40" si="31">BS10+CD10</f>
        <v>0</v>
      </c>
      <c r="CJ10" s="1025"/>
      <c r="CK10" s="1011">
        <f t="shared" ref="CK10:CK40" si="32">BJ10+CI10</f>
        <v>0</v>
      </c>
      <c r="CL10" s="996"/>
      <c r="CM10" s="1029">
        <f t="shared" ref="CM10:CM40" si="33">CN10+CU10+CV10+CW10+CX10+CY10+CZ10+DA10+DB10</f>
        <v>0</v>
      </c>
      <c r="CN10" s="1029">
        <f t="shared" ref="CN10:CN40" si="34">ROUND(BH10/1000,1)</f>
        <v>0</v>
      </c>
      <c r="CO10" s="1029">
        <f t="shared" ref="CO10:CO40" si="35">(AU10+AV10+BB10)/1000</f>
        <v>0</v>
      </c>
      <c r="CP10" s="1029">
        <f t="shared" ref="CP10:CP40" si="36">(AW10+BC10)/1000</f>
        <v>0</v>
      </c>
      <c r="CQ10" s="1029">
        <f t="shared" ref="CQ10:CQ40" si="37">(AX10+BA10+BD10)/1000</f>
        <v>0</v>
      </c>
      <c r="CR10" s="1029">
        <f t="shared" ref="CR10:CR40" si="38">AY10/1000</f>
        <v>0</v>
      </c>
      <c r="CS10" s="1029">
        <f t="shared" ref="CS10:CS40" si="39">(AZ10+BE10)/1000</f>
        <v>0</v>
      </c>
      <c r="CT10" s="1029">
        <f t="shared" ref="CT10:CT40" si="40">CN10-CO10-CP10-CQ10-CR10-CS10</f>
        <v>0</v>
      </c>
      <c r="CU10" s="1029">
        <f t="shared" ref="CU10:CU40" si="41">ROUND(BI10/1000,1)</f>
        <v>0</v>
      </c>
      <c r="CV10" s="1029">
        <f t="shared" ref="CV10:CV40" si="42">ROUND(BU10/1000,1)</f>
        <v>0</v>
      </c>
      <c r="CW10" s="1029">
        <f t="shared" ref="CW10:CW40" si="43">ROUND(BW10/1000,1)</f>
        <v>0</v>
      </c>
      <c r="CX10" s="1029">
        <f t="shared" ref="CX10:CX40" si="44">ROUND(BY10/1000,1)</f>
        <v>0</v>
      </c>
      <c r="CY10" s="1029">
        <f t="shared" ref="CY10:CY40" si="45">ROUND(CA10/1000,1)</f>
        <v>0</v>
      </c>
      <c r="CZ10" s="1029">
        <f t="shared" ref="CZ10:CZ40" si="46">ROUND(CC10/1000,1)</f>
        <v>0</v>
      </c>
      <c r="DA10" s="1029">
        <f t="shared" ref="DA10:DA40" si="47">ROUND(CF10/1000,1)</f>
        <v>0</v>
      </c>
      <c r="DB10" s="1029">
        <f t="shared" ref="DB10:DB40" si="48">ROUND(CH10/1000,1)</f>
        <v>0</v>
      </c>
      <c r="DC10" s="1030"/>
      <c r="DD10" s="1031">
        <f t="shared" ref="DD10:DD40" si="49">$DD$41</f>
        <v>0.77697930000000004</v>
      </c>
      <c r="DE10" s="1029">
        <f t="shared" ref="DE10:DE40" si="50">DF10+DG10+DH10+DI10+DJ10+DK10+DL10+DM10+DN10</f>
        <v>0</v>
      </c>
      <c r="DF10" s="1029">
        <f t="shared" ref="DF10:DF40" si="51">ROUND(CN10*DD10,1)</f>
        <v>0</v>
      </c>
      <c r="DG10" s="1029">
        <f t="shared" ref="DG10:DG40" si="52">ROUND(CU10*DD10,1)</f>
        <v>0</v>
      </c>
      <c r="DH10" s="1029">
        <f t="shared" ref="DH10:DH40" si="53">ROUND(CV10*DD10,1)</f>
        <v>0</v>
      </c>
      <c r="DI10" s="1029">
        <f t="shared" ref="DI10:DI40" si="54">ROUND(CW10*DD10,1)</f>
        <v>0</v>
      </c>
      <c r="DJ10" s="1029">
        <f t="shared" ref="DJ10:DJ40" si="55">ROUND(CX10*DD10,1)</f>
        <v>0</v>
      </c>
      <c r="DK10" s="1029">
        <f t="shared" ref="DK10:DK40" si="56">ROUND(CY10*DD10,1)</f>
        <v>0</v>
      </c>
      <c r="DL10" s="1029">
        <f t="shared" ref="DL10:DL40" si="57">ROUND(CZ10*DD10,1)</f>
        <v>0</v>
      </c>
      <c r="DM10" s="1029">
        <f t="shared" ref="DM10:DM40" si="58">ROUND(DA10*DD10,1)</f>
        <v>0</v>
      </c>
      <c r="DN10" s="1029">
        <f t="shared" ref="DN10:DN39" si="59">ROUND(DB10*DD10,1)</f>
        <v>0</v>
      </c>
      <c r="DO10" s="1029">
        <f t="shared" ref="DO10:DO40" si="60">BE10/1000*1.302*DD10</f>
        <v>0</v>
      </c>
      <c r="DP10" s="1030"/>
      <c r="DQ10" s="1031">
        <f t="shared" ref="DQ10:DQ40" si="61">$DQ$41</f>
        <v>0.8162336</v>
      </c>
      <c r="DR10" s="1029">
        <f t="shared" ref="DR10:DR40" si="62">DS10+DT10+DU10+DV10+DW10+DX10+DY10+DZ10+EA10</f>
        <v>0</v>
      </c>
      <c r="DS10" s="1029">
        <f t="shared" ref="DS10:DS40" si="63">ROUND(CN10*DQ10,1)</f>
        <v>0</v>
      </c>
      <c r="DT10" s="1029">
        <f t="shared" ref="DT10:DT40" si="64">ROUND(CU10*DQ10,1)</f>
        <v>0</v>
      </c>
      <c r="DU10" s="1029">
        <f t="shared" ref="DU10:DU40" si="65">ROUND(CV10*DQ10,1)</f>
        <v>0</v>
      </c>
      <c r="DV10" s="1029">
        <f t="shared" ref="DV10:DV40" si="66">ROUND(CW10*DQ10,1)</f>
        <v>0</v>
      </c>
      <c r="DW10" s="1029">
        <f t="shared" ref="DW10:DW40" si="67">ROUND(CX10*DQ10,1)</f>
        <v>0</v>
      </c>
      <c r="DX10" s="1029">
        <f t="shared" ref="DX10:DX40" si="68">ROUND(CY10*DQ10,1)</f>
        <v>0</v>
      </c>
      <c r="DY10" s="1029">
        <f t="shared" ref="DY10:DY40" si="69">ROUND(CZ10*DQ10,1)</f>
        <v>0</v>
      </c>
      <c r="DZ10" s="1029">
        <f t="shared" ref="DZ10:DZ40" si="70">ROUND(DA10*DQ10,1)</f>
        <v>0</v>
      </c>
      <c r="EA10" s="1029">
        <f t="shared" ref="EA10:EA39" si="71">ROUND(DB10*DQ10,1)</f>
        <v>0</v>
      </c>
      <c r="EB10" s="1029">
        <f t="shared" ref="EB10:EB40" si="72">BE10/1000*1.302*DQ10</f>
        <v>0</v>
      </c>
      <c r="EC10" s="1030"/>
      <c r="ED10" s="1031">
        <f t="shared" ref="ED10:ED40" si="73">$ED$41</f>
        <v>0.84891570000000005</v>
      </c>
      <c r="EE10" s="1029">
        <f t="shared" ref="EE10:EE40" si="74">EF10+EG10+EH10+EI10+EJ10+EK10+EL10+EM10+EN10</f>
        <v>0</v>
      </c>
      <c r="EF10" s="1029">
        <f t="shared" ref="EF10:EF40" si="75">ROUND(CN10*ED10,1)</f>
        <v>0</v>
      </c>
      <c r="EG10" s="1029">
        <f t="shared" ref="EG10:EG40" si="76">ROUND(CU10*ED10,1)</f>
        <v>0</v>
      </c>
      <c r="EH10" s="1029">
        <f t="shared" ref="EH10:EH40" si="77">ROUND(CV10*ED10,1)</f>
        <v>0</v>
      </c>
      <c r="EI10" s="1029">
        <f t="shared" ref="EI10:EI40" si="78">ROUND(CW10*ED10,1)</f>
        <v>0</v>
      </c>
      <c r="EJ10" s="1029">
        <f t="shared" ref="EJ10:EJ40" si="79">ROUND(CX10*ED10,1)</f>
        <v>0</v>
      </c>
      <c r="EK10" s="1029">
        <f t="shared" ref="EK10:EK40" si="80">ROUND(CY10*ED10,1)</f>
        <v>0</v>
      </c>
      <c r="EL10" s="1029">
        <f t="shared" ref="EL10:EL40" si="81">ROUND(CZ10*ED10,1)</f>
        <v>0</v>
      </c>
      <c r="EM10" s="1029">
        <f t="shared" ref="EM10:EM40" si="82">ROUND(DA10*ED10,1)</f>
        <v>0</v>
      </c>
      <c r="EN10" s="1029">
        <f t="shared" ref="EN10:EN39" si="83">ROUND(DB10*ED10,1)</f>
        <v>0</v>
      </c>
      <c r="EO10" s="1029">
        <f t="shared" ref="EO10:EO40" si="84">BE10/1000*1.302*ED10</f>
        <v>0</v>
      </c>
    </row>
    <row r="11" spans="1:145" ht="18.75" hidden="1" x14ac:dyDescent="0.25">
      <c r="A11" s="1010" t="s">
        <v>1798</v>
      </c>
      <c r="B11" s="1011">
        <f t="shared" si="0"/>
        <v>0</v>
      </c>
      <c r="C11" s="1011">
        <f t="shared" si="1"/>
        <v>0</v>
      </c>
      <c r="D11" s="1012"/>
      <c r="E11" s="1012"/>
      <c r="F11" s="1012"/>
      <c r="G11" s="1012"/>
      <c r="H11" s="1012"/>
      <c r="I11" s="1012"/>
      <c r="J11" s="1012"/>
      <c r="K11" s="1013">
        <f t="shared" si="2"/>
        <v>0</v>
      </c>
      <c r="L11" s="1013">
        <f t="shared" si="3"/>
        <v>0</v>
      </c>
      <c r="M11" s="1013">
        <f t="shared" si="4"/>
        <v>0</v>
      </c>
      <c r="N11" s="1011">
        <f t="shared" ref="N11:N40" si="85">SUM(O11:T11)-O11</f>
        <v>0</v>
      </c>
      <c r="O11" s="1012"/>
      <c r="P11" s="1014">
        <f t="shared" si="5"/>
        <v>0</v>
      </c>
      <c r="Q11" s="1015">
        <f t="shared" ref="Q11:S40" si="86">F11*Q$9</f>
        <v>0</v>
      </c>
      <c r="R11" s="1015">
        <f t="shared" si="86"/>
        <v>0</v>
      </c>
      <c r="S11" s="1015">
        <f t="shared" si="86"/>
        <v>0</v>
      </c>
      <c r="T11" s="1015">
        <f t="shared" ref="T11:T40" si="87">(I11-J11+L11+M11)*T$9*((15+12+20+V11)/100+1)</f>
        <v>0</v>
      </c>
      <c r="U11" s="1011">
        <f t="shared" si="6"/>
        <v>0</v>
      </c>
      <c r="V11" s="1014">
        <f t="shared" ref="V11:V40" si="88">IF(U11=0,0,(W11*X11/100+Y11*Z11/100+AA11*AB11/100+AC11*AD11/100+AE11*AF11/100)/U11*100)</f>
        <v>0</v>
      </c>
      <c r="W11" s="1012"/>
      <c r="X11" s="1016">
        <v>0</v>
      </c>
      <c r="Y11" s="1012"/>
      <c r="Z11" s="1016">
        <v>0</v>
      </c>
      <c r="AA11" s="1012"/>
      <c r="AB11" s="1016">
        <v>15</v>
      </c>
      <c r="AC11" s="1012"/>
      <c r="AD11" s="1016">
        <v>15</v>
      </c>
      <c r="AE11" s="1012"/>
      <c r="AF11" s="1016">
        <v>0</v>
      </c>
      <c r="AG11" s="1017"/>
      <c r="AH11" s="1017"/>
      <c r="AI11" s="1017"/>
      <c r="AJ11" s="1018"/>
      <c r="AK11" s="1018">
        <f t="shared" ref="AK11:AK41" si="89">IF(AG11=0,0,(I11-AH11)/AG11)</f>
        <v>0</v>
      </c>
      <c r="AL11" s="1019"/>
      <c r="AM11" s="1014">
        <f t="shared" ref="AM11:AM41" si="90">IF(I11=0,0,(T11-(T11/(I11-J11+L11+M11)*AH11)+(AJ11*1000/12))/((I11-J11+L11+M11-AH11)/AL11))</f>
        <v>0</v>
      </c>
      <c r="AN11" s="1012"/>
      <c r="AO11" s="1014">
        <f t="shared" ref="AO11:AO35" si="91">IF(AL11=0,0,(AN11-AM11)*(I11-J11+L11+M11-AH11)/AL11*12)</f>
        <v>0</v>
      </c>
      <c r="AP11" s="1020"/>
      <c r="AQ11" s="1021"/>
      <c r="AR11" s="1022"/>
      <c r="AS11" s="1021"/>
      <c r="AT11" s="1011">
        <f t="shared" si="7"/>
        <v>0</v>
      </c>
      <c r="AU11" s="1023">
        <v>0</v>
      </c>
      <c r="AV11" s="1014">
        <f t="shared" si="8"/>
        <v>0</v>
      </c>
      <c r="AW11" s="1014">
        <f t="shared" si="9"/>
        <v>0</v>
      </c>
      <c r="AX11" s="1014">
        <f t="shared" si="9"/>
        <v>0</v>
      </c>
      <c r="AY11" s="1014">
        <f t="shared" si="9"/>
        <v>0</v>
      </c>
      <c r="AZ11" s="1014">
        <f t="shared" si="10"/>
        <v>0</v>
      </c>
      <c r="BA11" s="1024">
        <f t="shared" si="11"/>
        <v>0</v>
      </c>
      <c r="BB11" s="1024">
        <f t="shared" si="12"/>
        <v>0</v>
      </c>
      <c r="BC11" s="1024">
        <f t="shared" si="13"/>
        <v>0</v>
      </c>
      <c r="BD11" s="1024">
        <f t="shared" si="14"/>
        <v>0</v>
      </c>
      <c r="BE11" s="1024">
        <f t="shared" si="15"/>
        <v>0</v>
      </c>
      <c r="BF11" s="1014">
        <f t="shared" si="16"/>
        <v>0</v>
      </c>
      <c r="BG11" s="1014">
        <f t="shared" si="17"/>
        <v>0</v>
      </c>
      <c r="BH11" s="1011">
        <f t="shared" si="18"/>
        <v>0</v>
      </c>
      <c r="BI11" s="1011">
        <f t="shared" si="19"/>
        <v>0</v>
      </c>
      <c r="BJ11" s="1011">
        <f t="shared" si="20"/>
        <v>0</v>
      </c>
      <c r="BK11" s="1025"/>
      <c r="BL11" s="1026">
        <f t="shared" si="21"/>
        <v>0</v>
      </c>
      <c r="BM11" s="1027"/>
      <c r="BN11" s="1027"/>
      <c r="BO11" s="1027"/>
      <c r="BP11" s="1027"/>
      <c r="BQ11" s="1027"/>
      <c r="BR11" s="1028">
        <v>1.1072</v>
      </c>
      <c r="BS11" s="1011">
        <f t="shared" si="22"/>
        <v>0</v>
      </c>
      <c r="BT11" s="1023"/>
      <c r="BU11" s="1015">
        <f t="shared" si="23"/>
        <v>0</v>
      </c>
      <c r="BV11" s="1023"/>
      <c r="BW11" s="1015">
        <f t="shared" si="24"/>
        <v>0</v>
      </c>
      <c r="BX11" s="1023"/>
      <c r="BY11" s="1015">
        <f t="shared" si="25"/>
        <v>0</v>
      </c>
      <c r="BZ11" s="1023"/>
      <c r="CA11" s="1015">
        <f t="shared" si="26"/>
        <v>0</v>
      </c>
      <c r="CB11" s="1023"/>
      <c r="CC11" s="1015">
        <f t="shared" si="27"/>
        <v>0</v>
      </c>
      <c r="CD11" s="1011">
        <f t="shared" si="28"/>
        <v>0</v>
      </c>
      <c r="CE11" s="1023"/>
      <c r="CF11" s="1015">
        <f t="shared" si="29"/>
        <v>0</v>
      </c>
      <c r="CG11" s="1023"/>
      <c r="CH11" s="1015">
        <f t="shared" si="30"/>
        <v>0</v>
      </c>
      <c r="CI11" s="1011">
        <f t="shared" si="31"/>
        <v>0</v>
      </c>
      <c r="CJ11" s="1025"/>
      <c r="CK11" s="1011">
        <f t="shared" si="32"/>
        <v>0</v>
      </c>
      <c r="CL11" s="996"/>
      <c r="CM11" s="1029">
        <f t="shared" si="33"/>
        <v>0</v>
      </c>
      <c r="CN11" s="1029">
        <f t="shared" si="34"/>
        <v>0</v>
      </c>
      <c r="CO11" s="1029">
        <f t="shared" si="35"/>
        <v>0</v>
      </c>
      <c r="CP11" s="1029">
        <f t="shared" si="36"/>
        <v>0</v>
      </c>
      <c r="CQ11" s="1029">
        <f t="shared" si="37"/>
        <v>0</v>
      </c>
      <c r="CR11" s="1029">
        <f t="shared" si="38"/>
        <v>0</v>
      </c>
      <c r="CS11" s="1029">
        <f t="shared" si="39"/>
        <v>0</v>
      </c>
      <c r="CT11" s="1029">
        <f t="shared" si="40"/>
        <v>0</v>
      </c>
      <c r="CU11" s="1029">
        <f t="shared" si="41"/>
        <v>0</v>
      </c>
      <c r="CV11" s="1029">
        <f t="shared" si="42"/>
        <v>0</v>
      </c>
      <c r="CW11" s="1029">
        <f t="shared" si="43"/>
        <v>0</v>
      </c>
      <c r="CX11" s="1029">
        <f t="shared" si="44"/>
        <v>0</v>
      </c>
      <c r="CY11" s="1029">
        <f t="shared" si="45"/>
        <v>0</v>
      </c>
      <c r="CZ11" s="1029">
        <f t="shared" si="46"/>
        <v>0</v>
      </c>
      <c r="DA11" s="1029">
        <f t="shared" si="47"/>
        <v>0</v>
      </c>
      <c r="DB11" s="1029">
        <f t="shared" si="48"/>
        <v>0</v>
      </c>
      <c r="DC11" s="1030"/>
      <c r="DD11" s="1031">
        <f t="shared" si="49"/>
        <v>0.77697930000000004</v>
      </c>
      <c r="DE11" s="1029">
        <f t="shared" si="50"/>
        <v>0</v>
      </c>
      <c r="DF11" s="1029">
        <f t="shared" si="51"/>
        <v>0</v>
      </c>
      <c r="DG11" s="1029">
        <f t="shared" si="52"/>
        <v>0</v>
      </c>
      <c r="DH11" s="1029">
        <f t="shared" si="53"/>
        <v>0</v>
      </c>
      <c r="DI11" s="1029">
        <f t="shared" si="54"/>
        <v>0</v>
      </c>
      <c r="DJ11" s="1029">
        <f t="shared" si="55"/>
        <v>0</v>
      </c>
      <c r="DK11" s="1029">
        <f t="shared" si="56"/>
        <v>0</v>
      </c>
      <c r="DL11" s="1029">
        <f t="shared" si="57"/>
        <v>0</v>
      </c>
      <c r="DM11" s="1029">
        <f t="shared" si="58"/>
        <v>0</v>
      </c>
      <c r="DN11" s="1029">
        <f t="shared" si="59"/>
        <v>0</v>
      </c>
      <c r="DO11" s="1029">
        <f t="shared" si="60"/>
        <v>0</v>
      </c>
      <c r="DP11" s="1030"/>
      <c r="DQ11" s="1031">
        <f t="shared" si="61"/>
        <v>0.8162336</v>
      </c>
      <c r="DR11" s="1029">
        <f t="shared" si="62"/>
        <v>0</v>
      </c>
      <c r="DS11" s="1029">
        <f t="shared" si="63"/>
        <v>0</v>
      </c>
      <c r="DT11" s="1029">
        <f t="shared" si="64"/>
        <v>0</v>
      </c>
      <c r="DU11" s="1029">
        <f t="shared" si="65"/>
        <v>0</v>
      </c>
      <c r="DV11" s="1029">
        <f t="shared" si="66"/>
        <v>0</v>
      </c>
      <c r="DW11" s="1029">
        <f t="shared" si="67"/>
        <v>0</v>
      </c>
      <c r="DX11" s="1029">
        <f t="shared" si="68"/>
        <v>0</v>
      </c>
      <c r="DY11" s="1029">
        <f t="shared" si="69"/>
        <v>0</v>
      </c>
      <c r="DZ11" s="1029">
        <f t="shared" si="70"/>
        <v>0</v>
      </c>
      <c r="EA11" s="1029">
        <f t="shared" si="71"/>
        <v>0</v>
      </c>
      <c r="EB11" s="1029">
        <f t="shared" si="72"/>
        <v>0</v>
      </c>
      <c r="EC11" s="1030"/>
      <c r="ED11" s="1031">
        <f t="shared" si="73"/>
        <v>0.84891570000000005</v>
      </c>
      <c r="EE11" s="1029">
        <f t="shared" si="74"/>
        <v>0</v>
      </c>
      <c r="EF11" s="1029">
        <f t="shared" si="75"/>
        <v>0</v>
      </c>
      <c r="EG11" s="1029">
        <f t="shared" si="76"/>
        <v>0</v>
      </c>
      <c r="EH11" s="1029">
        <f t="shared" si="77"/>
        <v>0</v>
      </c>
      <c r="EI11" s="1029">
        <f t="shared" si="78"/>
        <v>0</v>
      </c>
      <c r="EJ11" s="1029">
        <f t="shared" si="79"/>
        <v>0</v>
      </c>
      <c r="EK11" s="1029">
        <f t="shared" si="80"/>
        <v>0</v>
      </c>
      <c r="EL11" s="1029">
        <f t="shared" si="81"/>
        <v>0</v>
      </c>
      <c r="EM11" s="1029">
        <f t="shared" si="82"/>
        <v>0</v>
      </c>
      <c r="EN11" s="1029">
        <f t="shared" si="83"/>
        <v>0</v>
      </c>
      <c r="EO11" s="1029">
        <f t="shared" si="84"/>
        <v>0</v>
      </c>
    </row>
    <row r="12" spans="1:145" ht="18.75" hidden="1" x14ac:dyDescent="0.25">
      <c r="A12" s="1010" t="s">
        <v>1799</v>
      </c>
      <c r="B12" s="1011">
        <f t="shared" si="0"/>
        <v>0</v>
      </c>
      <c r="C12" s="1011">
        <f t="shared" si="1"/>
        <v>0</v>
      </c>
      <c r="D12" s="1012"/>
      <c r="E12" s="1012"/>
      <c r="F12" s="1012"/>
      <c r="G12" s="1012"/>
      <c r="H12" s="1012"/>
      <c r="I12" s="1012"/>
      <c r="J12" s="1012"/>
      <c r="K12" s="1013">
        <f t="shared" si="2"/>
        <v>0</v>
      </c>
      <c r="L12" s="1013">
        <f t="shared" si="3"/>
        <v>0</v>
      </c>
      <c r="M12" s="1013">
        <f t="shared" si="4"/>
        <v>0</v>
      </c>
      <c r="N12" s="1011">
        <f t="shared" si="85"/>
        <v>0</v>
      </c>
      <c r="O12" s="1012"/>
      <c r="P12" s="1014">
        <f t="shared" si="5"/>
        <v>0</v>
      </c>
      <c r="Q12" s="1015">
        <f t="shared" si="86"/>
        <v>0</v>
      </c>
      <c r="R12" s="1015">
        <f t="shared" si="86"/>
        <v>0</v>
      </c>
      <c r="S12" s="1015">
        <f t="shared" si="86"/>
        <v>0</v>
      </c>
      <c r="T12" s="1015">
        <f t="shared" si="87"/>
        <v>0</v>
      </c>
      <c r="U12" s="1011">
        <f t="shared" si="6"/>
        <v>0</v>
      </c>
      <c r="V12" s="1014">
        <f t="shared" si="88"/>
        <v>0</v>
      </c>
      <c r="W12" s="1012"/>
      <c r="X12" s="1016">
        <v>0</v>
      </c>
      <c r="Y12" s="1012"/>
      <c r="Z12" s="1016">
        <v>0</v>
      </c>
      <c r="AA12" s="1012"/>
      <c r="AB12" s="1016">
        <v>15</v>
      </c>
      <c r="AC12" s="1012"/>
      <c r="AD12" s="1016">
        <v>15</v>
      </c>
      <c r="AE12" s="1012"/>
      <c r="AF12" s="1016">
        <v>0</v>
      </c>
      <c r="AG12" s="1017"/>
      <c r="AH12" s="1017"/>
      <c r="AI12" s="1017"/>
      <c r="AJ12" s="1018"/>
      <c r="AK12" s="1018">
        <f t="shared" si="89"/>
        <v>0</v>
      </c>
      <c r="AL12" s="1019"/>
      <c r="AM12" s="1014">
        <f t="shared" si="90"/>
        <v>0</v>
      </c>
      <c r="AN12" s="1012"/>
      <c r="AO12" s="1014">
        <f t="shared" si="91"/>
        <v>0</v>
      </c>
      <c r="AP12" s="1020"/>
      <c r="AQ12" s="1021"/>
      <c r="AR12" s="1022"/>
      <c r="AS12" s="1021"/>
      <c r="AT12" s="1011">
        <f t="shared" si="7"/>
        <v>0</v>
      </c>
      <c r="AU12" s="1023">
        <v>0</v>
      </c>
      <c r="AV12" s="1014">
        <f t="shared" si="8"/>
        <v>0</v>
      </c>
      <c r="AW12" s="1014">
        <f t="shared" si="9"/>
        <v>0</v>
      </c>
      <c r="AX12" s="1014">
        <f t="shared" si="9"/>
        <v>0</v>
      </c>
      <c r="AY12" s="1014">
        <f t="shared" si="9"/>
        <v>0</v>
      </c>
      <c r="AZ12" s="1014">
        <f t="shared" si="10"/>
        <v>0</v>
      </c>
      <c r="BA12" s="1024">
        <f t="shared" si="11"/>
        <v>0</v>
      </c>
      <c r="BB12" s="1024">
        <f t="shared" si="12"/>
        <v>0</v>
      </c>
      <c r="BC12" s="1024">
        <f t="shared" si="13"/>
        <v>0</v>
      </c>
      <c r="BD12" s="1024">
        <f t="shared" si="14"/>
        <v>0</v>
      </c>
      <c r="BE12" s="1024">
        <f t="shared" si="15"/>
        <v>0</v>
      </c>
      <c r="BF12" s="1014">
        <f t="shared" si="16"/>
        <v>0</v>
      </c>
      <c r="BG12" s="1014">
        <f t="shared" si="17"/>
        <v>0</v>
      </c>
      <c r="BH12" s="1011">
        <f t="shared" si="18"/>
        <v>0</v>
      </c>
      <c r="BI12" s="1011">
        <f t="shared" si="19"/>
        <v>0</v>
      </c>
      <c r="BJ12" s="1011">
        <f t="shared" si="20"/>
        <v>0</v>
      </c>
      <c r="BK12" s="1025"/>
      <c r="BL12" s="1026">
        <f t="shared" si="21"/>
        <v>0</v>
      </c>
      <c r="BM12" s="1027"/>
      <c r="BN12" s="1027"/>
      <c r="BO12" s="1027"/>
      <c r="BP12" s="1027"/>
      <c r="BQ12" s="1027"/>
      <c r="BR12" s="1028">
        <v>1.1072</v>
      </c>
      <c r="BS12" s="1011">
        <f t="shared" si="22"/>
        <v>0</v>
      </c>
      <c r="BT12" s="1023"/>
      <c r="BU12" s="1015">
        <f t="shared" si="23"/>
        <v>0</v>
      </c>
      <c r="BV12" s="1023"/>
      <c r="BW12" s="1015">
        <f t="shared" si="24"/>
        <v>0</v>
      </c>
      <c r="BX12" s="1023"/>
      <c r="BY12" s="1015">
        <f t="shared" si="25"/>
        <v>0</v>
      </c>
      <c r="BZ12" s="1023"/>
      <c r="CA12" s="1015">
        <f t="shared" si="26"/>
        <v>0</v>
      </c>
      <c r="CB12" s="1023"/>
      <c r="CC12" s="1015">
        <f t="shared" si="27"/>
        <v>0</v>
      </c>
      <c r="CD12" s="1011">
        <f t="shared" si="28"/>
        <v>0</v>
      </c>
      <c r="CE12" s="1023"/>
      <c r="CF12" s="1015">
        <f t="shared" si="29"/>
        <v>0</v>
      </c>
      <c r="CG12" s="1023"/>
      <c r="CH12" s="1015">
        <f t="shared" si="30"/>
        <v>0</v>
      </c>
      <c r="CI12" s="1011">
        <f t="shared" si="31"/>
        <v>0</v>
      </c>
      <c r="CJ12" s="1025"/>
      <c r="CK12" s="1011">
        <f t="shared" si="32"/>
        <v>0</v>
      </c>
      <c r="CL12" s="996"/>
      <c r="CM12" s="1029">
        <f t="shared" si="33"/>
        <v>0</v>
      </c>
      <c r="CN12" s="1029">
        <f t="shared" si="34"/>
        <v>0</v>
      </c>
      <c r="CO12" s="1029">
        <f t="shared" si="35"/>
        <v>0</v>
      </c>
      <c r="CP12" s="1029">
        <f t="shared" si="36"/>
        <v>0</v>
      </c>
      <c r="CQ12" s="1029">
        <f t="shared" si="37"/>
        <v>0</v>
      </c>
      <c r="CR12" s="1029">
        <f t="shared" si="38"/>
        <v>0</v>
      </c>
      <c r="CS12" s="1029">
        <f t="shared" si="39"/>
        <v>0</v>
      </c>
      <c r="CT12" s="1029">
        <f t="shared" si="40"/>
        <v>0</v>
      </c>
      <c r="CU12" s="1029">
        <f t="shared" si="41"/>
        <v>0</v>
      </c>
      <c r="CV12" s="1029">
        <f t="shared" si="42"/>
        <v>0</v>
      </c>
      <c r="CW12" s="1029">
        <f t="shared" si="43"/>
        <v>0</v>
      </c>
      <c r="CX12" s="1029">
        <f t="shared" si="44"/>
        <v>0</v>
      </c>
      <c r="CY12" s="1029">
        <f t="shared" si="45"/>
        <v>0</v>
      </c>
      <c r="CZ12" s="1029">
        <f t="shared" si="46"/>
        <v>0</v>
      </c>
      <c r="DA12" s="1029">
        <f t="shared" si="47"/>
        <v>0</v>
      </c>
      <c r="DB12" s="1029">
        <f t="shared" si="48"/>
        <v>0</v>
      </c>
      <c r="DC12" s="1030"/>
      <c r="DD12" s="1031">
        <f t="shared" si="49"/>
        <v>0.77697930000000004</v>
      </c>
      <c r="DE12" s="1029">
        <f t="shared" si="50"/>
        <v>0</v>
      </c>
      <c r="DF12" s="1029">
        <f t="shared" si="51"/>
        <v>0</v>
      </c>
      <c r="DG12" s="1029">
        <f t="shared" si="52"/>
        <v>0</v>
      </c>
      <c r="DH12" s="1029">
        <f t="shared" si="53"/>
        <v>0</v>
      </c>
      <c r="DI12" s="1029">
        <f t="shared" si="54"/>
        <v>0</v>
      </c>
      <c r="DJ12" s="1029">
        <f t="shared" si="55"/>
        <v>0</v>
      </c>
      <c r="DK12" s="1029">
        <f t="shared" si="56"/>
        <v>0</v>
      </c>
      <c r="DL12" s="1029">
        <f t="shared" si="57"/>
        <v>0</v>
      </c>
      <c r="DM12" s="1029">
        <f t="shared" si="58"/>
        <v>0</v>
      </c>
      <c r="DN12" s="1029">
        <f t="shared" si="59"/>
        <v>0</v>
      </c>
      <c r="DO12" s="1029">
        <f t="shared" si="60"/>
        <v>0</v>
      </c>
      <c r="DP12" s="1030"/>
      <c r="DQ12" s="1031">
        <f t="shared" si="61"/>
        <v>0.8162336</v>
      </c>
      <c r="DR12" s="1029">
        <f t="shared" si="62"/>
        <v>0</v>
      </c>
      <c r="DS12" s="1029">
        <f t="shared" si="63"/>
        <v>0</v>
      </c>
      <c r="DT12" s="1029">
        <f t="shared" si="64"/>
        <v>0</v>
      </c>
      <c r="DU12" s="1029">
        <f t="shared" si="65"/>
        <v>0</v>
      </c>
      <c r="DV12" s="1029">
        <f t="shared" si="66"/>
        <v>0</v>
      </c>
      <c r="DW12" s="1029">
        <f t="shared" si="67"/>
        <v>0</v>
      </c>
      <c r="DX12" s="1029">
        <f t="shared" si="68"/>
        <v>0</v>
      </c>
      <c r="DY12" s="1029">
        <f t="shared" si="69"/>
        <v>0</v>
      </c>
      <c r="DZ12" s="1029">
        <f t="shared" si="70"/>
        <v>0</v>
      </c>
      <c r="EA12" s="1029">
        <f t="shared" si="71"/>
        <v>0</v>
      </c>
      <c r="EB12" s="1029">
        <f t="shared" si="72"/>
        <v>0</v>
      </c>
      <c r="EC12" s="1030"/>
      <c r="ED12" s="1031">
        <f t="shared" si="73"/>
        <v>0.84891570000000005</v>
      </c>
      <c r="EE12" s="1029">
        <f t="shared" si="74"/>
        <v>0</v>
      </c>
      <c r="EF12" s="1029">
        <f t="shared" si="75"/>
        <v>0</v>
      </c>
      <c r="EG12" s="1029">
        <f t="shared" si="76"/>
        <v>0</v>
      </c>
      <c r="EH12" s="1029">
        <f t="shared" si="77"/>
        <v>0</v>
      </c>
      <c r="EI12" s="1029">
        <f t="shared" si="78"/>
        <v>0</v>
      </c>
      <c r="EJ12" s="1029">
        <f t="shared" si="79"/>
        <v>0</v>
      </c>
      <c r="EK12" s="1029">
        <f t="shared" si="80"/>
        <v>0</v>
      </c>
      <c r="EL12" s="1029">
        <f t="shared" si="81"/>
        <v>0</v>
      </c>
      <c r="EM12" s="1029">
        <f t="shared" si="82"/>
        <v>0</v>
      </c>
      <c r="EN12" s="1029">
        <f t="shared" si="83"/>
        <v>0</v>
      </c>
      <c r="EO12" s="1029">
        <f t="shared" si="84"/>
        <v>0</v>
      </c>
    </row>
    <row r="13" spans="1:145" ht="18.75" hidden="1" x14ac:dyDescent="0.25">
      <c r="A13" s="1010" t="s">
        <v>664</v>
      </c>
      <c r="B13" s="1011">
        <f t="shared" si="0"/>
        <v>0</v>
      </c>
      <c r="C13" s="1011">
        <f t="shared" si="1"/>
        <v>0</v>
      </c>
      <c r="D13" s="1012"/>
      <c r="E13" s="1012"/>
      <c r="F13" s="1012"/>
      <c r="G13" s="1012"/>
      <c r="H13" s="1012"/>
      <c r="I13" s="1012"/>
      <c r="J13" s="1012"/>
      <c r="K13" s="1013">
        <f t="shared" si="2"/>
        <v>0</v>
      </c>
      <c r="L13" s="1013">
        <f t="shared" si="3"/>
        <v>0</v>
      </c>
      <c r="M13" s="1013">
        <f t="shared" si="4"/>
        <v>0</v>
      </c>
      <c r="N13" s="1011">
        <f t="shared" si="85"/>
        <v>0</v>
      </c>
      <c r="O13" s="1012"/>
      <c r="P13" s="1014">
        <f t="shared" si="5"/>
        <v>0</v>
      </c>
      <c r="Q13" s="1015">
        <f t="shared" si="86"/>
        <v>0</v>
      </c>
      <c r="R13" s="1015">
        <f t="shared" si="86"/>
        <v>0</v>
      </c>
      <c r="S13" s="1015">
        <f t="shared" si="86"/>
        <v>0</v>
      </c>
      <c r="T13" s="1015">
        <f t="shared" si="87"/>
        <v>0</v>
      </c>
      <c r="U13" s="1011">
        <f t="shared" si="6"/>
        <v>0</v>
      </c>
      <c r="V13" s="1014">
        <f t="shared" si="88"/>
        <v>0</v>
      </c>
      <c r="W13" s="1012"/>
      <c r="X13" s="1016">
        <v>0</v>
      </c>
      <c r="Y13" s="1012"/>
      <c r="Z13" s="1016">
        <v>0</v>
      </c>
      <c r="AA13" s="1012"/>
      <c r="AB13" s="1016">
        <v>15</v>
      </c>
      <c r="AC13" s="1012"/>
      <c r="AD13" s="1016">
        <v>15</v>
      </c>
      <c r="AE13" s="1012"/>
      <c r="AF13" s="1016">
        <v>0</v>
      </c>
      <c r="AG13" s="1017"/>
      <c r="AH13" s="1017"/>
      <c r="AI13" s="1017"/>
      <c r="AJ13" s="1018"/>
      <c r="AK13" s="1018">
        <f t="shared" si="89"/>
        <v>0</v>
      </c>
      <c r="AL13" s="1019"/>
      <c r="AM13" s="1014">
        <f t="shared" si="90"/>
        <v>0</v>
      </c>
      <c r="AN13" s="1012"/>
      <c r="AO13" s="1014">
        <f t="shared" si="91"/>
        <v>0</v>
      </c>
      <c r="AP13" s="1020"/>
      <c r="AQ13" s="1021"/>
      <c r="AR13" s="1022"/>
      <c r="AS13" s="1021"/>
      <c r="AT13" s="1011">
        <f t="shared" si="7"/>
        <v>0</v>
      </c>
      <c r="AU13" s="1023">
        <v>0</v>
      </c>
      <c r="AV13" s="1014">
        <f t="shared" si="8"/>
        <v>0</v>
      </c>
      <c r="AW13" s="1014">
        <f t="shared" si="9"/>
        <v>0</v>
      </c>
      <c r="AX13" s="1014">
        <f t="shared" si="9"/>
        <v>0</v>
      </c>
      <c r="AY13" s="1014">
        <f t="shared" si="9"/>
        <v>0</v>
      </c>
      <c r="AZ13" s="1014">
        <f t="shared" si="10"/>
        <v>0</v>
      </c>
      <c r="BA13" s="1024">
        <f t="shared" si="11"/>
        <v>0</v>
      </c>
      <c r="BB13" s="1024">
        <f t="shared" si="12"/>
        <v>0</v>
      </c>
      <c r="BC13" s="1024">
        <f t="shared" si="13"/>
        <v>0</v>
      </c>
      <c r="BD13" s="1024">
        <f t="shared" si="14"/>
        <v>0</v>
      </c>
      <c r="BE13" s="1024">
        <f t="shared" si="15"/>
        <v>0</v>
      </c>
      <c r="BF13" s="1014">
        <f t="shared" si="16"/>
        <v>0</v>
      </c>
      <c r="BG13" s="1014">
        <f t="shared" si="17"/>
        <v>0</v>
      </c>
      <c r="BH13" s="1011">
        <f t="shared" si="18"/>
        <v>0</v>
      </c>
      <c r="BI13" s="1011">
        <f t="shared" si="19"/>
        <v>0</v>
      </c>
      <c r="BJ13" s="1011">
        <f t="shared" si="20"/>
        <v>0</v>
      </c>
      <c r="BK13" s="1025"/>
      <c r="BL13" s="1026">
        <f t="shared" si="21"/>
        <v>0</v>
      </c>
      <c r="BM13" s="1027"/>
      <c r="BN13" s="1027"/>
      <c r="BO13" s="1027"/>
      <c r="BP13" s="1027"/>
      <c r="BQ13" s="1027"/>
      <c r="BR13" s="1028">
        <v>1.1072</v>
      </c>
      <c r="BS13" s="1011">
        <f t="shared" si="22"/>
        <v>0</v>
      </c>
      <c r="BT13" s="1023"/>
      <c r="BU13" s="1015">
        <f t="shared" si="23"/>
        <v>0</v>
      </c>
      <c r="BV13" s="1023"/>
      <c r="BW13" s="1015">
        <f t="shared" si="24"/>
        <v>0</v>
      </c>
      <c r="BX13" s="1023"/>
      <c r="BY13" s="1015">
        <f t="shared" si="25"/>
        <v>0</v>
      </c>
      <c r="BZ13" s="1023"/>
      <c r="CA13" s="1015">
        <f t="shared" si="26"/>
        <v>0</v>
      </c>
      <c r="CB13" s="1023"/>
      <c r="CC13" s="1015">
        <f t="shared" si="27"/>
        <v>0</v>
      </c>
      <c r="CD13" s="1011">
        <f t="shared" si="28"/>
        <v>0</v>
      </c>
      <c r="CE13" s="1023"/>
      <c r="CF13" s="1015">
        <f t="shared" si="29"/>
        <v>0</v>
      </c>
      <c r="CG13" s="1023"/>
      <c r="CH13" s="1015">
        <f t="shared" si="30"/>
        <v>0</v>
      </c>
      <c r="CI13" s="1011">
        <f t="shared" si="31"/>
        <v>0</v>
      </c>
      <c r="CJ13" s="1025"/>
      <c r="CK13" s="1011">
        <f t="shared" si="32"/>
        <v>0</v>
      </c>
      <c r="CL13" s="996"/>
      <c r="CM13" s="1029">
        <f t="shared" si="33"/>
        <v>0</v>
      </c>
      <c r="CN13" s="1029">
        <f t="shared" si="34"/>
        <v>0</v>
      </c>
      <c r="CO13" s="1029">
        <f t="shared" si="35"/>
        <v>0</v>
      </c>
      <c r="CP13" s="1029">
        <f t="shared" si="36"/>
        <v>0</v>
      </c>
      <c r="CQ13" s="1029">
        <f t="shared" si="37"/>
        <v>0</v>
      </c>
      <c r="CR13" s="1029">
        <f t="shared" si="38"/>
        <v>0</v>
      </c>
      <c r="CS13" s="1029">
        <f t="shared" si="39"/>
        <v>0</v>
      </c>
      <c r="CT13" s="1029">
        <f t="shared" si="40"/>
        <v>0</v>
      </c>
      <c r="CU13" s="1029">
        <f t="shared" si="41"/>
        <v>0</v>
      </c>
      <c r="CV13" s="1029">
        <f t="shared" si="42"/>
        <v>0</v>
      </c>
      <c r="CW13" s="1029">
        <f t="shared" si="43"/>
        <v>0</v>
      </c>
      <c r="CX13" s="1029">
        <f t="shared" si="44"/>
        <v>0</v>
      </c>
      <c r="CY13" s="1029">
        <f t="shared" si="45"/>
        <v>0</v>
      </c>
      <c r="CZ13" s="1029">
        <f t="shared" si="46"/>
        <v>0</v>
      </c>
      <c r="DA13" s="1029">
        <f t="shared" si="47"/>
        <v>0</v>
      </c>
      <c r="DB13" s="1029">
        <f t="shared" si="48"/>
        <v>0</v>
      </c>
      <c r="DC13" s="1030"/>
      <c r="DD13" s="1031">
        <f t="shared" si="49"/>
        <v>0.77697930000000004</v>
      </c>
      <c r="DE13" s="1029">
        <f t="shared" si="50"/>
        <v>0</v>
      </c>
      <c r="DF13" s="1029">
        <f t="shared" si="51"/>
        <v>0</v>
      </c>
      <c r="DG13" s="1029">
        <f t="shared" si="52"/>
        <v>0</v>
      </c>
      <c r="DH13" s="1029">
        <f t="shared" si="53"/>
        <v>0</v>
      </c>
      <c r="DI13" s="1029">
        <f t="shared" si="54"/>
        <v>0</v>
      </c>
      <c r="DJ13" s="1029">
        <f t="shared" si="55"/>
        <v>0</v>
      </c>
      <c r="DK13" s="1029">
        <f t="shared" si="56"/>
        <v>0</v>
      </c>
      <c r="DL13" s="1029">
        <f t="shared" si="57"/>
        <v>0</v>
      </c>
      <c r="DM13" s="1029">
        <f t="shared" si="58"/>
        <v>0</v>
      </c>
      <c r="DN13" s="1029">
        <f t="shared" si="59"/>
        <v>0</v>
      </c>
      <c r="DO13" s="1029">
        <f t="shared" si="60"/>
        <v>0</v>
      </c>
      <c r="DP13" s="1030"/>
      <c r="DQ13" s="1031">
        <f t="shared" si="61"/>
        <v>0.8162336</v>
      </c>
      <c r="DR13" s="1029">
        <f t="shared" si="62"/>
        <v>0</v>
      </c>
      <c r="DS13" s="1029">
        <f t="shared" si="63"/>
        <v>0</v>
      </c>
      <c r="DT13" s="1029">
        <f t="shared" si="64"/>
        <v>0</v>
      </c>
      <c r="DU13" s="1029">
        <f t="shared" si="65"/>
        <v>0</v>
      </c>
      <c r="DV13" s="1029">
        <f t="shared" si="66"/>
        <v>0</v>
      </c>
      <c r="DW13" s="1029">
        <f t="shared" si="67"/>
        <v>0</v>
      </c>
      <c r="DX13" s="1029">
        <f t="shared" si="68"/>
        <v>0</v>
      </c>
      <c r="DY13" s="1029">
        <f t="shared" si="69"/>
        <v>0</v>
      </c>
      <c r="DZ13" s="1029">
        <f t="shared" si="70"/>
        <v>0</v>
      </c>
      <c r="EA13" s="1029">
        <f t="shared" si="71"/>
        <v>0</v>
      </c>
      <c r="EB13" s="1029">
        <f t="shared" si="72"/>
        <v>0</v>
      </c>
      <c r="EC13" s="1030"/>
      <c r="ED13" s="1031">
        <f t="shared" si="73"/>
        <v>0.84891570000000005</v>
      </c>
      <c r="EE13" s="1029">
        <f t="shared" si="74"/>
        <v>0</v>
      </c>
      <c r="EF13" s="1029">
        <f t="shared" si="75"/>
        <v>0</v>
      </c>
      <c r="EG13" s="1029">
        <f t="shared" si="76"/>
        <v>0</v>
      </c>
      <c r="EH13" s="1029">
        <f t="shared" si="77"/>
        <v>0</v>
      </c>
      <c r="EI13" s="1029">
        <f t="shared" si="78"/>
        <v>0</v>
      </c>
      <c r="EJ13" s="1029">
        <f t="shared" si="79"/>
        <v>0</v>
      </c>
      <c r="EK13" s="1029">
        <f t="shared" si="80"/>
        <v>0</v>
      </c>
      <c r="EL13" s="1029">
        <f t="shared" si="81"/>
        <v>0</v>
      </c>
      <c r="EM13" s="1029">
        <f t="shared" si="82"/>
        <v>0</v>
      </c>
      <c r="EN13" s="1029">
        <f t="shared" si="83"/>
        <v>0</v>
      </c>
      <c r="EO13" s="1029">
        <f t="shared" si="84"/>
        <v>0</v>
      </c>
    </row>
    <row r="14" spans="1:145" ht="18.75" hidden="1" x14ac:dyDescent="0.25">
      <c r="A14" s="1010" t="s">
        <v>665</v>
      </c>
      <c r="B14" s="1011">
        <f t="shared" si="0"/>
        <v>0</v>
      </c>
      <c r="C14" s="1011">
        <f t="shared" si="1"/>
        <v>0</v>
      </c>
      <c r="D14" s="1012"/>
      <c r="E14" s="1012"/>
      <c r="F14" s="1012"/>
      <c r="G14" s="1012"/>
      <c r="H14" s="1012"/>
      <c r="I14" s="1012"/>
      <c r="J14" s="1012"/>
      <c r="K14" s="1013">
        <f t="shared" si="2"/>
        <v>0</v>
      </c>
      <c r="L14" s="1013">
        <f t="shared" si="3"/>
        <v>0</v>
      </c>
      <c r="M14" s="1013">
        <f t="shared" si="4"/>
        <v>0</v>
      </c>
      <c r="N14" s="1011">
        <f t="shared" si="85"/>
        <v>0</v>
      </c>
      <c r="O14" s="1012"/>
      <c r="P14" s="1014">
        <f t="shared" si="5"/>
        <v>0</v>
      </c>
      <c r="Q14" s="1015">
        <f t="shared" si="86"/>
        <v>0</v>
      </c>
      <c r="R14" s="1015">
        <f t="shared" si="86"/>
        <v>0</v>
      </c>
      <c r="S14" s="1015">
        <f t="shared" si="86"/>
        <v>0</v>
      </c>
      <c r="T14" s="1015">
        <f t="shared" si="87"/>
        <v>0</v>
      </c>
      <c r="U14" s="1011">
        <f t="shared" si="6"/>
        <v>0</v>
      </c>
      <c r="V14" s="1014">
        <f t="shared" si="88"/>
        <v>0</v>
      </c>
      <c r="W14" s="1012"/>
      <c r="X14" s="1016">
        <v>0</v>
      </c>
      <c r="Y14" s="1012"/>
      <c r="Z14" s="1016">
        <v>0</v>
      </c>
      <c r="AA14" s="1012"/>
      <c r="AB14" s="1016">
        <v>15</v>
      </c>
      <c r="AC14" s="1012"/>
      <c r="AD14" s="1016">
        <v>15</v>
      </c>
      <c r="AE14" s="1012"/>
      <c r="AF14" s="1016">
        <v>0</v>
      </c>
      <c r="AG14" s="1017"/>
      <c r="AH14" s="1017"/>
      <c r="AI14" s="1017"/>
      <c r="AJ14" s="1018"/>
      <c r="AK14" s="1018">
        <f t="shared" si="89"/>
        <v>0</v>
      </c>
      <c r="AL14" s="1019"/>
      <c r="AM14" s="1014">
        <f t="shared" si="90"/>
        <v>0</v>
      </c>
      <c r="AN14" s="1012"/>
      <c r="AO14" s="1014">
        <f t="shared" si="91"/>
        <v>0</v>
      </c>
      <c r="AP14" s="1020"/>
      <c r="AQ14" s="1021"/>
      <c r="AR14" s="1022"/>
      <c r="AS14" s="1021"/>
      <c r="AT14" s="1011">
        <f t="shared" si="7"/>
        <v>0</v>
      </c>
      <c r="AU14" s="1023">
        <v>0</v>
      </c>
      <c r="AV14" s="1014">
        <f t="shared" si="8"/>
        <v>0</v>
      </c>
      <c r="AW14" s="1014">
        <f t="shared" si="9"/>
        <v>0</v>
      </c>
      <c r="AX14" s="1014">
        <f t="shared" si="9"/>
        <v>0</v>
      </c>
      <c r="AY14" s="1014">
        <f t="shared" si="9"/>
        <v>0</v>
      </c>
      <c r="AZ14" s="1014">
        <f t="shared" si="10"/>
        <v>0</v>
      </c>
      <c r="BA14" s="1024">
        <f t="shared" si="11"/>
        <v>0</v>
      </c>
      <c r="BB14" s="1024">
        <f t="shared" si="12"/>
        <v>0</v>
      </c>
      <c r="BC14" s="1024">
        <f t="shared" si="13"/>
        <v>0</v>
      </c>
      <c r="BD14" s="1024">
        <f t="shared" si="14"/>
        <v>0</v>
      </c>
      <c r="BE14" s="1024">
        <f t="shared" si="15"/>
        <v>0</v>
      </c>
      <c r="BF14" s="1014">
        <f t="shared" si="16"/>
        <v>0</v>
      </c>
      <c r="BG14" s="1014">
        <f t="shared" si="17"/>
        <v>0</v>
      </c>
      <c r="BH14" s="1011">
        <f t="shared" si="18"/>
        <v>0</v>
      </c>
      <c r="BI14" s="1011">
        <f t="shared" si="19"/>
        <v>0</v>
      </c>
      <c r="BJ14" s="1011">
        <f t="shared" si="20"/>
        <v>0</v>
      </c>
      <c r="BK14" s="1025"/>
      <c r="BL14" s="1026">
        <f t="shared" si="21"/>
        <v>0</v>
      </c>
      <c r="BM14" s="1027"/>
      <c r="BN14" s="1027"/>
      <c r="BO14" s="1027"/>
      <c r="BP14" s="1027"/>
      <c r="BQ14" s="1027"/>
      <c r="BR14" s="1028">
        <v>1.1072</v>
      </c>
      <c r="BS14" s="1011">
        <f t="shared" si="22"/>
        <v>0</v>
      </c>
      <c r="BT14" s="1023"/>
      <c r="BU14" s="1015">
        <f t="shared" si="23"/>
        <v>0</v>
      </c>
      <c r="BV14" s="1023"/>
      <c r="BW14" s="1015">
        <f t="shared" si="24"/>
        <v>0</v>
      </c>
      <c r="BX14" s="1023"/>
      <c r="BY14" s="1015">
        <f t="shared" si="25"/>
        <v>0</v>
      </c>
      <c r="BZ14" s="1023"/>
      <c r="CA14" s="1015">
        <f t="shared" si="26"/>
        <v>0</v>
      </c>
      <c r="CB14" s="1023"/>
      <c r="CC14" s="1015">
        <f t="shared" si="27"/>
        <v>0</v>
      </c>
      <c r="CD14" s="1011">
        <f t="shared" si="28"/>
        <v>0</v>
      </c>
      <c r="CE14" s="1023"/>
      <c r="CF14" s="1015">
        <f t="shared" si="29"/>
        <v>0</v>
      </c>
      <c r="CG14" s="1023"/>
      <c r="CH14" s="1015">
        <f t="shared" si="30"/>
        <v>0</v>
      </c>
      <c r="CI14" s="1011">
        <f t="shared" si="31"/>
        <v>0</v>
      </c>
      <c r="CJ14" s="1025"/>
      <c r="CK14" s="1011">
        <f t="shared" si="32"/>
        <v>0</v>
      </c>
      <c r="CL14" s="996"/>
      <c r="CM14" s="1029">
        <f t="shared" si="33"/>
        <v>0</v>
      </c>
      <c r="CN14" s="1029">
        <f t="shared" si="34"/>
        <v>0</v>
      </c>
      <c r="CO14" s="1029">
        <f t="shared" si="35"/>
        <v>0</v>
      </c>
      <c r="CP14" s="1029">
        <f t="shared" si="36"/>
        <v>0</v>
      </c>
      <c r="CQ14" s="1029">
        <f t="shared" si="37"/>
        <v>0</v>
      </c>
      <c r="CR14" s="1029">
        <f t="shared" si="38"/>
        <v>0</v>
      </c>
      <c r="CS14" s="1029">
        <f t="shared" si="39"/>
        <v>0</v>
      </c>
      <c r="CT14" s="1029">
        <f t="shared" si="40"/>
        <v>0</v>
      </c>
      <c r="CU14" s="1029">
        <f t="shared" si="41"/>
        <v>0</v>
      </c>
      <c r="CV14" s="1029">
        <f t="shared" si="42"/>
        <v>0</v>
      </c>
      <c r="CW14" s="1029">
        <f t="shared" si="43"/>
        <v>0</v>
      </c>
      <c r="CX14" s="1029">
        <f t="shared" si="44"/>
        <v>0</v>
      </c>
      <c r="CY14" s="1029">
        <f t="shared" si="45"/>
        <v>0</v>
      </c>
      <c r="CZ14" s="1029">
        <f t="shared" si="46"/>
        <v>0</v>
      </c>
      <c r="DA14" s="1029">
        <f t="shared" si="47"/>
        <v>0</v>
      </c>
      <c r="DB14" s="1029">
        <f t="shared" si="48"/>
        <v>0</v>
      </c>
      <c r="DC14" s="1030"/>
      <c r="DD14" s="1031">
        <f t="shared" si="49"/>
        <v>0.77697930000000004</v>
      </c>
      <c r="DE14" s="1029">
        <f t="shared" si="50"/>
        <v>0</v>
      </c>
      <c r="DF14" s="1029">
        <f t="shared" si="51"/>
        <v>0</v>
      </c>
      <c r="DG14" s="1029">
        <f t="shared" si="52"/>
        <v>0</v>
      </c>
      <c r="DH14" s="1029">
        <f t="shared" si="53"/>
        <v>0</v>
      </c>
      <c r="DI14" s="1029">
        <f t="shared" si="54"/>
        <v>0</v>
      </c>
      <c r="DJ14" s="1029">
        <f t="shared" si="55"/>
        <v>0</v>
      </c>
      <c r="DK14" s="1029">
        <f t="shared" si="56"/>
        <v>0</v>
      </c>
      <c r="DL14" s="1029">
        <f t="shared" si="57"/>
        <v>0</v>
      </c>
      <c r="DM14" s="1029">
        <f t="shared" si="58"/>
        <v>0</v>
      </c>
      <c r="DN14" s="1029">
        <f t="shared" si="59"/>
        <v>0</v>
      </c>
      <c r="DO14" s="1029">
        <f t="shared" si="60"/>
        <v>0</v>
      </c>
      <c r="DP14" s="1030"/>
      <c r="DQ14" s="1031">
        <f t="shared" si="61"/>
        <v>0.8162336</v>
      </c>
      <c r="DR14" s="1029">
        <f t="shared" si="62"/>
        <v>0</v>
      </c>
      <c r="DS14" s="1029">
        <f t="shared" si="63"/>
        <v>0</v>
      </c>
      <c r="DT14" s="1029">
        <f t="shared" si="64"/>
        <v>0</v>
      </c>
      <c r="DU14" s="1029">
        <f t="shared" si="65"/>
        <v>0</v>
      </c>
      <c r="DV14" s="1029">
        <f t="shared" si="66"/>
        <v>0</v>
      </c>
      <c r="DW14" s="1029">
        <f t="shared" si="67"/>
        <v>0</v>
      </c>
      <c r="DX14" s="1029">
        <f t="shared" si="68"/>
        <v>0</v>
      </c>
      <c r="DY14" s="1029">
        <f t="shared" si="69"/>
        <v>0</v>
      </c>
      <c r="DZ14" s="1029">
        <f t="shared" si="70"/>
        <v>0</v>
      </c>
      <c r="EA14" s="1029">
        <f t="shared" si="71"/>
        <v>0</v>
      </c>
      <c r="EB14" s="1029">
        <f t="shared" si="72"/>
        <v>0</v>
      </c>
      <c r="EC14" s="1030"/>
      <c r="ED14" s="1031">
        <f t="shared" si="73"/>
        <v>0.84891570000000005</v>
      </c>
      <c r="EE14" s="1029">
        <f t="shared" si="74"/>
        <v>0</v>
      </c>
      <c r="EF14" s="1029">
        <f t="shared" si="75"/>
        <v>0</v>
      </c>
      <c r="EG14" s="1029">
        <f t="shared" si="76"/>
        <v>0</v>
      </c>
      <c r="EH14" s="1029">
        <f t="shared" si="77"/>
        <v>0</v>
      </c>
      <c r="EI14" s="1029">
        <f t="shared" si="78"/>
        <v>0</v>
      </c>
      <c r="EJ14" s="1029">
        <f t="shared" si="79"/>
        <v>0</v>
      </c>
      <c r="EK14" s="1029">
        <f t="shared" si="80"/>
        <v>0</v>
      </c>
      <c r="EL14" s="1029">
        <f t="shared" si="81"/>
        <v>0</v>
      </c>
      <c r="EM14" s="1029">
        <f t="shared" si="82"/>
        <v>0</v>
      </c>
      <c r="EN14" s="1029">
        <f t="shared" si="83"/>
        <v>0</v>
      </c>
      <c r="EO14" s="1029">
        <f t="shared" si="84"/>
        <v>0</v>
      </c>
    </row>
    <row r="15" spans="1:145" ht="18.75" hidden="1" x14ac:dyDescent="0.25">
      <c r="A15" s="1010" t="s">
        <v>1800</v>
      </c>
      <c r="B15" s="1011">
        <f t="shared" si="0"/>
        <v>0</v>
      </c>
      <c r="C15" s="1011">
        <f t="shared" si="1"/>
        <v>0</v>
      </c>
      <c r="D15" s="1012"/>
      <c r="E15" s="1012"/>
      <c r="F15" s="1012"/>
      <c r="G15" s="1012"/>
      <c r="H15" s="1012"/>
      <c r="I15" s="1012"/>
      <c r="J15" s="1012"/>
      <c r="K15" s="1013">
        <f t="shared" si="2"/>
        <v>0</v>
      </c>
      <c r="L15" s="1013">
        <f t="shared" si="3"/>
        <v>0</v>
      </c>
      <c r="M15" s="1013">
        <f t="shared" si="4"/>
        <v>0</v>
      </c>
      <c r="N15" s="1011">
        <f t="shared" si="85"/>
        <v>0</v>
      </c>
      <c r="O15" s="1012"/>
      <c r="P15" s="1014">
        <f t="shared" si="5"/>
        <v>0</v>
      </c>
      <c r="Q15" s="1015">
        <f t="shared" si="86"/>
        <v>0</v>
      </c>
      <c r="R15" s="1015">
        <f t="shared" si="86"/>
        <v>0</v>
      </c>
      <c r="S15" s="1015">
        <f t="shared" si="86"/>
        <v>0</v>
      </c>
      <c r="T15" s="1015">
        <f t="shared" si="87"/>
        <v>0</v>
      </c>
      <c r="U15" s="1011">
        <f t="shared" si="6"/>
        <v>0</v>
      </c>
      <c r="V15" s="1014">
        <f t="shared" si="88"/>
        <v>0</v>
      </c>
      <c r="W15" s="1012"/>
      <c r="X15" s="1016">
        <v>0</v>
      </c>
      <c r="Y15" s="1012"/>
      <c r="Z15" s="1016">
        <v>0</v>
      </c>
      <c r="AA15" s="1012"/>
      <c r="AB15" s="1016">
        <v>15</v>
      </c>
      <c r="AC15" s="1012"/>
      <c r="AD15" s="1016">
        <v>15</v>
      </c>
      <c r="AE15" s="1012"/>
      <c r="AF15" s="1016">
        <v>0</v>
      </c>
      <c r="AG15" s="1017"/>
      <c r="AH15" s="1017"/>
      <c r="AI15" s="1017"/>
      <c r="AJ15" s="1018"/>
      <c r="AK15" s="1018">
        <f t="shared" si="89"/>
        <v>0</v>
      </c>
      <c r="AL15" s="1019"/>
      <c r="AM15" s="1014">
        <f t="shared" si="90"/>
        <v>0</v>
      </c>
      <c r="AN15" s="1012"/>
      <c r="AO15" s="1014">
        <f t="shared" si="91"/>
        <v>0</v>
      </c>
      <c r="AP15" s="1020"/>
      <c r="AQ15" s="1021"/>
      <c r="AR15" s="1022"/>
      <c r="AS15" s="1021"/>
      <c r="AT15" s="1011">
        <f t="shared" si="7"/>
        <v>0</v>
      </c>
      <c r="AU15" s="1023">
        <v>0</v>
      </c>
      <c r="AV15" s="1014">
        <f t="shared" si="8"/>
        <v>0</v>
      </c>
      <c r="AW15" s="1014">
        <f t="shared" si="9"/>
        <v>0</v>
      </c>
      <c r="AX15" s="1014">
        <f t="shared" si="9"/>
        <v>0</v>
      </c>
      <c r="AY15" s="1014">
        <f t="shared" si="9"/>
        <v>0</v>
      </c>
      <c r="AZ15" s="1014">
        <f t="shared" si="10"/>
        <v>0</v>
      </c>
      <c r="BA15" s="1024">
        <f t="shared" si="11"/>
        <v>0</v>
      </c>
      <c r="BB15" s="1024">
        <f t="shared" si="12"/>
        <v>0</v>
      </c>
      <c r="BC15" s="1024">
        <f t="shared" si="13"/>
        <v>0</v>
      </c>
      <c r="BD15" s="1024">
        <f t="shared" si="14"/>
        <v>0</v>
      </c>
      <c r="BE15" s="1024">
        <f t="shared" si="15"/>
        <v>0</v>
      </c>
      <c r="BF15" s="1014">
        <f t="shared" si="16"/>
        <v>0</v>
      </c>
      <c r="BG15" s="1014">
        <f t="shared" si="17"/>
        <v>0</v>
      </c>
      <c r="BH15" s="1011">
        <f t="shared" si="18"/>
        <v>0</v>
      </c>
      <c r="BI15" s="1011">
        <f t="shared" si="19"/>
        <v>0</v>
      </c>
      <c r="BJ15" s="1011">
        <f t="shared" si="20"/>
        <v>0</v>
      </c>
      <c r="BK15" s="1025"/>
      <c r="BL15" s="1026">
        <f t="shared" si="21"/>
        <v>0</v>
      </c>
      <c r="BM15" s="1027"/>
      <c r="BN15" s="1027"/>
      <c r="BO15" s="1027"/>
      <c r="BP15" s="1027"/>
      <c r="BQ15" s="1027"/>
      <c r="BR15" s="1028">
        <v>1.1072</v>
      </c>
      <c r="BS15" s="1011">
        <f t="shared" si="22"/>
        <v>0</v>
      </c>
      <c r="BT15" s="1023"/>
      <c r="BU15" s="1015">
        <f t="shared" si="23"/>
        <v>0</v>
      </c>
      <c r="BV15" s="1023"/>
      <c r="BW15" s="1015">
        <f t="shared" si="24"/>
        <v>0</v>
      </c>
      <c r="BX15" s="1023"/>
      <c r="BY15" s="1015">
        <f t="shared" si="25"/>
        <v>0</v>
      </c>
      <c r="BZ15" s="1023"/>
      <c r="CA15" s="1015">
        <f t="shared" si="26"/>
        <v>0</v>
      </c>
      <c r="CB15" s="1023"/>
      <c r="CC15" s="1015">
        <f t="shared" si="27"/>
        <v>0</v>
      </c>
      <c r="CD15" s="1011">
        <f t="shared" si="28"/>
        <v>0</v>
      </c>
      <c r="CE15" s="1023"/>
      <c r="CF15" s="1015">
        <f t="shared" si="29"/>
        <v>0</v>
      </c>
      <c r="CG15" s="1023"/>
      <c r="CH15" s="1015">
        <f t="shared" si="30"/>
        <v>0</v>
      </c>
      <c r="CI15" s="1011">
        <f t="shared" si="31"/>
        <v>0</v>
      </c>
      <c r="CJ15" s="1025"/>
      <c r="CK15" s="1011">
        <f t="shared" si="32"/>
        <v>0</v>
      </c>
      <c r="CL15" s="996"/>
      <c r="CM15" s="1029">
        <f t="shared" si="33"/>
        <v>0</v>
      </c>
      <c r="CN15" s="1029">
        <f t="shared" si="34"/>
        <v>0</v>
      </c>
      <c r="CO15" s="1029">
        <f t="shared" si="35"/>
        <v>0</v>
      </c>
      <c r="CP15" s="1029">
        <f t="shared" si="36"/>
        <v>0</v>
      </c>
      <c r="CQ15" s="1029">
        <f t="shared" si="37"/>
        <v>0</v>
      </c>
      <c r="CR15" s="1029">
        <f t="shared" si="38"/>
        <v>0</v>
      </c>
      <c r="CS15" s="1029">
        <f t="shared" si="39"/>
        <v>0</v>
      </c>
      <c r="CT15" s="1029">
        <f t="shared" si="40"/>
        <v>0</v>
      </c>
      <c r="CU15" s="1029">
        <f t="shared" si="41"/>
        <v>0</v>
      </c>
      <c r="CV15" s="1029">
        <f t="shared" si="42"/>
        <v>0</v>
      </c>
      <c r="CW15" s="1029">
        <f t="shared" si="43"/>
        <v>0</v>
      </c>
      <c r="CX15" s="1029">
        <f t="shared" si="44"/>
        <v>0</v>
      </c>
      <c r="CY15" s="1029">
        <f t="shared" si="45"/>
        <v>0</v>
      </c>
      <c r="CZ15" s="1029">
        <f t="shared" si="46"/>
        <v>0</v>
      </c>
      <c r="DA15" s="1029">
        <f t="shared" si="47"/>
        <v>0</v>
      </c>
      <c r="DB15" s="1029">
        <f t="shared" si="48"/>
        <v>0</v>
      </c>
      <c r="DC15" s="1030"/>
      <c r="DD15" s="1031">
        <f t="shared" si="49"/>
        <v>0.77697930000000004</v>
      </c>
      <c r="DE15" s="1029">
        <f t="shared" si="50"/>
        <v>0</v>
      </c>
      <c r="DF15" s="1029">
        <f t="shared" si="51"/>
        <v>0</v>
      </c>
      <c r="DG15" s="1029">
        <f t="shared" si="52"/>
        <v>0</v>
      </c>
      <c r="DH15" s="1029">
        <f t="shared" si="53"/>
        <v>0</v>
      </c>
      <c r="DI15" s="1029">
        <f t="shared" si="54"/>
        <v>0</v>
      </c>
      <c r="DJ15" s="1029">
        <f t="shared" si="55"/>
        <v>0</v>
      </c>
      <c r="DK15" s="1029">
        <f t="shared" si="56"/>
        <v>0</v>
      </c>
      <c r="DL15" s="1029">
        <f t="shared" si="57"/>
        <v>0</v>
      </c>
      <c r="DM15" s="1029">
        <f t="shared" si="58"/>
        <v>0</v>
      </c>
      <c r="DN15" s="1029">
        <f t="shared" si="59"/>
        <v>0</v>
      </c>
      <c r="DO15" s="1029">
        <f t="shared" si="60"/>
        <v>0</v>
      </c>
      <c r="DP15" s="1030"/>
      <c r="DQ15" s="1031">
        <f t="shared" si="61"/>
        <v>0.8162336</v>
      </c>
      <c r="DR15" s="1029">
        <f t="shared" si="62"/>
        <v>0</v>
      </c>
      <c r="DS15" s="1029">
        <f t="shared" si="63"/>
        <v>0</v>
      </c>
      <c r="DT15" s="1029">
        <f t="shared" si="64"/>
        <v>0</v>
      </c>
      <c r="DU15" s="1029">
        <f t="shared" si="65"/>
        <v>0</v>
      </c>
      <c r="DV15" s="1029">
        <f t="shared" si="66"/>
        <v>0</v>
      </c>
      <c r="DW15" s="1029">
        <f t="shared" si="67"/>
        <v>0</v>
      </c>
      <c r="DX15" s="1029">
        <f t="shared" si="68"/>
        <v>0</v>
      </c>
      <c r="DY15" s="1029">
        <f t="shared" si="69"/>
        <v>0</v>
      </c>
      <c r="DZ15" s="1029">
        <f t="shared" si="70"/>
        <v>0</v>
      </c>
      <c r="EA15" s="1029">
        <f t="shared" si="71"/>
        <v>0</v>
      </c>
      <c r="EB15" s="1029">
        <f t="shared" si="72"/>
        <v>0</v>
      </c>
      <c r="EC15" s="1030"/>
      <c r="ED15" s="1031">
        <f t="shared" si="73"/>
        <v>0.84891570000000005</v>
      </c>
      <c r="EE15" s="1029">
        <f t="shared" si="74"/>
        <v>0</v>
      </c>
      <c r="EF15" s="1029">
        <f t="shared" si="75"/>
        <v>0</v>
      </c>
      <c r="EG15" s="1029">
        <f t="shared" si="76"/>
        <v>0</v>
      </c>
      <c r="EH15" s="1029">
        <f t="shared" si="77"/>
        <v>0</v>
      </c>
      <c r="EI15" s="1029">
        <f t="shared" si="78"/>
        <v>0</v>
      </c>
      <c r="EJ15" s="1029">
        <f t="shared" si="79"/>
        <v>0</v>
      </c>
      <c r="EK15" s="1029">
        <f t="shared" si="80"/>
        <v>0</v>
      </c>
      <c r="EL15" s="1029">
        <f t="shared" si="81"/>
        <v>0</v>
      </c>
      <c r="EM15" s="1029">
        <f t="shared" si="82"/>
        <v>0</v>
      </c>
      <c r="EN15" s="1029">
        <f t="shared" si="83"/>
        <v>0</v>
      </c>
      <c r="EO15" s="1029">
        <f t="shared" si="84"/>
        <v>0</v>
      </c>
    </row>
    <row r="16" spans="1:145" ht="18.75" hidden="1" x14ac:dyDescent="0.25">
      <c r="A16" s="1010" t="s">
        <v>1801</v>
      </c>
      <c r="B16" s="1011">
        <f t="shared" si="0"/>
        <v>0</v>
      </c>
      <c r="C16" s="1011">
        <f t="shared" si="1"/>
        <v>0</v>
      </c>
      <c r="D16" s="1012"/>
      <c r="E16" s="1012"/>
      <c r="F16" s="1012"/>
      <c r="G16" s="1012"/>
      <c r="H16" s="1012"/>
      <c r="I16" s="1012"/>
      <c r="J16" s="1012"/>
      <c r="K16" s="1013">
        <f t="shared" si="2"/>
        <v>0</v>
      </c>
      <c r="L16" s="1013">
        <f t="shared" si="3"/>
        <v>0</v>
      </c>
      <c r="M16" s="1013">
        <f t="shared" si="4"/>
        <v>0</v>
      </c>
      <c r="N16" s="1011">
        <f t="shared" si="85"/>
        <v>0</v>
      </c>
      <c r="O16" s="1012"/>
      <c r="P16" s="1014">
        <f t="shared" si="5"/>
        <v>0</v>
      </c>
      <c r="Q16" s="1015">
        <f t="shared" si="86"/>
        <v>0</v>
      </c>
      <c r="R16" s="1015">
        <f t="shared" si="86"/>
        <v>0</v>
      </c>
      <c r="S16" s="1015">
        <f t="shared" si="86"/>
        <v>0</v>
      </c>
      <c r="T16" s="1015">
        <f t="shared" si="87"/>
        <v>0</v>
      </c>
      <c r="U16" s="1011">
        <f t="shared" si="6"/>
        <v>0</v>
      </c>
      <c r="V16" s="1014">
        <f t="shared" si="88"/>
        <v>0</v>
      </c>
      <c r="W16" s="1012"/>
      <c r="X16" s="1016">
        <v>0</v>
      </c>
      <c r="Y16" s="1012"/>
      <c r="Z16" s="1016">
        <v>0</v>
      </c>
      <c r="AA16" s="1012"/>
      <c r="AB16" s="1016">
        <v>15</v>
      </c>
      <c r="AC16" s="1012"/>
      <c r="AD16" s="1016">
        <v>15</v>
      </c>
      <c r="AE16" s="1012"/>
      <c r="AF16" s="1016">
        <v>0</v>
      </c>
      <c r="AG16" s="1017"/>
      <c r="AH16" s="1017"/>
      <c r="AI16" s="1017"/>
      <c r="AJ16" s="1018"/>
      <c r="AK16" s="1018">
        <f t="shared" si="89"/>
        <v>0</v>
      </c>
      <c r="AL16" s="1019"/>
      <c r="AM16" s="1014">
        <f t="shared" si="90"/>
        <v>0</v>
      </c>
      <c r="AN16" s="1012"/>
      <c r="AO16" s="1014">
        <f t="shared" si="91"/>
        <v>0</v>
      </c>
      <c r="AP16" s="1020"/>
      <c r="AQ16" s="1021"/>
      <c r="AR16" s="1022"/>
      <c r="AS16" s="1021"/>
      <c r="AT16" s="1011">
        <f t="shared" si="7"/>
        <v>0</v>
      </c>
      <c r="AU16" s="1023">
        <v>0</v>
      </c>
      <c r="AV16" s="1014">
        <f t="shared" si="8"/>
        <v>0</v>
      </c>
      <c r="AW16" s="1014">
        <f t="shared" si="9"/>
        <v>0</v>
      </c>
      <c r="AX16" s="1014">
        <f t="shared" si="9"/>
        <v>0</v>
      </c>
      <c r="AY16" s="1014">
        <f t="shared" si="9"/>
        <v>0</v>
      </c>
      <c r="AZ16" s="1014">
        <f t="shared" si="10"/>
        <v>0</v>
      </c>
      <c r="BA16" s="1024">
        <f t="shared" si="11"/>
        <v>0</v>
      </c>
      <c r="BB16" s="1024">
        <f t="shared" si="12"/>
        <v>0</v>
      </c>
      <c r="BC16" s="1024">
        <f t="shared" si="13"/>
        <v>0</v>
      </c>
      <c r="BD16" s="1024">
        <f t="shared" si="14"/>
        <v>0</v>
      </c>
      <c r="BE16" s="1024">
        <f t="shared" si="15"/>
        <v>0</v>
      </c>
      <c r="BF16" s="1014">
        <f t="shared" si="16"/>
        <v>0</v>
      </c>
      <c r="BG16" s="1014">
        <f t="shared" si="17"/>
        <v>0</v>
      </c>
      <c r="BH16" s="1011">
        <f t="shared" si="18"/>
        <v>0</v>
      </c>
      <c r="BI16" s="1011">
        <f t="shared" si="19"/>
        <v>0</v>
      </c>
      <c r="BJ16" s="1011">
        <f t="shared" si="20"/>
        <v>0</v>
      </c>
      <c r="BK16" s="1025"/>
      <c r="BL16" s="1026">
        <f t="shared" si="21"/>
        <v>0</v>
      </c>
      <c r="BM16" s="1027"/>
      <c r="BN16" s="1027"/>
      <c r="BO16" s="1027"/>
      <c r="BP16" s="1027"/>
      <c r="BQ16" s="1027"/>
      <c r="BR16" s="1028">
        <v>1.1072</v>
      </c>
      <c r="BS16" s="1011">
        <f t="shared" si="22"/>
        <v>0</v>
      </c>
      <c r="BT16" s="1023"/>
      <c r="BU16" s="1015">
        <f t="shared" si="23"/>
        <v>0</v>
      </c>
      <c r="BV16" s="1023"/>
      <c r="BW16" s="1015">
        <f t="shared" si="24"/>
        <v>0</v>
      </c>
      <c r="BX16" s="1023"/>
      <c r="BY16" s="1015">
        <f t="shared" si="25"/>
        <v>0</v>
      </c>
      <c r="BZ16" s="1023"/>
      <c r="CA16" s="1015">
        <f t="shared" si="26"/>
        <v>0</v>
      </c>
      <c r="CB16" s="1023"/>
      <c r="CC16" s="1015">
        <f t="shared" si="27"/>
        <v>0</v>
      </c>
      <c r="CD16" s="1011">
        <f t="shared" si="28"/>
        <v>0</v>
      </c>
      <c r="CE16" s="1023"/>
      <c r="CF16" s="1015">
        <f t="shared" si="29"/>
        <v>0</v>
      </c>
      <c r="CG16" s="1023"/>
      <c r="CH16" s="1015">
        <f t="shared" si="30"/>
        <v>0</v>
      </c>
      <c r="CI16" s="1011">
        <f t="shared" si="31"/>
        <v>0</v>
      </c>
      <c r="CJ16" s="1025"/>
      <c r="CK16" s="1011">
        <f t="shared" si="32"/>
        <v>0</v>
      </c>
      <c r="CL16" s="996"/>
      <c r="CM16" s="1029">
        <f t="shared" si="33"/>
        <v>0</v>
      </c>
      <c r="CN16" s="1029">
        <f t="shared" si="34"/>
        <v>0</v>
      </c>
      <c r="CO16" s="1029">
        <f t="shared" si="35"/>
        <v>0</v>
      </c>
      <c r="CP16" s="1029">
        <f t="shared" si="36"/>
        <v>0</v>
      </c>
      <c r="CQ16" s="1029">
        <f t="shared" si="37"/>
        <v>0</v>
      </c>
      <c r="CR16" s="1029">
        <f t="shared" si="38"/>
        <v>0</v>
      </c>
      <c r="CS16" s="1029">
        <f t="shared" si="39"/>
        <v>0</v>
      </c>
      <c r="CT16" s="1029">
        <f t="shared" si="40"/>
        <v>0</v>
      </c>
      <c r="CU16" s="1029">
        <f t="shared" si="41"/>
        <v>0</v>
      </c>
      <c r="CV16" s="1029">
        <f t="shared" si="42"/>
        <v>0</v>
      </c>
      <c r="CW16" s="1029">
        <f t="shared" si="43"/>
        <v>0</v>
      </c>
      <c r="CX16" s="1029">
        <f t="shared" si="44"/>
        <v>0</v>
      </c>
      <c r="CY16" s="1029">
        <f t="shared" si="45"/>
        <v>0</v>
      </c>
      <c r="CZ16" s="1029">
        <f t="shared" si="46"/>
        <v>0</v>
      </c>
      <c r="DA16" s="1029">
        <f t="shared" si="47"/>
        <v>0</v>
      </c>
      <c r="DB16" s="1029">
        <f t="shared" si="48"/>
        <v>0</v>
      </c>
      <c r="DC16" s="1030"/>
      <c r="DD16" s="1031">
        <f t="shared" si="49"/>
        <v>0.77697930000000004</v>
      </c>
      <c r="DE16" s="1029">
        <f t="shared" si="50"/>
        <v>0</v>
      </c>
      <c r="DF16" s="1029">
        <f t="shared" si="51"/>
        <v>0</v>
      </c>
      <c r="DG16" s="1029">
        <f t="shared" si="52"/>
        <v>0</v>
      </c>
      <c r="DH16" s="1029">
        <f t="shared" si="53"/>
        <v>0</v>
      </c>
      <c r="DI16" s="1029">
        <f t="shared" si="54"/>
        <v>0</v>
      </c>
      <c r="DJ16" s="1029">
        <f t="shared" si="55"/>
        <v>0</v>
      </c>
      <c r="DK16" s="1029">
        <f t="shared" si="56"/>
        <v>0</v>
      </c>
      <c r="DL16" s="1029">
        <f t="shared" si="57"/>
        <v>0</v>
      </c>
      <c r="DM16" s="1029">
        <f t="shared" si="58"/>
        <v>0</v>
      </c>
      <c r="DN16" s="1029">
        <f t="shared" si="59"/>
        <v>0</v>
      </c>
      <c r="DO16" s="1029">
        <f t="shared" si="60"/>
        <v>0</v>
      </c>
      <c r="DP16" s="1030"/>
      <c r="DQ16" s="1031">
        <f t="shared" si="61"/>
        <v>0.8162336</v>
      </c>
      <c r="DR16" s="1029">
        <f t="shared" si="62"/>
        <v>0</v>
      </c>
      <c r="DS16" s="1029">
        <f t="shared" si="63"/>
        <v>0</v>
      </c>
      <c r="DT16" s="1029">
        <f t="shared" si="64"/>
        <v>0</v>
      </c>
      <c r="DU16" s="1029">
        <f t="shared" si="65"/>
        <v>0</v>
      </c>
      <c r="DV16" s="1029">
        <f t="shared" si="66"/>
        <v>0</v>
      </c>
      <c r="DW16" s="1029">
        <f t="shared" si="67"/>
        <v>0</v>
      </c>
      <c r="DX16" s="1029">
        <f t="shared" si="68"/>
        <v>0</v>
      </c>
      <c r="DY16" s="1029">
        <f t="shared" si="69"/>
        <v>0</v>
      </c>
      <c r="DZ16" s="1029">
        <f t="shared" si="70"/>
        <v>0</v>
      </c>
      <c r="EA16" s="1029">
        <f t="shared" si="71"/>
        <v>0</v>
      </c>
      <c r="EB16" s="1029">
        <f t="shared" si="72"/>
        <v>0</v>
      </c>
      <c r="EC16" s="1030"/>
      <c r="ED16" s="1031">
        <f t="shared" si="73"/>
        <v>0.84891570000000005</v>
      </c>
      <c r="EE16" s="1029">
        <f t="shared" si="74"/>
        <v>0</v>
      </c>
      <c r="EF16" s="1029">
        <f t="shared" si="75"/>
        <v>0</v>
      </c>
      <c r="EG16" s="1029">
        <f t="shared" si="76"/>
        <v>0</v>
      </c>
      <c r="EH16" s="1029">
        <f t="shared" si="77"/>
        <v>0</v>
      </c>
      <c r="EI16" s="1029">
        <f t="shared" si="78"/>
        <v>0</v>
      </c>
      <c r="EJ16" s="1029">
        <f t="shared" si="79"/>
        <v>0</v>
      </c>
      <c r="EK16" s="1029">
        <f t="shared" si="80"/>
        <v>0</v>
      </c>
      <c r="EL16" s="1029">
        <f t="shared" si="81"/>
        <v>0</v>
      </c>
      <c r="EM16" s="1029">
        <f t="shared" si="82"/>
        <v>0</v>
      </c>
      <c r="EN16" s="1029">
        <f t="shared" si="83"/>
        <v>0</v>
      </c>
      <c r="EO16" s="1029">
        <f t="shared" si="84"/>
        <v>0</v>
      </c>
    </row>
    <row r="17" spans="1:145" ht="18.75" hidden="1" x14ac:dyDescent="0.25">
      <c r="A17" s="1010" t="s">
        <v>668</v>
      </c>
      <c r="B17" s="1011">
        <f t="shared" si="0"/>
        <v>0</v>
      </c>
      <c r="C17" s="1011">
        <f t="shared" si="1"/>
        <v>0</v>
      </c>
      <c r="D17" s="1012"/>
      <c r="E17" s="1012"/>
      <c r="F17" s="1012"/>
      <c r="G17" s="1012"/>
      <c r="H17" s="1012"/>
      <c r="I17" s="1012"/>
      <c r="J17" s="1012"/>
      <c r="K17" s="1013">
        <f t="shared" si="2"/>
        <v>0</v>
      </c>
      <c r="L17" s="1013">
        <f t="shared" si="3"/>
        <v>0</v>
      </c>
      <c r="M17" s="1013">
        <f t="shared" si="4"/>
        <v>0</v>
      </c>
      <c r="N17" s="1011">
        <f t="shared" si="85"/>
        <v>0</v>
      </c>
      <c r="O17" s="1012"/>
      <c r="P17" s="1014">
        <f t="shared" si="5"/>
        <v>0</v>
      </c>
      <c r="Q17" s="1015">
        <f t="shared" si="86"/>
        <v>0</v>
      </c>
      <c r="R17" s="1015">
        <f t="shared" si="86"/>
        <v>0</v>
      </c>
      <c r="S17" s="1015">
        <f t="shared" si="86"/>
        <v>0</v>
      </c>
      <c r="T17" s="1015">
        <f t="shared" si="87"/>
        <v>0</v>
      </c>
      <c r="U17" s="1011">
        <f t="shared" si="6"/>
        <v>0</v>
      </c>
      <c r="V17" s="1014">
        <f t="shared" si="88"/>
        <v>0</v>
      </c>
      <c r="W17" s="1012"/>
      <c r="X17" s="1016">
        <v>0</v>
      </c>
      <c r="Y17" s="1012"/>
      <c r="Z17" s="1016">
        <v>0</v>
      </c>
      <c r="AA17" s="1012"/>
      <c r="AB17" s="1016">
        <v>15</v>
      </c>
      <c r="AC17" s="1012"/>
      <c r="AD17" s="1016">
        <v>15</v>
      </c>
      <c r="AE17" s="1012"/>
      <c r="AF17" s="1016">
        <v>0</v>
      </c>
      <c r="AG17" s="1017"/>
      <c r="AH17" s="1017"/>
      <c r="AI17" s="1017"/>
      <c r="AJ17" s="1018"/>
      <c r="AK17" s="1018">
        <f t="shared" si="89"/>
        <v>0</v>
      </c>
      <c r="AL17" s="1019"/>
      <c r="AM17" s="1014">
        <f t="shared" si="90"/>
        <v>0</v>
      </c>
      <c r="AN17" s="1012"/>
      <c r="AO17" s="1014">
        <f t="shared" si="91"/>
        <v>0</v>
      </c>
      <c r="AP17" s="1020"/>
      <c r="AQ17" s="1021"/>
      <c r="AR17" s="1022"/>
      <c r="AS17" s="1021"/>
      <c r="AT17" s="1011">
        <f t="shared" si="7"/>
        <v>0</v>
      </c>
      <c r="AU17" s="1023">
        <v>0</v>
      </c>
      <c r="AV17" s="1014">
        <f t="shared" si="8"/>
        <v>0</v>
      </c>
      <c r="AW17" s="1014">
        <f t="shared" si="9"/>
        <v>0</v>
      </c>
      <c r="AX17" s="1014">
        <f t="shared" si="9"/>
        <v>0</v>
      </c>
      <c r="AY17" s="1014">
        <f t="shared" si="9"/>
        <v>0</v>
      </c>
      <c r="AZ17" s="1014">
        <f t="shared" si="10"/>
        <v>0</v>
      </c>
      <c r="BA17" s="1024">
        <f t="shared" si="11"/>
        <v>0</v>
      </c>
      <c r="BB17" s="1024">
        <f t="shared" si="12"/>
        <v>0</v>
      </c>
      <c r="BC17" s="1024">
        <f t="shared" si="13"/>
        <v>0</v>
      </c>
      <c r="BD17" s="1024">
        <f t="shared" si="14"/>
        <v>0</v>
      </c>
      <c r="BE17" s="1024">
        <f t="shared" si="15"/>
        <v>0</v>
      </c>
      <c r="BF17" s="1014">
        <f t="shared" si="16"/>
        <v>0</v>
      </c>
      <c r="BG17" s="1014">
        <f t="shared" si="17"/>
        <v>0</v>
      </c>
      <c r="BH17" s="1011">
        <f t="shared" si="18"/>
        <v>0</v>
      </c>
      <c r="BI17" s="1011">
        <f t="shared" si="19"/>
        <v>0</v>
      </c>
      <c r="BJ17" s="1011">
        <f t="shared" si="20"/>
        <v>0</v>
      </c>
      <c r="BK17" s="1025"/>
      <c r="BL17" s="1026">
        <f t="shared" si="21"/>
        <v>0</v>
      </c>
      <c r="BM17" s="1027"/>
      <c r="BN17" s="1027"/>
      <c r="BO17" s="1027"/>
      <c r="BP17" s="1027"/>
      <c r="BQ17" s="1027"/>
      <c r="BR17" s="1028">
        <v>1.1072</v>
      </c>
      <c r="BS17" s="1011">
        <f t="shared" si="22"/>
        <v>0</v>
      </c>
      <c r="BT17" s="1023"/>
      <c r="BU17" s="1015">
        <f t="shared" si="23"/>
        <v>0</v>
      </c>
      <c r="BV17" s="1023"/>
      <c r="BW17" s="1015">
        <f t="shared" si="24"/>
        <v>0</v>
      </c>
      <c r="BX17" s="1023"/>
      <c r="BY17" s="1015">
        <f t="shared" si="25"/>
        <v>0</v>
      </c>
      <c r="BZ17" s="1023"/>
      <c r="CA17" s="1015">
        <f t="shared" si="26"/>
        <v>0</v>
      </c>
      <c r="CB17" s="1023"/>
      <c r="CC17" s="1015">
        <f t="shared" si="27"/>
        <v>0</v>
      </c>
      <c r="CD17" s="1011">
        <f t="shared" si="28"/>
        <v>0</v>
      </c>
      <c r="CE17" s="1023"/>
      <c r="CF17" s="1015">
        <f t="shared" si="29"/>
        <v>0</v>
      </c>
      <c r="CG17" s="1023"/>
      <c r="CH17" s="1015">
        <f t="shared" si="30"/>
        <v>0</v>
      </c>
      <c r="CI17" s="1011">
        <f t="shared" si="31"/>
        <v>0</v>
      </c>
      <c r="CJ17" s="1025"/>
      <c r="CK17" s="1011">
        <f t="shared" si="32"/>
        <v>0</v>
      </c>
      <c r="CL17" s="996"/>
      <c r="CM17" s="1029">
        <f t="shared" si="33"/>
        <v>0</v>
      </c>
      <c r="CN17" s="1029">
        <f t="shared" si="34"/>
        <v>0</v>
      </c>
      <c r="CO17" s="1029">
        <f t="shared" si="35"/>
        <v>0</v>
      </c>
      <c r="CP17" s="1029">
        <f t="shared" si="36"/>
        <v>0</v>
      </c>
      <c r="CQ17" s="1029">
        <f t="shared" si="37"/>
        <v>0</v>
      </c>
      <c r="CR17" s="1029">
        <f t="shared" si="38"/>
        <v>0</v>
      </c>
      <c r="CS17" s="1029">
        <f t="shared" si="39"/>
        <v>0</v>
      </c>
      <c r="CT17" s="1029">
        <f t="shared" si="40"/>
        <v>0</v>
      </c>
      <c r="CU17" s="1029">
        <f t="shared" si="41"/>
        <v>0</v>
      </c>
      <c r="CV17" s="1029">
        <f t="shared" si="42"/>
        <v>0</v>
      </c>
      <c r="CW17" s="1029">
        <f t="shared" si="43"/>
        <v>0</v>
      </c>
      <c r="CX17" s="1029">
        <f t="shared" si="44"/>
        <v>0</v>
      </c>
      <c r="CY17" s="1029">
        <f t="shared" si="45"/>
        <v>0</v>
      </c>
      <c r="CZ17" s="1029">
        <f t="shared" si="46"/>
        <v>0</v>
      </c>
      <c r="DA17" s="1029">
        <f t="shared" si="47"/>
        <v>0</v>
      </c>
      <c r="DB17" s="1029">
        <f t="shared" si="48"/>
        <v>0</v>
      </c>
      <c r="DC17" s="1030"/>
      <c r="DD17" s="1031">
        <f t="shared" si="49"/>
        <v>0.77697930000000004</v>
      </c>
      <c r="DE17" s="1029">
        <f t="shared" si="50"/>
        <v>0</v>
      </c>
      <c r="DF17" s="1029">
        <f t="shared" si="51"/>
        <v>0</v>
      </c>
      <c r="DG17" s="1029">
        <f t="shared" si="52"/>
        <v>0</v>
      </c>
      <c r="DH17" s="1029">
        <f t="shared" si="53"/>
        <v>0</v>
      </c>
      <c r="DI17" s="1029">
        <f t="shared" si="54"/>
        <v>0</v>
      </c>
      <c r="DJ17" s="1029">
        <f t="shared" si="55"/>
        <v>0</v>
      </c>
      <c r="DK17" s="1029">
        <f t="shared" si="56"/>
        <v>0</v>
      </c>
      <c r="DL17" s="1029">
        <f t="shared" si="57"/>
        <v>0</v>
      </c>
      <c r="DM17" s="1029">
        <f t="shared" si="58"/>
        <v>0</v>
      </c>
      <c r="DN17" s="1029">
        <f t="shared" si="59"/>
        <v>0</v>
      </c>
      <c r="DO17" s="1029">
        <f t="shared" si="60"/>
        <v>0</v>
      </c>
      <c r="DP17" s="1030"/>
      <c r="DQ17" s="1031">
        <f t="shared" si="61"/>
        <v>0.8162336</v>
      </c>
      <c r="DR17" s="1029">
        <f t="shared" si="62"/>
        <v>0</v>
      </c>
      <c r="DS17" s="1029">
        <f t="shared" si="63"/>
        <v>0</v>
      </c>
      <c r="DT17" s="1029">
        <f t="shared" si="64"/>
        <v>0</v>
      </c>
      <c r="DU17" s="1029">
        <f t="shared" si="65"/>
        <v>0</v>
      </c>
      <c r="DV17" s="1029">
        <f t="shared" si="66"/>
        <v>0</v>
      </c>
      <c r="DW17" s="1029">
        <f t="shared" si="67"/>
        <v>0</v>
      </c>
      <c r="DX17" s="1029">
        <f t="shared" si="68"/>
        <v>0</v>
      </c>
      <c r="DY17" s="1029">
        <f t="shared" si="69"/>
        <v>0</v>
      </c>
      <c r="DZ17" s="1029">
        <f t="shared" si="70"/>
        <v>0</v>
      </c>
      <c r="EA17" s="1029">
        <f t="shared" si="71"/>
        <v>0</v>
      </c>
      <c r="EB17" s="1029">
        <f t="shared" si="72"/>
        <v>0</v>
      </c>
      <c r="EC17" s="1030"/>
      <c r="ED17" s="1031">
        <f t="shared" si="73"/>
        <v>0.84891570000000005</v>
      </c>
      <c r="EE17" s="1029">
        <f t="shared" si="74"/>
        <v>0</v>
      </c>
      <c r="EF17" s="1029">
        <f t="shared" si="75"/>
        <v>0</v>
      </c>
      <c r="EG17" s="1029">
        <f t="shared" si="76"/>
        <v>0</v>
      </c>
      <c r="EH17" s="1029">
        <f t="shared" si="77"/>
        <v>0</v>
      </c>
      <c r="EI17" s="1029">
        <f t="shared" si="78"/>
        <v>0</v>
      </c>
      <c r="EJ17" s="1029">
        <f t="shared" si="79"/>
        <v>0</v>
      </c>
      <c r="EK17" s="1029">
        <f t="shared" si="80"/>
        <v>0</v>
      </c>
      <c r="EL17" s="1029">
        <f t="shared" si="81"/>
        <v>0</v>
      </c>
      <c r="EM17" s="1029">
        <f t="shared" si="82"/>
        <v>0</v>
      </c>
      <c r="EN17" s="1029">
        <f t="shared" si="83"/>
        <v>0</v>
      </c>
      <c r="EO17" s="1029">
        <f t="shared" si="84"/>
        <v>0</v>
      </c>
    </row>
    <row r="18" spans="1:145" ht="18.75" hidden="1" x14ac:dyDescent="0.25">
      <c r="A18" s="1010" t="s">
        <v>669</v>
      </c>
      <c r="B18" s="1011">
        <f t="shared" si="0"/>
        <v>0</v>
      </c>
      <c r="C18" s="1011">
        <f t="shared" si="1"/>
        <v>0</v>
      </c>
      <c r="D18" s="1012"/>
      <c r="E18" s="1012"/>
      <c r="F18" s="1012"/>
      <c r="G18" s="1012"/>
      <c r="H18" s="1012"/>
      <c r="I18" s="1012"/>
      <c r="J18" s="1012"/>
      <c r="K18" s="1013">
        <f t="shared" si="2"/>
        <v>0</v>
      </c>
      <c r="L18" s="1013">
        <f t="shared" si="3"/>
        <v>0</v>
      </c>
      <c r="M18" s="1013">
        <f t="shared" si="4"/>
        <v>0</v>
      </c>
      <c r="N18" s="1011">
        <f t="shared" si="85"/>
        <v>0</v>
      </c>
      <c r="O18" s="1012"/>
      <c r="P18" s="1014">
        <f t="shared" si="5"/>
        <v>0</v>
      </c>
      <c r="Q18" s="1015">
        <f t="shared" si="86"/>
        <v>0</v>
      </c>
      <c r="R18" s="1015">
        <f t="shared" si="86"/>
        <v>0</v>
      </c>
      <c r="S18" s="1015">
        <f t="shared" si="86"/>
        <v>0</v>
      </c>
      <c r="T18" s="1015">
        <f t="shared" si="87"/>
        <v>0</v>
      </c>
      <c r="U18" s="1011">
        <f t="shared" si="6"/>
        <v>0</v>
      </c>
      <c r="V18" s="1014">
        <f t="shared" si="88"/>
        <v>0</v>
      </c>
      <c r="W18" s="1012"/>
      <c r="X18" s="1016">
        <v>0</v>
      </c>
      <c r="Y18" s="1012"/>
      <c r="Z18" s="1016">
        <v>0</v>
      </c>
      <c r="AA18" s="1012"/>
      <c r="AB18" s="1016">
        <v>15</v>
      </c>
      <c r="AC18" s="1012"/>
      <c r="AD18" s="1016">
        <v>15</v>
      </c>
      <c r="AE18" s="1012"/>
      <c r="AF18" s="1016">
        <v>0</v>
      </c>
      <c r="AG18" s="1017"/>
      <c r="AH18" s="1017"/>
      <c r="AI18" s="1017"/>
      <c r="AJ18" s="1018"/>
      <c r="AK18" s="1018">
        <f t="shared" si="89"/>
        <v>0</v>
      </c>
      <c r="AL18" s="1019"/>
      <c r="AM18" s="1014">
        <f t="shared" si="90"/>
        <v>0</v>
      </c>
      <c r="AN18" s="1012"/>
      <c r="AO18" s="1014">
        <f t="shared" si="91"/>
        <v>0</v>
      </c>
      <c r="AP18" s="1020"/>
      <c r="AQ18" s="1021"/>
      <c r="AR18" s="1022"/>
      <c r="AS18" s="1021"/>
      <c r="AT18" s="1011">
        <f t="shared" si="7"/>
        <v>0</v>
      </c>
      <c r="AU18" s="1023">
        <v>0</v>
      </c>
      <c r="AV18" s="1014">
        <f t="shared" si="8"/>
        <v>0</v>
      </c>
      <c r="AW18" s="1014">
        <f t="shared" si="9"/>
        <v>0</v>
      </c>
      <c r="AX18" s="1014">
        <f t="shared" si="9"/>
        <v>0</v>
      </c>
      <c r="AY18" s="1014">
        <f t="shared" si="9"/>
        <v>0</v>
      </c>
      <c r="AZ18" s="1014">
        <f t="shared" si="10"/>
        <v>0</v>
      </c>
      <c r="BA18" s="1024">
        <f t="shared" si="11"/>
        <v>0</v>
      </c>
      <c r="BB18" s="1024">
        <f t="shared" si="12"/>
        <v>0</v>
      </c>
      <c r="BC18" s="1024">
        <f t="shared" si="13"/>
        <v>0</v>
      </c>
      <c r="BD18" s="1024">
        <f t="shared" si="14"/>
        <v>0</v>
      </c>
      <c r="BE18" s="1024">
        <f t="shared" si="15"/>
        <v>0</v>
      </c>
      <c r="BF18" s="1014">
        <f t="shared" si="16"/>
        <v>0</v>
      </c>
      <c r="BG18" s="1014">
        <f t="shared" si="17"/>
        <v>0</v>
      </c>
      <c r="BH18" s="1011">
        <f t="shared" si="18"/>
        <v>0</v>
      </c>
      <c r="BI18" s="1011">
        <f t="shared" si="19"/>
        <v>0</v>
      </c>
      <c r="BJ18" s="1011">
        <f t="shared" si="20"/>
        <v>0</v>
      </c>
      <c r="BK18" s="1025"/>
      <c r="BL18" s="1026">
        <f t="shared" si="21"/>
        <v>0</v>
      </c>
      <c r="BM18" s="1027"/>
      <c r="BN18" s="1027"/>
      <c r="BO18" s="1027"/>
      <c r="BP18" s="1027"/>
      <c r="BQ18" s="1027"/>
      <c r="BR18" s="1028">
        <v>1.1072</v>
      </c>
      <c r="BS18" s="1011">
        <f t="shared" si="22"/>
        <v>0</v>
      </c>
      <c r="BT18" s="1023"/>
      <c r="BU18" s="1015">
        <f t="shared" si="23"/>
        <v>0</v>
      </c>
      <c r="BV18" s="1023"/>
      <c r="BW18" s="1015">
        <f t="shared" si="24"/>
        <v>0</v>
      </c>
      <c r="BX18" s="1023"/>
      <c r="BY18" s="1015">
        <f t="shared" si="25"/>
        <v>0</v>
      </c>
      <c r="BZ18" s="1023"/>
      <c r="CA18" s="1015">
        <f t="shared" si="26"/>
        <v>0</v>
      </c>
      <c r="CB18" s="1023"/>
      <c r="CC18" s="1015">
        <f t="shared" si="27"/>
        <v>0</v>
      </c>
      <c r="CD18" s="1011">
        <f t="shared" si="28"/>
        <v>0</v>
      </c>
      <c r="CE18" s="1023"/>
      <c r="CF18" s="1015">
        <f t="shared" si="29"/>
        <v>0</v>
      </c>
      <c r="CG18" s="1023"/>
      <c r="CH18" s="1015">
        <f t="shared" si="30"/>
        <v>0</v>
      </c>
      <c r="CI18" s="1011">
        <f t="shared" si="31"/>
        <v>0</v>
      </c>
      <c r="CJ18" s="1025"/>
      <c r="CK18" s="1011">
        <f t="shared" si="32"/>
        <v>0</v>
      </c>
      <c r="CL18" s="996"/>
      <c r="CM18" s="1029">
        <f t="shared" si="33"/>
        <v>0</v>
      </c>
      <c r="CN18" s="1029">
        <f t="shared" si="34"/>
        <v>0</v>
      </c>
      <c r="CO18" s="1029">
        <f t="shared" si="35"/>
        <v>0</v>
      </c>
      <c r="CP18" s="1029">
        <f t="shared" si="36"/>
        <v>0</v>
      </c>
      <c r="CQ18" s="1029">
        <f t="shared" si="37"/>
        <v>0</v>
      </c>
      <c r="CR18" s="1029">
        <f t="shared" si="38"/>
        <v>0</v>
      </c>
      <c r="CS18" s="1029">
        <f t="shared" si="39"/>
        <v>0</v>
      </c>
      <c r="CT18" s="1029">
        <f t="shared" si="40"/>
        <v>0</v>
      </c>
      <c r="CU18" s="1029">
        <f t="shared" si="41"/>
        <v>0</v>
      </c>
      <c r="CV18" s="1029">
        <f t="shared" si="42"/>
        <v>0</v>
      </c>
      <c r="CW18" s="1029">
        <f t="shared" si="43"/>
        <v>0</v>
      </c>
      <c r="CX18" s="1029">
        <f t="shared" si="44"/>
        <v>0</v>
      </c>
      <c r="CY18" s="1029">
        <f t="shared" si="45"/>
        <v>0</v>
      </c>
      <c r="CZ18" s="1029">
        <f t="shared" si="46"/>
        <v>0</v>
      </c>
      <c r="DA18" s="1029">
        <f t="shared" si="47"/>
        <v>0</v>
      </c>
      <c r="DB18" s="1029">
        <f t="shared" si="48"/>
        <v>0</v>
      </c>
      <c r="DC18" s="1030"/>
      <c r="DD18" s="1031">
        <f t="shared" si="49"/>
        <v>0.77697930000000004</v>
      </c>
      <c r="DE18" s="1029">
        <f t="shared" si="50"/>
        <v>0</v>
      </c>
      <c r="DF18" s="1029">
        <f t="shared" si="51"/>
        <v>0</v>
      </c>
      <c r="DG18" s="1029">
        <f t="shared" si="52"/>
        <v>0</v>
      </c>
      <c r="DH18" s="1029">
        <f t="shared" si="53"/>
        <v>0</v>
      </c>
      <c r="DI18" s="1029">
        <f t="shared" si="54"/>
        <v>0</v>
      </c>
      <c r="DJ18" s="1029">
        <f t="shared" si="55"/>
        <v>0</v>
      </c>
      <c r="DK18" s="1029">
        <f t="shared" si="56"/>
        <v>0</v>
      </c>
      <c r="DL18" s="1029">
        <f t="shared" si="57"/>
        <v>0</v>
      </c>
      <c r="DM18" s="1029">
        <f t="shared" si="58"/>
        <v>0</v>
      </c>
      <c r="DN18" s="1029">
        <f t="shared" si="59"/>
        <v>0</v>
      </c>
      <c r="DO18" s="1029">
        <f t="shared" si="60"/>
        <v>0</v>
      </c>
      <c r="DP18" s="1030"/>
      <c r="DQ18" s="1031">
        <f t="shared" si="61"/>
        <v>0.8162336</v>
      </c>
      <c r="DR18" s="1029">
        <f t="shared" si="62"/>
        <v>0</v>
      </c>
      <c r="DS18" s="1029">
        <f t="shared" si="63"/>
        <v>0</v>
      </c>
      <c r="DT18" s="1029">
        <f t="shared" si="64"/>
        <v>0</v>
      </c>
      <c r="DU18" s="1029">
        <f t="shared" si="65"/>
        <v>0</v>
      </c>
      <c r="DV18" s="1029">
        <f t="shared" si="66"/>
        <v>0</v>
      </c>
      <c r="DW18" s="1029">
        <f t="shared" si="67"/>
        <v>0</v>
      </c>
      <c r="DX18" s="1029">
        <f t="shared" si="68"/>
        <v>0</v>
      </c>
      <c r="DY18" s="1029">
        <f t="shared" si="69"/>
        <v>0</v>
      </c>
      <c r="DZ18" s="1029">
        <f t="shared" si="70"/>
        <v>0</v>
      </c>
      <c r="EA18" s="1029">
        <f t="shared" si="71"/>
        <v>0</v>
      </c>
      <c r="EB18" s="1029">
        <f t="shared" si="72"/>
        <v>0</v>
      </c>
      <c r="EC18" s="1030"/>
      <c r="ED18" s="1031">
        <f t="shared" si="73"/>
        <v>0.84891570000000005</v>
      </c>
      <c r="EE18" s="1029">
        <f t="shared" si="74"/>
        <v>0</v>
      </c>
      <c r="EF18" s="1029">
        <f t="shared" si="75"/>
        <v>0</v>
      </c>
      <c r="EG18" s="1029">
        <f t="shared" si="76"/>
        <v>0</v>
      </c>
      <c r="EH18" s="1029">
        <f t="shared" si="77"/>
        <v>0</v>
      </c>
      <c r="EI18" s="1029">
        <f t="shared" si="78"/>
        <v>0</v>
      </c>
      <c r="EJ18" s="1029">
        <f t="shared" si="79"/>
        <v>0</v>
      </c>
      <c r="EK18" s="1029">
        <f t="shared" si="80"/>
        <v>0</v>
      </c>
      <c r="EL18" s="1029">
        <f t="shared" si="81"/>
        <v>0</v>
      </c>
      <c r="EM18" s="1029">
        <f t="shared" si="82"/>
        <v>0</v>
      </c>
      <c r="EN18" s="1029">
        <f t="shared" si="83"/>
        <v>0</v>
      </c>
      <c r="EO18" s="1029">
        <f t="shared" si="84"/>
        <v>0</v>
      </c>
    </row>
    <row r="19" spans="1:145" ht="18.75" hidden="1" x14ac:dyDescent="0.25">
      <c r="A19" s="1010" t="s">
        <v>1616</v>
      </c>
      <c r="B19" s="1011">
        <f t="shared" si="0"/>
        <v>0</v>
      </c>
      <c r="C19" s="1011">
        <f t="shared" si="1"/>
        <v>0</v>
      </c>
      <c r="D19" s="1012"/>
      <c r="E19" s="1012"/>
      <c r="F19" s="1012"/>
      <c r="G19" s="1012"/>
      <c r="H19" s="1012"/>
      <c r="I19" s="1012"/>
      <c r="J19" s="1012"/>
      <c r="K19" s="1013">
        <f t="shared" si="2"/>
        <v>0</v>
      </c>
      <c r="L19" s="1013">
        <f t="shared" si="3"/>
        <v>0</v>
      </c>
      <c r="M19" s="1013">
        <f t="shared" si="4"/>
        <v>0</v>
      </c>
      <c r="N19" s="1011">
        <f t="shared" si="85"/>
        <v>0</v>
      </c>
      <c r="O19" s="1012"/>
      <c r="P19" s="1014">
        <f t="shared" si="5"/>
        <v>0</v>
      </c>
      <c r="Q19" s="1015">
        <f t="shared" si="86"/>
        <v>0</v>
      </c>
      <c r="R19" s="1015">
        <f t="shared" si="86"/>
        <v>0</v>
      </c>
      <c r="S19" s="1015">
        <f t="shared" si="86"/>
        <v>0</v>
      </c>
      <c r="T19" s="1015">
        <f t="shared" si="87"/>
        <v>0</v>
      </c>
      <c r="U19" s="1011">
        <f t="shared" si="6"/>
        <v>0</v>
      </c>
      <c r="V19" s="1014">
        <f t="shared" si="88"/>
        <v>0</v>
      </c>
      <c r="W19" s="1012"/>
      <c r="X19" s="1016">
        <v>0</v>
      </c>
      <c r="Y19" s="1012"/>
      <c r="Z19" s="1016">
        <v>0</v>
      </c>
      <c r="AA19" s="1012"/>
      <c r="AB19" s="1016">
        <v>15</v>
      </c>
      <c r="AC19" s="1012"/>
      <c r="AD19" s="1016">
        <v>15</v>
      </c>
      <c r="AE19" s="1012"/>
      <c r="AF19" s="1016">
        <v>0</v>
      </c>
      <c r="AG19" s="1017"/>
      <c r="AH19" s="1017"/>
      <c r="AI19" s="1017"/>
      <c r="AJ19" s="1018"/>
      <c r="AK19" s="1018">
        <f t="shared" si="89"/>
        <v>0</v>
      </c>
      <c r="AL19" s="1019"/>
      <c r="AM19" s="1014">
        <f t="shared" si="90"/>
        <v>0</v>
      </c>
      <c r="AN19" s="1012"/>
      <c r="AO19" s="1014">
        <f t="shared" si="91"/>
        <v>0</v>
      </c>
      <c r="AP19" s="1020"/>
      <c r="AQ19" s="1021"/>
      <c r="AR19" s="1022"/>
      <c r="AS19" s="1021"/>
      <c r="AT19" s="1011">
        <f t="shared" si="7"/>
        <v>0</v>
      </c>
      <c r="AU19" s="1023">
        <v>0</v>
      </c>
      <c r="AV19" s="1014">
        <f t="shared" si="8"/>
        <v>0</v>
      </c>
      <c r="AW19" s="1014">
        <f t="shared" si="9"/>
        <v>0</v>
      </c>
      <c r="AX19" s="1014">
        <f t="shared" si="9"/>
        <v>0</v>
      </c>
      <c r="AY19" s="1014">
        <f t="shared" si="9"/>
        <v>0</v>
      </c>
      <c r="AZ19" s="1014">
        <f t="shared" si="10"/>
        <v>0</v>
      </c>
      <c r="BA19" s="1024">
        <f t="shared" si="11"/>
        <v>0</v>
      </c>
      <c r="BB19" s="1024">
        <f t="shared" si="12"/>
        <v>0</v>
      </c>
      <c r="BC19" s="1024">
        <f t="shared" si="13"/>
        <v>0</v>
      </c>
      <c r="BD19" s="1024">
        <f t="shared" si="14"/>
        <v>0</v>
      </c>
      <c r="BE19" s="1024">
        <f t="shared" si="15"/>
        <v>0</v>
      </c>
      <c r="BF19" s="1014">
        <f t="shared" si="16"/>
        <v>0</v>
      </c>
      <c r="BG19" s="1014">
        <f t="shared" si="17"/>
        <v>0</v>
      </c>
      <c r="BH19" s="1011">
        <f t="shared" si="18"/>
        <v>0</v>
      </c>
      <c r="BI19" s="1011">
        <f t="shared" si="19"/>
        <v>0</v>
      </c>
      <c r="BJ19" s="1011">
        <f t="shared" si="20"/>
        <v>0</v>
      </c>
      <c r="BK19" s="1025"/>
      <c r="BL19" s="1026">
        <f t="shared" si="21"/>
        <v>0</v>
      </c>
      <c r="BM19" s="1027"/>
      <c r="BN19" s="1027"/>
      <c r="BO19" s="1027"/>
      <c r="BP19" s="1027"/>
      <c r="BQ19" s="1027"/>
      <c r="BR19" s="1028">
        <v>1.1072</v>
      </c>
      <c r="BS19" s="1011">
        <f t="shared" si="22"/>
        <v>0</v>
      </c>
      <c r="BT19" s="1023"/>
      <c r="BU19" s="1015">
        <f t="shared" si="23"/>
        <v>0</v>
      </c>
      <c r="BV19" s="1023"/>
      <c r="BW19" s="1015">
        <f t="shared" si="24"/>
        <v>0</v>
      </c>
      <c r="BX19" s="1023"/>
      <c r="BY19" s="1015">
        <f t="shared" si="25"/>
        <v>0</v>
      </c>
      <c r="BZ19" s="1023"/>
      <c r="CA19" s="1015">
        <f t="shared" si="26"/>
        <v>0</v>
      </c>
      <c r="CB19" s="1023"/>
      <c r="CC19" s="1015">
        <f t="shared" si="27"/>
        <v>0</v>
      </c>
      <c r="CD19" s="1011">
        <f t="shared" si="28"/>
        <v>0</v>
      </c>
      <c r="CE19" s="1023"/>
      <c r="CF19" s="1015">
        <f t="shared" si="29"/>
        <v>0</v>
      </c>
      <c r="CG19" s="1023"/>
      <c r="CH19" s="1015">
        <f t="shared" si="30"/>
        <v>0</v>
      </c>
      <c r="CI19" s="1011">
        <f t="shared" si="31"/>
        <v>0</v>
      </c>
      <c r="CJ19" s="1025"/>
      <c r="CK19" s="1011">
        <f t="shared" si="32"/>
        <v>0</v>
      </c>
      <c r="CL19" s="996"/>
      <c r="CM19" s="1029">
        <f t="shared" si="33"/>
        <v>0</v>
      </c>
      <c r="CN19" s="1029">
        <f t="shared" si="34"/>
        <v>0</v>
      </c>
      <c r="CO19" s="1029">
        <f t="shared" si="35"/>
        <v>0</v>
      </c>
      <c r="CP19" s="1029">
        <f t="shared" si="36"/>
        <v>0</v>
      </c>
      <c r="CQ19" s="1029">
        <f t="shared" si="37"/>
        <v>0</v>
      </c>
      <c r="CR19" s="1029">
        <f t="shared" si="38"/>
        <v>0</v>
      </c>
      <c r="CS19" s="1029">
        <f t="shared" si="39"/>
        <v>0</v>
      </c>
      <c r="CT19" s="1029">
        <f t="shared" si="40"/>
        <v>0</v>
      </c>
      <c r="CU19" s="1029">
        <f t="shared" si="41"/>
        <v>0</v>
      </c>
      <c r="CV19" s="1029">
        <f t="shared" si="42"/>
        <v>0</v>
      </c>
      <c r="CW19" s="1029">
        <f t="shared" si="43"/>
        <v>0</v>
      </c>
      <c r="CX19" s="1029">
        <f t="shared" si="44"/>
        <v>0</v>
      </c>
      <c r="CY19" s="1029">
        <f t="shared" si="45"/>
        <v>0</v>
      </c>
      <c r="CZ19" s="1029">
        <f t="shared" si="46"/>
        <v>0</v>
      </c>
      <c r="DA19" s="1029">
        <f t="shared" si="47"/>
        <v>0</v>
      </c>
      <c r="DB19" s="1029">
        <f t="shared" si="48"/>
        <v>0</v>
      </c>
      <c r="DC19" s="1030"/>
      <c r="DD19" s="1031">
        <f t="shared" si="49"/>
        <v>0.77697930000000004</v>
      </c>
      <c r="DE19" s="1029">
        <f t="shared" si="50"/>
        <v>0</v>
      </c>
      <c r="DF19" s="1029">
        <f t="shared" si="51"/>
        <v>0</v>
      </c>
      <c r="DG19" s="1029">
        <f t="shared" si="52"/>
        <v>0</v>
      </c>
      <c r="DH19" s="1029">
        <f t="shared" si="53"/>
        <v>0</v>
      </c>
      <c r="DI19" s="1029">
        <f t="shared" si="54"/>
        <v>0</v>
      </c>
      <c r="DJ19" s="1029">
        <f t="shared" si="55"/>
        <v>0</v>
      </c>
      <c r="DK19" s="1029">
        <f t="shared" si="56"/>
        <v>0</v>
      </c>
      <c r="DL19" s="1029">
        <f t="shared" si="57"/>
        <v>0</v>
      </c>
      <c r="DM19" s="1029">
        <f t="shared" si="58"/>
        <v>0</v>
      </c>
      <c r="DN19" s="1029">
        <f t="shared" si="59"/>
        <v>0</v>
      </c>
      <c r="DO19" s="1029">
        <f t="shared" si="60"/>
        <v>0</v>
      </c>
      <c r="DP19" s="1030"/>
      <c r="DQ19" s="1031">
        <f t="shared" si="61"/>
        <v>0.8162336</v>
      </c>
      <c r="DR19" s="1029">
        <f t="shared" si="62"/>
        <v>0</v>
      </c>
      <c r="DS19" s="1029">
        <f t="shared" si="63"/>
        <v>0</v>
      </c>
      <c r="DT19" s="1029">
        <f t="shared" si="64"/>
        <v>0</v>
      </c>
      <c r="DU19" s="1029">
        <f t="shared" si="65"/>
        <v>0</v>
      </c>
      <c r="DV19" s="1029">
        <f t="shared" si="66"/>
        <v>0</v>
      </c>
      <c r="DW19" s="1029">
        <f t="shared" si="67"/>
        <v>0</v>
      </c>
      <c r="DX19" s="1029">
        <f t="shared" si="68"/>
        <v>0</v>
      </c>
      <c r="DY19" s="1029">
        <f t="shared" si="69"/>
        <v>0</v>
      </c>
      <c r="DZ19" s="1029">
        <f t="shared" si="70"/>
        <v>0</v>
      </c>
      <c r="EA19" s="1029">
        <f t="shared" si="71"/>
        <v>0</v>
      </c>
      <c r="EB19" s="1029">
        <f t="shared" si="72"/>
        <v>0</v>
      </c>
      <c r="EC19" s="1030"/>
      <c r="ED19" s="1031">
        <f t="shared" si="73"/>
        <v>0.84891570000000005</v>
      </c>
      <c r="EE19" s="1029">
        <f t="shared" si="74"/>
        <v>0</v>
      </c>
      <c r="EF19" s="1029">
        <f t="shared" si="75"/>
        <v>0</v>
      </c>
      <c r="EG19" s="1029">
        <f t="shared" si="76"/>
        <v>0</v>
      </c>
      <c r="EH19" s="1029">
        <f t="shared" si="77"/>
        <v>0</v>
      </c>
      <c r="EI19" s="1029">
        <f t="shared" si="78"/>
        <v>0</v>
      </c>
      <c r="EJ19" s="1029">
        <f t="shared" si="79"/>
        <v>0</v>
      </c>
      <c r="EK19" s="1029">
        <f t="shared" si="80"/>
        <v>0</v>
      </c>
      <c r="EL19" s="1029">
        <f t="shared" si="81"/>
        <v>0</v>
      </c>
      <c r="EM19" s="1029">
        <f t="shared" si="82"/>
        <v>0</v>
      </c>
      <c r="EN19" s="1029">
        <f t="shared" si="83"/>
        <v>0</v>
      </c>
      <c r="EO19" s="1029">
        <f t="shared" si="84"/>
        <v>0</v>
      </c>
    </row>
    <row r="20" spans="1:145" ht="18.75" hidden="1" x14ac:dyDescent="0.25">
      <c r="A20" s="1010" t="s">
        <v>1802</v>
      </c>
      <c r="B20" s="1011">
        <f t="shared" si="0"/>
        <v>0</v>
      </c>
      <c r="C20" s="1011">
        <f t="shared" si="1"/>
        <v>0</v>
      </c>
      <c r="D20" s="1012"/>
      <c r="E20" s="1012"/>
      <c r="F20" s="1012"/>
      <c r="G20" s="1012"/>
      <c r="H20" s="1012"/>
      <c r="I20" s="1012"/>
      <c r="J20" s="1012"/>
      <c r="K20" s="1013">
        <f t="shared" si="2"/>
        <v>0</v>
      </c>
      <c r="L20" s="1013">
        <f t="shared" si="3"/>
        <v>0</v>
      </c>
      <c r="M20" s="1013">
        <f t="shared" si="4"/>
        <v>0</v>
      </c>
      <c r="N20" s="1011">
        <f t="shared" si="85"/>
        <v>0</v>
      </c>
      <c r="O20" s="1012"/>
      <c r="P20" s="1014">
        <f t="shared" si="5"/>
        <v>0</v>
      </c>
      <c r="Q20" s="1015">
        <f t="shared" si="86"/>
        <v>0</v>
      </c>
      <c r="R20" s="1015">
        <f t="shared" si="86"/>
        <v>0</v>
      </c>
      <c r="S20" s="1015">
        <f t="shared" si="86"/>
        <v>0</v>
      </c>
      <c r="T20" s="1015">
        <f t="shared" si="87"/>
        <v>0</v>
      </c>
      <c r="U20" s="1011">
        <f t="shared" si="6"/>
        <v>0</v>
      </c>
      <c r="V20" s="1014">
        <f t="shared" si="88"/>
        <v>0</v>
      </c>
      <c r="W20" s="1012"/>
      <c r="X20" s="1016">
        <v>0</v>
      </c>
      <c r="Y20" s="1012"/>
      <c r="Z20" s="1016">
        <v>0</v>
      </c>
      <c r="AA20" s="1012"/>
      <c r="AB20" s="1016">
        <v>15</v>
      </c>
      <c r="AC20" s="1012"/>
      <c r="AD20" s="1016">
        <v>15</v>
      </c>
      <c r="AE20" s="1012"/>
      <c r="AF20" s="1016">
        <v>0</v>
      </c>
      <c r="AG20" s="1017"/>
      <c r="AH20" s="1017"/>
      <c r="AI20" s="1017"/>
      <c r="AJ20" s="1018"/>
      <c r="AK20" s="1018">
        <f t="shared" si="89"/>
        <v>0</v>
      </c>
      <c r="AL20" s="1019"/>
      <c r="AM20" s="1014">
        <f t="shared" si="90"/>
        <v>0</v>
      </c>
      <c r="AN20" s="1012"/>
      <c r="AO20" s="1014">
        <f t="shared" si="91"/>
        <v>0</v>
      </c>
      <c r="AP20" s="1020"/>
      <c r="AQ20" s="1021"/>
      <c r="AR20" s="1022"/>
      <c r="AS20" s="1021"/>
      <c r="AT20" s="1011">
        <f t="shared" si="7"/>
        <v>0</v>
      </c>
      <c r="AU20" s="1023">
        <v>0</v>
      </c>
      <c r="AV20" s="1014">
        <f t="shared" si="8"/>
        <v>0</v>
      </c>
      <c r="AW20" s="1014">
        <f t="shared" si="9"/>
        <v>0</v>
      </c>
      <c r="AX20" s="1014">
        <f t="shared" si="9"/>
        <v>0</v>
      </c>
      <c r="AY20" s="1014">
        <f t="shared" si="9"/>
        <v>0</v>
      </c>
      <c r="AZ20" s="1014">
        <f t="shared" si="10"/>
        <v>0</v>
      </c>
      <c r="BA20" s="1024">
        <f t="shared" si="11"/>
        <v>0</v>
      </c>
      <c r="BB20" s="1024">
        <f t="shared" si="12"/>
        <v>0</v>
      </c>
      <c r="BC20" s="1024">
        <f t="shared" si="13"/>
        <v>0</v>
      </c>
      <c r="BD20" s="1024">
        <f t="shared" si="14"/>
        <v>0</v>
      </c>
      <c r="BE20" s="1024">
        <f t="shared" si="15"/>
        <v>0</v>
      </c>
      <c r="BF20" s="1014">
        <f t="shared" si="16"/>
        <v>0</v>
      </c>
      <c r="BG20" s="1014">
        <f t="shared" si="17"/>
        <v>0</v>
      </c>
      <c r="BH20" s="1011">
        <f t="shared" si="18"/>
        <v>0</v>
      </c>
      <c r="BI20" s="1011">
        <f t="shared" si="19"/>
        <v>0</v>
      </c>
      <c r="BJ20" s="1011">
        <f t="shared" si="20"/>
        <v>0</v>
      </c>
      <c r="BK20" s="1025"/>
      <c r="BL20" s="1026">
        <f t="shared" si="21"/>
        <v>0</v>
      </c>
      <c r="BM20" s="1027"/>
      <c r="BN20" s="1027"/>
      <c r="BO20" s="1027"/>
      <c r="BP20" s="1027"/>
      <c r="BQ20" s="1027"/>
      <c r="BR20" s="1028">
        <v>1.1072</v>
      </c>
      <c r="BS20" s="1011">
        <f t="shared" si="22"/>
        <v>0</v>
      </c>
      <c r="BT20" s="1023"/>
      <c r="BU20" s="1015">
        <f t="shared" si="23"/>
        <v>0</v>
      </c>
      <c r="BV20" s="1023"/>
      <c r="BW20" s="1015">
        <f t="shared" si="24"/>
        <v>0</v>
      </c>
      <c r="BX20" s="1023"/>
      <c r="BY20" s="1015">
        <f t="shared" si="25"/>
        <v>0</v>
      </c>
      <c r="BZ20" s="1023"/>
      <c r="CA20" s="1015">
        <f t="shared" si="26"/>
        <v>0</v>
      </c>
      <c r="CB20" s="1023"/>
      <c r="CC20" s="1015">
        <f t="shared" si="27"/>
        <v>0</v>
      </c>
      <c r="CD20" s="1011">
        <f t="shared" si="28"/>
        <v>0</v>
      </c>
      <c r="CE20" s="1023"/>
      <c r="CF20" s="1015">
        <f t="shared" si="29"/>
        <v>0</v>
      </c>
      <c r="CG20" s="1023"/>
      <c r="CH20" s="1015">
        <f t="shared" si="30"/>
        <v>0</v>
      </c>
      <c r="CI20" s="1011">
        <f t="shared" si="31"/>
        <v>0</v>
      </c>
      <c r="CJ20" s="1025"/>
      <c r="CK20" s="1011">
        <f t="shared" si="32"/>
        <v>0</v>
      </c>
      <c r="CL20" s="996"/>
      <c r="CM20" s="1029">
        <f t="shared" si="33"/>
        <v>0</v>
      </c>
      <c r="CN20" s="1029">
        <f t="shared" si="34"/>
        <v>0</v>
      </c>
      <c r="CO20" s="1029">
        <f t="shared" si="35"/>
        <v>0</v>
      </c>
      <c r="CP20" s="1029">
        <f t="shared" si="36"/>
        <v>0</v>
      </c>
      <c r="CQ20" s="1029">
        <f t="shared" si="37"/>
        <v>0</v>
      </c>
      <c r="CR20" s="1029">
        <f t="shared" si="38"/>
        <v>0</v>
      </c>
      <c r="CS20" s="1029">
        <f t="shared" si="39"/>
        <v>0</v>
      </c>
      <c r="CT20" s="1029">
        <f t="shared" si="40"/>
        <v>0</v>
      </c>
      <c r="CU20" s="1029">
        <f t="shared" si="41"/>
        <v>0</v>
      </c>
      <c r="CV20" s="1029">
        <f t="shared" si="42"/>
        <v>0</v>
      </c>
      <c r="CW20" s="1029">
        <f t="shared" si="43"/>
        <v>0</v>
      </c>
      <c r="CX20" s="1029">
        <f t="shared" si="44"/>
        <v>0</v>
      </c>
      <c r="CY20" s="1029">
        <f t="shared" si="45"/>
        <v>0</v>
      </c>
      <c r="CZ20" s="1029">
        <f t="shared" si="46"/>
        <v>0</v>
      </c>
      <c r="DA20" s="1029">
        <f t="shared" si="47"/>
        <v>0</v>
      </c>
      <c r="DB20" s="1029">
        <f t="shared" si="48"/>
        <v>0</v>
      </c>
      <c r="DC20" s="1030"/>
      <c r="DD20" s="1031">
        <f t="shared" si="49"/>
        <v>0.77697930000000004</v>
      </c>
      <c r="DE20" s="1029">
        <f t="shared" si="50"/>
        <v>0</v>
      </c>
      <c r="DF20" s="1029">
        <f t="shared" si="51"/>
        <v>0</v>
      </c>
      <c r="DG20" s="1029">
        <f t="shared" si="52"/>
        <v>0</v>
      </c>
      <c r="DH20" s="1029">
        <f t="shared" si="53"/>
        <v>0</v>
      </c>
      <c r="DI20" s="1029">
        <f t="shared" si="54"/>
        <v>0</v>
      </c>
      <c r="DJ20" s="1029">
        <f t="shared" si="55"/>
        <v>0</v>
      </c>
      <c r="DK20" s="1029">
        <f t="shared" si="56"/>
        <v>0</v>
      </c>
      <c r="DL20" s="1029">
        <f t="shared" si="57"/>
        <v>0</v>
      </c>
      <c r="DM20" s="1029">
        <f t="shared" si="58"/>
        <v>0</v>
      </c>
      <c r="DN20" s="1029">
        <f t="shared" si="59"/>
        <v>0</v>
      </c>
      <c r="DO20" s="1029">
        <f t="shared" si="60"/>
        <v>0</v>
      </c>
      <c r="DP20" s="1030"/>
      <c r="DQ20" s="1031">
        <f t="shared" si="61"/>
        <v>0.8162336</v>
      </c>
      <c r="DR20" s="1029">
        <f t="shared" si="62"/>
        <v>0</v>
      </c>
      <c r="DS20" s="1029">
        <f t="shared" si="63"/>
        <v>0</v>
      </c>
      <c r="DT20" s="1029">
        <f t="shared" si="64"/>
        <v>0</v>
      </c>
      <c r="DU20" s="1029">
        <f t="shared" si="65"/>
        <v>0</v>
      </c>
      <c r="DV20" s="1029">
        <f t="shared" si="66"/>
        <v>0</v>
      </c>
      <c r="DW20" s="1029">
        <f t="shared" si="67"/>
        <v>0</v>
      </c>
      <c r="DX20" s="1029">
        <f t="shared" si="68"/>
        <v>0</v>
      </c>
      <c r="DY20" s="1029">
        <f t="shared" si="69"/>
        <v>0</v>
      </c>
      <c r="DZ20" s="1029">
        <f t="shared" si="70"/>
        <v>0</v>
      </c>
      <c r="EA20" s="1029">
        <f t="shared" si="71"/>
        <v>0</v>
      </c>
      <c r="EB20" s="1029">
        <f t="shared" si="72"/>
        <v>0</v>
      </c>
      <c r="EC20" s="1030"/>
      <c r="ED20" s="1031">
        <f t="shared" si="73"/>
        <v>0.84891570000000005</v>
      </c>
      <c r="EE20" s="1029">
        <f t="shared" si="74"/>
        <v>0</v>
      </c>
      <c r="EF20" s="1029">
        <f t="shared" si="75"/>
        <v>0</v>
      </c>
      <c r="EG20" s="1029">
        <f t="shared" si="76"/>
        <v>0</v>
      </c>
      <c r="EH20" s="1029">
        <f t="shared" si="77"/>
        <v>0</v>
      </c>
      <c r="EI20" s="1029">
        <f t="shared" si="78"/>
        <v>0</v>
      </c>
      <c r="EJ20" s="1029">
        <f t="shared" si="79"/>
        <v>0</v>
      </c>
      <c r="EK20" s="1029">
        <f t="shared" si="80"/>
        <v>0</v>
      </c>
      <c r="EL20" s="1029">
        <f t="shared" si="81"/>
        <v>0</v>
      </c>
      <c r="EM20" s="1029">
        <f t="shared" si="82"/>
        <v>0</v>
      </c>
      <c r="EN20" s="1029">
        <f t="shared" si="83"/>
        <v>0</v>
      </c>
      <c r="EO20" s="1029">
        <f t="shared" si="84"/>
        <v>0</v>
      </c>
    </row>
    <row r="21" spans="1:145" ht="18.75" hidden="1" x14ac:dyDescent="0.25">
      <c r="A21" s="1010" t="s">
        <v>672</v>
      </c>
      <c r="B21" s="1011">
        <f t="shared" si="0"/>
        <v>0</v>
      </c>
      <c r="C21" s="1011">
        <f t="shared" si="1"/>
        <v>0</v>
      </c>
      <c r="D21" s="1012"/>
      <c r="E21" s="1012"/>
      <c r="F21" s="1012"/>
      <c r="G21" s="1012"/>
      <c r="H21" s="1012"/>
      <c r="I21" s="1012"/>
      <c r="J21" s="1012"/>
      <c r="K21" s="1013">
        <f t="shared" si="2"/>
        <v>0</v>
      </c>
      <c r="L21" s="1013">
        <f t="shared" si="3"/>
        <v>0</v>
      </c>
      <c r="M21" s="1013">
        <f t="shared" si="4"/>
        <v>0</v>
      </c>
      <c r="N21" s="1011">
        <f t="shared" si="85"/>
        <v>0</v>
      </c>
      <c r="O21" s="1012"/>
      <c r="P21" s="1014">
        <f t="shared" si="5"/>
        <v>0</v>
      </c>
      <c r="Q21" s="1015">
        <f t="shared" si="86"/>
        <v>0</v>
      </c>
      <c r="R21" s="1015">
        <f t="shared" si="86"/>
        <v>0</v>
      </c>
      <c r="S21" s="1015">
        <f t="shared" si="86"/>
        <v>0</v>
      </c>
      <c r="T21" s="1015">
        <f t="shared" si="87"/>
        <v>0</v>
      </c>
      <c r="U21" s="1011">
        <f t="shared" si="6"/>
        <v>0</v>
      </c>
      <c r="V21" s="1014">
        <f t="shared" si="88"/>
        <v>0</v>
      </c>
      <c r="W21" s="1012"/>
      <c r="X21" s="1016">
        <v>0</v>
      </c>
      <c r="Y21" s="1012"/>
      <c r="Z21" s="1016">
        <v>0</v>
      </c>
      <c r="AA21" s="1012"/>
      <c r="AB21" s="1016">
        <v>15</v>
      </c>
      <c r="AC21" s="1012"/>
      <c r="AD21" s="1016">
        <v>15</v>
      </c>
      <c r="AE21" s="1012"/>
      <c r="AF21" s="1016">
        <v>0</v>
      </c>
      <c r="AG21" s="1017"/>
      <c r="AH21" s="1017"/>
      <c r="AI21" s="1017"/>
      <c r="AJ21" s="1018"/>
      <c r="AK21" s="1018">
        <f t="shared" si="89"/>
        <v>0</v>
      </c>
      <c r="AL21" s="1019"/>
      <c r="AM21" s="1014">
        <f t="shared" si="90"/>
        <v>0</v>
      </c>
      <c r="AN21" s="1012"/>
      <c r="AO21" s="1014">
        <f t="shared" si="91"/>
        <v>0</v>
      </c>
      <c r="AP21" s="1020"/>
      <c r="AQ21" s="1021"/>
      <c r="AR21" s="1022"/>
      <c r="AS21" s="1021"/>
      <c r="AT21" s="1011">
        <f t="shared" si="7"/>
        <v>0</v>
      </c>
      <c r="AU21" s="1023">
        <v>0</v>
      </c>
      <c r="AV21" s="1014">
        <f t="shared" si="8"/>
        <v>0</v>
      </c>
      <c r="AW21" s="1014">
        <f t="shared" si="9"/>
        <v>0</v>
      </c>
      <c r="AX21" s="1014">
        <f t="shared" si="9"/>
        <v>0</v>
      </c>
      <c r="AY21" s="1014">
        <f t="shared" si="9"/>
        <v>0</v>
      </c>
      <c r="AZ21" s="1014">
        <f t="shared" si="10"/>
        <v>0</v>
      </c>
      <c r="BA21" s="1024">
        <f t="shared" si="11"/>
        <v>0</v>
      </c>
      <c r="BB21" s="1024">
        <f t="shared" si="12"/>
        <v>0</v>
      </c>
      <c r="BC21" s="1024">
        <f t="shared" si="13"/>
        <v>0</v>
      </c>
      <c r="BD21" s="1024">
        <f t="shared" si="14"/>
        <v>0</v>
      </c>
      <c r="BE21" s="1024">
        <f t="shared" si="15"/>
        <v>0</v>
      </c>
      <c r="BF21" s="1014">
        <f t="shared" si="16"/>
        <v>0</v>
      </c>
      <c r="BG21" s="1014">
        <f t="shared" si="17"/>
        <v>0</v>
      </c>
      <c r="BH21" s="1011">
        <f t="shared" si="18"/>
        <v>0</v>
      </c>
      <c r="BI21" s="1011">
        <f t="shared" si="19"/>
        <v>0</v>
      </c>
      <c r="BJ21" s="1011">
        <f t="shared" si="20"/>
        <v>0</v>
      </c>
      <c r="BK21" s="1025"/>
      <c r="BL21" s="1026">
        <f t="shared" si="21"/>
        <v>0</v>
      </c>
      <c r="BM21" s="1027"/>
      <c r="BN21" s="1027"/>
      <c r="BO21" s="1027"/>
      <c r="BP21" s="1027"/>
      <c r="BQ21" s="1027"/>
      <c r="BR21" s="1028">
        <v>1.1072</v>
      </c>
      <c r="BS21" s="1011">
        <f t="shared" si="22"/>
        <v>0</v>
      </c>
      <c r="BT21" s="1023"/>
      <c r="BU21" s="1015">
        <f t="shared" si="23"/>
        <v>0</v>
      </c>
      <c r="BV21" s="1023"/>
      <c r="BW21" s="1015">
        <f t="shared" si="24"/>
        <v>0</v>
      </c>
      <c r="BX21" s="1023"/>
      <c r="BY21" s="1015">
        <f t="shared" si="25"/>
        <v>0</v>
      </c>
      <c r="BZ21" s="1023"/>
      <c r="CA21" s="1015">
        <f t="shared" si="26"/>
        <v>0</v>
      </c>
      <c r="CB21" s="1023"/>
      <c r="CC21" s="1015">
        <f t="shared" si="27"/>
        <v>0</v>
      </c>
      <c r="CD21" s="1011">
        <f t="shared" si="28"/>
        <v>0</v>
      </c>
      <c r="CE21" s="1023"/>
      <c r="CF21" s="1015">
        <f t="shared" si="29"/>
        <v>0</v>
      </c>
      <c r="CG21" s="1023"/>
      <c r="CH21" s="1015">
        <f t="shared" si="30"/>
        <v>0</v>
      </c>
      <c r="CI21" s="1011">
        <f t="shared" si="31"/>
        <v>0</v>
      </c>
      <c r="CJ21" s="1025"/>
      <c r="CK21" s="1011">
        <f t="shared" si="32"/>
        <v>0</v>
      </c>
      <c r="CL21" s="996"/>
      <c r="CM21" s="1029">
        <f t="shared" si="33"/>
        <v>0</v>
      </c>
      <c r="CN21" s="1029">
        <f t="shared" si="34"/>
        <v>0</v>
      </c>
      <c r="CO21" s="1029">
        <f t="shared" si="35"/>
        <v>0</v>
      </c>
      <c r="CP21" s="1029">
        <f t="shared" si="36"/>
        <v>0</v>
      </c>
      <c r="CQ21" s="1029">
        <f t="shared" si="37"/>
        <v>0</v>
      </c>
      <c r="CR21" s="1029">
        <f t="shared" si="38"/>
        <v>0</v>
      </c>
      <c r="CS21" s="1029">
        <f t="shared" si="39"/>
        <v>0</v>
      </c>
      <c r="CT21" s="1029">
        <f t="shared" si="40"/>
        <v>0</v>
      </c>
      <c r="CU21" s="1029">
        <f t="shared" si="41"/>
        <v>0</v>
      </c>
      <c r="CV21" s="1029">
        <f t="shared" si="42"/>
        <v>0</v>
      </c>
      <c r="CW21" s="1029">
        <f t="shared" si="43"/>
        <v>0</v>
      </c>
      <c r="CX21" s="1029">
        <f t="shared" si="44"/>
        <v>0</v>
      </c>
      <c r="CY21" s="1029">
        <f t="shared" si="45"/>
        <v>0</v>
      </c>
      <c r="CZ21" s="1029">
        <f t="shared" si="46"/>
        <v>0</v>
      </c>
      <c r="DA21" s="1029">
        <f t="shared" si="47"/>
        <v>0</v>
      </c>
      <c r="DB21" s="1029">
        <f t="shared" si="48"/>
        <v>0</v>
      </c>
      <c r="DC21" s="1030"/>
      <c r="DD21" s="1031">
        <f t="shared" si="49"/>
        <v>0.77697930000000004</v>
      </c>
      <c r="DE21" s="1029">
        <f t="shared" si="50"/>
        <v>0</v>
      </c>
      <c r="DF21" s="1029">
        <f t="shared" si="51"/>
        <v>0</v>
      </c>
      <c r="DG21" s="1029">
        <f t="shared" si="52"/>
        <v>0</v>
      </c>
      <c r="DH21" s="1029">
        <f t="shared" si="53"/>
        <v>0</v>
      </c>
      <c r="DI21" s="1029">
        <f t="shared" si="54"/>
        <v>0</v>
      </c>
      <c r="DJ21" s="1029">
        <f t="shared" si="55"/>
        <v>0</v>
      </c>
      <c r="DK21" s="1029">
        <f t="shared" si="56"/>
        <v>0</v>
      </c>
      <c r="DL21" s="1029">
        <f t="shared" si="57"/>
        <v>0</v>
      </c>
      <c r="DM21" s="1029">
        <f t="shared" si="58"/>
        <v>0</v>
      </c>
      <c r="DN21" s="1029">
        <f t="shared" si="59"/>
        <v>0</v>
      </c>
      <c r="DO21" s="1029">
        <f t="shared" si="60"/>
        <v>0</v>
      </c>
      <c r="DP21" s="1030"/>
      <c r="DQ21" s="1031">
        <f t="shared" si="61"/>
        <v>0.8162336</v>
      </c>
      <c r="DR21" s="1029">
        <f t="shared" si="62"/>
        <v>0</v>
      </c>
      <c r="DS21" s="1029">
        <f t="shared" si="63"/>
        <v>0</v>
      </c>
      <c r="DT21" s="1029">
        <f t="shared" si="64"/>
        <v>0</v>
      </c>
      <c r="DU21" s="1029">
        <f t="shared" si="65"/>
        <v>0</v>
      </c>
      <c r="DV21" s="1029">
        <f t="shared" si="66"/>
        <v>0</v>
      </c>
      <c r="DW21" s="1029">
        <f t="shared" si="67"/>
        <v>0</v>
      </c>
      <c r="DX21" s="1029">
        <f t="shared" si="68"/>
        <v>0</v>
      </c>
      <c r="DY21" s="1029">
        <f t="shared" si="69"/>
        <v>0</v>
      </c>
      <c r="DZ21" s="1029">
        <f t="shared" si="70"/>
        <v>0</v>
      </c>
      <c r="EA21" s="1029">
        <f t="shared" si="71"/>
        <v>0</v>
      </c>
      <c r="EB21" s="1029">
        <f t="shared" si="72"/>
        <v>0</v>
      </c>
      <c r="EC21" s="1030"/>
      <c r="ED21" s="1031">
        <f t="shared" si="73"/>
        <v>0.84891570000000005</v>
      </c>
      <c r="EE21" s="1029">
        <f t="shared" si="74"/>
        <v>0</v>
      </c>
      <c r="EF21" s="1029">
        <f t="shared" si="75"/>
        <v>0</v>
      </c>
      <c r="EG21" s="1029">
        <f t="shared" si="76"/>
        <v>0</v>
      </c>
      <c r="EH21" s="1029">
        <f t="shared" si="77"/>
        <v>0</v>
      </c>
      <c r="EI21" s="1029">
        <f t="shared" si="78"/>
        <v>0</v>
      </c>
      <c r="EJ21" s="1029">
        <f t="shared" si="79"/>
        <v>0</v>
      </c>
      <c r="EK21" s="1029">
        <f t="shared" si="80"/>
        <v>0</v>
      </c>
      <c r="EL21" s="1029">
        <f t="shared" si="81"/>
        <v>0</v>
      </c>
      <c r="EM21" s="1029">
        <f t="shared" si="82"/>
        <v>0</v>
      </c>
      <c r="EN21" s="1029">
        <f t="shared" si="83"/>
        <v>0</v>
      </c>
      <c r="EO21" s="1029">
        <f t="shared" si="84"/>
        <v>0</v>
      </c>
    </row>
    <row r="22" spans="1:145" ht="18.75" hidden="1" x14ac:dyDescent="0.25">
      <c r="A22" s="1010" t="s">
        <v>673</v>
      </c>
      <c r="B22" s="1011">
        <f t="shared" si="0"/>
        <v>0</v>
      </c>
      <c r="C22" s="1011">
        <f t="shared" si="1"/>
        <v>0</v>
      </c>
      <c r="D22" s="1012"/>
      <c r="E22" s="1012"/>
      <c r="F22" s="1012"/>
      <c r="G22" s="1012"/>
      <c r="H22" s="1012"/>
      <c r="I22" s="1012"/>
      <c r="J22" s="1012"/>
      <c r="K22" s="1013">
        <f t="shared" si="2"/>
        <v>0</v>
      </c>
      <c r="L22" s="1013">
        <f t="shared" si="3"/>
        <v>0</v>
      </c>
      <c r="M22" s="1013">
        <f t="shared" si="4"/>
        <v>0</v>
      </c>
      <c r="N22" s="1011">
        <f t="shared" si="85"/>
        <v>0</v>
      </c>
      <c r="O22" s="1012"/>
      <c r="P22" s="1014">
        <f t="shared" si="5"/>
        <v>0</v>
      </c>
      <c r="Q22" s="1015">
        <f t="shared" si="86"/>
        <v>0</v>
      </c>
      <c r="R22" s="1015">
        <f t="shared" si="86"/>
        <v>0</v>
      </c>
      <c r="S22" s="1015">
        <f t="shared" si="86"/>
        <v>0</v>
      </c>
      <c r="T22" s="1015">
        <f t="shared" si="87"/>
        <v>0</v>
      </c>
      <c r="U22" s="1011">
        <f t="shared" si="6"/>
        <v>0</v>
      </c>
      <c r="V22" s="1014">
        <f t="shared" si="88"/>
        <v>0</v>
      </c>
      <c r="W22" s="1012"/>
      <c r="X22" s="1016">
        <v>0</v>
      </c>
      <c r="Y22" s="1012"/>
      <c r="Z22" s="1016">
        <v>0</v>
      </c>
      <c r="AA22" s="1012"/>
      <c r="AB22" s="1016">
        <v>15</v>
      </c>
      <c r="AC22" s="1012"/>
      <c r="AD22" s="1016">
        <v>15</v>
      </c>
      <c r="AE22" s="1012"/>
      <c r="AF22" s="1016">
        <v>0</v>
      </c>
      <c r="AG22" s="1017"/>
      <c r="AH22" s="1017"/>
      <c r="AI22" s="1017"/>
      <c r="AJ22" s="1018"/>
      <c r="AK22" s="1018">
        <f t="shared" si="89"/>
        <v>0</v>
      </c>
      <c r="AL22" s="1019"/>
      <c r="AM22" s="1014">
        <f t="shared" si="90"/>
        <v>0</v>
      </c>
      <c r="AN22" s="1012"/>
      <c r="AO22" s="1014">
        <f t="shared" si="91"/>
        <v>0</v>
      </c>
      <c r="AP22" s="1020"/>
      <c r="AQ22" s="1021"/>
      <c r="AR22" s="1022"/>
      <c r="AS22" s="1021"/>
      <c r="AT22" s="1011">
        <f t="shared" si="7"/>
        <v>0</v>
      </c>
      <c r="AU22" s="1023">
        <v>0</v>
      </c>
      <c r="AV22" s="1014">
        <f t="shared" si="8"/>
        <v>0</v>
      </c>
      <c r="AW22" s="1014">
        <f t="shared" si="9"/>
        <v>0</v>
      </c>
      <c r="AX22" s="1014">
        <f t="shared" si="9"/>
        <v>0</v>
      </c>
      <c r="AY22" s="1014">
        <f t="shared" si="9"/>
        <v>0</v>
      </c>
      <c r="AZ22" s="1014">
        <f t="shared" si="10"/>
        <v>0</v>
      </c>
      <c r="BA22" s="1024">
        <f t="shared" si="11"/>
        <v>0</v>
      </c>
      <c r="BB22" s="1024">
        <f t="shared" si="12"/>
        <v>0</v>
      </c>
      <c r="BC22" s="1024">
        <f t="shared" si="13"/>
        <v>0</v>
      </c>
      <c r="BD22" s="1024">
        <f t="shared" si="14"/>
        <v>0</v>
      </c>
      <c r="BE22" s="1024">
        <f t="shared" si="15"/>
        <v>0</v>
      </c>
      <c r="BF22" s="1014">
        <f t="shared" si="16"/>
        <v>0</v>
      </c>
      <c r="BG22" s="1014">
        <f t="shared" si="17"/>
        <v>0</v>
      </c>
      <c r="BH22" s="1011">
        <f t="shared" si="18"/>
        <v>0</v>
      </c>
      <c r="BI22" s="1011">
        <f t="shared" si="19"/>
        <v>0</v>
      </c>
      <c r="BJ22" s="1011">
        <f t="shared" si="20"/>
        <v>0</v>
      </c>
      <c r="BK22" s="1025"/>
      <c r="BL22" s="1026">
        <f t="shared" si="21"/>
        <v>0</v>
      </c>
      <c r="BM22" s="1027"/>
      <c r="BN22" s="1027"/>
      <c r="BO22" s="1027"/>
      <c r="BP22" s="1027"/>
      <c r="BQ22" s="1027"/>
      <c r="BR22" s="1028">
        <v>1.1072</v>
      </c>
      <c r="BS22" s="1011">
        <f t="shared" si="22"/>
        <v>0</v>
      </c>
      <c r="BT22" s="1023"/>
      <c r="BU22" s="1015">
        <f t="shared" si="23"/>
        <v>0</v>
      </c>
      <c r="BV22" s="1023"/>
      <c r="BW22" s="1015">
        <f t="shared" si="24"/>
        <v>0</v>
      </c>
      <c r="BX22" s="1023"/>
      <c r="BY22" s="1015">
        <f t="shared" si="25"/>
        <v>0</v>
      </c>
      <c r="BZ22" s="1023"/>
      <c r="CA22" s="1015">
        <f t="shared" si="26"/>
        <v>0</v>
      </c>
      <c r="CB22" s="1023"/>
      <c r="CC22" s="1015">
        <f t="shared" si="27"/>
        <v>0</v>
      </c>
      <c r="CD22" s="1011">
        <f t="shared" si="28"/>
        <v>0</v>
      </c>
      <c r="CE22" s="1023"/>
      <c r="CF22" s="1015">
        <f t="shared" si="29"/>
        <v>0</v>
      </c>
      <c r="CG22" s="1023"/>
      <c r="CH22" s="1015">
        <f t="shared" si="30"/>
        <v>0</v>
      </c>
      <c r="CI22" s="1011">
        <f t="shared" si="31"/>
        <v>0</v>
      </c>
      <c r="CJ22" s="1025"/>
      <c r="CK22" s="1011">
        <f t="shared" si="32"/>
        <v>0</v>
      </c>
      <c r="CL22" s="996"/>
      <c r="CM22" s="1029">
        <f t="shared" si="33"/>
        <v>0</v>
      </c>
      <c r="CN22" s="1029">
        <f t="shared" si="34"/>
        <v>0</v>
      </c>
      <c r="CO22" s="1029">
        <f t="shared" si="35"/>
        <v>0</v>
      </c>
      <c r="CP22" s="1029">
        <f t="shared" si="36"/>
        <v>0</v>
      </c>
      <c r="CQ22" s="1029">
        <f t="shared" si="37"/>
        <v>0</v>
      </c>
      <c r="CR22" s="1029">
        <f t="shared" si="38"/>
        <v>0</v>
      </c>
      <c r="CS22" s="1029">
        <f t="shared" si="39"/>
        <v>0</v>
      </c>
      <c r="CT22" s="1029">
        <f t="shared" si="40"/>
        <v>0</v>
      </c>
      <c r="CU22" s="1029">
        <f t="shared" si="41"/>
        <v>0</v>
      </c>
      <c r="CV22" s="1029">
        <f t="shared" si="42"/>
        <v>0</v>
      </c>
      <c r="CW22" s="1029">
        <f t="shared" si="43"/>
        <v>0</v>
      </c>
      <c r="CX22" s="1029">
        <f t="shared" si="44"/>
        <v>0</v>
      </c>
      <c r="CY22" s="1029">
        <f t="shared" si="45"/>
        <v>0</v>
      </c>
      <c r="CZ22" s="1029">
        <f t="shared" si="46"/>
        <v>0</v>
      </c>
      <c r="DA22" s="1029">
        <f t="shared" si="47"/>
        <v>0</v>
      </c>
      <c r="DB22" s="1029">
        <f t="shared" si="48"/>
        <v>0</v>
      </c>
      <c r="DC22" s="1030"/>
      <c r="DD22" s="1031">
        <f t="shared" si="49"/>
        <v>0.77697930000000004</v>
      </c>
      <c r="DE22" s="1029">
        <f t="shared" si="50"/>
        <v>0</v>
      </c>
      <c r="DF22" s="1029">
        <f t="shared" si="51"/>
        <v>0</v>
      </c>
      <c r="DG22" s="1029">
        <f t="shared" si="52"/>
        <v>0</v>
      </c>
      <c r="DH22" s="1029">
        <f t="shared" si="53"/>
        <v>0</v>
      </c>
      <c r="DI22" s="1029">
        <f t="shared" si="54"/>
        <v>0</v>
      </c>
      <c r="DJ22" s="1029">
        <f t="shared" si="55"/>
        <v>0</v>
      </c>
      <c r="DK22" s="1029">
        <f t="shared" si="56"/>
        <v>0</v>
      </c>
      <c r="DL22" s="1029">
        <f t="shared" si="57"/>
        <v>0</v>
      </c>
      <c r="DM22" s="1029">
        <f t="shared" si="58"/>
        <v>0</v>
      </c>
      <c r="DN22" s="1029">
        <f t="shared" si="59"/>
        <v>0</v>
      </c>
      <c r="DO22" s="1029">
        <f t="shared" si="60"/>
        <v>0</v>
      </c>
      <c r="DP22" s="1030"/>
      <c r="DQ22" s="1031">
        <f t="shared" si="61"/>
        <v>0.8162336</v>
      </c>
      <c r="DR22" s="1029">
        <f t="shared" si="62"/>
        <v>0</v>
      </c>
      <c r="DS22" s="1029">
        <f t="shared" si="63"/>
        <v>0</v>
      </c>
      <c r="DT22" s="1029">
        <f t="shared" si="64"/>
        <v>0</v>
      </c>
      <c r="DU22" s="1029">
        <f t="shared" si="65"/>
        <v>0</v>
      </c>
      <c r="DV22" s="1029">
        <f t="shared" si="66"/>
        <v>0</v>
      </c>
      <c r="DW22" s="1029">
        <f t="shared" si="67"/>
        <v>0</v>
      </c>
      <c r="DX22" s="1029">
        <f t="shared" si="68"/>
        <v>0</v>
      </c>
      <c r="DY22" s="1029">
        <f t="shared" si="69"/>
        <v>0</v>
      </c>
      <c r="DZ22" s="1029">
        <f t="shared" si="70"/>
        <v>0</v>
      </c>
      <c r="EA22" s="1029">
        <f t="shared" si="71"/>
        <v>0</v>
      </c>
      <c r="EB22" s="1029">
        <f t="shared" si="72"/>
        <v>0</v>
      </c>
      <c r="EC22" s="1030"/>
      <c r="ED22" s="1031">
        <f t="shared" si="73"/>
        <v>0.84891570000000005</v>
      </c>
      <c r="EE22" s="1029">
        <f t="shared" si="74"/>
        <v>0</v>
      </c>
      <c r="EF22" s="1029">
        <f t="shared" si="75"/>
        <v>0</v>
      </c>
      <c r="EG22" s="1029">
        <f t="shared" si="76"/>
        <v>0</v>
      </c>
      <c r="EH22" s="1029">
        <f t="shared" si="77"/>
        <v>0</v>
      </c>
      <c r="EI22" s="1029">
        <f t="shared" si="78"/>
        <v>0</v>
      </c>
      <c r="EJ22" s="1029">
        <f t="shared" si="79"/>
        <v>0</v>
      </c>
      <c r="EK22" s="1029">
        <f t="shared" si="80"/>
        <v>0</v>
      </c>
      <c r="EL22" s="1029">
        <f t="shared" si="81"/>
        <v>0</v>
      </c>
      <c r="EM22" s="1029">
        <f t="shared" si="82"/>
        <v>0</v>
      </c>
      <c r="EN22" s="1029">
        <f t="shared" si="83"/>
        <v>0</v>
      </c>
      <c r="EO22" s="1029">
        <f t="shared" si="84"/>
        <v>0</v>
      </c>
    </row>
    <row r="23" spans="1:145" ht="18.75" hidden="1" x14ac:dyDescent="0.25">
      <c r="A23" s="1010" t="s">
        <v>674</v>
      </c>
      <c r="B23" s="1011">
        <f t="shared" si="0"/>
        <v>0</v>
      </c>
      <c r="C23" s="1011">
        <f t="shared" si="1"/>
        <v>0</v>
      </c>
      <c r="D23" s="1012"/>
      <c r="E23" s="1012"/>
      <c r="F23" s="1012"/>
      <c r="G23" s="1012"/>
      <c r="H23" s="1012"/>
      <c r="I23" s="1012"/>
      <c r="J23" s="1012"/>
      <c r="K23" s="1013">
        <f t="shared" si="2"/>
        <v>0</v>
      </c>
      <c r="L23" s="1013">
        <f t="shared" si="3"/>
        <v>0</v>
      </c>
      <c r="M23" s="1013">
        <f t="shared" si="4"/>
        <v>0</v>
      </c>
      <c r="N23" s="1011">
        <f t="shared" si="85"/>
        <v>0</v>
      </c>
      <c r="O23" s="1012"/>
      <c r="P23" s="1014">
        <f t="shared" si="5"/>
        <v>0</v>
      </c>
      <c r="Q23" s="1015">
        <f t="shared" si="86"/>
        <v>0</v>
      </c>
      <c r="R23" s="1015">
        <f t="shared" si="86"/>
        <v>0</v>
      </c>
      <c r="S23" s="1015">
        <f t="shared" si="86"/>
        <v>0</v>
      </c>
      <c r="T23" s="1015">
        <f t="shared" si="87"/>
        <v>0</v>
      </c>
      <c r="U23" s="1011">
        <f t="shared" si="6"/>
        <v>0</v>
      </c>
      <c r="V23" s="1014">
        <f t="shared" si="88"/>
        <v>0</v>
      </c>
      <c r="W23" s="1012"/>
      <c r="X23" s="1016">
        <v>0</v>
      </c>
      <c r="Y23" s="1012"/>
      <c r="Z23" s="1016">
        <v>0</v>
      </c>
      <c r="AA23" s="1012"/>
      <c r="AB23" s="1016">
        <v>15</v>
      </c>
      <c r="AC23" s="1012"/>
      <c r="AD23" s="1016">
        <v>15</v>
      </c>
      <c r="AE23" s="1012"/>
      <c r="AF23" s="1016">
        <v>0</v>
      </c>
      <c r="AG23" s="1017"/>
      <c r="AH23" s="1017"/>
      <c r="AI23" s="1017"/>
      <c r="AJ23" s="1018"/>
      <c r="AK23" s="1018">
        <f t="shared" si="89"/>
        <v>0</v>
      </c>
      <c r="AL23" s="1019"/>
      <c r="AM23" s="1014">
        <f t="shared" si="90"/>
        <v>0</v>
      </c>
      <c r="AN23" s="1012"/>
      <c r="AO23" s="1014">
        <f t="shared" si="91"/>
        <v>0</v>
      </c>
      <c r="AP23" s="1020"/>
      <c r="AQ23" s="1021"/>
      <c r="AR23" s="1022"/>
      <c r="AS23" s="1021"/>
      <c r="AT23" s="1011">
        <f t="shared" si="7"/>
        <v>0</v>
      </c>
      <c r="AU23" s="1023">
        <v>0</v>
      </c>
      <c r="AV23" s="1014">
        <f t="shared" si="8"/>
        <v>0</v>
      </c>
      <c r="AW23" s="1014">
        <f t="shared" si="9"/>
        <v>0</v>
      </c>
      <c r="AX23" s="1014">
        <f t="shared" si="9"/>
        <v>0</v>
      </c>
      <c r="AY23" s="1014">
        <f t="shared" si="9"/>
        <v>0</v>
      </c>
      <c r="AZ23" s="1014">
        <f t="shared" si="10"/>
        <v>0</v>
      </c>
      <c r="BA23" s="1024">
        <f t="shared" si="11"/>
        <v>0</v>
      </c>
      <c r="BB23" s="1024">
        <f t="shared" si="12"/>
        <v>0</v>
      </c>
      <c r="BC23" s="1024">
        <f t="shared" si="13"/>
        <v>0</v>
      </c>
      <c r="BD23" s="1024">
        <f t="shared" si="14"/>
        <v>0</v>
      </c>
      <c r="BE23" s="1024">
        <f t="shared" si="15"/>
        <v>0</v>
      </c>
      <c r="BF23" s="1014">
        <f t="shared" si="16"/>
        <v>0</v>
      </c>
      <c r="BG23" s="1014">
        <f t="shared" si="17"/>
        <v>0</v>
      </c>
      <c r="BH23" s="1011">
        <f t="shared" si="18"/>
        <v>0</v>
      </c>
      <c r="BI23" s="1011">
        <f t="shared" si="19"/>
        <v>0</v>
      </c>
      <c r="BJ23" s="1011">
        <f t="shared" si="20"/>
        <v>0</v>
      </c>
      <c r="BK23" s="1025"/>
      <c r="BL23" s="1026">
        <f t="shared" si="21"/>
        <v>0</v>
      </c>
      <c r="BM23" s="1027"/>
      <c r="BN23" s="1027"/>
      <c r="BO23" s="1027"/>
      <c r="BP23" s="1027"/>
      <c r="BQ23" s="1027"/>
      <c r="BR23" s="1028">
        <v>1.1072</v>
      </c>
      <c r="BS23" s="1011">
        <f t="shared" si="22"/>
        <v>0</v>
      </c>
      <c r="BT23" s="1023"/>
      <c r="BU23" s="1015">
        <f t="shared" si="23"/>
        <v>0</v>
      </c>
      <c r="BV23" s="1023"/>
      <c r="BW23" s="1015">
        <f t="shared" si="24"/>
        <v>0</v>
      </c>
      <c r="BX23" s="1023"/>
      <c r="BY23" s="1015">
        <f t="shared" si="25"/>
        <v>0</v>
      </c>
      <c r="BZ23" s="1023"/>
      <c r="CA23" s="1015">
        <f t="shared" si="26"/>
        <v>0</v>
      </c>
      <c r="CB23" s="1023"/>
      <c r="CC23" s="1015">
        <f t="shared" si="27"/>
        <v>0</v>
      </c>
      <c r="CD23" s="1011">
        <f t="shared" si="28"/>
        <v>0</v>
      </c>
      <c r="CE23" s="1023"/>
      <c r="CF23" s="1015">
        <f t="shared" si="29"/>
        <v>0</v>
      </c>
      <c r="CG23" s="1023"/>
      <c r="CH23" s="1015">
        <f t="shared" si="30"/>
        <v>0</v>
      </c>
      <c r="CI23" s="1011">
        <f t="shared" si="31"/>
        <v>0</v>
      </c>
      <c r="CJ23" s="1025"/>
      <c r="CK23" s="1011">
        <f t="shared" si="32"/>
        <v>0</v>
      </c>
      <c r="CL23" s="996"/>
      <c r="CM23" s="1029">
        <f t="shared" si="33"/>
        <v>0</v>
      </c>
      <c r="CN23" s="1029">
        <f t="shared" si="34"/>
        <v>0</v>
      </c>
      <c r="CO23" s="1029">
        <f t="shared" si="35"/>
        <v>0</v>
      </c>
      <c r="CP23" s="1029">
        <f t="shared" si="36"/>
        <v>0</v>
      </c>
      <c r="CQ23" s="1029">
        <f t="shared" si="37"/>
        <v>0</v>
      </c>
      <c r="CR23" s="1029">
        <f t="shared" si="38"/>
        <v>0</v>
      </c>
      <c r="CS23" s="1029">
        <f t="shared" si="39"/>
        <v>0</v>
      </c>
      <c r="CT23" s="1029">
        <f t="shared" si="40"/>
        <v>0</v>
      </c>
      <c r="CU23" s="1029">
        <f t="shared" si="41"/>
        <v>0</v>
      </c>
      <c r="CV23" s="1029">
        <f t="shared" si="42"/>
        <v>0</v>
      </c>
      <c r="CW23" s="1029">
        <f t="shared" si="43"/>
        <v>0</v>
      </c>
      <c r="CX23" s="1029">
        <f t="shared" si="44"/>
        <v>0</v>
      </c>
      <c r="CY23" s="1029">
        <f t="shared" si="45"/>
        <v>0</v>
      </c>
      <c r="CZ23" s="1029">
        <f t="shared" si="46"/>
        <v>0</v>
      </c>
      <c r="DA23" s="1029">
        <f t="shared" si="47"/>
        <v>0</v>
      </c>
      <c r="DB23" s="1029">
        <f t="shared" si="48"/>
        <v>0</v>
      </c>
      <c r="DC23" s="1030"/>
      <c r="DD23" s="1031">
        <f t="shared" si="49"/>
        <v>0.77697930000000004</v>
      </c>
      <c r="DE23" s="1029">
        <f t="shared" si="50"/>
        <v>0</v>
      </c>
      <c r="DF23" s="1029">
        <f t="shared" si="51"/>
        <v>0</v>
      </c>
      <c r="DG23" s="1029">
        <f t="shared" si="52"/>
        <v>0</v>
      </c>
      <c r="DH23" s="1029">
        <f t="shared" si="53"/>
        <v>0</v>
      </c>
      <c r="DI23" s="1029">
        <f t="shared" si="54"/>
        <v>0</v>
      </c>
      <c r="DJ23" s="1029">
        <f t="shared" si="55"/>
        <v>0</v>
      </c>
      <c r="DK23" s="1029">
        <f t="shared" si="56"/>
        <v>0</v>
      </c>
      <c r="DL23" s="1029">
        <f t="shared" si="57"/>
        <v>0</v>
      </c>
      <c r="DM23" s="1029">
        <f t="shared" si="58"/>
        <v>0</v>
      </c>
      <c r="DN23" s="1029">
        <f t="shared" si="59"/>
        <v>0</v>
      </c>
      <c r="DO23" s="1029">
        <f t="shared" si="60"/>
        <v>0</v>
      </c>
      <c r="DP23" s="1030"/>
      <c r="DQ23" s="1031">
        <f t="shared" si="61"/>
        <v>0.8162336</v>
      </c>
      <c r="DR23" s="1029">
        <f t="shared" si="62"/>
        <v>0</v>
      </c>
      <c r="DS23" s="1029">
        <f t="shared" si="63"/>
        <v>0</v>
      </c>
      <c r="DT23" s="1029">
        <f t="shared" si="64"/>
        <v>0</v>
      </c>
      <c r="DU23" s="1029">
        <f t="shared" si="65"/>
        <v>0</v>
      </c>
      <c r="DV23" s="1029">
        <f t="shared" si="66"/>
        <v>0</v>
      </c>
      <c r="DW23" s="1029">
        <f t="shared" si="67"/>
        <v>0</v>
      </c>
      <c r="DX23" s="1029">
        <f t="shared" si="68"/>
        <v>0</v>
      </c>
      <c r="DY23" s="1029">
        <f t="shared" si="69"/>
        <v>0</v>
      </c>
      <c r="DZ23" s="1029">
        <f t="shared" si="70"/>
        <v>0</v>
      </c>
      <c r="EA23" s="1029">
        <f t="shared" si="71"/>
        <v>0</v>
      </c>
      <c r="EB23" s="1029">
        <f t="shared" si="72"/>
        <v>0</v>
      </c>
      <c r="EC23" s="1030"/>
      <c r="ED23" s="1031">
        <f t="shared" si="73"/>
        <v>0.84891570000000005</v>
      </c>
      <c r="EE23" s="1029">
        <f t="shared" si="74"/>
        <v>0</v>
      </c>
      <c r="EF23" s="1029">
        <f t="shared" si="75"/>
        <v>0</v>
      </c>
      <c r="EG23" s="1029">
        <f t="shared" si="76"/>
        <v>0</v>
      </c>
      <c r="EH23" s="1029">
        <f t="shared" si="77"/>
        <v>0</v>
      </c>
      <c r="EI23" s="1029">
        <f t="shared" si="78"/>
        <v>0</v>
      </c>
      <c r="EJ23" s="1029">
        <f t="shared" si="79"/>
        <v>0</v>
      </c>
      <c r="EK23" s="1029">
        <f t="shared" si="80"/>
        <v>0</v>
      </c>
      <c r="EL23" s="1029">
        <f t="shared" si="81"/>
        <v>0</v>
      </c>
      <c r="EM23" s="1029">
        <f t="shared" si="82"/>
        <v>0</v>
      </c>
      <c r="EN23" s="1029">
        <f t="shared" si="83"/>
        <v>0</v>
      </c>
      <c r="EO23" s="1029">
        <f t="shared" si="84"/>
        <v>0</v>
      </c>
    </row>
    <row r="24" spans="1:145" ht="18.75" hidden="1" x14ac:dyDescent="0.25">
      <c r="A24" s="1010" t="s">
        <v>675</v>
      </c>
      <c r="B24" s="1011">
        <f t="shared" si="0"/>
        <v>0</v>
      </c>
      <c r="C24" s="1011">
        <f t="shared" si="1"/>
        <v>0</v>
      </c>
      <c r="D24" s="1012"/>
      <c r="E24" s="1012"/>
      <c r="F24" s="1012"/>
      <c r="G24" s="1012"/>
      <c r="H24" s="1012"/>
      <c r="I24" s="1012"/>
      <c r="J24" s="1012"/>
      <c r="K24" s="1013">
        <f t="shared" si="2"/>
        <v>0</v>
      </c>
      <c r="L24" s="1013">
        <f t="shared" si="3"/>
        <v>0</v>
      </c>
      <c r="M24" s="1013">
        <f t="shared" si="4"/>
        <v>0</v>
      </c>
      <c r="N24" s="1011">
        <f t="shared" si="85"/>
        <v>0</v>
      </c>
      <c r="O24" s="1012"/>
      <c r="P24" s="1014">
        <f t="shared" si="5"/>
        <v>0</v>
      </c>
      <c r="Q24" s="1015">
        <f t="shared" si="86"/>
        <v>0</v>
      </c>
      <c r="R24" s="1015">
        <f t="shared" si="86"/>
        <v>0</v>
      </c>
      <c r="S24" s="1015">
        <f t="shared" si="86"/>
        <v>0</v>
      </c>
      <c r="T24" s="1015">
        <f t="shared" si="87"/>
        <v>0</v>
      </c>
      <c r="U24" s="1011">
        <f t="shared" si="6"/>
        <v>0</v>
      </c>
      <c r="V24" s="1014">
        <f t="shared" si="88"/>
        <v>0</v>
      </c>
      <c r="W24" s="1012"/>
      <c r="X24" s="1016">
        <v>0</v>
      </c>
      <c r="Y24" s="1012"/>
      <c r="Z24" s="1016">
        <v>0</v>
      </c>
      <c r="AA24" s="1012"/>
      <c r="AB24" s="1016">
        <v>15</v>
      </c>
      <c r="AC24" s="1012"/>
      <c r="AD24" s="1016">
        <v>15</v>
      </c>
      <c r="AE24" s="1012"/>
      <c r="AF24" s="1016">
        <v>0</v>
      </c>
      <c r="AG24" s="1017"/>
      <c r="AH24" s="1017"/>
      <c r="AI24" s="1017"/>
      <c r="AJ24" s="1018"/>
      <c r="AK24" s="1018">
        <f t="shared" si="89"/>
        <v>0</v>
      </c>
      <c r="AL24" s="1019"/>
      <c r="AM24" s="1014">
        <f t="shared" si="90"/>
        <v>0</v>
      </c>
      <c r="AN24" s="1012"/>
      <c r="AO24" s="1014">
        <f t="shared" si="91"/>
        <v>0</v>
      </c>
      <c r="AP24" s="1020"/>
      <c r="AQ24" s="1021"/>
      <c r="AR24" s="1022"/>
      <c r="AS24" s="1021"/>
      <c r="AT24" s="1011">
        <f t="shared" si="7"/>
        <v>0</v>
      </c>
      <c r="AU24" s="1023">
        <v>0</v>
      </c>
      <c r="AV24" s="1014">
        <f t="shared" si="8"/>
        <v>0</v>
      </c>
      <c r="AW24" s="1014">
        <f t="shared" si="9"/>
        <v>0</v>
      </c>
      <c r="AX24" s="1014">
        <f t="shared" si="9"/>
        <v>0</v>
      </c>
      <c r="AY24" s="1014">
        <f t="shared" si="9"/>
        <v>0</v>
      </c>
      <c r="AZ24" s="1014">
        <f t="shared" si="10"/>
        <v>0</v>
      </c>
      <c r="BA24" s="1024">
        <f t="shared" si="11"/>
        <v>0</v>
      </c>
      <c r="BB24" s="1024">
        <f t="shared" si="12"/>
        <v>0</v>
      </c>
      <c r="BC24" s="1024">
        <f t="shared" si="13"/>
        <v>0</v>
      </c>
      <c r="BD24" s="1024">
        <f t="shared" si="14"/>
        <v>0</v>
      </c>
      <c r="BE24" s="1024">
        <f t="shared" si="15"/>
        <v>0</v>
      </c>
      <c r="BF24" s="1014">
        <f t="shared" si="16"/>
        <v>0</v>
      </c>
      <c r="BG24" s="1014">
        <f t="shared" si="17"/>
        <v>0</v>
      </c>
      <c r="BH24" s="1011">
        <f t="shared" si="18"/>
        <v>0</v>
      </c>
      <c r="BI24" s="1011">
        <f t="shared" si="19"/>
        <v>0</v>
      </c>
      <c r="BJ24" s="1011">
        <f t="shared" si="20"/>
        <v>0</v>
      </c>
      <c r="BK24" s="1025"/>
      <c r="BL24" s="1026">
        <f t="shared" si="21"/>
        <v>0</v>
      </c>
      <c r="BM24" s="1027"/>
      <c r="BN24" s="1027"/>
      <c r="BO24" s="1027"/>
      <c r="BP24" s="1027"/>
      <c r="BQ24" s="1027"/>
      <c r="BR24" s="1028">
        <v>1.1072</v>
      </c>
      <c r="BS24" s="1011">
        <f t="shared" si="22"/>
        <v>0</v>
      </c>
      <c r="BT24" s="1023"/>
      <c r="BU24" s="1015">
        <f t="shared" si="23"/>
        <v>0</v>
      </c>
      <c r="BV24" s="1023"/>
      <c r="BW24" s="1015">
        <f t="shared" si="24"/>
        <v>0</v>
      </c>
      <c r="BX24" s="1023"/>
      <c r="BY24" s="1015">
        <f t="shared" si="25"/>
        <v>0</v>
      </c>
      <c r="BZ24" s="1023"/>
      <c r="CA24" s="1015">
        <f t="shared" si="26"/>
        <v>0</v>
      </c>
      <c r="CB24" s="1023"/>
      <c r="CC24" s="1015">
        <f t="shared" si="27"/>
        <v>0</v>
      </c>
      <c r="CD24" s="1011">
        <f t="shared" si="28"/>
        <v>0</v>
      </c>
      <c r="CE24" s="1023"/>
      <c r="CF24" s="1015">
        <f t="shared" si="29"/>
        <v>0</v>
      </c>
      <c r="CG24" s="1023"/>
      <c r="CH24" s="1015">
        <f t="shared" si="30"/>
        <v>0</v>
      </c>
      <c r="CI24" s="1011">
        <f t="shared" si="31"/>
        <v>0</v>
      </c>
      <c r="CJ24" s="1025"/>
      <c r="CK24" s="1011">
        <f t="shared" si="32"/>
        <v>0</v>
      </c>
      <c r="CL24" s="996"/>
      <c r="CM24" s="1029">
        <f t="shared" si="33"/>
        <v>0</v>
      </c>
      <c r="CN24" s="1029">
        <f t="shared" si="34"/>
        <v>0</v>
      </c>
      <c r="CO24" s="1029">
        <f t="shared" si="35"/>
        <v>0</v>
      </c>
      <c r="CP24" s="1029">
        <f t="shared" si="36"/>
        <v>0</v>
      </c>
      <c r="CQ24" s="1029">
        <f t="shared" si="37"/>
        <v>0</v>
      </c>
      <c r="CR24" s="1029">
        <f t="shared" si="38"/>
        <v>0</v>
      </c>
      <c r="CS24" s="1029">
        <f t="shared" si="39"/>
        <v>0</v>
      </c>
      <c r="CT24" s="1029">
        <f t="shared" si="40"/>
        <v>0</v>
      </c>
      <c r="CU24" s="1029">
        <f t="shared" si="41"/>
        <v>0</v>
      </c>
      <c r="CV24" s="1029">
        <f t="shared" si="42"/>
        <v>0</v>
      </c>
      <c r="CW24" s="1029">
        <f t="shared" si="43"/>
        <v>0</v>
      </c>
      <c r="CX24" s="1029">
        <f t="shared" si="44"/>
        <v>0</v>
      </c>
      <c r="CY24" s="1029">
        <f t="shared" si="45"/>
        <v>0</v>
      </c>
      <c r="CZ24" s="1029">
        <f t="shared" si="46"/>
        <v>0</v>
      </c>
      <c r="DA24" s="1029">
        <f t="shared" si="47"/>
        <v>0</v>
      </c>
      <c r="DB24" s="1029">
        <f t="shared" si="48"/>
        <v>0</v>
      </c>
      <c r="DC24" s="1030"/>
      <c r="DD24" s="1031">
        <f t="shared" si="49"/>
        <v>0.77697930000000004</v>
      </c>
      <c r="DE24" s="1029">
        <f t="shared" si="50"/>
        <v>0</v>
      </c>
      <c r="DF24" s="1029">
        <f t="shared" si="51"/>
        <v>0</v>
      </c>
      <c r="DG24" s="1029">
        <f t="shared" si="52"/>
        <v>0</v>
      </c>
      <c r="DH24" s="1029">
        <f t="shared" si="53"/>
        <v>0</v>
      </c>
      <c r="DI24" s="1029">
        <f t="shared" si="54"/>
        <v>0</v>
      </c>
      <c r="DJ24" s="1029">
        <f t="shared" si="55"/>
        <v>0</v>
      </c>
      <c r="DK24" s="1029">
        <f t="shared" si="56"/>
        <v>0</v>
      </c>
      <c r="DL24" s="1029">
        <f t="shared" si="57"/>
        <v>0</v>
      </c>
      <c r="DM24" s="1029">
        <f t="shared" si="58"/>
        <v>0</v>
      </c>
      <c r="DN24" s="1029">
        <f t="shared" si="59"/>
        <v>0</v>
      </c>
      <c r="DO24" s="1029">
        <f t="shared" si="60"/>
        <v>0</v>
      </c>
      <c r="DP24" s="1030"/>
      <c r="DQ24" s="1031">
        <f t="shared" si="61"/>
        <v>0.8162336</v>
      </c>
      <c r="DR24" s="1029">
        <f t="shared" si="62"/>
        <v>0</v>
      </c>
      <c r="DS24" s="1029">
        <f t="shared" si="63"/>
        <v>0</v>
      </c>
      <c r="DT24" s="1029">
        <f t="shared" si="64"/>
        <v>0</v>
      </c>
      <c r="DU24" s="1029">
        <f t="shared" si="65"/>
        <v>0</v>
      </c>
      <c r="DV24" s="1029">
        <f t="shared" si="66"/>
        <v>0</v>
      </c>
      <c r="DW24" s="1029">
        <f t="shared" si="67"/>
        <v>0</v>
      </c>
      <c r="DX24" s="1029">
        <f t="shared" si="68"/>
        <v>0</v>
      </c>
      <c r="DY24" s="1029">
        <f t="shared" si="69"/>
        <v>0</v>
      </c>
      <c r="DZ24" s="1029">
        <f t="shared" si="70"/>
        <v>0</v>
      </c>
      <c r="EA24" s="1029">
        <f t="shared" si="71"/>
        <v>0</v>
      </c>
      <c r="EB24" s="1029">
        <f t="shared" si="72"/>
        <v>0</v>
      </c>
      <c r="EC24" s="1030"/>
      <c r="ED24" s="1031">
        <f t="shared" si="73"/>
        <v>0.84891570000000005</v>
      </c>
      <c r="EE24" s="1029">
        <f t="shared" si="74"/>
        <v>0</v>
      </c>
      <c r="EF24" s="1029">
        <f t="shared" si="75"/>
        <v>0</v>
      </c>
      <c r="EG24" s="1029">
        <f t="shared" si="76"/>
        <v>0</v>
      </c>
      <c r="EH24" s="1029">
        <f t="shared" si="77"/>
        <v>0</v>
      </c>
      <c r="EI24" s="1029">
        <f t="shared" si="78"/>
        <v>0</v>
      </c>
      <c r="EJ24" s="1029">
        <f t="shared" si="79"/>
        <v>0</v>
      </c>
      <c r="EK24" s="1029">
        <f t="shared" si="80"/>
        <v>0</v>
      </c>
      <c r="EL24" s="1029">
        <f t="shared" si="81"/>
        <v>0</v>
      </c>
      <c r="EM24" s="1029">
        <f t="shared" si="82"/>
        <v>0</v>
      </c>
      <c r="EN24" s="1029">
        <f t="shared" si="83"/>
        <v>0</v>
      </c>
      <c r="EO24" s="1029">
        <f t="shared" si="84"/>
        <v>0</v>
      </c>
    </row>
    <row r="25" spans="1:145" ht="18.75" hidden="1" x14ac:dyDescent="0.25">
      <c r="A25" s="1010" t="s">
        <v>676</v>
      </c>
      <c r="B25" s="1011">
        <f t="shared" si="0"/>
        <v>0</v>
      </c>
      <c r="C25" s="1011">
        <f t="shared" si="1"/>
        <v>0</v>
      </c>
      <c r="D25" s="1012"/>
      <c r="E25" s="1012"/>
      <c r="F25" s="1012"/>
      <c r="G25" s="1012"/>
      <c r="H25" s="1012"/>
      <c r="I25" s="1012"/>
      <c r="J25" s="1012"/>
      <c r="K25" s="1013">
        <f t="shared" si="2"/>
        <v>0</v>
      </c>
      <c r="L25" s="1013">
        <f t="shared" si="3"/>
        <v>0</v>
      </c>
      <c r="M25" s="1013">
        <f t="shared" si="4"/>
        <v>0</v>
      </c>
      <c r="N25" s="1011">
        <f t="shared" si="85"/>
        <v>0</v>
      </c>
      <c r="O25" s="1012"/>
      <c r="P25" s="1014">
        <f t="shared" si="5"/>
        <v>0</v>
      </c>
      <c r="Q25" s="1015">
        <f t="shared" si="86"/>
        <v>0</v>
      </c>
      <c r="R25" s="1015">
        <f t="shared" si="86"/>
        <v>0</v>
      </c>
      <c r="S25" s="1015">
        <f t="shared" si="86"/>
        <v>0</v>
      </c>
      <c r="T25" s="1015">
        <f t="shared" si="87"/>
        <v>0</v>
      </c>
      <c r="U25" s="1011">
        <f t="shared" si="6"/>
        <v>0</v>
      </c>
      <c r="V25" s="1014">
        <f t="shared" si="88"/>
        <v>0</v>
      </c>
      <c r="W25" s="1012"/>
      <c r="X25" s="1016">
        <v>0</v>
      </c>
      <c r="Y25" s="1012"/>
      <c r="Z25" s="1016">
        <v>0</v>
      </c>
      <c r="AA25" s="1012"/>
      <c r="AB25" s="1016">
        <v>15</v>
      </c>
      <c r="AC25" s="1012"/>
      <c r="AD25" s="1016">
        <v>15</v>
      </c>
      <c r="AE25" s="1012"/>
      <c r="AF25" s="1016">
        <v>0</v>
      </c>
      <c r="AG25" s="1017"/>
      <c r="AH25" s="1017"/>
      <c r="AI25" s="1017"/>
      <c r="AJ25" s="1018"/>
      <c r="AK25" s="1018">
        <f t="shared" si="89"/>
        <v>0</v>
      </c>
      <c r="AL25" s="1019"/>
      <c r="AM25" s="1014">
        <f t="shared" si="90"/>
        <v>0</v>
      </c>
      <c r="AN25" s="1012"/>
      <c r="AO25" s="1014">
        <f t="shared" si="91"/>
        <v>0</v>
      </c>
      <c r="AP25" s="1020"/>
      <c r="AQ25" s="1021"/>
      <c r="AR25" s="1022"/>
      <c r="AS25" s="1021"/>
      <c r="AT25" s="1011">
        <f t="shared" si="7"/>
        <v>0</v>
      </c>
      <c r="AU25" s="1023">
        <v>0</v>
      </c>
      <c r="AV25" s="1014">
        <f t="shared" si="8"/>
        <v>0</v>
      </c>
      <c r="AW25" s="1014">
        <f t="shared" si="9"/>
        <v>0</v>
      </c>
      <c r="AX25" s="1014">
        <f t="shared" si="9"/>
        <v>0</v>
      </c>
      <c r="AY25" s="1014">
        <f t="shared" si="9"/>
        <v>0</v>
      </c>
      <c r="AZ25" s="1014">
        <f t="shared" si="10"/>
        <v>0</v>
      </c>
      <c r="BA25" s="1024">
        <f t="shared" si="11"/>
        <v>0</v>
      </c>
      <c r="BB25" s="1024">
        <f t="shared" si="12"/>
        <v>0</v>
      </c>
      <c r="BC25" s="1024">
        <f t="shared" si="13"/>
        <v>0</v>
      </c>
      <c r="BD25" s="1024">
        <f t="shared" si="14"/>
        <v>0</v>
      </c>
      <c r="BE25" s="1024">
        <f t="shared" si="15"/>
        <v>0</v>
      </c>
      <c r="BF25" s="1014">
        <f t="shared" si="16"/>
        <v>0</v>
      </c>
      <c r="BG25" s="1014">
        <f t="shared" si="17"/>
        <v>0</v>
      </c>
      <c r="BH25" s="1011">
        <f t="shared" si="18"/>
        <v>0</v>
      </c>
      <c r="BI25" s="1011">
        <f t="shared" si="19"/>
        <v>0</v>
      </c>
      <c r="BJ25" s="1011">
        <f t="shared" si="20"/>
        <v>0</v>
      </c>
      <c r="BK25" s="1025"/>
      <c r="BL25" s="1026">
        <f t="shared" si="21"/>
        <v>0</v>
      </c>
      <c r="BM25" s="1027"/>
      <c r="BN25" s="1027"/>
      <c r="BO25" s="1027"/>
      <c r="BP25" s="1027"/>
      <c r="BQ25" s="1027"/>
      <c r="BR25" s="1028">
        <v>1.1072</v>
      </c>
      <c r="BS25" s="1011">
        <f t="shared" si="22"/>
        <v>0</v>
      </c>
      <c r="BT25" s="1023"/>
      <c r="BU25" s="1015">
        <f t="shared" si="23"/>
        <v>0</v>
      </c>
      <c r="BV25" s="1023"/>
      <c r="BW25" s="1015">
        <f t="shared" si="24"/>
        <v>0</v>
      </c>
      <c r="BX25" s="1023"/>
      <c r="BY25" s="1015">
        <f t="shared" si="25"/>
        <v>0</v>
      </c>
      <c r="BZ25" s="1023"/>
      <c r="CA25" s="1015">
        <f t="shared" si="26"/>
        <v>0</v>
      </c>
      <c r="CB25" s="1023"/>
      <c r="CC25" s="1015">
        <f t="shared" si="27"/>
        <v>0</v>
      </c>
      <c r="CD25" s="1011">
        <f t="shared" si="28"/>
        <v>0</v>
      </c>
      <c r="CE25" s="1023"/>
      <c r="CF25" s="1015">
        <f t="shared" si="29"/>
        <v>0</v>
      </c>
      <c r="CG25" s="1023"/>
      <c r="CH25" s="1015">
        <f t="shared" si="30"/>
        <v>0</v>
      </c>
      <c r="CI25" s="1011">
        <f t="shared" si="31"/>
        <v>0</v>
      </c>
      <c r="CJ25" s="1025"/>
      <c r="CK25" s="1011">
        <f t="shared" si="32"/>
        <v>0</v>
      </c>
      <c r="CL25" s="996"/>
      <c r="CM25" s="1029">
        <f t="shared" si="33"/>
        <v>0</v>
      </c>
      <c r="CN25" s="1029">
        <f t="shared" si="34"/>
        <v>0</v>
      </c>
      <c r="CO25" s="1029">
        <f t="shared" si="35"/>
        <v>0</v>
      </c>
      <c r="CP25" s="1029">
        <f t="shared" si="36"/>
        <v>0</v>
      </c>
      <c r="CQ25" s="1029">
        <f t="shared" si="37"/>
        <v>0</v>
      </c>
      <c r="CR25" s="1029">
        <f t="shared" si="38"/>
        <v>0</v>
      </c>
      <c r="CS25" s="1029">
        <f t="shared" si="39"/>
        <v>0</v>
      </c>
      <c r="CT25" s="1029">
        <f t="shared" si="40"/>
        <v>0</v>
      </c>
      <c r="CU25" s="1029">
        <f t="shared" si="41"/>
        <v>0</v>
      </c>
      <c r="CV25" s="1029">
        <f t="shared" si="42"/>
        <v>0</v>
      </c>
      <c r="CW25" s="1029">
        <f t="shared" si="43"/>
        <v>0</v>
      </c>
      <c r="CX25" s="1029">
        <f t="shared" si="44"/>
        <v>0</v>
      </c>
      <c r="CY25" s="1029">
        <f t="shared" si="45"/>
        <v>0</v>
      </c>
      <c r="CZ25" s="1029">
        <f t="shared" si="46"/>
        <v>0</v>
      </c>
      <c r="DA25" s="1029">
        <f t="shared" si="47"/>
        <v>0</v>
      </c>
      <c r="DB25" s="1029">
        <f t="shared" si="48"/>
        <v>0</v>
      </c>
      <c r="DC25" s="1030"/>
      <c r="DD25" s="1031">
        <f t="shared" si="49"/>
        <v>0.77697930000000004</v>
      </c>
      <c r="DE25" s="1029">
        <f t="shared" si="50"/>
        <v>0</v>
      </c>
      <c r="DF25" s="1029">
        <f t="shared" si="51"/>
        <v>0</v>
      </c>
      <c r="DG25" s="1029">
        <f t="shared" si="52"/>
        <v>0</v>
      </c>
      <c r="DH25" s="1029">
        <f t="shared" si="53"/>
        <v>0</v>
      </c>
      <c r="DI25" s="1029">
        <f t="shared" si="54"/>
        <v>0</v>
      </c>
      <c r="DJ25" s="1029">
        <f t="shared" si="55"/>
        <v>0</v>
      </c>
      <c r="DK25" s="1029">
        <f t="shared" si="56"/>
        <v>0</v>
      </c>
      <c r="DL25" s="1029">
        <f t="shared" si="57"/>
        <v>0</v>
      </c>
      <c r="DM25" s="1029">
        <f t="shared" si="58"/>
        <v>0</v>
      </c>
      <c r="DN25" s="1029">
        <f t="shared" si="59"/>
        <v>0</v>
      </c>
      <c r="DO25" s="1029">
        <f t="shared" si="60"/>
        <v>0</v>
      </c>
      <c r="DP25" s="1030"/>
      <c r="DQ25" s="1031">
        <f t="shared" si="61"/>
        <v>0.8162336</v>
      </c>
      <c r="DR25" s="1029">
        <f t="shared" si="62"/>
        <v>0</v>
      </c>
      <c r="DS25" s="1029">
        <f t="shared" si="63"/>
        <v>0</v>
      </c>
      <c r="DT25" s="1029">
        <f t="shared" si="64"/>
        <v>0</v>
      </c>
      <c r="DU25" s="1029">
        <f t="shared" si="65"/>
        <v>0</v>
      </c>
      <c r="DV25" s="1029">
        <f t="shared" si="66"/>
        <v>0</v>
      </c>
      <c r="DW25" s="1029">
        <f t="shared" si="67"/>
        <v>0</v>
      </c>
      <c r="DX25" s="1029">
        <f t="shared" si="68"/>
        <v>0</v>
      </c>
      <c r="DY25" s="1029">
        <f t="shared" si="69"/>
        <v>0</v>
      </c>
      <c r="DZ25" s="1029">
        <f t="shared" si="70"/>
        <v>0</v>
      </c>
      <c r="EA25" s="1029">
        <f t="shared" si="71"/>
        <v>0</v>
      </c>
      <c r="EB25" s="1029">
        <f t="shared" si="72"/>
        <v>0</v>
      </c>
      <c r="EC25" s="1030"/>
      <c r="ED25" s="1031">
        <f t="shared" si="73"/>
        <v>0.84891570000000005</v>
      </c>
      <c r="EE25" s="1029">
        <f t="shared" si="74"/>
        <v>0</v>
      </c>
      <c r="EF25" s="1029">
        <f t="shared" si="75"/>
        <v>0</v>
      </c>
      <c r="EG25" s="1029">
        <f t="shared" si="76"/>
        <v>0</v>
      </c>
      <c r="EH25" s="1029">
        <f t="shared" si="77"/>
        <v>0</v>
      </c>
      <c r="EI25" s="1029">
        <f t="shared" si="78"/>
        <v>0</v>
      </c>
      <c r="EJ25" s="1029">
        <f t="shared" si="79"/>
        <v>0</v>
      </c>
      <c r="EK25" s="1029">
        <f t="shared" si="80"/>
        <v>0</v>
      </c>
      <c r="EL25" s="1029">
        <f t="shared" si="81"/>
        <v>0</v>
      </c>
      <c r="EM25" s="1029">
        <f t="shared" si="82"/>
        <v>0</v>
      </c>
      <c r="EN25" s="1029">
        <f t="shared" si="83"/>
        <v>0</v>
      </c>
      <c r="EO25" s="1029">
        <f t="shared" si="84"/>
        <v>0</v>
      </c>
    </row>
    <row r="26" spans="1:145" ht="18.75" hidden="1" x14ac:dyDescent="0.25">
      <c r="A26" s="1010" t="s">
        <v>677</v>
      </c>
      <c r="B26" s="1011">
        <f t="shared" si="0"/>
        <v>0</v>
      </c>
      <c r="C26" s="1011">
        <f t="shared" si="1"/>
        <v>0</v>
      </c>
      <c r="D26" s="1012"/>
      <c r="E26" s="1012"/>
      <c r="F26" s="1012"/>
      <c r="G26" s="1012"/>
      <c r="H26" s="1012"/>
      <c r="I26" s="1012"/>
      <c r="J26" s="1012"/>
      <c r="K26" s="1013">
        <f t="shared" si="2"/>
        <v>0</v>
      </c>
      <c r="L26" s="1013">
        <f t="shared" si="3"/>
        <v>0</v>
      </c>
      <c r="M26" s="1013">
        <f t="shared" si="4"/>
        <v>0</v>
      </c>
      <c r="N26" s="1011">
        <f t="shared" si="85"/>
        <v>0</v>
      </c>
      <c r="O26" s="1012"/>
      <c r="P26" s="1014">
        <f t="shared" si="5"/>
        <v>0</v>
      </c>
      <c r="Q26" s="1015">
        <f t="shared" si="86"/>
        <v>0</v>
      </c>
      <c r="R26" s="1015">
        <f t="shared" si="86"/>
        <v>0</v>
      </c>
      <c r="S26" s="1015">
        <f t="shared" si="86"/>
        <v>0</v>
      </c>
      <c r="T26" s="1015">
        <f t="shared" si="87"/>
        <v>0</v>
      </c>
      <c r="U26" s="1011">
        <f t="shared" si="6"/>
        <v>0</v>
      </c>
      <c r="V26" s="1014">
        <f t="shared" si="88"/>
        <v>0</v>
      </c>
      <c r="W26" s="1012"/>
      <c r="X26" s="1016">
        <v>0</v>
      </c>
      <c r="Y26" s="1012"/>
      <c r="Z26" s="1016">
        <v>0</v>
      </c>
      <c r="AA26" s="1012"/>
      <c r="AB26" s="1016">
        <v>15</v>
      </c>
      <c r="AC26" s="1012"/>
      <c r="AD26" s="1016">
        <v>15</v>
      </c>
      <c r="AE26" s="1012"/>
      <c r="AF26" s="1016">
        <v>0</v>
      </c>
      <c r="AG26" s="1017"/>
      <c r="AH26" s="1017"/>
      <c r="AI26" s="1017"/>
      <c r="AJ26" s="1018"/>
      <c r="AK26" s="1018">
        <f t="shared" si="89"/>
        <v>0</v>
      </c>
      <c r="AL26" s="1019"/>
      <c r="AM26" s="1014">
        <f t="shared" si="90"/>
        <v>0</v>
      </c>
      <c r="AN26" s="1012"/>
      <c r="AO26" s="1014">
        <f t="shared" si="91"/>
        <v>0</v>
      </c>
      <c r="AP26" s="1020"/>
      <c r="AQ26" s="1021"/>
      <c r="AR26" s="1022"/>
      <c r="AS26" s="1021"/>
      <c r="AT26" s="1011">
        <f t="shared" si="7"/>
        <v>0</v>
      </c>
      <c r="AU26" s="1023">
        <v>0</v>
      </c>
      <c r="AV26" s="1014">
        <f t="shared" si="8"/>
        <v>0</v>
      </c>
      <c r="AW26" s="1014">
        <f t="shared" si="9"/>
        <v>0</v>
      </c>
      <c r="AX26" s="1014">
        <f t="shared" si="9"/>
        <v>0</v>
      </c>
      <c r="AY26" s="1014">
        <f t="shared" si="9"/>
        <v>0</v>
      </c>
      <c r="AZ26" s="1014">
        <f t="shared" si="10"/>
        <v>0</v>
      </c>
      <c r="BA26" s="1024">
        <f t="shared" si="11"/>
        <v>0</v>
      </c>
      <c r="BB26" s="1024">
        <f t="shared" si="12"/>
        <v>0</v>
      </c>
      <c r="BC26" s="1024">
        <f t="shared" si="13"/>
        <v>0</v>
      </c>
      <c r="BD26" s="1024">
        <f t="shared" si="14"/>
        <v>0</v>
      </c>
      <c r="BE26" s="1024">
        <f t="shared" si="15"/>
        <v>0</v>
      </c>
      <c r="BF26" s="1014">
        <f t="shared" si="16"/>
        <v>0</v>
      </c>
      <c r="BG26" s="1014">
        <f t="shared" si="17"/>
        <v>0</v>
      </c>
      <c r="BH26" s="1011">
        <f t="shared" si="18"/>
        <v>0</v>
      </c>
      <c r="BI26" s="1011">
        <f t="shared" si="19"/>
        <v>0</v>
      </c>
      <c r="BJ26" s="1011">
        <f t="shared" si="20"/>
        <v>0</v>
      </c>
      <c r="BK26" s="1025"/>
      <c r="BL26" s="1026">
        <f t="shared" si="21"/>
        <v>0</v>
      </c>
      <c r="BM26" s="1027"/>
      <c r="BN26" s="1027"/>
      <c r="BO26" s="1027"/>
      <c r="BP26" s="1027"/>
      <c r="BQ26" s="1027"/>
      <c r="BR26" s="1028">
        <v>1.1072</v>
      </c>
      <c r="BS26" s="1011">
        <f t="shared" si="22"/>
        <v>0</v>
      </c>
      <c r="BT26" s="1023"/>
      <c r="BU26" s="1015">
        <f t="shared" si="23"/>
        <v>0</v>
      </c>
      <c r="BV26" s="1023"/>
      <c r="BW26" s="1015">
        <f t="shared" si="24"/>
        <v>0</v>
      </c>
      <c r="BX26" s="1023"/>
      <c r="BY26" s="1015">
        <f t="shared" si="25"/>
        <v>0</v>
      </c>
      <c r="BZ26" s="1023"/>
      <c r="CA26" s="1015">
        <f t="shared" si="26"/>
        <v>0</v>
      </c>
      <c r="CB26" s="1023"/>
      <c r="CC26" s="1015">
        <f t="shared" si="27"/>
        <v>0</v>
      </c>
      <c r="CD26" s="1011">
        <f t="shared" si="28"/>
        <v>0</v>
      </c>
      <c r="CE26" s="1023"/>
      <c r="CF26" s="1015">
        <f t="shared" si="29"/>
        <v>0</v>
      </c>
      <c r="CG26" s="1023"/>
      <c r="CH26" s="1015">
        <f t="shared" si="30"/>
        <v>0</v>
      </c>
      <c r="CI26" s="1011">
        <f t="shared" si="31"/>
        <v>0</v>
      </c>
      <c r="CJ26" s="1025"/>
      <c r="CK26" s="1011">
        <f t="shared" si="32"/>
        <v>0</v>
      </c>
      <c r="CL26" s="996"/>
      <c r="CM26" s="1029">
        <f t="shared" si="33"/>
        <v>0</v>
      </c>
      <c r="CN26" s="1029">
        <f t="shared" si="34"/>
        <v>0</v>
      </c>
      <c r="CO26" s="1029">
        <f t="shared" si="35"/>
        <v>0</v>
      </c>
      <c r="CP26" s="1029">
        <f t="shared" si="36"/>
        <v>0</v>
      </c>
      <c r="CQ26" s="1029">
        <f t="shared" si="37"/>
        <v>0</v>
      </c>
      <c r="CR26" s="1029">
        <f t="shared" si="38"/>
        <v>0</v>
      </c>
      <c r="CS26" s="1029">
        <f t="shared" si="39"/>
        <v>0</v>
      </c>
      <c r="CT26" s="1029">
        <f t="shared" si="40"/>
        <v>0</v>
      </c>
      <c r="CU26" s="1029">
        <f t="shared" si="41"/>
        <v>0</v>
      </c>
      <c r="CV26" s="1029">
        <f t="shared" si="42"/>
        <v>0</v>
      </c>
      <c r="CW26" s="1029">
        <f t="shared" si="43"/>
        <v>0</v>
      </c>
      <c r="CX26" s="1029">
        <f t="shared" si="44"/>
        <v>0</v>
      </c>
      <c r="CY26" s="1029">
        <f t="shared" si="45"/>
        <v>0</v>
      </c>
      <c r="CZ26" s="1029">
        <f t="shared" si="46"/>
        <v>0</v>
      </c>
      <c r="DA26" s="1029">
        <f t="shared" si="47"/>
        <v>0</v>
      </c>
      <c r="DB26" s="1029">
        <f t="shared" si="48"/>
        <v>0</v>
      </c>
      <c r="DC26" s="1030"/>
      <c r="DD26" s="1031">
        <f t="shared" si="49"/>
        <v>0.77697930000000004</v>
      </c>
      <c r="DE26" s="1029">
        <f t="shared" si="50"/>
        <v>0</v>
      </c>
      <c r="DF26" s="1029">
        <f t="shared" si="51"/>
        <v>0</v>
      </c>
      <c r="DG26" s="1029">
        <f t="shared" si="52"/>
        <v>0</v>
      </c>
      <c r="DH26" s="1029">
        <f t="shared" si="53"/>
        <v>0</v>
      </c>
      <c r="DI26" s="1029">
        <f t="shared" si="54"/>
        <v>0</v>
      </c>
      <c r="DJ26" s="1029">
        <f t="shared" si="55"/>
        <v>0</v>
      </c>
      <c r="DK26" s="1029">
        <f t="shared" si="56"/>
        <v>0</v>
      </c>
      <c r="DL26" s="1029">
        <f t="shared" si="57"/>
        <v>0</v>
      </c>
      <c r="DM26" s="1029">
        <f t="shared" si="58"/>
        <v>0</v>
      </c>
      <c r="DN26" s="1029">
        <f t="shared" si="59"/>
        <v>0</v>
      </c>
      <c r="DO26" s="1029">
        <f t="shared" si="60"/>
        <v>0</v>
      </c>
      <c r="DP26" s="1030"/>
      <c r="DQ26" s="1031">
        <f t="shared" si="61"/>
        <v>0.8162336</v>
      </c>
      <c r="DR26" s="1029">
        <f t="shared" si="62"/>
        <v>0</v>
      </c>
      <c r="DS26" s="1029">
        <f t="shared" si="63"/>
        <v>0</v>
      </c>
      <c r="DT26" s="1029">
        <f t="shared" si="64"/>
        <v>0</v>
      </c>
      <c r="DU26" s="1029">
        <f t="shared" si="65"/>
        <v>0</v>
      </c>
      <c r="DV26" s="1029">
        <f t="shared" si="66"/>
        <v>0</v>
      </c>
      <c r="DW26" s="1029">
        <f t="shared" si="67"/>
        <v>0</v>
      </c>
      <c r="DX26" s="1029">
        <f t="shared" si="68"/>
        <v>0</v>
      </c>
      <c r="DY26" s="1029">
        <f t="shared" si="69"/>
        <v>0</v>
      </c>
      <c r="DZ26" s="1029">
        <f t="shared" si="70"/>
        <v>0</v>
      </c>
      <c r="EA26" s="1029">
        <f t="shared" si="71"/>
        <v>0</v>
      </c>
      <c r="EB26" s="1029">
        <f t="shared" si="72"/>
        <v>0</v>
      </c>
      <c r="EC26" s="1030"/>
      <c r="ED26" s="1031">
        <f t="shared" si="73"/>
        <v>0.84891570000000005</v>
      </c>
      <c r="EE26" s="1029">
        <f t="shared" si="74"/>
        <v>0</v>
      </c>
      <c r="EF26" s="1029">
        <f t="shared" si="75"/>
        <v>0</v>
      </c>
      <c r="EG26" s="1029">
        <f t="shared" si="76"/>
        <v>0</v>
      </c>
      <c r="EH26" s="1029">
        <f t="shared" si="77"/>
        <v>0</v>
      </c>
      <c r="EI26" s="1029">
        <f t="shared" si="78"/>
        <v>0</v>
      </c>
      <c r="EJ26" s="1029">
        <f t="shared" si="79"/>
        <v>0</v>
      </c>
      <c r="EK26" s="1029">
        <f t="shared" si="80"/>
        <v>0</v>
      </c>
      <c r="EL26" s="1029">
        <f t="shared" si="81"/>
        <v>0</v>
      </c>
      <c r="EM26" s="1029">
        <f t="shared" si="82"/>
        <v>0</v>
      </c>
      <c r="EN26" s="1029">
        <f t="shared" si="83"/>
        <v>0</v>
      </c>
      <c r="EO26" s="1029">
        <f t="shared" si="84"/>
        <v>0</v>
      </c>
    </row>
    <row r="27" spans="1:145" ht="18.75" hidden="1" x14ac:dyDescent="0.25">
      <c r="A27" s="1010" t="s">
        <v>678</v>
      </c>
      <c r="B27" s="1011">
        <f t="shared" si="0"/>
        <v>0</v>
      </c>
      <c r="C27" s="1011">
        <f t="shared" si="1"/>
        <v>0</v>
      </c>
      <c r="D27" s="1012"/>
      <c r="E27" s="1012"/>
      <c r="F27" s="1012"/>
      <c r="G27" s="1012"/>
      <c r="H27" s="1012"/>
      <c r="I27" s="1012"/>
      <c r="J27" s="1012"/>
      <c r="K27" s="1013">
        <f t="shared" si="2"/>
        <v>0</v>
      </c>
      <c r="L27" s="1013">
        <f t="shared" si="3"/>
        <v>0</v>
      </c>
      <c r="M27" s="1013">
        <f t="shared" si="4"/>
        <v>0</v>
      </c>
      <c r="N27" s="1011">
        <f t="shared" si="85"/>
        <v>0</v>
      </c>
      <c r="O27" s="1012"/>
      <c r="P27" s="1014">
        <f t="shared" si="5"/>
        <v>0</v>
      </c>
      <c r="Q27" s="1015">
        <f t="shared" si="86"/>
        <v>0</v>
      </c>
      <c r="R27" s="1015">
        <f t="shared" si="86"/>
        <v>0</v>
      </c>
      <c r="S27" s="1015">
        <f t="shared" si="86"/>
        <v>0</v>
      </c>
      <c r="T27" s="1015">
        <f t="shared" si="87"/>
        <v>0</v>
      </c>
      <c r="U27" s="1011">
        <f t="shared" si="6"/>
        <v>0</v>
      </c>
      <c r="V27" s="1014">
        <f t="shared" si="88"/>
        <v>0</v>
      </c>
      <c r="W27" s="1012"/>
      <c r="X27" s="1016">
        <v>0</v>
      </c>
      <c r="Y27" s="1012"/>
      <c r="Z27" s="1016">
        <v>0</v>
      </c>
      <c r="AA27" s="1012"/>
      <c r="AB27" s="1016">
        <v>15</v>
      </c>
      <c r="AC27" s="1012"/>
      <c r="AD27" s="1016">
        <v>15</v>
      </c>
      <c r="AE27" s="1012"/>
      <c r="AF27" s="1016">
        <v>0</v>
      </c>
      <c r="AG27" s="1017"/>
      <c r="AH27" s="1017"/>
      <c r="AI27" s="1017"/>
      <c r="AJ27" s="1018"/>
      <c r="AK27" s="1018">
        <f t="shared" si="89"/>
        <v>0</v>
      </c>
      <c r="AL27" s="1019"/>
      <c r="AM27" s="1014">
        <f t="shared" si="90"/>
        <v>0</v>
      </c>
      <c r="AN27" s="1012"/>
      <c r="AO27" s="1014">
        <f t="shared" si="91"/>
        <v>0</v>
      </c>
      <c r="AP27" s="1020"/>
      <c r="AQ27" s="1021"/>
      <c r="AR27" s="1022"/>
      <c r="AS27" s="1021"/>
      <c r="AT27" s="1011">
        <f t="shared" si="7"/>
        <v>0</v>
      </c>
      <c r="AU27" s="1023">
        <v>0</v>
      </c>
      <c r="AV27" s="1014">
        <f t="shared" si="8"/>
        <v>0</v>
      </c>
      <c r="AW27" s="1014">
        <f t="shared" si="9"/>
        <v>0</v>
      </c>
      <c r="AX27" s="1014">
        <f t="shared" si="9"/>
        <v>0</v>
      </c>
      <c r="AY27" s="1014">
        <f t="shared" si="9"/>
        <v>0</v>
      </c>
      <c r="AZ27" s="1014">
        <f t="shared" si="10"/>
        <v>0</v>
      </c>
      <c r="BA27" s="1024">
        <f t="shared" si="11"/>
        <v>0</v>
      </c>
      <c r="BB27" s="1024">
        <f t="shared" si="12"/>
        <v>0</v>
      </c>
      <c r="BC27" s="1024">
        <f t="shared" si="13"/>
        <v>0</v>
      </c>
      <c r="BD27" s="1024">
        <f t="shared" si="14"/>
        <v>0</v>
      </c>
      <c r="BE27" s="1024">
        <f t="shared" si="15"/>
        <v>0</v>
      </c>
      <c r="BF27" s="1014">
        <f t="shared" si="16"/>
        <v>0</v>
      </c>
      <c r="BG27" s="1014">
        <f t="shared" si="17"/>
        <v>0</v>
      </c>
      <c r="BH27" s="1011">
        <f t="shared" si="18"/>
        <v>0</v>
      </c>
      <c r="BI27" s="1011">
        <f t="shared" si="19"/>
        <v>0</v>
      </c>
      <c r="BJ27" s="1011">
        <f t="shared" si="20"/>
        <v>0</v>
      </c>
      <c r="BK27" s="1025"/>
      <c r="BL27" s="1026">
        <f t="shared" si="21"/>
        <v>0</v>
      </c>
      <c r="BM27" s="1027"/>
      <c r="BN27" s="1027"/>
      <c r="BO27" s="1027"/>
      <c r="BP27" s="1027"/>
      <c r="BQ27" s="1027"/>
      <c r="BR27" s="1028">
        <v>1.1072</v>
      </c>
      <c r="BS27" s="1011">
        <f t="shared" si="22"/>
        <v>0</v>
      </c>
      <c r="BT27" s="1023"/>
      <c r="BU27" s="1015">
        <f t="shared" si="23"/>
        <v>0</v>
      </c>
      <c r="BV27" s="1023"/>
      <c r="BW27" s="1015">
        <f t="shared" si="24"/>
        <v>0</v>
      </c>
      <c r="BX27" s="1023"/>
      <c r="BY27" s="1015">
        <f t="shared" si="25"/>
        <v>0</v>
      </c>
      <c r="BZ27" s="1023"/>
      <c r="CA27" s="1015">
        <f t="shared" si="26"/>
        <v>0</v>
      </c>
      <c r="CB27" s="1023"/>
      <c r="CC27" s="1015">
        <f t="shared" si="27"/>
        <v>0</v>
      </c>
      <c r="CD27" s="1011">
        <f t="shared" si="28"/>
        <v>0</v>
      </c>
      <c r="CE27" s="1023"/>
      <c r="CF27" s="1015">
        <f t="shared" si="29"/>
        <v>0</v>
      </c>
      <c r="CG27" s="1023"/>
      <c r="CH27" s="1015">
        <f t="shared" si="30"/>
        <v>0</v>
      </c>
      <c r="CI27" s="1011">
        <f t="shared" si="31"/>
        <v>0</v>
      </c>
      <c r="CJ27" s="1025"/>
      <c r="CK27" s="1011">
        <f t="shared" si="32"/>
        <v>0</v>
      </c>
      <c r="CL27" s="996"/>
      <c r="CM27" s="1029">
        <f t="shared" si="33"/>
        <v>0</v>
      </c>
      <c r="CN27" s="1029">
        <f t="shared" si="34"/>
        <v>0</v>
      </c>
      <c r="CO27" s="1029">
        <f t="shared" si="35"/>
        <v>0</v>
      </c>
      <c r="CP27" s="1029">
        <f t="shared" si="36"/>
        <v>0</v>
      </c>
      <c r="CQ27" s="1029">
        <f t="shared" si="37"/>
        <v>0</v>
      </c>
      <c r="CR27" s="1029">
        <f t="shared" si="38"/>
        <v>0</v>
      </c>
      <c r="CS27" s="1029">
        <f t="shared" si="39"/>
        <v>0</v>
      </c>
      <c r="CT27" s="1029">
        <f t="shared" si="40"/>
        <v>0</v>
      </c>
      <c r="CU27" s="1029">
        <f t="shared" si="41"/>
        <v>0</v>
      </c>
      <c r="CV27" s="1029">
        <f t="shared" si="42"/>
        <v>0</v>
      </c>
      <c r="CW27" s="1029">
        <f t="shared" si="43"/>
        <v>0</v>
      </c>
      <c r="CX27" s="1029">
        <f t="shared" si="44"/>
        <v>0</v>
      </c>
      <c r="CY27" s="1029">
        <f t="shared" si="45"/>
        <v>0</v>
      </c>
      <c r="CZ27" s="1029">
        <f t="shared" si="46"/>
        <v>0</v>
      </c>
      <c r="DA27" s="1029">
        <f t="shared" si="47"/>
        <v>0</v>
      </c>
      <c r="DB27" s="1029">
        <f t="shared" si="48"/>
        <v>0</v>
      </c>
      <c r="DC27" s="1030"/>
      <c r="DD27" s="1031">
        <f t="shared" si="49"/>
        <v>0.77697930000000004</v>
      </c>
      <c r="DE27" s="1029">
        <f t="shared" si="50"/>
        <v>0</v>
      </c>
      <c r="DF27" s="1029">
        <f t="shared" si="51"/>
        <v>0</v>
      </c>
      <c r="DG27" s="1029">
        <f t="shared" si="52"/>
        <v>0</v>
      </c>
      <c r="DH27" s="1029">
        <f t="shared" si="53"/>
        <v>0</v>
      </c>
      <c r="DI27" s="1029">
        <f t="shared" si="54"/>
        <v>0</v>
      </c>
      <c r="DJ27" s="1029">
        <f t="shared" si="55"/>
        <v>0</v>
      </c>
      <c r="DK27" s="1029">
        <f t="shared" si="56"/>
        <v>0</v>
      </c>
      <c r="DL27" s="1029">
        <f t="shared" si="57"/>
        <v>0</v>
      </c>
      <c r="DM27" s="1029">
        <f t="shared" si="58"/>
        <v>0</v>
      </c>
      <c r="DN27" s="1029">
        <f t="shared" si="59"/>
        <v>0</v>
      </c>
      <c r="DO27" s="1029">
        <f t="shared" si="60"/>
        <v>0</v>
      </c>
      <c r="DP27" s="1030"/>
      <c r="DQ27" s="1031">
        <f t="shared" si="61"/>
        <v>0.8162336</v>
      </c>
      <c r="DR27" s="1029">
        <f t="shared" si="62"/>
        <v>0</v>
      </c>
      <c r="DS27" s="1029">
        <f t="shared" si="63"/>
        <v>0</v>
      </c>
      <c r="DT27" s="1029">
        <f t="shared" si="64"/>
        <v>0</v>
      </c>
      <c r="DU27" s="1029">
        <f t="shared" si="65"/>
        <v>0</v>
      </c>
      <c r="DV27" s="1029">
        <f t="shared" si="66"/>
        <v>0</v>
      </c>
      <c r="DW27" s="1029">
        <f t="shared" si="67"/>
        <v>0</v>
      </c>
      <c r="DX27" s="1029">
        <f t="shared" si="68"/>
        <v>0</v>
      </c>
      <c r="DY27" s="1029">
        <f t="shared" si="69"/>
        <v>0</v>
      </c>
      <c r="DZ27" s="1029">
        <f t="shared" si="70"/>
        <v>0</v>
      </c>
      <c r="EA27" s="1029">
        <f t="shared" si="71"/>
        <v>0</v>
      </c>
      <c r="EB27" s="1029">
        <f t="shared" si="72"/>
        <v>0</v>
      </c>
      <c r="EC27" s="1030"/>
      <c r="ED27" s="1031">
        <f t="shared" si="73"/>
        <v>0.84891570000000005</v>
      </c>
      <c r="EE27" s="1029">
        <f t="shared" si="74"/>
        <v>0</v>
      </c>
      <c r="EF27" s="1029">
        <f t="shared" si="75"/>
        <v>0</v>
      </c>
      <c r="EG27" s="1029">
        <f t="shared" si="76"/>
        <v>0</v>
      </c>
      <c r="EH27" s="1029">
        <f t="shared" si="77"/>
        <v>0</v>
      </c>
      <c r="EI27" s="1029">
        <f t="shared" si="78"/>
        <v>0</v>
      </c>
      <c r="EJ27" s="1029">
        <f t="shared" si="79"/>
        <v>0</v>
      </c>
      <c r="EK27" s="1029">
        <f t="shared" si="80"/>
        <v>0</v>
      </c>
      <c r="EL27" s="1029">
        <f t="shared" si="81"/>
        <v>0</v>
      </c>
      <c r="EM27" s="1029">
        <f t="shared" si="82"/>
        <v>0</v>
      </c>
      <c r="EN27" s="1029">
        <f t="shared" si="83"/>
        <v>0</v>
      </c>
      <c r="EO27" s="1029">
        <f t="shared" si="84"/>
        <v>0</v>
      </c>
    </row>
    <row r="28" spans="1:145" ht="18.75" hidden="1" x14ac:dyDescent="0.25">
      <c r="A28" s="1010" t="s">
        <v>679</v>
      </c>
      <c r="B28" s="1011">
        <f t="shared" si="0"/>
        <v>0</v>
      </c>
      <c r="C28" s="1011">
        <f t="shared" si="1"/>
        <v>0</v>
      </c>
      <c r="D28" s="1012"/>
      <c r="E28" s="1012"/>
      <c r="F28" s="1012"/>
      <c r="G28" s="1012"/>
      <c r="H28" s="1012"/>
      <c r="I28" s="1012"/>
      <c r="J28" s="1012"/>
      <c r="K28" s="1013">
        <f t="shared" si="2"/>
        <v>0</v>
      </c>
      <c r="L28" s="1013">
        <f t="shared" si="3"/>
        <v>0</v>
      </c>
      <c r="M28" s="1013">
        <f t="shared" si="4"/>
        <v>0</v>
      </c>
      <c r="N28" s="1011">
        <f t="shared" si="85"/>
        <v>0</v>
      </c>
      <c r="O28" s="1012"/>
      <c r="P28" s="1014">
        <f t="shared" si="5"/>
        <v>0</v>
      </c>
      <c r="Q28" s="1015">
        <f t="shared" si="86"/>
        <v>0</v>
      </c>
      <c r="R28" s="1015">
        <f t="shared" si="86"/>
        <v>0</v>
      </c>
      <c r="S28" s="1015">
        <f t="shared" si="86"/>
        <v>0</v>
      </c>
      <c r="T28" s="1015">
        <f t="shared" si="87"/>
        <v>0</v>
      </c>
      <c r="U28" s="1011">
        <f t="shared" si="6"/>
        <v>0</v>
      </c>
      <c r="V28" s="1014">
        <f t="shared" si="88"/>
        <v>0</v>
      </c>
      <c r="W28" s="1012"/>
      <c r="X28" s="1016">
        <v>0</v>
      </c>
      <c r="Y28" s="1012"/>
      <c r="Z28" s="1016">
        <v>0</v>
      </c>
      <c r="AA28" s="1012"/>
      <c r="AB28" s="1016">
        <v>15</v>
      </c>
      <c r="AC28" s="1012"/>
      <c r="AD28" s="1016">
        <v>15</v>
      </c>
      <c r="AE28" s="1012"/>
      <c r="AF28" s="1016">
        <v>0</v>
      </c>
      <c r="AG28" s="1017"/>
      <c r="AH28" s="1017"/>
      <c r="AI28" s="1017"/>
      <c r="AJ28" s="1018"/>
      <c r="AK28" s="1018">
        <f t="shared" si="89"/>
        <v>0</v>
      </c>
      <c r="AL28" s="1019"/>
      <c r="AM28" s="1014">
        <f t="shared" si="90"/>
        <v>0</v>
      </c>
      <c r="AN28" s="1012"/>
      <c r="AO28" s="1014">
        <f t="shared" si="91"/>
        <v>0</v>
      </c>
      <c r="AP28" s="1020"/>
      <c r="AQ28" s="1021"/>
      <c r="AR28" s="1022"/>
      <c r="AS28" s="1021"/>
      <c r="AT28" s="1011">
        <f t="shared" si="7"/>
        <v>0</v>
      </c>
      <c r="AU28" s="1023">
        <v>0</v>
      </c>
      <c r="AV28" s="1014">
        <f t="shared" si="8"/>
        <v>0</v>
      </c>
      <c r="AW28" s="1014">
        <f t="shared" si="9"/>
        <v>0</v>
      </c>
      <c r="AX28" s="1014">
        <f t="shared" si="9"/>
        <v>0</v>
      </c>
      <c r="AY28" s="1014">
        <f t="shared" si="9"/>
        <v>0</v>
      </c>
      <c r="AZ28" s="1014">
        <f t="shared" si="10"/>
        <v>0</v>
      </c>
      <c r="BA28" s="1024">
        <f t="shared" si="11"/>
        <v>0</v>
      </c>
      <c r="BB28" s="1024">
        <f t="shared" si="12"/>
        <v>0</v>
      </c>
      <c r="BC28" s="1024">
        <f t="shared" si="13"/>
        <v>0</v>
      </c>
      <c r="BD28" s="1024">
        <f t="shared" si="14"/>
        <v>0</v>
      </c>
      <c r="BE28" s="1024">
        <f t="shared" si="15"/>
        <v>0</v>
      </c>
      <c r="BF28" s="1014">
        <f t="shared" si="16"/>
        <v>0</v>
      </c>
      <c r="BG28" s="1014">
        <f t="shared" si="17"/>
        <v>0</v>
      </c>
      <c r="BH28" s="1011">
        <f t="shared" si="18"/>
        <v>0</v>
      </c>
      <c r="BI28" s="1011">
        <f t="shared" si="19"/>
        <v>0</v>
      </c>
      <c r="BJ28" s="1011">
        <f t="shared" si="20"/>
        <v>0</v>
      </c>
      <c r="BK28" s="1025"/>
      <c r="BL28" s="1026">
        <f t="shared" si="21"/>
        <v>0</v>
      </c>
      <c r="BM28" s="1027"/>
      <c r="BN28" s="1027"/>
      <c r="BO28" s="1027"/>
      <c r="BP28" s="1027"/>
      <c r="BQ28" s="1027"/>
      <c r="BR28" s="1028">
        <v>1.1072</v>
      </c>
      <c r="BS28" s="1011">
        <f t="shared" si="22"/>
        <v>0</v>
      </c>
      <c r="BT28" s="1023"/>
      <c r="BU28" s="1015">
        <f t="shared" si="23"/>
        <v>0</v>
      </c>
      <c r="BV28" s="1023"/>
      <c r="BW28" s="1015">
        <f t="shared" si="24"/>
        <v>0</v>
      </c>
      <c r="BX28" s="1023"/>
      <c r="BY28" s="1015">
        <f t="shared" si="25"/>
        <v>0</v>
      </c>
      <c r="BZ28" s="1023"/>
      <c r="CA28" s="1015">
        <f t="shared" si="26"/>
        <v>0</v>
      </c>
      <c r="CB28" s="1023"/>
      <c r="CC28" s="1015">
        <f t="shared" si="27"/>
        <v>0</v>
      </c>
      <c r="CD28" s="1011">
        <f t="shared" si="28"/>
        <v>0</v>
      </c>
      <c r="CE28" s="1023"/>
      <c r="CF28" s="1015">
        <f t="shared" si="29"/>
        <v>0</v>
      </c>
      <c r="CG28" s="1023"/>
      <c r="CH28" s="1015">
        <f t="shared" si="30"/>
        <v>0</v>
      </c>
      <c r="CI28" s="1011">
        <f t="shared" si="31"/>
        <v>0</v>
      </c>
      <c r="CJ28" s="1025"/>
      <c r="CK28" s="1011">
        <f t="shared" si="32"/>
        <v>0</v>
      </c>
      <c r="CL28" s="996"/>
      <c r="CM28" s="1029">
        <f t="shared" si="33"/>
        <v>0</v>
      </c>
      <c r="CN28" s="1029">
        <f t="shared" si="34"/>
        <v>0</v>
      </c>
      <c r="CO28" s="1029">
        <f t="shared" si="35"/>
        <v>0</v>
      </c>
      <c r="CP28" s="1029">
        <f t="shared" si="36"/>
        <v>0</v>
      </c>
      <c r="CQ28" s="1029">
        <f t="shared" si="37"/>
        <v>0</v>
      </c>
      <c r="CR28" s="1029">
        <f t="shared" si="38"/>
        <v>0</v>
      </c>
      <c r="CS28" s="1029">
        <f t="shared" si="39"/>
        <v>0</v>
      </c>
      <c r="CT28" s="1029">
        <f t="shared" si="40"/>
        <v>0</v>
      </c>
      <c r="CU28" s="1029">
        <f t="shared" si="41"/>
        <v>0</v>
      </c>
      <c r="CV28" s="1029">
        <f t="shared" si="42"/>
        <v>0</v>
      </c>
      <c r="CW28" s="1029">
        <f t="shared" si="43"/>
        <v>0</v>
      </c>
      <c r="CX28" s="1029">
        <f t="shared" si="44"/>
        <v>0</v>
      </c>
      <c r="CY28" s="1029">
        <f t="shared" si="45"/>
        <v>0</v>
      </c>
      <c r="CZ28" s="1029">
        <f t="shared" si="46"/>
        <v>0</v>
      </c>
      <c r="DA28" s="1029">
        <f t="shared" si="47"/>
        <v>0</v>
      </c>
      <c r="DB28" s="1029">
        <f t="shared" si="48"/>
        <v>0</v>
      </c>
      <c r="DC28" s="1030"/>
      <c r="DD28" s="1031">
        <f t="shared" si="49"/>
        <v>0.77697930000000004</v>
      </c>
      <c r="DE28" s="1029">
        <f t="shared" si="50"/>
        <v>0</v>
      </c>
      <c r="DF28" s="1029">
        <f t="shared" si="51"/>
        <v>0</v>
      </c>
      <c r="DG28" s="1029">
        <f t="shared" si="52"/>
        <v>0</v>
      </c>
      <c r="DH28" s="1029">
        <f t="shared" si="53"/>
        <v>0</v>
      </c>
      <c r="DI28" s="1029">
        <f t="shared" si="54"/>
        <v>0</v>
      </c>
      <c r="DJ28" s="1029">
        <f t="shared" si="55"/>
        <v>0</v>
      </c>
      <c r="DK28" s="1029">
        <f t="shared" si="56"/>
        <v>0</v>
      </c>
      <c r="DL28" s="1029">
        <f t="shared" si="57"/>
        <v>0</v>
      </c>
      <c r="DM28" s="1029">
        <f t="shared" si="58"/>
        <v>0</v>
      </c>
      <c r="DN28" s="1029">
        <f t="shared" si="59"/>
        <v>0</v>
      </c>
      <c r="DO28" s="1029">
        <f t="shared" si="60"/>
        <v>0</v>
      </c>
      <c r="DP28" s="1030"/>
      <c r="DQ28" s="1031">
        <f t="shared" si="61"/>
        <v>0.8162336</v>
      </c>
      <c r="DR28" s="1029">
        <f t="shared" si="62"/>
        <v>0</v>
      </c>
      <c r="DS28" s="1029">
        <f t="shared" si="63"/>
        <v>0</v>
      </c>
      <c r="DT28" s="1029">
        <f t="shared" si="64"/>
        <v>0</v>
      </c>
      <c r="DU28" s="1029">
        <f t="shared" si="65"/>
        <v>0</v>
      </c>
      <c r="DV28" s="1029">
        <f t="shared" si="66"/>
        <v>0</v>
      </c>
      <c r="DW28" s="1029">
        <f t="shared" si="67"/>
        <v>0</v>
      </c>
      <c r="DX28" s="1029">
        <f t="shared" si="68"/>
        <v>0</v>
      </c>
      <c r="DY28" s="1029">
        <f t="shared" si="69"/>
        <v>0</v>
      </c>
      <c r="DZ28" s="1029">
        <f t="shared" si="70"/>
        <v>0</v>
      </c>
      <c r="EA28" s="1029">
        <f t="shared" si="71"/>
        <v>0</v>
      </c>
      <c r="EB28" s="1029">
        <f t="shared" si="72"/>
        <v>0</v>
      </c>
      <c r="EC28" s="1030"/>
      <c r="ED28" s="1031">
        <f t="shared" si="73"/>
        <v>0.84891570000000005</v>
      </c>
      <c r="EE28" s="1029">
        <f t="shared" si="74"/>
        <v>0</v>
      </c>
      <c r="EF28" s="1029">
        <f t="shared" si="75"/>
        <v>0</v>
      </c>
      <c r="EG28" s="1029">
        <f t="shared" si="76"/>
        <v>0</v>
      </c>
      <c r="EH28" s="1029">
        <f t="shared" si="77"/>
        <v>0</v>
      </c>
      <c r="EI28" s="1029">
        <f t="shared" si="78"/>
        <v>0</v>
      </c>
      <c r="EJ28" s="1029">
        <f t="shared" si="79"/>
        <v>0</v>
      </c>
      <c r="EK28" s="1029">
        <f t="shared" si="80"/>
        <v>0</v>
      </c>
      <c r="EL28" s="1029">
        <f t="shared" si="81"/>
        <v>0</v>
      </c>
      <c r="EM28" s="1029">
        <f t="shared" si="82"/>
        <v>0</v>
      </c>
      <c r="EN28" s="1029">
        <f t="shared" si="83"/>
        <v>0</v>
      </c>
      <c r="EO28" s="1029">
        <f t="shared" si="84"/>
        <v>0</v>
      </c>
    </row>
    <row r="29" spans="1:145" ht="18.75" hidden="1" x14ac:dyDescent="0.25">
      <c r="A29" s="1010" t="s">
        <v>680</v>
      </c>
      <c r="B29" s="1011">
        <f t="shared" si="0"/>
        <v>0</v>
      </c>
      <c r="C29" s="1011">
        <f t="shared" si="1"/>
        <v>0</v>
      </c>
      <c r="D29" s="1012"/>
      <c r="E29" s="1012"/>
      <c r="F29" s="1012"/>
      <c r="G29" s="1012"/>
      <c r="H29" s="1012"/>
      <c r="I29" s="1012"/>
      <c r="J29" s="1012"/>
      <c r="K29" s="1013">
        <f t="shared" si="2"/>
        <v>0</v>
      </c>
      <c r="L29" s="1013">
        <f t="shared" si="3"/>
        <v>0</v>
      </c>
      <c r="M29" s="1013">
        <f t="shared" si="4"/>
        <v>0</v>
      </c>
      <c r="N29" s="1011">
        <f t="shared" si="85"/>
        <v>0</v>
      </c>
      <c r="O29" s="1012"/>
      <c r="P29" s="1014">
        <f t="shared" si="5"/>
        <v>0</v>
      </c>
      <c r="Q29" s="1015">
        <f t="shared" si="86"/>
        <v>0</v>
      </c>
      <c r="R29" s="1015">
        <f t="shared" si="86"/>
        <v>0</v>
      </c>
      <c r="S29" s="1015">
        <f t="shared" si="86"/>
        <v>0</v>
      </c>
      <c r="T29" s="1015">
        <f t="shared" si="87"/>
        <v>0</v>
      </c>
      <c r="U29" s="1011">
        <f t="shared" si="6"/>
        <v>0</v>
      </c>
      <c r="V29" s="1014">
        <f t="shared" si="88"/>
        <v>0</v>
      </c>
      <c r="W29" s="1012"/>
      <c r="X29" s="1016">
        <v>0</v>
      </c>
      <c r="Y29" s="1012"/>
      <c r="Z29" s="1016">
        <v>0</v>
      </c>
      <c r="AA29" s="1012"/>
      <c r="AB29" s="1016">
        <v>15</v>
      </c>
      <c r="AC29" s="1012"/>
      <c r="AD29" s="1016">
        <v>15</v>
      </c>
      <c r="AE29" s="1012"/>
      <c r="AF29" s="1016">
        <v>0</v>
      </c>
      <c r="AG29" s="1017"/>
      <c r="AH29" s="1017"/>
      <c r="AI29" s="1017"/>
      <c r="AJ29" s="1018"/>
      <c r="AK29" s="1018">
        <f t="shared" si="89"/>
        <v>0</v>
      </c>
      <c r="AL29" s="1019"/>
      <c r="AM29" s="1014">
        <f t="shared" si="90"/>
        <v>0</v>
      </c>
      <c r="AN29" s="1012"/>
      <c r="AO29" s="1014">
        <f t="shared" si="91"/>
        <v>0</v>
      </c>
      <c r="AP29" s="1020"/>
      <c r="AQ29" s="1021"/>
      <c r="AR29" s="1022"/>
      <c r="AS29" s="1021"/>
      <c r="AT29" s="1011">
        <f t="shared" si="7"/>
        <v>0</v>
      </c>
      <c r="AU29" s="1023">
        <v>0</v>
      </c>
      <c r="AV29" s="1014">
        <f t="shared" si="8"/>
        <v>0</v>
      </c>
      <c r="AW29" s="1014">
        <f t="shared" si="9"/>
        <v>0</v>
      </c>
      <c r="AX29" s="1014">
        <f t="shared" si="9"/>
        <v>0</v>
      </c>
      <c r="AY29" s="1014">
        <f t="shared" si="9"/>
        <v>0</v>
      </c>
      <c r="AZ29" s="1014">
        <f t="shared" si="10"/>
        <v>0</v>
      </c>
      <c r="BA29" s="1024">
        <f t="shared" si="11"/>
        <v>0</v>
      </c>
      <c r="BB29" s="1024">
        <f t="shared" si="12"/>
        <v>0</v>
      </c>
      <c r="BC29" s="1024">
        <f t="shared" si="13"/>
        <v>0</v>
      </c>
      <c r="BD29" s="1024">
        <f t="shared" si="14"/>
        <v>0</v>
      </c>
      <c r="BE29" s="1024">
        <f t="shared" si="15"/>
        <v>0</v>
      </c>
      <c r="BF29" s="1014">
        <f t="shared" si="16"/>
        <v>0</v>
      </c>
      <c r="BG29" s="1014">
        <f t="shared" si="17"/>
        <v>0</v>
      </c>
      <c r="BH29" s="1011">
        <f t="shared" si="18"/>
        <v>0</v>
      </c>
      <c r="BI29" s="1011">
        <f t="shared" si="19"/>
        <v>0</v>
      </c>
      <c r="BJ29" s="1011">
        <f t="shared" si="20"/>
        <v>0</v>
      </c>
      <c r="BK29" s="1025"/>
      <c r="BL29" s="1026">
        <f t="shared" si="21"/>
        <v>0</v>
      </c>
      <c r="BM29" s="1027"/>
      <c r="BN29" s="1027"/>
      <c r="BO29" s="1027"/>
      <c r="BP29" s="1027"/>
      <c r="BQ29" s="1027"/>
      <c r="BR29" s="1028">
        <v>1.1072</v>
      </c>
      <c r="BS29" s="1011">
        <f t="shared" si="22"/>
        <v>0</v>
      </c>
      <c r="BT29" s="1023"/>
      <c r="BU29" s="1015">
        <f t="shared" si="23"/>
        <v>0</v>
      </c>
      <c r="BV29" s="1023"/>
      <c r="BW29" s="1015">
        <f t="shared" si="24"/>
        <v>0</v>
      </c>
      <c r="BX29" s="1023"/>
      <c r="BY29" s="1015">
        <f t="shared" si="25"/>
        <v>0</v>
      </c>
      <c r="BZ29" s="1023"/>
      <c r="CA29" s="1015">
        <f t="shared" si="26"/>
        <v>0</v>
      </c>
      <c r="CB29" s="1023"/>
      <c r="CC29" s="1015">
        <f t="shared" si="27"/>
        <v>0</v>
      </c>
      <c r="CD29" s="1011">
        <f t="shared" si="28"/>
        <v>0</v>
      </c>
      <c r="CE29" s="1023"/>
      <c r="CF29" s="1015">
        <f t="shared" si="29"/>
        <v>0</v>
      </c>
      <c r="CG29" s="1023"/>
      <c r="CH29" s="1015">
        <f t="shared" si="30"/>
        <v>0</v>
      </c>
      <c r="CI29" s="1011">
        <f t="shared" si="31"/>
        <v>0</v>
      </c>
      <c r="CJ29" s="1025"/>
      <c r="CK29" s="1011">
        <f t="shared" si="32"/>
        <v>0</v>
      </c>
      <c r="CL29" s="996"/>
      <c r="CM29" s="1029">
        <f t="shared" si="33"/>
        <v>0</v>
      </c>
      <c r="CN29" s="1029">
        <f t="shared" si="34"/>
        <v>0</v>
      </c>
      <c r="CO29" s="1029">
        <f t="shared" si="35"/>
        <v>0</v>
      </c>
      <c r="CP29" s="1029">
        <f t="shared" si="36"/>
        <v>0</v>
      </c>
      <c r="CQ29" s="1029">
        <f t="shared" si="37"/>
        <v>0</v>
      </c>
      <c r="CR29" s="1029">
        <f t="shared" si="38"/>
        <v>0</v>
      </c>
      <c r="CS29" s="1029">
        <f t="shared" si="39"/>
        <v>0</v>
      </c>
      <c r="CT29" s="1029">
        <f t="shared" si="40"/>
        <v>0</v>
      </c>
      <c r="CU29" s="1029">
        <f t="shared" si="41"/>
        <v>0</v>
      </c>
      <c r="CV29" s="1029">
        <f t="shared" si="42"/>
        <v>0</v>
      </c>
      <c r="CW29" s="1029">
        <f t="shared" si="43"/>
        <v>0</v>
      </c>
      <c r="CX29" s="1029">
        <f t="shared" si="44"/>
        <v>0</v>
      </c>
      <c r="CY29" s="1029">
        <f t="shared" si="45"/>
        <v>0</v>
      </c>
      <c r="CZ29" s="1029">
        <f t="shared" si="46"/>
        <v>0</v>
      </c>
      <c r="DA29" s="1029">
        <f t="shared" si="47"/>
        <v>0</v>
      </c>
      <c r="DB29" s="1029">
        <f t="shared" si="48"/>
        <v>0</v>
      </c>
      <c r="DC29" s="1030"/>
      <c r="DD29" s="1031">
        <f t="shared" si="49"/>
        <v>0.77697930000000004</v>
      </c>
      <c r="DE29" s="1029">
        <f t="shared" si="50"/>
        <v>0</v>
      </c>
      <c r="DF29" s="1029">
        <f t="shared" si="51"/>
        <v>0</v>
      </c>
      <c r="DG29" s="1029">
        <f t="shared" si="52"/>
        <v>0</v>
      </c>
      <c r="DH29" s="1029">
        <f t="shared" si="53"/>
        <v>0</v>
      </c>
      <c r="DI29" s="1029">
        <f t="shared" si="54"/>
        <v>0</v>
      </c>
      <c r="DJ29" s="1029">
        <f t="shared" si="55"/>
        <v>0</v>
      </c>
      <c r="DK29" s="1029">
        <f t="shared" si="56"/>
        <v>0</v>
      </c>
      <c r="DL29" s="1029">
        <f t="shared" si="57"/>
        <v>0</v>
      </c>
      <c r="DM29" s="1029">
        <f t="shared" si="58"/>
        <v>0</v>
      </c>
      <c r="DN29" s="1029">
        <f t="shared" si="59"/>
        <v>0</v>
      </c>
      <c r="DO29" s="1029">
        <f t="shared" si="60"/>
        <v>0</v>
      </c>
      <c r="DP29" s="1030"/>
      <c r="DQ29" s="1031">
        <f t="shared" si="61"/>
        <v>0.8162336</v>
      </c>
      <c r="DR29" s="1029">
        <f t="shared" si="62"/>
        <v>0</v>
      </c>
      <c r="DS29" s="1029">
        <f t="shared" si="63"/>
        <v>0</v>
      </c>
      <c r="DT29" s="1029">
        <f t="shared" si="64"/>
        <v>0</v>
      </c>
      <c r="DU29" s="1029">
        <f t="shared" si="65"/>
        <v>0</v>
      </c>
      <c r="DV29" s="1029">
        <f t="shared" si="66"/>
        <v>0</v>
      </c>
      <c r="DW29" s="1029">
        <f t="shared" si="67"/>
        <v>0</v>
      </c>
      <c r="DX29" s="1029">
        <f t="shared" si="68"/>
        <v>0</v>
      </c>
      <c r="DY29" s="1029">
        <f t="shared" si="69"/>
        <v>0</v>
      </c>
      <c r="DZ29" s="1029">
        <f t="shared" si="70"/>
        <v>0</v>
      </c>
      <c r="EA29" s="1029">
        <f t="shared" si="71"/>
        <v>0</v>
      </c>
      <c r="EB29" s="1029">
        <f t="shared" si="72"/>
        <v>0</v>
      </c>
      <c r="EC29" s="1030"/>
      <c r="ED29" s="1031">
        <f t="shared" si="73"/>
        <v>0.84891570000000005</v>
      </c>
      <c r="EE29" s="1029">
        <f t="shared" si="74"/>
        <v>0</v>
      </c>
      <c r="EF29" s="1029">
        <f t="shared" si="75"/>
        <v>0</v>
      </c>
      <c r="EG29" s="1029">
        <f t="shared" si="76"/>
        <v>0</v>
      </c>
      <c r="EH29" s="1029">
        <f t="shared" si="77"/>
        <v>0</v>
      </c>
      <c r="EI29" s="1029">
        <f t="shared" si="78"/>
        <v>0</v>
      </c>
      <c r="EJ29" s="1029">
        <f t="shared" si="79"/>
        <v>0</v>
      </c>
      <c r="EK29" s="1029">
        <f t="shared" si="80"/>
        <v>0</v>
      </c>
      <c r="EL29" s="1029">
        <f t="shared" si="81"/>
        <v>0</v>
      </c>
      <c r="EM29" s="1029">
        <f t="shared" si="82"/>
        <v>0</v>
      </c>
      <c r="EN29" s="1029">
        <f t="shared" si="83"/>
        <v>0</v>
      </c>
      <c r="EO29" s="1029">
        <f t="shared" si="84"/>
        <v>0</v>
      </c>
    </row>
    <row r="30" spans="1:145" ht="18.75" hidden="1" x14ac:dyDescent="0.25">
      <c r="A30" s="1010" t="s">
        <v>681</v>
      </c>
      <c r="B30" s="1011">
        <f t="shared" si="0"/>
        <v>0</v>
      </c>
      <c r="C30" s="1011">
        <f t="shared" si="1"/>
        <v>0</v>
      </c>
      <c r="D30" s="1012"/>
      <c r="E30" s="1012"/>
      <c r="F30" s="1012"/>
      <c r="G30" s="1012"/>
      <c r="H30" s="1012"/>
      <c r="I30" s="1012"/>
      <c r="J30" s="1012"/>
      <c r="K30" s="1013">
        <f t="shared" si="2"/>
        <v>0</v>
      </c>
      <c r="L30" s="1013">
        <f t="shared" si="3"/>
        <v>0</v>
      </c>
      <c r="M30" s="1013">
        <f t="shared" si="4"/>
        <v>0</v>
      </c>
      <c r="N30" s="1011">
        <f t="shared" si="85"/>
        <v>0</v>
      </c>
      <c r="O30" s="1012"/>
      <c r="P30" s="1014">
        <f t="shared" si="5"/>
        <v>0</v>
      </c>
      <c r="Q30" s="1015">
        <f t="shared" si="86"/>
        <v>0</v>
      </c>
      <c r="R30" s="1015">
        <f t="shared" si="86"/>
        <v>0</v>
      </c>
      <c r="S30" s="1015">
        <f t="shared" si="86"/>
        <v>0</v>
      </c>
      <c r="T30" s="1015">
        <f t="shared" si="87"/>
        <v>0</v>
      </c>
      <c r="U30" s="1011">
        <f t="shared" si="6"/>
        <v>0</v>
      </c>
      <c r="V30" s="1014">
        <f t="shared" si="88"/>
        <v>0</v>
      </c>
      <c r="W30" s="1012"/>
      <c r="X30" s="1016">
        <v>0</v>
      </c>
      <c r="Y30" s="1012"/>
      <c r="Z30" s="1016">
        <v>0</v>
      </c>
      <c r="AA30" s="1012"/>
      <c r="AB30" s="1016">
        <v>15</v>
      </c>
      <c r="AC30" s="1012"/>
      <c r="AD30" s="1016">
        <v>15</v>
      </c>
      <c r="AE30" s="1012"/>
      <c r="AF30" s="1016">
        <v>0</v>
      </c>
      <c r="AG30" s="1017"/>
      <c r="AH30" s="1017"/>
      <c r="AI30" s="1017"/>
      <c r="AJ30" s="1018"/>
      <c r="AK30" s="1018">
        <f t="shared" si="89"/>
        <v>0</v>
      </c>
      <c r="AL30" s="1019"/>
      <c r="AM30" s="1014">
        <f t="shared" si="90"/>
        <v>0</v>
      </c>
      <c r="AN30" s="1012"/>
      <c r="AO30" s="1014">
        <f t="shared" si="91"/>
        <v>0</v>
      </c>
      <c r="AP30" s="1020"/>
      <c r="AQ30" s="1021"/>
      <c r="AR30" s="1022"/>
      <c r="AS30" s="1021"/>
      <c r="AT30" s="1011">
        <f t="shared" si="7"/>
        <v>0</v>
      </c>
      <c r="AU30" s="1023">
        <v>0</v>
      </c>
      <c r="AV30" s="1014">
        <f t="shared" si="8"/>
        <v>0</v>
      </c>
      <c r="AW30" s="1014">
        <f t="shared" si="9"/>
        <v>0</v>
      </c>
      <c r="AX30" s="1014">
        <f t="shared" si="9"/>
        <v>0</v>
      </c>
      <c r="AY30" s="1014">
        <f t="shared" si="9"/>
        <v>0</v>
      </c>
      <c r="AZ30" s="1014">
        <f t="shared" si="10"/>
        <v>0</v>
      </c>
      <c r="BA30" s="1024">
        <f t="shared" si="11"/>
        <v>0</v>
      </c>
      <c r="BB30" s="1024">
        <f t="shared" si="12"/>
        <v>0</v>
      </c>
      <c r="BC30" s="1024">
        <f t="shared" si="13"/>
        <v>0</v>
      </c>
      <c r="BD30" s="1024">
        <f t="shared" si="14"/>
        <v>0</v>
      </c>
      <c r="BE30" s="1024">
        <f t="shared" si="15"/>
        <v>0</v>
      </c>
      <c r="BF30" s="1014">
        <f t="shared" si="16"/>
        <v>0</v>
      </c>
      <c r="BG30" s="1014">
        <f t="shared" si="17"/>
        <v>0</v>
      </c>
      <c r="BH30" s="1011">
        <f t="shared" si="18"/>
        <v>0</v>
      </c>
      <c r="BI30" s="1011">
        <f t="shared" si="19"/>
        <v>0</v>
      </c>
      <c r="BJ30" s="1011">
        <f t="shared" si="20"/>
        <v>0</v>
      </c>
      <c r="BK30" s="1025"/>
      <c r="BL30" s="1026">
        <f t="shared" si="21"/>
        <v>0</v>
      </c>
      <c r="BM30" s="1027"/>
      <c r="BN30" s="1027"/>
      <c r="BO30" s="1027"/>
      <c r="BP30" s="1027"/>
      <c r="BQ30" s="1027"/>
      <c r="BR30" s="1028">
        <v>1.1072</v>
      </c>
      <c r="BS30" s="1011">
        <f t="shared" si="22"/>
        <v>0</v>
      </c>
      <c r="BT30" s="1023"/>
      <c r="BU30" s="1015">
        <f t="shared" si="23"/>
        <v>0</v>
      </c>
      <c r="BV30" s="1023"/>
      <c r="BW30" s="1015">
        <f t="shared" si="24"/>
        <v>0</v>
      </c>
      <c r="BX30" s="1023"/>
      <c r="BY30" s="1015">
        <f t="shared" si="25"/>
        <v>0</v>
      </c>
      <c r="BZ30" s="1023"/>
      <c r="CA30" s="1015">
        <f t="shared" si="26"/>
        <v>0</v>
      </c>
      <c r="CB30" s="1023"/>
      <c r="CC30" s="1015">
        <f t="shared" si="27"/>
        <v>0</v>
      </c>
      <c r="CD30" s="1011">
        <f t="shared" si="28"/>
        <v>0</v>
      </c>
      <c r="CE30" s="1023"/>
      <c r="CF30" s="1015">
        <f t="shared" si="29"/>
        <v>0</v>
      </c>
      <c r="CG30" s="1023"/>
      <c r="CH30" s="1015">
        <f t="shared" si="30"/>
        <v>0</v>
      </c>
      <c r="CI30" s="1011">
        <f t="shared" si="31"/>
        <v>0</v>
      </c>
      <c r="CJ30" s="1025"/>
      <c r="CK30" s="1011">
        <f t="shared" si="32"/>
        <v>0</v>
      </c>
      <c r="CL30" s="996"/>
      <c r="CM30" s="1029">
        <f t="shared" si="33"/>
        <v>0</v>
      </c>
      <c r="CN30" s="1029">
        <f t="shared" si="34"/>
        <v>0</v>
      </c>
      <c r="CO30" s="1029">
        <f t="shared" si="35"/>
        <v>0</v>
      </c>
      <c r="CP30" s="1029">
        <f t="shared" si="36"/>
        <v>0</v>
      </c>
      <c r="CQ30" s="1029">
        <f t="shared" si="37"/>
        <v>0</v>
      </c>
      <c r="CR30" s="1029">
        <f t="shared" si="38"/>
        <v>0</v>
      </c>
      <c r="CS30" s="1029">
        <f t="shared" si="39"/>
        <v>0</v>
      </c>
      <c r="CT30" s="1029">
        <f t="shared" si="40"/>
        <v>0</v>
      </c>
      <c r="CU30" s="1029">
        <f t="shared" si="41"/>
        <v>0</v>
      </c>
      <c r="CV30" s="1029">
        <f t="shared" si="42"/>
        <v>0</v>
      </c>
      <c r="CW30" s="1029">
        <f t="shared" si="43"/>
        <v>0</v>
      </c>
      <c r="CX30" s="1029">
        <f t="shared" si="44"/>
        <v>0</v>
      </c>
      <c r="CY30" s="1029">
        <f t="shared" si="45"/>
        <v>0</v>
      </c>
      <c r="CZ30" s="1029">
        <f t="shared" si="46"/>
        <v>0</v>
      </c>
      <c r="DA30" s="1029">
        <f t="shared" si="47"/>
        <v>0</v>
      </c>
      <c r="DB30" s="1029">
        <f t="shared" si="48"/>
        <v>0</v>
      </c>
      <c r="DC30" s="1030"/>
      <c r="DD30" s="1031">
        <f t="shared" si="49"/>
        <v>0.77697930000000004</v>
      </c>
      <c r="DE30" s="1029">
        <f t="shared" si="50"/>
        <v>0</v>
      </c>
      <c r="DF30" s="1029">
        <f t="shared" si="51"/>
        <v>0</v>
      </c>
      <c r="DG30" s="1029">
        <f t="shared" si="52"/>
        <v>0</v>
      </c>
      <c r="DH30" s="1029">
        <f t="shared" si="53"/>
        <v>0</v>
      </c>
      <c r="DI30" s="1029">
        <f t="shared" si="54"/>
        <v>0</v>
      </c>
      <c r="DJ30" s="1029">
        <f t="shared" si="55"/>
        <v>0</v>
      </c>
      <c r="DK30" s="1029">
        <f t="shared" si="56"/>
        <v>0</v>
      </c>
      <c r="DL30" s="1029">
        <f t="shared" si="57"/>
        <v>0</v>
      </c>
      <c r="DM30" s="1029">
        <f t="shared" si="58"/>
        <v>0</v>
      </c>
      <c r="DN30" s="1029">
        <f t="shared" si="59"/>
        <v>0</v>
      </c>
      <c r="DO30" s="1029">
        <f t="shared" si="60"/>
        <v>0</v>
      </c>
      <c r="DP30" s="1030"/>
      <c r="DQ30" s="1031">
        <f t="shared" si="61"/>
        <v>0.8162336</v>
      </c>
      <c r="DR30" s="1029">
        <f t="shared" si="62"/>
        <v>0</v>
      </c>
      <c r="DS30" s="1029">
        <f t="shared" si="63"/>
        <v>0</v>
      </c>
      <c r="DT30" s="1029">
        <f t="shared" si="64"/>
        <v>0</v>
      </c>
      <c r="DU30" s="1029">
        <f t="shared" si="65"/>
        <v>0</v>
      </c>
      <c r="DV30" s="1029">
        <f t="shared" si="66"/>
        <v>0</v>
      </c>
      <c r="DW30" s="1029">
        <f t="shared" si="67"/>
        <v>0</v>
      </c>
      <c r="DX30" s="1029">
        <f t="shared" si="68"/>
        <v>0</v>
      </c>
      <c r="DY30" s="1029">
        <f t="shared" si="69"/>
        <v>0</v>
      </c>
      <c r="DZ30" s="1029">
        <f t="shared" si="70"/>
        <v>0</v>
      </c>
      <c r="EA30" s="1029">
        <f t="shared" si="71"/>
        <v>0</v>
      </c>
      <c r="EB30" s="1029">
        <f t="shared" si="72"/>
        <v>0</v>
      </c>
      <c r="EC30" s="1030"/>
      <c r="ED30" s="1031">
        <f t="shared" si="73"/>
        <v>0.84891570000000005</v>
      </c>
      <c r="EE30" s="1029">
        <f t="shared" si="74"/>
        <v>0</v>
      </c>
      <c r="EF30" s="1029">
        <f t="shared" si="75"/>
        <v>0</v>
      </c>
      <c r="EG30" s="1029">
        <f t="shared" si="76"/>
        <v>0</v>
      </c>
      <c r="EH30" s="1029">
        <f t="shared" si="77"/>
        <v>0</v>
      </c>
      <c r="EI30" s="1029">
        <f t="shared" si="78"/>
        <v>0</v>
      </c>
      <c r="EJ30" s="1029">
        <f t="shared" si="79"/>
        <v>0</v>
      </c>
      <c r="EK30" s="1029">
        <f t="shared" si="80"/>
        <v>0</v>
      </c>
      <c r="EL30" s="1029">
        <f t="shared" si="81"/>
        <v>0</v>
      </c>
      <c r="EM30" s="1029">
        <f t="shared" si="82"/>
        <v>0</v>
      </c>
      <c r="EN30" s="1029">
        <f t="shared" si="83"/>
        <v>0</v>
      </c>
      <c r="EO30" s="1029">
        <f t="shared" si="84"/>
        <v>0</v>
      </c>
    </row>
    <row r="31" spans="1:145" ht="18.75" hidden="1" x14ac:dyDescent="0.25">
      <c r="A31" s="1010" t="s">
        <v>682</v>
      </c>
      <c r="B31" s="1011">
        <f t="shared" si="0"/>
        <v>0</v>
      </c>
      <c r="C31" s="1011">
        <f t="shared" si="1"/>
        <v>0</v>
      </c>
      <c r="D31" s="1012"/>
      <c r="E31" s="1012"/>
      <c r="F31" s="1012"/>
      <c r="G31" s="1012"/>
      <c r="H31" s="1012"/>
      <c r="I31" s="1012"/>
      <c r="J31" s="1012"/>
      <c r="K31" s="1013">
        <f t="shared" si="2"/>
        <v>0</v>
      </c>
      <c r="L31" s="1013">
        <f t="shared" si="3"/>
        <v>0</v>
      </c>
      <c r="M31" s="1013">
        <f t="shared" si="4"/>
        <v>0</v>
      </c>
      <c r="N31" s="1011">
        <f t="shared" si="85"/>
        <v>0</v>
      </c>
      <c r="O31" s="1012"/>
      <c r="P31" s="1014">
        <f t="shared" si="5"/>
        <v>0</v>
      </c>
      <c r="Q31" s="1015">
        <f t="shared" si="86"/>
        <v>0</v>
      </c>
      <c r="R31" s="1015">
        <f t="shared" si="86"/>
        <v>0</v>
      </c>
      <c r="S31" s="1015">
        <f t="shared" si="86"/>
        <v>0</v>
      </c>
      <c r="T31" s="1015">
        <f t="shared" si="87"/>
        <v>0</v>
      </c>
      <c r="U31" s="1011">
        <f t="shared" si="6"/>
        <v>0</v>
      </c>
      <c r="V31" s="1014">
        <f t="shared" si="88"/>
        <v>0</v>
      </c>
      <c r="W31" s="1012"/>
      <c r="X31" s="1016">
        <v>0</v>
      </c>
      <c r="Y31" s="1012"/>
      <c r="Z31" s="1016">
        <v>0</v>
      </c>
      <c r="AA31" s="1012"/>
      <c r="AB31" s="1016">
        <v>15</v>
      </c>
      <c r="AC31" s="1012"/>
      <c r="AD31" s="1016">
        <v>15</v>
      </c>
      <c r="AE31" s="1012"/>
      <c r="AF31" s="1016">
        <v>0</v>
      </c>
      <c r="AG31" s="1017"/>
      <c r="AH31" s="1017"/>
      <c r="AI31" s="1017"/>
      <c r="AJ31" s="1018"/>
      <c r="AK31" s="1018">
        <f t="shared" si="89"/>
        <v>0</v>
      </c>
      <c r="AL31" s="1019"/>
      <c r="AM31" s="1014">
        <f t="shared" si="90"/>
        <v>0</v>
      </c>
      <c r="AN31" s="1012"/>
      <c r="AO31" s="1014">
        <f t="shared" si="91"/>
        <v>0</v>
      </c>
      <c r="AP31" s="1020"/>
      <c r="AQ31" s="1021"/>
      <c r="AR31" s="1022"/>
      <c r="AS31" s="1021"/>
      <c r="AT31" s="1011">
        <f t="shared" si="7"/>
        <v>0</v>
      </c>
      <c r="AU31" s="1023">
        <v>0</v>
      </c>
      <c r="AV31" s="1014">
        <f t="shared" si="8"/>
        <v>0</v>
      </c>
      <c r="AW31" s="1014">
        <f t="shared" si="9"/>
        <v>0</v>
      </c>
      <c r="AX31" s="1014">
        <f t="shared" si="9"/>
        <v>0</v>
      </c>
      <c r="AY31" s="1014">
        <f t="shared" si="9"/>
        <v>0</v>
      </c>
      <c r="AZ31" s="1014">
        <f t="shared" si="10"/>
        <v>0</v>
      </c>
      <c r="BA31" s="1024">
        <f t="shared" si="11"/>
        <v>0</v>
      </c>
      <c r="BB31" s="1024">
        <f t="shared" si="12"/>
        <v>0</v>
      </c>
      <c r="BC31" s="1024">
        <f t="shared" si="13"/>
        <v>0</v>
      </c>
      <c r="BD31" s="1024">
        <f t="shared" si="14"/>
        <v>0</v>
      </c>
      <c r="BE31" s="1024">
        <f t="shared" si="15"/>
        <v>0</v>
      </c>
      <c r="BF31" s="1014">
        <f t="shared" si="16"/>
        <v>0</v>
      </c>
      <c r="BG31" s="1014">
        <f t="shared" si="17"/>
        <v>0</v>
      </c>
      <c r="BH31" s="1011">
        <f t="shared" si="18"/>
        <v>0</v>
      </c>
      <c r="BI31" s="1011">
        <f t="shared" si="19"/>
        <v>0</v>
      </c>
      <c r="BJ31" s="1011">
        <f t="shared" si="20"/>
        <v>0</v>
      </c>
      <c r="BK31" s="1025"/>
      <c r="BL31" s="1026">
        <f t="shared" si="21"/>
        <v>0</v>
      </c>
      <c r="BM31" s="1027"/>
      <c r="BN31" s="1027"/>
      <c r="BO31" s="1027"/>
      <c r="BP31" s="1027"/>
      <c r="BQ31" s="1027"/>
      <c r="BR31" s="1028">
        <v>1.1072</v>
      </c>
      <c r="BS31" s="1011">
        <f t="shared" si="22"/>
        <v>0</v>
      </c>
      <c r="BT31" s="1023"/>
      <c r="BU31" s="1015">
        <f t="shared" si="23"/>
        <v>0</v>
      </c>
      <c r="BV31" s="1023"/>
      <c r="BW31" s="1015">
        <f t="shared" si="24"/>
        <v>0</v>
      </c>
      <c r="BX31" s="1023"/>
      <c r="BY31" s="1015">
        <f t="shared" si="25"/>
        <v>0</v>
      </c>
      <c r="BZ31" s="1023"/>
      <c r="CA31" s="1015">
        <f t="shared" si="26"/>
        <v>0</v>
      </c>
      <c r="CB31" s="1023"/>
      <c r="CC31" s="1015">
        <f t="shared" si="27"/>
        <v>0</v>
      </c>
      <c r="CD31" s="1011">
        <f t="shared" si="28"/>
        <v>0</v>
      </c>
      <c r="CE31" s="1023"/>
      <c r="CF31" s="1015">
        <f t="shared" si="29"/>
        <v>0</v>
      </c>
      <c r="CG31" s="1023"/>
      <c r="CH31" s="1015">
        <f t="shared" si="30"/>
        <v>0</v>
      </c>
      <c r="CI31" s="1011">
        <f t="shared" si="31"/>
        <v>0</v>
      </c>
      <c r="CJ31" s="1025"/>
      <c r="CK31" s="1011">
        <f t="shared" si="32"/>
        <v>0</v>
      </c>
      <c r="CL31" s="996"/>
      <c r="CM31" s="1029">
        <f t="shared" si="33"/>
        <v>0</v>
      </c>
      <c r="CN31" s="1029">
        <f t="shared" si="34"/>
        <v>0</v>
      </c>
      <c r="CO31" s="1029">
        <f t="shared" si="35"/>
        <v>0</v>
      </c>
      <c r="CP31" s="1029">
        <f t="shared" si="36"/>
        <v>0</v>
      </c>
      <c r="CQ31" s="1029">
        <f t="shared" si="37"/>
        <v>0</v>
      </c>
      <c r="CR31" s="1029">
        <f t="shared" si="38"/>
        <v>0</v>
      </c>
      <c r="CS31" s="1029">
        <f t="shared" si="39"/>
        <v>0</v>
      </c>
      <c r="CT31" s="1029">
        <f t="shared" si="40"/>
        <v>0</v>
      </c>
      <c r="CU31" s="1029">
        <f t="shared" si="41"/>
        <v>0</v>
      </c>
      <c r="CV31" s="1029">
        <f t="shared" si="42"/>
        <v>0</v>
      </c>
      <c r="CW31" s="1029">
        <f t="shared" si="43"/>
        <v>0</v>
      </c>
      <c r="CX31" s="1029">
        <f t="shared" si="44"/>
        <v>0</v>
      </c>
      <c r="CY31" s="1029">
        <f t="shared" si="45"/>
        <v>0</v>
      </c>
      <c r="CZ31" s="1029">
        <f t="shared" si="46"/>
        <v>0</v>
      </c>
      <c r="DA31" s="1029">
        <f t="shared" si="47"/>
        <v>0</v>
      </c>
      <c r="DB31" s="1029">
        <f t="shared" si="48"/>
        <v>0</v>
      </c>
      <c r="DC31" s="1030"/>
      <c r="DD31" s="1031">
        <f t="shared" si="49"/>
        <v>0.77697930000000004</v>
      </c>
      <c r="DE31" s="1029">
        <f t="shared" si="50"/>
        <v>0</v>
      </c>
      <c r="DF31" s="1029">
        <f t="shared" si="51"/>
        <v>0</v>
      </c>
      <c r="DG31" s="1029">
        <f t="shared" si="52"/>
        <v>0</v>
      </c>
      <c r="DH31" s="1029">
        <f t="shared" si="53"/>
        <v>0</v>
      </c>
      <c r="DI31" s="1029">
        <f t="shared" si="54"/>
        <v>0</v>
      </c>
      <c r="DJ31" s="1029">
        <f t="shared" si="55"/>
        <v>0</v>
      </c>
      <c r="DK31" s="1029">
        <f t="shared" si="56"/>
        <v>0</v>
      </c>
      <c r="DL31" s="1029">
        <f t="shared" si="57"/>
        <v>0</v>
      </c>
      <c r="DM31" s="1029">
        <f t="shared" si="58"/>
        <v>0</v>
      </c>
      <c r="DN31" s="1029">
        <f t="shared" si="59"/>
        <v>0</v>
      </c>
      <c r="DO31" s="1029">
        <f t="shared" si="60"/>
        <v>0</v>
      </c>
      <c r="DP31" s="1030"/>
      <c r="DQ31" s="1031">
        <f t="shared" si="61"/>
        <v>0.8162336</v>
      </c>
      <c r="DR31" s="1029">
        <f t="shared" si="62"/>
        <v>0</v>
      </c>
      <c r="DS31" s="1029">
        <f t="shared" si="63"/>
        <v>0</v>
      </c>
      <c r="DT31" s="1029">
        <f t="shared" si="64"/>
        <v>0</v>
      </c>
      <c r="DU31" s="1029">
        <f t="shared" si="65"/>
        <v>0</v>
      </c>
      <c r="DV31" s="1029">
        <f t="shared" si="66"/>
        <v>0</v>
      </c>
      <c r="DW31" s="1029">
        <f t="shared" si="67"/>
        <v>0</v>
      </c>
      <c r="DX31" s="1029">
        <f t="shared" si="68"/>
        <v>0</v>
      </c>
      <c r="DY31" s="1029">
        <f t="shared" si="69"/>
        <v>0</v>
      </c>
      <c r="DZ31" s="1029">
        <f t="shared" si="70"/>
        <v>0</v>
      </c>
      <c r="EA31" s="1029">
        <f t="shared" si="71"/>
        <v>0</v>
      </c>
      <c r="EB31" s="1029">
        <f t="shared" si="72"/>
        <v>0</v>
      </c>
      <c r="EC31" s="1030"/>
      <c r="ED31" s="1031">
        <f t="shared" si="73"/>
        <v>0.84891570000000005</v>
      </c>
      <c r="EE31" s="1029">
        <f t="shared" si="74"/>
        <v>0</v>
      </c>
      <c r="EF31" s="1029">
        <f t="shared" si="75"/>
        <v>0</v>
      </c>
      <c r="EG31" s="1029">
        <f t="shared" si="76"/>
        <v>0</v>
      </c>
      <c r="EH31" s="1029">
        <f t="shared" si="77"/>
        <v>0</v>
      </c>
      <c r="EI31" s="1029">
        <f t="shared" si="78"/>
        <v>0</v>
      </c>
      <c r="EJ31" s="1029">
        <f t="shared" si="79"/>
        <v>0</v>
      </c>
      <c r="EK31" s="1029">
        <f t="shared" si="80"/>
        <v>0</v>
      </c>
      <c r="EL31" s="1029">
        <f t="shared" si="81"/>
        <v>0</v>
      </c>
      <c r="EM31" s="1029">
        <f t="shared" si="82"/>
        <v>0</v>
      </c>
      <c r="EN31" s="1029">
        <f t="shared" si="83"/>
        <v>0</v>
      </c>
      <c r="EO31" s="1029">
        <f t="shared" si="84"/>
        <v>0</v>
      </c>
    </row>
    <row r="32" spans="1:145" ht="18.75" hidden="1" x14ac:dyDescent="0.25">
      <c r="A32" s="1010" t="s">
        <v>683</v>
      </c>
      <c r="B32" s="1011">
        <f t="shared" si="0"/>
        <v>0</v>
      </c>
      <c r="C32" s="1011">
        <f t="shared" si="1"/>
        <v>0</v>
      </c>
      <c r="D32" s="1012"/>
      <c r="E32" s="1012"/>
      <c r="F32" s="1012"/>
      <c r="G32" s="1012"/>
      <c r="H32" s="1012"/>
      <c r="I32" s="1012"/>
      <c r="J32" s="1012"/>
      <c r="K32" s="1013">
        <f t="shared" si="2"/>
        <v>0</v>
      </c>
      <c r="L32" s="1013">
        <f t="shared" si="3"/>
        <v>0</v>
      </c>
      <c r="M32" s="1013">
        <f t="shared" si="4"/>
        <v>0</v>
      </c>
      <c r="N32" s="1011">
        <f t="shared" si="85"/>
        <v>0</v>
      </c>
      <c r="O32" s="1012"/>
      <c r="P32" s="1014">
        <f t="shared" si="5"/>
        <v>0</v>
      </c>
      <c r="Q32" s="1015">
        <f t="shared" si="86"/>
        <v>0</v>
      </c>
      <c r="R32" s="1015">
        <f t="shared" si="86"/>
        <v>0</v>
      </c>
      <c r="S32" s="1015">
        <f t="shared" si="86"/>
        <v>0</v>
      </c>
      <c r="T32" s="1015">
        <f t="shared" si="87"/>
        <v>0</v>
      </c>
      <c r="U32" s="1011">
        <f t="shared" si="6"/>
        <v>0</v>
      </c>
      <c r="V32" s="1014">
        <f t="shared" si="88"/>
        <v>0</v>
      </c>
      <c r="W32" s="1012"/>
      <c r="X32" s="1016">
        <v>0</v>
      </c>
      <c r="Y32" s="1012"/>
      <c r="Z32" s="1016">
        <v>0</v>
      </c>
      <c r="AA32" s="1012"/>
      <c r="AB32" s="1016">
        <v>15</v>
      </c>
      <c r="AC32" s="1012"/>
      <c r="AD32" s="1016">
        <v>15</v>
      </c>
      <c r="AE32" s="1012"/>
      <c r="AF32" s="1016">
        <v>0</v>
      </c>
      <c r="AG32" s="1017"/>
      <c r="AH32" s="1017"/>
      <c r="AI32" s="1017"/>
      <c r="AJ32" s="1018"/>
      <c r="AK32" s="1018">
        <f t="shared" si="89"/>
        <v>0</v>
      </c>
      <c r="AL32" s="1019"/>
      <c r="AM32" s="1014">
        <f t="shared" si="90"/>
        <v>0</v>
      </c>
      <c r="AN32" s="1012"/>
      <c r="AO32" s="1014">
        <f t="shared" si="91"/>
        <v>0</v>
      </c>
      <c r="AP32" s="1020"/>
      <c r="AQ32" s="1021"/>
      <c r="AR32" s="1022"/>
      <c r="AS32" s="1021"/>
      <c r="AT32" s="1011">
        <f t="shared" si="7"/>
        <v>0</v>
      </c>
      <c r="AU32" s="1023">
        <v>0</v>
      </c>
      <c r="AV32" s="1014">
        <f t="shared" si="8"/>
        <v>0</v>
      </c>
      <c r="AW32" s="1014">
        <f t="shared" si="9"/>
        <v>0</v>
      </c>
      <c r="AX32" s="1014">
        <f t="shared" si="9"/>
        <v>0</v>
      </c>
      <c r="AY32" s="1014">
        <f t="shared" si="9"/>
        <v>0</v>
      </c>
      <c r="AZ32" s="1014">
        <f t="shared" si="10"/>
        <v>0</v>
      </c>
      <c r="BA32" s="1024">
        <f t="shared" si="11"/>
        <v>0</v>
      </c>
      <c r="BB32" s="1024">
        <f t="shared" si="12"/>
        <v>0</v>
      </c>
      <c r="BC32" s="1024">
        <f t="shared" si="13"/>
        <v>0</v>
      </c>
      <c r="BD32" s="1024">
        <f t="shared" si="14"/>
        <v>0</v>
      </c>
      <c r="BE32" s="1024">
        <f t="shared" si="15"/>
        <v>0</v>
      </c>
      <c r="BF32" s="1014">
        <f t="shared" si="16"/>
        <v>0</v>
      </c>
      <c r="BG32" s="1014">
        <f t="shared" si="17"/>
        <v>0</v>
      </c>
      <c r="BH32" s="1011">
        <f t="shared" si="18"/>
        <v>0</v>
      </c>
      <c r="BI32" s="1011">
        <f t="shared" si="19"/>
        <v>0</v>
      </c>
      <c r="BJ32" s="1011">
        <f t="shared" si="20"/>
        <v>0</v>
      </c>
      <c r="BK32" s="1025"/>
      <c r="BL32" s="1026">
        <f t="shared" si="21"/>
        <v>0</v>
      </c>
      <c r="BM32" s="1027"/>
      <c r="BN32" s="1027"/>
      <c r="BO32" s="1027"/>
      <c r="BP32" s="1027"/>
      <c r="BQ32" s="1027"/>
      <c r="BR32" s="1028">
        <v>1.1072</v>
      </c>
      <c r="BS32" s="1011">
        <f t="shared" si="22"/>
        <v>0</v>
      </c>
      <c r="BT32" s="1023"/>
      <c r="BU32" s="1015">
        <f t="shared" si="23"/>
        <v>0</v>
      </c>
      <c r="BV32" s="1023"/>
      <c r="BW32" s="1015">
        <f t="shared" si="24"/>
        <v>0</v>
      </c>
      <c r="BX32" s="1023"/>
      <c r="BY32" s="1015">
        <f t="shared" si="25"/>
        <v>0</v>
      </c>
      <c r="BZ32" s="1023"/>
      <c r="CA32" s="1015">
        <f t="shared" si="26"/>
        <v>0</v>
      </c>
      <c r="CB32" s="1023"/>
      <c r="CC32" s="1015">
        <f t="shared" si="27"/>
        <v>0</v>
      </c>
      <c r="CD32" s="1011">
        <f t="shared" si="28"/>
        <v>0</v>
      </c>
      <c r="CE32" s="1023"/>
      <c r="CF32" s="1015">
        <f t="shared" si="29"/>
        <v>0</v>
      </c>
      <c r="CG32" s="1023"/>
      <c r="CH32" s="1015">
        <f t="shared" si="30"/>
        <v>0</v>
      </c>
      <c r="CI32" s="1011">
        <f t="shared" si="31"/>
        <v>0</v>
      </c>
      <c r="CJ32" s="1025"/>
      <c r="CK32" s="1011">
        <f t="shared" si="32"/>
        <v>0</v>
      </c>
      <c r="CL32" s="996"/>
      <c r="CM32" s="1029">
        <f t="shared" si="33"/>
        <v>0</v>
      </c>
      <c r="CN32" s="1029">
        <f t="shared" si="34"/>
        <v>0</v>
      </c>
      <c r="CO32" s="1029">
        <f t="shared" si="35"/>
        <v>0</v>
      </c>
      <c r="CP32" s="1029">
        <f t="shared" si="36"/>
        <v>0</v>
      </c>
      <c r="CQ32" s="1029">
        <f t="shared" si="37"/>
        <v>0</v>
      </c>
      <c r="CR32" s="1029">
        <f t="shared" si="38"/>
        <v>0</v>
      </c>
      <c r="CS32" s="1029">
        <f t="shared" si="39"/>
        <v>0</v>
      </c>
      <c r="CT32" s="1029">
        <f t="shared" si="40"/>
        <v>0</v>
      </c>
      <c r="CU32" s="1029">
        <f t="shared" si="41"/>
        <v>0</v>
      </c>
      <c r="CV32" s="1029">
        <f t="shared" si="42"/>
        <v>0</v>
      </c>
      <c r="CW32" s="1029">
        <f t="shared" si="43"/>
        <v>0</v>
      </c>
      <c r="CX32" s="1029">
        <f t="shared" si="44"/>
        <v>0</v>
      </c>
      <c r="CY32" s="1029">
        <f t="shared" si="45"/>
        <v>0</v>
      </c>
      <c r="CZ32" s="1029">
        <f t="shared" si="46"/>
        <v>0</v>
      </c>
      <c r="DA32" s="1029">
        <f t="shared" si="47"/>
        <v>0</v>
      </c>
      <c r="DB32" s="1029">
        <f t="shared" si="48"/>
        <v>0</v>
      </c>
      <c r="DC32" s="1030"/>
      <c r="DD32" s="1031">
        <f t="shared" si="49"/>
        <v>0.77697930000000004</v>
      </c>
      <c r="DE32" s="1029">
        <f t="shared" si="50"/>
        <v>0</v>
      </c>
      <c r="DF32" s="1029">
        <f t="shared" si="51"/>
        <v>0</v>
      </c>
      <c r="DG32" s="1029">
        <f t="shared" si="52"/>
        <v>0</v>
      </c>
      <c r="DH32" s="1029">
        <f t="shared" si="53"/>
        <v>0</v>
      </c>
      <c r="DI32" s="1029">
        <f t="shared" si="54"/>
        <v>0</v>
      </c>
      <c r="DJ32" s="1029">
        <f t="shared" si="55"/>
        <v>0</v>
      </c>
      <c r="DK32" s="1029">
        <f t="shared" si="56"/>
        <v>0</v>
      </c>
      <c r="DL32" s="1029">
        <f t="shared" si="57"/>
        <v>0</v>
      </c>
      <c r="DM32" s="1029">
        <f t="shared" si="58"/>
        <v>0</v>
      </c>
      <c r="DN32" s="1029">
        <f t="shared" si="59"/>
        <v>0</v>
      </c>
      <c r="DO32" s="1029">
        <f t="shared" si="60"/>
        <v>0</v>
      </c>
      <c r="DP32" s="1030"/>
      <c r="DQ32" s="1031">
        <f t="shared" si="61"/>
        <v>0.8162336</v>
      </c>
      <c r="DR32" s="1029">
        <f t="shared" si="62"/>
        <v>0</v>
      </c>
      <c r="DS32" s="1029">
        <f t="shared" si="63"/>
        <v>0</v>
      </c>
      <c r="DT32" s="1029">
        <f t="shared" si="64"/>
        <v>0</v>
      </c>
      <c r="DU32" s="1029">
        <f t="shared" si="65"/>
        <v>0</v>
      </c>
      <c r="DV32" s="1029">
        <f t="shared" si="66"/>
        <v>0</v>
      </c>
      <c r="DW32" s="1029">
        <f t="shared" si="67"/>
        <v>0</v>
      </c>
      <c r="DX32" s="1029">
        <f t="shared" si="68"/>
        <v>0</v>
      </c>
      <c r="DY32" s="1029">
        <f t="shared" si="69"/>
        <v>0</v>
      </c>
      <c r="DZ32" s="1029">
        <f t="shared" si="70"/>
        <v>0</v>
      </c>
      <c r="EA32" s="1029">
        <f t="shared" si="71"/>
        <v>0</v>
      </c>
      <c r="EB32" s="1029">
        <f t="shared" si="72"/>
        <v>0</v>
      </c>
      <c r="EC32" s="1030"/>
      <c r="ED32" s="1031">
        <f t="shared" si="73"/>
        <v>0.84891570000000005</v>
      </c>
      <c r="EE32" s="1029">
        <f t="shared" si="74"/>
        <v>0</v>
      </c>
      <c r="EF32" s="1029">
        <f t="shared" si="75"/>
        <v>0</v>
      </c>
      <c r="EG32" s="1029">
        <f t="shared" si="76"/>
        <v>0</v>
      </c>
      <c r="EH32" s="1029">
        <f t="shared" si="77"/>
        <v>0</v>
      </c>
      <c r="EI32" s="1029">
        <f t="shared" si="78"/>
        <v>0</v>
      </c>
      <c r="EJ32" s="1029">
        <f t="shared" si="79"/>
        <v>0</v>
      </c>
      <c r="EK32" s="1029">
        <f t="shared" si="80"/>
        <v>0</v>
      </c>
      <c r="EL32" s="1029">
        <f t="shared" si="81"/>
        <v>0</v>
      </c>
      <c r="EM32" s="1029">
        <f t="shared" si="82"/>
        <v>0</v>
      </c>
      <c r="EN32" s="1029">
        <f t="shared" si="83"/>
        <v>0</v>
      </c>
      <c r="EO32" s="1029">
        <f t="shared" si="84"/>
        <v>0</v>
      </c>
    </row>
    <row r="33" spans="1:145" ht="18.75" hidden="1" x14ac:dyDescent="0.25">
      <c r="A33" s="1010" t="s">
        <v>684</v>
      </c>
      <c r="B33" s="1011">
        <f t="shared" si="0"/>
        <v>0</v>
      </c>
      <c r="C33" s="1011">
        <f t="shared" si="1"/>
        <v>0</v>
      </c>
      <c r="D33" s="1012"/>
      <c r="E33" s="1012"/>
      <c r="F33" s="1012"/>
      <c r="G33" s="1012"/>
      <c r="H33" s="1012"/>
      <c r="I33" s="1012"/>
      <c r="J33" s="1012"/>
      <c r="K33" s="1013">
        <f t="shared" si="2"/>
        <v>0</v>
      </c>
      <c r="L33" s="1013">
        <f t="shared" si="3"/>
        <v>0</v>
      </c>
      <c r="M33" s="1013">
        <f t="shared" si="4"/>
        <v>0</v>
      </c>
      <c r="N33" s="1011">
        <f t="shared" si="85"/>
        <v>0</v>
      </c>
      <c r="O33" s="1012"/>
      <c r="P33" s="1014">
        <f t="shared" si="5"/>
        <v>0</v>
      </c>
      <c r="Q33" s="1015">
        <f t="shared" si="86"/>
        <v>0</v>
      </c>
      <c r="R33" s="1015">
        <f t="shared" si="86"/>
        <v>0</v>
      </c>
      <c r="S33" s="1015">
        <f t="shared" si="86"/>
        <v>0</v>
      </c>
      <c r="T33" s="1015">
        <f t="shared" si="87"/>
        <v>0</v>
      </c>
      <c r="U33" s="1011">
        <f t="shared" si="6"/>
        <v>0</v>
      </c>
      <c r="V33" s="1014">
        <f t="shared" si="88"/>
        <v>0</v>
      </c>
      <c r="W33" s="1012"/>
      <c r="X33" s="1016">
        <v>0</v>
      </c>
      <c r="Y33" s="1012"/>
      <c r="Z33" s="1016">
        <v>0</v>
      </c>
      <c r="AA33" s="1012"/>
      <c r="AB33" s="1016">
        <v>15</v>
      </c>
      <c r="AC33" s="1012"/>
      <c r="AD33" s="1016">
        <v>15</v>
      </c>
      <c r="AE33" s="1012"/>
      <c r="AF33" s="1016">
        <v>0</v>
      </c>
      <c r="AG33" s="1017"/>
      <c r="AH33" s="1017"/>
      <c r="AI33" s="1017"/>
      <c r="AJ33" s="1018"/>
      <c r="AK33" s="1018">
        <f t="shared" si="89"/>
        <v>0</v>
      </c>
      <c r="AL33" s="1019"/>
      <c r="AM33" s="1014">
        <f t="shared" si="90"/>
        <v>0</v>
      </c>
      <c r="AN33" s="1012"/>
      <c r="AO33" s="1014">
        <f t="shared" si="91"/>
        <v>0</v>
      </c>
      <c r="AP33" s="1020"/>
      <c r="AQ33" s="1021"/>
      <c r="AR33" s="1022"/>
      <c r="AS33" s="1021"/>
      <c r="AT33" s="1011">
        <f t="shared" si="7"/>
        <v>0</v>
      </c>
      <c r="AU33" s="1023">
        <v>0</v>
      </c>
      <c r="AV33" s="1014">
        <f t="shared" si="8"/>
        <v>0</v>
      </c>
      <c r="AW33" s="1014">
        <f t="shared" si="9"/>
        <v>0</v>
      </c>
      <c r="AX33" s="1014">
        <f t="shared" si="9"/>
        <v>0</v>
      </c>
      <c r="AY33" s="1014">
        <f t="shared" si="9"/>
        <v>0</v>
      </c>
      <c r="AZ33" s="1014">
        <f t="shared" si="10"/>
        <v>0</v>
      </c>
      <c r="BA33" s="1024">
        <f t="shared" si="11"/>
        <v>0</v>
      </c>
      <c r="BB33" s="1024">
        <f t="shared" si="12"/>
        <v>0</v>
      </c>
      <c r="BC33" s="1024">
        <f t="shared" si="13"/>
        <v>0</v>
      </c>
      <c r="BD33" s="1024">
        <f t="shared" si="14"/>
        <v>0</v>
      </c>
      <c r="BE33" s="1024">
        <f t="shared" si="15"/>
        <v>0</v>
      </c>
      <c r="BF33" s="1014">
        <f t="shared" si="16"/>
        <v>0</v>
      </c>
      <c r="BG33" s="1014">
        <f t="shared" si="17"/>
        <v>0</v>
      </c>
      <c r="BH33" s="1011">
        <f t="shared" si="18"/>
        <v>0</v>
      </c>
      <c r="BI33" s="1011">
        <f t="shared" si="19"/>
        <v>0</v>
      </c>
      <c r="BJ33" s="1011">
        <f t="shared" si="20"/>
        <v>0</v>
      </c>
      <c r="BK33" s="1025"/>
      <c r="BL33" s="1026">
        <f t="shared" si="21"/>
        <v>0</v>
      </c>
      <c r="BM33" s="1027"/>
      <c r="BN33" s="1027"/>
      <c r="BO33" s="1027"/>
      <c r="BP33" s="1027"/>
      <c r="BQ33" s="1027"/>
      <c r="BR33" s="1028">
        <v>1.1072</v>
      </c>
      <c r="BS33" s="1011">
        <f t="shared" si="22"/>
        <v>0</v>
      </c>
      <c r="BT33" s="1023"/>
      <c r="BU33" s="1015">
        <f t="shared" si="23"/>
        <v>0</v>
      </c>
      <c r="BV33" s="1023"/>
      <c r="BW33" s="1015">
        <f t="shared" si="24"/>
        <v>0</v>
      </c>
      <c r="BX33" s="1023"/>
      <c r="BY33" s="1015">
        <f t="shared" si="25"/>
        <v>0</v>
      </c>
      <c r="BZ33" s="1023"/>
      <c r="CA33" s="1015">
        <f t="shared" si="26"/>
        <v>0</v>
      </c>
      <c r="CB33" s="1023"/>
      <c r="CC33" s="1015">
        <f t="shared" si="27"/>
        <v>0</v>
      </c>
      <c r="CD33" s="1011">
        <f t="shared" si="28"/>
        <v>0</v>
      </c>
      <c r="CE33" s="1023"/>
      <c r="CF33" s="1015">
        <f t="shared" si="29"/>
        <v>0</v>
      </c>
      <c r="CG33" s="1023"/>
      <c r="CH33" s="1015">
        <f t="shared" si="30"/>
        <v>0</v>
      </c>
      <c r="CI33" s="1011">
        <f t="shared" si="31"/>
        <v>0</v>
      </c>
      <c r="CJ33" s="1025"/>
      <c r="CK33" s="1011">
        <f t="shared" si="32"/>
        <v>0</v>
      </c>
      <c r="CL33" s="996"/>
      <c r="CM33" s="1029">
        <f t="shared" si="33"/>
        <v>0</v>
      </c>
      <c r="CN33" s="1029">
        <f t="shared" si="34"/>
        <v>0</v>
      </c>
      <c r="CO33" s="1029">
        <f t="shared" si="35"/>
        <v>0</v>
      </c>
      <c r="CP33" s="1029">
        <f t="shared" si="36"/>
        <v>0</v>
      </c>
      <c r="CQ33" s="1029">
        <f t="shared" si="37"/>
        <v>0</v>
      </c>
      <c r="CR33" s="1029">
        <f t="shared" si="38"/>
        <v>0</v>
      </c>
      <c r="CS33" s="1029">
        <f t="shared" si="39"/>
        <v>0</v>
      </c>
      <c r="CT33" s="1029">
        <f t="shared" si="40"/>
        <v>0</v>
      </c>
      <c r="CU33" s="1029">
        <f t="shared" si="41"/>
        <v>0</v>
      </c>
      <c r="CV33" s="1029">
        <f t="shared" si="42"/>
        <v>0</v>
      </c>
      <c r="CW33" s="1029">
        <f t="shared" si="43"/>
        <v>0</v>
      </c>
      <c r="CX33" s="1029">
        <f t="shared" si="44"/>
        <v>0</v>
      </c>
      <c r="CY33" s="1029">
        <f t="shared" si="45"/>
        <v>0</v>
      </c>
      <c r="CZ33" s="1029">
        <f t="shared" si="46"/>
        <v>0</v>
      </c>
      <c r="DA33" s="1029">
        <f t="shared" si="47"/>
        <v>0</v>
      </c>
      <c r="DB33" s="1029">
        <f t="shared" si="48"/>
        <v>0</v>
      </c>
      <c r="DC33" s="1030"/>
      <c r="DD33" s="1031">
        <f t="shared" si="49"/>
        <v>0.77697930000000004</v>
      </c>
      <c r="DE33" s="1029">
        <f t="shared" si="50"/>
        <v>0</v>
      </c>
      <c r="DF33" s="1029">
        <f t="shared" si="51"/>
        <v>0</v>
      </c>
      <c r="DG33" s="1029">
        <f t="shared" si="52"/>
        <v>0</v>
      </c>
      <c r="DH33" s="1029">
        <f t="shared" si="53"/>
        <v>0</v>
      </c>
      <c r="DI33" s="1029">
        <f t="shared" si="54"/>
        <v>0</v>
      </c>
      <c r="DJ33" s="1029">
        <f t="shared" si="55"/>
        <v>0</v>
      </c>
      <c r="DK33" s="1029">
        <f t="shared" si="56"/>
        <v>0</v>
      </c>
      <c r="DL33" s="1029">
        <f t="shared" si="57"/>
        <v>0</v>
      </c>
      <c r="DM33" s="1029">
        <f t="shared" si="58"/>
        <v>0</v>
      </c>
      <c r="DN33" s="1029">
        <f t="shared" si="59"/>
        <v>0</v>
      </c>
      <c r="DO33" s="1029">
        <f t="shared" si="60"/>
        <v>0</v>
      </c>
      <c r="DP33" s="1030"/>
      <c r="DQ33" s="1031">
        <f t="shared" si="61"/>
        <v>0.8162336</v>
      </c>
      <c r="DR33" s="1029">
        <f t="shared" si="62"/>
        <v>0</v>
      </c>
      <c r="DS33" s="1029">
        <f t="shared" si="63"/>
        <v>0</v>
      </c>
      <c r="DT33" s="1029">
        <f t="shared" si="64"/>
        <v>0</v>
      </c>
      <c r="DU33" s="1029">
        <f t="shared" si="65"/>
        <v>0</v>
      </c>
      <c r="DV33" s="1029">
        <f t="shared" si="66"/>
        <v>0</v>
      </c>
      <c r="DW33" s="1029">
        <f t="shared" si="67"/>
        <v>0</v>
      </c>
      <c r="DX33" s="1029">
        <f t="shared" si="68"/>
        <v>0</v>
      </c>
      <c r="DY33" s="1029">
        <f t="shared" si="69"/>
        <v>0</v>
      </c>
      <c r="DZ33" s="1029">
        <f t="shared" si="70"/>
        <v>0</v>
      </c>
      <c r="EA33" s="1029">
        <f t="shared" si="71"/>
        <v>0</v>
      </c>
      <c r="EB33" s="1029">
        <f t="shared" si="72"/>
        <v>0</v>
      </c>
      <c r="EC33" s="1030"/>
      <c r="ED33" s="1031">
        <f t="shared" si="73"/>
        <v>0.84891570000000005</v>
      </c>
      <c r="EE33" s="1029">
        <f t="shared" si="74"/>
        <v>0</v>
      </c>
      <c r="EF33" s="1029">
        <f t="shared" si="75"/>
        <v>0</v>
      </c>
      <c r="EG33" s="1029">
        <f t="shared" si="76"/>
        <v>0</v>
      </c>
      <c r="EH33" s="1029">
        <f t="shared" si="77"/>
        <v>0</v>
      </c>
      <c r="EI33" s="1029">
        <f t="shared" si="78"/>
        <v>0</v>
      </c>
      <c r="EJ33" s="1029">
        <f t="shared" si="79"/>
        <v>0</v>
      </c>
      <c r="EK33" s="1029">
        <f t="shared" si="80"/>
        <v>0</v>
      </c>
      <c r="EL33" s="1029">
        <f t="shared" si="81"/>
        <v>0</v>
      </c>
      <c r="EM33" s="1029">
        <f t="shared" si="82"/>
        <v>0</v>
      </c>
      <c r="EN33" s="1029">
        <f t="shared" si="83"/>
        <v>0</v>
      </c>
      <c r="EO33" s="1029">
        <f t="shared" si="84"/>
        <v>0</v>
      </c>
    </row>
    <row r="34" spans="1:145" ht="18.75" hidden="1" x14ac:dyDescent="0.25">
      <c r="A34" s="1010" t="s">
        <v>685</v>
      </c>
      <c r="B34" s="1011">
        <f t="shared" si="0"/>
        <v>0</v>
      </c>
      <c r="C34" s="1011">
        <f t="shared" si="1"/>
        <v>0</v>
      </c>
      <c r="D34" s="1012"/>
      <c r="E34" s="1012"/>
      <c r="F34" s="1012"/>
      <c r="G34" s="1012"/>
      <c r="H34" s="1012"/>
      <c r="I34" s="1012"/>
      <c r="J34" s="1012"/>
      <c r="K34" s="1013">
        <f t="shared" si="2"/>
        <v>0</v>
      </c>
      <c r="L34" s="1013">
        <f t="shared" si="3"/>
        <v>0</v>
      </c>
      <c r="M34" s="1013">
        <f t="shared" si="4"/>
        <v>0</v>
      </c>
      <c r="N34" s="1011">
        <f t="shared" si="85"/>
        <v>0</v>
      </c>
      <c r="O34" s="1012"/>
      <c r="P34" s="1014">
        <f t="shared" si="5"/>
        <v>0</v>
      </c>
      <c r="Q34" s="1015">
        <f t="shared" si="86"/>
        <v>0</v>
      </c>
      <c r="R34" s="1015">
        <f t="shared" si="86"/>
        <v>0</v>
      </c>
      <c r="S34" s="1015">
        <f t="shared" si="86"/>
        <v>0</v>
      </c>
      <c r="T34" s="1015">
        <f t="shared" si="87"/>
        <v>0</v>
      </c>
      <c r="U34" s="1011">
        <f t="shared" si="6"/>
        <v>0</v>
      </c>
      <c r="V34" s="1014">
        <f t="shared" si="88"/>
        <v>0</v>
      </c>
      <c r="W34" s="1012"/>
      <c r="X34" s="1016">
        <v>0</v>
      </c>
      <c r="Y34" s="1012"/>
      <c r="Z34" s="1016">
        <v>0</v>
      </c>
      <c r="AA34" s="1012"/>
      <c r="AB34" s="1016">
        <v>15</v>
      </c>
      <c r="AC34" s="1012"/>
      <c r="AD34" s="1016">
        <v>15</v>
      </c>
      <c r="AE34" s="1012"/>
      <c r="AF34" s="1016">
        <v>0</v>
      </c>
      <c r="AG34" s="1017"/>
      <c r="AH34" s="1017"/>
      <c r="AI34" s="1017"/>
      <c r="AJ34" s="1018"/>
      <c r="AK34" s="1018">
        <f t="shared" si="89"/>
        <v>0</v>
      </c>
      <c r="AL34" s="1019"/>
      <c r="AM34" s="1014">
        <f t="shared" si="90"/>
        <v>0</v>
      </c>
      <c r="AN34" s="1012"/>
      <c r="AO34" s="1014">
        <f t="shared" si="91"/>
        <v>0</v>
      </c>
      <c r="AP34" s="1020"/>
      <c r="AQ34" s="1021"/>
      <c r="AR34" s="1022"/>
      <c r="AS34" s="1021"/>
      <c r="AT34" s="1011">
        <f t="shared" si="7"/>
        <v>0</v>
      </c>
      <c r="AU34" s="1023">
        <v>0</v>
      </c>
      <c r="AV34" s="1014">
        <f t="shared" si="8"/>
        <v>0</v>
      </c>
      <c r="AW34" s="1014">
        <f t="shared" si="9"/>
        <v>0</v>
      </c>
      <c r="AX34" s="1014">
        <f t="shared" si="9"/>
        <v>0</v>
      </c>
      <c r="AY34" s="1014">
        <f t="shared" si="9"/>
        <v>0</v>
      </c>
      <c r="AZ34" s="1014">
        <f t="shared" si="10"/>
        <v>0</v>
      </c>
      <c r="BA34" s="1024">
        <f t="shared" si="11"/>
        <v>0</v>
      </c>
      <c r="BB34" s="1024">
        <f t="shared" si="12"/>
        <v>0</v>
      </c>
      <c r="BC34" s="1024">
        <f t="shared" si="13"/>
        <v>0</v>
      </c>
      <c r="BD34" s="1024">
        <f t="shared" si="14"/>
        <v>0</v>
      </c>
      <c r="BE34" s="1024">
        <f t="shared" si="15"/>
        <v>0</v>
      </c>
      <c r="BF34" s="1014">
        <f t="shared" si="16"/>
        <v>0</v>
      </c>
      <c r="BG34" s="1014">
        <f t="shared" si="17"/>
        <v>0</v>
      </c>
      <c r="BH34" s="1011">
        <f t="shared" si="18"/>
        <v>0</v>
      </c>
      <c r="BI34" s="1011">
        <f t="shared" si="19"/>
        <v>0</v>
      </c>
      <c r="BJ34" s="1011">
        <f t="shared" si="20"/>
        <v>0</v>
      </c>
      <c r="BK34" s="1025"/>
      <c r="BL34" s="1026">
        <f t="shared" si="21"/>
        <v>0</v>
      </c>
      <c r="BM34" s="1027"/>
      <c r="BN34" s="1027"/>
      <c r="BO34" s="1027"/>
      <c r="BP34" s="1027"/>
      <c r="BQ34" s="1027"/>
      <c r="BR34" s="1028">
        <v>1.1072</v>
      </c>
      <c r="BS34" s="1011">
        <f t="shared" si="22"/>
        <v>0</v>
      </c>
      <c r="BT34" s="1023"/>
      <c r="BU34" s="1015">
        <f t="shared" si="23"/>
        <v>0</v>
      </c>
      <c r="BV34" s="1023"/>
      <c r="BW34" s="1015">
        <f t="shared" si="24"/>
        <v>0</v>
      </c>
      <c r="BX34" s="1023"/>
      <c r="BY34" s="1015">
        <f t="shared" si="25"/>
        <v>0</v>
      </c>
      <c r="BZ34" s="1023"/>
      <c r="CA34" s="1015">
        <f t="shared" si="26"/>
        <v>0</v>
      </c>
      <c r="CB34" s="1023"/>
      <c r="CC34" s="1015">
        <f t="shared" si="27"/>
        <v>0</v>
      </c>
      <c r="CD34" s="1011">
        <f t="shared" si="28"/>
        <v>0</v>
      </c>
      <c r="CE34" s="1023"/>
      <c r="CF34" s="1015">
        <f t="shared" si="29"/>
        <v>0</v>
      </c>
      <c r="CG34" s="1023"/>
      <c r="CH34" s="1015">
        <f t="shared" si="30"/>
        <v>0</v>
      </c>
      <c r="CI34" s="1011">
        <f t="shared" si="31"/>
        <v>0</v>
      </c>
      <c r="CJ34" s="1025"/>
      <c r="CK34" s="1011">
        <f t="shared" si="32"/>
        <v>0</v>
      </c>
      <c r="CL34" s="996"/>
      <c r="CM34" s="1029">
        <f t="shared" si="33"/>
        <v>0</v>
      </c>
      <c r="CN34" s="1029">
        <f t="shared" si="34"/>
        <v>0</v>
      </c>
      <c r="CO34" s="1029">
        <f t="shared" si="35"/>
        <v>0</v>
      </c>
      <c r="CP34" s="1029">
        <f t="shared" si="36"/>
        <v>0</v>
      </c>
      <c r="CQ34" s="1029">
        <f t="shared" si="37"/>
        <v>0</v>
      </c>
      <c r="CR34" s="1029">
        <f t="shared" si="38"/>
        <v>0</v>
      </c>
      <c r="CS34" s="1029">
        <f t="shared" si="39"/>
        <v>0</v>
      </c>
      <c r="CT34" s="1029">
        <f t="shared" si="40"/>
        <v>0</v>
      </c>
      <c r="CU34" s="1029">
        <f t="shared" si="41"/>
        <v>0</v>
      </c>
      <c r="CV34" s="1029">
        <f t="shared" si="42"/>
        <v>0</v>
      </c>
      <c r="CW34" s="1029">
        <f t="shared" si="43"/>
        <v>0</v>
      </c>
      <c r="CX34" s="1029">
        <f t="shared" si="44"/>
        <v>0</v>
      </c>
      <c r="CY34" s="1029">
        <f t="shared" si="45"/>
        <v>0</v>
      </c>
      <c r="CZ34" s="1029">
        <f t="shared" si="46"/>
        <v>0</v>
      </c>
      <c r="DA34" s="1029">
        <f t="shared" si="47"/>
        <v>0</v>
      </c>
      <c r="DB34" s="1029">
        <f t="shared" si="48"/>
        <v>0</v>
      </c>
      <c r="DC34" s="1030"/>
      <c r="DD34" s="1031">
        <f t="shared" si="49"/>
        <v>0.77697930000000004</v>
      </c>
      <c r="DE34" s="1029">
        <f t="shared" si="50"/>
        <v>0</v>
      </c>
      <c r="DF34" s="1029">
        <f t="shared" si="51"/>
        <v>0</v>
      </c>
      <c r="DG34" s="1029">
        <f t="shared" si="52"/>
        <v>0</v>
      </c>
      <c r="DH34" s="1029">
        <f t="shared" si="53"/>
        <v>0</v>
      </c>
      <c r="DI34" s="1029">
        <f t="shared" si="54"/>
        <v>0</v>
      </c>
      <c r="DJ34" s="1029">
        <f t="shared" si="55"/>
        <v>0</v>
      </c>
      <c r="DK34" s="1029">
        <f t="shared" si="56"/>
        <v>0</v>
      </c>
      <c r="DL34" s="1029">
        <f t="shared" si="57"/>
        <v>0</v>
      </c>
      <c r="DM34" s="1029">
        <f t="shared" si="58"/>
        <v>0</v>
      </c>
      <c r="DN34" s="1029">
        <f t="shared" si="59"/>
        <v>0</v>
      </c>
      <c r="DO34" s="1029">
        <f t="shared" si="60"/>
        <v>0</v>
      </c>
      <c r="DP34" s="1030"/>
      <c r="DQ34" s="1031">
        <f t="shared" si="61"/>
        <v>0.8162336</v>
      </c>
      <c r="DR34" s="1029">
        <f t="shared" si="62"/>
        <v>0</v>
      </c>
      <c r="DS34" s="1029">
        <f t="shared" si="63"/>
        <v>0</v>
      </c>
      <c r="DT34" s="1029">
        <f t="shared" si="64"/>
        <v>0</v>
      </c>
      <c r="DU34" s="1029">
        <f t="shared" si="65"/>
        <v>0</v>
      </c>
      <c r="DV34" s="1029">
        <f t="shared" si="66"/>
        <v>0</v>
      </c>
      <c r="DW34" s="1029">
        <f t="shared" si="67"/>
        <v>0</v>
      </c>
      <c r="DX34" s="1029">
        <f t="shared" si="68"/>
        <v>0</v>
      </c>
      <c r="DY34" s="1029">
        <f t="shared" si="69"/>
        <v>0</v>
      </c>
      <c r="DZ34" s="1029">
        <f t="shared" si="70"/>
        <v>0</v>
      </c>
      <c r="EA34" s="1029">
        <f t="shared" si="71"/>
        <v>0</v>
      </c>
      <c r="EB34" s="1029">
        <f t="shared" si="72"/>
        <v>0</v>
      </c>
      <c r="EC34" s="1030"/>
      <c r="ED34" s="1031">
        <f t="shared" si="73"/>
        <v>0.84891570000000005</v>
      </c>
      <c r="EE34" s="1029">
        <f t="shared" si="74"/>
        <v>0</v>
      </c>
      <c r="EF34" s="1029">
        <f t="shared" si="75"/>
        <v>0</v>
      </c>
      <c r="EG34" s="1029">
        <f t="shared" si="76"/>
        <v>0</v>
      </c>
      <c r="EH34" s="1029">
        <f t="shared" si="77"/>
        <v>0</v>
      </c>
      <c r="EI34" s="1029">
        <f t="shared" si="78"/>
        <v>0</v>
      </c>
      <c r="EJ34" s="1029">
        <f t="shared" si="79"/>
        <v>0</v>
      </c>
      <c r="EK34" s="1029">
        <f t="shared" si="80"/>
        <v>0</v>
      </c>
      <c r="EL34" s="1029">
        <f t="shared" si="81"/>
        <v>0</v>
      </c>
      <c r="EM34" s="1029">
        <f t="shared" si="82"/>
        <v>0</v>
      </c>
      <c r="EN34" s="1029">
        <f t="shared" si="83"/>
        <v>0</v>
      </c>
      <c r="EO34" s="1029">
        <f t="shared" si="84"/>
        <v>0</v>
      </c>
    </row>
    <row r="35" spans="1:145" ht="18.75" hidden="1" x14ac:dyDescent="0.25">
      <c r="A35" s="1010" t="s">
        <v>1589</v>
      </c>
      <c r="B35" s="1011">
        <f t="shared" si="0"/>
        <v>0</v>
      </c>
      <c r="C35" s="1011">
        <f t="shared" si="1"/>
        <v>0</v>
      </c>
      <c r="D35" s="1012"/>
      <c r="E35" s="1012"/>
      <c r="F35" s="1012"/>
      <c r="G35" s="1012"/>
      <c r="H35" s="1012"/>
      <c r="I35" s="1012"/>
      <c r="J35" s="1012"/>
      <c r="K35" s="1013">
        <f t="shared" si="2"/>
        <v>0</v>
      </c>
      <c r="L35" s="1013">
        <f t="shared" si="3"/>
        <v>0</v>
      </c>
      <c r="M35" s="1013">
        <f t="shared" si="4"/>
        <v>0</v>
      </c>
      <c r="N35" s="1011">
        <f t="shared" si="85"/>
        <v>0</v>
      </c>
      <c r="O35" s="1012"/>
      <c r="P35" s="1014">
        <f t="shared" si="5"/>
        <v>0</v>
      </c>
      <c r="Q35" s="1015">
        <f t="shared" si="86"/>
        <v>0</v>
      </c>
      <c r="R35" s="1015">
        <f t="shared" si="86"/>
        <v>0</v>
      </c>
      <c r="S35" s="1015">
        <f t="shared" si="86"/>
        <v>0</v>
      </c>
      <c r="T35" s="1015">
        <f t="shared" si="87"/>
        <v>0</v>
      </c>
      <c r="U35" s="1011">
        <f t="shared" si="6"/>
        <v>0</v>
      </c>
      <c r="V35" s="1014">
        <f t="shared" si="88"/>
        <v>0</v>
      </c>
      <c r="W35" s="1012"/>
      <c r="X35" s="1016">
        <v>0</v>
      </c>
      <c r="Y35" s="1012"/>
      <c r="Z35" s="1016">
        <v>0</v>
      </c>
      <c r="AA35" s="1012"/>
      <c r="AB35" s="1016">
        <v>15</v>
      </c>
      <c r="AC35" s="1012"/>
      <c r="AD35" s="1016">
        <v>15</v>
      </c>
      <c r="AE35" s="1012"/>
      <c r="AF35" s="1016">
        <v>0</v>
      </c>
      <c r="AG35" s="1017"/>
      <c r="AH35" s="1017"/>
      <c r="AI35" s="1017"/>
      <c r="AJ35" s="1018"/>
      <c r="AK35" s="1018">
        <f t="shared" si="89"/>
        <v>0</v>
      </c>
      <c r="AL35" s="1019"/>
      <c r="AM35" s="1014">
        <f t="shared" si="90"/>
        <v>0</v>
      </c>
      <c r="AN35" s="1012"/>
      <c r="AO35" s="1014">
        <f t="shared" si="91"/>
        <v>0</v>
      </c>
      <c r="AP35" s="1020"/>
      <c r="AQ35" s="1021"/>
      <c r="AR35" s="1022"/>
      <c r="AS35" s="1021"/>
      <c r="AT35" s="1011">
        <f t="shared" si="7"/>
        <v>0</v>
      </c>
      <c r="AU35" s="1023">
        <v>0</v>
      </c>
      <c r="AV35" s="1014">
        <f t="shared" si="8"/>
        <v>0</v>
      </c>
      <c r="AW35" s="1014">
        <f t="shared" si="9"/>
        <v>0</v>
      </c>
      <c r="AX35" s="1014">
        <f t="shared" si="9"/>
        <v>0</v>
      </c>
      <c r="AY35" s="1014">
        <f t="shared" si="9"/>
        <v>0</v>
      </c>
      <c r="AZ35" s="1014">
        <f t="shared" si="10"/>
        <v>0</v>
      </c>
      <c r="BA35" s="1024">
        <f t="shared" si="11"/>
        <v>0</v>
      </c>
      <c r="BB35" s="1024">
        <f t="shared" si="12"/>
        <v>0</v>
      </c>
      <c r="BC35" s="1024">
        <f t="shared" si="13"/>
        <v>0</v>
      </c>
      <c r="BD35" s="1024">
        <f t="shared" si="14"/>
        <v>0</v>
      </c>
      <c r="BE35" s="1024">
        <f t="shared" si="15"/>
        <v>0</v>
      </c>
      <c r="BF35" s="1014">
        <f t="shared" si="16"/>
        <v>0</v>
      </c>
      <c r="BG35" s="1014">
        <f t="shared" si="17"/>
        <v>0</v>
      </c>
      <c r="BH35" s="1011">
        <f t="shared" si="18"/>
        <v>0</v>
      </c>
      <c r="BI35" s="1011">
        <f t="shared" si="19"/>
        <v>0</v>
      </c>
      <c r="BJ35" s="1011">
        <f t="shared" si="20"/>
        <v>0</v>
      </c>
      <c r="BK35" s="1025"/>
      <c r="BL35" s="1026">
        <f t="shared" si="21"/>
        <v>0</v>
      </c>
      <c r="BM35" s="1027"/>
      <c r="BN35" s="1027"/>
      <c r="BO35" s="1027"/>
      <c r="BP35" s="1027"/>
      <c r="BQ35" s="1027"/>
      <c r="BR35" s="1028">
        <v>1.1072</v>
      </c>
      <c r="BS35" s="1011">
        <f t="shared" si="22"/>
        <v>0</v>
      </c>
      <c r="BT35" s="1023"/>
      <c r="BU35" s="1015">
        <f t="shared" si="23"/>
        <v>0</v>
      </c>
      <c r="BV35" s="1023"/>
      <c r="BW35" s="1015">
        <f t="shared" si="24"/>
        <v>0</v>
      </c>
      <c r="BX35" s="1023"/>
      <c r="BY35" s="1015">
        <f t="shared" si="25"/>
        <v>0</v>
      </c>
      <c r="BZ35" s="1023"/>
      <c r="CA35" s="1015">
        <f t="shared" si="26"/>
        <v>0</v>
      </c>
      <c r="CB35" s="1023"/>
      <c r="CC35" s="1015">
        <f t="shared" si="27"/>
        <v>0</v>
      </c>
      <c r="CD35" s="1011">
        <f t="shared" si="28"/>
        <v>0</v>
      </c>
      <c r="CE35" s="1023"/>
      <c r="CF35" s="1015">
        <f t="shared" si="29"/>
        <v>0</v>
      </c>
      <c r="CG35" s="1023"/>
      <c r="CH35" s="1015">
        <f t="shared" si="30"/>
        <v>0</v>
      </c>
      <c r="CI35" s="1011">
        <f t="shared" si="31"/>
        <v>0</v>
      </c>
      <c r="CJ35" s="1025"/>
      <c r="CK35" s="1011">
        <f t="shared" si="32"/>
        <v>0</v>
      </c>
      <c r="CL35" s="996"/>
      <c r="CM35" s="1029">
        <f t="shared" si="33"/>
        <v>0</v>
      </c>
      <c r="CN35" s="1029">
        <f t="shared" si="34"/>
        <v>0</v>
      </c>
      <c r="CO35" s="1029">
        <f t="shared" si="35"/>
        <v>0</v>
      </c>
      <c r="CP35" s="1029">
        <f t="shared" si="36"/>
        <v>0</v>
      </c>
      <c r="CQ35" s="1029">
        <f t="shared" si="37"/>
        <v>0</v>
      </c>
      <c r="CR35" s="1029">
        <f t="shared" si="38"/>
        <v>0</v>
      </c>
      <c r="CS35" s="1029">
        <f t="shared" si="39"/>
        <v>0</v>
      </c>
      <c r="CT35" s="1029">
        <f t="shared" si="40"/>
        <v>0</v>
      </c>
      <c r="CU35" s="1029">
        <f t="shared" si="41"/>
        <v>0</v>
      </c>
      <c r="CV35" s="1029">
        <f t="shared" si="42"/>
        <v>0</v>
      </c>
      <c r="CW35" s="1029">
        <f t="shared" si="43"/>
        <v>0</v>
      </c>
      <c r="CX35" s="1029">
        <f t="shared" si="44"/>
        <v>0</v>
      </c>
      <c r="CY35" s="1029">
        <f t="shared" si="45"/>
        <v>0</v>
      </c>
      <c r="CZ35" s="1029">
        <f t="shared" si="46"/>
        <v>0</v>
      </c>
      <c r="DA35" s="1029">
        <f t="shared" si="47"/>
        <v>0</v>
      </c>
      <c r="DB35" s="1029">
        <f t="shared" si="48"/>
        <v>0</v>
      </c>
      <c r="DC35" s="1030"/>
      <c r="DD35" s="1031">
        <f t="shared" si="49"/>
        <v>0.77697930000000004</v>
      </c>
      <c r="DE35" s="1029">
        <f t="shared" si="50"/>
        <v>0</v>
      </c>
      <c r="DF35" s="1029">
        <f t="shared" si="51"/>
        <v>0</v>
      </c>
      <c r="DG35" s="1029">
        <f t="shared" si="52"/>
        <v>0</v>
      </c>
      <c r="DH35" s="1029">
        <f t="shared" si="53"/>
        <v>0</v>
      </c>
      <c r="DI35" s="1029">
        <f t="shared" si="54"/>
        <v>0</v>
      </c>
      <c r="DJ35" s="1029">
        <f t="shared" si="55"/>
        <v>0</v>
      </c>
      <c r="DK35" s="1029">
        <f t="shared" si="56"/>
        <v>0</v>
      </c>
      <c r="DL35" s="1029">
        <f t="shared" si="57"/>
        <v>0</v>
      </c>
      <c r="DM35" s="1029">
        <f t="shared" si="58"/>
        <v>0</v>
      </c>
      <c r="DN35" s="1029">
        <f t="shared" si="59"/>
        <v>0</v>
      </c>
      <c r="DO35" s="1029">
        <f t="shared" si="60"/>
        <v>0</v>
      </c>
      <c r="DP35" s="1030"/>
      <c r="DQ35" s="1031">
        <f t="shared" si="61"/>
        <v>0.8162336</v>
      </c>
      <c r="DR35" s="1029">
        <f t="shared" si="62"/>
        <v>0</v>
      </c>
      <c r="DS35" s="1029">
        <f t="shared" si="63"/>
        <v>0</v>
      </c>
      <c r="DT35" s="1029">
        <f t="shared" si="64"/>
        <v>0</v>
      </c>
      <c r="DU35" s="1029">
        <f t="shared" si="65"/>
        <v>0</v>
      </c>
      <c r="DV35" s="1029">
        <f t="shared" si="66"/>
        <v>0</v>
      </c>
      <c r="DW35" s="1029">
        <f t="shared" si="67"/>
        <v>0</v>
      </c>
      <c r="DX35" s="1029">
        <f t="shared" si="68"/>
        <v>0</v>
      </c>
      <c r="DY35" s="1029">
        <f t="shared" si="69"/>
        <v>0</v>
      </c>
      <c r="DZ35" s="1029">
        <f t="shared" si="70"/>
        <v>0</v>
      </c>
      <c r="EA35" s="1029">
        <f t="shared" si="71"/>
        <v>0</v>
      </c>
      <c r="EB35" s="1029">
        <f t="shared" si="72"/>
        <v>0</v>
      </c>
      <c r="EC35" s="1030"/>
      <c r="ED35" s="1031">
        <f t="shared" si="73"/>
        <v>0.84891570000000005</v>
      </c>
      <c r="EE35" s="1029">
        <f t="shared" si="74"/>
        <v>0</v>
      </c>
      <c r="EF35" s="1029">
        <f t="shared" si="75"/>
        <v>0</v>
      </c>
      <c r="EG35" s="1029">
        <f t="shared" si="76"/>
        <v>0</v>
      </c>
      <c r="EH35" s="1029">
        <f t="shared" si="77"/>
        <v>0</v>
      </c>
      <c r="EI35" s="1029">
        <f t="shared" si="78"/>
        <v>0</v>
      </c>
      <c r="EJ35" s="1029">
        <f t="shared" si="79"/>
        <v>0</v>
      </c>
      <c r="EK35" s="1029">
        <f t="shared" si="80"/>
        <v>0</v>
      </c>
      <c r="EL35" s="1029">
        <f t="shared" si="81"/>
        <v>0</v>
      </c>
      <c r="EM35" s="1029">
        <f t="shared" si="82"/>
        <v>0</v>
      </c>
      <c r="EN35" s="1029">
        <f t="shared" si="83"/>
        <v>0</v>
      </c>
      <c r="EO35" s="1029">
        <f t="shared" si="84"/>
        <v>0</v>
      </c>
    </row>
    <row r="36" spans="1:145" ht="18.75" x14ac:dyDescent="0.25">
      <c r="A36" s="1010" t="s">
        <v>687</v>
      </c>
      <c r="B36" s="1011">
        <f t="shared" si="0"/>
        <v>11.38</v>
      </c>
      <c r="C36" s="1011">
        <f t="shared" si="1"/>
        <v>11.75</v>
      </c>
      <c r="D36" s="1012">
        <v>0</v>
      </c>
      <c r="E36" s="1012">
        <v>0</v>
      </c>
      <c r="F36" s="1012">
        <v>1.5</v>
      </c>
      <c r="G36" s="1012">
        <v>3</v>
      </c>
      <c r="H36" s="1012">
        <v>0</v>
      </c>
      <c r="I36" s="1012">
        <v>7.25</v>
      </c>
      <c r="J36" s="1012">
        <v>6</v>
      </c>
      <c r="K36" s="1013">
        <f t="shared" si="2"/>
        <v>1.25</v>
      </c>
      <c r="L36" s="1013">
        <f t="shared" si="3"/>
        <v>5.01</v>
      </c>
      <c r="M36" s="1013">
        <f t="shared" si="4"/>
        <v>0.62</v>
      </c>
      <c r="N36" s="1011">
        <f t="shared" si="85"/>
        <v>212373.5</v>
      </c>
      <c r="O36" s="1012">
        <v>0</v>
      </c>
      <c r="P36" s="1014">
        <f t="shared" si="5"/>
        <v>0</v>
      </c>
      <c r="Q36" s="1015">
        <f t="shared" si="86"/>
        <v>24363</v>
      </c>
      <c r="R36" s="1015">
        <f t="shared" si="86"/>
        <v>48726</v>
      </c>
      <c r="S36" s="1015">
        <f t="shared" si="86"/>
        <v>0</v>
      </c>
      <c r="T36" s="1015">
        <f t="shared" si="87"/>
        <v>139284.5</v>
      </c>
      <c r="U36" s="1011">
        <f t="shared" si="6"/>
        <v>3</v>
      </c>
      <c r="V36" s="1014">
        <f t="shared" si="88"/>
        <v>0</v>
      </c>
      <c r="W36" s="1012">
        <v>3</v>
      </c>
      <c r="X36" s="1016">
        <v>0</v>
      </c>
      <c r="Y36" s="1012"/>
      <c r="Z36" s="1016">
        <v>0</v>
      </c>
      <c r="AA36" s="1012"/>
      <c r="AB36" s="1016">
        <v>15</v>
      </c>
      <c r="AC36" s="1012"/>
      <c r="AD36" s="1016">
        <v>15</v>
      </c>
      <c r="AE36" s="1012"/>
      <c r="AF36" s="1016">
        <v>0</v>
      </c>
      <c r="AG36" s="1017">
        <v>5</v>
      </c>
      <c r="AH36" s="1017">
        <v>0</v>
      </c>
      <c r="AI36" s="1017">
        <v>0</v>
      </c>
      <c r="AJ36" s="1018"/>
      <c r="AK36" s="1018">
        <f t="shared" si="89"/>
        <v>1.5</v>
      </c>
      <c r="AL36" s="1032">
        <v>1.5</v>
      </c>
      <c r="AM36" s="1014">
        <f t="shared" si="90"/>
        <v>30367.26</v>
      </c>
      <c r="AN36" s="1012">
        <v>32069.71</v>
      </c>
      <c r="AO36" s="1014">
        <f>IF(AL36=0,0,(AN36-AM36)*(I36-J36+L36+M36-AH36)/AL36*12)</f>
        <v>93702.85</v>
      </c>
      <c r="AP36" s="1012">
        <v>13540.8</v>
      </c>
      <c r="AQ36" s="1033">
        <v>54.05941</v>
      </c>
      <c r="AR36" s="1027">
        <v>30</v>
      </c>
      <c r="AS36" s="1033">
        <f t="shared" ref="AS36" si="92">6.1/12*3/100+1</f>
        <v>1.01525</v>
      </c>
      <c r="AT36" s="1011">
        <f t="shared" si="7"/>
        <v>2573971.06</v>
      </c>
      <c r="AU36" s="1023">
        <v>0</v>
      </c>
      <c r="AV36" s="1014">
        <f t="shared" si="8"/>
        <v>0</v>
      </c>
      <c r="AW36" s="1014">
        <f t="shared" si="9"/>
        <v>292356</v>
      </c>
      <c r="AX36" s="1014">
        <f t="shared" si="9"/>
        <v>584712</v>
      </c>
      <c r="AY36" s="1014">
        <f t="shared" si="9"/>
        <v>0</v>
      </c>
      <c r="AZ36" s="1014">
        <f t="shared" si="10"/>
        <v>1696903.06</v>
      </c>
      <c r="BA36" s="1024">
        <f t="shared" si="11"/>
        <v>49700.52</v>
      </c>
      <c r="BB36" s="1024">
        <f t="shared" si="12"/>
        <v>0</v>
      </c>
      <c r="BC36" s="1024">
        <f>F36*BC$9*AR36/100*12</f>
        <v>41877</v>
      </c>
      <c r="BD36" s="1024">
        <f>G36*BD$9*AR36/100*12</f>
        <v>94035.6</v>
      </c>
      <c r="BE36" s="1024">
        <f t="shared" si="15"/>
        <v>8857.7000000000007</v>
      </c>
      <c r="BF36" s="1014">
        <f t="shared" si="16"/>
        <v>129141.44</v>
      </c>
      <c r="BG36" s="1014">
        <f t="shared" si="17"/>
        <v>25828.29</v>
      </c>
      <c r="BH36" s="1011">
        <f t="shared" si="18"/>
        <v>2923411.6</v>
      </c>
      <c r="BI36" s="1011">
        <f t="shared" si="19"/>
        <v>882870.3</v>
      </c>
      <c r="BJ36" s="1011">
        <f t="shared" si="20"/>
        <v>3806281.9</v>
      </c>
      <c r="BK36" s="1025"/>
      <c r="BL36" s="1026">
        <f t="shared" si="21"/>
        <v>49</v>
      </c>
      <c r="BM36" s="1027">
        <v>49</v>
      </c>
      <c r="BN36" s="1027"/>
      <c r="BO36" s="1027"/>
      <c r="BP36" s="1027"/>
      <c r="BQ36" s="1027"/>
      <c r="BR36" s="1028">
        <v>1.1072</v>
      </c>
      <c r="BS36" s="1011">
        <f t="shared" si="22"/>
        <v>26572.799999999999</v>
      </c>
      <c r="BT36" s="1023">
        <v>12000</v>
      </c>
      <c r="BU36" s="1015">
        <f>BT36*BR36</f>
        <v>13286.4</v>
      </c>
      <c r="BV36" s="1023">
        <v>2000</v>
      </c>
      <c r="BW36" s="1015">
        <f>BV36*BR36</f>
        <v>2214.4</v>
      </c>
      <c r="BX36" s="1034"/>
      <c r="BY36" s="1015">
        <f>BX36*BR36</f>
        <v>0</v>
      </c>
      <c r="BZ36" s="1023">
        <v>10000</v>
      </c>
      <c r="CA36" s="1015">
        <f>I36*BZ$45*BR36</f>
        <v>11072</v>
      </c>
      <c r="CB36" s="1034"/>
      <c r="CC36" s="1015">
        <f>I36*CB$45*BR36</f>
        <v>0</v>
      </c>
      <c r="CD36" s="1011">
        <f t="shared" si="28"/>
        <v>77503.92</v>
      </c>
      <c r="CE36" s="1034"/>
      <c r="CF36" s="1015">
        <f>BL36*CE$46*BR36</f>
        <v>0</v>
      </c>
      <c r="CG36" s="1023">
        <v>70000</v>
      </c>
      <c r="CH36" s="1015">
        <f>BL36*CG$46*BR36</f>
        <v>77503.92</v>
      </c>
      <c r="CI36" s="1011">
        <f t="shared" si="31"/>
        <v>104076.72</v>
      </c>
      <c r="CJ36" s="1025"/>
      <c r="CK36" s="1011">
        <f t="shared" si="32"/>
        <v>3910358.62</v>
      </c>
      <c r="CL36" s="996"/>
      <c r="CM36" s="1029">
        <f t="shared" si="33"/>
        <v>3910.4</v>
      </c>
      <c r="CN36" s="1029">
        <f t="shared" si="34"/>
        <v>2923.4</v>
      </c>
      <c r="CO36" s="1029">
        <f t="shared" si="35"/>
        <v>0</v>
      </c>
      <c r="CP36" s="1029">
        <f t="shared" si="36"/>
        <v>334.2</v>
      </c>
      <c r="CQ36" s="1029">
        <f t="shared" si="37"/>
        <v>728.4</v>
      </c>
      <c r="CR36" s="1029">
        <f t="shared" si="38"/>
        <v>0</v>
      </c>
      <c r="CS36" s="1029">
        <f t="shared" si="39"/>
        <v>1705.8</v>
      </c>
      <c r="CT36" s="1029">
        <f t="shared" si="40"/>
        <v>155</v>
      </c>
      <c r="CU36" s="1029">
        <f t="shared" si="41"/>
        <v>882.9</v>
      </c>
      <c r="CV36" s="1029">
        <f t="shared" si="42"/>
        <v>13.3</v>
      </c>
      <c r="CW36" s="1029">
        <f t="shared" si="43"/>
        <v>2.2000000000000002</v>
      </c>
      <c r="CX36" s="1029">
        <f t="shared" si="44"/>
        <v>0</v>
      </c>
      <c r="CY36" s="1029">
        <f t="shared" si="45"/>
        <v>11.1</v>
      </c>
      <c r="CZ36" s="1029">
        <f t="shared" si="46"/>
        <v>0</v>
      </c>
      <c r="DA36" s="1029">
        <f t="shared" si="47"/>
        <v>0</v>
      </c>
      <c r="DB36" s="1029">
        <f t="shared" si="48"/>
        <v>77.5</v>
      </c>
      <c r="DC36" s="1030"/>
      <c r="DD36" s="1031">
        <f t="shared" si="49"/>
        <v>0.77697930000000004</v>
      </c>
      <c r="DE36" s="1029">
        <f t="shared" si="50"/>
        <v>3038.3</v>
      </c>
      <c r="DF36" s="1029">
        <f t="shared" si="51"/>
        <v>2271.4</v>
      </c>
      <c r="DG36" s="1029">
        <f t="shared" si="52"/>
        <v>686</v>
      </c>
      <c r="DH36" s="1029">
        <f t="shared" si="53"/>
        <v>10.3</v>
      </c>
      <c r="DI36" s="1029">
        <f t="shared" si="54"/>
        <v>1.7</v>
      </c>
      <c r="DJ36" s="1029">
        <f t="shared" si="55"/>
        <v>0</v>
      </c>
      <c r="DK36" s="1029">
        <f t="shared" si="56"/>
        <v>8.6</v>
      </c>
      <c r="DL36" s="1029">
        <f t="shared" si="57"/>
        <v>0</v>
      </c>
      <c r="DM36" s="1029">
        <f t="shared" si="58"/>
        <v>0</v>
      </c>
      <c r="DN36" s="1035">
        <f>ROUND(DB36*DD36,1)+0.1</f>
        <v>60.3</v>
      </c>
      <c r="DO36" s="1029">
        <f t="shared" si="60"/>
        <v>9</v>
      </c>
      <c r="DP36" s="1030"/>
      <c r="DQ36" s="1031">
        <f t="shared" si="61"/>
        <v>0.8162336</v>
      </c>
      <c r="DR36" s="1029">
        <f t="shared" si="62"/>
        <v>3191.8</v>
      </c>
      <c r="DS36" s="1029">
        <f t="shared" si="63"/>
        <v>2386.1999999999998</v>
      </c>
      <c r="DT36" s="1029">
        <f t="shared" si="64"/>
        <v>720.7</v>
      </c>
      <c r="DU36" s="1029">
        <f t="shared" si="65"/>
        <v>10.9</v>
      </c>
      <c r="DV36" s="1029">
        <f t="shared" si="66"/>
        <v>1.8</v>
      </c>
      <c r="DW36" s="1029">
        <f t="shared" si="67"/>
        <v>0</v>
      </c>
      <c r="DX36" s="1029">
        <f t="shared" si="68"/>
        <v>9.1</v>
      </c>
      <c r="DY36" s="1029">
        <f t="shared" si="69"/>
        <v>0</v>
      </c>
      <c r="DZ36" s="1029">
        <f t="shared" si="70"/>
        <v>0</v>
      </c>
      <c r="EA36" s="1035">
        <f>ROUND(DB36*DQ36,1)-0.2</f>
        <v>63.1</v>
      </c>
      <c r="EB36" s="1029">
        <f t="shared" si="72"/>
        <v>9.4</v>
      </c>
      <c r="EC36" s="1030"/>
      <c r="ED36" s="1031">
        <f t="shared" si="73"/>
        <v>0.84891570000000005</v>
      </c>
      <c r="EE36" s="1029">
        <f t="shared" si="74"/>
        <v>3319.6</v>
      </c>
      <c r="EF36" s="1029">
        <f t="shared" si="75"/>
        <v>2481.6999999999998</v>
      </c>
      <c r="EG36" s="1029">
        <f t="shared" si="76"/>
        <v>749.5</v>
      </c>
      <c r="EH36" s="1029">
        <f t="shared" si="77"/>
        <v>11.3</v>
      </c>
      <c r="EI36" s="1029">
        <f t="shared" si="78"/>
        <v>1.9</v>
      </c>
      <c r="EJ36" s="1029">
        <f t="shared" si="79"/>
        <v>0</v>
      </c>
      <c r="EK36" s="1029">
        <f t="shared" si="80"/>
        <v>9.4</v>
      </c>
      <c r="EL36" s="1029">
        <f t="shared" si="81"/>
        <v>0</v>
      </c>
      <c r="EM36" s="1029">
        <f t="shared" si="82"/>
        <v>0</v>
      </c>
      <c r="EN36" s="1029">
        <f t="shared" si="83"/>
        <v>65.8</v>
      </c>
      <c r="EO36" s="1029">
        <f t="shared" si="84"/>
        <v>9.8000000000000007</v>
      </c>
    </row>
    <row r="37" spans="1:145" ht="18.75" hidden="1" x14ac:dyDescent="0.25">
      <c r="A37" s="1010" t="s">
        <v>1685</v>
      </c>
      <c r="B37" s="1011">
        <f t="shared" si="0"/>
        <v>0</v>
      </c>
      <c r="C37" s="1011">
        <f t="shared" si="1"/>
        <v>0</v>
      </c>
      <c r="D37" s="1012"/>
      <c r="E37" s="1012"/>
      <c r="F37" s="1012"/>
      <c r="G37" s="1012"/>
      <c r="H37" s="1012"/>
      <c r="I37" s="1012"/>
      <c r="J37" s="1012"/>
      <c r="K37" s="1013">
        <f t="shared" si="2"/>
        <v>0</v>
      </c>
      <c r="L37" s="1013">
        <f t="shared" si="3"/>
        <v>0</v>
      </c>
      <c r="M37" s="1013">
        <f t="shared" si="4"/>
        <v>0</v>
      </c>
      <c r="N37" s="1011">
        <f t="shared" si="85"/>
        <v>0</v>
      </c>
      <c r="O37" s="1012"/>
      <c r="P37" s="1014">
        <f t="shared" si="5"/>
        <v>0</v>
      </c>
      <c r="Q37" s="1015">
        <f t="shared" si="86"/>
        <v>0</v>
      </c>
      <c r="R37" s="1015">
        <f t="shared" si="86"/>
        <v>0</v>
      </c>
      <c r="S37" s="1015">
        <f t="shared" si="86"/>
        <v>0</v>
      </c>
      <c r="T37" s="1015">
        <f t="shared" si="87"/>
        <v>0</v>
      </c>
      <c r="U37" s="1011">
        <f t="shared" si="6"/>
        <v>0</v>
      </c>
      <c r="V37" s="1014">
        <f t="shared" si="88"/>
        <v>0</v>
      </c>
      <c r="W37" s="1012"/>
      <c r="X37" s="1016">
        <v>0</v>
      </c>
      <c r="Y37" s="1012"/>
      <c r="Z37" s="1016">
        <v>0</v>
      </c>
      <c r="AA37" s="1012"/>
      <c r="AB37" s="1016">
        <v>15</v>
      </c>
      <c r="AC37" s="1012"/>
      <c r="AD37" s="1016">
        <v>15</v>
      </c>
      <c r="AE37" s="1012"/>
      <c r="AF37" s="1016">
        <v>0</v>
      </c>
      <c r="AG37" s="1017"/>
      <c r="AH37" s="1017"/>
      <c r="AI37" s="1017"/>
      <c r="AJ37" s="1018"/>
      <c r="AK37" s="1018">
        <f t="shared" si="89"/>
        <v>0</v>
      </c>
      <c r="AL37" s="1019"/>
      <c r="AM37" s="1014">
        <f t="shared" si="90"/>
        <v>0</v>
      </c>
      <c r="AN37" s="1012"/>
      <c r="AO37" s="1014">
        <f t="shared" ref="AO37:AO40" si="93">IF(AL37=0,0,(AN37-AM37)*(I37-J37+L37+M37-AH37)/AL37*12)</f>
        <v>0</v>
      </c>
      <c r="AP37" s="1012"/>
      <c r="AQ37" s="1033"/>
      <c r="AR37" s="1027"/>
      <c r="AS37" s="1033"/>
      <c r="AT37" s="1011">
        <f t="shared" si="7"/>
        <v>0</v>
      </c>
      <c r="AU37" s="1023">
        <v>0</v>
      </c>
      <c r="AV37" s="1014">
        <f t="shared" si="8"/>
        <v>0</v>
      </c>
      <c r="AW37" s="1014">
        <f t="shared" si="9"/>
        <v>0</v>
      </c>
      <c r="AX37" s="1014">
        <f t="shared" si="9"/>
        <v>0</v>
      </c>
      <c r="AY37" s="1014">
        <f t="shared" si="9"/>
        <v>0</v>
      </c>
      <c r="AZ37" s="1014">
        <f t="shared" si="10"/>
        <v>0</v>
      </c>
      <c r="BA37" s="1024">
        <f t="shared" si="11"/>
        <v>0</v>
      </c>
      <c r="BB37" s="1024">
        <f t="shared" si="12"/>
        <v>0</v>
      </c>
      <c r="BC37" s="1024">
        <f t="shared" si="13"/>
        <v>0</v>
      </c>
      <c r="BD37" s="1024">
        <f t="shared" si="14"/>
        <v>0</v>
      </c>
      <c r="BE37" s="1024">
        <f t="shared" si="15"/>
        <v>0</v>
      </c>
      <c r="BF37" s="1014">
        <f t="shared" si="16"/>
        <v>0</v>
      </c>
      <c r="BG37" s="1014">
        <f t="shared" si="17"/>
        <v>0</v>
      </c>
      <c r="BH37" s="1011">
        <f t="shared" si="18"/>
        <v>0</v>
      </c>
      <c r="BI37" s="1011">
        <f t="shared" si="19"/>
        <v>0</v>
      </c>
      <c r="BJ37" s="1011">
        <f t="shared" si="20"/>
        <v>0</v>
      </c>
      <c r="BK37" s="1025"/>
      <c r="BL37" s="1026">
        <f t="shared" si="21"/>
        <v>0</v>
      </c>
      <c r="BM37" s="1027"/>
      <c r="BN37" s="1027"/>
      <c r="BO37" s="1027"/>
      <c r="BP37" s="1027"/>
      <c r="BQ37" s="1027"/>
      <c r="BR37" s="1028">
        <v>1.1072</v>
      </c>
      <c r="BS37" s="1011">
        <f t="shared" si="22"/>
        <v>0</v>
      </c>
      <c r="BT37" s="1023"/>
      <c r="BU37" s="1015">
        <f t="shared" ref="BU37:BU40" si="94">BT37*BR37</f>
        <v>0</v>
      </c>
      <c r="BV37" s="1023"/>
      <c r="BW37" s="1015">
        <f t="shared" ref="BW37:BW40" si="95">I37*BV$45*BR37</f>
        <v>0</v>
      </c>
      <c r="BX37" s="1023"/>
      <c r="BY37" s="1015">
        <f t="shared" ref="BY37:BY40" si="96">BX37*BR37</f>
        <v>0</v>
      </c>
      <c r="BZ37" s="1023"/>
      <c r="CA37" s="1015">
        <f t="shared" ref="CA37:CA40" si="97">I37*BZ$45*BR37</f>
        <v>0</v>
      </c>
      <c r="CB37" s="1023"/>
      <c r="CC37" s="1015">
        <f t="shared" ref="CC37:CC40" si="98">I37*CB$45*BR37</f>
        <v>0</v>
      </c>
      <c r="CD37" s="1011">
        <f t="shared" si="28"/>
        <v>0</v>
      </c>
      <c r="CE37" s="1023"/>
      <c r="CF37" s="1015">
        <f t="shared" ref="CF37:CF40" si="99">BL37*CE$46*BR37</f>
        <v>0</v>
      </c>
      <c r="CG37" s="1023"/>
      <c r="CH37" s="1015">
        <f t="shared" ref="CH37:CH40" si="100">BL37*CG$46*BR37</f>
        <v>0</v>
      </c>
      <c r="CI37" s="1011">
        <f t="shared" si="31"/>
        <v>0</v>
      </c>
      <c r="CJ37" s="1025"/>
      <c r="CK37" s="1011">
        <f t="shared" si="32"/>
        <v>0</v>
      </c>
      <c r="CL37" s="996"/>
      <c r="CM37" s="1029">
        <f t="shared" si="33"/>
        <v>0</v>
      </c>
      <c r="CN37" s="1029">
        <f t="shared" si="34"/>
        <v>0</v>
      </c>
      <c r="CO37" s="1029">
        <f t="shared" si="35"/>
        <v>0</v>
      </c>
      <c r="CP37" s="1029">
        <f t="shared" si="36"/>
        <v>0</v>
      </c>
      <c r="CQ37" s="1029">
        <f t="shared" si="37"/>
        <v>0</v>
      </c>
      <c r="CR37" s="1029">
        <f t="shared" si="38"/>
        <v>0</v>
      </c>
      <c r="CS37" s="1029">
        <f t="shared" si="39"/>
        <v>0</v>
      </c>
      <c r="CT37" s="1029">
        <f t="shared" si="40"/>
        <v>0</v>
      </c>
      <c r="CU37" s="1029">
        <f t="shared" si="41"/>
        <v>0</v>
      </c>
      <c r="CV37" s="1029">
        <f t="shared" si="42"/>
        <v>0</v>
      </c>
      <c r="CW37" s="1029">
        <f t="shared" si="43"/>
        <v>0</v>
      </c>
      <c r="CX37" s="1029">
        <f t="shared" si="44"/>
        <v>0</v>
      </c>
      <c r="CY37" s="1029">
        <f t="shared" si="45"/>
        <v>0</v>
      </c>
      <c r="CZ37" s="1029">
        <f t="shared" si="46"/>
        <v>0</v>
      </c>
      <c r="DA37" s="1029">
        <f t="shared" si="47"/>
        <v>0</v>
      </c>
      <c r="DB37" s="1029">
        <f t="shared" si="48"/>
        <v>0</v>
      </c>
      <c r="DC37" s="1030"/>
      <c r="DD37" s="1031">
        <f t="shared" si="49"/>
        <v>0.77697930000000004</v>
      </c>
      <c r="DE37" s="1029">
        <f t="shared" si="50"/>
        <v>0</v>
      </c>
      <c r="DF37" s="1029">
        <f t="shared" si="51"/>
        <v>0</v>
      </c>
      <c r="DG37" s="1029">
        <f t="shared" si="52"/>
        <v>0</v>
      </c>
      <c r="DH37" s="1029">
        <f t="shared" si="53"/>
        <v>0</v>
      </c>
      <c r="DI37" s="1029">
        <f t="shared" si="54"/>
        <v>0</v>
      </c>
      <c r="DJ37" s="1029">
        <f t="shared" si="55"/>
        <v>0</v>
      </c>
      <c r="DK37" s="1029">
        <f t="shared" si="56"/>
        <v>0</v>
      </c>
      <c r="DL37" s="1029">
        <f t="shared" si="57"/>
        <v>0</v>
      </c>
      <c r="DM37" s="1029">
        <f t="shared" si="58"/>
        <v>0</v>
      </c>
      <c r="DN37" s="1029">
        <f t="shared" si="59"/>
        <v>0</v>
      </c>
      <c r="DO37" s="1029">
        <f t="shared" si="60"/>
        <v>0</v>
      </c>
      <c r="DP37" s="1030"/>
      <c r="DQ37" s="1031">
        <f t="shared" si="61"/>
        <v>0.8162336</v>
      </c>
      <c r="DR37" s="1029">
        <f t="shared" si="62"/>
        <v>0</v>
      </c>
      <c r="DS37" s="1029">
        <f t="shared" si="63"/>
        <v>0</v>
      </c>
      <c r="DT37" s="1029">
        <f t="shared" si="64"/>
        <v>0</v>
      </c>
      <c r="DU37" s="1029">
        <f t="shared" si="65"/>
        <v>0</v>
      </c>
      <c r="DV37" s="1029">
        <f t="shared" si="66"/>
        <v>0</v>
      </c>
      <c r="DW37" s="1029">
        <f t="shared" si="67"/>
        <v>0</v>
      </c>
      <c r="DX37" s="1029">
        <f t="shared" si="68"/>
        <v>0</v>
      </c>
      <c r="DY37" s="1029">
        <f t="shared" si="69"/>
        <v>0</v>
      </c>
      <c r="DZ37" s="1029">
        <f t="shared" si="70"/>
        <v>0</v>
      </c>
      <c r="EA37" s="1029">
        <f t="shared" si="71"/>
        <v>0</v>
      </c>
      <c r="EB37" s="1029">
        <f t="shared" si="72"/>
        <v>0</v>
      </c>
      <c r="EC37" s="1030"/>
      <c r="ED37" s="1031">
        <f t="shared" si="73"/>
        <v>0.84891570000000005</v>
      </c>
      <c r="EE37" s="1029">
        <f t="shared" si="74"/>
        <v>0</v>
      </c>
      <c r="EF37" s="1029">
        <f t="shared" si="75"/>
        <v>0</v>
      </c>
      <c r="EG37" s="1029">
        <f t="shared" si="76"/>
        <v>0</v>
      </c>
      <c r="EH37" s="1029">
        <f t="shared" si="77"/>
        <v>0</v>
      </c>
      <c r="EI37" s="1029">
        <f t="shared" si="78"/>
        <v>0</v>
      </c>
      <c r="EJ37" s="1029">
        <f t="shared" si="79"/>
        <v>0</v>
      </c>
      <c r="EK37" s="1029">
        <f t="shared" si="80"/>
        <v>0</v>
      </c>
      <c r="EL37" s="1029">
        <f t="shared" si="81"/>
        <v>0</v>
      </c>
      <c r="EM37" s="1029">
        <f t="shared" si="82"/>
        <v>0</v>
      </c>
      <c r="EN37" s="1029">
        <f t="shared" si="83"/>
        <v>0</v>
      </c>
      <c r="EO37" s="1029">
        <f t="shared" si="84"/>
        <v>0</v>
      </c>
    </row>
    <row r="38" spans="1:145" ht="18.75" hidden="1" x14ac:dyDescent="0.25">
      <c r="A38" s="1010" t="s">
        <v>689</v>
      </c>
      <c r="B38" s="1011">
        <f t="shared" si="0"/>
        <v>0</v>
      </c>
      <c r="C38" s="1011">
        <f t="shared" si="1"/>
        <v>0</v>
      </c>
      <c r="D38" s="1012"/>
      <c r="E38" s="1012"/>
      <c r="F38" s="1012"/>
      <c r="G38" s="1012"/>
      <c r="H38" s="1012"/>
      <c r="I38" s="1012"/>
      <c r="J38" s="1012"/>
      <c r="K38" s="1013">
        <f t="shared" si="2"/>
        <v>0</v>
      </c>
      <c r="L38" s="1013">
        <f t="shared" si="3"/>
        <v>0</v>
      </c>
      <c r="M38" s="1013">
        <f t="shared" si="4"/>
        <v>0</v>
      </c>
      <c r="N38" s="1011">
        <f t="shared" si="85"/>
        <v>0</v>
      </c>
      <c r="O38" s="1012"/>
      <c r="P38" s="1014">
        <f t="shared" si="5"/>
        <v>0</v>
      </c>
      <c r="Q38" s="1015">
        <f t="shared" si="86"/>
        <v>0</v>
      </c>
      <c r="R38" s="1015">
        <f t="shared" si="86"/>
        <v>0</v>
      </c>
      <c r="S38" s="1015">
        <f t="shared" si="86"/>
        <v>0</v>
      </c>
      <c r="T38" s="1015">
        <f t="shared" si="87"/>
        <v>0</v>
      </c>
      <c r="U38" s="1011">
        <f t="shared" si="6"/>
        <v>0</v>
      </c>
      <c r="V38" s="1014">
        <f t="shared" si="88"/>
        <v>0</v>
      </c>
      <c r="W38" s="1012"/>
      <c r="X38" s="1016">
        <v>0</v>
      </c>
      <c r="Y38" s="1012"/>
      <c r="Z38" s="1016">
        <v>0</v>
      </c>
      <c r="AA38" s="1012"/>
      <c r="AB38" s="1016">
        <v>15</v>
      </c>
      <c r="AC38" s="1012"/>
      <c r="AD38" s="1016">
        <v>15</v>
      </c>
      <c r="AE38" s="1012"/>
      <c r="AF38" s="1016">
        <v>0</v>
      </c>
      <c r="AG38" s="1017"/>
      <c r="AH38" s="1017"/>
      <c r="AI38" s="1017"/>
      <c r="AJ38" s="1018"/>
      <c r="AK38" s="1018">
        <f t="shared" si="89"/>
        <v>0</v>
      </c>
      <c r="AL38" s="1019"/>
      <c r="AM38" s="1014">
        <f t="shared" si="90"/>
        <v>0</v>
      </c>
      <c r="AN38" s="1012"/>
      <c r="AO38" s="1014">
        <f t="shared" si="93"/>
        <v>0</v>
      </c>
      <c r="AP38" s="1012"/>
      <c r="AQ38" s="1033"/>
      <c r="AR38" s="1027"/>
      <c r="AS38" s="1033"/>
      <c r="AT38" s="1011">
        <f t="shared" si="7"/>
        <v>0</v>
      </c>
      <c r="AU38" s="1023">
        <v>0</v>
      </c>
      <c r="AV38" s="1014">
        <f t="shared" si="8"/>
        <v>0</v>
      </c>
      <c r="AW38" s="1014">
        <f t="shared" si="9"/>
        <v>0</v>
      </c>
      <c r="AX38" s="1014">
        <f t="shared" si="9"/>
        <v>0</v>
      </c>
      <c r="AY38" s="1014">
        <f t="shared" si="9"/>
        <v>0</v>
      </c>
      <c r="AZ38" s="1014">
        <f t="shared" si="10"/>
        <v>0</v>
      </c>
      <c r="BA38" s="1024">
        <f t="shared" si="11"/>
        <v>0</v>
      </c>
      <c r="BB38" s="1024">
        <f t="shared" si="12"/>
        <v>0</v>
      </c>
      <c r="BC38" s="1024">
        <f t="shared" si="13"/>
        <v>0</v>
      </c>
      <c r="BD38" s="1024">
        <f t="shared" si="14"/>
        <v>0</v>
      </c>
      <c r="BE38" s="1024">
        <f t="shared" si="15"/>
        <v>0</v>
      </c>
      <c r="BF38" s="1014">
        <f t="shared" si="16"/>
        <v>0</v>
      </c>
      <c r="BG38" s="1014">
        <f t="shared" si="17"/>
        <v>0</v>
      </c>
      <c r="BH38" s="1011">
        <f t="shared" si="18"/>
        <v>0</v>
      </c>
      <c r="BI38" s="1011">
        <f t="shared" si="19"/>
        <v>0</v>
      </c>
      <c r="BJ38" s="1011">
        <f t="shared" si="20"/>
        <v>0</v>
      </c>
      <c r="BK38" s="1025"/>
      <c r="BL38" s="1026">
        <f t="shared" si="21"/>
        <v>0</v>
      </c>
      <c r="BM38" s="1027"/>
      <c r="BN38" s="1027"/>
      <c r="BO38" s="1027"/>
      <c r="BP38" s="1027"/>
      <c r="BQ38" s="1027"/>
      <c r="BR38" s="1028">
        <v>1.1072</v>
      </c>
      <c r="BS38" s="1011">
        <f t="shared" si="22"/>
        <v>0</v>
      </c>
      <c r="BT38" s="1023"/>
      <c r="BU38" s="1015">
        <f t="shared" si="94"/>
        <v>0</v>
      </c>
      <c r="BV38" s="1023"/>
      <c r="BW38" s="1015">
        <f t="shared" si="95"/>
        <v>0</v>
      </c>
      <c r="BX38" s="1023"/>
      <c r="BY38" s="1015">
        <f t="shared" si="96"/>
        <v>0</v>
      </c>
      <c r="BZ38" s="1023"/>
      <c r="CA38" s="1015">
        <f t="shared" si="97"/>
        <v>0</v>
      </c>
      <c r="CB38" s="1023"/>
      <c r="CC38" s="1015">
        <f t="shared" si="98"/>
        <v>0</v>
      </c>
      <c r="CD38" s="1011">
        <f t="shared" si="28"/>
        <v>0</v>
      </c>
      <c r="CE38" s="1023"/>
      <c r="CF38" s="1015">
        <f t="shared" si="99"/>
        <v>0</v>
      </c>
      <c r="CG38" s="1023"/>
      <c r="CH38" s="1015">
        <f t="shared" si="100"/>
        <v>0</v>
      </c>
      <c r="CI38" s="1011">
        <f t="shared" si="31"/>
        <v>0</v>
      </c>
      <c r="CJ38" s="1025"/>
      <c r="CK38" s="1011">
        <f t="shared" si="32"/>
        <v>0</v>
      </c>
      <c r="CL38" s="996"/>
      <c r="CM38" s="1029">
        <f t="shared" si="33"/>
        <v>0</v>
      </c>
      <c r="CN38" s="1029">
        <f t="shared" si="34"/>
        <v>0</v>
      </c>
      <c r="CO38" s="1029">
        <f t="shared" si="35"/>
        <v>0</v>
      </c>
      <c r="CP38" s="1029">
        <f t="shared" si="36"/>
        <v>0</v>
      </c>
      <c r="CQ38" s="1029">
        <f t="shared" si="37"/>
        <v>0</v>
      </c>
      <c r="CR38" s="1029">
        <f t="shared" si="38"/>
        <v>0</v>
      </c>
      <c r="CS38" s="1029">
        <f t="shared" si="39"/>
        <v>0</v>
      </c>
      <c r="CT38" s="1029">
        <f t="shared" si="40"/>
        <v>0</v>
      </c>
      <c r="CU38" s="1029">
        <f t="shared" si="41"/>
        <v>0</v>
      </c>
      <c r="CV38" s="1029">
        <f t="shared" si="42"/>
        <v>0</v>
      </c>
      <c r="CW38" s="1029">
        <f t="shared" si="43"/>
        <v>0</v>
      </c>
      <c r="CX38" s="1029">
        <f t="shared" si="44"/>
        <v>0</v>
      </c>
      <c r="CY38" s="1029">
        <f t="shared" si="45"/>
        <v>0</v>
      </c>
      <c r="CZ38" s="1029">
        <f t="shared" si="46"/>
        <v>0</v>
      </c>
      <c r="DA38" s="1029">
        <f t="shared" si="47"/>
        <v>0</v>
      </c>
      <c r="DB38" s="1029">
        <f t="shared" si="48"/>
        <v>0</v>
      </c>
      <c r="DC38" s="1030"/>
      <c r="DD38" s="1031">
        <f t="shared" si="49"/>
        <v>0.77697930000000004</v>
      </c>
      <c r="DE38" s="1029">
        <f t="shared" si="50"/>
        <v>0</v>
      </c>
      <c r="DF38" s="1029">
        <f t="shared" si="51"/>
        <v>0</v>
      </c>
      <c r="DG38" s="1029">
        <f t="shared" si="52"/>
        <v>0</v>
      </c>
      <c r="DH38" s="1029">
        <f t="shared" si="53"/>
        <v>0</v>
      </c>
      <c r="DI38" s="1029">
        <f t="shared" si="54"/>
        <v>0</v>
      </c>
      <c r="DJ38" s="1029">
        <f t="shared" si="55"/>
        <v>0</v>
      </c>
      <c r="DK38" s="1029">
        <f t="shared" si="56"/>
        <v>0</v>
      </c>
      <c r="DL38" s="1029">
        <f t="shared" si="57"/>
        <v>0</v>
      </c>
      <c r="DM38" s="1029">
        <f t="shared" si="58"/>
        <v>0</v>
      </c>
      <c r="DN38" s="1029">
        <f t="shared" si="59"/>
        <v>0</v>
      </c>
      <c r="DO38" s="1029">
        <f t="shared" si="60"/>
        <v>0</v>
      </c>
      <c r="DP38" s="1030"/>
      <c r="DQ38" s="1031">
        <f t="shared" si="61"/>
        <v>0.8162336</v>
      </c>
      <c r="DR38" s="1029">
        <f t="shared" si="62"/>
        <v>0</v>
      </c>
      <c r="DS38" s="1029">
        <f t="shared" si="63"/>
        <v>0</v>
      </c>
      <c r="DT38" s="1029">
        <f t="shared" si="64"/>
        <v>0</v>
      </c>
      <c r="DU38" s="1029">
        <f t="shared" si="65"/>
        <v>0</v>
      </c>
      <c r="DV38" s="1029">
        <f t="shared" si="66"/>
        <v>0</v>
      </c>
      <c r="DW38" s="1029">
        <f t="shared" si="67"/>
        <v>0</v>
      </c>
      <c r="DX38" s="1029">
        <f t="shared" si="68"/>
        <v>0</v>
      </c>
      <c r="DY38" s="1029">
        <f t="shared" si="69"/>
        <v>0</v>
      </c>
      <c r="DZ38" s="1029">
        <f t="shared" si="70"/>
        <v>0</v>
      </c>
      <c r="EA38" s="1029">
        <f t="shared" si="71"/>
        <v>0</v>
      </c>
      <c r="EB38" s="1029">
        <f t="shared" si="72"/>
        <v>0</v>
      </c>
      <c r="EC38" s="1030"/>
      <c r="ED38" s="1031">
        <f t="shared" si="73"/>
        <v>0.84891570000000005</v>
      </c>
      <c r="EE38" s="1029">
        <f t="shared" si="74"/>
        <v>0</v>
      </c>
      <c r="EF38" s="1029">
        <f t="shared" si="75"/>
        <v>0</v>
      </c>
      <c r="EG38" s="1029">
        <f t="shared" si="76"/>
        <v>0</v>
      </c>
      <c r="EH38" s="1029">
        <f t="shared" si="77"/>
        <v>0</v>
      </c>
      <c r="EI38" s="1029">
        <f t="shared" si="78"/>
        <v>0</v>
      </c>
      <c r="EJ38" s="1029">
        <f t="shared" si="79"/>
        <v>0</v>
      </c>
      <c r="EK38" s="1029">
        <f t="shared" si="80"/>
        <v>0</v>
      </c>
      <c r="EL38" s="1029">
        <f t="shared" si="81"/>
        <v>0</v>
      </c>
      <c r="EM38" s="1029">
        <f t="shared" si="82"/>
        <v>0</v>
      </c>
      <c r="EN38" s="1029">
        <f t="shared" si="83"/>
        <v>0</v>
      </c>
      <c r="EO38" s="1029">
        <f t="shared" si="84"/>
        <v>0</v>
      </c>
    </row>
    <row r="39" spans="1:145" ht="18.75" hidden="1" x14ac:dyDescent="0.25">
      <c r="A39" s="1010" t="s">
        <v>690</v>
      </c>
      <c r="B39" s="1011">
        <f t="shared" si="0"/>
        <v>0</v>
      </c>
      <c r="C39" s="1011">
        <f t="shared" si="1"/>
        <v>0</v>
      </c>
      <c r="D39" s="1012"/>
      <c r="E39" s="1012"/>
      <c r="F39" s="1012"/>
      <c r="G39" s="1012"/>
      <c r="H39" s="1012"/>
      <c r="I39" s="1012"/>
      <c r="J39" s="1012"/>
      <c r="K39" s="1013">
        <f t="shared" si="2"/>
        <v>0</v>
      </c>
      <c r="L39" s="1013">
        <f t="shared" si="3"/>
        <v>0</v>
      </c>
      <c r="M39" s="1013">
        <f t="shared" si="4"/>
        <v>0</v>
      </c>
      <c r="N39" s="1011">
        <f t="shared" si="85"/>
        <v>0</v>
      </c>
      <c r="O39" s="1012"/>
      <c r="P39" s="1014">
        <f t="shared" si="5"/>
        <v>0</v>
      </c>
      <c r="Q39" s="1015">
        <f t="shared" si="86"/>
        <v>0</v>
      </c>
      <c r="R39" s="1015">
        <f t="shared" si="86"/>
        <v>0</v>
      </c>
      <c r="S39" s="1015">
        <f t="shared" si="86"/>
        <v>0</v>
      </c>
      <c r="T39" s="1015">
        <f t="shared" si="87"/>
        <v>0</v>
      </c>
      <c r="U39" s="1011">
        <f t="shared" si="6"/>
        <v>0</v>
      </c>
      <c r="V39" s="1014">
        <f t="shared" si="88"/>
        <v>0</v>
      </c>
      <c r="W39" s="1012"/>
      <c r="X39" s="1016">
        <v>0</v>
      </c>
      <c r="Y39" s="1012"/>
      <c r="Z39" s="1016">
        <v>0</v>
      </c>
      <c r="AA39" s="1012"/>
      <c r="AB39" s="1016">
        <v>15</v>
      </c>
      <c r="AC39" s="1012"/>
      <c r="AD39" s="1016">
        <v>15</v>
      </c>
      <c r="AE39" s="1012"/>
      <c r="AF39" s="1016">
        <v>0</v>
      </c>
      <c r="AG39" s="1017"/>
      <c r="AH39" s="1017"/>
      <c r="AI39" s="1017"/>
      <c r="AJ39" s="1018"/>
      <c r="AK39" s="1018">
        <f t="shared" si="89"/>
        <v>0</v>
      </c>
      <c r="AL39" s="1019"/>
      <c r="AM39" s="1014">
        <f t="shared" si="90"/>
        <v>0</v>
      </c>
      <c r="AN39" s="1012"/>
      <c r="AO39" s="1014">
        <f t="shared" si="93"/>
        <v>0</v>
      </c>
      <c r="AP39" s="1012"/>
      <c r="AQ39" s="1033"/>
      <c r="AR39" s="1027"/>
      <c r="AS39" s="1033"/>
      <c r="AT39" s="1011">
        <f t="shared" si="7"/>
        <v>0</v>
      </c>
      <c r="AU39" s="1023">
        <v>0</v>
      </c>
      <c r="AV39" s="1014">
        <f t="shared" si="8"/>
        <v>0</v>
      </c>
      <c r="AW39" s="1014">
        <f t="shared" si="9"/>
        <v>0</v>
      </c>
      <c r="AX39" s="1014">
        <f t="shared" si="9"/>
        <v>0</v>
      </c>
      <c r="AY39" s="1014">
        <f t="shared" si="9"/>
        <v>0</v>
      </c>
      <c r="AZ39" s="1014">
        <f t="shared" si="10"/>
        <v>0</v>
      </c>
      <c r="BA39" s="1024">
        <f t="shared" si="11"/>
        <v>0</v>
      </c>
      <c r="BB39" s="1024">
        <f t="shared" si="12"/>
        <v>0</v>
      </c>
      <c r="BC39" s="1024">
        <f t="shared" si="13"/>
        <v>0</v>
      </c>
      <c r="BD39" s="1024">
        <f t="shared" si="14"/>
        <v>0</v>
      </c>
      <c r="BE39" s="1024">
        <f t="shared" si="15"/>
        <v>0</v>
      </c>
      <c r="BF39" s="1014">
        <f t="shared" si="16"/>
        <v>0</v>
      </c>
      <c r="BG39" s="1014">
        <f t="shared" si="17"/>
        <v>0</v>
      </c>
      <c r="BH39" s="1011">
        <f t="shared" si="18"/>
        <v>0</v>
      </c>
      <c r="BI39" s="1011">
        <f t="shared" si="19"/>
        <v>0</v>
      </c>
      <c r="BJ39" s="1011">
        <f t="shared" si="20"/>
        <v>0</v>
      </c>
      <c r="BK39" s="1025"/>
      <c r="BL39" s="1026">
        <f t="shared" si="21"/>
        <v>0</v>
      </c>
      <c r="BM39" s="1027"/>
      <c r="BN39" s="1027"/>
      <c r="BO39" s="1027"/>
      <c r="BP39" s="1027"/>
      <c r="BQ39" s="1027"/>
      <c r="BR39" s="1028">
        <v>1.1072</v>
      </c>
      <c r="BS39" s="1011">
        <f t="shared" si="22"/>
        <v>0</v>
      </c>
      <c r="BT39" s="1023"/>
      <c r="BU39" s="1015">
        <f t="shared" si="94"/>
        <v>0</v>
      </c>
      <c r="BV39" s="1023"/>
      <c r="BW39" s="1015">
        <f t="shared" si="95"/>
        <v>0</v>
      </c>
      <c r="BX39" s="1023"/>
      <c r="BY39" s="1015">
        <f t="shared" si="96"/>
        <v>0</v>
      </c>
      <c r="BZ39" s="1023"/>
      <c r="CA39" s="1015">
        <f t="shared" si="97"/>
        <v>0</v>
      </c>
      <c r="CB39" s="1023"/>
      <c r="CC39" s="1015">
        <f t="shared" si="98"/>
        <v>0</v>
      </c>
      <c r="CD39" s="1011">
        <f t="shared" si="28"/>
        <v>0</v>
      </c>
      <c r="CE39" s="1023"/>
      <c r="CF39" s="1015">
        <f t="shared" si="99"/>
        <v>0</v>
      </c>
      <c r="CG39" s="1023"/>
      <c r="CH39" s="1015">
        <f t="shared" si="100"/>
        <v>0</v>
      </c>
      <c r="CI39" s="1011">
        <f t="shared" si="31"/>
        <v>0</v>
      </c>
      <c r="CJ39" s="1025"/>
      <c r="CK39" s="1011">
        <f t="shared" si="32"/>
        <v>0</v>
      </c>
      <c r="CL39" s="996"/>
      <c r="CM39" s="1029">
        <f t="shared" si="33"/>
        <v>0</v>
      </c>
      <c r="CN39" s="1029">
        <f t="shared" si="34"/>
        <v>0</v>
      </c>
      <c r="CO39" s="1029">
        <f t="shared" si="35"/>
        <v>0</v>
      </c>
      <c r="CP39" s="1029">
        <f t="shared" si="36"/>
        <v>0</v>
      </c>
      <c r="CQ39" s="1029">
        <f t="shared" si="37"/>
        <v>0</v>
      </c>
      <c r="CR39" s="1029">
        <f t="shared" si="38"/>
        <v>0</v>
      </c>
      <c r="CS39" s="1029">
        <f t="shared" si="39"/>
        <v>0</v>
      </c>
      <c r="CT39" s="1029">
        <f t="shared" si="40"/>
        <v>0</v>
      </c>
      <c r="CU39" s="1029">
        <f t="shared" si="41"/>
        <v>0</v>
      </c>
      <c r="CV39" s="1029">
        <f t="shared" si="42"/>
        <v>0</v>
      </c>
      <c r="CW39" s="1029">
        <f t="shared" si="43"/>
        <v>0</v>
      </c>
      <c r="CX39" s="1029">
        <f t="shared" si="44"/>
        <v>0</v>
      </c>
      <c r="CY39" s="1029">
        <f t="shared" si="45"/>
        <v>0</v>
      </c>
      <c r="CZ39" s="1029">
        <f t="shared" si="46"/>
        <v>0</v>
      </c>
      <c r="DA39" s="1029">
        <f t="shared" si="47"/>
        <v>0</v>
      </c>
      <c r="DB39" s="1029">
        <f t="shared" si="48"/>
        <v>0</v>
      </c>
      <c r="DC39" s="1030"/>
      <c r="DD39" s="1031">
        <f t="shared" si="49"/>
        <v>0.77697930000000004</v>
      </c>
      <c r="DE39" s="1029">
        <f t="shared" si="50"/>
        <v>0</v>
      </c>
      <c r="DF39" s="1029">
        <f t="shared" si="51"/>
        <v>0</v>
      </c>
      <c r="DG39" s="1029">
        <f t="shared" si="52"/>
        <v>0</v>
      </c>
      <c r="DH39" s="1029">
        <f t="shared" si="53"/>
        <v>0</v>
      </c>
      <c r="DI39" s="1029">
        <f t="shared" si="54"/>
        <v>0</v>
      </c>
      <c r="DJ39" s="1029">
        <f t="shared" si="55"/>
        <v>0</v>
      </c>
      <c r="DK39" s="1029">
        <f t="shared" si="56"/>
        <v>0</v>
      </c>
      <c r="DL39" s="1029">
        <f t="shared" si="57"/>
        <v>0</v>
      </c>
      <c r="DM39" s="1029">
        <f t="shared" si="58"/>
        <v>0</v>
      </c>
      <c r="DN39" s="1029">
        <f t="shared" si="59"/>
        <v>0</v>
      </c>
      <c r="DO39" s="1029">
        <f t="shared" si="60"/>
        <v>0</v>
      </c>
      <c r="DP39" s="1030"/>
      <c r="DQ39" s="1031">
        <f t="shared" si="61"/>
        <v>0.8162336</v>
      </c>
      <c r="DR39" s="1029">
        <f t="shared" si="62"/>
        <v>0</v>
      </c>
      <c r="DS39" s="1029">
        <f t="shared" si="63"/>
        <v>0</v>
      </c>
      <c r="DT39" s="1029">
        <f t="shared" si="64"/>
        <v>0</v>
      </c>
      <c r="DU39" s="1029">
        <f t="shared" si="65"/>
        <v>0</v>
      </c>
      <c r="DV39" s="1029">
        <f t="shared" si="66"/>
        <v>0</v>
      </c>
      <c r="DW39" s="1029">
        <f t="shared" si="67"/>
        <v>0</v>
      </c>
      <c r="DX39" s="1029">
        <f t="shared" si="68"/>
        <v>0</v>
      </c>
      <c r="DY39" s="1029">
        <f t="shared" si="69"/>
        <v>0</v>
      </c>
      <c r="DZ39" s="1029">
        <f t="shared" si="70"/>
        <v>0</v>
      </c>
      <c r="EA39" s="1029">
        <f t="shared" si="71"/>
        <v>0</v>
      </c>
      <c r="EB39" s="1029">
        <f t="shared" si="72"/>
        <v>0</v>
      </c>
      <c r="EC39" s="1030"/>
      <c r="ED39" s="1031">
        <f t="shared" si="73"/>
        <v>0.84891570000000005</v>
      </c>
      <c r="EE39" s="1029">
        <f t="shared" si="74"/>
        <v>0</v>
      </c>
      <c r="EF39" s="1029">
        <f t="shared" si="75"/>
        <v>0</v>
      </c>
      <c r="EG39" s="1029">
        <f t="shared" si="76"/>
        <v>0</v>
      </c>
      <c r="EH39" s="1029">
        <f t="shared" si="77"/>
        <v>0</v>
      </c>
      <c r="EI39" s="1029">
        <f t="shared" si="78"/>
        <v>0</v>
      </c>
      <c r="EJ39" s="1029">
        <f t="shared" si="79"/>
        <v>0</v>
      </c>
      <c r="EK39" s="1029">
        <f t="shared" si="80"/>
        <v>0</v>
      </c>
      <c r="EL39" s="1029">
        <f t="shared" si="81"/>
        <v>0</v>
      </c>
      <c r="EM39" s="1029">
        <f t="shared" si="82"/>
        <v>0</v>
      </c>
      <c r="EN39" s="1029">
        <f t="shared" si="83"/>
        <v>0</v>
      </c>
      <c r="EO39" s="1029">
        <f t="shared" si="84"/>
        <v>0</v>
      </c>
    </row>
    <row r="40" spans="1:145" ht="18.75" hidden="1" x14ac:dyDescent="0.25">
      <c r="A40" s="1010" t="s">
        <v>691</v>
      </c>
      <c r="B40" s="1011">
        <f t="shared" si="0"/>
        <v>0</v>
      </c>
      <c r="C40" s="1011">
        <f t="shared" si="1"/>
        <v>0</v>
      </c>
      <c r="D40" s="1012"/>
      <c r="E40" s="1012"/>
      <c r="F40" s="1012"/>
      <c r="G40" s="1012"/>
      <c r="H40" s="1012"/>
      <c r="I40" s="1012"/>
      <c r="J40" s="1012"/>
      <c r="K40" s="1013">
        <f t="shared" si="2"/>
        <v>0</v>
      </c>
      <c r="L40" s="1013">
        <f t="shared" si="3"/>
        <v>0</v>
      </c>
      <c r="M40" s="1013">
        <f t="shared" si="4"/>
        <v>0</v>
      </c>
      <c r="N40" s="1011">
        <f t="shared" si="85"/>
        <v>0</v>
      </c>
      <c r="O40" s="1012"/>
      <c r="P40" s="1014">
        <f t="shared" si="5"/>
        <v>0</v>
      </c>
      <c r="Q40" s="1015">
        <f t="shared" si="86"/>
        <v>0</v>
      </c>
      <c r="R40" s="1015">
        <f t="shared" si="86"/>
        <v>0</v>
      </c>
      <c r="S40" s="1015">
        <f t="shared" si="86"/>
        <v>0</v>
      </c>
      <c r="T40" s="1015">
        <f t="shared" si="87"/>
        <v>0</v>
      </c>
      <c r="U40" s="1011">
        <f t="shared" si="6"/>
        <v>0</v>
      </c>
      <c r="V40" s="1014">
        <f t="shared" si="88"/>
        <v>0</v>
      </c>
      <c r="W40" s="1012"/>
      <c r="X40" s="1016">
        <v>0</v>
      </c>
      <c r="Y40" s="1012"/>
      <c r="Z40" s="1016">
        <v>0</v>
      </c>
      <c r="AA40" s="1012"/>
      <c r="AB40" s="1016">
        <v>15</v>
      </c>
      <c r="AC40" s="1012"/>
      <c r="AD40" s="1016">
        <v>15</v>
      </c>
      <c r="AE40" s="1012"/>
      <c r="AF40" s="1016">
        <v>0</v>
      </c>
      <c r="AG40" s="1017"/>
      <c r="AH40" s="1017"/>
      <c r="AI40" s="1017"/>
      <c r="AJ40" s="1018"/>
      <c r="AK40" s="1018">
        <f t="shared" si="89"/>
        <v>0</v>
      </c>
      <c r="AL40" s="1019"/>
      <c r="AM40" s="1014">
        <f t="shared" si="90"/>
        <v>0</v>
      </c>
      <c r="AN40" s="1012"/>
      <c r="AO40" s="1014">
        <f t="shared" si="93"/>
        <v>0</v>
      </c>
      <c r="AP40" s="1012"/>
      <c r="AQ40" s="1033"/>
      <c r="AR40" s="1027"/>
      <c r="AS40" s="1033"/>
      <c r="AT40" s="1011">
        <f t="shared" si="7"/>
        <v>0</v>
      </c>
      <c r="AU40" s="1023">
        <v>0</v>
      </c>
      <c r="AV40" s="1014">
        <f t="shared" si="8"/>
        <v>0</v>
      </c>
      <c r="AW40" s="1014">
        <f t="shared" si="9"/>
        <v>0</v>
      </c>
      <c r="AX40" s="1014">
        <f t="shared" si="9"/>
        <v>0</v>
      </c>
      <c r="AY40" s="1014">
        <f t="shared" si="9"/>
        <v>0</v>
      </c>
      <c r="AZ40" s="1014">
        <f t="shared" si="10"/>
        <v>0</v>
      </c>
      <c r="BA40" s="1024">
        <f t="shared" si="11"/>
        <v>0</v>
      </c>
      <c r="BB40" s="1024">
        <f t="shared" si="12"/>
        <v>0</v>
      </c>
      <c r="BC40" s="1024">
        <f t="shared" si="13"/>
        <v>0</v>
      </c>
      <c r="BD40" s="1024">
        <f t="shared" si="14"/>
        <v>0</v>
      </c>
      <c r="BE40" s="1024">
        <f t="shared" si="15"/>
        <v>0</v>
      </c>
      <c r="BF40" s="1014">
        <f t="shared" si="16"/>
        <v>0</v>
      </c>
      <c r="BG40" s="1014">
        <f t="shared" si="17"/>
        <v>0</v>
      </c>
      <c r="BH40" s="1011">
        <f t="shared" si="18"/>
        <v>0</v>
      </c>
      <c r="BI40" s="1011">
        <f t="shared" si="19"/>
        <v>0</v>
      </c>
      <c r="BJ40" s="1011">
        <f t="shared" si="20"/>
        <v>0</v>
      </c>
      <c r="BK40" s="1025"/>
      <c r="BL40" s="1026">
        <f t="shared" si="21"/>
        <v>0</v>
      </c>
      <c r="BM40" s="1027"/>
      <c r="BN40" s="1027"/>
      <c r="BO40" s="1027"/>
      <c r="BP40" s="1027"/>
      <c r="BQ40" s="1027"/>
      <c r="BR40" s="1028">
        <v>1.1072</v>
      </c>
      <c r="BS40" s="1011">
        <f t="shared" si="22"/>
        <v>0</v>
      </c>
      <c r="BT40" s="1023"/>
      <c r="BU40" s="1015">
        <f t="shared" si="94"/>
        <v>0</v>
      </c>
      <c r="BV40" s="1023"/>
      <c r="BW40" s="1015">
        <f t="shared" si="95"/>
        <v>0</v>
      </c>
      <c r="BX40" s="1023"/>
      <c r="BY40" s="1015">
        <f t="shared" si="96"/>
        <v>0</v>
      </c>
      <c r="BZ40" s="1023"/>
      <c r="CA40" s="1015">
        <f t="shared" si="97"/>
        <v>0</v>
      </c>
      <c r="CB40" s="1023"/>
      <c r="CC40" s="1015">
        <f t="shared" si="98"/>
        <v>0</v>
      </c>
      <c r="CD40" s="1011">
        <f t="shared" si="28"/>
        <v>0</v>
      </c>
      <c r="CE40" s="1023"/>
      <c r="CF40" s="1015">
        <f t="shared" si="99"/>
        <v>0</v>
      </c>
      <c r="CG40" s="1023"/>
      <c r="CH40" s="1015">
        <f t="shared" si="100"/>
        <v>0</v>
      </c>
      <c r="CI40" s="1011">
        <f t="shared" si="31"/>
        <v>0</v>
      </c>
      <c r="CJ40" s="1025"/>
      <c r="CK40" s="1011">
        <f t="shared" si="32"/>
        <v>0</v>
      </c>
      <c r="CL40" s="996"/>
      <c r="CM40" s="1029">
        <f t="shared" si="33"/>
        <v>0</v>
      </c>
      <c r="CN40" s="1029">
        <f t="shared" si="34"/>
        <v>0</v>
      </c>
      <c r="CO40" s="1029">
        <f t="shared" si="35"/>
        <v>0</v>
      </c>
      <c r="CP40" s="1029">
        <f t="shared" si="36"/>
        <v>0</v>
      </c>
      <c r="CQ40" s="1029">
        <f t="shared" si="37"/>
        <v>0</v>
      </c>
      <c r="CR40" s="1029">
        <f t="shared" si="38"/>
        <v>0</v>
      </c>
      <c r="CS40" s="1029">
        <f t="shared" si="39"/>
        <v>0</v>
      </c>
      <c r="CT40" s="1029">
        <f t="shared" si="40"/>
        <v>0</v>
      </c>
      <c r="CU40" s="1029">
        <f t="shared" si="41"/>
        <v>0</v>
      </c>
      <c r="CV40" s="1029">
        <f t="shared" si="42"/>
        <v>0</v>
      </c>
      <c r="CW40" s="1029">
        <f t="shared" si="43"/>
        <v>0</v>
      </c>
      <c r="CX40" s="1029">
        <f t="shared" si="44"/>
        <v>0</v>
      </c>
      <c r="CY40" s="1029">
        <f t="shared" si="45"/>
        <v>0</v>
      </c>
      <c r="CZ40" s="1029">
        <f t="shared" si="46"/>
        <v>0</v>
      </c>
      <c r="DA40" s="1029">
        <f t="shared" si="47"/>
        <v>0</v>
      </c>
      <c r="DB40" s="1029">
        <f t="shared" si="48"/>
        <v>0</v>
      </c>
      <c r="DC40" s="1030"/>
      <c r="DD40" s="1031">
        <f t="shared" si="49"/>
        <v>0.77697930000000004</v>
      </c>
      <c r="DE40" s="1029">
        <f t="shared" si="50"/>
        <v>0</v>
      </c>
      <c r="DF40" s="1029">
        <f t="shared" si="51"/>
        <v>0</v>
      </c>
      <c r="DG40" s="1029">
        <f t="shared" si="52"/>
        <v>0</v>
      </c>
      <c r="DH40" s="1029">
        <f t="shared" si="53"/>
        <v>0</v>
      </c>
      <c r="DI40" s="1029">
        <f t="shared" si="54"/>
        <v>0</v>
      </c>
      <c r="DJ40" s="1029">
        <f t="shared" si="55"/>
        <v>0</v>
      </c>
      <c r="DK40" s="1029">
        <f t="shared" si="56"/>
        <v>0</v>
      </c>
      <c r="DL40" s="1029">
        <f t="shared" si="57"/>
        <v>0</v>
      </c>
      <c r="DM40" s="1029">
        <f t="shared" si="58"/>
        <v>0</v>
      </c>
      <c r="DN40" s="1029">
        <f>ROUND(DB40*DD40,1)</f>
        <v>0</v>
      </c>
      <c r="DO40" s="1029">
        <f t="shared" si="60"/>
        <v>0</v>
      </c>
      <c r="DP40" s="1030"/>
      <c r="DQ40" s="1031">
        <f t="shared" si="61"/>
        <v>0.8162336</v>
      </c>
      <c r="DR40" s="1029">
        <f t="shared" si="62"/>
        <v>0</v>
      </c>
      <c r="DS40" s="1029">
        <f t="shared" si="63"/>
        <v>0</v>
      </c>
      <c r="DT40" s="1029">
        <f t="shared" si="64"/>
        <v>0</v>
      </c>
      <c r="DU40" s="1029">
        <f t="shared" si="65"/>
        <v>0</v>
      </c>
      <c r="DV40" s="1029">
        <f t="shared" si="66"/>
        <v>0</v>
      </c>
      <c r="DW40" s="1029">
        <f t="shared" si="67"/>
        <v>0</v>
      </c>
      <c r="DX40" s="1029">
        <f t="shared" si="68"/>
        <v>0</v>
      </c>
      <c r="DY40" s="1029">
        <f t="shared" si="69"/>
        <v>0</v>
      </c>
      <c r="DZ40" s="1029">
        <f t="shared" si="70"/>
        <v>0</v>
      </c>
      <c r="EA40" s="1029">
        <f>ROUND(DB40*DQ40,1)</f>
        <v>0</v>
      </c>
      <c r="EB40" s="1029">
        <f t="shared" si="72"/>
        <v>0</v>
      </c>
      <c r="EC40" s="1030"/>
      <c r="ED40" s="1031">
        <f t="shared" si="73"/>
        <v>0.84891570000000005</v>
      </c>
      <c r="EE40" s="1029">
        <f t="shared" si="74"/>
        <v>0</v>
      </c>
      <c r="EF40" s="1029">
        <f t="shared" si="75"/>
        <v>0</v>
      </c>
      <c r="EG40" s="1029">
        <f t="shared" si="76"/>
        <v>0</v>
      </c>
      <c r="EH40" s="1029">
        <f t="shared" si="77"/>
        <v>0</v>
      </c>
      <c r="EI40" s="1029">
        <f t="shared" si="78"/>
        <v>0</v>
      </c>
      <c r="EJ40" s="1029">
        <f t="shared" si="79"/>
        <v>0</v>
      </c>
      <c r="EK40" s="1029">
        <f t="shared" si="80"/>
        <v>0</v>
      </c>
      <c r="EL40" s="1029">
        <f t="shared" si="81"/>
        <v>0</v>
      </c>
      <c r="EM40" s="1029">
        <f t="shared" si="82"/>
        <v>0</v>
      </c>
      <c r="EN40" s="1029">
        <f>ROUND(DB40*ED40,1)</f>
        <v>0</v>
      </c>
      <c r="EO40" s="1029">
        <f t="shared" si="84"/>
        <v>0</v>
      </c>
    </row>
    <row r="41" spans="1:145" ht="18.75" hidden="1" x14ac:dyDescent="0.25">
      <c r="A41" s="1036" t="s">
        <v>35</v>
      </c>
      <c r="B41" s="1037">
        <f t="shared" ref="B41:U41" si="101">SUM(B10:B40)</f>
        <v>11.38</v>
      </c>
      <c r="C41" s="1037">
        <f t="shared" si="101"/>
        <v>11.75</v>
      </c>
      <c r="D41" s="1037">
        <f t="shared" si="101"/>
        <v>0</v>
      </c>
      <c r="E41" s="1037">
        <f t="shared" si="101"/>
        <v>0</v>
      </c>
      <c r="F41" s="1037">
        <f t="shared" si="101"/>
        <v>1.5</v>
      </c>
      <c r="G41" s="1037">
        <f t="shared" si="101"/>
        <v>3</v>
      </c>
      <c r="H41" s="1037">
        <f t="shared" si="101"/>
        <v>0</v>
      </c>
      <c r="I41" s="1037">
        <f t="shared" si="101"/>
        <v>7.25</v>
      </c>
      <c r="J41" s="1037">
        <f t="shared" si="101"/>
        <v>6</v>
      </c>
      <c r="K41" s="1037">
        <f t="shared" si="101"/>
        <v>1.25</v>
      </c>
      <c r="L41" s="1037">
        <f t="shared" si="101"/>
        <v>5.01</v>
      </c>
      <c r="M41" s="1037">
        <f t="shared" si="101"/>
        <v>0.62</v>
      </c>
      <c r="N41" s="1037">
        <f t="shared" si="101"/>
        <v>212373.5</v>
      </c>
      <c r="O41" s="1037">
        <f t="shared" si="101"/>
        <v>0</v>
      </c>
      <c r="P41" s="1037">
        <f t="shared" si="101"/>
        <v>0</v>
      </c>
      <c r="Q41" s="1037">
        <f t="shared" si="101"/>
        <v>24363</v>
      </c>
      <c r="R41" s="1037">
        <f t="shared" si="101"/>
        <v>48726</v>
      </c>
      <c r="S41" s="1037">
        <f t="shared" si="101"/>
        <v>0</v>
      </c>
      <c r="T41" s="1037">
        <f t="shared" si="101"/>
        <v>139284.5</v>
      </c>
      <c r="U41" s="1038">
        <f t="shared" si="101"/>
        <v>3</v>
      </c>
      <c r="V41" s="1038"/>
      <c r="W41" s="1038">
        <f>SUM(W10:W40)</f>
        <v>3</v>
      </c>
      <c r="X41" s="1038"/>
      <c r="Y41" s="1038">
        <f>SUM(Y10:Y40)</f>
        <v>0</v>
      </c>
      <c r="Z41" s="1038"/>
      <c r="AA41" s="1038">
        <f>SUM(AA10:AA40)</f>
        <v>0</v>
      </c>
      <c r="AB41" s="1038"/>
      <c r="AC41" s="1038">
        <f>SUM(AC10:AC40)</f>
        <v>0</v>
      </c>
      <c r="AD41" s="1038"/>
      <c r="AE41" s="1038">
        <f t="shared" ref="AE41:AJ41" si="102">SUM(AE10:AE40)</f>
        <v>0</v>
      </c>
      <c r="AF41" s="1038">
        <f t="shared" si="102"/>
        <v>0</v>
      </c>
      <c r="AG41" s="1038">
        <f t="shared" si="102"/>
        <v>5</v>
      </c>
      <c r="AH41" s="1038">
        <f t="shared" si="102"/>
        <v>0</v>
      </c>
      <c r="AI41" s="1038">
        <f t="shared" si="102"/>
        <v>0</v>
      </c>
      <c r="AJ41" s="1038">
        <f t="shared" si="102"/>
        <v>0</v>
      </c>
      <c r="AK41" s="1038">
        <f t="shared" si="89"/>
        <v>1.5</v>
      </c>
      <c r="AL41" s="1038">
        <f>SUM(AL10:AL40)/1</f>
        <v>1.5</v>
      </c>
      <c r="AM41" s="1037">
        <f t="shared" si="90"/>
        <v>30367.26</v>
      </c>
      <c r="AN41" s="1037">
        <v>32069.71</v>
      </c>
      <c r="AO41" s="1037">
        <f>SUM(AO10:AO40)</f>
        <v>93702.85</v>
      </c>
      <c r="AP41" s="1037">
        <f>SUM(AP10:AP40)</f>
        <v>13540.8</v>
      </c>
      <c r="AQ41" s="1039">
        <f>SUM(AQ10:AQ40)/1</f>
        <v>54</v>
      </c>
      <c r="AR41" s="1039">
        <f>SUM(AR10:AR40)/1</f>
        <v>30</v>
      </c>
      <c r="AS41" s="1037"/>
      <c r="AT41" s="1037">
        <f t="shared" ref="AT41:BJ41" si="103">SUM(AT10:AT40)</f>
        <v>2573971.06</v>
      </c>
      <c r="AU41" s="1037">
        <f t="shared" si="103"/>
        <v>0</v>
      </c>
      <c r="AV41" s="1037">
        <f t="shared" si="103"/>
        <v>0</v>
      </c>
      <c r="AW41" s="1037">
        <f t="shared" si="103"/>
        <v>292356</v>
      </c>
      <c r="AX41" s="1037">
        <f t="shared" si="103"/>
        <v>584712</v>
      </c>
      <c r="AY41" s="1037">
        <f t="shared" si="103"/>
        <v>0</v>
      </c>
      <c r="AZ41" s="1037">
        <f t="shared" si="103"/>
        <v>1696903.06</v>
      </c>
      <c r="BA41" s="1037">
        <f t="shared" si="103"/>
        <v>49700.52</v>
      </c>
      <c r="BB41" s="1037">
        <f t="shared" si="103"/>
        <v>0</v>
      </c>
      <c r="BC41" s="1037">
        <f t="shared" si="103"/>
        <v>41877</v>
      </c>
      <c r="BD41" s="1037">
        <f t="shared" si="103"/>
        <v>94035.6</v>
      </c>
      <c r="BE41" s="1037">
        <f t="shared" si="103"/>
        <v>8857.7000000000007</v>
      </c>
      <c r="BF41" s="1037">
        <f t="shared" si="103"/>
        <v>129141.44</v>
      </c>
      <c r="BG41" s="1037">
        <f t="shared" si="103"/>
        <v>25828.29</v>
      </c>
      <c r="BH41" s="1037">
        <f t="shared" si="103"/>
        <v>2923411.6</v>
      </c>
      <c r="BI41" s="1037">
        <f t="shared" si="103"/>
        <v>882870.3</v>
      </c>
      <c r="BJ41" s="1037">
        <f t="shared" si="103"/>
        <v>3806281.9</v>
      </c>
      <c r="BK41" s="1040"/>
      <c r="BL41" s="1039">
        <f t="shared" ref="BL41:BQ41" si="104">SUM(BL10:BL40)</f>
        <v>49</v>
      </c>
      <c r="BM41" s="1039">
        <f t="shared" si="104"/>
        <v>49</v>
      </c>
      <c r="BN41" s="1039">
        <f t="shared" si="104"/>
        <v>0</v>
      </c>
      <c r="BO41" s="1039">
        <f t="shared" si="104"/>
        <v>0</v>
      </c>
      <c r="BP41" s="1039">
        <f t="shared" si="104"/>
        <v>0</v>
      </c>
      <c r="BQ41" s="1039">
        <f t="shared" si="104"/>
        <v>0</v>
      </c>
      <c r="BR41" s="1041"/>
      <c r="BS41" s="1037">
        <f t="shared" ref="BS41:CI41" si="105">SUM(BS10:BS40)</f>
        <v>26572.799999999999</v>
      </c>
      <c r="BT41" s="1037">
        <f t="shared" si="105"/>
        <v>12000</v>
      </c>
      <c r="BU41" s="1037">
        <f t="shared" si="105"/>
        <v>13286.4</v>
      </c>
      <c r="BV41" s="1037">
        <f t="shared" si="105"/>
        <v>2000</v>
      </c>
      <c r="BW41" s="1037">
        <f t="shared" si="105"/>
        <v>2214.4</v>
      </c>
      <c r="BX41" s="1037">
        <f t="shared" si="105"/>
        <v>0</v>
      </c>
      <c r="BY41" s="1037">
        <f t="shared" si="105"/>
        <v>0</v>
      </c>
      <c r="BZ41" s="1037">
        <f t="shared" si="105"/>
        <v>10000</v>
      </c>
      <c r="CA41" s="1037">
        <f t="shared" si="105"/>
        <v>11072</v>
      </c>
      <c r="CB41" s="1037">
        <f t="shared" si="105"/>
        <v>0</v>
      </c>
      <c r="CC41" s="1037">
        <f t="shared" si="105"/>
        <v>0</v>
      </c>
      <c r="CD41" s="1037">
        <f t="shared" si="105"/>
        <v>77503.92</v>
      </c>
      <c r="CE41" s="1037">
        <f t="shared" si="105"/>
        <v>0</v>
      </c>
      <c r="CF41" s="1037">
        <f t="shared" si="105"/>
        <v>0</v>
      </c>
      <c r="CG41" s="1037">
        <f t="shared" si="105"/>
        <v>70000</v>
      </c>
      <c r="CH41" s="1037">
        <f t="shared" si="105"/>
        <v>77503.92</v>
      </c>
      <c r="CI41" s="1038">
        <f t="shared" si="105"/>
        <v>104076.7</v>
      </c>
      <c r="CJ41" s="1040"/>
      <c r="CK41" s="1037">
        <f>SUM(CK10:CK40)</f>
        <v>3910358.62</v>
      </c>
      <c r="CL41" s="996"/>
      <c r="CM41" s="1038">
        <f t="shared" ref="CM41:DB41" si="106">SUM(CM10:CM40)</f>
        <v>3910.4</v>
      </c>
      <c r="CN41" s="1038">
        <f t="shared" si="106"/>
        <v>2923.4</v>
      </c>
      <c r="CO41" s="1038">
        <f t="shared" si="106"/>
        <v>0</v>
      </c>
      <c r="CP41" s="1038">
        <f t="shared" si="106"/>
        <v>334.2</v>
      </c>
      <c r="CQ41" s="1038">
        <f t="shared" si="106"/>
        <v>728.4</v>
      </c>
      <c r="CR41" s="1038">
        <f t="shared" si="106"/>
        <v>0</v>
      </c>
      <c r="CS41" s="1038">
        <f t="shared" si="106"/>
        <v>1705.8</v>
      </c>
      <c r="CT41" s="1038">
        <f t="shared" si="106"/>
        <v>155</v>
      </c>
      <c r="CU41" s="1038">
        <f t="shared" si="106"/>
        <v>882.9</v>
      </c>
      <c r="CV41" s="1038">
        <f t="shared" si="106"/>
        <v>13.3</v>
      </c>
      <c r="CW41" s="1038">
        <f t="shared" si="106"/>
        <v>2.2000000000000002</v>
      </c>
      <c r="CX41" s="1038">
        <f t="shared" si="106"/>
        <v>0</v>
      </c>
      <c r="CY41" s="1038">
        <f t="shared" si="106"/>
        <v>11.1</v>
      </c>
      <c r="CZ41" s="1038">
        <f t="shared" si="106"/>
        <v>0</v>
      </c>
      <c r="DA41" s="1038">
        <f t="shared" si="106"/>
        <v>0</v>
      </c>
      <c r="DB41" s="1038">
        <f t="shared" si="106"/>
        <v>77.5</v>
      </c>
      <c r="DC41" s="1030"/>
      <c r="DD41" s="1042">
        <f>DE47/CM41</f>
        <v>0.77697930000000004</v>
      </c>
      <c r="DE41" s="1038">
        <f t="shared" ref="DE41:DO41" si="107">SUM(DE10:DE40)</f>
        <v>3038.3</v>
      </c>
      <c r="DF41" s="1038">
        <f t="shared" si="107"/>
        <v>2271.4</v>
      </c>
      <c r="DG41" s="1038">
        <f t="shared" si="107"/>
        <v>686</v>
      </c>
      <c r="DH41" s="1038">
        <f t="shared" si="107"/>
        <v>10.3</v>
      </c>
      <c r="DI41" s="1038">
        <f t="shared" si="107"/>
        <v>1.7</v>
      </c>
      <c r="DJ41" s="1038">
        <f t="shared" si="107"/>
        <v>0</v>
      </c>
      <c r="DK41" s="1038">
        <f t="shared" si="107"/>
        <v>8.6</v>
      </c>
      <c r="DL41" s="1038">
        <f t="shared" si="107"/>
        <v>0</v>
      </c>
      <c r="DM41" s="1038">
        <f t="shared" si="107"/>
        <v>0</v>
      </c>
      <c r="DN41" s="1038">
        <f t="shared" si="107"/>
        <v>60.3</v>
      </c>
      <c r="DO41" s="1038">
        <f t="shared" si="107"/>
        <v>9</v>
      </c>
      <c r="DP41" s="1030"/>
      <c r="DQ41" s="1042">
        <f>DR47/CM41</f>
        <v>0.8162336</v>
      </c>
      <c r="DR41" s="1038">
        <f t="shared" ref="DR41:EB41" si="108">SUM(DR10:DR40)</f>
        <v>3191.8</v>
      </c>
      <c r="DS41" s="1038">
        <f t="shared" si="108"/>
        <v>2386.1999999999998</v>
      </c>
      <c r="DT41" s="1038">
        <f t="shared" si="108"/>
        <v>720.7</v>
      </c>
      <c r="DU41" s="1038">
        <f t="shared" si="108"/>
        <v>10.9</v>
      </c>
      <c r="DV41" s="1038">
        <f t="shared" si="108"/>
        <v>1.8</v>
      </c>
      <c r="DW41" s="1038">
        <f t="shared" si="108"/>
        <v>0</v>
      </c>
      <c r="DX41" s="1038">
        <f t="shared" si="108"/>
        <v>9.1</v>
      </c>
      <c r="DY41" s="1038">
        <f t="shared" si="108"/>
        <v>0</v>
      </c>
      <c r="DZ41" s="1038">
        <f t="shared" si="108"/>
        <v>0</v>
      </c>
      <c r="EA41" s="1038">
        <f t="shared" si="108"/>
        <v>63.1</v>
      </c>
      <c r="EB41" s="1038">
        <f t="shared" si="108"/>
        <v>9.4</v>
      </c>
      <c r="EC41" s="1030"/>
      <c r="ED41" s="1042">
        <f>EE47/CM41</f>
        <v>0.84891570000000005</v>
      </c>
      <c r="EE41" s="1038">
        <f t="shared" ref="EE41:EO41" si="109">SUM(EE10:EE40)</f>
        <v>3319.6</v>
      </c>
      <c r="EF41" s="1038">
        <f t="shared" si="109"/>
        <v>2481.6999999999998</v>
      </c>
      <c r="EG41" s="1038">
        <f t="shared" si="109"/>
        <v>749.5</v>
      </c>
      <c r="EH41" s="1038">
        <f t="shared" si="109"/>
        <v>11.3</v>
      </c>
      <c r="EI41" s="1038">
        <f t="shared" si="109"/>
        <v>1.9</v>
      </c>
      <c r="EJ41" s="1038">
        <f t="shared" si="109"/>
        <v>0</v>
      </c>
      <c r="EK41" s="1038">
        <f t="shared" si="109"/>
        <v>9.4</v>
      </c>
      <c r="EL41" s="1038">
        <f t="shared" si="109"/>
        <v>0</v>
      </c>
      <c r="EM41" s="1038">
        <f t="shared" si="109"/>
        <v>0</v>
      </c>
      <c r="EN41" s="1038">
        <f t="shared" si="109"/>
        <v>65.8</v>
      </c>
      <c r="EO41" s="1038">
        <f t="shared" si="109"/>
        <v>9.8000000000000007</v>
      </c>
    </row>
    <row r="42" spans="1:145" ht="18.75" hidden="1" x14ac:dyDescent="0.25">
      <c r="A42" s="1010" t="s">
        <v>1335</v>
      </c>
      <c r="B42" s="1043">
        <f t="shared" ref="B42:U42" si="110">B10+B12+B18+B19+B20+B24+B27+B29+B30+B38</f>
        <v>0</v>
      </c>
      <c r="C42" s="1043">
        <f t="shared" si="110"/>
        <v>0</v>
      </c>
      <c r="D42" s="1043">
        <f t="shared" si="110"/>
        <v>0</v>
      </c>
      <c r="E42" s="1043">
        <f t="shared" si="110"/>
        <v>0</v>
      </c>
      <c r="F42" s="1043">
        <f t="shared" si="110"/>
        <v>0</v>
      </c>
      <c r="G42" s="1043">
        <f t="shared" si="110"/>
        <v>0</v>
      </c>
      <c r="H42" s="1043">
        <f t="shared" si="110"/>
        <v>0</v>
      </c>
      <c r="I42" s="1043">
        <f t="shared" si="110"/>
        <v>0</v>
      </c>
      <c r="J42" s="1043">
        <f t="shared" si="110"/>
        <v>0</v>
      </c>
      <c r="K42" s="1043">
        <f t="shared" si="110"/>
        <v>0</v>
      </c>
      <c r="L42" s="1043">
        <f t="shared" si="110"/>
        <v>0</v>
      </c>
      <c r="M42" s="1043">
        <f t="shared" si="110"/>
        <v>0</v>
      </c>
      <c r="N42" s="1043">
        <f t="shared" si="110"/>
        <v>0</v>
      </c>
      <c r="O42" s="1043">
        <f t="shared" si="110"/>
        <v>0</v>
      </c>
      <c r="P42" s="1043">
        <f t="shared" si="110"/>
        <v>0</v>
      </c>
      <c r="Q42" s="1043">
        <f t="shared" si="110"/>
        <v>0</v>
      </c>
      <c r="R42" s="1043">
        <f t="shared" si="110"/>
        <v>0</v>
      </c>
      <c r="S42" s="1043">
        <f t="shared" si="110"/>
        <v>0</v>
      </c>
      <c r="T42" s="1043">
        <f t="shared" si="110"/>
        <v>0</v>
      </c>
      <c r="U42" s="1044">
        <f t="shared" si="110"/>
        <v>0</v>
      </c>
      <c r="V42" s="1044"/>
      <c r="W42" s="1044">
        <f t="shared" ref="W42" si="111">W10+W12+W18+W19+W20+W24+W27+W29+W30+W38</f>
        <v>0</v>
      </c>
      <c r="X42" s="1044"/>
      <c r="Y42" s="1044">
        <f t="shared" ref="Y42" si="112">Y10+Y12+Y18+Y19+Y20+Y24+Y27+Y29+Y30+Y38</f>
        <v>0</v>
      </c>
      <c r="Z42" s="1044"/>
      <c r="AA42" s="1045">
        <f t="shared" ref="AA42" si="113">AA10+AA12+AA18+AA19+AA20+AA24+AA27+AA29+AA30+AA38</f>
        <v>0</v>
      </c>
      <c r="AB42" s="1044"/>
      <c r="AC42" s="1044">
        <f t="shared" ref="AC42" si="114">AC10+AC12+AC18+AC19+AC20+AC24+AC27+AC29+AC30+AC38</f>
        <v>0</v>
      </c>
      <c r="AD42" s="1044"/>
      <c r="AE42" s="1044">
        <f t="shared" ref="AE42:AI42" si="115">AE10+AE12+AE18+AE19+AE20+AE24+AE27+AE29+AE30+AE38</f>
        <v>0</v>
      </c>
      <c r="AF42" s="1044">
        <f t="shared" si="115"/>
        <v>0</v>
      </c>
      <c r="AG42" s="1044">
        <f t="shared" si="115"/>
        <v>0</v>
      </c>
      <c r="AH42" s="1044">
        <f t="shared" si="115"/>
        <v>0</v>
      </c>
      <c r="AI42" s="1044">
        <f t="shared" si="115"/>
        <v>0</v>
      </c>
      <c r="AJ42" s="1044">
        <f>AJ10+AJ12+AJ18+AJ19+AJ20+AJ24+AJ27+AJ29+AJ30+AJ38</f>
        <v>0</v>
      </c>
      <c r="AK42" s="1044"/>
      <c r="AL42" s="1044"/>
      <c r="AM42" s="1043"/>
      <c r="AN42" s="1043"/>
      <c r="AO42" s="1043"/>
      <c r="AP42" s="1043">
        <f>AP10+AP12+AP18+AP19+AP20+AP24+AP27+AP29+AP30+AP38</f>
        <v>0</v>
      </c>
      <c r="AQ42" s="1043"/>
      <c r="AR42" s="1043"/>
      <c r="AS42" s="1043"/>
      <c r="AT42" s="1043">
        <f t="shared" ref="AT42:BJ42" si="116">AT10+AT12+AT18+AT19+AT20+AT24+AT27+AT29+AT30+AT38</f>
        <v>0</v>
      </c>
      <c r="AU42" s="1043">
        <f t="shared" si="116"/>
        <v>0</v>
      </c>
      <c r="AV42" s="1043">
        <f t="shared" si="116"/>
        <v>0</v>
      </c>
      <c r="AW42" s="1043">
        <f t="shared" si="116"/>
        <v>0</v>
      </c>
      <c r="AX42" s="1043">
        <f t="shared" si="116"/>
        <v>0</v>
      </c>
      <c r="AY42" s="1043">
        <f t="shared" si="116"/>
        <v>0</v>
      </c>
      <c r="AZ42" s="1043">
        <f t="shared" si="116"/>
        <v>0</v>
      </c>
      <c r="BA42" s="1043">
        <f t="shared" si="116"/>
        <v>0</v>
      </c>
      <c r="BB42" s="1043">
        <f t="shared" si="116"/>
        <v>0</v>
      </c>
      <c r="BC42" s="1043">
        <f t="shared" si="116"/>
        <v>0</v>
      </c>
      <c r="BD42" s="1043">
        <f t="shared" si="116"/>
        <v>0</v>
      </c>
      <c r="BE42" s="1043">
        <f t="shared" si="116"/>
        <v>0</v>
      </c>
      <c r="BF42" s="1043">
        <f t="shared" si="116"/>
        <v>0</v>
      </c>
      <c r="BG42" s="1043">
        <f t="shared" si="116"/>
        <v>0</v>
      </c>
      <c r="BH42" s="1043">
        <f t="shared" si="116"/>
        <v>0</v>
      </c>
      <c r="BI42" s="1043">
        <f t="shared" si="116"/>
        <v>0</v>
      </c>
      <c r="BJ42" s="1043">
        <f t="shared" si="116"/>
        <v>0</v>
      </c>
      <c r="BK42" s="996"/>
      <c r="BL42" s="1046">
        <f t="shared" ref="BL42:BQ42" si="117">BL10+BL12+BL18+BL19+BL20+BL24+BL27+BL29+BL30+BL38</f>
        <v>0</v>
      </c>
      <c r="BM42" s="1046">
        <f t="shared" si="117"/>
        <v>0</v>
      </c>
      <c r="BN42" s="1046">
        <f t="shared" si="117"/>
        <v>0</v>
      </c>
      <c r="BO42" s="1046">
        <f t="shared" si="117"/>
        <v>0</v>
      </c>
      <c r="BP42" s="1046">
        <f t="shared" si="117"/>
        <v>0</v>
      </c>
      <c r="BQ42" s="1046">
        <f t="shared" si="117"/>
        <v>0</v>
      </c>
      <c r="BR42" s="1047"/>
      <c r="BS42" s="1043">
        <f t="shared" ref="BS42:CI42" si="118">BS10+BS12+BS18+BS19+BS20+BS24+BS27+BS29+BS30+BS38</f>
        <v>0</v>
      </c>
      <c r="BT42" s="1043">
        <f t="shared" si="118"/>
        <v>0</v>
      </c>
      <c r="BU42" s="1043">
        <f t="shared" si="118"/>
        <v>0</v>
      </c>
      <c r="BV42" s="1043">
        <f t="shared" si="118"/>
        <v>0</v>
      </c>
      <c r="BW42" s="1043">
        <f t="shared" si="118"/>
        <v>0</v>
      </c>
      <c r="BX42" s="1043">
        <f t="shared" si="118"/>
        <v>0</v>
      </c>
      <c r="BY42" s="1043">
        <f t="shared" si="118"/>
        <v>0</v>
      </c>
      <c r="BZ42" s="1043">
        <f t="shared" si="118"/>
        <v>0</v>
      </c>
      <c r="CA42" s="1043">
        <f t="shared" si="118"/>
        <v>0</v>
      </c>
      <c r="CB42" s="1043">
        <f t="shared" si="118"/>
        <v>0</v>
      </c>
      <c r="CC42" s="1043">
        <f t="shared" si="118"/>
        <v>0</v>
      </c>
      <c r="CD42" s="1043">
        <f t="shared" si="118"/>
        <v>0</v>
      </c>
      <c r="CE42" s="1043">
        <f t="shared" si="118"/>
        <v>0</v>
      </c>
      <c r="CF42" s="1043">
        <f t="shared" si="118"/>
        <v>0</v>
      </c>
      <c r="CG42" s="1043">
        <f t="shared" si="118"/>
        <v>0</v>
      </c>
      <c r="CH42" s="1043">
        <f t="shared" si="118"/>
        <v>0</v>
      </c>
      <c r="CI42" s="1044">
        <f t="shared" si="118"/>
        <v>0</v>
      </c>
      <c r="CJ42" s="996"/>
      <c r="CK42" s="1043">
        <f>CK10+CK12+CK18+CK19+CK20+CK24+CK27+CK29+CK30+CK38</f>
        <v>0</v>
      </c>
      <c r="CL42" s="996"/>
      <c r="CM42" s="1044">
        <f t="shared" ref="CM42:DB42" si="119">CM10+CM12+CM18+CM19+CM20+CM24+CM27+CM29+CM30+CM38</f>
        <v>0</v>
      </c>
      <c r="CN42" s="1044">
        <f t="shared" si="119"/>
        <v>0</v>
      </c>
      <c r="CO42" s="1044">
        <f t="shared" si="119"/>
        <v>0</v>
      </c>
      <c r="CP42" s="1044">
        <f t="shared" si="119"/>
        <v>0</v>
      </c>
      <c r="CQ42" s="1044">
        <f t="shared" si="119"/>
        <v>0</v>
      </c>
      <c r="CR42" s="1044">
        <f t="shared" si="119"/>
        <v>0</v>
      </c>
      <c r="CS42" s="1044">
        <f t="shared" si="119"/>
        <v>0</v>
      </c>
      <c r="CT42" s="1044">
        <f t="shared" si="119"/>
        <v>0</v>
      </c>
      <c r="CU42" s="1044">
        <f t="shared" si="119"/>
        <v>0</v>
      </c>
      <c r="CV42" s="1044">
        <f t="shared" si="119"/>
        <v>0</v>
      </c>
      <c r="CW42" s="1044">
        <f t="shared" si="119"/>
        <v>0</v>
      </c>
      <c r="CX42" s="1044">
        <f t="shared" si="119"/>
        <v>0</v>
      </c>
      <c r="CY42" s="1044">
        <f t="shared" si="119"/>
        <v>0</v>
      </c>
      <c r="CZ42" s="1044">
        <f t="shared" si="119"/>
        <v>0</v>
      </c>
      <c r="DA42" s="1044">
        <f t="shared" si="119"/>
        <v>0</v>
      </c>
      <c r="DB42" s="1044">
        <f t="shared" si="119"/>
        <v>0</v>
      </c>
      <c r="DC42" s="1048"/>
      <c r="DD42" s="1047"/>
      <c r="DE42" s="1044">
        <f t="shared" ref="DE42:DO42" si="120">DE10+DE12+DE18+DE19+DE20+DE24+DE27+DE29+DE30+DE38</f>
        <v>0</v>
      </c>
      <c r="DF42" s="1044">
        <f t="shared" si="120"/>
        <v>0</v>
      </c>
      <c r="DG42" s="1044">
        <f t="shared" si="120"/>
        <v>0</v>
      </c>
      <c r="DH42" s="1044">
        <f t="shared" si="120"/>
        <v>0</v>
      </c>
      <c r="DI42" s="1044">
        <f t="shared" si="120"/>
        <v>0</v>
      </c>
      <c r="DJ42" s="1044">
        <f t="shared" si="120"/>
        <v>0</v>
      </c>
      <c r="DK42" s="1044">
        <f t="shared" si="120"/>
        <v>0</v>
      </c>
      <c r="DL42" s="1044">
        <f t="shared" si="120"/>
        <v>0</v>
      </c>
      <c r="DM42" s="1044">
        <f t="shared" si="120"/>
        <v>0</v>
      </c>
      <c r="DN42" s="1044">
        <f t="shared" si="120"/>
        <v>0</v>
      </c>
      <c r="DO42" s="1044">
        <f t="shared" si="120"/>
        <v>0</v>
      </c>
      <c r="DP42" s="996"/>
      <c r="DQ42" s="1047"/>
      <c r="DR42" s="1044">
        <f t="shared" ref="DR42:EB42" si="121">DR10+DR12+DR18+DR19+DR20+DR24+DR27+DR29+DR30+DR38</f>
        <v>0</v>
      </c>
      <c r="DS42" s="1044">
        <f t="shared" si="121"/>
        <v>0</v>
      </c>
      <c r="DT42" s="1044">
        <f t="shared" si="121"/>
        <v>0</v>
      </c>
      <c r="DU42" s="1044">
        <f t="shared" si="121"/>
        <v>0</v>
      </c>
      <c r="DV42" s="1044">
        <f t="shared" si="121"/>
        <v>0</v>
      </c>
      <c r="DW42" s="1044">
        <f t="shared" si="121"/>
        <v>0</v>
      </c>
      <c r="DX42" s="1044">
        <f t="shared" si="121"/>
        <v>0</v>
      </c>
      <c r="DY42" s="1044">
        <f t="shared" si="121"/>
        <v>0</v>
      </c>
      <c r="DZ42" s="1044">
        <f t="shared" si="121"/>
        <v>0</v>
      </c>
      <c r="EA42" s="1044">
        <f t="shared" si="121"/>
        <v>0</v>
      </c>
      <c r="EB42" s="1044">
        <f t="shared" si="121"/>
        <v>0</v>
      </c>
      <c r="EC42" s="996"/>
      <c r="ED42" s="1047"/>
      <c r="EE42" s="1044">
        <f t="shared" ref="EE42:EO42" si="122">EE10+EE12+EE18+EE19+EE20+EE24+EE27+EE29+EE30+EE38</f>
        <v>0</v>
      </c>
      <c r="EF42" s="1044">
        <f t="shared" si="122"/>
        <v>0</v>
      </c>
      <c r="EG42" s="1044">
        <f t="shared" si="122"/>
        <v>0</v>
      </c>
      <c r="EH42" s="1044">
        <f t="shared" si="122"/>
        <v>0</v>
      </c>
      <c r="EI42" s="1044">
        <f t="shared" si="122"/>
        <v>0</v>
      </c>
      <c r="EJ42" s="1044">
        <f t="shared" si="122"/>
        <v>0</v>
      </c>
      <c r="EK42" s="1044">
        <f t="shared" si="122"/>
        <v>0</v>
      </c>
      <c r="EL42" s="1044">
        <f t="shared" si="122"/>
        <v>0</v>
      </c>
      <c r="EM42" s="1044">
        <f t="shared" si="122"/>
        <v>0</v>
      </c>
      <c r="EN42" s="1044">
        <f t="shared" si="122"/>
        <v>0</v>
      </c>
      <c r="EO42" s="1044">
        <f t="shared" si="122"/>
        <v>0</v>
      </c>
    </row>
    <row r="43" spans="1:145" ht="18.75" hidden="1" x14ac:dyDescent="0.25">
      <c r="A43" s="1010" t="s">
        <v>1334</v>
      </c>
      <c r="B43" s="1043">
        <f t="shared" ref="B43:U43" si="123">B41-B42</f>
        <v>11.38</v>
      </c>
      <c r="C43" s="1043">
        <f t="shared" si="123"/>
        <v>11.75</v>
      </c>
      <c r="D43" s="1043">
        <f t="shared" si="123"/>
        <v>0</v>
      </c>
      <c r="E43" s="1043">
        <f t="shared" si="123"/>
        <v>0</v>
      </c>
      <c r="F43" s="1043">
        <f t="shared" si="123"/>
        <v>1.5</v>
      </c>
      <c r="G43" s="1043">
        <f t="shared" si="123"/>
        <v>3</v>
      </c>
      <c r="H43" s="1043">
        <f t="shared" si="123"/>
        <v>0</v>
      </c>
      <c r="I43" s="1043">
        <f t="shared" si="123"/>
        <v>7.25</v>
      </c>
      <c r="J43" s="1043">
        <f t="shared" si="123"/>
        <v>6</v>
      </c>
      <c r="K43" s="1043">
        <f t="shared" si="123"/>
        <v>1.25</v>
      </c>
      <c r="L43" s="1043">
        <f t="shared" si="123"/>
        <v>5.01</v>
      </c>
      <c r="M43" s="1043">
        <f t="shared" si="123"/>
        <v>0.62</v>
      </c>
      <c r="N43" s="1043">
        <f t="shared" si="123"/>
        <v>212373.5</v>
      </c>
      <c r="O43" s="1043">
        <f t="shared" si="123"/>
        <v>0</v>
      </c>
      <c r="P43" s="1043">
        <f t="shared" si="123"/>
        <v>0</v>
      </c>
      <c r="Q43" s="1043">
        <f t="shared" si="123"/>
        <v>24363</v>
      </c>
      <c r="R43" s="1043">
        <f t="shared" si="123"/>
        <v>48726</v>
      </c>
      <c r="S43" s="1043">
        <f t="shared" si="123"/>
        <v>0</v>
      </c>
      <c r="T43" s="1043">
        <f t="shared" si="123"/>
        <v>139284.5</v>
      </c>
      <c r="U43" s="1044">
        <f t="shared" si="123"/>
        <v>3</v>
      </c>
      <c r="V43" s="1044"/>
      <c r="W43" s="1044">
        <f t="shared" ref="W43" si="124">W41-W42</f>
        <v>3</v>
      </c>
      <c r="X43" s="1044"/>
      <c r="Y43" s="1044">
        <f t="shared" ref="Y43" si="125">Y41-Y42</f>
        <v>0</v>
      </c>
      <c r="Z43" s="1044"/>
      <c r="AA43" s="1045">
        <f t="shared" ref="AA43" si="126">AA41-AA42</f>
        <v>0</v>
      </c>
      <c r="AB43" s="1044"/>
      <c r="AC43" s="1044">
        <f t="shared" ref="AC43" si="127">AC41-AC42</f>
        <v>0</v>
      </c>
      <c r="AD43" s="1044"/>
      <c r="AE43" s="1044">
        <f t="shared" ref="AE43:AJ43" si="128">AE41-AE42</f>
        <v>0</v>
      </c>
      <c r="AF43" s="1044">
        <f t="shared" si="128"/>
        <v>0</v>
      </c>
      <c r="AG43" s="1044">
        <f t="shared" si="128"/>
        <v>5</v>
      </c>
      <c r="AH43" s="1044">
        <f t="shared" si="128"/>
        <v>0</v>
      </c>
      <c r="AI43" s="1044">
        <f t="shared" si="128"/>
        <v>0</v>
      </c>
      <c r="AJ43" s="1044">
        <f t="shared" si="128"/>
        <v>0</v>
      </c>
      <c r="AK43" s="1044"/>
      <c r="AL43" s="1044"/>
      <c r="AM43" s="1043"/>
      <c r="AN43" s="1043"/>
      <c r="AO43" s="1043"/>
      <c r="AP43" s="1043">
        <f t="shared" ref="AP43" si="129">AP41-AP42</f>
        <v>13540.8</v>
      </c>
      <c r="AQ43" s="1043"/>
      <c r="AR43" s="1043"/>
      <c r="AS43" s="1043"/>
      <c r="AT43" s="1043">
        <f t="shared" ref="AT43:BJ43" si="130">AT41-AT42</f>
        <v>2573971.06</v>
      </c>
      <c r="AU43" s="1043">
        <f t="shared" si="130"/>
        <v>0</v>
      </c>
      <c r="AV43" s="1043">
        <f t="shared" si="130"/>
        <v>0</v>
      </c>
      <c r="AW43" s="1043">
        <f t="shared" si="130"/>
        <v>292356</v>
      </c>
      <c r="AX43" s="1043">
        <f t="shared" si="130"/>
        <v>584712</v>
      </c>
      <c r="AY43" s="1043">
        <f t="shared" si="130"/>
        <v>0</v>
      </c>
      <c r="AZ43" s="1043">
        <f t="shared" si="130"/>
        <v>1696903.06</v>
      </c>
      <c r="BA43" s="1043">
        <f t="shared" si="130"/>
        <v>49700.52</v>
      </c>
      <c r="BB43" s="1043">
        <f t="shared" si="130"/>
        <v>0</v>
      </c>
      <c r="BC43" s="1043">
        <f t="shared" si="130"/>
        <v>41877</v>
      </c>
      <c r="BD43" s="1043">
        <f t="shared" si="130"/>
        <v>94035.6</v>
      </c>
      <c r="BE43" s="1043">
        <f t="shared" si="130"/>
        <v>8857.7000000000007</v>
      </c>
      <c r="BF43" s="1043">
        <f t="shared" si="130"/>
        <v>129141.44</v>
      </c>
      <c r="BG43" s="1043">
        <f t="shared" si="130"/>
        <v>25828.29</v>
      </c>
      <c r="BH43" s="1043">
        <f t="shared" si="130"/>
        <v>2923411.6</v>
      </c>
      <c r="BI43" s="1043">
        <f t="shared" si="130"/>
        <v>882870.3</v>
      </c>
      <c r="BJ43" s="1043">
        <f t="shared" si="130"/>
        <v>3806281.9</v>
      </c>
      <c r="BK43" s="996"/>
      <c r="BL43" s="1046">
        <f t="shared" ref="BL43:BQ43" si="131">BL41-BL42</f>
        <v>49</v>
      </c>
      <c r="BM43" s="1046">
        <f t="shared" si="131"/>
        <v>49</v>
      </c>
      <c r="BN43" s="1046">
        <f t="shared" si="131"/>
        <v>0</v>
      </c>
      <c r="BO43" s="1046">
        <f t="shared" si="131"/>
        <v>0</v>
      </c>
      <c r="BP43" s="1046">
        <f t="shared" si="131"/>
        <v>0</v>
      </c>
      <c r="BQ43" s="1046">
        <f t="shared" si="131"/>
        <v>0</v>
      </c>
      <c r="BR43" s="1047"/>
      <c r="BS43" s="1043">
        <f t="shared" ref="BS43:CI43" si="132">BS41-BS42</f>
        <v>26572.799999999999</v>
      </c>
      <c r="BT43" s="1043">
        <f t="shared" si="132"/>
        <v>12000</v>
      </c>
      <c r="BU43" s="1043">
        <f t="shared" si="132"/>
        <v>13286.4</v>
      </c>
      <c r="BV43" s="1043">
        <f t="shared" si="132"/>
        <v>2000</v>
      </c>
      <c r="BW43" s="1043">
        <f t="shared" si="132"/>
        <v>2214.4</v>
      </c>
      <c r="BX43" s="1043">
        <f t="shared" si="132"/>
        <v>0</v>
      </c>
      <c r="BY43" s="1043">
        <f t="shared" si="132"/>
        <v>0</v>
      </c>
      <c r="BZ43" s="1043">
        <f t="shared" si="132"/>
        <v>10000</v>
      </c>
      <c r="CA43" s="1043">
        <f t="shared" si="132"/>
        <v>11072</v>
      </c>
      <c r="CB43" s="1043">
        <f t="shared" si="132"/>
        <v>0</v>
      </c>
      <c r="CC43" s="1043">
        <f t="shared" si="132"/>
        <v>0</v>
      </c>
      <c r="CD43" s="1043">
        <f t="shared" si="132"/>
        <v>77503.92</v>
      </c>
      <c r="CE43" s="1043">
        <f t="shared" si="132"/>
        <v>0</v>
      </c>
      <c r="CF43" s="1043">
        <f t="shared" si="132"/>
        <v>0</v>
      </c>
      <c r="CG43" s="1043">
        <f t="shared" si="132"/>
        <v>70000</v>
      </c>
      <c r="CH43" s="1043">
        <f t="shared" si="132"/>
        <v>77503.92</v>
      </c>
      <c r="CI43" s="1044">
        <f t="shared" si="132"/>
        <v>104076.7</v>
      </c>
      <c r="CJ43" s="996"/>
      <c r="CK43" s="1043">
        <f t="shared" ref="CK43" si="133">CK41-CK42</f>
        <v>3910358.62</v>
      </c>
      <c r="CL43" s="996"/>
      <c r="CM43" s="1044">
        <f t="shared" ref="CM43:DB43" si="134">CM41-CM42</f>
        <v>3910.4</v>
      </c>
      <c r="CN43" s="1044">
        <f t="shared" si="134"/>
        <v>2923.4</v>
      </c>
      <c r="CO43" s="1044">
        <f t="shared" si="134"/>
        <v>0</v>
      </c>
      <c r="CP43" s="1044">
        <f t="shared" si="134"/>
        <v>334.2</v>
      </c>
      <c r="CQ43" s="1044">
        <f t="shared" si="134"/>
        <v>728.4</v>
      </c>
      <c r="CR43" s="1044">
        <f t="shared" si="134"/>
        <v>0</v>
      </c>
      <c r="CS43" s="1044">
        <f t="shared" si="134"/>
        <v>1705.8</v>
      </c>
      <c r="CT43" s="1044">
        <f t="shared" si="134"/>
        <v>155</v>
      </c>
      <c r="CU43" s="1044">
        <f t="shared" si="134"/>
        <v>882.9</v>
      </c>
      <c r="CV43" s="1044">
        <f t="shared" si="134"/>
        <v>13.3</v>
      </c>
      <c r="CW43" s="1044">
        <f t="shared" si="134"/>
        <v>2.2000000000000002</v>
      </c>
      <c r="CX43" s="1044">
        <f t="shared" si="134"/>
        <v>0</v>
      </c>
      <c r="CY43" s="1044">
        <f t="shared" si="134"/>
        <v>11.1</v>
      </c>
      <c r="CZ43" s="1044">
        <f t="shared" si="134"/>
        <v>0</v>
      </c>
      <c r="DA43" s="1044">
        <f t="shared" si="134"/>
        <v>0</v>
      </c>
      <c r="DB43" s="1044">
        <f t="shared" si="134"/>
        <v>77.5</v>
      </c>
      <c r="DC43" s="1048"/>
      <c r="DD43" s="1047"/>
      <c r="DE43" s="1044">
        <f t="shared" ref="DE43:DO43" si="135">DE41-DE42</f>
        <v>3038.3</v>
      </c>
      <c r="DF43" s="1044">
        <f t="shared" si="135"/>
        <v>2271.4</v>
      </c>
      <c r="DG43" s="1044">
        <f t="shared" si="135"/>
        <v>686</v>
      </c>
      <c r="DH43" s="1044">
        <f t="shared" si="135"/>
        <v>10.3</v>
      </c>
      <c r="DI43" s="1044">
        <f t="shared" si="135"/>
        <v>1.7</v>
      </c>
      <c r="DJ43" s="1044">
        <f t="shared" si="135"/>
        <v>0</v>
      </c>
      <c r="DK43" s="1044">
        <f t="shared" si="135"/>
        <v>8.6</v>
      </c>
      <c r="DL43" s="1044">
        <f t="shared" si="135"/>
        <v>0</v>
      </c>
      <c r="DM43" s="1044">
        <f t="shared" si="135"/>
        <v>0</v>
      </c>
      <c r="DN43" s="1044">
        <f t="shared" si="135"/>
        <v>60.3</v>
      </c>
      <c r="DO43" s="1044">
        <f t="shared" si="135"/>
        <v>9</v>
      </c>
      <c r="DP43" s="996"/>
      <c r="DQ43" s="1047"/>
      <c r="DR43" s="1044">
        <f t="shared" ref="DR43:EB43" si="136">DR41-DR42</f>
        <v>3191.8</v>
      </c>
      <c r="DS43" s="1044">
        <f t="shared" si="136"/>
        <v>2386.1999999999998</v>
      </c>
      <c r="DT43" s="1044">
        <f t="shared" si="136"/>
        <v>720.7</v>
      </c>
      <c r="DU43" s="1044">
        <f t="shared" si="136"/>
        <v>10.9</v>
      </c>
      <c r="DV43" s="1044">
        <f t="shared" si="136"/>
        <v>1.8</v>
      </c>
      <c r="DW43" s="1044">
        <f t="shared" si="136"/>
        <v>0</v>
      </c>
      <c r="DX43" s="1044">
        <f t="shared" si="136"/>
        <v>9.1</v>
      </c>
      <c r="DY43" s="1044">
        <f t="shared" si="136"/>
        <v>0</v>
      </c>
      <c r="DZ43" s="1044">
        <f t="shared" si="136"/>
        <v>0</v>
      </c>
      <c r="EA43" s="1044">
        <f t="shared" si="136"/>
        <v>63.1</v>
      </c>
      <c r="EB43" s="1044">
        <f t="shared" si="136"/>
        <v>9.4</v>
      </c>
      <c r="EC43" s="996"/>
      <c r="ED43" s="1047"/>
      <c r="EE43" s="1044">
        <f t="shared" ref="EE43:EO43" si="137">EE41-EE42</f>
        <v>3319.6</v>
      </c>
      <c r="EF43" s="1044">
        <f t="shared" si="137"/>
        <v>2481.6999999999998</v>
      </c>
      <c r="EG43" s="1044">
        <f t="shared" si="137"/>
        <v>749.5</v>
      </c>
      <c r="EH43" s="1044">
        <f t="shared" si="137"/>
        <v>11.3</v>
      </c>
      <c r="EI43" s="1044">
        <f t="shared" si="137"/>
        <v>1.9</v>
      </c>
      <c r="EJ43" s="1044">
        <f t="shared" si="137"/>
        <v>0</v>
      </c>
      <c r="EK43" s="1044">
        <f t="shared" si="137"/>
        <v>9.4</v>
      </c>
      <c r="EL43" s="1044">
        <f t="shared" si="137"/>
        <v>0</v>
      </c>
      <c r="EM43" s="1044">
        <f t="shared" si="137"/>
        <v>0</v>
      </c>
      <c r="EN43" s="1044">
        <f t="shared" si="137"/>
        <v>65.8</v>
      </c>
      <c r="EO43" s="1044">
        <f t="shared" si="137"/>
        <v>9.8000000000000007</v>
      </c>
    </row>
    <row r="44" spans="1:145" ht="18.75" hidden="1" x14ac:dyDescent="0.25">
      <c r="B44" s="1049"/>
      <c r="C44" s="1049"/>
      <c r="D44" s="1049"/>
      <c r="E44" s="1049"/>
      <c r="F44" s="1049"/>
      <c r="G44" s="1049"/>
      <c r="H44" s="1049"/>
      <c r="I44" s="1049"/>
      <c r="J44" s="1049"/>
      <c r="K44" s="1049"/>
      <c r="L44" s="1049"/>
      <c r="M44" s="1049"/>
      <c r="N44" s="1050"/>
      <c r="O44" s="1050"/>
      <c r="P44" s="1050"/>
      <c r="Q44" s="1050"/>
      <c r="R44" s="1050"/>
      <c r="S44" s="1050"/>
      <c r="T44" s="1050"/>
      <c r="U44" s="1050"/>
      <c r="V44" s="1050"/>
      <c r="W44" s="1050"/>
      <c r="X44" s="1050"/>
      <c r="Y44" s="1050"/>
      <c r="Z44" s="1050"/>
      <c r="AA44" s="1050"/>
      <c r="AB44" s="1050"/>
      <c r="AC44" s="1050"/>
      <c r="AD44" s="1050"/>
      <c r="AE44" s="1050"/>
      <c r="AF44" s="1050"/>
      <c r="AG44" s="1050"/>
      <c r="AH44" s="1050"/>
      <c r="AI44" s="1050"/>
      <c r="AJ44" s="1050"/>
      <c r="AK44" s="1050"/>
      <c r="AL44" s="1050"/>
      <c r="AM44" s="1050"/>
      <c r="AN44" s="1050"/>
      <c r="AO44" s="1050"/>
      <c r="AP44" s="1050"/>
      <c r="AQ44" s="1050"/>
      <c r="AR44" s="1050" t="s">
        <v>1803</v>
      </c>
      <c r="AS44" s="1050"/>
      <c r="AT44" s="1050"/>
      <c r="AU44" s="1050"/>
      <c r="AV44" s="1050"/>
      <c r="AW44" s="1050"/>
      <c r="AX44" s="1050"/>
      <c r="AY44" s="1050"/>
      <c r="AZ44" s="1050"/>
      <c r="BA44" s="1050"/>
      <c r="BB44" s="1050"/>
      <c r="BC44" s="1050"/>
      <c r="BD44" s="1050"/>
      <c r="BE44" s="1050"/>
      <c r="BF44" s="1050"/>
      <c r="BG44" s="1050"/>
      <c r="BH44" s="1050"/>
      <c r="BI44" s="1050"/>
      <c r="BJ44" s="1050"/>
      <c r="BK44" s="996"/>
      <c r="BL44" s="1051"/>
      <c r="BM44" s="1051"/>
      <c r="BN44" s="1051"/>
      <c r="BO44" s="1051"/>
      <c r="BP44" s="1051"/>
      <c r="BQ44" s="1051"/>
      <c r="BR44" s="1050"/>
      <c r="BS44" s="1052" t="s">
        <v>1804</v>
      </c>
      <c r="BT44" s="1053">
        <f>BT41/1</f>
        <v>12000</v>
      </c>
      <c r="BU44" s="1054"/>
      <c r="BV44" s="1055"/>
      <c r="BW44" s="1054"/>
      <c r="BX44" s="1053">
        <f>BX41/1</f>
        <v>0</v>
      </c>
      <c r="BY44" s="1054"/>
      <c r="BZ44" s="1055"/>
      <c r="CA44" s="1054"/>
      <c r="CB44" s="1055"/>
      <c r="CC44" s="1054"/>
      <c r="CD44" s="1052"/>
      <c r="CE44" s="1054"/>
      <c r="CF44" s="1054"/>
      <c r="CG44" s="1054"/>
      <c r="CH44" s="1050"/>
      <c r="CI44" s="1050"/>
      <c r="CJ44" s="996"/>
      <c r="CK44" s="1050"/>
      <c r="CL44" s="996"/>
      <c r="CM44" s="1050"/>
      <c r="CN44" s="1050"/>
      <c r="CO44" s="1050"/>
      <c r="CP44" s="1050"/>
      <c r="CQ44" s="1050"/>
      <c r="CR44" s="1050"/>
      <c r="CS44" s="1050"/>
      <c r="CT44" s="1050"/>
      <c r="CU44" s="1050"/>
      <c r="CV44" s="1050"/>
      <c r="CW44" s="1050"/>
      <c r="CX44" s="1050"/>
      <c r="CY44" s="1050"/>
      <c r="CZ44" s="1050"/>
      <c r="DA44" s="1050"/>
      <c r="DB44" s="1050"/>
      <c r="DC44" s="996"/>
      <c r="DD44" s="1056"/>
      <c r="DE44" s="1057">
        <f>DE47-DE41</f>
        <v>0</v>
      </c>
      <c r="DF44" s="1050"/>
      <c r="DG44" s="1050"/>
      <c r="DH44" s="1050"/>
      <c r="DI44" s="1050"/>
      <c r="DJ44" s="1050"/>
      <c r="DK44" s="1050"/>
      <c r="DL44" s="1050"/>
      <c r="DM44" s="1050"/>
      <c r="DN44" s="1050"/>
      <c r="DO44" s="1050"/>
      <c r="DP44" s="996"/>
      <c r="DQ44" s="1050"/>
      <c r="DR44" s="1057">
        <f>DR47-DR41</f>
        <v>0</v>
      </c>
      <c r="DS44" s="1050"/>
      <c r="DT44" s="1050"/>
      <c r="DU44" s="1050"/>
      <c r="DV44" s="1050"/>
      <c r="DW44" s="1050"/>
      <c r="DX44" s="1050"/>
      <c r="DY44" s="1050"/>
      <c r="DZ44" s="1050"/>
      <c r="EA44" s="1050"/>
      <c r="EB44" s="1050"/>
      <c r="EC44" s="996"/>
      <c r="ED44" s="1050"/>
      <c r="EE44" s="1057">
        <f>EE47-EE41</f>
        <v>0</v>
      </c>
      <c r="EF44" s="1050"/>
      <c r="EG44" s="1050"/>
      <c r="EH44" s="1050"/>
      <c r="EI44" s="1050"/>
      <c r="EJ44" s="1050"/>
      <c r="EK44" s="1050"/>
      <c r="EL44" s="1050"/>
      <c r="EM44" s="1050"/>
      <c r="EN44" s="1050"/>
      <c r="EO44" s="1050"/>
    </row>
    <row r="45" spans="1:145" ht="18.75" hidden="1" x14ac:dyDescent="0.25">
      <c r="B45" s="1050"/>
      <c r="C45" s="1050"/>
      <c r="D45" s="1050"/>
      <c r="E45" s="1050"/>
      <c r="F45" s="1050"/>
      <c r="G45" s="1050"/>
      <c r="H45" s="1050"/>
      <c r="I45" s="1050"/>
      <c r="J45" s="1050"/>
      <c r="K45" s="1050"/>
      <c r="L45" s="1050"/>
      <c r="M45" s="1050"/>
      <c r="N45" s="1050"/>
      <c r="O45" s="1050"/>
      <c r="P45" s="1050"/>
      <c r="Q45" s="1050"/>
      <c r="R45" s="1050"/>
      <c r="S45" s="1050"/>
      <c r="T45" s="1050"/>
      <c r="U45" s="1050"/>
      <c r="V45" s="1050"/>
      <c r="W45" s="1050"/>
      <c r="X45" s="1050"/>
      <c r="Y45" s="1050"/>
      <c r="Z45" s="1050"/>
      <c r="AA45" s="1050"/>
      <c r="AB45" s="1050"/>
      <c r="AC45" s="1050"/>
      <c r="AD45" s="1050"/>
      <c r="AE45" s="1050"/>
      <c r="AF45" s="1050"/>
      <c r="AG45" s="1050"/>
      <c r="AH45" s="1050"/>
      <c r="AI45" s="1050"/>
      <c r="AJ45" s="1050"/>
      <c r="AK45" s="1050"/>
      <c r="AL45" s="1050"/>
      <c r="AM45" s="1050"/>
      <c r="AN45" s="1050"/>
      <c r="AO45" s="1050"/>
      <c r="AP45" s="1050"/>
      <c r="AQ45" s="1050"/>
      <c r="AR45" s="1050"/>
      <c r="AS45" s="1050"/>
      <c r="AT45" s="1050"/>
      <c r="AU45" s="1050"/>
      <c r="AV45" s="1050"/>
      <c r="AW45" s="1050"/>
      <c r="AX45" s="1050"/>
      <c r="AY45" s="1050"/>
      <c r="AZ45" s="1050"/>
      <c r="BA45" s="1050"/>
      <c r="BB45" s="1050"/>
      <c r="BC45" s="1050"/>
      <c r="BD45" s="1050"/>
      <c r="BE45" s="1050"/>
      <c r="BF45" s="1050"/>
      <c r="BG45" s="1050"/>
      <c r="BH45" s="1050"/>
      <c r="BI45" s="1050"/>
      <c r="BJ45" s="1050"/>
      <c r="BK45" s="996"/>
      <c r="BL45" s="1050"/>
      <c r="BM45" s="1050"/>
      <c r="BN45" s="1050"/>
      <c r="BO45" s="1050"/>
      <c r="BP45" s="1050"/>
      <c r="BQ45" s="1050"/>
      <c r="BR45" s="1050"/>
      <c r="BS45" s="1052" t="s">
        <v>1805</v>
      </c>
      <c r="BT45" s="1054"/>
      <c r="BU45" s="1054"/>
      <c r="BV45" s="1053">
        <f>BV41/(I41)</f>
        <v>275.86</v>
      </c>
      <c r="BW45" s="1054"/>
      <c r="BX45" s="1055"/>
      <c r="BY45" s="1054"/>
      <c r="BZ45" s="1053">
        <f>BZ41/(I41)</f>
        <v>1379.31</v>
      </c>
      <c r="CA45" s="1054"/>
      <c r="CB45" s="1053">
        <f>CB41/(I41)</f>
        <v>0</v>
      </c>
      <c r="CC45" s="1054"/>
      <c r="CD45" s="1052"/>
      <c r="CE45" s="1054"/>
      <c r="CF45" s="1054"/>
      <c r="CG45" s="1054"/>
      <c r="CH45" s="1050"/>
      <c r="CI45" s="1050"/>
      <c r="CJ45" s="996"/>
      <c r="CK45" s="1050"/>
      <c r="CL45" s="996"/>
      <c r="CM45" s="1050"/>
      <c r="CN45" s="1050"/>
      <c r="CO45" s="1050"/>
      <c r="CP45" s="1050"/>
      <c r="CQ45" s="1050"/>
      <c r="CR45" s="1050"/>
      <c r="CS45" s="1050"/>
      <c r="CT45" s="1050"/>
      <c r="CU45" s="1050"/>
      <c r="CV45" s="1050"/>
      <c r="CW45" s="1050"/>
      <c r="CX45" s="1050"/>
      <c r="CY45" s="1050"/>
      <c r="CZ45" s="1050"/>
      <c r="DA45" s="1050"/>
      <c r="DB45" s="1050"/>
      <c r="DC45" s="996"/>
      <c r="DD45" s="1050"/>
      <c r="DE45" s="1050"/>
      <c r="DF45" s="1050"/>
      <c r="DG45" s="1050"/>
      <c r="DH45" s="1050"/>
      <c r="DI45" s="1050"/>
      <c r="DJ45" s="1050"/>
      <c r="DK45" s="1050"/>
      <c r="DL45" s="1050"/>
      <c r="DM45" s="1050"/>
      <c r="DN45" s="1050"/>
      <c r="DO45" s="1050"/>
      <c r="DP45" s="996"/>
      <c r="DQ45" s="1050"/>
      <c r="DR45" s="1050"/>
      <c r="DS45" s="1050"/>
      <c r="DT45" s="1050"/>
      <c r="DU45" s="1050"/>
      <c r="DV45" s="1050"/>
      <c r="DW45" s="1050"/>
      <c r="DX45" s="1050"/>
      <c r="DY45" s="1050"/>
      <c r="DZ45" s="1050"/>
      <c r="EA45" s="1050"/>
      <c r="EB45" s="1050"/>
      <c r="EC45" s="996"/>
      <c r="ED45" s="1050"/>
      <c r="EE45" s="1050"/>
      <c r="EF45" s="1050"/>
      <c r="EG45" s="1050"/>
      <c r="EH45" s="1050"/>
      <c r="EI45" s="1050"/>
      <c r="EJ45" s="1050"/>
      <c r="EK45" s="1050"/>
      <c r="EL45" s="1050"/>
      <c r="EM45" s="1050"/>
      <c r="EN45" s="1050"/>
      <c r="EO45" s="1050"/>
    </row>
    <row r="46" spans="1:145" ht="18.75" hidden="1" x14ac:dyDescent="0.25">
      <c r="B46" s="1058"/>
      <c r="C46" s="1058"/>
      <c r="D46" s="1058"/>
      <c r="E46" s="1058"/>
      <c r="F46" s="1058"/>
      <c r="G46" s="1058"/>
      <c r="H46" s="1058"/>
      <c r="I46" s="1058"/>
      <c r="J46" s="1058"/>
      <c r="K46" s="1058"/>
      <c r="L46" s="1058"/>
      <c r="M46" s="1058"/>
      <c r="N46" s="1058"/>
      <c r="O46" s="1058"/>
      <c r="P46" s="1058"/>
      <c r="Q46" s="1058"/>
      <c r="R46" s="1058"/>
      <c r="S46" s="1058"/>
      <c r="T46" s="1058"/>
      <c r="U46" s="1058"/>
      <c r="V46" s="1058"/>
      <c r="W46" s="1058"/>
      <c r="X46" s="1058"/>
      <c r="Y46" s="1058"/>
      <c r="Z46" s="1058"/>
      <c r="AA46" s="1058"/>
      <c r="AB46" s="1058"/>
      <c r="AC46" s="1058"/>
      <c r="AD46" s="1058"/>
      <c r="AE46" s="1058"/>
      <c r="AF46" s="1058"/>
      <c r="AG46" s="1058"/>
      <c r="AH46" s="1058"/>
      <c r="AI46" s="1058"/>
      <c r="AJ46" s="1058"/>
      <c r="AK46" s="1058"/>
      <c r="AL46" s="1058"/>
      <c r="AM46" s="1058"/>
      <c r="AN46" s="1058"/>
      <c r="AO46" s="1058"/>
      <c r="AP46" s="1058"/>
      <c r="AQ46" s="1058"/>
      <c r="AR46" s="1058"/>
      <c r="AS46" s="1058"/>
      <c r="AT46" s="1058"/>
      <c r="AU46" s="1058"/>
      <c r="AV46" s="1058"/>
      <c r="AW46" s="1058"/>
      <c r="AX46" s="1058"/>
      <c r="AY46" s="1058"/>
      <c r="AZ46" s="1058"/>
      <c r="BA46" s="1058"/>
      <c r="BB46" s="1058"/>
      <c r="BC46" s="1058"/>
      <c r="BD46" s="1058"/>
      <c r="BE46" s="1058"/>
      <c r="BF46" s="1058"/>
      <c r="BG46" s="1058"/>
      <c r="BH46" s="1058"/>
      <c r="BI46" s="1058"/>
      <c r="BJ46" s="1058"/>
      <c r="BK46" s="996"/>
      <c r="BL46" s="1058"/>
      <c r="BM46" s="1058"/>
      <c r="BN46" s="1058"/>
      <c r="BO46" s="1058"/>
      <c r="BP46" s="1058"/>
      <c r="BQ46" s="1058"/>
      <c r="BR46" s="1058"/>
      <c r="BS46" s="1052"/>
      <c r="BT46" s="1059"/>
      <c r="BU46" s="1059"/>
      <c r="BV46" s="1059"/>
      <c r="BW46" s="1059"/>
      <c r="BX46" s="1059"/>
      <c r="BY46" s="1059"/>
      <c r="BZ46" s="1059"/>
      <c r="CA46" s="1059"/>
      <c r="CB46" s="1059"/>
      <c r="CC46" s="1059"/>
      <c r="CD46" s="1052" t="s">
        <v>1806</v>
      </c>
      <c r="CE46" s="1053">
        <f>CE41/(BL41)</f>
        <v>0</v>
      </c>
      <c r="CF46" s="1059"/>
      <c r="CG46" s="1053">
        <f>CG41/(BL41)</f>
        <v>1428.57</v>
      </c>
      <c r="CH46" s="1058"/>
      <c r="CI46" s="1058"/>
      <c r="CJ46" s="996"/>
      <c r="CK46" s="1058"/>
      <c r="CL46" s="996"/>
      <c r="CM46" s="1058"/>
      <c r="CN46" s="1058"/>
      <c r="CO46" s="1058"/>
      <c r="CP46" s="1058"/>
      <c r="CQ46" s="1058"/>
      <c r="CR46" s="1058"/>
      <c r="CS46" s="1058"/>
      <c r="CT46" s="1058"/>
      <c r="CU46" s="1058"/>
      <c r="CV46" s="1058"/>
      <c r="CW46" s="1058"/>
      <c r="CX46" s="1058"/>
      <c r="CY46" s="1058"/>
      <c r="CZ46" s="1058"/>
      <c r="DA46" s="1058"/>
      <c r="DB46" s="1058"/>
      <c r="DC46" s="996"/>
      <c r="DD46" s="1058"/>
      <c r="DE46" s="1058"/>
      <c r="DF46" s="1058"/>
      <c r="DG46" s="1058"/>
      <c r="DH46" s="1058"/>
      <c r="DI46" s="1058"/>
      <c r="DJ46" s="1058"/>
      <c r="DK46" s="1058"/>
      <c r="DL46" s="1058"/>
      <c r="DM46" s="1058"/>
      <c r="DN46" s="1058"/>
      <c r="DO46" s="1058"/>
      <c r="DP46" s="996"/>
      <c r="DQ46" s="1058"/>
      <c r="DR46" s="1058"/>
      <c r="DS46" s="1058"/>
      <c r="DT46" s="1058"/>
      <c r="DU46" s="1058"/>
      <c r="DV46" s="1058"/>
      <c r="DW46" s="1058"/>
      <c r="DX46" s="1058"/>
      <c r="DY46" s="1058"/>
      <c r="DZ46" s="1058"/>
      <c r="EA46" s="1058"/>
      <c r="EB46" s="1058"/>
      <c r="EC46" s="996"/>
      <c r="ED46" s="1058"/>
      <c r="EE46" s="1058"/>
      <c r="EF46" s="1058"/>
      <c r="EG46" s="1058"/>
      <c r="EH46" s="1058"/>
      <c r="EI46" s="1058"/>
      <c r="EJ46" s="1058"/>
      <c r="EK46" s="1058"/>
      <c r="EL46" s="1058"/>
      <c r="EM46" s="1058"/>
      <c r="EN46" s="1058"/>
      <c r="EO46" s="1058"/>
    </row>
    <row r="47" spans="1:145" ht="18.75" x14ac:dyDescent="0.25">
      <c r="A47" s="1010" t="s">
        <v>1807</v>
      </c>
      <c r="B47" s="1060"/>
      <c r="C47" s="1060"/>
      <c r="D47" s="1060"/>
      <c r="E47" s="1060"/>
      <c r="F47" s="1060"/>
      <c r="G47" s="1060"/>
      <c r="H47" s="1060"/>
      <c r="I47" s="1060"/>
      <c r="J47" s="1060"/>
      <c r="K47" s="1060"/>
      <c r="L47" s="1060"/>
      <c r="M47" s="1060"/>
      <c r="N47" s="1060"/>
      <c r="O47" s="1060"/>
      <c r="P47" s="1060"/>
      <c r="Q47" s="1060"/>
      <c r="R47" s="1060"/>
      <c r="S47" s="1060"/>
      <c r="T47" s="1060"/>
      <c r="U47" s="1060"/>
      <c r="V47" s="1060"/>
      <c r="W47" s="1060"/>
      <c r="X47" s="1060"/>
      <c r="Y47" s="1060"/>
      <c r="Z47" s="1060"/>
      <c r="AA47" s="1060"/>
      <c r="AB47" s="1060"/>
      <c r="AC47" s="1060"/>
      <c r="AD47" s="1060"/>
      <c r="AE47" s="1060"/>
      <c r="AF47" s="1060"/>
      <c r="AG47" s="1060"/>
      <c r="AH47" s="1060"/>
      <c r="AI47" s="1060"/>
      <c r="AJ47" s="1060"/>
      <c r="AK47" s="1060"/>
      <c r="AL47" s="1060"/>
      <c r="AM47" s="1060"/>
      <c r="AN47" s="1060"/>
      <c r="AO47" s="1060"/>
      <c r="AP47" s="1060"/>
      <c r="AQ47" s="1060"/>
      <c r="AR47" s="1060"/>
      <c r="AS47" s="1060"/>
      <c r="AT47" s="1060"/>
      <c r="AU47" s="1060"/>
      <c r="AV47" s="1060"/>
      <c r="AW47" s="1060"/>
      <c r="AX47" s="1060"/>
      <c r="AY47" s="1060"/>
      <c r="AZ47" s="1060"/>
      <c r="BA47" s="1060"/>
      <c r="BB47" s="1060"/>
      <c r="BC47" s="1060"/>
      <c r="BD47" s="1060"/>
      <c r="BE47" s="1060"/>
      <c r="BF47" s="1060"/>
      <c r="BG47" s="1060"/>
      <c r="BH47" s="1060"/>
      <c r="BI47" s="1060"/>
      <c r="BJ47" s="1060"/>
      <c r="BK47" s="1061"/>
      <c r="BL47" s="1060"/>
      <c r="BM47" s="1060"/>
      <c r="BN47" s="1060"/>
      <c r="BO47" s="1060"/>
      <c r="BP47" s="1060"/>
      <c r="BQ47" s="1060"/>
      <c r="BR47" s="1060"/>
      <c r="BS47" s="1060"/>
      <c r="BT47" s="1060"/>
      <c r="BU47" s="1060"/>
      <c r="BV47" s="1060"/>
      <c r="BW47" s="1060"/>
      <c r="BX47" s="1060"/>
      <c r="BY47" s="1060"/>
      <c r="BZ47" s="1060"/>
      <c r="CA47" s="1060"/>
      <c r="CB47" s="1060"/>
      <c r="CC47" s="1060"/>
      <c r="CD47" s="1060"/>
      <c r="CE47" s="1060"/>
      <c r="CF47" s="1060"/>
      <c r="CG47" s="1060"/>
      <c r="CH47" s="1060"/>
      <c r="CI47" s="1060"/>
      <c r="CJ47" s="1061"/>
      <c r="CK47" s="1060"/>
      <c r="CL47" s="1061"/>
      <c r="CM47" s="1060"/>
      <c r="CN47" s="1060"/>
      <c r="CO47" s="1060"/>
      <c r="CP47" s="1060"/>
      <c r="CQ47" s="1060"/>
      <c r="CR47" s="1060"/>
      <c r="CS47" s="1060"/>
      <c r="CT47" s="1060"/>
      <c r="CU47" s="1060"/>
      <c r="CV47" s="1060"/>
      <c r="CW47" s="1060"/>
      <c r="CX47" s="1060"/>
      <c r="CY47" s="1060"/>
      <c r="CZ47" s="1060"/>
      <c r="DA47" s="1060"/>
      <c r="DB47" s="1060"/>
      <c r="DC47" s="1061"/>
      <c r="DD47" s="1060"/>
      <c r="DE47" s="1062">
        <v>3038.3</v>
      </c>
      <c r="DF47" s="1060"/>
      <c r="DG47" s="1060"/>
      <c r="DH47" s="1060"/>
      <c r="DI47" s="1060"/>
      <c r="DJ47" s="1060"/>
      <c r="DK47" s="1060"/>
      <c r="DL47" s="1060"/>
      <c r="DM47" s="1060"/>
      <c r="DN47" s="1060"/>
      <c r="DO47" s="1060"/>
      <c r="DP47" s="1061"/>
      <c r="DQ47" s="1060"/>
      <c r="DR47" s="1062">
        <v>3191.8</v>
      </c>
      <c r="DS47" s="1060"/>
      <c r="DT47" s="1060"/>
      <c r="DU47" s="1060"/>
      <c r="DV47" s="1060"/>
      <c r="DW47" s="1060"/>
      <c r="DX47" s="1060"/>
      <c r="DY47" s="1060"/>
      <c r="DZ47" s="1060"/>
      <c r="EA47" s="1060"/>
      <c r="EB47" s="1060"/>
      <c r="EC47" s="1061"/>
      <c r="ED47" s="1060"/>
      <c r="EE47" s="1062">
        <v>3319.6</v>
      </c>
      <c r="EF47" s="1060"/>
      <c r="EG47" s="1060"/>
      <c r="EH47" s="1060"/>
      <c r="EI47" s="1060"/>
      <c r="EJ47" s="1060"/>
      <c r="EK47" s="1060"/>
      <c r="EL47" s="1060"/>
      <c r="EM47" s="1060"/>
      <c r="EN47" s="1060"/>
      <c r="EO47" s="1060"/>
    </row>
    <row r="48" spans="1:145" ht="18.75" x14ac:dyDescent="0.25">
      <c r="B48" s="1058"/>
      <c r="C48" s="1058"/>
      <c r="D48" s="1058"/>
      <c r="E48" s="1058"/>
      <c r="F48" s="1058"/>
      <c r="G48" s="1058"/>
      <c r="H48" s="1058"/>
      <c r="I48" s="1058"/>
      <c r="J48" s="1058"/>
      <c r="K48" s="1058"/>
      <c r="L48" s="1058"/>
      <c r="M48" s="1058"/>
      <c r="N48" s="1058"/>
      <c r="O48" s="1058"/>
      <c r="P48" s="1058"/>
      <c r="Q48" s="1058"/>
      <c r="R48" s="1058"/>
      <c r="S48" s="1058"/>
      <c r="T48" s="1058"/>
      <c r="U48" s="1058"/>
      <c r="V48" s="1058"/>
      <c r="W48" s="1058"/>
      <c r="X48" s="1058"/>
      <c r="Y48" s="1058"/>
      <c r="Z48" s="1058"/>
      <c r="AA48" s="1058"/>
      <c r="AB48" s="1058"/>
      <c r="AC48" s="1058"/>
      <c r="AD48" s="1058"/>
      <c r="AE48" s="1058"/>
      <c r="AF48" s="1058"/>
      <c r="AG48" s="1058"/>
      <c r="AH48" s="1058"/>
      <c r="AI48" s="1058"/>
      <c r="AJ48" s="1058"/>
      <c r="AK48" s="1058"/>
      <c r="AL48" s="1058"/>
      <c r="AM48" s="1058"/>
      <c r="AN48" s="1058"/>
      <c r="AO48" s="1058"/>
      <c r="AP48" s="1058"/>
      <c r="AQ48" s="1058"/>
      <c r="AR48" s="1058"/>
      <c r="AS48" s="1058"/>
      <c r="AT48" s="1058"/>
      <c r="AU48" s="1058"/>
      <c r="AV48" s="1058"/>
      <c r="AW48" s="1058"/>
      <c r="AX48" s="1058"/>
      <c r="AY48" s="1058"/>
      <c r="AZ48" s="1058"/>
      <c r="BA48" s="1058"/>
      <c r="BB48" s="1058"/>
      <c r="BC48" s="1058"/>
      <c r="BD48" s="1058"/>
      <c r="BE48" s="1058"/>
      <c r="BF48" s="1058"/>
      <c r="BG48" s="1058"/>
      <c r="BH48" s="1058"/>
      <c r="BI48" s="1058"/>
      <c r="BJ48" s="1058"/>
      <c r="BK48" s="996"/>
      <c r="BL48" s="1058"/>
      <c r="BM48" s="1058"/>
      <c r="BN48" s="1058"/>
      <c r="BO48" s="1058"/>
      <c r="BP48" s="1058"/>
      <c r="BQ48" s="1058"/>
      <c r="BR48" s="1058"/>
      <c r="BS48" s="1058"/>
      <c r="BT48" s="1058"/>
      <c r="BU48" s="1058"/>
      <c r="BV48" s="1058"/>
      <c r="BW48" s="1058"/>
      <c r="BX48" s="1058"/>
      <c r="BY48" s="1058"/>
      <c r="BZ48" s="1058"/>
      <c r="CA48" s="1058"/>
      <c r="CB48" s="1058"/>
      <c r="CC48" s="1058"/>
      <c r="CD48" s="1058"/>
      <c r="CE48" s="1058"/>
      <c r="CF48" s="1058"/>
      <c r="CG48" s="1058"/>
      <c r="CH48" s="1058"/>
      <c r="CI48" s="1058"/>
      <c r="CJ48" s="996"/>
      <c r="CK48" s="1058"/>
      <c r="CL48" s="996"/>
      <c r="CM48" s="1058"/>
      <c r="CN48" s="1058"/>
      <c r="CO48" s="1058"/>
      <c r="CP48" s="1058"/>
      <c r="CQ48" s="1058"/>
      <c r="CR48" s="1058"/>
      <c r="CS48" s="1058"/>
      <c r="CT48" s="1058"/>
      <c r="CU48" s="1058"/>
      <c r="CV48" s="1058"/>
      <c r="CW48" s="1058"/>
      <c r="CX48" s="1058"/>
      <c r="CY48" s="1058"/>
      <c r="CZ48" s="1058"/>
      <c r="DA48" s="1058"/>
      <c r="DB48" s="1058"/>
      <c r="DC48" s="996"/>
      <c r="DD48" s="1058"/>
      <c r="DE48" s="1058"/>
      <c r="DF48" s="1058"/>
      <c r="DG48" s="1058"/>
      <c r="DH48" s="1058"/>
      <c r="DI48" s="1058"/>
      <c r="DJ48" s="1058"/>
      <c r="DK48" s="1058"/>
      <c r="DL48" s="1058"/>
      <c r="DM48" s="1058"/>
      <c r="DN48" s="1058"/>
      <c r="DO48" s="1058"/>
      <c r="DP48" s="996"/>
      <c r="DQ48" s="1058"/>
      <c r="DR48" s="1058"/>
      <c r="DS48" s="1058"/>
      <c r="DT48" s="1058"/>
      <c r="DU48" s="1058"/>
      <c r="DV48" s="1058"/>
      <c r="DW48" s="1058"/>
      <c r="DX48" s="1058"/>
      <c r="DY48" s="1058"/>
      <c r="DZ48" s="1058"/>
      <c r="EA48" s="1058"/>
      <c r="EB48" s="1058"/>
      <c r="EC48" s="996"/>
      <c r="ED48" s="1058"/>
      <c r="EE48" s="1058"/>
      <c r="EF48" s="1058"/>
      <c r="EG48" s="1058"/>
      <c r="EH48" s="1058"/>
      <c r="EI48" s="1058"/>
      <c r="EJ48" s="1058"/>
      <c r="EK48" s="1058"/>
      <c r="EL48" s="1058"/>
      <c r="EM48" s="1058"/>
      <c r="EN48" s="1058"/>
      <c r="EO48" s="1058"/>
    </row>
    <row r="49" spans="2:145" ht="18.75" x14ac:dyDescent="0.25">
      <c r="B49" s="1058"/>
      <c r="C49" s="1058"/>
      <c r="D49" s="1058"/>
      <c r="E49" s="1058"/>
      <c r="F49" s="1058"/>
      <c r="G49" s="1058"/>
      <c r="H49" s="1058"/>
      <c r="I49" s="1058"/>
      <c r="J49" s="1058"/>
      <c r="K49" s="1058"/>
      <c r="L49" s="1063"/>
      <c r="M49" s="1058"/>
      <c r="N49" s="1058"/>
      <c r="O49" s="1058"/>
      <c r="P49" s="1058"/>
      <c r="Q49" s="1058"/>
      <c r="R49" s="1058"/>
      <c r="S49" s="1058"/>
      <c r="T49" s="1058"/>
      <c r="U49" s="1058"/>
      <c r="V49" s="1058"/>
      <c r="W49" s="1058"/>
      <c r="X49" s="1058"/>
      <c r="Y49" s="1058"/>
      <c r="Z49" s="1058"/>
      <c r="AA49" s="1058"/>
      <c r="AB49" s="1058"/>
      <c r="AC49" s="1058"/>
      <c r="AD49" s="1058"/>
      <c r="AE49" s="1058"/>
      <c r="AF49" s="1058"/>
      <c r="AG49" s="1058"/>
      <c r="AH49" s="1058"/>
      <c r="AI49" s="1058"/>
      <c r="AJ49" s="1058"/>
      <c r="AK49" s="1058"/>
      <c r="AL49" s="1058"/>
      <c r="AM49" s="1058"/>
      <c r="AN49" s="1058"/>
      <c r="AO49" s="1058"/>
      <c r="AP49" s="1058"/>
      <c r="AQ49" s="1058"/>
      <c r="AR49" s="1058"/>
      <c r="AS49" s="1058"/>
      <c r="AT49" s="1058"/>
      <c r="AU49" s="1058"/>
      <c r="AV49" s="1058"/>
      <c r="AW49" s="1058"/>
      <c r="AX49" s="1058"/>
      <c r="AY49" s="1058"/>
      <c r="AZ49" s="1058"/>
      <c r="BA49" s="1058"/>
      <c r="BB49" s="1058"/>
      <c r="BC49" s="1058"/>
      <c r="BD49" s="1058"/>
      <c r="BE49" s="1058"/>
      <c r="BF49" s="1058"/>
      <c r="BG49" s="1058"/>
      <c r="BH49" s="1058"/>
      <c r="BI49" s="1058"/>
      <c r="BJ49" s="1058"/>
      <c r="BK49" s="996"/>
      <c r="BL49" s="1058"/>
      <c r="BM49" s="1058"/>
      <c r="BN49" s="1058"/>
      <c r="BO49" s="1058"/>
      <c r="BP49" s="1058"/>
      <c r="BQ49" s="1058"/>
      <c r="BR49" s="1058"/>
      <c r="BS49" s="1058"/>
      <c r="BT49" s="1058"/>
      <c r="BU49" s="1058"/>
      <c r="BV49" s="1058"/>
      <c r="BW49" s="1058"/>
      <c r="BX49" s="1058"/>
      <c r="BY49" s="1058"/>
      <c r="BZ49" s="1058"/>
      <c r="CA49" s="1058"/>
      <c r="CB49" s="1058"/>
      <c r="CC49" s="1058"/>
      <c r="CD49" s="1058"/>
      <c r="CE49" s="1058"/>
      <c r="CF49" s="1058"/>
      <c r="CG49" s="1058"/>
      <c r="CH49" s="1058"/>
      <c r="CI49" s="1058"/>
      <c r="CJ49" s="996"/>
      <c r="CK49" s="1058"/>
      <c r="CL49" s="996"/>
      <c r="CM49" s="1058"/>
      <c r="CN49" s="1058"/>
      <c r="CO49" s="1058"/>
      <c r="CP49" s="1058"/>
      <c r="CQ49" s="1058"/>
      <c r="CR49" s="1058"/>
      <c r="CS49" s="1058"/>
      <c r="CT49" s="1058"/>
      <c r="CU49" s="1058"/>
      <c r="CV49" s="1058"/>
      <c r="CW49" s="1058"/>
      <c r="CX49" s="1058"/>
      <c r="CY49" s="1058"/>
      <c r="CZ49" s="1058"/>
      <c r="DA49" s="1058"/>
      <c r="DB49" s="1058"/>
      <c r="DC49" s="996"/>
      <c r="DD49" s="1058"/>
      <c r="DE49" s="1058"/>
      <c r="DF49" s="1058"/>
      <c r="DG49" s="1058"/>
      <c r="DH49" s="1058"/>
      <c r="DI49" s="1058"/>
      <c r="DJ49" s="1058"/>
      <c r="DK49" s="1058"/>
      <c r="DL49" s="1058"/>
      <c r="DM49" s="1058"/>
      <c r="DN49" s="1058"/>
      <c r="DO49" s="1058"/>
      <c r="DP49" s="996"/>
      <c r="DQ49" s="1058"/>
      <c r="DR49" s="1058"/>
      <c r="DS49" s="1058"/>
      <c r="DT49" s="1058"/>
      <c r="DU49" s="1058"/>
      <c r="DV49" s="1058"/>
      <c r="DW49" s="1058"/>
      <c r="DX49" s="1058"/>
      <c r="DY49" s="1058"/>
      <c r="DZ49" s="1058"/>
      <c r="EA49" s="1058"/>
      <c r="EB49" s="1058"/>
      <c r="EC49" s="996"/>
      <c r="ED49" s="1058"/>
      <c r="EE49" s="1058"/>
      <c r="EF49" s="1058"/>
      <c r="EG49" s="1058"/>
      <c r="EH49" s="1058"/>
      <c r="EI49" s="1058"/>
      <c r="EJ49" s="1058"/>
      <c r="EK49" s="1058"/>
      <c r="EL49" s="1058"/>
      <c r="EM49" s="1058"/>
      <c r="EN49" s="1058"/>
      <c r="EO49" s="1058"/>
    </row>
    <row r="50" spans="2:145" ht="18.75" x14ac:dyDescent="0.25">
      <c r="B50" s="1058"/>
      <c r="C50" s="1058"/>
      <c r="D50" s="1058"/>
      <c r="E50" s="1058"/>
      <c r="F50" s="1058"/>
      <c r="G50" s="1058"/>
      <c r="H50" s="1058"/>
      <c r="I50" s="1058"/>
      <c r="J50" s="1058"/>
      <c r="K50" s="1058"/>
      <c r="L50" s="1058"/>
      <c r="M50" s="1058"/>
      <c r="N50" s="1058"/>
      <c r="O50" s="1058"/>
      <c r="P50" s="1058"/>
      <c r="Q50" s="1058"/>
      <c r="R50" s="1058"/>
      <c r="S50" s="1058"/>
      <c r="T50" s="1058"/>
      <c r="U50" s="1058"/>
      <c r="V50" s="1058"/>
      <c r="W50" s="1058"/>
      <c r="X50" s="1058"/>
      <c r="Y50" s="1058"/>
      <c r="Z50" s="1058"/>
      <c r="AA50" s="1058"/>
      <c r="AB50" s="1058"/>
      <c r="AC50" s="1058"/>
      <c r="AD50" s="1058"/>
      <c r="AE50" s="1058"/>
      <c r="AF50" s="1058"/>
      <c r="AG50" s="1058"/>
      <c r="AH50" s="1058"/>
      <c r="AI50" s="1058"/>
      <c r="AJ50" s="1058"/>
      <c r="AK50" s="1058"/>
      <c r="AL50" s="1058"/>
      <c r="AM50" s="1058"/>
      <c r="AN50" s="1058"/>
      <c r="AO50" s="1058"/>
      <c r="AP50" s="1058"/>
      <c r="AQ50" s="1058"/>
      <c r="AR50" s="1058"/>
      <c r="AS50" s="1058"/>
      <c r="AT50" s="1058"/>
      <c r="AU50" s="1058"/>
      <c r="AV50" s="1058"/>
      <c r="AW50" s="1058"/>
      <c r="AX50" s="1058"/>
      <c r="AY50" s="1058"/>
      <c r="AZ50" s="1058"/>
      <c r="BA50" s="1058"/>
      <c r="BB50" s="1058"/>
      <c r="BC50" s="1058"/>
      <c r="BD50" s="1058"/>
      <c r="BE50" s="1058"/>
      <c r="BF50" s="1058"/>
      <c r="BG50" s="1058"/>
      <c r="BH50" s="1058"/>
      <c r="BI50" s="1058"/>
      <c r="BJ50" s="1058"/>
      <c r="BK50" s="996"/>
      <c r="BL50" s="1058"/>
      <c r="BM50" s="1058"/>
      <c r="BN50" s="1058"/>
      <c r="BO50" s="1058"/>
      <c r="BP50" s="1058"/>
      <c r="BQ50" s="1058"/>
      <c r="BR50" s="1058"/>
      <c r="BS50" s="1058"/>
      <c r="BT50" s="1058"/>
      <c r="BU50" s="1058"/>
      <c r="BV50" s="1058"/>
      <c r="BW50" s="1058"/>
      <c r="BX50" s="1058"/>
      <c r="BY50" s="1058"/>
      <c r="BZ50" s="1058"/>
      <c r="CA50" s="1058"/>
      <c r="CB50" s="1058"/>
      <c r="CC50" s="1058"/>
      <c r="CD50" s="1058"/>
      <c r="CE50" s="1058"/>
      <c r="CF50" s="1058"/>
      <c r="CG50" s="1058"/>
      <c r="CH50" s="1058"/>
      <c r="CI50" s="1058"/>
      <c r="CJ50" s="996"/>
      <c r="CK50" s="1058"/>
      <c r="CL50" s="996"/>
      <c r="CM50" s="1058"/>
      <c r="CN50" s="1058"/>
      <c r="CO50" s="1058"/>
      <c r="CP50" s="1058"/>
      <c r="CQ50" s="1058"/>
      <c r="CR50" s="1058"/>
      <c r="CS50" s="1058"/>
      <c r="CT50" s="1058"/>
      <c r="CU50" s="1058"/>
      <c r="CV50" s="1058"/>
      <c r="CW50" s="1058"/>
      <c r="CX50" s="1058"/>
      <c r="CY50" s="1058"/>
      <c r="CZ50" s="1058"/>
      <c r="DA50" s="1058"/>
      <c r="DB50" s="1058"/>
      <c r="DC50" s="996"/>
      <c r="DD50" s="1058"/>
      <c r="DE50" s="1058"/>
      <c r="DF50" s="1058"/>
      <c r="DG50" s="1058"/>
      <c r="DH50" s="1058"/>
      <c r="DI50" s="1058"/>
      <c r="DJ50" s="1058"/>
      <c r="DK50" s="1058"/>
      <c r="DL50" s="1058"/>
      <c r="DM50" s="1058"/>
      <c r="DN50" s="1058"/>
      <c r="DO50" s="1058"/>
      <c r="DP50" s="996"/>
      <c r="DQ50" s="1058"/>
      <c r="DR50" s="1058"/>
      <c r="DS50" s="1058"/>
      <c r="DT50" s="1058"/>
      <c r="DU50" s="1058"/>
      <c r="DV50" s="1058"/>
      <c r="DW50" s="1058"/>
      <c r="DX50" s="1058"/>
      <c r="DY50" s="1058"/>
      <c r="DZ50" s="1058"/>
      <c r="EA50" s="1058"/>
      <c r="EB50" s="1058"/>
      <c r="EC50" s="996"/>
      <c r="ED50" s="1058"/>
      <c r="EE50" s="1058"/>
      <c r="EF50" s="1058"/>
      <c r="EG50" s="1058"/>
      <c r="EH50" s="1058"/>
      <c r="EI50" s="1058"/>
      <c r="EJ50" s="1058"/>
      <c r="EK50" s="1058"/>
      <c r="EL50" s="1058"/>
      <c r="EM50" s="1058"/>
      <c r="EN50" s="1058"/>
      <c r="EO50" s="1058"/>
    </row>
    <row r="51" spans="2:145" ht="18.75" x14ac:dyDescent="0.25">
      <c r="B51" s="1058"/>
      <c r="C51" s="1058"/>
      <c r="D51" s="1058"/>
      <c r="E51" s="1058"/>
      <c r="F51" s="1058"/>
      <c r="G51" s="1058"/>
      <c r="H51" s="1058"/>
      <c r="I51" s="1058"/>
      <c r="J51" s="1058"/>
      <c r="K51" s="1058"/>
      <c r="L51" s="1058"/>
      <c r="M51" s="1058"/>
      <c r="N51" s="1058"/>
      <c r="O51" s="1058"/>
      <c r="P51" s="1058"/>
      <c r="Q51" s="1058"/>
      <c r="R51" s="1058"/>
      <c r="S51" s="1058"/>
      <c r="T51" s="1058"/>
      <c r="U51" s="1058"/>
      <c r="V51" s="1058"/>
      <c r="W51" s="1058"/>
      <c r="X51" s="1058"/>
      <c r="Y51" s="1058"/>
      <c r="Z51" s="1058"/>
      <c r="AA51" s="1058"/>
      <c r="AB51" s="1058"/>
      <c r="AC51" s="1058"/>
      <c r="AD51" s="1058"/>
      <c r="AE51" s="1058"/>
      <c r="AF51" s="1058"/>
      <c r="AG51" s="1058"/>
      <c r="AH51" s="1058"/>
      <c r="AI51" s="1058"/>
      <c r="AJ51" s="1058"/>
      <c r="AK51" s="1058"/>
      <c r="AL51" s="1058"/>
      <c r="AM51" s="1058"/>
      <c r="AN51" s="1058"/>
      <c r="AO51" s="1058"/>
      <c r="AP51" s="1058"/>
      <c r="AQ51" s="1058"/>
      <c r="AR51" s="1058"/>
      <c r="AS51" s="1058"/>
      <c r="AT51" s="1058"/>
      <c r="AU51" s="1058"/>
      <c r="AV51" s="1058"/>
      <c r="AW51" s="1058"/>
      <c r="AX51" s="1058"/>
      <c r="AY51" s="1058"/>
      <c r="AZ51" s="1058"/>
      <c r="BA51" s="1058"/>
      <c r="BB51" s="1058"/>
      <c r="BC51" s="1058"/>
      <c r="BD51" s="1058"/>
      <c r="BE51" s="1058"/>
      <c r="BF51" s="1058"/>
      <c r="BG51" s="1058"/>
      <c r="BH51" s="1058"/>
      <c r="BI51" s="1058"/>
      <c r="BJ51" s="1058"/>
      <c r="BK51" s="996"/>
      <c r="BL51" s="1058"/>
      <c r="BM51" s="1058"/>
      <c r="BN51" s="1058"/>
      <c r="BO51" s="1058"/>
      <c r="BP51" s="1058"/>
      <c r="BQ51" s="1058"/>
      <c r="BR51" s="1058"/>
      <c r="BS51" s="1058"/>
      <c r="BT51" s="1058"/>
      <c r="BU51" s="1058"/>
      <c r="BV51" s="1058"/>
      <c r="BW51" s="1058"/>
      <c r="BX51" s="1058"/>
      <c r="BY51" s="1058"/>
      <c r="BZ51" s="1058"/>
      <c r="CA51" s="1058"/>
      <c r="CB51" s="1058"/>
      <c r="CC51" s="1058"/>
      <c r="CD51" s="1058"/>
      <c r="CE51" s="1058"/>
      <c r="CF51" s="1058"/>
      <c r="CG51" s="1058"/>
      <c r="CH51" s="1058"/>
      <c r="CI51" s="1058"/>
      <c r="CJ51" s="996"/>
      <c r="CK51" s="1058"/>
      <c r="CL51" s="996"/>
      <c r="CM51" s="1058"/>
      <c r="CN51" s="1058"/>
      <c r="CO51" s="1058"/>
      <c r="CP51" s="1058"/>
      <c r="CQ51" s="1058"/>
      <c r="CR51" s="1058"/>
      <c r="CS51" s="1058"/>
      <c r="CT51" s="1058"/>
      <c r="CU51" s="1058"/>
      <c r="CV51" s="1058"/>
      <c r="CW51" s="1058"/>
      <c r="CX51" s="1058"/>
      <c r="CY51" s="1058"/>
      <c r="CZ51" s="1058"/>
      <c r="DA51" s="1058"/>
      <c r="DB51" s="1058"/>
      <c r="DC51" s="996"/>
      <c r="DD51" s="1058"/>
      <c r="DE51" s="1058"/>
      <c r="DF51" s="1058"/>
      <c r="DG51" s="1058"/>
      <c r="DH51" s="1058"/>
      <c r="DI51" s="1058"/>
      <c r="DJ51" s="1058"/>
      <c r="DK51" s="1058"/>
      <c r="DL51" s="1058"/>
      <c r="DM51" s="1058"/>
      <c r="DN51" s="1058"/>
      <c r="DO51" s="1058"/>
      <c r="DP51" s="996"/>
      <c r="DQ51" s="1058"/>
      <c r="DR51" s="1058"/>
      <c r="DS51" s="1058"/>
      <c r="DT51" s="1058"/>
      <c r="DU51" s="1058"/>
      <c r="DV51" s="1058"/>
      <c r="DW51" s="1058"/>
      <c r="DX51" s="1058"/>
      <c r="DY51" s="1058"/>
      <c r="DZ51" s="1058"/>
      <c r="EA51" s="1058"/>
      <c r="EB51" s="1058"/>
      <c r="EC51" s="996"/>
      <c r="ED51" s="1058"/>
      <c r="EE51" s="1058"/>
      <c r="EF51" s="1058"/>
      <c r="EG51" s="1058"/>
      <c r="EH51" s="1058"/>
      <c r="EI51" s="1058"/>
      <c r="EJ51" s="1058"/>
      <c r="EK51" s="1058"/>
      <c r="EL51" s="1058"/>
      <c r="EM51" s="1058"/>
      <c r="EN51" s="1058"/>
      <c r="EO51" s="1058"/>
    </row>
  </sheetData>
  <mergeCells count="154">
    <mergeCell ref="A3:A8"/>
    <mergeCell ref="B3:BJ3"/>
    <mergeCell ref="BL3:CI3"/>
    <mergeCell ref="CK3:CK8"/>
    <mergeCell ref="CM3:DB3"/>
    <mergeCell ref="DD3:DO3"/>
    <mergeCell ref="BS4:BS8"/>
    <mergeCell ref="BT4:CC4"/>
    <mergeCell ref="CD4:CD8"/>
    <mergeCell ref="CE4:CH4"/>
    <mergeCell ref="AU6:AZ6"/>
    <mergeCell ref="AU7:AU8"/>
    <mergeCell ref="AI5:AI8"/>
    <mergeCell ref="AJ5:AJ8"/>
    <mergeCell ref="AK5:AK8"/>
    <mergeCell ref="AL5:AL8"/>
    <mergeCell ref="AM5:AM8"/>
    <mergeCell ref="AN5:AN8"/>
    <mergeCell ref="S6:S8"/>
    <mergeCell ref="T6:T8"/>
    <mergeCell ref="DG5:DG8"/>
    <mergeCell ref="DH5:DH8"/>
    <mergeCell ref="BX5:BY7"/>
    <mergeCell ref="BZ5:CA7"/>
    <mergeCell ref="DQ3:EB3"/>
    <mergeCell ref="ED3:EO3"/>
    <mergeCell ref="B4:K4"/>
    <mergeCell ref="L4:L8"/>
    <mergeCell ref="M4:M8"/>
    <mergeCell ref="N4:AF4"/>
    <mergeCell ref="AG4:AS4"/>
    <mergeCell ref="AT4:BJ4"/>
    <mergeCell ref="BL4:BQ4"/>
    <mergeCell ref="BR4:BR8"/>
    <mergeCell ref="EF4:EN4"/>
    <mergeCell ref="EO4:EO8"/>
    <mergeCell ref="B5:B8"/>
    <mergeCell ref="C5:K5"/>
    <mergeCell ref="N5:N8"/>
    <mergeCell ref="O5:T5"/>
    <mergeCell ref="U5:AF5"/>
    <mergeCell ref="AG5:AG8"/>
    <mergeCell ref="AH5:AH8"/>
    <mergeCell ref="DO4:DO8"/>
    <mergeCell ref="W6:AF6"/>
    <mergeCell ref="AQ6:AQ8"/>
    <mergeCell ref="DS4:EA4"/>
    <mergeCell ref="EB4:EB8"/>
    <mergeCell ref="DQ4:DQ8"/>
    <mergeCell ref="DR4:DR8"/>
    <mergeCell ref="EE4:EE8"/>
    <mergeCell ref="DF4:DN4"/>
    <mergeCell ref="CO5:CT5"/>
    <mergeCell ref="CU5:CU8"/>
    <mergeCell ref="CV5:CV8"/>
    <mergeCell ref="CW5:CW8"/>
    <mergeCell ref="DI5:DI8"/>
    <mergeCell ref="DJ5:DJ8"/>
    <mergeCell ref="DK5:DK8"/>
    <mergeCell ref="DL5:DL8"/>
    <mergeCell ref="CX5:CX8"/>
    <mergeCell ref="CY5:CY8"/>
    <mergeCell ref="CZ5:CZ8"/>
    <mergeCell ref="DA5:DA8"/>
    <mergeCell ref="DB5:DB8"/>
    <mergeCell ref="DF5:DF8"/>
    <mergeCell ref="CR6:CR8"/>
    <mergeCell ref="CS6:CS8"/>
    <mergeCell ref="CT6:CT8"/>
    <mergeCell ref="ED4:ED8"/>
    <mergeCell ref="DW5:DW8"/>
    <mergeCell ref="DX5:DX8"/>
    <mergeCell ref="DY5:DY8"/>
    <mergeCell ref="DZ5:DZ8"/>
    <mergeCell ref="EK5:EK8"/>
    <mergeCell ref="EL5:EL8"/>
    <mergeCell ref="EM5:EM8"/>
    <mergeCell ref="EN5:EN8"/>
    <mergeCell ref="C6:C8"/>
    <mergeCell ref="D6:K6"/>
    <mergeCell ref="O6:O8"/>
    <mergeCell ref="P6:P8"/>
    <mergeCell ref="Q6:Q8"/>
    <mergeCell ref="R6:R8"/>
    <mergeCell ref="EA5:EA8"/>
    <mergeCell ref="EF5:EF8"/>
    <mergeCell ref="EG5:EG8"/>
    <mergeCell ref="EH5:EH8"/>
    <mergeCell ref="EI5:EI8"/>
    <mergeCell ref="EJ5:EJ8"/>
    <mergeCell ref="DM5:DM8"/>
    <mergeCell ref="DN5:DN8"/>
    <mergeCell ref="DS5:DS8"/>
    <mergeCell ref="DT5:DT8"/>
    <mergeCell ref="DU5:DU8"/>
    <mergeCell ref="DV5:DV8"/>
    <mergeCell ref="CB5:CC7"/>
    <mergeCell ref="CE5:CF7"/>
    <mergeCell ref="CG5:CH7"/>
    <mergeCell ref="CN5:CN8"/>
    <mergeCell ref="BH5:BH8"/>
    <mergeCell ref="BI5:BI8"/>
    <mergeCell ref="BJ5:BJ8"/>
    <mergeCell ref="BL5:BQ5"/>
    <mergeCell ref="BT5:BU7"/>
    <mergeCell ref="BV5:BW7"/>
    <mergeCell ref="BL6:BL8"/>
    <mergeCell ref="BM6:BQ6"/>
    <mergeCell ref="BN7:BN8"/>
    <mergeCell ref="BP7:BP8"/>
    <mergeCell ref="BQ7:BQ8"/>
    <mergeCell ref="CI4:CI8"/>
    <mergeCell ref="CM4:CM8"/>
    <mergeCell ref="CN4:DB4"/>
    <mergeCell ref="DD4:DD8"/>
    <mergeCell ref="DE4:DE8"/>
    <mergeCell ref="D7:D8"/>
    <mergeCell ref="E7:E8"/>
    <mergeCell ref="F7:F8"/>
    <mergeCell ref="G7:G8"/>
    <mergeCell ref="H7:H8"/>
    <mergeCell ref="I7:I8"/>
    <mergeCell ref="CO6:CO8"/>
    <mergeCell ref="CP6:CP8"/>
    <mergeCell ref="CQ6:CQ8"/>
    <mergeCell ref="BO7:BO8"/>
    <mergeCell ref="BB5:BB8"/>
    <mergeCell ref="BC5:BC8"/>
    <mergeCell ref="BD5:BD8"/>
    <mergeCell ref="BE5:BE8"/>
    <mergeCell ref="BF5:BF8"/>
    <mergeCell ref="BG5:BG8"/>
    <mergeCell ref="AO5:AO8"/>
    <mergeCell ref="AP5:AP8"/>
    <mergeCell ref="AQ5:AR5"/>
    <mergeCell ref="AS5:AS8"/>
    <mergeCell ref="AT5:AZ5"/>
    <mergeCell ref="BA5:BA8"/>
    <mergeCell ref="AR6:AR8"/>
    <mergeCell ref="AT6:AT8"/>
    <mergeCell ref="AV7:AV8"/>
    <mergeCell ref="AW7:AW8"/>
    <mergeCell ref="AX7:AX8"/>
    <mergeCell ref="AY7:AY8"/>
    <mergeCell ref="AZ7:AZ8"/>
    <mergeCell ref="BM7:BM8"/>
    <mergeCell ref="J7:K7"/>
    <mergeCell ref="W7:X7"/>
    <mergeCell ref="Y7:Z7"/>
    <mergeCell ref="AA7:AB7"/>
    <mergeCell ref="AC7:AD7"/>
    <mergeCell ref="AE7:AF7"/>
    <mergeCell ref="U6:U8"/>
    <mergeCell ref="V6:V8"/>
  </mergeCells>
  <conditionalFormatting sqref="DR47 EE47 DE47">
    <cfRule type="cellIs" dxfId="1" priority="1" stopIfTrue="1" operator="equal">
      <formula>0</formula>
    </cfRule>
  </conditionalFormatting>
  <pageMargins left="0.31496062992125984" right="0.31496062992125984" top="0.35433070866141736" bottom="0.35433070866141736" header="0.31496062992125984" footer="0.31496062992125984"/>
  <pageSetup paperSize="9" scale="90" orientation="portrait" horizontalDpi="180" verticalDpi="18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H47"/>
  <sheetViews>
    <sheetView zoomScale="80" zoomScaleNormal="80" zoomScaleSheetLayoutView="90" workbookViewId="0">
      <pane xSplit="1" ySplit="9" topLeftCell="HD27" activePane="bottomRight" state="frozen"/>
      <selection activeCell="LX47" sqref="LX47"/>
      <selection pane="topRight" activeCell="LX47" sqref="LX47"/>
      <selection pane="bottomLeft" activeCell="LX47" sqref="LX47"/>
      <selection pane="bottomRight" activeCell="FB47" sqref="FB47"/>
    </sheetView>
  </sheetViews>
  <sheetFormatPr defaultRowHeight="15" x14ac:dyDescent="0.25"/>
  <cols>
    <col min="1" max="1" width="24.140625" style="228" customWidth="1"/>
    <col min="2" max="2" width="13.140625" style="444" customWidth="1"/>
    <col min="3" max="3" width="10.28515625" style="444" bestFit="1" customWidth="1"/>
    <col min="4" max="8" width="9.140625" style="444"/>
    <col min="9" max="9" width="10.28515625" style="444" bestFit="1" customWidth="1"/>
    <col min="10" max="10" width="9.140625" style="444" customWidth="1"/>
    <col min="11" max="11" width="10.28515625" style="444" customWidth="1"/>
    <col min="12" max="19" width="9.140625" style="444" customWidth="1"/>
    <col min="20" max="20" width="10.7109375" style="444" customWidth="1"/>
    <col min="21" max="22" width="8.5703125" style="444" customWidth="1"/>
    <col min="23" max="23" width="7.7109375" style="444" customWidth="1"/>
    <col min="24" max="24" width="11.7109375" style="444" hidden="1" customWidth="1"/>
    <col min="25" max="25" width="16" style="444" customWidth="1"/>
    <col min="26" max="28" width="14.85546875" style="444" customWidth="1"/>
    <col min="29" max="29" width="12.85546875" style="444" customWidth="1"/>
    <col min="30" max="30" width="14.85546875" style="444" customWidth="1"/>
    <col min="31" max="33" width="16" style="444" customWidth="1"/>
    <col min="34" max="36" width="14.85546875" style="444" customWidth="1"/>
    <col min="37" max="37" width="12.85546875" style="444" customWidth="1"/>
    <col min="38" max="39" width="14.85546875" style="444" customWidth="1"/>
    <col min="40" max="40" width="12.85546875" style="444" customWidth="1"/>
    <col min="41" max="41" width="14.85546875" style="444" customWidth="1"/>
    <col min="42" max="42" width="12.85546875" style="444" customWidth="1"/>
    <col min="43" max="43" width="6" style="444" customWidth="1"/>
    <col min="44" max="44" width="9.42578125" style="444" customWidth="1"/>
    <col min="45" max="47" width="9.140625" style="444" customWidth="1"/>
    <col min="48" max="48" width="9.42578125" style="444" customWidth="1"/>
    <col min="49" max="49" width="9.28515625" style="444" customWidth="1"/>
    <col min="50" max="50" width="9.42578125" style="444" customWidth="1"/>
    <col min="51" max="51" width="14.5703125" style="444" customWidth="1"/>
    <col min="52" max="53" width="9.140625" style="444" customWidth="1"/>
    <col min="54" max="54" width="28.85546875" style="444" customWidth="1"/>
    <col min="55" max="55" width="9.140625" style="444"/>
    <col min="56" max="58" width="10.28515625" style="444" customWidth="1"/>
    <col min="59" max="59" width="10.28515625" style="444" bestFit="1" customWidth="1"/>
    <col min="60" max="62" width="7.7109375" style="444" customWidth="1"/>
    <col min="63" max="63" width="10.28515625" style="444" customWidth="1"/>
    <col min="64" max="94" width="7.7109375" style="444" customWidth="1"/>
    <col min="95" max="96" width="9.140625" style="444" customWidth="1"/>
    <col min="97" max="98" width="10.28515625" style="444" customWidth="1"/>
    <col min="99" max="100" width="9.140625" style="444" customWidth="1"/>
    <col min="101" max="101" width="14.5703125" style="444" customWidth="1"/>
    <col min="102" max="102" width="11.5703125" style="444" customWidth="1"/>
    <col min="103" max="103" width="18" style="444" customWidth="1"/>
    <col min="104" max="104" width="12.85546875" style="444" customWidth="1"/>
    <col min="105" max="105" width="11" style="444" customWidth="1"/>
    <col min="106" max="107" width="9.140625" style="444" customWidth="1"/>
    <col min="108" max="108" width="17.28515625" style="444" customWidth="1"/>
    <col min="109" max="111" width="16" style="444" customWidth="1"/>
    <col min="112" max="112" width="14.85546875" style="444" customWidth="1"/>
    <col min="113" max="113" width="16" style="444" customWidth="1"/>
    <col min="114" max="114" width="17.28515625" style="444" customWidth="1"/>
    <col min="115" max="115" width="12.85546875" style="444" customWidth="1"/>
    <col min="116" max="117" width="16" style="444" customWidth="1"/>
    <col min="118" max="118" width="14.85546875" style="444" customWidth="1"/>
    <col min="119" max="119" width="17.28515625" style="444" customWidth="1"/>
    <col min="120" max="121" width="16" style="444" customWidth="1"/>
    <col min="122" max="122" width="19.28515625" style="444" customWidth="1"/>
    <col min="123" max="123" width="17.28515625" style="444" customWidth="1"/>
    <col min="124" max="124" width="19.28515625" style="444" customWidth="1"/>
    <col min="125" max="125" width="9.140625" style="444" customWidth="1"/>
    <col min="126" max="126" width="9.140625" style="444"/>
    <col min="127" max="127" width="16" style="444" bestFit="1" customWidth="1"/>
    <col min="128" max="134" width="14.85546875" style="444" customWidth="1"/>
    <col min="135" max="135" width="16" style="444" customWidth="1"/>
    <col min="136" max="137" width="14.85546875" style="444" customWidth="1"/>
    <col min="138" max="138" width="12.85546875" style="444" bestFit="1" customWidth="1"/>
    <col min="139" max="139" width="12.85546875" style="444" customWidth="1"/>
    <col min="140" max="140" width="16" style="444" customWidth="1"/>
    <col min="141" max="142" width="14.85546875" style="444" bestFit="1" customWidth="1"/>
    <col min="143" max="143" width="16" style="444" bestFit="1" customWidth="1"/>
    <col min="144" max="144" width="16" style="444" hidden="1" customWidth="1"/>
    <col min="145" max="145" width="7.28515625" style="444" customWidth="1"/>
    <col min="146" max="146" width="14.85546875" style="444" customWidth="1"/>
    <col min="147" max="147" width="7.28515625" style="444" customWidth="1"/>
    <col min="148" max="148" width="14.85546875" style="444" customWidth="1"/>
    <col min="149" max="149" width="7.28515625" style="444" customWidth="1"/>
    <col min="150" max="150" width="14.85546875" style="444" customWidth="1"/>
    <col min="151" max="151" width="7.28515625" style="444" customWidth="1"/>
    <col min="152" max="152" width="14.85546875" style="444" customWidth="1"/>
    <col min="153" max="153" width="7.28515625" style="444" customWidth="1"/>
    <col min="154" max="154" width="14.85546875" style="444" customWidth="1"/>
    <col min="155" max="155" width="7.28515625" style="444" customWidth="1"/>
    <col min="156" max="156" width="14.85546875" style="444" customWidth="1"/>
    <col min="157" max="157" width="7.28515625" style="444" customWidth="1"/>
    <col min="158" max="158" width="16" style="444" customWidth="1"/>
    <col min="159" max="159" width="7.28515625" style="444" customWidth="1"/>
    <col min="160" max="160" width="16" style="444" customWidth="1"/>
    <col min="161" max="161" width="7.28515625" style="444" customWidth="1"/>
    <col min="162" max="162" width="14.85546875" style="444" customWidth="1"/>
    <col min="163" max="163" width="7.28515625" style="444" customWidth="1"/>
    <col min="164" max="164" width="14.85546875" style="444" customWidth="1"/>
    <col min="165" max="165" width="7.28515625" style="444" customWidth="1"/>
    <col min="166" max="166" width="14.85546875" style="444" customWidth="1"/>
    <col min="167" max="167" width="16" style="444" bestFit="1" customWidth="1"/>
    <col min="168" max="170" width="14.85546875" style="444" bestFit="1" customWidth="1"/>
    <col min="171" max="171" width="12.85546875" style="444" bestFit="1" customWidth="1"/>
    <col min="172" max="172" width="16" style="444" bestFit="1" customWidth="1"/>
    <col min="173" max="173" width="4" style="444" customWidth="1"/>
    <col min="174" max="174" width="19.28515625" style="444" bestFit="1" customWidth="1"/>
    <col min="175" max="175" width="9.140625" style="444"/>
    <col min="176" max="176" width="13.42578125" style="444" bestFit="1" customWidth="1"/>
    <col min="177" max="177" width="13.85546875" style="444" bestFit="1" customWidth="1"/>
    <col min="178" max="179" width="10.28515625" style="444" bestFit="1" customWidth="1"/>
    <col min="180" max="180" width="9.140625" style="444"/>
    <col min="181" max="181" width="10.28515625" style="444" bestFit="1" customWidth="1"/>
    <col min="182" max="182" width="11.5703125" style="444" bestFit="1" customWidth="1"/>
    <col min="183" max="183" width="10.28515625" style="444" bestFit="1" customWidth="1"/>
    <col min="184" max="184" width="11.85546875" style="444" bestFit="1" customWidth="1"/>
    <col min="185" max="185" width="9.28515625" style="444" bestFit="1" customWidth="1"/>
    <col min="186" max="186" width="9.140625" style="444" customWidth="1"/>
    <col min="187" max="187" width="13.28515625" style="444" customWidth="1"/>
    <col min="188" max="188" width="10.42578125" style="444" bestFit="1" customWidth="1"/>
    <col min="189" max="191" width="9.28515625" style="444" bestFit="1" customWidth="1"/>
    <col min="192" max="192" width="10.42578125" style="444" bestFit="1" customWidth="1"/>
    <col min="193" max="194" width="9.28515625" style="444" bestFit="1" customWidth="1"/>
    <col min="195" max="195" width="13.7109375" style="444" customWidth="1"/>
    <col min="196" max="196" width="12.28515625" style="444" bestFit="1" customWidth="1"/>
    <col min="197" max="197" width="13.42578125" style="444" bestFit="1" customWidth="1"/>
    <col min="198" max="199" width="11.5703125" style="444" bestFit="1" customWidth="1"/>
    <col min="200" max="201" width="9.140625" style="444"/>
    <col min="202" max="202" width="11.7109375" style="444" customWidth="1"/>
    <col min="203" max="206" width="9.140625" style="444"/>
    <col min="207" max="207" width="10.28515625" style="444" bestFit="1" customWidth="1"/>
    <col min="208" max="209" width="9.140625" style="444"/>
    <col min="210" max="210" width="10.28515625" style="444" bestFit="1" customWidth="1"/>
    <col min="211" max="211" width="9.140625" style="444"/>
    <col min="212" max="212" width="12.28515625" style="444" bestFit="1" customWidth="1"/>
    <col min="213" max="214" width="13.42578125" style="444" bestFit="1" customWidth="1"/>
    <col min="215" max="215" width="11.5703125" style="444" bestFit="1" customWidth="1"/>
    <col min="216" max="217" width="9.140625" style="444"/>
    <col min="218" max="218" width="9.5703125" style="444" customWidth="1"/>
    <col min="219" max="221" width="9.140625" style="444"/>
    <col min="222" max="224" width="11.28515625" style="444" customWidth="1"/>
    <col min="225" max="225" width="9.28515625" style="444" customWidth="1"/>
    <col min="226" max="226" width="11.5703125" style="444" bestFit="1" customWidth="1"/>
    <col min="227" max="227" width="9.140625" style="444"/>
    <col min="228" max="228" width="12.28515625" style="444" bestFit="1" customWidth="1"/>
    <col min="229" max="230" width="13.42578125" style="444" bestFit="1" customWidth="1"/>
    <col min="231" max="231" width="11.5703125" style="444" bestFit="1" customWidth="1"/>
    <col min="232" max="233" width="9.140625" style="444"/>
    <col min="234" max="234" width="11" style="444" customWidth="1"/>
    <col min="235" max="235" width="10.28515625" style="444" bestFit="1" customWidth="1"/>
    <col min="236" max="238" width="9.140625" style="444"/>
    <col min="239" max="239" width="10.28515625" style="444" bestFit="1" customWidth="1"/>
    <col min="240" max="241" width="9.140625" style="444"/>
    <col min="242" max="242" width="11.5703125" style="444" bestFit="1" customWidth="1"/>
    <col min="243" max="16384" width="9.140625" style="444"/>
  </cols>
  <sheetData>
    <row r="1" spans="1:242" ht="21" customHeight="1" x14ac:dyDescent="0.25">
      <c r="A1" s="994"/>
    </row>
    <row r="2" spans="1:242" ht="15.75" customHeight="1" x14ac:dyDescent="0.25">
      <c r="A2" s="995" t="s">
        <v>1698</v>
      </c>
      <c r="B2" s="1060" t="s">
        <v>1808</v>
      </c>
      <c r="C2" s="1060"/>
      <c r="D2" s="1060"/>
      <c r="E2" s="1060"/>
      <c r="F2" s="1060"/>
      <c r="G2" s="1060"/>
      <c r="H2" s="1060"/>
      <c r="I2" s="1060"/>
      <c r="J2" s="1060"/>
      <c r="K2" s="1060"/>
      <c r="L2" s="1060"/>
      <c r="M2" s="1060"/>
      <c r="N2" s="1060"/>
      <c r="O2" s="1060"/>
      <c r="P2" s="1060"/>
      <c r="Q2" s="1060"/>
      <c r="R2" s="1060"/>
      <c r="S2" s="1060"/>
      <c r="T2" s="1060"/>
      <c r="U2" s="1060"/>
      <c r="V2" s="1060"/>
      <c r="W2" s="1060"/>
      <c r="X2" s="1060"/>
      <c r="Y2" s="1060"/>
      <c r="Z2" s="1060"/>
      <c r="AA2" s="1060"/>
      <c r="AB2" s="1060"/>
      <c r="AC2" s="1060"/>
      <c r="AD2" s="1060"/>
      <c r="AE2" s="1060"/>
      <c r="AF2" s="1060"/>
      <c r="AG2" s="1060"/>
      <c r="AH2" s="1060"/>
      <c r="AI2" s="1060"/>
      <c r="AJ2" s="1060"/>
      <c r="AK2" s="1060"/>
      <c r="AL2" s="1060"/>
      <c r="AM2" s="1060"/>
      <c r="AN2" s="1060"/>
      <c r="AO2" s="1060"/>
      <c r="AP2" s="1060"/>
      <c r="AQ2" s="1060"/>
      <c r="AR2" s="1060"/>
      <c r="AS2" s="1060"/>
      <c r="AT2" s="1060"/>
      <c r="AU2" s="1060"/>
      <c r="AV2" s="1060"/>
      <c r="AW2" s="1060"/>
      <c r="AX2" s="1060"/>
      <c r="AY2" s="1060"/>
      <c r="AZ2" s="1060"/>
      <c r="BA2" s="1060"/>
      <c r="BB2" s="1060"/>
      <c r="BC2" s="1060"/>
      <c r="BD2" s="1060"/>
      <c r="BE2" s="1060"/>
      <c r="BF2" s="1060"/>
      <c r="BG2" s="1060"/>
      <c r="BH2" s="1060"/>
      <c r="BI2" s="1060"/>
      <c r="BJ2" s="1060"/>
      <c r="BK2" s="1060"/>
      <c r="BL2" s="1060"/>
      <c r="BM2" s="1060"/>
      <c r="BN2" s="1060"/>
      <c r="BO2" s="1060"/>
      <c r="BP2" s="1060"/>
      <c r="BQ2" s="1060"/>
      <c r="BR2" s="1060"/>
      <c r="BS2" s="1060"/>
      <c r="BT2" s="1060"/>
      <c r="BU2" s="1060"/>
      <c r="BV2" s="1060"/>
      <c r="BW2" s="1060"/>
      <c r="BX2" s="1060"/>
      <c r="BY2" s="1060"/>
      <c r="BZ2" s="1060"/>
      <c r="CA2" s="1060"/>
      <c r="CB2" s="1060"/>
      <c r="CC2" s="1060"/>
      <c r="CD2" s="1060"/>
      <c r="CE2" s="1060"/>
      <c r="CF2" s="1060"/>
      <c r="CG2" s="1060"/>
      <c r="CH2" s="1060"/>
      <c r="CI2" s="1060"/>
      <c r="CJ2" s="1060"/>
      <c r="CK2" s="1060"/>
      <c r="CL2" s="1060"/>
      <c r="CM2" s="1060"/>
      <c r="CN2" s="1060"/>
      <c r="CO2" s="1060"/>
      <c r="CP2" s="1060"/>
      <c r="CQ2" s="1060"/>
      <c r="CR2" s="1060"/>
      <c r="CS2" s="1060"/>
      <c r="CT2" s="1060"/>
      <c r="CU2" s="1060"/>
      <c r="CV2" s="1060"/>
      <c r="CW2" s="1060"/>
      <c r="CX2" s="1060"/>
      <c r="CY2" s="1060"/>
      <c r="CZ2" s="1060"/>
      <c r="DA2" s="1060"/>
      <c r="DB2" s="1060"/>
      <c r="DC2" s="1060"/>
      <c r="DD2" s="1060"/>
      <c r="DE2" s="1060"/>
      <c r="DF2" s="1060"/>
      <c r="DG2" s="1060"/>
      <c r="DH2" s="1060"/>
      <c r="DI2" s="1060"/>
      <c r="DJ2" s="1060"/>
      <c r="DK2" s="1060"/>
      <c r="DL2" s="1060"/>
      <c r="DM2" s="1060"/>
      <c r="DN2" s="1060"/>
      <c r="DO2" s="1060"/>
      <c r="DP2" s="1060"/>
      <c r="DQ2" s="1060"/>
      <c r="DR2" s="1060"/>
      <c r="DS2" s="1060"/>
      <c r="DT2" s="1060"/>
      <c r="DU2" s="996"/>
      <c r="DV2" s="1060"/>
      <c r="DW2" s="1060"/>
      <c r="DX2" s="1060"/>
      <c r="DY2" s="1060"/>
      <c r="DZ2" s="1060"/>
      <c r="EA2" s="1060"/>
      <c r="EB2" s="1060"/>
      <c r="EC2" s="1060"/>
      <c r="ED2" s="1060"/>
      <c r="EE2" s="1060"/>
      <c r="EF2" s="1060"/>
      <c r="EG2" s="1060"/>
      <c r="EH2" s="1060"/>
      <c r="EI2" s="1060"/>
      <c r="EJ2" s="1060"/>
      <c r="EK2" s="1060"/>
      <c r="EL2" s="1060"/>
      <c r="EM2" s="1060"/>
      <c r="EN2" s="1060"/>
      <c r="EO2" s="1060"/>
      <c r="EP2" s="1060"/>
      <c r="EQ2" s="1060"/>
      <c r="ER2" s="1060"/>
      <c r="ES2" s="1060"/>
      <c r="ET2" s="1060"/>
      <c r="EU2" s="1060"/>
      <c r="EV2" s="1060"/>
      <c r="EW2" s="1060"/>
      <c r="EX2" s="1060"/>
      <c r="EY2" s="1060"/>
      <c r="EZ2" s="1060"/>
      <c r="FA2" s="1060"/>
      <c r="FB2" s="1060"/>
      <c r="FC2" s="1060"/>
      <c r="FD2" s="1060"/>
      <c r="FE2" s="1060"/>
      <c r="FF2" s="1060"/>
      <c r="FG2" s="1060"/>
      <c r="FH2" s="1060"/>
      <c r="FI2" s="1060"/>
      <c r="FJ2" s="1060"/>
      <c r="FK2" s="1060"/>
      <c r="FL2" s="1060"/>
      <c r="FM2" s="1060"/>
      <c r="FN2" s="1060"/>
      <c r="FO2" s="1060"/>
      <c r="FP2" s="1060"/>
      <c r="FQ2" s="996"/>
      <c r="FR2" s="1060"/>
      <c r="FS2" s="996"/>
      <c r="FT2" s="1060"/>
      <c r="FU2" s="1060"/>
      <c r="FV2" s="1060"/>
      <c r="FW2" s="1060"/>
      <c r="FX2" s="1060"/>
      <c r="FY2" s="1060"/>
      <c r="FZ2" s="1060"/>
      <c r="GA2" s="1060"/>
      <c r="GB2" s="1060"/>
      <c r="GC2" s="1060"/>
      <c r="GD2" s="1060"/>
      <c r="GE2" s="1060"/>
      <c r="GF2" s="1060"/>
      <c r="GG2" s="1060"/>
      <c r="GH2" s="1060"/>
      <c r="GI2" s="1060"/>
      <c r="GJ2" s="1060"/>
      <c r="GK2" s="1060"/>
      <c r="GL2" s="1060"/>
      <c r="GM2" s="996"/>
      <c r="GN2" s="1060"/>
      <c r="GO2" s="1060"/>
      <c r="GP2" s="1060"/>
      <c r="GQ2" s="1060"/>
      <c r="GR2" s="1060"/>
      <c r="GS2" s="1060"/>
      <c r="GT2" s="1060"/>
      <c r="GU2" s="1060"/>
      <c r="GV2" s="1060"/>
      <c r="GW2" s="1060"/>
      <c r="GX2" s="1060"/>
      <c r="GY2" s="1060"/>
      <c r="GZ2" s="1060"/>
      <c r="HA2" s="1060"/>
      <c r="HB2" s="1060"/>
      <c r="HC2" s="996"/>
      <c r="HD2" s="1060"/>
      <c r="HE2" s="1060"/>
      <c r="HF2" s="1060"/>
      <c r="HG2" s="1060"/>
      <c r="HH2" s="1060"/>
      <c r="HI2" s="1060"/>
      <c r="HJ2" s="1060"/>
      <c r="HK2" s="1060"/>
      <c r="HL2" s="1060"/>
      <c r="HM2" s="1060"/>
      <c r="HN2" s="1060"/>
      <c r="HO2" s="1060"/>
      <c r="HP2" s="1060"/>
      <c r="HQ2" s="1060"/>
      <c r="HR2" s="1060"/>
      <c r="HS2" s="996"/>
      <c r="HT2" s="1060"/>
      <c r="HU2" s="1060"/>
      <c r="HV2" s="1060"/>
      <c r="HW2" s="1060"/>
      <c r="HX2" s="1060"/>
      <c r="HY2" s="1060"/>
      <c r="HZ2" s="1060"/>
      <c r="IA2" s="1060"/>
      <c r="IB2" s="1060"/>
      <c r="IC2" s="1060"/>
      <c r="ID2" s="1060"/>
      <c r="IE2" s="1060"/>
      <c r="IF2" s="1060"/>
      <c r="IG2" s="1060"/>
      <c r="IH2" s="1060"/>
    </row>
    <row r="3" spans="1:242" ht="19.5" customHeight="1" x14ac:dyDescent="0.25">
      <c r="A3" s="1629" t="s">
        <v>1699</v>
      </c>
      <c r="B3" s="1631" t="s">
        <v>1700</v>
      </c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1631"/>
      <c r="P3" s="1631"/>
      <c r="Q3" s="1631"/>
      <c r="R3" s="1631"/>
      <c r="S3" s="1631"/>
      <c r="T3" s="1631"/>
      <c r="U3" s="1631"/>
      <c r="V3" s="1631"/>
      <c r="W3" s="1631"/>
      <c r="X3" s="1631"/>
      <c r="Y3" s="1631"/>
      <c r="Z3" s="1631"/>
      <c r="AA3" s="1631"/>
      <c r="AB3" s="1631"/>
      <c r="AC3" s="1631"/>
      <c r="AD3" s="1631"/>
      <c r="AE3" s="1631"/>
      <c r="AF3" s="1631"/>
      <c r="AG3" s="1631"/>
      <c r="AH3" s="1631"/>
      <c r="AI3" s="1631"/>
      <c r="AJ3" s="1631"/>
      <c r="AK3" s="1631"/>
      <c r="AL3" s="1631"/>
      <c r="AM3" s="1631"/>
      <c r="AN3" s="1631"/>
      <c r="AO3" s="1631"/>
      <c r="AP3" s="1631"/>
      <c r="AQ3" s="1631"/>
      <c r="AR3" s="1631"/>
      <c r="AS3" s="1631"/>
      <c r="AT3" s="1631"/>
      <c r="AU3" s="1631"/>
      <c r="AV3" s="1631"/>
      <c r="AW3" s="1631"/>
      <c r="AX3" s="1631"/>
      <c r="AY3" s="1631"/>
      <c r="AZ3" s="1631"/>
      <c r="BA3" s="1631"/>
      <c r="BB3" s="1631"/>
      <c r="BC3" s="1631"/>
      <c r="BD3" s="1631"/>
      <c r="BE3" s="1631"/>
      <c r="BF3" s="1631"/>
      <c r="BG3" s="1631"/>
      <c r="BH3" s="1631"/>
      <c r="BI3" s="1631"/>
      <c r="BJ3" s="1631"/>
      <c r="BK3" s="1631"/>
      <c r="BL3" s="1631"/>
      <c r="BM3" s="1631"/>
      <c r="BN3" s="1631"/>
      <c r="BO3" s="1631"/>
      <c r="BP3" s="1631"/>
      <c r="BQ3" s="1631"/>
      <c r="BR3" s="1631"/>
      <c r="BS3" s="1631"/>
      <c r="BT3" s="1631"/>
      <c r="BU3" s="1631"/>
      <c r="BV3" s="1631"/>
      <c r="BW3" s="1631"/>
      <c r="BX3" s="1631"/>
      <c r="BY3" s="1631"/>
      <c r="BZ3" s="1631"/>
      <c r="CA3" s="1631"/>
      <c r="CB3" s="1631"/>
      <c r="CC3" s="1631"/>
      <c r="CD3" s="1631"/>
      <c r="CE3" s="1631"/>
      <c r="CF3" s="1631"/>
      <c r="CG3" s="1631"/>
      <c r="CH3" s="1631"/>
      <c r="CI3" s="1631"/>
      <c r="CJ3" s="1631"/>
      <c r="CK3" s="1631"/>
      <c r="CL3" s="1631"/>
      <c r="CM3" s="1631"/>
      <c r="CN3" s="1631"/>
      <c r="CO3" s="1631"/>
      <c r="CP3" s="1631"/>
      <c r="CQ3" s="1631"/>
      <c r="CR3" s="1631"/>
      <c r="CS3" s="1631"/>
      <c r="CT3" s="1631"/>
      <c r="CU3" s="1631"/>
      <c r="CV3" s="1631"/>
      <c r="CW3" s="1631"/>
      <c r="CX3" s="1631"/>
      <c r="CY3" s="1631"/>
      <c r="CZ3" s="1631"/>
      <c r="DA3" s="1631"/>
      <c r="DB3" s="1631"/>
      <c r="DC3" s="1631"/>
      <c r="DD3" s="1631"/>
      <c r="DE3" s="1631"/>
      <c r="DF3" s="1631"/>
      <c r="DG3" s="1631"/>
      <c r="DH3" s="1631"/>
      <c r="DI3" s="1631"/>
      <c r="DJ3" s="1631"/>
      <c r="DK3" s="1631"/>
      <c r="DL3" s="1631"/>
      <c r="DM3" s="1631"/>
      <c r="DN3" s="1631"/>
      <c r="DO3" s="1631"/>
      <c r="DP3" s="1631"/>
      <c r="DQ3" s="1631"/>
      <c r="DR3" s="1631"/>
      <c r="DS3" s="1631"/>
      <c r="DT3" s="1631"/>
      <c r="DU3" s="996"/>
      <c r="DV3" s="1647" t="s">
        <v>1701</v>
      </c>
      <c r="DW3" s="1648"/>
      <c r="DX3" s="1648"/>
      <c r="DY3" s="1648"/>
      <c r="DZ3" s="1648"/>
      <c r="EA3" s="1648"/>
      <c r="EB3" s="1648"/>
      <c r="EC3" s="1648"/>
      <c r="ED3" s="1648"/>
      <c r="EE3" s="1648"/>
      <c r="EF3" s="1648"/>
      <c r="EG3" s="1648"/>
      <c r="EH3" s="1648"/>
      <c r="EI3" s="1648"/>
      <c r="EJ3" s="1648"/>
      <c r="EK3" s="1648"/>
      <c r="EL3" s="1648"/>
      <c r="EM3" s="1648"/>
      <c r="EN3" s="1648"/>
      <c r="EO3" s="1648"/>
      <c r="EP3" s="1648"/>
      <c r="EQ3" s="1648"/>
      <c r="ER3" s="1648"/>
      <c r="ES3" s="1648"/>
      <c r="ET3" s="1648"/>
      <c r="EU3" s="1648"/>
      <c r="EV3" s="1648"/>
      <c r="EW3" s="1648"/>
      <c r="EX3" s="1648"/>
      <c r="EY3" s="1648"/>
      <c r="EZ3" s="1648"/>
      <c r="FA3" s="1648"/>
      <c r="FB3" s="1648"/>
      <c r="FC3" s="1648"/>
      <c r="FD3" s="1648"/>
      <c r="FE3" s="1648"/>
      <c r="FF3" s="1648"/>
      <c r="FG3" s="1648"/>
      <c r="FH3" s="1648"/>
      <c r="FI3" s="1648"/>
      <c r="FJ3" s="1648"/>
      <c r="FK3" s="1648"/>
      <c r="FL3" s="1648"/>
      <c r="FM3" s="1648"/>
      <c r="FN3" s="1648"/>
      <c r="FO3" s="1648"/>
      <c r="FP3" s="1649"/>
      <c r="FQ3" s="996"/>
      <c r="FR3" s="1610" t="s">
        <v>1702</v>
      </c>
      <c r="FS3" s="996"/>
      <c r="FT3" s="1632" t="s">
        <v>1809</v>
      </c>
      <c r="FU3" s="1632"/>
      <c r="FV3" s="1632"/>
      <c r="FW3" s="1632"/>
      <c r="FX3" s="1632"/>
      <c r="FY3" s="1632"/>
      <c r="FZ3" s="1632"/>
      <c r="GA3" s="1632"/>
      <c r="GB3" s="1632"/>
      <c r="GC3" s="1632"/>
      <c r="GD3" s="1632"/>
      <c r="GE3" s="1632"/>
      <c r="GF3" s="1632"/>
      <c r="GG3" s="1632"/>
      <c r="GH3" s="1632"/>
      <c r="GI3" s="1632"/>
      <c r="GJ3" s="1632"/>
      <c r="GK3" s="1632"/>
      <c r="GL3" s="1632"/>
      <c r="GM3" s="996"/>
      <c r="GN3" s="1619" t="s">
        <v>1043</v>
      </c>
      <c r="GO3" s="1619"/>
      <c r="GP3" s="1619"/>
      <c r="GQ3" s="1619"/>
      <c r="GR3" s="1619"/>
      <c r="GS3" s="1619"/>
      <c r="GT3" s="1619"/>
      <c r="GU3" s="1619"/>
      <c r="GV3" s="1619"/>
      <c r="GW3" s="1619"/>
      <c r="GX3" s="1619"/>
      <c r="GY3" s="1619"/>
      <c r="GZ3" s="1619"/>
      <c r="HA3" s="1619"/>
      <c r="HB3" s="1619"/>
      <c r="HC3" s="996"/>
      <c r="HD3" s="1619" t="s">
        <v>1044</v>
      </c>
      <c r="HE3" s="1619"/>
      <c r="HF3" s="1619"/>
      <c r="HG3" s="1619"/>
      <c r="HH3" s="1619"/>
      <c r="HI3" s="1619"/>
      <c r="HJ3" s="1619"/>
      <c r="HK3" s="1619"/>
      <c r="HL3" s="1619"/>
      <c r="HM3" s="1619"/>
      <c r="HN3" s="1619"/>
      <c r="HO3" s="1619"/>
      <c r="HP3" s="1619"/>
      <c r="HQ3" s="1619"/>
      <c r="HR3" s="1619"/>
      <c r="HS3" s="996"/>
      <c r="HT3" s="1619" t="s">
        <v>1704</v>
      </c>
      <c r="HU3" s="1619"/>
      <c r="HV3" s="1619"/>
      <c r="HW3" s="1619"/>
      <c r="HX3" s="1619"/>
      <c r="HY3" s="1619"/>
      <c r="HZ3" s="1619"/>
      <c r="IA3" s="1619"/>
      <c r="IB3" s="1619"/>
      <c r="IC3" s="1619"/>
      <c r="ID3" s="1619"/>
      <c r="IE3" s="1619"/>
      <c r="IF3" s="1619"/>
      <c r="IG3" s="1619"/>
      <c r="IH3" s="1619"/>
    </row>
    <row r="4" spans="1:242" s="228" customFormat="1" ht="12.75" customHeight="1" x14ac:dyDescent="0.25">
      <c r="A4" s="1630"/>
      <c r="B4" s="1602" t="s">
        <v>1810</v>
      </c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20" t="s">
        <v>1811</v>
      </c>
      <c r="U4" s="1625" t="s">
        <v>31</v>
      </c>
      <c r="V4" s="1625"/>
      <c r="W4" s="1625"/>
      <c r="X4" s="1644"/>
      <c r="Y4" s="1616" t="s">
        <v>1708</v>
      </c>
      <c r="Z4" s="1617"/>
      <c r="AA4" s="1617"/>
      <c r="AB4" s="1617"/>
      <c r="AC4" s="1617"/>
      <c r="AD4" s="1617"/>
      <c r="AE4" s="1617"/>
      <c r="AF4" s="1617"/>
      <c r="AG4" s="1617"/>
      <c r="AH4" s="1617"/>
      <c r="AI4" s="1617"/>
      <c r="AJ4" s="1617"/>
      <c r="AK4" s="1617"/>
      <c r="AL4" s="1617"/>
      <c r="AM4" s="1617"/>
      <c r="AN4" s="1617"/>
      <c r="AO4" s="1617"/>
      <c r="AP4" s="1617"/>
      <c r="AQ4" s="1618"/>
      <c r="AR4" s="1622" t="s">
        <v>1709</v>
      </c>
      <c r="AS4" s="1623"/>
      <c r="AT4" s="1623"/>
      <c r="AU4" s="1623"/>
      <c r="AV4" s="1623"/>
      <c r="AW4" s="1623"/>
      <c r="AX4" s="1623"/>
      <c r="AY4" s="1623"/>
      <c r="AZ4" s="1623"/>
      <c r="BA4" s="1623"/>
      <c r="BB4" s="1623"/>
      <c r="BC4" s="1623"/>
      <c r="BD4" s="1623"/>
      <c r="BE4" s="1623"/>
      <c r="BF4" s="1623"/>
      <c r="BG4" s="1623"/>
      <c r="BH4" s="1623"/>
      <c r="BI4" s="1623"/>
      <c r="BJ4" s="1623"/>
      <c r="BK4" s="1623"/>
      <c r="BL4" s="1623"/>
      <c r="BM4" s="1623"/>
      <c r="BN4" s="1623"/>
      <c r="BO4" s="1623"/>
      <c r="BP4" s="1623"/>
      <c r="BQ4" s="1623"/>
      <c r="BR4" s="1623"/>
      <c r="BS4" s="1623"/>
      <c r="BT4" s="1623"/>
      <c r="BU4" s="1623"/>
      <c r="BV4" s="1623"/>
      <c r="BW4" s="1623"/>
      <c r="BX4" s="1623"/>
      <c r="BY4" s="1623"/>
      <c r="BZ4" s="1623"/>
      <c r="CA4" s="1623"/>
      <c r="CB4" s="1623"/>
      <c r="CC4" s="1623"/>
      <c r="CD4" s="1623"/>
      <c r="CE4" s="1623"/>
      <c r="CF4" s="1623"/>
      <c r="CG4" s="1623"/>
      <c r="CH4" s="1623"/>
      <c r="CI4" s="1623"/>
      <c r="CJ4" s="1623"/>
      <c r="CK4" s="1623"/>
      <c r="CL4" s="1623"/>
      <c r="CM4" s="1623"/>
      <c r="CN4" s="1623"/>
      <c r="CO4" s="1623"/>
      <c r="CP4" s="1623"/>
      <c r="CQ4" s="1623"/>
      <c r="CR4" s="1623"/>
      <c r="CS4" s="1623"/>
      <c r="CT4" s="1623"/>
      <c r="CU4" s="1623"/>
      <c r="CV4" s="1623"/>
      <c r="CW4" s="1623"/>
      <c r="CX4" s="1623"/>
      <c r="CY4" s="1623"/>
      <c r="CZ4" s="1623"/>
      <c r="DA4" s="1623"/>
      <c r="DB4" s="1623"/>
      <c r="DC4" s="1624"/>
      <c r="DD4" s="1625" t="s">
        <v>1710</v>
      </c>
      <c r="DE4" s="1625"/>
      <c r="DF4" s="1625"/>
      <c r="DG4" s="1625"/>
      <c r="DH4" s="1625"/>
      <c r="DI4" s="1625"/>
      <c r="DJ4" s="1625"/>
      <c r="DK4" s="1625"/>
      <c r="DL4" s="1625"/>
      <c r="DM4" s="1625"/>
      <c r="DN4" s="1625"/>
      <c r="DO4" s="1625"/>
      <c r="DP4" s="1625"/>
      <c r="DQ4" s="1625"/>
      <c r="DR4" s="1625"/>
      <c r="DS4" s="1625"/>
      <c r="DT4" s="1625"/>
      <c r="DU4" s="997"/>
      <c r="DV4" s="1606" t="s">
        <v>1711</v>
      </c>
      <c r="DW4" s="1602" t="s">
        <v>1712</v>
      </c>
      <c r="DX4" s="1616" t="s">
        <v>31</v>
      </c>
      <c r="DY4" s="1617"/>
      <c r="DZ4" s="1617"/>
      <c r="EA4" s="1617"/>
      <c r="EB4" s="1617"/>
      <c r="EC4" s="1617"/>
      <c r="ED4" s="1617"/>
      <c r="EE4" s="1617"/>
      <c r="EF4" s="1617"/>
      <c r="EG4" s="1617"/>
      <c r="EH4" s="1617"/>
      <c r="EI4" s="1618"/>
      <c r="EJ4" s="1602" t="s">
        <v>1713</v>
      </c>
      <c r="EK4" s="1616" t="s">
        <v>31</v>
      </c>
      <c r="EL4" s="1617"/>
      <c r="EM4" s="1617"/>
      <c r="EN4" s="1617"/>
      <c r="EO4" s="1617"/>
      <c r="EP4" s="1617"/>
      <c r="EQ4" s="1617"/>
      <c r="ER4" s="1617"/>
      <c r="ES4" s="1617"/>
      <c r="ET4" s="1617"/>
      <c r="EU4" s="1617"/>
      <c r="EV4" s="1617"/>
      <c r="EW4" s="1617"/>
      <c r="EX4" s="1617"/>
      <c r="EY4" s="1617"/>
      <c r="EZ4" s="1617"/>
      <c r="FA4" s="1617"/>
      <c r="FB4" s="1617"/>
      <c r="FC4" s="1617"/>
      <c r="FD4" s="1617"/>
      <c r="FE4" s="1617"/>
      <c r="FF4" s="1617"/>
      <c r="FG4" s="1617"/>
      <c r="FH4" s="1617"/>
      <c r="FI4" s="1617"/>
      <c r="FJ4" s="1617"/>
      <c r="FK4" s="1617"/>
      <c r="FL4" s="1617"/>
      <c r="FM4" s="1617"/>
      <c r="FN4" s="1617"/>
      <c r="FO4" s="1618"/>
      <c r="FP4" s="1602" t="s">
        <v>1714</v>
      </c>
      <c r="FQ4" s="997"/>
      <c r="FR4" s="1610"/>
      <c r="FS4" s="997"/>
      <c r="FT4" s="1610" t="s">
        <v>1715</v>
      </c>
      <c r="FU4" s="1602" t="s">
        <v>31</v>
      </c>
      <c r="FV4" s="1602"/>
      <c r="FW4" s="1602"/>
      <c r="FX4" s="1602"/>
      <c r="FY4" s="1602"/>
      <c r="FZ4" s="1602"/>
      <c r="GA4" s="1602"/>
      <c r="GB4" s="1602"/>
      <c r="GC4" s="1602"/>
      <c r="GD4" s="1602"/>
      <c r="GE4" s="1602"/>
      <c r="GF4" s="1602"/>
      <c r="GG4" s="1602"/>
      <c r="GH4" s="1602"/>
      <c r="GI4" s="1602"/>
      <c r="GJ4" s="1602"/>
      <c r="GK4" s="1602"/>
      <c r="GL4" s="1602"/>
      <c r="GM4" s="997"/>
      <c r="GN4" s="1607" t="s">
        <v>1716</v>
      </c>
      <c r="GO4" s="1609" t="s">
        <v>1717</v>
      </c>
      <c r="GP4" s="1608" t="s">
        <v>31</v>
      </c>
      <c r="GQ4" s="1608"/>
      <c r="GR4" s="1608"/>
      <c r="GS4" s="1608"/>
      <c r="GT4" s="1608"/>
      <c r="GU4" s="1608"/>
      <c r="GV4" s="1608"/>
      <c r="GW4" s="1608"/>
      <c r="GX4" s="1608"/>
      <c r="GY4" s="1608"/>
      <c r="GZ4" s="1608"/>
      <c r="HA4" s="1608"/>
      <c r="HB4" s="1602" t="s">
        <v>1718</v>
      </c>
      <c r="HC4" s="997"/>
      <c r="HD4" s="1606" t="s">
        <v>1716</v>
      </c>
      <c r="HE4" s="1610" t="s">
        <v>1717</v>
      </c>
      <c r="HF4" s="1602" t="s">
        <v>31</v>
      </c>
      <c r="HG4" s="1602"/>
      <c r="HH4" s="1602"/>
      <c r="HI4" s="1602"/>
      <c r="HJ4" s="1602"/>
      <c r="HK4" s="1602"/>
      <c r="HL4" s="1602"/>
      <c r="HM4" s="1602"/>
      <c r="HN4" s="1602"/>
      <c r="HO4" s="1602"/>
      <c r="HP4" s="1602"/>
      <c r="HQ4" s="1602"/>
      <c r="HR4" s="1602" t="s">
        <v>1718</v>
      </c>
      <c r="HS4" s="997"/>
      <c r="HT4" s="1606" t="s">
        <v>1716</v>
      </c>
      <c r="HU4" s="1610" t="s">
        <v>1717</v>
      </c>
      <c r="HV4" s="1602" t="s">
        <v>31</v>
      </c>
      <c r="HW4" s="1602"/>
      <c r="HX4" s="1602"/>
      <c r="HY4" s="1602"/>
      <c r="HZ4" s="1602"/>
      <c r="IA4" s="1602"/>
      <c r="IB4" s="1602"/>
      <c r="IC4" s="1602"/>
      <c r="ID4" s="1602"/>
      <c r="IE4" s="1602"/>
      <c r="IF4" s="1602"/>
      <c r="IG4" s="1602"/>
      <c r="IH4" s="1602" t="s">
        <v>1718</v>
      </c>
    </row>
    <row r="5" spans="1:242" s="228" customFormat="1" ht="39" customHeight="1" x14ac:dyDescent="0.25">
      <c r="A5" s="1630"/>
      <c r="B5" s="1606" t="s">
        <v>1812</v>
      </c>
      <c r="C5" s="1622" t="s">
        <v>1813</v>
      </c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4"/>
      <c r="T5" s="1621"/>
      <c r="U5" s="1625"/>
      <c r="V5" s="1625"/>
      <c r="W5" s="1625"/>
      <c r="X5" s="1645"/>
      <c r="Y5" s="1602" t="s">
        <v>851</v>
      </c>
      <c r="Z5" s="1616" t="s">
        <v>31</v>
      </c>
      <c r="AA5" s="1617"/>
      <c r="AB5" s="1617"/>
      <c r="AC5" s="1617"/>
      <c r="AD5" s="1617"/>
      <c r="AE5" s="1617"/>
      <c r="AF5" s="1617"/>
      <c r="AG5" s="1617"/>
      <c r="AH5" s="1617"/>
      <c r="AI5" s="1617"/>
      <c r="AJ5" s="1617"/>
      <c r="AK5" s="1617"/>
      <c r="AL5" s="1617"/>
      <c r="AM5" s="1617"/>
      <c r="AN5" s="1617"/>
      <c r="AO5" s="1617"/>
      <c r="AP5" s="1617"/>
      <c r="AQ5" s="1618"/>
      <c r="AR5" s="1616" t="s">
        <v>1814</v>
      </c>
      <c r="AS5" s="1617"/>
      <c r="AT5" s="1617"/>
      <c r="AU5" s="1617"/>
      <c r="AV5" s="1617"/>
      <c r="AW5" s="1617"/>
      <c r="AX5" s="1617"/>
      <c r="AY5" s="1617"/>
      <c r="AZ5" s="1617"/>
      <c r="BA5" s="1617"/>
      <c r="BB5" s="1617"/>
      <c r="BC5" s="1617"/>
      <c r="BD5" s="1617"/>
      <c r="BE5" s="1617"/>
      <c r="BF5" s="1617"/>
      <c r="BG5" s="1617"/>
      <c r="BH5" s="1617"/>
      <c r="BI5" s="1617"/>
      <c r="BJ5" s="1617"/>
      <c r="BK5" s="1617"/>
      <c r="BL5" s="1617"/>
      <c r="BM5" s="1617"/>
      <c r="BN5" s="1617"/>
      <c r="BO5" s="1617"/>
      <c r="BP5" s="1617"/>
      <c r="BQ5" s="1617"/>
      <c r="BR5" s="1617"/>
      <c r="BS5" s="1617"/>
      <c r="BT5" s="1617"/>
      <c r="BU5" s="1617"/>
      <c r="BV5" s="1617"/>
      <c r="BW5" s="1617"/>
      <c r="BX5" s="1617"/>
      <c r="BY5" s="1617"/>
      <c r="BZ5" s="1617"/>
      <c r="CA5" s="1617"/>
      <c r="CB5" s="1617"/>
      <c r="CC5" s="1617"/>
      <c r="CD5" s="1617"/>
      <c r="CE5" s="1617"/>
      <c r="CF5" s="1617"/>
      <c r="CG5" s="1617"/>
      <c r="CH5" s="1617"/>
      <c r="CI5" s="1617"/>
      <c r="CJ5" s="1617"/>
      <c r="CK5" s="1617"/>
      <c r="CL5" s="1617"/>
      <c r="CM5" s="1617"/>
      <c r="CN5" s="1617"/>
      <c r="CO5" s="1617"/>
      <c r="CP5" s="1618"/>
      <c r="CQ5" s="1606" t="s">
        <v>1723</v>
      </c>
      <c r="CR5" s="1606" t="s">
        <v>1724</v>
      </c>
      <c r="CS5" s="1606" t="s">
        <v>1725</v>
      </c>
      <c r="CT5" s="1606" t="s">
        <v>1726</v>
      </c>
      <c r="CU5" s="1606" t="s">
        <v>1727</v>
      </c>
      <c r="CV5" s="1606" t="s">
        <v>1728</v>
      </c>
      <c r="CW5" s="1606" t="s">
        <v>1729</v>
      </c>
      <c r="CX5" s="1606" t="s">
        <v>1815</v>
      </c>
      <c r="CY5" s="1606" t="s">
        <v>1731</v>
      </c>
      <c r="CZ5" s="1612" t="s">
        <v>1732</v>
      </c>
      <c r="DA5" s="1601" t="s">
        <v>1733</v>
      </c>
      <c r="DB5" s="1601"/>
      <c r="DC5" s="1612" t="s">
        <v>1816</v>
      </c>
      <c r="DD5" s="1608" t="s">
        <v>1735</v>
      </c>
      <c r="DE5" s="1608"/>
      <c r="DF5" s="1608"/>
      <c r="DG5" s="1608"/>
      <c r="DH5" s="1608"/>
      <c r="DI5" s="1608"/>
      <c r="DJ5" s="1608"/>
      <c r="DK5" s="1602" t="s">
        <v>1736</v>
      </c>
      <c r="DL5" s="1602" t="s">
        <v>1817</v>
      </c>
      <c r="DM5" s="1602" t="s">
        <v>1738</v>
      </c>
      <c r="DN5" s="1602" t="s">
        <v>1818</v>
      </c>
      <c r="DO5" s="1602" t="s">
        <v>1740</v>
      </c>
      <c r="DP5" s="1602" t="s">
        <v>1741</v>
      </c>
      <c r="DQ5" s="1602" t="s">
        <v>1742</v>
      </c>
      <c r="DR5" s="1602" t="s">
        <v>1743</v>
      </c>
      <c r="DS5" s="1602" t="s">
        <v>1744</v>
      </c>
      <c r="DT5" s="1602" t="s">
        <v>1745</v>
      </c>
      <c r="DU5" s="997"/>
      <c r="DV5" s="1607"/>
      <c r="DW5" s="1602"/>
      <c r="DX5" s="1615" t="s">
        <v>1747</v>
      </c>
      <c r="DY5" s="1615"/>
      <c r="DZ5" s="1640" t="s">
        <v>1819</v>
      </c>
      <c r="EA5" s="1641"/>
      <c r="EB5" s="1640" t="s">
        <v>1820</v>
      </c>
      <c r="EC5" s="1641"/>
      <c r="ED5" s="1640" t="s">
        <v>1821</v>
      </c>
      <c r="EE5" s="1641"/>
      <c r="EF5" s="1640" t="s">
        <v>1750</v>
      </c>
      <c r="EG5" s="1641"/>
      <c r="EH5" s="1640" t="s">
        <v>1822</v>
      </c>
      <c r="EI5" s="1641"/>
      <c r="EJ5" s="1602"/>
      <c r="EK5" s="1640" t="s">
        <v>1823</v>
      </c>
      <c r="EL5" s="1641"/>
      <c r="EM5" s="1615" t="s">
        <v>1824</v>
      </c>
      <c r="EN5" s="1615"/>
      <c r="EO5" s="1615"/>
      <c r="EP5" s="1615"/>
      <c r="EQ5" s="1615"/>
      <c r="ER5" s="1615"/>
      <c r="ES5" s="1615"/>
      <c r="ET5" s="1615"/>
      <c r="EU5" s="1615"/>
      <c r="EV5" s="1615"/>
      <c r="EW5" s="1615"/>
      <c r="EX5" s="1615"/>
      <c r="EY5" s="1615"/>
      <c r="EZ5" s="1615"/>
      <c r="FA5" s="1615"/>
      <c r="FB5" s="1615"/>
      <c r="FC5" s="1615"/>
      <c r="FD5" s="1615"/>
      <c r="FE5" s="1615"/>
      <c r="FF5" s="1615"/>
      <c r="FG5" s="1615"/>
      <c r="FH5" s="1615"/>
      <c r="FI5" s="1615"/>
      <c r="FJ5" s="1615"/>
      <c r="FK5" s="1615"/>
      <c r="FL5" s="1615" t="s">
        <v>1825</v>
      </c>
      <c r="FM5" s="1615"/>
      <c r="FN5" s="1615" t="s">
        <v>1826</v>
      </c>
      <c r="FO5" s="1615"/>
      <c r="FP5" s="1602"/>
      <c r="FQ5" s="997"/>
      <c r="FR5" s="1610"/>
      <c r="FS5" s="997"/>
      <c r="FT5" s="1610"/>
      <c r="FU5" s="1606" t="s">
        <v>1752</v>
      </c>
      <c r="FV5" s="1616" t="s">
        <v>31</v>
      </c>
      <c r="FW5" s="1617"/>
      <c r="FX5" s="1617"/>
      <c r="FY5" s="1617"/>
      <c r="FZ5" s="1617"/>
      <c r="GA5" s="1618"/>
      <c r="GB5" s="1606" t="s">
        <v>1753</v>
      </c>
      <c r="GC5" s="1606" t="s">
        <v>1747</v>
      </c>
      <c r="GD5" s="1606" t="s">
        <v>1819</v>
      </c>
      <c r="GE5" s="1606" t="s">
        <v>1748</v>
      </c>
      <c r="GF5" s="1606" t="s">
        <v>1821</v>
      </c>
      <c r="GG5" s="1606" t="s">
        <v>1750</v>
      </c>
      <c r="GH5" s="1606" t="s">
        <v>1822</v>
      </c>
      <c r="GI5" s="1606" t="s">
        <v>1827</v>
      </c>
      <c r="GJ5" s="1606" t="s">
        <v>1828</v>
      </c>
      <c r="GK5" s="1606" t="s">
        <v>1829</v>
      </c>
      <c r="GL5" s="1606" t="s">
        <v>1830</v>
      </c>
      <c r="GM5" s="997"/>
      <c r="GN5" s="1607"/>
      <c r="GO5" s="1610"/>
      <c r="GP5" s="1606" t="s">
        <v>1752</v>
      </c>
      <c r="GQ5" s="1606" t="s">
        <v>1753</v>
      </c>
      <c r="GR5" s="1606" t="s">
        <v>1747</v>
      </c>
      <c r="GS5" s="1606" t="s">
        <v>1819</v>
      </c>
      <c r="GT5" s="1606" t="s">
        <v>1748</v>
      </c>
      <c r="GU5" s="1606" t="s">
        <v>1821</v>
      </c>
      <c r="GV5" s="1606" t="s">
        <v>1750</v>
      </c>
      <c r="GW5" s="1606" t="s">
        <v>1754</v>
      </c>
      <c r="GX5" s="1606" t="s">
        <v>1827</v>
      </c>
      <c r="GY5" s="1606" t="s">
        <v>1828</v>
      </c>
      <c r="GZ5" s="1606" t="s">
        <v>1829</v>
      </c>
      <c r="HA5" s="1606" t="s">
        <v>1830</v>
      </c>
      <c r="HB5" s="1602"/>
      <c r="HC5" s="997"/>
      <c r="HD5" s="1607"/>
      <c r="HE5" s="1610"/>
      <c r="HF5" s="1606" t="s">
        <v>1752</v>
      </c>
      <c r="HG5" s="1606" t="s">
        <v>1753</v>
      </c>
      <c r="HH5" s="1606" t="s">
        <v>1747</v>
      </c>
      <c r="HI5" s="1606" t="s">
        <v>1819</v>
      </c>
      <c r="HJ5" s="1606" t="s">
        <v>1748</v>
      </c>
      <c r="HK5" s="1606" t="s">
        <v>1821</v>
      </c>
      <c r="HL5" s="1606" t="s">
        <v>1750</v>
      </c>
      <c r="HM5" s="1606" t="s">
        <v>1754</v>
      </c>
      <c r="HN5" s="1606" t="s">
        <v>1827</v>
      </c>
      <c r="HO5" s="1606" t="s">
        <v>1828</v>
      </c>
      <c r="HP5" s="1606" t="s">
        <v>1829</v>
      </c>
      <c r="HQ5" s="1606" t="s">
        <v>1830</v>
      </c>
      <c r="HR5" s="1602"/>
      <c r="HS5" s="997"/>
      <c r="HT5" s="1607"/>
      <c r="HU5" s="1610"/>
      <c r="HV5" s="1606" t="s">
        <v>1752</v>
      </c>
      <c r="HW5" s="1606" t="s">
        <v>1753</v>
      </c>
      <c r="HX5" s="1606" t="s">
        <v>1747</v>
      </c>
      <c r="HY5" s="1606" t="s">
        <v>1819</v>
      </c>
      <c r="HZ5" s="1606" t="s">
        <v>1748</v>
      </c>
      <c r="IA5" s="1606" t="s">
        <v>1821</v>
      </c>
      <c r="IB5" s="1606" t="s">
        <v>1750</v>
      </c>
      <c r="IC5" s="1606" t="s">
        <v>1754</v>
      </c>
      <c r="ID5" s="1606" t="s">
        <v>1827</v>
      </c>
      <c r="IE5" s="1606" t="s">
        <v>1828</v>
      </c>
      <c r="IF5" s="1606" t="s">
        <v>1829</v>
      </c>
      <c r="IG5" s="1606" t="s">
        <v>1830</v>
      </c>
      <c r="IH5" s="1602"/>
    </row>
    <row r="6" spans="1:242" s="9" customFormat="1" ht="17.25" customHeight="1" x14ac:dyDescent="0.25">
      <c r="A6" s="1630"/>
      <c r="B6" s="1607"/>
      <c r="C6" s="1602" t="s">
        <v>1757</v>
      </c>
      <c r="D6" s="1602" t="s">
        <v>31</v>
      </c>
      <c r="E6" s="1602"/>
      <c r="F6" s="1602"/>
      <c r="G6" s="1602"/>
      <c r="H6" s="1602"/>
      <c r="I6" s="1602"/>
      <c r="J6" s="1602"/>
      <c r="K6" s="1602"/>
      <c r="L6" s="1602"/>
      <c r="M6" s="1602"/>
      <c r="N6" s="1602"/>
      <c r="O6" s="1602"/>
      <c r="P6" s="1602"/>
      <c r="Q6" s="1602"/>
      <c r="R6" s="1602"/>
      <c r="S6" s="1602"/>
      <c r="T6" s="1621"/>
      <c r="U6" s="1606" t="s">
        <v>612</v>
      </c>
      <c r="V6" s="1606" t="s">
        <v>631</v>
      </c>
      <c r="W6" s="1606" t="s">
        <v>640</v>
      </c>
      <c r="X6" s="1645"/>
      <c r="Y6" s="1602"/>
      <c r="Z6" s="1605" t="s">
        <v>1758</v>
      </c>
      <c r="AA6" s="1605" t="s">
        <v>1759</v>
      </c>
      <c r="AB6" s="1605" t="s">
        <v>1760</v>
      </c>
      <c r="AC6" s="1605" t="s">
        <v>1761</v>
      </c>
      <c r="AD6" s="1605" t="s">
        <v>1762</v>
      </c>
      <c r="AE6" s="1605" t="s">
        <v>1831</v>
      </c>
      <c r="AF6" s="1605" t="s">
        <v>31</v>
      </c>
      <c r="AG6" s="1605"/>
      <c r="AH6" s="1605"/>
      <c r="AI6" s="1605"/>
      <c r="AJ6" s="1605"/>
      <c r="AK6" s="1605"/>
      <c r="AL6" s="1605"/>
      <c r="AM6" s="1605"/>
      <c r="AN6" s="1605"/>
      <c r="AO6" s="1605"/>
      <c r="AP6" s="1605"/>
      <c r="AQ6" s="1605"/>
      <c r="AR6" s="1605" t="s">
        <v>1832</v>
      </c>
      <c r="AS6" s="1605" t="s">
        <v>1833</v>
      </c>
      <c r="AT6" s="1605" t="s">
        <v>1834</v>
      </c>
      <c r="AU6" s="1605" t="s">
        <v>1835</v>
      </c>
      <c r="AV6" s="1605" t="s">
        <v>1836</v>
      </c>
      <c r="AW6" s="1605" t="s">
        <v>1837</v>
      </c>
      <c r="AX6" s="1605" t="s">
        <v>1838</v>
      </c>
      <c r="AY6" s="1605" t="s">
        <v>1839</v>
      </c>
      <c r="AZ6" s="1605" t="s">
        <v>1840</v>
      </c>
      <c r="BA6" s="1605" t="s">
        <v>1841</v>
      </c>
      <c r="BB6" s="1605" t="s">
        <v>1842</v>
      </c>
      <c r="BC6" s="1616" t="s">
        <v>1843</v>
      </c>
      <c r="BD6" s="1617"/>
      <c r="BE6" s="1617"/>
      <c r="BF6" s="1617"/>
      <c r="BG6" s="1617"/>
      <c r="BH6" s="1602" t="s">
        <v>31</v>
      </c>
      <c r="BI6" s="1602"/>
      <c r="BJ6" s="1602"/>
      <c r="BK6" s="1602"/>
      <c r="BL6" s="1602"/>
      <c r="BM6" s="1602"/>
      <c r="BN6" s="1602"/>
      <c r="BO6" s="1602"/>
      <c r="BP6" s="1602"/>
      <c r="BQ6" s="1602"/>
      <c r="BR6" s="1602"/>
      <c r="BS6" s="1602"/>
      <c r="BT6" s="1602"/>
      <c r="BU6" s="1602"/>
      <c r="BV6" s="1602"/>
      <c r="BW6" s="1602"/>
      <c r="BX6" s="1602"/>
      <c r="BY6" s="1602"/>
      <c r="BZ6" s="1602"/>
      <c r="CA6" s="1602"/>
      <c r="CB6" s="1602"/>
      <c r="CC6" s="1602"/>
      <c r="CD6" s="1602"/>
      <c r="CE6" s="1602"/>
      <c r="CF6" s="1602"/>
      <c r="CG6" s="1602"/>
      <c r="CH6" s="1602"/>
      <c r="CI6" s="1602"/>
      <c r="CJ6" s="1602"/>
      <c r="CK6" s="1602"/>
      <c r="CL6" s="1602"/>
      <c r="CM6" s="1602"/>
      <c r="CN6" s="1602"/>
      <c r="CO6" s="1602"/>
      <c r="CP6" s="1602"/>
      <c r="CQ6" s="1607"/>
      <c r="CR6" s="1607"/>
      <c r="CS6" s="1607"/>
      <c r="CT6" s="1607"/>
      <c r="CU6" s="1607"/>
      <c r="CV6" s="1607"/>
      <c r="CW6" s="1607"/>
      <c r="CX6" s="1607"/>
      <c r="CY6" s="1607"/>
      <c r="CZ6" s="1613"/>
      <c r="DA6" s="1601" t="s">
        <v>1766</v>
      </c>
      <c r="DB6" s="1601" t="s">
        <v>1767</v>
      </c>
      <c r="DC6" s="1613"/>
      <c r="DD6" s="1602" t="s">
        <v>851</v>
      </c>
      <c r="DE6" s="1616" t="s">
        <v>31</v>
      </c>
      <c r="DF6" s="1617"/>
      <c r="DG6" s="1617"/>
      <c r="DH6" s="1617"/>
      <c r="DI6" s="1617"/>
      <c r="DJ6" s="1618"/>
      <c r="DK6" s="1602"/>
      <c r="DL6" s="1602"/>
      <c r="DM6" s="1602"/>
      <c r="DN6" s="1602"/>
      <c r="DO6" s="1602"/>
      <c r="DP6" s="1602"/>
      <c r="DQ6" s="1602"/>
      <c r="DR6" s="1602"/>
      <c r="DS6" s="1602"/>
      <c r="DT6" s="1602"/>
      <c r="DU6" s="997"/>
      <c r="DV6" s="1607"/>
      <c r="DW6" s="1602"/>
      <c r="DX6" s="1615"/>
      <c r="DY6" s="1615"/>
      <c r="DZ6" s="1642"/>
      <c r="EA6" s="1643"/>
      <c r="EB6" s="1642"/>
      <c r="EC6" s="1643"/>
      <c r="ED6" s="1642"/>
      <c r="EE6" s="1643"/>
      <c r="EF6" s="1642"/>
      <c r="EG6" s="1643"/>
      <c r="EH6" s="1642"/>
      <c r="EI6" s="1643"/>
      <c r="EJ6" s="1602"/>
      <c r="EK6" s="1642"/>
      <c r="EL6" s="1643"/>
      <c r="EM6" s="1615"/>
      <c r="EN6" s="1615"/>
      <c r="EO6" s="1615"/>
      <c r="EP6" s="1615"/>
      <c r="EQ6" s="1615"/>
      <c r="ER6" s="1615"/>
      <c r="ES6" s="1615"/>
      <c r="ET6" s="1615"/>
      <c r="EU6" s="1615"/>
      <c r="EV6" s="1615"/>
      <c r="EW6" s="1615"/>
      <c r="EX6" s="1615"/>
      <c r="EY6" s="1615"/>
      <c r="EZ6" s="1615"/>
      <c r="FA6" s="1615"/>
      <c r="FB6" s="1615"/>
      <c r="FC6" s="1615"/>
      <c r="FD6" s="1615"/>
      <c r="FE6" s="1615"/>
      <c r="FF6" s="1615"/>
      <c r="FG6" s="1615"/>
      <c r="FH6" s="1615"/>
      <c r="FI6" s="1615"/>
      <c r="FJ6" s="1615"/>
      <c r="FK6" s="1615"/>
      <c r="FL6" s="1615"/>
      <c r="FM6" s="1615"/>
      <c r="FN6" s="1615"/>
      <c r="FO6" s="1615"/>
      <c r="FP6" s="1602"/>
      <c r="FQ6" s="997"/>
      <c r="FR6" s="1610"/>
      <c r="FS6" s="997"/>
      <c r="FT6" s="1610"/>
      <c r="FU6" s="1607"/>
      <c r="FV6" s="1602" t="s">
        <v>1768</v>
      </c>
      <c r="FW6" s="1602" t="s">
        <v>1769</v>
      </c>
      <c r="FX6" s="1602" t="s">
        <v>1770</v>
      </c>
      <c r="FY6" s="1602" t="s">
        <v>1771</v>
      </c>
      <c r="FZ6" s="1602" t="s">
        <v>1772</v>
      </c>
      <c r="GA6" s="1602" t="s">
        <v>1773</v>
      </c>
      <c r="GB6" s="1607"/>
      <c r="GC6" s="1607"/>
      <c r="GD6" s="1607"/>
      <c r="GE6" s="1607"/>
      <c r="GF6" s="1607"/>
      <c r="GG6" s="1607"/>
      <c r="GH6" s="1607"/>
      <c r="GI6" s="1607"/>
      <c r="GJ6" s="1607"/>
      <c r="GK6" s="1607"/>
      <c r="GL6" s="1607"/>
      <c r="GM6" s="997"/>
      <c r="GN6" s="1607"/>
      <c r="GO6" s="1610"/>
      <c r="GP6" s="1607"/>
      <c r="GQ6" s="1607"/>
      <c r="GR6" s="1607"/>
      <c r="GS6" s="1607"/>
      <c r="GT6" s="1607"/>
      <c r="GU6" s="1607"/>
      <c r="GV6" s="1607"/>
      <c r="GW6" s="1607"/>
      <c r="GX6" s="1607"/>
      <c r="GY6" s="1607"/>
      <c r="GZ6" s="1607"/>
      <c r="HA6" s="1607"/>
      <c r="HB6" s="1602"/>
      <c r="HC6" s="997"/>
      <c r="HD6" s="1607"/>
      <c r="HE6" s="1610"/>
      <c r="HF6" s="1607"/>
      <c r="HG6" s="1607"/>
      <c r="HH6" s="1607"/>
      <c r="HI6" s="1607"/>
      <c r="HJ6" s="1607"/>
      <c r="HK6" s="1607"/>
      <c r="HL6" s="1607"/>
      <c r="HM6" s="1607"/>
      <c r="HN6" s="1607"/>
      <c r="HO6" s="1607"/>
      <c r="HP6" s="1607"/>
      <c r="HQ6" s="1607"/>
      <c r="HR6" s="1602"/>
      <c r="HS6" s="997"/>
      <c r="HT6" s="1607"/>
      <c r="HU6" s="1610"/>
      <c r="HV6" s="1607"/>
      <c r="HW6" s="1607"/>
      <c r="HX6" s="1607"/>
      <c r="HY6" s="1607"/>
      <c r="HZ6" s="1607"/>
      <c r="IA6" s="1607"/>
      <c r="IB6" s="1607"/>
      <c r="IC6" s="1607"/>
      <c r="ID6" s="1607"/>
      <c r="IE6" s="1607"/>
      <c r="IF6" s="1607"/>
      <c r="IG6" s="1607"/>
      <c r="IH6" s="1602"/>
    </row>
    <row r="7" spans="1:242" s="156" customFormat="1" ht="29.25" customHeight="1" x14ac:dyDescent="0.25">
      <c r="A7" s="1630"/>
      <c r="B7" s="1607"/>
      <c r="C7" s="1602"/>
      <c r="D7" s="1605" t="s">
        <v>1844</v>
      </c>
      <c r="E7" s="1605" t="s">
        <v>1775</v>
      </c>
      <c r="F7" s="1605" t="s">
        <v>1776</v>
      </c>
      <c r="G7" s="1605" t="s">
        <v>1777</v>
      </c>
      <c r="H7" s="1605" t="s">
        <v>1778</v>
      </c>
      <c r="I7" s="1605" t="s">
        <v>1845</v>
      </c>
      <c r="J7" s="1605" t="s">
        <v>1780</v>
      </c>
      <c r="K7" s="1605"/>
      <c r="L7" s="1605"/>
      <c r="M7" s="1605"/>
      <c r="N7" s="1605"/>
      <c r="O7" s="1605"/>
      <c r="P7" s="1605"/>
      <c r="Q7" s="1605"/>
      <c r="R7" s="1605"/>
      <c r="S7" s="1605"/>
      <c r="T7" s="1621"/>
      <c r="U7" s="1607"/>
      <c r="V7" s="1607"/>
      <c r="W7" s="1607"/>
      <c r="X7" s="1645"/>
      <c r="Y7" s="1602"/>
      <c r="Z7" s="1605"/>
      <c r="AA7" s="1605"/>
      <c r="AB7" s="1605"/>
      <c r="AC7" s="1605"/>
      <c r="AD7" s="1605"/>
      <c r="AE7" s="1605"/>
      <c r="AF7" s="1605"/>
      <c r="AG7" s="1605"/>
      <c r="AH7" s="1605"/>
      <c r="AI7" s="1605"/>
      <c r="AJ7" s="1605"/>
      <c r="AK7" s="1605"/>
      <c r="AL7" s="1605"/>
      <c r="AM7" s="1605"/>
      <c r="AN7" s="1605"/>
      <c r="AO7" s="1605"/>
      <c r="AP7" s="1605"/>
      <c r="AQ7" s="1605"/>
      <c r="AR7" s="1605"/>
      <c r="AS7" s="1605"/>
      <c r="AT7" s="1605"/>
      <c r="AU7" s="1605"/>
      <c r="AV7" s="1605"/>
      <c r="AW7" s="1605"/>
      <c r="AX7" s="1605"/>
      <c r="AY7" s="1605"/>
      <c r="AZ7" s="1605"/>
      <c r="BA7" s="1605"/>
      <c r="BB7" s="1605"/>
      <c r="BC7" s="1602" t="s">
        <v>1846</v>
      </c>
      <c r="BD7" s="1602" t="s">
        <v>1847</v>
      </c>
      <c r="BE7" s="1602"/>
      <c r="BF7" s="1602"/>
      <c r="BG7" s="1602" t="s">
        <v>1848</v>
      </c>
      <c r="BH7" s="1602" t="s">
        <v>1849</v>
      </c>
      <c r="BI7" s="1602"/>
      <c r="BJ7" s="1602"/>
      <c r="BK7" s="1602"/>
      <c r="BL7" s="1602"/>
      <c r="BM7" s="1602" t="s">
        <v>1850</v>
      </c>
      <c r="BN7" s="1602"/>
      <c r="BO7" s="1602"/>
      <c r="BP7" s="1602"/>
      <c r="BQ7" s="1602"/>
      <c r="BR7" s="1616" t="s">
        <v>1851</v>
      </c>
      <c r="BS7" s="1617"/>
      <c r="BT7" s="1617"/>
      <c r="BU7" s="1617"/>
      <c r="BV7" s="1618"/>
      <c r="BW7" s="1602" t="s">
        <v>1852</v>
      </c>
      <c r="BX7" s="1602"/>
      <c r="BY7" s="1602"/>
      <c r="BZ7" s="1602"/>
      <c r="CA7" s="1602"/>
      <c r="CB7" s="1602" t="s">
        <v>1853</v>
      </c>
      <c r="CC7" s="1602"/>
      <c r="CD7" s="1602"/>
      <c r="CE7" s="1602"/>
      <c r="CF7" s="1602"/>
      <c r="CG7" s="1602" t="s">
        <v>1854</v>
      </c>
      <c r="CH7" s="1602"/>
      <c r="CI7" s="1602"/>
      <c r="CJ7" s="1602"/>
      <c r="CK7" s="1602"/>
      <c r="CL7" s="1602" t="s">
        <v>1854</v>
      </c>
      <c r="CM7" s="1602"/>
      <c r="CN7" s="1602"/>
      <c r="CO7" s="1602"/>
      <c r="CP7" s="1602"/>
      <c r="CQ7" s="1607"/>
      <c r="CR7" s="1607"/>
      <c r="CS7" s="1607"/>
      <c r="CT7" s="1607"/>
      <c r="CU7" s="1607"/>
      <c r="CV7" s="1607"/>
      <c r="CW7" s="1607"/>
      <c r="CX7" s="1607"/>
      <c r="CY7" s="1607"/>
      <c r="CZ7" s="1613"/>
      <c r="DA7" s="1601"/>
      <c r="DB7" s="1601"/>
      <c r="DC7" s="1613"/>
      <c r="DD7" s="1602"/>
      <c r="DE7" s="1603" t="s">
        <v>1774</v>
      </c>
      <c r="DF7" s="1603" t="s">
        <v>1775</v>
      </c>
      <c r="DG7" s="1605" t="s">
        <v>1776</v>
      </c>
      <c r="DH7" s="1605" t="s">
        <v>1777</v>
      </c>
      <c r="DI7" s="1605" t="s">
        <v>1778</v>
      </c>
      <c r="DJ7" s="1603" t="s">
        <v>1779</v>
      </c>
      <c r="DK7" s="1602"/>
      <c r="DL7" s="1602"/>
      <c r="DM7" s="1602"/>
      <c r="DN7" s="1602"/>
      <c r="DO7" s="1602"/>
      <c r="DP7" s="1602"/>
      <c r="DQ7" s="1602"/>
      <c r="DR7" s="1602"/>
      <c r="DS7" s="1602"/>
      <c r="DT7" s="1602"/>
      <c r="DU7" s="998"/>
      <c r="DV7" s="1607"/>
      <c r="DW7" s="1602"/>
      <c r="DX7" s="1602" t="s">
        <v>1794</v>
      </c>
      <c r="DY7" s="1602" t="s">
        <v>1795</v>
      </c>
      <c r="DZ7" s="1602" t="s">
        <v>1794</v>
      </c>
      <c r="EA7" s="1602" t="s">
        <v>1795</v>
      </c>
      <c r="EB7" s="1602" t="s">
        <v>1794</v>
      </c>
      <c r="EC7" s="1602" t="s">
        <v>1795</v>
      </c>
      <c r="ED7" s="1602" t="s">
        <v>1794</v>
      </c>
      <c r="EE7" s="1602" t="s">
        <v>1795</v>
      </c>
      <c r="EF7" s="1602" t="s">
        <v>1794</v>
      </c>
      <c r="EG7" s="1602" t="s">
        <v>1795</v>
      </c>
      <c r="EH7" s="1602" t="s">
        <v>1794</v>
      </c>
      <c r="EI7" s="1602" t="s">
        <v>1795</v>
      </c>
      <c r="EJ7" s="1602"/>
      <c r="EK7" s="1602" t="s">
        <v>1794</v>
      </c>
      <c r="EL7" s="1602" t="s">
        <v>1795</v>
      </c>
      <c r="EM7" s="1602" t="s">
        <v>1794</v>
      </c>
      <c r="EN7" s="1639" t="s">
        <v>1795</v>
      </c>
      <c r="EO7" s="1615" t="s">
        <v>1855</v>
      </c>
      <c r="EP7" s="1615"/>
      <c r="EQ7" s="1615" t="s">
        <v>1856</v>
      </c>
      <c r="ER7" s="1615"/>
      <c r="ES7" s="1615" t="s">
        <v>1857</v>
      </c>
      <c r="ET7" s="1615"/>
      <c r="EU7" s="1615" t="s">
        <v>1858</v>
      </c>
      <c r="EV7" s="1615"/>
      <c r="EW7" s="1615" t="s">
        <v>1859</v>
      </c>
      <c r="EX7" s="1615"/>
      <c r="EY7" s="1615" t="s">
        <v>1860</v>
      </c>
      <c r="EZ7" s="1615"/>
      <c r="FA7" s="1615" t="s">
        <v>1861</v>
      </c>
      <c r="FB7" s="1615"/>
      <c r="FC7" s="1615" t="s">
        <v>1862</v>
      </c>
      <c r="FD7" s="1615"/>
      <c r="FE7" s="1615" t="s">
        <v>1863</v>
      </c>
      <c r="FF7" s="1615"/>
      <c r="FG7" s="1615" t="s">
        <v>1864</v>
      </c>
      <c r="FH7" s="1615"/>
      <c r="FI7" s="1615" t="s">
        <v>1865</v>
      </c>
      <c r="FJ7" s="1615"/>
      <c r="FK7" s="1606" t="s">
        <v>1866</v>
      </c>
      <c r="FL7" s="1602" t="s">
        <v>1794</v>
      </c>
      <c r="FM7" s="1602" t="s">
        <v>1795</v>
      </c>
      <c r="FN7" s="1602" t="s">
        <v>1794</v>
      </c>
      <c r="FO7" s="1602" t="s">
        <v>1795</v>
      </c>
      <c r="FP7" s="1602"/>
      <c r="FQ7" s="998"/>
      <c r="FR7" s="1610"/>
      <c r="FS7" s="998"/>
      <c r="FT7" s="1610"/>
      <c r="FU7" s="1607"/>
      <c r="FV7" s="1602"/>
      <c r="FW7" s="1602"/>
      <c r="FX7" s="1602"/>
      <c r="FY7" s="1602"/>
      <c r="FZ7" s="1602"/>
      <c r="GA7" s="1602"/>
      <c r="GB7" s="1607"/>
      <c r="GC7" s="1607"/>
      <c r="GD7" s="1607"/>
      <c r="GE7" s="1607"/>
      <c r="GF7" s="1607"/>
      <c r="GG7" s="1607"/>
      <c r="GH7" s="1607"/>
      <c r="GI7" s="1607"/>
      <c r="GJ7" s="1607"/>
      <c r="GK7" s="1607"/>
      <c r="GL7" s="1607"/>
      <c r="GM7" s="998"/>
      <c r="GN7" s="1607"/>
      <c r="GO7" s="1610"/>
      <c r="GP7" s="1607"/>
      <c r="GQ7" s="1607"/>
      <c r="GR7" s="1607"/>
      <c r="GS7" s="1607"/>
      <c r="GT7" s="1607"/>
      <c r="GU7" s="1607"/>
      <c r="GV7" s="1607"/>
      <c r="GW7" s="1607"/>
      <c r="GX7" s="1607"/>
      <c r="GY7" s="1607"/>
      <c r="GZ7" s="1607"/>
      <c r="HA7" s="1607"/>
      <c r="HB7" s="1602"/>
      <c r="HC7" s="998"/>
      <c r="HD7" s="1607"/>
      <c r="HE7" s="1610"/>
      <c r="HF7" s="1607"/>
      <c r="HG7" s="1607"/>
      <c r="HH7" s="1607"/>
      <c r="HI7" s="1607"/>
      <c r="HJ7" s="1607"/>
      <c r="HK7" s="1607"/>
      <c r="HL7" s="1607"/>
      <c r="HM7" s="1607"/>
      <c r="HN7" s="1607"/>
      <c r="HO7" s="1607"/>
      <c r="HP7" s="1607"/>
      <c r="HQ7" s="1607"/>
      <c r="HR7" s="1602"/>
      <c r="HS7" s="998"/>
      <c r="HT7" s="1607"/>
      <c r="HU7" s="1610"/>
      <c r="HV7" s="1607"/>
      <c r="HW7" s="1607"/>
      <c r="HX7" s="1607"/>
      <c r="HY7" s="1607"/>
      <c r="HZ7" s="1607"/>
      <c r="IA7" s="1607"/>
      <c r="IB7" s="1607"/>
      <c r="IC7" s="1607"/>
      <c r="ID7" s="1607"/>
      <c r="IE7" s="1607"/>
      <c r="IF7" s="1607"/>
      <c r="IG7" s="1607"/>
      <c r="IH7" s="1602"/>
    </row>
    <row r="8" spans="1:242" s="156" customFormat="1" ht="121.5" customHeight="1" x14ac:dyDescent="0.25">
      <c r="A8" s="1403"/>
      <c r="B8" s="1608"/>
      <c r="C8" s="1602"/>
      <c r="D8" s="1605"/>
      <c r="E8" s="1605"/>
      <c r="F8" s="1605"/>
      <c r="G8" s="1605"/>
      <c r="H8" s="1605"/>
      <c r="I8" s="1605"/>
      <c r="J8" s="999" t="s">
        <v>1867</v>
      </c>
      <c r="K8" s="999" t="s">
        <v>1868</v>
      </c>
      <c r="L8" s="999" t="s">
        <v>1869</v>
      </c>
      <c r="M8" s="999" t="s">
        <v>1870</v>
      </c>
      <c r="N8" s="999" t="s">
        <v>1871</v>
      </c>
      <c r="O8" s="999" t="s">
        <v>1872</v>
      </c>
      <c r="P8" s="999" t="s">
        <v>1873</v>
      </c>
      <c r="Q8" s="999" t="s">
        <v>1874</v>
      </c>
      <c r="R8" s="999" t="s">
        <v>1875</v>
      </c>
      <c r="S8" s="999" t="s">
        <v>1791</v>
      </c>
      <c r="T8" s="1335"/>
      <c r="U8" s="1608"/>
      <c r="V8" s="1608"/>
      <c r="W8" s="1608"/>
      <c r="X8" s="1646"/>
      <c r="Y8" s="1602"/>
      <c r="Z8" s="1605"/>
      <c r="AA8" s="1605"/>
      <c r="AB8" s="1605"/>
      <c r="AC8" s="1605"/>
      <c r="AD8" s="1605"/>
      <c r="AE8" s="1605"/>
      <c r="AF8" s="1064" t="s">
        <v>1867</v>
      </c>
      <c r="AG8" s="1064" t="s">
        <v>1868</v>
      </c>
      <c r="AH8" s="1064" t="s">
        <v>1869</v>
      </c>
      <c r="AI8" s="1064" t="s">
        <v>1870</v>
      </c>
      <c r="AJ8" s="1064" t="s">
        <v>1871</v>
      </c>
      <c r="AK8" s="1064" t="s">
        <v>1872</v>
      </c>
      <c r="AL8" s="1064" t="s">
        <v>1873</v>
      </c>
      <c r="AM8" s="1064" t="s">
        <v>1874</v>
      </c>
      <c r="AN8" s="1064" t="s">
        <v>1875</v>
      </c>
      <c r="AO8" s="1064" t="s">
        <v>1791</v>
      </c>
      <c r="AP8" s="1064" t="s">
        <v>1876</v>
      </c>
      <c r="AQ8" s="1064"/>
      <c r="AR8" s="1605"/>
      <c r="AS8" s="1605"/>
      <c r="AT8" s="1605"/>
      <c r="AU8" s="1605"/>
      <c r="AV8" s="1605"/>
      <c r="AW8" s="1605"/>
      <c r="AX8" s="1605"/>
      <c r="AY8" s="1605"/>
      <c r="AZ8" s="1605"/>
      <c r="BA8" s="1605"/>
      <c r="BB8" s="1605"/>
      <c r="BC8" s="1602"/>
      <c r="BD8" s="1000" t="s">
        <v>1877</v>
      </c>
      <c r="BE8" s="1000" t="s">
        <v>1878</v>
      </c>
      <c r="BF8" s="1000" t="s">
        <v>1879</v>
      </c>
      <c r="BG8" s="1602"/>
      <c r="BH8" s="1000" t="s">
        <v>1877</v>
      </c>
      <c r="BI8" s="1000" t="s">
        <v>1878</v>
      </c>
      <c r="BJ8" s="1000" t="s">
        <v>1879</v>
      </c>
      <c r="BK8" s="1000" t="s">
        <v>1880</v>
      </c>
      <c r="BL8" s="1000" t="s">
        <v>1793</v>
      </c>
      <c r="BM8" s="1000" t="s">
        <v>1877</v>
      </c>
      <c r="BN8" s="1000" t="s">
        <v>1878</v>
      </c>
      <c r="BO8" s="1000" t="s">
        <v>1879</v>
      </c>
      <c r="BP8" s="1000" t="s">
        <v>1880</v>
      </c>
      <c r="BQ8" s="1000" t="s">
        <v>1793</v>
      </c>
      <c r="BR8" s="1000" t="s">
        <v>1877</v>
      </c>
      <c r="BS8" s="1000" t="s">
        <v>1878</v>
      </c>
      <c r="BT8" s="1000" t="s">
        <v>1879</v>
      </c>
      <c r="BU8" s="1000" t="s">
        <v>1880</v>
      </c>
      <c r="BV8" s="1000" t="s">
        <v>1793</v>
      </c>
      <c r="BW8" s="1000" t="s">
        <v>1877</v>
      </c>
      <c r="BX8" s="1000" t="s">
        <v>1878</v>
      </c>
      <c r="BY8" s="1000" t="s">
        <v>1879</v>
      </c>
      <c r="BZ8" s="1000" t="s">
        <v>1880</v>
      </c>
      <c r="CA8" s="1000" t="s">
        <v>1793</v>
      </c>
      <c r="CB8" s="1000" t="s">
        <v>1881</v>
      </c>
      <c r="CC8" s="1000" t="s">
        <v>1882</v>
      </c>
      <c r="CD8" s="1000" t="s">
        <v>1883</v>
      </c>
      <c r="CE8" s="1000" t="s">
        <v>1884</v>
      </c>
      <c r="CF8" s="1000" t="s">
        <v>1793</v>
      </c>
      <c r="CG8" s="1000" t="s">
        <v>1881</v>
      </c>
      <c r="CH8" s="1000" t="s">
        <v>1882</v>
      </c>
      <c r="CI8" s="1000" t="s">
        <v>1883</v>
      </c>
      <c r="CJ8" s="1000" t="s">
        <v>1884</v>
      </c>
      <c r="CK8" s="1000" t="s">
        <v>1793</v>
      </c>
      <c r="CL8" s="1000" t="s">
        <v>1881</v>
      </c>
      <c r="CM8" s="1000" t="s">
        <v>1882</v>
      </c>
      <c r="CN8" s="1000" t="s">
        <v>1883</v>
      </c>
      <c r="CO8" s="1000" t="s">
        <v>1884</v>
      </c>
      <c r="CP8" s="1000" t="s">
        <v>1793</v>
      </c>
      <c r="CQ8" s="1608"/>
      <c r="CR8" s="1608"/>
      <c r="CS8" s="1608"/>
      <c r="CT8" s="1608"/>
      <c r="CU8" s="1608"/>
      <c r="CV8" s="1608"/>
      <c r="CW8" s="1608"/>
      <c r="CX8" s="1608"/>
      <c r="CY8" s="1608"/>
      <c r="CZ8" s="1614"/>
      <c r="DA8" s="1601"/>
      <c r="DB8" s="1601"/>
      <c r="DC8" s="1614"/>
      <c r="DD8" s="1602"/>
      <c r="DE8" s="1604"/>
      <c r="DF8" s="1604"/>
      <c r="DG8" s="1605"/>
      <c r="DH8" s="1605"/>
      <c r="DI8" s="1605"/>
      <c r="DJ8" s="1604"/>
      <c r="DK8" s="1602"/>
      <c r="DL8" s="1602"/>
      <c r="DM8" s="1602"/>
      <c r="DN8" s="1602"/>
      <c r="DO8" s="1602"/>
      <c r="DP8" s="1602"/>
      <c r="DQ8" s="1602"/>
      <c r="DR8" s="1602"/>
      <c r="DS8" s="1602"/>
      <c r="DT8" s="1602"/>
      <c r="DU8" s="998"/>
      <c r="DV8" s="1608"/>
      <c r="DW8" s="1602"/>
      <c r="DX8" s="1602"/>
      <c r="DY8" s="1602"/>
      <c r="DZ8" s="1602"/>
      <c r="EA8" s="1602"/>
      <c r="EB8" s="1602"/>
      <c r="EC8" s="1602"/>
      <c r="ED8" s="1602"/>
      <c r="EE8" s="1602"/>
      <c r="EF8" s="1602"/>
      <c r="EG8" s="1602"/>
      <c r="EH8" s="1602"/>
      <c r="EI8" s="1602"/>
      <c r="EJ8" s="1602"/>
      <c r="EK8" s="1602"/>
      <c r="EL8" s="1602"/>
      <c r="EM8" s="1602"/>
      <c r="EN8" s="1639"/>
      <c r="EO8" s="1065" t="s">
        <v>1885</v>
      </c>
      <c r="EP8" s="1228" t="s">
        <v>2219</v>
      </c>
      <c r="EQ8" s="1229" t="s">
        <v>1885</v>
      </c>
      <c r="ER8" s="1228" t="s">
        <v>2219</v>
      </c>
      <c r="ES8" s="1229" t="s">
        <v>1885</v>
      </c>
      <c r="ET8" s="1228" t="s">
        <v>2219</v>
      </c>
      <c r="EU8" s="1229" t="s">
        <v>1885</v>
      </c>
      <c r="EV8" s="1228" t="s">
        <v>2219</v>
      </c>
      <c r="EW8" s="1229" t="s">
        <v>1885</v>
      </c>
      <c r="EX8" s="1228" t="s">
        <v>2219</v>
      </c>
      <c r="EY8" s="1229" t="s">
        <v>1885</v>
      </c>
      <c r="EZ8" s="1228" t="s">
        <v>2219</v>
      </c>
      <c r="FA8" s="1229" t="s">
        <v>1885</v>
      </c>
      <c r="FB8" s="1228" t="s">
        <v>2219</v>
      </c>
      <c r="FC8" s="1229" t="s">
        <v>1885</v>
      </c>
      <c r="FD8" s="1228" t="s">
        <v>2219</v>
      </c>
      <c r="FE8" s="1229" t="s">
        <v>1885</v>
      </c>
      <c r="FF8" s="1228" t="s">
        <v>2219</v>
      </c>
      <c r="FG8" s="1229" t="s">
        <v>1885</v>
      </c>
      <c r="FH8" s="1228" t="s">
        <v>2219</v>
      </c>
      <c r="FI8" s="1229" t="s">
        <v>1885</v>
      </c>
      <c r="FJ8" s="1228" t="s">
        <v>2219</v>
      </c>
      <c r="FK8" s="1608"/>
      <c r="FL8" s="1602"/>
      <c r="FM8" s="1602"/>
      <c r="FN8" s="1602"/>
      <c r="FO8" s="1602"/>
      <c r="FP8" s="1602"/>
      <c r="FQ8" s="998"/>
      <c r="FR8" s="1610"/>
      <c r="FS8" s="998"/>
      <c r="FT8" s="1610"/>
      <c r="FU8" s="1608"/>
      <c r="FV8" s="1602"/>
      <c r="FW8" s="1602"/>
      <c r="FX8" s="1602"/>
      <c r="FY8" s="1602"/>
      <c r="FZ8" s="1602"/>
      <c r="GA8" s="1602"/>
      <c r="GB8" s="1608"/>
      <c r="GC8" s="1608"/>
      <c r="GD8" s="1608"/>
      <c r="GE8" s="1608"/>
      <c r="GF8" s="1608"/>
      <c r="GG8" s="1608"/>
      <c r="GH8" s="1608"/>
      <c r="GI8" s="1608"/>
      <c r="GJ8" s="1608"/>
      <c r="GK8" s="1608"/>
      <c r="GL8" s="1608"/>
      <c r="GM8" s="1001"/>
      <c r="GN8" s="1608"/>
      <c r="GO8" s="1610"/>
      <c r="GP8" s="1608"/>
      <c r="GQ8" s="1608"/>
      <c r="GR8" s="1608"/>
      <c r="GS8" s="1608"/>
      <c r="GT8" s="1608"/>
      <c r="GU8" s="1608"/>
      <c r="GV8" s="1608"/>
      <c r="GW8" s="1608"/>
      <c r="GX8" s="1608"/>
      <c r="GY8" s="1608"/>
      <c r="GZ8" s="1608"/>
      <c r="HA8" s="1608"/>
      <c r="HB8" s="1602"/>
      <c r="HC8" s="998"/>
      <c r="HD8" s="1608"/>
      <c r="HE8" s="1610"/>
      <c r="HF8" s="1608"/>
      <c r="HG8" s="1608"/>
      <c r="HH8" s="1608"/>
      <c r="HI8" s="1608"/>
      <c r="HJ8" s="1608"/>
      <c r="HK8" s="1608"/>
      <c r="HL8" s="1608"/>
      <c r="HM8" s="1608"/>
      <c r="HN8" s="1608"/>
      <c r="HO8" s="1608"/>
      <c r="HP8" s="1608"/>
      <c r="HQ8" s="1608"/>
      <c r="HR8" s="1602"/>
      <c r="HS8" s="998"/>
      <c r="HT8" s="1608"/>
      <c r="HU8" s="1610"/>
      <c r="HV8" s="1608"/>
      <c r="HW8" s="1608"/>
      <c r="HX8" s="1608"/>
      <c r="HY8" s="1608"/>
      <c r="HZ8" s="1608"/>
      <c r="IA8" s="1608"/>
      <c r="IB8" s="1608"/>
      <c r="IC8" s="1608"/>
      <c r="ID8" s="1608"/>
      <c r="IE8" s="1608"/>
      <c r="IF8" s="1608"/>
      <c r="IG8" s="1608"/>
      <c r="IH8" s="1602"/>
    </row>
    <row r="9" spans="1:242" s="156" customFormat="1" ht="24" customHeight="1" x14ac:dyDescent="0.25">
      <c r="A9" s="1002"/>
      <c r="B9" s="1003"/>
      <c r="C9" s="1003"/>
      <c r="D9" s="1003"/>
      <c r="E9" s="1003"/>
      <c r="F9" s="1003"/>
      <c r="G9" s="1003"/>
      <c r="H9" s="1003"/>
      <c r="I9" s="1003"/>
      <c r="J9" s="1003"/>
      <c r="K9" s="1003"/>
      <c r="L9" s="1003"/>
      <c r="M9" s="1003"/>
      <c r="N9" s="1003"/>
      <c r="O9" s="1003"/>
      <c r="P9" s="1003"/>
      <c r="Q9" s="1003"/>
      <c r="R9" s="1003"/>
      <c r="S9" s="1003"/>
      <c r="T9" s="1003"/>
      <c r="U9" s="1003"/>
      <c r="V9" s="1003"/>
      <c r="W9" s="1003"/>
      <c r="X9" s="1003"/>
      <c r="Y9" s="1004"/>
      <c r="Z9" s="1004"/>
      <c r="AA9" s="1004"/>
      <c r="AB9" s="1005">
        <v>16242</v>
      </c>
      <c r="AC9" s="1005">
        <v>16242</v>
      </c>
      <c r="AD9" s="1005">
        <v>16242</v>
      </c>
      <c r="AE9" s="1005"/>
      <c r="AF9" s="1005">
        <f t="shared" ref="AF9:AK9" si="0">ROUNDUP(13893*1.04,0)</f>
        <v>14449</v>
      </c>
      <c r="AG9" s="1005">
        <f t="shared" si="0"/>
        <v>14449</v>
      </c>
      <c r="AH9" s="1005">
        <f t="shared" si="0"/>
        <v>14449</v>
      </c>
      <c r="AI9" s="1005">
        <f t="shared" si="0"/>
        <v>14449</v>
      </c>
      <c r="AJ9" s="1005">
        <f t="shared" si="0"/>
        <v>14449</v>
      </c>
      <c r="AK9" s="1005">
        <f t="shared" si="0"/>
        <v>14449</v>
      </c>
      <c r="AL9" s="1005">
        <f>ROUNDUP(12626*1.04,0)</f>
        <v>13132</v>
      </c>
      <c r="AM9" s="1005">
        <f t="shared" ref="AM9:AN9" si="1">ROUNDUP(12626*1.04,0)</f>
        <v>13132</v>
      </c>
      <c r="AN9" s="1005">
        <f t="shared" si="1"/>
        <v>13132</v>
      </c>
      <c r="AO9" s="1005">
        <f>ROUNDUP(13242*1.04,0)</f>
        <v>13772</v>
      </c>
      <c r="AP9" s="1005"/>
      <c r="AQ9" s="1005"/>
      <c r="AR9" s="1003"/>
      <c r="AS9" s="1003"/>
      <c r="AT9" s="1003"/>
      <c r="AU9" s="1003"/>
      <c r="AV9" s="1003"/>
      <c r="AW9" s="1003"/>
      <c r="AX9" s="1003"/>
      <c r="AY9" s="1003">
        <f>(20+15+10)/3</f>
        <v>15</v>
      </c>
      <c r="AZ9" s="1003"/>
      <c r="BA9" s="1003"/>
      <c r="BB9" s="1003">
        <f>((0+15)/2+(0+15)/2+(0+10)/2+(0+10)/2+(0+10+15)/3+(0+20+40+80)/4+(0+15+25+40)/4+(0+15)/2+(0+10)/2+(0+10)/2+(0+10)/2)/11</f>
        <v>10</v>
      </c>
      <c r="BC9" s="1003"/>
      <c r="BD9" s="1003"/>
      <c r="BE9" s="1003"/>
      <c r="BF9" s="1003"/>
      <c r="BG9" s="1003"/>
      <c r="BH9" s="1003"/>
      <c r="BI9" s="1003"/>
      <c r="BJ9" s="1003"/>
      <c r="BK9" s="1003"/>
      <c r="BL9" s="1003"/>
      <c r="BM9" s="1003"/>
      <c r="BN9" s="1003"/>
      <c r="BO9" s="1003"/>
      <c r="BP9" s="1003"/>
      <c r="BQ9" s="1003"/>
      <c r="BR9" s="1003"/>
      <c r="BS9" s="1003"/>
      <c r="BT9" s="1003"/>
      <c r="BU9" s="1003"/>
      <c r="BV9" s="1003"/>
      <c r="BW9" s="1003"/>
      <c r="BX9" s="1003"/>
      <c r="BY9" s="1003"/>
      <c r="BZ9" s="1003"/>
      <c r="CA9" s="1003"/>
      <c r="CB9" s="1003"/>
      <c r="CC9" s="1003"/>
      <c r="CD9" s="1003"/>
      <c r="CE9" s="1003"/>
      <c r="CF9" s="1003"/>
      <c r="CG9" s="1003"/>
      <c r="CH9" s="1003"/>
      <c r="CI9" s="1003"/>
      <c r="CJ9" s="1003"/>
      <c r="CK9" s="1003"/>
      <c r="CL9" s="1003"/>
      <c r="CM9" s="1003"/>
      <c r="CN9" s="1003"/>
      <c r="CO9" s="1003"/>
      <c r="CP9" s="1003"/>
      <c r="CQ9" s="1003"/>
      <c r="CR9" s="1003"/>
      <c r="CS9" s="1003"/>
      <c r="CT9" s="1003"/>
      <c r="CU9" s="1003"/>
      <c r="CV9" s="1003"/>
      <c r="CW9" s="1003"/>
      <c r="CX9" s="1066">
        <f>42907.7*1.04*(6.1/12*3/100+1)</f>
        <v>45304.5</v>
      </c>
      <c r="CY9" s="1003"/>
      <c r="CZ9" s="1003"/>
      <c r="DA9" s="1003"/>
      <c r="DB9" s="1003"/>
      <c r="DC9" s="1003"/>
      <c r="DD9" s="1003"/>
      <c r="DE9" s="1006" t="s">
        <v>1796</v>
      </c>
      <c r="DF9" s="1006" t="s">
        <v>1796</v>
      </c>
      <c r="DG9" s="1006"/>
      <c r="DH9" s="1006"/>
      <c r="DI9" s="1006"/>
      <c r="DJ9" s="1006" t="s">
        <v>1796</v>
      </c>
      <c r="DK9" s="1003"/>
      <c r="DL9" s="1003"/>
      <c r="DM9" s="1005">
        <f>ROUNDUP(7456*1.04,0)</f>
        <v>7755</v>
      </c>
      <c r="DN9" s="1005">
        <f>ROUNDUP(7607*1.04,0)</f>
        <v>7912</v>
      </c>
      <c r="DO9" s="1003"/>
      <c r="DP9" s="1003"/>
      <c r="DQ9" s="1003"/>
      <c r="DR9" s="1003"/>
      <c r="DS9" s="1003"/>
      <c r="DT9" s="1003"/>
      <c r="DU9" s="1007"/>
      <c r="DV9" s="1003"/>
      <c r="DW9" s="1003"/>
      <c r="DX9" s="1003"/>
      <c r="DY9" s="1003"/>
      <c r="DZ9" s="1003"/>
      <c r="EA9" s="1003"/>
      <c r="EB9" s="1003"/>
      <c r="EC9" s="1003"/>
      <c r="ED9" s="1003"/>
      <c r="EE9" s="1003"/>
      <c r="EF9" s="1003"/>
      <c r="EG9" s="1003"/>
      <c r="EH9" s="1003"/>
      <c r="EI9" s="1003"/>
      <c r="EJ9" s="1003"/>
      <c r="EK9" s="1003"/>
      <c r="EL9" s="1003"/>
      <c r="EM9" s="1003"/>
      <c r="EN9" s="1003"/>
      <c r="EO9" s="1003"/>
      <c r="EP9" s="1003">
        <v>8848</v>
      </c>
      <c r="EQ9" s="1003"/>
      <c r="ER9" s="1003">
        <v>11010</v>
      </c>
      <c r="ES9" s="1003"/>
      <c r="ET9" s="1003">
        <v>11108</v>
      </c>
      <c r="EU9" s="1003"/>
      <c r="EV9" s="1003">
        <v>12011</v>
      </c>
      <c r="EW9" s="1003"/>
      <c r="EX9" s="1003">
        <v>13241</v>
      </c>
      <c r="EY9" s="1003"/>
      <c r="EZ9" s="1003">
        <v>15337</v>
      </c>
      <c r="FA9" s="1003"/>
      <c r="FB9" s="1003">
        <v>18443</v>
      </c>
      <c r="FC9" s="1003"/>
      <c r="FD9" s="1003">
        <v>19026</v>
      </c>
      <c r="FE9" s="1003"/>
      <c r="FF9" s="1003">
        <v>17666</v>
      </c>
      <c r="FG9" s="1003"/>
      <c r="FH9" s="1003">
        <v>17000</v>
      </c>
      <c r="FI9" s="1003"/>
      <c r="FJ9" s="1003">
        <v>17000</v>
      </c>
      <c r="FK9" s="1003"/>
      <c r="FL9" s="1003"/>
      <c r="FM9" s="1003"/>
      <c r="FN9" s="1003"/>
      <c r="FO9" s="1003"/>
      <c r="FP9" s="1008"/>
      <c r="FQ9" s="1007"/>
      <c r="FR9" s="1003"/>
      <c r="FS9" s="1007"/>
      <c r="FT9" s="1003"/>
      <c r="FU9" s="1008"/>
      <c r="FV9" s="1008"/>
      <c r="FW9" s="1008"/>
      <c r="FX9" s="1008"/>
      <c r="FY9" s="1008"/>
      <c r="FZ9" s="1008"/>
      <c r="GA9" s="1008"/>
      <c r="GB9" s="1008"/>
      <c r="GC9" s="1008"/>
      <c r="GD9" s="1008"/>
      <c r="GE9" s="1008"/>
      <c r="GF9" s="1008"/>
      <c r="GG9" s="1008"/>
      <c r="GH9" s="1008"/>
      <c r="GI9" s="1008"/>
      <c r="GJ9" s="1008"/>
      <c r="GK9" s="1008"/>
      <c r="GL9" s="1008"/>
      <c r="GM9" s="1009"/>
      <c r="GN9" s="1003"/>
      <c r="GO9" s="1003"/>
      <c r="GP9" s="1008"/>
      <c r="GQ9" s="1008"/>
      <c r="GR9" s="1008"/>
      <c r="GS9" s="1008"/>
      <c r="GT9" s="1008"/>
      <c r="GU9" s="1008"/>
      <c r="GV9" s="1008"/>
      <c r="GW9" s="1008"/>
      <c r="GX9" s="1008"/>
      <c r="GY9" s="1008"/>
      <c r="GZ9" s="1008"/>
      <c r="HA9" s="1008"/>
      <c r="HB9" s="1008"/>
      <c r="HC9" s="1007"/>
      <c r="HD9" s="1003"/>
      <c r="HE9" s="1003"/>
      <c r="HF9" s="1008"/>
      <c r="HG9" s="1008"/>
      <c r="HH9" s="1008"/>
      <c r="HI9" s="1008"/>
      <c r="HJ9" s="1008"/>
      <c r="HK9" s="1008"/>
      <c r="HL9" s="1008"/>
      <c r="HM9" s="1008"/>
      <c r="HN9" s="1008"/>
      <c r="HO9" s="1008"/>
      <c r="HP9" s="1008"/>
      <c r="HQ9" s="1008"/>
      <c r="HR9" s="1008"/>
      <c r="HS9" s="1007"/>
      <c r="HT9" s="1003"/>
      <c r="HU9" s="1003"/>
      <c r="HV9" s="1008"/>
      <c r="HW9" s="1008"/>
      <c r="HX9" s="1008"/>
      <c r="HY9" s="1008"/>
      <c r="HZ9" s="1008"/>
      <c r="IA9" s="1008"/>
      <c r="IB9" s="1008"/>
      <c r="IC9" s="1008"/>
      <c r="ID9" s="1008"/>
      <c r="IE9" s="1008"/>
      <c r="IF9" s="1008"/>
      <c r="IG9" s="1008"/>
      <c r="IH9" s="1008"/>
    </row>
    <row r="10" spans="1:242" ht="18.75" x14ac:dyDescent="0.25">
      <c r="A10" s="1010" t="s">
        <v>1797</v>
      </c>
      <c r="B10" s="1011">
        <f>C10-P10-Q10-R10+T10</f>
        <v>80.52</v>
      </c>
      <c r="C10" s="1011">
        <f>SUM(D10:I10)</f>
        <v>80.52</v>
      </c>
      <c r="D10" s="1012">
        <v>1</v>
      </c>
      <c r="E10" s="1012">
        <v>4.5</v>
      </c>
      <c r="F10" s="1012">
        <v>6.5</v>
      </c>
      <c r="G10" s="1012">
        <v>1</v>
      </c>
      <c r="H10" s="1012">
        <v>8</v>
      </c>
      <c r="I10" s="1014">
        <f>SUM(J10:S10)</f>
        <v>59.52</v>
      </c>
      <c r="J10" s="1020">
        <v>10.56</v>
      </c>
      <c r="K10" s="1020">
        <v>25.56</v>
      </c>
      <c r="L10" s="1020">
        <v>5.1100000000000003</v>
      </c>
      <c r="M10" s="1020">
        <v>0.83</v>
      </c>
      <c r="N10" s="1020">
        <v>1.94</v>
      </c>
      <c r="O10" s="1020"/>
      <c r="P10" s="1020">
        <v>4.4400000000000004</v>
      </c>
      <c r="Q10" s="1020">
        <v>7.22</v>
      </c>
      <c r="R10" s="1020">
        <v>1.1100000000000001</v>
      </c>
      <c r="S10" s="1020">
        <v>2.75</v>
      </c>
      <c r="T10" s="1013">
        <f>U10+V10+W10</f>
        <v>12.77</v>
      </c>
      <c r="U10" s="1013">
        <f>BD10*10/18</f>
        <v>4.4400000000000004</v>
      </c>
      <c r="V10" s="1013">
        <f t="shared" ref="V10:W25" si="2">BE10*10/18</f>
        <v>7.22</v>
      </c>
      <c r="W10" s="1013">
        <f t="shared" si="2"/>
        <v>1.1100000000000001</v>
      </c>
      <c r="X10" s="1013"/>
      <c r="Y10" s="1011">
        <f>SUM(Z10:AE10)</f>
        <v>1812880.69</v>
      </c>
      <c r="Z10" s="1012">
        <v>35067.199999999997</v>
      </c>
      <c r="AA10" s="1014">
        <f t="shared" ref="AA10:AA40" si="3">E10*Z10*0.9</f>
        <v>142022.16</v>
      </c>
      <c r="AB10" s="1015">
        <f>F10*AB$9</f>
        <v>105573</v>
      </c>
      <c r="AC10" s="1015">
        <f>G10*AC$9</f>
        <v>16242</v>
      </c>
      <c r="AD10" s="1015">
        <f>H10*AD$9</f>
        <v>129936</v>
      </c>
      <c r="AE10" s="1015">
        <f>SUM(AF10:AQ10)</f>
        <v>1384040.33</v>
      </c>
      <c r="AF10" s="1015">
        <f t="shared" ref="AF10:AF40" si="4">J10*AF$9*((AR10+AV10+AX10+AZ10+BA10+BB10)/100+1)</f>
        <v>262440.08</v>
      </c>
      <c r="AG10" s="1015">
        <f t="shared" ref="AG10:AG40" si="5">K10*AG$9*((AS10+AW10+AY10+AZ10+BA10+BB10)/100+1)</f>
        <v>657937.24</v>
      </c>
      <c r="AH10" s="1015">
        <f t="shared" ref="AH10:AH40" si="6">L10*AH$9*((AT10+AW10+AY10+AZ10+BA10+BB10)/100+1)</f>
        <v>130686.87</v>
      </c>
      <c r="AI10" s="1015">
        <f t="shared" ref="AI10:AI40" si="7">M10*AI$9*((AU10+AZ10+BA10)/100+1)</f>
        <v>17029.59</v>
      </c>
      <c r="AJ10" s="1015">
        <f t="shared" ref="AJ10:AJ40" si="8">N10*AJ$9*((AU10+AZ10+BA10)/100+1)</f>
        <v>39804.11</v>
      </c>
      <c r="AK10" s="1015">
        <f t="shared" ref="AK10:AK40" si="9">O10*AK$9*((AU10+AZ10+BA10)/100+1)</f>
        <v>0</v>
      </c>
      <c r="AL10" s="1015">
        <f t="shared" ref="AL10:AL40" si="10">U10*AL$9*((AZ10+BA10)/100+1)</f>
        <v>74048.72</v>
      </c>
      <c r="AM10" s="1015">
        <f t="shared" ref="AM10:AM40" si="11">V10*AM$9*((AZ10+BA10)/100+1)</f>
        <v>120412.56</v>
      </c>
      <c r="AN10" s="1015">
        <f t="shared" ref="AN10:AN40" si="12">W10*AN$9*((AZ10+BA10)/100+1)</f>
        <v>18512.18</v>
      </c>
      <c r="AO10" s="1015">
        <f t="shared" ref="AO10:AO40" si="13">S10*AO$9*((AZ10+BA10+BB10)/100+1)</f>
        <v>51886.01</v>
      </c>
      <c r="AP10" s="1015">
        <f>SUM(AF10:AO10)*0.0082192</f>
        <v>11282.97</v>
      </c>
      <c r="AQ10" s="1015"/>
      <c r="AR10" s="1014">
        <f>IF(BD10=0,0,(BH10*BL10/100+BM10*BQ10/100+BR10*BV10/100+BW10*CA10/100)/BD10*100)</f>
        <v>0</v>
      </c>
      <c r="AS10" s="1014">
        <f>IF(BE10=0,0,(BI10*BL10/100+BN10*BQ10/100+BS10*BV10/100+BX10*CA10/100)/BE10*100)</f>
        <v>1.1499999999999999</v>
      </c>
      <c r="AT10" s="1014">
        <f>IF(BF10=0,0,(BJ10*BL10/100+BO10*BQ10/100+BT10*BV10/100+BY10*CA10/100)/BF10*100)</f>
        <v>0</v>
      </c>
      <c r="AU10" s="1023">
        <v>15</v>
      </c>
      <c r="AV10" s="1023">
        <v>20</v>
      </c>
      <c r="AW10" s="1023">
        <v>25</v>
      </c>
      <c r="AX10" s="1023">
        <v>15</v>
      </c>
      <c r="AY10" s="1023">
        <f>(20+15+10)/3</f>
        <v>15</v>
      </c>
      <c r="AZ10" s="1023">
        <v>12</v>
      </c>
      <c r="BA10" s="1023">
        <v>15</v>
      </c>
      <c r="BB10" s="1023">
        <v>10</v>
      </c>
      <c r="BC10" s="1011">
        <f>BH10+BI10+BJ10+BM10+BN10+BO10+BR10+BS10+BT10+BW10+BX10+BY10</f>
        <v>23</v>
      </c>
      <c r="BD10" s="1011">
        <f>BH10+BM10+BR10+BW10</f>
        <v>8</v>
      </c>
      <c r="BE10" s="1011">
        <f t="shared" ref="BE10:BF25" si="14">BI10+BN10+BS10+BX10</f>
        <v>13</v>
      </c>
      <c r="BF10" s="1011">
        <f t="shared" si="14"/>
        <v>2</v>
      </c>
      <c r="BG10" s="1011">
        <f>BK10+BP10+BU10+BZ10+CE10+CJ10+CO10</f>
        <v>602</v>
      </c>
      <c r="BH10" s="1012">
        <v>8</v>
      </c>
      <c r="BI10" s="1012">
        <v>12</v>
      </c>
      <c r="BJ10" s="1012">
        <v>2</v>
      </c>
      <c r="BK10" s="1012">
        <v>588</v>
      </c>
      <c r="BL10" s="1016">
        <v>0</v>
      </c>
      <c r="BM10" s="1012">
        <v>0</v>
      </c>
      <c r="BN10" s="1012">
        <v>1</v>
      </c>
      <c r="BO10" s="1012"/>
      <c r="BP10" s="1012">
        <v>12</v>
      </c>
      <c r="BQ10" s="1016">
        <v>15</v>
      </c>
      <c r="BR10" s="1012"/>
      <c r="BS10" s="1012"/>
      <c r="BT10" s="1012"/>
      <c r="BU10" s="1012"/>
      <c r="BV10" s="1016">
        <v>0</v>
      </c>
      <c r="BW10" s="1012"/>
      <c r="BX10" s="1012"/>
      <c r="BY10" s="1012"/>
      <c r="BZ10" s="1012"/>
      <c r="CA10" s="1016">
        <v>0</v>
      </c>
      <c r="CB10" s="1012">
        <v>0</v>
      </c>
      <c r="CC10" s="1012">
        <v>0</v>
      </c>
      <c r="CD10" s="1012">
        <v>0</v>
      </c>
      <c r="CE10" s="1012">
        <v>0</v>
      </c>
      <c r="CF10" s="1016">
        <v>15</v>
      </c>
      <c r="CG10" s="1012">
        <v>1</v>
      </c>
      <c r="CH10" s="1012">
        <v>1</v>
      </c>
      <c r="CI10" s="1012">
        <v>0</v>
      </c>
      <c r="CJ10" s="1012">
        <v>2</v>
      </c>
      <c r="CK10" s="1016">
        <v>15</v>
      </c>
      <c r="CL10" s="1012">
        <v>0</v>
      </c>
      <c r="CM10" s="1012">
        <v>0</v>
      </c>
      <c r="CN10" s="1012"/>
      <c r="CO10" s="1012">
        <v>0</v>
      </c>
      <c r="CP10" s="1016">
        <v>15</v>
      </c>
      <c r="CQ10" s="1067">
        <v>36.6</v>
      </c>
      <c r="CR10" s="1067">
        <v>1.1000000000000001</v>
      </c>
      <c r="CS10" s="1067">
        <v>329.5</v>
      </c>
      <c r="CT10" s="1018">
        <f>CS10/11*12</f>
        <v>359.5</v>
      </c>
      <c r="CU10" s="1018">
        <f t="shared" ref="CU10:CU41" si="15">(I10-CR10)/CQ10</f>
        <v>1.6</v>
      </c>
      <c r="CV10" s="1032">
        <v>1.6</v>
      </c>
      <c r="CW10" s="1014">
        <f t="shared" ref="CW10:CW40" si="16">(AE10-(AE10/I10*CR10)+(CT10*1000/12))/((I10-CR10)/CV10)</f>
        <v>38025.879999999997</v>
      </c>
      <c r="CX10" s="1017">
        <v>45304.5</v>
      </c>
      <c r="CY10" s="1014">
        <f t="shared" ref="CY10:CY40" si="17">(CX10-CW10)*(I10-CR10)/CV10*12</f>
        <v>3189127.35</v>
      </c>
      <c r="CZ10" s="1020">
        <v>12238.8</v>
      </c>
      <c r="DA10" s="1021">
        <v>48.86139</v>
      </c>
      <c r="DB10" s="1027">
        <v>50</v>
      </c>
      <c r="DC10" s="1033">
        <f>6.1/12*3/100+1</f>
        <v>1.01525</v>
      </c>
      <c r="DD10" s="1011">
        <f>SUM(DE10:DJ10)</f>
        <v>22040255.02</v>
      </c>
      <c r="DE10" s="1014">
        <f t="shared" ref="DE10:DE40" si="18">Z10*12*DC10</f>
        <v>427223.7</v>
      </c>
      <c r="DF10" s="1014">
        <f t="shared" ref="DF10:DF40" si="19">AA10*12*DC10</f>
        <v>1730255.98</v>
      </c>
      <c r="DG10" s="1014">
        <f>AB10*12</f>
        <v>1266876</v>
      </c>
      <c r="DH10" s="1014">
        <f>AC10*12</f>
        <v>194904</v>
      </c>
      <c r="DI10" s="1014">
        <f>AD10*12</f>
        <v>1559232</v>
      </c>
      <c r="DJ10" s="1014">
        <f t="shared" ref="DJ10:DJ40" si="20">AE10*12*DC10</f>
        <v>16861763.34</v>
      </c>
      <c r="DK10" s="1024">
        <f>DH10*0.085</f>
        <v>16566.84</v>
      </c>
      <c r="DL10" s="1024">
        <f t="shared" ref="DL10:DL40" si="21">(D10*CZ10*12+E10*CZ10*0.9*12)</f>
        <v>741671.28</v>
      </c>
      <c r="DM10" s="1024">
        <f t="shared" ref="DM10:DM40" si="22">F10*DM$9*DB10/100*12</f>
        <v>302445</v>
      </c>
      <c r="DN10" s="1024">
        <f t="shared" ref="DN10:DN40" si="23">G10*DN$9*DB10/100*12</f>
        <v>47472</v>
      </c>
      <c r="DO10" s="1024">
        <f>IF((CY10-DJ10*0.05)&gt;0,(CY10-DJ10*0.05),0)</f>
        <v>2346039.1800000002</v>
      </c>
      <c r="DP10" s="1014">
        <f>(DD10+DO10)*5/100</f>
        <v>1219314.71</v>
      </c>
      <c r="DQ10" s="1014">
        <f>(DD10+DO10)*1/100</f>
        <v>243862.94</v>
      </c>
      <c r="DR10" s="1011">
        <f>ROUND(DD10+DK10+DL10+DM10+DN10+DO10+DP10+DQ10,1)</f>
        <v>26957627</v>
      </c>
      <c r="DS10" s="1011">
        <f>ROUND(DR10*0.302,1)</f>
        <v>8141203.4000000004</v>
      </c>
      <c r="DT10" s="1011">
        <f>DR10+DS10</f>
        <v>35098830.399999999</v>
      </c>
      <c r="DU10" s="1025"/>
      <c r="DV10" s="1028">
        <v>1.1072</v>
      </c>
      <c r="DW10" s="1011">
        <f>DY10+EA10+EC10+EE10+EG10+EI10</f>
        <v>352239.83</v>
      </c>
      <c r="DX10" s="1023">
        <v>34364</v>
      </c>
      <c r="DY10" s="1015">
        <f>DX10*DV10</f>
        <v>38047.82</v>
      </c>
      <c r="DZ10" s="1023"/>
      <c r="EA10" s="1015">
        <f>DZ10*DV10</f>
        <v>0</v>
      </c>
      <c r="EB10" s="1023"/>
      <c r="EC10" s="1015">
        <f t="shared" ref="EC10:EC40" si="24">I10*EB$45*DV10</f>
        <v>32788.160000000003</v>
      </c>
      <c r="ED10" s="1023">
        <v>188785.5</v>
      </c>
      <c r="EE10" s="1015">
        <f>ED10*DV10</f>
        <v>209023.31</v>
      </c>
      <c r="EF10" s="1023">
        <v>42950</v>
      </c>
      <c r="EG10" s="1015">
        <f t="shared" ref="EG10:EG40" si="25">I10*EF$45*DV10</f>
        <v>53976.5</v>
      </c>
      <c r="EH10" s="1023">
        <v>0</v>
      </c>
      <c r="EI10" s="1015">
        <f t="shared" ref="EI10:EI40" si="26">I10*EH$45*DV10</f>
        <v>18404.04</v>
      </c>
      <c r="EJ10" s="1011">
        <f>EL10+FK10+FM10+FO10</f>
        <v>1940003.57</v>
      </c>
      <c r="EK10" s="1023"/>
      <c r="EL10" s="1015">
        <f t="shared" ref="EL10:EL40" si="27">BG10*EK$46*DV10</f>
        <v>82037.05</v>
      </c>
      <c r="EM10" s="1023">
        <v>366251.75</v>
      </c>
      <c r="EN10" s="1015">
        <f t="shared" ref="EN10:EN40" si="28">BG10*EM$46*DV10</f>
        <v>399460.73</v>
      </c>
      <c r="EO10" s="1068">
        <v>61</v>
      </c>
      <c r="EP10" s="1015">
        <f>EO10*EP$9/5</f>
        <v>107945.60000000001</v>
      </c>
      <c r="EQ10" s="1068">
        <v>61</v>
      </c>
      <c r="ER10" s="1015">
        <f t="shared" ref="ER10:ER40" si="29">EQ10*ER$9/5</f>
        <v>134322</v>
      </c>
      <c r="ES10" s="1068">
        <v>58</v>
      </c>
      <c r="ET10" s="1015">
        <f t="shared" ref="ET10:ET40" si="30">ES10*ET$9/5</f>
        <v>128852.8</v>
      </c>
      <c r="EU10" s="1068">
        <v>47</v>
      </c>
      <c r="EV10" s="1015">
        <f t="shared" ref="EV10:EV40" si="31">EU10*EV$9/5</f>
        <v>112903.4</v>
      </c>
      <c r="EW10" s="1068">
        <v>62</v>
      </c>
      <c r="EX10" s="1015">
        <f t="shared" ref="EX10:EX40" si="32">EW10*EX$9/5</f>
        <v>164188.4</v>
      </c>
      <c r="EY10" s="1068">
        <v>57</v>
      </c>
      <c r="EZ10" s="1015">
        <f t="shared" ref="EZ10:EZ40" si="33">EY10*EZ$9/5</f>
        <v>174841.8</v>
      </c>
      <c r="FA10" s="1068">
        <v>76</v>
      </c>
      <c r="FB10" s="1015">
        <f t="shared" ref="FB10:FB40" si="34">FA10*FB$9/5</f>
        <v>280333.59999999998</v>
      </c>
      <c r="FC10" s="1068">
        <v>72</v>
      </c>
      <c r="FD10" s="1015">
        <f t="shared" ref="FD10:FD40" si="35">FC10*FD$9/5</f>
        <v>273974.40000000002</v>
      </c>
      <c r="FE10" s="1068">
        <v>59</v>
      </c>
      <c r="FF10" s="1015">
        <f t="shared" ref="FF10:FF40" si="36">FE10*FF$9/5</f>
        <v>208458.8</v>
      </c>
      <c r="FG10" s="1068">
        <v>26</v>
      </c>
      <c r="FH10" s="1015">
        <f t="shared" ref="FH10:FH40" si="37">FG10*FH$9/5</f>
        <v>88400</v>
      </c>
      <c r="FI10" s="1068">
        <v>23</v>
      </c>
      <c r="FJ10" s="1015">
        <f t="shared" ref="FJ10:FJ40" si="38">FI10*FJ$9/5</f>
        <v>78200</v>
      </c>
      <c r="FK10" s="1015">
        <f>EP10+ER10+ET10+EV10+EX10+EZ10+FB10+FD10+FF10+FH10+FJ10</f>
        <v>1752420.8</v>
      </c>
      <c r="FL10" s="1023"/>
      <c r="FM10" s="1015">
        <f t="shared" ref="FM10:FM40" si="39">BG10*FL$46*DV10</f>
        <v>88542.43</v>
      </c>
      <c r="FN10" s="1023">
        <v>14280</v>
      </c>
      <c r="FO10" s="1015">
        <f t="shared" ref="FO10:FO40" si="40">BG10*FN$46*DV10</f>
        <v>17003.29</v>
      </c>
      <c r="FP10" s="1011">
        <f t="shared" ref="FP10:FP40" si="41">DW10+EJ10</f>
        <v>2292243.4</v>
      </c>
      <c r="FQ10" s="1025"/>
      <c r="FR10" s="1011">
        <f>DT10+FP10</f>
        <v>37391073.799999997</v>
      </c>
      <c r="FS10" s="996"/>
      <c r="FT10" s="1029">
        <f>FU10+GB10+GC10+GD10+GE10+GF10+GG10+GH10+GI10+GJ10+GK10+GL10</f>
        <v>37390.9</v>
      </c>
      <c r="FU10" s="1029">
        <f>ROUND(DR10/1000,1)</f>
        <v>26957.599999999999</v>
      </c>
      <c r="FV10" s="1029">
        <f>(DE10+DF10+DL10)/1000</f>
        <v>2899.2</v>
      </c>
      <c r="FW10" s="1029">
        <f>(DG10+DM10)/1000</f>
        <v>1569.3</v>
      </c>
      <c r="FX10" s="1029">
        <f>(DH10+DK10+DN10)/1000</f>
        <v>258.89999999999998</v>
      </c>
      <c r="FY10" s="1029">
        <f>DI10/1000</f>
        <v>1559.2</v>
      </c>
      <c r="FZ10" s="1029">
        <f>(DJ10+DO10)/1000</f>
        <v>19207.8</v>
      </c>
      <c r="GA10" s="1029">
        <f>FU10-FV10-FW10-FX10-FY10-FZ10</f>
        <v>1463.2</v>
      </c>
      <c r="GB10" s="1029">
        <f t="shared" ref="GB10:GB40" si="42">ROUND(DS10/1000,1)</f>
        <v>8141.2</v>
      </c>
      <c r="GC10" s="1029">
        <f>ROUND(DY10/1000,1)</f>
        <v>38</v>
      </c>
      <c r="GD10" s="1029">
        <f>ROUND(EA10/1000,1)</f>
        <v>0</v>
      </c>
      <c r="GE10" s="1029">
        <f>ROUND(EC10/1000,1)</f>
        <v>32.799999999999997</v>
      </c>
      <c r="GF10" s="1029">
        <f>ROUND(EE10/1000,1)</f>
        <v>209</v>
      </c>
      <c r="GG10" s="1029">
        <f>ROUND(EG10/1000,1)</f>
        <v>54</v>
      </c>
      <c r="GH10" s="1029">
        <f>ROUND(EI10/1000,1)</f>
        <v>18.399999999999999</v>
      </c>
      <c r="GI10" s="1029">
        <f>ROUND(EL10/1000,1)</f>
        <v>82</v>
      </c>
      <c r="GJ10" s="1029">
        <f>ROUND(FK10/1000,1)</f>
        <v>1752.4</v>
      </c>
      <c r="GK10" s="1029">
        <f>ROUND(FM10/1000,1)</f>
        <v>88.5</v>
      </c>
      <c r="GL10" s="1029">
        <f>ROUND(FO10/1000,1)</f>
        <v>17</v>
      </c>
      <c r="GM10" s="1069"/>
      <c r="GN10" s="1031">
        <f t="shared" ref="GN10:GN40" si="43">$GN$41</f>
        <v>0.8084192</v>
      </c>
      <c r="GO10" s="1029">
        <f>SUM(GP10:HA10)</f>
        <v>30227.5</v>
      </c>
      <c r="GP10" s="1029">
        <f t="shared" ref="GP10:GP40" si="44">ROUND(FU10*GN10,1)</f>
        <v>21793</v>
      </c>
      <c r="GQ10" s="1029">
        <f t="shared" ref="GQ10:GQ40" si="45">ROUND(GB10*GN10,1)</f>
        <v>6581.5</v>
      </c>
      <c r="GR10" s="1029">
        <f t="shared" ref="GR10:GR40" si="46">ROUND(GC10*GN10,1)</f>
        <v>30.7</v>
      </c>
      <c r="GS10" s="1029">
        <f t="shared" ref="GS10:GS40" si="47">ROUND(GD10*GN10,1)</f>
        <v>0</v>
      </c>
      <c r="GT10" s="1029">
        <f t="shared" ref="GT10:GT40" si="48">ROUND(GE10*GN10,1)</f>
        <v>26.5</v>
      </c>
      <c r="GU10" s="1029">
        <f t="shared" ref="GU10:GU40" si="49">ROUND(GF10*GN10,1)</f>
        <v>169</v>
      </c>
      <c r="GV10" s="1029">
        <f t="shared" ref="GV10:GV40" si="50">ROUND(GG10*GN10,1)</f>
        <v>43.7</v>
      </c>
      <c r="GW10" s="1029">
        <f t="shared" ref="GW10:GW40" si="51">ROUND(GH10*GN10,1)</f>
        <v>14.9</v>
      </c>
      <c r="GX10" s="1029">
        <f t="shared" ref="GX10:GX40" si="52">ROUND(GI10*GN10,1)</f>
        <v>66.3</v>
      </c>
      <c r="GY10" s="1029">
        <f t="shared" ref="GY10:GY40" si="53">ROUND(GJ10*GN10,1)</f>
        <v>1416.7</v>
      </c>
      <c r="GZ10" s="1029">
        <f t="shared" ref="GZ10:GZ40" si="54">ROUND(GK10*GN10,1)</f>
        <v>71.5</v>
      </c>
      <c r="HA10" s="1029">
        <f t="shared" ref="HA10:HA40" si="55">ROUND(GL10*GN10,1)</f>
        <v>13.7</v>
      </c>
      <c r="HB10" s="1029">
        <f t="shared" ref="HB10:HB40" si="56">DO10/1000*1.302*GN10</f>
        <v>2469.4</v>
      </c>
      <c r="HC10" s="996"/>
      <c r="HD10" s="1031">
        <f t="shared" ref="HD10:HD40" si="57">$HD$41</f>
        <v>0.85399429999999998</v>
      </c>
      <c r="HE10" s="1029">
        <f t="shared" ref="HE10:HE40" si="58">SUM(HF10:HQ10)</f>
        <v>31931.5</v>
      </c>
      <c r="HF10" s="1029">
        <f t="shared" ref="HF10:HF40" si="59">ROUND(FU10*HD10,1)</f>
        <v>23021.599999999999</v>
      </c>
      <c r="HG10" s="1029">
        <f t="shared" ref="HG10:HG40" si="60">ROUND(GB10*HD10,1)</f>
        <v>6952.5</v>
      </c>
      <c r="HH10" s="1029">
        <f t="shared" ref="HH10:HH40" si="61">ROUND(GC10*HD10,1)</f>
        <v>32.5</v>
      </c>
      <c r="HI10" s="1029">
        <f t="shared" ref="HI10:HI40" si="62">ROUND(GD10*HD10,1)</f>
        <v>0</v>
      </c>
      <c r="HJ10" s="1029">
        <f t="shared" ref="HJ10:HJ40" si="63">ROUND(GE10*HD10,1)</f>
        <v>28</v>
      </c>
      <c r="HK10" s="1029">
        <f t="shared" ref="HK10:HK40" si="64">ROUND(GF10*HD10,1)</f>
        <v>178.5</v>
      </c>
      <c r="HL10" s="1029">
        <f t="shared" ref="HL10:HL40" si="65">ROUND(GG10*HD10,1)</f>
        <v>46.1</v>
      </c>
      <c r="HM10" s="1029">
        <f t="shared" ref="HM10:HM40" si="66">ROUND(GH10*HD10,1)</f>
        <v>15.7</v>
      </c>
      <c r="HN10" s="1029">
        <f t="shared" ref="HN10:HN40" si="67">ROUND(GI10*HD10,1)</f>
        <v>70</v>
      </c>
      <c r="HO10" s="1029">
        <f t="shared" ref="HO10:HO40" si="68">ROUND(GJ10*HD10,1)</f>
        <v>1496.5</v>
      </c>
      <c r="HP10" s="1029">
        <f t="shared" ref="HP10:HP40" si="69">ROUND(GK10*HD10,1)</f>
        <v>75.599999999999994</v>
      </c>
      <c r="HQ10" s="1029">
        <f t="shared" ref="HQ10:HQ39" si="70">ROUND(GL10*HD10,1)</f>
        <v>14.5</v>
      </c>
      <c r="HR10" s="1029">
        <f t="shared" ref="HR10:HR40" si="71">DO10/1000*1.302*HD10</f>
        <v>2608.6</v>
      </c>
      <c r="HS10" s="996"/>
      <c r="HT10" s="1031">
        <f t="shared" ref="HT10:HT40" si="72">$HT$41</f>
        <v>0.90058660000000001</v>
      </c>
      <c r="HU10" s="1029">
        <f t="shared" ref="HU10:HU40" si="73">SUM(HV10:IG10)</f>
        <v>33673.699999999997</v>
      </c>
      <c r="HV10" s="1029">
        <f t="shared" ref="HV10:HV40" si="74">ROUND(FU10*HT10,1)</f>
        <v>24277.7</v>
      </c>
      <c r="HW10" s="1029">
        <f t="shared" ref="HW10:HW40" si="75">ROUND(GB10*HT10,1)</f>
        <v>7331.9</v>
      </c>
      <c r="HX10" s="1029">
        <f t="shared" ref="HX10:HX40" si="76">ROUND(GC10*HT10,1)</f>
        <v>34.200000000000003</v>
      </c>
      <c r="HY10" s="1029">
        <f t="shared" ref="HY10:HY40" si="77">ROUND(GD10*HT10,1)</f>
        <v>0</v>
      </c>
      <c r="HZ10" s="1029">
        <f t="shared" ref="HZ10:HZ40" si="78">ROUND(GE10*HT10,1)</f>
        <v>29.5</v>
      </c>
      <c r="IA10" s="1029">
        <f t="shared" ref="IA10:IA40" si="79">ROUND(GF10*HT10,1)</f>
        <v>188.2</v>
      </c>
      <c r="IB10" s="1029">
        <f t="shared" ref="IB10:IB40" si="80">ROUND(GG10*HT10,1)</f>
        <v>48.6</v>
      </c>
      <c r="IC10" s="1029">
        <f t="shared" ref="IC10:IC40" si="81">ROUND(GH10*HT10,1)</f>
        <v>16.600000000000001</v>
      </c>
      <c r="ID10" s="1029">
        <f t="shared" ref="ID10:ID40" si="82">ROUND(GI10*HT10,1)</f>
        <v>73.8</v>
      </c>
      <c r="IE10" s="1029">
        <f t="shared" ref="IE10:IE40" si="83">ROUND(GJ10*HT10,1)</f>
        <v>1578.2</v>
      </c>
      <c r="IF10" s="1029">
        <f t="shared" ref="IF10:IF40" si="84">ROUND(GK10*HT10,1)</f>
        <v>79.7</v>
      </c>
      <c r="IG10" s="1029">
        <f t="shared" ref="IG10:IG39" si="85">ROUND(GL10*HT10,1)</f>
        <v>15.3</v>
      </c>
      <c r="IH10" s="1029">
        <f t="shared" ref="IH10:IH40" si="86">DO10/1000*1.302*HT10</f>
        <v>2750.9</v>
      </c>
    </row>
    <row r="11" spans="1:242" ht="18.75" x14ac:dyDescent="0.25">
      <c r="A11" s="1010" t="s">
        <v>1798</v>
      </c>
      <c r="B11" s="1011">
        <f t="shared" ref="B11:B40" si="87">C11-P11-Q11-R11+T11</f>
        <v>140.11000000000001</v>
      </c>
      <c r="C11" s="1011">
        <f t="shared" ref="C11:C40" si="88">SUM(D11:I11)</f>
        <v>140.11000000000001</v>
      </c>
      <c r="D11" s="1012">
        <v>1</v>
      </c>
      <c r="E11" s="1012">
        <v>5.5</v>
      </c>
      <c r="F11" s="1012">
        <v>8.5</v>
      </c>
      <c r="G11" s="1012">
        <v>1</v>
      </c>
      <c r="H11" s="1012">
        <v>15.5</v>
      </c>
      <c r="I11" s="1014">
        <f t="shared" ref="I11:I40" si="89">SUM(J11:S11)</f>
        <v>108.61</v>
      </c>
      <c r="J11" s="1020">
        <v>21.33</v>
      </c>
      <c r="K11" s="1020">
        <v>41.67</v>
      </c>
      <c r="L11" s="1020">
        <v>8.5</v>
      </c>
      <c r="M11" s="1020">
        <v>2.5</v>
      </c>
      <c r="N11" s="1020">
        <v>5.39</v>
      </c>
      <c r="O11" s="1020"/>
      <c r="P11" s="1020">
        <v>8.89</v>
      </c>
      <c r="Q11" s="1020">
        <v>11.11</v>
      </c>
      <c r="R11" s="1020">
        <v>2.2200000000000002</v>
      </c>
      <c r="S11" s="1020">
        <v>7</v>
      </c>
      <c r="T11" s="1013">
        <f t="shared" ref="T11:T40" si="90">U11+V11+W11</f>
        <v>22.22</v>
      </c>
      <c r="U11" s="1013">
        <f t="shared" ref="U11:W40" si="91">BD11*10/18</f>
        <v>8.89</v>
      </c>
      <c r="V11" s="1013">
        <f t="shared" si="2"/>
        <v>11.11</v>
      </c>
      <c r="W11" s="1013">
        <f t="shared" si="2"/>
        <v>2.2200000000000002</v>
      </c>
      <c r="X11" s="1013"/>
      <c r="Y11" s="1011">
        <f t="shared" ref="Y11:Y40" si="92">SUM(Z11:AE11)</f>
        <v>3082975.27</v>
      </c>
      <c r="Z11" s="1012">
        <v>30057.599999999999</v>
      </c>
      <c r="AA11" s="1014">
        <f t="shared" si="3"/>
        <v>148785.12</v>
      </c>
      <c r="AB11" s="1015">
        <f t="shared" ref="AB11:AD40" si="93">F11*AB$9</f>
        <v>138057</v>
      </c>
      <c r="AC11" s="1015">
        <f t="shared" si="93"/>
        <v>16242</v>
      </c>
      <c r="AD11" s="1015">
        <f t="shared" si="93"/>
        <v>251751</v>
      </c>
      <c r="AE11" s="1015">
        <f t="shared" ref="AE11:AE40" si="94">SUM(AF11:AQ11)</f>
        <v>2498082.5499999998</v>
      </c>
      <c r="AF11" s="1015">
        <f t="shared" si="4"/>
        <v>530099.13</v>
      </c>
      <c r="AG11" s="1015">
        <f t="shared" si="5"/>
        <v>1065699</v>
      </c>
      <c r="AH11" s="1015">
        <f t="shared" si="6"/>
        <v>217385.21</v>
      </c>
      <c r="AI11" s="1015">
        <f t="shared" si="7"/>
        <v>51293.95</v>
      </c>
      <c r="AJ11" s="1015">
        <f t="shared" si="8"/>
        <v>110589.75999999999</v>
      </c>
      <c r="AK11" s="1015">
        <f t="shared" si="9"/>
        <v>0</v>
      </c>
      <c r="AL11" s="1015">
        <f t="shared" si="10"/>
        <v>148264.22</v>
      </c>
      <c r="AM11" s="1015">
        <f t="shared" si="11"/>
        <v>185288.58</v>
      </c>
      <c r="AN11" s="1015">
        <f t="shared" si="12"/>
        <v>37024.36</v>
      </c>
      <c r="AO11" s="1015">
        <f t="shared" si="13"/>
        <v>132073.48000000001</v>
      </c>
      <c r="AP11" s="1015">
        <f t="shared" ref="AP11:AP40" si="95">SUM(AF11:AO11)*0.0082192</f>
        <v>20364.86</v>
      </c>
      <c r="AQ11" s="1015"/>
      <c r="AR11" s="1014">
        <f t="shared" ref="AR11:AR40" si="96">IF(BD11=0,0,(BH11*BL11/100+BM11*BQ11/100+BR11*BV11/100+BW11*CA11/100)/BD11*100)</f>
        <v>0</v>
      </c>
      <c r="AS11" s="1014">
        <f t="shared" ref="AS11:AS40" si="97">IF(BE11=0,0,(BI11*BL11/100+BN11*BQ11/100+BS11*BV11/100+BX11*CA11/100)/BE11*100)</f>
        <v>0</v>
      </c>
      <c r="AT11" s="1014">
        <f t="shared" ref="AT11:AT40" si="98">IF(BF11=0,0,(BJ11*BL11/100+BO11*BQ11/100+BT11*BV11/100+BY11*CA11/100)/BF11*100)</f>
        <v>0</v>
      </c>
      <c r="AU11" s="1023">
        <v>15</v>
      </c>
      <c r="AV11" s="1023">
        <v>20</v>
      </c>
      <c r="AW11" s="1023">
        <v>25</v>
      </c>
      <c r="AX11" s="1023">
        <v>15</v>
      </c>
      <c r="AY11" s="1023">
        <f t="shared" ref="AY11:AY40" si="99">(20+15+10)/3</f>
        <v>15</v>
      </c>
      <c r="AZ11" s="1023">
        <v>12</v>
      </c>
      <c r="BA11" s="1023">
        <v>15</v>
      </c>
      <c r="BB11" s="1023">
        <v>10</v>
      </c>
      <c r="BC11" s="1011">
        <f t="shared" ref="BC11:BC40" si="100">BH11+BI11+BJ11+BM11+BN11+BO11+BR11+BS11+BT11+BW11+BX11+BY11</f>
        <v>40</v>
      </c>
      <c r="BD11" s="1011">
        <f t="shared" ref="BD11:BF40" si="101">BH11+BM11+BR11+BW11</f>
        <v>16</v>
      </c>
      <c r="BE11" s="1011">
        <f t="shared" si="14"/>
        <v>20</v>
      </c>
      <c r="BF11" s="1011">
        <f t="shared" si="14"/>
        <v>4</v>
      </c>
      <c r="BG11" s="1011">
        <f t="shared" ref="BG11:BG40" si="102">BK11+BP11+BU11+BZ11+CE11+CJ11+CO11</f>
        <v>1096</v>
      </c>
      <c r="BH11" s="1012">
        <v>16</v>
      </c>
      <c r="BI11" s="1012">
        <v>20</v>
      </c>
      <c r="BJ11" s="1012">
        <v>4</v>
      </c>
      <c r="BK11" s="1012">
        <v>1090</v>
      </c>
      <c r="BL11" s="1016">
        <v>0</v>
      </c>
      <c r="BM11" s="1012">
        <v>0</v>
      </c>
      <c r="BN11" s="1012">
        <v>0</v>
      </c>
      <c r="BO11" s="1012"/>
      <c r="BP11" s="1012">
        <v>0</v>
      </c>
      <c r="BQ11" s="1016">
        <v>15</v>
      </c>
      <c r="BR11" s="1012"/>
      <c r="BS11" s="1012"/>
      <c r="BT11" s="1012"/>
      <c r="BU11" s="1012"/>
      <c r="BV11" s="1016">
        <v>0</v>
      </c>
      <c r="BW11" s="1012"/>
      <c r="BX11" s="1012"/>
      <c r="BY11" s="1012"/>
      <c r="BZ11" s="1012"/>
      <c r="CA11" s="1016">
        <v>0</v>
      </c>
      <c r="CB11" s="1012">
        <v>0</v>
      </c>
      <c r="CC11" s="1012">
        <v>0</v>
      </c>
      <c r="CD11" s="1012">
        <v>0</v>
      </c>
      <c r="CE11" s="1012">
        <v>0</v>
      </c>
      <c r="CF11" s="1016">
        <v>15</v>
      </c>
      <c r="CG11" s="1012">
        <v>3</v>
      </c>
      <c r="CH11" s="1012">
        <v>3</v>
      </c>
      <c r="CI11" s="1012">
        <v>0</v>
      </c>
      <c r="CJ11" s="1012">
        <v>6</v>
      </c>
      <c r="CK11" s="1016">
        <v>15</v>
      </c>
      <c r="CL11" s="1012">
        <v>0</v>
      </c>
      <c r="CM11" s="1012">
        <v>0</v>
      </c>
      <c r="CN11" s="1012"/>
      <c r="CO11" s="1012">
        <v>0</v>
      </c>
      <c r="CP11" s="1016">
        <v>15</v>
      </c>
      <c r="CQ11" s="1067">
        <v>59.5</v>
      </c>
      <c r="CR11" s="1067">
        <v>2.8</v>
      </c>
      <c r="CS11" s="1067">
        <v>189.8</v>
      </c>
      <c r="CT11" s="1018">
        <f t="shared" ref="CT11:CT40" si="103">CS11/11*12</f>
        <v>207.1</v>
      </c>
      <c r="CU11" s="1018">
        <f t="shared" si="15"/>
        <v>1.8</v>
      </c>
      <c r="CV11" s="1019">
        <v>1.7</v>
      </c>
      <c r="CW11" s="1014">
        <f t="shared" si="16"/>
        <v>39378.1</v>
      </c>
      <c r="CX11" s="1017">
        <v>45304.5</v>
      </c>
      <c r="CY11" s="1014">
        <f t="shared" si="17"/>
        <v>4426393.3</v>
      </c>
      <c r="CZ11" s="1020">
        <v>12325.6</v>
      </c>
      <c r="DA11" s="1021">
        <v>49.207920000000001</v>
      </c>
      <c r="DB11" s="1027">
        <v>50</v>
      </c>
      <c r="DC11" s="1033">
        <f t="shared" ref="DC11:DC40" si="104">6.1/12*3/100+1</f>
        <v>1.01525</v>
      </c>
      <c r="DD11" s="1011">
        <f t="shared" ref="DD11:DD40" si="105">SUM(DE11:DJ11)</f>
        <v>37485580.57</v>
      </c>
      <c r="DE11" s="1014">
        <f t="shared" si="18"/>
        <v>366191.74</v>
      </c>
      <c r="DF11" s="1014">
        <f t="shared" si="19"/>
        <v>1812649.12</v>
      </c>
      <c r="DG11" s="1014">
        <f t="shared" ref="DG11:DI40" si="106">AB11*12</f>
        <v>1656684</v>
      </c>
      <c r="DH11" s="1014">
        <f t="shared" si="106"/>
        <v>194904</v>
      </c>
      <c r="DI11" s="1014">
        <f t="shared" si="106"/>
        <v>3021012</v>
      </c>
      <c r="DJ11" s="1014">
        <f t="shared" si="20"/>
        <v>30434139.710000001</v>
      </c>
      <c r="DK11" s="1024">
        <f t="shared" ref="DK11:DK40" si="107">DH11*0.085</f>
        <v>16566.84</v>
      </c>
      <c r="DL11" s="1024">
        <f t="shared" si="21"/>
        <v>880047.84</v>
      </c>
      <c r="DM11" s="1024">
        <f t="shared" si="22"/>
        <v>395505</v>
      </c>
      <c r="DN11" s="1024">
        <f t="shared" si="23"/>
        <v>47472</v>
      </c>
      <c r="DO11" s="1024">
        <f t="shared" ref="DO11:DO40" si="108">IF((CY11-DJ11*0.05)&gt;0,(CY11-DJ11*0.05),0)</f>
        <v>2904686.31</v>
      </c>
      <c r="DP11" s="1014">
        <f t="shared" ref="DP11:DP40" si="109">(DD11+DO11)*5/100</f>
        <v>2019513.34</v>
      </c>
      <c r="DQ11" s="1014">
        <f t="shared" ref="DQ11:DQ40" si="110">(DD11+DO11)*1/100</f>
        <v>403902.67</v>
      </c>
      <c r="DR11" s="1011">
        <f t="shared" ref="DR11:DR40" si="111">ROUND(DD11+DK11+DL11+DM11+DN11+DO11+DP11+DQ11,1)</f>
        <v>44153274.600000001</v>
      </c>
      <c r="DS11" s="1011">
        <f t="shared" ref="DS11:DS40" si="112">ROUND(DR11*0.302,1)</f>
        <v>13334288.9</v>
      </c>
      <c r="DT11" s="1011">
        <f t="shared" ref="DT11:DT40" si="113">DR11+DS11</f>
        <v>57487563.5</v>
      </c>
      <c r="DU11" s="1025"/>
      <c r="DV11" s="1028">
        <v>1.1072</v>
      </c>
      <c r="DW11" s="1011">
        <f t="shared" ref="DW11:DW40" si="114">DY11+EA11+EC11+EE11+EG11+EI11</f>
        <v>419507.49</v>
      </c>
      <c r="DX11" s="1023">
        <v>38000</v>
      </c>
      <c r="DY11" s="1015">
        <f t="shared" ref="DY11:DY40" si="115">DX11*DV11</f>
        <v>42073.599999999999</v>
      </c>
      <c r="DZ11" s="1023"/>
      <c r="EA11" s="1015">
        <f t="shared" ref="EA11:EA40" si="116">DZ11*DV11</f>
        <v>0</v>
      </c>
      <c r="EB11" s="1023">
        <v>24950</v>
      </c>
      <c r="EC11" s="1015">
        <f t="shared" si="24"/>
        <v>59830.67</v>
      </c>
      <c r="ED11" s="1023">
        <v>167563</v>
      </c>
      <c r="EE11" s="1015">
        <f t="shared" ref="EE11:EE40" si="117">ED11*DV11</f>
        <v>185525.75</v>
      </c>
      <c r="EF11" s="1023">
        <v>82673</v>
      </c>
      <c r="EG11" s="1015">
        <f t="shared" si="25"/>
        <v>98494.42</v>
      </c>
      <c r="EH11" s="1023">
        <v>0</v>
      </c>
      <c r="EI11" s="1015">
        <f t="shared" si="26"/>
        <v>33583.050000000003</v>
      </c>
      <c r="EJ11" s="1011">
        <f t="shared" ref="EJ11:EJ40" si="118">EL11+FK11+FM11+FO11</f>
        <v>3404380.03</v>
      </c>
      <c r="EK11" s="1023">
        <v>73056</v>
      </c>
      <c r="EL11" s="1015">
        <f t="shared" si="27"/>
        <v>149356.5</v>
      </c>
      <c r="EM11" s="1023">
        <v>453629</v>
      </c>
      <c r="EN11" s="1015">
        <f t="shared" si="28"/>
        <v>727257.41</v>
      </c>
      <c r="EO11" s="1068">
        <v>128</v>
      </c>
      <c r="EP11" s="1015">
        <f t="shared" ref="EP11:EP40" si="119">EO11*EP$9/5</f>
        <v>226508.79999999999</v>
      </c>
      <c r="EQ11" s="1068">
        <v>130</v>
      </c>
      <c r="ER11" s="1015">
        <f t="shared" si="29"/>
        <v>286260</v>
      </c>
      <c r="ES11" s="1068">
        <v>107</v>
      </c>
      <c r="ET11" s="1015">
        <f t="shared" si="30"/>
        <v>237711.2</v>
      </c>
      <c r="EU11" s="1068">
        <v>126</v>
      </c>
      <c r="EV11" s="1015">
        <f t="shared" si="31"/>
        <v>302677.2</v>
      </c>
      <c r="EW11" s="1068">
        <v>118</v>
      </c>
      <c r="EX11" s="1015">
        <f t="shared" si="32"/>
        <v>312487.59999999998</v>
      </c>
      <c r="EY11" s="1068">
        <v>119</v>
      </c>
      <c r="EZ11" s="1015">
        <f t="shared" si="33"/>
        <v>365020.6</v>
      </c>
      <c r="FA11" s="1068">
        <v>95</v>
      </c>
      <c r="FB11" s="1015">
        <f t="shared" si="34"/>
        <v>350417</v>
      </c>
      <c r="FC11" s="1068">
        <v>102</v>
      </c>
      <c r="FD11" s="1015">
        <f t="shared" si="35"/>
        <v>388130.4</v>
      </c>
      <c r="FE11" s="1068">
        <v>92</v>
      </c>
      <c r="FF11" s="1015">
        <f t="shared" si="36"/>
        <v>325054.40000000002</v>
      </c>
      <c r="FG11" s="1068">
        <v>47</v>
      </c>
      <c r="FH11" s="1015">
        <f t="shared" si="37"/>
        <v>159800</v>
      </c>
      <c r="FI11" s="1068">
        <v>32</v>
      </c>
      <c r="FJ11" s="1015">
        <f t="shared" si="38"/>
        <v>108800</v>
      </c>
      <c r="FK11" s="1015">
        <f t="shared" ref="FK11:FK40" si="120">EP11+ER11+ET11+EV11+EX11+EZ11+FB11+FD11+FF11+FH11+FJ11</f>
        <v>3062867.2</v>
      </c>
      <c r="FL11" s="1023">
        <v>115732.45</v>
      </c>
      <c r="FM11" s="1015">
        <f t="shared" si="39"/>
        <v>161200.17000000001</v>
      </c>
      <c r="FN11" s="1023">
        <v>26625.58</v>
      </c>
      <c r="FO11" s="1015">
        <f t="shared" si="40"/>
        <v>30956.16</v>
      </c>
      <c r="FP11" s="1011">
        <f t="shared" si="41"/>
        <v>3823887.52</v>
      </c>
      <c r="FQ11" s="1025"/>
      <c r="FR11" s="1011">
        <f t="shared" ref="FR11:FR40" si="121">DT11+FP11</f>
        <v>61311451.020000003</v>
      </c>
      <c r="FS11" s="996"/>
      <c r="FT11" s="1029">
        <f>FU11+GB11+GC11+GD11+GE11+GF11+GG11+GH11+GI11+GJ11+GK11+GL11</f>
        <v>61311.6</v>
      </c>
      <c r="FU11" s="1029">
        <f t="shared" ref="FU11:FU40" si="122">ROUND(DR11/1000,1)</f>
        <v>44153.3</v>
      </c>
      <c r="FV11" s="1029">
        <f t="shared" ref="FV11:FV40" si="123">(DE11+DF11+DL11)/1000</f>
        <v>3058.9</v>
      </c>
      <c r="FW11" s="1029">
        <f t="shared" ref="FW11:FW40" si="124">(DG11+DM11)/1000</f>
        <v>2052.1999999999998</v>
      </c>
      <c r="FX11" s="1029">
        <f t="shared" ref="FX11:FX40" si="125">(DH11+DK11+DN11)/1000</f>
        <v>258.89999999999998</v>
      </c>
      <c r="FY11" s="1029">
        <f t="shared" ref="FY11:FY40" si="126">DI11/1000</f>
        <v>3021</v>
      </c>
      <c r="FZ11" s="1029">
        <f t="shared" ref="FZ11:FZ40" si="127">(DJ11+DO11)/1000</f>
        <v>33338.800000000003</v>
      </c>
      <c r="GA11" s="1029">
        <f t="shared" ref="GA11:GA40" si="128">FU11-FV11-FW11-FX11-FY11-FZ11</f>
        <v>2423.5</v>
      </c>
      <c r="GB11" s="1029">
        <f t="shared" si="42"/>
        <v>13334.3</v>
      </c>
      <c r="GC11" s="1029">
        <f t="shared" ref="GC11:GC40" si="129">ROUND(DY11/1000,1)</f>
        <v>42.1</v>
      </c>
      <c r="GD11" s="1029">
        <f t="shared" ref="GD11:GD40" si="130">ROUND(EA11/1000,1)</f>
        <v>0</v>
      </c>
      <c r="GE11" s="1029">
        <f t="shared" ref="GE11:GE40" si="131">ROUND(EC11/1000,1)</f>
        <v>59.8</v>
      </c>
      <c r="GF11" s="1029">
        <f t="shared" ref="GF11:GF40" si="132">ROUND(EE11/1000,1)</f>
        <v>185.5</v>
      </c>
      <c r="GG11" s="1029">
        <f t="shared" ref="GG11:GG40" si="133">ROUND(EG11/1000,1)</f>
        <v>98.5</v>
      </c>
      <c r="GH11" s="1029">
        <f t="shared" ref="GH11:GH40" si="134">ROUND(EI11/1000,1)</f>
        <v>33.6</v>
      </c>
      <c r="GI11" s="1029">
        <f t="shared" ref="GI11:GI40" si="135">ROUND(EL11/1000,1)</f>
        <v>149.4</v>
      </c>
      <c r="GJ11" s="1029">
        <f t="shared" ref="GJ11:GJ40" si="136">ROUND(FK11/1000,1)</f>
        <v>3062.9</v>
      </c>
      <c r="GK11" s="1029">
        <f t="shared" ref="GK11:GK40" si="137">ROUND(FM11/1000,1)</f>
        <v>161.19999999999999</v>
      </c>
      <c r="GL11" s="1029">
        <f t="shared" ref="GL11:GL40" si="138">ROUND(FO11/1000,1)</f>
        <v>31</v>
      </c>
      <c r="GM11" s="1069"/>
      <c r="GN11" s="1031">
        <f t="shared" si="43"/>
        <v>0.8084192</v>
      </c>
      <c r="GO11" s="1029">
        <f t="shared" ref="GO11:GO40" si="139">SUM(GP11:HA11)</f>
        <v>49565.5</v>
      </c>
      <c r="GP11" s="1029">
        <f t="shared" si="44"/>
        <v>35694.400000000001</v>
      </c>
      <c r="GQ11" s="1029">
        <f t="shared" si="45"/>
        <v>10779.7</v>
      </c>
      <c r="GR11" s="1029">
        <f t="shared" si="46"/>
        <v>34</v>
      </c>
      <c r="GS11" s="1029">
        <f t="shared" si="47"/>
        <v>0</v>
      </c>
      <c r="GT11" s="1029">
        <f t="shared" si="48"/>
        <v>48.3</v>
      </c>
      <c r="GU11" s="1029">
        <f t="shared" si="49"/>
        <v>150</v>
      </c>
      <c r="GV11" s="1029">
        <f t="shared" si="50"/>
        <v>79.599999999999994</v>
      </c>
      <c r="GW11" s="1029">
        <f t="shared" si="51"/>
        <v>27.2</v>
      </c>
      <c r="GX11" s="1029">
        <f t="shared" si="52"/>
        <v>120.8</v>
      </c>
      <c r="GY11" s="1029">
        <f t="shared" si="53"/>
        <v>2476.1</v>
      </c>
      <c r="GZ11" s="1029">
        <f t="shared" si="54"/>
        <v>130.30000000000001</v>
      </c>
      <c r="HA11" s="1029">
        <f t="shared" si="55"/>
        <v>25.1</v>
      </c>
      <c r="HB11" s="1029">
        <f t="shared" si="56"/>
        <v>3057.4</v>
      </c>
      <c r="HC11" s="996"/>
      <c r="HD11" s="1031">
        <f t="shared" si="57"/>
        <v>0.85399429999999998</v>
      </c>
      <c r="HE11" s="1029">
        <f t="shared" si="58"/>
        <v>52359.9</v>
      </c>
      <c r="HF11" s="1029">
        <f t="shared" si="59"/>
        <v>37706.699999999997</v>
      </c>
      <c r="HG11" s="1029">
        <f t="shared" si="60"/>
        <v>11387.4</v>
      </c>
      <c r="HH11" s="1029">
        <f t="shared" si="61"/>
        <v>36</v>
      </c>
      <c r="HI11" s="1029">
        <f t="shared" si="62"/>
        <v>0</v>
      </c>
      <c r="HJ11" s="1029">
        <f t="shared" si="63"/>
        <v>51.1</v>
      </c>
      <c r="HK11" s="1029">
        <f t="shared" si="64"/>
        <v>158.4</v>
      </c>
      <c r="HL11" s="1029">
        <f t="shared" si="65"/>
        <v>84.1</v>
      </c>
      <c r="HM11" s="1029">
        <f t="shared" si="66"/>
        <v>28.7</v>
      </c>
      <c r="HN11" s="1029">
        <f t="shared" si="67"/>
        <v>127.6</v>
      </c>
      <c r="HO11" s="1029">
        <f t="shared" si="68"/>
        <v>2615.6999999999998</v>
      </c>
      <c r="HP11" s="1029">
        <f t="shared" si="69"/>
        <v>137.69999999999999</v>
      </c>
      <c r="HQ11" s="1029">
        <f t="shared" si="70"/>
        <v>26.5</v>
      </c>
      <c r="HR11" s="1029">
        <f t="shared" si="71"/>
        <v>3229.7</v>
      </c>
      <c r="HS11" s="996"/>
      <c r="HT11" s="1031">
        <f t="shared" si="72"/>
        <v>0.90058660000000001</v>
      </c>
      <c r="HU11" s="1029">
        <f t="shared" si="73"/>
        <v>55216.5</v>
      </c>
      <c r="HV11" s="1029">
        <f t="shared" si="74"/>
        <v>39763.9</v>
      </c>
      <c r="HW11" s="1029">
        <f t="shared" si="75"/>
        <v>12008.7</v>
      </c>
      <c r="HX11" s="1029">
        <f t="shared" si="76"/>
        <v>37.9</v>
      </c>
      <c r="HY11" s="1029">
        <f t="shared" si="77"/>
        <v>0</v>
      </c>
      <c r="HZ11" s="1029">
        <f t="shared" si="78"/>
        <v>53.9</v>
      </c>
      <c r="IA11" s="1029">
        <f t="shared" si="79"/>
        <v>167.1</v>
      </c>
      <c r="IB11" s="1029">
        <f t="shared" si="80"/>
        <v>88.7</v>
      </c>
      <c r="IC11" s="1029">
        <f t="shared" si="81"/>
        <v>30.3</v>
      </c>
      <c r="ID11" s="1029">
        <f t="shared" si="82"/>
        <v>134.5</v>
      </c>
      <c r="IE11" s="1029">
        <f t="shared" si="83"/>
        <v>2758.4</v>
      </c>
      <c r="IF11" s="1029">
        <f t="shared" si="84"/>
        <v>145.19999999999999</v>
      </c>
      <c r="IG11" s="1029">
        <f t="shared" si="85"/>
        <v>27.9</v>
      </c>
      <c r="IH11" s="1029">
        <f t="shared" si="86"/>
        <v>3405.9</v>
      </c>
    </row>
    <row r="12" spans="1:242" ht="18.75" x14ac:dyDescent="0.25">
      <c r="A12" s="1010" t="s">
        <v>1799</v>
      </c>
      <c r="B12" s="1011">
        <f t="shared" si="87"/>
        <v>104.6</v>
      </c>
      <c r="C12" s="1011">
        <f t="shared" si="88"/>
        <v>104.6</v>
      </c>
      <c r="D12" s="1012">
        <v>1</v>
      </c>
      <c r="E12" s="1012">
        <v>6</v>
      </c>
      <c r="F12" s="1012">
        <v>6.5</v>
      </c>
      <c r="G12" s="1012">
        <v>1</v>
      </c>
      <c r="H12" s="1012">
        <v>10.5</v>
      </c>
      <c r="I12" s="1014">
        <f t="shared" si="89"/>
        <v>79.599999999999994</v>
      </c>
      <c r="J12" s="1020">
        <v>10.67</v>
      </c>
      <c r="K12" s="1020">
        <v>28.89</v>
      </c>
      <c r="L12" s="1020">
        <v>17.440000000000001</v>
      </c>
      <c r="M12" s="1020">
        <v>0.94</v>
      </c>
      <c r="N12" s="1020">
        <v>0.5</v>
      </c>
      <c r="O12" s="1020"/>
      <c r="P12" s="1020">
        <v>4.4400000000000004</v>
      </c>
      <c r="Q12" s="1020">
        <v>7.78</v>
      </c>
      <c r="R12" s="1020">
        <v>4.4400000000000004</v>
      </c>
      <c r="S12" s="1020">
        <v>4.5</v>
      </c>
      <c r="T12" s="1013">
        <f t="shared" si="90"/>
        <v>16.66</v>
      </c>
      <c r="U12" s="1013">
        <f t="shared" si="91"/>
        <v>4.4400000000000004</v>
      </c>
      <c r="V12" s="1013">
        <f t="shared" si="2"/>
        <v>7.78</v>
      </c>
      <c r="W12" s="1013">
        <f t="shared" si="2"/>
        <v>4.4400000000000004</v>
      </c>
      <c r="X12" s="1013"/>
      <c r="Y12" s="1011">
        <f t="shared" si="92"/>
        <v>2358248.2599999998</v>
      </c>
      <c r="Z12" s="1012">
        <v>32562.400000000001</v>
      </c>
      <c r="AA12" s="1014">
        <f t="shared" si="3"/>
        <v>175836.96</v>
      </c>
      <c r="AB12" s="1015">
        <f t="shared" si="93"/>
        <v>105573</v>
      </c>
      <c r="AC12" s="1015">
        <f t="shared" si="93"/>
        <v>16242</v>
      </c>
      <c r="AD12" s="1015">
        <f t="shared" si="93"/>
        <v>170541</v>
      </c>
      <c r="AE12" s="1015">
        <f t="shared" si="94"/>
        <v>1857492.9</v>
      </c>
      <c r="AF12" s="1015">
        <f t="shared" si="4"/>
        <v>265173.83</v>
      </c>
      <c r="AG12" s="1015">
        <f t="shared" si="5"/>
        <v>738853.95</v>
      </c>
      <c r="AH12" s="1015">
        <f t="shared" si="6"/>
        <v>446023.29</v>
      </c>
      <c r="AI12" s="1015">
        <f t="shared" si="7"/>
        <v>19286.53</v>
      </c>
      <c r="AJ12" s="1015">
        <f t="shared" si="8"/>
        <v>10258.790000000001</v>
      </c>
      <c r="AK12" s="1015">
        <f t="shared" si="9"/>
        <v>0</v>
      </c>
      <c r="AL12" s="1015">
        <f t="shared" si="10"/>
        <v>74048.72</v>
      </c>
      <c r="AM12" s="1015">
        <f t="shared" si="11"/>
        <v>129752.04</v>
      </c>
      <c r="AN12" s="1015">
        <f t="shared" si="12"/>
        <v>74048.72</v>
      </c>
      <c r="AO12" s="1015">
        <f t="shared" si="13"/>
        <v>84904.38</v>
      </c>
      <c r="AP12" s="1015">
        <f t="shared" si="95"/>
        <v>15142.65</v>
      </c>
      <c r="AQ12" s="1015"/>
      <c r="AR12" s="1014">
        <f t="shared" si="96"/>
        <v>0</v>
      </c>
      <c r="AS12" s="1014">
        <f t="shared" si="97"/>
        <v>0</v>
      </c>
      <c r="AT12" s="1014">
        <f t="shared" si="98"/>
        <v>0</v>
      </c>
      <c r="AU12" s="1023">
        <v>15</v>
      </c>
      <c r="AV12" s="1023">
        <v>20</v>
      </c>
      <c r="AW12" s="1023">
        <v>25</v>
      </c>
      <c r="AX12" s="1023">
        <v>15</v>
      </c>
      <c r="AY12" s="1023">
        <f t="shared" si="99"/>
        <v>15</v>
      </c>
      <c r="AZ12" s="1023">
        <v>12</v>
      </c>
      <c r="BA12" s="1023">
        <v>15</v>
      </c>
      <c r="BB12" s="1023">
        <v>10</v>
      </c>
      <c r="BC12" s="1011">
        <f t="shared" si="100"/>
        <v>30</v>
      </c>
      <c r="BD12" s="1011">
        <f t="shared" si="101"/>
        <v>8</v>
      </c>
      <c r="BE12" s="1011">
        <f t="shared" si="14"/>
        <v>14</v>
      </c>
      <c r="BF12" s="1011">
        <f t="shared" si="14"/>
        <v>8</v>
      </c>
      <c r="BG12" s="1011">
        <f t="shared" si="102"/>
        <v>864</v>
      </c>
      <c r="BH12" s="1012">
        <v>8</v>
      </c>
      <c r="BI12" s="1012">
        <v>14</v>
      </c>
      <c r="BJ12" s="1012">
        <v>8</v>
      </c>
      <c r="BK12" s="1012">
        <v>861</v>
      </c>
      <c r="BL12" s="1016">
        <v>0</v>
      </c>
      <c r="BM12" s="1012">
        <v>0</v>
      </c>
      <c r="BN12" s="1012">
        <v>0</v>
      </c>
      <c r="BO12" s="1012"/>
      <c r="BP12" s="1012">
        <v>0</v>
      </c>
      <c r="BQ12" s="1016">
        <v>15</v>
      </c>
      <c r="BR12" s="1012"/>
      <c r="BS12" s="1012"/>
      <c r="BT12" s="1012"/>
      <c r="BU12" s="1012"/>
      <c r="BV12" s="1016">
        <v>0</v>
      </c>
      <c r="BW12" s="1012"/>
      <c r="BX12" s="1012"/>
      <c r="BY12" s="1012"/>
      <c r="BZ12" s="1012"/>
      <c r="CA12" s="1016">
        <v>0</v>
      </c>
      <c r="CB12" s="1012">
        <v>0</v>
      </c>
      <c r="CC12" s="1012">
        <v>0</v>
      </c>
      <c r="CD12" s="1012">
        <v>0</v>
      </c>
      <c r="CE12" s="1012">
        <v>0</v>
      </c>
      <c r="CF12" s="1016">
        <v>15</v>
      </c>
      <c r="CG12" s="1012">
        <v>2</v>
      </c>
      <c r="CH12" s="1012">
        <v>1</v>
      </c>
      <c r="CI12" s="1012">
        <v>0</v>
      </c>
      <c r="CJ12" s="1012">
        <v>3</v>
      </c>
      <c r="CK12" s="1016">
        <v>15</v>
      </c>
      <c r="CL12" s="1012">
        <v>0</v>
      </c>
      <c r="CM12" s="1012">
        <v>0</v>
      </c>
      <c r="CN12" s="1012"/>
      <c r="CO12" s="1012">
        <v>0</v>
      </c>
      <c r="CP12" s="1016">
        <v>15</v>
      </c>
      <c r="CQ12" s="1067">
        <v>48.5</v>
      </c>
      <c r="CR12" s="1067">
        <v>6</v>
      </c>
      <c r="CS12" s="1067">
        <v>1653.8</v>
      </c>
      <c r="CT12" s="1018">
        <f t="shared" si="103"/>
        <v>1804.1</v>
      </c>
      <c r="CU12" s="1018">
        <f t="shared" si="15"/>
        <v>1.5</v>
      </c>
      <c r="CV12" s="1032">
        <v>1.5</v>
      </c>
      <c r="CW12" s="1014">
        <f t="shared" si="16"/>
        <v>38067.040000000001</v>
      </c>
      <c r="CX12" s="1017">
        <v>45304.5</v>
      </c>
      <c r="CY12" s="1014">
        <f t="shared" si="17"/>
        <v>4261416.45</v>
      </c>
      <c r="CZ12" s="1020">
        <v>15624</v>
      </c>
      <c r="DA12" s="1021">
        <v>62.376240000000003</v>
      </c>
      <c r="DB12" s="1027">
        <v>50</v>
      </c>
      <c r="DC12" s="1033">
        <f t="shared" si="104"/>
        <v>1.01525</v>
      </c>
      <c r="DD12" s="1011">
        <f t="shared" si="105"/>
        <v>28677037.399999999</v>
      </c>
      <c r="DE12" s="1014">
        <f t="shared" si="18"/>
        <v>396707.72</v>
      </c>
      <c r="DF12" s="1014">
        <f t="shared" si="19"/>
        <v>2142221.6800000002</v>
      </c>
      <c r="DG12" s="1014">
        <f t="shared" si="106"/>
        <v>1266876</v>
      </c>
      <c r="DH12" s="1014">
        <f t="shared" si="106"/>
        <v>194904</v>
      </c>
      <c r="DI12" s="1014">
        <f t="shared" si="106"/>
        <v>2046492</v>
      </c>
      <c r="DJ12" s="1014">
        <f t="shared" si="20"/>
        <v>22629836</v>
      </c>
      <c r="DK12" s="1024">
        <f t="shared" si="107"/>
        <v>16566.84</v>
      </c>
      <c r="DL12" s="1024">
        <f t="shared" si="21"/>
        <v>1199923.2</v>
      </c>
      <c r="DM12" s="1024">
        <f t="shared" si="22"/>
        <v>302445</v>
      </c>
      <c r="DN12" s="1024">
        <f t="shared" si="23"/>
        <v>47472</v>
      </c>
      <c r="DO12" s="1024">
        <f t="shared" si="108"/>
        <v>3129924.65</v>
      </c>
      <c r="DP12" s="1014">
        <f t="shared" si="109"/>
        <v>1590348.1</v>
      </c>
      <c r="DQ12" s="1014">
        <f t="shared" si="110"/>
        <v>318069.62</v>
      </c>
      <c r="DR12" s="1011">
        <f t="shared" si="111"/>
        <v>35281786.799999997</v>
      </c>
      <c r="DS12" s="1011">
        <f t="shared" si="112"/>
        <v>10655099.6</v>
      </c>
      <c r="DT12" s="1011">
        <f t="shared" si="113"/>
        <v>45936886.399999999</v>
      </c>
      <c r="DU12" s="1025"/>
      <c r="DV12" s="1028">
        <v>1.1072</v>
      </c>
      <c r="DW12" s="1011">
        <f t="shared" si="114"/>
        <v>632495.57999999996</v>
      </c>
      <c r="DX12" s="1023">
        <v>86000</v>
      </c>
      <c r="DY12" s="1015">
        <f t="shared" si="115"/>
        <v>95219.199999999997</v>
      </c>
      <c r="DZ12" s="1023"/>
      <c r="EA12" s="1015">
        <f t="shared" si="116"/>
        <v>0</v>
      </c>
      <c r="EB12" s="1023"/>
      <c r="EC12" s="1015">
        <f t="shared" si="24"/>
        <v>43849.75</v>
      </c>
      <c r="ED12" s="1023">
        <v>358225.6</v>
      </c>
      <c r="EE12" s="1015">
        <f t="shared" si="117"/>
        <v>396627.38</v>
      </c>
      <c r="EF12" s="1023">
        <v>74310</v>
      </c>
      <c r="EG12" s="1015">
        <f t="shared" si="25"/>
        <v>72186.31</v>
      </c>
      <c r="EH12" s="1023">
        <v>0</v>
      </c>
      <c r="EI12" s="1015">
        <f t="shared" si="26"/>
        <v>24612.94</v>
      </c>
      <c r="EJ12" s="1011">
        <f t="shared" si="118"/>
        <v>2876741.8</v>
      </c>
      <c r="EK12" s="1023"/>
      <c r="EL12" s="1015">
        <f t="shared" si="27"/>
        <v>117740.89</v>
      </c>
      <c r="EM12" s="1023">
        <v>499041.4</v>
      </c>
      <c r="EN12" s="1015">
        <f t="shared" si="28"/>
        <v>573312.41</v>
      </c>
      <c r="EO12" s="1068">
        <v>62</v>
      </c>
      <c r="EP12" s="1015">
        <f t="shared" si="119"/>
        <v>109715.2</v>
      </c>
      <c r="EQ12" s="1068">
        <v>61</v>
      </c>
      <c r="ER12" s="1015">
        <f t="shared" si="29"/>
        <v>134322</v>
      </c>
      <c r="ES12" s="1068">
        <v>58</v>
      </c>
      <c r="ET12" s="1015">
        <f t="shared" si="30"/>
        <v>128852.8</v>
      </c>
      <c r="EU12" s="1068">
        <v>56</v>
      </c>
      <c r="EV12" s="1015">
        <f t="shared" si="31"/>
        <v>134523.20000000001</v>
      </c>
      <c r="EW12" s="1068">
        <v>87</v>
      </c>
      <c r="EX12" s="1015">
        <f t="shared" si="32"/>
        <v>230393.4</v>
      </c>
      <c r="EY12" s="1068">
        <v>93</v>
      </c>
      <c r="EZ12" s="1015">
        <f t="shared" si="33"/>
        <v>285268.2</v>
      </c>
      <c r="FA12" s="1068">
        <v>64</v>
      </c>
      <c r="FB12" s="1015">
        <f t="shared" si="34"/>
        <v>236070.39999999999</v>
      </c>
      <c r="FC12" s="1068">
        <v>87</v>
      </c>
      <c r="FD12" s="1015">
        <f t="shared" si="35"/>
        <v>331052.40000000002</v>
      </c>
      <c r="FE12" s="1068">
        <v>82</v>
      </c>
      <c r="FF12" s="1015">
        <f t="shared" si="36"/>
        <v>289722.40000000002</v>
      </c>
      <c r="FG12" s="1068">
        <v>113</v>
      </c>
      <c r="FH12" s="1015">
        <f t="shared" si="37"/>
        <v>384200</v>
      </c>
      <c r="FI12" s="1068">
        <v>101</v>
      </c>
      <c r="FJ12" s="1015">
        <f t="shared" si="38"/>
        <v>343400</v>
      </c>
      <c r="FK12" s="1015">
        <f t="shared" si="120"/>
        <v>2607520</v>
      </c>
      <c r="FL12" s="1023"/>
      <c r="FM12" s="1015">
        <f t="shared" si="39"/>
        <v>127077.51</v>
      </c>
      <c r="FN12" s="1023">
        <v>48423</v>
      </c>
      <c r="FO12" s="1015">
        <f t="shared" si="40"/>
        <v>24403.4</v>
      </c>
      <c r="FP12" s="1011">
        <f t="shared" si="41"/>
        <v>3509237.38</v>
      </c>
      <c r="FQ12" s="1025"/>
      <c r="FR12" s="1011">
        <f t="shared" si="121"/>
        <v>49446123.780000001</v>
      </c>
      <c r="FS12" s="996"/>
      <c r="FT12" s="1029">
        <f t="shared" ref="FT12:FT40" si="140">FU12+GB12+GC12+GD12+GE12+GF12+GG12+GH12+GI12+GJ12+GK12+GL12</f>
        <v>49446</v>
      </c>
      <c r="FU12" s="1029">
        <f t="shared" si="122"/>
        <v>35281.800000000003</v>
      </c>
      <c r="FV12" s="1029">
        <f t="shared" si="123"/>
        <v>3738.9</v>
      </c>
      <c r="FW12" s="1029">
        <f t="shared" si="124"/>
        <v>1569.3</v>
      </c>
      <c r="FX12" s="1029">
        <f t="shared" si="125"/>
        <v>258.89999999999998</v>
      </c>
      <c r="FY12" s="1029">
        <f t="shared" si="126"/>
        <v>2046.5</v>
      </c>
      <c r="FZ12" s="1029">
        <f t="shared" si="127"/>
        <v>25759.8</v>
      </c>
      <c r="GA12" s="1029">
        <f t="shared" si="128"/>
        <v>1908.4</v>
      </c>
      <c r="GB12" s="1029">
        <f t="shared" si="42"/>
        <v>10655.1</v>
      </c>
      <c r="GC12" s="1029">
        <f t="shared" si="129"/>
        <v>95.2</v>
      </c>
      <c r="GD12" s="1029">
        <f t="shared" si="130"/>
        <v>0</v>
      </c>
      <c r="GE12" s="1029">
        <f t="shared" si="131"/>
        <v>43.8</v>
      </c>
      <c r="GF12" s="1029">
        <f t="shared" si="132"/>
        <v>396.6</v>
      </c>
      <c r="GG12" s="1029">
        <f t="shared" si="133"/>
        <v>72.2</v>
      </c>
      <c r="GH12" s="1029">
        <f t="shared" si="134"/>
        <v>24.6</v>
      </c>
      <c r="GI12" s="1029">
        <f t="shared" si="135"/>
        <v>117.7</v>
      </c>
      <c r="GJ12" s="1029">
        <f t="shared" si="136"/>
        <v>2607.5</v>
      </c>
      <c r="GK12" s="1029">
        <f t="shared" si="137"/>
        <v>127.1</v>
      </c>
      <c r="GL12" s="1029">
        <f t="shared" si="138"/>
        <v>24.4</v>
      </c>
      <c r="GM12" s="1069"/>
      <c r="GN12" s="1031">
        <f t="shared" si="43"/>
        <v>0.8084192</v>
      </c>
      <c r="GO12" s="1029">
        <f t="shared" si="139"/>
        <v>39973.300000000003</v>
      </c>
      <c r="GP12" s="1029">
        <f t="shared" si="44"/>
        <v>28522.5</v>
      </c>
      <c r="GQ12" s="1029">
        <f t="shared" si="45"/>
        <v>8613.7999999999993</v>
      </c>
      <c r="GR12" s="1029">
        <f t="shared" si="46"/>
        <v>77</v>
      </c>
      <c r="GS12" s="1029">
        <f t="shared" si="47"/>
        <v>0</v>
      </c>
      <c r="GT12" s="1029">
        <f t="shared" si="48"/>
        <v>35.4</v>
      </c>
      <c r="GU12" s="1029">
        <f t="shared" si="49"/>
        <v>320.60000000000002</v>
      </c>
      <c r="GV12" s="1029">
        <f t="shared" si="50"/>
        <v>58.4</v>
      </c>
      <c r="GW12" s="1029">
        <f t="shared" si="51"/>
        <v>19.899999999999999</v>
      </c>
      <c r="GX12" s="1029">
        <f t="shared" si="52"/>
        <v>95.2</v>
      </c>
      <c r="GY12" s="1029">
        <f t="shared" si="53"/>
        <v>2108</v>
      </c>
      <c r="GZ12" s="1029">
        <f t="shared" si="54"/>
        <v>102.8</v>
      </c>
      <c r="HA12" s="1029">
        <f t="shared" si="55"/>
        <v>19.7</v>
      </c>
      <c r="HB12" s="1029">
        <f t="shared" si="56"/>
        <v>3294.4</v>
      </c>
      <c r="HC12" s="996"/>
      <c r="HD12" s="1031">
        <f t="shared" si="57"/>
        <v>0.85399429999999998</v>
      </c>
      <c r="HE12" s="1029">
        <f t="shared" si="58"/>
        <v>42226.6</v>
      </c>
      <c r="HF12" s="1029">
        <f t="shared" si="59"/>
        <v>30130.5</v>
      </c>
      <c r="HG12" s="1029">
        <f t="shared" si="60"/>
        <v>9099.4</v>
      </c>
      <c r="HH12" s="1029">
        <f t="shared" si="61"/>
        <v>81.3</v>
      </c>
      <c r="HI12" s="1029">
        <f t="shared" si="62"/>
        <v>0</v>
      </c>
      <c r="HJ12" s="1029">
        <f t="shared" si="63"/>
        <v>37.4</v>
      </c>
      <c r="HK12" s="1029">
        <f t="shared" si="64"/>
        <v>338.7</v>
      </c>
      <c r="HL12" s="1029">
        <f t="shared" si="65"/>
        <v>61.7</v>
      </c>
      <c r="HM12" s="1029">
        <f t="shared" si="66"/>
        <v>21</v>
      </c>
      <c r="HN12" s="1029">
        <f t="shared" si="67"/>
        <v>100.5</v>
      </c>
      <c r="HO12" s="1029">
        <f t="shared" si="68"/>
        <v>2226.8000000000002</v>
      </c>
      <c r="HP12" s="1029">
        <f t="shared" si="69"/>
        <v>108.5</v>
      </c>
      <c r="HQ12" s="1029">
        <f t="shared" si="70"/>
        <v>20.8</v>
      </c>
      <c r="HR12" s="1029">
        <f t="shared" si="71"/>
        <v>3480.2</v>
      </c>
      <c r="HS12" s="996"/>
      <c r="HT12" s="1031">
        <f t="shared" si="72"/>
        <v>0.90058660000000001</v>
      </c>
      <c r="HU12" s="1029">
        <f t="shared" si="73"/>
        <v>44530.400000000001</v>
      </c>
      <c r="HV12" s="1029">
        <f t="shared" si="74"/>
        <v>31774.3</v>
      </c>
      <c r="HW12" s="1029">
        <f t="shared" si="75"/>
        <v>9595.7999999999993</v>
      </c>
      <c r="HX12" s="1029">
        <f t="shared" si="76"/>
        <v>85.7</v>
      </c>
      <c r="HY12" s="1029">
        <f t="shared" si="77"/>
        <v>0</v>
      </c>
      <c r="HZ12" s="1029">
        <f t="shared" si="78"/>
        <v>39.4</v>
      </c>
      <c r="IA12" s="1029">
        <f t="shared" si="79"/>
        <v>357.2</v>
      </c>
      <c r="IB12" s="1029">
        <f t="shared" si="80"/>
        <v>65</v>
      </c>
      <c r="IC12" s="1029">
        <f t="shared" si="81"/>
        <v>22.2</v>
      </c>
      <c r="ID12" s="1029">
        <f t="shared" si="82"/>
        <v>106</v>
      </c>
      <c r="IE12" s="1029">
        <f t="shared" si="83"/>
        <v>2348.3000000000002</v>
      </c>
      <c r="IF12" s="1029">
        <f t="shared" si="84"/>
        <v>114.5</v>
      </c>
      <c r="IG12" s="1029">
        <f t="shared" si="85"/>
        <v>22</v>
      </c>
      <c r="IH12" s="1029">
        <f t="shared" si="86"/>
        <v>3670</v>
      </c>
    </row>
    <row r="13" spans="1:242" ht="18.75" x14ac:dyDescent="0.25">
      <c r="A13" s="1010" t="s">
        <v>664</v>
      </c>
      <c r="B13" s="1011">
        <f t="shared" si="87"/>
        <v>85.08</v>
      </c>
      <c r="C13" s="1011">
        <f t="shared" si="88"/>
        <v>85.08</v>
      </c>
      <c r="D13" s="1012">
        <v>1</v>
      </c>
      <c r="E13" s="1012">
        <v>4.5</v>
      </c>
      <c r="F13" s="1012">
        <v>7.5</v>
      </c>
      <c r="G13" s="1012">
        <v>1</v>
      </c>
      <c r="H13" s="1012">
        <v>9.5</v>
      </c>
      <c r="I13" s="1014">
        <f t="shared" si="89"/>
        <v>61.58</v>
      </c>
      <c r="J13" s="1020">
        <v>14.06</v>
      </c>
      <c r="K13" s="1020">
        <v>23.78</v>
      </c>
      <c r="L13" s="1020">
        <v>3.67</v>
      </c>
      <c r="M13" s="1020">
        <v>0.83</v>
      </c>
      <c r="N13" s="1020"/>
      <c r="O13" s="1020"/>
      <c r="P13" s="1020">
        <v>6.67</v>
      </c>
      <c r="Q13" s="1020">
        <v>6.11</v>
      </c>
      <c r="R13" s="1020">
        <v>1.1100000000000001</v>
      </c>
      <c r="S13" s="1020">
        <v>5.35</v>
      </c>
      <c r="T13" s="1013">
        <f t="shared" si="90"/>
        <v>13.89</v>
      </c>
      <c r="U13" s="1013">
        <f t="shared" si="91"/>
        <v>6.67</v>
      </c>
      <c r="V13" s="1013">
        <f t="shared" si="2"/>
        <v>6.11</v>
      </c>
      <c r="W13" s="1013">
        <f t="shared" si="2"/>
        <v>1.1100000000000001</v>
      </c>
      <c r="X13" s="1013"/>
      <c r="Y13" s="1011">
        <f t="shared" si="92"/>
        <v>1874505.67</v>
      </c>
      <c r="Z13" s="1012">
        <v>32562.400000000001</v>
      </c>
      <c r="AA13" s="1014">
        <f t="shared" si="3"/>
        <v>131877.72</v>
      </c>
      <c r="AB13" s="1015">
        <f t="shared" si="93"/>
        <v>121815</v>
      </c>
      <c r="AC13" s="1015">
        <f t="shared" si="93"/>
        <v>16242</v>
      </c>
      <c r="AD13" s="1015">
        <f t="shared" si="93"/>
        <v>154299</v>
      </c>
      <c r="AE13" s="1015">
        <f t="shared" si="94"/>
        <v>1417709.55</v>
      </c>
      <c r="AF13" s="1015">
        <f t="shared" si="4"/>
        <v>354501.88</v>
      </c>
      <c r="AG13" s="1015">
        <f t="shared" si="5"/>
        <v>608167.07999999996</v>
      </c>
      <c r="AH13" s="1015">
        <f t="shared" si="6"/>
        <v>93859.26</v>
      </c>
      <c r="AI13" s="1015">
        <f t="shared" si="7"/>
        <v>17029.59</v>
      </c>
      <c r="AJ13" s="1015">
        <f t="shared" si="8"/>
        <v>0</v>
      </c>
      <c r="AK13" s="1015">
        <f t="shared" si="9"/>
        <v>0</v>
      </c>
      <c r="AL13" s="1015">
        <f t="shared" si="10"/>
        <v>111239.86</v>
      </c>
      <c r="AM13" s="1015">
        <f t="shared" si="11"/>
        <v>101900.38</v>
      </c>
      <c r="AN13" s="1015">
        <f t="shared" si="12"/>
        <v>18512.18</v>
      </c>
      <c r="AO13" s="1015">
        <f t="shared" si="13"/>
        <v>100941.87</v>
      </c>
      <c r="AP13" s="1015">
        <f t="shared" si="95"/>
        <v>11557.45</v>
      </c>
      <c r="AQ13" s="1015"/>
      <c r="AR13" s="1014">
        <f t="shared" si="96"/>
        <v>2.5</v>
      </c>
      <c r="AS13" s="1014">
        <f t="shared" si="97"/>
        <v>0</v>
      </c>
      <c r="AT13" s="1014">
        <f t="shared" si="98"/>
        <v>0</v>
      </c>
      <c r="AU13" s="1023">
        <v>15</v>
      </c>
      <c r="AV13" s="1023">
        <v>20</v>
      </c>
      <c r="AW13" s="1023">
        <v>25</v>
      </c>
      <c r="AX13" s="1023">
        <v>15</v>
      </c>
      <c r="AY13" s="1023">
        <f t="shared" si="99"/>
        <v>15</v>
      </c>
      <c r="AZ13" s="1023">
        <v>12</v>
      </c>
      <c r="BA13" s="1023">
        <v>15</v>
      </c>
      <c r="BB13" s="1023">
        <v>10</v>
      </c>
      <c r="BC13" s="1011">
        <f t="shared" si="100"/>
        <v>25</v>
      </c>
      <c r="BD13" s="1011">
        <f t="shared" si="101"/>
        <v>12</v>
      </c>
      <c r="BE13" s="1011">
        <f t="shared" si="14"/>
        <v>11</v>
      </c>
      <c r="BF13" s="1011">
        <f t="shared" si="14"/>
        <v>2</v>
      </c>
      <c r="BG13" s="1011">
        <f t="shared" si="102"/>
        <v>665</v>
      </c>
      <c r="BH13" s="1012">
        <v>10</v>
      </c>
      <c r="BI13" s="1012">
        <v>11</v>
      </c>
      <c r="BJ13" s="1012">
        <v>2</v>
      </c>
      <c r="BK13" s="1012">
        <v>635</v>
      </c>
      <c r="BL13" s="1016">
        <v>0</v>
      </c>
      <c r="BM13" s="1012">
        <v>2</v>
      </c>
      <c r="BN13" s="1012">
        <v>0</v>
      </c>
      <c r="BO13" s="1012"/>
      <c r="BP13" s="1012">
        <v>25</v>
      </c>
      <c r="BQ13" s="1016">
        <v>15</v>
      </c>
      <c r="BR13" s="1012"/>
      <c r="BS13" s="1012"/>
      <c r="BT13" s="1012"/>
      <c r="BU13" s="1012"/>
      <c r="BV13" s="1016">
        <v>0</v>
      </c>
      <c r="BW13" s="1012"/>
      <c r="BX13" s="1012"/>
      <c r="BY13" s="1012"/>
      <c r="BZ13" s="1012"/>
      <c r="CA13" s="1016">
        <v>0</v>
      </c>
      <c r="CB13" s="1012">
        <v>3</v>
      </c>
      <c r="CC13" s="1012">
        <v>0</v>
      </c>
      <c r="CD13" s="1012">
        <v>0</v>
      </c>
      <c r="CE13" s="1012">
        <v>3</v>
      </c>
      <c r="CF13" s="1016">
        <v>15</v>
      </c>
      <c r="CG13" s="1012">
        <v>0</v>
      </c>
      <c r="CH13" s="1012">
        <v>2</v>
      </c>
      <c r="CI13" s="1012">
        <v>0</v>
      </c>
      <c r="CJ13" s="1012">
        <v>2</v>
      </c>
      <c r="CK13" s="1016">
        <v>15</v>
      </c>
      <c r="CL13" s="1012">
        <v>0</v>
      </c>
      <c r="CM13" s="1012">
        <v>0</v>
      </c>
      <c r="CN13" s="1012"/>
      <c r="CO13" s="1012">
        <v>0</v>
      </c>
      <c r="CP13" s="1016">
        <v>15</v>
      </c>
      <c r="CQ13" s="1067">
        <v>32.700000000000003</v>
      </c>
      <c r="CR13" s="1067">
        <v>1.9</v>
      </c>
      <c r="CS13" s="1067">
        <v>239.2</v>
      </c>
      <c r="CT13" s="1018">
        <f t="shared" si="103"/>
        <v>260.89999999999998</v>
      </c>
      <c r="CU13" s="1018">
        <f t="shared" si="15"/>
        <v>1.8</v>
      </c>
      <c r="CV13" s="1019">
        <v>1.7</v>
      </c>
      <c r="CW13" s="1014">
        <f t="shared" si="16"/>
        <v>39757.129999999997</v>
      </c>
      <c r="CX13" s="1017">
        <v>45304.5</v>
      </c>
      <c r="CY13" s="1014">
        <f t="shared" si="17"/>
        <v>2336943.8199999998</v>
      </c>
      <c r="CZ13" s="1020">
        <v>10589.6</v>
      </c>
      <c r="DA13" s="1021">
        <v>42.277230000000003</v>
      </c>
      <c r="DB13" s="1027">
        <v>50</v>
      </c>
      <c r="DC13" s="1033">
        <f t="shared" si="104"/>
        <v>1.01525</v>
      </c>
      <c r="DD13" s="1011">
        <f t="shared" si="105"/>
        <v>22783601.43</v>
      </c>
      <c r="DE13" s="1014">
        <f t="shared" si="18"/>
        <v>396707.72</v>
      </c>
      <c r="DF13" s="1014">
        <f t="shared" si="19"/>
        <v>1606666.26</v>
      </c>
      <c r="DG13" s="1014">
        <f t="shared" si="106"/>
        <v>1461780</v>
      </c>
      <c r="DH13" s="1014">
        <f t="shared" si="106"/>
        <v>194904</v>
      </c>
      <c r="DI13" s="1014">
        <f t="shared" si="106"/>
        <v>1851588</v>
      </c>
      <c r="DJ13" s="1014">
        <f t="shared" si="20"/>
        <v>17271955.449999999</v>
      </c>
      <c r="DK13" s="1024">
        <f t="shared" si="107"/>
        <v>16566.84</v>
      </c>
      <c r="DL13" s="1024">
        <f t="shared" si="21"/>
        <v>641729.76</v>
      </c>
      <c r="DM13" s="1024">
        <f t="shared" si="22"/>
        <v>348975</v>
      </c>
      <c r="DN13" s="1024">
        <f t="shared" si="23"/>
        <v>47472</v>
      </c>
      <c r="DO13" s="1024">
        <f t="shared" si="108"/>
        <v>1473346.05</v>
      </c>
      <c r="DP13" s="1014">
        <f t="shared" si="109"/>
        <v>1212847.3700000001</v>
      </c>
      <c r="DQ13" s="1014">
        <f t="shared" si="110"/>
        <v>242569.47</v>
      </c>
      <c r="DR13" s="1011">
        <f t="shared" si="111"/>
        <v>26767107.899999999</v>
      </c>
      <c r="DS13" s="1011">
        <f t="shared" si="112"/>
        <v>8083666.5999999996</v>
      </c>
      <c r="DT13" s="1011">
        <f t="shared" si="113"/>
        <v>34850774.5</v>
      </c>
      <c r="DU13" s="1025"/>
      <c r="DV13" s="1028">
        <v>1.1072</v>
      </c>
      <c r="DW13" s="1011">
        <f t="shared" si="114"/>
        <v>344090.56</v>
      </c>
      <c r="DX13" s="1023">
        <v>55103.76</v>
      </c>
      <c r="DY13" s="1015">
        <f t="shared" si="115"/>
        <v>61010.879999999997</v>
      </c>
      <c r="DZ13" s="1023"/>
      <c r="EA13" s="1015">
        <f t="shared" si="116"/>
        <v>0</v>
      </c>
      <c r="EB13" s="1023">
        <v>41850</v>
      </c>
      <c r="EC13" s="1015">
        <f t="shared" si="24"/>
        <v>33922.959999999999</v>
      </c>
      <c r="ED13" s="1023">
        <v>157398</v>
      </c>
      <c r="EE13" s="1015">
        <f t="shared" si="117"/>
        <v>174271.07</v>
      </c>
      <c r="EF13" s="1023">
        <v>42540</v>
      </c>
      <c r="EG13" s="1015">
        <f t="shared" si="25"/>
        <v>55844.639999999999</v>
      </c>
      <c r="EH13" s="1023">
        <v>0</v>
      </c>
      <c r="EI13" s="1015">
        <f t="shared" si="26"/>
        <v>19041.009999999998</v>
      </c>
      <c r="EJ13" s="1011">
        <f t="shared" si="118"/>
        <v>2080540.74</v>
      </c>
      <c r="EK13" s="1023">
        <v>42380</v>
      </c>
      <c r="EL13" s="1015">
        <f t="shared" si="27"/>
        <v>90622.33</v>
      </c>
      <c r="EM13" s="1023">
        <v>606511.4</v>
      </c>
      <c r="EN13" s="1015">
        <f t="shared" si="28"/>
        <v>441264.76</v>
      </c>
      <c r="EO13" s="1068">
        <v>69</v>
      </c>
      <c r="EP13" s="1015">
        <f t="shared" si="119"/>
        <v>122102.39999999999</v>
      </c>
      <c r="EQ13" s="1068">
        <v>77</v>
      </c>
      <c r="ER13" s="1015">
        <f t="shared" si="29"/>
        <v>169554</v>
      </c>
      <c r="ES13" s="1068">
        <v>81</v>
      </c>
      <c r="ET13" s="1015">
        <f t="shared" si="30"/>
        <v>179949.6</v>
      </c>
      <c r="EU13" s="1068">
        <v>82</v>
      </c>
      <c r="EV13" s="1015">
        <f t="shared" si="31"/>
        <v>196980.4</v>
      </c>
      <c r="EW13" s="1068">
        <v>57</v>
      </c>
      <c r="EX13" s="1015">
        <f t="shared" si="32"/>
        <v>150947.4</v>
      </c>
      <c r="EY13" s="1068">
        <v>55</v>
      </c>
      <c r="EZ13" s="1015">
        <f t="shared" si="33"/>
        <v>168707</v>
      </c>
      <c r="FA13" s="1068">
        <v>78</v>
      </c>
      <c r="FB13" s="1015">
        <f t="shared" si="34"/>
        <v>287710.8</v>
      </c>
      <c r="FC13" s="1068">
        <v>61</v>
      </c>
      <c r="FD13" s="1015">
        <f t="shared" si="35"/>
        <v>232117.2</v>
      </c>
      <c r="FE13" s="1068">
        <v>62</v>
      </c>
      <c r="FF13" s="1015">
        <f t="shared" si="36"/>
        <v>219058.4</v>
      </c>
      <c r="FG13" s="1068">
        <v>20</v>
      </c>
      <c r="FH13" s="1015">
        <f t="shared" si="37"/>
        <v>68000</v>
      </c>
      <c r="FI13" s="1068">
        <v>23</v>
      </c>
      <c r="FJ13" s="1015">
        <f t="shared" si="38"/>
        <v>78200</v>
      </c>
      <c r="FK13" s="1015">
        <f t="shared" si="120"/>
        <v>1873327.2</v>
      </c>
      <c r="FL13" s="1023">
        <v>38365</v>
      </c>
      <c r="FM13" s="1015">
        <f t="shared" si="39"/>
        <v>97808.5</v>
      </c>
      <c r="FN13" s="1023">
        <v>16231.71</v>
      </c>
      <c r="FO13" s="1015">
        <f t="shared" si="40"/>
        <v>18782.71</v>
      </c>
      <c r="FP13" s="1011">
        <f t="shared" si="41"/>
        <v>2424631.2999999998</v>
      </c>
      <c r="FQ13" s="1025"/>
      <c r="FR13" s="1011">
        <f t="shared" si="121"/>
        <v>37275405.799999997</v>
      </c>
      <c r="FS13" s="996"/>
      <c r="FT13" s="1029">
        <f t="shared" si="140"/>
        <v>37275.300000000003</v>
      </c>
      <c r="FU13" s="1029">
        <f t="shared" si="122"/>
        <v>26767.1</v>
      </c>
      <c r="FV13" s="1029">
        <f t="shared" si="123"/>
        <v>2645.1</v>
      </c>
      <c r="FW13" s="1029">
        <f t="shared" si="124"/>
        <v>1810.8</v>
      </c>
      <c r="FX13" s="1029">
        <f t="shared" si="125"/>
        <v>258.89999999999998</v>
      </c>
      <c r="FY13" s="1029">
        <f t="shared" si="126"/>
        <v>1851.6</v>
      </c>
      <c r="FZ13" s="1029">
        <f t="shared" si="127"/>
        <v>18745.3</v>
      </c>
      <c r="GA13" s="1029">
        <f t="shared" si="128"/>
        <v>1455.4</v>
      </c>
      <c r="GB13" s="1029">
        <f t="shared" si="42"/>
        <v>8083.7</v>
      </c>
      <c r="GC13" s="1029">
        <f t="shared" si="129"/>
        <v>61</v>
      </c>
      <c r="GD13" s="1029">
        <f t="shared" si="130"/>
        <v>0</v>
      </c>
      <c r="GE13" s="1029">
        <f t="shared" si="131"/>
        <v>33.9</v>
      </c>
      <c r="GF13" s="1029">
        <f t="shared" si="132"/>
        <v>174.3</v>
      </c>
      <c r="GG13" s="1029">
        <f t="shared" si="133"/>
        <v>55.8</v>
      </c>
      <c r="GH13" s="1029">
        <f t="shared" si="134"/>
        <v>19</v>
      </c>
      <c r="GI13" s="1029">
        <f t="shared" si="135"/>
        <v>90.6</v>
      </c>
      <c r="GJ13" s="1029">
        <f t="shared" si="136"/>
        <v>1873.3</v>
      </c>
      <c r="GK13" s="1029">
        <f t="shared" si="137"/>
        <v>97.8</v>
      </c>
      <c r="GL13" s="1029">
        <f t="shared" si="138"/>
        <v>18.8</v>
      </c>
      <c r="GM13" s="1069"/>
      <c r="GN13" s="1031">
        <f t="shared" si="43"/>
        <v>0.8084192</v>
      </c>
      <c r="GO13" s="1029">
        <f t="shared" si="139"/>
        <v>30134</v>
      </c>
      <c r="GP13" s="1029">
        <f t="shared" si="44"/>
        <v>21639</v>
      </c>
      <c r="GQ13" s="1029">
        <f t="shared" si="45"/>
        <v>6535</v>
      </c>
      <c r="GR13" s="1029">
        <f t="shared" si="46"/>
        <v>49.3</v>
      </c>
      <c r="GS13" s="1029">
        <f t="shared" si="47"/>
        <v>0</v>
      </c>
      <c r="GT13" s="1029">
        <f t="shared" si="48"/>
        <v>27.4</v>
      </c>
      <c r="GU13" s="1029">
        <f t="shared" si="49"/>
        <v>140.9</v>
      </c>
      <c r="GV13" s="1029">
        <f t="shared" si="50"/>
        <v>45.1</v>
      </c>
      <c r="GW13" s="1029">
        <f t="shared" si="51"/>
        <v>15.4</v>
      </c>
      <c r="GX13" s="1029">
        <f t="shared" si="52"/>
        <v>73.2</v>
      </c>
      <c r="GY13" s="1029">
        <f t="shared" si="53"/>
        <v>1514.4</v>
      </c>
      <c r="GZ13" s="1029">
        <f t="shared" si="54"/>
        <v>79.099999999999994</v>
      </c>
      <c r="HA13" s="1029">
        <f t="shared" si="55"/>
        <v>15.2</v>
      </c>
      <c r="HB13" s="1029">
        <f t="shared" si="56"/>
        <v>1550.8</v>
      </c>
      <c r="HC13" s="996"/>
      <c r="HD13" s="1031">
        <f t="shared" si="57"/>
        <v>0.85399429999999998</v>
      </c>
      <c r="HE13" s="1029">
        <f t="shared" si="58"/>
        <v>31833.1</v>
      </c>
      <c r="HF13" s="1029">
        <f t="shared" si="59"/>
        <v>22859</v>
      </c>
      <c r="HG13" s="1029">
        <f t="shared" si="60"/>
        <v>6903.4</v>
      </c>
      <c r="HH13" s="1029">
        <f t="shared" si="61"/>
        <v>52.1</v>
      </c>
      <c r="HI13" s="1029">
        <f t="shared" si="62"/>
        <v>0</v>
      </c>
      <c r="HJ13" s="1029">
        <f t="shared" si="63"/>
        <v>29</v>
      </c>
      <c r="HK13" s="1029">
        <f t="shared" si="64"/>
        <v>148.9</v>
      </c>
      <c r="HL13" s="1029">
        <f t="shared" si="65"/>
        <v>47.7</v>
      </c>
      <c r="HM13" s="1029">
        <f t="shared" si="66"/>
        <v>16.2</v>
      </c>
      <c r="HN13" s="1029">
        <f t="shared" si="67"/>
        <v>77.400000000000006</v>
      </c>
      <c r="HO13" s="1029">
        <f t="shared" si="68"/>
        <v>1599.8</v>
      </c>
      <c r="HP13" s="1029">
        <f t="shared" si="69"/>
        <v>83.5</v>
      </c>
      <c r="HQ13" s="1029">
        <f t="shared" si="70"/>
        <v>16.100000000000001</v>
      </c>
      <c r="HR13" s="1029">
        <f t="shared" si="71"/>
        <v>1638.2</v>
      </c>
      <c r="HS13" s="996"/>
      <c r="HT13" s="1031">
        <f t="shared" si="72"/>
        <v>0.90058660000000001</v>
      </c>
      <c r="HU13" s="1029">
        <f t="shared" si="73"/>
        <v>33569.699999999997</v>
      </c>
      <c r="HV13" s="1029">
        <f t="shared" si="74"/>
        <v>24106.1</v>
      </c>
      <c r="HW13" s="1029">
        <f t="shared" si="75"/>
        <v>7280.1</v>
      </c>
      <c r="HX13" s="1029">
        <f t="shared" si="76"/>
        <v>54.9</v>
      </c>
      <c r="HY13" s="1029">
        <f t="shared" si="77"/>
        <v>0</v>
      </c>
      <c r="HZ13" s="1029">
        <f t="shared" si="78"/>
        <v>30.5</v>
      </c>
      <c r="IA13" s="1029">
        <f t="shared" si="79"/>
        <v>157</v>
      </c>
      <c r="IB13" s="1029">
        <f t="shared" si="80"/>
        <v>50.3</v>
      </c>
      <c r="IC13" s="1029">
        <f t="shared" si="81"/>
        <v>17.100000000000001</v>
      </c>
      <c r="ID13" s="1029">
        <f t="shared" si="82"/>
        <v>81.599999999999994</v>
      </c>
      <c r="IE13" s="1029">
        <f t="shared" si="83"/>
        <v>1687.1</v>
      </c>
      <c r="IF13" s="1029">
        <f t="shared" si="84"/>
        <v>88.1</v>
      </c>
      <c r="IG13" s="1029">
        <f t="shared" si="85"/>
        <v>16.899999999999999</v>
      </c>
      <c r="IH13" s="1029">
        <f t="shared" si="86"/>
        <v>1727.6</v>
      </c>
    </row>
    <row r="14" spans="1:242" ht="18.75" x14ac:dyDescent="0.25">
      <c r="A14" s="1010" t="s">
        <v>665</v>
      </c>
      <c r="B14" s="1011">
        <f t="shared" si="87"/>
        <v>108.5</v>
      </c>
      <c r="C14" s="1011">
        <f t="shared" si="88"/>
        <v>108.5</v>
      </c>
      <c r="D14" s="1012">
        <v>1</v>
      </c>
      <c r="E14" s="1012">
        <v>5</v>
      </c>
      <c r="F14" s="1012">
        <v>8</v>
      </c>
      <c r="G14" s="1012">
        <v>1</v>
      </c>
      <c r="H14" s="1012">
        <v>9.5</v>
      </c>
      <c r="I14" s="1014">
        <f t="shared" si="89"/>
        <v>84</v>
      </c>
      <c r="J14" s="1020">
        <v>14.62</v>
      </c>
      <c r="K14" s="1020">
        <v>33.06</v>
      </c>
      <c r="L14" s="1020">
        <v>4.54</v>
      </c>
      <c r="M14" s="1020">
        <v>3.23</v>
      </c>
      <c r="N14" s="1020">
        <v>7.39</v>
      </c>
      <c r="O14" s="1020">
        <v>0</v>
      </c>
      <c r="P14" s="1020">
        <v>6.11</v>
      </c>
      <c r="Q14" s="1020">
        <v>9.44</v>
      </c>
      <c r="R14" s="1020">
        <v>1.1100000000000001</v>
      </c>
      <c r="S14" s="1020">
        <v>4.5</v>
      </c>
      <c r="T14" s="1013">
        <f t="shared" si="90"/>
        <v>16.66</v>
      </c>
      <c r="U14" s="1013">
        <f t="shared" si="91"/>
        <v>6.11</v>
      </c>
      <c r="V14" s="1013">
        <f t="shared" si="2"/>
        <v>9.44</v>
      </c>
      <c r="W14" s="1013">
        <f t="shared" si="2"/>
        <v>1.1100000000000001</v>
      </c>
      <c r="X14" s="1013"/>
      <c r="Y14" s="1011">
        <f t="shared" si="92"/>
        <v>2409309.7799999998</v>
      </c>
      <c r="Z14" s="1012">
        <v>32562.400000000001</v>
      </c>
      <c r="AA14" s="1014">
        <f t="shared" si="3"/>
        <v>146530.79999999999</v>
      </c>
      <c r="AB14" s="1015">
        <f t="shared" si="93"/>
        <v>129936</v>
      </c>
      <c r="AC14" s="1015">
        <f t="shared" si="93"/>
        <v>16242</v>
      </c>
      <c r="AD14" s="1015">
        <f t="shared" si="93"/>
        <v>154299</v>
      </c>
      <c r="AE14" s="1015">
        <f t="shared" si="94"/>
        <v>1929739.58</v>
      </c>
      <c r="AF14" s="1015">
        <f t="shared" si="4"/>
        <v>363340.33</v>
      </c>
      <c r="AG14" s="1015">
        <f t="shared" si="5"/>
        <v>853907.81</v>
      </c>
      <c r="AH14" s="1015">
        <f t="shared" si="6"/>
        <v>116109.27</v>
      </c>
      <c r="AI14" s="1015">
        <f t="shared" si="7"/>
        <v>66271.78</v>
      </c>
      <c r="AJ14" s="1015">
        <f t="shared" si="8"/>
        <v>151624.92000000001</v>
      </c>
      <c r="AK14" s="1015">
        <f t="shared" si="9"/>
        <v>0</v>
      </c>
      <c r="AL14" s="1015">
        <f t="shared" si="10"/>
        <v>101900.38</v>
      </c>
      <c r="AM14" s="1015">
        <f t="shared" si="11"/>
        <v>157436.92000000001</v>
      </c>
      <c r="AN14" s="1015">
        <f t="shared" si="12"/>
        <v>18512.18</v>
      </c>
      <c r="AO14" s="1015">
        <f t="shared" si="13"/>
        <v>84904.38</v>
      </c>
      <c r="AP14" s="1015">
        <f t="shared" si="95"/>
        <v>15731.61</v>
      </c>
      <c r="AQ14" s="1015"/>
      <c r="AR14" s="1014">
        <f t="shared" si="96"/>
        <v>0</v>
      </c>
      <c r="AS14" s="1014">
        <f t="shared" si="97"/>
        <v>1.76</v>
      </c>
      <c r="AT14" s="1014">
        <f t="shared" si="98"/>
        <v>0</v>
      </c>
      <c r="AU14" s="1023">
        <v>15</v>
      </c>
      <c r="AV14" s="1023">
        <v>20</v>
      </c>
      <c r="AW14" s="1023">
        <v>25</v>
      </c>
      <c r="AX14" s="1023">
        <v>15</v>
      </c>
      <c r="AY14" s="1023">
        <f t="shared" si="99"/>
        <v>15</v>
      </c>
      <c r="AZ14" s="1023">
        <v>12</v>
      </c>
      <c r="BA14" s="1023">
        <v>15</v>
      </c>
      <c r="BB14" s="1023">
        <v>10</v>
      </c>
      <c r="BC14" s="1011">
        <f t="shared" si="100"/>
        <v>30</v>
      </c>
      <c r="BD14" s="1011">
        <f t="shared" si="101"/>
        <v>11</v>
      </c>
      <c r="BE14" s="1011">
        <f t="shared" si="14"/>
        <v>17</v>
      </c>
      <c r="BF14" s="1011">
        <f t="shared" si="14"/>
        <v>2</v>
      </c>
      <c r="BG14" s="1011">
        <f t="shared" si="102"/>
        <v>951</v>
      </c>
      <c r="BH14" s="1012">
        <v>11</v>
      </c>
      <c r="BI14" s="1012">
        <v>15</v>
      </c>
      <c r="BJ14" s="1012">
        <v>2</v>
      </c>
      <c r="BK14" s="1012">
        <v>921</v>
      </c>
      <c r="BL14" s="1016">
        <v>0</v>
      </c>
      <c r="BM14" s="1012">
        <v>0</v>
      </c>
      <c r="BN14" s="1012">
        <v>2</v>
      </c>
      <c r="BO14" s="1012"/>
      <c r="BP14" s="1012">
        <v>19</v>
      </c>
      <c r="BQ14" s="1016">
        <v>15</v>
      </c>
      <c r="BR14" s="1012"/>
      <c r="BS14" s="1012"/>
      <c r="BT14" s="1012"/>
      <c r="BU14" s="1012"/>
      <c r="BV14" s="1016">
        <v>0</v>
      </c>
      <c r="BW14" s="1012"/>
      <c r="BX14" s="1012"/>
      <c r="BY14" s="1012"/>
      <c r="BZ14" s="1012"/>
      <c r="CA14" s="1016">
        <v>0</v>
      </c>
      <c r="CB14" s="1012">
        <v>0</v>
      </c>
      <c r="CC14" s="1012">
        <v>4</v>
      </c>
      <c r="CD14" s="1012">
        <v>1</v>
      </c>
      <c r="CE14" s="1012">
        <v>5</v>
      </c>
      <c r="CF14" s="1016">
        <v>15</v>
      </c>
      <c r="CG14" s="1012">
        <v>2</v>
      </c>
      <c r="CH14" s="1012">
        <v>4</v>
      </c>
      <c r="CI14" s="1012">
        <v>0</v>
      </c>
      <c r="CJ14" s="1012">
        <v>6</v>
      </c>
      <c r="CK14" s="1016">
        <v>15</v>
      </c>
      <c r="CL14" s="1012">
        <v>0</v>
      </c>
      <c r="CM14" s="1012">
        <v>0</v>
      </c>
      <c r="CN14" s="1012"/>
      <c r="CO14" s="1012">
        <v>0</v>
      </c>
      <c r="CP14" s="1016">
        <v>15</v>
      </c>
      <c r="CQ14" s="1067">
        <v>53.1</v>
      </c>
      <c r="CR14" s="1067">
        <v>3.1</v>
      </c>
      <c r="CS14" s="1067">
        <v>198.3</v>
      </c>
      <c r="CT14" s="1018">
        <f t="shared" si="103"/>
        <v>216.3</v>
      </c>
      <c r="CU14" s="1018">
        <f t="shared" si="15"/>
        <v>1.5</v>
      </c>
      <c r="CV14" s="1032">
        <v>1.5</v>
      </c>
      <c r="CW14" s="1014">
        <f t="shared" si="16"/>
        <v>34793.839999999997</v>
      </c>
      <c r="CX14" s="1017">
        <v>45304.5</v>
      </c>
      <c r="CY14" s="1014">
        <f t="shared" si="17"/>
        <v>6802499.1500000004</v>
      </c>
      <c r="CZ14" s="1020">
        <v>15363.6</v>
      </c>
      <c r="DA14" s="1021">
        <v>61.33663</v>
      </c>
      <c r="DB14" s="1027">
        <v>50</v>
      </c>
      <c r="DC14" s="1033">
        <f t="shared" si="104"/>
        <v>1.01525</v>
      </c>
      <c r="DD14" s="1011">
        <f t="shared" si="105"/>
        <v>29297633.760000002</v>
      </c>
      <c r="DE14" s="1014">
        <f t="shared" si="18"/>
        <v>396707.72</v>
      </c>
      <c r="DF14" s="1014">
        <f t="shared" si="19"/>
        <v>1785184.74</v>
      </c>
      <c r="DG14" s="1014">
        <f t="shared" si="106"/>
        <v>1559232</v>
      </c>
      <c r="DH14" s="1014">
        <f t="shared" si="106"/>
        <v>194904</v>
      </c>
      <c r="DI14" s="1014">
        <f t="shared" si="106"/>
        <v>1851588</v>
      </c>
      <c r="DJ14" s="1014">
        <f t="shared" si="20"/>
        <v>23510017.300000001</v>
      </c>
      <c r="DK14" s="1024">
        <f t="shared" si="107"/>
        <v>16566.84</v>
      </c>
      <c r="DL14" s="1024">
        <f t="shared" si="21"/>
        <v>1013997.6</v>
      </c>
      <c r="DM14" s="1024">
        <f t="shared" si="22"/>
        <v>372240</v>
      </c>
      <c r="DN14" s="1024">
        <f t="shared" si="23"/>
        <v>47472</v>
      </c>
      <c r="DO14" s="1024">
        <f t="shared" si="108"/>
        <v>5626998.29</v>
      </c>
      <c r="DP14" s="1014">
        <f t="shared" si="109"/>
        <v>1746231.6</v>
      </c>
      <c r="DQ14" s="1014">
        <f t="shared" si="110"/>
        <v>349246.32</v>
      </c>
      <c r="DR14" s="1011">
        <f t="shared" si="111"/>
        <v>38470386.399999999</v>
      </c>
      <c r="DS14" s="1011">
        <f t="shared" si="112"/>
        <v>11618056.699999999</v>
      </c>
      <c r="DT14" s="1011">
        <f t="shared" si="113"/>
        <v>50088443.100000001</v>
      </c>
      <c r="DU14" s="1025"/>
      <c r="DV14" s="1028">
        <v>1.1072</v>
      </c>
      <c r="DW14" s="1011">
        <f t="shared" si="114"/>
        <v>606882.15</v>
      </c>
      <c r="DX14" s="1023">
        <v>107042.25</v>
      </c>
      <c r="DY14" s="1015">
        <f t="shared" si="115"/>
        <v>118517.18</v>
      </c>
      <c r="DZ14" s="1023"/>
      <c r="EA14" s="1015">
        <f t="shared" si="116"/>
        <v>0</v>
      </c>
      <c r="EB14" s="1023">
        <v>30000</v>
      </c>
      <c r="EC14" s="1015">
        <f t="shared" si="24"/>
        <v>46273.61</v>
      </c>
      <c r="ED14" s="1023">
        <v>307028</v>
      </c>
      <c r="EE14" s="1015">
        <f t="shared" si="117"/>
        <v>339941.4</v>
      </c>
      <c r="EF14" s="1023">
        <v>100000</v>
      </c>
      <c r="EG14" s="1015">
        <f t="shared" si="25"/>
        <v>76176.509999999995</v>
      </c>
      <c r="EH14" s="1023">
        <v>28169</v>
      </c>
      <c r="EI14" s="1015">
        <f t="shared" si="26"/>
        <v>25973.45</v>
      </c>
      <c r="EJ14" s="1011">
        <f t="shared" si="118"/>
        <v>2966990.33</v>
      </c>
      <c r="EK14" s="1023"/>
      <c r="EL14" s="1015">
        <f t="shared" si="27"/>
        <v>129596.74</v>
      </c>
      <c r="EM14" s="1023">
        <v>400000</v>
      </c>
      <c r="EN14" s="1015">
        <f t="shared" si="28"/>
        <v>631041.79</v>
      </c>
      <c r="EO14" s="1068">
        <v>129</v>
      </c>
      <c r="EP14" s="1015">
        <f t="shared" si="119"/>
        <v>228278.39999999999</v>
      </c>
      <c r="EQ14" s="1068">
        <v>89</v>
      </c>
      <c r="ER14" s="1015">
        <f t="shared" si="29"/>
        <v>195978</v>
      </c>
      <c r="ES14" s="1068">
        <v>68</v>
      </c>
      <c r="ET14" s="1015">
        <f t="shared" si="30"/>
        <v>151068.79999999999</v>
      </c>
      <c r="EU14" s="1068">
        <v>155</v>
      </c>
      <c r="EV14" s="1015">
        <f t="shared" si="31"/>
        <v>372341</v>
      </c>
      <c r="EW14" s="1068">
        <v>80</v>
      </c>
      <c r="EX14" s="1015">
        <f t="shared" si="32"/>
        <v>211856</v>
      </c>
      <c r="EY14" s="1068">
        <v>92</v>
      </c>
      <c r="EZ14" s="1015">
        <f t="shared" si="33"/>
        <v>282200.8</v>
      </c>
      <c r="FA14" s="1068">
        <v>92</v>
      </c>
      <c r="FB14" s="1015">
        <f t="shared" si="34"/>
        <v>339351.2</v>
      </c>
      <c r="FC14" s="1068">
        <v>102</v>
      </c>
      <c r="FD14" s="1015">
        <f t="shared" si="35"/>
        <v>388130.4</v>
      </c>
      <c r="FE14" s="1068">
        <v>89</v>
      </c>
      <c r="FF14" s="1015">
        <f t="shared" si="36"/>
        <v>314454.8</v>
      </c>
      <c r="FG14" s="1068">
        <v>27</v>
      </c>
      <c r="FH14" s="1015">
        <f t="shared" si="37"/>
        <v>91800</v>
      </c>
      <c r="FI14" s="1068">
        <v>28</v>
      </c>
      <c r="FJ14" s="1015">
        <f t="shared" si="38"/>
        <v>95200</v>
      </c>
      <c r="FK14" s="1015">
        <f t="shared" si="120"/>
        <v>2670659.4</v>
      </c>
      <c r="FL14" s="1023">
        <v>219972</v>
      </c>
      <c r="FM14" s="1015">
        <f t="shared" si="39"/>
        <v>139873.51</v>
      </c>
      <c r="FN14" s="1023">
        <v>24849.599999999999</v>
      </c>
      <c r="FO14" s="1015">
        <f t="shared" si="40"/>
        <v>26860.68</v>
      </c>
      <c r="FP14" s="1011">
        <f t="shared" si="41"/>
        <v>3573872.48</v>
      </c>
      <c r="FQ14" s="1025"/>
      <c r="FR14" s="1011">
        <f t="shared" si="121"/>
        <v>53662315.579999998</v>
      </c>
      <c r="FS14" s="996"/>
      <c r="FT14" s="1029">
        <f t="shared" si="140"/>
        <v>53662.5</v>
      </c>
      <c r="FU14" s="1029">
        <f t="shared" si="122"/>
        <v>38470.400000000001</v>
      </c>
      <c r="FV14" s="1029">
        <f t="shared" si="123"/>
        <v>3195.9</v>
      </c>
      <c r="FW14" s="1029">
        <f t="shared" si="124"/>
        <v>1931.5</v>
      </c>
      <c r="FX14" s="1029">
        <f t="shared" si="125"/>
        <v>258.89999999999998</v>
      </c>
      <c r="FY14" s="1029">
        <f t="shared" si="126"/>
        <v>1851.6</v>
      </c>
      <c r="FZ14" s="1029">
        <f t="shared" si="127"/>
        <v>29137</v>
      </c>
      <c r="GA14" s="1029">
        <f t="shared" si="128"/>
        <v>2095.5</v>
      </c>
      <c r="GB14" s="1029">
        <f t="shared" si="42"/>
        <v>11618.1</v>
      </c>
      <c r="GC14" s="1029">
        <f t="shared" si="129"/>
        <v>118.5</v>
      </c>
      <c r="GD14" s="1029">
        <f t="shared" si="130"/>
        <v>0</v>
      </c>
      <c r="GE14" s="1029">
        <f t="shared" si="131"/>
        <v>46.3</v>
      </c>
      <c r="GF14" s="1029">
        <f t="shared" si="132"/>
        <v>339.9</v>
      </c>
      <c r="GG14" s="1029">
        <f t="shared" si="133"/>
        <v>76.2</v>
      </c>
      <c r="GH14" s="1029">
        <f t="shared" si="134"/>
        <v>26</v>
      </c>
      <c r="GI14" s="1029">
        <f t="shared" si="135"/>
        <v>129.6</v>
      </c>
      <c r="GJ14" s="1029">
        <f t="shared" si="136"/>
        <v>2670.7</v>
      </c>
      <c r="GK14" s="1029">
        <f t="shared" si="137"/>
        <v>139.9</v>
      </c>
      <c r="GL14" s="1029">
        <f t="shared" si="138"/>
        <v>26.9</v>
      </c>
      <c r="GM14" s="1069"/>
      <c r="GN14" s="1031">
        <f t="shared" si="43"/>
        <v>0.8084192</v>
      </c>
      <c r="GO14" s="1029">
        <f t="shared" si="139"/>
        <v>43381.7</v>
      </c>
      <c r="GP14" s="1029">
        <f t="shared" si="44"/>
        <v>31100.2</v>
      </c>
      <c r="GQ14" s="1029">
        <f t="shared" si="45"/>
        <v>9392.2999999999993</v>
      </c>
      <c r="GR14" s="1029">
        <f t="shared" si="46"/>
        <v>95.8</v>
      </c>
      <c r="GS14" s="1029">
        <f t="shared" si="47"/>
        <v>0</v>
      </c>
      <c r="GT14" s="1029">
        <f t="shared" si="48"/>
        <v>37.4</v>
      </c>
      <c r="GU14" s="1029">
        <f t="shared" si="49"/>
        <v>274.8</v>
      </c>
      <c r="GV14" s="1029">
        <f t="shared" si="50"/>
        <v>61.6</v>
      </c>
      <c r="GW14" s="1029">
        <f t="shared" si="51"/>
        <v>21</v>
      </c>
      <c r="GX14" s="1029">
        <f t="shared" si="52"/>
        <v>104.8</v>
      </c>
      <c r="GY14" s="1029">
        <f t="shared" si="53"/>
        <v>2159</v>
      </c>
      <c r="GZ14" s="1029">
        <f t="shared" si="54"/>
        <v>113.1</v>
      </c>
      <c r="HA14" s="1029">
        <f t="shared" si="55"/>
        <v>21.7</v>
      </c>
      <c r="HB14" s="1029">
        <f t="shared" si="56"/>
        <v>5922.8</v>
      </c>
      <c r="HC14" s="996"/>
      <c r="HD14" s="1031">
        <f t="shared" si="57"/>
        <v>0.85399429999999998</v>
      </c>
      <c r="HE14" s="1029">
        <f t="shared" si="58"/>
        <v>45827.6</v>
      </c>
      <c r="HF14" s="1029">
        <f t="shared" si="59"/>
        <v>32853.5</v>
      </c>
      <c r="HG14" s="1029">
        <f t="shared" si="60"/>
        <v>9921.7999999999993</v>
      </c>
      <c r="HH14" s="1029">
        <f t="shared" si="61"/>
        <v>101.2</v>
      </c>
      <c r="HI14" s="1029">
        <f t="shared" si="62"/>
        <v>0</v>
      </c>
      <c r="HJ14" s="1029">
        <f t="shared" si="63"/>
        <v>39.5</v>
      </c>
      <c r="HK14" s="1029">
        <f t="shared" si="64"/>
        <v>290.3</v>
      </c>
      <c r="HL14" s="1029">
        <f t="shared" si="65"/>
        <v>65.099999999999994</v>
      </c>
      <c r="HM14" s="1029">
        <f t="shared" si="66"/>
        <v>22.2</v>
      </c>
      <c r="HN14" s="1029">
        <f t="shared" si="67"/>
        <v>110.7</v>
      </c>
      <c r="HO14" s="1029">
        <f t="shared" si="68"/>
        <v>2280.8000000000002</v>
      </c>
      <c r="HP14" s="1029">
        <f t="shared" si="69"/>
        <v>119.5</v>
      </c>
      <c r="HQ14" s="1029">
        <f t="shared" si="70"/>
        <v>23</v>
      </c>
      <c r="HR14" s="1029">
        <f t="shared" si="71"/>
        <v>6256.7</v>
      </c>
      <c r="HS14" s="996"/>
      <c r="HT14" s="1031">
        <f t="shared" si="72"/>
        <v>0.90058660000000001</v>
      </c>
      <c r="HU14" s="1029">
        <f t="shared" si="73"/>
        <v>48327.6</v>
      </c>
      <c r="HV14" s="1029">
        <f t="shared" si="74"/>
        <v>34645.9</v>
      </c>
      <c r="HW14" s="1029">
        <f t="shared" si="75"/>
        <v>10463.1</v>
      </c>
      <c r="HX14" s="1029">
        <f t="shared" si="76"/>
        <v>106.7</v>
      </c>
      <c r="HY14" s="1029">
        <f t="shared" si="77"/>
        <v>0</v>
      </c>
      <c r="HZ14" s="1029">
        <f t="shared" si="78"/>
        <v>41.7</v>
      </c>
      <c r="IA14" s="1029">
        <f t="shared" si="79"/>
        <v>306.10000000000002</v>
      </c>
      <c r="IB14" s="1029">
        <f t="shared" si="80"/>
        <v>68.599999999999994</v>
      </c>
      <c r="IC14" s="1029">
        <f t="shared" si="81"/>
        <v>23.4</v>
      </c>
      <c r="ID14" s="1029">
        <f t="shared" si="82"/>
        <v>116.7</v>
      </c>
      <c r="IE14" s="1029">
        <f t="shared" si="83"/>
        <v>2405.1999999999998</v>
      </c>
      <c r="IF14" s="1029">
        <f t="shared" si="84"/>
        <v>126</v>
      </c>
      <c r="IG14" s="1029">
        <f t="shared" si="85"/>
        <v>24.2</v>
      </c>
      <c r="IH14" s="1029">
        <f t="shared" si="86"/>
        <v>6598</v>
      </c>
    </row>
    <row r="15" spans="1:242" ht="18.75" x14ac:dyDescent="0.25">
      <c r="A15" s="1010" t="s">
        <v>1800</v>
      </c>
      <c r="B15" s="1011">
        <f t="shared" si="87"/>
        <v>95.69</v>
      </c>
      <c r="C15" s="1011">
        <f t="shared" si="88"/>
        <v>95.69</v>
      </c>
      <c r="D15" s="1012">
        <v>1</v>
      </c>
      <c r="E15" s="1012">
        <v>4.5</v>
      </c>
      <c r="F15" s="1012">
        <v>5.5</v>
      </c>
      <c r="G15" s="1012">
        <v>1</v>
      </c>
      <c r="H15" s="1012">
        <v>12</v>
      </c>
      <c r="I15" s="1014">
        <f t="shared" si="89"/>
        <v>71.69</v>
      </c>
      <c r="J15" s="1020">
        <v>16</v>
      </c>
      <c r="K15" s="1020">
        <v>30.89</v>
      </c>
      <c r="L15" s="1020">
        <v>4.4400000000000004</v>
      </c>
      <c r="M15" s="1020">
        <v>0</v>
      </c>
      <c r="N15" s="1020">
        <v>0.8</v>
      </c>
      <c r="O15" s="1020">
        <v>0</v>
      </c>
      <c r="P15" s="1020">
        <v>6.67</v>
      </c>
      <c r="Q15" s="1020">
        <v>7.78</v>
      </c>
      <c r="R15" s="1020">
        <v>1.1100000000000001</v>
      </c>
      <c r="S15" s="1020">
        <v>4</v>
      </c>
      <c r="T15" s="1013">
        <f t="shared" si="90"/>
        <v>15.56</v>
      </c>
      <c r="U15" s="1013">
        <f t="shared" si="91"/>
        <v>6.67</v>
      </c>
      <c r="V15" s="1013">
        <f t="shared" si="2"/>
        <v>7.78</v>
      </c>
      <c r="W15" s="1013">
        <f t="shared" si="2"/>
        <v>1.1100000000000001</v>
      </c>
      <c r="X15" s="1013"/>
      <c r="Y15" s="1011">
        <f t="shared" si="92"/>
        <v>2131080.4</v>
      </c>
      <c r="Z15" s="1012">
        <v>32562.400000000001</v>
      </c>
      <c r="AA15" s="1014">
        <f t="shared" si="3"/>
        <v>131877.72</v>
      </c>
      <c r="AB15" s="1015">
        <f t="shared" si="93"/>
        <v>89331</v>
      </c>
      <c r="AC15" s="1015">
        <f t="shared" si="93"/>
        <v>16242</v>
      </c>
      <c r="AD15" s="1015">
        <f t="shared" si="93"/>
        <v>194904</v>
      </c>
      <c r="AE15" s="1015">
        <f t="shared" si="94"/>
        <v>1666163.28</v>
      </c>
      <c r="AF15" s="1015">
        <f t="shared" si="4"/>
        <v>397636.48</v>
      </c>
      <c r="AG15" s="1015">
        <f t="shared" si="5"/>
        <v>790003.41</v>
      </c>
      <c r="AH15" s="1015">
        <f t="shared" si="6"/>
        <v>113551.8</v>
      </c>
      <c r="AI15" s="1015">
        <f t="shared" si="7"/>
        <v>0</v>
      </c>
      <c r="AJ15" s="1015">
        <f t="shared" si="8"/>
        <v>16414.060000000001</v>
      </c>
      <c r="AK15" s="1015">
        <f t="shared" si="9"/>
        <v>0</v>
      </c>
      <c r="AL15" s="1015">
        <f t="shared" si="10"/>
        <v>111239.86</v>
      </c>
      <c r="AM15" s="1015">
        <f t="shared" si="11"/>
        <v>129752.04</v>
      </c>
      <c r="AN15" s="1015">
        <f t="shared" si="12"/>
        <v>18512.18</v>
      </c>
      <c r="AO15" s="1015">
        <f t="shared" si="13"/>
        <v>75470.559999999998</v>
      </c>
      <c r="AP15" s="1015">
        <f t="shared" si="95"/>
        <v>13582.89</v>
      </c>
      <c r="AQ15" s="1015"/>
      <c r="AR15" s="1014">
        <f t="shared" si="96"/>
        <v>0</v>
      </c>
      <c r="AS15" s="1014">
        <f t="shared" si="97"/>
        <v>0</v>
      </c>
      <c r="AT15" s="1014">
        <f t="shared" si="98"/>
        <v>0</v>
      </c>
      <c r="AU15" s="1023">
        <v>15</v>
      </c>
      <c r="AV15" s="1023">
        <v>20</v>
      </c>
      <c r="AW15" s="1023">
        <v>25</v>
      </c>
      <c r="AX15" s="1023">
        <v>15</v>
      </c>
      <c r="AY15" s="1023">
        <f t="shared" si="99"/>
        <v>15</v>
      </c>
      <c r="AZ15" s="1023">
        <v>12</v>
      </c>
      <c r="BA15" s="1023">
        <v>15</v>
      </c>
      <c r="BB15" s="1023">
        <v>10</v>
      </c>
      <c r="BC15" s="1011">
        <f t="shared" si="100"/>
        <v>28</v>
      </c>
      <c r="BD15" s="1011">
        <f t="shared" si="101"/>
        <v>12</v>
      </c>
      <c r="BE15" s="1011">
        <f t="shared" si="14"/>
        <v>14</v>
      </c>
      <c r="BF15" s="1011">
        <f t="shared" si="14"/>
        <v>2</v>
      </c>
      <c r="BG15" s="1011">
        <f t="shared" si="102"/>
        <v>744</v>
      </c>
      <c r="BH15" s="1012">
        <v>12</v>
      </c>
      <c r="BI15" s="1012">
        <v>14</v>
      </c>
      <c r="BJ15" s="1012">
        <v>2</v>
      </c>
      <c r="BK15" s="1012">
        <v>743</v>
      </c>
      <c r="BL15" s="1016">
        <v>0</v>
      </c>
      <c r="BM15" s="1012">
        <v>0</v>
      </c>
      <c r="BN15" s="1012">
        <v>0</v>
      </c>
      <c r="BO15" s="1012"/>
      <c r="BP15" s="1012">
        <v>0</v>
      </c>
      <c r="BQ15" s="1016">
        <v>15</v>
      </c>
      <c r="BR15" s="1012"/>
      <c r="BS15" s="1012"/>
      <c r="BT15" s="1012"/>
      <c r="BU15" s="1012"/>
      <c r="BV15" s="1016">
        <v>0</v>
      </c>
      <c r="BW15" s="1012"/>
      <c r="BX15" s="1012"/>
      <c r="BY15" s="1012"/>
      <c r="BZ15" s="1012"/>
      <c r="CA15" s="1016">
        <v>0</v>
      </c>
      <c r="CB15" s="1012">
        <v>0</v>
      </c>
      <c r="CC15" s="1012">
        <v>0</v>
      </c>
      <c r="CD15" s="1012">
        <v>0</v>
      </c>
      <c r="CE15" s="1012">
        <v>0</v>
      </c>
      <c r="CF15" s="1016">
        <v>15</v>
      </c>
      <c r="CG15" s="1012">
        <v>0</v>
      </c>
      <c r="CH15" s="1012">
        <v>1</v>
      </c>
      <c r="CI15" s="1012">
        <v>0</v>
      </c>
      <c r="CJ15" s="1012">
        <v>1</v>
      </c>
      <c r="CK15" s="1016">
        <v>15</v>
      </c>
      <c r="CL15" s="1012">
        <v>0</v>
      </c>
      <c r="CM15" s="1012">
        <v>0</v>
      </c>
      <c r="CN15" s="1012"/>
      <c r="CO15" s="1012">
        <v>0</v>
      </c>
      <c r="CP15" s="1016">
        <v>15</v>
      </c>
      <c r="CQ15" s="1067">
        <v>36.799999999999997</v>
      </c>
      <c r="CR15" s="1067">
        <v>1.9</v>
      </c>
      <c r="CS15" s="1067">
        <v>89.6</v>
      </c>
      <c r="CT15" s="1018">
        <f t="shared" si="103"/>
        <v>97.7</v>
      </c>
      <c r="CU15" s="1018">
        <f t="shared" si="15"/>
        <v>1.9</v>
      </c>
      <c r="CV15" s="1019">
        <v>1.7</v>
      </c>
      <c r="CW15" s="1014">
        <f t="shared" si="16"/>
        <v>39708.400000000001</v>
      </c>
      <c r="CX15" s="1017">
        <v>45304.5</v>
      </c>
      <c r="CY15" s="1014">
        <f t="shared" si="17"/>
        <v>2756836.37</v>
      </c>
      <c r="CZ15" s="1020">
        <v>14408.8</v>
      </c>
      <c r="DA15" s="1021">
        <v>57.524749999999997</v>
      </c>
      <c r="DB15" s="1027">
        <v>50</v>
      </c>
      <c r="DC15" s="1033">
        <f t="shared" si="104"/>
        <v>1.01525</v>
      </c>
      <c r="DD15" s="1011">
        <f t="shared" si="105"/>
        <v>25907965.219999999</v>
      </c>
      <c r="DE15" s="1014">
        <f t="shared" si="18"/>
        <v>396707.72</v>
      </c>
      <c r="DF15" s="1014">
        <f t="shared" si="19"/>
        <v>1606666.26</v>
      </c>
      <c r="DG15" s="1014">
        <f t="shared" si="106"/>
        <v>1071972</v>
      </c>
      <c r="DH15" s="1014">
        <f t="shared" si="106"/>
        <v>194904</v>
      </c>
      <c r="DI15" s="1014">
        <f t="shared" si="106"/>
        <v>2338848</v>
      </c>
      <c r="DJ15" s="1014">
        <f t="shared" si="20"/>
        <v>20298867.239999998</v>
      </c>
      <c r="DK15" s="1024">
        <f t="shared" si="107"/>
        <v>16566.84</v>
      </c>
      <c r="DL15" s="1024">
        <f t="shared" si="21"/>
        <v>873173.28</v>
      </c>
      <c r="DM15" s="1024">
        <f t="shared" si="22"/>
        <v>255915</v>
      </c>
      <c r="DN15" s="1024">
        <f t="shared" si="23"/>
        <v>47472</v>
      </c>
      <c r="DO15" s="1024">
        <f t="shared" si="108"/>
        <v>1741893.01</v>
      </c>
      <c r="DP15" s="1014">
        <f t="shared" si="109"/>
        <v>1382492.91</v>
      </c>
      <c r="DQ15" s="1014">
        <f t="shared" si="110"/>
        <v>276498.58</v>
      </c>
      <c r="DR15" s="1011">
        <f t="shared" si="111"/>
        <v>30501976.800000001</v>
      </c>
      <c r="DS15" s="1011">
        <f t="shared" si="112"/>
        <v>9211597</v>
      </c>
      <c r="DT15" s="1011">
        <f t="shared" si="113"/>
        <v>39713573.799999997</v>
      </c>
      <c r="DU15" s="1025"/>
      <c r="DV15" s="1028">
        <v>1.1072</v>
      </c>
      <c r="DW15" s="1011">
        <f t="shared" si="114"/>
        <v>496087.6</v>
      </c>
      <c r="DX15" s="1023">
        <v>70000</v>
      </c>
      <c r="DY15" s="1015">
        <f t="shared" si="115"/>
        <v>77504</v>
      </c>
      <c r="DZ15" s="1023"/>
      <c r="EA15" s="1015">
        <f t="shared" si="116"/>
        <v>0</v>
      </c>
      <c r="EB15" s="1023">
        <v>50000</v>
      </c>
      <c r="EC15" s="1015">
        <f t="shared" si="24"/>
        <v>39492.32</v>
      </c>
      <c r="ED15" s="1023">
        <v>263648.08</v>
      </c>
      <c r="EE15" s="1015">
        <f t="shared" si="117"/>
        <v>291911.15000000002</v>
      </c>
      <c r="EF15" s="1023">
        <v>80000</v>
      </c>
      <c r="EG15" s="1015">
        <f t="shared" si="25"/>
        <v>65013.03</v>
      </c>
      <c r="EH15" s="1023">
        <v>0</v>
      </c>
      <c r="EI15" s="1015">
        <f t="shared" si="26"/>
        <v>22167.1</v>
      </c>
      <c r="EJ15" s="1011">
        <f t="shared" si="118"/>
        <v>2294888.2799999998</v>
      </c>
      <c r="EK15" s="1023"/>
      <c r="EL15" s="1015">
        <f t="shared" si="27"/>
        <v>101387.99</v>
      </c>
      <c r="EM15" s="1023">
        <v>404151</v>
      </c>
      <c r="EN15" s="1015">
        <f t="shared" si="28"/>
        <v>493685.69</v>
      </c>
      <c r="EO15" s="1068">
        <v>86</v>
      </c>
      <c r="EP15" s="1015">
        <f t="shared" si="119"/>
        <v>152185.60000000001</v>
      </c>
      <c r="EQ15" s="1068">
        <v>93</v>
      </c>
      <c r="ER15" s="1015">
        <f t="shared" si="29"/>
        <v>204786</v>
      </c>
      <c r="ES15" s="1068">
        <v>85</v>
      </c>
      <c r="ET15" s="1015">
        <f t="shared" si="30"/>
        <v>188836</v>
      </c>
      <c r="EU15" s="1068">
        <v>83</v>
      </c>
      <c r="EV15" s="1015">
        <f t="shared" si="31"/>
        <v>199382.6</v>
      </c>
      <c r="EW15" s="1068">
        <v>83</v>
      </c>
      <c r="EX15" s="1015">
        <f t="shared" si="32"/>
        <v>219800.6</v>
      </c>
      <c r="EY15" s="1068">
        <v>83</v>
      </c>
      <c r="EZ15" s="1015">
        <f t="shared" si="33"/>
        <v>254594.2</v>
      </c>
      <c r="FA15" s="1068">
        <v>77</v>
      </c>
      <c r="FB15" s="1015">
        <f t="shared" si="34"/>
        <v>284022.2</v>
      </c>
      <c r="FC15" s="1068">
        <v>75</v>
      </c>
      <c r="FD15" s="1015">
        <f t="shared" si="35"/>
        <v>285390</v>
      </c>
      <c r="FE15" s="1068">
        <v>41</v>
      </c>
      <c r="FF15" s="1015">
        <f t="shared" si="36"/>
        <v>144861.20000000001</v>
      </c>
      <c r="FG15" s="1068">
        <v>25</v>
      </c>
      <c r="FH15" s="1015">
        <f t="shared" si="37"/>
        <v>85000</v>
      </c>
      <c r="FI15" s="1068">
        <v>13</v>
      </c>
      <c r="FJ15" s="1015">
        <f t="shared" si="38"/>
        <v>44200</v>
      </c>
      <c r="FK15" s="1015">
        <f t="shared" si="120"/>
        <v>2063058.4</v>
      </c>
      <c r="FL15" s="1023">
        <v>82500</v>
      </c>
      <c r="FM15" s="1015">
        <f t="shared" si="39"/>
        <v>109427.85</v>
      </c>
      <c r="FN15" s="1023">
        <v>17900.919999999998</v>
      </c>
      <c r="FO15" s="1015">
        <f t="shared" si="40"/>
        <v>21014.04</v>
      </c>
      <c r="FP15" s="1011">
        <f t="shared" si="41"/>
        <v>2790975.88</v>
      </c>
      <c r="FQ15" s="1025"/>
      <c r="FR15" s="1011">
        <f t="shared" si="121"/>
        <v>42504549.68</v>
      </c>
      <c r="FS15" s="996"/>
      <c r="FT15" s="1029">
        <f t="shared" si="140"/>
        <v>42504.6</v>
      </c>
      <c r="FU15" s="1029">
        <f t="shared" si="122"/>
        <v>30502</v>
      </c>
      <c r="FV15" s="1029">
        <f t="shared" si="123"/>
        <v>2876.5</v>
      </c>
      <c r="FW15" s="1029">
        <f t="shared" si="124"/>
        <v>1327.9</v>
      </c>
      <c r="FX15" s="1029">
        <f t="shared" si="125"/>
        <v>258.89999999999998</v>
      </c>
      <c r="FY15" s="1029">
        <f t="shared" si="126"/>
        <v>2338.8000000000002</v>
      </c>
      <c r="FZ15" s="1029">
        <f t="shared" si="127"/>
        <v>22040.799999999999</v>
      </c>
      <c r="GA15" s="1029">
        <f t="shared" si="128"/>
        <v>1659.1</v>
      </c>
      <c r="GB15" s="1029">
        <f t="shared" si="42"/>
        <v>9211.6</v>
      </c>
      <c r="GC15" s="1029">
        <f t="shared" si="129"/>
        <v>77.5</v>
      </c>
      <c r="GD15" s="1029">
        <f t="shared" si="130"/>
        <v>0</v>
      </c>
      <c r="GE15" s="1029">
        <f t="shared" si="131"/>
        <v>39.5</v>
      </c>
      <c r="GF15" s="1029">
        <f t="shared" si="132"/>
        <v>291.89999999999998</v>
      </c>
      <c r="GG15" s="1029">
        <f t="shared" si="133"/>
        <v>65</v>
      </c>
      <c r="GH15" s="1029">
        <f t="shared" si="134"/>
        <v>22.2</v>
      </c>
      <c r="GI15" s="1029">
        <f t="shared" si="135"/>
        <v>101.4</v>
      </c>
      <c r="GJ15" s="1029">
        <f t="shared" si="136"/>
        <v>2063.1</v>
      </c>
      <c r="GK15" s="1029">
        <f t="shared" si="137"/>
        <v>109.4</v>
      </c>
      <c r="GL15" s="1029">
        <f t="shared" si="138"/>
        <v>21</v>
      </c>
      <c r="GM15" s="1069"/>
      <c r="GN15" s="1031">
        <f t="shared" si="43"/>
        <v>0.8084192</v>
      </c>
      <c r="GO15" s="1029">
        <f t="shared" si="139"/>
        <v>34361.4</v>
      </c>
      <c r="GP15" s="1029">
        <f t="shared" si="44"/>
        <v>24658.400000000001</v>
      </c>
      <c r="GQ15" s="1029">
        <f t="shared" si="45"/>
        <v>7446.8</v>
      </c>
      <c r="GR15" s="1029">
        <f t="shared" si="46"/>
        <v>62.7</v>
      </c>
      <c r="GS15" s="1029">
        <f t="shared" si="47"/>
        <v>0</v>
      </c>
      <c r="GT15" s="1029">
        <f t="shared" si="48"/>
        <v>31.9</v>
      </c>
      <c r="GU15" s="1029">
        <f t="shared" si="49"/>
        <v>236</v>
      </c>
      <c r="GV15" s="1029">
        <f t="shared" si="50"/>
        <v>52.5</v>
      </c>
      <c r="GW15" s="1029">
        <f t="shared" si="51"/>
        <v>17.899999999999999</v>
      </c>
      <c r="GX15" s="1029">
        <f t="shared" si="52"/>
        <v>82</v>
      </c>
      <c r="GY15" s="1029">
        <f t="shared" si="53"/>
        <v>1667.8</v>
      </c>
      <c r="GZ15" s="1029">
        <f t="shared" si="54"/>
        <v>88.4</v>
      </c>
      <c r="HA15" s="1029">
        <f t="shared" si="55"/>
        <v>17</v>
      </c>
      <c r="HB15" s="1029">
        <f t="shared" si="56"/>
        <v>1833.5</v>
      </c>
      <c r="HC15" s="996"/>
      <c r="HD15" s="1031">
        <f t="shared" si="57"/>
        <v>0.85399429999999998</v>
      </c>
      <c r="HE15" s="1029">
        <f t="shared" si="58"/>
        <v>36298.699999999997</v>
      </c>
      <c r="HF15" s="1029">
        <f t="shared" si="59"/>
        <v>26048.5</v>
      </c>
      <c r="HG15" s="1029">
        <f t="shared" si="60"/>
        <v>7866.7</v>
      </c>
      <c r="HH15" s="1029">
        <f t="shared" si="61"/>
        <v>66.2</v>
      </c>
      <c r="HI15" s="1029">
        <f t="shared" si="62"/>
        <v>0</v>
      </c>
      <c r="HJ15" s="1029">
        <f t="shared" si="63"/>
        <v>33.700000000000003</v>
      </c>
      <c r="HK15" s="1029">
        <f t="shared" si="64"/>
        <v>249.3</v>
      </c>
      <c r="HL15" s="1029">
        <f t="shared" si="65"/>
        <v>55.5</v>
      </c>
      <c r="HM15" s="1029">
        <f t="shared" si="66"/>
        <v>19</v>
      </c>
      <c r="HN15" s="1029">
        <f t="shared" si="67"/>
        <v>86.6</v>
      </c>
      <c r="HO15" s="1029">
        <f t="shared" si="68"/>
        <v>1761.9</v>
      </c>
      <c r="HP15" s="1029">
        <f t="shared" si="69"/>
        <v>93.4</v>
      </c>
      <c r="HQ15" s="1029">
        <f t="shared" si="70"/>
        <v>17.899999999999999</v>
      </c>
      <c r="HR15" s="1029">
        <f t="shared" si="71"/>
        <v>1936.8</v>
      </c>
      <c r="HS15" s="996"/>
      <c r="HT15" s="1031">
        <f t="shared" si="72"/>
        <v>0.90058660000000001</v>
      </c>
      <c r="HU15" s="1029">
        <f t="shared" si="73"/>
        <v>38279</v>
      </c>
      <c r="HV15" s="1029">
        <f t="shared" si="74"/>
        <v>27469.7</v>
      </c>
      <c r="HW15" s="1029">
        <f t="shared" si="75"/>
        <v>8295.7999999999993</v>
      </c>
      <c r="HX15" s="1029">
        <f t="shared" si="76"/>
        <v>69.8</v>
      </c>
      <c r="HY15" s="1029">
        <f t="shared" si="77"/>
        <v>0</v>
      </c>
      <c r="HZ15" s="1029">
        <f t="shared" si="78"/>
        <v>35.6</v>
      </c>
      <c r="IA15" s="1029">
        <f t="shared" si="79"/>
        <v>262.89999999999998</v>
      </c>
      <c r="IB15" s="1029">
        <f t="shared" si="80"/>
        <v>58.5</v>
      </c>
      <c r="IC15" s="1029">
        <f t="shared" si="81"/>
        <v>20</v>
      </c>
      <c r="ID15" s="1029">
        <f t="shared" si="82"/>
        <v>91.3</v>
      </c>
      <c r="IE15" s="1029">
        <f t="shared" si="83"/>
        <v>1858</v>
      </c>
      <c r="IF15" s="1029">
        <f t="shared" si="84"/>
        <v>98.5</v>
      </c>
      <c r="IG15" s="1029">
        <f t="shared" si="85"/>
        <v>18.899999999999999</v>
      </c>
      <c r="IH15" s="1029">
        <f t="shared" si="86"/>
        <v>2042.5</v>
      </c>
    </row>
    <row r="16" spans="1:242" ht="18.75" x14ac:dyDescent="0.25">
      <c r="A16" s="1010" t="s">
        <v>1801</v>
      </c>
      <c r="B16" s="1011">
        <f t="shared" si="87"/>
        <v>83.96</v>
      </c>
      <c r="C16" s="1011">
        <f t="shared" si="88"/>
        <v>83.96</v>
      </c>
      <c r="D16" s="1012">
        <v>1</v>
      </c>
      <c r="E16" s="1012">
        <v>4</v>
      </c>
      <c r="F16" s="1012">
        <v>6.75</v>
      </c>
      <c r="G16" s="1012">
        <v>1</v>
      </c>
      <c r="H16" s="1012">
        <v>9</v>
      </c>
      <c r="I16" s="1014">
        <f t="shared" si="89"/>
        <v>62.21</v>
      </c>
      <c r="J16" s="1020">
        <v>12.06</v>
      </c>
      <c r="K16" s="1020">
        <v>21.5</v>
      </c>
      <c r="L16" s="1020">
        <v>5.12</v>
      </c>
      <c r="M16" s="1020">
        <v>3.17</v>
      </c>
      <c r="N16" s="1020">
        <v>5.39</v>
      </c>
      <c r="O16" s="1020"/>
      <c r="P16" s="1020">
        <v>5</v>
      </c>
      <c r="Q16" s="1020">
        <v>6.11</v>
      </c>
      <c r="R16" s="1020">
        <v>1.1100000000000001</v>
      </c>
      <c r="S16" s="1020">
        <v>2.75</v>
      </c>
      <c r="T16" s="1013">
        <f t="shared" si="90"/>
        <v>12.22</v>
      </c>
      <c r="U16" s="1013">
        <f t="shared" si="91"/>
        <v>5</v>
      </c>
      <c r="V16" s="1013">
        <f t="shared" si="2"/>
        <v>6.11</v>
      </c>
      <c r="W16" s="1013">
        <f t="shared" si="2"/>
        <v>1.1100000000000001</v>
      </c>
      <c r="X16" s="1013"/>
      <c r="Y16" s="1011">
        <f t="shared" si="92"/>
        <v>1845279.77</v>
      </c>
      <c r="Z16" s="1012">
        <v>32562.400000000001</v>
      </c>
      <c r="AA16" s="1014">
        <f t="shared" si="3"/>
        <v>117224.64</v>
      </c>
      <c r="AB16" s="1015">
        <f t="shared" si="93"/>
        <v>109633.5</v>
      </c>
      <c r="AC16" s="1015">
        <f t="shared" si="93"/>
        <v>16242</v>
      </c>
      <c r="AD16" s="1015">
        <f t="shared" si="93"/>
        <v>146178</v>
      </c>
      <c r="AE16" s="1015">
        <f t="shared" si="94"/>
        <v>1423439.23</v>
      </c>
      <c r="AF16" s="1015">
        <f t="shared" si="4"/>
        <v>299718.5</v>
      </c>
      <c r="AG16" s="1015">
        <f t="shared" si="5"/>
        <v>549856.69999999995</v>
      </c>
      <c r="AH16" s="1015">
        <f t="shared" si="6"/>
        <v>130942.62</v>
      </c>
      <c r="AI16" s="1015">
        <f t="shared" si="7"/>
        <v>65040.73</v>
      </c>
      <c r="AJ16" s="1015">
        <f t="shared" si="8"/>
        <v>110589.75999999999</v>
      </c>
      <c r="AK16" s="1015">
        <f t="shared" si="9"/>
        <v>0</v>
      </c>
      <c r="AL16" s="1015">
        <f t="shared" si="10"/>
        <v>83388.2</v>
      </c>
      <c r="AM16" s="1015">
        <f t="shared" si="11"/>
        <v>101900.38</v>
      </c>
      <c r="AN16" s="1015">
        <f t="shared" si="12"/>
        <v>18512.18</v>
      </c>
      <c r="AO16" s="1015">
        <f t="shared" si="13"/>
        <v>51886.01</v>
      </c>
      <c r="AP16" s="1015">
        <f t="shared" si="95"/>
        <v>11604.15</v>
      </c>
      <c r="AQ16" s="1015"/>
      <c r="AR16" s="1014">
        <f t="shared" si="96"/>
        <v>0</v>
      </c>
      <c r="AS16" s="1014">
        <f t="shared" si="97"/>
        <v>0</v>
      </c>
      <c r="AT16" s="1014">
        <f t="shared" si="98"/>
        <v>0</v>
      </c>
      <c r="AU16" s="1023">
        <v>15</v>
      </c>
      <c r="AV16" s="1023">
        <v>20</v>
      </c>
      <c r="AW16" s="1023">
        <v>25</v>
      </c>
      <c r="AX16" s="1023">
        <v>15</v>
      </c>
      <c r="AY16" s="1023">
        <f t="shared" si="99"/>
        <v>15</v>
      </c>
      <c r="AZ16" s="1023">
        <v>12</v>
      </c>
      <c r="BA16" s="1023">
        <v>15</v>
      </c>
      <c r="BB16" s="1023">
        <v>10</v>
      </c>
      <c r="BC16" s="1011">
        <f t="shared" si="100"/>
        <v>22</v>
      </c>
      <c r="BD16" s="1011">
        <f t="shared" si="101"/>
        <v>9</v>
      </c>
      <c r="BE16" s="1011">
        <f t="shared" si="14"/>
        <v>11</v>
      </c>
      <c r="BF16" s="1011">
        <f t="shared" si="14"/>
        <v>2</v>
      </c>
      <c r="BG16" s="1011">
        <f t="shared" si="102"/>
        <v>617</v>
      </c>
      <c r="BH16" s="1012">
        <v>9</v>
      </c>
      <c r="BI16" s="1012">
        <v>11</v>
      </c>
      <c r="BJ16" s="1012">
        <v>2</v>
      </c>
      <c r="BK16" s="1012">
        <v>610</v>
      </c>
      <c r="BL16" s="1016">
        <v>0</v>
      </c>
      <c r="BM16" s="1012">
        <v>0</v>
      </c>
      <c r="BN16" s="1012">
        <v>0</v>
      </c>
      <c r="BO16" s="1012"/>
      <c r="BP16" s="1012">
        <v>0</v>
      </c>
      <c r="BQ16" s="1016">
        <v>15</v>
      </c>
      <c r="BR16" s="1012"/>
      <c r="BS16" s="1012"/>
      <c r="BT16" s="1012"/>
      <c r="BU16" s="1012"/>
      <c r="BV16" s="1016">
        <v>0</v>
      </c>
      <c r="BW16" s="1012"/>
      <c r="BX16" s="1012"/>
      <c r="BY16" s="1012"/>
      <c r="BZ16" s="1012"/>
      <c r="CA16" s="1016">
        <v>0</v>
      </c>
      <c r="CB16" s="1012">
        <v>0</v>
      </c>
      <c r="CC16" s="1012">
        <v>0</v>
      </c>
      <c r="CD16" s="1012">
        <v>0</v>
      </c>
      <c r="CE16" s="1012">
        <v>0</v>
      </c>
      <c r="CF16" s="1016">
        <v>15</v>
      </c>
      <c r="CG16" s="1012">
        <v>4</v>
      </c>
      <c r="CH16" s="1012">
        <v>3</v>
      </c>
      <c r="CI16" s="1012">
        <v>0</v>
      </c>
      <c r="CJ16" s="1012">
        <v>7</v>
      </c>
      <c r="CK16" s="1016">
        <v>15</v>
      </c>
      <c r="CL16" s="1012">
        <v>0</v>
      </c>
      <c r="CM16" s="1012">
        <v>0</v>
      </c>
      <c r="CN16" s="1012"/>
      <c r="CO16" s="1012">
        <v>0</v>
      </c>
      <c r="CP16" s="1016">
        <v>15</v>
      </c>
      <c r="CQ16" s="1067">
        <v>37.6</v>
      </c>
      <c r="CR16" s="1067">
        <v>1.4</v>
      </c>
      <c r="CS16" s="1067">
        <v>541.79999999999995</v>
      </c>
      <c r="CT16" s="1018">
        <f t="shared" si="103"/>
        <v>591.1</v>
      </c>
      <c r="CU16" s="1018">
        <f t="shared" si="15"/>
        <v>1.6</v>
      </c>
      <c r="CV16" s="1032">
        <v>1.6</v>
      </c>
      <c r="CW16" s="1014">
        <f t="shared" si="16"/>
        <v>37905.97</v>
      </c>
      <c r="CX16" s="1017">
        <v>45304.5</v>
      </c>
      <c r="CY16" s="1014">
        <f t="shared" si="17"/>
        <v>3374284.57</v>
      </c>
      <c r="CZ16" s="1020">
        <v>13193.6</v>
      </c>
      <c r="DA16" s="1021">
        <v>52.673270000000002</v>
      </c>
      <c r="DB16" s="1027">
        <v>50</v>
      </c>
      <c r="DC16" s="1033">
        <f t="shared" si="104"/>
        <v>1.01525</v>
      </c>
      <c r="DD16" s="1011">
        <f t="shared" si="105"/>
        <v>22431257.649999999</v>
      </c>
      <c r="DE16" s="1014">
        <f t="shared" si="18"/>
        <v>396707.72</v>
      </c>
      <c r="DF16" s="1014">
        <f t="shared" si="19"/>
        <v>1428147.79</v>
      </c>
      <c r="DG16" s="1014">
        <f t="shared" si="106"/>
        <v>1315602</v>
      </c>
      <c r="DH16" s="1014">
        <f t="shared" si="106"/>
        <v>194904</v>
      </c>
      <c r="DI16" s="1014">
        <f t="shared" si="106"/>
        <v>1754136</v>
      </c>
      <c r="DJ16" s="1014">
        <f t="shared" si="20"/>
        <v>17341760.140000001</v>
      </c>
      <c r="DK16" s="1024">
        <f t="shared" si="107"/>
        <v>16566.84</v>
      </c>
      <c r="DL16" s="1024">
        <f t="shared" si="21"/>
        <v>728286.71999999997</v>
      </c>
      <c r="DM16" s="1024">
        <f t="shared" si="22"/>
        <v>314077.5</v>
      </c>
      <c r="DN16" s="1024">
        <f t="shared" si="23"/>
        <v>47472</v>
      </c>
      <c r="DO16" s="1024">
        <f t="shared" si="108"/>
        <v>2507196.56</v>
      </c>
      <c r="DP16" s="1014">
        <f t="shared" si="109"/>
        <v>1246922.71</v>
      </c>
      <c r="DQ16" s="1014">
        <f t="shared" si="110"/>
        <v>249384.54</v>
      </c>
      <c r="DR16" s="1011">
        <f t="shared" si="111"/>
        <v>27541164.5</v>
      </c>
      <c r="DS16" s="1011">
        <f t="shared" si="112"/>
        <v>8317431.7000000002</v>
      </c>
      <c r="DT16" s="1011">
        <f t="shared" si="113"/>
        <v>35858596.200000003</v>
      </c>
      <c r="DU16" s="1025"/>
      <c r="DV16" s="1028">
        <v>1.1072</v>
      </c>
      <c r="DW16" s="1011">
        <f t="shared" si="114"/>
        <v>393143.54</v>
      </c>
      <c r="DX16" s="1023">
        <v>44400</v>
      </c>
      <c r="DY16" s="1015">
        <f t="shared" si="115"/>
        <v>49159.68</v>
      </c>
      <c r="DZ16" s="1023"/>
      <c r="EA16" s="1015">
        <f t="shared" si="116"/>
        <v>0</v>
      </c>
      <c r="EB16" s="1023"/>
      <c r="EC16" s="1015">
        <f t="shared" si="24"/>
        <v>34270.01</v>
      </c>
      <c r="ED16" s="1023">
        <v>211400</v>
      </c>
      <c r="EE16" s="1015">
        <f t="shared" si="117"/>
        <v>234062.07999999999</v>
      </c>
      <c r="EF16" s="1023">
        <v>77100</v>
      </c>
      <c r="EG16" s="1015">
        <f t="shared" si="25"/>
        <v>56415.96</v>
      </c>
      <c r="EH16" s="1023">
        <v>0</v>
      </c>
      <c r="EI16" s="1015">
        <f t="shared" si="26"/>
        <v>19235.810000000001</v>
      </c>
      <c r="EJ16" s="1011">
        <f t="shared" si="118"/>
        <v>1945324.97</v>
      </c>
      <c r="EK16" s="1023"/>
      <c r="EL16" s="1015">
        <f t="shared" si="27"/>
        <v>84081.17</v>
      </c>
      <c r="EM16" s="1023">
        <v>0</v>
      </c>
      <c r="EN16" s="1015">
        <f t="shared" si="28"/>
        <v>409414.07</v>
      </c>
      <c r="EO16" s="1068">
        <v>55</v>
      </c>
      <c r="EP16" s="1015">
        <f t="shared" si="119"/>
        <v>97328</v>
      </c>
      <c r="EQ16" s="1068">
        <v>55</v>
      </c>
      <c r="ER16" s="1015">
        <f t="shared" si="29"/>
        <v>121110</v>
      </c>
      <c r="ES16" s="1068">
        <v>79</v>
      </c>
      <c r="ET16" s="1015">
        <f t="shared" si="30"/>
        <v>175506.4</v>
      </c>
      <c r="EU16" s="1068">
        <v>69</v>
      </c>
      <c r="EV16" s="1015">
        <f t="shared" si="31"/>
        <v>165751.79999999999</v>
      </c>
      <c r="EW16" s="1068">
        <v>75</v>
      </c>
      <c r="EX16" s="1015">
        <f t="shared" si="32"/>
        <v>198615</v>
      </c>
      <c r="EY16" s="1068">
        <v>56</v>
      </c>
      <c r="EZ16" s="1015">
        <f t="shared" si="33"/>
        <v>171774.4</v>
      </c>
      <c r="FA16" s="1068">
        <v>63</v>
      </c>
      <c r="FB16" s="1015">
        <f t="shared" si="34"/>
        <v>232381.8</v>
      </c>
      <c r="FC16" s="1068">
        <v>53</v>
      </c>
      <c r="FD16" s="1015">
        <f t="shared" si="35"/>
        <v>201675.6</v>
      </c>
      <c r="FE16" s="1068">
        <v>61</v>
      </c>
      <c r="FF16" s="1015">
        <f t="shared" si="36"/>
        <v>215525.2</v>
      </c>
      <c r="FG16" s="1068">
        <v>27</v>
      </c>
      <c r="FH16" s="1015">
        <f t="shared" si="37"/>
        <v>91800</v>
      </c>
      <c r="FI16" s="1068">
        <v>24</v>
      </c>
      <c r="FJ16" s="1015">
        <f t="shared" si="38"/>
        <v>81600</v>
      </c>
      <c r="FK16" s="1015">
        <f t="shared" si="120"/>
        <v>1753068.2</v>
      </c>
      <c r="FL16" s="1023"/>
      <c r="FM16" s="1015">
        <f t="shared" si="39"/>
        <v>90748.64</v>
      </c>
      <c r="FN16" s="1023">
        <v>20200</v>
      </c>
      <c r="FO16" s="1015">
        <f t="shared" si="40"/>
        <v>17426.96</v>
      </c>
      <c r="FP16" s="1011">
        <f t="shared" si="41"/>
        <v>2338468.5099999998</v>
      </c>
      <c r="FQ16" s="1025"/>
      <c r="FR16" s="1011">
        <f t="shared" si="121"/>
        <v>38197064.710000001</v>
      </c>
      <c r="FS16" s="996"/>
      <c r="FT16" s="1029">
        <f t="shared" si="140"/>
        <v>38197.1</v>
      </c>
      <c r="FU16" s="1029">
        <f t="shared" si="122"/>
        <v>27541.200000000001</v>
      </c>
      <c r="FV16" s="1029">
        <f t="shared" si="123"/>
        <v>2553.1</v>
      </c>
      <c r="FW16" s="1029">
        <f t="shared" si="124"/>
        <v>1629.7</v>
      </c>
      <c r="FX16" s="1029">
        <f t="shared" si="125"/>
        <v>258.89999999999998</v>
      </c>
      <c r="FY16" s="1029">
        <f t="shared" si="126"/>
        <v>1754.1</v>
      </c>
      <c r="FZ16" s="1029">
        <f t="shared" si="127"/>
        <v>19849</v>
      </c>
      <c r="GA16" s="1029">
        <f t="shared" si="128"/>
        <v>1496.4</v>
      </c>
      <c r="GB16" s="1029">
        <f t="shared" si="42"/>
        <v>8317.4</v>
      </c>
      <c r="GC16" s="1029">
        <f t="shared" si="129"/>
        <v>49.2</v>
      </c>
      <c r="GD16" s="1029">
        <f t="shared" si="130"/>
        <v>0</v>
      </c>
      <c r="GE16" s="1029">
        <f t="shared" si="131"/>
        <v>34.299999999999997</v>
      </c>
      <c r="GF16" s="1029">
        <f t="shared" si="132"/>
        <v>234.1</v>
      </c>
      <c r="GG16" s="1029">
        <f t="shared" si="133"/>
        <v>56.4</v>
      </c>
      <c r="GH16" s="1029">
        <f t="shared" si="134"/>
        <v>19.2</v>
      </c>
      <c r="GI16" s="1029">
        <f t="shared" si="135"/>
        <v>84.1</v>
      </c>
      <c r="GJ16" s="1029">
        <f t="shared" si="136"/>
        <v>1753.1</v>
      </c>
      <c r="GK16" s="1029">
        <f t="shared" si="137"/>
        <v>90.7</v>
      </c>
      <c r="GL16" s="1029">
        <f t="shared" si="138"/>
        <v>17.399999999999999</v>
      </c>
      <c r="GM16" s="1069"/>
      <c r="GN16" s="1031">
        <f t="shared" si="43"/>
        <v>0.8084192</v>
      </c>
      <c r="GO16" s="1029">
        <f t="shared" si="139"/>
        <v>30879.200000000001</v>
      </c>
      <c r="GP16" s="1029">
        <f t="shared" si="44"/>
        <v>22264.799999999999</v>
      </c>
      <c r="GQ16" s="1029">
        <f t="shared" si="45"/>
        <v>6723.9</v>
      </c>
      <c r="GR16" s="1029">
        <f t="shared" si="46"/>
        <v>39.799999999999997</v>
      </c>
      <c r="GS16" s="1029">
        <f t="shared" si="47"/>
        <v>0</v>
      </c>
      <c r="GT16" s="1029">
        <f t="shared" si="48"/>
        <v>27.7</v>
      </c>
      <c r="GU16" s="1029">
        <f t="shared" si="49"/>
        <v>189.3</v>
      </c>
      <c r="GV16" s="1029">
        <f t="shared" si="50"/>
        <v>45.6</v>
      </c>
      <c r="GW16" s="1029">
        <f t="shared" si="51"/>
        <v>15.5</v>
      </c>
      <c r="GX16" s="1029">
        <f t="shared" si="52"/>
        <v>68</v>
      </c>
      <c r="GY16" s="1029">
        <f t="shared" si="53"/>
        <v>1417.2</v>
      </c>
      <c r="GZ16" s="1029">
        <f t="shared" si="54"/>
        <v>73.3</v>
      </c>
      <c r="HA16" s="1029">
        <f t="shared" si="55"/>
        <v>14.1</v>
      </c>
      <c r="HB16" s="1029">
        <f t="shared" si="56"/>
        <v>2639</v>
      </c>
      <c r="HC16" s="996"/>
      <c r="HD16" s="1031">
        <f t="shared" si="57"/>
        <v>0.85399429999999998</v>
      </c>
      <c r="HE16" s="1029">
        <f t="shared" si="58"/>
        <v>32620.1</v>
      </c>
      <c r="HF16" s="1029">
        <f t="shared" si="59"/>
        <v>23520</v>
      </c>
      <c r="HG16" s="1029">
        <f t="shared" si="60"/>
        <v>7103</v>
      </c>
      <c r="HH16" s="1029">
        <f t="shared" si="61"/>
        <v>42</v>
      </c>
      <c r="HI16" s="1029">
        <f t="shared" si="62"/>
        <v>0</v>
      </c>
      <c r="HJ16" s="1029">
        <f t="shared" si="63"/>
        <v>29.3</v>
      </c>
      <c r="HK16" s="1029">
        <f t="shared" si="64"/>
        <v>199.9</v>
      </c>
      <c r="HL16" s="1029">
        <f t="shared" si="65"/>
        <v>48.2</v>
      </c>
      <c r="HM16" s="1029">
        <f t="shared" si="66"/>
        <v>16.399999999999999</v>
      </c>
      <c r="HN16" s="1029">
        <f t="shared" si="67"/>
        <v>71.8</v>
      </c>
      <c r="HO16" s="1029">
        <f t="shared" si="68"/>
        <v>1497.1</v>
      </c>
      <c r="HP16" s="1029">
        <f t="shared" si="69"/>
        <v>77.5</v>
      </c>
      <c r="HQ16" s="1029">
        <f t="shared" si="70"/>
        <v>14.9</v>
      </c>
      <c r="HR16" s="1029">
        <f t="shared" si="71"/>
        <v>2787.8</v>
      </c>
      <c r="HS16" s="996"/>
      <c r="HT16" s="1031">
        <f t="shared" si="72"/>
        <v>0.90058660000000001</v>
      </c>
      <c r="HU16" s="1029">
        <f t="shared" si="73"/>
        <v>34399.699999999997</v>
      </c>
      <c r="HV16" s="1029">
        <f t="shared" si="74"/>
        <v>24803.200000000001</v>
      </c>
      <c r="HW16" s="1029">
        <f t="shared" si="75"/>
        <v>7490.5</v>
      </c>
      <c r="HX16" s="1029">
        <f t="shared" si="76"/>
        <v>44.3</v>
      </c>
      <c r="HY16" s="1029">
        <f t="shared" si="77"/>
        <v>0</v>
      </c>
      <c r="HZ16" s="1029">
        <f t="shared" si="78"/>
        <v>30.9</v>
      </c>
      <c r="IA16" s="1029">
        <f t="shared" si="79"/>
        <v>210.8</v>
      </c>
      <c r="IB16" s="1029">
        <f t="shared" si="80"/>
        <v>50.8</v>
      </c>
      <c r="IC16" s="1029">
        <f t="shared" si="81"/>
        <v>17.3</v>
      </c>
      <c r="ID16" s="1029">
        <f t="shared" si="82"/>
        <v>75.7</v>
      </c>
      <c r="IE16" s="1029">
        <f t="shared" si="83"/>
        <v>1578.8</v>
      </c>
      <c r="IF16" s="1029">
        <f t="shared" si="84"/>
        <v>81.7</v>
      </c>
      <c r="IG16" s="1029">
        <f t="shared" si="85"/>
        <v>15.7</v>
      </c>
      <c r="IH16" s="1029">
        <f t="shared" si="86"/>
        <v>2939.8</v>
      </c>
    </row>
    <row r="17" spans="1:242" ht="18.75" x14ac:dyDescent="0.25">
      <c r="A17" s="1010" t="s">
        <v>668</v>
      </c>
      <c r="B17" s="1011">
        <f t="shared" si="87"/>
        <v>90.92</v>
      </c>
      <c r="C17" s="1011">
        <f t="shared" si="88"/>
        <v>90.92</v>
      </c>
      <c r="D17" s="1012">
        <v>1</v>
      </c>
      <c r="E17" s="1012">
        <v>6</v>
      </c>
      <c r="F17" s="1012">
        <v>5.5</v>
      </c>
      <c r="G17" s="1012">
        <v>1</v>
      </c>
      <c r="H17" s="1012">
        <v>8.25</v>
      </c>
      <c r="I17" s="1014">
        <f t="shared" si="89"/>
        <v>69.17</v>
      </c>
      <c r="J17" s="1020">
        <v>14.17</v>
      </c>
      <c r="K17" s="1020">
        <v>29.44</v>
      </c>
      <c r="L17" s="1020">
        <v>4.9400000000000004</v>
      </c>
      <c r="M17" s="1020">
        <v>1.17</v>
      </c>
      <c r="N17" s="1020">
        <v>2</v>
      </c>
      <c r="O17" s="1020"/>
      <c r="P17" s="1020">
        <v>5.56</v>
      </c>
      <c r="Q17" s="1020">
        <v>7.78</v>
      </c>
      <c r="R17" s="1020">
        <v>1.1100000000000001</v>
      </c>
      <c r="S17" s="1020">
        <v>3</v>
      </c>
      <c r="T17" s="1013">
        <f t="shared" si="90"/>
        <v>14.45</v>
      </c>
      <c r="U17" s="1013">
        <f t="shared" si="91"/>
        <v>5.56</v>
      </c>
      <c r="V17" s="1013">
        <f t="shared" si="2"/>
        <v>7.78</v>
      </c>
      <c r="W17" s="1013">
        <f t="shared" si="2"/>
        <v>1.1100000000000001</v>
      </c>
      <c r="X17" s="1013"/>
      <c r="Y17" s="1011">
        <f t="shared" si="92"/>
        <v>2055122.27</v>
      </c>
      <c r="Z17" s="1012">
        <v>32562.400000000001</v>
      </c>
      <c r="AA17" s="1014">
        <f t="shared" si="3"/>
        <v>175836.96</v>
      </c>
      <c r="AB17" s="1015">
        <f t="shared" si="93"/>
        <v>89331</v>
      </c>
      <c r="AC17" s="1015">
        <f t="shared" si="93"/>
        <v>16242</v>
      </c>
      <c r="AD17" s="1015">
        <f t="shared" si="93"/>
        <v>133996.5</v>
      </c>
      <c r="AE17" s="1015">
        <f t="shared" si="94"/>
        <v>1607153.41</v>
      </c>
      <c r="AF17" s="1015">
        <f t="shared" si="4"/>
        <v>352156.81</v>
      </c>
      <c r="AG17" s="1015">
        <f t="shared" si="5"/>
        <v>752920.05</v>
      </c>
      <c r="AH17" s="1015">
        <f t="shared" si="6"/>
        <v>126339.17</v>
      </c>
      <c r="AI17" s="1015">
        <f t="shared" si="7"/>
        <v>24005.57</v>
      </c>
      <c r="AJ17" s="1015">
        <f t="shared" si="8"/>
        <v>41035.160000000003</v>
      </c>
      <c r="AK17" s="1015">
        <f t="shared" si="9"/>
        <v>0</v>
      </c>
      <c r="AL17" s="1015">
        <f t="shared" si="10"/>
        <v>92727.679999999993</v>
      </c>
      <c r="AM17" s="1015">
        <f t="shared" si="11"/>
        <v>129752.04</v>
      </c>
      <c r="AN17" s="1015">
        <f t="shared" si="12"/>
        <v>18512.18</v>
      </c>
      <c r="AO17" s="1015">
        <f t="shared" si="13"/>
        <v>56602.92</v>
      </c>
      <c r="AP17" s="1015">
        <f t="shared" si="95"/>
        <v>13101.83</v>
      </c>
      <c r="AQ17" s="1015"/>
      <c r="AR17" s="1014">
        <f t="shared" si="96"/>
        <v>0</v>
      </c>
      <c r="AS17" s="1014">
        <f t="shared" si="97"/>
        <v>0</v>
      </c>
      <c r="AT17" s="1014">
        <f t="shared" si="98"/>
        <v>0</v>
      </c>
      <c r="AU17" s="1023">
        <v>15</v>
      </c>
      <c r="AV17" s="1023">
        <v>20</v>
      </c>
      <c r="AW17" s="1023">
        <v>25</v>
      </c>
      <c r="AX17" s="1023">
        <v>15</v>
      </c>
      <c r="AY17" s="1023">
        <f t="shared" si="99"/>
        <v>15</v>
      </c>
      <c r="AZ17" s="1023">
        <v>12</v>
      </c>
      <c r="BA17" s="1023">
        <v>15</v>
      </c>
      <c r="BB17" s="1023">
        <v>10</v>
      </c>
      <c r="BC17" s="1011">
        <f t="shared" si="100"/>
        <v>26</v>
      </c>
      <c r="BD17" s="1011">
        <f t="shared" si="101"/>
        <v>10</v>
      </c>
      <c r="BE17" s="1011">
        <f t="shared" si="14"/>
        <v>14</v>
      </c>
      <c r="BF17" s="1011">
        <f t="shared" si="14"/>
        <v>2</v>
      </c>
      <c r="BG17" s="1011">
        <f t="shared" si="102"/>
        <v>788</v>
      </c>
      <c r="BH17" s="1012">
        <v>10</v>
      </c>
      <c r="BI17" s="1012">
        <v>14</v>
      </c>
      <c r="BJ17" s="1012">
        <v>2</v>
      </c>
      <c r="BK17" s="1012">
        <v>783</v>
      </c>
      <c r="BL17" s="1016">
        <v>0</v>
      </c>
      <c r="BM17" s="1012">
        <v>0</v>
      </c>
      <c r="BN17" s="1012">
        <v>0</v>
      </c>
      <c r="BO17" s="1012"/>
      <c r="BP17" s="1012">
        <v>0</v>
      </c>
      <c r="BQ17" s="1016">
        <v>15</v>
      </c>
      <c r="BR17" s="1012"/>
      <c r="BS17" s="1012"/>
      <c r="BT17" s="1012"/>
      <c r="BU17" s="1012"/>
      <c r="BV17" s="1016">
        <v>0</v>
      </c>
      <c r="BW17" s="1012"/>
      <c r="BX17" s="1012"/>
      <c r="BY17" s="1012"/>
      <c r="BZ17" s="1012"/>
      <c r="CA17" s="1016">
        <v>0</v>
      </c>
      <c r="CB17" s="1012">
        <v>0</v>
      </c>
      <c r="CC17" s="1012">
        <v>3</v>
      </c>
      <c r="CD17" s="1012">
        <v>0</v>
      </c>
      <c r="CE17" s="1012">
        <v>3</v>
      </c>
      <c r="CF17" s="1016">
        <v>15</v>
      </c>
      <c r="CG17" s="1012">
        <v>1</v>
      </c>
      <c r="CH17" s="1012">
        <v>1</v>
      </c>
      <c r="CI17" s="1012">
        <v>0</v>
      </c>
      <c r="CJ17" s="1012">
        <v>2</v>
      </c>
      <c r="CK17" s="1016">
        <v>15</v>
      </c>
      <c r="CL17" s="1012">
        <v>0</v>
      </c>
      <c r="CM17" s="1012">
        <v>0</v>
      </c>
      <c r="CN17" s="1012"/>
      <c r="CO17" s="1012">
        <v>0</v>
      </c>
      <c r="CP17" s="1016">
        <v>15</v>
      </c>
      <c r="CQ17" s="1067">
        <v>42.9</v>
      </c>
      <c r="CR17" s="1067">
        <v>3</v>
      </c>
      <c r="CS17" s="1067">
        <v>394.8</v>
      </c>
      <c r="CT17" s="1018">
        <f t="shared" si="103"/>
        <v>430.7</v>
      </c>
      <c r="CU17" s="1018">
        <f t="shared" si="15"/>
        <v>1.5</v>
      </c>
      <c r="CV17" s="1032">
        <v>1.5</v>
      </c>
      <c r="CW17" s="1014">
        <f t="shared" si="16"/>
        <v>35665.870000000003</v>
      </c>
      <c r="CX17" s="1017">
        <v>45304.5</v>
      </c>
      <c r="CY17" s="1014">
        <f t="shared" si="17"/>
        <v>5102305.18</v>
      </c>
      <c r="CZ17" s="1020">
        <v>11544.4</v>
      </c>
      <c r="DA17" s="1021">
        <v>46.089109999999998</v>
      </c>
      <c r="DB17" s="1027">
        <v>50</v>
      </c>
      <c r="DC17" s="1033">
        <f t="shared" si="104"/>
        <v>1.01525</v>
      </c>
      <c r="DD17" s="1011">
        <f t="shared" si="105"/>
        <v>24993713.390000001</v>
      </c>
      <c r="DE17" s="1014">
        <f t="shared" si="18"/>
        <v>396707.72</v>
      </c>
      <c r="DF17" s="1014">
        <f t="shared" si="19"/>
        <v>2142221.6800000002</v>
      </c>
      <c r="DG17" s="1014">
        <f t="shared" si="106"/>
        <v>1071972</v>
      </c>
      <c r="DH17" s="1014">
        <f t="shared" si="106"/>
        <v>194904</v>
      </c>
      <c r="DI17" s="1014">
        <f t="shared" si="106"/>
        <v>1607958</v>
      </c>
      <c r="DJ17" s="1014">
        <f t="shared" si="20"/>
        <v>19579949.989999998</v>
      </c>
      <c r="DK17" s="1024">
        <f t="shared" si="107"/>
        <v>16566.84</v>
      </c>
      <c r="DL17" s="1024">
        <f t="shared" si="21"/>
        <v>886609.92000000004</v>
      </c>
      <c r="DM17" s="1024">
        <f t="shared" si="22"/>
        <v>255915</v>
      </c>
      <c r="DN17" s="1024">
        <f t="shared" si="23"/>
        <v>47472</v>
      </c>
      <c r="DO17" s="1024">
        <f t="shared" si="108"/>
        <v>4123307.68</v>
      </c>
      <c r="DP17" s="1014">
        <f t="shared" si="109"/>
        <v>1455851.05</v>
      </c>
      <c r="DQ17" s="1014">
        <f t="shared" si="110"/>
        <v>291170.21000000002</v>
      </c>
      <c r="DR17" s="1011">
        <f t="shared" si="111"/>
        <v>32070606.100000001</v>
      </c>
      <c r="DS17" s="1011">
        <f t="shared" si="112"/>
        <v>9685323</v>
      </c>
      <c r="DT17" s="1011">
        <f t="shared" si="113"/>
        <v>41755929.100000001</v>
      </c>
      <c r="DU17" s="1025"/>
      <c r="DV17" s="1028">
        <v>1.1072</v>
      </c>
      <c r="DW17" s="1011">
        <f t="shared" si="114"/>
        <v>455486.94</v>
      </c>
      <c r="DX17" s="1023">
        <v>81000</v>
      </c>
      <c r="DY17" s="1015">
        <f t="shared" si="115"/>
        <v>89683.199999999997</v>
      </c>
      <c r="DZ17" s="1023"/>
      <c r="EA17" s="1015">
        <f t="shared" si="116"/>
        <v>0</v>
      </c>
      <c r="EB17" s="1023">
        <v>25000</v>
      </c>
      <c r="EC17" s="1015">
        <f t="shared" si="24"/>
        <v>38104.11</v>
      </c>
      <c r="ED17" s="1023">
        <v>220000</v>
      </c>
      <c r="EE17" s="1015">
        <f t="shared" si="117"/>
        <v>243584</v>
      </c>
      <c r="EF17" s="1023">
        <v>48700</v>
      </c>
      <c r="EG17" s="1015">
        <f t="shared" si="25"/>
        <v>62727.73</v>
      </c>
      <c r="EH17" s="1023">
        <v>0</v>
      </c>
      <c r="EI17" s="1015">
        <f t="shared" si="26"/>
        <v>21387.9</v>
      </c>
      <c r="EJ17" s="1011">
        <f t="shared" si="118"/>
        <v>2532582.84</v>
      </c>
      <c r="EK17" s="1023"/>
      <c r="EL17" s="1015">
        <f t="shared" si="27"/>
        <v>107384.05</v>
      </c>
      <c r="EM17" s="1023">
        <v>0</v>
      </c>
      <c r="EN17" s="1015">
        <f t="shared" si="28"/>
        <v>522882.15</v>
      </c>
      <c r="EO17" s="1068">
        <v>57</v>
      </c>
      <c r="EP17" s="1015">
        <f t="shared" si="119"/>
        <v>100867.2</v>
      </c>
      <c r="EQ17" s="1068">
        <v>72</v>
      </c>
      <c r="ER17" s="1015">
        <f t="shared" si="29"/>
        <v>158544</v>
      </c>
      <c r="ES17" s="1068">
        <v>91</v>
      </c>
      <c r="ET17" s="1015">
        <f t="shared" si="30"/>
        <v>202165.6</v>
      </c>
      <c r="EU17" s="1068">
        <v>91</v>
      </c>
      <c r="EV17" s="1015">
        <f t="shared" si="31"/>
        <v>218600.2</v>
      </c>
      <c r="EW17" s="1068">
        <v>73</v>
      </c>
      <c r="EX17" s="1015">
        <f t="shared" si="32"/>
        <v>193318.6</v>
      </c>
      <c r="EY17" s="1068">
        <v>82</v>
      </c>
      <c r="EZ17" s="1015">
        <f t="shared" si="33"/>
        <v>251526.8</v>
      </c>
      <c r="FA17" s="1068">
        <v>73</v>
      </c>
      <c r="FB17" s="1015">
        <f t="shared" si="34"/>
        <v>269267.8</v>
      </c>
      <c r="FC17" s="1068">
        <v>83</v>
      </c>
      <c r="FD17" s="1015">
        <f t="shared" si="35"/>
        <v>315831.59999999998</v>
      </c>
      <c r="FE17" s="1068">
        <v>94</v>
      </c>
      <c r="FF17" s="1015">
        <f t="shared" si="36"/>
        <v>332120.8</v>
      </c>
      <c r="FG17" s="1068">
        <v>37</v>
      </c>
      <c r="FH17" s="1015">
        <f t="shared" si="37"/>
        <v>125800</v>
      </c>
      <c r="FI17" s="1068">
        <v>35</v>
      </c>
      <c r="FJ17" s="1015">
        <f t="shared" si="38"/>
        <v>119000</v>
      </c>
      <c r="FK17" s="1015">
        <f t="shared" si="120"/>
        <v>2287042.6</v>
      </c>
      <c r="FL17" s="1023">
        <v>67999.11</v>
      </c>
      <c r="FM17" s="1015">
        <f t="shared" si="39"/>
        <v>115899.39</v>
      </c>
      <c r="FN17" s="1023">
        <v>25000</v>
      </c>
      <c r="FO17" s="1015">
        <f t="shared" si="40"/>
        <v>22256.799999999999</v>
      </c>
      <c r="FP17" s="1011">
        <f t="shared" si="41"/>
        <v>2988069.78</v>
      </c>
      <c r="FQ17" s="1025"/>
      <c r="FR17" s="1011">
        <f t="shared" si="121"/>
        <v>44743998.880000003</v>
      </c>
      <c r="FS17" s="996"/>
      <c r="FT17" s="1029">
        <f t="shared" si="140"/>
        <v>44744</v>
      </c>
      <c r="FU17" s="1029">
        <f t="shared" si="122"/>
        <v>32070.6</v>
      </c>
      <c r="FV17" s="1029">
        <f t="shared" si="123"/>
        <v>3425.5</v>
      </c>
      <c r="FW17" s="1029">
        <f t="shared" si="124"/>
        <v>1327.9</v>
      </c>
      <c r="FX17" s="1029">
        <f t="shared" si="125"/>
        <v>258.89999999999998</v>
      </c>
      <c r="FY17" s="1029">
        <f t="shared" si="126"/>
        <v>1608</v>
      </c>
      <c r="FZ17" s="1029">
        <f t="shared" si="127"/>
        <v>23703.3</v>
      </c>
      <c r="GA17" s="1029">
        <f t="shared" si="128"/>
        <v>1747</v>
      </c>
      <c r="GB17" s="1029">
        <f t="shared" si="42"/>
        <v>9685.2999999999993</v>
      </c>
      <c r="GC17" s="1029">
        <f t="shared" si="129"/>
        <v>89.7</v>
      </c>
      <c r="GD17" s="1029">
        <f t="shared" si="130"/>
        <v>0</v>
      </c>
      <c r="GE17" s="1029">
        <f t="shared" si="131"/>
        <v>38.1</v>
      </c>
      <c r="GF17" s="1029">
        <f t="shared" si="132"/>
        <v>243.6</v>
      </c>
      <c r="GG17" s="1029">
        <f t="shared" si="133"/>
        <v>62.7</v>
      </c>
      <c r="GH17" s="1029">
        <f t="shared" si="134"/>
        <v>21.4</v>
      </c>
      <c r="GI17" s="1029">
        <f t="shared" si="135"/>
        <v>107.4</v>
      </c>
      <c r="GJ17" s="1029">
        <f t="shared" si="136"/>
        <v>2287</v>
      </c>
      <c r="GK17" s="1029">
        <f t="shared" si="137"/>
        <v>115.9</v>
      </c>
      <c r="GL17" s="1029">
        <f t="shared" si="138"/>
        <v>22.3</v>
      </c>
      <c r="GM17" s="1069"/>
      <c r="GN17" s="1031">
        <f t="shared" si="43"/>
        <v>0.8084192</v>
      </c>
      <c r="GO17" s="1029">
        <f t="shared" si="139"/>
        <v>36171.9</v>
      </c>
      <c r="GP17" s="1029">
        <f t="shared" si="44"/>
        <v>25926.5</v>
      </c>
      <c r="GQ17" s="1029">
        <f t="shared" si="45"/>
        <v>7829.8</v>
      </c>
      <c r="GR17" s="1029">
        <f t="shared" si="46"/>
        <v>72.5</v>
      </c>
      <c r="GS17" s="1029">
        <f t="shared" si="47"/>
        <v>0</v>
      </c>
      <c r="GT17" s="1029">
        <f t="shared" si="48"/>
        <v>30.8</v>
      </c>
      <c r="GU17" s="1029">
        <f t="shared" si="49"/>
        <v>196.9</v>
      </c>
      <c r="GV17" s="1029">
        <f t="shared" si="50"/>
        <v>50.7</v>
      </c>
      <c r="GW17" s="1029">
        <f t="shared" si="51"/>
        <v>17.3</v>
      </c>
      <c r="GX17" s="1029">
        <f t="shared" si="52"/>
        <v>86.8</v>
      </c>
      <c r="GY17" s="1029">
        <f t="shared" si="53"/>
        <v>1848.9</v>
      </c>
      <c r="GZ17" s="1029">
        <f t="shared" si="54"/>
        <v>93.7</v>
      </c>
      <c r="HA17" s="1029">
        <f t="shared" si="55"/>
        <v>18</v>
      </c>
      <c r="HB17" s="1029">
        <f t="shared" si="56"/>
        <v>4340</v>
      </c>
      <c r="HC17" s="996"/>
      <c r="HD17" s="1031">
        <f t="shared" si="57"/>
        <v>0.85399429999999998</v>
      </c>
      <c r="HE17" s="1029">
        <f t="shared" si="58"/>
        <v>38211</v>
      </c>
      <c r="HF17" s="1029">
        <f t="shared" si="59"/>
        <v>27388.1</v>
      </c>
      <c r="HG17" s="1029">
        <f t="shared" si="60"/>
        <v>8271.2000000000007</v>
      </c>
      <c r="HH17" s="1029">
        <f t="shared" si="61"/>
        <v>76.599999999999994</v>
      </c>
      <c r="HI17" s="1029">
        <f t="shared" si="62"/>
        <v>0</v>
      </c>
      <c r="HJ17" s="1029">
        <f t="shared" si="63"/>
        <v>32.5</v>
      </c>
      <c r="HK17" s="1029">
        <f t="shared" si="64"/>
        <v>208</v>
      </c>
      <c r="HL17" s="1029">
        <f t="shared" si="65"/>
        <v>53.5</v>
      </c>
      <c r="HM17" s="1029">
        <f t="shared" si="66"/>
        <v>18.3</v>
      </c>
      <c r="HN17" s="1029">
        <f t="shared" si="67"/>
        <v>91.7</v>
      </c>
      <c r="HO17" s="1029">
        <f t="shared" si="68"/>
        <v>1953.1</v>
      </c>
      <c r="HP17" s="1029">
        <f t="shared" si="69"/>
        <v>99</v>
      </c>
      <c r="HQ17" s="1029">
        <f t="shared" si="70"/>
        <v>19</v>
      </c>
      <c r="HR17" s="1029">
        <f t="shared" si="71"/>
        <v>4584.7</v>
      </c>
      <c r="HS17" s="996"/>
      <c r="HT17" s="1031">
        <f t="shared" si="72"/>
        <v>0.90058660000000001</v>
      </c>
      <c r="HU17" s="1029">
        <f t="shared" si="73"/>
        <v>40296</v>
      </c>
      <c r="HV17" s="1029">
        <f t="shared" si="74"/>
        <v>28882.400000000001</v>
      </c>
      <c r="HW17" s="1029">
        <f t="shared" si="75"/>
        <v>8722.5</v>
      </c>
      <c r="HX17" s="1029">
        <f t="shared" si="76"/>
        <v>80.8</v>
      </c>
      <c r="HY17" s="1029">
        <f t="shared" si="77"/>
        <v>0</v>
      </c>
      <c r="HZ17" s="1029">
        <f t="shared" si="78"/>
        <v>34.299999999999997</v>
      </c>
      <c r="IA17" s="1029">
        <f t="shared" si="79"/>
        <v>219.4</v>
      </c>
      <c r="IB17" s="1029">
        <f t="shared" si="80"/>
        <v>56.5</v>
      </c>
      <c r="IC17" s="1029">
        <f t="shared" si="81"/>
        <v>19.3</v>
      </c>
      <c r="ID17" s="1029">
        <f t="shared" si="82"/>
        <v>96.7</v>
      </c>
      <c r="IE17" s="1029">
        <f t="shared" si="83"/>
        <v>2059.6</v>
      </c>
      <c r="IF17" s="1029">
        <f t="shared" si="84"/>
        <v>104.4</v>
      </c>
      <c r="IG17" s="1029">
        <f t="shared" si="85"/>
        <v>20.100000000000001</v>
      </c>
      <c r="IH17" s="1029">
        <f t="shared" si="86"/>
        <v>4834.8</v>
      </c>
    </row>
    <row r="18" spans="1:242" ht="18.75" x14ac:dyDescent="0.25">
      <c r="A18" s="1010" t="s">
        <v>669</v>
      </c>
      <c r="B18" s="1011">
        <f t="shared" si="87"/>
        <v>104.8</v>
      </c>
      <c r="C18" s="1011">
        <f t="shared" si="88"/>
        <v>104.8</v>
      </c>
      <c r="D18" s="1012">
        <v>1</v>
      </c>
      <c r="E18" s="1012">
        <v>5</v>
      </c>
      <c r="F18" s="1012">
        <v>8</v>
      </c>
      <c r="G18" s="1012">
        <v>1</v>
      </c>
      <c r="H18" s="1012">
        <v>10.25</v>
      </c>
      <c r="I18" s="1014">
        <f t="shared" si="89"/>
        <v>79.55</v>
      </c>
      <c r="J18" s="1020">
        <v>16.11</v>
      </c>
      <c r="K18" s="1020">
        <v>29.61</v>
      </c>
      <c r="L18" s="1020">
        <v>8</v>
      </c>
      <c r="M18" s="1020"/>
      <c r="N18" s="1020">
        <v>4.1100000000000003</v>
      </c>
      <c r="O18" s="1020"/>
      <c r="P18" s="1020">
        <v>6.67</v>
      </c>
      <c r="Q18" s="1020">
        <v>8.33</v>
      </c>
      <c r="R18" s="1020">
        <v>2.2200000000000002</v>
      </c>
      <c r="S18" s="1020">
        <v>4.5</v>
      </c>
      <c r="T18" s="1013">
        <f t="shared" si="90"/>
        <v>17.22</v>
      </c>
      <c r="U18" s="1013">
        <f t="shared" si="91"/>
        <v>6.67</v>
      </c>
      <c r="V18" s="1013">
        <f t="shared" si="2"/>
        <v>8.33</v>
      </c>
      <c r="W18" s="1013">
        <f t="shared" si="2"/>
        <v>2.2200000000000002</v>
      </c>
      <c r="X18" s="1013"/>
      <c r="Y18" s="1011">
        <f t="shared" si="92"/>
        <v>2325356.02</v>
      </c>
      <c r="Z18" s="1012">
        <v>32562.400000000001</v>
      </c>
      <c r="AA18" s="1014">
        <f t="shared" si="3"/>
        <v>146530.79999999999</v>
      </c>
      <c r="AB18" s="1015">
        <f t="shared" si="93"/>
        <v>129936</v>
      </c>
      <c r="AC18" s="1015">
        <f t="shared" si="93"/>
        <v>16242</v>
      </c>
      <c r="AD18" s="1015">
        <f t="shared" si="93"/>
        <v>166480.5</v>
      </c>
      <c r="AE18" s="1015">
        <f t="shared" si="94"/>
        <v>1833604.32</v>
      </c>
      <c r="AF18" s="1015">
        <f t="shared" si="4"/>
        <v>400370.23</v>
      </c>
      <c r="AG18" s="1015">
        <f t="shared" si="5"/>
        <v>757267.76</v>
      </c>
      <c r="AH18" s="1015">
        <f t="shared" si="6"/>
        <v>204597.84</v>
      </c>
      <c r="AI18" s="1015">
        <f t="shared" si="7"/>
        <v>0</v>
      </c>
      <c r="AJ18" s="1015">
        <f t="shared" si="8"/>
        <v>84327.25</v>
      </c>
      <c r="AK18" s="1015">
        <f t="shared" si="9"/>
        <v>0</v>
      </c>
      <c r="AL18" s="1015">
        <f t="shared" si="10"/>
        <v>111239.86</v>
      </c>
      <c r="AM18" s="1015">
        <f t="shared" si="11"/>
        <v>138924.74</v>
      </c>
      <c r="AN18" s="1015">
        <f t="shared" si="12"/>
        <v>37024.36</v>
      </c>
      <c r="AO18" s="1015">
        <f t="shared" si="13"/>
        <v>84904.38</v>
      </c>
      <c r="AP18" s="1015">
        <f t="shared" si="95"/>
        <v>14947.9</v>
      </c>
      <c r="AQ18" s="1015"/>
      <c r="AR18" s="1014">
        <f t="shared" si="96"/>
        <v>0</v>
      </c>
      <c r="AS18" s="1014">
        <f t="shared" si="97"/>
        <v>0</v>
      </c>
      <c r="AT18" s="1014">
        <f t="shared" si="98"/>
        <v>0</v>
      </c>
      <c r="AU18" s="1023">
        <v>15</v>
      </c>
      <c r="AV18" s="1023">
        <v>20</v>
      </c>
      <c r="AW18" s="1023">
        <v>25</v>
      </c>
      <c r="AX18" s="1023">
        <v>15</v>
      </c>
      <c r="AY18" s="1023">
        <f t="shared" si="99"/>
        <v>15</v>
      </c>
      <c r="AZ18" s="1023">
        <v>12</v>
      </c>
      <c r="BA18" s="1023">
        <v>15</v>
      </c>
      <c r="BB18" s="1023">
        <v>10</v>
      </c>
      <c r="BC18" s="1011">
        <f t="shared" si="100"/>
        <v>31</v>
      </c>
      <c r="BD18" s="1011">
        <f t="shared" si="101"/>
        <v>12</v>
      </c>
      <c r="BE18" s="1011">
        <f t="shared" si="14"/>
        <v>15</v>
      </c>
      <c r="BF18" s="1011">
        <f t="shared" si="14"/>
        <v>4</v>
      </c>
      <c r="BG18" s="1011">
        <f t="shared" si="102"/>
        <v>924</v>
      </c>
      <c r="BH18" s="1012">
        <v>12</v>
      </c>
      <c r="BI18" s="1012">
        <v>15</v>
      </c>
      <c r="BJ18" s="1012">
        <v>4</v>
      </c>
      <c r="BK18" s="1012">
        <v>919</v>
      </c>
      <c r="BL18" s="1016">
        <v>0</v>
      </c>
      <c r="BM18" s="1012">
        <v>0</v>
      </c>
      <c r="BN18" s="1012">
        <v>0</v>
      </c>
      <c r="BO18" s="1012"/>
      <c r="BP18" s="1012">
        <v>0</v>
      </c>
      <c r="BQ18" s="1016">
        <v>15</v>
      </c>
      <c r="BR18" s="1012"/>
      <c r="BS18" s="1012"/>
      <c r="BT18" s="1012"/>
      <c r="BU18" s="1012"/>
      <c r="BV18" s="1016">
        <v>0</v>
      </c>
      <c r="BW18" s="1012"/>
      <c r="BX18" s="1012"/>
      <c r="BY18" s="1012"/>
      <c r="BZ18" s="1012"/>
      <c r="CA18" s="1016">
        <v>0</v>
      </c>
      <c r="CB18" s="1012">
        <v>0</v>
      </c>
      <c r="CC18" s="1012">
        <v>0</v>
      </c>
      <c r="CD18" s="1012">
        <v>0</v>
      </c>
      <c r="CE18" s="1012">
        <v>0</v>
      </c>
      <c r="CF18" s="1016">
        <v>15</v>
      </c>
      <c r="CG18" s="1012">
        <v>0</v>
      </c>
      <c r="CH18" s="1012">
        <v>5</v>
      </c>
      <c r="CI18" s="1012">
        <v>0</v>
      </c>
      <c r="CJ18" s="1012">
        <v>5</v>
      </c>
      <c r="CK18" s="1016">
        <v>15</v>
      </c>
      <c r="CL18" s="1012">
        <v>0</v>
      </c>
      <c r="CM18" s="1012">
        <v>0</v>
      </c>
      <c r="CN18" s="1012"/>
      <c r="CO18" s="1012">
        <v>0</v>
      </c>
      <c r="CP18" s="1016">
        <v>15</v>
      </c>
      <c r="CQ18" s="1067">
        <v>55.7</v>
      </c>
      <c r="CR18" s="1067">
        <v>0</v>
      </c>
      <c r="CS18" s="1067">
        <v>1109.3</v>
      </c>
      <c r="CT18" s="1018">
        <f t="shared" si="103"/>
        <v>1210.0999999999999</v>
      </c>
      <c r="CU18" s="1018">
        <f t="shared" si="15"/>
        <v>1.4</v>
      </c>
      <c r="CV18" s="1032">
        <v>1.4</v>
      </c>
      <c r="CW18" s="1014">
        <f t="shared" si="16"/>
        <v>34044.300000000003</v>
      </c>
      <c r="CX18" s="1017">
        <v>45304.5</v>
      </c>
      <c r="CY18" s="1014">
        <f t="shared" si="17"/>
        <v>7677847.7999999998</v>
      </c>
      <c r="CZ18" s="1020">
        <v>15103.2</v>
      </c>
      <c r="DA18" s="1021">
        <v>60.297029999999999</v>
      </c>
      <c r="DB18" s="1027">
        <v>50</v>
      </c>
      <c r="DC18" s="1033">
        <f t="shared" si="104"/>
        <v>1.01525</v>
      </c>
      <c r="DD18" s="1011">
        <f t="shared" si="105"/>
        <v>28272595.890000001</v>
      </c>
      <c r="DE18" s="1014">
        <f t="shared" si="18"/>
        <v>396707.72</v>
      </c>
      <c r="DF18" s="1014">
        <f t="shared" si="19"/>
        <v>1785184.74</v>
      </c>
      <c r="DG18" s="1014">
        <f t="shared" si="106"/>
        <v>1559232</v>
      </c>
      <c r="DH18" s="1014">
        <f t="shared" si="106"/>
        <v>194904</v>
      </c>
      <c r="DI18" s="1014">
        <f t="shared" si="106"/>
        <v>1997766</v>
      </c>
      <c r="DJ18" s="1014">
        <f t="shared" si="20"/>
        <v>22338801.43</v>
      </c>
      <c r="DK18" s="1024">
        <f t="shared" si="107"/>
        <v>16566.84</v>
      </c>
      <c r="DL18" s="1024">
        <f t="shared" si="21"/>
        <v>996811.2</v>
      </c>
      <c r="DM18" s="1024">
        <f t="shared" si="22"/>
        <v>372240</v>
      </c>
      <c r="DN18" s="1024">
        <f t="shared" si="23"/>
        <v>47472</v>
      </c>
      <c r="DO18" s="1024">
        <f t="shared" si="108"/>
        <v>6560907.7300000004</v>
      </c>
      <c r="DP18" s="1014">
        <f t="shared" si="109"/>
        <v>1741675.18</v>
      </c>
      <c r="DQ18" s="1014">
        <f t="shared" si="110"/>
        <v>348335.04</v>
      </c>
      <c r="DR18" s="1011">
        <f t="shared" si="111"/>
        <v>38356603.899999999</v>
      </c>
      <c r="DS18" s="1011">
        <f t="shared" si="112"/>
        <v>11583694.4</v>
      </c>
      <c r="DT18" s="1011">
        <f t="shared" si="113"/>
        <v>49940298.299999997</v>
      </c>
      <c r="DU18" s="1025"/>
      <c r="DV18" s="1028">
        <v>1.1072</v>
      </c>
      <c r="DW18" s="1011">
        <f t="shared" si="114"/>
        <v>1410151.47</v>
      </c>
      <c r="DX18" s="1023">
        <v>159900</v>
      </c>
      <c r="DY18" s="1015">
        <f t="shared" si="115"/>
        <v>177041.28</v>
      </c>
      <c r="DZ18" s="1023">
        <v>636768</v>
      </c>
      <c r="EA18" s="1015">
        <f t="shared" si="116"/>
        <v>705029.53</v>
      </c>
      <c r="EB18" s="1023">
        <v>30000</v>
      </c>
      <c r="EC18" s="1015">
        <f t="shared" si="24"/>
        <v>43822.21</v>
      </c>
      <c r="ED18" s="1023">
        <v>350000</v>
      </c>
      <c r="EE18" s="1015">
        <f t="shared" si="117"/>
        <v>387520</v>
      </c>
      <c r="EF18" s="1023">
        <v>96130</v>
      </c>
      <c r="EG18" s="1015">
        <f t="shared" si="25"/>
        <v>72140.97</v>
      </c>
      <c r="EH18" s="1023">
        <v>0</v>
      </c>
      <c r="EI18" s="1015">
        <f t="shared" si="26"/>
        <v>24597.48</v>
      </c>
      <c r="EJ18" s="1011">
        <f t="shared" si="118"/>
        <v>2933644.55</v>
      </c>
      <c r="EK18" s="1023"/>
      <c r="EL18" s="1015">
        <f t="shared" si="27"/>
        <v>125917.34</v>
      </c>
      <c r="EM18" s="1023">
        <v>1340000</v>
      </c>
      <c r="EN18" s="1015">
        <f t="shared" si="28"/>
        <v>613125.77</v>
      </c>
      <c r="EO18" s="1068">
        <v>101</v>
      </c>
      <c r="EP18" s="1015">
        <f t="shared" si="119"/>
        <v>178729.60000000001</v>
      </c>
      <c r="EQ18" s="1068">
        <v>94</v>
      </c>
      <c r="ER18" s="1015">
        <f t="shared" si="29"/>
        <v>206988</v>
      </c>
      <c r="ES18" s="1068">
        <v>97</v>
      </c>
      <c r="ET18" s="1015">
        <f t="shared" si="30"/>
        <v>215495.2</v>
      </c>
      <c r="EU18" s="1068">
        <v>90</v>
      </c>
      <c r="EV18" s="1015">
        <f t="shared" si="31"/>
        <v>216198</v>
      </c>
      <c r="EW18" s="1068">
        <v>80</v>
      </c>
      <c r="EX18" s="1015">
        <f t="shared" si="32"/>
        <v>211856</v>
      </c>
      <c r="EY18" s="1068">
        <v>87</v>
      </c>
      <c r="EZ18" s="1015">
        <f t="shared" si="33"/>
        <v>266863.8</v>
      </c>
      <c r="FA18" s="1068">
        <v>105</v>
      </c>
      <c r="FB18" s="1015">
        <f t="shared" si="34"/>
        <v>387303</v>
      </c>
      <c r="FC18" s="1068">
        <v>84</v>
      </c>
      <c r="FD18" s="1015">
        <f t="shared" si="35"/>
        <v>319636.8</v>
      </c>
      <c r="FE18" s="1068">
        <v>77</v>
      </c>
      <c r="FF18" s="1015">
        <f t="shared" si="36"/>
        <v>272056.40000000002</v>
      </c>
      <c r="FG18" s="1068">
        <v>57</v>
      </c>
      <c r="FH18" s="1015">
        <f t="shared" si="37"/>
        <v>193800</v>
      </c>
      <c r="FI18" s="1068">
        <v>52</v>
      </c>
      <c r="FJ18" s="1015">
        <f t="shared" si="38"/>
        <v>176800</v>
      </c>
      <c r="FK18" s="1015">
        <f t="shared" si="120"/>
        <v>2645726.7999999998</v>
      </c>
      <c r="FL18" s="1023">
        <v>120557</v>
      </c>
      <c r="FM18" s="1015">
        <f t="shared" si="39"/>
        <v>135902.32999999999</v>
      </c>
      <c r="FN18" s="1023">
        <v>24716</v>
      </c>
      <c r="FO18" s="1015">
        <f t="shared" si="40"/>
        <v>26098.080000000002</v>
      </c>
      <c r="FP18" s="1011">
        <f t="shared" si="41"/>
        <v>4343796.0199999996</v>
      </c>
      <c r="FQ18" s="1025"/>
      <c r="FR18" s="1011">
        <f t="shared" si="121"/>
        <v>54284094.32</v>
      </c>
      <c r="FS18" s="1070"/>
      <c r="FT18" s="1029">
        <f t="shared" si="140"/>
        <v>54283.9</v>
      </c>
      <c r="FU18" s="1029">
        <f t="shared" si="122"/>
        <v>38356.6</v>
      </c>
      <c r="FV18" s="1029">
        <f t="shared" si="123"/>
        <v>3178.7</v>
      </c>
      <c r="FW18" s="1029">
        <f t="shared" si="124"/>
        <v>1931.5</v>
      </c>
      <c r="FX18" s="1029">
        <f t="shared" si="125"/>
        <v>258.89999999999998</v>
      </c>
      <c r="FY18" s="1029">
        <f t="shared" si="126"/>
        <v>1997.8</v>
      </c>
      <c r="FZ18" s="1029">
        <f t="shared" si="127"/>
        <v>28899.7</v>
      </c>
      <c r="GA18" s="1029">
        <f t="shared" si="128"/>
        <v>2090</v>
      </c>
      <c r="GB18" s="1029">
        <f t="shared" si="42"/>
        <v>11583.7</v>
      </c>
      <c r="GC18" s="1029">
        <f t="shared" si="129"/>
        <v>177</v>
      </c>
      <c r="GD18" s="1029">
        <f t="shared" si="130"/>
        <v>705</v>
      </c>
      <c r="GE18" s="1029">
        <f t="shared" si="131"/>
        <v>43.8</v>
      </c>
      <c r="GF18" s="1029">
        <f t="shared" si="132"/>
        <v>387.5</v>
      </c>
      <c r="GG18" s="1029">
        <f t="shared" si="133"/>
        <v>72.099999999999994</v>
      </c>
      <c r="GH18" s="1029">
        <f t="shared" si="134"/>
        <v>24.6</v>
      </c>
      <c r="GI18" s="1029">
        <f t="shared" si="135"/>
        <v>125.9</v>
      </c>
      <c r="GJ18" s="1029">
        <f t="shared" si="136"/>
        <v>2645.7</v>
      </c>
      <c r="GK18" s="1029">
        <f t="shared" si="137"/>
        <v>135.9</v>
      </c>
      <c r="GL18" s="1029">
        <f t="shared" si="138"/>
        <v>26.1</v>
      </c>
      <c r="GM18" s="1069"/>
      <c r="GN18" s="1031">
        <f t="shared" si="43"/>
        <v>0.8084192</v>
      </c>
      <c r="GO18" s="1029">
        <f t="shared" si="139"/>
        <v>43884.2</v>
      </c>
      <c r="GP18" s="1029">
        <f t="shared" si="44"/>
        <v>31008.2</v>
      </c>
      <c r="GQ18" s="1029">
        <f t="shared" si="45"/>
        <v>9364.5</v>
      </c>
      <c r="GR18" s="1029">
        <f t="shared" si="46"/>
        <v>143.1</v>
      </c>
      <c r="GS18" s="1029">
        <f t="shared" si="47"/>
        <v>569.9</v>
      </c>
      <c r="GT18" s="1029">
        <f t="shared" si="48"/>
        <v>35.4</v>
      </c>
      <c r="GU18" s="1029">
        <f t="shared" si="49"/>
        <v>313.3</v>
      </c>
      <c r="GV18" s="1029">
        <f t="shared" si="50"/>
        <v>58.3</v>
      </c>
      <c r="GW18" s="1029">
        <f t="shared" si="51"/>
        <v>19.899999999999999</v>
      </c>
      <c r="GX18" s="1029">
        <f t="shared" si="52"/>
        <v>101.8</v>
      </c>
      <c r="GY18" s="1029">
        <f t="shared" si="53"/>
        <v>2138.8000000000002</v>
      </c>
      <c r="GZ18" s="1029">
        <f t="shared" si="54"/>
        <v>109.9</v>
      </c>
      <c r="HA18" s="1029">
        <f t="shared" si="55"/>
        <v>21.1</v>
      </c>
      <c r="HB18" s="1029">
        <f t="shared" si="56"/>
        <v>6905.8</v>
      </c>
      <c r="HC18" s="1070"/>
      <c r="HD18" s="1031">
        <f t="shared" si="57"/>
        <v>0.85399429999999998</v>
      </c>
      <c r="HE18" s="1029">
        <f t="shared" si="58"/>
        <v>46358.2</v>
      </c>
      <c r="HF18" s="1029">
        <f t="shared" si="59"/>
        <v>32756.3</v>
      </c>
      <c r="HG18" s="1029">
        <f t="shared" si="60"/>
        <v>9892.4</v>
      </c>
      <c r="HH18" s="1029">
        <f t="shared" si="61"/>
        <v>151.19999999999999</v>
      </c>
      <c r="HI18" s="1029">
        <f t="shared" si="62"/>
        <v>602.1</v>
      </c>
      <c r="HJ18" s="1029">
        <f t="shared" si="63"/>
        <v>37.4</v>
      </c>
      <c r="HK18" s="1029">
        <f t="shared" si="64"/>
        <v>330.9</v>
      </c>
      <c r="HL18" s="1029">
        <f t="shared" si="65"/>
        <v>61.6</v>
      </c>
      <c r="HM18" s="1029">
        <f t="shared" si="66"/>
        <v>21</v>
      </c>
      <c r="HN18" s="1029">
        <f t="shared" si="67"/>
        <v>107.5</v>
      </c>
      <c r="HO18" s="1029">
        <f t="shared" si="68"/>
        <v>2259.4</v>
      </c>
      <c r="HP18" s="1029">
        <f t="shared" si="69"/>
        <v>116.1</v>
      </c>
      <c r="HQ18" s="1029">
        <f t="shared" si="70"/>
        <v>22.3</v>
      </c>
      <c r="HR18" s="1029">
        <f t="shared" si="71"/>
        <v>7295.1</v>
      </c>
      <c r="HS18" s="1070"/>
      <c r="HT18" s="1031">
        <f t="shared" si="72"/>
        <v>0.90058660000000001</v>
      </c>
      <c r="HU18" s="1029">
        <f t="shared" si="73"/>
        <v>48887.3</v>
      </c>
      <c r="HV18" s="1029">
        <f t="shared" si="74"/>
        <v>34543.4</v>
      </c>
      <c r="HW18" s="1029">
        <f t="shared" si="75"/>
        <v>10432.1</v>
      </c>
      <c r="HX18" s="1029">
        <f t="shared" si="76"/>
        <v>159.4</v>
      </c>
      <c r="HY18" s="1029">
        <f t="shared" si="77"/>
        <v>634.9</v>
      </c>
      <c r="HZ18" s="1029">
        <f t="shared" si="78"/>
        <v>39.4</v>
      </c>
      <c r="IA18" s="1029">
        <f t="shared" si="79"/>
        <v>349</v>
      </c>
      <c r="IB18" s="1029">
        <f t="shared" si="80"/>
        <v>64.900000000000006</v>
      </c>
      <c r="IC18" s="1029">
        <f t="shared" si="81"/>
        <v>22.2</v>
      </c>
      <c r="ID18" s="1029">
        <f t="shared" si="82"/>
        <v>113.4</v>
      </c>
      <c r="IE18" s="1029">
        <f t="shared" si="83"/>
        <v>2382.6999999999998</v>
      </c>
      <c r="IF18" s="1029">
        <f t="shared" si="84"/>
        <v>122.4</v>
      </c>
      <c r="IG18" s="1029">
        <f t="shared" si="85"/>
        <v>23.5</v>
      </c>
      <c r="IH18" s="1029">
        <f t="shared" si="86"/>
        <v>7693.1</v>
      </c>
    </row>
    <row r="19" spans="1:242" ht="18.75" x14ac:dyDescent="0.25">
      <c r="A19" s="1010" t="s">
        <v>1616</v>
      </c>
      <c r="B19" s="1011">
        <f t="shared" si="87"/>
        <v>110.82</v>
      </c>
      <c r="C19" s="1011">
        <f t="shared" si="88"/>
        <v>110.82</v>
      </c>
      <c r="D19" s="1012">
        <v>1</v>
      </c>
      <c r="E19" s="1012">
        <v>5</v>
      </c>
      <c r="F19" s="1012">
        <v>7</v>
      </c>
      <c r="G19" s="1012">
        <v>1</v>
      </c>
      <c r="H19" s="1012">
        <v>16.75</v>
      </c>
      <c r="I19" s="1014">
        <f t="shared" si="89"/>
        <v>80.069999999999993</v>
      </c>
      <c r="J19" s="1020">
        <v>15.78</v>
      </c>
      <c r="K19" s="1020">
        <v>31.05</v>
      </c>
      <c r="L19" s="1020">
        <v>4.0599999999999996</v>
      </c>
      <c r="M19" s="1020">
        <v>2.95</v>
      </c>
      <c r="N19" s="1020">
        <v>1.37</v>
      </c>
      <c r="O19" s="1020">
        <v>0.69</v>
      </c>
      <c r="P19" s="1020">
        <v>6.67</v>
      </c>
      <c r="Q19" s="1020">
        <v>8.89</v>
      </c>
      <c r="R19" s="1020">
        <v>1.1100000000000001</v>
      </c>
      <c r="S19" s="1020">
        <v>7.5</v>
      </c>
      <c r="T19" s="1013">
        <f t="shared" si="90"/>
        <v>16.670000000000002</v>
      </c>
      <c r="U19" s="1013">
        <f t="shared" si="91"/>
        <v>6.67</v>
      </c>
      <c r="V19" s="1013">
        <f t="shared" si="2"/>
        <v>8.89</v>
      </c>
      <c r="W19" s="1013">
        <f t="shared" si="2"/>
        <v>1.1100000000000001</v>
      </c>
      <c r="X19" s="1013"/>
      <c r="Y19" s="1011">
        <f t="shared" si="92"/>
        <v>2405994.5499999998</v>
      </c>
      <c r="Z19" s="1012">
        <v>30057.599999999999</v>
      </c>
      <c r="AA19" s="1014">
        <f t="shared" si="3"/>
        <v>135259.20000000001</v>
      </c>
      <c r="AB19" s="1015">
        <f t="shared" si="93"/>
        <v>113694</v>
      </c>
      <c r="AC19" s="1015">
        <f t="shared" si="93"/>
        <v>16242</v>
      </c>
      <c r="AD19" s="1015">
        <f t="shared" si="93"/>
        <v>272053.5</v>
      </c>
      <c r="AE19" s="1015">
        <f t="shared" si="94"/>
        <v>1838688.25</v>
      </c>
      <c r="AF19" s="1015">
        <f t="shared" si="4"/>
        <v>395019.04</v>
      </c>
      <c r="AG19" s="1015">
        <f t="shared" si="5"/>
        <v>802529.83</v>
      </c>
      <c r="AH19" s="1015">
        <f t="shared" si="6"/>
        <v>103833.4</v>
      </c>
      <c r="AI19" s="1015">
        <f t="shared" si="7"/>
        <v>60526.86</v>
      </c>
      <c r="AJ19" s="1015">
        <f t="shared" si="8"/>
        <v>28109.08</v>
      </c>
      <c r="AK19" s="1015">
        <f t="shared" si="9"/>
        <v>14157.13</v>
      </c>
      <c r="AL19" s="1015">
        <f t="shared" si="10"/>
        <v>111239.86</v>
      </c>
      <c r="AM19" s="1015">
        <f t="shared" si="11"/>
        <v>148264.22</v>
      </c>
      <c r="AN19" s="1015">
        <f t="shared" si="12"/>
        <v>18512.18</v>
      </c>
      <c r="AO19" s="1015">
        <f t="shared" si="13"/>
        <v>141507.29999999999</v>
      </c>
      <c r="AP19" s="1015">
        <f t="shared" si="95"/>
        <v>14989.35</v>
      </c>
      <c r="AQ19" s="1015"/>
      <c r="AR19" s="1014">
        <f t="shared" si="96"/>
        <v>1.25</v>
      </c>
      <c r="AS19" s="1014">
        <f t="shared" si="97"/>
        <v>1.88</v>
      </c>
      <c r="AT19" s="1014">
        <f t="shared" si="98"/>
        <v>0</v>
      </c>
      <c r="AU19" s="1023">
        <v>15</v>
      </c>
      <c r="AV19" s="1023">
        <v>20</v>
      </c>
      <c r="AW19" s="1023">
        <v>25</v>
      </c>
      <c r="AX19" s="1023">
        <v>15</v>
      </c>
      <c r="AY19" s="1023">
        <f t="shared" si="99"/>
        <v>15</v>
      </c>
      <c r="AZ19" s="1023">
        <v>12</v>
      </c>
      <c r="BA19" s="1023">
        <v>15</v>
      </c>
      <c r="BB19" s="1023">
        <v>10</v>
      </c>
      <c r="BC19" s="1011">
        <f t="shared" si="100"/>
        <v>30</v>
      </c>
      <c r="BD19" s="1011">
        <f t="shared" si="101"/>
        <v>12</v>
      </c>
      <c r="BE19" s="1011">
        <f t="shared" si="14"/>
        <v>16</v>
      </c>
      <c r="BF19" s="1011">
        <f t="shared" si="14"/>
        <v>2</v>
      </c>
      <c r="BG19" s="1011">
        <f t="shared" si="102"/>
        <v>744</v>
      </c>
      <c r="BH19" s="1012">
        <v>11</v>
      </c>
      <c r="BI19" s="1012">
        <v>14</v>
      </c>
      <c r="BJ19" s="1012">
        <v>2</v>
      </c>
      <c r="BK19" s="1012">
        <v>710</v>
      </c>
      <c r="BL19" s="1016">
        <v>0</v>
      </c>
      <c r="BM19" s="1012">
        <v>1</v>
      </c>
      <c r="BN19" s="1012">
        <v>2</v>
      </c>
      <c r="BO19" s="1012"/>
      <c r="BP19" s="1012">
        <v>23</v>
      </c>
      <c r="BQ19" s="1016">
        <v>15</v>
      </c>
      <c r="BR19" s="1012"/>
      <c r="BS19" s="1012"/>
      <c r="BT19" s="1012"/>
      <c r="BU19" s="1012"/>
      <c r="BV19" s="1016">
        <v>0</v>
      </c>
      <c r="BW19" s="1012"/>
      <c r="BX19" s="1012"/>
      <c r="BY19" s="1012"/>
      <c r="BZ19" s="1012"/>
      <c r="CA19" s="1016">
        <v>0</v>
      </c>
      <c r="CB19" s="1012">
        <v>2</v>
      </c>
      <c r="CC19" s="1012">
        <v>1</v>
      </c>
      <c r="CD19" s="1012">
        <v>0</v>
      </c>
      <c r="CE19" s="1012">
        <v>3</v>
      </c>
      <c r="CF19" s="1016">
        <v>15</v>
      </c>
      <c r="CG19" s="1012">
        <v>1</v>
      </c>
      <c r="CH19" s="1012">
        <v>2</v>
      </c>
      <c r="CI19" s="1012">
        <v>1</v>
      </c>
      <c r="CJ19" s="1012">
        <v>4</v>
      </c>
      <c r="CK19" s="1016">
        <v>15</v>
      </c>
      <c r="CL19" s="1012">
        <v>4</v>
      </c>
      <c r="CM19" s="1012">
        <v>0</v>
      </c>
      <c r="CN19" s="1012"/>
      <c r="CO19" s="1012">
        <v>4</v>
      </c>
      <c r="CP19" s="1016">
        <v>15</v>
      </c>
      <c r="CQ19" s="1067">
        <v>43.5</v>
      </c>
      <c r="CR19" s="1067">
        <v>1.3</v>
      </c>
      <c r="CS19" s="1067">
        <v>146.4</v>
      </c>
      <c r="CT19" s="1018">
        <f t="shared" si="103"/>
        <v>159.69999999999999</v>
      </c>
      <c r="CU19" s="1018">
        <f t="shared" si="15"/>
        <v>1.8</v>
      </c>
      <c r="CV19" s="1019">
        <v>1.7</v>
      </c>
      <c r="CW19" s="1014">
        <f t="shared" si="16"/>
        <v>39325.19</v>
      </c>
      <c r="CX19" s="1017">
        <v>45304.5</v>
      </c>
      <c r="CY19" s="1014">
        <f t="shared" si="17"/>
        <v>3324637.05</v>
      </c>
      <c r="CZ19" s="1020">
        <v>10242.4</v>
      </c>
      <c r="DA19" s="1021">
        <v>40.891089999999998</v>
      </c>
      <c r="DB19" s="1027">
        <v>50</v>
      </c>
      <c r="DC19" s="1033">
        <f t="shared" si="104"/>
        <v>1.01525</v>
      </c>
      <c r="DD19" s="1011">
        <f t="shared" si="105"/>
        <v>29238667.52</v>
      </c>
      <c r="DE19" s="1014">
        <f t="shared" si="18"/>
        <v>366191.74</v>
      </c>
      <c r="DF19" s="1014">
        <f t="shared" si="19"/>
        <v>1647862.83</v>
      </c>
      <c r="DG19" s="1014">
        <f t="shared" si="106"/>
        <v>1364328</v>
      </c>
      <c r="DH19" s="1014">
        <f t="shared" si="106"/>
        <v>194904</v>
      </c>
      <c r="DI19" s="1014">
        <f t="shared" si="106"/>
        <v>3264642</v>
      </c>
      <c r="DJ19" s="1014">
        <f t="shared" si="20"/>
        <v>22400738.949999999</v>
      </c>
      <c r="DK19" s="1024">
        <f t="shared" si="107"/>
        <v>16566.84</v>
      </c>
      <c r="DL19" s="1024">
        <f t="shared" si="21"/>
        <v>675998.4</v>
      </c>
      <c r="DM19" s="1024">
        <f t="shared" si="22"/>
        <v>325710</v>
      </c>
      <c r="DN19" s="1024">
        <f t="shared" si="23"/>
        <v>47472</v>
      </c>
      <c r="DO19" s="1024">
        <f t="shared" si="108"/>
        <v>2204600.1</v>
      </c>
      <c r="DP19" s="1014">
        <f t="shared" si="109"/>
        <v>1572163.38</v>
      </c>
      <c r="DQ19" s="1014">
        <f t="shared" si="110"/>
        <v>314432.68</v>
      </c>
      <c r="DR19" s="1011">
        <f t="shared" si="111"/>
        <v>34395610.899999999</v>
      </c>
      <c r="DS19" s="1011">
        <f t="shared" si="112"/>
        <v>10387474.5</v>
      </c>
      <c r="DT19" s="1011">
        <f t="shared" si="113"/>
        <v>44783085.399999999</v>
      </c>
      <c r="DU19" s="1025"/>
      <c r="DV19" s="1028">
        <v>1.1072</v>
      </c>
      <c r="DW19" s="1011">
        <f t="shared" si="114"/>
        <v>475941.55</v>
      </c>
      <c r="DX19" s="1023">
        <v>40095</v>
      </c>
      <c r="DY19" s="1015">
        <f t="shared" si="115"/>
        <v>44393.18</v>
      </c>
      <c r="DZ19" s="1023"/>
      <c r="EA19" s="1015">
        <f t="shared" si="116"/>
        <v>0</v>
      </c>
      <c r="EB19" s="1023">
        <v>14000</v>
      </c>
      <c r="EC19" s="1015">
        <f t="shared" si="24"/>
        <v>44108.66</v>
      </c>
      <c r="ED19" s="1023">
        <v>261984.2</v>
      </c>
      <c r="EE19" s="1015">
        <f t="shared" si="117"/>
        <v>290068.90999999997</v>
      </c>
      <c r="EF19" s="1023">
        <v>47825</v>
      </c>
      <c r="EG19" s="1015">
        <f t="shared" si="25"/>
        <v>72612.539999999994</v>
      </c>
      <c r="EH19" s="1023">
        <v>0</v>
      </c>
      <c r="EI19" s="1015">
        <f t="shared" si="26"/>
        <v>24758.26</v>
      </c>
      <c r="EJ19" s="1011">
        <f t="shared" si="118"/>
        <v>2346992.2799999998</v>
      </c>
      <c r="EK19" s="1023"/>
      <c r="EL19" s="1015">
        <f t="shared" si="27"/>
        <v>101387.99</v>
      </c>
      <c r="EM19" s="1023">
        <v>583496.1</v>
      </c>
      <c r="EN19" s="1015">
        <f t="shared" si="28"/>
        <v>493685.69</v>
      </c>
      <c r="EO19" s="1068">
        <v>91</v>
      </c>
      <c r="EP19" s="1015">
        <f t="shared" si="119"/>
        <v>161033.60000000001</v>
      </c>
      <c r="EQ19" s="1068">
        <v>60</v>
      </c>
      <c r="ER19" s="1015">
        <f t="shared" si="29"/>
        <v>132120</v>
      </c>
      <c r="ES19" s="1068">
        <v>83</v>
      </c>
      <c r="ET19" s="1015">
        <f t="shared" si="30"/>
        <v>184392.8</v>
      </c>
      <c r="EU19" s="1068">
        <v>91</v>
      </c>
      <c r="EV19" s="1015">
        <f t="shared" si="31"/>
        <v>218600.2</v>
      </c>
      <c r="EW19" s="1068">
        <v>66</v>
      </c>
      <c r="EX19" s="1015">
        <f t="shared" si="32"/>
        <v>174781.2</v>
      </c>
      <c r="EY19" s="1068">
        <v>74</v>
      </c>
      <c r="EZ19" s="1015">
        <f t="shared" si="33"/>
        <v>226987.6</v>
      </c>
      <c r="FA19" s="1068">
        <v>75</v>
      </c>
      <c r="FB19" s="1015">
        <f t="shared" si="34"/>
        <v>276645</v>
      </c>
      <c r="FC19" s="1068">
        <v>92</v>
      </c>
      <c r="FD19" s="1015">
        <f t="shared" si="35"/>
        <v>350078.4</v>
      </c>
      <c r="FE19" s="1068">
        <v>73</v>
      </c>
      <c r="FF19" s="1015">
        <f t="shared" si="36"/>
        <v>257923.6</v>
      </c>
      <c r="FG19" s="1068">
        <v>16</v>
      </c>
      <c r="FH19" s="1015">
        <f t="shared" si="37"/>
        <v>54400</v>
      </c>
      <c r="FI19" s="1068">
        <v>23</v>
      </c>
      <c r="FJ19" s="1015">
        <f t="shared" si="38"/>
        <v>78200</v>
      </c>
      <c r="FK19" s="1015">
        <f t="shared" si="120"/>
        <v>2115162.4</v>
      </c>
      <c r="FL19" s="1023">
        <v>33779</v>
      </c>
      <c r="FM19" s="1015">
        <f t="shared" si="39"/>
        <v>109427.85</v>
      </c>
      <c r="FN19" s="1023">
        <v>25773</v>
      </c>
      <c r="FO19" s="1015">
        <f t="shared" si="40"/>
        <v>21014.04</v>
      </c>
      <c r="FP19" s="1011">
        <f t="shared" si="41"/>
        <v>2822933.83</v>
      </c>
      <c r="FQ19" s="1025"/>
      <c r="FR19" s="1011">
        <f t="shared" si="121"/>
        <v>47606019.229999997</v>
      </c>
      <c r="FS19" s="996"/>
      <c r="FT19" s="1029">
        <f t="shared" si="140"/>
        <v>47606.1</v>
      </c>
      <c r="FU19" s="1029">
        <f t="shared" si="122"/>
        <v>34395.599999999999</v>
      </c>
      <c r="FV19" s="1029">
        <f t="shared" si="123"/>
        <v>2690.1</v>
      </c>
      <c r="FW19" s="1029">
        <f t="shared" si="124"/>
        <v>1690</v>
      </c>
      <c r="FX19" s="1029">
        <f t="shared" si="125"/>
        <v>258.89999999999998</v>
      </c>
      <c r="FY19" s="1029">
        <f t="shared" si="126"/>
        <v>3264.6</v>
      </c>
      <c r="FZ19" s="1029">
        <f t="shared" si="127"/>
        <v>24605.3</v>
      </c>
      <c r="GA19" s="1029">
        <f t="shared" si="128"/>
        <v>1886.7</v>
      </c>
      <c r="GB19" s="1029">
        <f t="shared" si="42"/>
        <v>10387.5</v>
      </c>
      <c r="GC19" s="1029">
        <f t="shared" si="129"/>
        <v>44.4</v>
      </c>
      <c r="GD19" s="1029">
        <f t="shared" si="130"/>
        <v>0</v>
      </c>
      <c r="GE19" s="1029">
        <f t="shared" si="131"/>
        <v>44.1</v>
      </c>
      <c r="GF19" s="1029">
        <f t="shared" si="132"/>
        <v>290.10000000000002</v>
      </c>
      <c r="GG19" s="1029">
        <f t="shared" si="133"/>
        <v>72.599999999999994</v>
      </c>
      <c r="GH19" s="1029">
        <f t="shared" si="134"/>
        <v>24.8</v>
      </c>
      <c r="GI19" s="1029">
        <f t="shared" si="135"/>
        <v>101.4</v>
      </c>
      <c r="GJ19" s="1029">
        <f t="shared" si="136"/>
        <v>2115.1999999999998</v>
      </c>
      <c r="GK19" s="1029">
        <f t="shared" si="137"/>
        <v>109.4</v>
      </c>
      <c r="GL19" s="1029">
        <f t="shared" si="138"/>
        <v>21</v>
      </c>
      <c r="GM19" s="1069"/>
      <c r="GN19" s="1031">
        <f t="shared" si="43"/>
        <v>0.8084192</v>
      </c>
      <c r="GO19" s="1029">
        <f t="shared" si="139"/>
        <v>38485.800000000003</v>
      </c>
      <c r="GP19" s="1029">
        <f t="shared" si="44"/>
        <v>27806.1</v>
      </c>
      <c r="GQ19" s="1029">
        <f t="shared" si="45"/>
        <v>8397.5</v>
      </c>
      <c r="GR19" s="1029">
        <f t="shared" si="46"/>
        <v>35.9</v>
      </c>
      <c r="GS19" s="1029">
        <f t="shared" si="47"/>
        <v>0</v>
      </c>
      <c r="GT19" s="1029">
        <f t="shared" si="48"/>
        <v>35.700000000000003</v>
      </c>
      <c r="GU19" s="1029">
        <f t="shared" si="49"/>
        <v>234.5</v>
      </c>
      <c r="GV19" s="1029">
        <f t="shared" si="50"/>
        <v>58.7</v>
      </c>
      <c r="GW19" s="1029">
        <f t="shared" si="51"/>
        <v>20</v>
      </c>
      <c r="GX19" s="1029">
        <f t="shared" si="52"/>
        <v>82</v>
      </c>
      <c r="GY19" s="1029">
        <f t="shared" si="53"/>
        <v>1710</v>
      </c>
      <c r="GZ19" s="1029">
        <f t="shared" si="54"/>
        <v>88.4</v>
      </c>
      <c r="HA19" s="1029">
        <f t="shared" si="55"/>
        <v>17</v>
      </c>
      <c r="HB19" s="1029">
        <f t="shared" si="56"/>
        <v>2320.5</v>
      </c>
      <c r="HC19" s="996"/>
      <c r="HD19" s="1031">
        <f t="shared" si="57"/>
        <v>0.85399429999999998</v>
      </c>
      <c r="HE19" s="1029">
        <f t="shared" si="58"/>
        <v>40655.300000000003</v>
      </c>
      <c r="HF19" s="1029">
        <f t="shared" si="59"/>
        <v>29373.599999999999</v>
      </c>
      <c r="HG19" s="1029">
        <f t="shared" si="60"/>
        <v>8870.9</v>
      </c>
      <c r="HH19" s="1029">
        <f t="shared" si="61"/>
        <v>37.9</v>
      </c>
      <c r="HI19" s="1029">
        <f t="shared" si="62"/>
        <v>0</v>
      </c>
      <c r="HJ19" s="1029">
        <f t="shared" si="63"/>
        <v>37.700000000000003</v>
      </c>
      <c r="HK19" s="1029">
        <f t="shared" si="64"/>
        <v>247.7</v>
      </c>
      <c r="HL19" s="1029">
        <f t="shared" si="65"/>
        <v>62</v>
      </c>
      <c r="HM19" s="1029">
        <f t="shared" si="66"/>
        <v>21.2</v>
      </c>
      <c r="HN19" s="1029">
        <f t="shared" si="67"/>
        <v>86.6</v>
      </c>
      <c r="HO19" s="1029">
        <f t="shared" si="68"/>
        <v>1806.4</v>
      </c>
      <c r="HP19" s="1029">
        <f t="shared" si="69"/>
        <v>93.4</v>
      </c>
      <c r="HQ19" s="1029">
        <f t="shared" si="70"/>
        <v>17.899999999999999</v>
      </c>
      <c r="HR19" s="1029">
        <f t="shared" si="71"/>
        <v>2451.3000000000002</v>
      </c>
      <c r="HS19" s="996"/>
      <c r="HT19" s="1031">
        <f t="shared" si="72"/>
        <v>0.90058660000000001</v>
      </c>
      <c r="HU19" s="1029">
        <f t="shared" si="73"/>
        <v>42873.3</v>
      </c>
      <c r="HV19" s="1029">
        <f t="shared" si="74"/>
        <v>30976.2</v>
      </c>
      <c r="HW19" s="1029">
        <f t="shared" si="75"/>
        <v>9354.7999999999993</v>
      </c>
      <c r="HX19" s="1029">
        <f t="shared" si="76"/>
        <v>40</v>
      </c>
      <c r="HY19" s="1029">
        <f t="shared" si="77"/>
        <v>0</v>
      </c>
      <c r="HZ19" s="1029">
        <f t="shared" si="78"/>
        <v>39.700000000000003</v>
      </c>
      <c r="IA19" s="1029">
        <f t="shared" si="79"/>
        <v>261.3</v>
      </c>
      <c r="IB19" s="1029">
        <f t="shared" si="80"/>
        <v>65.400000000000006</v>
      </c>
      <c r="IC19" s="1029">
        <f t="shared" si="81"/>
        <v>22.3</v>
      </c>
      <c r="ID19" s="1029">
        <f t="shared" si="82"/>
        <v>91.3</v>
      </c>
      <c r="IE19" s="1029">
        <f t="shared" si="83"/>
        <v>1904.9</v>
      </c>
      <c r="IF19" s="1029">
        <f t="shared" si="84"/>
        <v>98.5</v>
      </c>
      <c r="IG19" s="1029">
        <f t="shared" si="85"/>
        <v>18.899999999999999</v>
      </c>
      <c r="IH19" s="1029">
        <f t="shared" si="86"/>
        <v>2585</v>
      </c>
    </row>
    <row r="20" spans="1:242" ht="18.75" x14ac:dyDescent="0.25">
      <c r="A20" s="1010" t="s">
        <v>1802</v>
      </c>
      <c r="B20" s="1011">
        <f t="shared" si="87"/>
        <v>101.11</v>
      </c>
      <c r="C20" s="1011">
        <f t="shared" si="88"/>
        <v>101.11</v>
      </c>
      <c r="D20" s="1012">
        <v>1</v>
      </c>
      <c r="E20" s="1012">
        <v>5</v>
      </c>
      <c r="F20" s="1012">
        <v>4.5</v>
      </c>
      <c r="G20" s="1012">
        <v>1</v>
      </c>
      <c r="H20" s="1012">
        <v>11</v>
      </c>
      <c r="I20" s="1014">
        <f t="shared" si="89"/>
        <v>78.61</v>
      </c>
      <c r="J20" s="1020">
        <v>16</v>
      </c>
      <c r="K20" s="1020">
        <v>31</v>
      </c>
      <c r="L20" s="1020">
        <v>10.39</v>
      </c>
      <c r="M20" s="1020"/>
      <c r="N20" s="1020"/>
      <c r="O20" s="1020"/>
      <c r="P20" s="1020">
        <v>6.67</v>
      </c>
      <c r="Q20" s="1020">
        <v>8.33</v>
      </c>
      <c r="R20" s="1020">
        <v>2.2200000000000002</v>
      </c>
      <c r="S20" s="1020">
        <v>4</v>
      </c>
      <c r="T20" s="1013">
        <f t="shared" si="90"/>
        <v>17.22</v>
      </c>
      <c r="U20" s="1013">
        <f t="shared" si="91"/>
        <v>6.67</v>
      </c>
      <c r="V20" s="1013">
        <f t="shared" si="2"/>
        <v>8.33</v>
      </c>
      <c r="W20" s="1013">
        <f t="shared" si="2"/>
        <v>2.2200000000000002</v>
      </c>
      <c r="X20" s="1013"/>
      <c r="Y20" s="1011">
        <f t="shared" si="92"/>
        <v>2267093.23</v>
      </c>
      <c r="Z20" s="1012">
        <v>30057.599999999999</v>
      </c>
      <c r="AA20" s="1014">
        <f t="shared" si="3"/>
        <v>135259.20000000001</v>
      </c>
      <c r="AB20" s="1015">
        <f t="shared" si="93"/>
        <v>73089</v>
      </c>
      <c r="AC20" s="1015">
        <f t="shared" si="93"/>
        <v>16242</v>
      </c>
      <c r="AD20" s="1015">
        <f t="shared" si="93"/>
        <v>178662</v>
      </c>
      <c r="AE20" s="1015">
        <f t="shared" si="94"/>
        <v>1833783.43</v>
      </c>
      <c r="AF20" s="1015">
        <f t="shared" si="4"/>
        <v>397636.48</v>
      </c>
      <c r="AG20" s="1015">
        <f t="shared" si="5"/>
        <v>792816.63</v>
      </c>
      <c r="AH20" s="1015">
        <f t="shared" si="6"/>
        <v>265721.44</v>
      </c>
      <c r="AI20" s="1015">
        <f t="shared" si="7"/>
        <v>0</v>
      </c>
      <c r="AJ20" s="1015">
        <f t="shared" si="8"/>
        <v>0</v>
      </c>
      <c r="AK20" s="1015">
        <f t="shared" si="9"/>
        <v>0</v>
      </c>
      <c r="AL20" s="1015">
        <f t="shared" si="10"/>
        <v>111239.86</v>
      </c>
      <c r="AM20" s="1015">
        <f t="shared" si="11"/>
        <v>138924.74</v>
      </c>
      <c r="AN20" s="1015">
        <f t="shared" si="12"/>
        <v>37024.36</v>
      </c>
      <c r="AO20" s="1015">
        <f t="shared" si="13"/>
        <v>75470.559999999998</v>
      </c>
      <c r="AP20" s="1015">
        <f t="shared" si="95"/>
        <v>14949.36</v>
      </c>
      <c r="AQ20" s="1015"/>
      <c r="AR20" s="1014">
        <f t="shared" si="96"/>
        <v>0</v>
      </c>
      <c r="AS20" s="1014">
        <f t="shared" si="97"/>
        <v>0</v>
      </c>
      <c r="AT20" s="1014">
        <f t="shared" si="98"/>
        <v>0</v>
      </c>
      <c r="AU20" s="1023">
        <v>15</v>
      </c>
      <c r="AV20" s="1023">
        <v>20</v>
      </c>
      <c r="AW20" s="1023">
        <v>25</v>
      </c>
      <c r="AX20" s="1023">
        <v>15</v>
      </c>
      <c r="AY20" s="1023">
        <f t="shared" si="99"/>
        <v>15</v>
      </c>
      <c r="AZ20" s="1023">
        <v>12</v>
      </c>
      <c r="BA20" s="1023">
        <v>15</v>
      </c>
      <c r="BB20" s="1023">
        <v>10</v>
      </c>
      <c r="BC20" s="1011">
        <f t="shared" si="100"/>
        <v>31</v>
      </c>
      <c r="BD20" s="1011">
        <f t="shared" si="101"/>
        <v>12</v>
      </c>
      <c r="BE20" s="1011">
        <f t="shared" si="14"/>
        <v>15</v>
      </c>
      <c r="BF20" s="1011">
        <f t="shared" si="14"/>
        <v>4</v>
      </c>
      <c r="BG20" s="1011">
        <f t="shared" si="102"/>
        <v>825</v>
      </c>
      <c r="BH20" s="1012">
        <v>12</v>
      </c>
      <c r="BI20" s="1012">
        <v>15</v>
      </c>
      <c r="BJ20" s="1012">
        <v>4</v>
      </c>
      <c r="BK20" s="1012">
        <v>823</v>
      </c>
      <c r="BL20" s="1016">
        <v>0</v>
      </c>
      <c r="BM20" s="1012">
        <v>0</v>
      </c>
      <c r="BN20" s="1012">
        <v>0</v>
      </c>
      <c r="BO20" s="1012"/>
      <c r="BP20" s="1012">
        <v>0</v>
      </c>
      <c r="BQ20" s="1016">
        <v>15</v>
      </c>
      <c r="BR20" s="1012"/>
      <c r="BS20" s="1012"/>
      <c r="BT20" s="1012"/>
      <c r="BU20" s="1012"/>
      <c r="BV20" s="1016">
        <v>0</v>
      </c>
      <c r="BW20" s="1012"/>
      <c r="BX20" s="1012"/>
      <c r="BY20" s="1012"/>
      <c r="BZ20" s="1012"/>
      <c r="CA20" s="1016">
        <v>0</v>
      </c>
      <c r="CB20" s="1012">
        <v>0</v>
      </c>
      <c r="CC20" s="1012">
        <v>0</v>
      </c>
      <c r="CD20" s="1012">
        <v>0</v>
      </c>
      <c r="CE20" s="1012">
        <v>0</v>
      </c>
      <c r="CF20" s="1016">
        <v>15</v>
      </c>
      <c r="CG20" s="1012">
        <v>1</v>
      </c>
      <c r="CH20" s="1012">
        <v>0</v>
      </c>
      <c r="CI20" s="1012">
        <v>1</v>
      </c>
      <c r="CJ20" s="1012">
        <v>2</v>
      </c>
      <c r="CK20" s="1016">
        <v>15</v>
      </c>
      <c r="CL20" s="1012">
        <v>0</v>
      </c>
      <c r="CM20" s="1012">
        <v>0</v>
      </c>
      <c r="CN20" s="1012"/>
      <c r="CO20" s="1012">
        <v>0</v>
      </c>
      <c r="CP20" s="1016">
        <v>15</v>
      </c>
      <c r="CQ20" s="1067">
        <v>48.2</v>
      </c>
      <c r="CR20" s="1067">
        <v>1</v>
      </c>
      <c r="CS20" s="1067">
        <v>233</v>
      </c>
      <c r="CT20" s="1018">
        <f t="shared" si="103"/>
        <v>254.2</v>
      </c>
      <c r="CU20" s="1018">
        <f t="shared" si="15"/>
        <v>1.6</v>
      </c>
      <c r="CV20" s="1032">
        <v>1.6</v>
      </c>
      <c r="CW20" s="1014">
        <f t="shared" si="16"/>
        <v>37760.89</v>
      </c>
      <c r="CX20" s="1017">
        <v>45304.5</v>
      </c>
      <c r="CY20" s="1014">
        <f t="shared" si="17"/>
        <v>4390946.79</v>
      </c>
      <c r="CZ20" s="1020">
        <v>15971.2</v>
      </c>
      <c r="DA20" s="1021">
        <v>63.76238</v>
      </c>
      <c r="DB20" s="1027">
        <v>50</v>
      </c>
      <c r="DC20" s="1033">
        <f t="shared" si="104"/>
        <v>1.01525</v>
      </c>
      <c r="DD20" s="1011">
        <f t="shared" si="105"/>
        <v>27570954.100000001</v>
      </c>
      <c r="DE20" s="1014">
        <f t="shared" si="18"/>
        <v>366191.74</v>
      </c>
      <c r="DF20" s="1014">
        <f t="shared" si="19"/>
        <v>1647862.83</v>
      </c>
      <c r="DG20" s="1014">
        <f t="shared" si="106"/>
        <v>877068</v>
      </c>
      <c r="DH20" s="1014">
        <f t="shared" si="106"/>
        <v>194904</v>
      </c>
      <c r="DI20" s="1014">
        <f t="shared" si="106"/>
        <v>2143944</v>
      </c>
      <c r="DJ20" s="1014">
        <f t="shared" si="20"/>
        <v>22340983.530000001</v>
      </c>
      <c r="DK20" s="1024">
        <f t="shared" si="107"/>
        <v>16566.84</v>
      </c>
      <c r="DL20" s="1024">
        <f t="shared" si="21"/>
        <v>1054099.2</v>
      </c>
      <c r="DM20" s="1024">
        <f t="shared" si="22"/>
        <v>209385</v>
      </c>
      <c r="DN20" s="1024">
        <f t="shared" si="23"/>
        <v>47472</v>
      </c>
      <c r="DO20" s="1024">
        <f t="shared" si="108"/>
        <v>3273897.61</v>
      </c>
      <c r="DP20" s="1014">
        <f t="shared" si="109"/>
        <v>1542242.59</v>
      </c>
      <c r="DQ20" s="1014">
        <f t="shared" si="110"/>
        <v>308448.52</v>
      </c>
      <c r="DR20" s="1011">
        <f t="shared" si="111"/>
        <v>34023065.899999999</v>
      </c>
      <c r="DS20" s="1011">
        <f t="shared" si="112"/>
        <v>10274965.9</v>
      </c>
      <c r="DT20" s="1011">
        <f t="shared" si="113"/>
        <v>44298031.799999997</v>
      </c>
      <c r="DU20" s="1025"/>
      <c r="DV20" s="1028">
        <v>1.1072</v>
      </c>
      <c r="DW20" s="1011">
        <f t="shared" si="114"/>
        <v>1329084.67</v>
      </c>
      <c r="DX20" s="1023">
        <v>122473.32</v>
      </c>
      <c r="DY20" s="1015">
        <f t="shared" si="115"/>
        <v>135602.46</v>
      </c>
      <c r="DZ20" s="1023">
        <v>415949.96</v>
      </c>
      <c r="EA20" s="1015">
        <f t="shared" si="116"/>
        <v>460539.8</v>
      </c>
      <c r="EB20" s="1023">
        <v>40000</v>
      </c>
      <c r="EC20" s="1015">
        <f t="shared" si="24"/>
        <v>43304.38</v>
      </c>
      <c r="ED20" s="1023">
        <v>536527</v>
      </c>
      <c r="EE20" s="1015">
        <f t="shared" si="117"/>
        <v>594042.68999999994</v>
      </c>
      <c r="EF20" s="1023">
        <v>62845</v>
      </c>
      <c r="EG20" s="1015">
        <f t="shared" si="25"/>
        <v>71288.52</v>
      </c>
      <c r="EH20" s="1023">
        <v>0</v>
      </c>
      <c r="EI20" s="1015">
        <f t="shared" si="26"/>
        <v>24306.82</v>
      </c>
      <c r="EJ20" s="1011">
        <f t="shared" si="118"/>
        <v>2603021.62</v>
      </c>
      <c r="EK20" s="1023">
        <v>54789</v>
      </c>
      <c r="EL20" s="1015">
        <f t="shared" si="27"/>
        <v>112426.2</v>
      </c>
      <c r="EM20" s="1023">
        <v>1243400.33</v>
      </c>
      <c r="EN20" s="1015">
        <f t="shared" si="28"/>
        <v>547433.73</v>
      </c>
      <c r="EO20" s="1068">
        <v>86</v>
      </c>
      <c r="EP20" s="1015">
        <f t="shared" si="119"/>
        <v>152185.60000000001</v>
      </c>
      <c r="EQ20" s="1068">
        <v>82</v>
      </c>
      <c r="ER20" s="1015">
        <f t="shared" si="29"/>
        <v>180564</v>
      </c>
      <c r="ES20" s="1068">
        <v>100</v>
      </c>
      <c r="ET20" s="1015">
        <f t="shared" si="30"/>
        <v>222160</v>
      </c>
      <c r="EU20" s="1068">
        <v>90</v>
      </c>
      <c r="EV20" s="1015">
        <f t="shared" si="31"/>
        <v>216198</v>
      </c>
      <c r="EW20" s="1068">
        <v>72</v>
      </c>
      <c r="EX20" s="1015">
        <f t="shared" si="32"/>
        <v>190670.4</v>
      </c>
      <c r="EY20" s="1068">
        <v>71</v>
      </c>
      <c r="EZ20" s="1015">
        <f t="shared" si="33"/>
        <v>217785.4</v>
      </c>
      <c r="FA20" s="1068">
        <v>86</v>
      </c>
      <c r="FB20" s="1015">
        <f t="shared" si="34"/>
        <v>317219.59999999998</v>
      </c>
      <c r="FC20" s="1068">
        <v>73</v>
      </c>
      <c r="FD20" s="1015">
        <f t="shared" si="35"/>
        <v>277779.59999999998</v>
      </c>
      <c r="FE20" s="1068">
        <v>78</v>
      </c>
      <c r="FF20" s="1015">
        <f t="shared" si="36"/>
        <v>275589.59999999998</v>
      </c>
      <c r="FG20" s="1068">
        <v>49</v>
      </c>
      <c r="FH20" s="1015">
        <f t="shared" si="37"/>
        <v>166600</v>
      </c>
      <c r="FI20" s="1068">
        <v>38</v>
      </c>
      <c r="FJ20" s="1015">
        <f t="shared" si="38"/>
        <v>129200</v>
      </c>
      <c r="FK20" s="1015">
        <f t="shared" si="120"/>
        <v>2345952.2000000002</v>
      </c>
      <c r="FL20" s="1023">
        <v>42526.68</v>
      </c>
      <c r="FM20" s="1015">
        <f t="shared" si="39"/>
        <v>121341.37</v>
      </c>
      <c r="FN20" s="1023">
        <v>17907.96</v>
      </c>
      <c r="FO20" s="1015">
        <f t="shared" si="40"/>
        <v>23301.85</v>
      </c>
      <c r="FP20" s="1011">
        <f t="shared" si="41"/>
        <v>3932106.29</v>
      </c>
      <c r="FQ20" s="1025"/>
      <c r="FR20" s="1011">
        <f t="shared" si="121"/>
        <v>48230138.090000004</v>
      </c>
      <c r="FS20" s="996"/>
      <c r="FT20" s="1029">
        <f t="shared" si="140"/>
        <v>48230.1</v>
      </c>
      <c r="FU20" s="1029">
        <f t="shared" si="122"/>
        <v>34023.1</v>
      </c>
      <c r="FV20" s="1029">
        <f t="shared" si="123"/>
        <v>3068.2</v>
      </c>
      <c r="FW20" s="1029">
        <f t="shared" si="124"/>
        <v>1086.5</v>
      </c>
      <c r="FX20" s="1029">
        <f t="shared" si="125"/>
        <v>258.89999999999998</v>
      </c>
      <c r="FY20" s="1029">
        <f t="shared" si="126"/>
        <v>2143.9</v>
      </c>
      <c r="FZ20" s="1029">
        <f t="shared" si="127"/>
        <v>25614.9</v>
      </c>
      <c r="GA20" s="1029">
        <f t="shared" si="128"/>
        <v>1850.7</v>
      </c>
      <c r="GB20" s="1029">
        <f t="shared" si="42"/>
        <v>10275</v>
      </c>
      <c r="GC20" s="1029">
        <f t="shared" si="129"/>
        <v>135.6</v>
      </c>
      <c r="GD20" s="1029">
        <f t="shared" si="130"/>
        <v>460.5</v>
      </c>
      <c r="GE20" s="1029">
        <f t="shared" si="131"/>
        <v>43.3</v>
      </c>
      <c r="GF20" s="1029">
        <f t="shared" si="132"/>
        <v>594</v>
      </c>
      <c r="GG20" s="1029">
        <f t="shared" si="133"/>
        <v>71.3</v>
      </c>
      <c r="GH20" s="1029">
        <f t="shared" si="134"/>
        <v>24.3</v>
      </c>
      <c r="GI20" s="1029">
        <f t="shared" si="135"/>
        <v>112.4</v>
      </c>
      <c r="GJ20" s="1029">
        <f t="shared" si="136"/>
        <v>2346</v>
      </c>
      <c r="GK20" s="1029">
        <f t="shared" si="137"/>
        <v>121.3</v>
      </c>
      <c r="GL20" s="1029">
        <f t="shared" si="138"/>
        <v>23.3</v>
      </c>
      <c r="GM20" s="1069"/>
      <c r="GN20" s="1031">
        <f t="shared" si="43"/>
        <v>0.8084192</v>
      </c>
      <c r="GO20" s="1029">
        <f t="shared" si="139"/>
        <v>38990.1</v>
      </c>
      <c r="GP20" s="1029">
        <f t="shared" si="44"/>
        <v>27504.9</v>
      </c>
      <c r="GQ20" s="1029">
        <f t="shared" si="45"/>
        <v>8306.5</v>
      </c>
      <c r="GR20" s="1029">
        <f t="shared" si="46"/>
        <v>109.6</v>
      </c>
      <c r="GS20" s="1029">
        <f t="shared" si="47"/>
        <v>372.3</v>
      </c>
      <c r="GT20" s="1029">
        <f t="shared" si="48"/>
        <v>35</v>
      </c>
      <c r="GU20" s="1029">
        <f t="shared" si="49"/>
        <v>480.2</v>
      </c>
      <c r="GV20" s="1029">
        <f t="shared" si="50"/>
        <v>57.6</v>
      </c>
      <c r="GW20" s="1029">
        <f t="shared" si="51"/>
        <v>19.600000000000001</v>
      </c>
      <c r="GX20" s="1029">
        <f t="shared" si="52"/>
        <v>90.9</v>
      </c>
      <c r="GY20" s="1029">
        <f t="shared" si="53"/>
        <v>1896.6</v>
      </c>
      <c r="GZ20" s="1029">
        <f t="shared" si="54"/>
        <v>98.1</v>
      </c>
      <c r="HA20" s="1029">
        <f t="shared" si="55"/>
        <v>18.8</v>
      </c>
      <c r="HB20" s="1029">
        <f t="shared" si="56"/>
        <v>3446</v>
      </c>
      <c r="HC20" s="996"/>
      <c r="HD20" s="1031">
        <f t="shared" si="57"/>
        <v>0.85399429999999998</v>
      </c>
      <c r="HE20" s="1029">
        <f t="shared" si="58"/>
        <v>41188.400000000001</v>
      </c>
      <c r="HF20" s="1029">
        <f t="shared" si="59"/>
        <v>29055.5</v>
      </c>
      <c r="HG20" s="1029">
        <f t="shared" si="60"/>
        <v>8774.7999999999993</v>
      </c>
      <c r="HH20" s="1029">
        <f t="shared" si="61"/>
        <v>115.8</v>
      </c>
      <c r="HI20" s="1029">
        <f t="shared" si="62"/>
        <v>393.3</v>
      </c>
      <c r="HJ20" s="1029">
        <f t="shared" si="63"/>
        <v>37</v>
      </c>
      <c r="HK20" s="1029">
        <f t="shared" si="64"/>
        <v>507.3</v>
      </c>
      <c r="HL20" s="1029">
        <f t="shared" si="65"/>
        <v>60.9</v>
      </c>
      <c r="HM20" s="1029">
        <f t="shared" si="66"/>
        <v>20.8</v>
      </c>
      <c r="HN20" s="1029">
        <f t="shared" si="67"/>
        <v>96</v>
      </c>
      <c r="HO20" s="1029">
        <f t="shared" si="68"/>
        <v>2003.5</v>
      </c>
      <c r="HP20" s="1029">
        <f t="shared" si="69"/>
        <v>103.6</v>
      </c>
      <c r="HQ20" s="1029">
        <f t="shared" si="70"/>
        <v>19.899999999999999</v>
      </c>
      <c r="HR20" s="1029">
        <f t="shared" si="71"/>
        <v>3640.2</v>
      </c>
      <c r="HS20" s="996"/>
      <c r="HT20" s="1031">
        <f t="shared" si="72"/>
        <v>0.90058660000000001</v>
      </c>
      <c r="HU20" s="1029">
        <f t="shared" si="73"/>
        <v>43435.199999999997</v>
      </c>
      <c r="HV20" s="1029">
        <f t="shared" si="74"/>
        <v>30640.7</v>
      </c>
      <c r="HW20" s="1029">
        <f t="shared" si="75"/>
        <v>9253.5</v>
      </c>
      <c r="HX20" s="1029">
        <f t="shared" si="76"/>
        <v>122.1</v>
      </c>
      <c r="HY20" s="1029">
        <f t="shared" si="77"/>
        <v>414.7</v>
      </c>
      <c r="HZ20" s="1029">
        <f t="shared" si="78"/>
        <v>39</v>
      </c>
      <c r="IA20" s="1029">
        <f t="shared" si="79"/>
        <v>534.9</v>
      </c>
      <c r="IB20" s="1029">
        <f t="shared" si="80"/>
        <v>64.2</v>
      </c>
      <c r="IC20" s="1029">
        <f t="shared" si="81"/>
        <v>21.9</v>
      </c>
      <c r="ID20" s="1029">
        <f t="shared" si="82"/>
        <v>101.2</v>
      </c>
      <c r="IE20" s="1029">
        <f t="shared" si="83"/>
        <v>2112.8000000000002</v>
      </c>
      <c r="IF20" s="1029">
        <f t="shared" si="84"/>
        <v>109.2</v>
      </c>
      <c r="IG20" s="1029">
        <f t="shared" si="85"/>
        <v>21</v>
      </c>
      <c r="IH20" s="1029">
        <f t="shared" si="86"/>
        <v>3838.9</v>
      </c>
    </row>
    <row r="21" spans="1:242" ht="18.75" x14ac:dyDescent="0.25">
      <c r="A21" s="1010" t="s">
        <v>672</v>
      </c>
      <c r="B21" s="1011">
        <f t="shared" si="87"/>
        <v>71.739999999999995</v>
      </c>
      <c r="C21" s="1011">
        <f t="shared" si="88"/>
        <v>71.739999999999995</v>
      </c>
      <c r="D21" s="1012">
        <v>1</v>
      </c>
      <c r="E21" s="1012">
        <v>5</v>
      </c>
      <c r="F21" s="1012">
        <v>6.25</v>
      </c>
      <c r="G21" s="1012">
        <v>1</v>
      </c>
      <c r="H21" s="1012">
        <v>10.050000000000001</v>
      </c>
      <c r="I21" s="1014">
        <f t="shared" si="89"/>
        <v>48.44</v>
      </c>
      <c r="J21" s="1020">
        <v>0</v>
      </c>
      <c r="K21" s="1020">
        <v>26.67</v>
      </c>
      <c r="L21" s="1020">
        <v>3.72</v>
      </c>
      <c r="M21" s="1020"/>
      <c r="N21" s="1020"/>
      <c r="O21" s="1020"/>
      <c r="P21" s="1020">
        <v>0</v>
      </c>
      <c r="Q21" s="1020">
        <v>9.44</v>
      </c>
      <c r="R21" s="1020">
        <v>1.1100000000000001</v>
      </c>
      <c r="S21" s="1020">
        <v>7.5</v>
      </c>
      <c r="T21" s="1013">
        <f t="shared" si="90"/>
        <v>10.55</v>
      </c>
      <c r="U21" s="1013">
        <f t="shared" si="91"/>
        <v>0</v>
      </c>
      <c r="V21" s="1013">
        <f t="shared" si="2"/>
        <v>9.44</v>
      </c>
      <c r="W21" s="1013">
        <f t="shared" si="2"/>
        <v>1.1100000000000001</v>
      </c>
      <c r="X21" s="1013"/>
      <c r="Y21" s="1011">
        <f t="shared" si="92"/>
        <v>1611793.64</v>
      </c>
      <c r="Z21" s="1012">
        <v>35067.199999999997</v>
      </c>
      <c r="AA21" s="1014">
        <f t="shared" si="3"/>
        <v>157802.4</v>
      </c>
      <c r="AB21" s="1015">
        <f t="shared" si="93"/>
        <v>101512.5</v>
      </c>
      <c r="AC21" s="1015">
        <f t="shared" si="93"/>
        <v>16242</v>
      </c>
      <c r="AD21" s="1015">
        <f t="shared" si="93"/>
        <v>163232.1</v>
      </c>
      <c r="AE21" s="1015">
        <f t="shared" si="94"/>
        <v>1137937.44</v>
      </c>
      <c r="AF21" s="1015">
        <f t="shared" si="4"/>
        <v>0</v>
      </c>
      <c r="AG21" s="1015">
        <f t="shared" si="5"/>
        <v>716066.35</v>
      </c>
      <c r="AH21" s="1015">
        <f t="shared" si="6"/>
        <v>95138</v>
      </c>
      <c r="AI21" s="1015">
        <f t="shared" si="7"/>
        <v>0</v>
      </c>
      <c r="AJ21" s="1015">
        <f t="shared" si="8"/>
        <v>0</v>
      </c>
      <c r="AK21" s="1015">
        <f t="shared" si="9"/>
        <v>0</v>
      </c>
      <c r="AL21" s="1015">
        <f t="shared" si="10"/>
        <v>0</v>
      </c>
      <c r="AM21" s="1015">
        <f t="shared" si="11"/>
        <v>157436.92000000001</v>
      </c>
      <c r="AN21" s="1015">
        <f t="shared" si="12"/>
        <v>18512.18</v>
      </c>
      <c r="AO21" s="1015">
        <f t="shared" si="13"/>
        <v>141507.29999999999</v>
      </c>
      <c r="AP21" s="1015">
        <f t="shared" si="95"/>
        <v>9276.69</v>
      </c>
      <c r="AQ21" s="1015"/>
      <c r="AR21" s="1014">
        <f t="shared" si="96"/>
        <v>0</v>
      </c>
      <c r="AS21" s="1014">
        <f t="shared" si="97"/>
        <v>8.82</v>
      </c>
      <c r="AT21" s="1014">
        <f t="shared" si="98"/>
        <v>0</v>
      </c>
      <c r="AU21" s="1023">
        <v>15</v>
      </c>
      <c r="AV21" s="1023">
        <v>20</v>
      </c>
      <c r="AW21" s="1023">
        <v>25</v>
      </c>
      <c r="AX21" s="1023">
        <v>15</v>
      </c>
      <c r="AY21" s="1023">
        <f t="shared" si="99"/>
        <v>15</v>
      </c>
      <c r="AZ21" s="1023">
        <v>12</v>
      </c>
      <c r="BA21" s="1023">
        <v>15</v>
      </c>
      <c r="BB21" s="1023">
        <v>10</v>
      </c>
      <c r="BC21" s="1011">
        <f t="shared" si="100"/>
        <v>19</v>
      </c>
      <c r="BD21" s="1011">
        <f t="shared" si="101"/>
        <v>0</v>
      </c>
      <c r="BE21" s="1011">
        <f t="shared" si="14"/>
        <v>17</v>
      </c>
      <c r="BF21" s="1011">
        <f t="shared" si="14"/>
        <v>2</v>
      </c>
      <c r="BG21" s="1011">
        <f t="shared" si="102"/>
        <v>283</v>
      </c>
      <c r="BH21" s="1012">
        <v>0</v>
      </c>
      <c r="BI21" s="1012">
        <v>0</v>
      </c>
      <c r="BJ21" s="1012">
        <v>0</v>
      </c>
      <c r="BK21" s="1012">
        <v>0</v>
      </c>
      <c r="BL21" s="1016">
        <v>0</v>
      </c>
      <c r="BM21" s="1012">
        <v>0</v>
      </c>
      <c r="BN21" s="1012">
        <v>10</v>
      </c>
      <c r="BO21" s="1012"/>
      <c r="BP21" s="1012">
        <v>118</v>
      </c>
      <c r="BQ21" s="1016">
        <v>15</v>
      </c>
      <c r="BR21" s="1012"/>
      <c r="BS21" s="1012">
        <v>5</v>
      </c>
      <c r="BT21" s="1012">
        <v>2</v>
      </c>
      <c r="BU21" s="1012">
        <v>160</v>
      </c>
      <c r="BV21" s="1016">
        <v>0</v>
      </c>
      <c r="BW21" s="1012"/>
      <c r="BX21" s="1012">
        <v>2</v>
      </c>
      <c r="BY21" s="1012"/>
      <c r="BZ21" s="1012">
        <v>5</v>
      </c>
      <c r="CA21" s="1016">
        <v>0</v>
      </c>
      <c r="CB21" s="1012">
        <v>0</v>
      </c>
      <c r="CC21" s="1012">
        <v>0</v>
      </c>
      <c r="CD21" s="1012">
        <v>0</v>
      </c>
      <c r="CE21" s="1012">
        <v>0</v>
      </c>
      <c r="CF21" s="1016">
        <v>15</v>
      </c>
      <c r="CG21" s="1012">
        <v>0</v>
      </c>
      <c r="CH21" s="1012">
        <v>0</v>
      </c>
      <c r="CI21" s="1012">
        <v>0</v>
      </c>
      <c r="CJ21" s="1012">
        <v>0</v>
      </c>
      <c r="CK21" s="1016">
        <v>15</v>
      </c>
      <c r="CL21" s="1012">
        <v>0</v>
      </c>
      <c r="CM21" s="1012">
        <v>0</v>
      </c>
      <c r="CN21" s="1012"/>
      <c r="CO21" s="1012">
        <v>0</v>
      </c>
      <c r="CP21" s="1016">
        <v>15</v>
      </c>
      <c r="CQ21" s="1067">
        <v>24.9</v>
      </c>
      <c r="CR21" s="1067">
        <v>0.9</v>
      </c>
      <c r="CS21" s="1067">
        <v>0</v>
      </c>
      <c r="CT21" s="1018">
        <f t="shared" si="103"/>
        <v>0</v>
      </c>
      <c r="CU21" s="1018">
        <f t="shared" si="15"/>
        <v>1.9</v>
      </c>
      <c r="CV21" s="1019">
        <v>1.7</v>
      </c>
      <c r="CW21" s="1014">
        <f t="shared" si="16"/>
        <v>39935.870000000003</v>
      </c>
      <c r="CX21" s="1017">
        <v>45304.5</v>
      </c>
      <c r="CY21" s="1014">
        <f t="shared" si="17"/>
        <v>1801585.91</v>
      </c>
      <c r="CZ21" s="1020">
        <v>11110.4</v>
      </c>
      <c r="DA21" s="1021">
        <v>44.356439999999999</v>
      </c>
      <c r="DB21" s="1027">
        <v>50</v>
      </c>
      <c r="DC21" s="1033">
        <f t="shared" si="104"/>
        <v>1.01525</v>
      </c>
      <c r="DD21" s="1011">
        <f t="shared" si="105"/>
        <v>19585061.370000001</v>
      </c>
      <c r="DE21" s="1014">
        <f t="shared" si="18"/>
        <v>427223.7</v>
      </c>
      <c r="DF21" s="1014">
        <f t="shared" si="19"/>
        <v>1922506.64</v>
      </c>
      <c r="DG21" s="1014">
        <f t="shared" si="106"/>
        <v>1218150</v>
      </c>
      <c r="DH21" s="1014">
        <f t="shared" si="106"/>
        <v>194904</v>
      </c>
      <c r="DI21" s="1014">
        <f t="shared" si="106"/>
        <v>1958785.2</v>
      </c>
      <c r="DJ21" s="1014">
        <f t="shared" si="20"/>
        <v>13863491.83</v>
      </c>
      <c r="DK21" s="1024">
        <f t="shared" si="107"/>
        <v>16566.84</v>
      </c>
      <c r="DL21" s="1024">
        <f t="shared" si="21"/>
        <v>733286.40000000002</v>
      </c>
      <c r="DM21" s="1024">
        <f t="shared" si="22"/>
        <v>290812.5</v>
      </c>
      <c r="DN21" s="1024">
        <f t="shared" si="23"/>
        <v>47472</v>
      </c>
      <c r="DO21" s="1024">
        <f t="shared" si="108"/>
        <v>1108411.32</v>
      </c>
      <c r="DP21" s="1014">
        <f t="shared" si="109"/>
        <v>1034673.63</v>
      </c>
      <c r="DQ21" s="1014">
        <f t="shared" si="110"/>
        <v>206934.73</v>
      </c>
      <c r="DR21" s="1011">
        <f t="shared" si="111"/>
        <v>23023218.800000001</v>
      </c>
      <c r="DS21" s="1011">
        <f t="shared" si="112"/>
        <v>6953012.0999999996</v>
      </c>
      <c r="DT21" s="1011">
        <f t="shared" si="113"/>
        <v>29976230.899999999</v>
      </c>
      <c r="DU21" s="1025"/>
      <c r="DV21" s="1028">
        <v>1.1072</v>
      </c>
      <c r="DW21" s="1011">
        <f t="shared" si="114"/>
        <v>388789.45</v>
      </c>
      <c r="DX21" s="1023">
        <v>50683.31</v>
      </c>
      <c r="DY21" s="1015">
        <f t="shared" si="115"/>
        <v>56116.56</v>
      </c>
      <c r="DZ21" s="1023"/>
      <c r="EA21" s="1015">
        <f t="shared" si="116"/>
        <v>0</v>
      </c>
      <c r="EB21" s="1023">
        <v>51800</v>
      </c>
      <c r="EC21" s="1015">
        <f t="shared" si="24"/>
        <v>26684.45</v>
      </c>
      <c r="ED21" s="1023">
        <v>223159.29</v>
      </c>
      <c r="EE21" s="1015">
        <f t="shared" si="117"/>
        <v>247081.97</v>
      </c>
      <c r="EF21" s="1023">
        <v>22930</v>
      </c>
      <c r="EG21" s="1015">
        <f t="shared" si="25"/>
        <v>43928.45</v>
      </c>
      <c r="EH21" s="1023">
        <v>0</v>
      </c>
      <c r="EI21" s="1015">
        <f t="shared" si="26"/>
        <v>14978.02</v>
      </c>
      <c r="EJ21" s="1011">
        <f t="shared" si="118"/>
        <v>1092897.3999999999</v>
      </c>
      <c r="EK21" s="1023"/>
      <c r="EL21" s="1015">
        <f t="shared" si="27"/>
        <v>38565.589999999997</v>
      </c>
      <c r="EM21" s="1023">
        <v>108817.4</v>
      </c>
      <c r="EN21" s="1015">
        <f t="shared" si="28"/>
        <v>187786.36</v>
      </c>
      <c r="EO21" s="1068">
        <v>0</v>
      </c>
      <c r="EP21" s="1015">
        <f t="shared" si="119"/>
        <v>0</v>
      </c>
      <c r="EQ21" s="1068">
        <v>0</v>
      </c>
      <c r="ER21" s="1015">
        <f t="shared" si="29"/>
        <v>0</v>
      </c>
      <c r="ES21" s="1068">
        <v>0</v>
      </c>
      <c r="ET21" s="1015">
        <f t="shared" si="30"/>
        <v>0</v>
      </c>
      <c r="EU21" s="1068">
        <v>0</v>
      </c>
      <c r="EV21" s="1015">
        <f t="shared" si="31"/>
        <v>0</v>
      </c>
      <c r="EW21" s="1068">
        <v>6</v>
      </c>
      <c r="EX21" s="1015">
        <f t="shared" si="32"/>
        <v>15889.2</v>
      </c>
      <c r="EY21" s="1068">
        <v>19</v>
      </c>
      <c r="EZ21" s="1015">
        <f t="shared" si="33"/>
        <v>58280.6</v>
      </c>
      <c r="FA21" s="1068">
        <v>19</v>
      </c>
      <c r="FB21" s="1015">
        <f t="shared" si="34"/>
        <v>70083.399999999994</v>
      </c>
      <c r="FC21" s="1068">
        <v>79</v>
      </c>
      <c r="FD21" s="1015">
        <f t="shared" si="35"/>
        <v>300610.8</v>
      </c>
      <c r="FE21" s="1068">
        <v>119</v>
      </c>
      <c r="FF21" s="1015">
        <f t="shared" si="36"/>
        <v>420450.8</v>
      </c>
      <c r="FG21" s="1068">
        <v>19</v>
      </c>
      <c r="FH21" s="1015">
        <f t="shared" si="37"/>
        <v>64600</v>
      </c>
      <c r="FI21" s="1068">
        <v>22</v>
      </c>
      <c r="FJ21" s="1015">
        <f t="shared" si="38"/>
        <v>74800</v>
      </c>
      <c r="FK21" s="1015">
        <f t="shared" si="120"/>
        <v>1004714.8</v>
      </c>
      <c r="FL21" s="1023">
        <v>132450.5</v>
      </c>
      <c r="FM21" s="1015">
        <f t="shared" si="39"/>
        <v>41623.769999999997</v>
      </c>
      <c r="FN21" s="1023">
        <v>10159.5</v>
      </c>
      <c r="FO21" s="1015">
        <f t="shared" si="40"/>
        <v>7993.24</v>
      </c>
      <c r="FP21" s="1011">
        <f t="shared" si="41"/>
        <v>1481686.85</v>
      </c>
      <c r="FQ21" s="1025"/>
      <c r="FR21" s="1011">
        <f t="shared" si="121"/>
        <v>31457917.75</v>
      </c>
      <c r="FS21" s="996"/>
      <c r="FT21" s="1029">
        <f t="shared" si="140"/>
        <v>31457.9</v>
      </c>
      <c r="FU21" s="1029">
        <f t="shared" si="122"/>
        <v>23023.200000000001</v>
      </c>
      <c r="FV21" s="1029">
        <f t="shared" si="123"/>
        <v>3083</v>
      </c>
      <c r="FW21" s="1029">
        <f t="shared" si="124"/>
        <v>1509</v>
      </c>
      <c r="FX21" s="1029">
        <f t="shared" si="125"/>
        <v>258.89999999999998</v>
      </c>
      <c r="FY21" s="1029">
        <f t="shared" si="126"/>
        <v>1958.8</v>
      </c>
      <c r="FZ21" s="1029">
        <f t="shared" si="127"/>
        <v>14971.9</v>
      </c>
      <c r="GA21" s="1029">
        <f t="shared" si="128"/>
        <v>1241.5999999999999</v>
      </c>
      <c r="GB21" s="1029">
        <f t="shared" si="42"/>
        <v>6953</v>
      </c>
      <c r="GC21" s="1029">
        <f t="shared" si="129"/>
        <v>56.1</v>
      </c>
      <c r="GD21" s="1029">
        <f t="shared" si="130"/>
        <v>0</v>
      </c>
      <c r="GE21" s="1029">
        <f t="shared" si="131"/>
        <v>26.7</v>
      </c>
      <c r="GF21" s="1029">
        <f t="shared" si="132"/>
        <v>247.1</v>
      </c>
      <c r="GG21" s="1029">
        <f t="shared" si="133"/>
        <v>43.9</v>
      </c>
      <c r="GH21" s="1029">
        <f t="shared" si="134"/>
        <v>15</v>
      </c>
      <c r="GI21" s="1029">
        <f t="shared" si="135"/>
        <v>38.6</v>
      </c>
      <c r="GJ21" s="1029">
        <f t="shared" si="136"/>
        <v>1004.7</v>
      </c>
      <c r="GK21" s="1029">
        <f t="shared" si="137"/>
        <v>41.6</v>
      </c>
      <c r="GL21" s="1029">
        <f t="shared" si="138"/>
        <v>8</v>
      </c>
      <c r="GM21" s="1069"/>
      <c r="GN21" s="1031">
        <f t="shared" si="43"/>
        <v>0.8084192</v>
      </c>
      <c r="GO21" s="1029">
        <f t="shared" si="139"/>
        <v>25431.200000000001</v>
      </c>
      <c r="GP21" s="1029">
        <f t="shared" si="44"/>
        <v>18612.400000000001</v>
      </c>
      <c r="GQ21" s="1029">
        <f t="shared" si="45"/>
        <v>5620.9</v>
      </c>
      <c r="GR21" s="1029">
        <f t="shared" si="46"/>
        <v>45.4</v>
      </c>
      <c r="GS21" s="1029">
        <f t="shared" si="47"/>
        <v>0</v>
      </c>
      <c r="GT21" s="1029">
        <f t="shared" si="48"/>
        <v>21.6</v>
      </c>
      <c r="GU21" s="1029">
        <f t="shared" si="49"/>
        <v>199.8</v>
      </c>
      <c r="GV21" s="1029">
        <f t="shared" si="50"/>
        <v>35.5</v>
      </c>
      <c r="GW21" s="1029">
        <f t="shared" si="51"/>
        <v>12.1</v>
      </c>
      <c r="GX21" s="1029">
        <f t="shared" si="52"/>
        <v>31.2</v>
      </c>
      <c r="GY21" s="1029">
        <f t="shared" si="53"/>
        <v>812.2</v>
      </c>
      <c r="GZ21" s="1029">
        <f t="shared" si="54"/>
        <v>33.6</v>
      </c>
      <c r="HA21" s="1029">
        <f t="shared" si="55"/>
        <v>6.5</v>
      </c>
      <c r="HB21" s="1029">
        <f t="shared" si="56"/>
        <v>1166.7</v>
      </c>
      <c r="HC21" s="996"/>
      <c r="HD21" s="1031">
        <f t="shared" si="57"/>
        <v>0.85399429999999998</v>
      </c>
      <c r="HE21" s="1029">
        <f t="shared" si="58"/>
        <v>26864.799999999999</v>
      </c>
      <c r="HF21" s="1029">
        <f t="shared" si="59"/>
        <v>19661.7</v>
      </c>
      <c r="HG21" s="1029">
        <f t="shared" si="60"/>
        <v>5937.8</v>
      </c>
      <c r="HH21" s="1029">
        <f t="shared" si="61"/>
        <v>47.9</v>
      </c>
      <c r="HI21" s="1029">
        <f t="shared" si="62"/>
        <v>0</v>
      </c>
      <c r="HJ21" s="1029">
        <f t="shared" si="63"/>
        <v>22.8</v>
      </c>
      <c r="HK21" s="1029">
        <f t="shared" si="64"/>
        <v>211</v>
      </c>
      <c r="HL21" s="1029">
        <f t="shared" si="65"/>
        <v>37.5</v>
      </c>
      <c r="HM21" s="1029">
        <f t="shared" si="66"/>
        <v>12.8</v>
      </c>
      <c r="HN21" s="1029">
        <f t="shared" si="67"/>
        <v>33</v>
      </c>
      <c r="HO21" s="1029">
        <f t="shared" si="68"/>
        <v>858</v>
      </c>
      <c r="HP21" s="1029">
        <f t="shared" si="69"/>
        <v>35.5</v>
      </c>
      <c r="HQ21" s="1029">
        <f t="shared" si="70"/>
        <v>6.8</v>
      </c>
      <c r="HR21" s="1029">
        <f t="shared" si="71"/>
        <v>1232.4000000000001</v>
      </c>
      <c r="HS21" s="996"/>
      <c r="HT21" s="1031">
        <f t="shared" si="72"/>
        <v>0.90058660000000001</v>
      </c>
      <c r="HU21" s="1029">
        <f t="shared" si="73"/>
        <v>28330.5</v>
      </c>
      <c r="HV21" s="1029">
        <f t="shared" si="74"/>
        <v>20734.400000000001</v>
      </c>
      <c r="HW21" s="1029">
        <f t="shared" si="75"/>
        <v>6261.8</v>
      </c>
      <c r="HX21" s="1029">
        <f t="shared" si="76"/>
        <v>50.5</v>
      </c>
      <c r="HY21" s="1029">
        <f t="shared" si="77"/>
        <v>0</v>
      </c>
      <c r="HZ21" s="1029">
        <f t="shared" si="78"/>
        <v>24</v>
      </c>
      <c r="IA21" s="1029">
        <f t="shared" si="79"/>
        <v>222.5</v>
      </c>
      <c r="IB21" s="1029">
        <f t="shared" si="80"/>
        <v>39.5</v>
      </c>
      <c r="IC21" s="1029">
        <f t="shared" si="81"/>
        <v>13.5</v>
      </c>
      <c r="ID21" s="1029">
        <f t="shared" si="82"/>
        <v>34.799999999999997</v>
      </c>
      <c r="IE21" s="1029">
        <f t="shared" si="83"/>
        <v>904.8</v>
      </c>
      <c r="IF21" s="1029">
        <f t="shared" si="84"/>
        <v>37.5</v>
      </c>
      <c r="IG21" s="1029">
        <f t="shared" si="85"/>
        <v>7.2</v>
      </c>
      <c r="IH21" s="1029">
        <f t="shared" si="86"/>
        <v>1299.7</v>
      </c>
    </row>
    <row r="22" spans="1:242" ht="18.75" x14ac:dyDescent="0.25">
      <c r="A22" s="1010" t="s">
        <v>673</v>
      </c>
      <c r="B22" s="1011">
        <f t="shared" si="87"/>
        <v>106.44</v>
      </c>
      <c r="C22" s="1011">
        <f t="shared" si="88"/>
        <v>106.44</v>
      </c>
      <c r="D22" s="1012">
        <v>1</v>
      </c>
      <c r="E22" s="1012">
        <v>5</v>
      </c>
      <c r="F22" s="1012">
        <v>6.5</v>
      </c>
      <c r="G22" s="1012">
        <v>1</v>
      </c>
      <c r="H22" s="1012">
        <v>11</v>
      </c>
      <c r="I22" s="1014">
        <f t="shared" si="89"/>
        <v>81.94</v>
      </c>
      <c r="J22" s="1020">
        <v>19.61</v>
      </c>
      <c r="K22" s="1020">
        <v>31</v>
      </c>
      <c r="L22" s="1020">
        <v>4.1100000000000003</v>
      </c>
      <c r="M22" s="1020">
        <v>1.5</v>
      </c>
      <c r="N22" s="1020">
        <v>3.39</v>
      </c>
      <c r="O22" s="1020"/>
      <c r="P22" s="1020">
        <v>8.33</v>
      </c>
      <c r="Q22" s="1020">
        <v>8.89</v>
      </c>
      <c r="R22" s="1020">
        <v>1.1100000000000001</v>
      </c>
      <c r="S22" s="1020">
        <v>4</v>
      </c>
      <c r="T22" s="1013">
        <f t="shared" si="90"/>
        <v>18.329999999999998</v>
      </c>
      <c r="U22" s="1013">
        <f t="shared" si="91"/>
        <v>8.33</v>
      </c>
      <c r="V22" s="1013">
        <f t="shared" si="2"/>
        <v>8.89</v>
      </c>
      <c r="W22" s="1013">
        <f t="shared" si="2"/>
        <v>1.1100000000000001</v>
      </c>
      <c r="X22" s="1013"/>
      <c r="Y22" s="1011">
        <f t="shared" si="92"/>
        <v>2392321.4500000002</v>
      </c>
      <c r="Z22" s="1012">
        <v>36319.599999999999</v>
      </c>
      <c r="AA22" s="1014">
        <f t="shared" si="3"/>
        <v>163438.20000000001</v>
      </c>
      <c r="AB22" s="1015">
        <f t="shared" si="93"/>
        <v>105573</v>
      </c>
      <c r="AC22" s="1015">
        <f t="shared" si="93"/>
        <v>16242</v>
      </c>
      <c r="AD22" s="1015">
        <f t="shared" si="93"/>
        <v>178662</v>
      </c>
      <c r="AE22" s="1015">
        <f t="shared" si="94"/>
        <v>1892086.65</v>
      </c>
      <c r="AF22" s="1015">
        <f t="shared" si="4"/>
        <v>493020.11</v>
      </c>
      <c r="AG22" s="1015">
        <f t="shared" si="5"/>
        <v>797027.07</v>
      </c>
      <c r="AH22" s="1015">
        <f t="shared" si="6"/>
        <v>105112.14</v>
      </c>
      <c r="AI22" s="1015">
        <f t="shared" si="7"/>
        <v>30776.37</v>
      </c>
      <c r="AJ22" s="1015">
        <f t="shared" si="8"/>
        <v>69554.600000000006</v>
      </c>
      <c r="AK22" s="1015">
        <f t="shared" si="9"/>
        <v>0</v>
      </c>
      <c r="AL22" s="1015">
        <f t="shared" si="10"/>
        <v>138924.74</v>
      </c>
      <c r="AM22" s="1015">
        <f t="shared" si="11"/>
        <v>148264.22</v>
      </c>
      <c r="AN22" s="1015">
        <f t="shared" si="12"/>
        <v>18512.18</v>
      </c>
      <c r="AO22" s="1015">
        <f t="shared" si="13"/>
        <v>75470.559999999998</v>
      </c>
      <c r="AP22" s="1015">
        <f t="shared" si="95"/>
        <v>15424.66</v>
      </c>
      <c r="AQ22" s="1015"/>
      <c r="AR22" s="1014">
        <f t="shared" si="96"/>
        <v>2</v>
      </c>
      <c r="AS22" s="1014">
        <f t="shared" si="97"/>
        <v>0.94</v>
      </c>
      <c r="AT22" s="1014">
        <f t="shared" si="98"/>
        <v>0</v>
      </c>
      <c r="AU22" s="1023">
        <v>15</v>
      </c>
      <c r="AV22" s="1023">
        <v>20</v>
      </c>
      <c r="AW22" s="1023">
        <v>25</v>
      </c>
      <c r="AX22" s="1023">
        <v>15</v>
      </c>
      <c r="AY22" s="1023">
        <f t="shared" si="99"/>
        <v>15</v>
      </c>
      <c r="AZ22" s="1023">
        <v>12</v>
      </c>
      <c r="BA22" s="1023">
        <v>15</v>
      </c>
      <c r="BB22" s="1023">
        <v>10</v>
      </c>
      <c r="BC22" s="1011">
        <f t="shared" si="100"/>
        <v>33</v>
      </c>
      <c r="BD22" s="1011">
        <f t="shared" si="101"/>
        <v>15</v>
      </c>
      <c r="BE22" s="1011">
        <f t="shared" si="14"/>
        <v>16</v>
      </c>
      <c r="BF22" s="1011">
        <f t="shared" si="14"/>
        <v>2</v>
      </c>
      <c r="BG22" s="1011">
        <f t="shared" si="102"/>
        <v>878</v>
      </c>
      <c r="BH22" s="1012">
        <v>13</v>
      </c>
      <c r="BI22" s="1012">
        <v>15</v>
      </c>
      <c r="BJ22" s="1012">
        <v>2</v>
      </c>
      <c r="BK22" s="1012">
        <v>837</v>
      </c>
      <c r="BL22" s="1016">
        <v>0</v>
      </c>
      <c r="BM22" s="1012">
        <v>2</v>
      </c>
      <c r="BN22" s="1012">
        <v>1</v>
      </c>
      <c r="BO22" s="1012"/>
      <c r="BP22" s="1012">
        <v>29</v>
      </c>
      <c r="BQ22" s="1016">
        <v>15</v>
      </c>
      <c r="BR22" s="1012"/>
      <c r="BS22" s="1012"/>
      <c r="BT22" s="1012"/>
      <c r="BU22" s="1012"/>
      <c r="BV22" s="1016">
        <v>0</v>
      </c>
      <c r="BW22" s="1012"/>
      <c r="BX22" s="1012"/>
      <c r="BY22" s="1012"/>
      <c r="BZ22" s="1012"/>
      <c r="CA22" s="1016">
        <v>0</v>
      </c>
      <c r="CB22" s="1012">
        <v>0</v>
      </c>
      <c r="CC22" s="1012">
        <v>6</v>
      </c>
      <c r="CD22" s="1012">
        <v>0</v>
      </c>
      <c r="CE22" s="1012">
        <v>6</v>
      </c>
      <c r="CF22" s="1016">
        <v>15</v>
      </c>
      <c r="CG22" s="1012">
        <v>0</v>
      </c>
      <c r="CH22" s="1012">
        <v>3</v>
      </c>
      <c r="CI22" s="1012">
        <v>0</v>
      </c>
      <c r="CJ22" s="1012">
        <v>3</v>
      </c>
      <c r="CK22" s="1016">
        <v>15</v>
      </c>
      <c r="CL22" s="1012">
        <v>2</v>
      </c>
      <c r="CM22" s="1012">
        <v>1</v>
      </c>
      <c r="CN22" s="1012"/>
      <c r="CO22" s="1012">
        <v>3</v>
      </c>
      <c r="CP22" s="1016">
        <v>15</v>
      </c>
      <c r="CQ22" s="1067">
        <v>45.7</v>
      </c>
      <c r="CR22" s="1067">
        <v>2.2999999999999998</v>
      </c>
      <c r="CS22" s="1067">
        <v>92.1</v>
      </c>
      <c r="CT22" s="1018">
        <f t="shared" si="103"/>
        <v>100.5</v>
      </c>
      <c r="CU22" s="1018">
        <f t="shared" si="15"/>
        <v>1.7</v>
      </c>
      <c r="CV22" s="1032">
        <v>1.6</v>
      </c>
      <c r="CW22" s="1014">
        <f t="shared" si="16"/>
        <v>37114.050000000003</v>
      </c>
      <c r="CX22" s="1017">
        <v>45304.5</v>
      </c>
      <c r="CY22" s="1014">
        <f t="shared" si="17"/>
        <v>4892155.79</v>
      </c>
      <c r="CZ22" s="1020">
        <v>5208</v>
      </c>
      <c r="DA22" s="1021">
        <v>20.792079999999999</v>
      </c>
      <c r="DB22" s="1027">
        <v>50</v>
      </c>
      <c r="DC22" s="1033">
        <f t="shared" si="104"/>
        <v>1.01525</v>
      </c>
      <c r="DD22" s="1011">
        <f t="shared" si="105"/>
        <v>29090664.940000001</v>
      </c>
      <c r="DE22" s="1014">
        <f t="shared" si="18"/>
        <v>442481.69</v>
      </c>
      <c r="DF22" s="1014">
        <f t="shared" si="19"/>
        <v>1991167.59</v>
      </c>
      <c r="DG22" s="1014">
        <f t="shared" si="106"/>
        <v>1266876</v>
      </c>
      <c r="DH22" s="1014">
        <f t="shared" si="106"/>
        <v>194904</v>
      </c>
      <c r="DI22" s="1014">
        <f t="shared" si="106"/>
        <v>2143944</v>
      </c>
      <c r="DJ22" s="1014">
        <f t="shared" si="20"/>
        <v>23051291.66</v>
      </c>
      <c r="DK22" s="1024">
        <f t="shared" si="107"/>
        <v>16566.84</v>
      </c>
      <c r="DL22" s="1024">
        <f t="shared" si="21"/>
        <v>343728</v>
      </c>
      <c r="DM22" s="1024">
        <f t="shared" si="22"/>
        <v>302445</v>
      </c>
      <c r="DN22" s="1024">
        <f t="shared" si="23"/>
        <v>47472</v>
      </c>
      <c r="DO22" s="1024">
        <f t="shared" si="108"/>
        <v>3739591.21</v>
      </c>
      <c r="DP22" s="1014">
        <f t="shared" si="109"/>
        <v>1641512.81</v>
      </c>
      <c r="DQ22" s="1014">
        <f t="shared" si="110"/>
        <v>328302.56</v>
      </c>
      <c r="DR22" s="1011">
        <f t="shared" si="111"/>
        <v>35510283.399999999</v>
      </c>
      <c r="DS22" s="1011">
        <f t="shared" si="112"/>
        <v>10724105.6</v>
      </c>
      <c r="DT22" s="1011">
        <f t="shared" si="113"/>
        <v>46234389</v>
      </c>
      <c r="DU22" s="1025"/>
      <c r="DV22" s="1028">
        <v>1.1072</v>
      </c>
      <c r="DW22" s="1011">
        <f t="shared" si="114"/>
        <v>343547.49</v>
      </c>
      <c r="DX22" s="1023">
        <v>43371.360000000001</v>
      </c>
      <c r="DY22" s="1015">
        <f t="shared" si="115"/>
        <v>48020.77</v>
      </c>
      <c r="DZ22" s="1023"/>
      <c r="EA22" s="1015">
        <f t="shared" si="116"/>
        <v>0</v>
      </c>
      <c r="EB22" s="1023"/>
      <c r="EC22" s="1015">
        <f t="shared" si="24"/>
        <v>45138.8</v>
      </c>
      <c r="ED22" s="1023">
        <v>136148</v>
      </c>
      <c r="EE22" s="1015">
        <f t="shared" si="117"/>
        <v>150743.07</v>
      </c>
      <c r="EF22" s="1023">
        <v>62921</v>
      </c>
      <c r="EG22" s="1015">
        <f t="shared" si="25"/>
        <v>74308.37</v>
      </c>
      <c r="EH22" s="1023">
        <v>0</v>
      </c>
      <c r="EI22" s="1015">
        <f t="shared" si="26"/>
        <v>25336.48</v>
      </c>
      <c r="EJ22" s="1011">
        <f t="shared" si="118"/>
        <v>2718672.18</v>
      </c>
      <c r="EK22" s="1023"/>
      <c r="EL22" s="1015">
        <f t="shared" si="27"/>
        <v>119648.73</v>
      </c>
      <c r="EM22" s="1023">
        <v>279433</v>
      </c>
      <c r="EN22" s="1015">
        <f t="shared" si="28"/>
        <v>582602.19999999995</v>
      </c>
      <c r="EO22" s="1068">
        <v>106</v>
      </c>
      <c r="EP22" s="1015">
        <f t="shared" si="119"/>
        <v>187577.60000000001</v>
      </c>
      <c r="EQ22" s="1068">
        <v>106</v>
      </c>
      <c r="ER22" s="1015">
        <f t="shared" si="29"/>
        <v>233412</v>
      </c>
      <c r="ES22" s="1068">
        <v>85</v>
      </c>
      <c r="ET22" s="1015">
        <f t="shared" si="30"/>
        <v>188836</v>
      </c>
      <c r="EU22" s="1068">
        <v>86</v>
      </c>
      <c r="EV22" s="1015">
        <f t="shared" si="31"/>
        <v>206589.2</v>
      </c>
      <c r="EW22" s="1068">
        <v>96</v>
      </c>
      <c r="EX22" s="1015">
        <f t="shared" si="32"/>
        <v>254227.20000000001</v>
      </c>
      <c r="EY22" s="1068">
        <v>124</v>
      </c>
      <c r="EZ22" s="1015">
        <f t="shared" si="33"/>
        <v>380357.6</v>
      </c>
      <c r="FA22" s="1068">
        <v>78</v>
      </c>
      <c r="FB22" s="1015">
        <f t="shared" si="34"/>
        <v>287710.8</v>
      </c>
      <c r="FC22" s="1068">
        <v>62</v>
      </c>
      <c r="FD22" s="1015">
        <f t="shared" si="35"/>
        <v>235922.4</v>
      </c>
      <c r="FE22" s="1068">
        <v>86</v>
      </c>
      <c r="FF22" s="1015">
        <f t="shared" si="36"/>
        <v>303855.2</v>
      </c>
      <c r="FG22" s="1068">
        <v>28</v>
      </c>
      <c r="FH22" s="1015">
        <f t="shared" si="37"/>
        <v>95200</v>
      </c>
      <c r="FI22" s="1068">
        <v>21</v>
      </c>
      <c r="FJ22" s="1015">
        <f t="shared" si="38"/>
        <v>71400</v>
      </c>
      <c r="FK22" s="1015">
        <f t="shared" si="120"/>
        <v>2445088</v>
      </c>
      <c r="FL22" s="1023">
        <v>72000</v>
      </c>
      <c r="FM22" s="1015">
        <f t="shared" si="39"/>
        <v>129136.63</v>
      </c>
      <c r="FN22" s="1023">
        <v>22827</v>
      </c>
      <c r="FO22" s="1015">
        <f t="shared" si="40"/>
        <v>24798.82</v>
      </c>
      <c r="FP22" s="1011">
        <f t="shared" si="41"/>
        <v>3062219.67</v>
      </c>
      <c r="FQ22" s="1025"/>
      <c r="FR22" s="1011">
        <f t="shared" si="121"/>
        <v>49296608.670000002</v>
      </c>
      <c r="FS22" s="996"/>
      <c r="FT22" s="1029">
        <f t="shared" si="140"/>
        <v>49296.4</v>
      </c>
      <c r="FU22" s="1029">
        <f t="shared" si="122"/>
        <v>35510.300000000003</v>
      </c>
      <c r="FV22" s="1029">
        <f t="shared" si="123"/>
        <v>2777.4</v>
      </c>
      <c r="FW22" s="1029">
        <f t="shared" si="124"/>
        <v>1569.3</v>
      </c>
      <c r="FX22" s="1029">
        <f t="shared" si="125"/>
        <v>258.89999999999998</v>
      </c>
      <c r="FY22" s="1029">
        <f t="shared" si="126"/>
        <v>2143.9</v>
      </c>
      <c r="FZ22" s="1029">
        <f t="shared" si="127"/>
        <v>26790.9</v>
      </c>
      <c r="GA22" s="1029">
        <f t="shared" si="128"/>
        <v>1969.9</v>
      </c>
      <c r="GB22" s="1029">
        <f t="shared" si="42"/>
        <v>10724.1</v>
      </c>
      <c r="GC22" s="1029">
        <f t="shared" si="129"/>
        <v>48</v>
      </c>
      <c r="GD22" s="1029">
        <f t="shared" si="130"/>
        <v>0</v>
      </c>
      <c r="GE22" s="1029">
        <f t="shared" si="131"/>
        <v>45.1</v>
      </c>
      <c r="GF22" s="1029">
        <f t="shared" si="132"/>
        <v>150.69999999999999</v>
      </c>
      <c r="GG22" s="1029">
        <f t="shared" si="133"/>
        <v>74.3</v>
      </c>
      <c r="GH22" s="1029">
        <f t="shared" si="134"/>
        <v>25.3</v>
      </c>
      <c r="GI22" s="1029">
        <f t="shared" si="135"/>
        <v>119.6</v>
      </c>
      <c r="GJ22" s="1029">
        <f t="shared" si="136"/>
        <v>2445.1</v>
      </c>
      <c r="GK22" s="1029">
        <f t="shared" si="137"/>
        <v>129.1</v>
      </c>
      <c r="GL22" s="1029">
        <f t="shared" si="138"/>
        <v>24.8</v>
      </c>
      <c r="GM22" s="1069"/>
      <c r="GN22" s="1031">
        <f t="shared" si="43"/>
        <v>0.8084192</v>
      </c>
      <c r="GO22" s="1029">
        <f t="shared" si="139"/>
        <v>39852.300000000003</v>
      </c>
      <c r="GP22" s="1029">
        <f t="shared" si="44"/>
        <v>28707.200000000001</v>
      </c>
      <c r="GQ22" s="1029">
        <f t="shared" si="45"/>
        <v>8669.6</v>
      </c>
      <c r="GR22" s="1029">
        <f t="shared" si="46"/>
        <v>38.799999999999997</v>
      </c>
      <c r="GS22" s="1029">
        <f t="shared" si="47"/>
        <v>0</v>
      </c>
      <c r="GT22" s="1029">
        <f t="shared" si="48"/>
        <v>36.5</v>
      </c>
      <c r="GU22" s="1029">
        <f t="shared" si="49"/>
        <v>121.8</v>
      </c>
      <c r="GV22" s="1029">
        <f t="shared" si="50"/>
        <v>60.1</v>
      </c>
      <c r="GW22" s="1029">
        <f t="shared" si="51"/>
        <v>20.5</v>
      </c>
      <c r="GX22" s="1029">
        <f t="shared" si="52"/>
        <v>96.7</v>
      </c>
      <c r="GY22" s="1029">
        <f t="shared" si="53"/>
        <v>1976.7</v>
      </c>
      <c r="GZ22" s="1029">
        <f t="shared" si="54"/>
        <v>104.4</v>
      </c>
      <c r="HA22" s="1029">
        <f t="shared" si="55"/>
        <v>20</v>
      </c>
      <c r="HB22" s="1029">
        <f t="shared" si="56"/>
        <v>3936.2</v>
      </c>
      <c r="HC22" s="996"/>
      <c r="HD22" s="1031">
        <f t="shared" si="57"/>
        <v>0.85399429999999998</v>
      </c>
      <c r="HE22" s="1029">
        <f t="shared" si="58"/>
        <v>42098.9</v>
      </c>
      <c r="HF22" s="1029">
        <f t="shared" si="59"/>
        <v>30325.599999999999</v>
      </c>
      <c r="HG22" s="1029">
        <f t="shared" si="60"/>
        <v>9158.2999999999993</v>
      </c>
      <c r="HH22" s="1029">
        <f t="shared" si="61"/>
        <v>41</v>
      </c>
      <c r="HI22" s="1029">
        <f t="shared" si="62"/>
        <v>0</v>
      </c>
      <c r="HJ22" s="1029">
        <f t="shared" si="63"/>
        <v>38.5</v>
      </c>
      <c r="HK22" s="1029">
        <f t="shared" si="64"/>
        <v>128.69999999999999</v>
      </c>
      <c r="HL22" s="1029">
        <f t="shared" si="65"/>
        <v>63.5</v>
      </c>
      <c r="HM22" s="1029">
        <f t="shared" si="66"/>
        <v>21.6</v>
      </c>
      <c r="HN22" s="1029">
        <f t="shared" si="67"/>
        <v>102.1</v>
      </c>
      <c r="HO22" s="1029">
        <f t="shared" si="68"/>
        <v>2088.1</v>
      </c>
      <c r="HP22" s="1029">
        <f t="shared" si="69"/>
        <v>110.3</v>
      </c>
      <c r="HQ22" s="1029">
        <f t="shared" si="70"/>
        <v>21.2</v>
      </c>
      <c r="HR22" s="1029">
        <f t="shared" si="71"/>
        <v>4158.1000000000004</v>
      </c>
      <c r="HS22" s="996"/>
      <c r="HT22" s="1031">
        <f t="shared" si="72"/>
        <v>0.90058660000000001</v>
      </c>
      <c r="HU22" s="1029">
        <f t="shared" si="73"/>
        <v>44395.6</v>
      </c>
      <c r="HV22" s="1029">
        <f t="shared" si="74"/>
        <v>31980.1</v>
      </c>
      <c r="HW22" s="1029">
        <f t="shared" si="75"/>
        <v>9658</v>
      </c>
      <c r="HX22" s="1029">
        <f t="shared" si="76"/>
        <v>43.2</v>
      </c>
      <c r="HY22" s="1029">
        <f t="shared" si="77"/>
        <v>0</v>
      </c>
      <c r="HZ22" s="1029">
        <f t="shared" si="78"/>
        <v>40.6</v>
      </c>
      <c r="IA22" s="1029">
        <f t="shared" si="79"/>
        <v>135.69999999999999</v>
      </c>
      <c r="IB22" s="1029">
        <f t="shared" si="80"/>
        <v>66.900000000000006</v>
      </c>
      <c r="IC22" s="1029">
        <f t="shared" si="81"/>
        <v>22.8</v>
      </c>
      <c r="ID22" s="1029">
        <f t="shared" si="82"/>
        <v>107.7</v>
      </c>
      <c r="IE22" s="1029">
        <f t="shared" si="83"/>
        <v>2202</v>
      </c>
      <c r="IF22" s="1029">
        <f t="shared" si="84"/>
        <v>116.3</v>
      </c>
      <c r="IG22" s="1029">
        <f t="shared" si="85"/>
        <v>22.3</v>
      </c>
      <c r="IH22" s="1029">
        <f t="shared" si="86"/>
        <v>4384.8999999999996</v>
      </c>
    </row>
    <row r="23" spans="1:242" ht="18.75" x14ac:dyDescent="0.25">
      <c r="A23" s="1010" t="s">
        <v>674</v>
      </c>
      <c r="B23" s="1011">
        <f t="shared" si="87"/>
        <v>123</v>
      </c>
      <c r="C23" s="1011">
        <f t="shared" si="88"/>
        <v>123</v>
      </c>
      <c r="D23" s="1012">
        <v>1</v>
      </c>
      <c r="E23" s="1012">
        <v>6</v>
      </c>
      <c r="F23" s="1012">
        <v>7.25</v>
      </c>
      <c r="G23" s="1012">
        <v>1</v>
      </c>
      <c r="H23" s="1012">
        <v>11.75</v>
      </c>
      <c r="I23" s="1014">
        <f t="shared" si="89"/>
        <v>96</v>
      </c>
      <c r="J23" s="1020">
        <v>19.72</v>
      </c>
      <c r="K23" s="1020">
        <v>35.61</v>
      </c>
      <c r="L23" s="1020">
        <v>5.78</v>
      </c>
      <c r="M23" s="1020">
        <v>6.83</v>
      </c>
      <c r="N23" s="1020">
        <v>3.56</v>
      </c>
      <c r="O23" s="1020"/>
      <c r="P23" s="1020">
        <v>8.33</v>
      </c>
      <c r="Q23" s="1020">
        <v>10</v>
      </c>
      <c r="R23" s="1020">
        <v>1.67</v>
      </c>
      <c r="S23" s="1020">
        <v>4.5</v>
      </c>
      <c r="T23" s="1013">
        <f t="shared" si="90"/>
        <v>20</v>
      </c>
      <c r="U23" s="1013">
        <f t="shared" si="91"/>
        <v>8.33</v>
      </c>
      <c r="V23" s="1013">
        <f t="shared" si="2"/>
        <v>10</v>
      </c>
      <c r="W23" s="1013">
        <f t="shared" si="2"/>
        <v>1.67</v>
      </c>
      <c r="X23" s="1013"/>
      <c r="Y23" s="1011">
        <f t="shared" si="92"/>
        <v>2754628.39</v>
      </c>
      <c r="Z23" s="1012">
        <v>35067.199999999997</v>
      </c>
      <c r="AA23" s="1014">
        <f t="shared" si="3"/>
        <v>189362.88</v>
      </c>
      <c r="AB23" s="1015">
        <f t="shared" si="93"/>
        <v>117754.5</v>
      </c>
      <c r="AC23" s="1015">
        <f t="shared" si="93"/>
        <v>16242</v>
      </c>
      <c r="AD23" s="1015">
        <f t="shared" si="93"/>
        <v>190843.5</v>
      </c>
      <c r="AE23" s="1015">
        <f t="shared" si="94"/>
        <v>2205358.31</v>
      </c>
      <c r="AF23" s="1015">
        <f t="shared" si="4"/>
        <v>492936.3</v>
      </c>
      <c r="AG23" s="1015">
        <f t="shared" si="5"/>
        <v>914986.73</v>
      </c>
      <c r="AH23" s="1015">
        <f t="shared" si="6"/>
        <v>147821.94</v>
      </c>
      <c r="AI23" s="1015">
        <f t="shared" si="7"/>
        <v>140135.07</v>
      </c>
      <c r="AJ23" s="1015">
        <f t="shared" si="8"/>
        <v>73042.58</v>
      </c>
      <c r="AK23" s="1015">
        <f t="shared" si="9"/>
        <v>0</v>
      </c>
      <c r="AL23" s="1015">
        <f t="shared" si="10"/>
        <v>138924.74</v>
      </c>
      <c r="AM23" s="1015">
        <f t="shared" si="11"/>
        <v>166776.4</v>
      </c>
      <c r="AN23" s="1015">
        <f t="shared" si="12"/>
        <v>27851.66</v>
      </c>
      <c r="AO23" s="1015">
        <f t="shared" si="13"/>
        <v>84904.38</v>
      </c>
      <c r="AP23" s="1015">
        <f t="shared" si="95"/>
        <v>17978.509999999998</v>
      </c>
      <c r="AQ23" s="1015"/>
      <c r="AR23" s="1014">
        <f t="shared" si="96"/>
        <v>1</v>
      </c>
      <c r="AS23" s="1014">
        <f t="shared" si="97"/>
        <v>0.83</v>
      </c>
      <c r="AT23" s="1014">
        <f t="shared" si="98"/>
        <v>0</v>
      </c>
      <c r="AU23" s="1023">
        <v>15</v>
      </c>
      <c r="AV23" s="1023">
        <v>20</v>
      </c>
      <c r="AW23" s="1023">
        <v>25</v>
      </c>
      <c r="AX23" s="1023">
        <v>15</v>
      </c>
      <c r="AY23" s="1023">
        <f t="shared" si="99"/>
        <v>15</v>
      </c>
      <c r="AZ23" s="1023">
        <v>12</v>
      </c>
      <c r="BA23" s="1023">
        <v>15</v>
      </c>
      <c r="BB23" s="1023">
        <v>10</v>
      </c>
      <c r="BC23" s="1011">
        <f t="shared" si="100"/>
        <v>36</v>
      </c>
      <c r="BD23" s="1011">
        <f t="shared" si="101"/>
        <v>15</v>
      </c>
      <c r="BE23" s="1011">
        <f t="shared" si="14"/>
        <v>18</v>
      </c>
      <c r="BF23" s="1011">
        <f t="shared" si="14"/>
        <v>3</v>
      </c>
      <c r="BG23" s="1011">
        <f t="shared" si="102"/>
        <v>939</v>
      </c>
      <c r="BH23" s="1012">
        <v>14</v>
      </c>
      <c r="BI23" s="1012">
        <v>17</v>
      </c>
      <c r="BJ23" s="1012">
        <v>3</v>
      </c>
      <c r="BK23" s="1012">
        <v>901</v>
      </c>
      <c r="BL23" s="1016">
        <v>0</v>
      </c>
      <c r="BM23" s="1012">
        <v>1</v>
      </c>
      <c r="BN23" s="1012">
        <v>1</v>
      </c>
      <c r="BO23" s="1012"/>
      <c r="BP23" s="1012">
        <v>24</v>
      </c>
      <c r="BQ23" s="1016">
        <v>15</v>
      </c>
      <c r="BR23" s="1012"/>
      <c r="BS23" s="1012"/>
      <c r="BT23" s="1012"/>
      <c r="BU23" s="1012"/>
      <c r="BV23" s="1016">
        <v>0</v>
      </c>
      <c r="BW23" s="1012"/>
      <c r="BX23" s="1012"/>
      <c r="BY23" s="1012"/>
      <c r="BZ23" s="1012"/>
      <c r="CA23" s="1016">
        <v>0</v>
      </c>
      <c r="CB23" s="1012">
        <v>2</v>
      </c>
      <c r="CC23" s="1012">
        <v>3</v>
      </c>
      <c r="CD23" s="1012">
        <v>0</v>
      </c>
      <c r="CE23" s="1012">
        <v>5</v>
      </c>
      <c r="CF23" s="1016">
        <v>15</v>
      </c>
      <c r="CG23" s="1012">
        <v>6</v>
      </c>
      <c r="CH23" s="1012">
        <v>3</v>
      </c>
      <c r="CI23" s="1012">
        <v>0</v>
      </c>
      <c r="CJ23" s="1012">
        <v>9</v>
      </c>
      <c r="CK23" s="1016">
        <v>15</v>
      </c>
      <c r="CL23" s="1012">
        <v>0</v>
      </c>
      <c r="CM23" s="1012">
        <v>0</v>
      </c>
      <c r="CN23" s="1012"/>
      <c r="CO23" s="1012">
        <v>0</v>
      </c>
      <c r="CP23" s="1016">
        <v>15</v>
      </c>
      <c r="CQ23" s="1067">
        <v>47.3</v>
      </c>
      <c r="CR23" s="1067">
        <v>4.2</v>
      </c>
      <c r="CS23" s="1067">
        <v>134.30000000000001</v>
      </c>
      <c r="CT23" s="1018">
        <f t="shared" si="103"/>
        <v>146.5</v>
      </c>
      <c r="CU23" s="1018">
        <f t="shared" si="15"/>
        <v>1.9</v>
      </c>
      <c r="CV23" s="1019">
        <v>1.7</v>
      </c>
      <c r="CW23" s="1014">
        <f t="shared" si="16"/>
        <v>39279.300000000003</v>
      </c>
      <c r="CX23" s="1017">
        <v>45304.5</v>
      </c>
      <c r="CY23" s="1014">
        <f t="shared" si="17"/>
        <v>3904329.6</v>
      </c>
      <c r="CZ23" s="1020">
        <v>13974.8</v>
      </c>
      <c r="DA23" s="1021">
        <v>55.792079999999999</v>
      </c>
      <c r="DB23" s="1027">
        <v>50</v>
      </c>
      <c r="DC23" s="1033">
        <f t="shared" si="104"/>
        <v>1.01525</v>
      </c>
      <c r="DD23" s="1011">
        <f t="shared" si="105"/>
        <v>33500191.960000001</v>
      </c>
      <c r="DE23" s="1014">
        <f t="shared" si="18"/>
        <v>427223.7</v>
      </c>
      <c r="DF23" s="1014">
        <f t="shared" si="19"/>
        <v>2307007.9700000002</v>
      </c>
      <c r="DG23" s="1014">
        <f t="shared" si="106"/>
        <v>1413054</v>
      </c>
      <c r="DH23" s="1014">
        <f t="shared" si="106"/>
        <v>194904</v>
      </c>
      <c r="DI23" s="1014">
        <f t="shared" si="106"/>
        <v>2290122</v>
      </c>
      <c r="DJ23" s="1014">
        <f t="shared" si="20"/>
        <v>26867880.289999999</v>
      </c>
      <c r="DK23" s="1024">
        <f t="shared" si="107"/>
        <v>16566.84</v>
      </c>
      <c r="DL23" s="1024">
        <f t="shared" si="21"/>
        <v>1073264.6399999999</v>
      </c>
      <c r="DM23" s="1024">
        <f t="shared" si="22"/>
        <v>337342.5</v>
      </c>
      <c r="DN23" s="1024">
        <f t="shared" si="23"/>
        <v>47472</v>
      </c>
      <c r="DO23" s="1024">
        <f t="shared" si="108"/>
        <v>2560935.59</v>
      </c>
      <c r="DP23" s="1014">
        <f t="shared" si="109"/>
        <v>1803056.38</v>
      </c>
      <c r="DQ23" s="1014">
        <f t="shared" si="110"/>
        <v>360611.28</v>
      </c>
      <c r="DR23" s="1011">
        <f t="shared" si="111"/>
        <v>39699441.200000003</v>
      </c>
      <c r="DS23" s="1011">
        <f t="shared" si="112"/>
        <v>11989231.199999999</v>
      </c>
      <c r="DT23" s="1011">
        <f t="shared" si="113"/>
        <v>51688672.399999999</v>
      </c>
      <c r="DU23" s="1025"/>
      <c r="DV23" s="1028">
        <v>1.1072</v>
      </c>
      <c r="DW23" s="1011">
        <f t="shared" si="114"/>
        <v>397973.75</v>
      </c>
      <c r="DX23" s="1023">
        <v>70000</v>
      </c>
      <c r="DY23" s="1015">
        <f t="shared" si="115"/>
        <v>77504</v>
      </c>
      <c r="DZ23" s="1023"/>
      <c r="EA23" s="1015">
        <f t="shared" si="116"/>
        <v>0</v>
      </c>
      <c r="EB23" s="1023">
        <v>71400</v>
      </c>
      <c r="EC23" s="1015">
        <f t="shared" si="24"/>
        <v>52884.12</v>
      </c>
      <c r="ED23" s="1023">
        <v>136238.1</v>
      </c>
      <c r="EE23" s="1015">
        <f t="shared" si="117"/>
        <v>150842.82</v>
      </c>
      <c r="EF23" s="1023">
        <v>45120</v>
      </c>
      <c r="EG23" s="1015">
        <f t="shared" si="25"/>
        <v>87058.87</v>
      </c>
      <c r="EH23" s="1023">
        <v>0</v>
      </c>
      <c r="EI23" s="1015">
        <f t="shared" si="26"/>
        <v>29683.94</v>
      </c>
      <c r="EJ23" s="1011">
        <f t="shared" si="118"/>
        <v>2997832.34</v>
      </c>
      <c r="EK23" s="1023"/>
      <c r="EL23" s="1015">
        <f t="shared" si="27"/>
        <v>127961.45</v>
      </c>
      <c r="EM23" s="1023">
        <v>586694.9</v>
      </c>
      <c r="EN23" s="1015">
        <f t="shared" si="28"/>
        <v>623079.11</v>
      </c>
      <c r="EO23" s="1068">
        <v>95</v>
      </c>
      <c r="EP23" s="1015">
        <f t="shared" si="119"/>
        <v>168112</v>
      </c>
      <c r="EQ23" s="1068">
        <v>86</v>
      </c>
      <c r="ER23" s="1015">
        <f t="shared" si="29"/>
        <v>189372</v>
      </c>
      <c r="ES23" s="1068">
        <v>90</v>
      </c>
      <c r="ET23" s="1015">
        <f t="shared" si="30"/>
        <v>199944</v>
      </c>
      <c r="EU23" s="1068">
        <v>113</v>
      </c>
      <c r="EV23" s="1015">
        <f t="shared" si="31"/>
        <v>271448.59999999998</v>
      </c>
      <c r="EW23" s="1068">
        <v>89</v>
      </c>
      <c r="EX23" s="1015">
        <f t="shared" si="32"/>
        <v>235689.8</v>
      </c>
      <c r="EY23" s="1068">
        <v>91</v>
      </c>
      <c r="EZ23" s="1015">
        <f t="shared" si="33"/>
        <v>279133.40000000002</v>
      </c>
      <c r="FA23" s="1068">
        <v>110</v>
      </c>
      <c r="FB23" s="1015">
        <f t="shared" si="34"/>
        <v>405746</v>
      </c>
      <c r="FC23" s="1068">
        <v>104</v>
      </c>
      <c r="FD23" s="1015">
        <f t="shared" si="35"/>
        <v>395740.8</v>
      </c>
      <c r="FE23" s="1068">
        <v>95</v>
      </c>
      <c r="FF23" s="1015">
        <f t="shared" si="36"/>
        <v>335654</v>
      </c>
      <c r="FG23" s="1068">
        <v>30</v>
      </c>
      <c r="FH23" s="1015">
        <f t="shared" si="37"/>
        <v>102000</v>
      </c>
      <c r="FI23" s="1068">
        <v>36</v>
      </c>
      <c r="FJ23" s="1015">
        <f t="shared" si="38"/>
        <v>122400</v>
      </c>
      <c r="FK23" s="1015">
        <f t="shared" si="120"/>
        <v>2705240.6</v>
      </c>
      <c r="FL23" s="1023">
        <v>212730</v>
      </c>
      <c r="FM23" s="1015">
        <f t="shared" si="39"/>
        <v>138108.54</v>
      </c>
      <c r="FN23" s="1023">
        <v>17270</v>
      </c>
      <c r="FO23" s="1015">
        <f t="shared" si="40"/>
        <v>26521.75</v>
      </c>
      <c r="FP23" s="1011">
        <f t="shared" si="41"/>
        <v>3395806.09</v>
      </c>
      <c r="FQ23" s="1025"/>
      <c r="FR23" s="1011">
        <f t="shared" si="121"/>
        <v>55084478.490000002</v>
      </c>
      <c r="FS23" s="996"/>
      <c r="FT23" s="1029">
        <f t="shared" si="140"/>
        <v>55084.4</v>
      </c>
      <c r="FU23" s="1029">
        <f t="shared" si="122"/>
        <v>39699.4</v>
      </c>
      <c r="FV23" s="1029">
        <f t="shared" si="123"/>
        <v>3807.5</v>
      </c>
      <c r="FW23" s="1029">
        <f t="shared" si="124"/>
        <v>1750.4</v>
      </c>
      <c r="FX23" s="1029">
        <f t="shared" si="125"/>
        <v>258.89999999999998</v>
      </c>
      <c r="FY23" s="1029">
        <f t="shared" si="126"/>
        <v>2290.1</v>
      </c>
      <c r="FZ23" s="1029">
        <f t="shared" si="127"/>
        <v>29428.799999999999</v>
      </c>
      <c r="GA23" s="1029">
        <f t="shared" si="128"/>
        <v>2163.6999999999998</v>
      </c>
      <c r="GB23" s="1029">
        <f t="shared" si="42"/>
        <v>11989.2</v>
      </c>
      <c r="GC23" s="1029">
        <f t="shared" si="129"/>
        <v>77.5</v>
      </c>
      <c r="GD23" s="1029">
        <f t="shared" si="130"/>
        <v>0</v>
      </c>
      <c r="GE23" s="1029">
        <f t="shared" si="131"/>
        <v>52.9</v>
      </c>
      <c r="GF23" s="1029">
        <f t="shared" si="132"/>
        <v>150.80000000000001</v>
      </c>
      <c r="GG23" s="1029">
        <f t="shared" si="133"/>
        <v>87.1</v>
      </c>
      <c r="GH23" s="1029">
        <f t="shared" si="134"/>
        <v>29.7</v>
      </c>
      <c r="GI23" s="1029">
        <f t="shared" si="135"/>
        <v>128</v>
      </c>
      <c r="GJ23" s="1029">
        <f t="shared" si="136"/>
        <v>2705.2</v>
      </c>
      <c r="GK23" s="1029">
        <f t="shared" si="137"/>
        <v>138.1</v>
      </c>
      <c r="GL23" s="1029">
        <f t="shared" si="138"/>
        <v>26.5</v>
      </c>
      <c r="GM23" s="1069"/>
      <c r="GN23" s="1031">
        <f t="shared" si="43"/>
        <v>0.8084192</v>
      </c>
      <c r="GO23" s="1029">
        <f t="shared" si="139"/>
        <v>44531.3</v>
      </c>
      <c r="GP23" s="1029">
        <f t="shared" si="44"/>
        <v>32093.8</v>
      </c>
      <c r="GQ23" s="1029">
        <f t="shared" si="45"/>
        <v>9692.2999999999993</v>
      </c>
      <c r="GR23" s="1029">
        <f t="shared" si="46"/>
        <v>62.7</v>
      </c>
      <c r="GS23" s="1029">
        <f t="shared" si="47"/>
        <v>0</v>
      </c>
      <c r="GT23" s="1029">
        <f t="shared" si="48"/>
        <v>42.8</v>
      </c>
      <c r="GU23" s="1029">
        <f t="shared" si="49"/>
        <v>121.9</v>
      </c>
      <c r="GV23" s="1029">
        <f t="shared" si="50"/>
        <v>70.400000000000006</v>
      </c>
      <c r="GW23" s="1029">
        <f t="shared" si="51"/>
        <v>24</v>
      </c>
      <c r="GX23" s="1029">
        <f t="shared" si="52"/>
        <v>103.5</v>
      </c>
      <c r="GY23" s="1029">
        <f t="shared" si="53"/>
        <v>2186.9</v>
      </c>
      <c r="GZ23" s="1029">
        <f t="shared" si="54"/>
        <v>111.6</v>
      </c>
      <c r="HA23" s="1029">
        <f t="shared" si="55"/>
        <v>21.4</v>
      </c>
      <c r="HB23" s="1029">
        <f t="shared" si="56"/>
        <v>2695.5</v>
      </c>
      <c r="HC23" s="996"/>
      <c r="HD23" s="1031">
        <f t="shared" si="57"/>
        <v>0.85399429999999998</v>
      </c>
      <c r="HE23" s="1029">
        <f t="shared" si="58"/>
        <v>47041.8</v>
      </c>
      <c r="HF23" s="1029">
        <f t="shared" si="59"/>
        <v>33903.1</v>
      </c>
      <c r="HG23" s="1029">
        <f t="shared" si="60"/>
        <v>10238.700000000001</v>
      </c>
      <c r="HH23" s="1029">
        <f t="shared" si="61"/>
        <v>66.2</v>
      </c>
      <c r="HI23" s="1029">
        <f t="shared" si="62"/>
        <v>0</v>
      </c>
      <c r="HJ23" s="1029">
        <f t="shared" si="63"/>
        <v>45.2</v>
      </c>
      <c r="HK23" s="1029">
        <f t="shared" si="64"/>
        <v>128.80000000000001</v>
      </c>
      <c r="HL23" s="1029">
        <f t="shared" si="65"/>
        <v>74.400000000000006</v>
      </c>
      <c r="HM23" s="1029">
        <f t="shared" si="66"/>
        <v>25.4</v>
      </c>
      <c r="HN23" s="1029">
        <f t="shared" si="67"/>
        <v>109.3</v>
      </c>
      <c r="HO23" s="1029">
        <f t="shared" si="68"/>
        <v>2310.1999999999998</v>
      </c>
      <c r="HP23" s="1029">
        <f t="shared" si="69"/>
        <v>117.9</v>
      </c>
      <c r="HQ23" s="1029">
        <f t="shared" si="70"/>
        <v>22.6</v>
      </c>
      <c r="HR23" s="1029">
        <f t="shared" si="71"/>
        <v>2847.5</v>
      </c>
      <c r="HS23" s="996"/>
      <c r="HT23" s="1031">
        <f t="shared" si="72"/>
        <v>0.90058660000000001</v>
      </c>
      <c r="HU23" s="1029">
        <f t="shared" si="73"/>
        <v>49608.2</v>
      </c>
      <c r="HV23" s="1029">
        <f t="shared" si="74"/>
        <v>35752.699999999997</v>
      </c>
      <c r="HW23" s="1029">
        <f t="shared" si="75"/>
        <v>10797.3</v>
      </c>
      <c r="HX23" s="1029">
        <f t="shared" si="76"/>
        <v>69.8</v>
      </c>
      <c r="HY23" s="1029">
        <f t="shared" si="77"/>
        <v>0</v>
      </c>
      <c r="HZ23" s="1029">
        <f t="shared" si="78"/>
        <v>47.6</v>
      </c>
      <c r="IA23" s="1029">
        <f t="shared" si="79"/>
        <v>135.80000000000001</v>
      </c>
      <c r="IB23" s="1029">
        <f t="shared" si="80"/>
        <v>78.400000000000006</v>
      </c>
      <c r="IC23" s="1029">
        <f t="shared" si="81"/>
        <v>26.7</v>
      </c>
      <c r="ID23" s="1029">
        <f t="shared" si="82"/>
        <v>115.3</v>
      </c>
      <c r="IE23" s="1029">
        <f t="shared" si="83"/>
        <v>2436.3000000000002</v>
      </c>
      <c r="IF23" s="1029">
        <f t="shared" si="84"/>
        <v>124.4</v>
      </c>
      <c r="IG23" s="1029">
        <f t="shared" si="85"/>
        <v>23.9</v>
      </c>
      <c r="IH23" s="1029">
        <f t="shared" si="86"/>
        <v>3002.9</v>
      </c>
    </row>
    <row r="24" spans="1:242" ht="18.75" x14ac:dyDescent="0.25">
      <c r="A24" s="1010" t="s">
        <v>675</v>
      </c>
      <c r="B24" s="1011">
        <f t="shared" si="87"/>
        <v>106.01</v>
      </c>
      <c r="C24" s="1011">
        <f t="shared" si="88"/>
        <v>106.01</v>
      </c>
      <c r="D24" s="1012">
        <v>1</v>
      </c>
      <c r="E24" s="1012">
        <v>4.5</v>
      </c>
      <c r="F24" s="1012">
        <v>6</v>
      </c>
      <c r="G24" s="1012">
        <v>1</v>
      </c>
      <c r="H24" s="1012">
        <v>11</v>
      </c>
      <c r="I24" s="1014">
        <f t="shared" si="89"/>
        <v>82.51</v>
      </c>
      <c r="J24" s="1020">
        <v>18.440000000000001</v>
      </c>
      <c r="K24" s="1020">
        <v>30.95</v>
      </c>
      <c r="L24" s="1020">
        <v>5.78</v>
      </c>
      <c r="M24" s="1020">
        <v>1.78</v>
      </c>
      <c r="N24" s="1020">
        <v>2.67</v>
      </c>
      <c r="O24" s="1020">
        <v>0</v>
      </c>
      <c r="P24" s="1020">
        <v>7.78</v>
      </c>
      <c r="Q24" s="1020">
        <v>9.44</v>
      </c>
      <c r="R24" s="1020">
        <v>1.67</v>
      </c>
      <c r="S24" s="1020">
        <v>4</v>
      </c>
      <c r="T24" s="1013">
        <f t="shared" si="90"/>
        <v>18.89</v>
      </c>
      <c r="U24" s="1013">
        <f t="shared" si="91"/>
        <v>7.78</v>
      </c>
      <c r="V24" s="1013">
        <f t="shared" si="2"/>
        <v>9.44</v>
      </c>
      <c r="W24" s="1013">
        <f t="shared" si="2"/>
        <v>1.67</v>
      </c>
      <c r="X24" s="1013"/>
      <c r="Y24" s="1011">
        <f t="shared" si="92"/>
        <v>2354568.3199999998</v>
      </c>
      <c r="Z24" s="1012">
        <v>32562.400000000001</v>
      </c>
      <c r="AA24" s="1014">
        <f t="shared" si="3"/>
        <v>131877.72</v>
      </c>
      <c r="AB24" s="1015">
        <f t="shared" si="93"/>
        <v>97452</v>
      </c>
      <c r="AC24" s="1015">
        <f t="shared" si="93"/>
        <v>16242</v>
      </c>
      <c r="AD24" s="1015">
        <f t="shared" si="93"/>
        <v>178662</v>
      </c>
      <c r="AE24" s="1015">
        <f t="shared" si="94"/>
        <v>1897772.2</v>
      </c>
      <c r="AF24" s="1015">
        <f t="shared" si="4"/>
        <v>461126.95</v>
      </c>
      <c r="AG24" s="1015">
        <f t="shared" si="5"/>
        <v>791537.89</v>
      </c>
      <c r="AH24" s="1015">
        <f t="shared" si="6"/>
        <v>147821.94</v>
      </c>
      <c r="AI24" s="1015">
        <f t="shared" si="7"/>
        <v>36521.29</v>
      </c>
      <c r="AJ24" s="1015">
        <f t="shared" si="8"/>
        <v>54781.94</v>
      </c>
      <c r="AK24" s="1015">
        <f t="shared" si="9"/>
        <v>0</v>
      </c>
      <c r="AL24" s="1015">
        <f t="shared" si="10"/>
        <v>129752.04</v>
      </c>
      <c r="AM24" s="1015">
        <f t="shared" si="11"/>
        <v>157436.92000000001</v>
      </c>
      <c r="AN24" s="1015">
        <f t="shared" si="12"/>
        <v>27851.66</v>
      </c>
      <c r="AO24" s="1015">
        <f t="shared" si="13"/>
        <v>75470.559999999998</v>
      </c>
      <c r="AP24" s="1015">
        <f t="shared" si="95"/>
        <v>15471.01</v>
      </c>
      <c r="AQ24" s="1015"/>
      <c r="AR24" s="1014">
        <f t="shared" si="96"/>
        <v>1.07</v>
      </c>
      <c r="AS24" s="1014">
        <f t="shared" si="97"/>
        <v>0</v>
      </c>
      <c r="AT24" s="1014">
        <f t="shared" si="98"/>
        <v>0</v>
      </c>
      <c r="AU24" s="1023">
        <v>15</v>
      </c>
      <c r="AV24" s="1023">
        <v>20</v>
      </c>
      <c r="AW24" s="1023">
        <v>25</v>
      </c>
      <c r="AX24" s="1023">
        <v>15</v>
      </c>
      <c r="AY24" s="1023">
        <f t="shared" si="99"/>
        <v>15</v>
      </c>
      <c r="AZ24" s="1023">
        <v>12</v>
      </c>
      <c r="BA24" s="1023">
        <v>15</v>
      </c>
      <c r="BB24" s="1023">
        <v>10</v>
      </c>
      <c r="BC24" s="1011">
        <f t="shared" si="100"/>
        <v>34</v>
      </c>
      <c r="BD24" s="1011">
        <f t="shared" si="101"/>
        <v>14</v>
      </c>
      <c r="BE24" s="1011">
        <f t="shared" si="14"/>
        <v>17</v>
      </c>
      <c r="BF24" s="1011">
        <f t="shared" si="14"/>
        <v>3</v>
      </c>
      <c r="BG24" s="1011">
        <f t="shared" si="102"/>
        <v>943</v>
      </c>
      <c r="BH24" s="1012">
        <v>13</v>
      </c>
      <c r="BI24" s="1012">
        <v>17</v>
      </c>
      <c r="BJ24" s="1012">
        <v>3</v>
      </c>
      <c r="BK24" s="1012">
        <v>920</v>
      </c>
      <c r="BL24" s="1016">
        <v>0</v>
      </c>
      <c r="BM24" s="1012">
        <v>1</v>
      </c>
      <c r="BN24" s="1012">
        <v>0</v>
      </c>
      <c r="BO24" s="1012"/>
      <c r="BP24" s="1012">
        <v>11</v>
      </c>
      <c r="BQ24" s="1016">
        <v>15</v>
      </c>
      <c r="BR24" s="1012"/>
      <c r="BS24" s="1012"/>
      <c r="BT24" s="1012"/>
      <c r="BU24" s="1012"/>
      <c r="BV24" s="1016">
        <v>0</v>
      </c>
      <c r="BW24" s="1012"/>
      <c r="BX24" s="1012"/>
      <c r="BY24" s="1012"/>
      <c r="BZ24" s="1012"/>
      <c r="CA24" s="1016">
        <v>0</v>
      </c>
      <c r="CB24" s="1012">
        <v>2</v>
      </c>
      <c r="CC24" s="1012">
        <v>6</v>
      </c>
      <c r="CD24" s="1012">
        <v>0</v>
      </c>
      <c r="CE24" s="1012">
        <v>8</v>
      </c>
      <c r="CF24" s="1016">
        <v>15</v>
      </c>
      <c r="CG24" s="1012">
        <v>1</v>
      </c>
      <c r="CH24" s="1012">
        <v>2</v>
      </c>
      <c r="CI24" s="1012">
        <v>0</v>
      </c>
      <c r="CJ24" s="1012">
        <v>3</v>
      </c>
      <c r="CK24" s="1016">
        <v>15</v>
      </c>
      <c r="CL24" s="1012">
        <v>1</v>
      </c>
      <c r="CM24" s="1012">
        <v>0</v>
      </c>
      <c r="CN24" s="1012"/>
      <c r="CO24" s="1012">
        <v>1</v>
      </c>
      <c r="CP24" s="1016">
        <v>15</v>
      </c>
      <c r="CQ24" s="1067">
        <v>46</v>
      </c>
      <c r="CR24" s="1067">
        <v>2.4</v>
      </c>
      <c r="CS24" s="1067">
        <v>431.2</v>
      </c>
      <c r="CT24" s="1018">
        <f t="shared" si="103"/>
        <v>470.4</v>
      </c>
      <c r="CU24" s="1018">
        <f t="shared" si="15"/>
        <v>1.7</v>
      </c>
      <c r="CV24" s="1032">
        <v>1.6</v>
      </c>
      <c r="CW24" s="1014">
        <f t="shared" si="16"/>
        <v>37583.74</v>
      </c>
      <c r="CX24" s="1017">
        <v>45304.5</v>
      </c>
      <c r="CY24" s="1014">
        <f t="shared" si="17"/>
        <v>4638825.63</v>
      </c>
      <c r="CZ24" s="1020">
        <v>14408.8</v>
      </c>
      <c r="DA24" s="1021">
        <v>57.524749999999997</v>
      </c>
      <c r="DB24" s="1027">
        <v>50</v>
      </c>
      <c r="DC24" s="1033">
        <f t="shared" si="104"/>
        <v>1.01525</v>
      </c>
      <c r="DD24" s="1011">
        <f t="shared" si="105"/>
        <v>28632204.690000001</v>
      </c>
      <c r="DE24" s="1014">
        <f t="shared" si="18"/>
        <v>396707.72</v>
      </c>
      <c r="DF24" s="1014">
        <f t="shared" si="19"/>
        <v>1606666.26</v>
      </c>
      <c r="DG24" s="1014">
        <f t="shared" si="106"/>
        <v>1169424</v>
      </c>
      <c r="DH24" s="1014">
        <f t="shared" si="106"/>
        <v>194904</v>
      </c>
      <c r="DI24" s="1014">
        <f t="shared" si="106"/>
        <v>2143944</v>
      </c>
      <c r="DJ24" s="1014">
        <f t="shared" si="20"/>
        <v>23120558.710000001</v>
      </c>
      <c r="DK24" s="1024">
        <f t="shared" si="107"/>
        <v>16566.84</v>
      </c>
      <c r="DL24" s="1024">
        <f t="shared" si="21"/>
        <v>873173.28</v>
      </c>
      <c r="DM24" s="1024">
        <f t="shared" si="22"/>
        <v>279180</v>
      </c>
      <c r="DN24" s="1024">
        <f t="shared" si="23"/>
        <v>47472</v>
      </c>
      <c r="DO24" s="1024">
        <f t="shared" si="108"/>
        <v>3482797.69</v>
      </c>
      <c r="DP24" s="1014">
        <f t="shared" si="109"/>
        <v>1605750.12</v>
      </c>
      <c r="DQ24" s="1014">
        <f t="shared" si="110"/>
        <v>321150.02</v>
      </c>
      <c r="DR24" s="1011">
        <f t="shared" si="111"/>
        <v>35258294.600000001</v>
      </c>
      <c r="DS24" s="1011">
        <f t="shared" si="112"/>
        <v>10648005</v>
      </c>
      <c r="DT24" s="1011">
        <f t="shared" si="113"/>
        <v>45906299.600000001</v>
      </c>
      <c r="DU24" s="1025"/>
      <c r="DV24" s="1028">
        <v>1.1072</v>
      </c>
      <c r="DW24" s="1011">
        <f t="shared" si="114"/>
        <v>606029.6</v>
      </c>
      <c r="DX24" s="1023">
        <v>86586.09</v>
      </c>
      <c r="DY24" s="1015">
        <f t="shared" si="115"/>
        <v>95868.12</v>
      </c>
      <c r="DZ24" s="1023"/>
      <c r="EA24" s="1015">
        <f t="shared" si="116"/>
        <v>0</v>
      </c>
      <c r="EB24" s="1023">
        <v>40140</v>
      </c>
      <c r="EC24" s="1015">
        <f t="shared" si="24"/>
        <v>45452.800000000003</v>
      </c>
      <c r="ED24" s="1023">
        <v>329092</v>
      </c>
      <c r="EE24" s="1015">
        <f t="shared" si="117"/>
        <v>364370.66</v>
      </c>
      <c r="EF24" s="1023">
        <v>57930</v>
      </c>
      <c r="EG24" s="1015">
        <f t="shared" si="25"/>
        <v>74825.289999999994</v>
      </c>
      <c r="EH24" s="1023">
        <v>11477.2</v>
      </c>
      <c r="EI24" s="1015">
        <f t="shared" si="26"/>
        <v>25512.73</v>
      </c>
      <c r="EJ24" s="1011">
        <f t="shared" si="118"/>
        <v>2933050.94</v>
      </c>
      <c r="EK24" s="1023">
        <v>28800</v>
      </c>
      <c r="EL24" s="1015">
        <f t="shared" si="27"/>
        <v>128506.55</v>
      </c>
      <c r="EM24" s="1023">
        <v>213692.05</v>
      </c>
      <c r="EN24" s="1015">
        <f t="shared" si="28"/>
        <v>625733.34</v>
      </c>
      <c r="EO24" s="1068">
        <v>113</v>
      </c>
      <c r="EP24" s="1015">
        <f t="shared" si="119"/>
        <v>199964.79999999999</v>
      </c>
      <c r="EQ24" s="1068">
        <v>100</v>
      </c>
      <c r="ER24" s="1015">
        <f t="shared" si="29"/>
        <v>220200</v>
      </c>
      <c r="ES24" s="1068">
        <v>114</v>
      </c>
      <c r="ET24" s="1015">
        <f t="shared" si="30"/>
        <v>253262.4</v>
      </c>
      <c r="EU24" s="1068">
        <v>88</v>
      </c>
      <c r="EV24" s="1015">
        <f t="shared" si="31"/>
        <v>211393.6</v>
      </c>
      <c r="EW24" s="1068">
        <v>105</v>
      </c>
      <c r="EX24" s="1015">
        <f t="shared" si="32"/>
        <v>278061</v>
      </c>
      <c r="EY24" s="1068">
        <v>94</v>
      </c>
      <c r="EZ24" s="1015">
        <f t="shared" si="33"/>
        <v>288335.59999999998</v>
      </c>
      <c r="FA24" s="1068">
        <v>95</v>
      </c>
      <c r="FB24" s="1015">
        <f t="shared" si="34"/>
        <v>350417</v>
      </c>
      <c r="FC24" s="1068">
        <v>75</v>
      </c>
      <c r="FD24" s="1015">
        <f t="shared" si="35"/>
        <v>285390</v>
      </c>
      <c r="FE24" s="1068">
        <v>87</v>
      </c>
      <c r="FF24" s="1015">
        <f t="shared" si="36"/>
        <v>307388.40000000002</v>
      </c>
      <c r="FG24" s="1068">
        <v>32</v>
      </c>
      <c r="FH24" s="1015">
        <f t="shared" si="37"/>
        <v>108800</v>
      </c>
      <c r="FI24" s="1068">
        <v>40</v>
      </c>
      <c r="FJ24" s="1015">
        <f t="shared" si="38"/>
        <v>136000</v>
      </c>
      <c r="FK24" s="1015">
        <f t="shared" si="120"/>
        <v>2639212.7999999998</v>
      </c>
      <c r="FL24" s="1023">
        <v>156000</v>
      </c>
      <c r="FM24" s="1015">
        <f t="shared" si="39"/>
        <v>138696.85999999999</v>
      </c>
      <c r="FN24" s="1023">
        <v>18241.080000000002</v>
      </c>
      <c r="FO24" s="1015">
        <f t="shared" si="40"/>
        <v>26634.73</v>
      </c>
      <c r="FP24" s="1011">
        <f t="shared" si="41"/>
        <v>3539080.54</v>
      </c>
      <c r="FQ24" s="1025"/>
      <c r="FR24" s="1011">
        <f t="shared" si="121"/>
        <v>49445380.140000001</v>
      </c>
      <c r="FS24" s="996"/>
      <c r="FT24" s="1029">
        <f t="shared" si="140"/>
        <v>49445.4</v>
      </c>
      <c r="FU24" s="1029">
        <f t="shared" si="122"/>
        <v>35258.300000000003</v>
      </c>
      <c r="FV24" s="1029">
        <f t="shared" si="123"/>
        <v>2876.5</v>
      </c>
      <c r="FW24" s="1029">
        <f t="shared" si="124"/>
        <v>1448.6</v>
      </c>
      <c r="FX24" s="1029">
        <f t="shared" si="125"/>
        <v>258.89999999999998</v>
      </c>
      <c r="FY24" s="1029">
        <f t="shared" si="126"/>
        <v>2143.9</v>
      </c>
      <c r="FZ24" s="1029">
        <f t="shared" si="127"/>
        <v>26603.4</v>
      </c>
      <c r="GA24" s="1029">
        <f t="shared" si="128"/>
        <v>1927</v>
      </c>
      <c r="GB24" s="1029">
        <f t="shared" si="42"/>
        <v>10648</v>
      </c>
      <c r="GC24" s="1029">
        <f t="shared" si="129"/>
        <v>95.9</v>
      </c>
      <c r="GD24" s="1029">
        <f t="shared" si="130"/>
        <v>0</v>
      </c>
      <c r="GE24" s="1029">
        <f t="shared" si="131"/>
        <v>45.5</v>
      </c>
      <c r="GF24" s="1029">
        <f t="shared" si="132"/>
        <v>364.4</v>
      </c>
      <c r="GG24" s="1029">
        <f t="shared" si="133"/>
        <v>74.8</v>
      </c>
      <c r="GH24" s="1029">
        <f t="shared" si="134"/>
        <v>25.5</v>
      </c>
      <c r="GI24" s="1029">
        <f t="shared" si="135"/>
        <v>128.5</v>
      </c>
      <c r="GJ24" s="1029">
        <f t="shared" si="136"/>
        <v>2639.2</v>
      </c>
      <c r="GK24" s="1029">
        <f t="shared" si="137"/>
        <v>138.69999999999999</v>
      </c>
      <c r="GL24" s="1029">
        <f t="shared" si="138"/>
        <v>26.6</v>
      </c>
      <c r="GM24" s="1069"/>
      <c r="GN24" s="1031">
        <f t="shared" si="43"/>
        <v>0.8084192</v>
      </c>
      <c r="GO24" s="1029">
        <f t="shared" si="139"/>
        <v>39972.6</v>
      </c>
      <c r="GP24" s="1029">
        <f t="shared" si="44"/>
        <v>28503.5</v>
      </c>
      <c r="GQ24" s="1029">
        <f t="shared" si="45"/>
        <v>8608</v>
      </c>
      <c r="GR24" s="1029">
        <f t="shared" si="46"/>
        <v>77.5</v>
      </c>
      <c r="GS24" s="1029">
        <f t="shared" si="47"/>
        <v>0</v>
      </c>
      <c r="GT24" s="1029">
        <f t="shared" si="48"/>
        <v>36.799999999999997</v>
      </c>
      <c r="GU24" s="1029">
        <f t="shared" si="49"/>
        <v>294.60000000000002</v>
      </c>
      <c r="GV24" s="1029">
        <f t="shared" si="50"/>
        <v>60.5</v>
      </c>
      <c r="GW24" s="1029">
        <f t="shared" si="51"/>
        <v>20.6</v>
      </c>
      <c r="GX24" s="1029">
        <f t="shared" si="52"/>
        <v>103.9</v>
      </c>
      <c r="GY24" s="1029">
        <f t="shared" si="53"/>
        <v>2133.6</v>
      </c>
      <c r="GZ24" s="1029">
        <f t="shared" si="54"/>
        <v>112.1</v>
      </c>
      <c r="HA24" s="1029">
        <f t="shared" si="55"/>
        <v>21.5</v>
      </c>
      <c r="HB24" s="1029">
        <f t="shared" si="56"/>
        <v>3665.9</v>
      </c>
      <c r="HC24" s="996"/>
      <c r="HD24" s="1031">
        <f t="shared" si="57"/>
        <v>0.85399429999999998</v>
      </c>
      <c r="HE24" s="1029">
        <f t="shared" si="58"/>
        <v>42226.1</v>
      </c>
      <c r="HF24" s="1029">
        <f t="shared" si="59"/>
        <v>30110.400000000001</v>
      </c>
      <c r="HG24" s="1029">
        <f t="shared" si="60"/>
        <v>9093.2999999999993</v>
      </c>
      <c r="HH24" s="1029">
        <f t="shared" si="61"/>
        <v>81.900000000000006</v>
      </c>
      <c r="HI24" s="1029">
        <f t="shared" si="62"/>
        <v>0</v>
      </c>
      <c r="HJ24" s="1029">
        <f t="shared" si="63"/>
        <v>38.9</v>
      </c>
      <c r="HK24" s="1029">
        <f t="shared" si="64"/>
        <v>311.2</v>
      </c>
      <c r="HL24" s="1029">
        <f t="shared" si="65"/>
        <v>63.9</v>
      </c>
      <c r="HM24" s="1029">
        <f t="shared" si="66"/>
        <v>21.8</v>
      </c>
      <c r="HN24" s="1029">
        <f t="shared" si="67"/>
        <v>109.7</v>
      </c>
      <c r="HO24" s="1029">
        <f t="shared" si="68"/>
        <v>2253.9</v>
      </c>
      <c r="HP24" s="1029">
        <f t="shared" si="69"/>
        <v>118.4</v>
      </c>
      <c r="HQ24" s="1029">
        <f t="shared" si="70"/>
        <v>22.7</v>
      </c>
      <c r="HR24" s="1029">
        <f t="shared" si="71"/>
        <v>3872.5</v>
      </c>
      <c r="HS24" s="996"/>
      <c r="HT24" s="1031">
        <f t="shared" si="72"/>
        <v>0.90058660000000001</v>
      </c>
      <c r="HU24" s="1029">
        <f t="shared" si="73"/>
        <v>44530</v>
      </c>
      <c r="HV24" s="1029">
        <f t="shared" si="74"/>
        <v>31753.200000000001</v>
      </c>
      <c r="HW24" s="1029">
        <f t="shared" si="75"/>
        <v>9589.4</v>
      </c>
      <c r="HX24" s="1029">
        <f t="shared" si="76"/>
        <v>86.4</v>
      </c>
      <c r="HY24" s="1029">
        <f t="shared" si="77"/>
        <v>0</v>
      </c>
      <c r="HZ24" s="1029">
        <f t="shared" si="78"/>
        <v>41</v>
      </c>
      <c r="IA24" s="1029">
        <f t="shared" si="79"/>
        <v>328.2</v>
      </c>
      <c r="IB24" s="1029">
        <f t="shared" si="80"/>
        <v>67.400000000000006</v>
      </c>
      <c r="IC24" s="1029">
        <f t="shared" si="81"/>
        <v>23</v>
      </c>
      <c r="ID24" s="1029">
        <f t="shared" si="82"/>
        <v>115.7</v>
      </c>
      <c r="IE24" s="1029">
        <f t="shared" si="83"/>
        <v>2376.8000000000002</v>
      </c>
      <c r="IF24" s="1029">
        <f t="shared" si="84"/>
        <v>124.9</v>
      </c>
      <c r="IG24" s="1029">
        <f t="shared" si="85"/>
        <v>24</v>
      </c>
      <c r="IH24" s="1029">
        <f t="shared" si="86"/>
        <v>4083.8</v>
      </c>
    </row>
    <row r="25" spans="1:242" ht="18.75" x14ac:dyDescent="0.25">
      <c r="A25" s="1010" t="s">
        <v>676</v>
      </c>
      <c r="B25" s="1011">
        <f t="shared" si="87"/>
        <v>121.17</v>
      </c>
      <c r="C25" s="1011">
        <f t="shared" si="88"/>
        <v>121.17</v>
      </c>
      <c r="D25" s="1012">
        <v>1</v>
      </c>
      <c r="E25" s="1012">
        <v>5</v>
      </c>
      <c r="F25" s="1012">
        <v>6</v>
      </c>
      <c r="G25" s="1012">
        <v>1</v>
      </c>
      <c r="H25" s="1012">
        <v>13.5</v>
      </c>
      <c r="I25" s="1014">
        <f t="shared" si="89"/>
        <v>94.67</v>
      </c>
      <c r="J25" s="1020">
        <v>26.45</v>
      </c>
      <c r="K25" s="1020">
        <v>29.33</v>
      </c>
      <c r="L25" s="1020">
        <v>3.94</v>
      </c>
      <c r="M25" s="1020">
        <v>6.28</v>
      </c>
      <c r="N25" s="1020">
        <v>1.56</v>
      </c>
      <c r="O25" s="1020">
        <v>0</v>
      </c>
      <c r="P25" s="1020">
        <v>11.11</v>
      </c>
      <c r="Q25" s="1020">
        <v>8.89</v>
      </c>
      <c r="R25" s="1020">
        <v>1.1100000000000001</v>
      </c>
      <c r="S25" s="1020">
        <v>6</v>
      </c>
      <c r="T25" s="1013">
        <f t="shared" si="90"/>
        <v>21.11</v>
      </c>
      <c r="U25" s="1013">
        <f t="shared" si="91"/>
        <v>11.11</v>
      </c>
      <c r="V25" s="1013">
        <f t="shared" si="2"/>
        <v>8.89</v>
      </c>
      <c r="W25" s="1013">
        <f t="shared" si="2"/>
        <v>1.1100000000000001</v>
      </c>
      <c r="X25" s="1013"/>
      <c r="Y25" s="1011">
        <f t="shared" si="92"/>
        <v>2687512.03</v>
      </c>
      <c r="Z25" s="1012">
        <v>35067.199999999997</v>
      </c>
      <c r="AA25" s="1014">
        <f t="shared" si="3"/>
        <v>157802.4</v>
      </c>
      <c r="AB25" s="1015">
        <f t="shared" si="93"/>
        <v>97452</v>
      </c>
      <c r="AC25" s="1015">
        <f t="shared" si="93"/>
        <v>16242</v>
      </c>
      <c r="AD25" s="1015">
        <f t="shared" si="93"/>
        <v>219267</v>
      </c>
      <c r="AE25" s="1015">
        <f t="shared" si="94"/>
        <v>2161681.4300000002</v>
      </c>
      <c r="AF25" s="1015">
        <f t="shared" si="4"/>
        <v>663075.44999999995</v>
      </c>
      <c r="AG25" s="1015">
        <f t="shared" si="5"/>
        <v>754090.45</v>
      </c>
      <c r="AH25" s="1015">
        <f t="shared" si="6"/>
        <v>100764.44</v>
      </c>
      <c r="AI25" s="1015">
        <f t="shared" si="7"/>
        <v>128850.4</v>
      </c>
      <c r="AJ25" s="1015">
        <f t="shared" si="8"/>
        <v>32007.42</v>
      </c>
      <c r="AK25" s="1015">
        <f t="shared" si="9"/>
        <v>0</v>
      </c>
      <c r="AL25" s="1015">
        <f t="shared" si="10"/>
        <v>185288.58</v>
      </c>
      <c r="AM25" s="1015">
        <f t="shared" si="11"/>
        <v>148264.22</v>
      </c>
      <c r="AN25" s="1015">
        <f t="shared" si="12"/>
        <v>18512.18</v>
      </c>
      <c r="AO25" s="1015">
        <f t="shared" si="13"/>
        <v>113205.84</v>
      </c>
      <c r="AP25" s="1015">
        <f t="shared" si="95"/>
        <v>17622.45</v>
      </c>
      <c r="AQ25" s="1015"/>
      <c r="AR25" s="1014">
        <f t="shared" si="96"/>
        <v>1.5</v>
      </c>
      <c r="AS25" s="1014">
        <f t="shared" si="97"/>
        <v>0.94</v>
      </c>
      <c r="AT25" s="1014">
        <f t="shared" si="98"/>
        <v>0</v>
      </c>
      <c r="AU25" s="1023">
        <v>15</v>
      </c>
      <c r="AV25" s="1023">
        <v>20</v>
      </c>
      <c r="AW25" s="1023">
        <v>25</v>
      </c>
      <c r="AX25" s="1023">
        <v>15</v>
      </c>
      <c r="AY25" s="1023">
        <f t="shared" si="99"/>
        <v>15</v>
      </c>
      <c r="AZ25" s="1023">
        <v>12</v>
      </c>
      <c r="BA25" s="1023">
        <v>15</v>
      </c>
      <c r="BB25" s="1023">
        <v>10</v>
      </c>
      <c r="BC25" s="1011">
        <f t="shared" si="100"/>
        <v>38</v>
      </c>
      <c r="BD25" s="1011">
        <f t="shared" si="101"/>
        <v>20</v>
      </c>
      <c r="BE25" s="1011">
        <f t="shared" si="14"/>
        <v>16</v>
      </c>
      <c r="BF25" s="1011">
        <f t="shared" si="14"/>
        <v>2</v>
      </c>
      <c r="BG25" s="1011">
        <f t="shared" si="102"/>
        <v>1117</v>
      </c>
      <c r="BH25" s="1012">
        <v>18</v>
      </c>
      <c r="BI25" s="1012">
        <v>15</v>
      </c>
      <c r="BJ25" s="1012">
        <v>2</v>
      </c>
      <c r="BK25" s="1012">
        <v>1064</v>
      </c>
      <c r="BL25" s="1016">
        <v>0</v>
      </c>
      <c r="BM25" s="1012">
        <v>2</v>
      </c>
      <c r="BN25" s="1012">
        <v>1</v>
      </c>
      <c r="BO25" s="1012"/>
      <c r="BP25" s="1012">
        <v>40</v>
      </c>
      <c r="BQ25" s="1016">
        <v>15</v>
      </c>
      <c r="BR25" s="1012"/>
      <c r="BS25" s="1012"/>
      <c r="BT25" s="1012"/>
      <c r="BU25" s="1012"/>
      <c r="BV25" s="1016">
        <v>0</v>
      </c>
      <c r="BW25" s="1012"/>
      <c r="BX25" s="1012"/>
      <c r="BY25" s="1012"/>
      <c r="BZ25" s="1012"/>
      <c r="CA25" s="1016">
        <v>0</v>
      </c>
      <c r="CB25" s="1012">
        <v>1</v>
      </c>
      <c r="CC25" s="1012">
        <v>4</v>
      </c>
      <c r="CD25" s="1012">
        <v>0</v>
      </c>
      <c r="CE25" s="1012">
        <v>5</v>
      </c>
      <c r="CF25" s="1016">
        <v>15</v>
      </c>
      <c r="CG25" s="1012">
        <v>4</v>
      </c>
      <c r="CH25" s="1012">
        <v>0</v>
      </c>
      <c r="CI25" s="1012">
        <v>0</v>
      </c>
      <c r="CJ25" s="1012">
        <v>4</v>
      </c>
      <c r="CK25" s="1016">
        <v>15</v>
      </c>
      <c r="CL25" s="1012">
        <v>3</v>
      </c>
      <c r="CM25" s="1012">
        <v>1</v>
      </c>
      <c r="CN25" s="1012"/>
      <c r="CO25" s="1012">
        <v>4</v>
      </c>
      <c r="CP25" s="1016">
        <v>15</v>
      </c>
      <c r="CQ25" s="1067">
        <v>53.7</v>
      </c>
      <c r="CR25" s="1067">
        <v>0.6</v>
      </c>
      <c r="CS25" s="1067">
        <v>1258.5999999999999</v>
      </c>
      <c r="CT25" s="1018">
        <f t="shared" si="103"/>
        <v>1373</v>
      </c>
      <c r="CU25" s="1018">
        <f t="shared" si="15"/>
        <v>1.8</v>
      </c>
      <c r="CV25" s="1019">
        <v>1.7</v>
      </c>
      <c r="CW25" s="1014">
        <f t="shared" si="16"/>
        <v>40885.26</v>
      </c>
      <c r="CX25" s="1017">
        <v>45304.5</v>
      </c>
      <c r="CY25" s="1014">
        <f t="shared" si="17"/>
        <v>2934479.34</v>
      </c>
      <c r="CZ25" s="1020">
        <v>10589.6</v>
      </c>
      <c r="DA25" s="1021">
        <v>42.277230000000003</v>
      </c>
      <c r="DB25" s="1027">
        <v>50</v>
      </c>
      <c r="DC25" s="1033">
        <f t="shared" si="104"/>
        <v>1.01525</v>
      </c>
      <c r="DD25" s="1011">
        <f t="shared" si="105"/>
        <v>32681027.199999999</v>
      </c>
      <c r="DE25" s="1014">
        <f t="shared" si="18"/>
        <v>427223.7</v>
      </c>
      <c r="DF25" s="1014">
        <f t="shared" si="19"/>
        <v>1922506.64</v>
      </c>
      <c r="DG25" s="1014">
        <f t="shared" si="106"/>
        <v>1169424</v>
      </c>
      <c r="DH25" s="1014">
        <f t="shared" si="106"/>
        <v>194904</v>
      </c>
      <c r="DI25" s="1014">
        <f t="shared" si="106"/>
        <v>2631204</v>
      </c>
      <c r="DJ25" s="1014">
        <f t="shared" si="20"/>
        <v>26335764.859999999</v>
      </c>
      <c r="DK25" s="1024">
        <f t="shared" si="107"/>
        <v>16566.84</v>
      </c>
      <c r="DL25" s="1024">
        <f t="shared" si="21"/>
        <v>698913.6</v>
      </c>
      <c r="DM25" s="1024">
        <f t="shared" si="22"/>
        <v>279180</v>
      </c>
      <c r="DN25" s="1024">
        <f t="shared" si="23"/>
        <v>47472</v>
      </c>
      <c r="DO25" s="1024">
        <f t="shared" si="108"/>
        <v>1617691.1</v>
      </c>
      <c r="DP25" s="1014">
        <f t="shared" si="109"/>
        <v>1714935.92</v>
      </c>
      <c r="DQ25" s="1014">
        <f t="shared" si="110"/>
        <v>342987.18</v>
      </c>
      <c r="DR25" s="1011">
        <f t="shared" si="111"/>
        <v>37398773.799999997</v>
      </c>
      <c r="DS25" s="1011">
        <f t="shared" si="112"/>
        <v>11294429.699999999</v>
      </c>
      <c r="DT25" s="1011">
        <f t="shared" si="113"/>
        <v>48693203.5</v>
      </c>
      <c r="DU25" s="1025"/>
      <c r="DV25" s="1028">
        <v>1.1072</v>
      </c>
      <c r="DW25" s="1011">
        <f t="shared" si="114"/>
        <v>472951.57</v>
      </c>
      <c r="DX25" s="1023">
        <v>76000</v>
      </c>
      <c r="DY25" s="1015">
        <f t="shared" si="115"/>
        <v>84147.199999999997</v>
      </c>
      <c r="DZ25" s="1023"/>
      <c r="EA25" s="1015">
        <f t="shared" si="116"/>
        <v>0</v>
      </c>
      <c r="EB25" s="1023">
        <v>50550</v>
      </c>
      <c r="EC25" s="1015">
        <f t="shared" si="24"/>
        <v>52151.46</v>
      </c>
      <c r="ED25" s="1023">
        <v>200079</v>
      </c>
      <c r="EE25" s="1015">
        <f t="shared" si="117"/>
        <v>221527.47</v>
      </c>
      <c r="EF25" s="1023">
        <v>61190</v>
      </c>
      <c r="EG25" s="1015">
        <f t="shared" si="25"/>
        <v>85852.74</v>
      </c>
      <c r="EH25" s="1023">
        <v>0</v>
      </c>
      <c r="EI25" s="1015">
        <f t="shared" si="26"/>
        <v>29272.7</v>
      </c>
      <c r="EJ25" s="1011">
        <f t="shared" si="118"/>
        <v>3331605.61</v>
      </c>
      <c r="EK25" s="1023"/>
      <c r="EL25" s="1015">
        <f t="shared" si="27"/>
        <v>152218.25</v>
      </c>
      <c r="EM25" s="1023">
        <v>1299305.1499999999</v>
      </c>
      <c r="EN25" s="1015">
        <f t="shared" si="28"/>
        <v>741192.09</v>
      </c>
      <c r="EO25" s="1068">
        <v>169</v>
      </c>
      <c r="EP25" s="1015">
        <f t="shared" si="119"/>
        <v>299062.40000000002</v>
      </c>
      <c r="EQ25" s="1068">
        <v>136</v>
      </c>
      <c r="ER25" s="1015">
        <f t="shared" si="29"/>
        <v>299472</v>
      </c>
      <c r="ES25" s="1068">
        <v>148</v>
      </c>
      <c r="ET25" s="1015">
        <f t="shared" si="30"/>
        <v>328796.79999999999</v>
      </c>
      <c r="EU25" s="1068">
        <v>162</v>
      </c>
      <c r="EV25" s="1015">
        <f t="shared" si="31"/>
        <v>389156.4</v>
      </c>
      <c r="EW25" s="1068">
        <v>95</v>
      </c>
      <c r="EX25" s="1015">
        <f t="shared" si="32"/>
        <v>251579</v>
      </c>
      <c r="EY25" s="1068">
        <v>121</v>
      </c>
      <c r="EZ25" s="1015">
        <f t="shared" si="33"/>
        <v>371155.4</v>
      </c>
      <c r="FA25" s="1068">
        <v>90</v>
      </c>
      <c r="FB25" s="1015">
        <f t="shared" si="34"/>
        <v>331974</v>
      </c>
      <c r="FC25" s="1068">
        <v>95</v>
      </c>
      <c r="FD25" s="1015">
        <f t="shared" si="35"/>
        <v>361494</v>
      </c>
      <c r="FE25" s="1068">
        <v>56</v>
      </c>
      <c r="FF25" s="1015">
        <f t="shared" si="36"/>
        <v>197859.20000000001</v>
      </c>
      <c r="FG25" s="1068">
        <v>29</v>
      </c>
      <c r="FH25" s="1015">
        <f t="shared" si="37"/>
        <v>98600</v>
      </c>
      <c r="FI25" s="1068">
        <v>16</v>
      </c>
      <c r="FJ25" s="1015">
        <f t="shared" si="38"/>
        <v>54400</v>
      </c>
      <c r="FK25" s="1015">
        <f t="shared" si="120"/>
        <v>2983549.2</v>
      </c>
      <c r="FL25" s="1023">
        <v>132532.42000000001</v>
      </c>
      <c r="FM25" s="1015">
        <f t="shared" si="39"/>
        <v>164288.85999999999</v>
      </c>
      <c r="FN25" s="1023">
        <v>13590</v>
      </c>
      <c r="FO25" s="1015">
        <f t="shared" si="40"/>
        <v>31549.3</v>
      </c>
      <c r="FP25" s="1011">
        <f t="shared" si="41"/>
        <v>3804557.18</v>
      </c>
      <c r="FQ25" s="1025"/>
      <c r="FR25" s="1011">
        <f t="shared" si="121"/>
        <v>52497760.68</v>
      </c>
      <c r="FS25" s="996"/>
      <c r="FT25" s="1029">
        <f t="shared" si="140"/>
        <v>52497.7</v>
      </c>
      <c r="FU25" s="1029">
        <f t="shared" si="122"/>
        <v>37398.800000000003</v>
      </c>
      <c r="FV25" s="1029">
        <f t="shared" si="123"/>
        <v>3048.6</v>
      </c>
      <c r="FW25" s="1029">
        <f t="shared" si="124"/>
        <v>1448.6</v>
      </c>
      <c r="FX25" s="1029">
        <f t="shared" si="125"/>
        <v>258.89999999999998</v>
      </c>
      <c r="FY25" s="1029">
        <f t="shared" si="126"/>
        <v>2631.2</v>
      </c>
      <c r="FZ25" s="1029">
        <f t="shared" si="127"/>
        <v>27953.5</v>
      </c>
      <c r="GA25" s="1029">
        <f t="shared" si="128"/>
        <v>2058</v>
      </c>
      <c r="GB25" s="1029">
        <f t="shared" si="42"/>
        <v>11294.4</v>
      </c>
      <c r="GC25" s="1029">
        <f t="shared" si="129"/>
        <v>84.1</v>
      </c>
      <c r="GD25" s="1029">
        <f t="shared" si="130"/>
        <v>0</v>
      </c>
      <c r="GE25" s="1029">
        <f t="shared" si="131"/>
        <v>52.2</v>
      </c>
      <c r="GF25" s="1029">
        <f t="shared" si="132"/>
        <v>221.5</v>
      </c>
      <c r="GG25" s="1029">
        <f t="shared" si="133"/>
        <v>85.9</v>
      </c>
      <c r="GH25" s="1029">
        <f t="shared" si="134"/>
        <v>29.3</v>
      </c>
      <c r="GI25" s="1029">
        <f t="shared" si="135"/>
        <v>152.19999999999999</v>
      </c>
      <c r="GJ25" s="1029">
        <f t="shared" si="136"/>
        <v>2983.5</v>
      </c>
      <c r="GK25" s="1029">
        <f t="shared" si="137"/>
        <v>164.3</v>
      </c>
      <c r="GL25" s="1029">
        <f t="shared" si="138"/>
        <v>31.5</v>
      </c>
      <c r="GM25" s="1069"/>
      <c r="GN25" s="1031">
        <f t="shared" si="43"/>
        <v>0.8084192</v>
      </c>
      <c r="GO25" s="1029">
        <f t="shared" si="139"/>
        <v>42440.1</v>
      </c>
      <c r="GP25" s="1029">
        <f t="shared" si="44"/>
        <v>30233.9</v>
      </c>
      <c r="GQ25" s="1029">
        <f t="shared" si="45"/>
        <v>9130.6</v>
      </c>
      <c r="GR25" s="1029">
        <f t="shared" si="46"/>
        <v>68</v>
      </c>
      <c r="GS25" s="1029">
        <f t="shared" si="47"/>
        <v>0</v>
      </c>
      <c r="GT25" s="1029">
        <f t="shared" si="48"/>
        <v>42.2</v>
      </c>
      <c r="GU25" s="1029">
        <f t="shared" si="49"/>
        <v>179.1</v>
      </c>
      <c r="GV25" s="1029">
        <f t="shared" si="50"/>
        <v>69.400000000000006</v>
      </c>
      <c r="GW25" s="1029">
        <f t="shared" si="51"/>
        <v>23.7</v>
      </c>
      <c r="GX25" s="1029">
        <f t="shared" si="52"/>
        <v>123</v>
      </c>
      <c r="GY25" s="1029">
        <f t="shared" si="53"/>
        <v>2411.9</v>
      </c>
      <c r="GZ25" s="1029">
        <f t="shared" si="54"/>
        <v>132.80000000000001</v>
      </c>
      <c r="HA25" s="1029">
        <f t="shared" si="55"/>
        <v>25.5</v>
      </c>
      <c r="HB25" s="1029">
        <f t="shared" si="56"/>
        <v>1702.7</v>
      </c>
      <c r="HC25" s="996"/>
      <c r="HD25" s="1031">
        <f t="shared" si="57"/>
        <v>0.85399429999999998</v>
      </c>
      <c r="HE25" s="1029">
        <f t="shared" si="58"/>
        <v>44832.9</v>
      </c>
      <c r="HF25" s="1029">
        <f t="shared" si="59"/>
        <v>31938.400000000001</v>
      </c>
      <c r="HG25" s="1029">
        <f t="shared" si="60"/>
        <v>9645.4</v>
      </c>
      <c r="HH25" s="1029">
        <f t="shared" si="61"/>
        <v>71.8</v>
      </c>
      <c r="HI25" s="1029">
        <f t="shared" si="62"/>
        <v>0</v>
      </c>
      <c r="HJ25" s="1029">
        <f t="shared" si="63"/>
        <v>44.6</v>
      </c>
      <c r="HK25" s="1029">
        <f t="shared" si="64"/>
        <v>189.2</v>
      </c>
      <c r="HL25" s="1029">
        <f t="shared" si="65"/>
        <v>73.400000000000006</v>
      </c>
      <c r="HM25" s="1029">
        <f t="shared" si="66"/>
        <v>25</v>
      </c>
      <c r="HN25" s="1029">
        <f t="shared" si="67"/>
        <v>130</v>
      </c>
      <c r="HO25" s="1029">
        <f t="shared" si="68"/>
        <v>2547.9</v>
      </c>
      <c r="HP25" s="1029">
        <f t="shared" si="69"/>
        <v>140.30000000000001</v>
      </c>
      <c r="HQ25" s="1029">
        <f t="shared" si="70"/>
        <v>26.9</v>
      </c>
      <c r="HR25" s="1029">
        <f t="shared" si="71"/>
        <v>1798.7</v>
      </c>
      <c r="HS25" s="996"/>
      <c r="HT25" s="1031">
        <f t="shared" si="72"/>
        <v>0.90058660000000001</v>
      </c>
      <c r="HU25" s="1029">
        <f t="shared" si="73"/>
        <v>47278.9</v>
      </c>
      <c r="HV25" s="1029">
        <f t="shared" si="74"/>
        <v>33680.9</v>
      </c>
      <c r="HW25" s="1029">
        <f t="shared" si="75"/>
        <v>10171.6</v>
      </c>
      <c r="HX25" s="1029">
        <f t="shared" si="76"/>
        <v>75.7</v>
      </c>
      <c r="HY25" s="1029">
        <f t="shared" si="77"/>
        <v>0</v>
      </c>
      <c r="HZ25" s="1029">
        <f t="shared" si="78"/>
        <v>47</v>
      </c>
      <c r="IA25" s="1029">
        <f t="shared" si="79"/>
        <v>199.5</v>
      </c>
      <c r="IB25" s="1029">
        <f t="shared" si="80"/>
        <v>77.400000000000006</v>
      </c>
      <c r="IC25" s="1029">
        <f t="shared" si="81"/>
        <v>26.4</v>
      </c>
      <c r="ID25" s="1029">
        <f t="shared" si="82"/>
        <v>137.1</v>
      </c>
      <c r="IE25" s="1029">
        <f t="shared" si="83"/>
        <v>2686.9</v>
      </c>
      <c r="IF25" s="1029">
        <f t="shared" si="84"/>
        <v>148</v>
      </c>
      <c r="IG25" s="1029">
        <f t="shared" si="85"/>
        <v>28.4</v>
      </c>
      <c r="IH25" s="1029">
        <f t="shared" si="86"/>
        <v>1896.8</v>
      </c>
    </row>
    <row r="26" spans="1:242" ht="18.75" x14ac:dyDescent="0.25">
      <c r="A26" s="1010" t="s">
        <v>677</v>
      </c>
      <c r="B26" s="1011">
        <f t="shared" si="87"/>
        <v>120.06</v>
      </c>
      <c r="C26" s="1011">
        <f t="shared" si="88"/>
        <v>120.06</v>
      </c>
      <c r="D26" s="1012">
        <v>1</v>
      </c>
      <c r="E26" s="1012">
        <v>5</v>
      </c>
      <c r="F26" s="1012">
        <v>8</v>
      </c>
      <c r="G26" s="1012">
        <v>1</v>
      </c>
      <c r="H26" s="1012">
        <v>12.5</v>
      </c>
      <c r="I26" s="1014">
        <f t="shared" si="89"/>
        <v>92.56</v>
      </c>
      <c r="J26" s="1020">
        <v>18.72</v>
      </c>
      <c r="K26" s="1020">
        <v>35.28</v>
      </c>
      <c r="L26" s="1020">
        <v>9.2799999999999994</v>
      </c>
      <c r="M26" s="1020">
        <v>1.1100000000000001</v>
      </c>
      <c r="N26" s="1020">
        <v>3.17</v>
      </c>
      <c r="O26" s="1020">
        <v>0</v>
      </c>
      <c r="P26" s="1020">
        <v>7.78</v>
      </c>
      <c r="Q26" s="1020">
        <v>10</v>
      </c>
      <c r="R26" s="1020">
        <v>2.2200000000000002</v>
      </c>
      <c r="S26" s="1020">
        <v>5</v>
      </c>
      <c r="T26" s="1013">
        <f t="shared" si="90"/>
        <v>20</v>
      </c>
      <c r="U26" s="1013">
        <f t="shared" si="91"/>
        <v>7.78</v>
      </c>
      <c r="V26" s="1013">
        <f t="shared" si="91"/>
        <v>10</v>
      </c>
      <c r="W26" s="1013">
        <f t="shared" si="91"/>
        <v>2.2200000000000002</v>
      </c>
      <c r="X26" s="1013"/>
      <c r="Y26" s="1011">
        <f t="shared" si="92"/>
        <v>2686940.91</v>
      </c>
      <c r="Z26" s="1012">
        <v>36319.599999999999</v>
      </c>
      <c r="AA26" s="1014">
        <f t="shared" si="3"/>
        <v>163438.20000000001</v>
      </c>
      <c r="AB26" s="1015">
        <f t="shared" si="93"/>
        <v>129936</v>
      </c>
      <c r="AC26" s="1015">
        <f t="shared" si="93"/>
        <v>16242</v>
      </c>
      <c r="AD26" s="1015">
        <f t="shared" si="93"/>
        <v>203025</v>
      </c>
      <c r="AE26" s="1015">
        <f t="shared" si="94"/>
        <v>2137980.11</v>
      </c>
      <c r="AF26" s="1015">
        <f t="shared" si="4"/>
        <v>465234.68</v>
      </c>
      <c r="AG26" s="1015">
        <f t="shared" si="5"/>
        <v>902276.47</v>
      </c>
      <c r="AH26" s="1015">
        <f t="shared" si="6"/>
        <v>237333.49</v>
      </c>
      <c r="AI26" s="1015">
        <f t="shared" si="7"/>
        <v>22774.51</v>
      </c>
      <c r="AJ26" s="1015">
        <f t="shared" si="8"/>
        <v>65040.73</v>
      </c>
      <c r="AK26" s="1015">
        <f t="shared" si="9"/>
        <v>0</v>
      </c>
      <c r="AL26" s="1015">
        <f t="shared" si="10"/>
        <v>129752.04</v>
      </c>
      <c r="AM26" s="1015">
        <f t="shared" si="11"/>
        <v>166776.4</v>
      </c>
      <c r="AN26" s="1015">
        <f t="shared" si="12"/>
        <v>37024.36</v>
      </c>
      <c r="AO26" s="1015">
        <f t="shared" si="13"/>
        <v>94338.2</v>
      </c>
      <c r="AP26" s="1015">
        <f t="shared" si="95"/>
        <v>17429.23</v>
      </c>
      <c r="AQ26" s="1015"/>
      <c r="AR26" s="1014">
        <f t="shared" si="96"/>
        <v>0</v>
      </c>
      <c r="AS26" s="1014">
        <f t="shared" si="97"/>
        <v>0</v>
      </c>
      <c r="AT26" s="1014">
        <f t="shared" si="98"/>
        <v>0</v>
      </c>
      <c r="AU26" s="1023">
        <v>15</v>
      </c>
      <c r="AV26" s="1023">
        <v>20</v>
      </c>
      <c r="AW26" s="1023">
        <v>25</v>
      </c>
      <c r="AX26" s="1023">
        <v>15</v>
      </c>
      <c r="AY26" s="1023">
        <f t="shared" si="99"/>
        <v>15</v>
      </c>
      <c r="AZ26" s="1023">
        <v>12</v>
      </c>
      <c r="BA26" s="1023">
        <v>15</v>
      </c>
      <c r="BB26" s="1023">
        <v>10</v>
      </c>
      <c r="BC26" s="1011">
        <f t="shared" si="100"/>
        <v>36</v>
      </c>
      <c r="BD26" s="1011">
        <f t="shared" si="101"/>
        <v>14</v>
      </c>
      <c r="BE26" s="1011">
        <f t="shared" si="101"/>
        <v>18</v>
      </c>
      <c r="BF26" s="1011">
        <f t="shared" si="101"/>
        <v>4</v>
      </c>
      <c r="BG26" s="1011">
        <f t="shared" si="102"/>
        <v>1022</v>
      </c>
      <c r="BH26" s="1012">
        <v>14</v>
      </c>
      <c r="BI26" s="1012">
        <v>18</v>
      </c>
      <c r="BJ26" s="1012">
        <v>4</v>
      </c>
      <c r="BK26" s="1012">
        <v>1018</v>
      </c>
      <c r="BL26" s="1016">
        <v>0</v>
      </c>
      <c r="BM26" s="1012">
        <v>0</v>
      </c>
      <c r="BN26" s="1012">
        <v>0</v>
      </c>
      <c r="BO26" s="1012"/>
      <c r="BP26" s="1012">
        <v>0</v>
      </c>
      <c r="BQ26" s="1016">
        <v>15</v>
      </c>
      <c r="BR26" s="1012"/>
      <c r="BS26" s="1012"/>
      <c r="BT26" s="1012"/>
      <c r="BU26" s="1012"/>
      <c r="BV26" s="1016">
        <v>0</v>
      </c>
      <c r="BW26" s="1012"/>
      <c r="BX26" s="1012"/>
      <c r="BY26" s="1012"/>
      <c r="BZ26" s="1012"/>
      <c r="CA26" s="1016">
        <v>0</v>
      </c>
      <c r="CB26" s="1012">
        <v>1</v>
      </c>
      <c r="CC26" s="1012">
        <v>0</v>
      </c>
      <c r="CD26" s="1012">
        <v>0</v>
      </c>
      <c r="CE26" s="1012">
        <v>1</v>
      </c>
      <c r="CF26" s="1016">
        <v>15</v>
      </c>
      <c r="CG26" s="1012">
        <v>1</v>
      </c>
      <c r="CH26" s="1012">
        <v>2</v>
      </c>
      <c r="CI26" s="1012">
        <v>0</v>
      </c>
      <c r="CJ26" s="1012">
        <v>3</v>
      </c>
      <c r="CK26" s="1016">
        <v>15</v>
      </c>
      <c r="CL26" s="1012">
        <v>0</v>
      </c>
      <c r="CM26" s="1012">
        <v>0</v>
      </c>
      <c r="CN26" s="1012"/>
      <c r="CO26" s="1012">
        <v>0</v>
      </c>
      <c r="CP26" s="1016">
        <v>15</v>
      </c>
      <c r="CQ26" s="1067">
        <v>53.4</v>
      </c>
      <c r="CR26" s="1067">
        <v>2</v>
      </c>
      <c r="CS26" s="1067">
        <v>182.5</v>
      </c>
      <c r="CT26" s="1018">
        <f t="shared" si="103"/>
        <v>199.1</v>
      </c>
      <c r="CU26" s="1018">
        <f t="shared" si="15"/>
        <v>1.7</v>
      </c>
      <c r="CV26" s="1019">
        <v>1.7</v>
      </c>
      <c r="CW26" s="1014">
        <f t="shared" si="16"/>
        <v>39578.6</v>
      </c>
      <c r="CX26" s="1017">
        <v>45304.5</v>
      </c>
      <c r="CY26" s="1014">
        <f t="shared" si="17"/>
        <v>3660264.73</v>
      </c>
      <c r="CZ26" s="1020">
        <v>11284</v>
      </c>
      <c r="DA26" s="1021">
        <v>45.049500000000002</v>
      </c>
      <c r="DB26" s="1027">
        <v>50</v>
      </c>
      <c r="DC26" s="1033">
        <f t="shared" si="104"/>
        <v>1.01525</v>
      </c>
      <c r="DD26" s="1011">
        <f t="shared" si="105"/>
        <v>32671096.960000001</v>
      </c>
      <c r="DE26" s="1014">
        <f t="shared" si="18"/>
        <v>442481.69</v>
      </c>
      <c r="DF26" s="1014">
        <f t="shared" si="19"/>
        <v>1991167.59</v>
      </c>
      <c r="DG26" s="1014">
        <f t="shared" si="106"/>
        <v>1559232</v>
      </c>
      <c r="DH26" s="1014">
        <f t="shared" si="106"/>
        <v>194904</v>
      </c>
      <c r="DI26" s="1014">
        <f t="shared" si="106"/>
        <v>2436300</v>
      </c>
      <c r="DJ26" s="1014">
        <f t="shared" si="20"/>
        <v>26047011.68</v>
      </c>
      <c r="DK26" s="1024">
        <f t="shared" si="107"/>
        <v>16566.84</v>
      </c>
      <c r="DL26" s="1024">
        <f t="shared" si="21"/>
        <v>744744</v>
      </c>
      <c r="DM26" s="1024">
        <f t="shared" si="22"/>
        <v>372240</v>
      </c>
      <c r="DN26" s="1024">
        <f t="shared" si="23"/>
        <v>47472</v>
      </c>
      <c r="DO26" s="1024">
        <f t="shared" si="108"/>
        <v>2357914.15</v>
      </c>
      <c r="DP26" s="1014">
        <f t="shared" si="109"/>
        <v>1751450.56</v>
      </c>
      <c r="DQ26" s="1014">
        <f t="shared" si="110"/>
        <v>350290.11</v>
      </c>
      <c r="DR26" s="1011">
        <f t="shared" si="111"/>
        <v>38311774.600000001</v>
      </c>
      <c r="DS26" s="1011">
        <f t="shared" si="112"/>
        <v>11570155.9</v>
      </c>
      <c r="DT26" s="1011">
        <f t="shared" si="113"/>
        <v>49881930.5</v>
      </c>
      <c r="DU26" s="1025"/>
      <c r="DV26" s="1028">
        <v>1.1072</v>
      </c>
      <c r="DW26" s="1011">
        <f t="shared" si="114"/>
        <v>435210.35</v>
      </c>
      <c r="DX26" s="1023">
        <v>40000</v>
      </c>
      <c r="DY26" s="1015">
        <f t="shared" si="115"/>
        <v>44288</v>
      </c>
      <c r="DZ26" s="1023"/>
      <c r="EA26" s="1015">
        <f t="shared" si="116"/>
        <v>0</v>
      </c>
      <c r="EB26" s="1023">
        <v>20000</v>
      </c>
      <c r="EC26" s="1015">
        <f t="shared" si="24"/>
        <v>50989.11</v>
      </c>
      <c r="ED26" s="1023">
        <v>205359.2</v>
      </c>
      <c r="EE26" s="1015">
        <f t="shared" si="117"/>
        <v>227373.71</v>
      </c>
      <c r="EF26" s="1023">
        <v>89990.5</v>
      </c>
      <c r="EG26" s="1015">
        <f t="shared" si="25"/>
        <v>83939.26</v>
      </c>
      <c r="EH26" s="1023">
        <v>0</v>
      </c>
      <c r="EI26" s="1015">
        <f t="shared" si="26"/>
        <v>28620.27</v>
      </c>
      <c r="EJ26" s="1011">
        <f t="shared" si="118"/>
        <v>3259538.48</v>
      </c>
      <c r="EK26" s="1023"/>
      <c r="EL26" s="1015">
        <f t="shared" si="27"/>
        <v>139272.21</v>
      </c>
      <c r="EM26" s="1023">
        <v>138923</v>
      </c>
      <c r="EN26" s="1015">
        <f t="shared" si="28"/>
        <v>678154.26</v>
      </c>
      <c r="EO26" s="1068">
        <v>101</v>
      </c>
      <c r="EP26" s="1015">
        <f t="shared" si="119"/>
        <v>178729.60000000001</v>
      </c>
      <c r="EQ26" s="1068">
        <v>92</v>
      </c>
      <c r="ER26" s="1015">
        <f t="shared" si="29"/>
        <v>202584</v>
      </c>
      <c r="ES26" s="1068">
        <v>114</v>
      </c>
      <c r="ET26" s="1015">
        <f t="shared" si="30"/>
        <v>253262.4</v>
      </c>
      <c r="EU26" s="1068">
        <v>103</v>
      </c>
      <c r="EV26" s="1015">
        <f t="shared" si="31"/>
        <v>247426.6</v>
      </c>
      <c r="EW26" s="1068">
        <v>96</v>
      </c>
      <c r="EX26" s="1015">
        <f t="shared" si="32"/>
        <v>254227.20000000001</v>
      </c>
      <c r="EY26" s="1068">
        <v>109</v>
      </c>
      <c r="EZ26" s="1015">
        <f t="shared" si="33"/>
        <v>334346.59999999998</v>
      </c>
      <c r="FA26" s="1068">
        <v>104</v>
      </c>
      <c r="FB26" s="1015">
        <f t="shared" si="34"/>
        <v>383614.4</v>
      </c>
      <c r="FC26" s="1068">
        <v>110</v>
      </c>
      <c r="FD26" s="1015">
        <f t="shared" si="35"/>
        <v>418572</v>
      </c>
      <c r="FE26" s="1068">
        <v>91</v>
      </c>
      <c r="FF26" s="1015">
        <f t="shared" si="36"/>
        <v>321521.2</v>
      </c>
      <c r="FG26" s="1068">
        <v>54</v>
      </c>
      <c r="FH26" s="1015">
        <f t="shared" si="37"/>
        <v>183600</v>
      </c>
      <c r="FI26" s="1068">
        <v>48</v>
      </c>
      <c r="FJ26" s="1015">
        <f t="shared" si="38"/>
        <v>163200</v>
      </c>
      <c r="FK26" s="1015">
        <f t="shared" si="120"/>
        <v>2941084</v>
      </c>
      <c r="FL26" s="1023">
        <v>167493</v>
      </c>
      <c r="FM26" s="1015">
        <f t="shared" si="39"/>
        <v>150316.22</v>
      </c>
      <c r="FN26" s="1023">
        <v>18990</v>
      </c>
      <c r="FO26" s="1015">
        <f t="shared" si="40"/>
        <v>28866.05</v>
      </c>
      <c r="FP26" s="1011">
        <f t="shared" si="41"/>
        <v>3694748.83</v>
      </c>
      <c r="FQ26" s="1025"/>
      <c r="FR26" s="1011">
        <f t="shared" si="121"/>
        <v>53576679.329999998</v>
      </c>
      <c r="FS26" s="996"/>
      <c r="FT26" s="1029">
        <f t="shared" si="140"/>
        <v>53576.800000000003</v>
      </c>
      <c r="FU26" s="1029">
        <f t="shared" si="122"/>
        <v>38311.800000000003</v>
      </c>
      <c r="FV26" s="1029">
        <f t="shared" si="123"/>
        <v>3178.4</v>
      </c>
      <c r="FW26" s="1029">
        <f t="shared" si="124"/>
        <v>1931.5</v>
      </c>
      <c r="FX26" s="1029">
        <f t="shared" si="125"/>
        <v>258.89999999999998</v>
      </c>
      <c r="FY26" s="1029">
        <f t="shared" si="126"/>
        <v>2436.3000000000002</v>
      </c>
      <c r="FZ26" s="1029">
        <f t="shared" si="127"/>
        <v>28404.9</v>
      </c>
      <c r="GA26" s="1029">
        <f t="shared" si="128"/>
        <v>2101.8000000000002</v>
      </c>
      <c r="GB26" s="1029">
        <f t="shared" si="42"/>
        <v>11570.2</v>
      </c>
      <c r="GC26" s="1029">
        <f t="shared" si="129"/>
        <v>44.3</v>
      </c>
      <c r="GD26" s="1029">
        <f t="shared" si="130"/>
        <v>0</v>
      </c>
      <c r="GE26" s="1029">
        <f t="shared" si="131"/>
        <v>51</v>
      </c>
      <c r="GF26" s="1029">
        <f t="shared" si="132"/>
        <v>227.4</v>
      </c>
      <c r="GG26" s="1029">
        <f t="shared" si="133"/>
        <v>83.9</v>
      </c>
      <c r="GH26" s="1029">
        <f t="shared" si="134"/>
        <v>28.6</v>
      </c>
      <c r="GI26" s="1029">
        <f t="shared" si="135"/>
        <v>139.30000000000001</v>
      </c>
      <c r="GJ26" s="1029">
        <f t="shared" si="136"/>
        <v>2941.1</v>
      </c>
      <c r="GK26" s="1029">
        <f t="shared" si="137"/>
        <v>150.30000000000001</v>
      </c>
      <c r="GL26" s="1029">
        <f t="shared" si="138"/>
        <v>28.9</v>
      </c>
      <c r="GM26" s="1069"/>
      <c r="GN26" s="1031">
        <f t="shared" si="43"/>
        <v>0.8084192</v>
      </c>
      <c r="GO26" s="1029">
        <f t="shared" si="139"/>
        <v>43312.4</v>
      </c>
      <c r="GP26" s="1029">
        <f t="shared" si="44"/>
        <v>30972</v>
      </c>
      <c r="GQ26" s="1029">
        <f t="shared" si="45"/>
        <v>9353.6</v>
      </c>
      <c r="GR26" s="1029">
        <f t="shared" si="46"/>
        <v>35.799999999999997</v>
      </c>
      <c r="GS26" s="1029">
        <f t="shared" si="47"/>
        <v>0</v>
      </c>
      <c r="GT26" s="1029">
        <f t="shared" si="48"/>
        <v>41.2</v>
      </c>
      <c r="GU26" s="1029">
        <f t="shared" si="49"/>
        <v>183.8</v>
      </c>
      <c r="GV26" s="1029">
        <f t="shared" si="50"/>
        <v>67.8</v>
      </c>
      <c r="GW26" s="1029">
        <f t="shared" si="51"/>
        <v>23.1</v>
      </c>
      <c r="GX26" s="1029">
        <f t="shared" si="52"/>
        <v>112.6</v>
      </c>
      <c r="GY26" s="1029">
        <f t="shared" si="53"/>
        <v>2377.6</v>
      </c>
      <c r="GZ26" s="1029">
        <f t="shared" si="54"/>
        <v>121.5</v>
      </c>
      <c r="HA26" s="1029">
        <f t="shared" si="55"/>
        <v>23.4</v>
      </c>
      <c r="HB26" s="1029">
        <f t="shared" si="56"/>
        <v>2481.9</v>
      </c>
      <c r="HC26" s="996"/>
      <c r="HD26" s="1031">
        <f t="shared" si="57"/>
        <v>0.85399429999999998</v>
      </c>
      <c r="HE26" s="1029">
        <f t="shared" si="58"/>
        <v>45754.5</v>
      </c>
      <c r="HF26" s="1029">
        <f t="shared" si="59"/>
        <v>32718.1</v>
      </c>
      <c r="HG26" s="1029">
        <f t="shared" si="60"/>
        <v>9880.9</v>
      </c>
      <c r="HH26" s="1029">
        <f t="shared" si="61"/>
        <v>37.799999999999997</v>
      </c>
      <c r="HI26" s="1029">
        <f t="shared" si="62"/>
        <v>0</v>
      </c>
      <c r="HJ26" s="1029">
        <f t="shared" si="63"/>
        <v>43.6</v>
      </c>
      <c r="HK26" s="1029">
        <f t="shared" si="64"/>
        <v>194.2</v>
      </c>
      <c r="HL26" s="1029">
        <f t="shared" si="65"/>
        <v>71.7</v>
      </c>
      <c r="HM26" s="1029">
        <f t="shared" si="66"/>
        <v>24.4</v>
      </c>
      <c r="HN26" s="1029">
        <f t="shared" si="67"/>
        <v>119</v>
      </c>
      <c r="HO26" s="1029">
        <f t="shared" si="68"/>
        <v>2511.6999999999998</v>
      </c>
      <c r="HP26" s="1029">
        <f t="shared" si="69"/>
        <v>128.4</v>
      </c>
      <c r="HQ26" s="1029">
        <f t="shared" si="70"/>
        <v>24.7</v>
      </c>
      <c r="HR26" s="1029">
        <f t="shared" si="71"/>
        <v>2621.8</v>
      </c>
      <c r="HS26" s="996"/>
      <c r="HT26" s="1031">
        <f t="shared" si="72"/>
        <v>0.90058660000000001</v>
      </c>
      <c r="HU26" s="1029">
        <f t="shared" si="73"/>
        <v>48250.7</v>
      </c>
      <c r="HV26" s="1029">
        <f t="shared" si="74"/>
        <v>34503.1</v>
      </c>
      <c r="HW26" s="1029">
        <f t="shared" si="75"/>
        <v>10420</v>
      </c>
      <c r="HX26" s="1029">
        <f t="shared" si="76"/>
        <v>39.9</v>
      </c>
      <c r="HY26" s="1029">
        <f t="shared" si="77"/>
        <v>0</v>
      </c>
      <c r="HZ26" s="1029">
        <f t="shared" si="78"/>
        <v>45.9</v>
      </c>
      <c r="IA26" s="1029">
        <f t="shared" si="79"/>
        <v>204.8</v>
      </c>
      <c r="IB26" s="1029">
        <f t="shared" si="80"/>
        <v>75.599999999999994</v>
      </c>
      <c r="IC26" s="1029">
        <f t="shared" si="81"/>
        <v>25.8</v>
      </c>
      <c r="ID26" s="1029">
        <f t="shared" si="82"/>
        <v>125.5</v>
      </c>
      <c r="IE26" s="1029">
        <f t="shared" si="83"/>
        <v>2648.7</v>
      </c>
      <c r="IF26" s="1029">
        <f t="shared" si="84"/>
        <v>135.4</v>
      </c>
      <c r="IG26" s="1029">
        <f t="shared" si="85"/>
        <v>26</v>
      </c>
      <c r="IH26" s="1029">
        <f t="shared" si="86"/>
        <v>2764.8</v>
      </c>
    </row>
    <row r="27" spans="1:242" ht="18.75" x14ac:dyDescent="0.25">
      <c r="A27" s="1010" t="s">
        <v>678</v>
      </c>
      <c r="B27" s="1011">
        <f t="shared" si="87"/>
        <v>104.11</v>
      </c>
      <c r="C27" s="1011">
        <f t="shared" si="88"/>
        <v>104.11</v>
      </c>
      <c r="D27" s="1012">
        <v>1</v>
      </c>
      <c r="E27" s="1012">
        <v>5</v>
      </c>
      <c r="F27" s="1012">
        <v>7.5</v>
      </c>
      <c r="G27" s="1012">
        <v>1</v>
      </c>
      <c r="H27" s="1012">
        <v>15</v>
      </c>
      <c r="I27" s="1014">
        <f t="shared" si="89"/>
        <v>74.61</v>
      </c>
      <c r="J27" s="1020">
        <v>16.170000000000002</v>
      </c>
      <c r="K27" s="1020">
        <v>26.22</v>
      </c>
      <c r="L27" s="1020">
        <v>4</v>
      </c>
      <c r="M27" s="1020">
        <v>3.39</v>
      </c>
      <c r="N27" s="1020">
        <v>3.17</v>
      </c>
      <c r="O27" s="1020"/>
      <c r="P27" s="1020">
        <v>7.22</v>
      </c>
      <c r="Q27" s="1020">
        <v>8.33</v>
      </c>
      <c r="R27" s="1020">
        <v>1.1100000000000001</v>
      </c>
      <c r="S27" s="1020">
        <v>5</v>
      </c>
      <c r="T27" s="1013">
        <f t="shared" si="90"/>
        <v>16.66</v>
      </c>
      <c r="U27" s="1013">
        <f t="shared" si="91"/>
        <v>7.22</v>
      </c>
      <c r="V27" s="1013">
        <f t="shared" si="91"/>
        <v>8.33</v>
      </c>
      <c r="W27" s="1013">
        <f t="shared" si="91"/>
        <v>1.1100000000000001</v>
      </c>
      <c r="X27" s="1013"/>
      <c r="Y27" s="1011">
        <f t="shared" si="92"/>
        <v>2272598.9500000002</v>
      </c>
      <c r="Z27" s="1012">
        <v>35067.199999999997</v>
      </c>
      <c r="AA27" s="1014">
        <f t="shared" si="3"/>
        <v>157802.4</v>
      </c>
      <c r="AB27" s="1015">
        <f t="shared" si="93"/>
        <v>121815</v>
      </c>
      <c r="AC27" s="1015">
        <f t="shared" si="93"/>
        <v>16242</v>
      </c>
      <c r="AD27" s="1015">
        <f t="shared" si="93"/>
        <v>243630</v>
      </c>
      <c r="AE27" s="1015">
        <f t="shared" si="94"/>
        <v>1698042.35</v>
      </c>
      <c r="AF27" s="1015">
        <f t="shared" si="4"/>
        <v>404548.23</v>
      </c>
      <c r="AG27" s="1015">
        <f t="shared" si="5"/>
        <v>670569.42000000004</v>
      </c>
      <c r="AH27" s="1015">
        <f t="shared" si="6"/>
        <v>102298.92</v>
      </c>
      <c r="AI27" s="1015">
        <f t="shared" si="7"/>
        <v>69554.600000000006</v>
      </c>
      <c r="AJ27" s="1015">
        <f t="shared" si="8"/>
        <v>65040.73</v>
      </c>
      <c r="AK27" s="1015">
        <f t="shared" si="9"/>
        <v>0</v>
      </c>
      <c r="AL27" s="1015">
        <f t="shared" si="10"/>
        <v>120412.56</v>
      </c>
      <c r="AM27" s="1015">
        <f t="shared" si="11"/>
        <v>138924.74</v>
      </c>
      <c r="AN27" s="1015">
        <f t="shared" si="12"/>
        <v>18512.18</v>
      </c>
      <c r="AO27" s="1015">
        <f t="shared" si="13"/>
        <v>94338.2</v>
      </c>
      <c r="AP27" s="1015">
        <f t="shared" si="95"/>
        <v>13842.77</v>
      </c>
      <c r="AQ27" s="1015"/>
      <c r="AR27" s="1014">
        <f t="shared" si="96"/>
        <v>1.1499999999999999</v>
      </c>
      <c r="AS27" s="1014">
        <f t="shared" si="97"/>
        <v>0</v>
      </c>
      <c r="AT27" s="1014">
        <f t="shared" si="98"/>
        <v>0</v>
      </c>
      <c r="AU27" s="1023">
        <v>15</v>
      </c>
      <c r="AV27" s="1023">
        <v>20</v>
      </c>
      <c r="AW27" s="1023">
        <v>25</v>
      </c>
      <c r="AX27" s="1023">
        <v>15</v>
      </c>
      <c r="AY27" s="1023">
        <f t="shared" si="99"/>
        <v>15</v>
      </c>
      <c r="AZ27" s="1023">
        <v>12</v>
      </c>
      <c r="BA27" s="1023">
        <v>15</v>
      </c>
      <c r="BB27" s="1023">
        <v>10</v>
      </c>
      <c r="BC27" s="1011">
        <f t="shared" si="100"/>
        <v>30</v>
      </c>
      <c r="BD27" s="1011">
        <f t="shared" si="101"/>
        <v>13</v>
      </c>
      <c r="BE27" s="1011">
        <f t="shared" si="101"/>
        <v>15</v>
      </c>
      <c r="BF27" s="1011">
        <f t="shared" si="101"/>
        <v>2</v>
      </c>
      <c r="BG27" s="1011">
        <f t="shared" si="102"/>
        <v>803</v>
      </c>
      <c r="BH27" s="1012">
        <v>12</v>
      </c>
      <c r="BI27" s="1012">
        <v>15</v>
      </c>
      <c r="BJ27" s="1012">
        <v>2</v>
      </c>
      <c r="BK27" s="1012">
        <v>778</v>
      </c>
      <c r="BL27" s="1016">
        <v>0</v>
      </c>
      <c r="BM27" s="1012">
        <v>1</v>
      </c>
      <c r="BN27" s="1012">
        <v>0</v>
      </c>
      <c r="BO27" s="1012"/>
      <c r="BP27" s="1012">
        <v>15</v>
      </c>
      <c r="BQ27" s="1016">
        <v>15</v>
      </c>
      <c r="BR27" s="1012"/>
      <c r="BS27" s="1012"/>
      <c r="BT27" s="1012"/>
      <c r="BU27" s="1012"/>
      <c r="BV27" s="1016">
        <v>0</v>
      </c>
      <c r="BW27" s="1012"/>
      <c r="BX27" s="1012"/>
      <c r="BY27" s="1012"/>
      <c r="BZ27" s="1012"/>
      <c r="CA27" s="1016">
        <v>0</v>
      </c>
      <c r="CB27" s="1012">
        <v>1</v>
      </c>
      <c r="CC27" s="1012">
        <v>1</v>
      </c>
      <c r="CD27" s="1012">
        <v>0</v>
      </c>
      <c r="CE27" s="1012">
        <v>2</v>
      </c>
      <c r="CF27" s="1016">
        <v>15</v>
      </c>
      <c r="CG27" s="1012">
        <v>4</v>
      </c>
      <c r="CH27" s="1012">
        <v>3</v>
      </c>
      <c r="CI27" s="1012">
        <v>1</v>
      </c>
      <c r="CJ27" s="1012">
        <v>8</v>
      </c>
      <c r="CK27" s="1016">
        <v>15</v>
      </c>
      <c r="CL27" s="1012">
        <v>0</v>
      </c>
      <c r="CM27" s="1012">
        <v>0</v>
      </c>
      <c r="CN27" s="1012"/>
      <c r="CO27" s="1012">
        <v>0</v>
      </c>
      <c r="CP27" s="1016">
        <v>15</v>
      </c>
      <c r="CQ27" s="1067">
        <v>37</v>
      </c>
      <c r="CR27" s="1067">
        <v>0.4</v>
      </c>
      <c r="CS27" s="1067">
        <v>130.19999999999999</v>
      </c>
      <c r="CT27" s="1018">
        <f t="shared" si="103"/>
        <v>142</v>
      </c>
      <c r="CU27" s="1018">
        <f t="shared" si="15"/>
        <v>2</v>
      </c>
      <c r="CV27" s="1019">
        <v>1.7</v>
      </c>
      <c r="CW27" s="1014">
        <f t="shared" si="16"/>
        <v>38961.230000000003</v>
      </c>
      <c r="CX27" s="1017">
        <v>45304.5</v>
      </c>
      <c r="CY27" s="1014">
        <f t="shared" si="17"/>
        <v>3322828.71</v>
      </c>
      <c r="CZ27" s="1020">
        <v>8506.4</v>
      </c>
      <c r="DA27" s="1021">
        <v>33.9604</v>
      </c>
      <c r="DB27" s="1027">
        <v>50</v>
      </c>
      <c r="DC27" s="1033">
        <f t="shared" si="104"/>
        <v>1.01525</v>
      </c>
      <c r="DD27" s="1011">
        <f t="shared" si="105"/>
        <v>27617224.289999999</v>
      </c>
      <c r="DE27" s="1014">
        <f t="shared" si="18"/>
        <v>427223.7</v>
      </c>
      <c r="DF27" s="1014">
        <f t="shared" si="19"/>
        <v>1922506.64</v>
      </c>
      <c r="DG27" s="1014">
        <f t="shared" si="106"/>
        <v>1461780</v>
      </c>
      <c r="DH27" s="1014">
        <f t="shared" si="106"/>
        <v>194904</v>
      </c>
      <c r="DI27" s="1014">
        <f t="shared" si="106"/>
        <v>2923560</v>
      </c>
      <c r="DJ27" s="1014">
        <f t="shared" si="20"/>
        <v>20687249.949999999</v>
      </c>
      <c r="DK27" s="1024">
        <f t="shared" si="107"/>
        <v>16566.84</v>
      </c>
      <c r="DL27" s="1024">
        <f t="shared" si="21"/>
        <v>561422.4</v>
      </c>
      <c r="DM27" s="1024">
        <f t="shared" si="22"/>
        <v>348975</v>
      </c>
      <c r="DN27" s="1024">
        <f t="shared" si="23"/>
        <v>47472</v>
      </c>
      <c r="DO27" s="1024">
        <f t="shared" si="108"/>
        <v>2288466.21</v>
      </c>
      <c r="DP27" s="1014">
        <f t="shared" si="109"/>
        <v>1495284.53</v>
      </c>
      <c r="DQ27" s="1014">
        <f t="shared" si="110"/>
        <v>299056.90999999997</v>
      </c>
      <c r="DR27" s="1011">
        <f t="shared" si="111"/>
        <v>32674468.199999999</v>
      </c>
      <c r="DS27" s="1011">
        <f t="shared" si="112"/>
        <v>9867689.4000000004</v>
      </c>
      <c r="DT27" s="1011">
        <f t="shared" si="113"/>
        <v>42542157.600000001</v>
      </c>
      <c r="DU27" s="1025"/>
      <c r="DV27" s="1028">
        <v>1.1072</v>
      </c>
      <c r="DW27" s="1011">
        <f t="shared" si="114"/>
        <v>542293.17000000004</v>
      </c>
      <c r="DX27" s="1023">
        <v>118070.04</v>
      </c>
      <c r="DY27" s="1015">
        <f t="shared" si="115"/>
        <v>130727.15</v>
      </c>
      <c r="DZ27" s="1023"/>
      <c r="EA27" s="1015">
        <f t="shared" si="116"/>
        <v>0</v>
      </c>
      <c r="EB27" s="1023">
        <v>30000</v>
      </c>
      <c r="EC27" s="1015">
        <f t="shared" si="24"/>
        <v>41100.879999999997</v>
      </c>
      <c r="ED27" s="1023">
        <v>252650</v>
      </c>
      <c r="EE27" s="1015">
        <f t="shared" si="117"/>
        <v>279734.08</v>
      </c>
      <c r="EF27" s="1023">
        <v>51170</v>
      </c>
      <c r="EG27" s="1015">
        <f t="shared" si="25"/>
        <v>67661.070000000007</v>
      </c>
      <c r="EH27" s="1023">
        <v>0</v>
      </c>
      <c r="EI27" s="1015">
        <f t="shared" si="26"/>
        <v>23069.99</v>
      </c>
      <c r="EJ27" s="1011">
        <f t="shared" si="118"/>
        <v>2499204.4300000002</v>
      </c>
      <c r="EK27" s="1023"/>
      <c r="EL27" s="1015">
        <f t="shared" si="27"/>
        <v>109428.16</v>
      </c>
      <c r="EM27" s="1023">
        <v>370838.6</v>
      </c>
      <c r="EN27" s="1015">
        <f t="shared" si="28"/>
        <v>532835.49</v>
      </c>
      <c r="EO27" s="1068">
        <v>110</v>
      </c>
      <c r="EP27" s="1015">
        <f t="shared" si="119"/>
        <v>194656</v>
      </c>
      <c r="EQ27" s="1068">
        <v>94</v>
      </c>
      <c r="ER27" s="1015">
        <f t="shared" si="29"/>
        <v>206988</v>
      </c>
      <c r="ES27" s="1068">
        <v>76</v>
      </c>
      <c r="ET27" s="1015">
        <f t="shared" si="30"/>
        <v>168841.60000000001</v>
      </c>
      <c r="EU27" s="1068">
        <v>82</v>
      </c>
      <c r="EV27" s="1015">
        <f t="shared" si="31"/>
        <v>196980.4</v>
      </c>
      <c r="EW27" s="1068">
        <v>81</v>
      </c>
      <c r="EX27" s="1015">
        <f t="shared" si="32"/>
        <v>214504.2</v>
      </c>
      <c r="EY27" s="1068">
        <v>65</v>
      </c>
      <c r="EZ27" s="1015">
        <f t="shared" si="33"/>
        <v>199381</v>
      </c>
      <c r="FA27" s="1068">
        <v>85</v>
      </c>
      <c r="FB27" s="1015">
        <f t="shared" si="34"/>
        <v>313531</v>
      </c>
      <c r="FC27" s="1068">
        <v>74</v>
      </c>
      <c r="FD27" s="1015">
        <f t="shared" si="35"/>
        <v>281584.8</v>
      </c>
      <c r="FE27" s="1068">
        <v>76</v>
      </c>
      <c r="FF27" s="1015">
        <f t="shared" si="36"/>
        <v>268523.2</v>
      </c>
      <c r="FG27" s="1068">
        <v>24</v>
      </c>
      <c r="FH27" s="1015">
        <f t="shared" si="37"/>
        <v>81600</v>
      </c>
      <c r="FI27" s="1068">
        <v>36</v>
      </c>
      <c r="FJ27" s="1015">
        <f t="shared" si="38"/>
        <v>122400</v>
      </c>
      <c r="FK27" s="1015">
        <f t="shared" si="120"/>
        <v>2248990.2000000002</v>
      </c>
      <c r="FL27" s="1023">
        <v>40000</v>
      </c>
      <c r="FM27" s="1015">
        <f t="shared" si="39"/>
        <v>118105.60000000001</v>
      </c>
      <c r="FN27" s="1023">
        <v>16216.7</v>
      </c>
      <c r="FO27" s="1015">
        <f t="shared" si="40"/>
        <v>22680.47</v>
      </c>
      <c r="FP27" s="1011">
        <f t="shared" si="41"/>
        <v>3041497.6</v>
      </c>
      <c r="FQ27" s="1025"/>
      <c r="FR27" s="1011">
        <f t="shared" si="121"/>
        <v>45583655.200000003</v>
      </c>
      <c r="FS27" s="996"/>
      <c r="FT27" s="1029">
        <f t="shared" si="140"/>
        <v>45583.7</v>
      </c>
      <c r="FU27" s="1029">
        <f t="shared" si="122"/>
        <v>32674.5</v>
      </c>
      <c r="FV27" s="1029">
        <f t="shared" si="123"/>
        <v>2911.2</v>
      </c>
      <c r="FW27" s="1029">
        <f t="shared" si="124"/>
        <v>1810.8</v>
      </c>
      <c r="FX27" s="1029">
        <f t="shared" si="125"/>
        <v>258.89999999999998</v>
      </c>
      <c r="FY27" s="1029">
        <f t="shared" si="126"/>
        <v>2923.6</v>
      </c>
      <c r="FZ27" s="1029">
        <f t="shared" si="127"/>
        <v>22975.7</v>
      </c>
      <c r="GA27" s="1029">
        <f t="shared" si="128"/>
        <v>1794.3</v>
      </c>
      <c r="GB27" s="1029">
        <f t="shared" si="42"/>
        <v>9867.7000000000007</v>
      </c>
      <c r="GC27" s="1029">
        <f t="shared" si="129"/>
        <v>130.69999999999999</v>
      </c>
      <c r="GD27" s="1029">
        <f t="shared" si="130"/>
        <v>0</v>
      </c>
      <c r="GE27" s="1029">
        <f t="shared" si="131"/>
        <v>41.1</v>
      </c>
      <c r="GF27" s="1029">
        <f t="shared" si="132"/>
        <v>279.7</v>
      </c>
      <c r="GG27" s="1029">
        <f t="shared" si="133"/>
        <v>67.7</v>
      </c>
      <c r="GH27" s="1029">
        <f t="shared" si="134"/>
        <v>23.1</v>
      </c>
      <c r="GI27" s="1029">
        <f t="shared" si="135"/>
        <v>109.4</v>
      </c>
      <c r="GJ27" s="1029">
        <f t="shared" si="136"/>
        <v>2249</v>
      </c>
      <c r="GK27" s="1029">
        <f t="shared" si="137"/>
        <v>118.1</v>
      </c>
      <c r="GL27" s="1029">
        <f t="shared" si="138"/>
        <v>22.7</v>
      </c>
      <c r="GM27" s="1069"/>
      <c r="GN27" s="1031">
        <f t="shared" si="43"/>
        <v>0.8084192</v>
      </c>
      <c r="GO27" s="1029">
        <f t="shared" si="139"/>
        <v>36850.699999999997</v>
      </c>
      <c r="GP27" s="1029">
        <f t="shared" si="44"/>
        <v>26414.7</v>
      </c>
      <c r="GQ27" s="1029">
        <f t="shared" si="45"/>
        <v>7977.2</v>
      </c>
      <c r="GR27" s="1029">
        <f t="shared" si="46"/>
        <v>105.7</v>
      </c>
      <c r="GS27" s="1029">
        <f t="shared" si="47"/>
        <v>0</v>
      </c>
      <c r="GT27" s="1029">
        <f t="shared" si="48"/>
        <v>33.200000000000003</v>
      </c>
      <c r="GU27" s="1029">
        <f t="shared" si="49"/>
        <v>226.1</v>
      </c>
      <c r="GV27" s="1029">
        <f t="shared" si="50"/>
        <v>54.7</v>
      </c>
      <c r="GW27" s="1029">
        <f t="shared" si="51"/>
        <v>18.7</v>
      </c>
      <c r="GX27" s="1029">
        <f t="shared" si="52"/>
        <v>88.4</v>
      </c>
      <c r="GY27" s="1029">
        <f t="shared" si="53"/>
        <v>1818.1</v>
      </c>
      <c r="GZ27" s="1029">
        <f t="shared" si="54"/>
        <v>95.5</v>
      </c>
      <c r="HA27" s="1029">
        <f t="shared" si="55"/>
        <v>18.399999999999999</v>
      </c>
      <c r="HB27" s="1029">
        <f t="shared" si="56"/>
        <v>2408.8000000000002</v>
      </c>
      <c r="HC27" s="996"/>
      <c r="HD27" s="1031">
        <f t="shared" si="57"/>
        <v>0.85399429999999998</v>
      </c>
      <c r="HE27" s="1029">
        <f t="shared" si="58"/>
        <v>38928.199999999997</v>
      </c>
      <c r="HF27" s="1029">
        <f t="shared" si="59"/>
        <v>27903.8</v>
      </c>
      <c r="HG27" s="1029">
        <f t="shared" si="60"/>
        <v>8427</v>
      </c>
      <c r="HH27" s="1029">
        <f t="shared" si="61"/>
        <v>111.6</v>
      </c>
      <c r="HI27" s="1029">
        <f t="shared" si="62"/>
        <v>0</v>
      </c>
      <c r="HJ27" s="1029">
        <f t="shared" si="63"/>
        <v>35.1</v>
      </c>
      <c r="HK27" s="1029">
        <f t="shared" si="64"/>
        <v>238.9</v>
      </c>
      <c r="HL27" s="1029">
        <f t="shared" si="65"/>
        <v>57.8</v>
      </c>
      <c r="HM27" s="1029">
        <f t="shared" si="66"/>
        <v>19.7</v>
      </c>
      <c r="HN27" s="1029">
        <f t="shared" si="67"/>
        <v>93.4</v>
      </c>
      <c r="HO27" s="1029">
        <f t="shared" si="68"/>
        <v>1920.6</v>
      </c>
      <c r="HP27" s="1029">
        <f t="shared" si="69"/>
        <v>100.9</v>
      </c>
      <c r="HQ27" s="1029">
        <f t="shared" si="70"/>
        <v>19.399999999999999</v>
      </c>
      <c r="HR27" s="1029">
        <f t="shared" si="71"/>
        <v>2544.5</v>
      </c>
      <c r="HS27" s="996"/>
      <c r="HT27" s="1031">
        <f t="shared" si="72"/>
        <v>0.90058660000000001</v>
      </c>
      <c r="HU27" s="1029">
        <f t="shared" si="73"/>
        <v>41052</v>
      </c>
      <c r="HV27" s="1029">
        <f t="shared" si="74"/>
        <v>29426.2</v>
      </c>
      <c r="HW27" s="1029">
        <f t="shared" si="75"/>
        <v>8886.7000000000007</v>
      </c>
      <c r="HX27" s="1029">
        <f t="shared" si="76"/>
        <v>117.7</v>
      </c>
      <c r="HY27" s="1029">
        <f t="shared" si="77"/>
        <v>0</v>
      </c>
      <c r="HZ27" s="1029">
        <f t="shared" si="78"/>
        <v>37</v>
      </c>
      <c r="IA27" s="1029">
        <f t="shared" si="79"/>
        <v>251.9</v>
      </c>
      <c r="IB27" s="1029">
        <f t="shared" si="80"/>
        <v>61</v>
      </c>
      <c r="IC27" s="1029">
        <f t="shared" si="81"/>
        <v>20.8</v>
      </c>
      <c r="ID27" s="1029">
        <f t="shared" si="82"/>
        <v>98.5</v>
      </c>
      <c r="IE27" s="1029">
        <f t="shared" si="83"/>
        <v>2025.4</v>
      </c>
      <c r="IF27" s="1029">
        <f t="shared" si="84"/>
        <v>106.4</v>
      </c>
      <c r="IG27" s="1029">
        <f t="shared" si="85"/>
        <v>20.399999999999999</v>
      </c>
      <c r="IH27" s="1029">
        <f t="shared" si="86"/>
        <v>2683.4</v>
      </c>
    </row>
    <row r="28" spans="1:242" ht="18.75" x14ac:dyDescent="0.25">
      <c r="A28" s="1010" t="s">
        <v>679</v>
      </c>
      <c r="B28" s="1011">
        <f t="shared" si="87"/>
        <v>98.9</v>
      </c>
      <c r="C28" s="1011">
        <f t="shared" si="88"/>
        <v>98.9</v>
      </c>
      <c r="D28" s="1012">
        <v>1</v>
      </c>
      <c r="E28" s="1012">
        <v>5</v>
      </c>
      <c r="F28" s="1012">
        <v>5.5</v>
      </c>
      <c r="G28" s="1012">
        <v>1</v>
      </c>
      <c r="H28" s="1012">
        <v>9.5</v>
      </c>
      <c r="I28" s="1014">
        <f t="shared" si="89"/>
        <v>76.900000000000006</v>
      </c>
      <c r="J28" s="1020">
        <v>12.56</v>
      </c>
      <c r="K28" s="1020">
        <v>19.28</v>
      </c>
      <c r="L28" s="1020">
        <v>3.67</v>
      </c>
      <c r="M28" s="1020">
        <v>10.61</v>
      </c>
      <c r="N28" s="1020">
        <v>4.83</v>
      </c>
      <c r="O28" s="1020">
        <v>0</v>
      </c>
      <c r="P28" s="1020">
        <v>5.56</v>
      </c>
      <c r="Q28" s="1020">
        <v>6.11</v>
      </c>
      <c r="R28" s="1020">
        <v>1.1100000000000001</v>
      </c>
      <c r="S28" s="1020">
        <v>13.17</v>
      </c>
      <c r="T28" s="1013">
        <f t="shared" si="90"/>
        <v>12.78</v>
      </c>
      <c r="U28" s="1013">
        <f t="shared" si="91"/>
        <v>5.56</v>
      </c>
      <c r="V28" s="1013">
        <f t="shared" si="91"/>
        <v>6.11</v>
      </c>
      <c r="W28" s="1013">
        <f t="shared" si="91"/>
        <v>1.1100000000000001</v>
      </c>
      <c r="X28" s="1013"/>
      <c r="Y28" s="1011">
        <f t="shared" si="92"/>
        <v>2156086</v>
      </c>
      <c r="Z28" s="1012">
        <v>35067.199999999997</v>
      </c>
      <c r="AA28" s="1014">
        <f t="shared" si="3"/>
        <v>157802.4</v>
      </c>
      <c r="AB28" s="1015">
        <f t="shared" si="93"/>
        <v>89331</v>
      </c>
      <c r="AC28" s="1015">
        <f t="shared" si="93"/>
        <v>16242</v>
      </c>
      <c r="AD28" s="1015">
        <f t="shared" si="93"/>
        <v>154299</v>
      </c>
      <c r="AE28" s="1015">
        <f t="shared" si="94"/>
        <v>1703344.4</v>
      </c>
      <c r="AF28" s="1015">
        <f t="shared" si="4"/>
        <v>320311.21000000002</v>
      </c>
      <c r="AG28" s="1015">
        <f t="shared" si="5"/>
        <v>496869.44</v>
      </c>
      <c r="AH28" s="1015">
        <f t="shared" si="6"/>
        <v>93859.26</v>
      </c>
      <c r="AI28" s="1015">
        <f t="shared" si="7"/>
        <v>217691.51999999999</v>
      </c>
      <c r="AJ28" s="1015">
        <f t="shared" si="8"/>
        <v>99099.91</v>
      </c>
      <c r="AK28" s="1015">
        <f t="shared" si="9"/>
        <v>0</v>
      </c>
      <c r="AL28" s="1015">
        <f t="shared" si="10"/>
        <v>92727.679999999993</v>
      </c>
      <c r="AM28" s="1015">
        <f t="shared" si="11"/>
        <v>101900.38</v>
      </c>
      <c r="AN28" s="1015">
        <f t="shared" si="12"/>
        <v>18512.18</v>
      </c>
      <c r="AO28" s="1015">
        <f t="shared" si="13"/>
        <v>248486.82</v>
      </c>
      <c r="AP28" s="1015">
        <f t="shared" si="95"/>
        <v>13886</v>
      </c>
      <c r="AQ28" s="1015"/>
      <c r="AR28" s="1014">
        <f t="shared" si="96"/>
        <v>4.5</v>
      </c>
      <c r="AS28" s="1014">
        <f t="shared" si="97"/>
        <v>1.36</v>
      </c>
      <c r="AT28" s="1014">
        <f t="shared" si="98"/>
        <v>0</v>
      </c>
      <c r="AU28" s="1023">
        <v>15</v>
      </c>
      <c r="AV28" s="1023">
        <v>20</v>
      </c>
      <c r="AW28" s="1023">
        <v>25</v>
      </c>
      <c r="AX28" s="1023">
        <v>15</v>
      </c>
      <c r="AY28" s="1023">
        <f t="shared" si="99"/>
        <v>15</v>
      </c>
      <c r="AZ28" s="1023">
        <v>12</v>
      </c>
      <c r="BA28" s="1023">
        <v>15</v>
      </c>
      <c r="BB28" s="1023">
        <v>10</v>
      </c>
      <c r="BC28" s="1011">
        <f t="shared" si="100"/>
        <v>23</v>
      </c>
      <c r="BD28" s="1011">
        <f t="shared" si="101"/>
        <v>10</v>
      </c>
      <c r="BE28" s="1011">
        <f t="shared" si="101"/>
        <v>11</v>
      </c>
      <c r="BF28" s="1011">
        <f t="shared" si="101"/>
        <v>2</v>
      </c>
      <c r="BG28" s="1011">
        <f t="shared" si="102"/>
        <v>512</v>
      </c>
      <c r="BH28" s="1012">
        <v>7</v>
      </c>
      <c r="BI28" s="1012">
        <v>10</v>
      </c>
      <c r="BJ28" s="1012">
        <v>2</v>
      </c>
      <c r="BK28" s="1012">
        <v>442</v>
      </c>
      <c r="BL28" s="1016">
        <v>0</v>
      </c>
      <c r="BM28" s="1012">
        <v>3</v>
      </c>
      <c r="BN28" s="1012">
        <v>1</v>
      </c>
      <c r="BO28" s="1012"/>
      <c r="BP28" s="1012">
        <v>48</v>
      </c>
      <c r="BQ28" s="1016">
        <v>15</v>
      </c>
      <c r="BR28" s="1012"/>
      <c r="BS28" s="1012"/>
      <c r="BT28" s="1012"/>
      <c r="BU28" s="1012"/>
      <c r="BV28" s="1016">
        <v>0</v>
      </c>
      <c r="BW28" s="1012"/>
      <c r="BX28" s="1012"/>
      <c r="BY28" s="1012"/>
      <c r="BZ28" s="1012"/>
      <c r="CA28" s="1016">
        <v>0</v>
      </c>
      <c r="CB28" s="1012">
        <v>2</v>
      </c>
      <c r="CC28" s="1012">
        <v>11</v>
      </c>
      <c r="CD28" s="1012">
        <v>0</v>
      </c>
      <c r="CE28" s="1012">
        <v>13</v>
      </c>
      <c r="CF28" s="1016">
        <v>15</v>
      </c>
      <c r="CG28" s="1012">
        <v>3</v>
      </c>
      <c r="CH28" s="1012">
        <v>1</v>
      </c>
      <c r="CI28" s="1012">
        <v>0</v>
      </c>
      <c r="CJ28" s="1012">
        <v>4</v>
      </c>
      <c r="CK28" s="1016">
        <v>15</v>
      </c>
      <c r="CL28" s="1012">
        <v>3</v>
      </c>
      <c r="CM28" s="1012">
        <v>2</v>
      </c>
      <c r="CN28" s="1012"/>
      <c r="CO28" s="1012">
        <v>5</v>
      </c>
      <c r="CP28" s="1016">
        <v>15</v>
      </c>
      <c r="CQ28" s="1067">
        <v>29.5</v>
      </c>
      <c r="CR28" s="1067">
        <v>0.9</v>
      </c>
      <c r="CS28" s="1067">
        <v>188.4</v>
      </c>
      <c r="CT28" s="1018">
        <f t="shared" si="103"/>
        <v>205.5</v>
      </c>
      <c r="CU28" s="1018">
        <f t="shared" si="15"/>
        <v>2.6</v>
      </c>
      <c r="CV28" s="1019">
        <v>1.7</v>
      </c>
      <c r="CW28" s="1014">
        <f t="shared" si="16"/>
        <v>38038.269999999997</v>
      </c>
      <c r="CX28" s="1017">
        <v>45304.5</v>
      </c>
      <c r="CY28" s="1014">
        <f t="shared" si="17"/>
        <v>3898118.68</v>
      </c>
      <c r="CZ28" s="1020">
        <v>13020</v>
      </c>
      <c r="DA28" s="1021">
        <v>51.980200000000004</v>
      </c>
      <c r="DB28" s="1027">
        <v>50</v>
      </c>
      <c r="DC28" s="1033">
        <f t="shared" si="104"/>
        <v>1.01525</v>
      </c>
      <c r="DD28" s="1011">
        <f t="shared" si="105"/>
        <v>26220039.170000002</v>
      </c>
      <c r="DE28" s="1014">
        <f t="shared" si="18"/>
        <v>427223.7</v>
      </c>
      <c r="DF28" s="1014">
        <f t="shared" si="19"/>
        <v>1922506.64</v>
      </c>
      <c r="DG28" s="1014">
        <f t="shared" si="106"/>
        <v>1071972</v>
      </c>
      <c r="DH28" s="1014">
        <f t="shared" si="106"/>
        <v>194904</v>
      </c>
      <c r="DI28" s="1014">
        <f t="shared" si="106"/>
        <v>1851588</v>
      </c>
      <c r="DJ28" s="1014">
        <f t="shared" si="20"/>
        <v>20751844.829999998</v>
      </c>
      <c r="DK28" s="1024">
        <f t="shared" si="107"/>
        <v>16566.84</v>
      </c>
      <c r="DL28" s="1024">
        <f t="shared" si="21"/>
        <v>859320</v>
      </c>
      <c r="DM28" s="1024">
        <f t="shared" si="22"/>
        <v>255915</v>
      </c>
      <c r="DN28" s="1024">
        <f t="shared" si="23"/>
        <v>47472</v>
      </c>
      <c r="DO28" s="1024">
        <f t="shared" si="108"/>
        <v>2860526.44</v>
      </c>
      <c r="DP28" s="1014">
        <f t="shared" si="109"/>
        <v>1454028.28</v>
      </c>
      <c r="DQ28" s="1014">
        <f t="shared" si="110"/>
        <v>290805.65999999997</v>
      </c>
      <c r="DR28" s="1011">
        <f t="shared" si="111"/>
        <v>32004673.399999999</v>
      </c>
      <c r="DS28" s="1011">
        <f t="shared" si="112"/>
        <v>9665411.4000000004</v>
      </c>
      <c r="DT28" s="1011">
        <f t="shared" si="113"/>
        <v>41670084.799999997</v>
      </c>
      <c r="DU28" s="1025"/>
      <c r="DV28" s="1028">
        <v>1.1072</v>
      </c>
      <c r="DW28" s="1011">
        <f t="shared" si="114"/>
        <v>471584.61</v>
      </c>
      <c r="DX28" s="1023">
        <v>38600</v>
      </c>
      <c r="DY28" s="1015">
        <f t="shared" si="115"/>
        <v>42737.919999999998</v>
      </c>
      <c r="DZ28" s="1023"/>
      <c r="EA28" s="1015">
        <f t="shared" si="116"/>
        <v>0</v>
      </c>
      <c r="EB28" s="1023">
        <v>40000</v>
      </c>
      <c r="EC28" s="1015">
        <f t="shared" si="24"/>
        <v>42362.39</v>
      </c>
      <c r="ED28" s="1023">
        <v>264603</v>
      </c>
      <c r="EE28" s="1015">
        <f t="shared" si="117"/>
        <v>292968.44</v>
      </c>
      <c r="EF28" s="1023">
        <v>40090</v>
      </c>
      <c r="EG28" s="1015">
        <f t="shared" si="25"/>
        <v>69737.78</v>
      </c>
      <c r="EH28" s="1023">
        <v>0</v>
      </c>
      <c r="EI28" s="1015">
        <f t="shared" si="26"/>
        <v>23778.080000000002</v>
      </c>
      <c r="EJ28" s="1011">
        <f t="shared" si="118"/>
        <v>1624363.64</v>
      </c>
      <c r="EK28" s="1023">
        <v>34580</v>
      </c>
      <c r="EL28" s="1015">
        <f t="shared" si="27"/>
        <v>69772.38</v>
      </c>
      <c r="EM28" s="1023">
        <v>603818.6</v>
      </c>
      <c r="EN28" s="1015">
        <f t="shared" si="28"/>
        <v>339740.69</v>
      </c>
      <c r="EO28" s="1068">
        <v>57</v>
      </c>
      <c r="EP28" s="1015">
        <f t="shared" si="119"/>
        <v>100867.2</v>
      </c>
      <c r="EQ28" s="1068">
        <v>47</v>
      </c>
      <c r="ER28" s="1015">
        <f t="shared" si="29"/>
        <v>103494</v>
      </c>
      <c r="ES28" s="1068">
        <v>51</v>
      </c>
      <c r="ET28" s="1015">
        <f t="shared" si="30"/>
        <v>113301.6</v>
      </c>
      <c r="EU28" s="1068">
        <v>49</v>
      </c>
      <c r="EV28" s="1015">
        <f t="shared" si="31"/>
        <v>117707.8</v>
      </c>
      <c r="EW28" s="1068">
        <v>65</v>
      </c>
      <c r="EX28" s="1015">
        <f t="shared" si="32"/>
        <v>172133</v>
      </c>
      <c r="EY28" s="1068">
        <v>41</v>
      </c>
      <c r="EZ28" s="1015">
        <f t="shared" si="33"/>
        <v>125763.4</v>
      </c>
      <c r="FA28" s="1068">
        <v>53</v>
      </c>
      <c r="FB28" s="1015">
        <f t="shared" si="34"/>
        <v>195495.8</v>
      </c>
      <c r="FC28" s="1068">
        <v>52</v>
      </c>
      <c r="FD28" s="1015">
        <f t="shared" si="35"/>
        <v>197870.4</v>
      </c>
      <c r="FE28" s="1068">
        <v>63</v>
      </c>
      <c r="FF28" s="1015">
        <f t="shared" si="36"/>
        <v>222591.6</v>
      </c>
      <c r="FG28" s="1068">
        <v>16</v>
      </c>
      <c r="FH28" s="1015">
        <f t="shared" si="37"/>
        <v>54400</v>
      </c>
      <c r="FI28" s="1068">
        <v>18</v>
      </c>
      <c r="FJ28" s="1015">
        <f t="shared" si="38"/>
        <v>61200</v>
      </c>
      <c r="FK28" s="1015">
        <f t="shared" si="120"/>
        <v>1464824.8</v>
      </c>
      <c r="FL28" s="1023">
        <v>30600</v>
      </c>
      <c r="FM28" s="1015">
        <f t="shared" si="39"/>
        <v>75305.19</v>
      </c>
      <c r="FN28" s="1023">
        <v>8393.26</v>
      </c>
      <c r="FO28" s="1015">
        <f t="shared" si="40"/>
        <v>14461.27</v>
      </c>
      <c r="FP28" s="1011">
        <f t="shared" si="41"/>
        <v>2095948.25</v>
      </c>
      <c r="FQ28" s="1025"/>
      <c r="FR28" s="1011">
        <f t="shared" si="121"/>
        <v>43766033.049999997</v>
      </c>
      <c r="FS28" s="996"/>
      <c r="FT28" s="1029">
        <f t="shared" si="140"/>
        <v>43766.1</v>
      </c>
      <c r="FU28" s="1029">
        <f t="shared" si="122"/>
        <v>32004.7</v>
      </c>
      <c r="FV28" s="1029">
        <f t="shared" si="123"/>
        <v>3209.1</v>
      </c>
      <c r="FW28" s="1029">
        <f t="shared" si="124"/>
        <v>1327.9</v>
      </c>
      <c r="FX28" s="1029">
        <f t="shared" si="125"/>
        <v>258.89999999999998</v>
      </c>
      <c r="FY28" s="1029">
        <f t="shared" si="126"/>
        <v>1851.6</v>
      </c>
      <c r="FZ28" s="1029">
        <f t="shared" si="127"/>
        <v>23612.400000000001</v>
      </c>
      <c r="GA28" s="1029">
        <f t="shared" si="128"/>
        <v>1744.8</v>
      </c>
      <c r="GB28" s="1029">
        <f t="shared" si="42"/>
        <v>9665.4</v>
      </c>
      <c r="GC28" s="1029">
        <f t="shared" si="129"/>
        <v>42.7</v>
      </c>
      <c r="GD28" s="1029">
        <f t="shared" si="130"/>
        <v>0</v>
      </c>
      <c r="GE28" s="1029">
        <f t="shared" si="131"/>
        <v>42.4</v>
      </c>
      <c r="GF28" s="1029">
        <f t="shared" si="132"/>
        <v>293</v>
      </c>
      <c r="GG28" s="1029">
        <f t="shared" si="133"/>
        <v>69.7</v>
      </c>
      <c r="GH28" s="1029">
        <f t="shared" si="134"/>
        <v>23.8</v>
      </c>
      <c r="GI28" s="1029">
        <f t="shared" si="135"/>
        <v>69.8</v>
      </c>
      <c r="GJ28" s="1029">
        <f t="shared" si="136"/>
        <v>1464.8</v>
      </c>
      <c r="GK28" s="1029">
        <f t="shared" si="137"/>
        <v>75.3</v>
      </c>
      <c r="GL28" s="1029">
        <f t="shared" si="138"/>
        <v>14.5</v>
      </c>
      <c r="GM28" s="1069"/>
      <c r="GN28" s="1031">
        <f t="shared" si="43"/>
        <v>0.8084192</v>
      </c>
      <c r="GO28" s="1029">
        <f t="shared" si="139"/>
        <v>35381.300000000003</v>
      </c>
      <c r="GP28" s="1029">
        <f t="shared" si="44"/>
        <v>25873.200000000001</v>
      </c>
      <c r="GQ28" s="1029">
        <f t="shared" si="45"/>
        <v>7813.7</v>
      </c>
      <c r="GR28" s="1029">
        <f t="shared" si="46"/>
        <v>34.5</v>
      </c>
      <c r="GS28" s="1029">
        <f t="shared" si="47"/>
        <v>0</v>
      </c>
      <c r="GT28" s="1029">
        <f t="shared" si="48"/>
        <v>34.299999999999997</v>
      </c>
      <c r="GU28" s="1029">
        <f t="shared" si="49"/>
        <v>236.9</v>
      </c>
      <c r="GV28" s="1029">
        <f t="shared" si="50"/>
        <v>56.3</v>
      </c>
      <c r="GW28" s="1029">
        <f t="shared" si="51"/>
        <v>19.2</v>
      </c>
      <c r="GX28" s="1029">
        <f t="shared" si="52"/>
        <v>56.4</v>
      </c>
      <c r="GY28" s="1029">
        <f t="shared" si="53"/>
        <v>1184.2</v>
      </c>
      <c r="GZ28" s="1029">
        <f t="shared" si="54"/>
        <v>60.9</v>
      </c>
      <c r="HA28" s="1029">
        <f t="shared" si="55"/>
        <v>11.7</v>
      </c>
      <c r="HB28" s="1029">
        <f t="shared" si="56"/>
        <v>3010.9</v>
      </c>
      <c r="HC28" s="996"/>
      <c r="HD28" s="1031">
        <f t="shared" si="57"/>
        <v>0.85399429999999998</v>
      </c>
      <c r="HE28" s="1029">
        <f t="shared" si="58"/>
        <v>37375.9</v>
      </c>
      <c r="HF28" s="1029">
        <f t="shared" si="59"/>
        <v>27331.8</v>
      </c>
      <c r="HG28" s="1029">
        <f t="shared" si="60"/>
        <v>8254.2000000000007</v>
      </c>
      <c r="HH28" s="1029">
        <f t="shared" si="61"/>
        <v>36.5</v>
      </c>
      <c r="HI28" s="1029">
        <f t="shared" si="62"/>
        <v>0</v>
      </c>
      <c r="HJ28" s="1029">
        <f t="shared" si="63"/>
        <v>36.200000000000003</v>
      </c>
      <c r="HK28" s="1029">
        <f t="shared" si="64"/>
        <v>250.2</v>
      </c>
      <c r="HL28" s="1029">
        <f t="shared" si="65"/>
        <v>59.5</v>
      </c>
      <c r="HM28" s="1029">
        <f t="shared" si="66"/>
        <v>20.3</v>
      </c>
      <c r="HN28" s="1029">
        <f t="shared" si="67"/>
        <v>59.6</v>
      </c>
      <c r="HO28" s="1029">
        <f t="shared" si="68"/>
        <v>1250.9000000000001</v>
      </c>
      <c r="HP28" s="1029">
        <f t="shared" si="69"/>
        <v>64.3</v>
      </c>
      <c r="HQ28" s="1029">
        <f t="shared" si="70"/>
        <v>12.4</v>
      </c>
      <c r="HR28" s="1029">
        <f t="shared" si="71"/>
        <v>3180.6</v>
      </c>
      <c r="HS28" s="996"/>
      <c r="HT28" s="1031">
        <f t="shared" si="72"/>
        <v>0.90058660000000001</v>
      </c>
      <c r="HU28" s="1029">
        <f t="shared" si="73"/>
        <v>39415.300000000003</v>
      </c>
      <c r="HV28" s="1029">
        <f t="shared" si="74"/>
        <v>28823</v>
      </c>
      <c r="HW28" s="1029">
        <f t="shared" si="75"/>
        <v>8704.5</v>
      </c>
      <c r="HX28" s="1029">
        <f t="shared" si="76"/>
        <v>38.5</v>
      </c>
      <c r="HY28" s="1029">
        <f t="shared" si="77"/>
        <v>0</v>
      </c>
      <c r="HZ28" s="1029">
        <f t="shared" si="78"/>
        <v>38.200000000000003</v>
      </c>
      <c r="IA28" s="1029">
        <f t="shared" si="79"/>
        <v>263.89999999999998</v>
      </c>
      <c r="IB28" s="1029">
        <f t="shared" si="80"/>
        <v>62.8</v>
      </c>
      <c r="IC28" s="1029">
        <f t="shared" si="81"/>
        <v>21.4</v>
      </c>
      <c r="ID28" s="1029">
        <f t="shared" si="82"/>
        <v>62.9</v>
      </c>
      <c r="IE28" s="1029">
        <f t="shared" si="83"/>
        <v>1319.2</v>
      </c>
      <c r="IF28" s="1029">
        <f t="shared" si="84"/>
        <v>67.8</v>
      </c>
      <c r="IG28" s="1029">
        <f t="shared" si="85"/>
        <v>13.1</v>
      </c>
      <c r="IH28" s="1029">
        <f t="shared" si="86"/>
        <v>3354.1</v>
      </c>
    </row>
    <row r="29" spans="1:242" ht="18.75" x14ac:dyDescent="0.25">
      <c r="A29" s="1010" t="s">
        <v>680</v>
      </c>
      <c r="B29" s="1011">
        <f t="shared" si="87"/>
        <v>119.95</v>
      </c>
      <c r="C29" s="1011">
        <f t="shared" si="88"/>
        <v>119.95</v>
      </c>
      <c r="D29" s="1012">
        <v>1</v>
      </c>
      <c r="E29" s="1012">
        <v>5</v>
      </c>
      <c r="F29" s="1012">
        <v>6.5</v>
      </c>
      <c r="G29" s="1012">
        <v>1</v>
      </c>
      <c r="H29" s="1012">
        <v>20.5</v>
      </c>
      <c r="I29" s="1014">
        <f t="shared" si="89"/>
        <v>85.95</v>
      </c>
      <c r="J29" s="1020">
        <v>17.170000000000002</v>
      </c>
      <c r="K29" s="1020">
        <v>33.619999999999997</v>
      </c>
      <c r="L29" s="1020">
        <v>8.89</v>
      </c>
      <c r="M29" s="1020">
        <v>1.94</v>
      </c>
      <c r="N29" s="1020">
        <v>2</v>
      </c>
      <c r="O29" s="1020"/>
      <c r="P29" s="1020">
        <v>7.22</v>
      </c>
      <c r="Q29" s="1020">
        <v>8.89</v>
      </c>
      <c r="R29" s="1020">
        <v>2.2200000000000002</v>
      </c>
      <c r="S29" s="1020">
        <v>4</v>
      </c>
      <c r="T29" s="1013">
        <f t="shared" si="90"/>
        <v>18.329999999999998</v>
      </c>
      <c r="U29" s="1013">
        <f t="shared" si="91"/>
        <v>7.22</v>
      </c>
      <c r="V29" s="1013">
        <f t="shared" si="91"/>
        <v>8.89</v>
      </c>
      <c r="W29" s="1013">
        <f t="shared" si="91"/>
        <v>2.2200000000000002</v>
      </c>
      <c r="X29" s="1013"/>
      <c r="Y29" s="1011">
        <f t="shared" si="92"/>
        <v>2644396.1800000002</v>
      </c>
      <c r="Z29" s="1012">
        <v>35067.199999999997</v>
      </c>
      <c r="AA29" s="1014">
        <f t="shared" si="3"/>
        <v>157802.4</v>
      </c>
      <c r="AB29" s="1015">
        <f t="shared" si="93"/>
        <v>105573</v>
      </c>
      <c r="AC29" s="1015">
        <f t="shared" si="93"/>
        <v>16242</v>
      </c>
      <c r="AD29" s="1015">
        <f t="shared" si="93"/>
        <v>332961</v>
      </c>
      <c r="AE29" s="1015">
        <f t="shared" si="94"/>
        <v>1996750.58</v>
      </c>
      <c r="AF29" s="1015">
        <f t="shared" si="4"/>
        <v>426713.65</v>
      </c>
      <c r="AG29" s="1015">
        <f t="shared" si="5"/>
        <v>864388.71</v>
      </c>
      <c r="AH29" s="1015">
        <f t="shared" si="6"/>
        <v>227359.35</v>
      </c>
      <c r="AI29" s="1015">
        <f t="shared" si="7"/>
        <v>39804.11</v>
      </c>
      <c r="AJ29" s="1015">
        <f t="shared" si="8"/>
        <v>41035.160000000003</v>
      </c>
      <c r="AK29" s="1015">
        <f t="shared" si="9"/>
        <v>0</v>
      </c>
      <c r="AL29" s="1015">
        <f t="shared" si="10"/>
        <v>120412.56</v>
      </c>
      <c r="AM29" s="1015">
        <f t="shared" si="11"/>
        <v>148264.22</v>
      </c>
      <c r="AN29" s="1015">
        <f t="shared" si="12"/>
        <v>37024.36</v>
      </c>
      <c r="AO29" s="1015">
        <f t="shared" si="13"/>
        <v>75470.559999999998</v>
      </c>
      <c r="AP29" s="1015">
        <f t="shared" si="95"/>
        <v>16277.9</v>
      </c>
      <c r="AQ29" s="1015"/>
      <c r="AR29" s="1014">
        <f t="shared" si="96"/>
        <v>0</v>
      </c>
      <c r="AS29" s="1014">
        <f t="shared" si="97"/>
        <v>0.94</v>
      </c>
      <c r="AT29" s="1014">
        <f t="shared" si="98"/>
        <v>0</v>
      </c>
      <c r="AU29" s="1023">
        <v>15</v>
      </c>
      <c r="AV29" s="1023">
        <v>20</v>
      </c>
      <c r="AW29" s="1023">
        <v>25</v>
      </c>
      <c r="AX29" s="1023">
        <v>15</v>
      </c>
      <c r="AY29" s="1023">
        <f t="shared" si="99"/>
        <v>15</v>
      </c>
      <c r="AZ29" s="1023">
        <v>12</v>
      </c>
      <c r="BA29" s="1023">
        <v>15</v>
      </c>
      <c r="BB29" s="1023">
        <v>10</v>
      </c>
      <c r="BC29" s="1011">
        <f t="shared" si="100"/>
        <v>33</v>
      </c>
      <c r="BD29" s="1011">
        <f t="shared" si="101"/>
        <v>13</v>
      </c>
      <c r="BE29" s="1011">
        <f t="shared" si="101"/>
        <v>16</v>
      </c>
      <c r="BF29" s="1011">
        <f t="shared" si="101"/>
        <v>4</v>
      </c>
      <c r="BG29" s="1011">
        <f t="shared" si="102"/>
        <v>864</v>
      </c>
      <c r="BH29" s="1012">
        <v>13</v>
      </c>
      <c r="BI29" s="1012">
        <v>15</v>
      </c>
      <c r="BJ29" s="1012">
        <v>4</v>
      </c>
      <c r="BK29" s="1012">
        <v>852</v>
      </c>
      <c r="BL29" s="1016">
        <v>0</v>
      </c>
      <c r="BM29" s="1012">
        <v>0</v>
      </c>
      <c r="BN29" s="1012">
        <v>1</v>
      </c>
      <c r="BO29" s="1012"/>
      <c r="BP29" s="1012">
        <v>7</v>
      </c>
      <c r="BQ29" s="1016">
        <v>15</v>
      </c>
      <c r="BR29" s="1012"/>
      <c r="BS29" s="1012"/>
      <c r="BT29" s="1012"/>
      <c r="BU29" s="1012"/>
      <c r="BV29" s="1016">
        <v>0</v>
      </c>
      <c r="BW29" s="1012"/>
      <c r="BX29" s="1012"/>
      <c r="BY29" s="1012"/>
      <c r="BZ29" s="1012"/>
      <c r="CA29" s="1016">
        <v>0</v>
      </c>
      <c r="CB29" s="1012">
        <v>0</v>
      </c>
      <c r="CC29" s="1012">
        <v>1</v>
      </c>
      <c r="CD29" s="1012">
        <v>0</v>
      </c>
      <c r="CE29" s="1012">
        <v>1</v>
      </c>
      <c r="CF29" s="1016">
        <v>15</v>
      </c>
      <c r="CG29" s="1012">
        <v>2</v>
      </c>
      <c r="CH29" s="1012">
        <v>2</v>
      </c>
      <c r="CI29" s="1012">
        <v>0</v>
      </c>
      <c r="CJ29" s="1012">
        <v>4</v>
      </c>
      <c r="CK29" s="1016">
        <v>15</v>
      </c>
      <c r="CL29" s="1012">
        <v>0</v>
      </c>
      <c r="CM29" s="1012">
        <v>0</v>
      </c>
      <c r="CN29" s="1012"/>
      <c r="CO29" s="1012">
        <v>0</v>
      </c>
      <c r="CP29" s="1016">
        <v>15</v>
      </c>
      <c r="CQ29" s="1067">
        <v>48.6</v>
      </c>
      <c r="CR29" s="1067">
        <v>1</v>
      </c>
      <c r="CS29" s="1067">
        <v>271.5</v>
      </c>
      <c r="CT29" s="1018">
        <f t="shared" si="103"/>
        <v>296.2</v>
      </c>
      <c r="CU29" s="1018">
        <f t="shared" si="15"/>
        <v>1.7</v>
      </c>
      <c r="CV29" s="1019">
        <v>1.7</v>
      </c>
      <c r="CW29" s="1014">
        <f t="shared" si="16"/>
        <v>39987.57</v>
      </c>
      <c r="CX29" s="1017">
        <v>45304.5</v>
      </c>
      <c r="CY29" s="1014">
        <f t="shared" si="17"/>
        <v>3188281.44</v>
      </c>
      <c r="CZ29" s="1020">
        <v>13714.4</v>
      </c>
      <c r="DA29" s="1021">
        <v>54.752479999999998</v>
      </c>
      <c r="DB29" s="1027">
        <v>50</v>
      </c>
      <c r="DC29" s="1033">
        <f t="shared" si="104"/>
        <v>1.01525</v>
      </c>
      <c r="DD29" s="1011">
        <f t="shared" si="105"/>
        <v>32133454.66</v>
      </c>
      <c r="DE29" s="1014">
        <f t="shared" si="18"/>
        <v>427223.7</v>
      </c>
      <c r="DF29" s="1014">
        <f t="shared" si="19"/>
        <v>1922506.64</v>
      </c>
      <c r="DG29" s="1014">
        <f t="shared" si="106"/>
        <v>1266876</v>
      </c>
      <c r="DH29" s="1014">
        <f t="shared" si="106"/>
        <v>194904</v>
      </c>
      <c r="DI29" s="1014">
        <f t="shared" si="106"/>
        <v>3995532</v>
      </c>
      <c r="DJ29" s="1014">
        <f t="shared" si="20"/>
        <v>24326412.32</v>
      </c>
      <c r="DK29" s="1024">
        <f t="shared" si="107"/>
        <v>16566.84</v>
      </c>
      <c r="DL29" s="1024">
        <f t="shared" si="21"/>
        <v>905150.4</v>
      </c>
      <c r="DM29" s="1024">
        <f t="shared" si="22"/>
        <v>302445</v>
      </c>
      <c r="DN29" s="1024">
        <f t="shared" si="23"/>
        <v>47472</v>
      </c>
      <c r="DO29" s="1024">
        <f t="shared" si="108"/>
        <v>1971960.82</v>
      </c>
      <c r="DP29" s="1014">
        <f t="shared" si="109"/>
        <v>1705270.77</v>
      </c>
      <c r="DQ29" s="1014">
        <f t="shared" si="110"/>
        <v>341054.15</v>
      </c>
      <c r="DR29" s="1011">
        <f t="shared" si="111"/>
        <v>37423374.600000001</v>
      </c>
      <c r="DS29" s="1011">
        <f t="shared" si="112"/>
        <v>11301859.1</v>
      </c>
      <c r="DT29" s="1011">
        <f t="shared" si="113"/>
        <v>48725233.700000003</v>
      </c>
      <c r="DU29" s="1025"/>
      <c r="DV29" s="1028">
        <v>1.1072</v>
      </c>
      <c r="DW29" s="1011">
        <f t="shared" si="114"/>
        <v>683873.64</v>
      </c>
      <c r="DX29" s="1023">
        <v>106512.41</v>
      </c>
      <c r="DY29" s="1015">
        <f t="shared" si="115"/>
        <v>117930.54</v>
      </c>
      <c r="DZ29" s="1023"/>
      <c r="EA29" s="1015">
        <f t="shared" si="116"/>
        <v>0</v>
      </c>
      <c r="EB29" s="1023">
        <v>41550</v>
      </c>
      <c r="EC29" s="1015">
        <f t="shared" si="24"/>
        <v>47347.82</v>
      </c>
      <c r="ED29" s="1023">
        <v>373983</v>
      </c>
      <c r="EE29" s="1015">
        <f t="shared" si="117"/>
        <v>414073.98</v>
      </c>
      <c r="EF29" s="1023">
        <v>73648</v>
      </c>
      <c r="EG29" s="1015">
        <f t="shared" si="25"/>
        <v>77944.89</v>
      </c>
      <c r="EH29" s="1023">
        <v>53699.55</v>
      </c>
      <c r="EI29" s="1015">
        <f t="shared" si="26"/>
        <v>26576.41</v>
      </c>
      <c r="EJ29" s="1011">
        <f t="shared" si="118"/>
        <v>2746246.8</v>
      </c>
      <c r="EK29" s="1023"/>
      <c r="EL29" s="1015">
        <f t="shared" si="27"/>
        <v>117740.89</v>
      </c>
      <c r="EM29" s="1023">
        <v>199630.2</v>
      </c>
      <c r="EN29" s="1015">
        <f t="shared" si="28"/>
        <v>573312.41</v>
      </c>
      <c r="EO29" s="1068">
        <v>88</v>
      </c>
      <c r="EP29" s="1015">
        <f t="shared" si="119"/>
        <v>155724.79999999999</v>
      </c>
      <c r="EQ29" s="1068">
        <v>102</v>
      </c>
      <c r="ER29" s="1015">
        <f t="shared" si="29"/>
        <v>224604</v>
      </c>
      <c r="ES29" s="1068">
        <v>78</v>
      </c>
      <c r="ET29" s="1015">
        <f t="shared" si="30"/>
        <v>173284.8</v>
      </c>
      <c r="EU29" s="1068">
        <v>87</v>
      </c>
      <c r="EV29" s="1015">
        <f t="shared" si="31"/>
        <v>208991.4</v>
      </c>
      <c r="EW29" s="1068">
        <v>83</v>
      </c>
      <c r="EX29" s="1015">
        <f t="shared" si="32"/>
        <v>219800.6</v>
      </c>
      <c r="EY29" s="1068">
        <v>83</v>
      </c>
      <c r="EZ29" s="1015">
        <f t="shared" si="33"/>
        <v>254594.2</v>
      </c>
      <c r="FA29" s="1068">
        <v>92</v>
      </c>
      <c r="FB29" s="1015">
        <f t="shared" si="34"/>
        <v>339351.2</v>
      </c>
      <c r="FC29" s="1068">
        <v>93</v>
      </c>
      <c r="FD29" s="1015">
        <f t="shared" si="35"/>
        <v>353883.6</v>
      </c>
      <c r="FE29" s="1068">
        <v>72</v>
      </c>
      <c r="FF29" s="1015">
        <f t="shared" si="36"/>
        <v>254390.39999999999</v>
      </c>
      <c r="FG29" s="1068">
        <v>39</v>
      </c>
      <c r="FH29" s="1015">
        <f t="shared" si="37"/>
        <v>132600</v>
      </c>
      <c r="FI29" s="1068">
        <v>47</v>
      </c>
      <c r="FJ29" s="1015">
        <f t="shared" si="38"/>
        <v>159800</v>
      </c>
      <c r="FK29" s="1015">
        <f t="shared" si="120"/>
        <v>2477025</v>
      </c>
      <c r="FL29" s="1023">
        <v>113005</v>
      </c>
      <c r="FM29" s="1015">
        <f t="shared" si="39"/>
        <v>127077.51</v>
      </c>
      <c r="FN29" s="1023">
        <v>25910.65</v>
      </c>
      <c r="FO29" s="1015">
        <f t="shared" si="40"/>
        <v>24403.4</v>
      </c>
      <c r="FP29" s="1011">
        <f t="shared" si="41"/>
        <v>3430120.44</v>
      </c>
      <c r="FQ29" s="1025"/>
      <c r="FR29" s="1011">
        <f t="shared" si="121"/>
        <v>52155354.140000001</v>
      </c>
      <c r="FS29" s="996"/>
      <c r="FT29" s="1029">
        <f t="shared" si="140"/>
        <v>52155.3</v>
      </c>
      <c r="FU29" s="1029">
        <f t="shared" si="122"/>
        <v>37423.4</v>
      </c>
      <c r="FV29" s="1029">
        <f t="shared" si="123"/>
        <v>3254.9</v>
      </c>
      <c r="FW29" s="1029">
        <f t="shared" si="124"/>
        <v>1569.3</v>
      </c>
      <c r="FX29" s="1029">
        <f t="shared" si="125"/>
        <v>258.89999999999998</v>
      </c>
      <c r="FY29" s="1029">
        <f t="shared" si="126"/>
        <v>3995.5</v>
      </c>
      <c r="FZ29" s="1029">
        <f t="shared" si="127"/>
        <v>26298.400000000001</v>
      </c>
      <c r="GA29" s="1029">
        <f t="shared" si="128"/>
        <v>2046.4</v>
      </c>
      <c r="GB29" s="1029">
        <f t="shared" si="42"/>
        <v>11301.9</v>
      </c>
      <c r="GC29" s="1029">
        <f t="shared" si="129"/>
        <v>117.9</v>
      </c>
      <c r="GD29" s="1029">
        <f t="shared" si="130"/>
        <v>0</v>
      </c>
      <c r="GE29" s="1029">
        <f t="shared" si="131"/>
        <v>47.3</v>
      </c>
      <c r="GF29" s="1029">
        <f t="shared" si="132"/>
        <v>414.1</v>
      </c>
      <c r="GG29" s="1029">
        <f t="shared" si="133"/>
        <v>77.900000000000006</v>
      </c>
      <c r="GH29" s="1029">
        <f t="shared" si="134"/>
        <v>26.6</v>
      </c>
      <c r="GI29" s="1029">
        <f t="shared" si="135"/>
        <v>117.7</v>
      </c>
      <c r="GJ29" s="1029">
        <f t="shared" si="136"/>
        <v>2477</v>
      </c>
      <c r="GK29" s="1029">
        <f t="shared" si="137"/>
        <v>127.1</v>
      </c>
      <c r="GL29" s="1029">
        <f t="shared" si="138"/>
        <v>24.4</v>
      </c>
      <c r="GM29" s="1069"/>
      <c r="GN29" s="1031">
        <f t="shared" si="43"/>
        <v>0.8084192</v>
      </c>
      <c r="GO29" s="1029">
        <f t="shared" si="139"/>
        <v>42163.5</v>
      </c>
      <c r="GP29" s="1029">
        <f t="shared" si="44"/>
        <v>30253.8</v>
      </c>
      <c r="GQ29" s="1029">
        <f t="shared" si="45"/>
        <v>9136.7000000000007</v>
      </c>
      <c r="GR29" s="1029">
        <f t="shared" si="46"/>
        <v>95.3</v>
      </c>
      <c r="GS29" s="1029">
        <f t="shared" si="47"/>
        <v>0</v>
      </c>
      <c r="GT29" s="1029">
        <f t="shared" si="48"/>
        <v>38.200000000000003</v>
      </c>
      <c r="GU29" s="1029">
        <f t="shared" si="49"/>
        <v>334.8</v>
      </c>
      <c r="GV29" s="1029">
        <f t="shared" si="50"/>
        <v>63</v>
      </c>
      <c r="GW29" s="1029">
        <f t="shared" si="51"/>
        <v>21.5</v>
      </c>
      <c r="GX29" s="1029">
        <f t="shared" si="52"/>
        <v>95.2</v>
      </c>
      <c r="GY29" s="1029">
        <f t="shared" si="53"/>
        <v>2002.5</v>
      </c>
      <c r="GZ29" s="1029">
        <f t="shared" si="54"/>
        <v>102.8</v>
      </c>
      <c r="HA29" s="1029">
        <f t="shared" si="55"/>
        <v>19.7</v>
      </c>
      <c r="HB29" s="1029">
        <f t="shared" si="56"/>
        <v>2075.6</v>
      </c>
      <c r="HC29" s="996"/>
      <c r="HD29" s="1031">
        <f t="shared" si="57"/>
        <v>0.85399429999999998</v>
      </c>
      <c r="HE29" s="1029">
        <f t="shared" si="58"/>
        <v>44540.2</v>
      </c>
      <c r="HF29" s="1029">
        <f t="shared" si="59"/>
        <v>31959.4</v>
      </c>
      <c r="HG29" s="1029">
        <f t="shared" si="60"/>
        <v>9651.7999999999993</v>
      </c>
      <c r="HH29" s="1029">
        <f t="shared" si="61"/>
        <v>100.7</v>
      </c>
      <c r="HI29" s="1029">
        <f t="shared" si="62"/>
        <v>0</v>
      </c>
      <c r="HJ29" s="1029">
        <f t="shared" si="63"/>
        <v>40.4</v>
      </c>
      <c r="HK29" s="1029">
        <f t="shared" si="64"/>
        <v>353.6</v>
      </c>
      <c r="HL29" s="1029">
        <f t="shared" si="65"/>
        <v>66.5</v>
      </c>
      <c r="HM29" s="1029">
        <f t="shared" si="66"/>
        <v>22.7</v>
      </c>
      <c r="HN29" s="1029">
        <f t="shared" si="67"/>
        <v>100.5</v>
      </c>
      <c r="HO29" s="1029">
        <f t="shared" si="68"/>
        <v>2115.3000000000002</v>
      </c>
      <c r="HP29" s="1029">
        <f t="shared" si="69"/>
        <v>108.5</v>
      </c>
      <c r="HQ29" s="1029">
        <f t="shared" si="70"/>
        <v>20.8</v>
      </c>
      <c r="HR29" s="1029">
        <f t="shared" si="71"/>
        <v>2192.6</v>
      </c>
      <c r="HS29" s="996"/>
      <c r="HT29" s="1031">
        <f t="shared" si="72"/>
        <v>0.90058660000000001</v>
      </c>
      <c r="HU29" s="1029">
        <f t="shared" si="73"/>
        <v>46970.5</v>
      </c>
      <c r="HV29" s="1029">
        <f t="shared" si="74"/>
        <v>33703</v>
      </c>
      <c r="HW29" s="1029">
        <f t="shared" si="75"/>
        <v>10178.299999999999</v>
      </c>
      <c r="HX29" s="1029">
        <f t="shared" si="76"/>
        <v>106.2</v>
      </c>
      <c r="HY29" s="1029">
        <f t="shared" si="77"/>
        <v>0</v>
      </c>
      <c r="HZ29" s="1029">
        <f t="shared" si="78"/>
        <v>42.6</v>
      </c>
      <c r="IA29" s="1029">
        <f t="shared" si="79"/>
        <v>372.9</v>
      </c>
      <c r="IB29" s="1029">
        <f t="shared" si="80"/>
        <v>70.2</v>
      </c>
      <c r="IC29" s="1029">
        <f t="shared" si="81"/>
        <v>24</v>
      </c>
      <c r="ID29" s="1029">
        <f t="shared" si="82"/>
        <v>106</v>
      </c>
      <c r="IE29" s="1029">
        <f t="shared" si="83"/>
        <v>2230.8000000000002</v>
      </c>
      <c r="IF29" s="1029">
        <f t="shared" si="84"/>
        <v>114.5</v>
      </c>
      <c r="IG29" s="1029">
        <f t="shared" si="85"/>
        <v>22</v>
      </c>
      <c r="IH29" s="1029">
        <f t="shared" si="86"/>
        <v>2312.1999999999998</v>
      </c>
    </row>
    <row r="30" spans="1:242" ht="18.75" x14ac:dyDescent="0.25">
      <c r="A30" s="1010" t="s">
        <v>681</v>
      </c>
      <c r="B30" s="1011">
        <f t="shared" si="87"/>
        <v>186.52</v>
      </c>
      <c r="C30" s="1011">
        <f t="shared" si="88"/>
        <v>186.52</v>
      </c>
      <c r="D30" s="1012">
        <v>1</v>
      </c>
      <c r="E30" s="1012">
        <v>7.5</v>
      </c>
      <c r="F30" s="1012">
        <v>12</v>
      </c>
      <c r="G30" s="1012">
        <v>1</v>
      </c>
      <c r="H30" s="1012">
        <v>28.75</v>
      </c>
      <c r="I30" s="1014">
        <f t="shared" si="89"/>
        <v>136.27000000000001</v>
      </c>
      <c r="J30" s="1020">
        <v>26.67</v>
      </c>
      <c r="K30" s="1020">
        <v>54.11</v>
      </c>
      <c r="L30" s="1020">
        <v>14</v>
      </c>
      <c r="M30" s="1020">
        <v>2.33</v>
      </c>
      <c r="N30" s="1020"/>
      <c r="O30" s="1020">
        <v>1.78</v>
      </c>
      <c r="P30" s="1020">
        <v>11.11</v>
      </c>
      <c r="Q30" s="1020">
        <v>14.44</v>
      </c>
      <c r="R30" s="1020">
        <v>3.33</v>
      </c>
      <c r="S30" s="1020">
        <v>8.5</v>
      </c>
      <c r="T30" s="1013">
        <f t="shared" si="90"/>
        <v>28.88</v>
      </c>
      <c r="U30" s="1013">
        <f t="shared" si="91"/>
        <v>11.11</v>
      </c>
      <c r="V30" s="1013">
        <f t="shared" si="91"/>
        <v>14.44</v>
      </c>
      <c r="W30" s="1013">
        <f t="shared" si="91"/>
        <v>3.33</v>
      </c>
      <c r="X30" s="1013"/>
      <c r="Y30" s="1011">
        <f t="shared" si="92"/>
        <v>4087254.49</v>
      </c>
      <c r="Z30" s="1012">
        <v>32562.400000000001</v>
      </c>
      <c r="AA30" s="1014">
        <f t="shared" si="3"/>
        <v>219796.2</v>
      </c>
      <c r="AB30" s="1015">
        <f t="shared" si="93"/>
        <v>194904</v>
      </c>
      <c r="AC30" s="1015">
        <f t="shared" si="93"/>
        <v>16242</v>
      </c>
      <c r="AD30" s="1015">
        <f t="shared" si="93"/>
        <v>466957.5</v>
      </c>
      <c r="AE30" s="1015">
        <f t="shared" si="94"/>
        <v>3156792.39</v>
      </c>
      <c r="AF30" s="1015">
        <f t="shared" si="4"/>
        <v>662810.31000000006</v>
      </c>
      <c r="AG30" s="1015">
        <f t="shared" si="5"/>
        <v>1383848.64</v>
      </c>
      <c r="AH30" s="1015">
        <f t="shared" si="6"/>
        <v>358046.22</v>
      </c>
      <c r="AI30" s="1015">
        <f t="shared" si="7"/>
        <v>47805.96</v>
      </c>
      <c r="AJ30" s="1015">
        <f t="shared" si="8"/>
        <v>0</v>
      </c>
      <c r="AK30" s="1015">
        <f t="shared" si="9"/>
        <v>36521.29</v>
      </c>
      <c r="AL30" s="1015">
        <f t="shared" si="10"/>
        <v>185288.58</v>
      </c>
      <c r="AM30" s="1015">
        <f t="shared" si="11"/>
        <v>240825.12</v>
      </c>
      <c r="AN30" s="1015">
        <f t="shared" si="12"/>
        <v>55536.54</v>
      </c>
      <c r="AO30" s="1015">
        <f t="shared" si="13"/>
        <v>160374.94</v>
      </c>
      <c r="AP30" s="1015">
        <f t="shared" si="95"/>
        <v>25734.79</v>
      </c>
      <c r="AQ30" s="1015"/>
      <c r="AR30" s="1014">
        <f t="shared" si="96"/>
        <v>0</v>
      </c>
      <c r="AS30" s="1014">
        <f t="shared" si="97"/>
        <v>0</v>
      </c>
      <c r="AT30" s="1014">
        <f t="shared" si="98"/>
        <v>0</v>
      </c>
      <c r="AU30" s="1023">
        <v>15</v>
      </c>
      <c r="AV30" s="1023">
        <v>20</v>
      </c>
      <c r="AW30" s="1023">
        <v>25</v>
      </c>
      <c r="AX30" s="1023">
        <v>15</v>
      </c>
      <c r="AY30" s="1023">
        <f t="shared" si="99"/>
        <v>15</v>
      </c>
      <c r="AZ30" s="1023">
        <v>12</v>
      </c>
      <c r="BA30" s="1023">
        <v>15</v>
      </c>
      <c r="BB30" s="1023">
        <v>10</v>
      </c>
      <c r="BC30" s="1011">
        <f t="shared" si="100"/>
        <v>52</v>
      </c>
      <c r="BD30" s="1011">
        <f t="shared" si="101"/>
        <v>20</v>
      </c>
      <c r="BE30" s="1011">
        <f t="shared" si="101"/>
        <v>26</v>
      </c>
      <c r="BF30" s="1011">
        <f t="shared" si="101"/>
        <v>6</v>
      </c>
      <c r="BG30" s="1011">
        <f t="shared" si="102"/>
        <v>1621</v>
      </c>
      <c r="BH30" s="1012">
        <v>20</v>
      </c>
      <c r="BI30" s="1012">
        <v>26</v>
      </c>
      <c r="BJ30" s="1012">
        <v>6</v>
      </c>
      <c r="BK30" s="1012">
        <v>1618</v>
      </c>
      <c r="BL30" s="1016">
        <v>0</v>
      </c>
      <c r="BM30" s="1012">
        <v>0</v>
      </c>
      <c r="BN30" s="1012">
        <v>0</v>
      </c>
      <c r="BO30" s="1012"/>
      <c r="BP30" s="1012">
        <v>0</v>
      </c>
      <c r="BQ30" s="1016">
        <v>15</v>
      </c>
      <c r="BR30" s="1012"/>
      <c r="BS30" s="1012"/>
      <c r="BT30" s="1012"/>
      <c r="BU30" s="1012"/>
      <c r="BV30" s="1016">
        <v>0</v>
      </c>
      <c r="BW30" s="1012"/>
      <c r="BX30" s="1012"/>
      <c r="BY30" s="1012"/>
      <c r="BZ30" s="1012"/>
      <c r="CA30" s="1016">
        <v>0</v>
      </c>
      <c r="CB30" s="1012">
        <v>0</v>
      </c>
      <c r="CC30" s="1012">
        <v>0</v>
      </c>
      <c r="CD30" s="1012">
        <v>0</v>
      </c>
      <c r="CE30" s="1012">
        <v>0</v>
      </c>
      <c r="CF30" s="1016">
        <v>15</v>
      </c>
      <c r="CG30" s="1012">
        <v>2</v>
      </c>
      <c r="CH30" s="1012">
        <v>0</v>
      </c>
      <c r="CI30" s="1012">
        <v>1</v>
      </c>
      <c r="CJ30" s="1012">
        <v>3</v>
      </c>
      <c r="CK30" s="1016">
        <v>15</v>
      </c>
      <c r="CL30" s="1012">
        <v>0</v>
      </c>
      <c r="CM30" s="1012">
        <v>0</v>
      </c>
      <c r="CN30" s="1012"/>
      <c r="CO30" s="1012">
        <v>0</v>
      </c>
      <c r="CP30" s="1016">
        <v>15</v>
      </c>
      <c r="CQ30" s="1067">
        <v>85.9</v>
      </c>
      <c r="CR30" s="1067">
        <v>0.9</v>
      </c>
      <c r="CS30" s="1067">
        <v>624.20000000000005</v>
      </c>
      <c r="CT30" s="1018">
        <f t="shared" si="103"/>
        <v>680.9</v>
      </c>
      <c r="CU30" s="1018">
        <f t="shared" si="15"/>
        <v>1.6</v>
      </c>
      <c r="CV30" s="1032">
        <v>1.6</v>
      </c>
      <c r="CW30" s="1014">
        <f t="shared" si="16"/>
        <v>37735.800000000003</v>
      </c>
      <c r="CX30" s="1017">
        <v>45304.5</v>
      </c>
      <c r="CY30" s="1014">
        <f t="shared" si="17"/>
        <v>7684311.8899999997</v>
      </c>
      <c r="CZ30" s="1020">
        <v>15450.4</v>
      </c>
      <c r="DA30" s="1021">
        <v>61.683169999999997</v>
      </c>
      <c r="DB30" s="1027">
        <v>50</v>
      </c>
      <c r="DC30" s="1033">
        <f t="shared" si="104"/>
        <v>1.01525</v>
      </c>
      <c r="DD30" s="1011">
        <f t="shared" si="105"/>
        <v>49670928.509999998</v>
      </c>
      <c r="DE30" s="1014">
        <f t="shared" si="18"/>
        <v>396707.72</v>
      </c>
      <c r="DF30" s="1014">
        <f t="shared" si="19"/>
        <v>2677777.1</v>
      </c>
      <c r="DG30" s="1014">
        <f t="shared" si="106"/>
        <v>2338848</v>
      </c>
      <c r="DH30" s="1014">
        <f t="shared" si="106"/>
        <v>194904</v>
      </c>
      <c r="DI30" s="1014">
        <f t="shared" si="106"/>
        <v>5603490</v>
      </c>
      <c r="DJ30" s="1014">
        <f t="shared" si="20"/>
        <v>38459201.689999998</v>
      </c>
      <c r="DK30" s="1024">
        <f t="shared" si="107"/>
        <v>16566.84</v>
      </c>
      <c r="DL30" s="1024">
        <f t="shared" si="21"/>
        <v>1436887.2</v>
      </c>
      <c r="DM30" s="1024">
        <f t="shared" si="22"/>
        <v>558360</v>
      </c>
      <c r="DN30" s="1024">
        <f t="shared" si="23"/>
        <v>47472</v>
      </c>
      <c r="DO30" s="1024">
        <f t="shared" si="108"/>
        <v>5761351.8099999996</v>
      </c>
      <c r="DP30" s="1014">
        <f t="shared" si="109"/>
        <v>2771614.02</v>
      </c>
      <c r="DQ30" s="1014">
        <f t="shared" si="110"/>
        <v>554322.80000000005</v>
      </c>
      <c r="DR30" s="1011">
        <f t="shared" si="111"/>
        <v>60817503.200000003</v>
      </c>
      <c r="DS30" s="1011">
        <f t="shared" si="112"/>
        <v>18366886</v>
      </c>
      <c r="DT30" s="1011">
        <f t="shared" si="113"/>
        <v>79184389.200000003</v>
      </c>
      <c r="DU30" s="1025"/>
      <c r="DV30" s="1028">
        <v>1.1072</v>
      </c>
      <c r="DW30" s="1011">
        <f t="shared" si="114"/>
        <v>482151.5</v>
      </c>
      <c r="DX30" s="1023">
        <v>68000</v>
      </c>
      <c r="DY30" s="1015">
        <f t="shared" si="115"/>
        <v>75289.600000000006</v>
      </c>
      <c r="DZ30" s="1023"/>
      <c r="EA30" s="1015">
        <f t="shared" si="116"/>
        <v>0</v>
      </c>
      <c r="EB30" s="1023">
        <v>50000</v>
      </c>
      <c r="EC30" s="1015">
        <f t="shared" si="24"/>
        <v>75067.91</v>
      </c>
      <c r="ED30" s="1023">
        <v>150000</v>
      </c>
      <c r="EE30" s="1015">
        <f t="shared" si="117"/>
        <v>166080</v>
      </c>
      <c r="EF30" s="1023">
        <v>104870</v>
      </c>
      <c r="EG30" s="1015">
        <f t="shared" si="25"/>
        <v>123578.25</v>
      </c>
      <c r="EH30" s="1023">
        <v>0</v>
      </c>
      <c r="EI30" s="1015">
        <f t="shared" si="26"/>
        <v>42135.74</v>
      </c>
      <c r="EJ30" s="1011">
        <f t="shared" si="118"/>
        <v>5065143.0599999996</v>
      </c>
      <c r="EK30" s="1023"/>
      <c r="EL30" s="1015">
        <f t="shared" si="27"/>
        <v>220900.44</v>
      </c>
      <c r="EM30" s="1023">
        <v>400000</v>
      </c>
      <c r="EN30" s="1015">
        <f t="shared" si="28"/>
        <v>1075624.33</v>
      </c>
      <c r="EO30" s="1068">
        <v>182</v>
      </c>
      <c r="EP30" s="1015">
        <f t="shared" si="119"/>
        <v>322067.20000000001</v>
      </c>
      <c r="EQ30" s="1068">
        <v>187</v>
      </c>
      <c r="ER30" s="1015">
        <f t="shared" si="29"/>
        <v>411774</v>
      </c>
      <c r="ES30" s="1068">
        <v>168</v>
      </c>
      <c r="ET30" s="1015">
        <f t="shared" si="30"/>
        <v>373228.79999999999</v>
      </c>
      <c r="EU30" s="1068">
        <v>177</v>
      </c>
      <c r="EV30" s="1015">
        <f t="shared" si="31"/>
        <v>425189.4</v>
      </c>
      <c r="EW30" s="1068">
        <v>170</v>
      </c>
      <c r="EX30" s="1015">
        <f t="shared" si="32"/>
        <v>450194</v>
      </c>
      <c r="EY30" s="1068">
        <v>144</v>
      </c>
      <c r="EZ30" s="1015">
        <f t="shared" si="33"/>
        <v>441705.6</v>
      </c>
      <c r="FA30" s="1068">
        <v>160</v>
      </c>
      <c r="FB30" s="1015">
        <f t="shared" si="34"/>
        <v>590176</v>
      </c>
      <c r="FC30" s="1068">
        <v>139</v>
      </c>
      <c r="FD30" s="1015">
        <f t="shared" si="35"/>
        <v>528922.80000000005</v>
      </c>
      <c r="FE30" s="1068">
        <v>129</v>
      </c>
      <c r="FF30" s="1015">
        <f t="shared" si="36"/>
        <v>455782.8</v>
      </c>
      <c r="FG30" s="1068">
        <v>86</v>
      </c>
      <c r="FH30" s="1015">
        <f t="shared" si="37"/>
        <v>292400</v>
      </c>
      <c r="FI30" s="1068">
        <v>79</v>
      </c>
      <c r="FJ30" s="1015">
        <f t="shared" si="38"/>
        <v>268600</v>
      </c>
      <c r="FK30" s="1015">
        <f t="shared" si="120"/>
        <v>4560040.5999999996</v>
      </c>
      <c r="FL30" s="1023">
        <v>60000</v>
      </c>
      <c r="FM30" s="1015">
        <f t="shared" si="39"/>
        <v>238417.41</v>
      </c>
      <c r="FN30" s="1023">
        <v>10130</v>
      </c>
      <c r="FO30" s="1015">
        <f t="shared" si="40"/>
        <v>45784.61</v>
      </c>
      <c r="FP30" s="1011">
        <f t="shared" si="41"/>
        <v>5547294.5599999996</v>
      </c>
      <c r="FQ30" s="1025"/>
      <c r="FR30" s="1011">
        <f t="shared" si="121"/>
        <v>84731683.760000005</v>
      </c>
      <c r="FS30" s="996"/>
      <c r="FT30" s="1029">
        <f t="shared" si="140"/>
        <v>84731.7</v>
      </c>
      <c r="FU30" s="1029">
        <f t="shared" si="122"/>
        <v>60817.5</v>
      </c>
      <c r="FV30" s="1029">
        <f t="shared" si="123"/>
        <v>4511.3999999999996</v>
      </c>
      <c r="FW30" s="1029">
        <f t="shared" si="124"/>
        <v>2897.2</v>
      </c>
      <c r="FX30" s="1029">
        <f t="shared" si="125"/>
        <v>258.89999999999998</v>
      </c>
      <c r="FY30" s="1029">
        <f t="shared" si="126"/>
        <v>5603.5</v>
      </c>
      <c r="FZ30" s="1029">
        <f t="shared" si="127"/>
        <v>44220.6</v>
      </c>
      <c r="GA30" s="1029">
        <f t="shared" si="128"/>
        <v>3325.9</v>
      </c>
      <c r="GB30" s="1029">
        <f t="shared" si="42"/>
        <v>18366.900000000001</v>
      </c>
      <c r="GC30" s="1029">
        <f t="shared" si="129"/>
        <v>75.3</v>
      </c>
      <c r="GD30" s="1029">
        <f t="shared" si="130"/>
        <v>0</v>
      </c>
      <c r="GE30" s="1029">
        <f t="shared" si="131"/>
        <v>75.099999999999994</v>
      </c>
      <c r="GF30" s="1029">
        <f t="shared" si="132"/>
        <v>166.1</v>
      </c>
      <c r="GG30" s="1029">
        <f t="shared" si="133"/>
        <v>123.6</v>
      </c>
      <c r="GH30" s="1029">
        <f t="shared" si="134"/>
        <v>42.1</v>
      </c>
      <c r="GI30" s="1029">
        <f t="shared" si="135"/>
        <v>220.9</v>
      </c>
      <c r="GJ30" s="1029">
        <f t="shared" si="136"/>
        <v>4560</v>
      </c>
      <c r="GK30" s="1029">
        <f t="shared" si="137"/>
        <v>238.4</v>
      </c>
      <c r="GL30" s="1029">
        <f t="shared" si="138"/>
        <v>45.8</v>
      </c>
      <c r="GM30" s="1069"/>
      <c r="GN30" s="1031">
        <f t="shared" si="43"/>
        <v>0.8084192</v>
      </c>
      <c r="GO30" s="1029">
        <f t="shared" si="139"/>
        <v>68498.7</v>
      </c>
      <c r="GP30" s="1029">
        <f t="shared" si="44"/>
        <v>49166</v>
      </c>
      <c r="GQ30" s="1029">
        <f t="shared" si="45"/>
        <v>14848.2</v>
      </c>
      <c r="GR30" s="1029">
        <f t="shared" si="46"/>
        <v>60.9</v>
      </c>
      <c r="GS30" s="1029">
        <f t="shared" si="47"/>
        <v>0</v>
      </c>
      <c r="GT30" s="1029">
        <f t="shared" si="48"/>
        <v>60.7</v>
      </c>
      <c r="GU30" s="1029">
        <f t="shared" si="49"/>
        <v>134.30000000000001</v>
      </c>
      <c r="GV30" s="1029">
        <f t="shared" si="50"/>
        <v>99.9</v>
      </c>
      <c r="GW30" s="1029">
        <f t="shared" si="51"/>
        <v>34</v>
      </c>
      <c r="GX30" s="1029">
        <f t="shared" si="52"/>
        <v>178.6</v>
      </c>
      <c r="GY30" s="1029">
        <f t="shared" si="53"/>
        <v>3686.4</v>
      </c>
      <c r="GZ30" s="1029">
        <f t="shared" si="54"/>
        <v>192.7</v>
      </c>
      <c r="HA30" s="1029">
        <f t="shared" si="55"/>
        <v>37</v>
      </c>
      <c r="HB30" s="1029">
        <f t="shared" si="56"/>
        <v>6064.2</v>
      </c>
      <c r="HC30" s="996"/>
      <c r="HD30" s="1031">
        <f t="shared" si="57"/>
        <v>0.85399429999999998</v>
      </c>
      <c r="HE30" s="1029">
        <f t="shared" si="58"/>
        <v>72360.3</v>
      </c>
      <c r="HF30" s="1029">
        <f t="shared" si="59"/>
        <v>51937.8</v>
      </c>
      <c r="HG30" s="1029">
        <f t="shared" si="60"/>
        <v>15685.2</v>
      </c>
      <c r="HH30" s="1029">
        <f t="shared" si="61"/>
        <v>64.3</v>
      </c>
      <c r="HI30" s="1029">
        <f t="shared" si="62"/>
        <v>0</v>
      </c>
      <c r="HJ30" s="1029">
        <f t="shared" si="63"/>
        <v>64.099999999999994</v>
      </c>
      <c r="HK30" s="1029">
        <f t="shared" si="64"/>
        <v>141.80000000000001</v>
      </c>
      <c r="HL30" s="1029">
        <f t="shared" si="65"/>
        <v>105.6</v>
      </c>
      <c r="HM30" s="1029">
        <f t="shared" si="66"/>
        <v>36</v>
      </c>
      <c r="HN30" s="1029">
        <f t="shared" si="67"/>
        <v>188.6</v>
      </c>
      <c r="HO30" s="1029">
        <f t="shared" si="68"/>
        <v>3894.2</v>
      </c>
      <c r="HP30" s="1029">
        <f t="shared" si="69"/>
        <v>203.6</v>
      </c>
      <c r="HQ30" s="1029">
        <f t="shared" si="70"/>
        <v>39.1</v>
      </c>
      <c r="HR30" s="1029">
        <f t="shared" si="71"/>
        <v>6406.1</v>
      </c>
      <c r="HS30" s="996"/>
      <c r="HT30" s="1031">
        <f t="shared" si="72"/>
        <v>0.90058660000000001</v>
      </c>
      <c r="HU30" s="1029">
        <f t="shared" si="73"/>
        <v>76308.100000000006</v>
      </c>
      <c r="HV30" s="1029">
        <f t="shared" si="74"/>
        <v>54771.4</v>
      </c>
      <c r="HW30" s="1029">
        <f t="shared" si="75"/>
        <v>16541</v>
      </c>
      <c r="HX30" s="1029">
        <f t="shared" si="76"/>
        <v>67.8</v>
      </c>
      <c r="HY30" s="1029">
        <f t="shared" si="77"/>
        <v>0</v>
      </c>
      <c r="HZ30" s="1029">
        <f t="shared" si="78"/>
        <v>67.599999999999994</v>
      </c>
      <c r="IA30" s="1029">
        <f t="shared" si="79"/>
        <v>149.6</v>
      </c>
      <c r="IB30" s="1029">
        <f t="shared" si="80"/>
        <v>111.3</v>
      </c>
      <c r="IC30" s="1029">
        <f t="shared" si="81"/>
        <v>37.9</v>
      </c>
      <c r="ID30" s="1029">
        <f t="shared" si="82"/>
        <v>198.9</v>
      </c>
      <c r="IE30" s="1029">
        <f t="shared" si="83"/>
        <v>4106.7</v>
      </c>
      <c r="IF30" s="1029">
        <f t="shared" si="84"/>
        <v>214.7</v>
      </c>
      <c r="IG30" s="1029">
        <f t="shared" si="85"/>
        <v>41.2</v>
      </c>
      <c r="IH30" s="1029">
        <f t="shared" si="86"/>
        <v>6755.6</v>
      </c>
    </row>
    <row r="31" spans="1:242" ht="18.75" x14ac:dyDescent="0.25">
      <c r="A31" s="1010" t="s">
        <v>682</v>
      </c>
      <c r="B31" s="1011">
        <f t="shared" si="87"/>
        <v>145.63999999999999</v>
      </c>
      <c r="C31" s="1011">
        <f t="shared" si="88"/>
        <v>145.63999999999999</v>
      </c>
      <c r="D31" s="1012">
        <v>1</v>
      </c>
      <c r="E31" s="1012">
        <v>5.5</v>
      </c>
      <c r="F31" s="1012">
        <v>9.5</v>
      </c>
      <c r="G31" s="1012">
        <v>1</v>
      </c>
      <c r="H31" s="1012">
        <v>15.75</v>
      </c>
      <c r="I31" s="1014">
        <f t="shared" si="89"/>
        <v>112.89</v>
      </c>
      <c r="J31" s="1020">
        <v>22.61</v>
      </c>
      <c r="K31" s="1020">
        <v>46.45</v>
      </c>
      <c r="L31" s="1020">
        <v>4.83</v>
      </c>
      <c r="M31" s="1020">
        <v>4.57</v>
      </c>
      <c r="N31" s="1020">
        <v>3.55</v>
      </c>
      <c r="O31" s="1020">
        <v>2.0499999999999998</v>
      </c>
      <c r="P31" s="1020">
        <v>9.44</v>
      </c>
      <c r="Q31" s="1020">
        <v>12.78</v>
      </c>
      <c r="R31" s="1020">
        <v>1.1100000000000001</v>
      </c>
      <c r="S31" s="1020">
        <v>5.5</v>
      </c>
      <c r="T31" s="1013">
        <f t="shared" si="90"/>
        <v>23.33</v>
      </c>
      <c r="U31" s="1013">
        <f t="shared" si="91"/>
        <v>9.44</v>
      </c>
      <c r="V31" s="1013">
        <f t="shared" si="91"/>
        <v>12.78</v>
      </c>
      <c r="W31" s="1013">
        <f t="shared" si="91"/>
        <v>1.1100000000000001</v>
      </c>
      <c r="X31" s="1013"/>
      <c r="Y31" s="1011">
        <f t="shared" si="92"/>
        <v>3251633.04</v>
      </c>
      <c r="Z31" s="1012">
        <v>35067.199999999997</v>
      </c>
      <c r="AA31" s="1014">
        <f t="shared" si="3"/>
        <v>173582.64</v>
      </c>
      <c r="AB31" s="1015">
        <f t="shared" si="93"/>
        <v>154299</v>
      </c>
      <c r="AC31" s="1015">
        <f t="shared" si="93"/>
        <v>16242</v>
      </c>
      <c r="AD31" s="1015">
        <f t="shared" si="93"/>
        <v>255811.5</v>
      </c>
      <c r="AE31" s="1015">
        <f t="shared" si="94"/>
        <v>2616630.7000000002</v>
      </c>
      <c r="AF31" s="1015">
        <f t="shared" si="4"/>
        <v>564784.93999999994</v>
      </c>
      <c r="AG31" s="1015">
        <f t="shared" si="5"/>
        <v>1205463.3799999999</v>
      </c>
      <c r="AH31" s="1015">
        <f t="shared" si="6"/>
        <v>123525.95</v>
      </c>
      <c r="AI31" s="1015">
        <f t="shared" si="7"/>
        <v>93765.34</v>
      </c>
      <c r="AJ31" s="1015">
        <f t="shared" si="8"/>
        <v>72837.41</v>
      </c>
      <c r="AK31" s="1015">
        <f t="shared" si="9"/>
        <v>42061.04</v>
      </c>
      <c r="AL31" s="1015">
        <f t="shared" si="10"/>
        <v>157436.92000000001</v>
      </c>
      <c r="AM31" s="1015">
        <f t="shared" si="11"/>
        <v>213140.24</v>
      </c>
      <c r="AN31" s="1015">
        <f t="shared" si="12"/>
        <v>18512.18</v>
      </c>
      <c r="AO31" s="1015">
        <f t="shared" si="13"/>
        <v>103772.02</v>
      </c>
      <c r="AP31" s="1015">
        <f t="shared" si="95"/>
        <v>21331.279999999999</v>
      </c>
      <c r="AQ31" s="1015"/>
      <c r="AR31" s="1014">
        <f t="shared" si="96"/>
        <v>0.88</v>
      </c>
      <c r="AS31" s="1014">
        <f t="shared" si="97"/>
        <v>2.61</v>
      </c>
      <c r="AT31" s="1014">
        <f t="shared" si="98"/>
        <v>0</v>
      </c>
      <c r="AU31" s="1023">
        <v>15</v>
      </c>
      <c r="AV31" s="1023">
        <v>20</v>
      </c>
      <c r="AW31" s="1023">
        <v>25</v>
      </c>
      <c r="AX31" s="1023">
        <v>15</v>
      </c>
      <c r="AY31" s="1023">
        <f t="shared" si="99"/>
        <v>15</v>
      </c>
      <c r="AZ31" s="1023">
        <v>12</v>
      </c>
      <c r="BA31" s="1023">
        <v>15</v>
      </c>
      <c r="BB31" s="1023">
        <v>10</v>
      </c>
      <c r="BC31" s="1011">
        <f t="shared" si="100"/>
        <v>42</v>
      </c>
      <c r="BD31" s="1011">
        <f t="shared" si="101"/>
        <v>17</v>
      </c>
      <c r="BE31" s="1011">
        <f t="shared" si="101"/>
        <v>23</v>
      </c>
      <c r="BF31" s="1011">
        <f t="shared" si="101"/>
        <v>2</v>
      </c>
      <c r="BG31" s="1011">
        <f t="shared" si="102"/>
        <v>1152</v>
      </c>
      <c r="BH31" s="1012">
        <v>16</v>
      </c>
      <c r="BI31" s="1012">
        <v>19</v>
      </c>
      <c r="BJ31" s="1012">
        <v>2</v>
      </c>
      <c r="BK31" s="1012">
        <v>1101</v>
      </c>
      <c r="BL31" s="1016">
        <v>0</v>
      </c>
      <c r="BM31" s="1012">
        <v>1</v>
      </c>
      <c r="BN31" s="1012">
        <v>4</v>
      </c>
      <c r="BO31" s="1012"/>
      <c r="BP31" s="1012">
        <v>45</v>
      </c>
      <c r="BQ31" s="1016">
        <v>15</v>
      </c>
      <c r="BR31" s="1012"/>
      <c r="BS31" s="1012"/>
      <c r="BT31" s="1012"/>
      <c r="BU31" s="1012"/>
      <c r="BV31" s="1016">
        <v>0</v>
      </c>
      <c r="BW31" s="1012"/>
      <c r="BX31" s="1012"/>
      <c r="BY31" s="1012"/>
      <c r="BZ31" s="1012"/>
      <c r="CA31" s="1016">
        <v>0</v>
      </c>
      <c r="CB31" s="1012">
        <v>0</v>
      </c>
      <c r="CC31" s="1012">
        <v>0</v>
      </c>
      <c r="CD31" s="1012">
        <v>0</v>
      </c>
      <c r="CE31" s="1012">
        <v>0</v>
      </c>
      <c r="CF31" s="1016">
        <v>15</v>
      </c>
      <c r="CG31" s="1012">
        <v>3</v>
      </c>
      <c r="CH31" s="1012">
        <v>1</v>
      </c>
      <c r="CI31" s="1012">
        <v>1</v>
      </c>
      <c r="CJ31" s="1012">
        <v>5</v>
      </c>
      <c r="CK31" s="1016">
        <v>15</v>
      </c>
      <c r="CL31" s="1012">
        <v>0</v>
      </c>
      <c r="CM31" s="1012">
        <v>1</v>
      </c>
      <c r="CN31" s="1012"/>
      <c r="CO31" s="1012">
        <v>1</v>
      </c>
      <c r="CP31" s="1016">
        <v>15</v>
      </c>
      <c r="CQ31" s="1067">
        <v>58.8</v>
      </c>
      <c r="CR31" s="1067">
        <v>3.3</v>
      </c>
      <c r="CS31" s="1067">
        <v>118.6</v>
      </c>
      <c r="CT31" s="1018">
        <f t="shared" si="103"/>
        <v>129.4</v>
      </c>
      <c r="CU31" s="1018">
        <f t="shared" si="15"/>
        <v>1.9</v>
      </c>
      <c r="CV31" s="1019">
        <v>1.7</v>
      </c>
      <c r="CW31" s="1014">
        <f t="shared" si="16"/>
        <v>39570.870000000003</v>
      </c>
      <c r="CX31" s="1017">
        <v>45304.5</v>
      </c>
      <c r="CY31" s="1014">
        <f t="shared" si="17"/>
        <v>4435401.26</v>
      </c>
      <c r="CZ31" s="1020">
        <v>12672.8</v>
      </c>
      <c r="DA31" s="1021">
        <v>50.594059999999999</v>
      </c>
      <c r="DB31" s="1027">
        <v>50</v>
      </c>
      <c r="DC31" s="1033">
        <f t="shared" si="104"/>
        <v>1.01525</v>
      </c>
      <c r="DD31" s="1011">
        <f t="shared" si="105"/>
        <v>39536622.82</v>
      </c>
      <c r="DE31" s="1014">
        <f t="shared" si="18"/>
        <v>427223.7</v>
      </c>
      <c r="DF31" s="1014">
        <f t="shared" si="19"/>
        <v>2114757.2999999998</v>
      </c>
      <c r="DG31" s="1014">
        <f t="shared" si="106"/>
        <v>1851588</v>
      </c>
      <c r="DH31" s="1014">
        <f t="shared" si="106"/>
        <v>194904</v>
      </c>
      <c r="DI31" s="1014">
        <f t="shared" si="106"/>
        <v>3069738</v>
      </c>
      <c r="DJ31" s="1014">
        <f t="shared" si="20"/>
        <v>31878411.82</v>
      </c>
      <c r="DK31" s="1024">
        <f t="shared" si="107"/>
        <v>16566.84</v>
      </c>
      <c r="DL31" s="1024">
        <f t="shared" si="21"/>
        <v>904837.92</v>
      </c>
      <c r="DM31" s="1024">
        <f t="shared" si="22"/>
        <v>442035</v>
      </c>
      <c r="DN31" s="1024">
        <f t="shared" si="23"/>
        <v>47472</v>
      </c>
      <c r="DO31" s="1024">
        <f t="shared" si="108"/>
        <v>2841480.67</v>
      </c>
      <c r="DP31" s="1014">
        <f t="shared" si="109"/>
        <v>2118905.17</v>
      </c>
      <c r="DQ31" s="1014">
        <f t="shared" si="110"/>
        <v>423781.03</v>
      </c>
      <c r="DR31" s="1011">
        <f t="shared" si="111"/>
        <v>46331701.5</v>
      </c>
      <c r="DS31" s="1011">
        <f t="shared" si="112"/>
        <v>13992173.9</v>
      </c>
      <c r="DT31" s="1011">
        <f t="shared" si="113"/>
        <v>60323875.399999999</v>
      </c>
      <c r="DU31" s="1025"/>
      <c r="DV31" s="1028">
        <v>1.1072</v>
      </c>
      <c r="DW31" s="1011">
        <f t="shared" si="114"/>
        <v>637885.32999999996</v>
      </c>
      <c r="DX31" s="1023">
        <v>88000</v>
      </c>
      <c r="DY31" s="1015">
        <f t="shared" si="115"/>
        <v>97433.600000000006</v>
      </c>
      <c r="DZ31" s="1023"/>
      <c r="EA31" s="1015">
        <f t="shared" si="116"/>
        <v>0</v>
      </c>
      <c r="EB31" s="1023">
        <v>69000</v>
      </c>
      <c r="EC31" s="1015">
        <f t="shared" si="24"/>
        <v>62188.42</v>
      </c>
      <c r="ED31" s="1023">
        <v>307967</v>
      </c>
      <c r="EE31" s="1015">
        <f t="shared" si="117"/>
        <v>340981.06</v>
      </c>
      <c r="EF31" s="1023">
        <v>105033</v>
      </c>
      <c r="EG31" s="1015">
        <f t="shared" si="25"/>
        <v>102375.79</v>
      </c>
      <c r="EH31" s="1023">
        <v>0</v>
      </c>
      <c r="EI31" s="1015">
        <f t="shared" si="26"/>
        <v>34906.46</v>
      </c>
      <c r="EJ31" s="1011">
        <f t="shared" si="118"/>
        <v>3583728.99</v>
      </c>
      <c r="EK31" s="1023"/>
      <c r="EL31" s="1015">
        <f t="shared" si="27"/>
        <v>156987.85</v>
      </c>
      <c r="EM31" s="1023">
        <v>1588910.4</v>
      </c>
      <c r="EN31" s="1015">
        <f t="shared" si="28"/>
        <v>764416.55</v>
      </c>
      <c r="EO31" s="1068">
        <v>131</v>
      </c>
      <c r="EP31" s="1015">
        <f t="shared" si="119"/>
        <v>231817.60000000001</v>
      </c>
      <c r="EQ31" s="1068">
        <v>121</v>
      </c>
      <c r="ER31" s="1015">
        <f t="shared" si="29"/>
        <v>266442</v>
      </c>
      <c r="ES31" s="1068">
        <v>122</v>
      </c>
      <c r="ET31" s="1015">
        <f t="shared" si="30"/>
        <v>271035.2</v>
      </c>
      <c r="EU31" s="1068">
        <v>143</v>
      </c>
      <c r="EV31" s="1015">
        <f t="shared" si="31"/>
        <v>343514.6</v>
      </c>
      <c r="EW31" s="1068">
        <v>129</v>
      </c>
      <c r="EX31" s="1015">
        <f t="shared" si="32"/>
        <v>341617.8</v>
      </c>
      <c r="EY31" s="1068">
        <v>125</v>
      </c>
      <c r="EZ31" s="1015">
        <f t="shared" si="33"/>
        <v>383425</v>
      </c>
      <c r="FA31" s="1068">
        <v>102</v>
      </c>
      <c r="FB31" s="1015">
        <f t="shared" si="34"/>
        <v>376237.2</v>
      </c>
      <c r="FC31" s="1068">
        <v>120</v>
      </c>
      <c r="FD31" s="1015">
        <f t="shared" si="35"/>
        <v>456624</v>
      </c>
      <c r="FE31" s="1068">
        <v>101</v>
      </c>
      <c r="FF31" s="1015">
        <f t="shared" si="36"/>
        <v>356853.2</v>
      </c>
      <c r="FG31" s="1068">
        <v>31</v>
      </c>
      <c r="FH31" s="1015">
        <f t="shared" si="37"/>
        <v>105400</v>
      </c>
      <c r="FI31" s="1068">
        <v>27</v>
      </c>
      <c r="FJ31" s="1015">
        <f t="shared" si="38"/>
        <v>91800</v>
      </c>
      <c r="FK31" s="1015">
        <f t="shared" si="120"/>
        <v>3224766.6</v>
      </c>
      <c r="FL31" s="1023">
        <v>240000</v>
      </c>
      <c r="FM31" s="1015">
        <f t="shared" si="39"/>
        <v>169436.68</v>
      </c>
      <c r="FN31" s="1023">
        <v>28832</v>
      </c>
      <c r="FO31" s="1015">
        <f t="shared" si="40"/>
        <v>32537.86</v>
      </c>
      <c r="FP31" s="1011">
        <f t="shared" si="41"/>
        <v>4221614.32</v>
      </c>
      <c r="FQ31" s="1025"/>
      <c r="FR31" s="1011">
        <f t="shared" si="121"/>
        <v>64545489.719999999</v>
      </c>
      <c r="FS31" s="996"/>
      <c r="FT31" s="1029">
        <f t="shared" si="140"/>
        <v>64545.5</v>
      </c>
      <c r="FU31" s="1029">
        <f t="shared" si="122"/>
        <v>46331.7</v>
      </c>
      <c r="FV31" s="1029">
        <f t="shared" si="123"/>
        <v>3446.8</v>
      </c>
      <c r="FW31" s="1029">
        <f t="shared" si="124"/>
        <v>2293.6</v>
      </c>
      <c r="FX31" s="1029">
        <f t="shared" si="125"/>
        <v>258.89999999999998</v>
      </c>
      <c r="FY31" s="1029">
        <f t="shared" si="126"/>
        <v>3069.7</v>
      </c>
      <c r="FZ31" s="1029">
        <f t="shared" si="127"/>
        <v>34719.9</v>
      </c>
      <c r="GA31" s="1029">
        <f t="shared" si="128"/>
        <v>2542.8000000000002</v>
      </c>
      <c r="GB31" s="1029">
        <f t="shared" si="42"/>
        <v>13992.2</v>
      </c>
      <c r="GC31" s="1029">
        <f t="shared" si="129"/>
        <v>97.4</v>
      </c>
      <c r="GD31" s="1029">
        <f t="shared" si="130"/>
        <v>0</v>
      </c>
      <c r="GE31" s="1029">
        <f t="shared" si="131"/>
        <v>62.2</v>
      </c>
      <c r="GF31" s="1029">
        <f t="shared" si="132"/>
        <v>341</v>
      </c>
      <c r="GG31" s="1029">
        <f t="shared" si="133"/>
        <v>102.4</v>
      </c>
      <c r="GH31" s="1029">
        <f t="shared" si="134"/>
        <v>34.9</v>
      </c>
      <c r="GI31" s="1029">
        <f t="shared" si="135"/>
        <v>157</v>
      </c>
      <c r="GJ31" s="1029">
        <f t="shared" si="136"/>
        <v>3224.8</v>
      </c>
      <c r="GK31" s="1029">
        <f t="shared" si="137"/>
        <v>169.4</v>
      </c>
      <c r="GL31" s="1029">
        <f t="shared" si="138"/>
        <v>32.5</v>
      </c>
      <c r="GM31" s="1069"/>
      <c r="GN31" s="1031">
        <f t="shared" si="43"/>
        <v>0.8084192</v>
      </c>
      <c r="GO31" s="1029">
        <f t="shared" si="139"/>
        <v>52179.8</v>
      </c>
      <c r="GP31" s="1029">
        <f t="shared" si="44"/>
        <v>37455.4</v>
      </c>
      <c r="GQ31" s="1029">
        <f t="shared" si="45"/>
        <v>11311.6</v>
      </c>
      <c r="GR31" s="1029">
        <f t="shared" si="46"/>
        <v>78.7</v>
      </c>
      <c r="GS31" s="1029">
        <f t="shared" si="47"/>
        <v>0</v>
      </c>
      <c r="GT31" s="1029">
        <f t="shared" si="48"/>
        <v>50.3</v>
      </c>
      <c r="GU31" s="1029">
        <f t="shared" si="49"/>
        <v>275.7</v>
      </c>
      <c r="GV31" s="1029">
        <f t="shared" si="50"/>
        <v>82.8</v>
      </c>
      <c r="GW31" s="1029">
        <f t="shared" si="51"/>
        <v>28.2</v>
      </c>
      <c r="GX31" s="1029">
        <f t="shared" si="52"/>
        <v>126.9</v>
      </c>
      <c r="GY31" s="1029">
        <f t="shared" si="53"/>
        <v>2607</v>
      </c>
      <c r="GZ31" s="1029">
        <f t="shared" si="54"/>
        <v>136.9</v>
      </c>
      <c r="HA31" s="1029">
        <f t="shared" si="55"/>
        <v>26.3</v>
      </c>
      <c r="HB31" s="1029">
        <f t="shared" si="56"/>
        <v>2990.8</v>
      </c>
      <c r="HC31" s="996"/>
      <c r="HD31" s="1031">
        <f t="shared" si="57"/>
        <v>0.85399429999999998</v>
      </c>
      <c r="HE31" s="1029">
        <f t="shared" si="58"/>
        <v>55121.599999999999</v>
      </c>
      <c r="HF31" s="1029">
        <f t="shared" si="59"/>
        <v>39567</v>
      </c>
      <c r="HG31" s="1029">
        <f t="shared" si="60"/>
        <v>11949.3</v>
      </c>
      <c r="HH31" s="1029">
        <f t="shared" si="61"/>
        <v>83.2</v>
      </c>
      <c r="HI31" s="1029">
        <f t="shared" si="62"/>
        <v>0</v>
      </c>
      <c r="HJ31" s="1029">
        <f t="shared" si="63"/>
        <v>53.1</v>
      </c>
      <c r="HK31" s="1029">
        <f t="shared" si="64"/>
        <v>291.2</v>
      </c>
      <c r="HL31" s="1029">
        <f t="shared" si="65"/>
        <v>87.4</v>
      </c>
      <c r="HM31" s="1029">
        <f t="shared" si="66"/>
        <v>29.8</v>
      </c>
      <c r="HN31" s="1029">
        <f t="shared" si="67"/>
        <v>134.1</v>
      </c>
      <c r="HO31" s="1029">
        <f t="shared" si="68"/>
        <v>2754</v>
      </c>
      <c r="HP31" s="1029">
        <f t="shared" si="69"/>
        <v>144.69999999999999</v>
      </c>
      <c r="HQ31" s="1029">
        <f t="shared" si="70"/>
        <v>27.8</v>
      </c>
      <c r="HR31" s="1029">
        <f t="shared" si="71"/>
        <v>3159.4</v>
      </c>
      <c r="HS31" s="996"/>
      <c r="HT31" s="1031">
        <f t="shared" si="72"/>
        <v>0.90058660000000001</v>
      </c>
      <c r="HU31" s="1029">
        <f t="shared" si="73"/>
        <v>58128.800000000003</v>
      </c>
      <c r="HV31" s="1029">
        <f t="shared" si="74"/>
        <v>41725.699999999997</v>
      </c>
      <c r="HW31" s="1029">
        <f t="shared" si="75"/>
        <v>12601.2</v>
      </c>
      <c r="HX31" s="1029">
        <f t="shared" si="76"/>
        <v>87.7</v>
      </c>
      <c r="HY31" s="1029">
        <f t="shared" si="77"/>
        <v>0</v>
      </c>
      <c r="HZ31" s="1029">
        <f t="shared" si="78"/>
        <v>56</v>
      </c>
      <c r="IA31" s="1029">
        <f t="shared" si="79"/>
        <v>307.10000000000002</v>
      </c>
      <c r="IB31" s="1029">
        <f t="shared" si="80"/>
        <v>92.2</v>
      </c>
      <c r="IC31" s="1029">
        <f t="shared" si="81"/>
        <v>31.4</v>
      </c>
      <c r="ID31" s="1029">
        <f t="shared" si="82"/>
        <v>141.4</v>
      </c>
      <c r="IE31" s="1029">
        <f t="shared" si="83"/>
        <v>2904.2</v>
      </c>
      <c r="IF31" s="1029">
        <f t="shared" si="84"/>
        <v>152.6</v>
      </c>
      <c r="IG31" s="1029">
        <f t="shared" si="85"/>
        <v>29.3</v>
      </c>
      <c r="IH31" s="1029">
        <f t="shared" si="86"/>
        <v>3331.8</v>
      </c>
    </row>
    <row r="32" spans="1:242" ht="18.75" x14ac:dyDescent="0.25">
      <c r="A32" s="1010" t="s">
        <v>683</v>
      </c>
      <c r="B32" s="1011">
        <f t="shared" si="87"/>
        <v>98.28</v>
      </c>
      <c r="C32" s="1011">
        <f t="shared" si="88"/>
        <v>98.28</v>
      </c>
      <c r="D32" s="1012">
        <v>1</v>
      </c>
      <c r="E32" s="1012">
        <v>4.5</v>
      </c>
      <c r="F32" s="1012"/>
      <c r="G32" s="1012">
        <v>5.5</v>
      </c>
      <c r="H32" s="1012">
        <v>11</v>
      </c>
      <c r="I32" s="1014">
        <f t="shared" si="89"/>
        <v>76.28</v>
      </c>
      <c r="J32" s="1020">
        <v>16</v>
      </c>
      <c r="K32" s="1020">
        <v>27.78</v>
      </c>
      <c r="L32" s="1020">
        <v>3.89</v>
      </c>
      <c r="M32" s="1020">
        <v>2.72</v>
      </c>
      <c r="N32" s="1020">
        <v>5.83</v>
      </c>
      <c r="O32" s="1020">
        <v>0</v>
      </c>
      <c r="P32" s="1020">
        <v>6.67</v>
      </c>
      <c r="Q32" s="1020">
        <v>7.78</v>
      </c>
      <c r="R32" s="1020">
        <v>1.1100000000000001</v>
      </c>
      <c r="S32" s="1020">
        <v>4.5</v>
      </c>
      <c r="T32" s="1013">
        <f t="shared" si="90"/>
        <v>15.56</v>
      </c>
      <c r="U32" s="1013">
        <f t="shared" si="91"/>
        <v>6.67</v>
      </c>
      <c r="V32" s="1013">
        <f t="shared" si="91"/>
        <v>7.78</v>
      </c>
      <c r="W32" s="1013">
        <f t="shared" si="91"/>
        <v>1.1100000000000001</v>
      </c>
      <c r="X32" s="1013"/>
      <c r="Y32" s="1011">
        <f t="shared" si="92"/>
        <v>2174053.1</v>
      </c>
      <c r="Z32" s="1012">
        <v>32562.400000000001</v>
      </c>
      <c r="AA32" s="1014">
        <f t="shared" si="3"/>
        <v>131877.72</v>
      </c>
      <c r="AB32" s="1015">
        <f t="shared" si="93"/>
        <v>0</v>
      </c>
      <c r="AC32" s="1015">
        <f t="shared" si="93"/>
        <v>89331</v>
      </c>
      <c r="AD32" s="1015">
        <f t="shared" si="93"/>
        <v>178662</v>
      </c>
      <c r="AE32" s="1015">
        <f t="shared" si="94"/>
        <v>1741619.98</v>
      </c>
      <c r="AF32" s="1015">
        <f t="shared" si="4"/>
        <v>397636.48</v>
      </c>
      <c r="AG32" s="1015">
        <f t="shared" si="5"/>
        <v>710466</v>
      </c>
      <c r="AH32" s="1015">
        <f t="shared" si="6"/>
        <v>99485.7</v>
      </c>
      <c r="AI32" s="1015">
        <f t="shared" si="7"/>
        <v>55807.82</v>
      </c>
      <c r="AJ32" s="1015">
        <f t="shared" si="8"/>
        <v>119617.49</v>
      </c>
      <c r="AK32" s="1015">
        <f t="shared" si="9"/>
        <v>0</v>
      </c>
      <c r="AL32" s="1015">
        <f t="shared" si="10"/>
        <v>111239.86</v>
      </c>
      <c r="AM32" s="1015">
        <f t="shared" si="11"/>
        <v>129752.04</v>
      </c>
      <c r="AN32" s="1015">
        <f t="shared" si="12"/>
        <v>18512.18</v>
      </c>
      <c r="AO32" s="1015">
        <f t="shared" si="13"/>
        <v>84904.38</v>
      </c>
      <c r="AP32" s="1015">
        <f t="shared" si="95"/>
        <v>14198.03</v>
      </c>
      <c r="AQ32" s="1015"/>
      <c r="AR32" s="1014">
        <f t="shared" si="96"/>
        <v>0</v>
      </c>
      <c r="AS32" s="1014">
        <f t="shared" si="97"/>
        <v>0</v>
      </c>
      <c r="AT32" s="1014">
        <f t="shared" si="98"/>
        <v>0</v>
      </c>
      <c r="AU32" s="1023">
        <v>15</v>
      </c>
      <c r="AV32" s="1023">
        <v>20</v>
      </c>
      <c r="AW32" s="1023">
        <v>25</v>
      </c>
      <c r="AX32" s="1023">
        <v>15</v>
      </c>
      <c r="AY32" s="1023">
        <f t="shared" si="99"/>
        <v>15</v>
      </c>
      <c r="AZ32" s="1023">
        <v>12</v>
      </c>
      <c r="BA32" s="1023">
        <v>15</v>
      </c>
      <c r="BB32" s="1023">
        <v>10</v>
      </c>
      <c r="BC32" s="1011">
        <f t="shared" si="100"/>
        <v>28</v>
      </c>
      <c r="BD32" s="1011">
        <f t="shared" si="101"/>
        <v>12</v>
      </c>
      <c r="BE32" s="1011">
        <f t="shared" si="101"/>
        <v>14</v>
      </c>
      <c r="BF32" s="1011">
        <f t="shared" si="101"/>
        <v>2</v>
      </c>
      <c r="BG32" s="1011">
        <f t="shared" si="102"/>
        <v>788</v>
      </c>
      <c r="BH32" s="1012">
        <v>12</v>
      </c>
      <c r="BI32" s="1012">
        <v>14</v>
      </c>
      <c r="BJ32" s="1012">
        <v>2</v>
      </c>
      <c r="BK32" s="1012">
        <v>777</v>
      </c>
      <c r="BL32" s="1016">
        <v>0</v>
      </c>
      <c r="BM32" s="1012">
        <v>0</v>
      </c>
      <c r="BN32" s="1012">
        <v>0</v>
      </c>
      <c r="BO32" s="1012"/>
      <c r="BP32" s="1012">
        <v>0</v>
      </c>
      <c r="BQ32" s="1016">
        <v>15</v>
      </c>
      <c r="BR32" s="1012"/>
      <c r="BS32" s="1012"/>
      <c r="BT32" s="1012"/>
      <c r="BU32" s="1012"/>
      <c r="BV32" s="1016">
        <v>0</v>
      </c>
      <c r="BW32" s="1012"/>
      <c r="BX32" s="1012"/>
      <c r="BY32" s="1012"/>
      <c r="BZ32" s="1012"/>
      <c r="CA32" s="1016">
        <v>0</v>
      </c>
      <c r="CB32" s="1012">
        <v>3</v>
      </c>
      <c r="CC32" s="1012">
        <v>3</v>
      </c>
      <c r="CD32" s="1012">
        <v>0</v>
      </c>
      <c r="CE32" s="1012">
        <v>6</v>
      </c>
      <c r="CF32" s="1016">
        <v>15</v>
      </c>
      <c r="CG32" s="1012">
        <v>2</v>
      </c>
      <c r="CH32" s="1012">
        <v>3</v>
      </c>
      <c r="CI32" s="1012">
        <v>0</v>
      </c>
      <c r="CJ32" s="1012">
        <v>5</v>
      </c>
      <c r="CK32" s="1016">
        <v>15</v>
      </c>
      <c r="CL32" s="1012">
        <v>0</v>
      </c>
      <c r="CM32" s="1012">
        <v>0</v>
      </c>
      <c r="CN32" s="1012"/>
      <c r="CO32" s="1012">
        <v>0</v>
      </c>
      <c r="CP32" s="1016">
        <v>15</v>
      </c>
      <c r="CQ32" s="1067">
        <v>42.7</v>
      </c>
      <c r="CR32" s="1067">
        <v>4</v>
      </c>
      <c r="CS32" s="1067">
        <v>227.1</v>
      </c>
      <c r="CT32" s="1018">
        <f t="shared" si="103"/>
        <v>247.7</v>
      </c>
      <c r="CU32" s="1018">
        <f t="shared" si="15"/>
        <v>1.7</v>
      </c>
      <c r="CV32" s="1032">
        <v>1.6</v>
      </c>
      <c r="CW32" s="1014">
        <f t="shared" si="16"/>
        <v>36988.019999999997</v>
      </c>
      <c r="CX32" s="1017">
        <v>45304.5</v>
      </c>
      <c r="CY32" s="1014">
        <f t="shared" si="17"/>
        <v>4508363.8099999996</v>
      </c>
      <c r="CZ32" s="1020">
        <v>11370.8</v>
      </c>
      <c r="DA32" s="1021">
        <v>45.396039999999999</v>
      </c>
      <c r="DB32" s="1027">
        <v>50</v>
      </c>
      <c r="DC32" s="1033">
        <f t="shared" si="104"/>
        <v>1.01525</v>
      </c>
      <c r="DD32" s="1011">
        <f t="shared" si="105"/>
        <v>26437446.199999999</v>
      </c>
      <c r="DE32" s="1014">
        <f t="shared" si="18"/>
        <v>396707.72</v>
      </c>
      <c r="DF32" s="1014">
        <f t="shared" si="19"/>
        <v>1606666.26</v>
      </c>
      <c r="DG32" s="1014">
        <f t="shared" si="106"/>
        <v>0</v>
      </c>
      <c r="DH32" s="1014">
        <f t="shared" si="106"/>
        <v>1071972</v>
      </c>
      <c r="DI32" s="1014">
        <f t="shared" si="106"/>
        <v>2143944</v>
      </c>
      <c r="DJ32" s="1014">
        <f t="shared" si="20"/>
        <v>21218156.219999999</v>
      </c>
      <c r="DK32" s="1024">
        <f t="shared" si="107"/>
        <v>91117.62</v>
      </c>
      <c r="DL32" s="1024">
        <f t="shared" si="21"/>
        <v>689070.48</v>
      </c>
      <c r="DM32" s="1024">
        <f t="shared" si="22"/>
        <v>0</v>
      </c>
      <c r="DN32" s="1024">
        <f t="shared" si="23"/>
        <v>261096</v>
      </c>
      <c r="DO32" s="1024">
        <f t="shared" si="108"/>
        <v>3447456</v>
      </c>
      <c r="DP32" s="1014">
        <f t="shared" si="109"/>
        <v>1494245.11</v>
      </c>
      <c r="DQ32" s="1014">
        <f t="shared" si="110"/>
        <v>298849.02</v>
      </c>
      <c r="DR32" s="1011">
        <f t="shared" si="111"/>
        <v>32719280.399999999</v>
      </c>
      <c r="DS32" s="1011">
        <f t="shared" si="112"/>
        <v>9881222.6999999993</v>
      </c>
      <c r="DT32" s="1011">
        <f t="shared" si="113"/>
        <v>42600503.100000001</v>
      </c>
      <c r="DU32" s="1025"/>
      <c r="DV32" s="1028">
        <v>1.1072</v>
      </c>
      <c r="DW32" s="1011">
        <f t="shared" si="114"/>
        <v>552394.22</v>
      </c>
      <c r="DX32" s="1023">
        <v>42000</v>
      </c>
      <c r="DY32" s="1015">
        <f t="shared" si="115"/>
        <v>46502.400000000001</v>
      </c>
      <c r="DZ32" s="1023"/>
      <c r="EA32" s="1015">
        <f t="shared" si="116"/>
        <v>0</v>
      </c>
      <c r="EB32" s="1023">
        <v>50000</v>
      </c>
      <c r="EC32" s="1015">
        <f t="shared" si="24"/>
        <v>42020.84</v>
      </c>
      <c r="ED32" s="1023">
        <v>335178</v>
      </c>
      <c r="EE32" s="1015">
        <f t="shared" si="117"/>
        <v>371109.08</v>
      </c>
      <c r="EF32" s="1023">
        <v>60000</v>
      </c>
      <c r="EG32" s="1015">
        <f t="shared" si="25"/>
        <v>69175.53</v>
      </c>
      <c r="EH32" s="1023">
        <v>0</v>
      </c>
      <c r="EI32" s="1015">
        <f t="shared" si="26"/>
        <v>23586.37</v>
      </c>
      <c r="EJ32" s="1011">
        <f t="shared" si="118"/>
        <v>2470387.2400000002</v>
      </c>
      <c r="EK32" s="1023"/>
      <c r="EL32" s="1015">
        <f t="shared" si="27"/>
        <v>107384.05</v>
      </c>
      <c r="EM32" s="1023">
        <v>0</v>
      </c>
      <c r="EN32" s="1015">
        <f t="shared" si="28"/>
        <v>522882.15</v>
      </c>
      <c r="EO32" s="1068">
        <v>85</v>
      </c>
      <c r="EP32" s="1015">
        <f t="shared" si="119"/>
        <v>150416</v>
      </c>
      <c r="EQ32" s="1068">
        <v>89</v>
      </c>
      <c r="ER32" s="1015">
        <f t="shared" si="29"/>
        <v>195978</v>
      </c>
      <c r="ES32" s="1068">
        <v>82</v>
      </c>
      <c r="ET32" s="1015">
        <f t="shared" si="30"/>
        <v>182171.2</v>
      </c>
      <c r="EU32" s="1068">
        <v>80</v>
      </c>
      <c r="EV32" s="1015">
        <f t="shared" si="31"/>
        <v>192176</v>
      </c>
      <c r="EW32" s="1068">
        <v>97</v>
      </c>
      <c r="EX32" s="1015">
        <f t="shared" si="32"/>
        <v>256875.4</v>
      </c>
      <c r="EY32" s="1068">
        <v>70</v>
      </c>
      <c r="EZ32" s="1015">
        <f t="shared" si="33"/>
        <v>214718</v>
      </c>
      <c r="FA32" s="1068">
        <v>76</v>
      </c>
      <c r="FB32" s="1015">
        <f t="shared" si="34"/>
        <v>280333.59999999998</v>
      </c>
      <c r="FC32" s="1068">
        <v>75</v>
      </c>
      <c r="FD32" s="1015">
        <f t="shared" si="35"/>
        <v>285390</v>
      </c>
      <c r="FE32" s="1068">
        <v>84</v>
      </c>
      <c r="FF32" s="1015">
        <f t="shared" si="36"/>
        <v>296788.8</v>
      </c>
      <c r="FG32" s="1068">
        <v>26</v>
      </c>
      <c r="FH32" s="1015">
        <f t="shared" si="37"/>
        <v>88400</v>
      </c>
      <c r="FI32" s="1068">
        <v>24</v>
      </c>
      <c r="FJ32" s="1015">
        <f t="shared" si="38"/>
        <v>81600</v>
      </c>
      <c r="FK32" s="1015">
        <f t="shared" si="120"/>
        <v>2224847</v>
      </c>
      <c r="FL32" s="1023">
        <v>127022</v>
      </c>
      <c r="FM32" s="1015">
        <f t="shared" si="39"/>
        <v>115899.39</v>
      </c>
      <c r="FN32" s="1023">
        <v>22412</v>
      </c>
      <c r="FO32" s="1015">
        <f t="shared" si="40"/>
        <v>22256.799999999999</v>
      </c>
      <c r="FP32" s="1011">
        <f t="shared" si="41"/>
        <v>3022781.46</v>
      </c>
      <c r="FQ32" s="1025"/>
      <c r="FR32" s="1011">
        <f t="shared" si="121"/>
        <v>45623284.560000002</v>
      </c>
      <c r="FS32" s="996"/>
      <c r="FT32" s="1029">
        <f t="shared" si="140"/>
        <v>45623.3</v>
      </c>
      <c r="FU32" s="1029">
        <f t="shared" si="122"/>
        <v>32719.3</v>
      </c>
      <c r="FV32" s="1029">
        <f t="shared" si="123"/>
        <v>2692.4</v>
      </c>
      <c r="FW32" s="1029">
        <f t="shared" si="124"/>
        <v>0</v>
      </c>
      <c r="FX32" s="1029">
        <f t="shared" si="125"/>
        <v>1424.2</v>
      </c>
      <c r="FY32" s="1029">
        <f t="shared" si="126"/>
        <v>2143.9</v>
      </c>
      <c r="FZ32" s="1029">
        <f t="shared" si="127"/>
        <v>24665.599999999999</v>
      </c>
      <c r="GA32" s="1029">
        <f t="shared" si="128"/>
        <v>1793.2</v>
      </c>
      <c r="GB32" s="1029">
        <f t="shared" si="42"/>
        <v>9881.2000000000007</v>
      </c>
      <c r="GC32" s="1029">
        <f t="shared" si="129"/>
        <v>46.5</v>
      </c>
      <c r="GD32" s="1029">
        <f t="shared" si="130"/>
        <v>0</v>
      </c>
      <c r="GE32" s="1029">
        <f t="shared" si="131"/>
        <v>42</v>
      </c>
      <c r="GF32" s="1029">
        <f t="shared" si="132"/>
        <v>371.1</v>
      </c>
      <c r="GG32" s="1029">
        <f t="shared" si="133"/>
        <v>69.2</v>
      </c>
      <c r="GH32" s="1029">
        <f t="shared" si="134"/>
        <v>23.6</v>
      </c>
      <c r="GI32" s="1029">
        <f t="shared" si="135"/>
        <v>107.4</v>
      </c>
      <c r="GJ32" s="1029">
        <f t="shared" si="136"/>
        <v>2224.8000000000002</v>
      </c>
      <c r="GK32" s="1029">
        <f t="shared" si="137"/>
        <v>115.9</v>
      </c>
      <c r="GL32" s="1029">
        <f t="shared" si="138"/>
        <v>22.3</v>
      </c>
      <c r="GM32" s="1069"/>
      <c r="GN32" s="1031">
        <f t="shared" si="43"/>
        <v>0.8084192</v>
      </c>
      <c r="GO32" s="1029">
        <f t="shared" si="139"/>
        <v>36882.800000000003</v>
      </c>
      <c r="GP32" s="1029">
        <f t="shared" si="44"/>
        <v>26450.9</v>
      </c>
      <c r="GQ32" s="1029">
        <f t="shared" si="45"/>
        <v>7988.2</v>
      </c>
      <c r="GR32" s="1029">
        <f t="shared" si="46"/>
        <v>37.6</v>
      </c>
      <c r="GS32" s="1029">
        <f t="shared" si="47"/>
        <v>0</v>
      </c>
      <c r="GT32" s="1029">
        <f t="shared" si="48"/>
        <v>34</v>
      </c>
      <c r="GU32" s="1029">
        <f t="shared" si="49"/>
        <v>300</v>
      </c>
      <c r="GV32" s="1029">
        <f t="shared" si="50"/>
        <v>55.9</v>
      </c>
      <c r="GW32" s="1029">
        <f t="shared" si="51"/>
        <v>19.100000000000001</v>
      </c>
      <c r="GX32" s="1029">
        <f t="shared" si="52"/>
        <v>86.8</v>
      </c>
      <c r="GY32" s="1029">
        <f t="shared" si="53"/>
        <v>1798.6</v>
      </c>
      <c r="GZ32" s="1029">
        <f t="shared" si="54"/>
        <v>93.7</v>
      </c>
      <c r="HA32" s="1029">
        <f t="shared" si="55"/>
        <v>18</v>
      </c>
      <c r="HB32" s="1029">
        <f t="shared" si="56"/>
        <v>3628.7</v>
      </c>
      <c r="HC32" s="996"/>
      <c r="HD32" s="1031">
        <f t="shared" si="57"/>
        <v>0.85399429999999998</v>
      </c>
      <c r="HE32" s="1029">
        <f t="shared" si="58"/>
        <v>38962.1</v>
      </c>
      <c r="HF32" s="1029">
        <f t="shared" si="59"/>
        <v>27942.1</v>
      </c>
      <c r="HG32" s="1029">
        <f t="shared" si="60"/>
        <v>8438.5</v>
      </c>
      <c r="HH32" s="1029">
        <f t="shared" si="61"/>
        <v>39.700000000000003</v>
      </c>
      <c r="HI32" s="1029">
        <f t="shared" si="62"/>
        <v>0</v>
      </c>
      <c r="HJ32" s="1029">
        <f t="shared" si="63"/>
        <v>35.9</v>
      </c>
      <c r="HK32" s="1029">
        <f t="shared" si="64"/>
        <v>316.89999999999998</v>
      </c>
      <c r="HL32" s="1029">
        <f t="shared" si="65"/>
        <v>59.1</v>
      </c>
      <c r="HM32" s="1029">
        <f t="shared" si="66"/>
        <v>20.2</v>
      </c>
      <c r="HN32" s="1029">
        <f t="shared" si="67"/>
        <v>91.7</v>
      </c>
      <c r="HO32" s="1029">
        <f t="shared" si="68"/>
        <v>1900</v>
      </c>
      <c r="HP32" s="1029">
        <f t="shared" si="69"/>
        <v>99</v>
      </c>
      <c r="HQ32" s="1029">
        <f t="shared" si="70"/>
        <v>19</v>
      </c>
      <c r="HR32" s="1029">
        <f t="shared" si="71"/>
        <v>3833.2</v>
      </c>
      <c r="HS32" s="996"/>
      <c r="HT32" s="1031">
        <f t="shared" si="72"/>
        <v>0.90058660000000001</v>
      </c>
      <c r="HU32" s="1029">
        <f t="shared" si="73"/>
        <v>41087.800000000003</v>
      </c>
      <c r="HV32" s="1029">
        <f t="shared" si="74"/>
        <v>29466.6</v>
      </c>
      <c r="HW32" s="1029">
        <f t="shared" si="75"/>
        <v>8898.9</v>
      </c>
      <c r="HX32" s="1029">
        <f t="shared" si="76"/>
        <v>41.9</v>
      </c>
      <c r="HY32" s="1029">
        <f t="shared" si="77"/>
        <v>0</v>
      </c>
      <c r="HZ32" s="1029">
        <f t="shared" si="78"/>
        <v>37.799999999999997</v>
      </c>
      <c r="IA32" s="1029">
        <f t="shared" si="79"/>
        <v>334.2</v>
      </c>
      <c r="IB32" s="1029">
        <f t="shared" si="80"/>
        <v>62.3</v>
      </c>
      <c r="IC32" s="1029">
        <f t="shared" si="81"/>
        <v>21.3</v>
      </c>
      <c r="ID32" s="1029">
        <f t="shared" si="82"/>
        <v>96.7</v>
      </c>
      <c r="IE32" s="1029">
        <f t="shared" si="83"/>
        <v>2003.6</v>
      </c>
      <c r="IF32" s="1029">
        <f t="shared" si="84"/>
        <v>104.4</v>
      </c>
      <c r="IG32" s="1029">
        <f t="shared" si="85"/>
        <v>20.100000000000001</v>
      </c>
      <c r="IH32" s="1029">
        <f t="shared" si="86"/>
        <v>4042.4</v>
      </c>
    </row>
    <row r="33" spans="1:242" ht="18.75" x14ac:dyDescent="0.25">
      <c r="A33" s="1010" t="s">
        <v>684</v>
      </c>
      <c r="B33" s="1011">
        <f t="shared" si="87"/>
        <v>87.89</v>
      </c>
      <c r="C33" s="1011">
        <f t="shared" si="88"/>
        <v>87.89</v>
      </c>
      <c r="D33" s="1012">
        <v>1</v>
      </c>
      <c r="E33" s="1012">
        <v>4.5</v>
      </c>
      <c r="F33" s="1012">
        <v>4</v>
      </c>
      <c r="G33" s="1012">
        <v>1</v>
      </c>
      <c r="H33" s="1012">
        <v>8.5</v>
      </c>
      <c r="I33" s="1014">
        <f t="shared" si="89"/>
        <v>68.89</v>
      </c>
      <c r="J33" s="1020">
        <v>13.22</v>
      </c>
      <c r="K33" s="1020">
        <v>23.67</v>
      </c>
      <c r="L33" s="1020">
        <v>3.67</v>
      </c>
      <c r="M33" s="1020">
        <v>3.94</v>
      </c>
      <c r="N33" s="1020">
        <v>6</v>
      </c>
      <c r="O33" s="1020"/>
      <c r="P33" s="1020">
        <v>5.56</v>
      </c>
      <c r="Q33" s="1020">
        <v>7.22</v>
      </c>
      <c r="R33" s="1020">
        <v>1.1100000000000001</v>
      </c>
      <c r="S33" s="1020">
        <v>4.5</v>
      </c>
      <c r="T33" s="1013">
        <f t="shared" si="90"/>
        <v>13.89</v>
      </c>
      <c r="U33" s="1013">
        <f t="shared" si="91"/>
        <v>5.56</v>
      </c>
      <c r="V33" s="1013">
        <f t="shared" si="91"/>
        <v>7.22</v>
      </c>
      <c r="W33" s="1013">
        <f t="shared" si="91"/>
        <v>1.1100000000000001</v>
      </c>
      <c r="X33" s="1013"/>
      <c r="Y33" s="1011">
        <f t="shared" si="92"/>
        <v>1981376.58</v>
      </c>
      <c r="Z33" s="1012">
        <v>36319.599999999999</v>
      </c>
      <c r="AA33" s="1014">
        <f t="shared" si="3"/>
        <v>147094.38</v>
      </c>
      <c r="AB33" s="1015">
        <f t="shared" si="93"/>
        <v>64968</v>
      </c>
      <c r="AC33" s="1015">
        <f t="shared" si="93"/>
        <v>16242</v>
      </c>
      <c r="AD33" s="1015">
        <f t="shared" si="93"/>
        <v>138057</v>
      </c>
      <c r="AE33" s="1015">
        <f t="shared" si="94"/>
        <v>1578695.6</v>
      </c>
      <c r="AF33" s="1015">
        <f t="shared" si="4"/>
        <v>334277.62</v>
      </c>
      <c r="AG33" s="1015">
        <f t="shared" si="5"/>
        <v>617187.32999999996</v>
      </c>
      <c r="AH33" s="1015">
        <f t="shared" si="6"/>
        <v>93859.26</v>
      </c>
      <c r="AI33" s="1015">
        <f t="shared" si="7"/>
        <v>80839.27</v>
      </c>
      <c r="AJ33" s="1015">
        <f t="shared" si="8"/>
        <v>123105.48</v>
      </c>
      <c r="AK33" s="1015">
        <f t="shared" si="9"/>
        <v>0</v>
      </c>
      <c r="AL33" s="1015">
        <f t="shared" si="10"/>
        <v>92727.679999999993</v>
      </c>
      <c r="AM33" s="1015">
        <f t="shared" si="11"/>
        <v>120412.56</v>
      </c>
      <c r="AN33" s="1015">
        <f t="shared" si="12"/>
        <v>18512.18</v>
      </c>
      <c r="AO33" s="1015">
        <f t="shared" si="13"/>
        <v>84904.38</v>
      </c>
      <c r="AP33" s="1015">
        <f t="shared" si="95"/>
        <v>12869.84</v>
      </c>
      <c r="AQ33" s="1015"/>
      <c r="AR33" s="1014">
        <f t="shared" si="96"/>
        <v>3</v>
      </c>
      <c r="AS33" s="1014">
        <f t="shared" si="97"/>
        <v>3.46</v>
      </c>
      <c r="AT33" s="1014">
        <f t="shared" si="98"/>
        <v>0</v>
      </c>
      <c r="AU33" s="1023">
        <v>15</v>
      </c>
      <c r="AV33" s="1023">
        <v>20</v>
      </c>
      <c r="AW33" s="1023">
        <v>25</v>
      </c>
      <c r="AX33" s="1023">
        <v>15</v>
      </c>
      <c r="AY33" s="1023">
        <f t="shared" si="99"/>
        <v>15</v>
      </c>
      <c r="AZ33" s="1023">
        <v>12</v>
      </c>
      <c r="BA33" s="1023">
        <v>15</v>
      </c>
      <c r="BB33" s="1023">
        <v>10</v>
      </c>
      <c r="BC33" s="1011">
        <f t="shared" si="100"/>
        <v>25</v>
      </c>
      <c r="BD33" s="1011">
        <f t="shared" si="101"/>
        <v>10</v>
      </c>
      <c r="BE33" s="1011">
        <f t="shared" si="101"/>
        <v>13</v>
      </c>
      <c r="BF33" s="1011">
        <f t="shared" si="101"/>
        <v>2</v>
      </c>
      <c r="BG33" s="1011">
        <f t="shared" si="102"/>
        <v>548</v>
      </c>
      <c r="BH33" s="1012">
        <v>8</v>
      </c>
      <c r="BI33" s="1012">
        <v>10</v>
      </c>
      <c r="BJ33" s="1012">
        <v>2</v>
      </c>
      <c r="BK33" s="1012">
        <v>479</v>
      </c>
      <c r="BL33" s="1016">
        <v>0</v>
      </c>
      <c r="BM33" s="1012">
        <v>2</v>
      </c>
      <c r="BN33" s="1012">
        <v>3</v>
      </c>
      <c r="BO33" s="1012"/>
      <c r="BP33" s="1012">
        <v>58</v>
      </c>
      <c r="BQ33" s="1016">
        <v>15</v>
      </c>
      <c r="BR33" s="1012"/>
      <c r="BS33" s="1012"/>
      <c r="BT33" s="1012"/>
      <c r="BU33" s="1012"/>
      <c r="BV33" s="1016">
        <v>0</v>
      </c>
      <c r="BW33" s="1012"/>
      <c r="BX33" s="1012"/>
      <c r="BY33" s="1012"/>
      <c r="BZ33" s="1012"/>
      <c r="CA33" s="1016">
        <v>0</v>
      </c>
      <c r="CB33" s="1012">
        <v>2</v>
      </c>
      <c r="CC33" s="1012">
        <v>3</v>
      </c>
      <c r="CD33" s="1012">
        <v>0</v>
      </c>
      <c r="CE33" s="1012">
        <v>5</v>
      </c>
      <c r="CF33" s="1016">
        <v>15</v>
      </c>
      <c r="CG33" s="1012">
        <v>2</v>
      </c>
      <c r="CH33" s="1012">
        <v>3</v>
      </c>
      <c r="CI33" s="1012">
        <v>0</v>
      </c>
      <c r="CJ33" s="1012">
        <v>5</v>
      </c>
      <c r="CK33" s="1016">
        <v>15</v>
      </c>
      <c r="CL33" s="1012">
        <v>0</v>
      </c>
      <c r="CM33" s="1012">
        <v>1</v>
      </c>
      <c r="CN33" s="1012"/>
      <c r="CO33" s="1012">
        <v>1</v>
      </c>
      <c r="CP33" s="1016">
        <v>15</v>
      </c>
      <c r="CQ33" s="1067">
        <v>32.9</v>
      </c>
      <c r="CR33" s="1067">
        <v>1.5</v>
      </c>
      <c r="CS33" s="1067">
        <v>162.69999999999999</v>
      </c>
      <c r="CT33" s="1018">
        <f t="shared" si="103"/>
        <v>177.5</v>
      </c>
      <c r="CU33" s="1018">
        <f t="shared" si="15"/>
        <v>2</v>
      </c>
      <c r="CV33" s="1019">
        <v>1.7</v>
      </c>
      <c r="CW33" s="1014">
        <f t="shared" si="16"/>
        <v>39330.639999999999</v>
      </c>
      <c r="CX33" s="1017">
        <v>45304.5</v>
      </c>
      <c r="CY33" s="1014">
        <f t="shared" si="17"/>
        <v>2841730.06</v>
      </c>
      <c r="CZ33" s="1020">
        <v>11457.6</v>
      </c>
      <c r="DA33" s="1021">
        <v>45.742570000000001</v>
      </c>
      <c r="DB33" s="1027">
        <v>50</v>
      </c>
      <c r="DC33" s="1033">
        <f t="shared" si="104"/>
        <v>1.01525</v>
      </c>
      <c r="DD33" s="1011">
        <f t="shared" si="105"/>
        <v>24098985.010000002</v>
      </c>
      <c r="DE33" s="1014">
        <f t="shared" si="18"/>
        <v>442481.69</v>
      </c>
      <c r="DF33" s="1014">
        <f t="shared" si="19"/>
        <v>1792050.83</v>
      </c>
      <c r="DG33" s="1014">
        <f t="shared" si="106"/>
        <v>779616</v>
      </c>
      <c r="DH33" s="1014">
        <f t="shared" si="106"/>
        <v>194904</v>
      </c>
      <c r="DI33" s="1014">
        <f t="shared" si="106"/>
        <v>1656684</v>
      </c>
      <c r="DJ33" s="1014">
        <f t="shared" si="20"/>
        <v>19233248.489999998</v>
      </c>
      <c r="DK33" s="1024">
        <f t="shared" si="107"/>
        <v>16566.84</v>
      </c>
      <c r="DL33" s="1024">
        <f t="shared" si="21"/>
        <v>694330.56</v>
      </c>
      <c r="DM33" s="1024">
        <f t="shared" si="22"/>
        <v>186120</v>
      </c>
      <c r="DN33" s="1024">
        <f t="shared" si="23"/>
        <v>47472</v>
      </c>
      <c r="DO33" s="1024">
        <f t="shared" si="108"/>
        <v>1880067.64</v>
      </c>
      <c r="DP33" s="1014">
        <f t="shared" si="109"/>
        <v>1298952.6299999999</v>
      </c>
      <c r="DQ33" s="1014">
        <f t="shared" si="110"/>
        <v>259790.53</v>
      </c>
      <c r="DR33" s="1011">
        <f t="shared" si="111"/>
        <v>28482285.199999999</v>
      </c>
      <c r="DS33" s="1011">
        <f t="shared" si="112"/>
        <v>8601650.0999999996</v>
      </c>
      <c r="DT33" s="1011">
        <f t="shared" si="113"/>
        <v>37083935.299999997</v>
      </c>
      <c r="DU33" s="1025"/>
      <c r="DV33" s="1028">
        <v>1.1072</v>
      </c>
      <c r="DW33" s="1011">
        <f t="shared" si="114"/>
        <v>366911.12</v>
      </c>
      <c r="DX33" s="1023">
        <v>36000</v>
      </c>
      <c r="DY33" s="1015">
        <f t="shared" si="115"/>
        <v>39859.199999999997</v>
      </c>
      <c r="DZ33" s="1023"/>
      <c r="EA33" s="1015">
        <f t="shared" si="116"/>
        <v>0</v>
      </c>
      <c r="EB33" s="1023">
        <v>35000</v>
      </c>
      <c r="EC33" s="1015">
        <f t="shared" si="24"/>
        <v>37949.870000000003</v>
      </c>
      <c r="ED33" s="1023">
        <v>185447</v>
      </c>
      <c r="EE33" s="1015">
        <f t="shared" si="117"/>
        <v>205326.92</v>
      </c>
      <c r="EF33" s="1023">
        <v>55680</v>
      </c>
      <c r="EG33" s="1015">
        <f t="shared" si="25"/>
        <v>62473.81</v>
      </c>
      <c r="EH33" s="1023">
        <v>0</v>
      </c>
      <c r="EI33" s="1015">
        <f t="shared" si="26"/>
        <v>21301.32</v>
      </c>
      <c r="EJ33" s="1011">
        <f t="shared" si="118"/>
        <v>1734641.42</v>
      </c>
      <c r="EK33" s="1023"/>
      <c r="EL33" s="1015">
        <f t="shared" si="27"/>
        <v>74678.25</v>
      </c>
      <c r="EM33" s="1023">
        <v>0</v>
      </c>
      <c r="EN33" s="1015">
        <f t="shared" si="28"/>
        <v>363628.71</v>
      </c>
      <c r="EO33" s="1068">
        <v>56</v>
      </c>
      <c r="EP33" s="1015">
        <f t="shared" si="119"/>
        <v>99097.600000000006</v>
      </c>
      <c r="EQ33" s="1068">
        <v>65</v>
      </c>
      <c r="ER33" s="1015">
        <f t="shared" si="29"/>
        <v>143130</v>
      </c>
      <c r="ES33" s="1068">
        <v>51</v>
      </c>
      <c r="ET33" s="1015">
        <f t="shared" si="30"/>
        <v>113301.6</v>
      </c>
      <c r="EU33" s="1068">
        <v>62</v>
      </c>
      <c r="EV33" s="1015">
        <f t="shared" si="31"/>
        <v>148936.4</v>
      </c>
      <c r="EW33" s="1068">
        <v>48</v>
      </c>
      <c r="EX33" s="1015">
        <f t="shared" si="32"/>
        <v>127113.60000000001</v>
      </c>
      <c r="EY33" s="1068">
        <v>63</v>
      </c>
      <c r="EZ33" s="1015">
        <f t="shared" si="33"/>
        <v>193246.2</v>
      </c>
      <c r="FA33" s="1068">
        <v>62</v>
      </c>
      <c r="FB33" s="1015">
        <f t="shared" si="34"/>
        <v>228693.2</v>
      </c>
      <c r="FC33" s="1068">
        <v>59</v>
      </c>
      <c r="FD33" s="1015">
        <f t="shared" si="35"/>
        <v>224506.8</v>
      </c>
      <c r="FE33" s="1068">
        <v>53</v>
      </c>
      <c r="FF33" s="1015">
        <f t="shared" si="36"/>
        <v>187259.6</v>
      </c>
      <c r="FG33" s="1068">
        <v>13</v>
      </c>
      <c r="FH33" s="1015">
        <f t="shared" si="37"/>
        <v>44200</v>
      </c>
      <c r="FI33" s="1068">
        <v>16</v>
      </c>
      <c r="FJ33" s="1015">
        <f t="shared" si="38"/>
        <v>54400</v>
      </c>
      <c r="FK33" s="1015">
        <f t="shared" si="120"/>
        <v>1563885</v>
      </c>
      <c r="FL33" s="1023">
        <v>151861.26</v>
      </c>
      <c r="FM33" s="1015">
        <f t="shared" si="39"/>
        <v>80600.09</v>
      </c>
      <c r="FN33" s="1023">
        <v>8406</v>
      </c>
      <c r="FO33" s="1015">
        <f t="shared" si="40"/>
        <v>15478.08</v>
      </c>
      <c r="FP33" s="1011">
        <f t="shared" si="41"/>
        <v>2101552.54</v>
      </c>
      <c r="FQ33" s="1025"/>
      <c r="FR33" s="1011">
        <f t="shared" si="121"/>
        <v>39185487.840000004</v>
      </c>
      <c r="FS33" s="996"/>
      <c r="FT33" s="1029">
        <f t="shared" si="140"/>
        <v>39185.599999999999</v>
      </c>
      <c r="FU33" s="1029">
        <f t="shared" si="122"/>
        <v>28482.3</v>
      </c>
      <c r="FV33" s="1029">
        <f t="shared" si="123"/>
        <v>2928.9</v>
      </c>
      <c r="FW33" s="1029">
        <f t="shared" si="124"/>
        <v>965.7</v>
      </c>
      <c r="FX33" s="1029">
        <f t="shared" si="125"/>
        <v>258.89999999999998</v>
      </c>
      <c r="FY33" s="1029">
        <f t="shared" si="126"/>
        <v>1656.7</v>
      </c>
      <c r="FZ33" s="1029">
        <f t="shared" si="127"/>
        <v>21113.3</v>
      </c>
      <c r="GA33" s="1029">
        <f t="shared" si="128"/>
        <v>1558.8</v>
      </c>
      <c r="GB33" s="1029">
        <f t="shared" si="42"/>
        <v>8601.7000000000007</v>
      </c>
      <c r="GC33" s="1029">
        <f t="shared" si="129"/>
        <v>39.9</v>
      </c>
      <c r="GD33" s="1029">
        <f t="shared" si="130"/>
        <v>0</v>
      </c>
      <c r="GE33" s="1029">
        <f t="shared" si="131"/>
        <v>37.9</v>
      </c>
      <c r="GF33" s="1029">
        <f t="shared" si="132"/>
        <v>205.3</v>
      </c>
      <c r="GG33" s="1029">
        <f t="shared" si="133"/>
        <v>62.5</v>
      </c>
      <c r="GH33" s="1029">
        <f t="shared" si="134"/>
        <v>21.3</v>
      </c>
      <c r="GI33" s="1029">
        <f t="shared" si="135"/>
        <v>74.7</v>
      </c>
      <c r="GJ33" s="1029">
        <f t="shared" si="136"/>
        <v>1563.9</v>
      </c>
      <c r="GK33" s="1029">
        <f t="shared" si="137"/>
        <v>80.599999999999994</v>
      </c>
      <c r="GL33" s="1029">
        <f t="shared" si="138"/>
        <v>15.5</v>
      </c>
      <c r="GM33" s="1069"/>
      <c r="GN33" s="1031">
        <f t="shared" si="43"/>
        <v>0.8084192</v>
      </c>
      <c r="GO33" s="1029">
        <f t="shared" si="139"/>
        <v>31678.400000000001</v>
      </c>
      <c r="GP33" s="1029">
        <f t="shared" si="44"/>
        <v>23025.599999999999</v>
      </c>
      <c r="GQ33" s="1029">
        <f t="shared" si="45"/>
        <v>6953.8</v>
      </c>
      <c r="GR33" s="1029">
        <f t="shared" si="46"/>
        <v>32.299999999999997</v>
      </c>
      <c r="GS33" s="1029">
        <f t="shared" si="47"/>
        <v>0</v>
      </c>
      <c r="GT33" s="1029">
        <f t="shared" si="48"/>
        <v>30.6</v>
      </c>
      <c r="GU33" s="1029">
        <f t="shared" si="49"/>
        <v>166</v>
      </c>
      <c r="GV33" s="1029">
        <f t="shared" si="50"/>
        <v>50.5</v>
      </c>
      <c r="GW33" s="1029">
        <f t="shared" si="51"/>
        <v>17.2</v>
      </c>
      <c r="GX33" s="1029">
        <f t="shared" si="52"/>
        <v>60.4</v>
      </c>
      <c r="GY33" s="1029">
        <f t="shared" si="53"/>
        <v>1264.3</v>
      </c>
      <c r="GZ33" s="1029">
        <f t="shared" si="54"/>
        <v>65.2</v>
      </c>
      <c r="HA33" s="1029">
        <f t="shared" si="55"/>
        <v>12.5</v>
      </c>
      <c r="HB33" s="1029">
        <f t="shared" si="56"/>
        <v>1978.9</v>
      </c>
      <c r="HC33" s="996"/>
      <c r="HD33" s="1031">
        <f t="shared" si="57"/>
        <v>0.85399429999999998</v>
      </c>
      <c r="HE33" s="1029">
        <f t="shared" si="58"/>
        <v>33464.300000000003</v>
      </c>
      <c r="HF33" s="1029">
        <f t="shared" si="59"/>
        <v>24323.7</v>
      </c>
      <c r="HG33" s="1029">
        <f t="shared" si="60"/>
        <v>7345.8</v>
      </c>
      <c r="HH33" s="1029">
        <f t="shared" si="61"/>
        <v>34.1</v>
      </c>
      <c r="HI33" s="1029">
        <f t="shared" si="62"/>
        <v>0</v>
      </c>
      <c r="HJ33" s="1029">
        <f t="shared" si="63"/>
        <v>32.4</v>
      </c>
      <c r="HK33" s="1029">
        <f t="shared" si="64"/>
        <v>175.3</v>
      </c>
      <c r="HL33" s="1029">
        <f t="shared" si="65"/>
        <v>53.4</v>
      </c>
      <c r="HM33" s="1029">
        <f t="shared" si="66"/>
        <v>18.2</v>
      </c>
      <c r="HN33" s="1029">
        <f t="shared" si="67"/>
        <v>63.8</v>
      </c>
      <c r="HO33" s="1029">
        <f t="shared" si="68"/>
        <v>1335.6</v>
      </c>
      <c r="HP33" s="1029">
        <f t="shared" si="69"/>
        <v>68.8</v>
      </c>
      <c r="HQ33" s="1029">
        <f t="shared" si="70"/>
        <v>13.2</v>
      </c>
      <c r="HR33" s="1029">
        <f t="shared" si="71"/>
        <v>2090.4</v>
      </c>
      <c r="HS33" s="996"/>
      <c r="HT33" s="1031">
        <f t="shared" si="72"/>
        <v>0.90058660000000001</v>
      </c>
      <c r="HU33" s="1029">
        <f t="shared" si="73"/>
        <v>35290.1</v>
      </c>
      <c r="HV33" s="1029">
        <f t="shared" si="74"/>
        <v>25650.799999999999</v>
      </c>
      <c r="HW33" s="1029">
        <f t="shared" si="75"/>
        <v>7746.6</v>
      </c>
      <c r="HX33" s="1029">
        <f t="shared" si="76"/>
        <v>35.9</v>
      </c>
      <c r="HY33" s="1029">
        <f t="shared" si="77"/>
        <v>0</v>
      </c>
      <c r="HZ33" s="1029">
        <f t="shared" si="78"/>
        <v>34.1</v>
      </c>
      <c r="IA33" s="1029">
        <f t="shared" si="79"/>
        <v>184.9</v>
      </c>
      <c r="IB33" s="1029">
        <f t="shared" si="80"/>
        <v>56.3</v>
      </c>
      <c r="IC33" s="1029">
        <f t="shared" si="81"/>
        <v>19.2</v>
      </c>
      <c r="ID33" s="1029">
        <f t="shared" si="82"/>
        <v>67.3</v>
      </c>
      <c r="IE33" s="1029">
        <f t="shared" si="83"/>
        <v>1408.4</v>
      </c>
      <c r="IF33" s="1029">
        <f t="shared" si="84"/>
        <v>72.599999999999994</v>
      </c>
      <c r="IG33" s="1029">
        <f t="shared" si="85"/>
        <v>14</v>
      </c>
      <c r="IH33" s="1029">
        <f t="shared" si="86"/>
        <v>2204.5</v>
      </c>
    </row>
    <row r="34" spans="1:242" ht="18.75" x14ac:dyDescent="0.25">
      <c r="A34" s="1010" t="s">
        <v>685</v>
      </c>
      <c r="B34" s="1011">
        <f t="shared" si="87"/>
        <v>157.31</v>
      </c>
      <c r="C34" s="1011">
        <f t="shared" si="88"/>
        <v>157.31</v>
      </c>
      <c r="D34" s="1012">
        <v>1</v>
      </c>
      <c r="E34" s="1012">
        <v>6</v>
      </c>
      <c r="F34" s="1012">
        <v>12.5</v>
      </c>
      <c r="G34" s="1012">
        <v>1</v>
      </c>
      <c r="H34" s="1012">
        <v>19.25</v>
      </c>
      <c r="I34" s="1014">
        <f t="shared" si="89"/>
        <v>117.56</v>
      </c>
      <c r="J34" s="1020">
        <v>25</v>
      </c>
      <c r="K34" s="1020">
        <v>40</v>
      </c>
      <c r="L34" s="1020">
        <v>6.56</v>
      </c>
      <c r="M34" s="1020">
        <v>6</v>
      </c>
      <c r="N34" s="1020">
        <v>9.7799999999999994</v>
      </c>
      <c r="O34" s="1020">
        <v>1.89</v>
      </c>
      <c r="P34" s="1020">
        <v>11.11</v>
      </c>
      <c r="Q34" s="1020">
        <v>11.11</v>
      </c>
      <c r="R34" s="1020">
        <v>1.1100000000000001</v>
      </c>
      <c r="S34" s="1020">
        <v>5</v>
      </c>
      <c r="T34" s="1013">
        <f t="shared" si="90"/>
        <v>23.33</v>
      </c>
      <c r="U34" s="1013">
        <f t="shared" si="91"/>
        <v>11.11</v>
      </c>
      <c r="V34" s="1013">
        <f t="shared" si="91"/>
        <v>11.11</v>
      </c>
      <c r="W34" s="1013">
        <f t="shared" si="91"/>
        <v>1.1100000000000001</v>
      </c>
      <c r="X34" s="1013"/>
      <c r="Y34" s="1011">
        <f t="shared" si="92"/>
        <v>3436242.15</v>
      </c>
      <c r="Z34" s="1012">
        <v>35067.199999999997</v>
      </c>
      <c r="AA34" s="1014">
        <f t="shared" si="3"/>
        <v>189362.88</v>
      </c>
      <c r="AB34" s="1015">
        <f t="shared" si="93"/>
        <v>203025</v>
      </c>
      <c r="AC34" s="1015">
        <f t="shared" si="93"/>
        <v>16242</v>
      </c>
      <c r="AD34" s="1015">
        <f t="shared" si="93"/>
        <v>312658.5</v>
      </c>
      <c r="AE34" s="1015">
        <f t="shared" si="94"/>
        <v>2679886.5699999998</v>
      </c>
      <c r="AF34" s="1015">
        <f t="shared" si="4"/>
        <v>621307</v>
      </c>
      <c r="AG34" s="1015">
        <f t="shared" si="5"/>
        <v>1022989.2</v>
      </c>
      <c r="AH34" s="1015">
        <f t="shared" si="6"/>
        <v>167770.23000000001</v>
      </c>
      <c r="AI34" s="1015">
        <f t="shared" si="7"/>
        <v>123105.48</v>
      </c>
      <c r="AJ34" s="1015">
        <f t="shared" si="8"/>
        <v>200661.93</v>
      </c>
      <c r="AK34" s="1015">
        <f t="shared" si="9"/>
        <v>38778.230000000003</v>
      </c>
      <c r="AL34" s="1015">
        <f t="shared" si="10"/>
        <v>185288.58</v>
      </c>
      <c r="AM34" s="1015">
        <f t="shared" si="11"/>
        <v>185288.58</v>
      </c>
      <c r="AN34" s="1015">
        <f t="shared" si="12"/>
        <v>18512.18</v>
      </c>
      <c r="AO34" s="1015">
        <f t="shared" si="13"/>
        <v>94338.2</v>
      </c>
      <c r="AP34" s="1015">
        <f t="shared" si="95"/>
        <v>21846.959999999999</v>
      </c>
      <c r="AQ34" s="1015"/>
      <c r="AR34" s="1014">
        <f t="shared" si="96"/>
        <v>0</v>
      </c>
      <c r="AS34" s="1014">
        <f t="shared" si="97"/>
        <v>0</v>
      </c>
      <c r="AT34" s="1014">
        <f t="shared" si="98"/>
        <v>0</v>
      </c>
      <c r="AU34" s="1023">
        <v>15</v>
      </c>
      <c r="AV34" s="1023">
        <v>20</v>
      </c>
      <c r="AW34" s="1023">
        <v>25</v>
      </c>
      <c r="AX34" s="1023">
        <v>15</v>
      </c>
      <c r="AY34" s="1023">
        <f t="shared" si="99"/>
        <v>15</v>
      </c>
      <c r="AZ34" s="1023">
        <v>12</v>
      </c>
      <c r="BA34" s="1023">
        <v>15</v>
      </c>
      <c r="BB34" s="1023">
        <v>10</v>
      </c>
      <c r="BC34" s="1011">
        <f t="shared" si="100"/>
        <v>42</v>
      </c>
      <c r="BD34" s="1011">
        <f t="shared" si="101"/>
        <v>20</v>
      </c>
      <c r="BE34" s="1011">
        <f t="shared" si="101"/>
        <v>20</v>
      </c>
      <c r="BF34" s="1011">
        <f t="shared" si="101"/>
        <v>2</v>
      </c>
      <c r="BG34" s="1011">
        <f t="shared" si="102"/>
        <v>1265</v>
      </c>
      <c r="BH34" s="1012">
        <v>20</v>
      </c>
      <c r="BI34" s="1012">
        <v>20</v>
      </c>
      <c r="BJ34" s="1012">
        <v>2</v>
      </c>
      <c r="BK34" s="1012">
        <v>1255</v>
      </c>
      <c r="BL34" s="1016">
        <v>0</v>
      </c>
      <c r="BM34" s="1012">
        <v>0</v>
      </c>
      <c r="BN34" s="1012">
        <v>0</v>
      </c>
      <c r="BO34" s="1012"/>
      <c r="BP34" s="1012">
        <v>0</v>
      </c>
      <c r="BQ34" s="1016">
        <v>15</v>
      </c>
      <c r="BR34" s="1012"/>
      <c r="BS34" s="1012"/>
      <c r="BT34" s="1012"/>
      <c r="BU34" s="1012"/>
      <c r="BV34" s="1016">
        <v>0</v>
      </c>
      <c r="BW34" s="1012"/>
      <c r="BX34" s="1012"/>
      <c r="BY34" s="1012"/>
      <c r="BZ34" s="1012"/>
      <c r="CA34" s="1016">
        <v>0</v>
      </c>
      <c r="CB34" s="1012">
        <v>0</v>
      </c>
      <c r="CC34" s="1012">
        <v>1</v>
      </c>
      <c r="CD34" s="1012">
        <v>0</v>
      </c>
      <c r="CE34" s="1012">
        <v>1</v>
      </c>
      <c r="CF34" s="1016">
        <v>15</v>
      </c>
      <c r="CG34" s="1012">
        <v>4</v>
      </c>
      <c r="CH34" s="1012">
        <v>4</v>
      </c>
      <c r="CI34" s="1012">
        <v>1</v>
      </c>
      <c r="CJ34" s="1012">
        <v>9</v>
      </c>
      <c r="CK34" s="1016">
        <v>15</v>
      </c>
      <c r="CL34" s="1012">
        <v>0</v>
      </c>
      <c r="CM34" s="1012">
        <v>0</v>
      </c>
      <c r="CN34" s="1012"/>
      <c r="CO34" s="1012">
        <v>0</v>
      </c>
      <c r="CP34" s="1016">
        <v>15</v>
      </c>
      <c r="CQ34" s="1067">
        <v>60.5</v>
      </c>
      <c r="CR34" s="1067">
        <v>3.4</v>
      </c>
      <c r="CS34" s="1067">
        <v>503.1</v>
      </c>
      <c r="CT34" s="1018">
        <f t="shared" si="103"/>
        <v>548.79999999999995</v>
      </c>
      <c r="CU34" s="1018">
        <f t="shared" si="15"/>
        <v>1.9</v>
      </c>
      <c r="CV34" s="1019">
        <v>1.7</v>
      </c>
      <c r="CW34" s="1014">
        <f t="shared" si="16"/>
        <v>39434.07</v>
      </c>
      <c r="CX34" s="1017">
        <v>45304.5</v>
      </c>
      <c r="CY34" s="1014">
        <f t="shared" si="17"/>
        <v>4730599.6900000004</v>
      </c>
      <c r="CZ34" s="1020">
        <v>15450.4</v>
      </c>
      <c r="DA34" s="1021">
        <v>61.683169999999997</v>
      </c>
      <c r="DB34" s="1027">
        <v>50</v>
      </c>
      <c r="DC34" s="1033">
        <f t="shared" si="104"/>
        <v>1.01525</v>
      </c>
      <c r="DD34" s="1011">
        <f t="shared" si="105"/>
        <v>41766395.75</v>
      </c>
      <c r="DE34" s="1014">
        <f t="shared" si="18"/>
        <v>427223.7</v>
      </c>
      <c r="DF34" s="1014">
        <f t="shared" si="19"/>
        <v>2307007.9700000002</v>
      </c>
      <c r="DG34" s="1014">
        <f t="shared" si="106"/>
        <v>2436300</v>
      </c>
      <c r="DH34" s="1014">
        <f t="shared" si="106"/>
        <v>194904</v>
      </c>
      <c r="DI34" s="1014">
        <f t="shared" si="106"/>
        <v>3751902</v>
      </c>
      <c r="DJ34" s="1014">
        <f t="shared" si="20"/>
        <v>32649058.079999998</v>
      </c>
      <c r="DK34" s="1024">
        <f t="shared" si="107"/>
        <v>16566.84</v>
      </c>
      <c r="DL34" s="1024">
        <f t="shared" si="21"/>
        <v>1186590.72</v>
      </c>
      <c r="DM34" s="1024">
        <f t="shared" si="22"/>
        <v>581625</v>
      </c>
      <c r="DN34" s="1024">
        <f t="shared" si="23"/>
        <v>47472</v>
      </c>
      <c r="DO34" s="1024">
        <f t="shared" si="108"/>
        <v>3098146.79</v>
      </c>
      <c r="DP34" s="1014">
        <f t="shared" si="109"/>
        <v>2243227.13</v>
      </c>
      <c r="DQ34" s="1014">
        <f t="shared" si="110"/>
        <v>448645.43</v>
      </c>
      <c r="DR34" s="1011">
        <f t="shared" si="111"/>
        <v>49388669.700000003</v>
      </c>
      <c r="DS34" s="1011">
        <f t="shared" si="112"/>
        <v>14915378.199999999</v>
      </c>
      <c r="DT34" s="1011">
        <f t="shared" si="113"/>
        <v>64304047.899999999</v>
      </c>
      <c r="DU34" s="1025"/>
      <c r="DV34" s="1028">
        <v>1.1072</v>
      </c>
      <c r="DW34" s="1011">
        <f t="shared" si="114"/>
        <v>502013.87</v>
      </c>
      <c r="DX34" s="1023">
        <v>72650</v>
      </c>
      <c r="DY34" s="1015">
        <f t="shared" si="115"/>
        <v>80438.080000000002</v>
      </c>
      <c r="DZ34" s="1023"/>
      <c r="EA34" s="1015">
        <f t="shared" si="116"/>
        <v>0</v>
      </c>
      <c r="EB34" s="1023">
        <v>70000</v>
      </c>
      <c r="EC34" s="1015">
        <f t="shared" si="24"/>
        <v>64761.02</v>
      </c>
      <c r="ED34" s="1023">
        <v>193148</v>
      </c>
      <c r="EE34" s="1015">
        <f t="shared" si="117"/>
        <v>213853.47</v>
      </c>
      <c r="EF34" s="1023">
        <v>69385</v>
      </c>
      <c r="EG34" s="1015">
        <f t="shared" si="25"/>
        <v>106610.84</v>
      </c>
      <c r="EH34" s="1023">
        <v>23282.25</v>
      </c>
      <c r="EI34" s="1015">
        <f t="shared" si="26"/>
        <v>36350.46</v>
      </c>
      <c r="EJ34" s="1011">
        <f t="shared" si="118"/>
        <v>3891535.71</v>
      </c>
      <c r="EK34" s="1023">
        <v>517857</v>
      </c>
      <c r="EL34" s="1015">
        <f t="shared" si="27"/>
        <v>172386.83</v>
      </c>
      <c r="EM34" s="1023">
        <v>887239.65</v>
      </c>
      <c r="EN34" s="1015">
        <f t="shared" si="28"/>
        <v>839398.38</v>
      </c>
      <c r="EO34" s="1068">
        <v>153</v>
      </c>
      <c r="EP34" s="1015">
        <f t="shared" si="119"/>
        <v>270748.79999999999</v>
      </c>
      <c r="EQ34" s="1068">
        <v>149</v>
      </c>
      <c r="ER34" s="1015">
        <f t="shared" si="29"/>
        <v>328098</v>
      </c>
      <c r="ES34" s="1068">
        <v>152</v>
      </c>
      <c r="ET34" s="1015">
        <f t="shared" si="30"/>
        <v>337683.20000000001</v>
      </c>
      <c r="EU34" s="1068">
        <v>149</v>
      </c>
      <c r="EV34" s="1015">
        <f t="shared" si="31"/>
        <v>357927.8</v>
      </c>
      <c r="EW34" s="1068">
        <v>138</v>
      </c>
      <c r="EX34" s="1015">
        <f t="shared" si="32"/>
        <v>365451.6</v>
      </c>
      <c r="EY34" s="1068">
        <v>118</v>
      </c>
      <c r="EZ34" s="1015">
        <f t="shared" si="33"/>
        <v>361953.2</v>
      </c>
      <c r="FA34" s="1068">
        <v>106</v>
      </c>
      <c r="FB34" s="1015">
        <f t="shared" si="34"/>
        <v>390991.6</v>
      </c>
      <c r="FC34" s="1068">
        <v>126</v>
      </c>
      <c r="FD34" s="1015">
        <f t="shared" si="35"/>
        <v>479455.2</v>
      </c>
      <c r="FE34" s="1068">
        <v>101</v>
      </c>
      <c r="FF34" s="1015">
        <f t="shared" si="36"/>
        <v>356853.2</v>
      </c>
      <c r="FG34" s="1068">
        <v>38</v>
      </c>
      <c r="FH34" s="1015">
        <f t="shared" si="37"/>
        <v>129200</v>
      </c>
      <c r="FI34" s="1068">
        <v>35</v>
      </c>
      <c r="FJ34" s="1015">
        <f t="shared" si="38"/>
        <v>119000</v>
      </c>
      <c r="FK34" s="1015">
        <f t="shared" si="120"/>
        <v>3497362.6</v>
      </c>
      <c r="FL34" s="1023">
        <v>241176.1</v>
      </c>
      <c r="FM34" s="1015">
        <f t="shared" si="39"/>
        <v>186056.77</v>
      </c>
      <c r="FN34" s="1023">
        <v>21822</v>
      </c>
      <c r="FO34" s="1015">
        <f t="shared" si="40"/>
        <v>35729.51</v>
      </c>
      <c r="FP34" s="1011">
        <f t="shared" si="41"/>
        <v>4393549.58</v>
      </c>
      <c r="FQ34" s="1025"/>
      <c r="FR34" s="1011">
        <f t="shared" si="121"/>
        <v>68697597.480000004</v>
      </c>
      <c r="FS34" s="996"/>
      <c r="FT34" s="1029">
        <f t="shared" si="140"/>
        <v>68697.8</v>
      </c>
      <c r="FU34" s="1029">
        <f t="shared" si="122"/>
        <v>49388.7</v>
      </c>
      <c r="FV34" s="1029">
        <f t="shared" si="123"/>
        <v>3920.8</v>
      </c>
      <c r="FW34" s="1029">
        <f t="shared" si="124"/>
        <v>3017.9</v>
      </c>
      <c r="FX34" s="1029">
        <f t="shared" si="125"/>
        <v>258.89999999999998</v>
      </c>
      <c r="FY34" s="1029">
        <f t="shared" si="126"/>
        <v>3751.9</v>
      </c>
      <c r="FZ34" s="1029">
        <f t="shared" si="127"/>
        <v>35747.199999999997</v>
      </c>
      <c r="GA34" s="1029">
        <f t="shared" si="128"/>
        <v>2692</v>
      </c>
      <c r="GB34" s="1029">
        <f t="shared" si="42"/>
        <v>14915.4</v>
      </c>
      <c r="GC34" s="1029">
        <f t="shared" si="129"/>
        <v>80.400000000000006</v>
      </c>
      <c r="GD34" s="1029">
        <f t="shared" si="130"/>
        <v>0</v>
      </c>
      <c r="GE34" s="1029">
        <f t="shared" si="131"/>
        <v>64.8</v>
      </c>
      <c r="GF34" s="1029">
        <f t="shared" si="132"/>
        <v>213.9</v>
      </c>
      <c r="GG34" s="1029">
        <f t="shared" si="133"/>
        <v>106.6</v>
      </c>
      <c r="GH34" s="1029">
        <f t="shared" si="134"/>
        <v>36.4</v>
      </c>
      <c r="GI34" s="1029">
        <f t="shared" si="135"/>
        <v>172.4</v>
      </c>
      <c r="GJ34" s="1029">
        <f t="shared" si="136"/>
        <v>3497.4</v>
      </c>
      <c r="GK34" s="1029">
        <f t="shared" si="137"/>
        <v>186.1</v>
      </c>
      <c r="GL34" s="1029">
        <f t="shared" si="138"/>
        <v>35.700000000000003</v>
      </c>
      <c r="GM34" s="1069"/>
      <c r="GN34" s="1031">
        <f t="shared" si="43"/>
        <v>0.8084192</v>
      </c>
      <c r="GO34" s="1029">
        <f t="shared" si="139"/>
        <v>55536.7</v>
      </c>
      <c r="GP34" s="1029">
        <f t="shared" si="44"/>
        <v>39926.800000000003</v>
      </c>
      <c r="GQ34" s="1029">
        <f t="shared" si="45"/>
        <v>12057.9</v>
      </c>
      <c r="GR34" s="1029">
        <f t="shared" si="46"/>
        <v>65</v>
      </c>
      <c r="GS34" s="1029">
        <f t="shared" si="47"/>
        <v>0</v>
      </c>
      <c r="GT34" s="1029">
        <f t="shared" si="48"/>
        <v>52.4</v>
      </c>
      <c r="GU34" s="1029">
        <f t="shared" si="49"/>
        <v>172.9</v>
      </c>
      <c r="GV34" s="1029">
        <f t="shared" si="50"/>
        <v>86.2</v>
      </c>
      <c r="GW34" s="1029">
        <f t="shared" si="51"/>
        <v>29.4</v>
      </c>
      <c r="GX34" s="1029">
        <f t="shared" si="52"/>
        <v>139.4</v>
      </c>
      <c r="GY34" s="1029">
        <f t="shared" si="53"/>
        <v>2827.4</v>
      </c>
      <c r="GZ34" s="1029">
        <f t="shared" si="54"/>
        <v>150.4</v>
      </c>
      <c r="HA34" s="1029">
        <f t="shared" si="55"/>
        <v>28.9</v>
      </c>
      <c r="HB34" s="1029">
        <f t="shared" si="56"/>
        <v>3261</v>
      </c>
      <c r="HC34" s="996"/>
      <c r="HD34" s="1031">
        <f t="shared" si="57"/>
        <v>0.85399429999999998</v>
      </c>
      <c r="HE34" s="1029">
        <f t="shared" si="58"/>
        <v>58667.6</v>
      </c>
      <c r="HF34" s="1029">
        <f t="shared" si="59"/>
        <v>42177.7</v>
      </c>
      <c r="HG34" s="1029">
        <f t="shared" si="60"/>
        <v>12737.7</v>
      </c>
      <c r="HH34" s="1029">
        <f t="shared" si="61"/>
        <v>68.7</v>
      </c>
      <c r="HI34" s="1029">
        <f t="shared" si="62"/>
        <v>0</v>
      </c>
      <c r="HJ34" s="1029">
        <f t="shared" si="63"/>
        <v>55.3</v>
      </c>
      <c r="HK34" s="1029">
        <f t="shared" si="64"/>
        <v>182.7</v>
      </c>
      <c r="HL34" s="1029">
        <f t="shared" si="65"/>
        <v>91</v>
      </c>
      <c r="HM34" s="1029">
        <f t="shared" si="66"/>
        <v>31.1</v>
      </c>
      <c r="HN34" s="1029">
        <f t="shared" si="67"/>
        <v>147.19999999999999</v>
      </c>
      <c r="HO34" s="1029">
        <f t="shared" si="68"/>
        <v>2986.8</v>
      </c>
      <c r="HP34" s="1029">
        <f t="shared" si="69"/>
        <v>158.9</v>
      </c>
      <c r="HQ34" s="1029">
        <f t="shared" si="70"/>
        <v>30.5</v>
      </c>
      <c r="HR34" s="1029">
        <f t="shared" si="71"/>
        <v>3444.8</v>
      </c>
      <c r="HS34" s="996"/>
      <c r="HT34" s="1031">
        <f t="shared" si="72"/>
        <v>0.90058660000000001</v>
      </c>
      <c r="HU34" s="1029">
        <f t="shared" si="73"/>
        <v>61868.4</v>
      </c>
      <c r="HV34" s="1029">
        <f t="shared" si="74"/>
        <v>44478.8</v>
      </c>
      <c r="HW34" s="1029">
        <f t="shared" si="75"/>
        <v>13432.6</v>
      </c>
      <c r="HX34" s="1029">
        <f t="shared" si="76"/>
        <v>72.400000000000006</v>
      </c>
      <c r="HY34" s="1029">
        <f t="shared" si="77"/>
        <v>0</v>
      </c>
      <c r="HZ34" s="1029">
        <f t="shared" si="78"/>
        <v>58.4</v>
      </c>
      <c r="IA34" s="1029">
        <f t="shared" si="79"/>
        <v>192.6</v>
      </c>
      <c r="IB34" s="1029">
        <f t="shared" si="80"/>
        <v>96</v>
      </c>
      <c r="IC34" s="1029">
        <f t="shared" si="81"/>
        <v>32.799999999999997</v>
      </c>
      <c r="ID34" s="1029">
        <f t="shared" si="82"/>
        <v>155.30000000000001</v>
      </c>
      <c r="IE34" s="1029">
        <f t="shared" si="83"/>
        <v>3149.7</v>
      </c>
      <c r="IF34" s="1029">
        <f t="shared" si="84"/>
        <v>167.6</v>
      </c>
      <c r="IG34" s="1029">
        <f t="shared" si="85"/>
        <v>32.200000000000003</v>
      </c>
      <c r="IH34" s="1029">
        <f t="shared" si="86"/>
        <v>3632.8</v>
      </c>
    </row>
    <row r="35" spans="1:242" ht="18.75" x14ac:dyDescent="0.25">
      <c r="A35" s="1010" t="s">
        <v>1589</v>
      </c>
      <c r="B35" s="1011">
        <f t="shared" si="87"/>
        <v>105.11</v>
      </c>
      <c r="C35" s="1011">
        <f t="shared" si="88"/>
        <v>105.11</v>
      </c>
      <c r="D35" s="1012">
        <v>1</v>
      </c>
      <c r="E35" s="1012">
        <v>4.5</v>
      </c>
      <c r="F35" s="1012">
        <v>5.5</v>
      </c>
      <c r="G35" s="1012">
        <v>1</v>
      </c>
      <c r="H35" s="1012">
        <v>13.5</v>
      </c>
      <c r="I35" s="1014">
        <f t="shared" si="89"/>
        <v>79.61</v>
      </c>
      <c r="J35" s="1020">
        <v>14.34</v>
      </c>
      <c r="K35" s="1020">
        <v>28.89</v>
      </c>
      <c r="L35" s="1020">
        <v>3.66</v>
      </c>
      <c r="M35" s="1020">
        <v>2.2200000000000002</v>
      </c>
      <c r="N35" s="1020">
        <v>8.9499999999999993</v>
      </c>
      <c r="O35" s="1020">
        <v>0</v>
      </c>
      <c r="P35" s="1020">
        <v>6.11</v>
      </c>
      <c r="Q35" s="1020">
        <v>8.33</v>
      </c>
      <c r="R35" s="1020">
        <v>1.1100000000000001</v>
      </c>
      <c r="S35" s="1020">
        <v>6</v>
      </c>
      <c r="T35" s="1013">
        <f t="shared" si="90"/>
        <v>15.55</v>
      </c>
      <c r="U35" s="1013">
        <f t="shared" si="91"/>
        <v>6.11</v>
      </c>
      <c r="V35" s="1013">
        <f t="shared" si="91"/>
        <v>8.33</v>
      </c>
      <c r="W35" s="1013">
        <f t="shared" si="91"/>
        <v>1.1100000000000001</v>
      </c>
      <c r="X35" s="1013"/>
      <c r="Y35" s="1011">
        <f t="shared" si="92"/>
        <v>2307210.0299999998</v>
      </c>
      <c r="Z35" s="1012">
        <v>35067.199999999997</v>
      </c>
      <c r="AA35" s="1014">
        <f t="shared" si="3"/>
        <v>142022.16</v>
      </c>
      <c r="AB35" s="1015">
        <f t="shared" si="93"/>
        <v>89331</v>
      </c>
      <c r="AC35" s="1015">
        <f t="shared" si="93"/>
        <v>16242</v>
      </c>
      <c r="AD35" s="1015">
        <f t="shared" si="93"/>
        <v>219267</v>
      </c>
      <c r="AE35" s="1015">
        <f t="shared" si="94"/>
        <v>1805280.67</v>
      </c>
      <c r="AF35" s="1015">
        <f t="shared" si="4"/>
        <v>356381.7</v>
      </c>
      <c r="AG35" s="1015">
        <f t="shared" si="5"/>
        <v>738853.95</v>
      </c>
      <c r="AH35" s="1015">
        <f t="shared" si="6"/>
        <v>93603.51</v>
      </c>
      <c r="AI35" s="1015">
        <f t="shared" si="7"/>
        <v>45549.03</v>
      </c>
      <c r="AJ35" s="1015">
        <f t="shared" si="8"/>
        <v>183632.34</v>
      </c>
      <c r="AK35" s="1015">
        <f t="shared" si="9"/>
        <v>0</v>
      </c>
      <c r="AL35" s="1015">
        <f t="shared" si="10"/>
        <v>101900.38</v>
      </c>
      <c r="AM35" s="1015">
        <f t="shared" si="11"/>
        <v>138924.74</v>
      </c>
      <c r="AN35" s="1015">
        <f t="shared" si="12"/>
        <v>18512.18</v>
      </c>
      <c r="AO35" s="1015">
        <f t="shared" si="13"/>
        <v>113205.84</v>
      </c>
      <c r="AP35" s="1015">
        <f t="shared" si="95"/>
        <v>14717</v>
      </c>
      <c r="AQ35" s="1015"/>
      <c r="AR35" s="1014">
        <f t="shared" si="96"/>
        <v>0</v>
      </c>
      <c r="AS35" s="1014">
        <f t="shared" si="97"/>
        <v>0</v>
      </c>
      <c r="AT35" s="1014">
        <f t="shared" si="98"/>
        <v>0</v>
      </c>
      <c r="AU35" s="1023">
        <v>15</v>
      </c>
      <c r="AV35" s="1023">
        <v>20</v>
      </c>
      <c r="AW35" s="1023">
        <v>25</v>
      </c>
      <c r="AX35" s="1023">
        <v>15</v>
      </c>
      <c r="AY35" s="1023">
        <f t="shared" si="99"/>
        <v>15</v>
      </c>
      <c r="AZ35" s="1023">
        <v>12</v>
      </c>
      <c r="BA35" s="1023">
        <v>15</v>
      </c>
      <c r="BB35" s="1023">
        <v>10</v>
      </c>
      <c r="BC35" s="1011">
        <f t="shared" si="100"/>
        <v>28</v>
      </c>
      <c r="BD35" s="1011">
        <f t="shared" si="101"/>
        <v>11</v>
      </c>
      <c r="BE35" s="1011">
        <f t="shared" si="101"/>
        <v>15</v>
      </c>
      <c r="BF35" s="1011">
        <f t="shared" si="101"/>
        <v>2</v>
      </c>
      <c r="BG35" s="1011">
        <f t="shared" si="102"/>
        <v>771</v>
      </c>
      <c r="BH35" s="1012">
        <v>11</v>
      </c>
      <c r="BI35" s="1012">
        <v>15</v>
      </c>
      <c r="BJ35" s="1012">
        <v>2</v>
      </c>
      <c r="BK35" s="1012">
        <v>743</v>
      </c>
      <c r="BL35" s="1016">
        <v>0</v>
      </c>
      <c r="BM35" s="1012">
        <v>0</v>
      </c>
      <c r="BN35" s="1012">
        <v>0</v>
      </c>
      <c r="BO35" s="1012"/>
      <c r="BP35" s="1012">
        <v>0</v>
      </c>
      <c r="BQ35" s="1016">
        <v>15</v>
      </c>
      <c r="BR35" s="1012"/>
      <c r="BS35" s="1012"/>
      <c r="BT35" s="1012"/>
      <c r="BU35" s="1012"/>
      <c r="BV35" s="1016">
        <v>0</v>
      </c>
      <c r="BW35" s="1012"/>
      <c r="BX35" s="1012"/>
      <c r="BY35" s="1012"/>
      <c r="BZ35" s="1012"/>
      <c r="CA35" s="1016">
        <v>0</v>
      </c>
      <c r="CB35" s="1012">
        <v>14</v>
      </c>
      <c r="CC35" s="1012">
        <v>7</v>
      </c>
      <c r="CD35" s="1012">
        <v>0</v>
      </c>
      <c r="CE35" s="1012">
        <v>21</v>
      </c>
      <c r="CF35" s="1016">
        <v>15</v>
      </c>
      <c r="CG35" s="1012">
        <v>2</v>
      </c>
      <c r="CH35" s="1012">
        <v>5</v>
      </c>
      <c r="CI35" s="1012">
        <v>0</v>
      </c>
      <c r="CJ35" s="1012">
        <v>7</v>
      </c>
      <c r="CK35" s="1016">
        <v>15</v>
      </c>
      <c r="CL35" s="1012">
        <v>0</v>
      </c>
      <c r="CM35" s="1012">
        <v>0</v>
      </c>
      <c r="CN35" s="1012"/>
      <c r="CO35" s="1012">
        <v>0</v>
      </c>
      <c r="CP35" s="1016">
        <v>15</v>
      </c>
      <c r="CQ35" s="1067">
        <v>39.9</v>
      </c>
      <c r="CR35" s="1067">
        <v>0.7</v>
      </c>
      <c r="CS35" s="1067">
        <v>663.1</v>
      </c>
      <c r="CT35" s="1018">
        <f t="shared" si="103"/>
        <v>723.4</v>
      </c>
      <c r="CU35" s="1018">
        <f t="shared" si="15"/>
        <v>2</v>
      </c>
      <c r="CV35" s="1019">
        <v>1.7</v>
      </c>
      <c r="CW35" s="1014">
        <f t="shared" si="16"/>
        <v>39848.86</v>
      </c>
      <c r="CX35" s="1017">
        <v>45304.5</v>
      </c>
      <c r="CY35" s="1014">
        <f t="shared" si="17"/>
        <v>3038855.66</v>
      </c>
      <c r="CZ35" s="1020">
        <v>12499.2</v>
      </c>
      <c r="DA35" s="1021">
        <v>49.90099</v>
      </c>
      <c r="DB35" s="1027">
        <v>50</v>
      </c>
      <c r="DC35" s="1033">
        <f t="shared" si="104"/>
        <v>1.01525</v>
      </c>
      <c r="DD35" s="1011">
        <f t="shared" si="105"/>
        <v>28049294.079999998</v>
      </c>
      <c r="DE35" s="1014">
        <f t="shared" si="18"/>
        <v>427223.7</v>
      </c>
      <c r="DF35" s="1014">
        <f t="shared" si="19"/>
        <v>1730255.98</v>
      </c>
      <c r="DG35" s="1014">
        <f t="shared" si="106"/>
        <v>1071972</v>
      </c>
      <c r="DH35" s="1014">
        <f t="shared" si="106"/>
        <v>194904</v>
      </c>
      <c r="DI35" s="1014">
        <f t="shared" si="106"/>
        <v>2631204</v>
      </c>
      <c r="DJ35" s="1014">
        <f t="shared" si="20"/>
        <v>21993734.399999999</v>
      </c>
      <c r="DK35" s="1024">
        <f t="shared" si="107"/>
        <v>16566.84</v>
      </c>
      <c r="DL35" s="1024">
        <f t="shared" si="21"/>
        <v>757451.52</v>
      </c>
      <c r="DM35" s="1024">
        <f t="shared" si="22"/>
        <v>255915</v>
      </c>
      <c r="DN35" s="1024">
        <f t="shared" si="23"/>
        <v>47472</v>
      </c>
      <c r="DO35" s="1024">
        <f t="shared" si="108"/>
        <v>1939168.94</v>
      </c>
      <c r="DP35" s="1014">
        <f t="shared" si="109"/>
        <v>1499423.15</v>
      </c>
      <c r="DQ35" s="1014">
        <f t="shared" si="110"/>
        <v>299884.63</v>
      </c>
      <c r="DR35" s="1011">
        <f t="shared" si="111"/>
        <v>32865176.199999999</v>
      </c>
      <c r="DS35" s="1011">
        <f t="shared" si="112"/>
        <v>9925283.1999999993</v>
      </c>
      <c r="DT35" s="1011">
        <f t="shared" si="113"/>
        <v>42790459.399999999</v>
      </c>
      <c r="DU35" s="1025"/>
      <c r="DV35" s="1028">
        <v>1.1072</v>
      </c>
      <c r="DW35" s="1011">
        <f t="shared" si="114"/>
        <v>542026.67000000004</v>
      </c>
      <c r="DX35" s="1023">
        <v>87500</v>
      </c>
      <c r="DY35" s="1015">
        <f t="shared" si="115"/>
        <v>96880</v>
      </c>
      <c r="DZ35" s="1023"/>
      <c r="EA35" s="1015">
        <f t="shared" si="116"/>
        <v>0</v>
      </c>
      <c r="EB35" s="1023">
        <v>124800</v>
      </c>
      <c r="EC35" s="1015">
        <f t="shared" si="24"/>
        <v>43855.26</v>
      </c>
      <c r="ED35" s="1023">
        <v>275000</v>
      </c>
      <c r="EE35" s="1015">
        <f t="shared" si="117"/>
        <v>304480</v>
      </c>
      <c r="EF35" s="1023">
        <v>58000</v>
      </c>
      <c r="EG35" s="1015">
        <f t="shared" si="25"/>
        <v>72195.38</v>
      </c>
      <c r="EH35" s="1023">
        <v>0</v>
      </c>
      <c r="EI35" s="1015">
        <f t="shared" si="26"/>
        <v>24616.03</v>
      </c>
      <c r="EJ35" s="1011">
        <f t="shared" si="118"/>
        <v>2441528.2599999998</v>
      </c>
      <c r="EK35" s="1023"/>
      <c r="EL35" s="1015">
        <f t="shared" si="27"/>
        <v>105067.39</v>
      </c>
      <c r="EM35" s="1023">
        <v>202273.5</v>
      </c>
      <c r="EN35" s="1015">
        <f t="shared" si="28"/>
        <v>511601.7</v>
      </c>
      <c r="EO35" s="1068">
        <v>85</v>
      </c>
      <c r="EP35" s="1015">
        <f t="shared" si="119"/>
        <v>150416</v>
      </c>
      <c r="EQ35" s="1068">
        <v>67</v>
      </c>
      <c r="ER35" s="1015">
        <f t="shared" si="29"/>
        <v>147534</v>
      </c>
      <c r="ES35" s="1068">
        <v>86</v>
      </c>
      <c r="ET35" s="1015">
        <f t="shared" si="30"/>
        <v>191057.6</v>
      </c>
      <c r="EU35" s="1068">
        <v>75</v>
      </c>
      <c r="EV35" s="1015">
        <f t="shared" si="31"/>
        <v>180165</v>
      </c>
      <c r="EW35" s="1068">
        <v>91</v>
      </c>
      <c r="EX35" s="1015">
        <f t="shared" si="32"/>
        <v>240986.2</v>
      </c>
      <c r="EY35" s="1068">
        <v>80</v>
      </c>
      <c r="EZ35" s="1015">
        <f t="shared" si="33"/>
        <v>245392</v>
      </c>
      <c r="FA35" s="1068">
        <v>86</v>
      </c>
      <c r="FB35" s="1015">
        <f t="shared" si="34"/>
        <v>317219.59999999998</v>
      </c>
      <c r="FC35" s="1068">
        <v>88</v>
      </c>
      <c r="FD35" s="1015">
        <f t="shared" si="35"/>
        <v>334857.59999999998</v>
      </c>
      <c r="FE35" s="1068">
        <v>71</v>
      </c>
      <c r="FF35" s="1015">
        <f t="shared" si="36"/>
        <v>250857.2</v>
      </c>
      <c r="FG35" s="1068">
        <v>22</v>
      </c>
      <c r="FH35" s="1015">
        <f t="shared" si="37"/>
        <v>74800</v>
      </c>
      <c r="FI35" s="1068">
        <v>20</v>
      </c>
      <c r="FJ35" s="1015">
        <f t="shared" si="38"/>
        <v>68000</v>
      </c>
      <c r="FK35" s="1015">
        <f t="shared" si="120"/>
        <v>2201285.2000000002</v>
      </c>
      <c r="FL35" s="1023">
        <v>78440</v>
      </c>
      <c r="FM35" s="1015">
        <f t="shared" si="39"/>
        <v>113399.03</v>
      </c>
      <c r="FN35" s="1023">
        <v>16560</v>
      </c>
      <c r="FO35" s="1015">
        <f t="shared" si="40"/>
        <v>21776.639999999999</v>
      </c>
      <c r="FP35" s="1011">
        <f t="shared" si="41"/>
        <v>2983554.93</v>
      </c>
      <c r="FQ35" s="1025"/>
      <c r="FR35" s="1011">
        <f t="shared" si="121"/>
        <v>45774014.329999998</v>
      </c>
      <c r="FS35" s="996"/>
      <c r="FT35" s="1029">
        <f t="shared" si="140"/>
        <v>45774.2</v>
      </c>
      <c r="FU35" s="1029">
        <f t="shared" si="122"/>
        <v>32865.199999999997</v>
      </c>
      <c r="FV35" s="1029">
        <f t="shared" si="123"/>
        <v>2914.9</v>
      </c>
      <c r="FW35" s="1029">
        <f t="shared" si="124"/>
        <v>1327.9</v>
      </c>
      <c r="FX35" s="1029">
        <f t="shared" si="125"/>
        <v>258.89999999999998</v>
      </c>
      <c r="FY35" s="1029">
        <f t="shared" si="126"/>
        <v>2631.2</v>
      </c>
      <c r="FZ35" s="1029">
        <f t="shared" si="127"/>
        <v>23932.9</v>
      </c>
      <c r="GA35" s="1029">
        <f t="shared" si="128"/>
        <v>1799.4</v>
      </c>
      <c r="GB35" s="1029">
        <f t="shared" si="42"/>
        <v>9925.2999999999993</v>
      </c>
      <c r="GC35" s="1029">
        <f t="shared" si="129"/>
        <v>96.9</v>
      </c>
      <c r="GD35" s="1029">
        <f t="shared" si="130"/>
        <v>0</v>
      </c>
      <c r="GE35" s="1029">
        <f t="shared" si="131"/>
        <v>43.9</v>
      </c>
      <c r="GF35" s="1029">
        <f t="shared" si="132"/>
        <v>304.5</v>
      </c>
      <c r="GG35" s="1029">
        <f t="shared" si="133"/>
        <v>72.2</v>
      </c>
      <c r="GH35" s="1029">
        <f t="shared" si="134"/>
        <v>24.6</v>
      </c>
      <c r="GI35" s="1029">
        <f t="shared" si="135"/>
        <v>105.1</v>
      </c>
      <c r="GJ35" s="1029">
        <f t="shared" si="136"/>
        <v>2201.3000000000002</v>
      </c>
      <c r="GK35" s="1029">
        <f t="shared" si="137"/>
        <v>113.4</v>
      </c>
      <c r="GL35" s="1029">
        <f t="shared" si="138"/>
        <v>21.8</v>
      </c>
      <c r="GM35" s="1069"/>
      <c r="GN35" s="1031">
        <f t="shared" si="43"/>
        <v>0.8084192</v>
      </c>
      <c r="GO35" s="1029">
        <f t="shared" si="139"/>
        <v>37004.9</v>
      </c>
      <c r="GP35" s="1029">
        <f t="shared" si="44"/>
        <v>26568.9</v>
      </c>
      <c r="GQ35" s="1029">
        <f t="shared" si="45"/>
        <v>8023.8</v>
      </c>
      <c r="GR35" s="1029">
        <f t="shared" si="46"/>
        <v>78.3</v>
      </c>
      <c r="GS35" s="1029">
        <f t="shared" si="47"/>
        <v>0</v>
      </c>
      <c r="GT35" s="1029">
        <f t="shared" si="48"/>
        <v>35.5</v>
      </c>
      <c r="GU35" s="1029">
        <f t="shared" si="49"/>
        <v>246.2</v>
      </c>
      <c r="GV35" s="1029">
        <f t="shared" si="50"/>
        <v>58.4</v>
      </c>
      <c r="GW35" s="1029">
        <f t="shared" si="51"/>
        <v>19.899999999999999</v>
      </c>
      <c r="GX35" s="1029">
        <f t="shared" si="52"/>
        <v>85</v>
      </c>
      <c r="GY35" s="1029">
        <f t="shared" si="53"/>
        <v>1779.6</v>
      </c>
      <c r="GZ35" s="1029">
        <f t="shared" si="54"/>
        <v>91.7</v>
      </c>
      <c r="HA35" s="1029">
        <f t="shared" si="55"/>
        <v>17.600000000000001</v>
      </c>
      <c r="HB35" s="1029">
        <f t="shared" si="56"/>
        <v>2041.1</v>
      </c>
      <c r="HC35" s="996"/>
      <c r="HD35" s="1031">
        <f t="shared" si="57"/>
        <v>0.85399429999999998</v>
      </c>
      <c r="HE35" s="1029">
        <f t="shared" si="58"/>
        <v>39090.9</v>
      </c>
      <c r="HF35" s="1029">
        <f t="shared" si="59"/>
        <v>28066.7</v>
      </c>
      <c r="HG35" s="1029">
        <f t="shared" si="60"/>
        <v>8476.1</v>
      </c>
      <c r="HH35" s="1029">
        <f t="shared" si="61"/>
        <v>82.8</v>
      </c>
      <c r="HI35" s="1029">
        <f t="shared" si="62"/>
        <v>0</v>
      </c>
      <c r="HJ35" s="1029">
        <f t="shared" si="63"/>
        <v>37.5</v>
      </c>
      <c r="HK35" s="1029">
        <f t="shared" si="64"/>
        <v>260</v>
      </c>
      <c r="HL35" s="1029">
        <f t="shared" si="65"/>
        <v>61.7</v>
      </c>
      <c r="HM35" s="1029">
        <f t="shared" si="66"/>
        <v>21</v>
      </c>
      <c r="HN35" s="1029">
        <f t="shared" si="67"/>
        <v>89.8</v>
      </c>
      <c r="HO35" s="1029">
        <f t="shared" si="68"/>
        <v>1879.9</v>
      </c>
      <c r="HP35" s="1029">
        <f t="shared" si="69"/>
        <v>96.8</v>
      </c>
      <c r="HQ35" s="1029">
        <f t="shared" si="70"/>
        <v>18.600000000000001</v>
      </c>
      <c r="HR35" s="1029">
        <f t="shared" si="71"/>
        <v>2156.1999999999998</v>
      </c>
      <c r="HS35" s="996"/>
      <c r="HT35" s="1031">
        <f t="shared" si="72"/>
        <v>0.90058660000000001</v>
      </c>
      <c r="HU35" s="1029">
        <f t="shared" si="73"/>
        <v>41223.699999999997</v>
      </c>
      <c r="HV35" s="1029">
        <f t="shared" si="74"/>
        <v>29598</v>
      </c>
      <c r="HW35" s="1029">
        <f t="shared" si="75"/>
        <v>8938.6</v>
      </c>
      <c r="HX35" s="1029">
        <f t="shared" si="76"/>
        <v>87.3</v>
      </c>
      <c r="HY35" s="1029">
        <f t="shared" si="77"/>
        <v>0</v>
      </c>
      <c r="HZ35" s="1029">
        <f t="shared" si="78"/>
        <v>39.5</v>
      </c>
      <c r="IA35" s="1029">
        <f t="shared" si="79"/>
        <v>274.2</v>
      </c>
      <c r="IB35" s="1029">
        <f t="shared" si="80"/>
        <v>65</v>
      </c>
      <c r="IC35" s="1029">
        <f t="shared" si="81"/>
        <v>22.2</v>
      </c>
      <c r="ID35" s="1029">
        <f t="shared" si="82"/>
        <v>94.7</v>
      </c>
      <c r="IE35" s="1029">
        <f t="shared" si="83"/>
        <v>1982.5</v>
      </c>
      <c r="IF35" s="1029">
        <f t="shared" si="84"/>
        <v>102.1</v>
      </c>
      <c r="IG35" s="1029">
        <f t="shared" si="85"/>
        <v>19.600000000000001</v>
      </c>
      <c r="IH35" s="1029">
        <f t="shared" si="86"/>
        <v>2273.8000000000002</v>
      </c>
    </row>
    <row r="36" spans="1:242" ht="18.75" x14ac:dyDescent="0.25">
      <c r="A36" s="1010" t="s">
        <v>687</v>
      </c>
      <c r="B36" s="1011">
        <f t="shared" si="87"/>
        <v>161.55000000000001</v>
      </c>
      <c r="C36" s="1011">
        <f t="shared" si="88"/>
        <v>161.55000000000001</v>
      </c>
      <c r="D36" s="1012">
        <v>1</v>
      </c>
      <c r="E36" s="1012">
        <v>7</v>
      </c>
      <c r="F36" s="1012">
        <v>9</v>
      </c>
      <c r="G36" s="1012">
        <v>1</v>
      </c>
      <c r="H36" s="1012">
        <v>24.5</v>
      </c>
      <c r="I36" s="1014">
        <f t="shared" si="89"/>
        <v>119.05</v>
      </c>
      <c r="J36" s="1020">
        <v>26.67</v>
      </c>
      <c r="K36" s="1020">
        <v>45.22</v>
      </c>
      <c r="L36" s="1020">
        <v>9.11</v>
      </c>
      <c r="M36" s="1020">
        <v>0.61</v>
      </c>
      <c r="N36" s="1020">
        <v>3.83</v>
      </c>
      <c r="O36" s="1020">
        <v>0</v>
      </c>
      <c r="P36" s="1020">
        <v>11.11</v>
      </c>
      <c r="Q36" s="1020">
        <v>12.78</v>
      </c>
      <c r="R36" s="1020">
        <v>2.2200000000000002</v>
      </c>
      <c r="S36" s="1020">
        <v>7.5</v>
      </c>
      <c r="T36" s="1013">
        <f t="shared" si="90"/>
        <v>26.11</v>
      </c>
      <c r="U36" s="1013">
        <f t="shared" si="91"/>
        <v>11.11</v>
      </c>
      <c r="V36" s="1013">
        <f t="shared" si="91"/>
        <v>12.78</v>
      </c>
      <c r="W36" s="1013">
        <f t="shared" si="91"/>
        <v>2.2200000000000002</v>
      </c>
      <c r="X36" s="1013"/>
      <c r="Y36" s="1011">
        <f t="shared" si="92"/>
        <v>3540757.49</v>
      </c>
      <c r="Z36" s="1012">
        <v>32562.400000000001</v>
      </c>
      <c r="AA36" s="1014">
        <f t="shared" si="3"/>
        <v>205143.12</v>
      </c>
      <c r="AB36" s="1015">
        <f t="shared" si="93"/>
        <v>146178</v>
      </c>
      <c r="AC36" s="1015">
        <f t="shared" si="93"/>
        <v>16242</v>
      </c>
      <c r="AD36" s="1015">
        <f t="shared" si="93"/>
        <v>397929</v>
      </c>
      <c r="AE36" s="1015">
        <f t="shared" si="94"/>
        <v>2742702.97</v>
      </c>
      <c r="AF36" s="1015">
        <f t="shared" si="4"/>
        <v>662810.31000000006</v>
      </c>
      <c r="AG36" s="1015">
        <f t="shared" si="5"/>
        <v>1156489.29</v>
      </c>
      <c r="AH36" s="1015">
        <f t="shared" si="6"/>
        <v>232985.79</v>
      </c>
      <c r="AI36" s="1015">
        <f t="shared" si="7"/>
        <v>12515.72</v>
      </c>
      <c r="AJ36" s="1015">
        <f t="shared" si="8"/>
        <v>78582.33</v>
      </c>
      <c r="AK36" s="1015">
        <f t="shared" si="9"/>
        <v>0</v>
      </c>
      <c r="AL36" s="1015">
        <f t="shared" si="10"/>
        <v>185288.58</v>
      </c>
      <c r="AM36" s="1015">
        <f t="shared" si="11"/>
        <v>213140.24</v>
      </c>
      <c r="AN36" s="1015">
        <f t="shared" si="12"/>
        <v>37024.36</v>
      </c>
      <c r="AO36" s="1015">
        <f t="shared" si="13"/>
        <v>141507.29999999999</v>
      </c>
      <c r="AP36" s="1015">
        <f t="shared" si="95"/>
        <v>22359.05</v>
      </c>
      <c r="AQ36" s="1015"/>
      <c r="AR36" s="1014">
        <f t="shared" si="96"/>
        <v>0</v>
      </c>
      <c r="AS36" s="1014">
        <f t="shared" si="97"/>
        <v>0</v>
      </c>
      <c r="AT36" s="1014">
        <f t="shared" si="98"/>
        <v>0</v>
      </c>
      <c r="AU36" s="1023">
        <v>15</v>
      </c>
      <c r="AV36" s="1023">
        <v>20</v>
      </c>
      <c r="AW36" s="1023">
        <v>25</v>
      </c>
      <c r="AX36" s="1023">
        <v>15</v>
      </c>
      <c r="AY36" s="1023">
        <f t="shared" si="99"/>
        <v>15</v>
      </c>
      <c r="AZ36" s="1023">
        <v>12</v>
      </c>
      <c r="BA36" s="1023">
        <v>15</v>
      </c>
      <c r="BB36" s="1023">
        <v>10</v>
      </c>
      <c r="BC36" s="1011">
        <f t="shared" si="100"/>
        <v>47</v>
      </c>
      <c r="BD36" s="1011">
        <f t="shared" si="101"/>
        <v>20</v>
      </c>
      <c r="BE36" s="1011">
        <f t="shared" si="101"/>
        <v>23</v>
      </c>
      <c r="BF36" s="1011">
        <f t="shared" si="101"/>
        <v>4</v>
      </c>
      <c r="BG36" s="1011">
        <f t="shared" si="102"/>
        <v>1341</v>
      </c>
      <c r="BH36" s="1012">
        <v>20</v>
      </c>
      <c r="BI36" s="1012">
        <v>23</v>
      </c>
      <c r="BJ36" s="1012">
        <v>4</v>
      </c>
      <c r="BK36" s="1012">
        <v>1329</v>
      </c>
      <c r="BL36" s="1016">
        <v>0</v>
      </c>
      <c r="BM36" s="1012">
        <v>0</v>
      </c>
      <c r="BN36" s="1012">
        <v>0</v>
      </c>
      <c r="BO36" s="1012"/>
      <c r="BP36" s="1012">
        <v>0</v>
      </c>
      <c r="BQ36" s="1016">
        <v>15</v>
      </c>
      <c r="BR36" s="1012"/>
      <c r="BS36" s="1012"/>
      <c r="BT36" s="1012"/>
      <c r="BU36" s="1012"/>
      <c r="BV36" s="1016">
        <v>0</v>
      </c>
      <c r="BW36" s="1012"/>
      <c r="BX36" s="1012"/>
      <c r="BY36" s="1012"/>
      <c r="BZ36" s="1012"/>
      <c r="CA36" s="1016">
        <v>0</v>
      </c>
      <c r="CB36" s="1012">
        <v>3</v>
      </c>
      <c r="CC36" s="1012">
        <v>6</v>
      </c>
      <c r="CD36" s="1012">
        <v>0</v>
      </c>
      <c r="CE36" s="1012">
        <v>9</v>
      </c>
      <c r="CF36" s="1016">
        <v>15</v>
      </c>
      <c r="CG36" s="1012">
        <v>1</v>
      </c>
      <c r="CH36" s="1012">
        <v>2</v>
      </c>
      <c r="CI36" s="1012">
        <v>0</v>
      </c>
      <c r="CJ36" s="1012">
        <v>3</v>
      </c>
      <c r="CK36" s="1016">
        <v>15</v>
      </c>
      <c r="CL36" s="1012">
        <v>0</v>
      </c>
      <c r="CM36" s="1012">
        <v>0</v>
      </c>
      <c r="CN36" s="1012"/>
      <c r="CO36" s="1012">
        <v>0</v>
      </c>
      <c r="CP36" s="1016">
        <v>15</v>
      </c>
      <c r="CQ36" s="1067">
        <v>64.400000000000006</v>
      </c>
      <c r="CR36" s="1067">
        <v>2.8</v>
      </c>
      <c r="CS36" s="1067">
        <v>547</v>
      </c>
      <c r="CT36" s="1018">
        <f t="shared" si="103"/>
        <v>596.70000000000005</v>
      </c>
      <c r="CU36" s="1018">
        <f t="shared" si="15"/>
        <v>1.8</v>
      </c>
      <c r="CV36" s="1019">
        <v>1.7</v>
      </c>
      <c r="CW36" s="1014">
        <f t="shared" si="16"/>
        <v>39892.18</v>
      </c>
      <c r="CX36" s="1017">
        <v>45304.5</v>
      </c>
      <c r="CY36" s="1014">
        <f t="shared" si="17"/>
        <v>4441286.12</v>
      </c>
      <c r="CZ36" s="1020">
        <v>13540.8</v>
      </c>
      <c r="DA36" s="1021">
        <v>54.05941</v>
      </c>
      <c r="DB36" s="1027">
        <v>50</v>
      </c>
      <c r="DC36" s="1033">
        <f t="shared" si="104"/>
        <v>1.01525</v>
      </c>
      <c r="DD36" s="1011">
        <f t="shared" si="105"/>
        <v>43034504.630000003</v>
      </c>
      <c r="DE36" s="1014">
        <f t="shared" si="18"/>
        <v>396707.72</v>
      </c>
      <c r="DF36" s="1014">
        <f t="shared" si="19"/>
        <v>2499258.63</v>
      </c>
      <c r="DG36" s="1014">
        <f t="shared" si="106"/>
        <v>1754136</v>
      </c>
      <c r="DH36" s="1014">
        <f t="shared" si="106"/>
        <v>194904</v>
      </c>
      <c r="DI36" s="1014">
        <f t="shared" si="106"/>
        <v>4775148</v>
      </c>
      <c r="DJ36" s="1014">
        <f t="shared" si="20"/>
        <v>33414350.280000001</v>
      </c>
      <c r="DK36" s="1024">
        <f t="shared" si="107"/>
        <v>16566.84</v>
      </c>
      <c r="DL36" s="1024">
        <f t="shared" si="21"/>
        <v>1186174.08</v>
      </c>
      <c r="DM36" s="1024">
        <f t="shared" si="22"/>
        <v>418770</v>
      </c>
      <c r="DN36" s="1024">
        <f t="shared" si="23"/>
        <v>47472</v>
      </c>
      <c r="DO36" s="1024">
        <f t="shared" si="108"/>
        <v>2770568.61</v>
      </c>
      <c r="DP36" s="1014">
        <f t="shared" si="109"/>
        <v>2290253.66</v>
      </c>
      <c r="DQ36" s="1014">
        <f t="shared" si="110"/>
        <v>458050.73</v>
      </c>
      <c r="DR36" s="1011">
        <f t="shared" si="111"/>
        <v>50222360.600000001</v>
      </c>
      <c r="DS36" s="1011">
        <f t="shared" si="112"/>
        <v>15167152.9</v>
      </c>
      <c r="DT36" s="1011">
        <f t="shared" si="113"/>
        <v>65389513.5</v>
      </c>
      <c r="DU36" s="1025"/>
      <c r="DV36" s="1028">
        <v>1.1072</v>
      </c>
      <c r="DW36" s="1011">
        <f t="shared" si="114"/>
        <v>889294.54</v>
      </c>
      <c r="DX36" s="1023">
        <v>73204</v>
      </c>
      <c r="DY36" s="1015">
        <f t="shared" si="115"/>
        <v>81051.47</v>
      </c>
      <c r="DZ36" s="1023"/>
      <c r="EA36" s="1015">
        <f t="shared" si="116"/>
        <v>0</v>
      </c>
      <c r="EB36" s="1023">
        <v>42500</v>
      </c>
      <c r="EC36" s="1015">
        <f t="shared" si="24"/>
        <v>65581.820000000007</v>
      </c>
      <c r="ED36" s="1023">
        <v>540000</v>
      </c>
      <c r="EE36" s="1015">
        <f t="shared" si="117"/>
        <v>597888</v>
      </c>
      <c r="EF36" s="1023">
        <v>99140</v>
      </c>
      <c r="EG36" s="1015">
        <f t="shared" si="25"/>
        <v>107962.07</v>
      </c>
      <c r="EH36" s="1023">
        <v>0</v>
      </c>
      <c r="EI36" s="1015">
        <f t="shared" si="26"/>
        <v>36811.18</v>
      </c>
      <c r="EJ36" s="1011">
        <f t="shared" si="118"/>
        <v>4162378.06</v>
      </c>
      <c r="EK36" s="1023"/>
      <c r="EL36" s="1015">
        <f t="shared" si="27"/>
        <v>182743.67</v>
      </c>
      <c r="EM36" s="1023">
        <v>329000</v>
      </c>
      <c r="EN36" s="1015">
        <f t="shared" si="28"/>
        <v>889828.64</v>
      </c>
      <c r="EO36" s="1068">
        <v>164</v>
      </c>
      <c r="EP36" s="1015">
        <f t="shared" si="119"/>
        <v>290214.40000000002</v>
      </c>
      <c r="EQ36" s="1068">
        <v>141</v>
      </c>
      <c r="ER36" s="1015">
        <f t="shared" si="29"/>
        <v>310482</v>
      </c>
      <c r="ES36" s="1068">
        <v>149</v>
      </c>
      <c r="ET36" s="1015">
        <f t="shared" si="30"/>
        <v>331018.40000000002</v>
      </c>
      <c r="EU36" s="1068">
        <v>157</v>
      </c>
      <c r="EV36" s="1015">
        <f t="shared" si="31"/>
        <v>377145.4</v>
      </c>
      <c r="EW36" s="1068">
        <v>146</v>
      </c>
      <c r="EX36" s="1015">
        <f t="shared" si="32"/>
        <v>386637.2</v>
      </c>
      <c r="EY36" s="1068">
        <v>112</v>
      </c>
      <c r="EZ36" s="1015">
        <f t="shared" si="33"/>
        <v>343548.8</v>
      </c>
      <c r="FA36" s="1068">
        <v>132</v>
      </c>
      <c r="FB36" s="1015">
        <f t="shared" si="34"/>
        <v>486895.2</v>
      </c>
      <c r="FC36" s="1068">
        <v>115</v>
      </c>
      <c r="FD36" s="1015">
        <f t="shared" si="35"/>
        <v>437598</v>
      </c>
      <c r="FE36" s="1068">
        <v>120</v>
      </c>
      <c r="FF36" s="1015">
        <f t="shared" si="36"/>
        <v>423984</v>
      </c>
      <c r="FG36" s="1068">
        <v>51</v>
      </c>
      <c r="FH36" s="1015">
        <f t="shared" si="37"/>
        <v>173400</v>
      </c>
      <c r="FI36" s="1068">
        <v>54</v>
      </c>
      <c r="FJ36" s="1015">
        <f t="shared" si="38"/>
        <v>183600</v>
      </c>
      <c r="FK36" s="1015">
        <f t="shared" si="120"/>
        <v>3744523.4</v>
      </c>
      <c r="FL36" s="1023">
        <v>10000</v>
      </c>
      <c r="FM36" s="1015">
        <f t="shared" si="39"/>
        <v>197234.88</v>
      </c>
      <c r="FN36" s="1023">
        <v>36156</v>
      </c>
      <c r="FO36" s="1015">
        <f t="shared" si="40"/>
        <v>37876.11</v>
      </c>
      <c r="FP36" s="1011">
        <f t="shared" si="41"/>
        <v>5051672.5999999996</v>
      </c>
      <c r="FQ36" s="1025"/>
      <c r="FR36" s="1011">
        <f t="shared" si="121"/>
        <v>70441186.099999994</v>
      </c>
      <c r="FS36" s="996"/>
      <c r="FT36" s="1029">
        <f t="shared" si="140"/>
        <v>70441.3</v>
      </c>
      <c r="FU36" s="1029">
        <f t="shared" si="122"/>
        <v>50222.400000000001</v>
      </c>
      <c r="FV36" s="1029">
        <f t="shared" si="123"/>
        <v>4082.1</v>
      </c>
      <c r="FW36" s="1029">
        <f t="shared" si="124"/>
        <v>2172.9</v>
      </c>
      <c r="FX36" s="1029">
        <f t="shared" si="125"/>
        <v>258.89999999999998</v>
      </c>
      <c r="FY36" s="1029">
        <f t="shared" si="126"/>
        <v>4775.1000000000004</v>
      </c>
      <c r="FZ36" s="1029">
        <f t="shared" si="127"/>
        <v>36184.9</v>
      </c>
      <c r="GA36" s="1029">
        <f t="shared" si="128"/>
        <v>2748.5</v>
      </c>
      <c r="GB36" s="1029">
        <f t="shared" si="42"/>
        <v>15167.2</v>
      </c>
      <c r="GC36" s="1029">
        <f t="shared" si="129"/>
        <v>81.099999999999994</v>
      </c>
      <c r="GD36" s="1029">
        <f t="shared" si="130"/>
        <v>0</v>
      </c>
      <c r="GE36" s="1029">
        <f t="shared" si="131"/>
        <v>65.599999999999994</v>
      </c>
      <c r="GF36" s="1029">
        <f t="shared" si="132"/>
        <v>597.9</v>
      </c>
      <c r="GG36" s="1029">
        <f t="shared" si="133"/>
        <v>108</v>
      </c>
      <c r="GH36" s="1029">
        <f t="shared" si="134"/>
        <v>36.799999999999997</v>
      </c>
      <c r="GI36" s="1029">
        <f t="shared" si="135"/>
        <v>182.7</v>
      </c>
      <c r="GJ36" s="1029">
        <f t="shared" si="136"/>
        <v>3744.5</v>
      </c>
      <c r="GK36" s="1029">
        <f t="shared" si="137"/>
        <v>197.2</v>
      </c>
      <c r="GL36" s="1029">
        <f t="shared" si="138"/>
        <v>37.9</v>
      </c>
      <c r="GM36" s="1069"/>
      <c r="GN36" s="1031">
        <f t="shared" si="43"/>
        <v>0.8084192</v>
      </c>
      <c r="GO36" s="1029">
        <f t="shared" si="139"/>
        <v>56946.1</v>
      </c>
      <c r="GP36" s="1029">
        <f t="shared" si="44"/>
        <v>40600.800000000003</v>
      </c>
      <c r="GQ36" s="1029">
        <f t="shared" si="45"/>
        <v>12261.5</v>
      </c>
      <c r="GR36" s="1029">
        <f t="shared" si="46"/>
        <v>65.599999999999994</v>
      </c>
      <c r="GS36" s="1029">
        <f t="shared" si="47"/>
        <v>0</v>
      </c>
      <c r="GT36" s="1029">
        <f t="shared" si="48"/>
        <v>53</v>
      </c>
      <c r="GU36" s="1029">
        <f t="shared" si="49"/>
        <v>483.4</v>
      </c>
      <c r="GV36" s="1029">
        <f t="shared" si="50"/>
        <v>87.3</v>
      </c>
      <c r="GW36" s="1029">
        <f t="shared" si="51"/>
        <v>29.7</v>
      </c>
      <c r="GX36" s="1029">
        <f t="shared" si="52"/>
        <v>147.69999999999999</v>
      </c>
      <c r="GY36" s="1029">
        <f t="shared" si="53"/>
        <v>3027.1</v>
      </c>
      <c r="GZ36" s="1029">
        <f t="shared" si="54"/>
        <v>159.4</v>
      </c>
      <c r="HA36" s="1029">
        <f t="shared" si="55"/>
        <v>30.6</v>
      </c>
      <c r="HB36" s="1029">
        <f t="shared" si="56"/>
        <v>2916.2</v>
      </c>
      <c r="HC36" s="996"/>
      <c r="HD36" s="1031">
        <f t="shared" si="57"/>
        <v>0.85399429999999998</v>
      </c>
      <c r="HE36" s="1029">
        <f t="shared" si="58"/>
        <v>60156.4</v>
      </c>
      <c r="HF36" s="1029">
        <f t="shared" si="59"/>
        <v>42889.599999999999</v>
      </c>
      <c r="HG36" s="1029">
        <f t="shared" si="60"/>
        <v>12952.7</v>
      </c>
      <c r="HH36" s="1029">
        <f t="shared" si="61"/>
        <v>69.3</v>
      </c>
      <c r="HI36" s="1029">
        <f t="shared" si="62"/>
        <v>0</v>
      </c>
      <c r="HJ36" s="1029">
        <f t="shared" si="63"/>
        <v>56</v>
      </c>
      <c r="HK36" s="1029">
        <f t="shared" si="64"/>
        <v>510.6</v>
      </c>
      <c r="HL36" s="1029">
        <f t="shared" si="65"/>
        <v>92.2</v>
      </c>
      <c r="HM36" s="1029">
        <f t="shared" si="66"/>
        <v>31.4</v>
      </c>
      <c r="HN36" s="1029">
        <f t="shared" si="67"/>
        <v>156</v>
      </c>
      <c r="HO36" s="1029">
        <f t="shared" si="68"/>
        <v>3197.8</v>
      </c>
      <c r="HP36" s="1029">
        <f t="shared" si="69"/>
        <v>168.4</v>
      </c>
      <c r="HQ36" s="1029">
        <f t="shared" si="70"/>
        <v>32.4</v>
      </c>
      <c r="HR36" s="1029">
        <f t="shared" si="71"/>
        <v>3080.6</v>
      </c>
      <c r="HS36" s="996"/>
      <c r="HT36" s="1031">
        <f t="shared" si="72"/>
        <v>0.90058660000000001</v>
      </c>
      <c r="HU36" s="1029">
        <f t="shared" si="73"/>
        <v>63438.400000000001</v>
      </c>
      <c r="HV36" s="1029">
        <f t="shared" si="74"/>
        <v>45229.599999999999</v>
      </c>
      <c r="HW36" s="1029">
        <f t="shared" si="75"/>
        <v>13659.4</v>
      </c>
      <c r="HX36" s="1029">
        <f t="shared" si="76"/>
        <v>73</v>
      </c>
      <c r="HY36" s="1029">
        <f t="shared" si="77"/>
        <v>0</v>
      </c>
      <c r="HZ36" s="1029">
        <f t="shared" si="78"/>
        <v>59.1</v>
      </c>
      <c r="IA36" s="1029">
        <f t="shared" si="79"/>
        <v>538.5</v>
      </c>
      <c r="IB36" s="1029">
        <f t="shared" si="80"/>
        <v>97.3</v>
      </c>
      <c r="IC36" s="1029">
        <f t="shared" si="81"/>
        <v>33.1</v>
      </c>
      <c r="ID36" s="1029">
        <f t="shared" si="82"/>
        <v>164.5</v>
      </c>
      <c r="IE36" s="1029">
        <f t="shared" si="83"/>
        <v>3372.2</v>
      </c>
      <c r="IF36" s="1029">
        <f t="shared" si="84"/>
        <v>177.6</v>
      </c>
      <c r="IG36" s="1029">
        <f t="shared" si="85"/>
        <v>34.1</v>
      </c>
      <c r="IH36" s="1029">
        <f t="shared" si="86"/>
        <v>3248.7</v>
      </c>
    </row>
    <row r="37" spans="1:242" ht="18.75" x14ac:dyDescent="0.25">
      <c r="A37" s="1010" t="s">
        <v>1685</v>
      </c>
      <c r="B37" s="1011">
        <f t="shared" si="87"/>
        <v>163.29</v>
      </c>
      <c r="C37" s="1011">
        <f t="shared" si="88"/>
        <v>163.29</v>
      </c>
      <c r="D37" s="1012">
        <v>1</v>
      </c>
      <c r="E37" s="1012">
        <v>5.5</v>
      </c>
      <c r="F37" s="1012">
        <v>9.5</v>
      </c>
      <c r="G37" s="1012">
        <v>1</v>
      </c>
      <c r="H37" s="1012">
        <v>23.5</v>
      </c>
      <c r="I37" s="1014">
        <f t="shared" si="89"/>
        <v>122.79</v>
      </c>
      <c r="J37" s="1020">
        <v>25.16</v>
      </c>
      <c r="K37" s="1020">
        <v>49</v>
      </c>
      <c r="L37" s="1020">
        <v>4.1100000000000003</v>
      </c>
      <c r="M37" s="1020">
        <v>5.84</v>
      </c>
      <c r="N37" s="1020">
        <v>8.6199999999999992</v>
      </c>
      <c r="O37" s="1020"/>
      <c r="P37" s="1020">
        <v>10.56</v>
      </c>
      <c r="Q37" s="1020">
        <v>13.89</v>
      </c>
      <c r="R37" s="1020">
        <v>1.1100000000000001</v>
      </c>
      <c r="S37" s="1020">
        <v>4.5</v>
      </c>
      <c r="T37" s="1013">
        <f t="shared" si="90"/>
        <v>25.56</v>
      </c>
      <c r="U37" s="1013">
        <f t="shared" si="91"/>
        <v>10.56</v>
      </c>
      <c r="V37" s="1013">
        <f t="shared" si="91"/>
        <v>13.89</v>
      </c>
      <c r="W37" s="1013">
        <f t="shared" si="91"/>
        <v>1.1100000000000001</v>
      </c>
      <c r="X37" s="1013"/>
      <c r="Y37" s="1011">
        <f t="shared" si="92"/>
        <v>3590991.79</v>
      </c>
      <c r="Z37" s="1012">
        <v>35067.199999999997</v>
      </c>
      <c r="AA37" s="1014">
        <f t="shared" si="3"/>
        <v>173582.64</v>
      </c>
      <c r="AB37" s="1015">
        <f t="shared" si="93"/>
        <v>154299</v>
      </c>
      <c r="AC37" s="1015">
        <f t="shared" si="93"/>
        <v>16242</v>
      </c>
      <c r="AD37" s="1015">
        <f t="shared" si="93"/>
        <v>381687</v>
      </c>
      <c r="AE37" s="1015">
        <f t="shared" si="94"/>
        <v>2830113.95</v>
      </c>
      <c r="AF37" s="1015">
        <f t="shared" si="4"/>
        <v>628155.31000000006</v>
      </c>
      <c r="AG37" s="1015">
        <f t="shared" si="5"/>
        <v>1265905.79</v>
      </c>
      <c r="AH37" s="1015">
        <f t="shared" si="6"/>
        <v>105112.14</v>
      </c>
      <c r="AI37" s="1015">
        <f t="shared" si="7"/>
        <v>119822.67</v>
      </c>
      <c r="AJ37" s="1015">
        <f t="shared" si="8"/>
        <v>176861.54</v>
      </c>
      <c r="AK37" s="1015">
        <f t="shared" si="9"/>
        <v>0</v>
      </c>
      <c r="AL37" s="1015">
        <f t="shared" si="10"/>
        <v>176115.88</v>
      </c>
      <c r="AM37" s="1015">
        <f t="shared" si="11"/>
        <v>231652.42</v>
      </c>
      <c r="AN37" s="1015">
        <f t="shared" si="12"/>
        <v>18512.18</v>
      </c>
      <c r="AO37" s="1015">
        <f t="shared" si="13"/>
        <v>84904.38</v>
      </c>
      <c r="AP37" s="1015">
        <f t="shared" si="95"/>
        <v>23071.64</v>
      </c>
      <c r="AQ37" s="1015"/>
      <c r="AR37" s="1014">
        <f t="shared" si="96"/>
        <v>0.79</v>
      </c>
      <c r="AS37" s="1014">
        <f t="shared" si="97"/>
        <v>1.8</v>
      </c>
      <c r="AT37" s="1014">
        <f t="shared" si="98"/>
        <v>0</v>
      </c>
      <c r="AU37" s="1023">
        <v>15</v>
      </c>
      <c r="AV37" s="1023">
        <v>20</v>
      </c>
      <c r="AW37" s="1023">
        <v>25</v>
      </c>
      <c r="AX37" s="1023">
        <v>15</v>
      </c>
      <c r="AY37" s="1023">
        <f t="shared" si="99"/>
        <v>15</v>
      </c>
      <c r="AZ37" s="1023">
        <v>12</v>
      </c>
      <c r="BA37" s="1023">
        <v>15</v>
      </c>
      <c r="BB37" s="1023">
        <v>10</v>
      </c>
      <c r="BC37" s="1011">
        <f t="shared" si="100"/>
        <v>46</v>
      </c>
      <c r="BD37" s="1011">
        <f t="shared" si="101"/>
        <v>19</v>
      </c>
      <c r="BE37" s="1011">
        <f t="shared" si="101"/>
        <v>25</v>
      </c>
      <c r="BF37" s="1011">
        <f t="shared" si="101"/>
        <v>2</v>
      </c>
      <c r="BG37" s="1011">
        <f t="shared" si="102"/>
        <v>1249</v>
      </c>
      <c r="BH37" s="1012">
        <v>18</v>
      </c>
      <c r="BI37" s="1012">
        <v>22</v>
      </c>
      <c r="BJ37" s="1012">
        <v>2</v>
      </c>
      <c r="BK37" s="1012">
        <v>1193</v>
      </c>
      <c r="BL37" s="1016">
        <v>0</v>
      </c>
      <c r="BM37" s="1012">
        <v>1</v>
      </c>
      <c r="BN37" s="1012">
        <v>3</v>
      </c>
      <c r="BO37" s="1012"/>
      <c r="BP37" s="1012">
        <v>43</v>
      </c>
      <c r="BQ37" s="1016">
        <v>15</v>
      </c>
      <c r="BR37" s="1012"/>
      <c r="BS37" s="1012"/>
      <c r="BT37" s="1012"/>
      <c r="BU37" s="1012"/>
      <c r="BV37" s="1016">
        <v>0</v>
      </c>
      <c r="BW37" s="1012"/>
      <c r="BX37" s="1012"/>
      <c r="BY37" s="1012"/>
      <c r="BZ37" s="1012"/>
      <c r="CA37" s="1016">
        <v>0</v>
      </c>
      <c r="CB37" s="1012">
        <v>2</v>
      </c>
      <c r="CC37" s="1012">
        <v>2</v>
      </c>
      <c r="CD37" s="1012">
        <v>0</v>
      </c>
      <c r="CE37" s="1012">
        <v>4</v>
      </c>
      <c r="CF37" s="1016">
        <v>15</v>
      </c>
      <c r="CG37" s="1012">
        <v>4</v>
      </c>
      <c r="CH37" s="1012">
        <v>3</v>
      </c>
      <c r="CI37" s="1012">
        <v>0</v>
      </c>
      <c r="CJ37" s="1012">
        <v>7</v>
      </c>
      <c r="CK37" s="1016">
        <v>15</v>
      </c>
      <c r="CL37" s="1012">
        <v>1</v>
      </c>
      <c r="CM37" s="1012">
        <v>1</v>
      </c>
      <c r="CN37" s="1012"/>
      <c r="CO37" s="1012">
        <v>2</v>
      </c>
      <c r="CP37" s="1016">
        <v>15</v>
      </c>
      <c r="CQ37" s="1067">
        <v>68.5</v>
      </c>
      <c r="CR37" s="1067">
        <v>0.8</v>
      </c>
      <c r="CS37" s="1067">
        <v>333.4</v>
      </c>
      <c r="CT37" s="1018">
        <f t="shared" si="103"/>
        <v>363.7</v>
      </c>
      <c r="CU37" s="1018">
        <f t="shared" si="15"/>
        <v>1.8</v>
      </c>
      <c r="CV37" s="1019">
        <v>1.7</v>
      </c>
      <c r="CW37" s="1014">
        <f t="shared" si="16"/>
        <v>39604.660000000003</v>
      </c>
      <c r="CX37" s="1017">
        <v>45304.5</v>
      </c>
      <c r="CY37" s="1014">
        <f t="shared" si="17"/>
        <v>4908165.75</v>
      </c>
      <c r="CZ37" s="1020">
        <v>13193.6</v>
      </c>
      <c r="DA37" s="1021">
        <v>52.673270000000002</v>
      </c>
      <c r="DB37" s="1027">
        <v>50</v>
      </c>
      <c r="DC37" s="1033">
        <f t="shared" si="104"/>
        <v>1.01525</v>
      </c>
      <c r="DD37" s="1011">
        <f t="shared" si="105"/>
        <v>43647995.25</v>
      </c>
      <c r="DE37" s="1014">
        <f t="shared" si="18"/>
        <v>427223.7</v>
      </c>
      <c r="DF37" s="1014">
        <f t="shared" si="19"/>
        <v>2114757.2999999998</v>
      </c>
      <c r="DG37" s="1014">
        <f t="shared" si="106"/>
        <v>1851588</v>
      </c>
      <c r="DH37" s="1014">
        <f t="shared" si="106"/>
        <v>194904</v>
      </c>
      <c r="DI37" s="1014">
        <f t="shared" si="106"/>
        <v>4580244</v>
      </c>
      <c r="DJ37" s="1014">
        <f t="shared" si="20"/>
        <v>34479278.25</v>
      </c>
      <c r="DK37" s="1024">
        <f t="shared" si="107"/>
        <v>16566.84</v>
      </c>
      <c r="DL37" s="1024">
        <f t="shared" si="21"/>
        <v>942023.04</v>
      </c>
      <c r="DM37" s="1024">
        <f t="shared" si="22"/>
        <v>442035</v>
      </c>
      <c r="DN37" s="1024">
        <f t="shared" si="23"/>
        <v>47472</v>
      </c>
      <c r="DO37" s="1024">
        <f t="shared" si="108"/>
        <v>3184201.84</v>
      </c>
      <c r="DP37" s="1014">
        <f t="shared" si="109"/>
        <v>2341609.85</v>
      </c>
      <c r="DQ37" s="1014">
        <f t="shared" si="110"/>
        <v>468321.97</v>
      </c>
      <c r="DR37" s="1011">
        <f t="shared" si="111"/>
        <v>51090225.799999997</v>
      </c>
      <c r="DS37" s="1011">
        <f t="shared" si="112"/>
        <v>15429248.199999999</v>
      </c>
      <c r="DT37" s="1011">
        <f t="shared" si="113"/>
        <v>66519474</v>
      </c>
      <c r="DU37" s="1025"/>
      <c r="DV37" s="1028">
        <v>1.1072</v>
      </c>
      <c r="DW37" s="1011">
        <f t="shared" si="114"/>
        <v>774401.79</v>
      </c>
      <c r="DX37" s="1023">
        <v>58500</v>
      </c>
      <c r="DY37" s="1015">
        <f t="shared" si="115"/>
        <v>64771.199999999997</v>
      </c>
      <c r="DZ37" s="1023"/>
      <c r="EA37" s="1015">
        <f t="shared" si="116"/>
        <v>0</v>
      </c>
      <c r="EB37" s="1023">
        <v>29500</v>
      </c>
      <c r="EC37" s="1015">
        <f t="shared" si="24"/>
        <v>67642.100000000006</v>
      </c>
      <c r="ED37" s="1023">
        <v>444966.7</v>
      </c>
      <c r="EE37" s="1015">
        <f t="shared" si="117"/>
        <v>492667.13</v>
      </c>
      <c r="EF37" s="1023">
        <v>88290</v>
      </c>
      <c r="EG37" s="1015">
        <f t="shared" si="25"/>
        <v>111353.74</v>
      </c>
      <c r="EH37" s="1023">
        <v>21000</v>
      </c>
      <c r="EI37" s="1015">
        <f t="shared" si="26"/>
        <v>37967.620000000003</v>
      </c>
      <c r="EJ37" s="1011">
        <f t="shared" si="118"/>
        <v>3867766.53</v>
      </c>
      <c r="EK37" s="1023">
        <v>55349</v>
      </c>
      <c r="EL37" s="1015">
        <f t="shared" si="27"/>
        <v>170206.45</v>
      </c>
      <c r="EM37" s="1023">
        <v>0</v>
      </c>
      <c r="EN37" s="1015">
        <f t="shared" si="28"/>
        <v>828781.48</v>
      </c>
      <c r="EO37" s="1068">
        <v>137</v>
      </c>
      <c r="EP37" s="1015">
        <f t="shared" si="119"/>
        <v>242435.20000000001</v>
      </c>
      <c r="EQ37" s="1068">
        <v>137</v>
      </c>
      <c r="ER37" s="1015">
        <f t="shared" si="29"/>
        <v>301674</v>
      </c>
      <c r="ES37" s="1068">
        <v>142</v>
      </c>
      <c r="ET37" s="1015">
        <f t="shared" si="30"/>
        <v>315467.2</v>
      </c>
      <c r="EU37" s="1068">
        <v>168</v>
      </c>
      <c r="EV37" s="1015">
        <f t="shared" si="31"/>
        <v>403569.6</v>
      </c>
      <c r="EW37" s="1068">
        <v>131</v>
      </c>
      <c r="EX37" s="1015">
        <f t="shared" si="32"/>
        <v>346914.2</v>
      </c>
      <c r="EY37" s="1068">
        <v>137</v>
      </c>
      <c r="EZ37" s="1015">
        <f t="shared" si="33"/>
        <v>420233.8</v>
      </c>
      <c r="FA37" s="1068">
        <v>129</v>
      </c>
      <c r="FB37" s="1015">
        <f t="shared" si="34"/>
        <v>475829.4</v>
      </c>
      <c r="FC37" s="1068">
        <v>116</v>
      </c>
      <c r="FD37" s="1015">
        <f t="shared" si="35"/>
        <v>441403.2</v>
      </c>
      <c r="FE37" s="1068">
        <v>107</v>
      </c>
      <c r="FF37" s="1015">
        <f t="shared" si="36"/>
        <v>378052.4</v>
      </c>
      <c r="FG37" s="1068">
        <v>23</v>
      </c>
      <c r="FH37" s="1015">
        <f t="shared" si="37"/>
        <v>78200</v>
      </c>
      <c r="FI37" s="1068">
        <v>22</v>
      </c>
      <c r="FJ37" s="1015">
        <f t="shared" si="38"/>
        <v>74800</v>
      </c>
      <c r="FK37" s="1015">
        <f t="shared" si="120"/>
        <v>3478579</v>
      </c>
      <c r="FL37" s="1023">
        <v>108100</v>
      </c>
      <c r="FM37" s="1015">
        <f t="shared" si="39"/>
        <v>183703.48</v>
      </c>
      <c r="FN37" s="1023">
        <v>28219.62</v>
      </c>
      <c r="FO37" s="1015">
        <f t="shared" si="40"/>
        <v>35277.599999999999</v>
      </c>
      <c r="FP37" s="1011">
        <f t="shared" si="41"/>
        <v>4642168.32</v>
      </c>
      <c r="FQ37" s="1025"/>
      <c r="FR37" s="1011">
        <f t="shared" si="121"/>
        <v>71161642.319999993</v>
      </c>
      <c r="FS37" s="996"/>
      <c r="FT37" s="1029">
        <f t="shared" si="140"/>
        <v>71161.7</v>
      </c>
      <c r="FU37" s="1029">
        <f t="shared" si="122"/>
        <v>51090.2</v>
      </c>
      <c r="FV37" s="1029">
        <f t="shared" si="123"/>
        <v>3484</v>
      </c>
      <c r="FW37" s="1029">
        <f t="shared" si="124"/>
        <v>2293.6</v>
      </c>
      <c r="FX37" s="1029">
        <f t="shared" si="125"/>
        <v>258.89999999999998</v>
      </c>
      <c r="FY37" s="1029">
        <f t="shared" si="126"/>
        <v>4580.2</v>
      </c>
      <c r="FZ37" s="1029">
        <f t="shared" si="127"/>
        <v>37663.5</v>
      </c>
      <c r="GA37" s="1029">
        <f t="shared" si="128"/>
        <v>2810</v>
      </c>
      <c r="GB37" s="1029">
        <f t="shared" si="42"/>
        <v>15429.2</v>
      </c>
      <c r="GC37" s="1029">
        <f t="shared" si="129"/>
        <v>64.8</v>
      </c>
      <c r="GD37" s="1029">
        <f t="shared" si="130"/>
        <v>0</v>
      </c>
      <c r="GE37" s="1029">
        <f t="shared" si="131"/>
        <v>67.599999999999994</v>
      </c>
      <c r="GF37" s="1029">
        <f t="shared" si="132"/>
        <v>492.7</v>
      </c>
      <c r="GG37" s="1029">
        <f t="shared" si="133"/>
        <v>111.4</v>
      </c>
      <c r="GH37" s="1029">
        <f t="shared" si="134"/>
        <v>38</v>
      </c>
      <c r="GI37" s="1029">
        <f t="shared" si="135"/>
        <v>170.2</v>
      </c>
      <c r="GJ37" s="1029">
        <f t="shared" si="136"/>
        <v>3478.6</v>
      </c>
      <c r="GK37" s="1029">
        <f t="shared" si="137"/>
        <v>183.7</v>
      </c>
      <c r="GL37" s="1029">
        <f t="shared" si="138"/>
        <v>35.299999999999997</v>
      </c>
      <c r="GM37" s="1069"/>
      <c r="GN37" s="1031">
        <f t="shared" si="43"/>
        <v>0.8084192</v>
      </c>
      <c r="GO37" s="1029">
        <f t="shared" si="139"/>
        <v>57528.5</v>
      </c>
      <c r="GP37" s="1029">
        <f t="shared" si="44"/>
        <v>41302.300000000003</v>
      </c>
      <c r="GQ37" s="1029">
        <f t="shared" si="45"/>
        <v>12473.3</v>
      </c>
      <c r="GR37" s="1029">
        <f t="shared" si="46"/>
        <v>52.4</v>
      </c>
      <c r="GS37" s="1029">
        <f t="shared" si="47"/>
        <v>0</v>
      </c>
      <c r="GT37" s="1029">
        <f t="shared" si="48"/>
        <v>54.6</v>
      </c>
      <c r="GU37" s="1029">
        <f t="shared" si="49"/>
        <v>398.3</v>
      </c>
      <c r="GV37" s="1029">
        <f t="shared" si="50"/>
        <v>90.1</v>
      </c>
      <c r="GW37" s="1029">
        <f t="shared" si="51"/>
        <v>30.7</v>
      </c>
      <c r="GX37" s="1029">
        <f t="shared" si="52"/>
        <v>137.6</v>
      </c>
      <c r="GY37" s="1029">
        <f t="shared" si="53"/>
        <v>2812.2</v>
      </c>
      <c r="GZ37" s="1029">
        <f t="shared" si="54"/>
        <v>148.5</v>
      </c>
      <c r="HA37" s="1029">
        <f t="shared" si="55"/>
        <v>28.5</v>
      </c>
      <c r="HB37" s="1029">
        <f t="shared" si="56"/>
        <v>3351.6</v>
      </c>
      <c r="HC37" s="996"/>
      <c r="HD37" s="1031">
        <f t="shared" si="57"/>
        <v>0.85399429999999998</v>
      </c>
      <c r="HE37" s="1029">
        <f t="shared" si="58"/>
        <v>60771.5</v>
      </c>
      <c r="HF37" s="1029">
        <f t="shared" si="59"/>
        <v>43630.7</v>
      </c>
      <c r="HG37" s="1029">
        <f t="shared" si="60"/>
        <v>13176.4</v>
      </c>
      <c r="HH37" s="1029">
        <f t="shared" si="61"/>
        <v>55.3</v>
      </c>
      <c r="HI37" s="1029">
        <f t="shared" si="62"/>
        <v>0</v>
      </c>
      <c r="HJ37" s="1029">
        <f t="shared" si="63"/>
        <v>57.7</v>
      </c>
      <c r="HK37" s="1029">
        <f t="shared" si="64"/>
        <v>420.8</v>
      </c>
      <c r="HL37" s="1029">
        <f t="shared" si="65"/>
        <v>95.1</v>
      </c>
      <c r="HM37" s="1029">
        <f t="shared" si="66"/>
        <v>32.5</v>
      </c>
      <c r="HN37" s="1029">
        <f t="shared" si="67"/>
        <v>145.30000000000001</v>
      </c>
      <c r="HO37" s="1029">
        <f t="shared" si="68"/>
        <v>2970.7</v>
      </c>
      <c r="HP37" s="1029">
        <f t="shared" si="69"/>
        <v>156.9</v>
      </c>
      <c r="HQ37" s="1029">
        <f t="shared" si="70"/>
        <v>30.1</v>
      </c>
      <c r="HR37" s="1029">
        <f t="shared" si="71"/>
        <v>3540.5</v>
      </c>
      <c r="HS37" s="996"/>
      <c r="HT37" s="1031">
        <f t="shared" si="72"/>
        <v>0.90058660000000001</v>
      </c>
      <c r="HU37" s="1029">
        <f t="shared" si="73"/>
        <v>64087.199999999997</v>
      </c>
      <c r="HV37" s="1029">
        <f t="shared" si="74"/>
        <v>46011.1</v>
      </c>
      <c r="HW37" s="1029">
        <f t="shared" si="75"/>
        <v>13895.3</v>
      </c>
      <c r="HX37" s="1029">
        <f t="shared" si="76"/>
        <v>58.4</v>
      </c>
      <c r="HY37" s="1029">
        <f t="shared" si="77"/>
        <v>0</v>
      </c>
      <c r="HZ37" s="1029">
        <f t="shared" si="78"/>
        <v>60.9</v>
      </c>
      <c r="IA37" s="1029">
        <f t="shared" si="79"/>
        <v>443.7</v>
      </c>
      <c r="IB37" s="1029">
        <f t="shared" si="80"/>
        <v>100.3</v>
      </c>
      <c r="IC37" s="1029">
        <f t="shared" si="81"/>
        <v>34.200000000000003</v>
      </c>
      <c r="ID37" s="1029">
        <f t="shared" si="82"/>
        <v>153.30000000000001</v>
      </c>
      <c r="IE37" s="1029">
        <f t="shared" si="83"/>
        <v>3132.8</v>
      </c>
      <c r="IF37" s="1029">
        <f t="shared" si="84"/>
        <v>165.4</v>
      </c>
      <c r="IG37" s="1029">
        <f t="shared" si="85"/>
        <v>31.8</v>
      </c>
      <c r="IH37" s="1029">
        <f t="shared" si="86"/>
        <v>3733.7</v>
      </c>
    </row>
    <row r="38" spans="1:242" ht="18.75" x14ac:dyDescent="0.25">
      <c r="A38" s="1010" t="s">
        <v>689</v>
      </c>
      <c r="B38" s="1011">
        <f t="shared" si="87"/>
        <v>128.19</v>
      </c>
      <c r="C38" s="1011">
        <f t="shared" si="88"/>
        <v>128.19</v>
      </c>
      <c r="D38" s="1012">
        <v>1</v>
      </c>
      <c r="E38" s="1012">
        <v>5.5</v>
      </c>
      <c r="F38" s="1012">
        <v>6.75</v>
      </c>
      <c r="G38" s="1012">
        <v>1</v>
      </c>
      <c r="H38" s="1012">
        <v>18</v>
      </c>
      <c r="I38" s="1014">
        <f t="shared" si="89"/>
        <v>95.94</v>
      </c>
      <c r="J38" s="1020">
        <v>21.56</v>
      </c>
      <c r="K38" s="1020">
        <v>38.83</v>
      </c>
      <c r="L38" s="1020">
        <v>9.33</v>
      </c>
      <c r="M38" s="1020"/>
      <c r="N38" s="1020"/>
      <c r="O38" s="1020"/>
      <c r="P38" s="1020">
        <v>8.89</v>
      </c>
      <c r="Q38" s="1020">
        <v>11.11</v>
      </c>
      <c r="R38" s="1020">
        <v>2.2200000000000002</v>
      </c>
      <c r="S38" s="1020">
        <v>4</v>
      </c>
      <c r="T38" s="1013">
        <f t="shared" si="90"/>
        <v>22.22</v>
      </c>
      <c r="U38" s="1013">
        <f t="shared" si="91"/>
        <v>8.89</v>
      </c>
      <c r="V38" s="1013">
        <f t="shared" si="91"/>
        <v>11.11</v>
      </c>
      <c r="W38" s="1013">
        <f t="shared" si="91"/>
        <v>2.2200000000000002</v>
      </c>
      <c r="X38" s="1013"/>
      <c r="Y38" s="1011">
        <f t="shared" si="92"/>
        <v>2843713.2</v>
      </c>
      <c r="Z38" s="1012">
        <v>32562.400000000001</v>
      </c>
      <c r="AA38" s="1014">
        <f t="shared" si="3"/>
        <v>161183.88</v>
      </c>
      <c r="AB38" s="1015">
        <f t="shared" si="93"/>
        <v>109633.5</v>
      </c>
      <c r="AC38" s="1015">
        <f t="shared" si="93"/>
        <v>16242</v>
      </c>
      <c r="AD38" s="1015">
        <f t="shared" si="93"/>
        <v>292356</v>
      </c>
      <c r="AE38" s="1015">
        <f t="shared" si="94"/>
        <v>2231735.42</v>
      </c>
      <c r="AF38" s="1015">
        <f t="shared" si="4"/>
        <v>535815.16</v>
      </c>
      <c r="AG38" s="1015">
        <f t="shared" si="5"/>
        <v>993066.77</v>
      </c>
      <c r="AH38" s="1015">
        <f t="shared" si="6"/>
        <v>238612.23</v>
      </c>
      <c r="AI38" s="1015">
        <f t="shared" si="7"/>
        <v>0</v>
      </c>
      <c r="AJ38" s="1015">
        <f t="shared" si="8"/>
        <v>0</v>
      </c>
      <c r="AK38" s="1015">
        <f t="shared" si="9"/>
        <v>0</v>
      </c>
      <c r="AL38" s="1015">
        <f t="shared" si="10"/>
        <v>148264.22</v>
      </c>
      <c r="AM38" s="1015">
        <f t="shared" si="11"/>
        <v>185288.58</v>
      </c>
      <c r="AN38" s="1015">
        <f t="shared" si="12"/>
        <v>37024.36</v>
      </c>
      <c r="AO38" s="1015">
        <f t="shared" si="13"/>
        <v>75470.559999999998</v>
      </c>
      <c r="AP38" s="1015">
        <f t="shared" si="95"/>
        <v>18193.54</v>
      </c>
      <c r="AQ38" s="1015"/>
      <c r="AR38" s="1014">
        <f t="shared" si="96"/>
        <v>0</v>
      </c>
      <c r="AS38" s="1014">
        <f t="shared" si="97"/>
        <v>0</v>
      </c>
      <c r="AT38" s="1014">
        <f t="shared" si="98"/>
        <v>0</v>
      </c>
      <c r="AU38" s="1023">
        <v>15</v>
      </c>
      <c r="AV38" s="1023">
        <v>20</v>
      </c>
      <c r="AW38" s="1023">
        <v>25</v>
      </c>
      <c r="AX38" s="1023">
        <v>15</v>
      </c>
      <c r="AY38" s="1023">
        <f t="shared" si="99"/>
        <v>15</v>
      </c>
      <c r="AZ38" s="1023">
        <v>12</v>
      </c>
      <c r="BA38" s="1023">
        <v>15</v>
      </c>
      <c r="BB38" s="1023">
        <v>10</v>
      </c>
      <c r="BC38" s="1011">
        <f t="shared" si="100"/>
        <v>40</v>
      </c>
      <c r="BD38" s="1011">
        <f t="shared" si="101"/>
        <v>16</v>
      </c>
      <c r="BE38" s="1011">
        <f t="shared" si="101"/>
        <v>20</v>
      </c>
      <c r="BF38" s="1011">
        <f t="shared" si="101"/>
        <v>4</v>
      </c>
      <c r="BG38" s="1011">
        <f t="shared" si="102"/>
        <v>1163</v>
      </c>
      <c r="BH38" s="1012">
        <v>16</v>
      </c>
      <c r="BI38" s="1012">
        <v>20</v>
      </c>
      <c r="BJ38" s="1012">
        <v>4</v>
      </c>
      <c r="BK38" s="1012">
        <v>1163</v>
      </c>
      <c r="BL38" s="1016">
        <v>0</v>
      </c>
      <c r="BM38" s="1012">
        <v>0</v>
      </c>
      <c r="BN38" s="1012">
        <v>0</v>
      </c>
      <c r="BO38" s="1012"/>
      <c r="BP38" s="1012">
        <v>0</v>
      </c>
      <c r="BQ38" s="1016">
        <v>15</v>
      </c>
      <c r="BR38" s="1012"/>
      <c r="BS38" s="1012"/>
      <c r="BT38" s="1012"/>
      <c r="BU38" s="1012"/>
      <c r="BV38" s="1016">
        <v>0</v>
      </c>
      <c r="BW38" s="1012"/>
      <c r="BX38" s="1012"/>
      <c r="BY38" s="1012"/>
      <c r="BZ38" s="1012"/>
      <c r="CA38" s="1016">
        <v>0</v>
      </c>
      <c r="CB38" s="1012">
        <v>0</v>
      </c>
      <c r="CC38" s="1012">
        <v>0</v>
      </c>
      <c r="CD38" s="1012">
        <v>0</v>
      </c>
      <c r="CE38" s="1012">
        <v>0</v>
      </c>
      <c r="CF38" s="1016">
        <v>15</v>
      </c>
      <c r="CG38" s="1012">
        <v>0</v>
      </c>
      <c r="CH38" s="1012">
        <v>0</v>
      </c>
      <c r="CI38" s="1012">
        <v>0</v>
      </c>
      <c r="CJ38" s="1012">
        <v>0</v>
      </c>
      <c r="CK38" s="1016">
        <v>15</v>
      </c>
      <c r="CL38" s="1012">
        <v>0</v>
      </c>
      <c r="CM38" s="1012">
        <v>0</v>
      </c>
      <c r="CN38" s="1012"/>
      <c r="CO38" s="1012">
        <v>0</v>
      </c>
      <c r="CP38" s="1016">
        <v>15</v>
      </c>
      <c r="CQ38" s="1067">
        <v>64.8</v>
      </c>
      <c r="CR38" s="1067">
        <v>0</v>
      </c>
      <c r="CS38" s="1067">
        <v>3814.7</v>
      </c>
      <c r="CT38" s="1018">
        <f t="shared" si="103"/>
        <v>4161.5</v>
      </c>
      <c r="CU38" s="1018">
        <f t="shared" si="15"/>
        <v>1.5</v>
      </c>
      <c r="CV38" s="1032">
        <v>1.5</v>
      </c>
      <c r="CW38" s="1014">
        <f t="shared" si="16"/>
        <v>40314.68</v>
      </c>
      <c r="CX38" s="1017">
        <v>45304.5</v>
      </c>
      <c r="CY38" s="1014">
        <f t="shared" si="17"/>
        <v>3829786.65</v>
      </c>
      <c r="CZ38" s="1020">
        <v>13888</v>
      </c>
      <c r="DA38" s="1021">
        <v>55.445540000000001</v>
      </c>
      <c r="DB38" s="1027">
        <v>50</v>
      </c>
      <c r="DC38" s="1033">
        <f t="shared" si="104"/>
        <v>1.01525</v>
      </c>
      <c r="DD38" s="1011">
        <f t="shared" si="105"/>
        <v>34568421.549999997</v>
      </c>
      <c r="DE38" s="1014">
        <f t="shared" si="18"/>
        <v>396707.72</v>
      </c>
      <c r="DF38" s="1014">
        <f t="shared" si="19"/>
        <v>1963703.21</v>
      </c>
      <c r="DG38" s="1014">
        <f t="shared" si="106"/>
        <v>1315602</v>
      </c>
      <c r="DH38" s="1014">
        <f t="shared" si="106"/>
        <v>194904</v>
      </c>
      <c r="DI38" s="1014">
        <f t="shared" si="106"/>
        <v>3508272</v>
      </c>
      <c r="DJ38" s="1014">
        <f t="shared" si="20"/>
        <v>27189232.620000001</v>
      </c>
      <c r="DK38" s="1024">
        <f t="shared" si="107"/>
        <v>16566.84</v>
      </c>
      <c r="DL38" s="1024">
        <f t="shared" si="21"/>
        <v>991603.19999999995</v>
      </c>
      <c r="DM38" s="1024">
        <f t="shared" si="22"/>
        <v>314077.5</v>
      </c>
      <c r="DN38" s="1024">
        <f t="shared" si="23"/>
        <v>47472</v>
      </c>
      <c r="DO38" s="1024">
        <f t="shared" si="108"/>
        <v>2470325.02</v>
      </c>
      <c r="DP38" s="1014">
        <f t="shared" si="109"/>
        <v>1851937.33</v>
      </c>
      <c r="DQ38" s="1014">
        <f t="shared" si="110"/>
        <v>370387.47</v>
      </c>
      <c r="DR38" s="1011">
        <f t="shared" si="111"/>
        <v>40630790.899999999</v>
      </c>
      <c r="DS38" s="1011">
        <f t="shared" si="112"/>
        <v>12270498.9</v>
      </c>
      <c r="DT38" s="1011">
        <f t="shared" si="113"/>
        <v>52901289.799999997</v>
      </c>
      <c r="DU38" s="1025"/>
      <c r="DV38" s="1028">
        <v>1.1072</v>
      </c>
      <c r="DW38" s="1011">
        <f t="shared" si="114"/>
        <v>775618.81</v>
      </c>
      <c r="DX38" s="1023">
        <v>60000</v>
      </c>
      <c r="DY38" s="1015">
        <f t="shared" si="115"/>
        <v>66432</v>
      </c>
      <c r="DZ38" s="1023"/>
      <c r="EA38" s="1015">
        <f t="shared" si="116"/>
        <v>0</v>
      </c>
      <c r="EB38" s="1023"/>
      <c r="EC38" s="1015">
        <f t="shared" si="24"/>
        <v>52851.07</v>
      </c>
      <c r="ED38" s="1023">
        <v>487415</v>
      </c>
      <c r="EE38" s="1015">
        <f t="shared" si="117"/>
        <v>539665.89</v>
      </c>
      <c r="EF38" s="1023">
        <v>84920</v>
      </c>
      <c r="EG38" s="1015">
        <f t="shared" si="25"/>
        <v>87004.46</v>
      </c>
      <c r="EH38" s="1023">
        <v>0</v>
      </c>
      <c r="EI38" s="1015">
        <f t="shared" si="26"/>
        <v>29665.39</v>
      </c>
      <c r="EJ38" s="1011">
        <f t="shared" si="118"/>
        <v>3638306.78</v>
      </c>
      <c r="EK38" s="1023"/>
      <c r="EL38" s="1015">
        <f t="shared" si="27"/>
        <v>158486.87</v>
      </c>
      <c r="EM38" s="1023">
        <v>133150.38</v>
      </c>
      <c r="EN38" s="1015">
        <f t="shared" si="28"/>
        <v>771715.67</v>
      </c>
      <c r="EO38" s="1068">
        <v>128</v>
      </c>
      <c r="EP38" s="1015">
        <f t="shared" si="119"/>
        <v>226508.79999999999</v>
      </c>
      <c r="EQ38" s="1068">
        <v>134</v>
      </c>
      <c r="ER38" s="1015">
        <f t="shared" si="29"/>
        <v>295068</v>
      </c>
      <c r="ES38" s="1068">
        <v>134</v>
      </c>
      <c r="ET38" s="1015">
        <f t="shared" si="30"/>
        <v>297694.40000000002</v>
      </c>
      <c r="EU38" s="1068">
        <v>127</v>
      </c>
      <c r="EV38" s="1015">
        <f t="shared" si="31"/>
        <v>305079.40000000002</v>
      </c>
      <c r="EW38" s="1068">
        <v>100</v>
      </c>
      <c r="EX38" s="1015">
        <f t="shared" si="32"/>
        <v>264820</v>
      </c>
      <c r="EY38" s="1068">
        <v>105</v>
      </c>
      <c r="EZ38" s="1015">
        <f t="shared" si="33"/>
        <v>322077</v>
      </c>
      <c r="FA38" s="1068">
        <v>108</v>
      </c>
      <c r="FB38" s="1015">
        <f t="shared" si="34"/>
        <v>398368.8</v>
      </c>
      <c r="FC38" s="1068">
        <v>99</v>
      </c>
      <c r="FD38" s="1015">
        <f t="shared" si="35"/>
        <v>376714.8</v>
      </c>
      <c r="FE38" s="1068">
        <v>108</v>
      </c>
      <c r="FF38" s="1015">
        <f t="shared" si="36"/>
        <v>381585.6</v>
      </c>
      <c r="FG38" s="1068">
        <v>62</v>
      </c>
      <c r="FH38" s="1015">
        <f t="shared" si="37"/>
        <v>210800</v>
      </c>
      <c r="FI38" s="1068">
        <v>58</v>
      </c>
      <c r="FJ38" s="1015">
        <f t="shared" si="38"/>
        <v>197200</v>
      </c>
      <c r="FK38" s="1015">
        <f t="shared" si="120"/>
        <v>3275916.8</v>
      </c>
      <c r="FL38" s="1023"/>
      <c r="FM38" s="1015">
        <f t="shared" si="39"/>
        <v>171054.56</v>
      </c>
      <c r="FN38" s="1023">
        <v>43665</v>
      </c>
      <c r="FO38" s="1015">
        <f t="shared" si="40"/>
        <v>32848.550000000003</v>
      </c>
      <c r="FP38" s="1011">
        <f t="shared" si="41"/>
        <v>4413925.59</v>
      </c>
      <c r="FQ38" s="1025"/>
      <c r="FR38" s="1011">
        <f t="shared" si="121"/>
        <v>57315215.390000001</v>
      </c>
      <c r="FS38" s="996"/>
      <c r="FT38" s="1029">
        <f t="shared" si="140"/>
        <v>57315.3</v>
      </c>
      <c r="FU38" s="1029">
        <f t="shared" si="122"/>
        <v>40630.800000000003</v>
      </c>
      <c r="FV38" s="1029">
        <f t="shared" si="123"/>
        <v>3352</v>
      </c>
      <c r="FW38" s="1029">
        <f t="shared" si="124"/>
        <v>1629.7</v>
      </c>
      <c r="FX38" s="1029">
        <f t="shared" si="125"/>
        <v>258.89999999999998</v>
      </c>
      <c r="FY38" s="1029">
        <f t="shared" si="126"/>
        <v>3508.3</v>
      </c>
      <c r="FZ38" s="1029">
        <f t="shared" si="127"/>
        <v>29659.599999999999</v>
      </c>
      <c r="GA38" s="1029">
        <f t="shared" si="128"/>
        <v>2222.3000000000002</v>
      </c>
      <c r="GB38" s="1029">
        <f t="shared" si="42"/>
        <v>12270.5</v>
      </c>
      <c r="GC38" s="1029">
        <f t="shared" si="129"/>
        <v>66.400000000000006</v>
      </c>
      <c r="GD38" s="1029">
        <f t="shared" si="130"/>
        <v>0</v>
      </c>
      <c r="GE38" s="1029">
        <f t="shared" si="131"/>
        <v>52.9</v>
      </c>
      <c r="GF38" s="1029">
        <f t="shared" si="132"/>
        <v>539.70000000000005</v>
      </c>
      <c r="GG38" s="1029">
        <f t="shared" si="133"/>
        <v>87</v>
      </c>
      <c r="GH38" s="1029">
        <f t="shared" si="134"/>
        <v>29.7</v>
      </c>
      <c r="GI38" s="1029">
        <f t="shared" si="135"/>
        <v>158.5</v>
      </c>
      <c r="GJ38" s="1029">
        <f t="shared" si="136"/>
        <v>3275.9</v>
      </c>
      <c r="GK38" s="1029">
        <f t="shared" si="137"/>
        <v>171.1</v>
      </c>
      <c r="GL38" s="1029">
        <f t="shared" si="138"/>
        <v>32.799999999999997</v>
      </c>
      <c r="GM38" s="1069"/>
      <c r="GN38" s="1031">
        <f t="shared" si="43"/>
        <v>0.8084192</v>
      </c>
      <c r="GO38" s="1029">
        <f t="shared" si="139"/>
        <v>46334.7</v>
      </c>
      <c r="GP38" s="1029">
        <f t="shared" si="44"/>
        <v>32846.699999999997</v>
      </c>
      <c r="GQ38" s="1029">
        <f t="shared" si="45"/>
        <v>9919.7000000000007</v>
      </c>
      <c r="GR38" s="1029">
        <f t="shared" si="46"/>
        <v>53.7</v>
      </c>
      <c r="GS38" s="1029">
        <f t="shared" si="47"/>
        <v>0</v>
      </c>
      <c r="GT38" s="1029">
        <f t="shared" si="48"/>
        <v>42.8</v>
      </c>
      <c r="GU38" s="1029">
        <f t="shared" si="49"/>
        <v>436.3</v>
      </c>
      <c r="GV38" s="1029">
        <f t="shared" si="50"/>
        <v>70.3</v>
      </c>
      <c r="GW38" s="1029">
        <f t="shared" si="51"/>
        <v>24</v>
      </c>
      <c r="GX38" s="1029">
        <f t="shared" si="52"/>
        <v>128.1</v>
      </c>
      <c r="GY38" s="1029">
        <f t="shared" si="53"/>
        <v>2648.3</v>
      </c>
      <c r="GZ38" s="1029">
        <f t="shared" si="54"/>
        <v>138.30000000000001</v>
      </c>
      <c r="HA38" s="1029">
        <f t="shared" si="55"/>
        <v>26.5</v>
      </c>
      <c r="HB38" s="1029">
        <f t="shared" si="56"/>
        <v>2600.1999999999998</v>
      </c>
      <c r="HC38" s="996"/>
      <c r="HD38" s="1031">
        <f t="shared" si="57"/>
        <v>0.85399429999999998</v>
      </c>
      <c r="HE38" s="1029">
        <f t="shared" si="58"/>
        <v>48947</v>
      </c>
      <c r="HF38" s="1029">
        <f t="shared" si="59"/>
        <v>34698.5</v>
      </c>
      <c r="HG38" s="1029">
        <f t="shared" si="60"/>
        <v>10478.9</v>
      </c>
      <c r="HH38" s="1029">
        <f t="shared" si="61"/>
        <v>56.7</v>
      </c>
      <c r="HI38" s="1029">
        <f t="shared" si="62"/>
        <v>0</v>
      </c>
      <c r="HJ38" s="1029">
        <f t="shared" si="63"/>
        <v>45.2</v>
      </c>
      <c r="HK38" s="1029">
        <f t="shared" si="64"/>
        <v>460.9</v>
      </c>
      <c r="HL38" s="1029">
        <f t="shared" si="65"/>
        <v>74.3</v>
      </c>
      <c r="HM38" s="1029">
        <f t="shared" si="66"/>
        <v>25.4</v>
      </c>
      <c r="HN38" s="1029">
        <f t="shared" si="67"/>
        <v>135.4</v>
      </c>
      <c r="HO38" s="1029">
        <f t="shared" si="68"/>
        <v>2797.6</v>
      </c>
      <c r="HP38" s="1029">
        <f t="shared" si="69"/>
        <v>146.1</v>
      </c>
      <c r="HQ38" s="1029">
        <f t="shared" si="70"/>
        <v>28</v>
      </c>
      <c r="HR38" s="1029">
        <f t="shared" si="71"/>
        <v>2746.8</v>
      </c>
      <c r="HS38" s="996"/>
      <c r="HT38" s="1031">
        <f t="shared" si="72"/>
        <v>0.90058660000000001</v>
      </c>
      <c r="HU38" s="1029">
        <f t="shared" si="73"/>
        <v>51617.2</v>
      </c>
      <c r="HV38" s="1029">
        <f t="shared" si="74"/>
        <v>36591.599999999999</v>
      </c>
      <c r="HW38" s="1029">
        <f t="shared" si="75"/>
        <v>11050.6</v>
      </c>
      <c r="HX38" s="1029">
        <f t="shared" si="76"/>
        <v>59.8</v>
      </c>
      <c r="HY38" s="1029">
        <f t="shared" si="77"/>
        <v>0</v>
      </c>
      <c r="HZ38" s="1029">
        <f t="shared" si="78"/>
        <v>47.6</v>
      </c>
      <c r="IA38" s="1029">
        <f t="shared" si="79"/>
        <v>486</v>
      </c>
      <c r="IB38" s="1029">
        <f t="shared" si="80"/>
        <v>78.400000000000006</v>
      </c>
      <c r="IC38" s="1029">
        <f t="shared" si="81"/>
        <v>26.7</v>
      </c>
      <c r="ID38" s="1029">
        <f t="shared" si="82"/>
        <v>142.69999999999999</v>
      </c>
      <c r="IE38" s="1029">
        <f t="shared" si="83"/>
        <v>2950.2</v>
      </c>
      <c r="IF38" s="1029">
        <f t="shared" si="84"/>
        <v>154.1</v>
      </c>
      <c r="IG38" s="1029">
        <f t="shared" si="85"/>
        <v>29.5</v>
      </c>
      <c r="IH38" s="1029">
        <f t="shared" si="86"/>
        <v>2896.6</v>
      </c>
    </row>
    <row r="39" spans="1:242" ht="18.75" x14ac:dyDescent="0.25">
      <c r="A39" s="1010" t="s">
        <v>690</v>
      </c>
      <c r="B39" s="1011">
        <f t="shared" si="87"/>
        <v>157.11000000000001</v>
      </c>
      <c r="C39" s="1011">
        <f t="shared" si="88"/>
        <v>157.11000000000001</v>
      </c>
      <c r="D39" s="1012">
        <v>1</v>
      </c>
      <c r="E39" s="1012">
        <v>5.5</v>
      </c>
      <c r="F39" s="1012">
        <v>6.5</v>
      </c>
      <c r="G39" s="1012">
        <v>1</v>
      </c>
      <c r="H39" s="1012">
        <v>31.5</v>
      </c>
      <c r="I39" s="1014">
        <f t="shared" si="89"/>
        <v>111.61</v>
      </c>
      <c r="J39" s="1020">
        <v>23.89</v>
      </c>
      <c r="K39" s="1020">
        <v>42.06</v>
      </c>
      <c r="L39" s="1020">
        <v>12.83</v>
      </c>
      <c r="M39" s="1020">
        <v>1</v>
      </c>
      <c r="N39" s="1020">
        <v>2.89</v>
      </c>
      <c r="O39" s="1020"/>
      <c r="P39" s="1020">
        <v>10</v>
      </c>
      <c r="Q39" s="1020">
        <v>11.11</v>
      </c>
      <c r="R39" s="1020">
        <v>3.33</v>
      </c>
      <c r="S39" s="1020">
        <v>4.5</v>
      </c>
      <c r="T39" s="1013">
        <f t="shared" si="90"/>
        <v>24.44</v>
      </c>
      <c r="U39" s="1013">
        <f t="shared" si="91"/>
        <v>10</v>
      </c>
      <c r="V39" s="1013">
        <f t="shared" si="91"/>
        <v>11.11</v>
      </c>
      <c r="W39" s="1013">
        <f t="shared" si="91"/>
        <v>3.33</v>
      </c>
      <c r="X39" s="1013"/>
      <c r="Y39" s="1011">
        <f t="shared" si="92"/>
        <v>3403239.92</v>
      </c>
      <c r="Z39" s="1012">
        <v>30057.599999999999</v>
      </c>
      <c r="AA39" s="1014">
        <f t="shared" si="3"/>
        <v>148785.12</v>
      </c>
      <c r="AB39" s="1015">
        <f t="shared" si="93"/>
        <v>105573</v>
      </c>
      <c r="AC39" s="1015">
        <f t="shared" si="93"/>
        <v>16242</v>
      </c>
      <c r="AD39" s="1015">
        <f t="shared" si="93"/>
        <v>511623</v>
      </c>
      <c r="AE39" s="1015">
        <f t="shared" si="94"/>
        <v>2590959.2000000002</v>
      </c>
      <c r="AF39" s="1015">
        <f t="shared" si="4"/>
        <v>593720.97</v>
      </c>
      <c r="AG39" s="1015">
        <f t="shared" si="5"/>
        <v>1075673.1399999999</v>
      </c>
      <c r="AH39" s="1015">
        <f t="shared" si="6"/>
        <v>328123.78999999998</v>
      </c>
      <c r="AI39" s="1015">
        <f t="shared" si="7"/>
        <v>20517.580000000002</v>
      </c>
      <c r="AJ39" s="1015">
        <f t="shared" si="8"/>
        <v>59295.81</v>
      </c>
      <c r="AK39" s="1015">
        <f t="shared" si="9"/>
        <v>0</v>
      </c>
      <c r="AL39" s="1015">
        <f t="shared" si="10"/>
        <v>166776.4</v>
      </c>
      <c r="AM39" s="1015">
        <f t="shared" si="11"/>
        <v>185288.58</v>
      </c>
      <c r="AN39" s="1015">
        <f t="shared" si="12"/>
        <v>55536.54</v>
      </c>
      <c r="AO39" s="1015">
        <f t="shared" si="13"/>
        <v>84904.38</v>
      </c>
      <c r="AP39" s="1015">
        <f t="shared" si="95"/>
        <v>21122.01</v>
      </c>
      <c r="AQ39" s="1015"/>
      <c r="AR39" s="1014">
        <f t="shared" si="96"/>
        <v>0</v>
      </c>
      <c r="AS39" s="1014">
        <f t="shared" si="97"/>
        <v>0</v>
      </c>
      <c r="AT39" s="1014">
        <f t="shared" si="98"/>
        <v>0</v>
      </c>
      <c r="AU39" s="1023">
        <v>15</v>
      </c>
      <c r="AV39" s="1023">
        <v>20</v>
      </c>
      <c r="AW39" s="1023">
        <v>25</v>
      </c>
      <c r="AX39" s="1023">
        <v>15</v>
      </c>
      <c r="AY39" s="1023">
        <f t="shared" si="99"/>
        <v>15</v>
      </c>
      <c r="AZ39" s="1023">
        <v>12</v>
      </c>
      <c r="BA39" s="1023">
        <v>15</v>
      </c>
      <c r="BB39" s="1023">
        <v>10</v>
      </c>
      <c r="BC39" s="1011">
        <f t="shared" si="100"/>
        <v>44</v>
      </c>
      <c r="BD39" s="1011">
        <f t="shared" si="101"/>
        <v>18</v>
      </c>
      <c r="BE39" s="1011">
        <f t="shared" si="101"/>
        <v>20</v>
      </c>
      <c r="BF39" s="1011">
        <f t="shared" si="101"/>
        <v>6</v>
      </c>
      <c r="BG39" s="1011">
        <f t="shared" si="102"/>
        <v>1341</v>
      </c>
      <c r="BH39" s="1012">
        <v>18</v>
      </c>
      <c r="BI39" s="1012">
        <v>20</v>
      </c>
      <c r="BJ39" s="1012">
        <v>6</v>
      </c>
      <c r="BK39" s="1012">
        <v>1338</v>
      </c>
      <c r="BL39" s="1016">
        <v>0</v>
      </c>
      <c r="BM39" s="1012">
        <v>0</v>
      </c>
      <c r="BN39" s="1012">
        <v>0</v>
      </c>
      <c r="BO39" s="1012"/>
      <c r="BP39" s="1012">
        <v>0</v>
      </c>
      <c r="BQ39" s="1016">
        <v>15</v>
      </c>
      <c r="BR39" s="1012"/>
      <c r="BS39" s="1012"/>
      <c r="BT39" s="1012"/>
      <c r="BU39" s="1012"/>
      <c r="BV39" s="1016">
        <v>0</v>
      </c>
      <c r="BW39" s="1012"/>
      <c r="BX39" s="1012"/>
      <c r="BY39" s="1012"/>
      <c r="BZ39" s="1012"/>
      <c r="CA39" s="1016">
        <v>0</v>
      </c>
      <c r="CB39" s="1012">
        <v>0</v>
      </c>
      <c r="CC39" s="1012">
        <v>0</v>
      </c>
      <c r="CD39" s="1012">
        <v>0</v>
      </c>
      <c r="CE39" s="1012">
        <v>0</v>
      </c>
      <c r="CF39" s="1016">
        <v>15</v>
      </c>
      <c r="CG39" s="1012">
        <v>1</v>
      </c>
      <c r="CH39" s="1012">
        <v>2</v>
      </c>
      <c r="CI39" s="1012">
        <v>0</v>
      </c>
      <c r="CJ39" s="1012">
        <v>3</v>
      </c>
      <c r="CK39" s="1016">
        <v>15</v>
      </c>
      <c r="CL39" s="1012">
        <v>0</v>
      </c>
      <c r="CM39" s="1012">
        <v>0</v>
      </c>
      <c r="CN39" s="1012"/>
      <c r="CO39" s="1012">
        <v>0</v>
      </c>
      <c r="CP39" s="1016">
        <v>15</v>
      </c>
      <c r="CQ39" s="1067">
        <v>63.4</v>
      </c>
      <c r="CR39" s="1067">
        <v>2.2999999999999998</v>
      </c>
      <c r="CS39" s="1067">
        <v>849.3</v>
      </c>
      <c r="CT39" s="1018">
        <f t="shared" si="103"/>
        <v>926.5</v>
      </c>
      <c r="CU39" s="1018">
        <f t="shared" si="15"/>
        <v>1.7</v>
      </c>
      <c r="CV39" s="1019">
        <v>1.7</v>
      </c>
      <c r="CW39" s="1014">
        <f t="shared" si="16"/>
        <v>40665.230000000003</v>
      </c>
      <c r="CX39" s="1017">
        <v>45304.5</v>
      </c>
      <c r="CY39" s="1014">
        <f t="shared" si="17"/>
        <v>3579660.73</v>
      </c>
      <c r="CZ39" s="1020">
        <v>12672.8</v>
      </c>
      <c r="DA39" s="1021">
        <v>50.594059999999999</v>
      </c>
      <c r="DB39" s="1027">
        <v>50</v>
      </c>
      <c r="DC39" s="1033">
        <f t="shared" si="104"/>
        <v>1.01525</v>
      </c>
      <c r="DD39" s="1011">
        <f t="shared" si="105"/>
        <v>41345752.789999999</v>
      </c>
      <c r="DE39" s="1014">
        <f t="shared" si="18"/>
        <v>366191.74</v>
      </c>
      <c r="DF39" s="1014">
        <f t="shared" si="19"/>
        <v>1812649.12</v>
      </c>
      <c r="DG39" s="1014">
        <f t="shared" si="106"/>
        <v>1266876</v>
      </c>
      <c r="DH39" s="1014">
        <f t="shared" si="106"/>
        <v>194904</v>
      </c>
      <c r="DI39" s="1014">
        <f t="shared" si="106"/>
        <v>6139476</v>
      </c>
      <c r="DJ39" s="1014">
        <f t="shared" si="20"/>
        <v>31565655.93</v>
      </c>
      <c r="DK39" s="1024">
        <f t="shared" si="107"/>
        <v>16566.84</v>
      </c>
      <c r="DL39" s="1024">
        <f t="shared" si="21"/>
        <v>904837.92</v>
      </c>
      <c r="DM39" s="1024">
        <f t="shared" si="22"/>
        <v>302445</v>
      </c>
      <c r="DN39" s="1024">
        <f t="shared" si="23"/>
        <v>47472</v>
      </c>
      <c r="DO39" s="1024">
        <f t="shared" si="108"/>
        <v>2001377.93</v>
      </c>
      <c r="DP39" s="1014">
        <f t="shared" si="109"/>
        <v>2167356.54</v>
      </c>
      <c r="DQ39" s="1014">
        <f t="shared" si="110"/>
        <v>433471.31</v>
      </c>
      <c r="DR39" s="1011">
        <f t="shared" si="111"/>
        <v>47219280.299999997</v>
      </c>
      <c r="DS39" s="1011">
        <f t="shared" si="112"/>
        <v>14260222.699999999</v>
      </c>
      <c r="DT39" s="1011">
        <f t="shared" si="113"/>
        <v>61479503</v>
      </c>
      <c r="DU39" s="1025"/>
      <c r="DV39" s="1028">
        <v>1.1072</v>
      </c>
      <c r="DW39" s="1011">
        <f t="shared" si="114"/>
        <v>526563.35</v>
      </c>
      <c r="DX39" s="1023">
        <v>110000</v>
      </c>
      <c r="DY39" s="1015">
        <f t="shared" si="115"/>
        <v>121792</v>
      </c>
      <c r="DZ39" s="1023"/>
      <c r="EA39" s="1015">
        <f t="shared" si="116"/>
        <v>0</v>
      </c>
      <c r="EB39" s="1023">
        <v>31800</v>
      </c>
      <c r="EC39" s="1015">
        <f t="shared" si="24"/>
        <v>61483.3</v>
      </c>
      <c r="ED39" s="1023">
        <v>187466</v>
      </c>
      <c r="EE39" s="1015">
        <f t="shared" si="117"/>
        <v>207562.36</v>
      </c>
      <c r="EF39" s="1023">
        <v>124710</v>
      </c>
      <c r="EG39" s="1015">
        <f t="shared" si="25"/>
        <v>101215.01</v>
      </c>
      <c r="EH39" s="1023">
        <v>0</v>
      </c>
      <c r="EI39" s="1015">
        <f t="shared" si="26"/>
        <v>34510.68</v>
      </c>
      <c r="EJ39" s="1011">
        <f t="shared" si="118"/>
        <v>4175499.06</v>
      </c>
      <c r="EK39" s="1023"/>
      <c r="EL39" s="1015">
        <f t="shared" si="27"/>
        <v>182743.67</v>
      </c>
      <c r="EM39" s="1023">
        <v>0</v>
      </c>
      <c r="EN39" s="1015">
        <f t="shared" si="28"/>
        <v>889828.64</v>
      </c>
      <c r="EO39" s="1068">
        <v>159</v>
      </c>
      <c r="EP39" s="1015">
        <f t="shared" si="119"/>
        <v>281366.40000000002</v>
      </c>
      <c r="EQ39" s="1068">
        <v>152</v>
      </c>
      <c r="ER39" s="1015">
        <f t="shared" si="29"/>
        <v>334704</v>
      </c>
      <c r="ES39" s="1068">
        <v>138</v>
      </c>
      <c r="ET39" s="1015">
        <f t="shared" si="30"/>
        <v>306580.8</v>
      </c>
      <c r="EU39" s="1068">
        <v>152</v>
      </c>
      <c r="EV39" s="1015">
        <f t="shared" si="31"/>
        <v>365134.4</v>
      </c>
      <c r="EW39" s="1068">
        <v>132</v>
      </c>
      <c r="EX39" s="1015">
        <f t="shared" si="32"/>
        <v>349562.4</v>
      </c>
      <c r="EY39" s="1068">
        <v>124</v>
      </c>
      <c r="EZ39" s="1015">
        <f t="shared" si="33"/>
        <v>380357.6</v>
      </c>
      <c r="FA39" s="1068">
        <v>124</v>
      </c>
      <c r="FB39" s="1015">
        <f t="shared" si="34"/>
        <v>457386.4</v>
      </c>
      <c r="FC39" s="1068">
        <v>109</v>
      </c>
      <c r="FD39" s="1015">
        <f t="shared" si="35"/>
        <v>414766.8</v>
      </c>
      <c r="FE39" s="1068">
        <v>108</v>
      </c>
      <c r="FF39" s="1015">
        <f t="shared" si="36"/>
        <v>381585.6</v>
      </c>
      <c r="FG39" s="1068">
        <v>71</v>
      </c>
      <c r="FH39" s="1015">
        <f t="shared" si="37"/>
        <v>241400</v>
      </c>
      <c r="FI39" s="1068">
        <v>72</v>
      </c>
      <c r="FJ39" s="1015">
        <f t="shared" si="38"/>
        <v>244800</v>
      </c>
      <c r="FK39" s="1015">
        <f t="shared" si="120"/>
        <v>3757644.4</v>
      </c>
      <c r="FL39" s="1023">
        <v>165842</v>
      </c>
      <c r="FM39" s="1015">
        <f t="shared" si="39"/>
        <v>197234.88</v>
      </c>
      <c r="FN39" s="1023">
        <v>34621.26</v>
      </c>
      <c r="FO39" s="1015">
        <f t="shared" si="40"/>
        <v>37876.11</v>
      </c>
      <c r="FP39" s="1011">
        <f t="shared" si="41"/>
        <v>4702062.41</v>
      </c>
      <c r="FQ39" s="1025"/>
      <c r="FR39" s="1011">
        <f t="shared" si="121"/>
        <v>66181565.409999996</v>
      </c>
      <c r="FS39" s="996"/>
      <c r="FT39" s="1029">
        <f t="shared" si="140"/>
        <v>66181.5</v>
      </c>
      <c r="FU39" s="1029">
        <f t="shared" si="122"/>
        <v>47219.3</v>
      </c>
      <c r="FV39" s="1029">
        <f t="shared" si="123"/>
        <v>3083.7</v>
      </c>
      <c r="FW39" s="1029">
        <f t="shared" si="124"/>
        <v>1569.3</v>
      </c>
      <c r="FX39" s="1029">
        <f t="shared" si="125"/>
        <v>258.89999999999998</v>
      </c>
      <c r="FY39" s="1029">
        <f t="shared" si="126"/>
        <v>6139.5</v>
      </c>
      <c r="FZ39" s="1029">
        <f t="shared" si="127"/>
        <v>33567</v>
      </c>
      <c r="GA39" s="1029">
        <f t="shared" si="128"/>
        <v>2600.9</v>
      </c>
      <c r="GB39" s="1029">
        <f t="shared" si="42"/>
        <v>14260.2</v>
      </c>
      <c r="GC39" s="1029">
        <f t="shared" si="129"/>
        <v>121.8</v>
      </c>
      <c r="GD39" s="1029">
        <f t="shared" si="130"/>
        <v>0</v>
      </c>
      <c r="GE39" s="1029">
        <f t="shared" si="131"/>
        <v>61.5</v>
      </c>
      <c r="GF39" s="1029">
        <f t="shared" si="132"/>
        <v>207.6</v>
      </c>
      <c r="GG39" s="1029">
        <f t="shared" si="133"/>
        <v>101.2</v>
      </c>
      <c r="GH39" s="1029">
        <f t="shared" si="134"/>
        <v>34.5</v>
      </c>
      <c r="GI39" s="1029">
        <f t="shared" si="135"/>
        <v>182.7</v>
      </c>
      <c r="GJ39" s="1029">
        <f t="shared" si="136"/>
        <v>3757.6</v>
      </c>
      <c r="GK39" s="1029">
        <f t="shared" si="137"/>
        <v>197.2</v>
      </c>
      <c r="GL39" s="1029">
        <f t="shared" si="138"/>
        <v>37.9</v>
      </c>
      <c r="GM39" s="1069"/>
      <c r="GN39" s="1031">
        <f t="shared" si="43"/>
        <v>0.8084192</v>
      </c>
      <c r="GO39" s="1029">
        <f t="shared" si="139"/>
        <v>53502.3</v>
      </c>
      <c r="GP39" s="1029">
        <f t="shared" si="44"/>
        <v>38173</v>
      </c>
      <c r="GQ39" s="1029">
        <f t="shared" si="45"/>
        <v>11528.2</v>
      </c>
      <c r="GR39" s="1029">
        <f t="shared" si="46"/>
        <v>98.5</v>
      </c>
      <c r="GS39" s="1029">
        <f t="shared" si="47"/>
        <v>0</v>
      </c>
      <c r="GT39" s="1029">
        <f t="shared" si="48"/>
        <v>49.7</v>
      </c>
      <c r="GU39" s="1029">
        <f t="shared" si="49"/>
        <v>167.8</v>
      </c>
      <c r="GV39" s="1029">
        <f t="shared" si="50"/>
        <v>81.8</v>
      </c>
      <c r="GW39" s="1029">
        <f t="shared" si="51"/>
        <v>27.9</v>
      </c>
      <c r="GX39" s="1029">
        <f t="shared" si="52"/>
        <v>147.69999999999999</v>
      </c>
      <c r="GY39" s="1029">
        <f t="shared" si="53"/>
        <v>3037.7</v>
      </c>
      <c r="GZ39" s="1029">
        <f t="shared" si="54"/>
        <v>159.4</v>
      </c>
      <c r="HA39" s="1029">
        <f t="shared" si="55"/>
        <v>30.6</v>
      </c>
      <c r="HB39" s="1029">
        <f t="shared" si="56"/>
        <v>2106.6</v>
      </c>
      <c r="HC39" s="996"/>
      <c r="HD39" s="1031">
        <f t="shared" si="57"/>
        <v>0.85399429999999998</v>
      </c>
      <c r="HE39" s="1029">
        <f t="shared" si="58"/>
        <v>56518.6</v>
      </c>
      <c r="HF39" s="1029">
        <f t="shared" si="59"/>
        <v>40325</v>
      </c>
      <c r="HG39" s="1029">
        <f t="shared" si="60"/>
        <v>12178.1</v>
      </c>
      <c r="HH39" s="1029">
        <f t="shared" si="61"/>
        <v>104</v>
      </c>
      <c r="HI39" s="1029">
        <f t="shared" si="62"/>
        <v>0</v>
      </c>
      <c r="HJ39" s="1029">
        <f t="shared" si="63"/>
        <v>52.5</v>
      </c>
      <c r="HK39" s="1029">
        <f t="shared" si="64"/>
        <v>177.3</v>
      </c>
      <c r="HL39" s="1029">
        <f t="shared" si="65"/>
        <v>86.4</v>
      </c>
      <c r="HM39" s="1029">
        <f t="shared" si="66"/>
        <v>29.5</v>
      </c>
      <c r="HN39" s="1029">
        <f t="shared" si="67"/>
        <v>156</v>
      </c>
      <c r="HO39" s="1029">
        <f t="shared" si="68"/>
        <v>3209</v>
      </c>
      <c r="HP39" s="1029">
        <f t="shared" si="69"/>
        <v>168.4</v>
      </c>
      <c r="HQ39" s="1029">
        <f t="shared" si="70"/>
        <v>32.4</v>
      </c>
      <c r="HR39" s="1029">
        <f t="shared" si="71"/>
        <v>2225.3000000000002</v>
      </c>
      <c r="HS39" s="996"/>
      <c r="HT39" s="1031">
        <f t="shared" si="72"/>
        <v>0.90058660000000001</v>
      </c>
      <c r="HU39" s="1029">
        <f t="shared" si="73"/>
        <v>59602.1</v>
      </c>
      <c r="HV39" s="1029">
        <f t="shared" si="74"/>
        <v>42525.1</v>
      </c>
      <c r="HW39" s="1029">
        <f t="shared" si="75"/>
        <v>12842.5</v>
      </c>
      <c r="HX39" s="1029">
        <f t="shared" si="76"/>
        <v>109.7</v>
      </c>
      <c r="HY39" s="1029">
        <f t="shared" si="77"/>
        <v>0</v>
      </c>
      <c r="HZ39" s="1029">
        <f t="shared" si="78"/>
        <v>55.4</v>
      </c>
      <c r="IA39" s="1029">
        <f t="shared" si="79"/>
        <v>187</v>
      </c>
      <c r="IB39" s="1029">
        <f t="shared" si="80"/>
        <v>91.1</v>
      </c>
      <c r="IC39" s="1029">
        <f t="shared" si="81"/>
        <v>31.1</v>
      </c>
      <c r="ID39" s="1029">
        <f t="shared" si="82"/>
        <v>164.5</v>
      </c>
      <c r="IE39" s="1029">
        <f t="shared" si="83"/>
        <v>3384</v>
      </c>
      <c r="IF39" s="1029">
        <f t="shared" si="84"/>
        <v>177.6</v>
      </c>
      <c r="IG39" s="1029">
        <f t="shared" si="85"/>
        <v>34.1</v>
      </c>
      <c r="IH39" s="1029">
        <f t="shared" si="86"/>
        <v>2346.6999999999998</v>
      </c>
    </row>
    <row r="40" spans="1:242" ht="18.75" x14ac:dyDescent="0.25">
      <c r="A40" s="1010" t="s">
        <v>691</v>
      </c>
      <c r="B40" s="1011">
        <f t="shared" si="87"/>
        <v>131.74</v>
      </c>
      <c r="C40" s="1011">
        <f t="shared" si="88"/>
        <v>131.74</v>
      </c>
      <c r="D40" s="1012">
        <v>1</v>
      </c>
      <c r="E40" s="1012">
        <v>5</v>
      </c>
      <c r="F40" s="1012">
        <v>7.5</v>
      </c>
      <c r="G40" s="1012">
        <v>1</v>
      </c>
      <c r="H40" s="1012">
        <v>28</v>
      </c>
      <c r="I40" s="1014">
        <f t="shared" si="89"/>
        <v>89.24</v>
      </c>
      <c r="J40" s="1020">
        <v>21.17</v>
      </c>
      <c r="K40" s="1020">
        <v>34.5</v>
      </c>
      <c r="L40" s="1020">
        <v>4.33</v>
      </c>
      <c r="M40" s="1020">
        <v>5</v>
      </c>
      <c r="N40" s="1020"/>
      <c r="O40" s="1020"/>
      <c r="P40" s="1020">
        <v>9.44</v>
      </c>
      <c r="Q40" s="1020">
        <v>9.44</v>
      </c>
      <c r="R40" s="1020">
        <v>1.1100000000000001</v>
      </c>
      <c r="S40" s="1020">
        <v>4.25</v>
      </c>
      <c r="T40" s="1013">
        <f t="shared" si="90"/>
        <v>19.989999999999998</v>
      </c>
      <c r="U40" s="1013">
        <f t="shared" si="91"/>
        <v>9.44</v>
      </c>
      <c r="V40" s="1013">
        <f t="shared" si="91"/>
        <v>9.44</v>
      </c>
      <c r="W40" s="1013">
        <f t="shared" si="91"/>
        <v>1.1100000000000001</v>
      </c>
      <c r="X40" s="1013"/>
      <c r="Y40" s="1011">
        <f t="shared" si="92"/>
        <v>2824006.09</v>
      </c>
      <c r="Z40" s="1012">
        <v>32562.400000000001</v>
      </c>
      <c r="AA40" s="1014">
        <f t="shared" si="3"/>
        <v>146530.79999999999</v>
      </c>
      <c r="AB40" s="1015">
        <f t="shared" si="93"/>
        <v>121815</v>
      </c>
      <c r="AC40" s="1015">
        <f t="shared" si="93"/>
        <v>16242</v>
      </c>
      <c r="AD40" s="1015">
        <f t="shared" si="93"/>
        <v>454776</v>
      </c>
      <c r="AE40" s="1015">
        <f t="shared" si="94"/>
        <v>2052079.89</v>
      </c>
      <c r="AF40" s="1015">
        <f t="shared" si="4"/>
        <v>526122.77</v>
      </c>
      <c r="AG40" s="1015">
        <f t="shared" si="5"/>
        <v>882328.19</v>
      </c>
      <c r="AH40" s="1015">
        <f t="shared" si="6"/>
        <v>110738.58</v>
      </c>
      <c r="AI40" s="1015">
        <f t="shared" si="7"/>
        <v>102587.9</v>
      </c>
      <c r="AJ40" s="1015">
        <f t="shared" si="8"/>
        <v>0</v>
      </c>
      <c r="AK40" s="1015">
        <f t="shared" si="9"/>
        <v>0</v>
      </c>
      <c r="AL40" s="1015">
        <f t="shared" si="10"/>
        <v>157436.92000000001</v>
      </c>
      <c r="AM40" s="1015">
        <f t="shared" si="11"/>
        <v>157436.92000000001</v>
      </c>
      <c r="AN40" s="1015">
        <f t="shared" si="12"/>
        <v>18512.18</v>
      </c>
      <c r="AO40" s="1015">
        <f t="shared" si="13"/>
        <v>80187.47</v>
      </c>
      <c r="AP40" s="1015">
        <f t="shared" si="95"/>
        <v>16728.96</v>
      </c>
      <c r="AQ40" s="1015"/>
      <c r="AR40" s="1014">
        <f t="shared" si="96"/>
        <v>0</v>
      </c>
      <c r="AS40" s="1014">
        <f t="shared" si="97"/>
        <v>0</v>
      </c>
      <c r="AT40" s="1014">
        <f t="shared" si="98"/>
        <v>0</v>
      </c>
      <c r="AU40" s="1023">
        <v>15</v>
      </c>
      <c r="AV40" s="1023">
        <v>20</v>
      </c>
      <c r="AW40" s="1023">
        <v>25</v>
      </c>
      <c r="AX40" s="1023">
        <v>15</v>
      </c>
      <c r="AY40" s="1023">
        <f t="shared" si="99"/>
        <v>15</v>
      </c>
      <c r="AZ40" s="1023">
        <v>12</v>
      </c>
      <c r="BA40" s="1023">
        <v>15</v>
      </c>
      <c r="BB40" s="1023">
        <v>10</v>
      </c>
      <c r="BC40" s="1011">
        <f t="shared" si="100"/>
        <v>36</v>
      </c>
      <c r="BD40" s="1011">
        <f t="shared" si="101"/>
        <v>17</v>
      </c>
      <c r="BE40" s="1011">
        <f t="shared" si="101"/>
        <v>17</v>
      </c>
      <c r="BF40" s="1011">
        <f t="shared" si="101"/>
        <v>2</v>
      </c>
      <c r="BG40" s="1011">
        <f t="shared" si="102"/>
        <v>1124</v>
      </c>
      <c r="BH40" s="1012">
        <v>17</v>
      </c>
      <c r="BI40" s="1012">
        <v>17</v>
      </c>
      <c r="BJ40" s="1012">
        <v>2</v>
      </c>
      <c r="BK40" s="1012">
        <v>1118</v>
      </c>
      <c r="BL40" s="1016">
        <v>0</v>
      </c>
      <c r="BM40" s="1012">
        <v>0</v>
      </c>
      <c r="BN40" s="1012">
        <v>0</v>
      </c>
      <c r="BO40" s="1012"/>
      <c r="BP40" s="1012">
        <v>0</v>
      </c>
      <c r="BQ40" s="1016">
        <v>15</v>
      </c>
      <c r="BR40" s="1012"/>
      <c r="BS40" s="1012"/>
      <c r="BT40" s="1012"/>
      <c r="BU40" s="1012"/>
      <c r="BV40" s="1016">
        <v>0</v>
      </c>
      <c r="BW40" s="1012"/>
      <c r="BX40" s="1012"/>
      <c r="BY40" s="1012"/>
      <c r="BZ40" s="1012"/>
      <c r="CA40" s="1016">
        <v>0</v>
      </c>
      <c r="CB40" s="1012">
        <v>2</v>
      </c>
      <c r="CC40" s="1012">
        <v>1</v>
      </c>
      <c r="CD40" s="1012">
        <v>0</v>
      </c>
      <c r="CE40" s="1012">
        <v>3</v>
      </c>
      <c r="CF40" s="1016">
        <v>15</v>
      </c>
      <c r="CG40" s="1012">
        <v>3</v>
      </c>
      <c r="CH40" s="1012">
        <v>0</v>
      </c>
      <c r="CI40" s="1012">
        <v>0</v>
      </c>
      <c r="CJ40" s="1012">
        <v>3</v>
      </c>
      <c r="CK40" s="1016">
        <v>15</v>
      </c>
      <c r="CL40" s="1012"/>
      <c r="CM40" s="1012"/>
      <c r="CN40" s="1012"/>
      <c r="CO40" s="1012">
        <v>0</v>
      </c>
      <c r="CP40" s="1016">
        <v>15</v>
      </c>
      <c r="CQ40" s="1067">
        <v>30.1</v>
      </c>
      <c r="CR40" s="1067">
        <v>0.3</v>
      </c>
      <c r="CS40" s="1067">
        <v>0</v>
      </c>
      <c r="CT40" s="1018">
        <f t="shared" si="103"/>
        <v>0</v>
      </c>
      <c r="CU40" s="1018">
        <f t="shared" si="15"/>
        <v>3</v>
      </c>
      <c r="CV40" s="1019">
        <v>1.7</v>
      </c>
      <c r="CW40" s="1014">
        <f t="shared" si="16"/>
        <v>39091.620000000003</v>
      </c>
      <c r="CX40" s="1017">
        <v>45304.5</v>
      </c>
      <c r="CY40" s="1014">
        <f t="shared" si="17"/>
        <v>3900519.16</v>
      </c>
      <c r="CZ40" s="1020">
        <v>13540.8</v>
      </c>
      <c r="DA40" s="1021">
        <v>54.05941</v>
      </c>
      <c r="DB40" s="1027">
        <v>50</v>
      </c>
      <c r="DC40" s="1033">
        <f t="shared" si="104"/>
        <v>1.01525</v>
      </c>
      <c r="DD40" s="1011">
        <f t="shared" si="105"/>
        <v>34296377.759999998</v>
      </c>
      <c r="DE40" s="1014">
        <f t="shared" si="18"/>
        <v>396707.72</v>
      </c>
      <c r="DF40" s="1014">
        <f t="shared" si="19"/>
        <v>1785184.74</v>
      </c>
      <c r="DG40" s="1014">
        <f t="shared" si="106"/>
        <v>1461780</v>
      </c>
      <c r="DH40" s="1014">
        <f t="shared" si="106"/>
        <v>194904</v>
      </c>
      <c r="DI40" s="1014">
        <f t="shared" si="106"/>
        <v>5457312</v>
      </c>
      <c r="DJ40" s="1014">
        <f t="shared" si="20"/>
        <v>25000489.300000001</v>
      </c>
      <c r="DK40" s="1024">
        <f t="shared" si="107"/>
        <v>16566.84</v>
      </c>
      <c r="DL40" s="1024">
        <f t="shared" si="21"/>
        <v>893692.8</v>
      </c>
      <c r="DM40" s="1024">
        <f t="shared" si="22"/>
        <v>348975</v>
      </c>
      <c r="DN40" s="1024">
        <f t="shared" si="23"/>
        <v>47472</v>
      </c>
      <c r="DO40" s="1024">
        <f t="shared" si="108"/>
        <v>2650494.7000000002</v>
      </c>
      <c r="DP40" s="1014">
        <f t="shared" si="109"/>
        <v>1847343.62</v>
      </c>
      <c r="DQ40" s="1014">
        <f t="shared" si="110"/>
        <v>369468.72</v>
      </c>
      <c r="DR40" s="1011">
        <f t="shared" si="111"/>
        <v>40470391.399999999</v>
      </c>
      <c r="DS40" s="1011">
        <f t="shared" si="112"/>
        <v>12222058.199999999</v>
      </c>
      <c r="DT40" s="1011">
        <f t="shared" si="113"/>
        <v>52692449.600000001</v>
      </c>
      <c r="DU40" s="1025"/>
      <c r="DV40" s="1028">
        <v>1.1072</v>
      </c>
      <c r="DW40" s="1011">
        <f t="shared" si="114"/>
        <v>655922.37</v>
      </c>
      <c r="DX40" s="1023">
        <v>150000</v>
      </c>
      <c r="DY40" s="1015">
        <f t="shared" si="115"/>
        <v>166080</v>
      </c>
      <c r="DZ40" s="1023"/>
      <c r="EA40" s="1015">
        <f t="shared" si="116"/>
        <v>0</v>
      </c>
      <c r="EB40" s="1023">
        <v>50000</v>
      </c>
      <c r="EC40" s="1015">
        <f t="shared" si="24"/>
        <v>49160.2</v>
      </c>
      <c r="ED40" s="1023">
        <v>300000</v>
      </c>
      <c r="EE40" s="1015">
        <f t="shared" si="117"/>
        <v>332160</v>
      </c>
      <c r="EF40" s="1023">
        <v>100000</v>
      </c>
      <c r="EG40" s="1015">
        <f t="shared" si="25"/>
        <v>80928.47</v>
      </c>
      <c r="EH40" s="1023">
        <v>0</v>
      </c>
      <c r="EI40" s="1015">
        <f t="shared" si="26"/>
        <v>27593.7</v>
      </c>
      <c r="EJ40" s="1011">
        <f t="shared" si="118"/>
        <v>3431432.4</v>
      </c>
      <c r="EK40" s="1023"/>
      <c r="EL40" s="1015">
        <f t="shared" si="27"/>
        <v>153172.17000000001</v>
      </c>
      <c r="EM40" s="1023">
        <v>0</v>
      </c>
      <c r="EN40" s="1015">
        <f t="shared" si="28"/>
        <v>745836.98</v>
      </c>
      <c r="EO40" s="1068">
        <v>159</v>
      </c>
      <c r="EP40" s="1015">
        <f t="shared" si="119"/>
        <v>281366.40000000002</v>
      </c>
      <c r="EQ40" s="1068">
        <v>163</v>
      </c>
      <c r="ER40" s="1015">
        <f t="shared" si="29"/>
        <v>358926</v>
      </c>
      <c r="ES40" s="1068">
        <v>164</v>
      </c>
      <c r="ET40" s="1015">
        <f t="shared" si="30"/>
        <v>364342.4</v>
      </c>
      <c r="EU40" s="1068">
        <v>72</v>
      </c>
      <c r="EV40" s="1015">
        <f t="shared" si="31"/>
        <v>172958.4</v>
      </c>
      <c r="EW40" s="1068">
        <v>85</v>
      </c>
      <c r="EX40" s="1015">
        <f t="shared" si="32"/>
        <v>225097</v>
      </c>
      <c r="EY40" s="1068">
        <v>122</v>
      </c>
      <c r="EZ40" s="1015">
        <f t="shared" si="33"/>
        <v>374222.8</v>
      </c>
      <c r="FA40" s="1068">
        <v>123</v>
      </c>
      <c r="FB40" s="1015">
        <f t="shared" si="34"/>
        <v>453697.8</v>
      </c>
      <c r="FC40" s="1068">
        <v>89</v>
      </c>
      <c r="FD40" s="1015">
        <f t="shared" si="35"/>
        <v>338662.8</v>
      </c>
      <c r="FE40" s="1068">
        <v>91</v>
      </c>
      <c r="FF40" s="1015">
        <f t="shared" si="36"/>
        <v>321521.2</v>
      </c>
      <c r="FG40" s="1068">
        <v>31</v>
      </c>
      <c r="FH40" s="1015">
        <f t="shared" si="37"/>
        <v>105400</v>
      </c>
      <c r="FI40" s="1068">
        <v>25</v>
      </c>
      <c r="FJ40" s="1015">
        <f t="shared" si="38"/>
        <v>85000</v>
      </c>
      <c r="FK40" s="1015">
        <f t="shared" si="120"/>
        <v>3081194.8</v>
      </c>
      <c r="FL40" s="1023">
        <v>400000</v>
      </c>
      <c r="FM40" s="1015">
        <f t="shared" si="39"/>
        <v>165318.42000000001</v>
      </c>
      <c r="FN40" s="1023">
        <v>63700</v>
      </c>
      <c r="FO40" s="1015">
        <f t="shared" si="40"/>
        <v>31747.01</v>
      </c>
      <c r="FP40" s="1011">
        <f t="shared" si="41"/>
        <v>4087354.77</v>
      </c>
      <c r="FQ40" s="1025"/>
      <c r="FR40" s="1011">
        <f t="shared" si="121"/>
        <v>56779804.369999997</v>
      </c>
      <c r="FS40" s="996"/>
      <c r="FT40" s="1029">
        <f t="shared" si="140"/>
        <v>56779.9</v>
      </c>
      <c r="FU40" s="1029">
        <f t="shared" si="122"/>
        <v>40470.400000000001</v>
      </c>
      <c r="FV40" s="1029">
        <f t="shared" si="123"/>
        <v>3075.6</v>
      </c>
      <c r="FW40" s="1029">
        <f t="shared" si="124"/>
        <v>1810.8</v>
      </c>
      <c r="FX40" s="1029">
        <f t="shared" si="125"/>
        <v>258.89999999999998</v>
      </c>
      <c r="FY40" s="1029">
        <f t="shared" si="126"/>
        <v>5457.3</v>
      </c>
      <c r="FZ40" s="1029">
        <f t="shared" si="127"/>
        <v>27651</v>
      </c>
      <c r="GA40" s="1029">
        <f t="shared" si="128"/>
        <v>2216.8000000000002</v>
      </c>
      <c r="GB40" s="1029">
        <f t="shared" si="42"/>
        <v>12222.1</v>
      </c>
      <c r="GC40" s="1029">
        <f t="shared" si="129"/>
        <v>166.1</v>
      </c>
      <c r="GD40" s="1029">
        <f t="shared" si="130"/>
        <v>0</v>
      </c>
      <c r="GE40" s="1029">
        <f t="shared" si="131"/>
        <v>49.2</v>
      </c>
      <c r="GF40" s="1029">
        <f t="shared" si="132"/>
        <v>332.2</v>
      </c>
      <c r="GG40" s="1029">
        <f t="shared" si="133"/>
        <v>80.900000000000006</v>
      </c>
      <c r="GH40" s="1029">
        <f t="shared" si="134"/>
        <v>27.6</v>
      </c>
      <c r="GI40" s="1029">
        <f t="shared" si="135"/>
        <v>153.19999999999999</v>
      </c>
      <c r="GJ40" s="1029">
        <f t="shared" si="136"/>
        <v>3081.2</v>
      </c>
      <c r="GK40" s="1029">
        <f t="shared" si="137"/>
        <v>165.3</v>
      </c>
      <c r="GL40" s="1029">
        <f t="shared" si="138"/>
        <v>31.7</v>
      </c>
      <c r="GM40" s="1069"/>
      <c r="GN40" s="1031">
        <f t="shared" si="43"/>
        <v>0.8084192</v>
      </c>
      <c r="GO40" s="1029">
        <f t="shared" si="139"/>
        <v>45901.9</v>
      </c>
      <c r="GP40" s="1029">
        <f t="shared" si="44"/>
        <v>32717</v>
      </c>
      <c r="GQ40" s="1029">
        <f t="shared" si="45"/>
        <v>9880.6</v>
      </c>
      <c r="GR40" s="1029">
        <f t="shared" si="46"/>
        <v>134.30000000000001</v>
      </c>
      <c r="GS40" s="1029">
        <f t="shared" si="47"/>
        <v>0</v>
      </c>
      <c r="GT40" s="1029">
        <f t="shared" si="48"/>
        <v>39.799999999999997</v>
      </c>
      <c r="GU40" s="1029">
        <f t="shared" si="49"/>
        <v>268.60000000000002</v>
      </c>
      <c r="GV40" s="1029">
        <f t="shared" si="50"/>
        <v>65.400000000000006</v>
      </c>
      <c r="GW40" s="1029">
        <f t="shared" si="51"/>
        <v>22.3</v>
      </c>
      <c r="GX40" s="1029">
        <f t="shared" si="52"/>
        <v>123.8</v>
      </c>
      <c r="GY40" s="1029">
        <f t="shared" si="53"/>
        <v>2490.9</v>
      </c>
      <c r="GZ40" s="1029">
        <f t="shared" si="54"/>
        <v>133.6</v>
      </c>
      <c r="HA40" s="1029">
        <f t="shared" si="55"/>
        <v>25.6</v>
      </c>
      <c r="HB40" s="1029">
        <f t="shared" si="56"/>
        <v>2789.8</v>
      </c>
      <c r="HC40" s="996"/>
      <c r="HD40" s="1031">
        <f t="shared" si="57"/>
        <v>0.85399429999999998</v>
      </c>
      <c r="HE40" s="1029">
        <f t="shared" si="58"/>
        <v>48489.1</v>
      </c>
      <c r="HF40" s="1029">
        <f t="shared" si="59"/>
        <v>34561.5</v>
      </c>
      <c r="HG40" s="1029">
        <f t="shared" si="60"/>
        <v>10437.6</v>
      </c>
      <c r="HH40" s="1029">
        <f t="shared" si="61"/>
        <v>141.80000000000001</v>
      </c>
      <c r="HI40" s="1029">
        <f t="shared" si="62"/>
        <v>0</v>
      </c>
      <c r="HJ40" s="1029">
        <f t="shared" si="63"/>
        <v>42</v>
      </c>
      <c r="HK40" s="1029">
        <f t="shared" si="64"/>
        <v>283.7</v>
      </c>
      <c r="HL40" s="1029">
        <f t="shared" si="65"/>
        <v>69.099999999999994</v>
      </c>
      <c r="HM40" s="1029">
        <f t="shared" si="66"/>
        <v>23.6</v>
      </c>
      <c r="HN40" s="1029">
        <f t="shared" si="67"/>
        <v>130.80000000000001</v>
      </c>
      <c r="HO40" s="1029">
        <f t="shared" si="68"/>
        <v>2631.3</v>
      </c>
      <c r="HP40" s="1029">
        <f t="shared" si="69"/>
        <v>141.19999999999999</v>
      </c>
      <c r="HQ40" s="1035">
        <f>ROUND(GL40*HD40,1)-0.6</f>
        <v>26.5</v>
      </c>
      <c r="HR40" s="1029">
        <f t="shared" si="71"/>
        <v>2947.1</v>
      </c>
      <c r="HS40" s="996"/>
      <c r="HT40" s="1031">
        <f t="shared" si="72"/>
        <v>0.90058660000000001</v>
      </c>
      <c r="HU40" s="1029">
        <f t="shared" si="73"/>
        <v>51135.5</v>
      </c>
      <c r="HV40" s="1029">
        <f t="shared" si="74"/>
        <v>36447.1</v>
      </c>
      <c r="HW40" s="1029">
        <f t="shared" si="75"/>
        <v>11007.1</v>
      </c>
      <c r="HX40" s="1029">
        <f t="shared" si="76"/>
        <v>149.6</v>
      </c>
      <c r="HY40" s="1029">
        <f t="shared" si="77"/>
        <v>0</v>
      </c>
      <c r="HZ40" s="1029">
        <f t="shared" si="78"/>
        <v>44.3</v>
      </c>
      <c r="IA40" s="1029">
        <f t="shared" si="79"/>
        <v>299.2</v>
      </c>
      <c r="IB40" s="1029">
        <f t="shared" si="80"/>
        <v>72.900000000000006</v>
      </c>
      <c r="IC40" s="1029">
        <f t="shared" si="81"/>
        <v>24.9</v>
      </c>
      <c r="ID40" s="1029">
        <f t="shared" si="82"/>
        <v>138</v>
      </c>
      <c r="IE40" s="1029">
        <f t="shared" si="83"/>
        <v>2774.9</v>
      </c>
      <c r="IF40" s="1029">
        <f t="shared" si="84"/>
        <v>148.9</v>
      </c>
      <c r="IG40" s="1035">
        <f>ROUND(GL40*HT40,1)+0.1</f>
        <v>28.6</v>
      </c>
      <c r="IH40" s="1029">
        <f t="shared" si="86"/>
        <v>3107.9</v>
      </c>
    </row>
    <row r="41" spans="1:242" ht="18.75" x14ac:dyDescent="0.25">
      <c r="A41" s="1036" t="s">
        <v>35</v>
      </c>
      <c r="B41" s="1037">
        <f t="shared" ref="B41:AQ41" si="141">SUM(B10:B40)</f>
        <v>3600.12</v>
      </c>
      <c r="C41" s="1037">
        <f t="shared" si="141"/>
        <v>3600.12</v>
      </c>
      <c r="D41" s="1037">
        <f t="shared" si="141"/>
        <v>31</v>
      </c>
      <c r="E41" s="1037">
        <f t="shared" si="141"/>
        <v>161.5</v>
      </c>
      <c r="F41" s="1037">
        <f t="shared" si="141"/>
        <v>216.5</v>
      </c>
      <c r="G41" s="1037">
        <f t="shared" si="141"/>
        <v>35.5</v>
      </c>
      <c r="H41" s="1037">
        <f t="shared" si="141"/>
        <v>457.3</v>
      </c>
      <c r="I41" s="1037">
        <f t="shared" si="141"/>
        <v>2698.32</v>
      </c>
      <c r="J41" s="1037">
        <f t="shared" si="141"/>
        <v>546.49</v>
      </c>
      <c r="K41" s="1037">
        <f t="shared" si="141"/>
        <v>1024.92</v>
      </c>
      <c r="L41" s="1037">
        <f t="shared" si="141"/>
        <v>201.7</v>
      </c>
      <c r="M41" s="1037">
        <f t="shared" si="141"/>
        <v>83.29</v>
      </c>
      <c r="N41" s="1037">
        <f t="shared" si="141"/>
        <v>102.69</v>
      </c>
      <c r="O41" s="1037">
        <f t="shared" si="141"/>
        <v>6.41</v>
      </c>
      <c r="P41" s="1037">
        <f t="shared" si="141"/>
        <v>231.12</v>
      </c>
      <c r="Q41" s="1037">
        <f t="shared" si="141"/>
        <v>288.86</v>
      </c>
      <c r="R41" s="1037">
        <f t="shared" si="141"/>
        <v>51.07</v>
      </c>
      <c r="S41" s="1037">
        <f t="shared" si="141"/>
        <v>161.77000000000001</v>
      </c>
      <c r="T41" s="1037">
        <f t="shared" si="141"/>
        <v>571.04999999999995</v>
      </c>
      <c r="U41" s="1037">
        <f t="shared" si="141"/>
        <v>231.12</v>
      </c>
      <c r="V41" s="1037">
        <f t="shared" si="141"/>
        <v>288.86</v>
      </c>
      <c r="W41" s="1037">
        <f t="shared" si="141"/>
        <v>51.07</v>
      </c>
      <c r="X41" s="1037">
        <f t="shared" si="141"/>
        <v>0</v>
      </c>
      <c r="Y41" s="1037">
        <f t="shared" si="141"/>
        <v>79569169.659999996</v>
      </c>
      <c r="Z41" s="1037">
        <f t="shared" si="141"/>
        <v>1038239.6</v>
      </c>
      <c r="AA41" s="1037">
        <f t="shared" si="141"/>
        <v>4863131.82</v>
      </c>
      <c r="AB41" s="1037">
        <f t="shared" si="141"/>
        <v>3516393</v>
      </c>
      <c r="AC41" s="1037">
        <f t="shared" si="141"/>
        <v>576591</v>
      </c>
      <c r="AD41" s="1037">
        <f t="shared" si="141"/>
        <v>7427466.5999999996</v>
      </c>
      <c r="AE41" s="1037">
        <f t="shared" si="141"/>
        <v>62147347.640000001</v>
      </c>
      <c r="AF41" s="1037">
        <f t="shared" si="141"/>
        <v>13628881.939999999</v>
      </c>
      <c r="AG41" s="1037">
        <f t="shared" si="141"/>
        <v>26330043.670000002</v>
      </c>
      <c r="AH41" s="1037">
        <f t="shared" si="141"/>
        <v>5158423.05</v>
      </c>
      <c r="AI41" s="1037">
        <f t="shared" si="141"/>
        <v>1708909.24</v>
      </c>
      <c r="AJ41" s="1037">
        <f t="shared" si="141"/>
        <v>2106950.29</v>
      </c>
      <c r="AK41" s="1037">
        <f t="shared" si="141"/>
        <v>131517.69</v>
      </c>
      <c r="AL41" s="1037">
        <f t="shared" si="141"/>
        <v>3854536.16</v>
      </c>
      <c r="AM41" s="1037">
        <f t="shared" si="141"/>
        <v>4817503.08</v>
      </c>
      <c r="AN41" s="1037">
        <f t="shared" si="141"/>
        <v>851727.06</v>
      </c>
      <c r="AO41" s="1037">
        <f t="shared" si="141"/>
        <v>3052218.12</v>
      </c>
      <c r="AP41" s="1037">
        <f t="shared" si="141"/>
        <v>506637.34</v>
      </c>
      <c r="AQ41" s="1037">
        <f t="shared" si="141"/>
        <v>0</v>
      </c>
      <c r="AR41" s="1038"/>
      <c r="AS41" s="1038"/>
      <c r="AT41" s="1038"/>
      <c r="AU41" s="1038"/>
      <c r="AV41" s="1038"/>
      <c r="AW41" s="1038"/>
      <c r="AX41" s="1038"/>
      <c r="AY41" s="1038"/>
      <c r="AZ41" s="1038"/>
      <c r="BA41" s="1038"/>
      <c r="BB41" s="1038"/>
      <c r="BC41" s="1038">
        <f t="shared" ref="BC41:BG41" si="142">SUM(BC10:BC40)</f>
        <v>1028</v>
      </c>
      <c r="BD41" s="1038">
        <f t="shared" si="142"/>
        <v>416</v>
      </c>
      <c r="BE41" s="1038">
        <f t="shared" si="142"/>
        <v>520</v>
      </c>
      <c r="BF41" s="1038">
        <f t="shared" si="142"/>
        <v>92</v>
      </c>
      <c r="BG41" s="1038">
        <f t="shared" si="142"/>
        <v>28544</v>
      </c>
      <c r="BH41" s="1038">
        <f>SUM(BH10:BH40)</f>
        <v>399</v>
      </c>
      <c r="BI41" s="1038">
        <f t="shared" ref="BI41:BJ41" si="143">SUM(BI10:BI40)</f>
        <v>483</v>
      </c>
      <c r="BJ41" s="1038">
        <f t="shared" si="143"/>
        <v>90</v>
      </c>
      <c r="BK41" s="1038">
        <f>SUM(BK10:BK40)</f>
        <v>27609</v>
      </c>
      <c r="BL41" s="1038"/>
      <c r="BM41" s="1038">
        <f>SUM(BM10:BM40)</f>
        <v>17</v>
      </c>
      <c r="BN41" s="1038">
        <f t="shared" ref="BN41:BO41" si="144">SUM(BN10:BN40)</f>
        <v>30</v>
      </c>
      <c r="BO41" s="1038">
        <f t="shared" si="144"/>
        <v>0</v>
      </c>
      <c r="BP41" s="1038">
        <f>SUM(BP10:BP40)</f>
        <v>517</v>
      </c>
      <c r="BQ41" s="1038"/>
      <c r="BR41" s="1038">
        <f>SUM(BR10:BR40)</f>
        <v>0</v>
      </c>
      <c r="BS41" s="1038">
        <f t="shared" ref="BS41:BT41" si="145">SUM(BS10:BS40)</f>
        <v>5</v>
      </c>
      <c r="BT41" s="1038">
        <f t="shared" si="145"/>
        <v>2</v>
      </c>
      <c r="BU41" s="1038">
        <f>SUM(BU10:BU40)</f>
        <v>160</v>
      </c>
      <c r="BV41" s="1038"/>
      <c r="BW41" s="1038">
        <f>SUM(BW10:BW40)</f>
        <v>0</v>
      </c>
      <c r="BX41" s="1038">
        <f t="shared" ref="BX41:BY41" si="146">SUM(BX10:BX40)</f>
        <v>2</v>
      </c>
      <c r="BY41" s="1038">
        <f t="shared" si="146"/>
        <v>0</v>
      </c>
      <c r="BZ41" s="1038">
        <f>SUM(BZ10:BZ40)</f>
        <v>5</v>
      </c>
      <c r="CA41" s="1038"/>
      <c r="CB41" s="1038">
        <f>SUM(CB10:CB40)</f>
        <v>40</v>
      </c>
      <c r="CC41" s="1038">
        <f t="shared" ref="CC41:CD41" si="147">SUM(CC10:CC40)</f>
        <v>63</v>
      </c>
      <c r="CD41" s="1038">
        <f t="shared" si="147"/>
        <v>1</v>
      </c>
      <c r="CE41" s="1038">
        <f>SUM(CE10:CE40)</f>
        <v>104</v>
      </c>
      <c r="CF41" s="1038"/>
      <c r="CG41" s="1038">
        <f>SUM(CG10:CG40)</f>
        <v>60</v>
      </c>
      <c r="CH41" s="1038">
        <f t="shared" ref="CH41:CI41" si="148">SUM(CH10:CH40)</f>
        <v>62</v>
      </c>
      <c r="CI41" s="1038">
        <f t="shared" si="148"/>
        <v>6</v>
      </c>
      <c r="CJ41" s="1038">
        <f>SUM(CJ10:CJ40)</f>
        <v>128</v>
      </c>
      <c r="CK41" s="1038"/>
      <c r="CL41" s="1038">
        <f>SUM(CL10:CL40)</f>
        <v>14</v>
      </c>
      <c r="CM41" s="1038">
        <f t="shared" ref="CM41:CN41" si="149">SUM(CM10:CM40)</f>
        <v>7</v>
      </c>
      <c r="CN41" s="1038">
        <f t="shared" si="149"/>
        <v>0</v>
      </c>
      <c r="CO41" s="1038">
        <f>SUM(CO10:CO40)</f>
        <v>21</v>
      </c>
      <c r="CP41" s="1038"/>
      <c r="CQ41" s="1038">
        <f>SUM(CQ10:CQ40)</f>
        <v>1493.1</v>
      </c>
      <c r="CR41" s="1038">
        <f>SUM(CR10:CR40)</f>
        <v>58.2</v>
      </c>
      <c r="CS41" s="1038">
        <f>SUM(CS10:CS40)</f>
        <v>15657.5</v>
      </c>
      <c r="CT41" s="1038">
        <f>SUM(CT10:CT40)</f>
        <v>17080.7</v>
      </c>
      <c r="CU41" s="1038">
        <f t="shared" si="15"/>
        <v>1.8</v>
      </c>
      <c r="CV41" s="1038">
        <f>(SUM(CV10:CV40))/31</f>
        <v>1.6</v>
      </c>
      <c r="CW41" s="1037">
        <f>(AE41-(AE41/(I41-P41-Q41-R41+T41)*CR41)+(CT41*1000/12))/((I41-P41-Q41-R41+T41-CR41)/CV41)</f>
        <v>37713.61</v>
      </c>
      <c r="CX41" s="1038">
        <v>45304.5</v>
      </c>
      <c r="CY41" s="1037">
        <f>SUM(CY10:CY40)</f>
        <v>127782788.44</v>
      </c>
      <c r="CZ41" s="1037">
        <f>SUM(CZ10:CZ40)</f>
        <v>394158.8</v>
      </c>
      <c r="DA41" s="1071">
        <f>SUM(DA10:DA40)/31</f>
        <v>50.761740000000003</v>
      </c>
      <c r="DB41" s="1039">
        <f>SUM(DB10:DB40)/31</f>
        <v>50</v>
      </c>
      <c r="DC41" s="1037"/>
      <c r="DD41" s="1037">
        <f t="shared" ref="DD41:DT41" si="150">SUM(DD10:DD40)</f>
        <v>967282951.53999996</v>
      </c>
      <c r="DE41" s="1037">
        <f t="shared" si="150"/>
        <v>12648873.09</v>
      </c>
      <c r="DF41" s="1037">
        <f t="shared" si="150"/>
        <v>59247534.960000001</v>
      </c>
      <c r="DG41" s="1037">
        <f t="shared" si="150"/>
        <v>42196716</v>
      </c>
      <c r="DH41" s="1037">
        <f t="shared" si="150"/>
        <v>6919092</v>
      </c>
      <c r="DI41" s="1037">
        <f t="shared" si="150"/>
        <v>89129599.200000003</v>
      </c>
      <c r="DJ41" s="1037">
        <f t="shared" si="150"/>
        <v>757141136.28999996</v>
      </c>
      <c r="DK41" s="1037">
        <f t="shared" si="150"/>
        <v>588122.81999999995</v>
      </c>
      <c r="DL41" s="1037">
        <f t="shared" si="150"/>
        <v>27072850.559999999</v>
      </c>
      <c r="DM41" s="1037">
        <f t="shared" si="150"/>
        <v>10073745</v>
      </c>
      <c r="DN41" s="1037">
        <f t="shared" si="150"/>
        <v>1685256</v>
      </c>
      <c r="DO41" s="1037">
        <f t="shared" si="150"/>
        <v>89925731.650000006</v>
      </c>
      <c r="DP41" s="1037">
        <f t="shared" si="150"/>
        <v>52860434.149999999</v>
      </c>
      <c r="DQ41" s="1037">
        <f t="shared" si="150"/>
        <v>10572086.83</v>
      </c>
      <c r="DR41" s="1037">
        <f t="shared" si="150"/>
        <v>1160061178.5999999</v>
      </c>
      <c r="DS41" s="1037">
        <f t="shared" si="150"/>
        <v>350338476.10000002</v>
      </c>
      <c r="DT41" s="1037">
        <f t="shared" si="150"/>
        <v>1510399654.7</v>
      </c>
      <c r="DU41" s="1040"/>
      <c r="DV41" s="1041"/>
      <c r="DW41" s="1037">
        <f t="shared" ref="DW41:FP41" si="151">SUM(DW10:DW40)</f>
        <v>17962548.579999998</v>
      </c>
      <c r="DX41" s="1037">
        <f t="shared" si="151"/>
        <v>2314055.54</v>
      </c>
      <c r="DY41" s="1037">
        <f t="shared" si="151"/>
        <v>2562122.29</v>
      </c>
      <c r="DZ41" s="1037">
        <f t="shared" si="151"/>
        <v>1052717.96</v>
      </c>
      <c r="EA41" s="1037">
        <f t="shared" si="151"/>
        <v>1165569.33</v>
      </c>
      <c r="EB41" s="1037">
        <f t="shared" si="151"/>
        <v>1153840</v>
      </c>
      <c r="EC41" s="1037">
        <f t="shared" si="151"/>
        <v>1486440.48</v>
      </c>
      <c r="ED41" s="1037">
        <f t="shared" si="151"/>
        <v>8550458.6699999999</v>
      </c>
      <c r="EE41" s="1037">
        <f t="shared" si="151"/>
        <v>9467067.8499999996</v>
      </c>
      <c r="EF41" s="1037">
        <f t="shared" si="151"/>
        <v>2210090.5</v>
      </c>
      <c r="EG41" s="1037">
        <f t="shared" si="151"/>
        <v>2447007.2000000002</v>
      </c>
      <c r="EH41" s="1037">
        <f t="shared" si="151"/>
        <v>137628</v>
      </c>
      <c r="EI41" s="1037">
        <f t="shared" si="151"/>
        <v>834341.43</v>
      </c>
      <c r="EJ41" s="1037">
        <f t="shared" si="151"/>
        <v>89590870.340000004</v>
      </c>
      <c r="EK41" s="1037">
        <f t="shared" si="151"/>
        <v>806811</v>
      </c>
      <c r="EL41" s="1037">
        <f t="shared" si="151"/>
        <v>3889810.1</v>
      </c>
      <c r="EM41" s="1037">
        <f t="shared" si="151"/>
        <v>13238207.810000001</v>
      </c>
      <c r="EN41" s="1037">
        <f t="shared" si="151"/>
        <v>18940543.379999999</v>
      </c>
      <c r="EO41" s="1039">
        <f t="shared" si="151"/>
        <v>3203</v>
      </c>
      <c r="EP41" s="1037">
        <f t="shared" si="151"/>
        <v>5668028.7999999998</v>
      </c>
      <c r="EQ41" s="1039">
        <f t="shared" si="151"/>
        <v>3042</v>
      </c>
      <c r="ER41" s="1037">
        <f t="shared" si="151"/>
        <v>6698484</v>
      </c>
      <c r="ES41" s="1039">
        <f t="shared" si="151"/>
        <v>3051</v>
      </c>
      <c r="ET41" s="1037">
        <f t="shared" si="151"/>
        <v>6778101.5999999996</v>
      </c>
      <c r="EU41" s="1039">
        <f t="shared" si="151"/>
        <v>3112</v>
      </c>
      <c r="EV41" s="1037">
        <f t="shared" si="151"/>
        <v>7475646.4000000004</v>
      </c>
      <c r="EW41" s="1039">
        <f t="shared" si="151"/>
        <v>2836</v>
      </c>
      <c r="EX41" s="1037">
        <f t="shared" si="151"/>
        <v>7510295.2000000002</v>
      </c>
      <c r="EY41" s="1039">
        <f t="shared" si="151"/>
        <v>2816</v>
      </c>
      <c r="EZ41" s="1037">
        <f t="shared" si="151"/>
        <v>8637798.4000000004</v>
      </c>
      <c r="FA41" s="1039">
        <f t="shared" si="151"/>
        <v>2818</v>
      </c>
      <c r="FB41" s="1037">
        <f t="shared" si="151"/>
        <v>10394474.800000001</v>
      </c>
      <c r="FC41" s="1039">
        <f t="shared" si="151"/>
        <v>2763</v>
      </c>
      <c r="FD41" s="1037">
        <f t="shared" si="151"/>
        <v>10513767.6</v>
      </c>
      <c r="FE41" s="1039">
        <f t="shared" si="151"/>
        <v>2626</v>
      </c>
      <c r="FF41" s="1037">
        <f t="shared" si="151"/>
        <v>9278183.1999999993</v>
      </c>
      <c r="FG41" s="1039">
        <f t="shared" si="151"/>
        <v>1169</v>
      </c>
      <c r="FH41" s="1037">
        <f t="shared" si="151"/>
        <v>3974600</v>
      </c>
      <c r="FI41" s="1039">
        <f t="shared" si="151"/>
        <v>1108</v>
      </c>
      <c r="FJ41" s="1037">
        <f t="shared" si="151"/>
        <v>3767200</v>
      </c>
      <c r="FK41" s="1037">
        <f t="shared" si="151"/>
        <v>80696580</v>
      </c>
      <c r="FL41" s="1037">
        <f t="shared" si="151"/>
        <v>3360683.52</v>
      </c>
      <c r="FM41" s="1037">
        <f t="shared" si="151"/>
        <v>4198264.32</v>
      </c>
      <c r="FN41" s="1037">
        <f t="shared" si="151"/>
        <v>728029.84</v>
      </c>
      <c r="FO41" s="1037">
        <f t="shared" si="151"/>
        <v>806215.92</v>
      </c>
      <c r="FP41" s="1038">
        <f t="shared" si="151"/>
        <v>107553418.90000001</v>
      </c>
      <c r="FQ41" s="1040"/>
      <c r="FR41" s="1037">
        <f>SUM(FR10:FR40)</f>
        <v>1617953073.6199999</v>
      </c>
      <c r="FS41" s="996"/>
      <c r="FT41" s="1038">
        <f t="shared" ref="FT41:GL41" si="152">SUM(FT10:FT40)</f>
        <v>1617953.6</v>
      </c>
      <c r="FU41" s="1038">
        <f t="shared" si="152"/>
        <v>1160061.5</v>
      </c>
      <c r="FV41" s="1038">
        <f t="shared" si="152"/>
        <v>98969.3</v>
      </c>
      <c r="FW41" s="1038">
        <f t="shared" si="152"/>
        <v>52270.6</v>
      </c>
      <c r="FX41" s="1038">
        <f t="shared" si="152"/>
        <v>9191.2000000000007</v>
      </c>
      <c r="FY41" s="1038">
        <f t="shared" si="152"/>
        <v>89129.3</v>
      </c>
      <c r="FZ41" s="1038">
        <f t="shared" si="152"/>
        <v>847067.1</v>
      </c>
      <c r="GA41" s="1038">
        <f t="shared" si="152"/>
        <v>63434</v>
      </c>
      <c r="GB41" s="1038">
        <f t="shared" si="152"/>
        <v>350338.7</v>
      </c>
      <c r="GC41" s="1038">
        <f t="shared" si="152"/>
        <v>2562</v>
      </c>
      <c r="GD41" s="1038">
        <f t="shared" si="152"/>
        <v>1165.5</v>
      </c>
      <c r="GE41" s="1038">
        <f t="shared" si="152"/>
        <v>1486.6</v>
      </c>
      <c r="GF41" s="1038">
        <f t="shared" si="152"/>
        <v>9467.2000000000007</v>
      </c>
      <c r="GG41" s="1038">
        <f t="shared" si="152"/>
        <v>2447</v>
      </c>
      <c r="GH41" s="1038">
        <f t="shared" si="152"/>
        <v>834.5</v>
      </c>
      <c r="GI41" s="1038">
        <f t="shared" si="152"/>
        <v>3889.8</v>
      </c>
      <c r="GJ41" s="1038">
        <f t="shared" si="152"/>
        <v>80696.5</v>
      </c>
      <c r="GK41" s="1038">
        <f t="shared" si="152"/>
        <v>4198</v>
      </c>
      <c r="GL41" s="1038">
        <f t="shared" si="152"/>
        <v>806.3</v>
      </c>
      <c r="GM41" s="1030"/>
      <c r="GN41" s="1042">
        <f>GO47/FT41</f>
        <v>0.8084192</v>
      </c>
      <c r="GO41" s="1038">
        <f t="shared" ref="GO41:HB41" si="153">SUM(GO10:GO40)</f>
        <v>1307984.8</v>
      </c>
      <c r="GP41" s="1038">
        <f t="shared" si="153"/>
        <v>937815.9</v>
      </c>
      <c r="GQ41" s="1038">
        <f t="shared" si="153"/>
        <v>283220.7</v>
      </c>
      <c r="GR41" s="1038">
        <f t="shared" si="153"/>
        <v>2071.4</v>
      </c>
      <c r="GS41" s="1038">
        <f t="shared" si="153"/>
        <v>942.2</v>
      </c>
      <c r="GT41" s="1038">
        <f t="shared" si="153"/>
        <v>1201.7</v>
      </c>
      <c r="GU41" s="1038">
        <f t="shared" si="153"/>
        <v>7653.8</v>
      </c>
      <c r="GV41" s="1038">
        <f t="shared" si="153"/>
        <v>1978.1</v>
      </c>
      <c r="GW41" s="1038">
        <f t="shared" si="153"/>
        <v>674.4</v>
      </c>
      <c r="GX41" s="1038">
        <f t="shared" si="153"/>
        <v>3144.7</v>
      </c>
      <c r="GY41" s="1038">
        <f t="shared" si="153"/>
        <v>65236.7</v>
      </c>
      <c r="GZ41" s="1038">
        <f t="shared" si="153"/>
        <v>3393.6</v>
      </c>
      <c r="HA41" s="1038">
        <f t="shared" si="153"/>
        <v>651.6</v>
      </c>
      <c r="HB41" s="1038">
        <f t="shared" si="153"/>
        <v>94652.9</v>
      </c>
      <c r="HC41" s="996"/>
      <c r="HD41" s="1042">
        <f>HE47/FT41</f>
        <v>0.85399429999999998</v>
      </c>
      <c r="HE41" s="1038">
        <f t="shared" ref="HE41:HR41" si="154">SUM(HE10:HE40)</f>
        <v>1381723.1</v>
      </c>
      <c r="HF41" s="1038">
        <f t="shared" si="154"/>
        <v>990685.9</v>
      </c>
      <c r="HG41" s="1038">
        <f t="shared" si="154"/>
        <v>299187.20000000001</v>
      </c>
      <c r="HH41" s="1038">
        <f t="shared" si="154"/>
        <v>2188.1</v>
      </c>
      <c r="HI41" s="1038">
        <f t="shared" si="154"/>
        <v>995.4</v>
      </c>
      <c r="HJ41" s="1038">
        <f t="shared" si="154"/>
        <v>1269.5999999999999</v>
      </c>
      <c r="HK41" s="1038">
        <f t="shared" si="154"/>
        <v>8084.9</v>
      </c>
      <c r="HL41" s="1038">
        <f t="shared" si="154"/>
        <v>2089.9</v>
      </c>
      <c r="HM41" s="1038">
        <f t="shared" si="154"/>
        <v>712.9</v>
      </c>
      <c r="HN41" s="1038">
        <f t="shared" si="154"/>
        <v>3321.7</v>
      </c>
      <c r="HO41" s="1038">
        <f t="shared" si="154"/>
        <v>68914.5</v>
      </c>
      <c r="HP41" s="1038">
        <f t="shared" si="154"/>
        <v>3585.1</v>
      </c>
      <c r="HQ41" s="1038">
        <f t="shared" si="154"/>
        <v>687.9</v>
      </c>
      <c r="HR41" s="1038">
        <f t="shared" si="154"/>
        <v>99988.4</v>
      </c>
      <c r="HS41" s="996"/>
      <c r="HT41" s="1042">
        <f>HU47/FT41</f>
        <v>0.90058660000000001</v>
      </c>
      <c r="HU41" s="1038">
        <f t="shared" ref="HU41:IH41" si="155">SUM(HU10:HU40)</f>
        <v>1457107.4</v>
      </c>
      <c r="HV41" s="1038">
        <f t="shared" si="155"/>
        <v>1044735.9</v>
      </c>
      <c r="HW41" s="1038">
        <f t="shared" si="155"/>
        <v>315510.2</v>
      </c>
      <c r="HX41" s="1038">
        <f t="shared" si="155"/>
        <v>2307.1999999999998</v>
      </c>
      <c r="HY41" s="1038">
        <f t="shared" si="155"/>
        <v>1049.5999999999999</v>
      </c>
      <c r="HZ41" s="1038">
        <f t="shared" si="155"/>
        <v>1338.5</v>
      </c>
      <c r="IA41" s="1038">
        <f t="shared" si="155"/>
        <v>8526.1</v>
      </c>
      <c r="IB41" s="1038">
        <f t="shared" si="155"/>
        <v>2203.8000000000002</v>
      </c>
      <c r="IC41" s="1038">
        <f t="shared" si="155"/>
        <v>751.8</v>
      </c>
      <c r="ID41" s="1038">
        <f t="shared" si="155"/>
        <v>3503</v>
      </c>
      <c r="IE41" s="1038">
        <f t="shared" si="155"/>
        <v>72674.100000000006</v>
      </c>
      <c r="IF41" s="1038">
        <f t="shared" si="155"/>
        <v>3781</v>
      </c>
      <c r="IG41" s="1038">
        <f t="shared" si="155"/>
        <v>726.2</v>
      </c>
      <c r="IH41" s="1038">
        <f t="shared" si="155"/>
        <v>105443.6</v>
      </c>
    </row>
    <row r="42" spans="1:242" ht="18.75" x14ac:dyDescent="0.25">
      <c r="A42" s="1010" t="s">
        <v>1335</v>
      </c>
      <c r="B42" s="1043">
        <f t="shared" ref="B42:AQ42" si="156">B10+B12+B18+B19+B20+B24+B27+B29+B30+B38+B40</f>
        <v>1278.3699999999999</v>
      </c>
      <c r="C42" s="1043">
        <f t="shared" si="156"/>
        <v>1278.3699999999999</v>
      </c>
      <c r="D42" s="1043">
        <f t="shared" si="156"/>
        <v>11</v>
      </c>
      <c r="E42" s="1043">
        <f t="shared" si="156"/>
        <v>58</v>
      </c>
      <c r="F42" s="1043">
        <f t="shared" si="156"/>
        <v>78.75</v>
      </c>
      <c r="G42" s="1043">
        <f t="shared" si="156"/>
        <v>11</v>
      </c>
      <c r="H42" s="1043">
        <f t="shared" si="156"/>
        <v>177.75</v>
      </c>
      <c r="I42" s="1043">
        <f t="shared" si="156"/>
        <v>941.87</v>
      </c>
      <c r="J42" s="1043">
        <f t="shared" si="156"/>
        <v>190.3</v>
      </c>
      <c r="K42" s="1043">
        <f t="shared" si="156"/>
        <v>364.34</v>
      </c>
      <c r="L42" s="1043">
        <f t="shared" si="156"/>
        <v>91.33</v>
      </c>
      <c r="M42" s="1043">
        <f t="shared" si="156"/>
        <v>19.16</v>
      </c>
      <c r="N42" s="1043">
        <f t="shared" si="156"/>
        <v>15.76</v>
      </c>
      <c r="O42" s="1043">
        <f t="shared" si="156"/>
        <v>2.4700000000000002</v>
      </c>
      <c r="P42" s="1043">
        <f t="shared" si="156"/>
        <v>80.55</v>
      </c>
      <c r="Q42" s="1043">
        <f t="shared" si="156"/>
        <v>102.2</v>
      </c>
      <c r="R42" s="1043">
        <f t="shared" si="156"/>
        <v>22.76</v>
      </c>
      <c r="S42" s="1043">
        <f t="shared" si="156"/>
        <v>53</v>
      </c>
      <c r="T42" s="1043">
        <f t="shared" si="156"/>
        <v>205.51</v>
      </c>
      <c r="U42" s="1043">
        <f t="shared" si="156"/>
        <v>80.55</v>
      </c>
      <c r="V42" s="1043">
        <f t="shared" si="156"/>
        <v>102.2</v>
      </c>
      <c r="W42" s="1043">
        <f t="shared" si="156"/>
        <v>22.76</v>
      </c>
      <c r="X42" s="1043">
        <f t="shared" si="156"/>
        <v>0</v>
      </c>
      <c r="Y42" s="1043">
        <f t="shared" si="156"/>
        <v>28196109.98</v>
      </c>
      <c r="Z42" s="1043">
        <f t="shared" si="156"/>
        <v>360691.20000000001</v>
      </c>
      <c r="AA42" s="1043">
        <f t="shared" si="156"/>
        <v>1709901.72</v>
      </c>
      <c r="AB42" s="1043">
        <f t="shared" si="156"/>
        <v>1279057.5</v>
      </c>
      <c r="AC42" s="1043">
        <f t="shared" si="156"/>
        <v>178662</v>
      </c>
      <c r="AD42" s="1043">
        <f t="shared" si="156"/>
        <v>2887015.5</v>
      </c>
      <c r="AE42" s="1043">
        <f t="shared" si="156"/>
        <v>21780782.059999999</v>
      </c>
      <c r="AF42" s="1043">
        <f t="shared" si="156"/>
        <v>4737776.7300000004</v>
      </c>
      <c r="AG42" s="1043">
        <f t="shared" si="156"/>
        <v>9335145.0299999993</v>
      </c>
      <c r="AH42" s="1043">
        <f t="shared" si="156"/>
        <v>2335740.08</v>
      </c>
      <c r="AI42" s="1043">
        <f t="shared" si="156"/>
        <v>393116.84</v>
      </c>
      <c r="AJ42" s="1043">
        <f t="shared" si="156"/>
        <v>323357.06</v>
      </c>
      <c r="AK42" s="1043">
        <f t="shared" si="156"/>
        <v>50678.42</v>
      </c>
      <c r="AL42" s="1043">
        <f t="shared" si="156"/>
        <v>1343383.9</v>
      </c>
      <c r="AM42" s="1043">
        <f t="shared" si="156"/>
        <v>1704454.8</v>
      </c>
      <c r="AN42" s="1043">
        <f t="shared" si="156"/>
        <v>379583.08</v>
      </c>
      <c r="AO42" s="1043">
        <f t="shared" si="156"/>
        <v>999984.92</v>
      </c>
      <c r="AP42" s="1043">
        <f t="shared" si="156"/>
        <v>177561.2</v>
      </c>
      <c r="AQ42" s="1043">
        <f t="shared" si="156"/>
        <v>0</v>
      </c>
      <c r="AR42" s="1044"/>
      <c r="AS42" s="1044"/>
      <c r="AT42" s="1044"/>
      <c r="AU42" s="1044"/>
      <c r="AV42" s="1044"/>
      <c r="AW42" s="1044"/>
      <c r="AX42" s="1044"/>
      <c r="AY42" s="1044"/>
      <c r="AZ42" s="1044"/>
      <c r="BA42" s="1044"/>
      <c r="BB42" s="1044"/>
      <c r="BC42" s="1044">
        <f t="shared" ref="BC42:BK42" si="157">BC10+BC12+BC18+BC19+BC20+BC24+BC27+BC29+BC30+BC38+BC40</f>
        <v>370</v>
      </c>
      <c r="BD42" s="1044">
        <f t="shared" si="157"/>
        <v>145</v>
      </c>
      <c r="BE42" s="1044">
        <f t="shared" si="157"/>
        <v>184</v>
      </c>
      <c r="BF42" s="1044">
        <f t="shared" si="157"/>
        <v>41</v>
      </c>
      <c r="BG42" s="1044">
        <f t="shared" si="157"/>
        <v>10477</v>
      </c>
      <c r="BH42" s="1044">
        <f t="shared" si="157"/>
        <v>142</v>
      </c>
      <c r="BI42" s="1044">
        <f t="shared" si="157"/>
        <v>180</v>
      </c>
      <c r="BJ42" s="1044">
        <f t="shared" si="157"/>
        <v>41</v>
      </c>
      <c r="BK42" s="1044">
        <f t="shared" si="157"/>
        <v>10350</v>
      </c>
      <c r="BL42" s="1044"/>
      <c r="BM42" s="1044">
        <f t="shared" ref="BM42:BP42" si="158">BM10+BM12+BM18+BM19+BM20+BM24+BM27+BM29+BM30+BM38+BM40</f>
        <v>3</v>
      </c>
      <c r="BN42" s="1044">
        <f t="shared" si="158"/>
        <v>4</v>
      </c>
      <c r="BO42" s="1044">
        <f t="shared" si="158"/>
        <v>0</v>
      </c>
      <c r="BP42" s="1044">
        <f t="shared" si="158"/>
        <v>68</v>
      </c>
      <c r="BQ42" s="1044"/>
      <c r="BR42" s="1044">
        <f t="shared" ref="BR42:BU42" si="159">BR10+BR12+BR18+BR19+BR20+BR24+BR27+BR29+BR30+BR38+BR40</f>
        <v>0</v>
      </c>
      <c r="BS42" s="1044">
        <f t="shared" si="159"/>
        <v>0</v>
      </c>
      <c r="BT42" s="1044">
        <f t="shared" si="159"/>
        <v>0</v>
      </c>
      <c r="BU42" s="1044">
        <f t="shared" si="159"/>
        <v>0</v>
      </c>
      <c r="BV42" s="1044"/>
      <c r="BW42" s="1044">
        <f t="shared" ref="BW42:BZ42" si="160">BW10+BW12+BW18+BW19+BW20+BW24+BW27+BW29+BW30+BW38+BW40</f>
        <v>0</v>
      </c>
      <c r="BX42" s="1044">
        <f t="shared" si="160"/>
        <v>0</v>
      </c>
      <c r="BY42" s="1044">
        <f t="shared" si="160"/>
        <v>0</v>
      </c>
      <c r="BZ42" s="1044">
        <f t="shared" si="160"/>
        <v>0</v>
      </c>
      <c r="CA42" s="1044"/>
      <c r="CB42" s="1044">
        <f t="shared" ref="CB42:CT42" si="161">CB10+CB12+CB18+CB19+CB20+CB24+CB27+CB29+CB30+CB38+CB40</f>
        <v>7</v>
      </c>
      <c r="CC42" s="1044">
        <f t="shared" si="161"/>
        <v>10</v>
      </c>
      <c r="CD42" s="1044">
        <f t="shared" si="161"/>
        <v>0</v>
      </c>
      <c r="CE42" s="1044">
        <f t="shared" si="161"/>
        <v>17</v>
      </c>
      <c r="CF42" s="1044"/>
      <c r="CG42" s="1044">
        <f t="shared" ref="CG42:CJ42" si="162">CG10+CG12+CG18+CG19+CG20+CG24+CG27+CG29+CG30+CG38+CG40</f>
        <v>17</v>
      </c>
      <c r="CH42" s="1044">
        <f t="shared" si="162"/>
        <v>16</v>
      </c>
      <c r="CI42" s="1044">
        <f t="shared" si="162"/>
        <v>4</v>
      </c>
      <c r="CJ42" s="1044">
        <f t="shared" si="162"/>
        <v>37</v>
      </c>
      <c r="CK42" s="1044"/>
      <c r="CL42" s="1044">
        <f t="shared" ref="CL42:CO42" si="163">CL10+CL12+CL18+CL19+CL20+CL24+CL27+CL29+CL30+CL38+CL40</f>
        <v>5</v>
      </c>
      <c r="CM42" s="1044">
        <f t="shared" si="163"/>
        <v>0</v>
      </c>
      <c r="CN42" s="1044">
        <f t="shared" si="163"/>
        <v>0</v>
      </c>
      <c r="CO42" s="1044">
        <f t="shared" si="163"/>
        <v>5</v>
      </c>
      <c r="CP42" s="1044"/>
      <c r="CQ42" s="1044">
        <f t="shared" si="161"/>
        <v>544.9</v>
      </c>
      <c r="CR42" s="1044">
        <f t="shared" si="161"/>
        <v>14.4</v>
      </c>
      <c r="CS42" s="1044">
        <f t="shared" si="161"/>
        <v>8743.7999999999993</v>
      </c>
      <c r="CT42" s="1044">
        <f t="shared" si="161"/>
        <v>9538.6</v>
      </c>
      <c r="CU42" s="1044"/>
      <c r="CV42" s="1044"/>
      <c r="CW42" s="1043"/>
      <c r="CX42" s="1043"/>
      <c r="CY42" s="1043"/>
      <c r="CZ42" s="1043">
        <f t="shared" ref="CZ42" si="164">CZ10+CZ12+CZ18+CZ19+CZ20+CZ24+CZ27+CZ29+CZ30+CZ38+CZ40</f>
        <v>148688.4</v>
      </c>
      <c r="DA42" s="1043"/>
      <c r="DB42" s="1043"/>
      <c r="DC42" s="1043"/>
      <c r="DD42" s="1043">
        <f t="shared" ref="DD42:DT42" si="165">DD10+DD12+DD18+DD19+DD20+DD24+DD27+DD29+DD30+DD38+DD40</f>
        <v>342718121.38999999</v>
      </c>
      <c r="DE42" s="1043">
        <f t="shared" si="165"/>
        <v>4394300.9000000004</v>
      </c>
      <c r="DF42" s="1043">
        <f t="shared" si="165"/>
        <v>20831732.649999999</v>
      </c>
      <c r="DG42" s="1043">
        <f t="shared" si="165"/>
        <v>15348690</v>
      </c>
      <c r="DH42" s="1043">
        <f t="shared" si="165"/>
        <v>2143944</v>
      </c>
      <c r="DI42" s="1043">
        <f t="shared" si="165"/>
        <v>34644186</v>
      </c>
      <c r="DJ42" s="1043">
        <f t="shared" si="165"/>
        <v>265355267.84</v>
      </c>
      <c r="DK42" s="1043">
        <f t="shared" si="165"/>
        <v>182235.24</v>
      </c>
      <c r="DL42" s="1043">
        <f t="shared" si="165"/>
        <v>10330432.560000001</v>
      </c>
      <c r="DM42" s="1043">
        <f t="shared" si="165"/>
        <v>3664237.5</v>
      </c>
      <c r="DN42" s="1043">
        <f t="shared" si="165"/>
        <v>522192</v>
      </c>
      <c r="DO42" s="1043">
        <f t="shared" si="165"/>
        <v>36140765.520000003</v>
      </c>
      <c r="DP42" s="1043">
        <f t="shared" si="165"/>
        <v>18942944.350000001</v>
      </c>
      <c r="DQ42" s="1043">
        <f t="shared" si="165"/>
        <v>3788588.87</v>
      </c>
      <c r="DR42" s="1043">
        <f t="shared" si="165"/>
        <v>416289517.39999998</v>
      </c>
      <c r="DS42" s="1043">
        <f t="shared" si="165"/>
        <v>125719434.40000001</v>
      </c>
      <c r="DT42" s="1043">
        <f t="shared" si="165"/>
        <v>542008951.79999995</v>
      </c>
      <c r="DU42" s="996"/>
      <c r="DV42" s="1047"/>
      <c r="DW42" s="1043">
        <f t="shared" ref="DW42:FP42" si="166">DW10+DW12+DW18+DW19+DW20+DW24+DW27+DW29+DW30+DW38+DW40</f>
        <v>7945802.1900000004</v>
      </c>
      <c r="DX42" s="1043">
        <f t="shared" si="166"/>
        <v>1032000.86</v>
      </c>
      <c r="DY42" s="1043">
        <f t="shared" si="166"/>
        <v>1142631.3500000001</v>
      </c>
      <c r="DZ42" s="1043">
        <f t="shared" si="166"/>
        <v>1052717.96</v>
      </c>
      <c r="EA42" s="1043">
        <f t="shared" si="166"/>
        <v>1165569.33</v>
      </c>
      <c r="EB42" s="1043">
        <f t="shared" si="166"/>
        <v>295690</v>
      </c>
      <c r="EC42" s="1043">
        <f t="shared" si="166"/>
        <v>518853.84</v>
      </c>
      <c r="ED42" s="1043">
        <f t="shared" si="166"/>
        <v>3588662.3</v>
      </c>
      <c r="EE42" s="1043">
        <f t="shared" si="166"/>
        <v>3973366.9</v>
      </c>
      <c r="EF42" s="1043">
        <f t="shared" si="166"/>
        <v>796598</v>
      </c>
      <c r="EG42" s="1043">
        <f t="shared" si="166"/>
        <v>854147.27</v>
      </c>
      <c r="EH42" s="1043">
        <f t="shared" si="166"/>
        <v>65176.75</v>
      </c>
      <c r="EI42" s="1043">
        <f t="shared" si="166"/>
        <v>291233.5</v>
      </c>
      <c r="EJ42" s="1043">
        <f t="shared" si="166"/>
        <v>33013788.23</v>
      </c>
      <c r="EK42" s="1043">
        <f t="shared" si="166"/>
        <v>83589</v>
      </c>
      <c r="EL42" s="1043">
        <f t="shared" si="166"/>
        <v>1427744.55</v>
      </c>
      <c r="EM42" s="1043">
        <f t="shared" si="166"/>
        <v>5349500.8099999996</v>
      </c>
      <c r="EN42" s="1043">
        <f t="shared" si="166"/>
        <v>6952076.5499999998</v>
      </c>
      <c r="EO42" s="1046">
        <f t="shared" si="166"/>
        <v>1181</v>
      </c>
      <c r="EP42" s="1043">
        <f t="shared" si="166"/>
        <v>2089897.6</v>
      </c>
      <c r="EQ42" s="1046">
        <f t="shared" si="166"/>
        <v>1138</v>
      </c>
      <c r="ER42" s="1043">
        <f t="shared" si="166"/>
        <v>2505876</v>
      </c>
      <c r="ES42" s="1046">
        <f t="shared" si="166"/>
        <v>1130</v>
      </c>
      <c r="ET42" s="1043">
        <f t="shared" si="166"/>
        <v>2510408</v>
      </c>
      <c r="EU42" s="1046">
        <f t="shared" si="166"/>
        <v>1007</v>
      </c>
      <c r="EV42" s="1043">
        <f t="shared" si="166"/>
        <v>2419015.4</v>
      </c>
      <c r="EW42" s="1046">
        <f t="shared" si="166"/>
        <v>991</v>
      </c>
      <c r="EX42" s="1043">
        <f t="shared" si="166"/>
        <v>2624366.2000000002</v>
      </c>
      <c r="EY42" s="1046">
        <f t="shared" si="166"/>
        <v>995</v>
      </c>
      <c r="EZ42" s="1043">
        <f t="shared" si="166"/>
        <v>3052063</v>
      </c>
      <c r="FA42" s="1046">
        <f t="shared" si="166"/>
        <v>1069</v>
      </c>
      <c r="FB42" s="1043">
        <f t="shared" si="166"/>
        <v>3943113.4</v>
      </c>
      <c r="FC42" s="1046">
        <f t="shared" si="166"/>
        <v>977</v>
      </c>
      <c r="FD42" s="1043">
        <f t="shared" si="166"/>
        <v>3717680.4</v>
      </c>
      <c r="FE42" s="1046">
        <f t="shared" si="166"/>
        <v>932</v>
      </c>
      <c r="FF42" s="1043">
        <f t="shared" si="166"/>
        <v>3292942.4</v>
      </c>
      <c r="FG42" s="1046">
        <f t="shared" si="166"/>
        <v>535</v>
      </c>
      <c r="FH42" s="1043">
        <f t="shared" si="166"/>
        <v>1819000</v>
      </c>
      <c r="FI42" s="1046">
        <f t="shared" si="166"/>
        <v>522</v>
      </c>
      <c r="FJ42" s="1043">
        <f t="shared" si="166"/>
        <v>1774800</v>
      </c>
      <c r="FK42" s="1043">
        <f t="shared" si="166"/>
        <v>29749162.399999999</v>
      </c>
      <c r="FL42" s="1043">
        <f t="shared" si="166"/>
        <v>965867.68</v>
      </c>
      <c r="FM42" s="1043">
        <f t="shared" si="166"/>
        <v>1540961.85</v>
      </c>
      <c r="FN42" s="1043">
        <f t="shared" si="166"/>
        <v>308963.39</v>
      </c>
      <c r="FO42" s="1043">
        <f t="shared" si="166"/>
        <v>295919.43</v>
      </c>
      <c r="FP42" s="1044">
        <f t="shared" si="166"/>
        <v>40959590.399999999</v>
      </c>
      <c r="FQ42" s="996"/>
      <c r="FR42" s="1043">
        <f t="shared" ref="FR42" si="167">FR10+FR12+FR18+FR19+FR20+FR24+FR27+FR29+FR30+FR38+FR40</f>
        <v>582968542.22000003</v>
      </c>
      <c r="FS42" s="996"/>
      <c r="FT42" s="1044">
        <f t="shared" ref="FT42:GL42" si="168">FT10+FT12+FT18+FT19+FT20+FT24+FT27+FT29+FT30+FT38+FT40</f>
        <v>582968.30000000005</v>
      </c>
      <c r="FU42" s="1044">
        <f t="shared" si="168"/>
        <v>416289.6</v>
      </c>
      <c r="FV42" s="1044">
        <f t="shared" si="168"/>
        <v>35556.699999999997</v>
      </c>
      <c r="FW42" s="1044">
        <f t="shared" si="168"/>
        <v>19013</v>
      </c>
      <c r="FX42" s="1044">
        <f t="shared" si="168"/>
        <v>2847.9</v>
      </c>
      <c r="FY42" s="1044">
        <f t="shared" si="168"/>
        <v>34644.1</v>
      </c>
      <c r="FZ42" s="1044">
        <f t="shared" si="168"/>
        <v>301496.2</v>
      </c>
      <c r="GA42" s="1044">
        <f t="shared" si="168"/>
        <v>22731.7</v>
      </c>
      <c r="GB42" s="1044">
        <f t="shared" si="168"/>
        <v>125719.6</v>
      </c>
      <c r="GC42" s="1044">
        <f t="shared" si="168"/>
        <v>1142.5</v>
      </c>
      <c r="GD42" s="1044">
        <f t="shared" si="168"/>
        <v>1165.5</v>
      </c>
      <c r="GE42" s="1044">
        <f t="shared" si="168"/>
        <v>518.9</v>
      </c>
      <c r="GF42" s="1044">
        <f t="shared" si="168"/>
        <v>3973.4</v>
      </c>
      <c r="GG42" s="1044">
        <f t="shared" si="168"/>
        <v>854.1</v>
      </c>
      <c r="GH42" s="1044">
        <f t="shared" si="168"/>
        <v>291.3</v>
      </c>
      <c r="GI42" s="1044">
        <f t="shared" si="168"/>
        <v>1427.6</v>
      </c>
      <c r="GJ42" s="1044">
        <f t="shared" si="168"/>
        <v>29749.1</v>
      </c>
      <c r="GK42" s="1044">
        <f t="shared" si="168"/>
        <v>1540.9</v>
      </c>
      <c r="GL42" s="1044">
        <f t="shared" si="168"/>
        <v>295.8</v>
      </c>
      <c r="GM42" s="1048"/>
      <c r="GN42" s="1047"/>
      <c r="GO42" s="1044">
        <f t="shared" ref="GO42:HB42" si="169">GO10+GO12+GO18+GO19+GO20+GO24+GO27+GO29+GO30+GO38+GO40</f>
        <v>471283</v>
      </c>
      <c r="GP42" s="1044">
        <f t="shared" si="169"/>
        <v>336536.4</v>
      </c>
      <c r="GQ42" s="1044">
        <f t="shared" si="169"/>
        <v>101634.2</v>
      </c>
      <c r="GR42" s="1044">
        <f t="shared" si="169"/>
        <v>923.7</v>
      </c>
      <c r="GS42" s="1044">
        <f t="shared" si="169"/>
        <v>942.2</v>
      </c>
      <c r="GT42" s="1044">
        <f t="shared" si="169"/>
        <v>419.5</v>
      </c>
      <c r="GU42" s="1044">
        <f t="shared" si="169"/>
        <v>3212.3</v>
      </c>
      <c r="GV42" s="1044">
        <f t="shared" si="169"/>
        <v>690.5</v>
      </c>
      <c r="GW42" s="1044">
        <f t="shared" si="169"/>
        <v>235.4</v>
      </c>
      <c r="GX42" s="1044">
        <f t="shared" si="169"/>
        <v>1154.2</v>
      </c>
      <c r="GY42" s="1044">
        <f t="shared" si="169"/>
        <v>24049.9</v>
      </c>
      <c r="GZ42" s="1044">
        <f t="shared" si="169"/>
        <v>1245.7</v>
      </c>
      <c r="HA42" s="1044">
        <f t="shared" si="169"/>
        <v>239</v>
      </c>
      <c r="HB42" s="1044">
        <f t="shared" si="169"/>
        <v>38040.6</v>
      </c>
      <c r="HC42" s="996"/>
      <c r="HD42" s="1047"/>
      <c r="HE42" s="1044">
        <f t="shared" ref="HE42:HR42" si="170">HE10+HE12+HE18+HE19+HE20+HE24+HE27+HE29+HE30+HE38+HE40</f>
        <v>497850.9</v>
      </c>
      <c r="HF42" s="1044">
        <f t="shared" si="170"/>
        <v>355508.9</v>
      </c>
      <c r="HG42" s="1044">
        <f t="shared" si="170"/>
        <v>107363.8</v>
      </c>
      <c r="HH42" s="1044">
        <f t="shared" si="170"/>
        <v>975.7</v>
      </c>
      <c r="HI42" s="1044">
        <f t="shared" si="170"/>
        <v>995.4</v>
      </c>
      <c r="HJ42" s="1044">
        <f t="shared" si="170"/>
        <v>443.2</v>
      </c>
      <c r="HK42" s="1044">
        <f t="shared" si="170"/>
        <v>3393.2</v>
      </c>
      <c r="HL42" s="1044">
        <f t="shared" si="170"/>
        <v>729.5</v>
      </c>
      <c r="HM42" s="1044">
        <f t="shared" si="170"/>
        <v>248.9</v>
      </c>
      <c r="HN42" s="1044">
        <f t="shared" si="170"/>
        <v>1219</v>
      </c>
      <c r="HO42" s="1044">
        <f t="shared" si="170"/>
        <v>25405.5</v>
      </c>
      <c r="HP42" s="1044">
        <f t="shared" si="170"/>
        <v>1315.9</v>
      </c>
      <c r="HQ42" s="1044">
        <f t="shared" si="170"/>
        <v>251.9</v>
      </c>
      <c r="HR42" s="1044">
        <f t="shared" si="170"/>
        <v>40185</v>
      </c>
      <c r="HS42" s="996"/>
      <c r="HT42" s="1047"/>
      <c r="HU42" s="1044">
        <f t="shared" ref="HU42:IH42" si="171">HU10+HU12+HU18+HU19+HU20+HU24+HU27+HU29+HU30+HU38+HU40</f>
        <v>525013.19999999995</v>
      </c>
      <c r="HV42" s="1044">
        <f t="shared" si="171"/>
        <v>374904.8</v>
      </c>
      <c r="HW42" s="1044">
        <f t="shared" si="171"/>
        <v>113221.2</v>
      </c>
      <c r="HX42" s="1044">
        <f t="shared" si="171"/>
        <v>1028.9000000000001</v>
      </c>
      <c r="HY42" s="1044">
        <f t="shared" si="171"/>
        <v>1049.5999999999999</v>
      </c>
      <c r="HZ42" s="1044">
        <f t="shared" si="171"/>
        <v>467.1</v>
      </c>
      <c r="IA42" s="1044">
        <f t="shared" si="171"/>
        <v>3578.4</v>
      </c>
      <c r="IB42" s="1044">
        <f t="shared" si="171"/>
        <v>769.3</v>
      </c>
      <c r="IC42" s="1044">
        <f t="shared" si="171"/>
        <v>262.5</v>
      </c>
      <c r="ID42" s="1044">
        <f t="shared" si="171"/>
        <v>1285.5</v>
      </c>
      <c r="IE42" s="1044">
        <f t="shared" si="171"/>
        <v>26791.7</v>
      </c>
      <c r="IF42" s="1044">
        <f t="shared" si="171"/>
        <v>1387.8</v>
      </c>
      <c r="IG42" s="1044">
        <f t="shared" si="171"/>
        <v>266.39999999999998</v>
      </c>
      <c r="IH42" s="1044">
        <f t="shared" si="171"/>
        <v>42377.4</v>
      </c>
    </row>
    <row r="43" spans="1:242" ht="18.75" x14ac:dyDescent="0.25">
      <c r="A43" s="1010" t="s">
        <v>1334</v>
      </c>
      <c r="B43" s="1043">
        <f t="shared" ref="B43:AQ43" si="172">B41-B42</f>
        <v>2321.75</v>
      </c>
      <c r="C43" s="1043">
        <f t="shared" si="172"/>
        <v>2321.75</v>
      </c>
      <c r="D43" s="1043">
        <f t="shared" si="172"/>
        <v>20</v>
      </c>
      <c r="E43" s="1043">
        <f t="shared" si="172"/>
        <v>103.5</v>
      </c>
      <c r="F43" s="1043">
        <f t="shared" si="172"/>
        <v>137.75</v>
      </c>
      <c r="G43" s="1043">
        <f t="shared" si="172"/>
        <v>24.5</v>
      </c>
      <c r="H43" s="1043">
        <f t="shared" si="172"/>
        <v>279.55</v>
      </c>
      <c r="I43" s="1043">
        <f t="shared" si="172"/>
        <v>1756.45</v>
      </c>
      <c r="J43" s="1043">
        <f t="shared" si="172"/>
        <v>356.19</v>
      </c>
      <c r="K43" s="1043">
        <f t="shared" si="172"/>
        <v>660.58</v>
      </c>
      <c r="L43" s="1043">
        <f t="shared" si="172"/>
        <v>110.37</v>
      </c>
      <c r="M43" s="1043">
        <f t="shared" si="172"/>
        <v>64.13</v>
      </c>
      <c r="N43" s="1043">
        <f t="shared" si="172"/>
        <v>86.93</v>
      </c>
      <c r="O43" s="1043">
        <f t="shared" si="172"/>
        <v>3.94</v>
      </c>
      <c r="P43" s="1043">
        <f t="shared" si="172"/>
        <v>150.57</v>
      </c>
      <c r="Q43" s="1043">
        <f t="shared" si="172"/>
        <v>186.66</v>
      </c>
      <c r="R43" s="1043">
        <f t="shared" si="172"/>
        <v>28.31</v>
      </c>
      <c r="S43" s="1043">
        <f t="shared" si="172"/>
        <v>108.77</v>
      </c>
      <c r="T43" s="1043">
        <f t="shared" si="172"/>
        <v>365.54</v>
      </c>
      <c r="U43" s="1043">
        <f t="shared" si="172"/>
        <v>150.57</v>
      </c>
      <c r="V43" s="1043">
        <f t="shared" si="172"/>
        <v>186.66</v>
      </c>
      <c r="W43" s="1043">
        <f t="shared" si="172"/>
        <v>28.31</v>
      </c>
      <c r="X43" s="1043">
        <f t="shared" si="172"/>
        <v>0</v>
      </c>
      <c r="Y43" s="1043">
        <f t="shared" si="172"/>
        <v>51373059.68</v>
      </c>
      <c r="Z43" s="1043">
        <f t="shared" si="172"/>
        <v>677548.4</v>
      </c>
      <c r="AA43" s="1043">
        <f t="shared" si="172"/>
        <v>3153230.1</v>
      </c>
      <c r="AB43" s="1043">
        <f t="shared" si="172"/>
        <v>2237335.5</v>
      </c>
      <c r="AC43" s="1043">
        <f t="shared" si="172"/>
        <v>397929</v>
      </c>
      <c r="AD43" s="1043">
        <f t="shared" si="172"/>
        <v>4540451.0999999996</v>
      </c>
      <c r="AE43" s="1043">
        <f t="shared" si="172"/>
        <v>40366565.579999998</v>
      </c>
      <c r="AF43" s="1043">
        <f t="shared" si="172"/>
        <v>8891105.2100000009</v>
      </c>
      <c r="AG43" s="1043">
        <f t="shared" si="172"/>
        <v>16994898.640000001</v>
      </c>
      <c r="AH43" s="1043">
        <f t="shared" si="172"/>
        <v>2822682.97</v>
      </c>
      <c r="AI43" s="1043">
        <f t="shared" si="172"/>
        <v>1315792.3999999999</v>
      </c>
      <c r="AJ43" s="1043">
        <f t="shared" si="172"/>
        <v>1783593.23</v>
      </c>
      <c r="AK43" s="1043">
        <f t="shared" si="172"/>
        <v>80839.27</v>
      </c>
      <c r="AL43" s="1043">
        <f t="shared" si="172"/>
        <v>2511152.2599999998</v>
      </c>
      <c r="AM43" s="1043">
        <f t="shared" si="172"/>
        <v>3113048.28</v>
      </c>
      <c r="AN43" s="1043">
        <f t="shared" si="172"/>
        <v>472143.98</v>
      </c>
      <c r="AO43" s="1043">
        <f t="shared" si="172"/>
        <v>2052233.2</v>
      </c>
      <c r="AP43" s="1043">
        <f t="shared" si="172"/>
        <v>329076.14</v>
      </c>
      <c r="AQ43" s="1043">
        <f t="shared" si="172"/>
        <v>0</v>
      </c>
      <c r="AR43" s="1044"/>
      <c r="AS43" s="1044"/>
      <c r="AT43" s="1044"/>
      <c r="AU43" s="1044"/>
      <c r="AV43" s="1044"/>
      <c r="AW43" s="1044"/>
      <c r="AX43" s="1044"/>
      <c r="AY43" s="1044"/>
      <c r="AZ43" s="1044"/>
      <c r="BA43" s="1044"/>
      <c r="BB43" s="1044"/>
      <c r="BC43" s="1044">
        <f t="shared" ref="BC43:BG43" si="173">BC41-BC42</f>
        <v>658</v>
      </c>
      <c r="BD43" s="1044">
        <f t="shared" si="173"/>
        <v>271</v>
      </c>
      <c r="BE43" s="1044">
        <f t="shared" si="173"/>
        <v>336</v>
      </c>
      <c r="BF43" s="1044">
        <f t="shared" si="173"/>
        <v>51</v>
      </c>
      <c r="BG43" s="1044">
        <f t="shared" si="173"/>
        <v>18067</v>
      </c>
      <c r="BH43" s="1044">
        <f>BH41-BH42</f>
        <v>257</v>
      </c>
      <c r="BI43" s="1044">
        <f t="shared" ref="BI43:BJ43" si="174">BI41-BI42</f>
        <v>303</v>
      </c>
      <c r="BJ43" s="1044">
        <f t="shared" si="174"/>
        <v>49</v>
      </c>
      <c r="BK43" s="1044">
        <f>BK41-BK42</f>
        <v>17259</v>
      </c>
      <c r="BL43" s="1044"/>
      <c r="BM43" s="1044">
        <f>BM41-BM42</f>
        <v>14</v>
      </c>
      <c r="BN43" s="1044">
        <f t="shared" ref="BN43:BO43" si="175">BN41-BN42</f>
        <v>26</v>
      </c>
      <c r="BO43" s="1044">
        <f t="shared" si="175"/>
        <v>0</v>
      </c>
      <c r="BP43" s="1044">
        <f>BP41-BP42</f>
        <v>449</v>
      </c>
      <c r="BQ43" s="1044"/>
      <c r="BR43" s="1044">
        <f>BR41-BR42</f>
        <v>0</v>
      </c>
      <c r="BS43" s="1044">
        <f t="shared" ref="BS43:BT43" si="176">BS41-BS42</f>
        <v>5</v>
      </c>
      <c r="BT43" s="1044">
        <f t="shared" si="176"/>
        <v>2</v>
      </c>
      <c r="BU43" s="1044">
        <f>BU41-BU42</f>
        <v>160</v>
      </c>
      <c r="BV43" s="1044"/>
      <c r="BW43" s="1044">
        <f>BW41-BW42</f>
        <v>0</v>
      </c>
      <c r="BX43" s="1044">
        <f t="shared" ref="BX43:BY43" si="177">BX41-BX42</f>
        <v>2</v>
      </c>
      <c r="BY43" s="1044">
        <f t="shared" si="177"/>
        <v>0</v>
      </c>
      <c r="BZ43" s="1044">
        <f>BZ41-BZ42</f>
        <v>5</v>
      </c>
      <c r="CA43" s="1044"/>
      <c r="CB43" s="1044">
        <f>CB41-CB42</f>
        <v>33</v>
      </c>
      <c r="CC43" s="1044">
        <f t="shared" ref="CC43:CD43" si="178">CC41-CC42</f>
        <v>53</v>
      </c>
      <c r="CD43" s="1044">
        <f t="shared" si="178"/>
        <v>1</v>
      </c>
      <c r="CE43" s="1044">
        <f>CE41-CE42</f>
        <v>87</v>
      </c>
      <c r="CF43" s="1044"/>
      <c r="CG43" s="1044">
        <f>CG41-CG42</f>
        <v>43</v>
      </c>
      <c r="CH43" s="1044">
        <f t="shared" ref="CH43:CI43" si="179">CH41-CH42</f>
        <v>46</v>
      </c>
      <c r="CI43" s="1044">
        <f t="shared" si="179"/>
        <v>2</v>
      </c>
      <c r="CJ43" s="1044">
        <f>CJ41-CJ42</f>
        <v>91</v>
      </c>
      <c r="CK43" s="1044"/>
      <c r="CL43" s="1044">
        <f>CL41-CL42</f>
        <v>9</v>
      </c>
      <c r="CM43" s="1044">
        <f t="shared" ref="CM43:CN43" si="180">CM41-CM42</f>
        <v>7</v>
      </c>
      <c r="CN43" s="1044">
        <f t="shared" si="180"/>
        <v>0</v>
      </c>
      <c r="CO43" s="1044">
        <f>CO41-CO42</f>
        <v>16</v>
      </c>
      <c r="CP43" s="1044"/>
      <c r="CQ43" s="1044">
        <f t="shared" ref="CQ43:CT43" si="181">CQ41-CQ42</f>
        <v>948.2</v>
      </c>
      <c r="CR43" s="1044">
        <f t="shared" si="181"/>
        <v>43.8</v>
      </c>
      <c r="CS43" s="1044">
        <f t="shared" si="181"/>
        <v>6913.7</v>
      </c>
      <c r="CT43" s="1044">
        <f t="shared" si="181"/>
        <v>7542.1</v>
      </c>
      <c r="CU43" s="1044"/>
      <c r="CV43" s="1044"/>
      <c r="CW43" s="1043"/>
      <c r="CX43" s="1043"/>
      <c r="CY43" s="1043"/>
      <c r="CZ43" s="1043">
        <f>CZ41-CZ42</f>
        <v>245470.4</v>
      </c>
      <c r="DA43" s="1043"/>
      <c r="DB43" s="1043"/>
      <c r="DC43" s="1043"/>
      <c r="DD43" s="1043">
        <f t="shared" ref="DD43:DT43" si="182">DD41-DD42</f>
        <v>624564830.14999998</v>
      </c>
      <c r="DE43" s="1043">
        <f t="shared" si="182"/>
        <v>8254572.1900000004</v>
      </c>
      <c r="DF43" s="1043">
        <f t="shared" si="182"/>
        <v>38415802.310000002</v>
      </c>
      <c r="DG43" s="1043">
        <f t="shared" si="182"/>
        <v>26848026</v>
      </c>
      <c r="DH43" s="1043">
        <f t="shared" si="182"/>
        <v>4775148</v>
      </c>
      <c r="DI43" s="1043">
        <f t="shared" si="182"/>
        <v>54485413.200000003</v>
      </c>
      <c r="DJ43" s="1043">
        <f t="shared" si="182"/>
        <v>491785868.44999999</v>
      </c>
      <c r="DK43" s="1043">
        <f t="shared" si="182"/>
        <v>405887.58</v>
      </c>
      <c r="DL43" s="1043">
        <f t="shared" si="182"/>
        <v>16742418</v>
      </c>
      <c r="DM43" s="1043">
        <f t="shared" si="182"/>
        <v>6409507.5</v>
      </c>
      <c r="DN43" s="1043">
        <f t="shared" si="182"/>
        <v>1163064</v>
      </c>
      <c r="DO43" s="1043">
        <f t="shared" si="182"/>
        <v>53784966.130000003</v>
      </c>
      <c r="DP43" s="1043">
        <f t="shared" si="182"/>
        <v>33917489.799999997</v>
      </c>
      <c r="DQ43" s="1043">
        <f t="shared" si="182"/>
        <v>6783497.96</v>
      </c>
      <c r="DR43" s="1043">
        <f t="shared" si="182"/>
        <v>743771661.20000005</v>
      </c>
      <c r="DS43" s="1043">
        <f t="shared" si="182"/>
        <v>224619041.69999999</v>
      </c>
      <c r="DT43" s="1043">
        <f t="shared" si="182"/>
        <v>968390702.89999998</v>
      </c>
      <c r="DU43" s="996"/>
      <c r="DV43" s="1047"/>
      <c r="DW43" s="1043">
        <f t="shared" ref="DW43:FP43" si="183">DW41-DW42</f>
        <v>10016746.390000001</v>
      </c>
      <c r="DX43" s="1043">
        <f t="shared" si="183"/>
        <v>1282054.68</v>
      </c>
      <c r="DY43" s="1043">
        <f t="shared" si="183"/>
        <v>1419490.94</v>
      </c>
      <c r="DZ43" s="1043">
        <f t="shared" si="183"/>
        <v>0</v>
      </c>
      <c r="EA43" s="1043">
        <f t="shared" si="183"/>
        <v>0</v>
      </c>
      <c r="EB43" s="1043">
        <f t="shared" si="183"/>
        <v>858150</v>
      </c>
      <c r="EC43" s="1043">
        <f t="shared" si="183"/>
        <v>967586.64</v>
      </c>
      <c r="ED43" s="1043">
        <f t="shared" si="183"/>
        <v>4961796.37</v>
      </c>
      <c r="EE43" s="1043">
        <f t="shared" si="183"/>
        <v>5493700.9500000002</v>
      </c>
      <c r="EF43" s="1043">
        <f t="shared" si="183"/>
        <v>1413492.5</v>
      </c>
      <c r="EG43" s="1043">
        <f t="shared" si="183"/>
        <v>1592859.93</v>
      </c>
      <c r="EH43" s="1043">
        <f t="shared" si="183"/>
        <v>72451.25</v>
      </c>
      <c r="EI43" s="1043">
        <f t="shared" si="183"/>
        <v>543107.93000000005</v>
      </c>
      <c r="EJ43" s="1043">
        <f t="shared" si="183"/>
        <v>56577082.109999999</v>
      </c>
      <c r="EK43" s="1043">
        <f t="shared" si="183"/>
        <v>723222</v>
      </c>
      <c r="EL43" s="1043">
        <f t="shared" si="183"/>
        <v>2462065.5499999998</v>
      </c>
      <c r="EM43" s="1043">
        <f t="shared" si="183"/>
        <v>7888707</v>
      </c>
      <c r="EN43" s="1043">
        <f t="shared" si="183"/>
        <v>11988466.83</v>
      </c>
      <c r="EO43" s="1046">
        <f t="shared" si="183"/>
        <v>2022</v>
      </c>
      <c r="EP43" s="1043">
        <f t="shared" si="183"/>
        <v>3578131.2</v>
      </c>
      <c r="EQ43" s="1046">
        <f t="shared" si="183"/>
        <v>1904</v>
      </c>
      <c r="ER43" s="1043">
        <f t="shared" si="183"/>
        <v>4192608</v>
      </c>
      <c r="ES43" s="1046">
        <f t="shared" si="183"/>
        <v>1921</v>
      </c>
      <c r="ET43" s="1043">
        <f t="shared" si="183"/>
        <v>4267693.5999999996</v>
      </c>
      <c r="EU43" s="1046">
        <f t="shared" si="183"/>
        <v>2105</v>
      </c>
      <c r="EV43" s="1043">
        <f t="shared" si="183"/>
        <v>5056631</v>
      </c>
      <c r="EW43" s="1046">
        <f t="shared" si="183"/>
        <v>1845</v>
      </c>
      <c r="EX43" s="1043">
        <f t="shared" si="183"/>
        <v>4885929</v>
      </c>
      <c r="EY43" s="1046">
        <f t="shared" si="183"/>
        <v>1821</v>
      </c>
      <c r="EZ43" s="1043">
        <f t="shared" si="183"/>
        <v>5585735.4000000004</v>
      </c>
      <c r="FA43" s="1046">
        <f t="shared" si="183"/>
        <v>1749</v>
      </c>
      <c r="FB43" s="1043">
        <f t="shared" si="183"/>
        <v>6451361.4000000004</v>
      </c>
      <c r="FC43" s="1046">
        <f t="shared" si="183"/>
        <v>1786</v>
      </c>
      <c r="FD43" s="1043">
        <f t="shared" si="183"/>
        <v>6796087.2000000002</v>
      </c>
      <c r="FE43" s="1046">
        <f t="shared" si="183"/>
        <v>1694</v>
      </c>
      <c r="FF43" s="1043">
        <f t="shared" si="183"/>
        <v>5985240.7999999998</v>
      </c>
      <c r="FG43" s="1046">
        <f t="shared" si="183"/>
        <v>634</v>
      </c>
      <c r="FH43" s="1043">
        <f t="shared" si="183"/>
        <v>2155600</v>
      </c>
      <c r="FI43" s="1046">
        <f t="shared" si="183"/>
        <v>586</v>
      </c>
      <c r="FJ43" s="1043">
        <f t="shared" si="183"/>
        <v>1992400</v>
      </c>
      <c r="FK43" s="1043">
        <f t="shared" si="183"/>
        <v>50947417.600000001</v>
      </c>
      <c r="FL43" s="1043">
        <f t="shared" si="183"/>
        <v>2394815.84</v>
      </c>
      <c r="FM43" s="1043">
        <f t="shared" si="183"/>
        <v>2657302.4700000002</v>
      </c>
      <c r="FN43" s="1043">
        <f t="shared" si="183"/>
        <v>419066.45</v>
      </c>
      <c r="FO43" s="1043">
        <f t="shared" si="183"/>
        <v>510296.49</v>
      </c>
      <c r="FP43" s="1044">
        <f t="shared" si="183"/>
        <v>66593828.5</v>
      </c>
      <c r="FQ43" s="996"/>
      <c r="FR43" s="1043">
        <f>FR41-FR42</f>
        <v>1034984531.4</v>
      </c>
      <c r="FS43" s="996"/>
      <c r="FT43" s="1044">
        <f t="shared" ref="FT43:GL43" si="184">FT41-FT42</f>
        <v>1034985.3</v>
      </c>
      <c r="FU43" s="1044">
        <f t="shared" si="184"/>
        <v>743771.9</v>
      </c>
      <c r="FV43" s="1044">
        <f t="shared" si="184"/>
        <v>63412.6</v>
      </c>
      <c r="FW43" s="1044">
        <f t="shared" si="184"/>
        <v>33257.599999999999</v>
      </c>
      <c r="FX43" s="1044">
        <f t="shared" si="184"/>
        <v>6343.3</v>
      </c>
      <c r="FY43" s="1044">
        <f t="shared" si="184"/>
        <v>54485.2</v>
      </c>
      <c r="FZ43" s="1044">
        <f t="shared" si="184"/>
        <v>545570.9</v>
      </c>
      <c r="GA43" s="1044">
        <f t="shared" si="184"/>
        <v>40702.300000000003</v>
      </c>
      <c r="GB43" s="1044">
        <f t="shared" si="184"/>
        <v>224619.1</v>
      </c>
      <c r="GC43" s="1044">
        <f t="shared" si="184"/>
        <v>1419.5</v>
      </c>
      <c r="GD43" s="1044">
        <f t="shared" si="184"/>
        <v>0</v>
      </c>
      <c r="GE43" s="1044">
        <f t="shared" si="184"/>
        <v>967.7</v>
      </c>
      <c r="GF43" s="1044">
        <f t="shared" si="184"/>
        <v>5493.8</v>
      </c>
      <c r="GG43" s="1044">
        <f t="shared" si="184"/>
        <v>1592.9</v>
      </c>
      <c r="GH43" s="1044">
        <f t="shared" si="184"/>
        <v>543.20000000000005</v>
      </c>
      <c r="GI43" s="1044">
        <f t="shared" si="184"/>
        <v>2462.1999999999998</v>
      </c>
      <c r="GJ43" s="1044">
        <f t="shared" si="184"/>
        <v>50947.4</v>
      </c>
      <c r="GK43" s="1044">
        <f t="shared" si="184"/>
        <v>2657.1</v>
      </c>
      <c r="GL43" s="1044">
        <f t="shared" si="184"/>
        <v>510.5</v>
      </c>
      <c r="GM43" s="1048"/>
      <c r="GN43" s="1047"/>
      <c r="GO43" s="1044">
        <f t="shared" ref="GO43:HB43" si="185">GO41-GO42</f>
        <v>836701.8</v>
      </c>
      <c r="GP43" s="1044">
        <f t="shared" si="185"/>
        <v>601279.5</v>
      </c>
      <c r="GQ43" s="1044">
        <f t="shared" si="185"/>
        <v>181586.5</v>
      </c>
      <c r="GR43" s="1044">
        <f t="shared" si="185"/>
        <v>1147.7</v>
      </c>
      <c r="GS43" s="1044">
        <f t="shared" si="185"/>
        <v>0</v>
      </c>
      <c r="GT43" s="1044">
        <f t="shared" si="185"/>
        <v>782.2</v>
      </c>
      <c r="GU43" s="1044">
        <f t="shared" si="185"/>
        <v>4441.5</v>
      </c>
      <c r="GV43" s="1044">
        <f t="shared" si="185"/>
        <v>1287.5999999999999</v>
      </c>
      <c r="GW43" s="1044">
        <f t="shared" si="185"/>
        <v>439</v>
      </c>
      <c r="GX43" s="1044">
        <f t="shared" si="185"/>
        <v>1990.5</v>
      </c>
      <c r="GY43" s="1044">
        <f t="shared" si="185"/>
        <v>41186.800000000003</v>
      </c>
      <c r="GZ43" s="1044">
        <f t="shared" si="185"/>
        <v>2147.9</v>
      </c>
      <c r="HA43" s="1044">
        <f t="shared" si="185"/>
        <v>412.6</v>
      </c>
      <c r="HB43" s="1044">
        <f t="shared" si="185"/>
        <v>56612.3</v>
      </c>
      <c r="HC43" s="996"/>
      <c r="HD43" s="1047"/>
      <c r="HE43" s="1044">
        <f t="shared" ref="HE43:HR43" si="186">HE41-HE42</f>
        <v>883872.2</v>
      </c>
      <c r="HF43" s="1044">
        <f t="shared" si="186"/>
        <v>635177</v>
      </c>
      <c r="HG43" s="1044">
        <f t="shared" si="186"/>
        <v>191823.4</v>
      </c>
      <c r="HH43" s="1044">
        <f t="shared" si="186"/>
        <v>1212.4000000000001</v>
      </c>
      <c r="HI43" s="1044">
        <f t="shared" si="186"/>
        <v>0</v>
      </c>
      <c r="HJ43" s="1044">
        <f t="shared" si="186"/>
        <v>826.4</v>
      </c>
      <c r="HK43" s="1044">
        <f t="shared" si="186"/>
        <v>4691.7</v>
      </c>
      <c r="HL43" s="1044">
        <f t="shared" si="186"/>
        <v>1360.4</v>
      </c>
      <c r="HM43" s="1044">
        <f t="shared" si="186"/>
        <v>464</v>
      </c>
      <c r="HN43" s="1044">
        <f t="shared" si="186"/>
        <v>2102.6999999999998</v>
      </c>
      <c r="HO43" s="1044">
        <f t="shared" si="186"/>
        <v>43509</v>
      </c>
      <c r="HP43" s="1044">
        <f t="shared" si="186"/>
        <v>2269.1999999999998</v>
      </c>
      <c r="HQ43" s="1044">
        <f t="shared" si="186"/>
        <v>436</v>
      </c>
      <c r="HR43" s="1044">
        <f t="shared" si="186"/>
        <v>59803.4</v>
      </c>
      <c r="HS43" s="996"/>
      <c r="HT43" s="1047"/>
      <c r="HU43" s="1044">
        <f t="shared" ref="HU43:IH43" si="187">HU41-HU42</f>
        <v>932094.2</v>
      </c>
      <c r="HV43" s="1044">
        <f t="shared" si="187"/>
        <v>669831.1</v>
      </c>
      <c r="HW43" s="1044">
        <f t="shared" si="187"/>
        <v>202289</v>
      </c>
      <c r="HX43" s="1044">
        <f t="shared" si="187"/>
        <v>1278.3</v>
      </c>
      <c r="HY43" s="1044">
        <f t="shared" si="187"/>
        <v>0</v>
      </c>
      <c r="HZ43" s="1044">
        <f t="shared" si="187"/>
        <v>871.4</v>
      </c>
      <c r="IA43" s="1044">
        <f t="shared" si="187"/>
        <v>4947.7</v>
      </c>
      <c r="IB43" s="1044">
        <f t="shared" si="187"/>
        <v>1434.5</v>
      </c>
      <c r="IC43" s="1044">
        <f t="shared" si="187"/>
        <v>489.3</v>
      </c>
      <c r="ID43" s="1044">
        <f t="shared" si="187"/>
        <v>2217.5</v>
      </c>
      <c r="IE43" s="1044">
        <f t="shared" si="187"/>
        <v>45882.400000000001</v>
      </c>
      <c r="IF43" s="1044">
        <f t="shared" si="187"/>
        <v>2393.1999999999998</v>
      </c>
      <c r="IG43" s="1044">
        <f t="shared" si="187"/>
        <v>459.8</v>
      </c>
      <c r="IH43" s="1044">
        <f t="shared" si="187"/>
        <v>63066.2</v>
      </c>
    </row>
    <row r="44" spans="1:242" ht="18.75" x14ac:dyDescent="0.25">
      <c r="B44" s="1049"/>
      <c r="C44" s="1049"/>
      <c r="D44" s="1049"/>
      <c r="E44" s="1049"/>
      <c r="F44" s="1049"/>
      <c r="G44" s="1049"/>
      <c r="H44" s="1049"/>
      <c r="I44" s="1049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50"/>
      <c r="Z44" s="1050"/>
      <c r="AA44" s="1050"/>
      <c r="AB44" s="1050"/>
      <c r="AC44" s="1050"/>
      <c r="AD44" s="1050"/>
      <c r="AE44" s="1050"/>
      <c r="AF44" s="1050"/>
      <c r="AG44" s="1050"/>
      <c r="AH44" s="1050"/>
      <c r="AI44" s="1050"/>
      <c r="AJ44" s="1050"/>
      <c r="AK44" s="1050"/>
      <c r="AL44" s="1050"/>
      <c r="AM44" s="1050"/>
      <c r="AN44" s="1050"/>
      <c r="AO44" s="1050"/>
      <c r="AP44" s="1050"/>
      <c r="AQ44" s="1050"/>
      <c r="AR44" s="1050"/>
      <c r="AS44" s="1050"/>
      <c r="AT44" s="1050"/>
      <c r="AU44" s="1050"/>
      <c r="AV44" s="1050"/>
      <c r="AW44" s="1050"/>
      <c r="AX44" s="1050"/>
      <c r="AY44" s="1050"/>
      <c r="AZ44" s="1050"/>
      <c r="BA44" s="1050"/>
      <c r="BB44" s="1050"/>
      <c r="BC44" s="1050">
        <f>BC41-BC15-BC17</f>
        <v>974</v>
      </c>
      <c r="BD44" s="1050"/>
      <c r="BE44" s="1050"/>
      <c r="BF44" s="1050"/>
      <c r="BG44" s="1050">
        <f>BG41-BG15-BG17</f>
        <v>27012</v>
      </c>
      <c r="BH44" s="1050"/>
      <c r="BI44" s="1050"/>
      <c r="BJ44" s="1050"/>
      <c r="BK44" s="1050"/>
      <c r="BL44" s="1050"/>
      <c r="BM44" s="1050"/>
      <c r="BN44" s="1050"/>
      <c r="BO44" s="1050"/>
      <c r="BP44" s="1050"/>
      <c r="BQ44" s="1050"/>
      <c r="BR44" s="1050"/>
      <c r="BS44" s="1050"/>
      <c r="BT44" s="1050"/>
      <c r="BU44" s="1050"/>
      <c r="BV44" s="1050"/>
      <c r="BW44" s="1050"/>
      <c r="BX44" s="1050"/>
      <c r="BY44" s="1050"/>
      <c r="BZ44" s="1050"/>
      <c r="CA44" s="1050"/>
      <c r="CB44" s="1050"/>
      <c r="CC44" s="1050"/>
      <c r="CD44" s="1050"/>
      <c r="CE44" s="1050"/>
      <c r="CF44" s="1050"/>
      <c r="CG44" s="1050"/>
      <c r="CH44" s="1050"/>
      <c r="CI44" s="1050"/>
      <c r="CJ44" s="1050"/>
      <c r="CK44" s="1050"/>
      <c r="CL44" s="1050"/>
      <c r="CM44" s="1050"/>
      <c r="CN44" s="1050"/>
      <c r="CO44" s="1050"/>
      <c r="CP44" s="1050"/>
      <c r="CQ44" s="1050"/>
      <c r="CR44" s="1050"/>
      <c r="CS44" s="1050"/>
      <c r="CT44" s="1050"/>
      <c r="CU44" s="1050"/>
      <c r="CV44" s="1050"/>
      <c r="CW44" s="1050"/>
      <c r="CX44" s="1050"/>
      <c r="CY44" s="1050"/>
      <c r="CZ44" s="1050"/>
      <c r="DA44" s="1050"/>
      <c r="DB44" s="1050"/>
      <c r="DC44" s="1050"/>
      <c r="DD44" s="1050"/>
      <c r="DE44" s="1050"/>
      <c r="DF44" s="1050"/>
      <c r="DG44" s="1050"/>
      <c r="DH44" s="1050"/>
      <c r="DI44" s="1050"/>
      <c r="DJ44" s="1050"/>
      <c r="DK44" s="1050"/>
      <c r="DL44" s="1050"/>
      <c r="DM44" s="1050"/>
      <c r="DN44" s="1050"/>
      <c r="DO44" s="1050"/>
      <c r="DP44" s="1050"/>
      <c r="DQ44" s="1050"/>
      <c r="DR44" s="1050"/>
      <c r="DS44" s="1050"/>
      <c r="DT44" s="1050"/>
      <c r="DU44" s="996"/>
      <c r="DV44" s="1050"/>
      <c r="DW44" s="1052" t="s">
        <v>1804</v>
      </c>
      <c r="DX44" s="1053">
        <f>DX41/31</f>
        <v>74646.95</v>
      </c>
      <c r="DY44" s="1054"/>
      <c r="DZ44" s="1053">
        <f>DZ41/2</f>
        <v>526358.98</v>
      </c>
      <c r="EA44" s="1054"/>
      <c r="EB44" s="1055"/>
      <c r="EC44" s="1054"/>
      <c r="ED44" s="1053">
        <f>ED41/31</f>
        <v>275821.25</v>
      </c>
      <c r="EE44" s="1054"/>
      <c r="EF44" s="1055"/>
      <c r="EG44" s="1054"/>
      <c r="EH44" s="1055"/>
      <c r="EI44" s="1054"/>
      <c r="EJ44" s="1052"/>
      <c r="EK44" s="1054"/>
      <c r="EL44" s="1054"/>
      <c r="EM44" s="1253"/>
      <c r="EN44" s="1252"/>
      <c r="EO44" s="1252"/>
      <c r="EP44" s="1252"/>
      <c r="EQ44" s="1252"/>
      <c r="ER44" s="1252"/>
      <c r="ES44" s="1252"/>
      <c r="ET44" s="1252"/>
      <c r="EU44" s="1259">
        <f>EO41+EQ41+ES41+EU41</f>
        <v>12408</v>
      </c>
      <c r="EV44" s="1259">
        <f>EP41+ER41+ET41+EV41</f>
        <v>26620261</v>
      </c>
      <c r="EW44" s="1260"/>
      <c r="EX44" s="1260"/>
      <c r="EY44" s="1260"/>
      <c r="EZ44" s="1260"/>
      <c r="FA44" s="1260"/>
      <c r="FB44" s="1260"/>
      <c r="FC44" s="1260"/>
      <c r="FD44" s="1260"/>
      <c r="FE44" s="1259">
        <f>EW41+EY41+FA41+FC41+FE41</f>
        <v>13859</v>
      </c>
      <c r="FF44" s="1259">
        <f>EX41+EZ41+FB41+FD41+FF41</f>
        <v>46334519</v>
      </c>
      <c r="FG44" s="1260"/>
      <c r="FH44" s="1260"/>
      <c r="FI44" s="1259">
        <f>FG41+FI41</f>
        <v>2277</v>
      </c>
      <c r="FJ44" s="1259">
        <f>FH41+FJ41</f>
        <v>7741800</v>
      </c>
      <c r="FK44" s="1252"/>
      <c r="FL44" s="1054"/>
      <c r="FM44" s="1050"/>
      <c r="FN44" s="1054"/>
      <c r="FO44" s="1050"/>
      <c r="FP44" s="1050"/>
      <c r="FQ44" s="996"/>
      <c r="FR44" s="1050"/>
      <c r="FS44" s="996"/>
      <c r="FT44" s="1072"/>
      <c r="FU44" s="1072">
        <f>DR41/1000</f>
        <v>1160061.2</v>
      </c>
      <c r="FV44" s="1072"/>
      <c r="FW44" s="1072"/>
      <c r="FX44" s="1072"/>
      <c r="FY44" s="1072"/>
      <c r="FZ44" s="1072"/>
      <c r="GA44" s="1072"/>
      <c r="GB44" s="1072">
        <f>DS41/1000</f>
        <v>350338.5</v>
      </c>
      <c r="GC44" s="1072">
        <f>DY41/1000</f>
        <v>2562.1</v>
      </c>
      <c r="GD44" s="1072">
        <f>EA41/1000</f>
        <v>1165.5999999999999</v>
      </c>
      <c r="GE44" s="1072">
        <f>EC41/1000</f>
        <v>1486.4</v>
      </c>
      <c r="GF44" s="1072">
        <f>EE41/1000</f>
        <v>9467.1</v>
      </c>
      <c r="GG44" s="1072">
        <f>EG41/1000</f>
        <v>2447</v>
      </c>
      <c r="GH44" s="1072">
        <f>EI41/1000</f>
        <v>834.3</v>
      </c>
      <c r="GI44" s="1072">
        <f>EL41/1000</f>
        <v>3889.8</v>
      </c>
      <c r="GJ44" s="1072">
        <f>FK41/1000</f>
        <v>80696.600000000006</v>
      </c>
      <c r="GK44" s="1072">
        <f>FM41/1000</f>
        <v>4198.3</v>
      </c>
      <c r="GL44" s="1072">
        <f>FO41/1000</f>
        <v>806.2</v>
      </c>
      <c r="GM44" s="996"/>
      <c r="GN44" s="1050"/>
      <c r="GO44" s="1057">
        <f>GO47-GO41</f>
        <v>0</v>
      </c>
      <c r="GP44" s="1050"/>
      <c r="GQ44" s="1050"/>
      <c r="GR44" s="1050"/>
      <c r="GS44" s="1050"/>
      <c r="GT44" s="1050"/>
      <c r="GU44" s="1050"/>
      <c r="GV44" s="1050"/>
      <c r="GW44" s="1050"/>
      <c r="GX44" s="1050"/>
      <c r="GY44" s="1050"/>
      <c r="GZ44" s="1050"/>
      <c r="HA44" s="1050"/>
      <c r="HB44" s="1050"/>
      <c r="HC44" s="996"/>
      <c r="HD44" s="1050"/>
      <c r="HE44" s="1057">
        <f>HE47-HE41</f>
        <v>0</v>
      </c>
      <c r="HF44" s="1050"/>
      <c r="HG44" s="1050"/>
      <c r="HH44" s="1050"/>
      <c r="HI44" s="1050"/>
      <c r="HJ44" s="1050"/>
      <c r="HK44" s="1050"/>
      <c r="HL44" s="1050"/>
      <c r="HM44" s="1050"/>
      <c r="HN44" s="1050"/>
      <c r="HO44" s="1050"/>
      <c r="HP44" s="1050"/>
      <c r="HQ44" s="1050"/>
      <c r="HR44" s="1050"/>
      <c r="HS44" s="996"/>
      <c r="HT44" s="1050"/>
      <c r="HU44" s="1057">
        <f>HU47-HU41</f>
        <v>0</v>
      </c>
      <c r="HV44" s="1050"/>
      <c r="HW44" s="1050"/>
      <c r="HX44" s="1050"/>
      <c r="HY44" s="1050"/>
      <c r="HZ44" s="1050"/>
      <c r="IA44" s="1050"/>
      <c r="IB44" s="1050"/>
      <c r="IC44" s="1050"/>
      <c r="ID44" s="1050"/>
      <c r="IE44" s="1050"/>
      <c r="IF44" s="1050"/>
      <c r="IG44" s="1050"/>
      <c r="IH44" s="1050"/>
    </row>
    <row r="45" spans="1:242" ht="18.75" x14ac:dyDescent="0.25">
      <c r="B45" s="1050"/>
      <c r="C45" s="1050"/>
      <c r="D45" s="1050"/>
      <c r="E45" s="1050"/>
      <c r="F45" s="1050"/>
      <c r="G45" s="1050"/>
      <c r="H45" s="1050"/>
      <c r="I45" s="1050"/>
      <c r="J45" s="1050"/>
      <c r="K45" s="1050"/>
      <c r="L45" s="1050"/>
      <c r="M45" s="1050"/>
      <c r="N45" s="1050"/>
      <c r="O45" s="1050"/>
      <c r="P45" s="1050"/>
      <c r="Q45" s="1050"/>
      <c r="R45" s="1050"/>
      <c r="S45" s="1050"/>
      <c r="T45" s="1050"/>
      <c r="U45" s="1050"/>
      <c r="V45" s="1050"/>
      <c r="W45" s="1050"/>
      <c r="X45" s="1050"/>
      <c r="Y45" s="1050"/>
      <c r="Z45" s="1050"/>
      <c r="AA45" s="1050"/>
      <c r="AB45" s="1050"/>
      <c r="AC45" s="1050"/>
      <c r="AD45" s="1050"/>
      <c r="AE45" s="1050"/>
      <c r="AF45" s="1050"/>
      <c r="AG45" s="1050"/>
      <c r="AH45" s="1050"/>
      <c r="AI45" s="1050"/>
      <c r="AJ45" s="1050"/>
      <c r="AK45" s="1050"/>
      <c r="AL45" s="1050"/>
      <c r="AM45" s="1050"/>
      <c r="AN45" s="1050"/>
      <c r="AO45" s="1050"/>
      <c r="AP45" s="1050"/>
      <c r="AQ45" s="1050"/>
      <c r="AR45" s="1050"/>
      <c r="AS45" s="1050"/>
      <c r="AT45" s="1050"/>
      <c r="AU45" s="1050"/>
      <c r="AV45" s="1050"/>
      <c r="AW45" s="1050"/>
      <c r="AX45" s="1050"/>
      <c r="AY45" s="1050"/>
      <c r="AZ45" s="1050"/>
      <c r="BA45" s="1050"/>
      <c r="BB45" s="1050"/>
      <c r="BC45" s="1050"/>
      <c r="BD45" s="1050"/>
      <c r="BE45" s="1050"/>
      <c r="BF45" s="1050"/>
      <c r="BG45" s="1050"/>
      <c r="BH45" s="1050"/>
      <c r="BI45" s="1050"/>
      <c r="BJ45" s="1050"/>
      <c r="BK45" s="1050"/>
      <c r="BL45" s="1050"/>
      <c r="BM45" s="1050"/>
      <c r="BN45" s="1050"/>
      <c r="BO45" s="1050"/>
      <c r="BP45" s="1050"/>
      <c r="BQ45" s="1050"/>
      <c r="BR45" s="1050"/>
      <c r="BS45" s="1050"/>
      <c r="BT45" s="1050"/>
      <c r="BU45" s="1050"/>
      <c r="BV45" s="1050"/>
      <c r="BW45" s="1050"/>
      <c r="BX45" s="1050"/>
      <c r="BY45" s="1050"/>
      <c r="BZ45" s="1050"/>
      <c r="CA45" s="1050"/>
      <c r="CB45" s="1050"/>
      <c r="CC45" s="1050"/>
      <c r="CD45" s="1050"/>
      <c r="CE45" s="1050"/>
      <c r="CF45" s="1050"/>
      <c r="CG45" s="1050"/>
      <c r="CH45" s="1050"/>
      <c r="CI45" s="1050"/>
      <c r="CJ45" s="1050"/>
      <c r="CK45" s="1050"/>
      <c r="CL45" s="1050"/>
      <c r="CM45" s="1050"/>
      <c r="CN45" s="1050"/>
      <c r="CO45" s="1050"/>
      <c r="CP45" s="1050"/>
      <c r="CQ45" s="1050"/>
      <c r="CR45" s="1050"/>
      <c r="CS45" s="1050"/>
      <c r="CT45" s="1050"/>
      <c r="CU45" s="1050"/>
      <c r="CV45" s="1050"/>
      <c r="CW45" s="1050"/>
      <c r="CX45" s="1050"/>
      <c r="CY45" s="1050"/>
      <c r="CZ45" s="1050"/>
      <c r="DA45" s="1050"/>
      <c r="DB45" s="1050"/>
      <c r="DC45" s="1050"/>
      <c r="DD45" s="1050"/>
      <c r="DE45" s="1050"/>
      <c r="DF45" s="1050"/>
      <c r="DG45" s="1050"/>
      <c r="DH45" s="1050"/>
      <c r="DI45" s="1050"/>
      <c r="DJ45" s="1050"/>
      <c r="DK45" s="1050"/>
      <c r="DL45" s="1050"/>
      <c r="DM45" s="1050"/>
      <c r="DN45" s="1050"/>
      <c r="DO45" s="1050"/>
      <c r="DP45" s="1050"/>
      <c r="DQ45" s="1050"/>
      <c r="DR45" s="1050"/>
      <c r="DS45" s="1050"/>
      <c r="DT45" s="1050"/>
      <c r="DU45" s="996"/>
      <c r="DV45" s="1050"/>
      <c r="DW45" s="1052" t="s">
        <v>1805</v>
      </c>
      <c r="DX45" s="1054"/>
      <c r="DY45" s="1054"/>
      <c r="DZ45" s="1059"/>
      <c r="EA45" s="1054"/>
      <c r="EB45" s="1053">
        <f>EB41/(I41-I10-I12-I16-I22-I38)</f>
        <v>497.54</v>
      </c>
      <c r="EC45" s="1054"/>
      <c r="ED45" s="1055"/>
      <c r="EE45" s="1054"/>
      <c r="EF45" s="1053">
        <f>EF41/(I41)</f>
        <v>819.06</v>
      </c>
      <c r="EG45" s="1054"/>
      <c r="EH45" s="1053">
        <f>EH41/(I14+I24+I29+I34+I37)</f>
        <v>279.27</v>
      </c>
      <c r="EI45" s="1054"/>
      <c r="EJ45" s="1052"/>
      <c r="EK45" s="1054"/>
      <c r="EL45" s="1054"/>
      <c r="EM45" s="1253"/>
      <c r="EN45" s="1252"/>
      <c r="EO45" s="1252"/>
      <c r="EP45" s="1252"/>
      <c r="EQ45" s="1252"/>
      <c r="ER45" s="1252"/>
      <c r="ES45" s="1252"/>
      <c r="ET45" s="1252"/>
      <c r="EU45" s="1259">
        <f>EU44/31</f>
        <v>400</v>
      </c>
      <c r="EV45" s="1259">
        <f>EV44/EU44</f>
        <v>2145</v>
      </c>
      <c r="EW45" s="1260" t="s">
        <v>2223</v>
      </c>
      <c r="EX45" s="1260"/>
      <c r="EY45" s="1260"/>
      <c r="EZ45" s="1260"/>
      <c r="FA45" s="1260"/>
      <c r="FB45" s="1260"/>
      <c r="FC45" s="1260"/>
      <c r="FD45" s="1260"/>
      <c r="FE45" s="1259">
        <f>FE44/31</f>
        <v>447</v>
      </c>
      <c r="FF45" s="1259">
        <f>FF44/FE44</f>
        <v>3343</v>
      </c>
      <c r="FG45" s="1260" t="s">
        <v>2223</v>
      </c>
      <c r="FH45" s="1260"/>
      <c r="FI45" s="1259">
        <f>FI44/31</f>
        <v>73</v>
      </c>
      <c r="FJ45" s="1259">
        <f>FJ44/FI44</f>
        <v>3400</v>
      </c>
      <c r="FK45" s="1260" t="s">
        <v>2223</v>
      </c>
      <c r="FL45" s="1054"/>
      <c r="FM45" s="1050"/>
      <c r="FN45" s="1054"/>
      <c r="FO45" s="1050"/>
      <c r="FP45" s="1050"/>
      <c r="FQ45" s="996"/>
      <c r="FR45" s="1050"/>
      <c r="FS45" s="996"/>
      <c r="FT45" s="1050"/>
      <c r="FU45" s="1050"/>
      <c r="FV45" s="1050"/>
      <c r="FW45" s="1050"/>
      <c r="FX45" s="1050"/>
      <c r="FY45" s="1050"/>
      <c r="FZ45" s="1050"/>
      <c r="GA45" s="1050"/>
      <c r="GB45" s="1050"/>
      <c r="GC45" s="1050"/>
      <c r="GD45" s="1050"/>
      <c r="GE45" s="1050"/>
      <c r="GF45" s="1050"/>
      <c r="GG45" s="1050"/>
      <c r="GH45" s="1050"/>
      <c r="GI45" s="1050"/>
      <c r="GJ45" s="1050"/>
      <c r="GK45" s="1050"/>
      <c r="GL45" s="1050"/>
      <c r="GM45" s="996"/>
      <c r="GN45" s="1050"/>
      <c r="GO45" s="1050"/>
      <c r="GP45" s="1050"/>
      <c r="GQ45" s="1050"/>
      <c r="GR45" s="1050"/>
      <c r="GS45" s="1050"/>
      <c r="GT45" s="1050"/>
      <c r="GU45" s="1050"/>
      <c r="GV45" s="1050"/>
      <c r="GW45" s="1050"/>
      <c r="GX45" s="1050"/>
      <c r="GY45" s="1050"/>
      <c r="GZ45" s="1050"/>
      <c r="HA45" s="1050"/>
      <c r="HB45" s="1050"/>
      <c r="HC45" s="996"/>
      <c r="HD45" s="1050"/>
      <c r="HE45" s="1050"/>
      <c r="HF45" s="1050"/>
      <c r="HG45" s="1050"/>
      <c r="HH45" s="1050"/>
      <c r="HI45" s="1050"/>
      <c r="HJ45" s="1050"/>
      <c r="HK45" s="1050"/>
      <c r="HL45" s="1050"/>
      <c r="HM45" s="1050"/>
      <c r="HN45" s="1050"/>
      <c r="HO45" s="1050"/>
      <c r="HP45" s="1050"/>
      <c r="HQ45" s="1050"/>
      <c r="HR45" s="1050"/>
      <c r="HS45" s="996"/>
      <c r="HT45" s="1050"/>
      <c r="HU45" s="1050"/>
      <c r="HV45" s="1050"/>
      <c r="HW45" s="1050"/>
      <c r="HX45" s="1050"/>
      <c r="HY45" s="1050"/>
      <c r="HZ45" s="1050"/>
      <c r="IA45" s="1050"/>
      <c r="IB45" s="1050"/>
      <c r="IC45" s="1050"/>
      <c r="ID45" s="1050"/>
      <c r="IE45" s="1050"/>
      <c r="IF45" s="1050"/>
      <c r="IG45" s="1050"/>
      <c r="IH45" s="1050"/>
    </row>
    <row r="46" spans="1:242" ht="18.75" x14ac:dyDescent="0.25">
      <c r="B46" s="1058"/>
      <c r="C46" s="1058"/>
      <c r="D46" s="1058"/>
      <c r="E46" s="1058"/>
      <c r="F46" s="1058"/>
      <c r="G46" s="1058"/>
      <c r="H46" s="1058"/>
      <c r="I46" s="1058"/>
      <c r="J46" s="1058"/>
      <c r="K46" s="1058"/>
      <c r="L46" s="1058"/>
      <c r="M46" s="1058"/>
      <c r="N46" s="1058"/>
      <c r="O46" s="1058"/>
      <c r="P46" s="1058"/>
      <c r="Q46" s="1058"/>
      <c r="R46" s="1058"/>
      <c r="S46" s="1058"/>
      <c r="T46" s="1058"/>
      <c r="U46" s="1058"/>
      <c r="V46" s="1058"/>
      <c r="W46" s="1058"/>
      <c r="X46" s="1058"/>
      <c r="Y46" s="1058"/>
      <c r="Z46" s="1058"/>
      <c r="AA46" s="1058"/>
      <c r="AB46" s="1058"/>
      <c r="AC46" s="1058"/>
      <c r="AD46" s="1058"/>
      <c r="AE46" s="1058"/>
      <c r="AF46" s="1058"/>
      <c r="AG46" s="1058"/>
      <c r="AH46" s="1058"/>
      <c r="AI46" s="1058"/>
      <c r="AJ46" s="1058"/>
      <c r="AK46" s="1058"/>
      <c r="AL46" s="1058"/>
      <c r="AM46" s="1058"/>
      <c r="AN46" s="1058"/>
      <c r="AO46" s="1058"/>
      <c r="AP46" s="1058"/>
      <c r="AQ46" s="1058"/>
      <c r="AR46" s="1058"/>
      <c r="AS46" s="1058"/>
      <c r="AT46" s="1058"/>
      <c r="AU46" s="1058"/>
      <c r="AV46" s="1058"/>
      <c r="AW46" s="1058"/>
      <c r="AX46" s="1058"/>
      <c r="AY46" s="1058"/>
      <c r="AZ46" s="1058"/>
      <c r="BA46" s="1058"/>
      <c r="BB46" s="1058"/>
      <c r="BC46" s="1058">
        <v>1028</v>
      </c>
      <c r="BD46" s="1058"/>
      <c r="BE46" s="1058"/>
      <c r="BF46" s="1058"/>
      <c r="BG46" s="1058">
        <v>28544</v>
      </c>
      <c r="BH46" s="1058"/>
      <c r="BI46" s="1058"/>
      <c r="BJ46" s="1058"/>
      <c r="BK46" s="1058"/>
      <c r="BL46" s="1058"/>
      <c r="BM46" s="1058"/>
      <c r="BN46" s="1058"/>
      <c r="BO46" s="1058"/>
      <c r="BP46" s="1058"/>
      <c r="BQ46" s="1058"/>
      <c r="BR46" s="1058"/>
      <c r="BS46" s="1058"/>
      <c r="BT46" s="1058"/>
      <c r="BU46" s="1058"/>
      <c r="BV46" s="1058"/>
      <c r="BW46" s="1058"/>
      <c r="BX46" s="1058"/>
      <c r="BY46" s="1058"/>
      <c r="BZ46" s="1058"/>
      <c r="CA46" s="1058"/>
      <c r="CB46" s="1058"/>
      <c r="CC46" s="1058"/>
      <c r="CD46" s="1058"/>
      <c r="CE46" s="1058"/>
      <c r="CF46" s="1058"/>
      <c r="CG46" s="1058"/>
      <c r="CH46" s="1058"/>
      <c r="CI46" s="1058"/>
      <c r="CJ46" s="1058"/>
      <c r="CK46" s="1058"/>
      <c r="CL46" s="1058"/>
      <c r="CM46" s="1058"/>
      <c r="CN46" s="1058"/>
      <c r="CO46" s="1058"/>
      <c r="CP46" s="1058"/>
      <c r="CQ46" s="1058"/>
      <c r="CR46" s="1058"/>
      <c r="CS46" s="1058"/>
      <c r="CT46" s="1058"/>
      <c r="CU46" s="1058"/>
      <c r="CV46" s="1058"/>
      <c r="CW46" s="1058"/>
      <c r="CX46" s="1058"/>
      <c r="CY46" s="1058"/>
      <c r="CZ46" s="1058"/>
      <c r="DA46" s="1058"/>
      <c r="DB46" s="1058"/>
      <c r="DC46" s="1058"/>
      <c r="DD46" s="1058"/>
      <c r="DE46" s="1058"/>
      <c r="DF46" s="1058"/>
      <c r="DG46" s="1058"/>
      <c r="DH46" s="1058"/>
      <c r="DI46" s="1058"/>
      <c r="DJ46" s="1058"/>
      <c r="DK46" s="1058"/>
      <c r="DL46" s="1058"/>
      <c r="DM46" s="1058"/>
      <c r="DN46" s="1058"/>
      <c r="DO46" s="1058"/>
      <c r="DP46" s="1058"/>
      <c r="DQ46" s="1058"/>
      <c r="DR46" s="1058"/>
      <c r="DS46" s="1058"/>
      <c r="DT46" s="1058"/>
      <c r="DU46" s="996"/>
      <c r="DV46" s="1058"/>
      <c r="DW46" s="1052"/>
      <c r="DX46" s="1059"/>
      <c r="DY46" s="1059"/>
      <c r="DZ46" s="1059"/>
      <c r="EA46" s="1059"/>
      <c r="EB46" s="1059"/>
      <c r="EC46" s="1059"/>
      <c r="ED46" s="1059"/>
      <c r="EE46" s="1059"/>
      <c r="EF46" s="1059"/>
      <c r="EG46" s="1059"/>
      <c r="EH46" s="1059"/>
      <c r="EI46" s="1059"/>
      <c r="EJ46" s="1052" t="s">
        <v>1886</v>
      </c>
      <c r="EK46" s="1053">
        <f>EK41/(BG11+BG13+BG20+BG24+BG28+BG34+BG37)</f>
        <v>123.08</v>
      </c>
      <c r="EL46" s="1059"/>
      <c r="EM46" s="1053">
        <f>EM41/(BG41-BG16-BG17-BG32-BG33-BG37-BG39-BG40)</f>
        <v>599.30999999999995</v>
      </c>
      <c r="EN46" s="1058"/>
      <c r="EO46" s="1058"/>
      <c r="EP46" s="1058"/>
      <c r="EQ46" s="1058"/>
      <c r="ER46" s="1058"/>
      <c r="ES46" s="1058"/>
      <c r="ET46" s="1058"/>
      <c r="EU46" s="1257"/>
      <c r="EV46" s="1258">
        <f>EV45/9*5</f>
        <v>1192</v>
      </c>
      <c r="EW46" s="1260" t="s">
        <v>2224</v>
      </c>
      <c r="EX46" s="1256"/>
      <c r="EY46" s="1256"/>
      <c r="EZ46" s="1256"/>
      <c r="FA46" s="1256"/>
      <c r="FB46" s="1256"/>
      <c r="FC46" s="1256"/>
      <c r="FD46" s="1256"/>
      <c r="FE46" s="1257"/>
      <c r="FF46" s="1258">
        <f>FF45/16*5</f>
        <v>1045</v>
      </c>
      <c r="FG46" s="1260" t="s">
        <v>2224</v>
      </c>
      <c r="FH46" s="1256"/>
      <c r="FI46" s="1256"/>
      <c r="FJ46" s="1258">
        <f>FJ45/20*5</f>
        <v>850</v>
      </c>
      <c r="FK46" s="1260" t="s">
        <v>2224</v>
      </c>
      <c r="FL46" s="1053">
        <f>FL41/(BG41-BG10-BG12-BG16-BG38)</f>
        <v>132.84</v>
      </c>
      <c r="FM46" s="1058"/>
      <c r="FN46" s="1053">
        <f>FN41/(BG41)</f>
        <v>25.51</v>
      </c>
      <c r="FO46" s="1058"/>
      <c r="FP46" s="1058"/>
      <c r="FQ46" s="996"/>
      <c r="FR46" s="1058"/>
      <c r="FS46" s="996"/>
      <c r="FT46" s="1058"/>
      <c r="FU46" s="1058"/>
      <c r="FV46" s="1058"/>
      <c r="FW46" s="1058"/>
      <c r="FX46" s="1058"/>
      <c r="FY46" s="1058"/>
      <c r="FZ46" s="1058"/>
      <c r="GA46" s="1058"/>
      <c r="GB46" s="1058"/>
      <c r="GC46" s="1058"/>
      <c r="GD46" s="1058"/>
      <c r="GE46" s="1058"/>
      <c r="GF46" s="1058"/>
      <c r="GG46" s="1058"/>
      <c r="GH46" s="1058"/>
      <c r="GI46" s="1058"/>
      <c r="GJ46" s="1058"/>
      <c r="GK46" s="1058"/>
      <c r="GL46" s="1058"/>
      <c r="GM46" s="996"/>
      <c r="GN46" s="1058"/>
      <c r="GO46" s="1058"/>
      <c r="GP46" s="1058"/>
      <c r="GQ46" s="1058"/>
      <c r="GR46" s="1058"/>
      <c r="GS46" s="1058"/>
      <c r="GT46" s="1058"/>
      <c r="GU46" s="1058"/>
      <c r="GV46" s="1058"/>
      <c r="GW46" s="1058"/>
      <c r="GX46" s="1058"/>
      <c r="GY46" s="1058"/>
      <c r="GZ46" s="1058"/>
      <c r="HA46" s="1058"/>
      <c r="HB46" s="1058"/>
      <c r="HC46" s="996"/>
      <c r="HD46" s="1058"/>
      <c r="HE46" s="1058"/>
      <c r="HF46" s="1058"/>
      <c r="HG46" s="1058"/>
      <c r="HH46" s="1058"/>
      <c r="HI46" s="1058"/>
      <c r="HJ46" s="1058"/>
      <c r="HK46" s="1058"/>
      <c r="HL46" s="1058"/>
      <c r="HM46" s="1058"/>
      <c r="HN46" s="1058"/>
      <c r="HO46" s="1058"/>
      <c r="HP46" s="1058"/>
      <c r="HQ46" s="1058"/>
      <c r="HR46" s="1058"/>
      <c r="HS46" s="996"/>
      <c r="HT46" s="1058"/>
      <c r="HU46" s="1058"/>
      <c r="HV46" s="1058"/>
      <c r="HW46" s="1058"/>
      <c r="HX46" s="1058"/>
      <c r="HY46" s="1058"/>
      <c r="HZ46" s="1058"/>
      <c r="IA46" s="1058"/>
      <c r="IB46" s="1058"/>
      <c r="IC46" s="1058"/>
      <c r="ID46" s="1058"/>
      <c r="IE46" s="1058"/>
      <c r="IF46" s="1058"/>
      <c r="IG46" s="1058"/>
      <c r="IH46" s="1058"/>
    </row>
    <row r="47" spans="1:242" ht="18.75" x14ac:dyDescent="0.25">
      <c r="B47" s="1060"/>
      <c r="C47" s="1060"/>
      <c r="D47" s="1060"/>
      <c r="E47" s="1060"/>
      <c r="F47" s="1060"/>
      <c r="G47" s="1060"/>
      <c r="H47" s="1060"/>
      <c r="I47" s="1060"/>
      <c r="J47" s="1060"/>
      <c r="K47" s="1060"/>
      <c r="L47" s="1060"/>
      <c r="M47" s="1060"/>
      <c r="N47" s="1060"/>
      <c r="O47" s="1060"/>
      <c r="P47" s="1060"/>
      <c r="Q47" s="1060"/>
      <c r="R47" s="1060"/>
      <c r="S47" s="1060"/>
      <c r="T47" s="1060"/>
      <c r="U47" s="1060"/>
      <c r="V47" s="1060"/>
      <c r="W47" s="1060"/>
      <c r="X47" s="1060"/>
      <c r="Y47" s="1060"/>
      <c r="Z47" s="1060"/>
      <c r="AA47" s="1060"/>
      <c r="AB47" s="1060"/>
      <c r="AC47" s="1060"/>
      <c r="AD47" s="1060"/>
      <c r="AE47" s="1060"/>
      <c r="AF47" s="1060"/>
      <c r="AG47" s="1060"/>
      <c r="AH47" s="1060"/>
      <c r="AI47" s="1060"/>
      <c r="AJ47" s="1060"/>
      <c r="AK47" s="1060"/>
      <c r="AL47" s="1060"/>
      <c r="AM47" s="1060"/>
      <c r="AN47" s="1060"/>
      <c r="AO47" s="1060"/>
      <c r="AP47" s="1060"/>
      <c r="AQ47" s="1060"/>
      <c r="AR47" s="1060"/>
      <c r="AS47" s="1060"/>
      <c r="AT47" s="1060"/>
      <c r="AU47" s="1060"/>
      <c r="AV47" s="1060"/>
      <c r="AW47" s="1060"/>
      <c r="AX47" s="1060"/>
      <c r="AY47" s="1060"/>
      <c r="AZ47" s="1060"/>
      <c r="BA47" s="1060"/>
      <c r="BB47" s="1060"/>
      <c r="BC47" s="1073">
        <f>BC46-BC41</f>
        <v>0</v>
      </c>
      <c r="BD47" s="1073"/>
      <c r="BE47" s="1073"/>
      <c r="BF47" s="1073"/>
      <c r="BG47" s="1073">
        <f>BG46-BG41</f>
        <v>0</v>
      </c>
      <c r="BH47" s="1060"/>
      <c r="BI47" s="1060"/>
      <c r="BJ47" s="1060"/>
      <c r="BK47" s="1060"/>
      <c r="BL47" s="1060"/>
      <c r="BM47" s="1060"/>
      <c r="BN47" s="1060"/>
      <c r="BO47" s="1060"/>
      <c r="BP47" s="1060"/>
      <c r="BQ47" s="1060"/>
      <c r="BR47" s="1060"/>
      <c r="BS47" s="1060"/>
      <c r="BT47" s="1060"/>
      <c r="BU47" s="1060"/>
      <c r="BV47" s="1060"/>
      <c r="BW47" s="1060"/>
      <c r="BX47" s="1060"/>
      <c r="BY47" s="1060"/>
      <c r="BZ47" s="1060"/>
      <c r="CA47" s="1060"/>
      <c r="CB47" s="1060"/>
      <c r="CC47" s="1060"/>
      <c r="CD47" s="1060"/>
      <c r="CE47" s="1060"/>
      <c r="CF47" s="1060"/>
      <c r="CG47" s="1060"/>
      <c r="CH47" s="1060"/>
      <c r="CI47" s="1060"/>
      <c r="CJ47" s="1060"/>
      <c r="CK47" s="1060"/>
      <c r="CL47" s="1060"/>
      <c r="CM47" s="1060"/>
      <c r="CN47" s="1060"/>
      <c r="CO47" s="1060"/>
      <c r="CP47" s="1060"/>
      <c r="CQ47" s="1060"/>
      <c r="CR47" s="1060"/>
      <c r="CS47" s="1060"/>
      <c r="CT47" s="1060"/>
      <c r="CU47" s="1060"/>
      <c r="CV47" s="1060"/>
      <c r="CW47" s="1060"/>
      <c r="CX47" s="1060"/>
      <c r="CY47" s="1060"/>
      <c r="CZ47" s="1060"/>
      <c r="DA47" s="1060"/>
      <c r="DB47" s="1060"/>
      <c r="DC47" s="1060"/>
      <c r="DD47" s="1060"/>
      <c r="DE47" s="1060"/>
      <c r="DF47" s="1060"/>
      <c r="DG47" s="1060"/>
      <c r="DH47" s="1060"/>
      <c r="DI47" s="1060"/>
      <c r="DJ47" s="1060"/>
      <c r="DK47" s="1060"/>
      <c r="DL47" s="1060"/>
      <c r="DM47" s="1060"/>
      <c r="DN47" s="1060"/>
      <c r="DO47" s="1060"/>
      <c r="DP47" s="1060"/>
      <c r="DQ47" s="1060"/>
      <c r="DR47" s="1060"/>
      <c r="DS47" s="1060"/>
      <c r="DT47" s="1060"/>
      <c r="DU47" s="1061"/>
      <c r="DV47" s="1060"/>
      <c r="DW47" s="1060"/>
      <c r="DX47" s="1060"/>
      <c r="DY47" s="1060"/>
      <c r="DZ47" s="1060"/>
      <c r="EA47" s="1060"/>
      <c r="EB47" s="1060"/>
      <c r="EC47" s="1060"/>
      <c r="ED47" s="1060"/>
      <c r="EE47" s="1060"/>
      <c r="EF47" s="1060"/>
      <c r="EG47" s="1060"/>
      <c r="EH47" s="1060"/>
      <c r="EI47" s="1060"/>
      <c r="EJ47" s="1060"/>
      <c r="EK47" s="1060"/>
      <c r="EL47" s="1060"/>
      <c r="EM47" s="1060"/>
      <c r="EN47" s="1060"/>
      <c r="EO47" s="1060"/>
      <c r="EP47" s="1060"/>
      <c r="EQ47" s="1060"/>
      <c r="ER47" s="1060"/>
      <c r="ES47" s="1060"/>
      <c r="ET47" s="1060"/>
      <c r="EU47" s="1261"/>
      <c r="EV47" s="1261"/>
      <c r="EW47" s="1261"/>
      <c r="EX47" s="1261"/>
      <c r="EY47" s="1261"/>
      <c r="EZ47" s="1261"/>
      <c r="FA47" s="1261"/>
      <c r="FB47" s="1261"/>
      <c r="FC47" s="1261"/>
      <c r="FD47" s="1261"/>
      <c r="FE47" s="1261"/>
      <c r="FF47" s="1261"/>
      <c r="FG47" s="1261"/>
      <c r="FH47" s="1261"/>
      <c r="FI47" s="1261"/>
      <c r="FJ47" s="1261"/>
      <c r="FK47" s="1060"/>
      <c r="FL47" s="1060"/>
      <c r="FM47" s="1060"/>
      <c r="FN47" s="1060"/>
      <c r="FO47" s="1060"/>
      <c r="FP47" s="1060"/>
      <c r="FQ47" s="1061"/>
      <c r="FR47" s="1060"/>
      <c r="FS47" s="1061"/>
      <c r="FT47" s="1060"/>
      <c r="FU47" s="1060"/>
      <c r="FV47" s="1060"/>
      <c r="FW47" s="1060"/>
      <c r="FX47" s="1060"/>
      <c r="FY47" s="1060"/>
      <c r="FZ47" s="1060"/>
      <c r="GA47" s="1060"/>
      <c r="GB47" s="1060"/>
      <c r="GC47" s="1060"/>
      <c r="GD47" s="1060"/>
      <c r="GE47" s="1060"/>
      <c r="GF47" s="1060"/>
      <c r="GG47" s="1060"/>
      <c r="GH47" s="1060"/>
      <c r="GI47" s="1060"/>
      <c r="GJ47" s="1060"/>
      <c r="GK47" s="1060"/>
      <c r="GL47" s="1060"/>
      <c r="GM47" s="1061"/>
      <c r="GN47" s="1060"/>
      <c r="GO47" s="1062">
        <v>1307984.8</v>
      </c>
      <c r="GP47" s="1060"/>
      <c r="GQ47" s="1060"/>
      <c r="GR47" s="1060"/>
      <c r="GS47" s="1060"/>
      <c r="GT47" s="1060"/>
      <c r="GU47" s="1060"/>
      <c r="GV47" s="1060"/>
      <c r="GW47" s="1060"/>
      <c r="GX47" s="1060"/>
      <c r="GY47" s="1060"/>
      <c r="GZ47" s="1060"/>
      <c r="HA47" s="1060"/>
      <c r="HB47" s="1060"/>
      <c r="HC47" s="1061"/>
      <c r="HD47" s="1060"/>
      <c r="HE47" s="1062">
        <v>1381723.1</v>
      </c>
      <c r="HF47" s="1060"/>
      <c r="HG47" s="1060"/>
      <c r="HH47" s="1060"/>
      <c r="HI47" s="1060"/>
      <c r="HJ47" s="1060"/>
      <c r="HK47" s="1060"/>
      <c r="HL47" s="1060"/>
      <c r="HM47" s="1060"/>
      <c r="HN47" s="1060"/>
      <c r="HO47" s="1060"/>
      <c r="HP47" s="1060"/>
      <c r="HQ47" s="1060"/>
      <c r="HR47" s="1060"/>
      <c r="HS47" s="1061"/>
      <c r="HT47" s="1060"/>
      <c r="HU47" s="1062">
        <v>1457107.4</v>
      </c>
      <c r="HV47" s="1060"/>
      <c r="HW47" s="1060"/>
      <c r="HX47" s="1060"/>
      <c r="HY47" s="1060"/>
      <c r="HZ47" s="1060"/>
      <c r="IA47" s="1060"/>
      <c r="IB47" s="1060"/>
      <c r="IC47" s="1060"/>
      <c r="ID47" s="1060"/>
      <c r="IE47" s="1060"/>
      <c r="IF47" s="1060"/>
      <c r="IG47" s="1060"/>
      <c r="IH47" s="1060"/>
    </row>
  </sheetData>
  <mergeCells count="212">
    <mergeCell ref="A3:A8"/>
    <mergeCell ref="B3:DT3"/>
    <mergeCell ref="DV3:FP3"/>
    <mergeCell ref="FR3:FR8"/>
    <mergeCell ref="FT3:GL3"/>
    <mergeCell ref="GN3:HB3"/>
    <mergeCell ref="DW4:DW8"/>
    <mergeCell ref="DX4:EI4"/>
    <mergeCell ref="EJ4:EJ8"/>
    <mergeCell ref="EK4:FO4"/>
    <mergeCell ref="GE5:GE8"/>
    <mergeCell ref="GF5:GF8"/>
    <mergeCell ref="GG5:GG8"/>
    <mergeCell ref="GH5:GH8"/>
    <mergeCell ref="DH7:DH8"/>
    <mergeCell ref="DI7:DI8"/>
    <mergeCell ref="DJ7:DJ8"/>
    <mergeCell ref="CS5:CS8"/>
    <mergeCell ref="CT5:CT8"/>
    <mergeCell ref="CU5:CU8"/>
    <mergeCell ref="CV5:CV8"/>
    <mergeCell ref="CW5:CW8"/>
    <mergeCell ref="CX5:CX8"/>
    <mergeCell ref="ED5:EE6"/>
    <mergeCell ref="HD3:HR3"/>
    <mergeCell ref="HT3:IH3"/>
    <mergeCell ref="B4:S4"/>
    <mergeCell ref="T4:T8"/>
    <mergeCell ref="U4:W5"/>
    <mergeCell ref="X4:X8"/>
    <mergeCell ref="Y4:AQ4"/>
    <mergeCell ref="AR4:DC4"/>
    <mergeCell ref="DD4:DT4"/>
    <mergeCell ref="DV4:DV8"/>
    <mergeCell ref="HU4:HU8"/>
    <mergeCell ref="HV4:IG4"/>
    <mergeCell ref="IH4:IH8"/>
    <mergeCell ref="B5:B8"/>
    <mergeCell ref="C5:S5"/>
    <mergeCell ref="Y5:Y8"/>
    <mergeCell ref="Z5:AQ5"/>
    <mergeCell ref="AR5:CP5"/>
    <mergeCell ref="CQ5:CQ8"/>
    <mergeCell ref="CR5:CR8"/>
    <mergeCell ref="HB4:HB8"/>
    <mergeCell ref="HD4:HD8"/>
    <mergeCell ref="HE4:HE8"/>
    <mergeCell ref="HF4:HQ4"/>
    <mergeCell ref="HR4:HR8"/>
    <mergeCell ref="HT4:HT8"/>
    <mergeCell ref="HH5:HH8"/>
    <mergeCell ref="HI5:HI8"/>
    <mergeCell ref="HJ5:HJ8"/>
    <mergeCell ref="HK5:HK8"/>
    <mergeCell ref="FP4:FP8"/>
    <mergeCell ref="FT4:FT8"/>
    <mergeCell ref="FU4:GL4"/>
    <mergeCell ref="GN4:GN8"/>
    <mergeCell ref="GR5:GR8"/>
    <mergeCell ref="GS5:GS8"/>
    <mergeCell ref="GT5:GT8"/>
    <mergeCell ref="GU5:GU8"/>
    <mergeCell ref="GV5:GV8"/>
    <mergeCell ref="GW5:GW8"/>
    <mergeCell ref="GI5:GI8"/>
    <mergeCell ref="GJ5:GJ8"/>
    <mergeCell ref="GK5:GK8"/>
    <mergeCell ref="GL5:GL8"/>
    <mergeCell ref="GP5:GP8"/>
    <mergeCell ref="GQ5:GQ8"/>
    <mergeCell ref="GO4:GO8"/>
    <mergeCell ref="GP4:HA4"/>
    <mergeCell ref="EF5:EG6"/>
    <mergeCell ref="EH5:EI6"/>
    <mergeCell ref="EK5:EL6"/>
    <mergeCell ref="EM5:FK6"/>
    <mergeCell ref="FL5:FM6"/>
    <mergeCell ref="DR5:DR8"/>
    <mergeCell ref="DS5:DS8"/>
    <mergeCell ref="DT5:DT8"/>
    <mergeCell ref="DX5:DY6"/>
    <mergeCell ref="DZ5:EA6"/>
    <mergeCell ref="EB5:EC6"/>
    <mergeCell ref="DX7:DX8"/>
    <mergeCell ref="DY7:DY8"/>
    <mergeCell ref="DZ7:DZ8"/>
    <mergeCell ref="EA7:EA8"/>
    <mergeCell ref="EO7:EP7"/>
    <mergeCell ref="EQ7:ER7"/>
    <mergeCell ref="ES7:ET7"/>
    <mergeCell ref="EU7:EV7"/>
    <mergeCell ref="EW7:EX7"/>
    <mergeCell ref="EY7:EZ7"/>
    <mergeCell ref="EH7:EH8"/>
    <mergeCell ref="EI7:EI8"/>
    <mergeCell ref="EK7:EK8"/>
    <mergeCell ref="FN5:FO6"/>
    <mergeCell ref="FU5:FU8"/>
    <mergeCell ref="FV5:GA5"/>
    <mergeCell ref="GB5:GB8"/>
    <mergeCell ref="GC5:GC8"/>
    <mergeCell ref="GD5:GD8"/>
    <mergeCell ref="FW6:FW8"/>
    <mergeCell ref="FX6:FX8"/>
    <mergeCell ref="FY6:FY8"/>
    <mergeCell ref="FZ6:FZ8"/>
    <mergeCell ref="GA6:GA8"/>
    <mergeCell ref="HL5:HL8"/>
    <mergeCell ref="HM5:HM8"/>
    <mergeCell ref="HN5:HN8"/>
    <mergeCell ref="HO5:HO8"/>
    <mergeCell ref="HP5:HP8"/>
    <mergeCell ref="HQ5:HQ8"/>
    <mergeCell ref="GX5:GX8"/>
    <mergeCell ref="GY5:GY8"/>
    <mergeCell ref="GZ5:GZ8"/>
    <mergeCell ref="HA5:HA8"/>
    <mergeCell ref="HF5:HF8"/>
    <mergeCell ref="HG5:HG8"/>
    <mergeCell ref="IB5:IB8"/>
    <mergeCell ref="IC5:IC8"/>
    <mergeCell ref="ID5:ID8"/>
    <mergeCell ref="IE5:IE8"/>
    <mergeCell ref="IF5:IF8"/>
    <mergeCell ref="IG5:IG8"/>
    <mergeCell ref="HV5:HV8"/>
    <mergeCell ref="HW5:HW8"/>
    <mergeCell ref="HX5:HX8"/>
    <mergeCell ref="HY5:HY8"/>
    <mergeCell ref="HZ5:HZ8"/>
    <mergeCell ref="IA5:IA8"/>
    <mergeCell ref="AA6:AA8"/>
    <mergeCell ref="AB6:AB8"/>
    <mergeCell ref="AC6:AC8"/>
    <mergeCell ref="AD6:AD8"/>
    <mergeCell ref="AE6:AE8"/>
    <mergeCell ref="AF6:AQ7"/>
    <mergeCell ref="C6:C8"/>
    <mergeCell ref="D6:S6"/>
    <mergeCell ref="U6:U8"/>
    <mergeCell ref="V6:V8"/>
    <mergeCell ref="W6:W8"/>
    <mergeCell ref="Z6:Z8"/>
    <mergeCell ref="D7:D8"/>
    <mergeCell ref="E7:E8"/>
    <mergeCell ref="F7:F8"/>
    <mergeCell ref="G7:G8"/>
    <mergeCell ref="H7:H8"/>
    <mergeCell ref="I7:I8"/>
    <mergeCell ref="J7:S7"/>
    <mergeCell ref="BB6:BB8"/>
    <mergeCell ref="BC6:BG6"/>
    <mergeCell ref="BG7:BG8"/>
    <mergeCell ref="AR6:AR8"/>
    <mergeCell ref="AS6:AS8"/>
    <mergeCell ref="AT6:AT8"/>
    <mergeCell ref="AU6:AU8"/>
    <mergeCell ref="AV6:AV8"/>
    <mergeCell ref="AW6:AW8"/>
    <mergeCell ref="BC7:BC8"/>
    <mergeCell ref="BD7:BF7"/>
    <mergeCell ref="AX6:AX8"/>
    <mergeCell ref="AY6:AY8"/>
    <mergeCell ref="AZ6:AZ8"/>
    <mergeCell ref="BA6:BA8"/>
    <mergeCell ref="BH6:CP6"/>
    <mergeCell ref="DA6:DA8"/>
    <mergeCell ref="DB6:DB8"/>
    <mergeCell ref="DD6:DD8"/>
    <mergeCell ref="DE6:DJ6"/>
    <mergeCell ref="FV6:FV8"/>
    <mergeCell ref="BH7:BL7"/>
    <mergeCell ref="BM7:BQ7"/>
    <mergeCell ref="BR7:BV7"/>
    <mergeCell ref="BW7:CA7"/>
    <mergeCell ref="EB7:EB8"/>
    <mergeCell ref="EC7:EC8"/>
    <mergeCell ref="ED7:ED8"/>
    <mergeCell ref="EE7:EE8"/>
    <mergeCell ref="EF7:EF8"/>
    <mergeCell ref="EG7:EG8"/>
    <mergeCell ref="CB7:CF7"/>
    <mergeCell ref="CG7:CK7"/>
    <mergeCell ref="CL7:CP7"/>
    <mergeCell ref="DE7:DE8"/>
    <mergeCell ref="DF7:DF8"/>
    <mergeCell ref="DG7:DG8"/>
    <mergeCell ref="DL5:DL8"/>
    <mergeCell ref="DM5:DM8"/>
    <mergeCell ref="DN5:DN8"/>
    <mergeCell ref="DO5:DO8"/>
    <mergeCell ref="DP5:DP8"/>
    <mergeCell ref="DQ5:DQ8"/>
    <mergeCell ref="CY5:CY8"/>
    <mergeCell ref="CZ5:CZ8"/>
    <mergeCell ref="DA5:DB5"/>
    <mergeCell ref="DC5:DC8"/>
    <mergeCell ref="DD5:DJ5"/>
    <mergeCell ref="DK5:DK8"/>
    <mergeCell ref="EL7:EL8"/>
    <mergeCell ref="EM7:EM8"/>
    <mergeCell ref="EN7:EN8"/>
    <mergeCell ref="FL7:FL8"/>
    <mergeCell ref="FM7:FM8"/>
    <mergeCell ref="FN7:FN8"/>
    <mergeCell ref="FO7:FO8"/>
    <mergeCell ref="FA7:FB7"/>
    <mergeCell ref="FC7:FD7"/>
    <mergeCell ref="FE7:FF7"/>
    <mergeCell ref="FG7:FH7"/>
    <mergeCell ref="FI7:FJ7"/>
    <mergeCell ref="FK7:FK8"/>
  </mergeCells>
  <conditionalFormatting sqref="HE47 HU47 GO47">
    <cfRule type="cellIs" dxfId="0" priority="1" stopIfTrue="1" operator="equal">
      <formula>0</formula>
    </cfRule>
  </conditionalFormatting>
  <pageMargins left="0.31496062992125984" right="0.31496062992125984" top="0.35433070866141736" bottom="0.35433070866141736" header="0.31496062992125984" footer="0.31496062992125984"/>
  <pageSetup paperSize="9" scale="90" orientation="portrait" horizontalDpi="180" verticalDpi="18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M67"/>
  <sheetViews>
    <sheetView view="pageBreakPreview" zoomScale="80" zoomScaleNormal="75" zoomScaleSheetLayoutView="80" workbookViewId="0">
      <pane xSplit="1" ySplit="4" topLeftCell="Y31" activePane="bottomRight" state="frozen"/>
      <selection activeCell="G51" sqref="G51"/>
      <selection pane="topRight" activeCell="G51" sqref="G51"/>
      <selection pane="bottomLeft" activeCell="G51" sqref="G51"/>
      <selection pane="bottomRight" activeCell="B18" sqref="B18"/>
    </sheetView>
  </sheetViews>
  <sheetFormatPr defaultRowHeight="15.75" x14ac:dyDescent="0.25"/>
  <cols>
    <col min="1" max="1" width="55.7109375" style="236" customWidth="1"/>
    <col min="2" max="22" width="9.7109375" style="236" customWidth="1"/>
    <col min="23" max="23" width="16.5703125" style="236" customWidth="1"/>
    <col min="24" max="33" width="9.7109375" style="236" customWidth="1"/>
    <col min="34" max="34" width="16.28515625" style="236" customWidth="1"/>
    <col min="35" max="44" width="9.7109375" style="236" customWidth="1"/>
    <col min="45" max="45" width="17.140625" style="236" customWidth="1"/>
    <col min="46" max="46" width="9.140625" style="236" customWidth="1"/>
    <col min="47" max="48" width="9.7109375" style="236" customWidth="1"/>
    <col min="49" max="54" width="9.140625" style="236" customWidth="1"/>
    <col min="55" max="55" width="10.28515625" style="236" customWidth="1"/>
    <col min="56" max="56" width="13.140625" style="236" bestFit="1" customWidth="1"/>
    <col min="57" max="62" width="9.140625" style="236"/>
    <col min="63" max="63" width="14.5703125" style="236" customWidth="1"/>
    <col min="64" max="64" width="31.140625" style="1074" customWidth="1"/>
    <col min="65" max="65" width="13.140625" style="236" bestFit="1" customWidth="1"/>
    <col min="66" max="16384" width="9.140625" style="236"/>
  </cols>
  <sheetData>
    <row r="1" spans="1:64" x14ac:dyDescent="0.25">
      <c r="E1" s="444" t="s">
        <v>870</v>
      </c>
      <c r="W1" s="1074"/>
      <c r="X1" s="1074"/>
      <c r="Y1" s="1074"/>
      <c r="Z1" s="1074"/>
      <c r="AA1" s="1074"/>
      <c r="AB1" s="1074"/>
      <c r="AC1" s="1074"/>
      <c r="AD1" s="1074"/>
      <c r="AE1" s="1074"/>
      <c r="AF1" s="1074"/>
      <c r="AG1" s="1074"/>
      <c r="AH1" s="1074"/>
      <c r="AI1" s="1074"/>
      <c r="AJ1" s="1074"/>
      <c r="AK1" s="1074"/>
      <c r="AL1" s="1074"/>
      <c r="AM1" s="1074"/>
      <c r="AN1" s="1074"/>
      <c r="AO1" s="1074"/>
      <c r="AP1" s="1074"/>
      <c r="AQ1" s="1074"/>
      <c r="AR1" s="1074"/>
      <c r="AS1" s="1074"/>
      <c r="AT1" s="1074"/>
      <c r="AU1" s="1074"/>
      <c r="AV1" s="1074"/>
      <c r="AW1" s="1074"/>
      <c r="AX1" s="1074"/>
      <c r="AY1" s="1074"/>
      <c r="AZ1" s="1074"/>
      <c r="BA1" s="1074"/>
      <c r="BB1" s="1074"/>
      <c r="BC1" s="1074"/>
      <c r="BD1" s="1074"/>
      <c r="BE1" s="1074"/>
      <c r="BF1" s="1074"/>
      <c r="BG1" s="1074"/>
      <c r="BH1" s="1074"/>
      <c r="BI1" s="1074"/>
      <c r="BJ1" s="1074"/>
      <c r="BK1" s="1074"/>
    </row>
    <row r="2" spans="1:64" ht="42" customHeight="1" x14ac:dyDescent="0.25">
      <c r="A2" s="1507" t="s">
        <v>1887</v>
      </c>
      <c r="B2" s="1507"/>
      <c r="C2" s="1507"/>
      <c r="D2" s="1507"/>
      <c r="E2" s="1507"/>
      <c r="F2" s="1507"/>
      <c r="G2" s="1507"/>
      <c r="H2" s="1507"/>
      <c r="I2" s="1507"/>
      <c r="J2" s="1507"/>
      <c r="K2" s="1507"/>
      <c r="L2" s="1507"/>
      <c r="M2" s="1507"/>
      <c r="N2" s="1507"/>
      <c r="O2" s="1507"/>
      <c r="P2" s="1507"/>
      <c r="Q2" s="1507"/>
      <c r="R2" s="1507"/>
      <c r="S2" s="1507"/>
      <c r="T2" s="1507"/>
      <c r="U2" s="1507"/>
      <c r="W2" s="1074"/>
      <c r="X2" s="1074"/>
      <c r="Y2" s="1074"/>
      <c r="Z2" s="1074"/>
      <c r="AA2" s="1074"/>
      <c r="AB2" s="1074"/>
      <c r="AC2" s="1074"/>
      <c r="AD2" s="1074"/>
      <c r="AE2" s="1074"/>
      <c r="AF2" s="1074"/>
      <c r="AG2" s="1074"/>
      <c r="AH2" s="1074"/>
      <c r="AI2" s="1074"/>
      <c r="AJ2" s="1074"/>
      <c r="AK2" s="1074"/>
      <c r="AL2" s="1074"/>
      <c r="AM2" s="1074"/>
      <c r="AN2" s="1074"/>
      <c r="AO2" s="1074"/>
      <c r="AP2" s="1074"/>
      <c r="AQ2" s="1074"/>
      <c r="AR2" s="1074"/>
      <c r="AS2" s="1074"/>
      <c r="AT2" s="1074"/>
      <c r="AU2" s="1074"/>
      <c r="AV2" s="1074"/>
      <c r="AW2" s="1074"/>
      <c r="AX2" s="1074"/>
      <c r="AY2" s="1074"/>
      <c r="AZ2" s="1074"/>
      <c r="BA2" s="1074"/>
      <c r="BB2" s="1074"/>
      <c r="BC2" s="1074"/>
      <c r="BD2" s="1074"/>
      <c r="BE2" s="1074"/>
      <c r="BF2" s="1074"/>
      <c r="BG2" s="1074"/>
      <c r="BH2" s="1074"/>
      <c r="BI2" s="1074"/>
      <c r="BJ2" s="1074"/>
      <c r="BK2" s="1074"/>
    </row>
    <row r="3" spans="1:64" x14ac:dyDescent="0.25">
      <c r="A3" s="1677" t="s">
        <v>1888</v>
      </c>
      <c r="B3" s="1678" t="s">
        <v>1043</v>
      </c>
      <c r="C3" s="1678"/>
      <c r="D3" s="1678"/>
      <c r="E3" s="1678"/>
      <c r="F3" s="1678"/>
      <c r="G3" s="1678"/>
      <c r="H3" s="1074"/>
      <c r="I3" s="1679" t="s">
        <v>1044</v>
      </c>
      <c r="J3" s="1679"/>
      <c r="K3" s="1679"/>
      <c r="L3" s="1679"/>
      <c r="M3" s="1679"/>
      <c r="N3" s="1679"/>
      <c r="O3" s="1074"/>
      <c r="P3" s="1678" t="s">
        <v>1704</v>
      </c>
      <c r="Q3" s="1678"/>
      <c r="R3" s="1678"/>
      <c r="S3" s="1678"/>
      <c r="T3" s="1678"/>
      <c r="U3" s="1678"/>
      <c r="V3" s="1074"/>
      <c r="W3" s="1074"/>
      <c r="X3" s="1074"/>
      <c r="Y3" s="1074"/>
      <c r="Z3" s="1074"/>
      <c r="AA3" s="1074"/>
      <c r="AB3" s="1074"/>
      <c r="AC3" s="1074"/>
      <c r="AD3" s="1074"/>
      <c r="AE3" s="1074"/>
      <c r="AF3" s="1074"/>
      <c r="AG3" s="1074"/>
      <c r="AH3" s="1074"/>
      <c r="AI3" s="1074"/>
      <c r="AJ3" s="1074"/>
      <c r="AK3" s="1074"/>
      <c r="AL3" s="1074"/>
      <c r="AM3" s="1074"/>
      <c r="AN3" s="1074"/>
      <c r="AO3" s="1074"/>
      <c r="AP3" s="1074"/>
      <c r="AQ3" s="1074"/>
      <c r="AR3" s="1074"/>
      <c r="AS3" s="1074"/>
      <c r="AT3" s="1074"/>
      <c r="AU3" s="1074"/>
      <c r="AV3" s="1074"/>
      <c r="AW3" s="1074"/>
      <c r="AX3" s="1074"/>
      <c r="AY3" s="1074"/>
      <c r="AZ3" s="1074"/>
      <c r="BA3" s="1074"/>
      <c r="BB3" s="1074"/>
      <c r="BC3" s="1074"/>
      <c r="BD3" s="1074"/>
      <c r="BE3" s="1074"/>
      <c r="BF3" s="1074"/>
      <c r="BG3" s="1074"/>
      <c r="BH3" s="1074"/>
      <c r="BI3" s="1074"/>
      <c r="BJ3" s="1074"/>
      <c r="BK3" s="1074"/>
    </row>
    <row r="4" spans="1:64" ht="54" customHeight="1" x14ac:dyDescent="0.25">
      <c r="A4" s="1677"/>
      <c r="B4" s="1075" t="s">
        <v>860</v>
      </c>
      <c r="C4" s="1075" t="s">
        <v>861</v>
      </c>
      <c r="D4" s="1075" t="s">
        <v>862</v>
      </c>
      <c r="E4" s="1075" t="s">
        <v>863</v>
      </c>
      <c r="F4" s="1075" t="s">
        <v>864</v>
      </c>
      <c r="G4" s="1075" t="s">
        <v>852</v>
      </c>
      <c r="H4" s="1074"/>
      <c r="I4" s="1076" t="s">
        <v>860</v>
      </c>
      <c r="J4" s="1076" t="s">
        <v>861</v>
      </c>
      <c r="K4" s="1076" t="s">
        <v>862</v>
      </c>
      <c r="L4" s="1076" t="s">
        <v>863</v>
      </c>
      <c r="M4" s="1076" t="s">
        <v>864</v>
      </c>
      <c r="N4" s="1076" t="s">
        <v>852</v>
      </c>
      <c r="O4" s="1074"/>
      <c r="P4" s="1075" t="s">
        <v>860</v>
      </c>
      <c r="Q4" s="1075" t="s">
        <v>861</v>
      </c>
      <c r="R4" s="1075" t="s">
        <v>862</v>
      </c>
      <c r="S4" s="1075" t="s">
        <v>863</v>
      </c>
      <c r="T4" s="1075" t="s">
        <v>864</v>
      </c>
      <c r="U4" s="1075" t="s">
        <v>852</v>
      </c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</row>
    <row r="5" spans="1:64" s="238" customFormat="1" ht="59.25" customHeight="1" x14ac:dyDescent="0.25">
      <c r="A5" s="1077" t="s">
        <v>1889</v>
      </c>
      <c r="B5" s="1078">
        <v>13132</v>
      </c>
      <c r="C5" s="1078">
        <v>13132</v>
      </c>
      <c r="D5" s="1078">
        <v>13132</v>
      </c>
      <c r="E5" s="1078">
        <v>13132</v>
      </c>
      <c r="F5" s="1078">
        <v>13132</v>
      </c>
      <c r="G5" s="1078">
        <v>13132</v>
      </c>
      <c r="H5" s="1074"/>
      <c r="I5" s="1079">
        <f>ROUNDUP(B5*1.061,0)</f>
        <v>13934</v>
      </c>
      <c r="J5" s="1079">
        <f>ROUNDUP(C5*1.061,0)</f>
        <v>13934</v>
      </c>
      <c r="K5" s="1079">
        <f>ROUNDUP(D5*1.061,0)</f>
        <v>13934</v>
      </c>
      <c r="L5" s="1079">
        <f>ROUNDUP(E5*1.061,0)</f>
        <v>13934</v>
      </c>
      <c r="M5" s="1079">
        <f>ROUNDUP(F5*1.061,0)</f>
        <v>13934</v>
      </c>
      <c r="N5" s="1079">
        <f t="shared" ref="N5" si="0">ROUNDUP(G5*1.061,0)</f>
        <v>13934</v>
      </c>
      <c r="O5" s="1074"/>
      <c r="P5" s="1078">
        <f t="shared" ref="P5:U5" si="1">ROUNDUP(I5*1.04,0)</f>
        <v>14492</v>
      </c>
      <c r="Q5" s="1078">
        <f t="shared" si="1"/>
        <v>14492</v>
      </c>
      <c r="R5" s="1078">
        <f t="shared" si="1"/>
        <v>14492</v>
      </c>
      <c r="S5" s="1078">
        <f t="shared" si="1"/>
        <v>14492</v>
      </c>
      <c r="T5" s="1078">
        <f t="shared" si="1"/>
        <v>14492</v>
      </c>
      <c r="U5" s="1078">
        <f t="shared" si="1"/>
        <v>14492</v>
      </c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</row>
    <row r="6" spans="1:64" s="238" customFormat="1" ht="63" x14ac:dyDescent="0.25">
      <c r="A6" s="1077" t="s">
        <v>932</v>
      </c>
      <c r="B6" s="1080">
        <v>2</v>
      </c>
      <c r="C6" s="1080">
        <v>2</v>
      </c>
      <c r="D6" s="1080">
        <v>2</v>
      </c>
      <c r="E6" s="1080">
        <v>2</v>
      </c>
      <c r="F6" s="1080">
        <v>2</v>
      </c>
      <c r="G6" s="1080">
        <v>2</v>
      </c>
      <c r="H6" s="1074"/>
      <c r="I6" s="1081">
        <v>2</v>
      </c>
      <c r="J6" s="1081">
        <v>2</v>
      </c>
      <c r="K6" s="1081">
        <v>2</v>
      </c>
      <c r="L6" s="1081">
        <v>2</v>
      </c>
      <c r="M6" s="1081">
        <v>2</v>
      </c>
      <c r="N6" s="1081">
        <v>2</v>
      </c>
      <c r="O6" s="1074"/>
      <c r="P6" s="1080">
        <v>2</v>
      </c>
      <c r="Q6" s="1080">
        <v>2</v>
      </c>
      <c r="R6" s="1080">
        <v>2</v>
      </c>
      <c r="S6" s="1080">
        <v>2</v>
      </c>
      <c r="T6" s="1080">
        <v>2</v>
      </c>
      <c r="U6" s="1080">
        <v>2</v>
      </c>
      <c r="V6" s="1074"/>
      <c r="W6" s="1074"/>
      <c r="X6" s="1074"/>
      <c r="Y6" s="1074"/>
      <c r="Z6" s="1074"/>
      <c r="AA6" s="1074"/>
      <c r="AB6" s="1074"/>
      <c r="AC6" s="1074"/>
      <c r="AD6" s="1074"/>
      <c r="AE6" s="1074"/>
      <c r="AF6" s="1074"/>
      <c r="AG6" s="1074"/>
      <c r="AH6" s="1074"/>
      <c r="AI6" s="1074"/>
      <c r="AJ6" s="1074"/>
      <c r="AK6" s="1074"/>
      <c r="AL6" s="1074"/>
      <c r="AM6" s="1074"/>
      <c r="AN6" s="1074"/>
      <c r="AO6" s="1074"/>
      <c r="AP6" s="1074"/>
      <c r="AQ6" s="1074"/>
      <c r="AR6" s="1074"/>
      <c r="AS6" s="1074"/>
      <c r="AT6" s="1074"/>
      <c r="AU6" s="1074"/>
      <c r="AV6" s="1074"/>
      <c r="AW6" s="1074"/>
      <c r="AX6" s="1074"/>
      <c r="AY6" s="1074"/>
      <c r="AZ6" s="1074"/>
      <c r="BA6" s="1074"/>
      <c r="BB6" s="1074"/>
      <c r="BC6" s="1074"/>
      <c r="BD6" s="1074"/>
      <c r="BE6" s="1074"/>
      <c r="BF6" s="1074"/>
      <c r="BG6" s="1074"/>
      <c r="BH6" s="1074"/>
      <c r="BI6" s="1074"/>
      <c r="BJ6" s="1074"/>
      <c r="BK6" s="1074"/>
      <c r="BL6" s="1074"/>
    </row>
    <row r="7" spans="1:64" s="238" customFormat="1" ht="47.25" x14ac:dyDescent="0.25">
      <c r="A7" s="1077" t="s">
        <v>933</v>
      </c>
      <c r="B7" s="1080">
        <v>18</v>
      </c>
      <c r="C7" s="1080">
        <v>18</v>
      </c>
      <c r="D7" s="1080">
        <v>18</v>
      </c>
      <c r="E7" s="1080">
        <v>18</v>
      </c>
      <c r="F7" s="1080">
        <v>18</v>
      </c>
      <c r="G7" s="1080">
        <v>18</v>
      </c>
      <c r="H7" s="1074"/>
      <c r="I7" s="1081">
        <v>18</v>
      </c>
      <c r="J7" s="1081">
        <v>18</v>
      </c>
      <c r="K7" s="1081">
        <v>18</v>
      </c>
      <c r="L7" s="1081">
        <v>18</v>
      </c>
      <c r="M7" s="1081">
        <v>18</v>
      </c>
      <c r="N7" s="1081">
        <v>18</v>
      </c>
      <c r="O7" s="1074"/>
      <c r="P7" s="1080">
        <v>18</v>
      </c>
      <c r="Q7" s="1080">
        <v>18</v>
      </c>
      <c r="R7" s="1080">
        <v>18</v>
      </c>
      <c r="S7" s="1080">
        <v>18</v>
      </c>
      <c r="T7" s="1080">
        <v>18</v>
      </c>
      <c r="U7" s="1080">
        <v>18</v>
      </c>
      <c r="V7" s="1074"/>
      <c r="W7" s="1074"/>
      <c r="X7" s="1074"/>
      <c r="Y7" s="1074"/>
      <c r="Z7" s="1074"/>
      <c r="AA7" s="1074"/>
      <c r="AB7" s="1074"/>
      <c r="AC7" s="1074"/>
      <c r="AD7" s="1074"/>
      <c r="AE7" s="1074"/>
      <c r="AF7" s="1074"/>
      <c r="AG7" s="1074"/>
      <c r="AH7" s="1074"/>
      <c r="AI7" s="1074"/>
      <c r="AJ7" s="1074"/>
      <c r="AK7" s="1074"/>
      <c r="AL7" s="1074"/>
      <c r="AM7" s="1074"/>
      <c r="AN7" s="1074"/>
      <c r="AO7" s="1074"/>
      <c r="AP7" s="1074"/>
      <c r="AQ7" s="1074"/>
      <c r="AR7" s="1074"/>
      <c r="AS7" s="1074"/>
      <c r="AT7" s="1074"/>
      <c r="AU7" s="1074"/>
      <c r="AV7" s="1074"/>
      <c r="AW7" s="1074"/>
      <c r="AX7" s="1074"/>
      <c r="AY7" s="1074"/>
      <c r="AZ7" s="1074"/>
      <c r="BA7" s="1074"/>
      <c r="BB7" s="1074"/>
      <c r="BC7" s="1074"/>
      <c r="BD7" s="1074"/>
      <c r="BE7" s="1074"/>
      <c r="BF7" s="1074"/>
      <c r="BG7" s="1074"/>
      <c r="BH7" s="1074"/>
      <c r="BI7" s="1074"/>
      <c r="BJ7" s="1074"/>
      <c r="BK7" s="1074"/>
      <c r="BL7" s="1074"/>
    </row>
    <row r="8" spans="1:64" s="238" customFormat="1" ht="83.25" customHeight="1" x14ac:dyDescent="0.25">
      <c r="A8" s="1077" t="s">
        <v>1890</v>
      </c>
      <c r="B8" s="1080">
        <v>1.45</v>
      </c>
      <c r="C8" s="1080">
        <v>1.45</v>
      </c>
      <c r="D8" s="1080">
        <v>1.45</v>
      </c>
      <c r="E8" s="1080">
        <v>1.45</v>
      </c>
      <c r="F8" s="1080">
        <v>1.45</v>
      </c>
      <c r="G8" s="1080">
        <v>1.45</v>
      </c>
      <c r="H8" s="1074"/>
      <c r="I8" s="1081">
        <v>1.45</v>
      </c>
      <c r="J8" s="1081">
        <v>1.45</v>
      </c>
      <c r="K8" s="1081">
        <v>1.45</v>
      </c>
      <c r="L8" s="1081">
        <v>1.45</v>
      </c>
      <c r="M8" s="1081">
        <v>1.45</v>
      </c>
      <c r="N8" s="1081">
        <v>1.45</v>
      </c>
      <c r="O8" s="1074"/>
      <c r="P8" s="1080">
        <v>1.45</v>
      </c>
      <c r="Q8" s="1080">
        <v>1.45</v>
      </c>
      <c r="R8" s="1080">
        <v>1.45</v>
      </c>
      <c r="S8" s="1080">
        <v>1.45</v>
      </c>
      <c r="T8" s="1080">
        <v>1.45</v>
      </c>
      <c r="U8" s="1080">
        <v>1.45</v>
      </c>
      <c r="V8" s="1074"/>
      <c r="W8" s="1074"/>
      <c r="X8" s="1074"/>
      <c r="Y8" s="1074"/>
      <c r="Z8" s="1074"/>
      <c r="AA8" s="1074"/>
      <c r="AB8" s="1074"/>
      <c r="AC8" s="1074"/>
      <c r="AD8" s="1074"/>
      <c r="AE8" s="1074"/>
      <c r="AF8" s="1074"/>
      <c r="AG8" s="1074"/>
      <c r="AH8" s="1074"/>
      <c r="AI8" s="1074"/>
      <c r="AJ8" s="1074"/>
      <c r="AK8" s="1074"/>
      <c r="AL8" s="1074"/>
      <c r="AM8" s="1074"/>
      <c r="AN8" s="1074"/>
      <c r="AO8" s="1074"/>
      <c r="AP8" s="1074"/>
      <c r="AQ8" s="1074"/>
      <c r="AR8" s="1074"/>
      <c r="AS8" s="1074"/>
      <c r="AT8" s="1074"/>
      <c r="AU8" s="1074"/>
      <c r="AV8" s="1074"/>
      <c r="AW8" s="1074"/>
      <c r="AX8" s="1074"/>
      <c r="AY8" s="1074"/>
      <c r="AZ8" s="1074"/>
      <c r="BA8" s="1074"/>
      <c r="BB8" s="1074"/>
      <c r="BC8" s="1074"/>
      <c r="BD8" s="1074"/>
      <c r="BE8" s="1074"/>
      <c r="BF8" s="1074"/>
      <c r="BG8" s="1074"/>
      <c r="BH8" s="1074"/>
      <c r="BI8" s="1074"/>
      <c r="BJ8" s="1074"/>
      <c r="BK8" s="1074"/>
      <c r="BL8" s="1074"/>
    </row>
    <row r="9" spans="1:64" s="238" customFormat="1" ht="63" x14ac:dyDescent="0.25">
      <c r="A9" s="1077" t="s">
        <v>934</v>
      </c>
      <c r="B9" s="1080">
        <v>1.302</v>
      </c>
      <c r="C9" s="1080">
        <v>1.302</v>
      </c>
      <c r="D9" s="1080">
        <v>1.302</v>
      </c>
      <c r="E9" s="1080">
        <v>1.302</v>
      </c>
      <c r="F9" s="1080">
        <v>1.302</v>
      </c>
      <c r="G9" s="1080">
        <v>1.302</v>
      </c>
      <c r="H9" s="1074"/>
      <c r="I9" s="1081">
        <v>1.302</v>
      </c>
      <c r="J9" s="1081">
        <v>1.302</v>
      </c>
      <c r="K9" s="1081">
        <v>1.302</v>
      </c>
      <c r="L9" s="1081">
        <v>1.302</v>
      </c>
      <c r="M9" s="1081">
        <v>1.302</v>
      </c>
      <c r="N9" s="1081">
        <v>1.302</v>
      </c>
      <c r="O9" s="1074"/>
      <c r="P9" s="1080">
        <v>1.302</v>
      </c>
      <c r="Q9" s="1080">
        <v>1.302</v>
      </c>
      <c r="R9" s="1080">
        <v>1.302</v>
      </c>
      <c r="S9" s="1080">
        <v>1.302</v>
      </c>
      <c r="T9" s="1080">
        <v>1.302</v>
      </c>
      <c r="U9" s="1080">
        <v>1.302</v>
      </c>
      <c r="V9" s="1074"/>
      <c r="W9" s="1074"/>
      <c r="X9" s="1074"/>
      <c r="Y9" s="1074"/>
      <c r="Z9" s="1074"/>
      <c r="AA9" s="1074"/>
      <c r="AB9" s="1074"/>
      <c r="AC9" s="1074"/>
      <c r="AD9" s="1074"/>
      <c r="AE9" s="1074"/>
      <c r="AF9" s="1074"/>
      <c r="AG9" s="1074"/>
      <c r="AH9" s="1074"/>
      <c r="AI9" s="1074"/>
      <c r="AJ9" s="1074"/>
      <c r="AK9" s="1074"/>
      <c r="AL9" s="1074"/>
      <c r="AM9" s="1074"/>
      <c r="AN9" s="1074"/>
      <c r="AO9" s="1074"/>
      <c r="AP9" s="1074"/>
      <c r="AQ9" s="1074"/>
      <c r="AR9" s="1074"/>
      <c r="AS9" s="1074"/>
      <c r="AT9" s="1074"/>
      <c r="AU9" s="1074"/>
      <c r="AV9" s="1074"/>
      <c r="AW9" s="1074"/>
      <c r="AX9" s="1074"/>
      <c r="AY9" s="1074"/>
      <c r="AZ9" s="1074"/>
      <c r="BA9" s="1074"/>
      <c r="BB9" s="1074"/>
      <c r="BC9" s="1074"/>
      <c r="BD9" s="1074"/>
      <c r="BE9" s="1074"/>
      <c r="BF9" s="1074"/>
      <c r="BG9" s="1074"/>
      <c r="BH9" s="1074"/>
      <c r="BI9" s="1074"/>
      <c r="BJ9" s="1074"/>
      <c r="BK9" s="1074"/>
      <c r="BL9" s="1074"/>
    </row>
    <row r="10" spans="1:64" s="238" customFormat="1" ht="47.25" x14ac:dyDescent="0.25">
      <c r="A10" s="1077" t="s">
        <v>935</v>
      </c>
      <c r="B10" s="1080">
        <v>1</v>
      </c>
      <c r="C10" s="1080">
        <v>1</v>
      </c>
      <c r="D10" s="1080">
        <v>1</v>
      </c>
      <c r="E10" s="1080">
        <v>1</v>
      </c>
      <c r="F10" s="1080">
        <v>1</v>
      </c>
      <c r="G10" s="1080">
        <v>1</v>
      </c>
      <c r="H10" s="1074"/>
      <c r="I10" s="1081">
        <v>1</v>
      </c>
      <c r="J10" s="1081">
        <v>1</v>
      </c>
      <c r="K10" s="1081">
        <v>1</v>
      </c>
      <c r="L10" s="1081">
        <v>1</v>
      </c>
      <c r="M10" s="1081">
        <v>1</v>
      </c>
      <c r="N10" s="1081">
        <v>1</v>
      </c>
      <c r="O10" s="1074"/>
      <c r="P10" s="1080">
        <v>1</v>
      </c>
      <c r="Q10" s="1080">
        <v>1</v>
      </c>
      <c r="R10" s="1080">
        <v>1</v>
      </c>
      <c r="S10" s="1080">
        <v>1</v>
      </c>
      <c r="T10" s="1080">
        <v>1</v>
      </c>
      <c r="U10" s="1080">
        <v>1</v>
      </c>
      <c r="V10" s="1074"/>
      <c r="W10" s="1074"/>
      <c r="X10" s="1074"/>
      <c r="Y10" s="1074"/>
      <c r="Z10" s="1074"/>
      <c r="AA10" s="1074"/>
      <c r="AB10" s="1074"/>
      <c r="AC10" s="1074"/>
      <c r="AD10" s="1074"/>
      <c r="AE10" s="1074"/>
      <c r="AF10" s="1074"/>
      <c r="AG10" s="1074"/>
      <c r="AH10" s="1074"/>
      <c r="AI10" s="1074"/>
      <c r="AJ10" s="1074"/>
      <c r="AK10" s="1074"/>
      <c r="AL10" s="1074"/>
      <c r="AM10" s="1074"/>
      <c r="AN10" s="1074"/>
      <c r="AO10" s="1074"/>
      <c r="AP10" s="1074"/>
      <c r="AQ10" s="1074"/>
      <c r="AR10" s="1074"/>
      <c r="AS10" s="1074"/>
      <c r="AT10" s="1074"/>
      <c r="AU10" s="1074"/>
      <c r="AV10" s="1074"/>
      <c r="AW10" s="1074"/>
      <c r="AX10" s="1074"/>
      <c r="AY10" s="1074"/>
      <c r="AZ10" s="1074"/>
      <c r="BA10" s="1074"/>
      <c r="BB10" s="1074"/>
      <c r="BC10" s="1074"/>
      <c r="BD10" s="1074"/>
      <c r="BE10" s="1074"/>
      <c r="BF10" s="1074"/>
      <c r="BG10" s="1074"/>
      <c r="BH10" s="1074"/>
      <c r="BI10" s="1074"/>
      <c r="BJ10" s="1074"/>
      <c r="BK10" s="1074"/>
      <c r="BL10" s="1074"/>
    </row>
    <row r="11" spans="1:64" s="238" customFormat="1" ht="31.5" x14ac:dyDescent="0.25">
      <c r="A11" s="1082" t="s">
        <v>1891</v>
      </c>
      <c r="B11" s="1083">
        <f>6.1/12*3/100+1</f>
        <v>1.01525</v>
      </c>
      <c r="C11" s="1083">
        <f t="shared" ref="C11:G11" si="2">6.1/12*3/100+1</f>
        <v>1.01525</v>
      </c>
      <c r="D11" s="1083">
        <f t="shared" si="2"/>
        <v>1.01525</v>
      </c>
      <c r="E11" s="1083">
        <f t="shared" si="2"/>
        <v>1.01525</v>
      </c>
      <c r="F11" s="1083">
        <f t="shared" si="2"/>
        <v>1.01525</v>
      </c>
      <c r="G11" s="1083">
        <f t="shared" si="2"/>
        <v>1.01525</v>
      </c>
      <c r="H11" s="1074"/>
      <c r="I11" s="1084">
        <f t="shared" ref="I11:U11" si="3">4/12*3/100+1</f>
        <v>1.01</v>
      </c>
      <c r="J11" s="1084">
        <f t="shared" si="3"/>
        <v>1.01</v>
      </c>
      <c r="K11" s="1084">
        <f t="shared" si="3"/>
        <v>1.01</v>
      </c>
      <c r="L11" s="1084">
        <f t="shared" si="3"/>
        <v>1.01</v>
      </c>
      <c r="M11" s="1084">
        <f t="shared" si="3"/>
        <v>1.01</v>
      </c>
      <c r="N11" s="1084">
        <f t="shared" si="3"/>
        <v>1.01</v>
      </c>
      <c r="O11" s="1074"/>
      <c r="P11" s="1083">
        <f t="shared" si="3"/>
        <v>1.01</v>
      </c>
      <c r="Q11" s="1083">
        <f t="shared" si="3"/>
        <v>1.01</v>
      </c>
      <c r="R11" s="1083">
        <f t="shared" si="3"/>
        <v>1.01</v>
      </c>
      <c r="S11" s="1083">
        <f t="shared" si="3"/>
        <v>1.01</v>
      </c>
      <c r="T11" s="1083">
        <f t="shared" si="3"/>
        <v>1.01</v>
      </c>
      <c r="U11" s="1083">
        <f t="shared" si="3"/>
        <v>1.01</v>
      </c>
      <c r="V11" s="1074"/>
      <c r="W11" s="1074"/>
      <c r="X11" s="1074"/>
      <c r="Y11" s="1074"/>
      <c r="Z11" s="1074"/>
      <c r="AA11" s="1074"/>
      <c r="AB11" s="1074"/>
      <c r="AC11" s="1074"/>
      <c r="AD11" s="1074"/>
      <c r="AE11" s="1074"/>
      <c r="AF11" s="1074"/>
      <c r="AG11" s="1074"/>
      <c r="AH11" s="1074"/>
      <c r="AI11" s="1074"/>
      <c r="AJ11" s="1074"/>
      <c r="AK11" s="1074"/>
      <c r="AL11" s="1074"/>
      <c r="AM11" s="1074"/>
      <c r="AN11" s="1074"/>
      <c r="AO11" s="1074"/>
      <c r="AP11" s="1074"/>
      <c r="AQ11" s="1074"/>
      <c r="AR11" s="1074"/>
      <c r="AS11" s="1074"/>
      <c r="AT11" s="1074"/>
      <c r="AU11" s="1074"/>
      <c r="AV11" s="1074"/>
      <c r="AW11" s="1074"/>
      <c r="AX11" s="1074"/>
      <c r="AY11" s="1074"/>
      <c r="AZ11" s="1074"/>
      <c r="BA11" s="1074"/>
      <c r="BB11" s="1074"/>
      <c r="BC11" s="1074"/>
      <c r="BD11" s="1074"/>
      <c r="BE11" s="1074"/>
      <c r="BF11" s="1074"/>
      <c r="BG11" s="1074"/>
      <c r="BH11" s="1074"/>
      <c r="BI11" s="1074"/>
      <c r="BJ11" s="1074"/>
      <c r="BK11" s="1074"/>
      <c r="BL11" s="1074"/>
    </row>
    <row r="12" spans="1:64" s="238" customFormat="1" ht="31.5" x14ac:dyDescent="0.25">
      <c r="A12" s="1077" t="s">
        <v>936</v>
      </c>
      <c r="B12" s="1080">
        <v>12</v>
      </c>
      <c r="C12" s="1080">
        <v>12</v>
      </c>
      <c r="D12" s="1080">
        <v>12</v>
      </c>
      <c r="E12" s="1080">
        <v>12</v>
      </c>
      <c r="F12" s="1080">
        <v>12</v>
      </c>
      <c r="G12" s="1080">
        <v>14</v>
      </c>
      <c r="H12" s="1074"/>
      <c r="I12" s="1081">
        <v>12</v>
      </c>
      <c r="J12" s="1081">
        <v>12</v>
      </c>
      <c r="K12" s="1081">
        <v>12</v>
      </c>
      <c r="L12" s="1081">
        <v>12</v>
      </c>
      <c r="M12" s="1081">
        <v>12</v>
      </c>
      <c r="N12" s="1081">
        <v>14</v>
      </c>
      <c r="O12" s="1074"/>
      <c r="P12" s="1080">
        <v>12</v>
      </c>
      <c r="Q12" s="1080">
        <v>12</v>
      </c>
      <c r="R12" s="1080">
        <v>12</v>
      </c>
      <c r="S12" s="1080">
        <v>12</v>
      </c>
      <c r="T12" s="1080">
        <v>12</v>
      </c>
      <c r="U12" s="1080">
        <v>14</v>
      </c>
      <c r="V12" s="1074"/>
      <c r="W12" s="1074"/>
      <c r="X12" s="1074"/>
      <c r="Y12" s="1074"/>
      <c r="Z12" s="1074"/>
      <c r="AA12" s="1074"/>
      <c r="AB12" s="1074"/>
      <c r="AC12" s="1074"/>
      <c r="AD12" s="1074"/>
      <c r="AE12" s="1074"/>
      <c r="AF12" s="1074"/>
      <c r="AG12" s="1074"/>
      <c r="AH12" s="1074"/>
      <c r="AI12" s="1074"/>
      <c r="AJ12" s="1074"/>
      <c r="AK12" s="1074"/>
      <c r="AL12" s="1074"/>
      <c r="AM12" s="1074"/>
      <c r="AN12" s="1074"/>
      <c r="AO12" s="1074"/>
      <c r="AP12" s="1074"/>
      <c r="AQ12" s="1074"/>
      <c r="AR12" s="1074"/>
      <c r="AS12" s="1074"/>
      <c r="AT12" s="1074"/>
      <c r="AU12" s="1074"/>
      <c r="AV12" s="1074"/>
      <c r="AW12" s="1074"/>
      <c r="AX12" s="1074"/>
      <c r="AY12" s="1074"/>
      <c r="AZ12" s="1074"/>
      <c r="BA12" s="1074"/>
      <c r="BB12" s="1074"/>
      <c r="BC12" s="1074"/>
      <c r="BD12" s="1074"/>
      <c r="BE12" s="1074"/>
      <c r="BF12" s="1074"/>
      <c r="BG12" s="1074"/>
      <c r="BH12" s="1074"/>
      <c r="BI12" s="1074"/>
      <c r="BJ12" s="1074"/>
      <c r="BK12" s="1074"/>
      <c r="BL12" s="1074"/>
    </row>
    <row r="13" spans="1:64" s="238" customFormat="1" ht="32.25" customHeight="1" x14ac:dyDescent="0.25">
      <c r="A13" s="1082" t="s">
        <v>931</v>
      </c>
      <c r="B13" s="1080">
        <v>12</v>
      </c>
      <c r="C13" s="1080">
        <v>12</v>
      </c>
      <c r="D13" s="1080">
        <v>12</v>
      </c>
      <c r="E13" s="1080">
        <v>12</v>
      </c>
      <c r="F13" s="1080">
        <v>12</v>
      </c>
      <c r="G13" s="1080">
        <v>12</v>
      </c>
      <c r="H13" s="1074"/>
      <c r="I13" s="1081">
        <v>12</v>
      </c>
      <c r="J13" s="1081">
        <v>12</v>
      </c>
      <c r="K13" s="1081">
        <v>12</v>
      </c>
      <c r="L13" s="1081">
        <v>12</v>
      </c>
      <c r="M13" s="1081">
        <v>12</v>
      </c>
      <c r="N13" s="1081">
        <v>12</v>
      </c>
      <c r="O13" s="1074"/>
      <c r="P13" s="1080">
        <v>12</v>
      </c>
      <c r="Q13" s="1080">
        <v>12</v>
      </c>
      <c r="R13" s="1080">
        <v>12</v>
      </c>
      <c r="S13" s="1080">
        <v>12</v>
      </c>
      <c r="T13" s="1080">
        <v>12</v>
      </c>
      <c r="U13" s="1080">
        <v>12</v>
      </c>
      <c r="V13" s="1074"/>
      <c r="W13" s="1074"/>
      <c r="X13" s="1074"/>
      <c r="Y13" s="1074"/>
      <c r="Z13" s="1074"/>
      <c r="AA13" s="1074"/>
      <c r="AB13" s="1074"/>
      <c r="AC13" s="1074"/>
      <c r="AD13" s="1074"/>
      <c r="AE13" s="1074"/>
      <c r="AF13" s="1074"/>
      <c r="AG13" s="1074"/>
      <c r="AH13" s="1074"/>
      <c r="AI13" s="1074"/>
      <c r="AJ13" s="1074"/>
      <c r="AK13" s="1074"/>
      <c r="AL13" s="1074"/>
      <c r="AM13" s="1074"/>
      <c r="AN13" s="1074"/>
      <c r="AO13" s="1074"/>
      <c r="AP13" s="1074"/>
      <c r="AQ13" s="1074"/>
      <c r="AR13" s="1074"/>
      <c r="AS13" s="1074"/>
      <c r="AT13" s="1074"/>
      <c r="AU13" s="1074"/>
      <c r="AV13" s="1074"/>
      <c r="AW13" s="1074"/>
      <c r="AX13" s="1074"/>
      <c r="AY13" s="1074"/>
      <c r="AZ13" s="1074"/>
      <c r="BA13" s="1074"/>
      <c r="BB13" s="1074"/>
      <c r="BC13" s="1074"/>
      <c r="BD13" s="1074"/>
      <c r="BE13" s="1074"/>
      <c r="BF13" s="1074"/>
      <c r="BG13" s="1074"/>
      <c r="BH13" s="1074"/>
      <c r="BI13" s="1074"/>
      <c r="BJ13" s="1074"/>
      <c r="BK13" s="1074"/>
      <c r="BL13" s="1074"/>
    </row>
    <row r="14" spans="1:64" s="240" customFormat="1" x14ac:dyDescent="0.25">
      <c r="A14" s="1085" t="s">
        <v>865</v>
      </c>
      <c r="B14" s="1086">
        <f>ROUND(B5*B9*B10*B11*B8*B6/B7/B12*B13,0)</f>
        <v>2797</v>
      </c>
      <c r="C14" s="1086">
        <f t="shared" ref="C14:U14" si="4">ROUND(C5*C9*C10*C11*C8*C6/C7/C12*C13,0)</f>
        <v>2797</v>
      </c>
      <c r="D14" s="1086">
        <f t="shared" si="4"/>
        <v>2797</v>
      </c>
      <c r="E14" s="1086">
        <f t="shared" si="4"/>
        <v>2797</v>
      </c>
      <c r="F14" s="1086">
        <f t="shared" si="4"/>
        <v>2797</v>
      </c>
      <c r="G14" s="1086">
        <f t="shared" si="4"/>
        <v>2397</v>
      </c>
      <c r="H14" s="1074"/>
      <c r="I14" s="1086">
        <f t="shared" si="4"/>
        <v>2952</v>
      </c>
      <c r="J14" s="1086">
        <f t="shared" si="4"/>
        <v>2952</v>
      </c>
      <c r="K14" s="1086">
        <f t="shared" si="4"/>
        <v>2952</v>
      </c>
      <c r="L14" s="1086">
        <f t="shared" si="4"/>
        <v>2952</v>
      </c>
      <c r="M14" s="1086">
        <f t="shared" si="4"/>
        <v>2952</v>
      </c>
      <c r="N14" s="1086">
        <f t="shared" si="4"/>
        <v>2530</v>
      </c>
      <c r="O14" s="1074"/>
      <c r="P14" s="1086">
        <f t="shared" si="4"/>
        <v>3070</v>
      </c>
      <c r="Q14" s="1086">
        <f t="shared" si="4"/>
        <v>3070</v>
      </c>
      <c r="R14" s="1086">
        <f t="shared" si="4"/>
        <v>3070</v>
      </c>
      <c r="S14" s="1086">
        <f t="shared" si="4"/>
        <v>3070</v>
      </c>
      <c r="T14" s="1086">
        <f t="shared" si="4"/>
        <v>3070</v>
      </c>
      <c r="U14" s="1086">
        <f t="shared" si="4"/>
        <v>2632</v>
      </c>
      <c r="V14" s="1074"/>
      <c r="W14" s="1087"/>
      <c r="X14" s="1087"/>
      <c r="Y14" s="1087"/>
      <c r="Z14" s="1087"/>
      <c r="AA14" s="1087"/>
      <c r="AB14" s="1087"/>
      <c r="AC14" s="1087"/>
      <c r="AD14" s="1087"/>
      <c r="AE14" s="1087"/>
      <c r="AF14" s="1087"/>
      <c r="AG14" s="1087"/>
      <c r="AH14" s="1087"/>
      <c r="AI14" s="1087"/>
      <c r="AJ14" s="1087"/>
      <c r="AK14" s="1087"/>
      <c r="AL14" s="1087"/>
      <c r="AM14" s="1087"/>
      <c r="AN14" s="1087"/>
      <c r="AO14" s="1087"/>
      <c r="AP14" s="1087"/>
      <c r="AQ14" s="1087"/>
      <c r="AR14" s="1087"/>
      <c r="AS14" s="1087"/>
      <c r="AT14" s="1087"/>
      <c r="AU14" s="1087"/>
      <c r="AV14" s="1087"/>
      <c r="AW14" s="1087"/>
      <c r="AX14" s="1087"/>
      <c r="AY14" s="1087"/>
      <c r="AZ14" s="1087"/>
      <c r="BA14" s="1087"/>
      <c r="BB14" s="1087"/>
      <c r="BC14" s="1087"/>
      <c r="BD14" s="1087"/>
      <c r="BE14" s="1087"/>
      <c r="BF14" s="1087"/>
      <c r="BG14" s="1087"/>
      <c r="BH14" s="1087"/>
      <c r="BI14" s="1087"/>
      <c r="BJ14" s="1087"/>
      <c r="BK14" s="1087"/>
      <c r="BL14" s="1087"/>
    </row>
    <row r="15" spans="1:64" s="240" customFormat="1" x14ac:dyDescent="0.25">
      <c r="A15" s="1085" t="s">
        <v>867</v>
      </c>
      <c r="B15" s="1088">
        <v>0</v>
      </c>
      <c r="C15" s="1088">
        <v>0</v>
      </c>
      <c r="D15" s="1088">
        <v>0</v>
      </c>
      <c r="E15" s="1088">
        <v>0</v>
      </c>
      <c r="F15" s="1088">
        <v>0</v>
      </c>
      <c r="G15" s="1088">
        <v>0</v>
      </c>
      <c r="H15" s="1074"/>
      <c r="I15" s="1088">
        <v>0</v>
      </c>
      <c r="J15" s="1088">
        <v>0</v>
      </c>
      <c r="K15" s="1088">
        <v>0</v>
      </c>
      <c r="L15" s="1088">
        <v>0</v>
      </c>
      <c r="M15" s="1088">
        <v>0</v>
      </c>
      <c r="N15" s="1088">
        <v>0</v>
      </c>
      <c r="O15" s="1074"/>
      <c r="P15" s="1088">
        <v>0</v>
      </c>
      <c r="Q15" s="1088">
        <v>0</v>
      </c>
      <c r="R15" s="1088">
        <v>0</v>
      </c>
      <c r="S15" s="1088">
        <v>0</v>
      </c>
      <c r="T15" s="1088">
        <v>0</v>
      </c>
      <c r="U15" s="1088">
        <v>0</v>
      </c>
      <c r="V15" s="1074"/>
      <c r="W15" s="1087"/>
      <c r="X15" s="1087"/>
      <c r="Y15" s="1087"/>
      <c r="Z15" s="1087"/>
      <c r="AA15" s="1087"/>
      <c r="AB15" s="1087"/>
      <c r="AC15" s="1087"/>
      <c r="AD15" s="1087"/>
      <c r="AE15" s="1087"/>
      <c r="AF15" s="1087"/>
      <c r="AG15" s="1087"/>
      <c r="AH15" s="1087"/>
      <c r="AI15" s="1087"/>
      <c r="AJ15" s="1087"/>
      <c r="AK15" s="1087"/>
      <c r="AL15" s="1087"/>
      <c r="AM15" s="1087"/>
      <c r="AN15" s="1087"/>
      <c r="AO15" s="1087"/>
      <c r="AP15" s="1087"/>
      <c r="AQ15" s="1087"/>
      <c r="AR15" s="1087"/>
      <c r="AS15" s="1087"/>
      <c r="AT15" s="1087"/>
      <c r="AU15" s="1087"/>
      <c r="AV15" s="1087"/>
      <c r="AW15" s="1087"/>
      <c r="AX15" s="1087"/>
      <c r="AY15" s="1087"/>
      <c r="AZ15" s="1087"/>
      <c r="BA15" s="1087"/>
      <c r="BB15" s="1087"/>
      <c r="BC15" s="1087"/>
      <c r="BD15" s="1087"/>
      <c r="BE15" s="1087"/>
      <c r="BF15" s="1087"/>
      <c r="BG15" s="1087"/>
      <c r="BH15" s="1087"/>
      <c r="BI15" s="1087"/>
      <c r="BJ15" s="1087"/>
      <c r="BK15" s="1087"/>
      <c r="BL15" s="1087"/>
    </row>
    <row r="16" spans="1:64" s="240" customFormat="1" x14ac:dyDescent="0.25">
      <c r="A16" s="1085" t="s">
        <v>1892</v>
      </c>
      <c r="B16" s="1089">
        <f>ROUND((B14+B15)*0.02,0)</f>
        <v>56</v>
      </c>
      <c r="C16" s="1089">
        <f t="shared" ref="C16:U16" si="5">ROUND((C14+C15)*0.02,0)</f>
        <v>56</v>
      </c>
      <c r="D16" s="1089">
        <f t="shared" si="5"/>
        <v>56</v>
      </c>
      <c r="E16" s="1089">
        <f t="shared" si="5"/>
        <v>56</v>
      </c>
      <c r="F16" s="1089">
        <f t="shared" si="5"/>
        <v>56</v>
      </c>
      <c r="G16" s="1089">
        <f t="shared" si="5"/>
        <v>48</v>
      </c>
      <c r="H16" s="1074"/>
      <c r="I16" s="1089">
        <f t="shared" si="5"/>
        <v>59</v>
      </c>
      <c r="J16" s="1089">
        <f t="shared" si="5"/>
        <v>59</v>
      </c>
      <c r="K16" s="1089">
        <f t="shared" si="5"/>
        <v>59</v>
      </c>
      <c r="L16" s="1089">
        <f t="shared" si="5"/>
        <v>59</v>
      </c>
      <c r="M16" s="1089">
        <f t="shared" si="5"/>
        <v>59</v>
      </c>
      <c r="N16" s="1089">
        <f t="shared" si="5"/>
        <v>51</v>
      </c>
      <c r="O16" s="1074"/>
      <c r="P16" s="1089">
        <f t="shared" si="5"/>
        <v>61</v>
      </c>
      <c r="Q16" s="1089">
        <f t="shared" si="5"/>
        <v>61</v>
      </c>
      <c r="R16" s="1089">
        <f t="shared" si="5"/>
        <v>61</v>
      </c>
      <c r="S16" s="1089">
        <f t="shared" si="5"/>
        <v>61</v>
      </c>
      <c r="T16" s="1089">
        <f t="shared" si="5"/>
        <v>61</v>
      </c>
      <c r="U16" s="1089">
        <f t="shared" si="5"/>
        <v>53</v>
      </c>
      <c r="V16" s="1074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  <c r="AG16" s="1087"/>
      <c r="AH16" s="1087"/>
      <c r="AI16" s="1087"/>
      <c r="AJ16" s="1087"/>
      <c r="AK16" s="1087"/>
      <c r="AL16" s="1087"/>
      <c r="AM16" s="1087"/>
      <c r="AN16" s="1087"/>
      <c r="AO16" s="1087"/>
      <c r="AP16" s="1087"/>
      <c r="AQ16" s="1087"/>
      <c r="AR16" s="1087"/>
      <c r="AS16" s="1087"/>
      <c r="AT16" s="1087"/>
      <c r="AU16" s="1087"/>
      <c r="AV16" s="1087"/>
      <c r="AW16" s="1087"/>
      <c r="AX16" s="1087"/>
      <c r="AY16" s="1087"/>
      <c r="AZ16" s="1087"/>
      <c r="BA16" s="1087"/>
      <c r="BB16" s="1087"/>
      <c r="BC16" s="1087"/>
      <c r="BD16" s="1087"/>
      <c r="BE16" s="1087"/>
      <c r="BF16" s="1087"/>
      <c r="BG16" s="1087"/>
      <c r="BH16" s="1087"/>
      <c r="BI16" s="1087"/>
      <c r="BJ16" s="1087"/>
      <c r="BK16" s="1087"/>
      <c r="BL16" s="1087"/>
    </row>
    <row r="17" spans="1:65" s="241" customFormat="1" x14ac:dyDescent="0.25">
      <c r="A17" s="1090" t="s">
        <v>971</v>
      </c>
      <c r="B17" s="1091">
        <f>ROUND(B14+B15+B16,0)</f>
        <v>2853</v>
      </c>
      <c r="C17" s="1091">
        <f t="shared" ref="C17:U17" si="6">ROUND(C14+C15+C16,0)</f>
        <v>2853</v>
      </c>
      <c r="D17" s="1091">
        <f t="shared" si="6"/>
        <v>2853</v>
      </c>
      <c r="E17" s="1091">
        <f t="shared" si="6"/>
        <v>2853</v>
      </c>
      <c r="F17" s="1091">
        <f t="shared" si="6"/>
        <v>2853</v>
      </c>
      <c r="G17" s="1091">
        <f t="shared" si="6"/>
        <v>2445</v>
      </c>
      <c r="H17" s="1074"/>
      <c r="I17" s="1091">
        <f t="shared" si="6"/>
        <v>3011</v>
      </c>
      <c r="J17" s="1091">
        <f t="shared" si="6"/>
        <v>3011</v>
      </c>
      <c r="K17" s="1091">
        <f t="shared" si="6"/>
        <v>3011</v>
      </c>
      <c r="L17" s="1091">
        <f t="shared" si="6"/>
        <v>3011</v>
      </c>
      <c r="M17" s="1091">
        <f t="shared" si="6"/>
        <v>3011</v>
      </c>
      <c r="N17" s="1091">
        <f t="shared" si="6"/>
        <v>2581</v>
      </c>
      <c r="O17" s="1074"/>
      <c r="P17" s="1091">
        <f t="shared" si="6"/>
        <v>3131</v>
      </c>
      <c r="Q17" s="1091">
        <f t="shared" si="6"/>
        <v>3131</v>
      </c>
      <c r="R17" s="1091">
        <f t="shared" si="6"/>
        <v>3131</v>
      </c>
      <c r="S17" s="1091">
        <f t="shared" si="6"/>
        <v>3131</v>
      </c>
      <c r="T17" s="1091">
        <f t="shared" si="6"/>
        <v>3131</v>
      </c>
      <c r="U17" s="1091">
        <f t="shared" si="6"/>
        <v>2685</v>
      </c>
      <c r="V17" s="1074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  <c r="AH17" s="1087"/>
      <c r="AI17" s="1087"/>
      <c r="AJ17" s="1087"/>
      <c r="AK17" s="1087"/>
      <c r="AL17" s="1087"/>
      <c r="AM17" s="1087"/>
      <c r="AN17" s="1087"/>
      <c r="AO17" s="1087"/>
      <c r="AP17" s="1087"/>
      <c r="AQ17" s="1087"/>
      <c r="AR17" s="1087"/>
      <c r="AS17" s="1087"/>
      <c r="AT17" s="1087"/>
      <c r="AU17" s="1087"/>
      <c r="AV17" s="1087"/>
      <c r="AW17" s="1087"/>
      <c r="AX17" s="1087"/>
      <c r="AY17" s="1087"/>
      <c r="AZ17" s="1087"/>
      <c r="BA17" s="1087"/>
      <c r="BB17" s="1087"/>
      <c r="BC17" s="1087"/>
      <c r="BD17" s="1087"/>
      <c r="BE17" s="1087"/>
      <c r="BF17" s="1087"/>
      <c r="BG17" s="1087"/>
      <c r="BH17" s="1087"/>
      <c r="BI17" s="1087"/>
      <c r="BJ17" s="1087"/>
      <c r="BK17" s="1087"/>
      <c r="BL17" s="1087"/>
    </row>
    <row r="18" spans="1:65" s="238" customFormat="1" ht="31.5" x14ac:dyDescent="0.25">
      <c r="A18" s="1082" t="s">
        <v>972</v>
      </c>
      <c r="B18" s="1092">
        <f>1/72</f>
        <v>1.3889E-2</v>
      </c>
      <c r="C18" s="1092">
        <f t="shared" ref="C18:U18" si="7">1/72</f>
        <v>1.3889E-2</v>
      </c>
      <c r="D18" s="1092">
        <f t="shared" si="7"/>
        <v>1.3889E-2</v>
      </c>
      <c r="E18" s="1092">
        <f t="shared" si="7"/>
        <v>1.3889E-2</v>
      </c>
      <c r="F18" s="1092">
        <f t="shared" si="7"/>
        <v>1.3889E-2</v>
      </c>
      <c r="G18" s="1092">
        <f t="shared" si="7"/>
        <v>1.3889E-2</v>
      </c>
      <c r="H18" s="1093"/>
      <c r="I18" s="1092">
        <f t="shared" si="7"/>
        <v>1.3889E-2</v>
      </c>
      <c r="J18" s="1092">
        <f t="shared" si="7"/>
        <v>1.3889E-2</v>
      </c>
      <c r="K18" s="1092">
        <f t="shared" si="7"/>
        <v>1.3889E-2</v>
      </c>
      <c r="L18" s="1092">
        <f t="shared" si="7"/>
        <v>1.3889E-2</v>
      </c>
      <c r="M18" s="1092">
        <f t="shared" si="7"/>
        <v>1.3889E-2</v>
      </c>
      <c r="N18" s="1092">
        <f t="shared" si="7"/>
        <v>1.3889E-2</v>
      </c>
      <c r="O18" s="1093"/>
      <c r="P18" s="1092">
        <f t="shared" si="7"/>
        <v>1.3889E-2</v>
      </c>
      <c r="Q18" s="1092">
        <f t="shared" si="7"/>
        <v>1.3889E-2</v>
      </c>
      <c r="R18" s="1092">
        <f t="shared" si="7"/>
        <v>1.3889E-2</v>
      </c>
      <c r="S18" s="1092">
        <f t="shared" si="7"/>
        <v>1.3889E-2</v>
      </c>
      <c r="T18" s="1092">
        <f t="shared" si="7"/>
        <v>1.3889E-2</v>
      </c>
      <c r="U18" s="1092">
        <f t="shared" si="7"/>
        <v>1.3889E-2</v>
      </c>
      <c r="V18" s="1093"/>
      <c r="W18" s="1074"/>
      <c r="X18" s="1074"/>
      <c r="Y18" s="1074"/>
      <c r="Z18" s="1074"/>
      <c r="AA18" s="1074"/>
      <c r="AB18" s="1074"/>
      <c r="AC18" s="1074"/>
      <c r="AD18" s="1074"/>
      <c r="AE18" s="1074"/>
      <c r="AF18" s="1074"/>
      <c r="AG18" s="1074"/>
      <c r="AH18" s="1074"/>
      <c r="AI18" s="1074"/>
      <c r="AJ18" s="1074"/>
      <c r="AK18" s="1074"/>
      <c r="AL18" s="1074"/>
      <c r="AM18" s="1074"/>
      <c r="AN18" s="1074"/>
      <c r="AO18" s="1074"/>
      <c r="AP18" s="1074"/>
      <c r="AQ18" s="1074"/>
      <c r="AR18" s="1074"/>
      <c r="AS18" s="1074"/>
      <c r="AT18" s="1074"/>
      <c r="AU18" s="1074"/>
      <c r="AV18" s="1074"/>
      <c r="AW18" s="1074"/>
      <c r="AX18" s="1074"/>
      <c r="AY18" s="1074"/>
      <c r="AZ18" s="1074"/>
      <c r="BA18" s="1074"/>
      <c r="BB18" s="1074"/>
      <c r="BC18" s="1074"/>
      <c r="BD18" s="1074"/>
      <c r="BE18" s="1074"/>
      <c r="BF18" s="1074"/>
      <c r="BG18" s="1074"/>
      <c r="BH18" s="1074"/>
      <c r="BI18" s="1074"/>
      <c r="BJ18" s="1074"/>
      <c r="BK18" s="1074"/>
      <c r="BL18" s="1074"/>
    </row>
    <row r="19" spans="1:65" s="240" customFormat="1" x14ac:dyDescent="0.25">
      <c r="A19" s="1085" t="s">
        <v>865</v>
      </c>
      <c r="B19" s="1094">
        <f>B14*B18</f>
        <v>38.85</v>
      </c>
      <c r="C19" s="1094">
        <f t="shared" ref="C19:U19" si="8">C14*C18</f>
        <v>38.85</v>
      </c>
      <c r="D19" s="1094">
        <f t="shared" si="8"/>
        <v>38.85</v>
      </c>
      <c r="E19" s="1094">
        <f t="shared" si="8"/>
        <v>38.85</v>
      </c>
      <c r="F19" s="1094">
        <f t="shared" si="8"/>
        <v>38.85</v>
      </c>
      <c r="G19" s="1094">
        <f t="shared" si="8"/>
        <v>33.29</v>
      </c>
      <c r="H19" s="1095"/>
      <c r="I19" s="1094">
        <f t="shared" si="8"/>
        <v>41</v>
      </c>
      <c r="J19" s="1094">
        <f t="shared" si="8"/>
        <v>41</v>
      </c>
      <c r="K19" s="1094">
        <f t="shared" si="8"/>
        <v>41</v>
      </c>
      <c r="L19" s="1094">
        <f t="shared" si="8"/>
        <v>41</v>
      </c>
      <c r="M19" s="1094">
        <f t="shared" si="8"/>
        <v>41</v>
      </c>
      <c r="N19" s="1094">
        <f t="shared" si="8"/>
        <v>35.14</v>
      </c>
      <c r="O19" s="1095"/>
      <c r="P19" s="1094">
        <f t="shared" si="8"/>
        <v>42.64</v>
      </c>
      <c r="Q19" s="1094">
        <f t="shared" si="8"/>
        <v>42.64</v>
      </c>
      <c r="R19" s="1094">
        <f t="shared" si="8"/>
        <v>42.64</v>
      </c>
      <c r="S19" s="1094">
        <f t="shared" si="8"/>
        <v>42.64</v>
      </c>
      <c r="T19" s="1094">
        <f t="shared" si="8"/>
        <v>42.64</v>
      </c>
      <c r="U19" s="1094">
        <f t="shared" si="8"/>
        <v>36.56</v>
      </c>
      <c r="V19" s="1095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  <c r="AH19" s="1087"/>
      <c r="AI19" s="1087"/>
      <c r="AJ19" s="1087"/>
      <c r="AK19" s="1087"/>
      <c r="AL19" s="1087"/>
      <c r="AM19" s="1087"/>
      <c r="AN19" s="1087"/>
      <c r="AO19" s="1087"/>
      <c r="AP19" s="1087"/>
      <c r="AQ19" s="1087"/>
      <c r="AR19" s="1087"/>
      <c r="AS19" s="1087"/>
      <c r="AT19" s="1087"/>
      <c r="AU19" s="1087"/>
      <c r="AV19" s="1087"/>
      <c r="AW19" s="1087"/>
      <c r="AX19" s="1087"/>
      <c r="AY19" s="1087"/>
      <c r="AZ19" s="1087"/>
      <c r="BA19" s="1087"/>
      <c r="BB19" s="1087"/>
      <c r="BC19" s="1087"/>
      <c r="BD19" s="1087"/>
      <c r="BE19" s="1087"/>
      <c r="BF19" s="1087"/>
      <c r="BG19" s="1087"/>
      <c r="BH19" s="1087"/>
      <c r="BI19" s="1087"/>
      <c r="BJ19" s="1087"/>
      <c r="BK19" s="1087"/>
      <c r="BL19" s="1087"/>
    </row>
    <row r="20" spans="1:65" s="240" customFormat="1" x14ac:dyDescent="0.25">
      <c r="A20" s="1085" t="s">
        <v>867</v>
      </c>
      <c r="B20" s="1096">
        <v>0</v>
      </c>
      <c r="C20" s="1096">
        <v>0</v>
      </c>
      <c r="D20" s="1096">
        <v>0</v>
      </c>
      <c r="E20" s="1096">
        <v>0</v>
      </c>
      <c r="F20" s="1096">
        <v>0</v>
      </c>
      <c r="G20" s="1096">
        <v>0</v>
      </c>
      <c r="H20" s="1095"/>
      <c r="I20" s="1096">
        <v>0</v>
      </c>
      <c r="J20" s="1096">
        <v>0</v>
      </c>
      <c r="K20" s="1096">
        <v>0</v>
      </c>
      <c r="L20" s="1096">
        <v>0</v>
      </c>
      <c r="M20" s="1096">
        <v>0</v>
      </c>
      <c r="N20" s="1096">
        <v>0</v>
      </c>
      <c r="O20" s="1095"/>
      <c r="P20" s="1096">
        <v>0</v>
      </c>
      <c r="Q20" s="1096">
        <v>0</v>
      </c>
      <c r="R20" s="1096">
        <v>0</v>
      </c>
      <c r="S20" s="1096">
        <v>0</v>
      </c>
      <c r="T20" s="1096">
        <v>0</v>
      </c>
      <c r="U20" s="1096">
        <v>0</v>
      </c>
      <c r="V20" s="1095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  <c r="AH20" s="1087"/>
      <c r="AI20" s="1087"/>
      <c r="AJ20" s="1087"/>
      <c r="AK20" s="1087"/>
      <c r="AL20" s="1087"/>
      <c r="AM20" s="1087"/>
      <c r="AN20" s="1087"/>
      <c r="AO20" s="1087"/>
      <c r="AP20" s="1087"/>
      <c r="AQ20" s="1087"/>
      <c r="AR20" s="1087"/>
      <c r="AS20" s="1087"/>
      <c r="AT20" s="1087"/>
      <c r="AU20" s="1087"/>
      <c r="AV20" s="1087"/>
      <c r="AW20" s="1087"/>
      <c r="AX20" s="1087"/>
      <c r="AY20" s="1087"/>
      <c r="AZ20" s="1087"/>
      <c r="BA20" s="1087"/>
      <c r="BB20" s="1087"/>
      <c r="BC20" s="1087"/>
      <c r="BD20" s="1087"/>
      <c r="BE20" s="1087"/>
      <c r="BF20" s="1087"/>
      <c r="BG20" s="1087"/>
      <c r="BH20" s="1087"/>
      <c r="BI20" s="1087"/>
      <c r="BJ20" s="1087"/>
      <c r="BK20" s="1087"/>
      <c r="BL20" s="1087"/>
    </row>
    <row r="21" spans="1:65" s="240" customFormat="1" x14ac:dyDescent="0.25">
      <c r="A21" s="1085" t="s">
        <v>866</v>
      </c>
      <c r="B21" s="1094">
        <f>B16*B18</f>
        <v>0.78</v>
      </c>
      <c r="C21" s="1094">
        <f t="shared" ref="C21:U21" si="9">C16*C18</f>
        <v>0.78</v>
      </c>
      <c r="D21" s="1094">
        <f t="shared" si="9"/>
        <v>0.78</v>
      </c>
      <c r="E21" s="1094">
        <f t="shared" si="9"/>
        <v>0.78</v>
      </c>
      <c r="F21" s="1094">
        <f t="shared" si="9"/>
        <v>0.78</v>
      </c>
      <c r="G21" s="1094">
        <f t="shared" si="9"/>
        <v>0.67</v>
      </c>
      <c r="H21" s="1095"/>
      <c r="I21" s="1094">
        <f t="shared" si="9"/>
        <v>0.82</v>
      </c>
      <c r="J21" s="1094">
        <f t="shared" si="9"/>
        <v>0.82</v>
      </c>
      <c r="K21" s="1094">
        <f t="shared" si="9"/>
        <v>0.82</v>
      </c>
      <c r="L21" s="1094">
        <f t="shared" si="9"/>
        <v>0.82</v>
      </c>
      <c r="M21" s="1094">
        <f t="shared" si="9"/>
        <v>0.82</v>
      </c>
      <c r="N21" s="1094">
        <f t="shared" si="9"/>
        <v>0.71</v>
      </c>
      <c r="O21" s="1095"/>
      <c r="P21" s="1094">
        <f t="shared" si="9"/>
        <v>0.85</v>
      </c>
      <c r="Q21" s="1094">
        <f t="shared" si="9"/>
        <v>0.85</v>
      </c>
      <c r="R21" s="1094">
        <f t="shared" si="9"/>
        <v>0.85</v>
      </c>
      <c r="S21" s="1094">
        <f t="shared" si="9"/>
        <v>0.85</v>
      </c>
      <c r="T21" s="1094">
        <f t="shared" si="9"/>
        <v>0.85</v>
      </c>
      <c r="U21" s="1094">
        <f t="shared" si="9"/>
        <v>0.74</v>
      </c>
      <c r="V21" s="1095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  <c r="AI21" s="1087"/>
      <c r="AJ21" s="1087"/>
      <c r="AK21" s="1087"/>
      <c r="AL21" s="1087"/>
      <c r="AM21" s="1087"/>
      <c r="AN21" s="1087"/>
      <c r="AO21" s="1087"/>
      <c r="AP21" s="1087"/>
      <c r="AQ21" s="1087"/>
      <c r="AR21" s="1087"/>
      <c r="AS21" s="1087"/>
      <c r="AT21" s="1087"/>
      <c r="AU21" s="1087"/>
      <c r="AV21" s="1087"/>
      <c r="AW21" s="1087"/>
      <c r="AX21" s="1087"/>
      <c r="AY21" s="1087"/>
      <c r="AZ21" s="1087"/>
      <c r="BA21" s="1087"/>
      <c r="BB21" s="1087"/>
      <c r="BC21" s="1087"/>
      <c r="BD21" s="1087"/>
      <c r="BE21" s="1087"/>
      <c r="BF21" s="1087"/>
      <c r="BG21" s="1087"/>
      <c r="BH21" s="1087"/>
      <c r="BI21" s="1087"/>
      <c r="BJ21" s="1087"/>
      <c r="BK21" s="1087"/>
      <c r="BL21" s="1087"/>
    </row>
    <row r="22" spans="1:65" s="241" customFormat="1" x14ac:dyDescent="0.25">
      <c r="A22" s="1090" t="s">
        <v>1893</v>
      </c>
      <c r="B22" s="1091">
        <f>ROUND(B19+B20+B21,0)</f>
        <v>40</v>
      </c>
      <c r="C22" s="1091">
        <f t="shared" ref="C22:U22" si="10">ROUND(C19+C20+C21,0)</f>
        <v>40</v>
      </c>
      <c r="D22" s="1091">
        <f t="shared" si="10"/>
        <v>40</v>
      </c>
      <c r="E22" s="1091">
        <f t="shared" si="10"/>
        <v>40</v>
      </c>
      <c r="F22" s="1091">
        <f t="shared" si="10"/>
        <v>40</v>
      </c>
      <c r="G22" s="1091">
        <f t="shared" si="10"/>
        <v>34</v>
      </c>
      <c r="H22" s="1087"/>
      <c r="I22" s="1091">
        <f t="shared" si="10"/>
        <v>42</v>
      </c>
      <c r="J22" s="1091">
        <f t="shared" si="10"/>
        <v>42</v>
      </c>
      <c r="K22" s="1091">
        <f t="shared" si="10"/>
        <v>42</v>
      </c>
      <c r="L22" s="1091">
        <f t="shared" si="10"/>
        <v>42</v>
      </c>
      <c r="M22" s="1091">
        <f t="shared" si="10"/>
        <v>42</v>
      </c>
      <c r="N22" s="1091">
        <f t="shared" si="10"/>
        <v>36</v>
      </c>
      <c r="O22" s="1087"/>
      <c r="P22" s="1091">
        <f t="shared" si="10"/>
        <v>43</v>
      </c>
      <c r="Q22" s="1091">
        <f t="shared" si="10"/>
        <v>43</v>
      </c>
      <c r="R22" s="1091">
        <f t="shared" si="10"/>
        <v>43</v>
      </c>
      <c r="S22" s="1091">
        <f t="shared" si="10"/>
        <v>43</v>
      </c>
      <c r="T22" s="1091">
        <f t="shared" si="10"/>
        <v>43</v>
      </c>
      <c r="U22" s="1091">
        <f t="shared" si="10"/>
        <v>37</v>
      </c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  <c r="AI22" s="1087"/>
      <c r="AJ22" s="1087"/>
      <c r="AK22" s="1087"/>
      <c r="AL22" s="1087"/>
      <c r="AM22" s="1087"/>
      <c r="AN22" s="1087"/>
      <c r="AO22" s="1087"/>
      <c r="AP22" s="1087"/>
      <c r="AQ22" s="1087"/>
      <c r="AR22" s="1087"/>
      <c r="AS22" s="1087"/>
      <c r="AT22" s="1087"/>
      <c r="AU22" s="1087"/>
      <c r="AV22" s="1087"/>
      <c r="AW22" s="1087"/>
      <c r="AX22" s="1087"/>
      <c r="AY22" s="1087"/>
      <c r="AZ22" s="1087"/>
      <c r="BA22" s="1087"/>
      <c r="BB22" s="1087"/>
      <c r="BC22" s="1087"/>
      <c r="BD22" s="1087"/>
      <c r="BE22" s="1087"/>
      <c r="BF22" s="1087"/>
      <c r="BG22" s="1087"/>
      <c r="BH22" s="1087"/>
      <c r="BI22" s="1087"/>
      <c r="BJ22" s="1087"/>
      <c r="BK22" s="1087"/>
      <c r="BL22" s="1087"/>
    </row>
    <row r="23" spans="1:65" s="241" customFormat="1" x14ac:dyDescent="0.25">
      <c r="A23" s="1097" t="s">
        <v>1894</v>
      </c>
      <c r="B23" s="1091">
        <f>B22-B24</f>
        <v>32</v>
      </c>
      <c r="C23" s="1091">
        <f t="shared" ref="C23:G23" si="11">C22-C24</f>
        <v>32</v>
      </c>
      <c r="D23" s="1091">
        <f t="shared" si="11"/>
        <v>32</v>
      </c>
      <c r="E23" s="1091">
        <f t="shared" si="11"/>
        <v>32</v>
      </c>
      <c r="F23" s="1091">
        <f t="shared" si="11"/>
        <v>32</v>
      </c>
      <c r="G23" s="1091">
        <f t="shared" si="11"/>
        <v>27</v>
      </c>
      <c r="H23" s="1087"/>
      <c r="I23" s="1091">
        <f t="shared" ref="I23:N23" si="12">I22-I24</f>
        <v>34</v>
      </c>
      <c r="J23" s="1091">
        <f t="shared" si="12"/>
        <v>34</v>
      </c>
      <c r="K23" s="1091">
        <f t="shared" si="12"/>
        <v>34</v>
      </c>
      <c r="L23" s="1091">
        <f t="shared" si="12"/>
        <v>34</v>
      </c>
      <c r="M23" s="1091">
        <f t="shared" si="12"/>
        <v>34</v>
      </c>
      <c r="N23" s="1091">
        <f t="shared" si="12"/>
        <v>29</v>
      </c>
      <c r="O23" s="1087"/>
      <c r="P23" s="1091">
        <f t="shared" ref="P23:U23" si="13">P22-P24</f>
        <v>34</v>
      </c>
      <c r="Q23" s="1091">
        <f t="shared" si="13"/>
        <v>34</v>
      </c>
      <c r="R23" s="1091">
        <f t="shared" si="13"/>
        <v>34</v>
      </c>
      <c r="S23" s="1091">
        <f t="shared" si="13"/>
        <v>34</v>
      </c>
      <c r="T23" s="1091">
        <f t="shared" si="13"/>
        <v>34</v>
      </c>
      <c r="U23" s="1091">
        <f t="shared" si="13"/>
        <v>30</v>
      </c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  <c r="AI23" s="1087"/>
      <c r="AJ23" s="1087"/>
      <c r="AK23" s="1087"/>
      <c r="AL23" s="1087"/>
      <c r="AM23" s="1087"/>
      <c r="AN23" s="1087"/>
      <c r="AO23" s="1087"/>
      <c r="AP23" s="1087"/>
      <c r="AQ23" s="1087"/>
      <c r="AR23" s="1087"/>
      <c r="AS23" s="1087"/>
      <c r="AT23" s="1087"/>
      <c r="AU23" s="1087"/>
      <c r="AV23" s="1087"/>
      <c r="AW23" s="1087"/>
      <c r="AX23" s="1087"/>
      <c r="AY23" s="1087"/>
      <c r="AZ23" s="1087"/>
      <c r="BA23" s="1087"/>
      <c r="BB23" s="1087"/>
      <c r="BC23" s="1087"/>
      <c r="BD23" s="1087"/>
      <c r="BE23" s="1087"/>
      <c r="BF23" s="1087"/>
      <c r="BG23" s="1087"/>
      <c r="BH23" s="1087"/>
      <c r="BI23" s="1087"/>
      <c r="BJ23" s="1087"/>
      <c r="BK23" s="1087"/>
      <c r="BL23" s="1087"/>
    </row>
    <row r="24" spans="1:65" s="241" customFormat="1" x14ac:dyDescent="0.25">
      <c r="A24" s="1097" t="s">
        <v>1895</v>
      </c>
      <c r="B24" s="1091">
        <f>ROUND(B22*0.2,0)</f>
        <v>8</v>
      </c>
      <c r="C24" s="1091">
        <f t="shared" ref="C24:G24" si="14">ROUND(C22*0.2,0)</f>
        <v>8</v>
      </c>
      <c r="D24" s="1091">
        <f t="shared" si="14"/>
        <v>8</v>
      </c>
      <c r="E24" s="1091">
        <f t="shared" si="14"/>
        <v>8</v>
      </c>
      <c r="F24" s="1091">
        <f t="shared" si="14"/>
        <v>8</v>
      </c>
      <c r="G24" s="1091">
        <f t="shared" si="14"/>
        <v>7</v>
      </c>
      <c r="H24" s="1087"/>
      <c r="I24" s="1091">
        <f t="shared" ref="I24:N24" si="15">ROUND(I22*0.2,0)</f>
        <v>8</v>
      </c>
      <c r="J24" s="1091">
        <f t="shared" si="15"/>
        <v>8</v>
      </c>
      <c r="K24" s="1091">
        <f t="shared" si="15"/>
        <v>8</v>
      </c>
      <c r="L24" s="1091">
        <f t="shared" si="15"/>
        <v>8</v>
      </c>
      <c r="M24" s="1091">
        <f t="shared" si="15"/>
        <v>8</v>
      </c>
      <c r="N24" s="1091">
        <f t="shared" si="15"/>
        <v>7</v>
      </c>
      <c r="O24" s="1087"/>
      <c r="P24" s="1091">
        <f t="shared" ref="P24:U24" si="16">ROUND(P22*0.2,0)</f>
        <v>9</v>
      </c>
      <c r="Q24" s="1091">
        <f t="shared" si="16"/>
        <v>9</v>
      </c>
      <c r="R24" s="1091">
        <f t="shared" si="16"/>
        <v>9</v>
      </c>
      <c r="S24" s="1091">
        <f t="shared" si="16"/>
        <v>9</v>
      </c>
      <c r="T24" s="1091">
        <f t="shared" si="16"/>
        <v>9</v>
      </c>
      <c r="U24" s="1091">
        <f t="shared" si="16"/>
        <v>7</v>
      </c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  <c r="AI24" s="1087"/>
      <c r="AJ24" s="1087"/>
      <c r="AK24" s="1087"/>
      <c r="AL24" s="1087"/>
      <c r="AM24" s="1087"/>
      <c r="AN24" s="1087"/>
      <c r="AO24" s="1087"/>
      <c r="AP24" s="1087"/>
      <c r="AQ24" s="1087"/>
      <c r="AR24" s="1087"/>
      <c r="AS24" s="1087"/>
      <c r="AT24" s="1087"/>
      <c r="AU24" s="1087"/>
      <c r="AV24" s="1087"/>
      <c r="AW24" s="1087"/>
      <c r="AX24" s="1087"/>
      <c r="AY24" s="1087"/>
      <c r="AZ24" s="1087"/>
      <c r="BA24" s="1087"/>
      <c r="BB24" s="1087"/>
      <c r="BC24" s="1087"/>
      <c r="BD24" s="1087"/>
      <c r="BE24" s="1087"/>
      <c r="BF24" s="1087"/>
      <c r="BG24" s="1087"/>
      <c r="BH24" s="1087"/>
      <c r="BI24" s="1087"/>
      <c r="BJ24" s="1087"/>
      <c r="BK24" s="1087"/>
      <c r="BL24" s="1087"/>
    </row>
    <row r="25" spans="1:65" x14ac:dyDescent="0.25">
      <c r="W25" s="1074"/>
      <c r="X25" s="1074"/>
      <c r="Y25" s="1074"/>
      <c r="Z25" s="1074"/>
      <c r="AA25" s="1074"/>
      <c r="AB25" s="1074"/>
      <c r="AC25" s="1074"/>
      <c r="AD25" s="1074"/>
      <c r="AE25" s="1074"/>
      <c r="AF25" s="1074"/>
      <c r="AG25" s="1074"/>
      <c r="AH25" s="1074"/>
      <c r="AI25" s="1074"/>
      <c r="AJ25" s="1074"/>
      <c r="AK25" s="1074"/>
      <c r="AL25" s="1074"/>
      <c r="AM25" s="1074"/>
      <c r="AN25" s="1074"/>
      <c r="AO25" s="1074"/>
      <c r="AP25" s="1074"/>
      <c r="AQ25" s="1074"/>
      <c r="AR25" s="1074"/>
      <c r="AS25" s="1074"/>
      <c r="AT25" s="1074"/>
      <c r="AU25" s="1074"/>
      <c r="AV25" s="1074"/>
      <c r="AW25" s="1074"/>
      <c r="AX25" s="1074"/>
      <c r="AY25" s="1074"/>
      <c r="AZ25" s="1074"/>
      <c r="BA25" s="1074"/>
      <c r="BB25" s="1074"/>
      <c r="BC25" s="1074"/>
      <c r="BD25" s="1074"/>
      <c r="BE25" s="1074"/>
      <c r="BF25" s="1074"/>
      <c r="BG25" s="1074"/>
      <c r="BH25" s="1074"/>
      <c r="BI25" s="1074"/>
      <c r="BJ25" s="1074"/>
      <c r="BK25" s="1074"/>
    </row>
    <row r="27" spans="1:65" ht="31.5" customHeight="1" x14ac:dyDescent="0.25">
      <c r="A27" s="1673" t="s">
        <v>1699</v>
      </c>
      <c r="B27" s="1673" t="s">
        <v>1896</v>
      </c>
      <c r="C27" s="1673"/>
      <c r="D27" s="1673"/>
      <c r="E27" s="1673"/>
      <c r="F27" s="1673"/>
      <c r="G27" s="1673"/>
      <c r="H27" s="1673"/>
      <c r="I27" s="1673" t="s">
        <v>1897</v>
      </c>
      <c r="J27" s="1673"/>
      <c r="K27" s="1673"/>
      <c r="L27" s="1673"/>
      <c r="M27" s="1673"/>
      <c r="N27" s="1673"/>
      <c r="O27" s="1673"/>
      <c r="P27" s="1674" t="s">
        <v>1898</v>
      </c>
      <c r="Q27" s="1675"/>
      <c r="R27" s="1675"/>
      <c r="S27" s="1675"/>
      <c r="T27" s="1675"/>
      <c r="U27" s="1675"/>
      <c r="V27" s="1675"/>
      <c r="W27" s="1675"/>
      <c r="X27" s="1675"/>
      <c r="Y27" s="1675"/>
      <c r="Z27" s="1675"/>
      <c r="AA27" s="1675"/>
      <c r="AB27" s="1675"/>
      <c r="AC27" s="1675"/>
      <c r="AD27" s="1675"/>
      <c r="AE27" s="1675"/>
      <c r="AF27" s="1675"/>
      <c r="AG27" s="1675"/>
      <c r="AH27" s="1675"/>
      <c r="AI27" s="1675"/>
      <c r="AJ27" s="1675"/>
      <c r="AK27" s="1675"/>
      <c r="AL27" s="1675"/>
      <c r="AM27" s="1675"/>
      <c r="AN27" s="1675"/>
      <c r="AO27" s="1675"/>
      <c r="AP27" s="1675"/>
      <c r="AQ27" s="1675"/>
      <c r="AR27" s="1675"/>
      <c r="AS27" s="1675"/>
      <c r="AT27" s="1675"/>
      <c r="AU27" s="1675"/>
      <c r="AV27" s="1676"/>
      <c r="AW27" s="1660" t="s">
        <v>1899</v>
      </c>
      <c r="AX27" s="1660"/>
      <c r="AY27" s="1660"/>
      <c r="AZ27" s="1660"/>
      <c r="BA27" s="1660"/>
      <c r="BB27" s="1660"/>
      <c r="BC27" s="1660"/>
      <c r="BD27" s="1660" t="s">
        <v>1900</v>
      </c>
      <c r="BE27" s="1660"/>
      <c r="BF27" s="1660"/>
      <c r="BG27" s="1660"/>
      <c r="BH27" s="1660"/>
      <c r="BI27" s="1660"/>
      <c r="BJ27" s="1660"/>
      <c r="BK27" s="1661" t="s">
        <v>1901</v>
      </c>
      <c r="BL27" s="1662" t="s">
        <v>50</v>
      </c>
    </row>
    <row r="28" spans="1:65" ht="15.75" customHeight="1" x14ac:dyDescent="0.25">
      <c r="A28" s="1673"/>
      <c r="B28" s="1665" t="s">
        <v>1902</v>
      </c>
      <c r="C28" s="1666"/>
      <c r="D28" s="1666"/>
      <c r="E28" s="1666"/>
      <c r="F28" s="1666"/>
      <c r="G28" s="1666"/>
      <c r="H28" s="1667"/>
      <c r="I28" s="1665" t="s">
        <v>1902</v>
      </c>
      <c r="J28" s="1666"/>
      <c r="K28" s="1666"/>
      <c r="L28" s="1666"/>
      <c r="M28" s="1666"/>
      <c r="N28" s="1666"/>
      <c r="O28" s="1667"/>
      <c r="P28" s="1665" t="s">
        <v>1043</v>
      </c>
      <c r="Q28" s="1666"/>
      <c r="R28" s="1666"/>
      <c r="S28" s="1666"/>
      <c r="T28" s="1666"/>
      <c r="U28" s="1666"/>
      <c r="V28" s="1666"/>
      <c r="W28" s="1666"/>
      <c r="X28" s="1666"/>
      <c r="Y28" s="1666"/>
      <c r="Z28" s="1667"/>
      <c r="AA28" s="1668" t="s">
        <v>1044</v>
      </c>
      <c r="AB28" s="1669"/>
      <c r="AC28" s="1669"/>
      <c r="AD28" s="1669"/>
      <c r="AE28" s="1669"/>
      <c r="AF28" s="1669"/>
      <c r="AG28" s="1669"/>
      <c r="AH28" s="1669"/>
      <c r="AI28" s="1669"/>
      <c r="AJ28" s="1669"/>
      <c r="AK28" s="1670"/>
      <c r="AL28" s="1665" t="s">
        <v>1704</v>
      </c>
      <c r="AM28" s="1666"/>
      <c r="AN28" s="1666"/>
      <c r="AO28" s="1666"/>
      <c r="AP28" s="1666"/>
      <c r="AQ28" s="1666"/>
      <c r="AR28" s="1666"/>
      <c r="AS28" s="1666"/>
      <c r="AT28" s="1666"/>
      <c r="AU28" s="1666"/>
      <c r="AV28" s="1667"/>
      <c r="AW28" s="1665" t="s">
        <v>1902</v>
      </c>
      <c r="AX28" s="1666"/>
      <c r="AY28" s="1666"/>
      <c r="AZ28" s="1666"/>
      <c r="BA28" s="1666"/>
      <c r="BB28" s="1666"/>
      <c r="BC28" s="1667"/>
      <c r="BD28" s="1665" t="s">
        <v>1902</v>
      </c>
      <c r="BE28" s="1666"/>
      <c r="BF28" s="1666"/>
      <c r="BG28" s="1666"/>
      <c r="BH28" s="1666"/>
      <c r="BI28" s="1666"/>
      <c r="BJ28" s="1667"/>
      <c r="BK28" s="1661"/>
      <c r="BL28" s="1663"/>
    </row>
    <row r="29" spans="1:65" ht="63" customHeight="1" x14ac:dyDescent="0.25">
      <c r="A29" s="1673"/>
      <c r="B29" s="1075" t="s">
        <v>860</v>
      </c>
      <c r="C29" s="1075" t="s">
        <v>861</v>
      </c>
      <c r="D29" s="1075" t="s">
        <v>862</v>
      </c>
      <c r="E29" s="1075" t="s">
        <v>863</v>
      </c>
      <c r="F29" s="1075" t="s">
        <v>864</v>
      </c>
      <c r="G29" s="1075" t="s">
        <v>852</v>
      </c>
      <c r="H29" s="1098" t="s">
        <v>1326</v>
      </c>
      <c r="I29" s="1076" t="s">
        <v>860</v>
      </c>
      <c r="J29" s="1076" t="s">
        <v>861</v>
      </c>
      <c r="K29" s="1076" t="s">
        <v>862</v>
      </c>
      <c r="L29" s="1076" t="s">
        <v>863</v>
      </c>
      <c r="M29" s="1076" t="s">
        <v>864</v>
      </c>
      <c r="N29" s="1076" t="s">
        <v>852</v>
      </c>
      <c r="O29" s="1099" t="s">
        <v>1326</v>
      </c>
      <c r="P29" s="1075" t="s">
        <v>860</v>
      </c>
      <c r="Q29" s="1075" t="s">
        <v>861</v>
      </c>
      <c r="R29" s="1075" t="s">
        <v>862</v>
      </c>
      <c r="S29" s="1075" t="s">
        <v>863</v>
      </c>
      <c r="T29" s="1075" t="s">
        <v>864</v>
      </c>
      <c r="U29" s="1075" t="s">
        <v>852</v>
      </c>
      <c r="V29" s="1100" t="s">
        <v>1326</v>
      </c>
      <c r="W29" s="1101" t="s">
        <v>1903</v>
      </c>
      <c r="X29" s="1650" t="s">
        <v>1904</v>
      </c>
      <c r="Y29" s="1671" t="s">
        <v>31</v>
      </c>
      <c r="Z29" s="1672"/>
      <c r="AA29" s="1076" t="s">
        <v>860</v>
      </c>
      <c r="AB29" s="1076" t="s">
        <v>861</v>
      </c>
      <c r="AC29" s="1076" t="s">
        <v>862</v>
      </c>
      <c r="AD29" s="1076" t="s">
        <v>863</v>
      </c>
      <c r="AE29" s="1076" t="s">
        <v>864</v>
      </c>
      <c r="AF29" s="1076" t="s">
        <v>852</v>
      </c>
      <c r="AG29" s="1102" t="s">
        <v>1326</v>
      </c>
      <c r="AH29" s="1101" t="s">
        <v>1903</v>
      </c>
      <c r="AI29" s="1650" t="s">
        <v>1904</v>
      </c>
      <c r="AJ29" s="1671" t="s">
        <v>31</v>
      </c>
      <c r="AK29" s="1672"/>
      <c r="AL29" s="1075" t="s">
        <v>860</v>
      </c>
      <c r="AM29" s="1075" t="s">
        <v>861</v>
      </c>
      <c r="AN29" s="1075" t="s">
        <v>862</v>
      </c>
      <c r="AO29" s="1075" t="s">
        <v>863</v>
      </c>
      <c r="AP29" s="1075" t="s">
        <v>864</v>
      </c>
      <c r="AQ29" s="1075" t="s">
        <v>852</v>
      </c>
      <c r="AR29" s="1100" t="s">
        <v>1326</v>
      </c>
      <c r="AS29" s="1101" t="s">
        <v>1903</v>
      </c>
      <c r="AT29" s="1650" t="s">
        <v>1904</v>
      </c>
      <c r="AU29" s="1671" t="s">
        <v>31</v>
      </c>
      <c r="AV29" s="1672"/>
      <c r="AW29" s="1076" t="s">
        <v>860</v>
      </c>
      <c r="AX29" s="1076" t="s">
        <v>861</v>
      </c>
      <c r="AY29" s="1076" t="s">
        <v>862</v>
      </c>
      <c r="AZ29" s="1076" t="s">
        <v>863</v>
      </c>
      <c r="BA29" s="1076" t="s">
        <v>864</v>
      </c>
      <c r="BB29" s="1076" t="s">
        <v>852</v>
      </c>
      <c r="BC29" s="1650" t="s">
        <v>1326</v>
      </c>
      <c r="BD29" s="1075" t="s">
        <v>860</v>
      </c>
      <c r="BE29" s="1075" t="s">
        <v>861</v>
      </c>
      <c r="BF29" s="1075" t="s">
        <v>862</v>
      </c>
      <c r="BG29" s="1075" t="s">
        <v>863</v>
      </c>
      <c r="BH29" s="1075" t="s">
        <v>864</v>
      </c>
      <c r="BI29" s="1075" t="s">
        <v>852</v>
      </c>
      <c r="BJ29" s="1650" t="s">
        <v>1326</v>
      </c>
      <c r="BK29" s="1661"/>
      <c r="BL29" s="1663"/>
    </row>
    <row r="30" spans="1:65" s="1110" customFormat="1" ht="96" customHeight="1" x14ac:dyDescent="0.25">
      <c r="A30" s="1103"/>
      <c r="B30" s="1652" t="s">
        <v>1905</v>
      </c>
      <c r="C30" s="1653"/>
      <c r="D30" s="1653"/>
      <c r="E30" s="1653"/>
      <c r="F30" s="1653"/>
      <c r="G30" s="1654"/>
      <c r="H30" s="1104"/>
      <c r="I30" s="1655" t="s">
        <v>1906</v>
      </c>
      <c r="J30" s="1656"/>
      <c r="K30" s="1656"/>
      <c r="L30" s="1656"/>
      <c r="M30" s="1656"/>
      <c r="N30" s="1657"/>
      <c r="O30" s="1105"/>
      <c r="P30" s="1652" t="s">
        <v>1907</v>
      </c>
      <c r="Q30" s="1420"/>
      <c r="R30" s="1420"/>
      <c r="S30" s="1420"/>
      <c r="T30" s="1420"/>
      <c r="U30" s="1421"/>
      <c r="V30" s="1106"/>
      <c r="W30" s="1101" t="s">
        <v>1908</v>
      </c>
      <c r="X30" s="1651"/>
      <c r="Y30" s="1107" t="s">
        <v>1909</v>
      </c>
      <c r="Z30" s="1107" t="s">
        <v>1910</v>
      </c>
      <c r="AA30" s="1655" t="s">
        <v>1907</v>
      </c>
      <c r="AB30" s="1658"/>
      <c r="AC30" s="1658"/>
      <c r="AD30" s="1658"/>
      <c r="AE30" s="1658"/>
      <c r="AF30" s="1659"/>
      <c r="AG30" s="1108"/>
      <c r="AH30" s="1101" t="s">
        <v>1911</v>
      </c>
      <c r="AI30" s="1651"/>
      <c r="AJ30" s="1107" t="s">
        <v>1909</v>
      </c>
      <c r="AK30" s="1107" t="s">
        <v>1910</v>
      </c>
      <c r="AL30" s="1652" t="s">
        <v>1907</v>
      </c>
      <c r="AM30" s="1420"/>
      <c r="AN30" s="1420"/>
      <c r="AO30" s="1420"/>
      <c r="AP30" s="1420"/>
      <c r="AQ30" s="1421"/>
      <c r="AR30" s="1106"/>
      <c r="AS30" s="1101" t="s">
        <v>1912</v>
      </c>
      <c r="AT30" s="1651"/>
      <c r="AU30" s="1107" t="s">
        <v>1909</v>
      </c>
      <c r="AV30" s="1107" t="s">
        <v>1910</v>
      </c>
      <c r="AW30" s="1655" t="s">
        <v>1913</v>
      </c>
      <c r="AX30" s="1656"/>
      <c r="AY30" s="1656"/>
      <c r="AZ30" s="1656"/>
      <c r="BA30" s="1656"/>
      <c r="BB30" s="1657"/>
      <c r="BC30" s="1651"/>
      <c r="BD30" s="1652" t="s">
        <v>1914</v>
      </c>
      <c r="BE30" s="1653"/>
      <c r="BF30" s="1653"/>
      <c r="BG30" s="1653"/>
      <c r="BH30" s="1653"/>
      <c r="BI30" s="1654"/>
      <c r="BJ30" s="1651"/>
      <c r="BK30" s="1109" t="s">
        <v>1915</v>
      </c>
      <c r="BL30" s="1664"/>
    </row>
    <row r="31" spans="1:65" x14ac:dyDescent="0.25">
      <c r="A31" s="1010" t="s">
        <v>1797</v>
      </c>
      <c r="B31" s="1068"/>
      <c r="C31" s="1068">
        <v>3</v>
      </c>
      <c r="D31" s="1068"/>
      <c r="E31" s="1068"/>
      <c r="F31" s="1068">
        <v>3</v>
      </c>
      <c r="G31" s="1068">
        <v>1</v>
      </c>
      <c r="H31" s="1026">
        <f>B31+C31+D31+E31+F31+G31</f>
        <v>7</v>
      </c>
      <c r="I31" s="1111">
        <f>B31*2*36*12</f>
        <v>0</v>
      </c>
      <c r="J31" s="1111">
        <f t="shared" ref="J31:M46" si="17">C31*2*36*12</f>
        <v>2592</v>
      </c>
      <c r="K31" s="1111">
        <f t="shared" si="17"/>
        <v>0</v>
      </c>
      <c r="L31" s="1111">
        <f t="shared" si="17"/>
        <v>0</v>
      </c>
      <c r="M31" s="1111">
        <f t="shared" si="17"/>
        <v>2592</v>
      </c>
      <c r="N31" s="1111">
        <f>G31*2*36*14</f>
        <v>1008</v>
      </c>
      <c r="O31" s="1026">
        <f>I31+J31+K31+L31+M31+N31</f>
        <v>6192</v>
      </c>
      <c r="P31" s="1018">
        <f t="shared" ref="P31:U46" si="18">I31*B$22/1000</f>
        <v>0</v>
      </c>
      <c r="Q31" s="1018">
        <f t="shared" si="18"/>
        <v>103.7</v>
      </c>
      <c r="R31" s="1018">
        <f t="shared" si="18"/>
        <v>0</v>
      </c>
      <c r="S31" s="1018">
        <f t="shared" si="18"/>
        <v>0</v>
      </c>
      <c r="T31" s="1018">
        <f t="shared" si="18"/>
        <v>103.7</v>
      </c>
      <c r="U31" s="1018">
        <f t="shared" si="18"/>
        <v>34.299999999999997</v>
      </c>
      <c r="V31" s="1029">
        <f>P31+Q31+R31+S31+T31+U31</f>
        <v>241.7</v>
      </c>
      <c r="W31" s="1112">
        <v>0.6</v>
      </c>
      <c r="X31" s="1029">
        <f>ROUND(V31*W31,1)</f>
        <v>145</v>
      </c>
      <c r="Y31" s="1029">
        <f>X31-Z31</f>
        <v>116</v>
      </c>
      <c r="Z31" s="1029">
        <f>X31*0.2</f>
        <v>29</v>
      </c>
      <c r="AA31" s="1018">
        <f t="shared" ref="AA31:AF46" si="19">I31*I$22/1000</f>
        <v>0</v>
      </c>
      <c r="AB31" s="1018">
        <f t="shared" si="19"/>
        <v>108.9</v>
      </c>
      <c r="AC31" s="1018">
        <f t="shared" si="19"/>
        <v>0</v>
      </c>
      <c r="AD31" s="1018">
        <f t="shared" si="19"/>
        <v>0</v>
      </c>
      <c r="AE31" s="1018">
        <f t="shared" si="19"/>
        <v>108.9</v>
      </c>
      <c r="AF31" s="1018">
        <f t="shared" si="19"/>
        <v>36.299999999999997</v>
      </c>
      <c r="AG31" s="1029">
        <f>AA31+AB31+AC31+AD31+AE31+AF31</f>
        <v>254.1</v>
      </c>
      <c r="AH31" s="1112">
        <v>0.6</v>
      </c>
      <c r="AI31" s="1029">
        <f>ROUND(AG31*AH31,1)</f>
        <v>152.5</v>
      </c>
      <c r="AJ31" s="1029">
        <f>AI31-AK31</f>
        <v>122</v>
      </c>
      <c r="AK31" s="1029">
        <f>AI31*0.2</f>
        <v>30.5</v>
      </c>
      <c r="AL31" s="1018">
        <f t="shared" ref="AL31:AQ61" si="20">I31*P$22/1000</f>
        <v>0</v>
      </c>
      <c r="AM31" s="1018">
        <f t="shared" si="20"/>
        <v>111.5</v>
      </c>
      <c r="AN31" s="1018">
        <f t="shared" si="20"/>
        <v>0</v>
      </c>
      <c r="AO31" s="1018">
        <f t="shared" si="20"/>
        <v>0</v>
      </c>
      <c r="AP31" s="1018">
        <f t="shared" si="20"/>
        <v>111.5</v>
      </c>
      <c r="AQ31" s="1018">
        <f t="shared" si="20"/>
        <v>37.299999999999997</v>
      </c>
      <c r="AR31" s="1029">
        <f>AL31+AM31+AN31+AO31+AP31+AQ31</f>
        <v>260.3</v>
      </c>
      <c r="AS31" s="1112">
        <v>0.6</v>
      </c>
      <c r="AT31" s="1029">
        <f>ROUND(AR31*AS31,1)</f>
        <v>156.19999999999999</v>
      </c>
      <c r="AU31" s="1029">
        <f>AT31-AV31</f>
        <v>125</v>
      </c>
      <c r="AV31" s="1029">
        <f>AT31*0.2</f>
        <v>31.2</v>
      </c>
      <c r="AW31" s="1111">
        <f>I31*$W31</f>
        <v>0</v>
      </c>
      <c r="AX31" s="1111">
        <f t="shared" ref="AX31:BB61" si="21">J31*$W31</f>
        <v>1555</v>
      </c>
      <c r="AY31" s="1111">
        <f t="shared" si="21"/>
        <v>0</v>
      </c>
      <c r="AZ31" s="1111">
        <f t="shared" si="21"/>
        <v>0</v>
      </c>
      <c r="BA31" s="1111">
        <f t="shared" si="21"/>
        <v>1555</v>
      </c>
      <c r="BB31" s="1111">
        <f t="shared" si="21"/>
        <v>605</v>
      </c>
      <c r="BC31" s="1026">
        <f>AW31+AX31+AY31+AZ31+BA31+BB31</f>
        <v>3715</v>
      </c>
      <c r="BD31" s="1111">
        <f>ROUND(B31*$W31,0)</f>
        <v>0</v>
      </c>
      <c r="BE31" s="1111">
        <f t="shared" ref="BE31:BI61" si="22">ROUND(C31*$W31,0)</f>
        <v>2</v>
      </c>
      <c r="BF31" s="1111">
        <f t="shared" si="22"/>
        <v>0</v>
      </c>
      <c r="BG31" s="1111">
        <f t="shared" si="22"/>
        <v>0</v>
      </c>
      <c r="BH31" s="1111">
        <f t="shared" si="22"/>
        <v>2</v>
      </c>
      <c r="BI31" s="1111">
        <f t="shared" si="22"/>
        <v>1</v>
      </c>
      <c r="BJ31" s="1026">
        <f>BD31+BE31+BF31+BG31+BH31+BI31</f>
        <v>5</v>
      </c>
      <c r="BK31" s="1011">
        <f>BJ31*2/18</f>
        <v>0.56000000000000005</v>
      </c>
      <c r="BL31" s="1026"/>
      <c r="BM31" s="1113"/>
    </row>
    <row r="32" spans="1:65" x14ac:dyDescent="0.25">
      <c r="A32" s="1010" t="s">
        <v>1798</v>
      </c>
      <c r="B32" s="1068">
        <v>2</v>
      </c>
      <c r="C32" s="1068"/>
      <c r="D32" s="1068">
        <v>3</v>
      </c>
      <c r="E32" s="1068">
        <v>1</v>
      </c>
      <c r="F32" s="1068"/>
      <c r="G32" s="1068">
        <v>3</v>
      </c>
      <c r="H32" s="1026">
        <f t="shared" ref="H32:H61" si="23">B32+C32+D32+E32+F32+G32</f>
        <v>9</v>
      </c>
      <c r="I32" s="1111">
        <f t="shared" ref="I32:M61" si="24">B32*2*36*12</f>
        <v>1728</v>
      </c>
      <c r="J32" s="1111">
        <f t="shared" si="17"/>
        <v>0</v>
      </c>
      <c r="K32" s="1111">
        <f t="shared" si="17"/>
        <v>2592</v>
      </c>
      <c r="L32" s="1111">
        <f t="shared" si="17"/>
        <v>864</v>
      </c>
      <c r="M32" s="1111">
        <f t="shared" si="17"/>
        <v>0</v>
      </c>
      <c r="N32" s="1111">
        <f t="shared" ref="N32:N61" si="25">G32*2*36*14</f>
        <v>3024</v>
      </c>
      <c r="O32" s="1026">
        <f t="shared" ref="O32:O61" si="26">I32+J32+K32+L32+M32+N32</f>
        <v>8208</v>
      </c>
      <c r="P32" s="1018">
        <f t="shared" si="18"/>
        <v>69.099999999999994</v>
      </c>
      <c r="Q32" s="1018">
        <f t="shared" si="18"/>
        <v>0</v>
      </c>
      <c r="R32" s="1018">
        <f t="shared" si="18"/>
        <v>103.7</v>
      </c>
      <c r="S32" s="1018">
        <f t="shared" si="18"/>
        <v>34.6</v>
      </c>
      <c r="T32" s="1018">
        <f t="shared" si="18"/>
        <v>0</v>
      </c>
      <c r="U32" s="1018">
        <f t="shared" si="18"/>
        <v>102.8</v>
      </c>
      <c r="V32" s="1029">
        <f t="shared" ref="V32:V61" si="27">P32+Q32+R32+S32+T32+U32</f>
        <v>310.2</v>
      </c>
      <c r="W32" s="1114">
        <v>0.5</v>
      </c>
      <c r="X32" s="1029">
        <f t="shared" ref="X32:X60" si="28">ROUND(V32*W32,1)</f>
        <v>155.1</v>
      </c>
      <c r="Y32" s="1029">
        <f t="shared" ref="Y32:Y61" si="29">X32-Z32</f>
        <v>124.1</v>
      </c>
      <c r="Z32" s="1029">
        <f t="shared" ref="Z32:Z61" si="30">X32*0.2</f>
        <v>31</v>
      </c>
      <c r="AA32" s="1018">
        <f t="shared" si="19"/>
        <v>72.599999999999994</v>
      </c>
      <c r="AB32" s="1018">
        <f t="shared" si="19"/>
        <v>0</v>
      </c>
      <c r="AC32" s="1018">
        <f t="shared" si="19"/>
        <v>108.9</v>
      </c>
      <c r="AD32" s="1018">
        <f t="shared" si="19"/>
        <v>36.299999999999997</v>
      </c>
      <c r="AE32" s="1018">
        <f t="shared" si="19"/>
        <v>0</v>
      </c>
      <c r="AF32" s="1018">
        <f t="shared" si="19"/>
        <v>108.9</v>
      </c>
      <c r="AG32" s="1029">
        <f t="shared" ref="AG32:AG61" si="31">AA32+AB32+AC32+AD32+AE32+AF32</f>
        <v>326.7</v>
      </c>
      <c r="AH32" s="1114">
        <v>0.5</v>
      </c>
      <c r="AI32" s="1029">
        <f t="shared" ref="AI32:AI61" si="32">ROUND(AG32*AH32,1)</f>
        <v>163.4</v>
      </c>
      <c r="AJ32" s="1029">
        <f t="shared" ref="AJ32:AJ61" si="33">AI32-AK32</f>
        <v>130.69999999999999</v>
      </c>
      <c r="AK32" s="1029">
        <f t="shared" ref="AK32:AK61" si="34">AI32*0.2</f>
        <v>32.700000000000003</v>
      </c>
      <c r="AL32" s="1018">
        <f t="shared" si="20"/>
        <v>74.3</v>
      </c>
      <c r="AM32" s="1018">
        <f t="shared" si="20"/>
        <v>0</v>
      </c>
      <c r="AN32" s="1018">
        <f t="shared" si="20"/>
        <v>111.5</v>
      </c>
      <c r="AO32" s="1018">
        <f t="shared" si="20"/>
        <v>37.200000000000003</v>
      </c>
      <c r="AP32" s="1018">
        <f t="shared" si="20"/>
        <v>0</v>
      </c>
      <c r="AQ32" s="1018">
        <f t="shared" si="20"/>
        <v>111.9</v>
      </c>
      <c r="AR32" s="1029">
        <f t="shared" ref="AR32:AR61" si="35">AL32+AM32+AN32+AO32+AP32+AQ32</f>
        <v>334.9</v>
      </c>
      <c r="AS32" s="1114">
        <v>0.5</v>
      </c>
      <c r="AT32" s="1029">
        <f t="shared" ref="AT32:AT61" si="36">ROUND(AR32*AS32,1)</f>
        <v>167.5</v>
      </c>
      <c r="AU32" s="1029">
        <f t="shared" ref="AU32:AU61" si="37">AT32-AV32</f>
        <v>134</v>
      </c>
      <c r="AV32" s="1029">
        <f t="shared" ref="AV32:AV61" si="38">AT32*0.2</f>
        <v>33.5</v>
      </c>
      <c r="AW32" s="1111">
        <f t="shared" ref="AW32:AW61" si="39">I32*$W32</f>
        <v>864</v>
      </c>
      <c r="AX32" s="1111">
        <f t="shared" si="21"/>
        <v>0</v>
      </c>
      <c r="AY32" s="1111">
        <f t="shared" si="21"/>
        <v>1296</v>
      </c>
      <c r="AZ32" s="1111">
        <f t="shared" si="21"/>
        <v>432</v>
      </c>
      <c r="BA32" s="1111">
        <f t="shared" si="21"/>
        <v>0</v>
      </c>
      <c r="BB32" s="1111">
        <f t="shared" si="21"/>
        <v>1512</v>
      </c>
      <c r="BC32" s="1026">
        <f t="shared" ref="BC32:BC61" si="40">AW32+AX32+AY32+AZ32+BA32+BB32</f>
        <v>4104</v>
      </c>
      <c r="BD32" s="1111">
        <f t="shared" ref="BD32:BD61" si="41">ROUND(B32*$W32,0)</f>
        <v>1</v>
      </c>
      <c r="BE32" s="1111">
        <f t="shared" si="22"/>
        <v>0</v>
      </c>
      <c r="BF32" s="1111">
        <f t="shared" si="22"/>
        <v>2</v>
      </c>
      <c r="BG32" s="1111">
        <f t="shared" si="22"/>
        <v>1</v>
      </c>
      <c r="BH32" s="1111">
        <f t="shared" si="22"/>
        <v>0</v>
      </c>
      <c r="BI32" s="1111">
        <f t="shared" si="22"/>
        <v>2</v>
      </c>
      <c r="BJ32" s="1026">
        <f t="shared" ref="BJ32:BJ61" si="42">BD32+BE32+BF32+BG32+BH32+BI32</f>
        <v>6</v>
      </c>
      <c r="BK32" s="1011">
        <f t="shared" ref="BK32:BK61" si="43">BJ32*2/18</f>
        <v>0.67</v>
      </c>
      <c r="BL32" s="1026"/>
      <c r="BM32" s="1113"/>
    </row>
    <row r="33" spans="1:65" x14ac:dyDescent="0.25">
      <c r="A33" s="1010" t="s">
        <v>1799</v>
      </c>
      <c r="B33" s="1068">
        <v>2</v>
      </c>
      <c r="C33" s="1068">
        <v>2</v>
      </c>
      <c r="D33" s="1068"/>
      <c r="E33" s="1068">
        <v>3</v>
      </c>
      <c r="F33" s="1068">
        <v>4</v>
      </c>
      <c r="G33" s="1068">
        <v>1</v>
      </c>
      <c r="H33" s="1026">
        <f t="shared" si="23"/>
        <v>12</v>
      </c>
      <c r="I33" s="1111">
        <f t="shared" si="24"/>
        <v>1728</v>
      </c>
      <c r="J33" s="1111">
        <f t="shared" si="17"/>
        <v>1728</v>
      </c>
      <c r="K33" s="1111">
        <f t="shared" si="17"/>
        <v>0</v>
      </c>
      <c r="L33" s="1111">
        <f t="shared" si="17"/>
        <v>2592</v>
      </c>
      <c r="M33" s="1111">
        <f t="shared" si="17"/>
        <v>3456</v>
      </c>
      <c r="N33" s="1111">
        <f t="shared" si="25"/>
        <v>1008</v>
      </c>
      <c r="O33" s="1026">
        <f t="shared" si="26"/>
        <v>10512</v>
      </c>
      <c r="P33" s="1018">
        <f t="shared" si="18"/>
        <v>69.099999999999994</v>
      </c>
      <c r="Q33" s="1018">
        <f t="shared" si="18"/>
        <v>69.099999999999994</v>
      </c>
      <c r="R33" s="1018">
        <f t="shared" si="18"/>
        <v>0</v>
      </c>
      <c r="S33" s="1018">
        <f t="shared" si="18"/>
        <v>103.7</v>
      </c>
      <c r="T33" s="1018">
        <f t="shared" si="18"/>
        <v>138.19999999999999</v>
      </c>
      <c r="U33" s="1018">
        <f t="shared" si="18"/>
        <v>34.299999999999997</v>
      </c>
      <c r="V33" s="1029">
        <f t="shared" si="27"/>
        <v>414.4</v>
      </c>
      <c r="W33" s="1115">
        <v>0.5</v>
      </c>
      <c r="X33" s="1029">
        <f t="shared" si="28"/>
        <v>207.2</v>
      </c>
      <c r="Y33" s="1029">
        <f t="shared" si="29"/>
        <v>165.8</v>
      </c>
      <c r="Z33" s="1029">
        <f t="shared" si="30"/>
        <v>41.4</v>
      </c>
      <c r="AA33" s="1018">
        <f t="shared" si="19"/>
        <v>72.599999999999994</v>
      </c>
      <c r="AB33" s="1018">
        <f t="shared" si="19"/>
        <v>72.599999999999994</v>
      </c>
      <c r="AC33" s="1018">
        <f t="shared" si="19"/>
        <v>0</v>
      </c>
      <c r="AD33" s="1018">
        <f t="shared" si="19"/>
        <v>108.9</v>
      </c>
      <c r="AE33" s="1018">
        <f t="shared" si="19"/>
        <v>145.19999999999999</v>
      </c>
      <c r="AF33" s="1018">
        <f t="shared" si="19"/>
        <v>36.299999999999997</v>
      </c>
      <c r="AG33" s="1029">
        <f t="shared" si="31"/>
        <v>435.6</v>
      </c>
      <c r="AH33" s="1115">
        <v>0.5</v>
      </c>
      <c r="AI33" s="1029">
        <f t="shared" si="32"/>
        <v>217.8</v>
      </c>
      <c r="AJ33" s="1029">
        <f t="shared" si="33"/>
        <v>174.2</v>
      </c>
      <c r="AK33" s="1029">
        <f t="shared" si="34"/>
        <v>43.6</v>
      </c>
      <c r="AL33" s="1018">
        <f t="shared" si="20"/>
        <v>74.3</v>
      </c>
      <c r="AM33" s="1018">
        <f t="shared" si="20"/>
        <v>74.3</v>
      </c>
      <c r="AN33" s="1018">
        <f t="shared" si="20"/>
        <v>0</v>
      </c>
      <c r="AO33" s="1018">
        <f t="shared" si="20"/>
        <v>111.5</v>
      </c>
      <c r="AP33" s="1018">
        <f t="shared" si="20"/>
        <v>148.6</v>
      </c>
      <c r="AQ33" s="1018">
        <f t="shared" si="20"/>
        <v>37.299999999999997</v>
      </c>
      <c r="AR33" s="1029">
        <f t="shared" si="35"/>
        <v>446</v>
      </c>
      <c r="AS33" s="1115">
        <v>0.5</v>
      </c>
      <c r="AT33" s="1029">
        <f t="shared" si="36"/>
        <v>223</v>
      </c>
      <c r="AU33" s="1029">
        <f t="shared" si="37"/>
        <v>178.4</v>
      </c>
      <c r="AV33" s="1029">
        <f t="shared" si="38"/>
        <v>44.6</v>
      </c>
      <c r="AW33" s="1111">
        <f t="shared" si="39"/>
        <v>864</v>
      </c>
      <c r="AX33" s="1111">
        <f t="shared" si="21"/>
        <v>864</v>
      </c>
      <c r="AY33" s="1111">
        <f t="shared" si="21"/>
        <v>0</v>
      </c>
      <c r="AZ33" s="1111">
        <f t="shared" si="21"/>
        <v>1296</v>
      </c>
      <c r="BA33" s="1111">
        <f t="shared" si="21"/>
        <v>1728</v>
      </c>
      <c r="BB33" s="1111">
        <f t="shared" si="21"/>
        <v>504</v>
      </c>
      <c r="BC33" s="1026">
        <f t="shared" si="40"/>
        <v>5256</v>
      </c>
      <c r="BD33" s="1111">
        <f t="shared" si="41"/>
        <v>1</v>
      </c>
      <c r="BE33" s="1111">
        <f t="shared" si="22"/>
        <v>1</v>
      </c>
      <c r="BF33" s="1111">
        <f t="shared" si="22"/>
        <v>0</v>
      </c>
      <c r="BG33" s="1111">
        <f t="shared" si="22"/>
        <v>2</v>
      </c>
      <c r="BH33" s="1111">
        <f t="shared" si="22"/>
        <v>2</v>
      </c>
      <c r="BI33" s="1111">
        <f t="shared" si="22"/>
        <v>1</v>
      </c>
      <c r="BJ33" s="1026">
        <f t="shared" si="42"/>
        <v>7</v>
      </c>
      <c r="BK33" s="1011">
        <f t="shared" si="43"/>
        <v>0.78</v>
      </c>
      <c r="BL33" s="1026"/>
      <c r="BM33" s="1113"/>
    </row>
    <row r="34" spans="1:65" x14ac:dyDescent="0.25">
      <c r="A34" s="1010" t="s">
        <v>664</v>
      </c>
      <c r="B34" s="1068"/>
      <c r="C34" s="1068"/>
      <c r="D34" s="1068"/>
      <c r="E34" s="1068">
        <v>1</v>
      </c>
      <c r="F34" s="1068">
        <v>1</v>
      </c>
      <c r="G34" s="1068">
        <v>2</v>
      </c>
      <c r="H34" s="1026">
        <f t="shared" si="23"/>
        <v>4</v>
      </c>
      <c r="I34" s="1111">
        <f t="shared" si="24"/>
        <v>0</v>
      </c>
      <c r="J34" s="1111">
        <f t="shared" si="17"/>
        <v>0</v>
      </c>
      <c r="K34" s="1111">
        <f t="shared" si="17"/>
        <v>0</v>
      </c>
      <c r="L34" s="1111">
        <f t="shared" si="17"/>
        <v>864</v>
      </c>
      <c r="M34" s="1111">
        <f t="shared" si="17"/>
        <v>864</v>
      </c>
      <c r="N34" s="1111">
        <f t="shared" si="25"/>
        <v>2016</v>
      </c>
      <c r="O34" s="1026">
        <f t="shared" si="26"/>
        <v>3744</v>
      </c>
      <c r="P34" s="1018">
        <f t="shared" si="18"/>
        <v>0</v>
      </c>
      <c r="Q34" s="1018">
        <f t="shared" si="18"/>
        <v>0</v>
      </c>
      <c r="R34" s="1018">
        <f t="shared" si="18"/>
        <v>0</v>
      </c>
      <c r="S34" s="1018">
        <f t="shared" si="18"/>
        <v>34.6</v>
      </c>
      <c r="T34" s="1018">
        <f t="shared" si="18"/>
        <v>34.6</v>
      </c>
      <c r="U34" s="1018">
        <f t="shared" si="18"/>
        <v>68.5</v>
      </c>
      <c r="V34" s="1029">
        <f t="shared" si="27"/>
        <v>137.69999999999999</v>
      </c>
      <c r="W34" s="1116">
        <v>0.8</v>
      </c>
      <c r="X34" s="1029">
        <f t="shared" si="28"/>
        <v>110.2</v>
      </c>
      <c r="Y34" s="1029">
        <f t="shared" si="29"/>
        <v>88.2</v>
      </c>
      <c r="Z34" s="1029">
        <f t="shared" si="30"/>
        <v>22</v>
      </c>
      <c r="AA34" s="1018">
        <f t="shared" si="19"/>
        <v>0</v>
      </c>
      <c r="AB34" s="1018">
        <f t="shared" si="19"/>
        <v>0</v>
      </c>
      <c r="AC34" s="1018">
        <f t="shared" si="19"/>
        <v>0</v>
      </c>
      <c r="AD34" s="1018">
        <f t="shared" si="19"/>
        <v>36.299999999999997</v>
      </c>
      <c r="AE34" s="1018">
        <f t="shared" si="19"/>
        <v>36.299999999999997</v>
      </c>
      <c r="AF34" s="1018">
        <f t="shared" si="19"/>
        <v>72.599999999999994</v>
      </c>
      <c r="AG34" s="1029">
        <f t="shared" si="31"/>
        <v>145.19999999999999</v>
      </c>
      <c r="AH34" s="1116">
        <v>0.8</v>
      </c>
      <c r="AI34" s="1029">
        <f t="shared" si="32"/>
        <v>116.2</v>
      </c>
      <c r="AJ34" s="1029">
        <f t="shared" si="33"/>
        <v>93</v>
      </c>
      <c r="AK34" s="1029">
        <f t="shared" si="34"/>
        <v>23.2</v>
      </c>
      <c r="AL34" s="1018">
        <f t="shared" si="20"/>
        <v>0</v>
      </c>
      <c r="AM34" s="1018">
        <f t="shared" si="20"/>
        <v>0</v>
      </c>
      <c r="AN34" s="1018">
        <f t="shared" si="20"/>
        <v>0</v>
      </c>
      <c r="AO34" s="1018">
        <f t="shared" si="20"/>
        <v>37.200000000000003</v>
      </c>
      <c r="AP34" s="1018">
        <f t="shared" si="20"/>
        <v>37.200000000000003</v>
      </c>
      <c r="AQ34" s="1018">
        <f t="shared" si="20"/>
        <v>74.599999999999994</v>
      </c>
      <c r="AR34" s="1029">
        <f t="shared" si="35"/>
        <v>149</v>
      </c>
      <c r="AS34" s="1116">
        <v>0.8</v>
      </c>
      <c r="AT34" s="1029">
        <f t="shared" si="36"/>
        <v>119.2</v>
      </c>
      <c r="AU34" s="1029">
        <f t="shared" si="37"/>
        <v>95.4</v>
      </c>
      <c r="AV34" s="1029">
        <f t="shared" si="38"/>
        <v>23.8</v>
      </c>
      <c r="AW34" s="1111">
        <f t="shared" si="39"/>
        <v>0</v>
      </c>
      <c r="AX34" s="1111">
        <f t="shared" si="21"/>
        <v>0</v>
      </c>
      <c r="AY34" s="1111">
        <f t="shared" si="21"/>
        <v>0</v>
      </c>
      <c r="AZ34" s="1111">
        <f t="shared" si="21"/>
        <v>691</v>
      </c>
      <c r="BA34" s="1111">
        <f t="shared" si="21"/>
        <v>691</v>
      </c>
      <c r="BB34" s="1111">
        <f t="shared" si="21"/>
        <v>1613</v>
      </c>
      <c r="BC34" s="1026">
        <f t="shared" si="40"/>
        <v>2995</v>
      </c>
      <c r="BD34" s="1111">
        <f t="shared" si="41"/>
        <v>0</v>
      </c>
      <c r="BE34" s="1111">
        <f t="shared" si="22"/>
        <v>0</v>
      </c>
      <c r="BF34" s="1111">
        <f t="shared" si="22"/>
        <v>0</v>
      </c>
      <c r="BG34" s="1111">
        <f t="shared" si="22"/>
        <v>1</v>
      </c>
      <c r="BH34" s="1111">
        <f t="shared" si="22"/>
        <v>1</v>
      </c>
      <c r="BI34" s="1111">
        <f t="shared" si="22"/>
        <v>2</v>
      </c>
      <c r="BJ34" s="1026">
        <f t="shared" si="42"/>
        <v>4</v>
      </c>
      <c r="BK34" s="1011">
        <f t="shared" si="43"/>
        <v>0.44</v>
      </c>
      <c r="BL34" s="1026"/>
      <c r="BM34" s="1113"/>
    </row>
    <row r="35" spans="1:65" x14ac:dyDescent="0.25">
      <c r="A35" s="1010" t="s">
        <v>665</v>
      </c>
      <c r="B35" s="1068">
        <v>5</v>
      </c>
      <c r="C35" s="1068">
        <v>2</v>
      </c>
      <c r="D35" s="1068">
        <v>5</v>
      </c>
      <c r="E35" s="1068">
        <v>5</v>
      </c>
      <c r="F35" s="1068">
        <v>5</v>
      </c>
      <c r="G35" s="1068">
        <v>4</v>
      </c>
      <c r="H35" s="1026">
        <f t="shared" si="23"/>
        <v>26</v>
      </c>
      <c r="I35" s="1111">
        <f t="shared" si="24"/>
        <v>4320</v>
      </c>
      <c r="J35" s="1111">
        <f t="shared" si="17"/>
        <v>1728</v>
      </c>
      <c r="K35" s="1111">
        <f t="shared" si="17"/>
        <v>4320</v>
      </c>
      <c r="L35" s="1111">
        <f t="shared" si="17"/>
        <v>4320</v>
      </c>
      <c r="M35" s="1111">
        <f t="shared" si="17"/>
        <v>4320</v>
      </c>
      <c r="N35" s="1111">
        <f t="shared" si="25"/>
        <v>4032</v>
      </c>
      <c r="O35" s="1026">
        <f t="shared" si="26"/>
        <v>23040</v>
      </c>
      <c r="P35" s="1018">
        <f t="shared" si="18"/>
        <v>172.8</v>
      </c>
      <c r="Q35" s="1018">
        <f t="shared" si="18"/>
        <v>69.099999999999994</v>
      </c>
      <c r="R35" s="1018">
        <f t="shared" si="18"/>
        <v>172.8</v>
      </c>
      <c r="S35" s="1018">
        <f t="shared" si="18"/>
        <v>172.8</v>
      </c>
      <c r="T35" s="1018">
        <f t="shared" si="18"/>
        <v>172.8</v>
      </c>
      <c r="U35" s="1018">
        <f t="shared" si="18"/>
        <v>137.1</v>
      </c>
      <c r="V35" s="1029">
        <f t="shared" si="27"/>
        <v>897.4</v>
      </c>
      <c r="W35" s="1117">
        <v>0.28000000000000003</v>
      </c>
      <c r="X35" s="1029">
        <f t="shared" si="28"/>
        <v>251.3</v>
      </c>
      <c r="Y35" s="1029">
        <f t="shared" si="29"/>
        <v>201</v>
      </c>
      <c r="Z35" s="1029">
        <f t="shared" si="30"/>
        <v>50.3</v>
      </c>
      <c r="AA35" s="1018">
        <f t="shared" si="19"/>
        <v>181.4</v>
      </c>
      <c r="AB35" s="1018">
        <f t="shared" si="19"/>
        <v>72.599999999999994</v>
      </c>
      <c r="AC35" s="1018">
        <f t="shared" si="19"/>
        <v>181.4</v>
      </c>
      <c r="AD35" s="1018">
        <f t="shared" si="19"/>
        <v>181.4</v>
      </c>
      <c r="AE35" s="1018">
        <f t="shared" si="19"/>
        <v>181.4</v>
      </c>
      <c r="AF35" s="1018">
        <f t="shared" si="19"/>
        <v>145.19999999999999</v>
      </c>
      <c r="AG35" s="1029">
        <f t="shared" si="31"/>
        <v>943.4</v>
      </c>
      <c r="AH35" s="1117">
        <v>0.28000000000000003</v>
      </c>
      <c r="AI35" s="1029">
        <f t="shared" si="32"/>
        <v>264.2</v>
      </c>
      <c r="AJ35" s="1029">
        <f t="shared" si="33"/>
        <v>211.4</v>
      </c>
      <c r="AK35" s="1029">
        <f t="shared" si="34"/>
        <v>52.8</v>
      </c>
      <c r="AL35" s="1018">
        <f t="shared" si="20"/>
        <v>185.8</v>
      </c>
      <c r="AM35" s="1018">
        <f t="shared" si="20"/>
        <v>74.3</v>
      </c>
      <c r="AN35" s="1018">
        <f t="shared" si="20"/>
        <v>185.8</v>
      </c>
      <c r="AO35" s="1018">
        <f t="shared" si="20"/>
        <v>185.8</v>
      </c>
      <c r="AP35" s="1018">
        <f t="shared" si="20"/>
        <v>185.8</v>
      </c>
      <c r="AQ35" s="1018">
        <f t="shared" si="20"/>
        <v>149.19999999999999</v>
      </c>
      <c r="AR35" s="1029">
        <f t="shared" si="35"/>
        <v>966.7</v>
      </c>
      <c r="AS35" s="1117">
        <v>0.28000000000000003</v>
      </c>
      <c r="AT35" s="1029">
        <f t="shared" si="36"/>
        <v>270.7</v>
      </c>
      <c r="AU35" s="1029">
        <f t="shared" si="37"/>
        <v>216.6</v>
      </c>
      <c r="AV35" s="1029">
        <f t="shared" si="38"/>
        <v>54.1</v>
      </c>
      <c r="AW35" s="1111">
        <f t="shared" si="39"/>
        <v>1210</v>
      </c>
      <c r="AX35" s="1111">
        <f t="shared" si="21"/>
        <v>484</v>
      </c>
      <c r="AY35" s="1111">
        <f t="shared" si="21"/>
        <v>1210</v>
      </c>
      <c r="AZ35" s="1111">
        <f t="shared" si="21"/>
        <v>1210</v>
      </c>
      <c r="BA35" s="1111">
        <f t="shared" si="21"/>
        <v>1210</v>
      </c>
      <c r="BB35" s="1111">
        <f t="shared" si="21"/>
        <v>1129</v>
      </c>
      <c r="BC35" s="1026">
        <f t="shared" si="40"/>
        <v>6453</v>
      </c>
      <c r="BD35" s="1111">
        <f t="shared" si="41"/>
        <v>1</v>
      </c>
      <c r="BE35" s="1111">
        <f t="shared" si="22"/>
        <v>1</v>
      </c>
      <c r="BF35" s="1111">
        <f t="shared" si="22"/>
        <v>1</v>
      </c>
      <c r="BG35" s="1111">
        <f t="shared" si="22"/>
        <v>1</v>
      </c>
      <c r="BH35" s="1111">
        <f t="shared" si="22"/>
        <v>1</v>
      </c>
      <c r="BI35" s="1111">
        <f t="shared" si="22"/>
        <v>1</v>
      </c>
      <c r="BJ35" s="1026">
        <f t="shared" si="42"/>
        <v>6</v>
      </c>
      <c r="BK35" s="1011">
        <f t="shared" si="43"/>
        <v>0.67</v>
      </c>
      <c r="BL35" s="1026"/>
      <c r="BM35" s="1113"/>
    </row>
    <row r="36" spans="1:65" x14ac:dyDescent="0.25">
      <c r="A36" s="1010" t="s">
        <v>1800</v>
      </c>
      <c r="B36" s="1068">
        <v>1</v>
      </c>
      <c r="C36" s="1068"/>
      <c r="D36" s="1068"/>
      <c r="E36" s="1068">
        <v>2</v>
      </c>
      <c r="F36" s="1068">
        <v>2</v>
      </c>
      <c r="G36" s="1068">
        <v>1</v>
      </c>
      <c r="H36" s="1026">
        <f t="shared" si="23"/>
        <v>6</v>
      </c>
      <c r="I36" s="1111">
        <f t="shared" si="24"/>
        <v>864</v>
      </c>
      <c r="J36" s="1111">
        <f t="shared" si="17"/>
        <v>0</v>
      </c>
      <c r="K36" s="1111">
        <f t="shared" si="17"/>
        <v>0</v>
      </c>
      <c r="L36" s="1111">
        <f t="shared" si="17"/>
        <v>1728</v>
      </c>
      <c r="M36" s="1111">
        <f t="shared" si="17"/>
        <v>1728</v>
      </c>
      <c r="N36" s="1111">
        <f t="shared" si="25"/>
        <v>1008</v>
      </c>
      <c r="O36" s="1026">
        <f t="shared" si="26"/>
        <v>5328</v>
      </c>
      <c r="P36" s="1018">
        <f t="shared" si="18"/>
        <v>34.6</v>
      </c>
      <c r="Q36" s="1018">
        <f t="shared" si="18"/>
        <v>0</v>
      </c>
      <c r="R36" s="1018">
        <f t="shared" si="18"/>
        <v>0</v>
      </c>
      <c r="S36" s="1018">
        <f t="shared" si="18"/>
        <v>69.099999999999994</v>
      </c>
      <c r="T36" s="1018">
        <f t="shared" si="18"/>
        <v>69.099999999999994</v>
      </c>
      <c r="U36" s="1018">
        <f t="shared" si="18"/>
        <v>34.299999999999997</v>
      </c>
      <c r="V36" s="1029">
        <f t="shared" si="27"/>
        <v>207.1</v>
      </c>
      <c r="W36" s="1112">
        <v>0.6</v>
      </c>
      <c r="X36" s="1029">
        <f t="shared" si="28"/>
        <v>124.3</v>
      </c>
      <c r="Y36" s="1029">
        <f t="shared" si="29"/>
        <v>99.4</v>
      </c>
      <c r="Z36" s="1029">
        <f t="shared" si="30"/>
        <v>24.9</v>
      </c>
      <c r="AA36" s="1018">
        <f t="shared" si="19"/>
        <v>36.299999999999997</v>
      </c>
      <c r="AB36" s="1018">
        <f t="shared" si="19"/>
        <v>0</v>
      </c>
      <c r="AC36" s="1018">
        <f t="shared" si="19"/>
        <v>0</v>
      </c>
      <c r="AD36" s="1018">
        <f t="shared" si="19"/>
        <v>72.599999999999994</v>
      </c>
      <c r="AE36" s="1018">
        <f t="shared" si="19"/>
        <v>72.599999999999994</v>
      </c>
      <c r="AF36" s="1018">
        <f t="shared" si="19"/>
        <v>36.299999999999997</v>
      </c>
      <c r="AG36" s="1029">
        <f t="shared" si="31"/>
        <v>217.8</v>
      </c>
      <c r="AH36" s="1112">
        <v>0.6</v>
      </c>
      <c r="AI36" s="1029">
        <f t="shared" si="32"/>
        <v>130.69999999999999</v>
      </c>
      <c r="AJ36" s="1029">
        <f t="shared" si="33"/>
        <v>104.6</v>
      </c>
      <c r="AK36" s="1029">
        <f t="shared" si="34"/>
        <v>26.1</v>
      </c>
      <c r="AL36" s="1018">
        <f t="shared" si="20"/>
        <v>37.200000000000003</v>
      </c>
      <c r="AM36" s="1018">
        <f t="shared" si="20"/>
        <v>0</v>
      </c>
      <c r="AN36" s="1018">
        <f t="shared" si="20"/>
        <v>0</v>
      </c>
      <c r="AO36" s="1018">
        <f t="shared" si="20"/>
        <v>74.3</v>
      </c>
      <c r="AP36" s="1018">
        <f t="shared" si="20"/>
        <v>74.3</v>
      </c>
      <c r="AQ36" s="1018">
        <f t="shared" si="20"/>
        <v>37.299999999999997</v>
      </c>
      <c r="AR36" s="1029">
        <f t="shared" si="35"/>
        <v>223.1</v>
      </c>
      <c r="AS36" s="1112">
        <v>0.6</v>
      </c>
      <c r="AT36" s="1029">
        <f t="shared" si="36"/>
        <v>133.9</v>
      </c>
      <c r="AU36" s="1029">
        <f t="shared" si="37"/>
        <v>107.1</v>
      </c>
      <c r="AV36" s="1029">
        <f t="shared" si="38"/>
        <v>26.8</v>
      </c>
      <c r="AW36" s="1111">
        <f t="shared" si="39"/>
        <v>518</v>
      </c>
      <c r="AX36" s="1111">
        <f t="shared" si="21"/>
        <v>0</v>
      </c>
      <c r="AY36" s="1111">
        <f t="shared" si="21"/>
        <v>0</v>
      </c>
      <c r="AZ36" s="1111">
        <f t="shared" si="21"/>
        <v>1037</v>
      </c>
      <c r="BA36" s="1111">
        <f t="shared" si="21"/>
        <v>1037</v>
      </c>
      <c r="BB36" s="1111">
        <f t="shared" si="21"/>
        <v>605</v>
      </c>
      <c r="BC36" s="1026">
        <f t="shared" si="40"/>
        <v>3197</v>
      </c>
      <c r="BD36" s="1111">
        <f t="shared" si="41"/>
        <v>1</v>
      </c>
      <c r="BE36" s="1111">
        <f t="shared" si="22"/>
        <v>0</v>
      </c>
      <c r="BF36" s="1111">
        <f t="shared" si="22"/>
        <v>0</v>
      </c>
      <c r="BG36" s="1111">
        <f t="shared" si="22"/>
        <v>1</v>
      </c>
      <c r="BH36" s="1111">
        <f t="shared" si="22"/>
        <v>1</v>
      </c>
      <c r="BI36" s="1111">
        <f t="shared" si="22"/>
        <v>1</v>
      </c>
      <c r="BJ36" s="1026">
        <f t="shared" si="42"/>
        <v>4</v>
      </c>
      <c r="BK36" s="1011">
        <f t="shared" si="43"/>
        <v>0.44</v>
      </c>
      <c r="BL36" s="1026"/>
      <c r="BM36" s="1113"/>
    </row>
    <row r="37" spans="1:65" x14ac:dyDescent="0.25">
      <c r="A37" s="1010" t="s">
        <v>1801</v>
      </c>
      <c r="B37" s="1068"/>
      <c r="C37" s="1068"/>
      <c r="D37" s="1068"/>
      <c r="E37" s="1068"/>
      <c r="F37" s="1068"/>
      <c r="G37" s="1068"/>
      <c r="H37" s="1026">
        <f t="shared" si="23"/>
        <v>0</v>
      </c>
      <c r="I37" s="1111">
        <f t="shared" si="24"/>
        <v>0</v>
      </c>
      <c r="J37" s="1111">
        <f t="shared" si="17"/>
        <v>0</v>
      </c>
      <c r="K37" s="1111">
        <f t="shared" si="17"/>
        <v>0</v>
      </c>
      <c r="L37" s="1111">
        <f t="shared" si="17"/>
        <v>0</v>
      </c>
      <c r="M37" s="1111">
        <f t="shared" si="17"/>
        <v>0</v>
      </c>
      <c r="N37" s="1111">
        <f t="shared" si="25"/>
        <v>0</v>
      </c>
      <c r="O37" s="1026">
        <f t="shared" si="26"/>
        <v>0</v>
      </c>
      <c r="P37" s="1018">
        <f t="shared" si="18"/>
        <v>0</v>
      </c>
      <c r="Q37" s="1018">
        <f t="shared" si="18"/>
        <v>0</v>
      </c>
      <c r="R37" s="1018">
        <f t="shared" si="18"/>
        <v>0</v>
      </c>
      <c r="S37" s="1018">
        <f t="shared" si="18"/>
        <v>0</v>
      </c>
      <c r="T37" s="1018">
        <f t="shared" si="18"/>
        <v>0</v>
      </c>
      <c r="U37" s="1018">
        <f t="shared" si="18"/>
        <v>0</v>
      </c>
      <c r="V37" s="1029">
        <f t="shared" si="27"/>
        <v>0</v>
      </c>
      <c r="W37" s="1112"/>
      <c r="X37" s="1029">
        <f t="shared" si="28"/>
        <v>0</v>
      </c>
      <c r="Y37" s="1029">
        <f t="shared" si="29"/>
        <v>0</v>
      </c>
      <c r="Z37" s="1029">
        <f t="shared" si="30"/>
        <v>0</v>
      </c>
      <c r="AA37" s="1018">
        <f t="shared" si="19"/>
        <v>0</v>
      </c>
      <c r="AB37" s="1018">
        <f t="shared" si="19"/>
        <v>0</v>
      </c>
      <c r="AC37" s="1018">
        <f t="shared" si="19"/>
        <v>0</v>
      </c>
      <c r="AD37" s="1018">
        <f t="shared" si="19"/>
        <v>0</v>
      </c>
      <c r="AE37" s="1018">
        <f t="shared" si="19"/>
        <v>0</v>
      </c>
      <c r="AF37" s="1018">
        <f t="shared" si="19"/>
        <v>0</v>
      </c>
      <c r="AG37" s="1029">
        <f t="shared" si="31"/>
        <v>0</v>
      </c>
      <c r="AH37" s="1112"/>
      <c r="AI37" s="1029">
        <f t="shared" si="32"/>
        <v>0</v>
      </c>
      <c r="AJ37" s="1029">
        <f t="shared" si="33"/>
        <v>0</v>
      </c>
      <c r="AK37" s="1029">
        <f t="shared" si="34"/>
        <v>0</v>
      </c>
      <c r="AL37" s="1018">
        <f t="shared" si="20"/>
        <v>0</v>
      </c>
      <c r="AM37" s="1018">
        <f t="shared" si="20"/>
        <v>0</v>
      </c>
      <c r="AN37" s="1018">
        <f t="shared" si="20"/>
        <v>0</v>
      </c>
      <c r="AO37" s="1018">
        <f t="shared" si="20"/>
        <v>0</v>
      </c>
      <c r="AP37" s="1018">
        <f t="shared" si="20"/>
        <v>0</v>
      </c>
      <c r="AQ37" s="1018">
        <f t="shared" si="20"/>
        <v>0</v>
      </c>
      <c r="AR37" s="1029">
        <f t="shared" si="35"/>
        <v>0</v>
      </c>
      <c r="AS37" s="1112"/>
      <c r="AT37" s="1029">
        <f t="shared" si="36"/>
        <v>0</v>
      </c>
      <c r="AU37" s="1029">
        <f t="shared" si="37"/>
        <v>0</v>
      </c>
      <c r="AV37" s="1029">
        <f t="shared" si="38"/>
        <v>0</v>
      </c>
      <c r="AW37" s="1111">
        <f t="shared" si="39"/>
        <v>0</v>
      </c>
      <c r="AX37" s="1111">
        <f t="shared" si="21"/>
        <v>0</v>
      </c>
      <c r="AY37" s="1111">
        <f t="shared" si="21"/>
        <v>0</v>
      </c>
      <c r="AZ37" s="1111">
        <f t="shared" si="21"/>
        <v>0</v>
      </c>
      <c r="BA37" s="1111">
        <f t="shared" si="21"/>
        <v>0</v>
      </c>
      <c r="BB37" s="1111">
        <f t="shared" si="21"/>
        <v>0</v>
      </c>
      <c r="BC37" s="1026">
        <f t="shared" si="40"/>
        <v>0</v>
      </c>
      <c r="BD37" s="1111">
        <f t="shared" si="41"/>
        <v>0</v>
      </c>
      <c r="BE37" s="1111">
        <f t="shared" si="22"/>
        <v>0</v>
      </c>
      <c r="BF37" s="1111">
        <f t="shared" si="22"/>
        <v>0</v>
      </c>
      <c r="BG37" s="1111">
        <f t="shared" si="22"/>
        <v>0</v>
      </c>
      <c r="BH37" s="1111">
        <f t="shared" si="22"/>
        <v>0</v>
      </c>
      <c r="BI37" s="1111">
        <f t="shared" si="22"/>
        <v>0</v>
      </c>
      <c r="BJ37" s="1026">
        <f t="shared" si="42"/>
        <v>0</v>
      </c>
      <c r="BK37" s="1011">
        <f t="shared" si="43"/>
        <v>0</v>
      </c>
      <c r="BL37" s="1026"/>
      <c r="BM37" s="1113"/>
    </row>
    <row r="38" spans="1:65" x14ac:dyDescent="0.25">
      <c r="A38" s="1010" t="s">
        <v>668</v>
      </c>
      <c r="B38" s="1068">
        <v>2</v>
      </c>
      <c r="C38" s="1068">
        <v>4</v>
      </c>
      <c r="D38" s="1068">
        <v>2</v>
      </c>
      <c r="E38" s="1068">
        <v>5</v>
      </c>
      <c r="F38" s="1068">
        <v>6</v>
      </c>
      <c r="G38" s="1068">
        <v>4</v>
      </c>
      <c r="H38" s="1026">
        <f t="shared" si="23"/>
        <v>23</v>
      </c>
      <c r="I38" s="1111">
        <f t="shared" si="24"/>
        <v>1728</v>
      </c>
      <c r="J38" s="1111">
        <f t="shared" si="17"/>
        <v>3456</v>
      </c>
      <c r="K38" s="1111">
        <f t="shared" si="17"/>
        <v>1728</v>
      </c>
      <c r="L38" s="1111">
        <f t="shared" si="17"/>
        <v>4320</v>
      </c>
      <c r="M38" s="1111">
        <f t="shared" si="17"/>
        <v>5184</v>
      </c>
      <c r="N38" s="1111">
        <f t="shared" si="25"/>
        <v>4032</v>
      </c>
      <c r="O38" s="1026">
        <f t="shared" si="26"/>
        <v>20448</v>
      </c>
      <c r="P38" s="1018">
        <f t="shared" si="18"/>
        <v>69.099999999999994</v>
      </c>
      <c r="Q38" s="1018">
        <f t="shared" si="18"/>
        <v>138.19999999999999</v>
      </c>
      <c r="R38" s="1018">
        <f t="shared" si="18"/>
        <v>69.099999999999994</v>
      </c>
      <c r="S38" s="1018">
        <f t="shared" si="18"/>
        <v>172.8</v>
      </c>
      <c r="T38" s="1018">
        <f t="shared" si="18"/>
        <v>207.4</v>
      </c>
      <c r="U38" s="1018">
        <f t="shared" si="18"/>
        <v>137.1</v>
      </c>
      <c r="V38" s="1029">
        <f t="shared" si="27"/>
        <v>793.7</v>
      </c>
      <c r="W38" s="1117">
        <v>0.28000000000000003</v>
      </c>
      <c r="X38" s="1029">
        <f t="shared" si="28"/>
        <v>222.2</v>
      </c>
      <c r="Y38" s="1029">
        <f t="shared" si="29"/>
        <v>177.8</v>
      </c>
      <c r="Z38" s="1029">
        <f t="shared" si="30"/>
        <v>44.4</v>
      </c>
      <c r="AA38" s="1018">
        <f t="shared" si="19"/>
        <v>72.599999999999994</v>
      </c>
      <c r="AB38" s="1018">
        <f t="shared" si="19"/>
        <v>145.19999999999999</v>
      </c>
      <c r="AC38" s="1018">
        <f t="shared" si="19"/>
        <v>72.599999999999994</v>
      </c>
      <c r="AD38" s="1018">
        <f t="shared" si="19"/>
        <v>181.4</v>
      </c>
      <c r="AE38" s="1018">
        <f t="shared" si="19"/>
        <v>217.7</v>
      </c>
      <c r="AF38" s="1018">
        <f t="shared" si="19"/>
        <v>145.19999999999999</v>
      </c>
      <c r="AG38" s="1029">
        <f t="shared" si="31"/>
        <v>834.7</v>
      </c>
      <c r="AH38" s="1117">
        <v>0.28000000000000003</v>
      </c>
      <c r="AI38" s="1029">
        <f t="shared" si="32"/>
        <v>233.7</v>
      </c>
      <c r="AJ38" s="1029">
        <f t="shared" si="33"/>
        <v>187</v>
      </c>
      <c r="AK38" s="1029">
        <f t="shared" si="34"/>
        <v>46.7</v>
      </c>
      <c r="AL38" s="1018">
        <f t="shared" si="20"/>
        <v>74.3</v>
      </c>
      <c r="AM38" s="1018">
        <f t="shared" si="20"/>
        <v>148.6</v>
      </c>
      <c r="AN38" s="1018">
        <f t="shared" si="20"/>
        <v>74.3</v>
      </c>
      <c r="AO38" s="1018">
        <f t="shared" si="20"/>
        <v>185.8</v>
      </c>
      <c r="AP38" s="1018">
        <f t="shared" si="20"/>
        <v>222.9</v>
      </c>
      <c r="AQ38" s="1018">
        <f t="shared" si="20"/>
        <v>149.19999999999999</v>
      </c>
      <c r="AR38" s="1029">
        <f t="shared" si="35"/>
        <v>855.1</v>
      </c>
      <c r="AS38" s="1117">
        <v>0.28000000000000003</v>
      </c>
      <c r="AT38" s="1029">
        <f t="shared" si="36"/>
        <v>239.4</v>
      </c>
      <c r="AU38" s="1029">
        <f t="shared" si="37"/>
        <v>191.5</v>
      </c>
      <c r="AV38" s="1029">
        <f t="shared" si="38"/>
        <v>47.9</v>
      </c>
      <c r="AW38" s="1111">
        <f t="shared" si="39"/>
        <v>484</v>
      </c>
      <c r="AX38" s="1111">
        <f t="shared" si="21"/>
        <v>968</v>
      </c>
      <c r="AY38" s="1111">
        <f t="shared" si="21"/>
        <v>484</v>
      </c>
      <c r="AZ38" s="1111">
        <f t="shared" si="21"/>
        <v>1210</v>
      </c>
      <c r="BA38" s="1111">
        <f t="shared" si="21"/>
        <v>1452</v>
      </c>
      <c r="BB38" s="1111">
        <f t="shared" si="21"/>
        <v>1129</v>
      </c>
      <c r="BC38" s="1026">
        <f t="shared" si="40"/>
        <v>5727</v>
      </c>
      <c r="BD38" s="1111">
        <f t="shared" si="41"/>
        <v>1</v>
      </c>
      <c r="BE38" s="1111">
        <f t="shared" si="22"/>
        <v>1</v>
      </c>
      <c r="BF38" s="1111">
        <f t="shared" si="22"/>
        <v>1</v>
      </c>
      <c r="BG38" s="1111">
        <f t="shared" si="22"/>
        <v>1</v>
      </c>
      <c r="BH38" s="1111">
        <f t="shared" si="22"/>
        <v>2</v>
      </c>
      <c r="BI38" s="1111">
        <f t="shared" si="22"/>
        <v>1</v>
      </c>
      <c r="BJ38" s="1026">
        <f t="shared" si="42"/>
        <v>7</v>
      </c>
      <c r="BK38" s="1011">
        <f t="shared" si="43"/>
        <v>0.78</v>
      </c>
      <c r="BL38" s="1026"/>
      <c r="BM38" s="1113"/>
    </row>
    <row r="39" spans="1:65" x14ac:dyDescent="0.25">
      <c r="A39" s="1010" t="s">
        <v>669</v>
      </c>
      <c r="B39" s="1068"/>
      <c r="C39" s="1068"/>
      <c r="D39" s="1068"/>
      <c r="E39" s="1068"/>
      <c r="F39" s="1068"/>
      <c r="G39" s="1068"/>
      <c r="H39" s="1026">
        <f t="shared" si="23"/>
        <v>0</v>
      </c>
      <c r="I39" s="1111">
        <f t="shared" si="24"/>
        <v>0</v>
      </c>
      <c r="J39" s="1111">
        <f t="shared" si="17"/>
        <v>0</v>
      </c>
      <c r="K39" s="1111">
        <f t="shared" si="17"/>
        <v>0</v>
      </c>
      <c r="L39" s="1111">
        <f t="shared" si="17"/>
        <v>0</v>
      </c>
      <c r="M39" s="1111">
        <f t="shared" si="17"/>
        <v>0</v>
      </c>
      <c r="N39" s="1111">
        <f t="shared" si="25"/>
        <v>0</v>
      </c>
      <c r="O39" s="1026">
        <f t="shared" si="26"/>
        <v>0</v>
      </c>
      <c r="P39" s="1018">
        <f t="shared" si="18"/>
        <v>0</v>
      </c>
      <c r="Q39" s="1018">
        <f t="shared" si="18"/>
        <v>0</v>
      </c>
      <c r="R39" s="1018">
        <f t="shared" si="18"/>
        <v>0</v>
      </c>
      <c r="S39" s="1018">
        <f t="shared" si="18"/>
        <v>0</v>
      </c>
      <c r="T39" s="1018">
        <f t="shared" si="18"/>
        <v>0</v>
      </c>
      <c r="U39" s="1018">
        <f t="shared" si="18"/>
        <v>0</v>
      </c>
      <c r="V39" s="1029">
        <f t="shared" si="27"/>
        <v>0</v>
      </c>
      <c r="W39" s="1112"/>
      <c r="X39" s="1029">
        <f t="shared" si="28"/>
        <v>0</v>
      </c>
      <c r="Y39" s="1029">
        <f t="shared" si="29"/>
        <v>0</v>
      </c>
      <c r="Z39" s="1029">
        <f t="shared" si="30"/>
        <v>0</v>
      </c>
      <c r="AA39" s="1018">
        <f t="shared" si="19"/>
        <v>0</v>
      </c>
      <c r="AB39" s="1018">
        <f t="shared" si="19"/>
        <v>0</v>
      </c>
      <c r="AC39" s="1018">
        <f t="shared" si="19"/>
        <v>0</v>
      </c>
      <c r="AD39" s="1018">
        <f t="shared" si="19"/>
        <v>0</v>
      </c>
      <c r="AE39" s="1018">
        <f t="shared" si="19"/>
        <v>0</v>
      </c>
      <c r="AF39" s="1018">
        <f t="shared" si="19"/>
        <v>0</v>
      </c>
      <c r="AG39" s="1029">
        <f t="shared" si="31"/>
        <v>0</v>
      </c>
      <c r="AH39" s="1112"/>
      <c r="AI39" s="1029">
        <f t="shared" si="32"/>
        <v>0</v>
      </c>
      <c r="AJ39" s="1029">
        <f t="shared" si="33"/>
        <v>0</v>
      </c>
      <c r="AK39" s="1029">
        <f t="shared" si="34"/>
        <v>0</v>
      </c>
      <c r="AL39" s="1018">
        <f t="shared" si="20"/>
        <v>0</v>
      </c>
      <c r="AM39" s="1018">
        <f t="shared" si="20"/>
        <v>0</v>
      </c>
      <c r="AN39" s="1018">
        <f t="shared" si="20"/>
        <v>0</v>
      </c>
      <c r="AO39" s="1018">
        <f t="shared" si="20"/>
        <v>0</v>
      </c>
      <c r="AP39" s="1018">
        <f t="shared" si="20"/>
        <v>0</v>
      </c>
      <c r="AQ39" s="1018">
        <f t="shared" si="20"/>
        <v>0</v>
      </c>
      <c r="AR39" s="1029">
        <f t="shared" si="35"/>
        <v>0</v>
      </c>
      <c r="AS39" s="1112"/>
      <c r="AT39" s="1029">
        <f t="shared" si="36"/>
        <v>0</v>
      </c>
      <c r="AU39" s="1029">
        <f t="shared" si="37"/>
        <v>0</v>
      </c>
      <c r="AV39" s="1029">
        <f t="shared" si="38"/>
        <v>0</v>
      </c>
      <c r="AW39" s="1111">
        <f t="shared" si="39"/>
        <v>0</v>
      </c>
      <c r="AX39" s="1111">
        <f t="shared" si="21"/>
        <v>0</v>
      </c>
      <c r="AY39" s="1111">
        <f t="shared" si="21"/>
        <v>0</v>
      </c>
      <c r="AZ39" s="1111">
        <f t="shared" si="21"/>
        <v>0</v>
      </c>
      <c r="BA39" s="1111">
        <f t="shared" si="21"/>
        <v>0</v>
      </c>
      <c r="BB39" s="1111">
        <f t="shared" si="21"/>
        <v>0</v>
      </c>
      <c r="BC39" s="1026">
        <f t="shared" si="40"/>
        <v>0</v>
      </c>
      <c r="BD39" s="1111">
        <f t="shared" si="41"/>
        <v>0</v>
      </c>
      <c r="BE39" s="1111">
        <f t="shared" si="22"/>
        <v>0</v>
      </c>
      <c r="BF39" s="1111">
        <f t="shared" si="22"/>
        <v>0</v>
      </c>
      <c r="BG39" s="1111">
        <f t="shared" si="22"/>
        <v>0</v>
      </c>
      <c r="BH39" s="1111">
        <f t="shared" si="22"/>
        <v>0</v>
      </c>
      <c r="BI39" s="1111">
        <f t="shared" si="22"/>
        <v>0</v>
      </c>
      <c r="BJ39" s="1026">
        <f t="shared" si="42"/>
        <v>0</v>
      </c>
      <c r="BK39" s="1011">
        <f t="shared" si="43"/>
        <v>0</v>
      </c>
      <c r="BL39" s="1026"/>
      <c r="BM39" s="1113"/>
    </row>
    <row r="40" spans="1:65" x14ac:dyDescent="0.25">
      <c r="A40" s="1010" t="s">
        <v>1616</v>
      </c>
      <c r="B40" s="1068"/>
      <c r="C40" s="1068"/>
      <c r="D40" s="1068"/>
      <c r="E40" s="1068"/>
      <c r="F40" s="1068">
        <v>2</v>
      </c>
      <c r="G40" s="1068">
        <v>2</v>
      </c>
      <c r="H40" s="1026">
        <f t="shared" si="23"/>
        <v>4</v>
      </c>
      <c r="I40" s="1111">
        <f t="shared" si="24"/>
        <v>0</v>
      </c>
      <c r="J40" s="1111">
        <f t="shared" si="17"/>
        <v>0</v>
      </c>
      <c r="K40" s="1111">
        <f t="shared" si="17"/>
        <v>0</v>
      </c>
      <c r="L40" s="1111">
        <f t="shared" si="17"/>
        <v>0</v>
      </c>
      <c r="M40" s="1111">
        <f t="shared" si="17"/>
        <v>1728</v>
      </c>
      <c r="N40" s="1111">
        <f t="shared" si="25"/>
        <v>2016</v>
      </c>
      <c r="O40" s="1026">
        <f t="shared" si="26"/>
        <v>3744</v>
      </c>
      <c r="P40" s="1018">
        <f t="shared" si="18"/>
        <v>0</v>
      </c>
      <c r="Q40" s="1018">
        <f t="shared" si="18"/>
        <v>0</v>
      </c>
      <c r="R40" s="1018">
        <f t="shared" si="18"/>
        <v>0</v>
      </c>
      <c r="S40" s="1018">
        <f t="shared" si="18"/>
        <v>0</v>
      </c>
      <c r="T40" s="1018">
        <f t="shared" si="18"/>
        <v>69.099999999999994</v>
      </c>
      <c r="U40" s="1018">
        <f t="shared" si="18"/>
        <v>68.5</v>
      </c>
      <c r="V40" s="1029">
        <f t="shared" si="27"/>
        <v>137.6</v>
      </c>
      <c r="W40" s="1116">
        <v>0.8</v>
      </c>
      <c r="X40" s="1029">
        <f t="shared" si="28"/>
        <v>110.1</v>
      </c>
      <c r="Y40" s="1029">
        <f t="shared" si="29"/>
        <v>88.1</v>
      </c>
      <c r="Z40" s="1029">
        <f t="shared" si="30"/>
        <v>22</v>
      </c>
      <c r="AA40" s="1018">
        <f t="shared" si="19"/>
        <v>0</v>
      </c>
      <c r="AB40" s="1018">
        <f t="shared" si="19"/>
        <v>0</v>
      </c>
      <c r="AC40" s="1018">
        <f t="shared" si="19"/>
        <v>0</v>
      </c>
      <c r="AD40" s="1018">
        <f t="shared" si="19"/>
        <v>0</v>
      </c>
      <c r="AE40" s="1018">
        <f t="shared" si="19"/>
        <v>72.599999999999994</v>
      </c>
      <c r="AF40" s="1018">
        <f t="shared" si="19"/>
        <v>72.599999999999994</v>
      </c>
      <c r="AG40" s="1029">
        <f t="shared" si="31"/>
        <v>145.19999999999999</v>
      </c>
      <c r="AH40" s="1116">
        <v>0.8</v>
      </c>
      <c r="AI40" s="1029">
        <f t="shared" si="32"/>
        <v>116.2</v>
      </c>
      <c r="AJ40" s="1029">
        <f t="shared" si="33"/>
        <v>93</v>
      </c>
      <c r="AK40" s="1029">
        <f t="shared" si="34"/>
        <v>23.2</v>
      </c>
      <c r="AL40" s="1018">
        <f t="shared" si="20"/>
        <v>0</v>
      </c>
      <c r="AM40" s="1018">
        <f t="shared" si="20"/>
        <v>0</v>
      </c>
      <c r="AN40" s="1018">
        <f t="shared" si="20"/>
        <v>0</v>
      </c>
      <c r="AO40" s="1018">
        <f t="shared" si="20"/>
        <v>0</v>
      </c>
      <c r="AP40" s="1018">
        <f t="shared" si="20"/>
        <v>74.3</v>
      </c>
      <c r="AQ40" s="1018">
        <f t="shared" si="20"/>
        <v>74.599999999999994</v>
      </c>
      <c r="AR40" s="1029">
        <f t="shared" si="35"/>
        <v>148.9</v>
      </c>
      <c r="AS40" s="1116">
        <v>0.8</v>
      </c>
      <c r="AT40" s="1029">
        <f t="shared" si="36"/>
        <v>119.1</v>
      </c>
      <c r="AU40" s="1029">
        <f t="shared" si="37"/>
        <v>95.3</v>
      </c>
      <c r="AV40" s="1029">
        <f t="shared" si="38"/>
        <v>23.8</v>
      </c>
      <c r="AW40" s="1111">
        <f t="shared" si="39"/>
        <v>0</v>
      </c>
      <c r="AX40" s="1111">
        <f t="shared" si="21"/>
        <v>0</v>
      </c>
      <c r="AY40" s="1111">
        <f t="shared" si="21"/>
        <v>0</v>
      </c>
      <c r="AZ40" s="1111">
        <f t="shared" si="21"/>
        <v>0</v>
      </c>
      <c r="BA40" s="1111">
        <f t="shared" si="21"/>
        <v>1382</v>
      </c>
      <c r="BB40" s="1111">
        <f t="shared" si="21"/>
        <v>1613</v>
      </c>
      <c r="BC40" s="1026">
        <f t="shared" si="40"/>
        <v>2995</v>
      </c>
      <c r="BD40" s="1111">
        <f t="shared" si="41"/>
        <v>0</v>
      </c>
      <c r="BE40" s="1111">
        <f t="shared" si="22"/>
        <v>0</v>
      </c>
      <c r="BF40" s="1111">
        <f t="shared" si="22"/>
        <v>0</v>
      </c>
      <c r="BG40" s="1111">
        <f t="shared" si="22"/>
        <v>0</v>
      </c>
      <c r="BH40" s="1111">
        <f t="shared" si="22"/>
        <v>2</v>
      </c>
      <c r="BI40" s="1111">
        <f t="shared" si="22"/>
        <v>2</v>
      </c>
      <c r="BJ40" s="1026">
        <f t="shared" si="42"/>
        <v>4</v>
      </c>
      <c r="BK40" s="1011">
        <f t="shared" si="43"/>
        <v>0.44</v>
      </c>
      <c r="BL40" s="1026"/>
      <c r="BM40" s="1113"/>
    </row>
    <row r="41" spans="1:65" x14ac:dyDescent="0.25">
      <c r="A41" s="1010" t="s">
        <v>1802</v>
      </c>
      <c r="B41" s="1068"/>
      <c r="C41" s="1068"/>
      <c r="D41" s="1068"/>
      <c r="E41" s="1068"/>
      <c r="F41" s="1068"/>
      <c r="G41" s="1068"/>
      <c r="H41" s="1026">
        <f t="shared" si="23"/>
        <v>0</v>
      </c>
      <c r="I41" s="1111">
        <f t="shared" si="24"/>
        <v>0</v>
      </c>
      <c r="J41" s="1111">
        <f t="shared" si="17"/>
        <v>0</v>
      </c>
      <c r="K41" s="1111">
        <f t="shared" si="17"/>
        <v>0</v>
      </c>
      <c r="L41" s="1111">
        <f t="shared" si="17"/>
        <v>0</v>
      </c>
      <c r="M41" s="1111">
        <f t="shared" si="17"/>
        <v>0</v>
      </c>
      <c r="N41" s="1111">
        <f t="shared" si="25"/>
        <v>0</v>
      </c>
      <c r="O41" s="1026">
        <f t="shared" si="26"/>
        <v>0</v>
      </c>
      <c r="P41" s="1018">
        <f t="shared" si="18"/>
        <v>0</v>
      </c>
      <c r="Q41" s="1018">
        <f t="shared" si="18"/>
        <v>0</v>
      </c>
      <c r="R41" s="1018">
        <f t="shared" si="18"/>
        <v>0</v>
      </c>
      <c r="S41" s="1018">
        <f t="shared" si="18"/>
        <v>0</v>
      </c>
      <c r="T41" s="1018">
        <f t="shared" si="18"/>
        <v>0</v>
      </c>
      <c r="U41" s="1018">
        <f t="shared" si="18"/>
        <v>0</v>
      </c>
      <c r="V41" s="1029">
        <f t="shared" si="27"/>
        <v>0</v>
      </c>
      <c r="W41" s="1112"/>
      <c r="X41" s="1029">
        <f t="shared" si="28"/>
        <v>0</v>
      </c>
      <c r="Y41" s="1029">
        <f t="shared" si="29"/>
        <v>0</v>
      </c>
      <c r="Z41" s="1029">
        <f t="shared" si="30"/>
        <v>0</v>
      </c>
      <c r="AA41" s="1018">
        <f t="shared" si="19"/>
        <v>0</v>
      </c>
      <c r="AB41" s="1018">
        <f t="shared" si="19"/>
        <v>0</v>
      </c>
      <c r="AC41" s="1018">
        <f t="shared" si="19"/>
        <v>0</v>
      </c>
      <c r="AD41" s="1018">
        <f t="shared" si="19"/>
        <v>0</v>
      </c>
      <c r="AE41" s="1018">
        <f t="shared" si="19"/>
        <v>0</v>
      </c>
      <c r="AF41" s="1018">
        <f t="shared" si="19"/>
        <v>0</v>
      </c>
      <c r="AG41" s="1029">
        <f t="shared" si="31"/>
        <v>0</v>
      </c>
      <c r="AH41" s="1112"/>
      <c r="AI41" s="1029">
        <f t="shared" si="32"/>
        <v>0</v>
      </c>
      <c r="AJ41" s="1029">
        <f t="shared" si="33"/>
        <v>0</v>
      </c>
      <c r="AK41" s="1029">
        <f t="shared" si="34"/>
        <v>0</v>
      </c>
      <c r="AL41" s="1018">
        <f t="shared" si="20"/>
        <v>0</v>
      </c>
      <c r="AM41" s="1018">
        <f t="shared" si="20"/>
        <v>0</v>
      </c>
      <c r="AN41" s="1018">
        <f t="shared" si="20"/>
        <v>0</v>
      </c>
      <c r="AO41" s="1018">
        <f t="shared" si="20"/>
        <v>0</v>
      </c>
      <c r="AP41" s="1018">
        <f t="shared" si="20"/>
        <v>0</v>
      </c>
      <c r="AQ41" s="1018">
        <f t="shared" si="20"/>
        <v>0</v>
      </c>
      <c r="AR41" s="1029">
        <f t="shared" si="35"/>
        <v>0</v>
      </c>
      <c r="AS41" s="1112"/>
      <c r="AT41" s="1029">
        <f t="shared" si="36"/>
        <v>0</v>
      </c>
      <c r="AU41" s="1029">
        <f t="shared" si="37"/>
        <v>0</v>
      </c>
      <c r="AV41" s="1029">
        <f t="shared" si="38"/>
        <v>0</v>
      </c>
      <c r="AW41" s="1111">
        <f t="shared" si="39"/>
        <v>0</v>
      </c>
      <c r="AX41" s="1111">
        <f t="shared" si="21"/>
        <v>0</v>
      </c>
      <c r="AY41" s="1111">
        <f t="shared" si="21"/>
        <v>0</v>
      </c>
      <c r="AZ41" s="1111">
        <f t="shared" si="21"/>
        <v>0</v>
      </c>
      <c r="BA41" s="1111">
        <f t="shared" si="21"/>
        <v>0</v>
      </c>
      <c r="BB41" s="1111">
        <f t="shared" si="21"/>
        <v>0</v>
      </c>
      <c r="BC41" s="1026">
        <f t="shared" si="40"/>
        <v>0</v>
      </c>
      <c r="BD41" s="1111">
        <f t="shared" si="41"/>
        <v>0</v>
      </c>
      <c r="BE41" s="1111">
        <f t="shared" si="22"/>
        <v>0</v>
      </c>
      <c r="BF41" s="1111">
        <f t="shared" si="22"/>
        <v>0</v>
      </c>
      <c r="BG41" s="1111">
        <f t="shared" si="22"/>
        <v>0</v>
      </c>
      <c r="BH41" s="1111">
        <f t="shared" si="22"/>
        <v>0</v>
      </c>
      <c r="BI41" s="1111">
        <f t="shared" si="22"/>
        <v>0</v>
      </c>
      <c r="BJ41" s="1026">
        <f t="shared" si="42"/>
        <v>0</v>
      </c>
      <c r="BK41" s="1011">
        <f t="shared" si="43"/>
        <v>0</v>
      </c>
      <c r="BL41" s="1026"/>
      <c r="BM41" s="1113"/>
    </row>
    <row r="42" spans="1:65" x14ac:dyDescent="0.25">
      <c r="A42" s="1010" t="s">
        <v>672</v>
      </c>
      <c r="B42" s="1068">
        <v>1</v>
      </c>
      <c r="C42" s="1068"/>
      <c r="D42" s="1068"/>
      <c r="E42" s="1068"/>
      <c r="F42" s="1068">
        <v>3</v>
      </c>
      <c r="G42" s="1068"/>
      <c r="H42" s="1026">
        <f t="shared" si="23"/>
        <v>4</v>
      </c>
      <c r="I42" s="1111">
        <f t="shared" si="24"/>
        <v>864</v>
      </c>
      <c r="J42" s="1111">
        <f t="shared" si="17"/>
        <v>0</v>
      </c>
      <c r="K42" s="1111">
        <f t="shared" si="17"/>
        <v>0</v>
      </c>
      <c r="L42" s="1111">
        <f t="shared" si="17"/>
        <v>0</v>
      </c>
      <c r="M42" s="1111">
        <f t="shared" si="17"/>
        <v>2592</v>
      </c>
      <c r="N42" s="1111">
        <f t="shared" si="25"/>
        <v>0</v>
      </c>
      <c r="O42" s="1026">
        <f t="shared" si="26"/>
        <v>3456</v>
      </c>
      <c r="P42" s="1018">
        <f t="shared" si="18"/>
        <v>34.6</v>
      </c>
      <c r="Q42" s="1018">
        <f t="shared" si="18"/>
        <v>0</v>
      </c>
      <c r="R42" s="1018">
        <f t="shared" si="18"/>
        <v>0</v>
      </c>
      <c r="S42" s="1018">
        <f t="shared" si="18"/>
        <v>0</v>
      </c>
      <c r="T42" s="1018">
        <f t="shared" si="18"/>
        <v>103.7</v>
      </c>
      <c r="U42" s="1018">
        <f t="shared" si="18"/>
        <v>0</v>
      </c>
      <c r="V42" s="1029">
        <f t="shared" si="27"/>
        <v>138.30000000000001</v>
      </c>
      <c r="W42" s="1116">
        <v>0.8</v>
      </c>
      <c r="X42" s="1029">
        <f t="shared" si="28"/>
        <v>110.6</v>
      </c>
      <c r="Y42" s="1029">
        <f t="shared" si="29"/>
        <v>88.5</v>
      </c>
      <c r="Z42" s="1029">
        <f t="shared" si="30"/>
        <v>22.1</v>
      </c>
      <c r="AA42" s="1018">
        <f t="shared" si="19"/>
        <v>36.299999999999997</v>
      </c>
      <c r="AB42" s="1018">
        <f t="shared" si="19"/>
        <v>0</v>
      </c>
      <c r="AC42" s="1018">
        <f t="shared" si="19"/>
        <v>0</v>
      </c>
      <c r="AD42" s="1018">
        <f t="shared" si="19"/>
        <v>0</v>
      </c>
      <c r="AE42" s="1018">
        <f t="shared" si="19"/>
        <v>108.9</v>
      </c>
      <c r="AF42" s="1018">
        <f t="shared" si="19"/>
        <v>0</v>
      </c>
      <c r="AG42" s="1029">
        <f t="shared" si="31"/>
        <v>145.19999999999999</v>
      </c>
      <c r="AH42" s="1116">
        <v>0.8</v>
      </c>
      <c r="AI42" s="1029">
        <f t="shared" si="32"/>
        <v>116.2</v>
      </c>
      <c r="AJ42" s="1029">
        <f t="shared" si="33"/>
        <v>93</v>
      </c>
      <c r="AK42" s="1029">
        <f t="shared" si="34"/>
        <v>23.2</v>
      </c>
      <c r="AL42" s="1018">
        <f t="shared" si="20"/>
        <v>37.200000000000003</v>
      </c>
      <c r="AM42" s="1018">
        <f t="shared" si="20"/>
        <v>0</v>
      </c>
      <c r="AN42" s="1018">
        <f t="shared" si="20"/>
        <v>0</v>
      </c>
      <c r="AO42" s="1018">
        <f t="shared" si="20"/>
        <v>0</v>
      </c>
      <c r="AP42" s="1018">
        <f t="shared" si="20"/>
        <v>111.5</v>
      </c>
      <c r="AQ42" s="1018">
        <f t="shared" si="20"/>
        <v>0</v>
      </c>
      <c r="AR42" s="1029">
        <f t="shared" si="35"/>
        <v>148.69999999999999</v>
      </c>
      <c r="AS42" s="1116">
        <v>0.8</v>
      </c>
      <c r="AT42" s="1029">
        <f t="shared" si="36"/>
        <v>119</v>
      </c>
      <c r="AU42" s="1029">
        <f t="shared" si="37"/>
        <v>95.2</v>
      </c>
      <c r="AV42" s="1029">
        <f t="shared" si="38"/>
        <v>23.8</v>
      </c>
      <c r="AW42" s="1111">
        <f t="shared" si="39"/>
        <v>691</v>
      </c>
      <c r="AX42" s="1111">
        <f t="shared" si="21"/>
        <v>0</v>
      </c>
      <c r="AY42" s="1111">
        <f t="shared" si="21"/>
        <v>0</v>
      </c>
      <c r="AZ42" s="1111">
        <f t="shared" si="21"/>
        <v>0</v>
      </c>
      <c r="BA42" s="1111">
        <f t="shared" si="21"/>
        <v>2074</v>
      </c>
      <c r="BB42" s="1111">
        <f t="shared" si="21"/>
        <v>0</v>
      </c>
      <c r="BC42" s="1026">
        <f t="shared" si="40"/>
        <v>2765</v>
      </c>
      <c r="BD42" s="1111">
        <f t="shared" si="41"/>
        <v>1</v>
      </c>
      <c r="BE42" s="1111">
        <f t="shared" si="22"/>
        <v>0</v>
      </c>
      <c r="BF42" s="1111">
        <f t="shared" si="22"/>
        <v>0</v>
      </c>
      <c r="BG42" s="1111">
        <f t="shared" si="22"/>
        <v>0</v>
      </c>
      <c r="BH42" s="1111">
        <f t="shared" si="22"/>
        <v>2</v>
      </c>
      <c r="BI42" s="1111">
        <f t="shared" si="22"/>
        <v>0</v>
      </c>
      <c r="BJ42" s="1026">
        <f t="shared" si="42"/>
        <v>3</v>
      </c>
      <c r="BK42" s="1011">
        <f t="shared" si="43"/>
        <v>0.33</v>
      </c>
      <c r="BL42" s="1026"/>
      <c r="BM42" s="1113"/>
    </row>
    <row r="43" spans="1:65" x14ac:dyDescent="0.25">
      <c r="A43" s="1010" t="s">
        <v>673</v>
      </c>
      <c r="B43" s="1068"/>
      <c r="C43" s="1068"/>
      <c r="D43" s="1068"/>
      <c r="E43" s="1068"/>
      <c r="F43" s="1068"/>
      <c r="G43" s="1068"/>
      <c r="H43" s="1026">
        <f t="shared" si="23"/>
        <v>0</v>
      </c>
      <c r="I43" s="1111">
        <f t="shared" si="24"/>
        <v>0</v>
      </c>
      <c r="J43" s="1111">
        <f t="shared" si="17"/>
        <v>0</v>
      </c>
      <c r="K43" s="1111">
        <f t="shared" si="17"/>
        <v>0</v>
      </c>
      <c r="L43" s="1111">
        <f t="shared" si="17"/>
        <v>0</v>
      </c>
      <c r="M43" s="1111">
        <f t="shared" si="17"/>
        <v>0</v>
      </c>
      <c r="N43" s="1111">
        <f t="shared" si="25"/>
        <v>0</v>
      </c>
      <c r="O43" s="1026">
        <f t="shared" si="26"/>
        <v>0</v>
      </c>
      <c r="P43" s="1018">
        <f t="shared" si="18"/>
        <v>0</v>
      </c>
      <c r="Q43" s="1018">
        <f t="shared" si="18"/>
        <v>0</v>
      </c>
      <c r="R43" s="1018">
        <f t="shared" si="18"/>
        <v>0</v>
      </c>
      <c r="S43" s="1018">
        <f t="shared" si="18"/>
        <v>0</v>
      </c>
      <c r="T43" s="1018">
        <f t="shared" si="18"/>
        <v>0</v>
      </c>
      <c r="U43" s="1018">
        <f t="shared" si="18"/>
        <v>0</v>
      </c>
      <c r="V43" s="1029">
        <f t="shared" si="27"/>
        <v>0</v>
      </c>
      <c r="W43" s="1112"/>
      <c r="X43" s="1029">
        <f t="shared" si="28"/>
        <v>0</v>
      </c>
      <c r="Y43" s="1029">
        <f t="shared" si="29"/>
        <v>0</v>
      </c>
      <c r="Z43" s="1029">
        <f t="shared" si="30"/>
        <v>0</v>
      </c>
      <c r="AA43" s="1018">
        <f t="shared" si="19"/>
        <v>0</v>
      </c>
      <c r="AB43" s="1018">
        <f t="shared" si="19"/>
        <v>0</v>
      </c>
      <c r="AC43" s="1018">
        <f t="shared" si="19"/>
        <v>0</v>
      </c>
      <c r="AD43" s="1018">
        <f t="shared" si="19"/>
        <v>0</v>
      </c>
      <c r="AE43" s="1018">
        <f t="shared" si="19"/>
        <v>0</v>
      </c>
      <c r="AF43" s="1018">
        <f t="shared" si="19"/>
        <v>0</v>
      </c>
      <c r="AG43" s="1029">
        <f t="shared" si="31"/>
        <v>0</v>
      </c>
      <c r="AH43" s="1112"/>
      <c r="AI43" s="1029">
        <f t="shared" si="32"/>
        <v>0</v>
      </c>
      <c r="AJ43" s="1029">
        <f t="shared" si="33"/>
        <v>0</v>
      </c>
      <c r="AK43" s="1029">
        <f t="shared" si="34"/>
        <v>0</v>
      </c>
      <c r="AL43" s="1018">
        <f t="shared" si="20"/>
        <v>0</v>
      </c>
      <c r="AM43" s="1018">
        <f t="shared" si="20"/>
        <v>0</v>
      </c>
      <c r="AN43" s="1018">
        <f t="shared" si="20"/>
        <v>0</v>
      </c>
      <c r="AO43" s="1018">
        <f t="shared" si="20"/>
        <v>0</v>
      </c>
      <c r="AP43" s="1018">
        <f t="shared" si="20"/>
        <v>0</v>
      </c>
      <c r="AQ43" s="1018">
        <f t="shared" si="20"/>
        <v>0</v>
      </c>
      <c r="AR43" s="1029">
        <f t="shared" si="35"/>
        <v>0</v>
      </c>
      <c r="AS43" s="1112"/>
      <c r="AT43" s="1029">
        <f t="shared" si="36"/>
        <v>0</v>
      </c>
      <c r="AU43" s="1029">
        <f t="shared" si="37"/>
        <v>0</v>
      </c>
      <c r="AV43" s="1029">
        <f t="shared" si="38"/>
        <v>0</v>
      </c>
      <c r="AW43" s="1111">
        <f t="shared" si="39"/>
        <v>0</v>
      </c>
      <c r="AX43" s="1111">
        <f t="shared" si="21"/>
        <v>0</v>
      </c>
      <c r="AY43" s="1111">
        <f t="shared" si="21"/>
        <v>0</v>
      </c>
      <c r="AZ43" s="1111">
        <f t="shared" si="21"/>
        <v>0</v>
      </c>
      <c r="BA43" s="1111">
        <f t="shared" si="21"/>
        <v>0</v>
      </c>
      <c r="BB43" s="1111">
        <f t="shared" si="21"/>
        <v>0</v>
      </c>
      <c r="BC43" s="1026">
        <f t="shared" si="40"/>
        <v>0</v>
      </c>
      <c r="BD43" s="1111">
        <f t="shared" si="41"/>
        <v>0</v>
      </c>
      <c r="BE43" s="1111">
        <f t="shared" si="22"/>
        <v>0</v>
      </c>
      <c r="BF43" s="1111">
        <f t="shared" si="22"/>
        <v>0</v>
      </c>
      <c r="BG43" s="1111">
        <f t="shared" si="22"/>
        <v>0</v>
      </c>
      <c r="BH43" s="1111">
        <f t="shared" si="22"/>
        <v>0</v>
      </c>
      <c r="BI43" s="1111">
        <f t="shared" si="22"/>
        <v>0</v>
      </c>
      <c r="BJ43" s="1026">
        <f t="shared" si="42"/>
        <v>0</v>
      </c>
      <c r="BK43" s="1011">
        <f t="shared" si="43"/>
        <v>0</v>
      </c>
      <c r="BL43" s="1026"/>
      <c r="BM43" s="1113"/>
    </row>
    <row r="44" spans="1:65" x14ac:dyDescent="0.25">
      <c r="A44" s="1010" t="s">
        <v>674</v>
      </c>
      <c r="B44" s="1068"/>
      <c r="C44" s="1068"/>
      <c r="D44" s="1068"/>
      <c r="E44" s="1068">
        <v>1</v>
      </c>
      <c r="F44" s="1068">
        <v>2</v>
      </c>
      <c r="G44" s="1068">
        <v>2</v>
      </c>
      <c r="H44" s="1026">
        <f t="shared" si="23"/>
        <v>5</v>
      </c>
      <c r="I44" s="1111">
        <f t="shared" si="24"/>
        <v>0</v>
      </c>
      <c r="J44" s="1111">
        <f t="shared" si="17"/>
        <v>0</v>
      </c>
      <c r="K44" s="1111">
        <f t="shared" si="17"/>
        <v>0</v>
      </c>
      <c r="L44" s="1111">
        <f t="shared" si="17"/>
        <v>864</v>
      </c>
      <c r="M44" s="1111">
        <f t="shared" si="17"/>
        <v>1728</v>
      </c>
      <c r="N44" s="1111">
        <f t="shared" si="25"/>
        <v>2016</v>
      </c>
      <c r="O44" s="1026">
        <f t="shared" si="26"/>
        <v>4608</v>
      </c>
      <c r="P44" s="1018">
        <f t="shared" si="18"/>
        <v>0</v>
      </c>
      <c r="Q44" s="1018">
        <f t="shared" si="18"/>
        <v>0</v>
      </c>
      <c r="R44" s="1018">
        <f t="shared" si="18"/>
        <v>0</v>
      </c>
      <c r="S44" s="1018">
        <f t="shared" si="18"/>
        <v>34.6</v>
      </c>
      <c r="T44" s="1018">
        <f t="shared" si="18"/>
        <v>69.099999999999994</v>
      </c>
      <c r="U44" s="1018">
        <f t="shared" si="18"/>
        <v>68.5</v>
      </c>
      <c r="V44" s="1029">
        <f t="shared" si="27"/>
        <v>172.2</v>
      </c>
      <c r="W44" s="1116">
        <v>0.8</v>
      </c>
      <c r="X44" s="1029">
        <f t="shared" si="28"/>
        <v>137.80000000000001</v>
      </c>
      <c r="Y44" s="1029">
        <f t="shared" si="29"/>
        <v>110.2</v>
      </c>
      <c r="Z44" s="1029">
        <f t="shared" si="30"/>
        <v>27.6</v>
      </c>
      <c r="AA44" s="1018">
        <f t="shared" si="19"/>
        <v>0</v>
      </c>
      <c r="AB44" s="1018">
        <f t="shared" si="19"/>
        <v>0</v>
      </c>
      <c r="AC44" s="1018">
        <f t="shared" si="19"/>
        <v>0</v>
      </c>
      <c r="AD44" s="1018">
        <f t="shared" si="19"/>
        <v>36.299999999999997</v>
      </c>
      <c r="AE44" s="1018">
        <f t="shared" si="19"/>
        <v>72.599999999999994</v>
      </c>
      <c r="AF44" s="1018">
        <f t="shared" si="19"/>
        <v>72.599999999999994</v>
      </c>
      <c r="AG44" s="1029">
        <f t="shared" si="31"/>
        <v>181.5</v>
      </c>
      <c r="AH44" s="1116">
        <v>0.8</v>
      </c>
      <c r="AI44" s="1029">
        <f t="shared" si="32"/>
        <v>145.19999999999999</v>
      </c>
      <c r="AJ44" s="1029">
        <f t="shared" si="33"/>
        <v>116.2</v>
      </c>
      <c r="AK44" s="1029">
        <f t="shared" si="34"/>
        <v>29</v>
      </c>
      <c r="AL44" s="1018">
        <f t="shared" si="20"/>
        <v>0</v>
      </c>
      <c r="AM44" s="1018">
        <f t="shared" si="20"/>
        <v>0</v>
      </c>
      <c r="AN44" s="1018">
        <f t="shared" si="20"/>
        <v>0</v>
      </c>
      <c r="AO44" s="1018">
        <f t="shared" si="20"/>
        <v>37.200000000000003</v>
      </c>
      <c r="AP44" s="1018">
        <f t="shared" si="20"/>
        <v>74.3</v>
      </c>
      <c r="AQ44" s="1018">
        <f t="shared" si="20"/>
        <v>74.599999999999994</v>
      </c>
      <c r="AR44" s="1029">
        <f t="shared" si="35"/>
        <v>186.1</v>
      </c>
      <c r="AS44" s="1116">
        <v>0.8</v>
      </c>
      <c r="AT44" s="1029">
        <f t="shared" si="36"/>
        <v>148.9</v>
      </c>
      <c r="AU44" s="1029">
        <f t="shared" si="37"/>
        <v>119.1</v>
      </c>
      <c r="AV44" s="1029">
        <f t="shared" si="38"/>
        <v>29.8</v>
      </c>
      <c r="AW44" s="1111">
        <f t="shared" si="39"/>
        <v>0</v>
      </c>
      <c r="AX44" s="1111">
        <f t="shared" si="21"/>
        <v>0</v>
      </c>
      <c r="AY44" s="1111">
        <f t="shared" si="21"/>
        <v>0</v>
      </c>
      <c r="AZ44" s="1111">
        <f t="shared" si="21"/>
        <v>691</v>
      </c>
      <c r="BA44" s="1111">
        <f t="shared" si="21"/>
        <v>1382</v>
      </c>
      <c r="BB44" s="1111">
        <f t="shared" si="21"/>
        <v>1613</v>
      </c>
      <c r="BC44" s="1026">
        <f t="shared" si="40"/>
        <v>3686</v>
      </c>
      <c r="BD44" s="1111">
        <f t="shared" si="41"/>
        <v>0</v>
      </c>
      <c r="BE44" s="1111">
        <f t="shared" si="22"/>
        <v>0</v>
      </c>
      <c r="BF44" s="1111">
        <f t="shared" si="22"/>
        <v>0</v>
      </c>
      <c r="BG44" s="1111">
        <f t="shared" si="22"/>
        <v>1</v>
      </c>
      <c r="BH44" s="1111">
        <f t="shared" si="22"/>
        <v>2</v>
      </c>
      <c r="BI44" s="1111">
        <f t="shared" si="22"/>
        <v>2</v>
      </c>
      <c r="BJ44" s="1026">
        <f t="shared" si="42"/>
        <v>5</v>
      </c>
      <c r="BK44" s="1011">
        <f t="shared" si="43"/>
        <v>0.56000000000000005</v>
      </c>
      <c r="BL44" s="1026"/>
      <c r="BM44" s="1113"/>
    </row>
    <row r="45" spans="1:65" x14ac:dyDescent="0.25">
      <c r="A45" s="1010" t="s">
        <v>675</v>
      </c>
      <c r="B45" s="1068"/>
      <c r="C45" s="1068"/>
      <c r="D45" s="1068"/>
      <c r="E45" s="1068"/>
      <c r="F45" s="1068"/>
      <c r="G45" s="1068"/>
      <c r="H45" s="1026">
        <f t="shared" si="23"/>
        <v>0</v>
      </c>
      <c r="I45" s="1111">
        <f t="shared" si="24"/>
        <v>0</v>
      </c>
      <c r="J45" s="1111">
        <f t="shared" si="17"/>
        <v>0</v>
      </c>
      <c r="K45" s="1111">
        <f t="shared" si="17"/>
        <v>0</v>
      </c>
      <c r="L45" s="1111">
        <f t="shared" si="17"/>
        <v>0</v>
      </c>
      <c r="M45" s="1111">
        <f t="shared" si="17"/>
        <v>0</v>
      </c>
      <c r="N45" s="1111">
        <f t="shared" si="25"/>
        <v>0</v>
      </c>
      <c r="O45" s="1026">
        <f t="shared" si="26"/>
        <v>0</v>
      </c>
      <c r="P45" s="1018">
        <f t="shared" si="18"/>
        <v>0</v>
      </c>
      <c r="Q45" s="1018">
        <f t="shared" si="18"/>
        <v>0</v>
      </c>
      <c r="R45" s="1018">
        <f t="shared" si="18"/>
        <v>0</v>
      </c>
      <c r="S45" s="1018">
        <f t="shared" si="18"/>
        <v>0</v>
      </c>
      <c r="T45" s="1018">
        <f t="shared" si="18"/>
        <v>0</v>
      </c>
      <c r="U45" s="1018">
        <f t="shared" si="18"/>
        <v>0</v>
      </c>
      <c r="V45" s="1029">
        <f t="shared" si="27"/>
        <v>0</v>
      </c>
      <c r="W45" s="1112"/>
      <c r="X45" s="1029">
        <f t="shared" si="28"/>
        <v>0</v>
      </c>
      <c r="Y45" s="1029">
        <f t="shared" si="29"/>
        <v>0</v>
      </c>
      <c r="Z45" s="1029">
        <f t="shared" si="30"/>
        <v>0</v>
      </c>
      <c r="AA45" s="1018">
        <f t="shared" si="19"/>
        <v>0</v>
      </c>
      <c r="AB45" s="1018">
        <f t="shared" si="19"/>
        <v>0</v>
      </c>
      <c r="AC45" s="1018">
        <f t="shared" si="19"/>
        <v>0</v>
      </c>
      <c r="AD45" s="1018">
        <f t="shared" si="19"/>
        <v>0</v>
      </c>
      <c r="AE45" s="1018">
        <f t="shared" si="19"/>
        <v>0</v>
      </c>
      <c r="AF45" s="1018">
        <f t="shared" si="19"/>
        <v>0</v>
      </c>
      <c r="AG45" s="1029">
        <f t="shared" si="31"/>
        <v>0</v>
      </c>
      <c r="AH45" s="1112"/>
      <c r="AI45" s="1029">
        <f t="shared" si="32"/>
        <v>0</v>
      </c>
      <c r="AJ45" s="1029">
        <f t="shared" si="33"/>
        <v>0</v>
      </c>
      <c r="AK45" s="1029">
        <f t="shared" si="34"/>
        <v>0</v>
      </c>
      <c r="AL45" s="1018">
        <f t="shared" si="20"/>
        <v>0</v>
      </c>
      <c r="AM45" s="1018">
        <f t="shared" si="20"/>
        <v>0</v>
      </c>
      <c r="AN45" s="1018">
        <f t="shared" si="20"/>
        <v>0</v>
      </c>
      <c r="AO45" s="1018">
        <f t="shared" si="20"/>
        <v>0</v>
      </c>
      <c r="AP45" s="1018">
        <f t="shared" si="20"/>
        <v>0</v>
      </c>
      <c r="AQ45" s="1018">
        <f t="shared" si="20"/>
        <v>0</v>
      </c>
      <c r="AR45" s="1029">
        <f t="shared" si="35"/>
        <v>0</v>
      </c>
      <c r="AS45" s="1112"/>
      <c r="AT45" s="1029">
        <f t="shared" si="36"/>
        <v>0</v>
      </c>
      <c r="AU45" s="1029">
        <f t="shared" si="37"/>
        <v>0</v>
      </c>
      <c r="AV45" s="1029">
        <f t="shared" si="38"/>
        <v>0</v>
      </c>
      <c r="AW45" s="1111">
        <f t="shared" si="39"/>
        <v>0</v>
      </c>
      <c r="AX45" s="1111">
        <f t="shared" si="21"/>
        <v>0</v>
      </c>
      <c r="AY45" s="1111">
        <f t="shared" si="21"/>
        <v>0</v>
      </c>
      <c r="AZ45" s="1111">
        <f t="shared" si="21"/>
        <v>0</v>
      </c>
      <c r="BA45" s="1111">
        <f t="shared" si="21"/>
        <v>0</v>
      </c>
      <c r="BB45" s="1111">
        <f t="shared" si="21"/>
        <v>0</v>
      </c>
      <c r="BC45" s="1026">
        <f t="shared" si="40"/>
        <v>0</v>
      </c>
      <c r="BD45" s="1111">
        <f t="shared" si="41"/>
        <v>0</v>
      </c>
      <c r="BE45" s="1111">
        <f t="shared" si="22"/>
        <v>0</v>
      </c>
      <c r="BF45" s="1111">
        <f t="shared" si="22"/>
        <v>0</v>
      </c>
      <c r="BG45" s="1111">
        <f t="shared" si="22"/>
        <v>0</v>
      </c>
      <c r="BH45" s="1111">
        <f t="shared" si="22"/>
        <v>0</v>
      </c>
      <c r="BI45" s="1111">
        <f t="shared" si="22"/>
        <v>0</v>
      </c>
      <c r="BJ45" s="1026">
        <f t="shared" si="42"/>
        <v>0</v>
      </c>
      <c r="BK45" s="1011">
        <f t="shared" si="43"/>
        <v>0</v>
      </c>
      <c r="BL45" s="1026"/>
      <c r="BM45" s="1113"/>
    </row>
    <row r="46" spans="1:65" x14ac:dyDescent="0.25">
      <c r="A46" s="1010" t="s">
        <v>676</v>
      </c>
      <c r="B46" s="1068"/>
      <c r="C46" s="1068"/>
      <c r="D46" s="1068"/>
      <c r="E46" s="1068"/>
      <c r="F46" s="1068">
        <v>7</v>
      </c>
      <c r="G46" s="1068">
        <v>2</v>
      </c>
      <c r="H46" s="1026">
        <f t="shared" si="23"/>
        <v>9</v>
      </c>
      <c r="I46" s="1111">
        <f t="shared" si="24"/>
        <v>0</v>
      </c>
      <c r="J46" s="1111">
        <f t="shared" si="17"/>
        <v>0</v>
      </c>
      <c r="K46" s="1111">
        <f t="shared" si="17"/>
        <v>0</v>
      </c>
      <c r="L46" s="1111">
        <f t="shared" si="17"/>
        <v>0</v>
      </c>
      <c r="M46" s="1111">
        <f t="shared" si="17"/>
        <v>6048</v>
      </c>
      <c r="N46" s="1111">
        <f t="shared" si="25"/>
        <v>2016</v>
      </c>
      <c r="O46" s="1026">
        <f t="shared" si="26"/>
        <v>8064</v>
      </c>
      <c r="P46" s="1018">
        <f t="shared" si="18"/>
        <v>0</v>
      </c>
      <c r="Q46" s="1018">
        <f t="shared" si="18"/>
        <v>0</v>
      </c>
      <c r="R46" s="1018">
        <f t="shared" si="18"/>
        <v>0</v>
      </c>
      <c r="S46" s="1018">
        <f t="shared" si="18"/>
        <v>0</v>
      </c>
      <c r="T46" s="1018">
        <f t="shared" si="18"/>
        <v>241.9</v>
      </c>
      <c r="U46" s="1018">
        <f t="shared" si="18"/>
        <v>68.5</v>
      </c>
      <c r="V46" s="1029">
        <f t="shared" si="27"/>
        <v>310.39999999999998</v>
      </c>
      <c r="W46" s="1112">
        <v>0.5</v>
      </c>
      <c r="X46" s="1029">
        <f t="shared" si="28"/>
        <v>155.19999999999999</v>
      </c>
      <c r="Y46" s="1029">
        <f t="shared" si="29"/>
        <v>124.2</v>
      </c>
      <c r="Z46" s="1029">
        <f t="shared" si="30"/>
        <v>31</v>
      </c>
      <c r="AA46" s="1018">
        <f t="shared" si="19"/>
        <v>0</v>
      </c>
      <c r="AB46" s="1018">
        <f t="shared" si="19"/>
        <v>0</v>
      </c>
      <c r="AC46" s="1018">
        <f t="shared" si="19"/>
        <v>0</v>
      </c>
      <c r="AD46" s="1018">
        <f t="shared" si="19"/>
        <v>0</v>
      </c>
      <c r="AE46" s="1018">
        <f t="shared" si="19"/>
        <v>254</v>
      </c>
      <c r="AF46" s="1018">
        <f t="shared" si="19"/>
        <v>72.599999999999994</v>
      </c>
      <c r="AG46" s="1029">
        <f t="shared" si="31"/>
        <v>326.60000000000002</v>
      </c>
      <c r="AH46" s="1112">
        <v>0.5</v>
      </c>
      <c r="AI46" s="1029">
        <f t="shared" si="32"/>
        <v>163.30000000000001</v>
      </c>
      <c r="AJ46" s="1029">
        <f t="shared" si="33"/>
        <v>130.6</v>
      </c>
      <c r="AK46" s="1029">
        <f t="shared" si="34"/>
        <v>32.700000000000003</v>
      </c>
      <c r="AL46" s="1018">
        <f t="shared" si="20"/>
        <v>0</v>
      </c>
      <c r="AM46" s="1018">
        <f t="shared" si="20"/>
        <v>0</v>
      </c>
      <c r="AN46" s="1018">
        <f t="shared" si="20"/>
        <v>0</v>
      </c>
      <c r="AO46" s="1018">
        <f t="shared" si="20"/>
        <v>0</v>
      </c>
      <c r="AP46" s="1018">
        <f t="shared" si="20"/>
        <v>260.10000000000002</v>
      </c>
      <c r="AQ46" s="1018">
        <f t="shared" si="20"/>
        <v>74.599999999999994</v>
      </c>
      <c r="AR46" s="1029">
        <f t="shared" si="35"/>
        <v>334.7</v>
      </c>
      <c r="AS46" s="1112">
        <v>0.5</v>
      </c>
      <c r="AT46" s="1029">
        <f t="shared" si="36"/>
        <v>167.4</v>
      </c>
      <c r="AU46" s="1029">
        <f t="shared" si="37"/>
        <v>133.9</v>
      </c>
      <c r="AV46" s="1029">
        <f t="shared" si="38"/>
        <v>33.5</v>
      </c>
      <c r="AW46" s="1111">
        <f t="shared" si="39"/>
        <v>0</v>
      </c>
      <c r="AX46" s="1111">
        <f t="shared" si="21"/>
        <v>0</v>
      </c>
      <c r="AY46" s="1111">
        <f t="shared" si="21"/>
        <v>0</v>
      </c>
      <c r="AZ46" s="1111">
        <f t="shared" si="21"/>
        <v>0</v>
      </c>
      <c r="BA46" s="1111">
        <f t="shared" si="21"/>
        <v>3024</v>
      </c>
      <c r="BB46" s="1111">
        <f t="shared" si="21"/>
        <v>1008</v>
      </c>
      <c r="BC46" s="1026">
        <f t="shared" si="40"/>
        <v>4032</v>
      </c>
      <c r="BD46" s="1111">
        <f t="shared" si="41"/>
        <v>0</v>
      </c>
      <c r="BE46" s="1111">
        <f t="shared" si="22"/>
        <v>0</v>
      </c>
      <c r="BF46" s="1111">
        <f t="shared" si="22"/>
        <v>0</v>
      </c>
      <c r="BG46" s="1111">
        <f t="shared" si="22"/>
        <v>0</v>
      </c>
      <c r="BH46" s="1111">
        <f t="shared" si="22"/>
        <v>4</v>
      </c>
      <c r="BI46" s="1111">
        <f t="shared" si="22"/>
        <v>1</v>
      </c>
      <c r="BJ46" s="1026">
        <f t="shared" si="42"/>
        <v>5</v>
      </c>
      <c r="BK46" s="1011">
        <f t="shared" si="43"/>
        <v>0.56000000000000005</v>
      </c>
      <c r="BL46" s="1026"/>
      <c r="BM46" s="1113"/>
    </row>
    <row r="47" spans="1:65" x14ac:dyDescent="0.25">
      <c r="A47" s="1010" t="s">
        <v>677</v>
      </c>
      <c r="B47" s="1068"/>
      <c r="C47" s="1068"/>
      <c r="D47" s="1068"/>
      <c r="E47" s="1068"/>
      <c r="F47" s="1068">
        <v>2</v>
      </c>
      <c r="G47" s="1068">
        <v>1</v>
      </c>
      <c r="H47" s="1026">
        <f t="shared" si="23"/>
        <v>3</v>
      </c>
      <c r="I47" s="1111">
        <f t="shared" si="24"/>
        <v>0</v>
      </c>
      <c r="J47" s="1111">
        <f t="shared" si="24"/>
        <v>0</v>
      </c>
      <c r="K47" s="1111">
        <f t="shared" si="24"/>
        <v>0</v>
      </c>
      <c r="L47" s="1111">
        <f t="shared" si="24"/>
        <v>0</v>
      </c>
      <c r="M47" s="1111">
        <f t="shared" si="24"/>
        <v>1728</v>
      </c>
      <c r="N47" s="1111">
        <f t="shared" si="25"/>
        <v>1008</v>
      </c>
      <c r="O47" s="1026">
        <f t="shared" si="26"/>
        <v>2736</v>
      </c>
      <c r="P47" s="1018">
        <f t="shared" ref="P47:U61" si="44">I47*B$22/1000</f>
        <v>0</v>
      </c>
      <c r="Q47" s="1018">
        <f t="shared" si="44"/>
        <v>0</v>
      </c>
      <c r="R47" s="1018">
        <f t="shared" si="44"/>
        <v>0</v>
      </c>
      <c r="S47" s="1018">
        <f t="shared" si="44"/>
        <v>0</v>
      </c>
      <c r="T47" s="1018">
        <f t="shared" si="44"/>
        <v>69.099999999999994</v>
      </c>
      <c r="U47" s="1018">
        <f t="shared" si="44"/>
        <v>34.299999999999997</v>
      </c>
      <c r="V47" s="1029">
        <f t="shared" si="27"/>
        <v>103.4</v>
      </c>
      <c r="W47" s="1112">
        <v>1</v>
      </c>
      <c r="X47" s="1029">
        <f t="shared" si="28"/>
        <v>103.4</v>
      </c>
      <c r="Y47" s="1029">
        <f t="shared" si="29"/>
        <v>82.7</v>
      </c>
      <c r="Z47" s="1029">
        <f t="shared" si="30"/>
        <v>20.7</v>
      </c>
      <c r="AA47" s="1018">
        <f t="shared" ref="AA47:AF61" si="45">I47*I$22/1000</f>
        <v>0</v>
      </c>
      <c r="AB47" s="1018">
        <f t="shared" si="45"/>
        <v>0</v>
      </c>
      <c r="AC47" s="1018">
        <f t="shared" si="45"/>
        <v>0</v>
      </c>
      <c r="AD47" s="1018">
        <f t="shared" si="45"/>
        <v>0</v>
      </c>
      <c r="AE47" s="1018">
        <f t="shared" si="45"/>
        <v>72.599999999999994</v>
      </c>
      <c r="AF47" s="1018">
        <f t="shared" si="45"/>
        <v>36.299999999999997</v>
      </c>
      <c r="AG47" s="1029">
        <f t="shared" si="31"/>
        <v>108.9</v>
      </c>
      <c r="AH47" s="1112">
        <v>1</v>
      </c>
      <c r="AI47" s="1029">
        <f t="shared" si="32"/>
        <v>108.9</v>
      </c>
      <c r="AJ47" s="1029">
        <f t="shared" si="33"/>
        <v>87.1</v>
      </c>
      <c r="AK47" s="1029">
        <f t="shared" si="34"/>
        <v>21.8</v>
      </c>
      <c r="AL47" s="1018">
        <f t="shared" si="20"/>
        <v>0</v>
      </c>
      <c r="AM47" s="1018">
        <f t="shared" si="20"/>
        <v>0</v>
      </c>
      <c r="AN47" s="1018">
        <f t="shared" si="20"/>
        <v>0</v>
      </c>
      <c r="AO47" s="1018">
        <f t="shared" si="20"/>
        <v>0</v>
      </c>
      <c r="AP47" s="1018">
        <f t="shared" si="20"/>
        <v>74.3</v>
      </c>
      <c r="AQ47" s="1018">
        <f t="shared" si="20"/>
        <v>37.299999999999997</v>
      </c>
      <c r="AR47" s="1029">
        <f t="shared" si="35"/>
        <v>111.6</v>
      </c>
      <c r="AS47" s="1112">
        <v>1</v>
      </c>
      <c r="AT47" s="1029">
        <f t="shared" si="36"/>
        <v>111.6</v>
      </c>
      <c r="AU47" s="1029">
        <f t="shared" si="37"/>
        <v>89.3</v>
      </c>
      <c r="AV47" s="1029">
        <f t="shared" si="38"/>
        <v>22.3</v>
      </c>
      <c r="AW47" s="1111">
        <f t="shared" si="39"/>
        <v>0</v>
      </c>
      <c r="AX47" s="1111">
        <f t="shared" si="21"/>
        <v>0</v>
      </c>
      <c r="AY47" s="1111">
        <f t="shared" si="21"/>
        <v>0</v>
      </c>
      <c r="AZ47" s="1111">
        <f t="shared" si="21"/>
        <v>0</v>
      </c>
      <c r="BA47" s="1111">
        <f t="shared" si="21"/>
        <v>1728</v>
      </c>
      <c r="BB47" s="1111">
        <f t="shared" si="21"/>
        <v>1008</v>
      </c>
      <c r="BC47" s="1026">
        <f t="shared" si="40"/>
        <v>2736</v>
      </c>
      <c r="BD47" s="1111">
        <f t="shared" si="41"/>
        <v>0</v>
      </c>
      <c r="BE47" s="1111">
        <f t="shared" si="22"/>
        <v>0</v>
      </c>
      <c r="BF47" s="1111">
        <f t="shared" si="22"/>
        <v>0</v>
      </c>
      <c r="BG47" s="1111">
        <f t="shared" si="22"/>
        <v>0</v>
      </c>
      <c r="BH47" s="1111">
        <f t="shared" si="22"/>
        <v>2</v>
      </c>
      <c r="BI47" s="1111">
        <f t="shared" si="22"/>
        <v>1</v>
      </c>
      <c r="BJ47" s="1026">
        <f t="shared" si="42"/>
        <v>3</v>
      </c>
      <c r="BK47" s="1011">
        <f t="shared" si="43"/>
        <v>0.33</v>
      </c>
      <c r="BL47" s="1026"/>
      <c r="BM47" s="1113"/>
    </row>
    <row r="48" spans="1:65" x14ac:dyDescent="0.25">
      <c r="A48" s="1010" t="s">
        <v>678</v>
      </c>
      <c r="B48" s="1068"/>
      <c r="C48" s="1068"/>
      <c r="D48" s="1068"/>
      <c r="E48" s="1068"/>
      <c r="F48" s="1068">
        <v>1</v>
      </c>
      <c r="G48" s="1068">
        <v>4</v>
      </c>
      <c r="H48" s="1026">
        <f t="shared" si="23"/>
        <v>5</v>
      </c>
      <c r="I48" s="1111">
        <f t="shared" si="24"/>
        <v>0</v>
      </c>
      <c r="J48" s="1111">
        <f t="shared" si="24"/>
        <v>0</v>
      </c>
      <c r="K48" s="1111">
        <f t="shared" si="24"/>
        <v>0</v>
      </c>
      <c r="L48" s="1111">
        <f t="shared" si="24"/>
        <v>0</v>
      </c>
      <c r="M48" s="1111">
        <f t="shared" si="24"/>
        <v>864</v>
      </c>
      <c r="N48" s="1111">
        <f t="shared" si="25"/>
        <v>4032</v>
      </c>
      <c r="O48" s="1026">
        <f t="shared" si="26"/>
        <v>4896</v>
      </c>
      <c r="P48" s="1018">
        <f t="shared" si="44"/>
        <v>0</v>
      </c>
      <c r="Q48" s="1018">
        <f t="shared" si="44"/>
        <v>0</v>
      </c>
      <c r="R48" s="1018">
        <f t="shared" si="44"/>
        <v>0</v>
      </c>
      <c r="S48" s="1018">
        <f t="shared" si="44"/>
        <v>0</v>
      </c>
      <c r="T48" s="1018">
        <f t="shared" si="44"/>
        <v>34.6</v>
      </c>
      <c r="U48" s="1018">
        <f t="shared" si="44"/>
        <v>137.1</v>
      </c>
      <c r="V48" s="1029">
        <f t="shared" si="27"/>
        <v>171.7</v>
      </c>
      <c r="W48" s="1116">
        <v>0.8</v>
      </c>
      <c r="X48" s="1029">
        <f t="shared" si="28"/>
        <v>137.4</v>
      </c>
      <c r="Y48" s="1029">
        <f t="shared" si="29"/>
        <v>109.9</v>
      </c>
      <c r="Z48" s="1029">
        <f t="shared" si="30"/>
        <v>27.5</v>
      </c>
      <c r="AA48" s="1018">
        <f t="shared" si="45"/>
        <v>0</v>
      </c>
      <c r="AB48" s="1018">
        <f t="shared" si="45"/>
        <v>0</v>
      </c>
      <c r="AC48" s="1018">
        <f t="shared" si="45"/>
        <v>0</v>
      </c>
      <c r="AD48" s="1018">
        <f t="shared" si="45"/>
        <v>0</v>
      </c>
      <c r="AE48" s="1018">
        <f t="shared" si="45"/>
        <v>36.299999999999997</v>
      </c>
      <c r="AF48" s="1018">
        <f t="shared" si="45"/>
        <v>145.19999999999999</v>
      </c>
      <c r="AG48" s="1029">
        <f t="shared" si="31"/>
        <v>181.5</v>
      </c>
      <c r="AH48" s="1116">
        <v>0.8</v>
      </c>
      <c r="AI48" s="1029">
        <f t="shared" si="32"/>
        <v>145.19999999999999</v>
      </c>
      <c r="AJ48" s="1029">
        <f t="shared" si="33"/>
        <v>116.2</v>
      </c>
      <c r="AK48" s="1029">
        <f t="shared" si="34"/>
        <v>29</v>
      </c>
      <c r="AL48" s="1018">
        <f t="shared" si="20"/>
        <v>0</v>
      </c>
      <c r="AM48" s="1018">
        <f t="shared" si="20"/>
        <v>0</v>
      </c>
      <c r="AN48" s="1018">
        <f t="shared" si="20"/>
        <v>0</v>
      </c>
      <c r="AO48" s="1018">
        <f t="shared" si="20"/>
        <v>0</v>
      </c>
      <c r="AP48" s="1018">
        <f t="shared" si="20"/>
        <v>37.200000000000003</v>
      </c>
      <c r="AQ48" s="1018">
        <f t="shared" si="20"/>
        <v>149.19999999999999</v>
      </c>
      <c r="AR48" s="1029">
        <f t="shared" si="35"/>
        <v>186.4</v>
      </c>
      <c r="AS48" s="1116">
        <v>0.8</v>
      </c>
      <c r="AT48" s="1029">
        <f t="shared" si="36"/>
        <v>149.1</v>
      </c>
      <c r="AU48" s="1029">
        <f t="shared" si="37"/>
        <v>119.3</v>
      </c>
      <c r="AV48" s="1029">
        <f t="shared" si="38"/>
        <v>29.8</v>
      </c>
      <c r="AW48" s="1111">
        <f t="shared" si="39"/>
        <v>0</v>
      </c>
      <c r="AX48" s="1111">
        <f t="shared" si="21"/>
        <v>0</v>
      </c>
      <c r="AY48" s="1111">
        <f t="shared" si="21"/>
        <v>0</v>
      </c>
      <c r="AZ48" s="1111">
        <f t="shared" si="21"/>
        <v>0</v>
      </c>
      <c r="BA48" s="1111">
        <f t="shared" si="21"/>
        <v>691</v>
      </c>
      <c r="BB48" s="1111">
        <f t="shared" si="21"/>
        <v>3226</v>
      </c>
      <c r="BC48" s="1026">
        <f t="shared" si="40"/>
        <v>3917</v>
      </c>
      <c r="BD48" s="1111">
        <f t="shared" si="41"/>
        <v>0</v>
      </c>
      <c r="BE48" s="1111">
        <f t="shared" si="22"/>
        <v>0</v>
      </c>
      <c r="BF48" s="1111">
        <f t="shared" si="22"/>
        <v>0</v>
      </c>
      <c r="BG48" s="1111">
        <f t="shared" si="22"/>
        <v>0</v>
      </c>
      <c r="BH48" s="1111">
        <f t="shared" si="22"/>
        <v>1</v>
      </c>
      <c r="BI48" s="1111">
        <f t="shared" si="22"/>
        <v>3</v>
      </c>
      <c r="BJ48" s="1026">
        <f t="shared" si="42"/>
        <v>4</v>
      </c>
      <c r="BK48" s="1011">
        <f t="shared" si="43"/>
        <v>0.44</v>
      </c>
      <c r="BL48" s="1026"/>
      <c r="BM48" s="1113"/>
    </row>
    <row r="49" spans="1:65" x14ac:dyDescent="0.25">
      <c r="A49" s="1010" t="s">
        <v>679</v>
      </c>
      <c r="B49" s="1068"/>
      <c r="C49" s="1068"/>
      <c r="D49" s="1068">
        <v>7</v>
      </c>
      <c r="E49" s="1068"/>
      <c r="F49" s="1068">
        <v>5</v>
      </c>
      <c r="G49" s="1068"/>
      <c r="H49" s="1026">
        <f t="shared" si="23"/>
        <v>12</v>
      </c>
      <c r="I49" s="1111">
        <f t="shared" si="24"/>
        <v>0</v>
      </c>
      <c r="J49" s="1111">
        <f t="shared" si="24"/>
        <v>0</v>
      </c>
      <c r="K49" s="1111">
        <f t="shared" si="24"/>
        <v>6048</v>
      </c>
      <c r="L49" s="1111">
        <f t="shared" si="24"/>
        <v>0</v>
      </c>
      <c r="M49" s="1111">
        <f t="shared" si="24"/>
        <v>4320</v>
      </c>
      <c r="N49" s="1111">
        <f t="shared" si="25"/>
        <v>0</v>
      </c>
      <c r="O49" s="1026">
        <f t="shared" si="26"/>
        <v>10368</v>
      </c>
      <c r="P49" s="1018">
        <f t="shared" si="44"/>
        <v>0</v>
      </c>
      <c r="Q49" s="1018">
        <f t="shared" si="44"/>
        <v>0</v>
      </c>
      <c r="R49" s="1018">
        <f t="shared" si="44"/>
        <v>241.9</v>
      </c>
      <c r="S49" s="1018">
        <f t="shared" si="44"/>
        <v>0</v>
      </c>
      <c r="T49" s="1018">
        <f t="shared" si="44"/>
        <v>172.8</v>
      </c>
      <c r="U49" s="1018">
        <f t="shared" si="44"/>
        <v>0</v>
      </c>
      <c r="V49" s="1029">
        <f t="shared" si="27"/>
        <v>414.7</v>
      </c>
      <c r="W49" s="1115">
        <v>0.5</v>
      </c>
      <c r="X49" s="1029">
        <f t="shared" si="28"/>
        <v>207.4</v>
      </c>
      <c r="Y49" s="1029">
        <f t="shared" si="29"/>
        <v>165.9</v>
      </c>
      <c r="Z49" s="1029">
        <f t="shared" si="30"/>
        <v>41.5</v>
      </c>
      <c r="AA49" s="1018">
        <f t="shared" si="45"/>
        <v>0</v>
      </c>
      <c r="AB49" s="1018">
        <f t="shared" si="45"/>
        <v>0</v>
      </c>
      <c r="AC49" s="1018">
        <f t="shared" si="45"/>
        <v>254</v>
      </c>
      <c r="AD49" s="1018">
        <f t="shared" si="45"/>
        <v>0</v>
      </c>
      <c r="AE49" s="1018">
        <f t="shared" si="45"/>
        <v>181.4</v>
      </c>
      <c r="AF49" s="1018">
        <f t="shared" si="45"/>
        <v>0</v>
      </c>
      <c r="AG49" s="1029">
        <f t="shared" si="31"/>
        <v>435.4</v>
      </c>
      <c r="AH49" s="1115">
        <v>0.5</v>
      </c>
      <c r="AI49" s="1029">
        <f t="shared" si="32"/>
        <v>217.7</v>
      </c>
      <c r="AJ49" s="1029">
        <f t="shared" si="33"/>
        <v>174.2</v>
      </c>
      <c r="AK49" s="1029">
        <f t="shared" si="34"/>
        <v>43.5</v>
      </c>
      <c r="AL49" s="1018">
        <f t="shared" si="20"/>
        <v>0</v>
      </c>
      <c r="AM49" s="1018">
        <f t="shared" si="20"/>
        <v>0</v>
      </c>
      <c r="AN49" s="1018">
        <f t="shared" si="20"/>
        <v>260.10000000000002</v>
      </c>
      <c r="AO49" s="1018">
        <f t="shared" si="20"/>
        <v>0</v>
      </c>
      <c r="AP49" s="1018">
        <f t="shared" si="20"/>
        <v>185.8</v>
      </c>
      <c r="AQ49" s="1018">
        <f t="shared" si="20"/>
        <v>0</v>
      </c>
      <c r="AR49" s="1029">
        <f t="shared" si="35"/>
        <v>445.9</v>
      </c>
      <c r="AS49" s="1115">
        <v>0.5</v>
      </c>
      <c r="AT49" s="1029">
        <f t="shared" si="36"/>
        <v>223</v>
      </c>
      <c r="AU49" s="1029">
        <f t="shared" si="37"/>
        <v>178.4</v>
      </c>
      <c r="AV49" s="1029">
        <f t="shared" si="38"/>
        <v>44.6</v>
      </c>
      <c r="AW49" s="1111">
        <f t="shared" si="39"/>
        <v>0</v>
      </c>
      <c r="AX49" s="1111">
        <f t="shared" si="21"/>
        <v>0</v>
      </c>
      <c r="AY49" s="1111">
        <f t="shared" si="21"/>
        <v>3024</v>
      </c>
      <c r="AZ49" s="1111">
        <f t="shared" si="21"/>
        <v>0</v>
      </c>
      <c r="BA49" s="1111">
        <f t="shared" si="21"/>
        <v>2160</v>
      </c>
      <c r="BB49" s="1111">
        <f t="shared" si="21"/>
        <v>0</v>
      </c>
      <c r="BC49" s="1026">
        <f t="shared" si="40"/>
        <v>5184</v>
      </c>
      <c r="BD49" s="1111">
        <f t="shared" si="41"/>
        <v>0</v>
      </c>
      <c r="BE49" s="1111">
        <f t="shared" si="22"/>
        <v>0</v>
      </c>
      <c r="BF49" s="1111">
        <f t="shared" si="22"/>
        <v>4</v>
      </c>
      <c r="BG49" s="1111">
        <f t="shared" si="22"/>
        <v>0</v>
      </c>
      <c r="BH49" s="1111">
        <f t="shared" si="22"/>
        <v>3</v>
      </c>
      <c r="BI49" s="1111">
        <f t="shared" si="22"/>
        <v>0</v>
      </c>
      <c r="BJ49" s="1026">
        <f t="shared" si="42"/>
        <v>7</v>
      </c>
      <c r="BK49" s="1011">
        <f t="shared" si="43"/>
        <v>0.78</v>
      </c>
      <c r="BL49" s="1026"/>
      <c r="BM49" s="1113"/>
    </row>
    <row r="50" spans="1:65" x14ac:dyDescent="0.25">
      <c r="A50" s="1010" t="s">
        <v>680</v>
      </c>
      <c r="B50" s="1068">
        <v>1</v>
      </c>
      <c r="C50" s="1068">
        <v>1</v>
      </c>
      <c r="D50" s="1068">
        <v>1</v>
      </c>
      <c r="E50" s="1068">
        <v>1</v>
      </c>
      <c r="F50" s="1068">
        <v>2</v>
      </c>
      <c r="G50" s="1068">
        <v>1</v>
      </c>
      <c r="H50" s="1026">
        <f t="shared" si="23"/>
        <v>7</v>
      </c>
      <c r="I50" s="1111">
        <f t="shared" si="24"/>
        <v>864</v>
      </c>
      <c r="J50" s="1111">
        <f t="shared" si="24"/>
        <v>864</v>
      </c>
      <c r="K50" s="1111">
        <f t="shared" si="24"/>
        <v>864</v>
      </c>
      <c r="L50" s="1111">
        <f t="shared" si="24"/>
        <v>864</v>
      </c>
      <c r="M50" s="1111">
        <f t="shared" si="24"/>
        <v>1728</v>
      </c>
      <c r="N50" s="1111">
        <f t="shared" si="25"/>
        <v>1008</v>
      </c>
      <c r="O50" s="1026">
        <f t="shared" si="26"/>
        <v>6192</v>
      </c>
      <c r="P50" s="1018">
        <f t="shared" si="44"/>
        <v>34.6</v>
      </c>
      <c r="Q50" s="1018">
        <f t="shared" si="44"/>
        <v>34.6</v>
      </c>
      <c r="R50" s="1018">
        <f t="shared" si="44"/>
        <v>34.6</v>
      </c>
      <c r="S50" s="1018">
        <f t="shared" si="44"/>
        <v>34.6</v>
      </c>
      <c r="T50" s="1018">
        <f t="shared" si="44"/>
        <v>69.099999999999994</v>
      </c>
      <c r="U50" s="1018">
        <f t="shared" si="44"/>
        <v>34.299999999999997</v>
      </c>
      <c r="V50" s="1029">
        <f t="shared" si="27"/>
        <v>241.8</v>
      </c>
      <c r="W50" s="1112">
        <v>0.6</v>
      </c>
      <c r="X50" s="1029">
        <f t="shared" si="28"/>
        <v>145.1</v>
      </c>
      <c r="Y50" s="1029">
        <f t="shared" si="29"/>
        <v>116.1</v>
      </c>
      <c r="Z50" s="1029">
        <f t="shared" si="30"/>
        <v>29</v>
      </c>
      <c r="AA50" s="1018">
        <f t="shared" si="45"/>
        <v>36.299999999999997</v>
      </c>
      <c r="AB50" s="1018">
        <f t="shared" si="45"/>
        <v>36.299999999999997</v>
      </c>
      <c r="AC50" s="1018">
        <f t="shared" si="45"/>
        <v>36.299999999999997</v>
      </c>
      <c r="AD50" s="1018">
        <f t="shared" si="45"/>
        <v>36.299999999999997</v>
      </c>
      <c r="AE50" s="1018">
        <f t="shared" si="45"/>
        <v>72.599999999999994</v>
      </c>
      <c r="AF50" s="1018">
        <f t="shared" si="45"/>
        <v>36.299999999999997</v>
      </c>
      <c r="AG50" s="1029">
        <f t="shared" si="31"/>
        <v>254.1</v>
      </c>
      <c r="AH50" s="1112">
        <v>0.6</v>
      </c>
      <c r="AI50" s="1029">
        <f t="shared" si="32"/>
        <v>152.5</v>
      </c>
      <c r="AJ50" s="1029">
        <f t="shared" si="33"/>
        <v>122</v>
      </c>
      <c r="AK50" s="1029">
        <f t="shared" si="34"/>
        <v>30.5</v>
      </c>
      <c r="AL50" s="1018">
        <f t="shared" si="20"/>
        <v>37.200000000000003</v>
      </c>
      <c r="AM50" s="1018">
        <f t="shared" si="20"/>
        <v>37.200000000000003</v>
      </c>
      <c r="AN50" s="1018">
        <f t="shared" si="20"/>
        <v>37.200000000000003</v>
      </c>
      <c r="AO50" s="1018">
        <f t="shared" si="20"/>
        <v>37.200000000000003</v>
      </c>
      <c r="AP50" s="1018">
        <f t="shared" si="20"/>
        <v>74.3</v>
      </c>
      <c r="AQ50" s="1018">
        <f t="shared" si="20"/>
        <v>37.299999999999997</v>
      </c>
      <c r="AR50" s="1029">
        <f t="shared" si="35"/>
        <v>260.39999999999998</v>
      </c>
      <c r="AS50" s="1112">
        <v>0.6</v>
      </c>
      <c r="AT50" s="1029">
        <f t="shared" si="36"/>
        <v>156.19999999999999</v>
      </c>
      <c r="AU50" s="1029">
        <f t="shared" si="37"/>
        <v>125</v>
      </c>
      <c r="AV50" s="1029">
        <f t="shared" si="38"/>
        <v>31.2</v>
      </c>
      <c r="AW50" s="1111">
        <f t="shared" si="39"/>
        <v>518</v>
      </c>
      <c r="AX50" s="1111">
        <f t="shared" si="21"/>
        <v>518</v>
      </c>
      <c r="AY50" s="1111">
        <f t="shared" si="21"/>
        <v>518</v>
      </c>
      <c r="AZ50" s="1111">
        <f t="shared" si="21"/>
        <v>518</v>
      </c>
      <c r="BA50" s="1111">
        <f t="shared" si="21"/>
        <v>1037</v>
      </c>
      <c r="BB50" s="1111">
        <f t="shared" si="21"/>
        <v>605</v>
      </c>
      <c r="BC50" s="1026">
        <f t="shared" si="40"/>
        <v>3714</v>
      </c>
      <c r="BD50" s="1111">
        <f t="shared" si="41"/>
        <v>1</v>
      </c>
      <c r="BE50" s="1111">
        <f t="shared" si="22"/>
        <v>1</v>
      </c>
      <c r="BF50" s="1111">
        <f t="shared" si="22"/>
        <v>1</v>
      </c>
      <c r="BG50" s="1111">
        <f t="shared" si="22"/>
        <v>1</v>
      </c>
      <c r="BH50" s="1111">
        <f t="shared" si="22"/>
        <v>1</v>
      </c>
      <c r="BI50" s="1111">
        <f t="shared" si="22"/>
        <v>1</v>
      </c>
      <c r="BJ50" s="1026">
        <f t="shared" si="42"/>
        <v>6</v>
      </c>
      <c r="BK50" s="1011">
        <f t="shared" si="43"/>
        <v>0.67</v>
      </c>
      <c r="BL50" s="1026"/>
      <c r="BM50" s="1113"/>
    </row>
    <row r="51" spans="1:65" x14ac:dyDescent="0.25">
      <c r="A51" s="1010" t="s">
        <v>681</v>
      </c>
      <c r="B51" s="1068"/>
      <c r="C51" s="1068"/>
      <c r="D51" s="1068"/>
      <c r="E51" s="1068"/>
      <c r="F51" s="1068">
        <v>4</v>
      </c>
      <c r="G51" s="1068">
        <v>3</v>
      </c>
      <c r="H51" s="1026">
        <f t="shared" si="23"/>
        <v>7</v>
      </c>
      <c r="I51" s="1111">
        <f t="shared" si="24"/>
        <v>0</v>
      </c>
      <c r="J51" s="1111">
        <f t="shared" si="24"/>
        <v>0</v>
      </c>
      <c r="K51" s="1111">
        <f t="shared" si="24"/>
        <v>0</v>
      </c>
      <c r="L51" s="1111">
        <f t="shared" si="24"/>
        <v>0</v>
      </c>
      <c r="M51" s="1111">
        <f t="shared" si="24"/>
        <v>3456</v>
      </c>
      <c r="N51" s="1111">
        <f t="shared" si="25"/>
        <v>3024</v>
      </c>
      <c r="O51" s="1026">
        <f t="shared" si="26"/>
        <v>6480</v>
      </c>
      <c r="P51" s="1018">
        <f t="shared" si="44"/>
        <v>0</v>
      </c>
      <c r="Q51" s="1018">
        <f t="shared" si="44"/>
        <v>0</v>
      </c>
      <c r="R51" s="1018">
        <f t="shared" si="44"/>
        <v>0</v>
      </c>
      <c r="S51" s="1018">
        <f t="shared" si="44"/>
        <v>0</v>
      </c>
      <c r="T51" s="1018">
        <f t="shared" si="44"/>
        <v>138.19999999999999</v>
      </c>
      <c r="U51" s="1018">
        <f t="shared" si="44"/>
        <v>102.8</v>
      </c>
      <c r="V51" s="1029">
        <f t="shared" si="27"/>
        <v>241</v>
      </c>
      <c r="W51" s="1112">
        <v>0.6</v>
      </c>
      <c r="X51" s="1029">
        <f t="shared" si="28"/>
        <v>144.6</v>
      </c>
      <c r="Y51" s="1029">
        <f t="shared" si="29"/>
        <v>115.7</v>
      </c>
      <c r="Z51" s="1029">
        <f t="shared" si="30"/>
        <v>28.9</v>
      </c>
      <c r="AA51" s="1018">
        <f t="shared" si="45"/>
        <v>0</v>
      </c>
      <c r="AB51" s="1018">
        <f t="shared" si="45"/>
        <v>0</v>
      </c>
      <c r="AC51" s="1018">
        <f t="shared" si="45"/>
        <v>0</v>
      </c>
      <c r="AD51" s="1018">
        <f t="shared" si="45"/>
        <v>0</v>
      </c>
      <c r="AE51" s="1018">
        <f t="shared" si="45"/>
        <v>145.19999999999999</v>
      </c>
      <c r="AF51" s="1018">
        <f t="shared" si="45"/>
        <v>108.9</v>
      </c>
      <c r="AG51" s="1029">
        <f t="shared" si="31"/>
        <v>254.1</v>
      </c>
      <c r="AH51" s="1112">
        <v>0.6</v>
      </c>
      <c r="AI51" s="1029">
        <f t="shared" si="32"/>
        <v>152.5</v>
      </c>
      <c r="AJ51" s="1029">
        <f t="shared" si="33"/>
        <v>122</v>
      </c>
      <c r="AK51" s="1029">
        <f t="shared" si="34"/>
        <v>30.5</v>
      </c>
      <c r="AL51" s="1018">
        <f t="shared" si="20"/>
        <v>0</v>
      </c>
      <c r="AM51" s="1018">
        <f t="shared" si="20"/>
        <v>0</v>
      </c>
      <c r="AN51" s="1018">
        <f t="shared" si="20"/>
        <v>0</v>
      </c>
      <c r="AO51" s="1018">
        <f t="shared" si="20"/>
        <v>0</v>
      </c>
      <c r="AP51" s="1018">
        <f t="shared" si="20"/>
        <v>148.6</v>
      </c>
      <c r="AQ51" s="1018">
        <f t="shared" si="20"/>
        <v>111.9</v>
      </c>
      <c r="AR51" s="1029">
        <f t="shared" si="35"/>
        <v>260.5</v>
      </c>
      <c r="AS51" s="1112">
        <v>0.6</v>
      </c>
      <c r="AT51" s="1029">
        <f t="shared" si="36"/>
        <v>156.30000000000001</v>
      </c>
      <c r="AU51" s="1029">
        <f t="shared" si="37"/>
        <v>125</v>
      </c>
      <c r="AV51" s="1029">
        <f t="shared" si="38"/>
        <v>31.3</v>
      </c>
      <c r="AW51" s="1111">
        <f t="shared" si="39"/>
        <v>0</v>
      </c>
      <c r="AX51" s="1111">
        <f t="shared" si="21"/>
        <v>0</v>
      </c>
      <c r="AY51" s="1111">
        <f t="shared" si="21"/>
        <v>0</v>
      </c>
      <c r="AZ51" s="1111">
        <f t="shared" si="21"/>
        <v>0</v>
      </c>
      <c r="BA51" s="1111">
        <f t="shared" si="21"/>
        <v>2074</v>
      </c>
      <c r="BB51" s="1111">
        <f t="shared" si="21"/>
        <v>1814</v>
      </c>
      <c r="BC51" s="1026">
        <f t="shared" si="40"/>
        <v>3888</v>
      </c>
      <c r="BD51" s="1111">
        <f t="shared" si="41"/>
        <v>0</v>
      </c>
      <c r="BE51" s="1111">
        <f t="shared" si="22"/>
        <v>0</v>
      </c>
      <c r="BF51" s="1111">
        <f t="shared" si="22"/>
        <v>0</v>
      </c>
      <c r="BG51" s="1111">
        <f t="shared" si="22"/>
        <v>0</v>
      </c>
      <c r="BH51" s="1111">
        <f t="shared" si="22"/>
        <v>2</v>
      </c>
      <c r="BI51" s="1111">
        <f t="shared" si="22"/>
        <v>2</v>
      </c>
      <c r="BJ51" s="1026">
        <f t="shared" si="42"/>
        <v>4</v>
      </c>
      <c r="BK51" s="1011">
        <f t="shared" si="43"/>
        <v>0.44</v>
      </c>
      <c r="BL51" s="1026"/>
      <c r="BM51" s="1113"/>
    </row>
    <row r="52" spans="1:65" x14ac:dyDescent="0.25">
      <c r="A52" s="1010" t="s">
        <v>682</v>
      </c>
      <c r="B52" s="1068"/>
      <c r="C52" s="1068"/>
      <c r="D52" s="1068"/>
      <c r="E52" s="1068"/>
      <c r="F52" s="1068"/>
      <c r="G52" s="1068"/>
      <c r="H52" s="1026">
        <f t="shared" si="23"/>
        <v>0</v>
      </c>
      <c r="I52" s="1111">
        <f t="shared" si="24"/>
        <v>0</v>
      </c>
      <c r="J52" s="1111">
        <f t="shared" si="24"/>
        <v>0</v>
      </c>
      <c r="K52" s="1111">
        <f t="shared" si="24"/>
        <v>0</v>
      </c>
      <c r="L52" s="1111">
        <f t="shared" si="24"/>
        <v>0</v>
      </c>
      <c r="M52" s="1111">
        <f t="shared" si="24"/>
        <v>0</v>
      </c>
      <c r="N52" s="1111">
        <f t="shared" si="25"/>
        <v>0</v>
      </c>
      <c r="O52" s="1026">
        <f t="shared" si="26"/>
        <v>0</v>
      </c>
      <c r="P52" s="1018">
        <f t="shared" si="44"/>
        <v>0</v>
      </c>
      <c r="Q52" s="1018">
        <f t="shared" si="44"/>
        <v>0</v>
      </c>
      <c r="R52" s="1018">
        <f t="shared" si="44"/>
        <v>0</v>
      </c>
      <c r="S52" s="1018">
        <f t="shared" si="44"/>
        <v>0</v>
      </c>
      <c r="T52" s="1018">
        <f t="shared" si="44"/>
        <v>0</v>
      </c>
      <c r="U52" s="1018">
        <f t="shared" si="44"/>
        <v>0</v>
      </c>
      <c r="V52" s="1029">
        <f t="shared" si="27"/>
        <v>0</v>
      </c>
      <c r="W52" s="1112"/>
      <c r="X52" s="1029">
        <f t="shared" si="28"/>
        <v>0</v>
      </c>
      <c r="Y52" s="1029">
        <f t="shared" si="29"/>
        <v>0</v>
      </c>
      <c r="Z52" s="1029">
        <f t="shared" si="30"/>
        <v>0</v>
      </c>
      <c r="AA52" s="1018">
        <f t="shared" si="45"/>
        <v>0</v>
      </c>
      <c r="AB52" s="1018">
        <f t="shared" si="45"/>
        <v>0</v>
      </c>
      <c r="AC52" s="1018">
        <f t="shared" si="45"/>
        <v>0</v>
      </c>
      <c r="AD52" s="1018">
        <f t="shared" si="45"/>
        <v>0</v>
      </c>
      <c r="AE52" s="1018">
        <f t="shared" si="45"/>
        <v>0</v>
      </c>
      <c r="AF52" s="1018">
        <f t="shared" si="45"/>
        <v>0</v>
      </c>
      <c r="AG52" s="1029">
        <f t="shared" si="31"/>
        <v>0</v>
      </c>
      <c r="AH52" s="1112"/>
      <c r="AI52" s="1029">
        <f t="shared" si="32"/>
        <v>0</v>
      </c>
      <c r="AJ52" s="1029">
        <f t="shared" si="33"/>
        <v>0</v>
      </c>
      <c r="AK52" s="1029">
        <f t="shared" si="34"/>
        <v>0</v>
      </c>
      <c r="AL52" s="1018">
        <f t="shared" si="20"/>
        <v>0</v>
      </c>
      <c r="AM52" s="1018">
        <f t="shared" si="20"/>
        <v>0</v>
      </c>
      <c r="AN52" s="1018">
        <f t="shared" si="20"/>
        <v>0</v>
      </c>
      <c r="AO52" s="1018">
        <f t="shared" si="20"/>
        <v>0</v>
      </c>
      <c r="AP52" s="1018">
        <f t="shared" si="20"/>
        <v>0</v>
      </c>
      <c r="AQ52" s="1018">
        <f t="shared" si="20"/>
        <v>0</v>
      </c>
      <c r="AR52" s="1029">
        <f t="shared" si="35"/>
        <v>0</v>
      </c>
      <c r="AS52" s="1112"/>
      <c r="AT52" s="1029">
        <f t="shared" si="36"/>
        <v>0</v>
      </c>
      <c r="AU52" s="1029">
        <f t="shared" si="37"/>
        <v>0</v>
      </c>
      <c r="AV52" s="1029">
        <f t="shared" si="38"/>
        <v>0</v>
      </c>
      <c r="AW52" s="1111">
        <f t="shared" si="39"/>
        <v>0</v>
      </c>
      <c r="AX52" s="1111">
        <f t="shared" si="21"/>
        <v>0</v>
      </c>
      <c r="AY52" s="1111">
        <f t="shared" si="21"/>
        <v>0</v>
      </c>
      <c r="AZ52" s="1111">
        <f t="shared" si="21"/>
        <v>0</v>
      </c>
      <c r="BA52" s="1111">
        <f t="shared" si="21"/>
        <v>0</v>
      </c>
      <c r="BB52" s="1111">
        <f t="shared" si="21"/>
        <v>0</v>
      </c>
      <c r="BC52" s="1026">
        <f t="shared" si="40"/>
        <v>0</v>
      </c>
      <c r="BD52" s="1111">
        <f t="shared" si="41"/>
        <v>0</v>
      </c>
      <c r="BE52" s="1111">
        <f t="shared" si="22"/>
        <v>0</v>
      </c>
      <c r="BF52" s="1111">
        <f t="shared" si="22"/>
        <v>0</v>
      </c>
      <c r="BG52" s="1111">
        <f t="shared" si="22"/>
        <v>0</v>
      </c>
      <c r="BH52" s="1111">
        <f t="shared" si="22"/>
        <v>0</v>
      </c>
      <c r="BI52" s="1111">
        <f t="shared" si="22"/>
        <v>0</v>
      </c>
      <c r="BJ52" s="1026">
        <f t="shared" si="42"/>
        <v>0</v>
      </c>
      <c r="BK52" s="1011">
        <f t="shared" si="43"/>
        <v>0</v>
      </c>
      <c r="BL52" s="1026"/>
      <c r="BM52" s="1113"/>
    </row>
    <row r="53" spans="1:65" x14ac:dyDescent="0.25">
      <c r="A53" s="1010" t="s">
        <v>683</v>
      </c>
      <c r="B53" s="1068"/>
      <c r="C53" s="1068"/>
      <c r="D53" s="1068"/>
      <c r="E53" s="1068">
        <v>6</v>
      </c>
      <c r="F53" s="1068">
        <v>8</v>
      </c>
      <c r="G53" s="1068">
        <v>2</v>
      </c>
      <c r="H53" s="1026">
        <f t="shared" si="23"/>
        <v>16</v>
      </c>
      <c r="I53" s="1111">
        <f t="shared" si="24"/>
        <v>0</v>
      </c>
      <c r="J53" s="1111">
        <f t="shared" si="24"/>
        <v>0</v>
      </c>
      <c r="K53" s="1111">
        <f t="shared" si="24"/>
        <v>0</v>
      </c>
      <c r="L53" s="1111">
        <f t="shared" si="24"/>
        <v>5184</v>
      </c>
      <c r="M53" s="1111">
        <f t="shared" si="24"/>
        <v>6912</v>
      </c>
      <c r="N53" s="1111">
        <f t="shared" si="25"/>
        <v>2016</v>
      </c>
      <c r="O53" s="1026">
        <f t="shared" si="26"/>
        <v>14112</v>
      </c>
      <c r="P53" s="1018">
        <f t="shared" si="44"/>
        <v>0</v>
      </c>
      <c r="Q53" s="1018">
        <f t="shared" si="44"/>
        <v>0</v>
      </c>
      <c r="R53" s="1018">
        <f t="shared" si="44"/>
        <v>0</v>
      </c>
      <c r="S53" s="1018">
        <f t="shared" si="44"/>
        <v>207.4</v>
      </c>
      <c r="T53" s="1018">
        <f t="shared" si="44"/>
        <v>276.5</v>
      </c>
      <c r="U53" s="1018">
        <f t="shared" si="44"/>
        <v>68.5</v>
      </c>
      <c r="V53" s="1029">
        <f t="shared" si="27"/>
        <v>552.4</v>
      </c>
      <c r="W53" s="1115">
        <v>0.4</v>
      </c>
      <c r="X53" s="1029">
        <f t="shared" si="28"/>
        <v>221</v>
      </c>
      <c r="Y53" s="1029">
        <f t="shared" si="29"/>
        <v>176.8</v>
      </c>
      <c r="Z53" s="1029">
        <f t="shared" si="30"/>
        <v>44.2</v>
      </c>
      <c r="AA53" s="1018">
        <f t="shared" si="45"/>
        <v>0</v>
      </c>
      <c r="AB53" s="1018">
        <f t="shared" si="45"/>
        <v>0</v>
      </c>
      <c r="AC53" s="1018">
        <f t="shared" si="45"/>
        <v>0</v>
      </c>
      <c r="AD53" s="1018">
        <f t="shared" si="45"/>
        <v>217.7</v>
      </c>
      <c r="AE53" s="1018">
        <f t="shared" si="45"/>
        <v>290.3</v>
      </c>
      <c r="AF53" s="1018">
        <f t="shared" si="45"/>
        <v>72.599999999999994</v>
      </c>
      <c r="AG53" s="1029">
        <f t="shared" si="31"/>
        <v>580.6</v>
      </c>
      <c r="AH53" s="1115">
        <v>0.4</v>
      </c>
      <c r="AI53" s="1029">
        <f t="shared" si="32"/>
        <v>232.2</v>
      </c>
      <c r="AJ53" s="1029">
        <f t="shared" si="33"/>
        <v>185.8</v>
      </c>
      <c r="AK53" s="1029">
        <f t="shared" si="34"/>
        <v>46.4</v>
      </c>
      <c r="AL53" s="1018">
        <f t="shared" si="20"/>
        <v>0</v>
      </c>
      <c r="AM53" s="1018">
        <f t="shared" si="20"/>
        <v>0</v>
      </c>
      <c r="AN53" s="1018">
        <f t="shared" si="20"/>
        <v>0</v>
      </c>
      <c r="AO53" s="1018">
        <f t="shared" si="20"/>
        <v>222.9</v>
      </c>
      <c r="AP53" s="1018">
        <f t="shared" si="20"/>
        <v>297.2</v>
      </c>
      <c r="AQ53" s="1018">
        <f t="shared" si="20"/>
        <v>74.599999999999994</v>
      </c>
      <c r="AR53" s="1029">
        <f t="shared" si="35"/>
        <v>594.70000000000005</v>
      </c>
      <c r="AS53" s="1115">
        <v>0.4</v>
      </c>
      <c r="AT53" s="1029">
        <f t="shared" si="36"/>
        <v>237.9</v>
      </c>
      <c r="AU53" s="1029">
        <f t="shared" si="37"/>
        <v>190.3</v>
      </c>
      <c r="AV53" s="1029">
        <f t="shared" si="38"/>
        <v>47.6</v>
      </c>
      <c r="AW53" s="1111">
        <f t="shared" si="39"/>
        <v>0</v>
      </c>
      <c r="AX53" s="1111">
        <f t="shared" si="21"/>
        <v>0</v>
      </c>
      <c r="AY53" s="1111">
        <f t="shared" si="21"/>
        <v>0</v>
      </c>
      <c r="AZ53" s="1111">
        <f t="shared" si="21"/>
        <v>2074</v>
      </c>
      <c r="BA53" s="1111">
        <f t="shared" si="21"/>
        <v>2765</v>
      </c>
      <c r="BB53" s="1111">
        <f t="shared" si="21"/>
        <v>806</v>
      </c>
      <c r="BC53" s="1026">
        <f t="shared" si="40"/>
        <v>5645</v>
      </c>
      <c r="BD53" s="1111">
        <f t="shared" si="41"/>
        <v>0</v>
      </c>
      <c r="BE53" s="1111">
        <f t="shared" si="22"/>
        <v>0</v>
      </c>
      <c r="BF53" s="1111">
        <f t="shared" si="22"/>
        <v>0</v>
      </c>
      <c r="BG53" s="1111">
        <f t="shared" si="22"/>
        <v>2</v>
      </c>
      <c r="BH53" s="1111">
        <f t="shared" si="22"/>
        <v>3</v>
      </c>
      <c r="BI53" s="1111">
        <f t="shared" si="22"/>
        <v>1</v>
      </c>
      <c r="BJ53" s="1026">
        <f t="shared" si="42"/>
        <v>6</v>
      </c>
      <c r="BK53" s="1011">
        <f t="shared" si="43"/>
        <v>0.67</v>
      </c>
      <c r="BL53" s="1026"/>
      <c r="BM53" s="1113"/>
    </row>
    <row r="54" spans="1:65" x14ac:dyDescent="0.25">
      <c r="A54" s="1010" t="s">
        <v>684</v>
      </c>
      <c r="B54" s="1068"/>
      <c r="C54" s="1068"/>
      <c r="D54" s="1068"/>
      <c r="E54" s="1068"/>
      <c r="F54" s="1068">
        <v>3</v>
      </c>
      <c r="G54" s="1068">
        <v>2</v>
      </c>
      <c r="H54" s="1026">
        <f t="shared" si="23"/>
        <v>5</v>
      </c>
      <c r="I54" s="1111">
        <f t="shared" si="24"/>
        <v>0</v>
      </c>
      <c r="J54" s="1111">
        <f t="shared" si="24"/>
        <v>0</v>
      </c>
      <c r="K54" s="1111">
        <f t="shared" si="24"/>
        <v>0</v>
      </c>
      <c r="L54" s="1111">
        <f t="shared" si="24"/>
        <v>0</v>
      </c>
      <c r="M54" s="1111">
        <f t="shared" si="24"/>
        <v>2592</v>
      </c>
      <c r="N54" s="1111">
        <f t="shared" si="25"/>
        <v>2016</v>
      </c>
      <c r="O54" s="1026">
        <f t="shared" si="26"/>
        <v>4608</v>
      </c>
      <c r="P54" s="1018">
        <f t="shared" si="44"/>
        <v>0</v>
      </c>
      <c r="Q54" s="1018">
        <f t="shared" si="44"/>
        <v>0</v>
      </c>
      <c r="R54" s="1018">
        <f t="shared" si="44"/>
        <v>0</v>
      </c>
      <c r="S54" s="1018">
        <f t="shared" si="44"/>
        <v>0</v>
      </c>
      <c r="T54" s="1018">
        <f t="shared" si="44"/>
        <v>103.7</v>
      </c>
      <c r="U54" s="1018">
        <f t="shared" si="44"/>
        <v>68.5</v>
      </c>
      <c r="V54" s="1029">
        <f t="shared" si="27"/>
        <v>172.2</v>
      </c>
      <c r="W54" s="1116">
        <v>0.8</v>
      </c>
      <c r="X54" s="1029">
        <f t="shared" si="28"/>
        <v>137.80000000000001</v>
      </c>
      <c r="Y54" s="1029">
        <f t="shared" si="29"/>
        <v>110.2</v>
      </c>
      <c r="Z54" s="1029">
        <f t="shared" si="30"/>
        <v>27.6</v>
      </c>
      <c r="AA54" s="1018">
        <f t="shared" si="45"/>
        <v>0</v>
      </c>
      <c r="AB54" s="1018">
        <f t="shared" si="45"/>
        <v>0</v>
      </c>
      <c r="AC54" s="1018">
        <f t="shared" si="45"/>
        <v>0</v>
      </c>
      <c r="AD54" s="1018">
        <f t="shared" si="45"/>
        <v>0</v>
      </c>
      <c r="AE54" s="1018">
        <f t="shared" si="45"/>
        <v>108.9</v>
      </c>
      <c r="AF54" s="1018">
        <f t="shared" si="45"/>
        <v>72.599999999999994</v>
      </c>
      <c r="AG54" s="1029">
        <f t="shared" si="31"/>
        <v>181.5</v>
      </c>
      <c r="AH54" s="1116">
        <v>0.8</v>
      </c>
      <c r="AI54" s="1029">
        <f t="shared" si="32"/>
        <v>145.19999999999999</v>
      </c>
      <c r="AJ54" s="1029">
        <f t="shared" si="33"/>
        <v>116.2</v>
      </c>
      <c r="AK54" s="1029">
        <f t="shared" si="34"/>
        <v>29</v>
      </c>
      <c r="AL54" s="1018">
        <f t="shared" si="20"/>
        <v>0</v>
      </c>
      <c r="AM54" s="1018">
        <f t="shared" si="20"/>
        <v>0</v>
      </c>
      <c r="AN54" s="1018">
        <f t="shared" si="20"/>
        <v>0</v>
      </c>
      <c r="AO54" s="1018">
        <f t="shared" si="20"/>
        <v>0</v>
      </c>
      <c r="AP54" s="1018">
        <f t="shared" si="20"/>
        <v>111.5</v>
      </c>
      <c r="AQ54" s="1018">
        <f t="shared" si="20"/>
        <v>74.599999999999994</v>
      </c>
      <c r="AR54" s="1029">
        <f t="shared" si="35"/>
        <v>186.1</v>
      </c>
      <c r="AS54" s="1116">
        <v>0.8</v>
      </c>
      <c r="AT54" s="1029">
        <f t="shared" si="36"/>
        <v>148.9</v>
      </c>
      <c r="AU54" s="1029">
        <f t="shared" si="37"/>
        <v>119.1</v>
      </c>
      <c r="AV54" s="1029">
        <f t="shared" si="38"/>
        <v>29.8</v>
      </c>
      <c r="AW54" s="1111">
        <f t="shared" si="39"/>
        <v>0</v>
      </c>
      <c r="AX54" s="1111">
        <f t="shared" si="21"/>
        <v>0</v>
      </c>
      <c r="AY54" s="1111">
        <f t="shared" si="21"/>
        <v>0</v>
      </c>
      <c r="AZ54" s="1111">
        <f t="shared" si="21"/>
        <v>0</v>
      </c>
      <c r="BA54" s="1111">
        <f t="shared" si="21"/>
        <v>2074</v>
      </c>
      <c r="BB54" s="1111">
        <f t="shared" si="21"/>
        <v>1613</v>
      </c>
      <c r="BC54" s="1026">
        <f t="shared" si="40"/>
        <v>3687</v>
      </c>
      <c r="BD54" s="1111">
        <f t="shared" si="41"/>
        <v>0</v>
      </c>
      <c r="BE54" s="1111">
        <f t="shared" si="22"/>
        <v>0</v>
      </c>
      <c r="BF54" s="1111">
        <f t="shared" si="22"/>
        <v>0</v>
      </c>
      <c r="BG54" s="1111">
        <f t="shared" si="22"/>
        <v>0</v>
      </c>
      <c r="BH54" s="1111">
        <f t="shared" si="22"/>
        <v>2</v>
      </c>
      <c r="BI54" s="1111">
        <f t="shared" si="22"/>
        <v>2</v>
      </c>
      <c r="BJ54" s="1026">
        <f t="shared" si="42"/>
        <v>4</v>
      </c>
      <c r="BK54" s="1011">
        <f t="shared" si="43"/>
        <v>0.44</v>
      </c>
      <c r="BL54" s="1026"/>
      <c r="BM54" s="1113"/>
    </row>
    <row r="55" spans="1:65" x14ac:dyDescent="0.25">
      <c r="A55" s="1010" t="s">
        <v>685</v>
      </c>
      <c r="B55" s="1068"/>
      <c r="C55" s="1068"/>
      <c r="D55" s="1068"/>
      <c r="E55" s="1068"/>
      <c r="F55" s="1068">
        <v>13</v>
      </c>
      <c r="G55" s="1068">
        <v>16</v>
      </c>
      <c r="H55" s="1026">
        <f t="shared" si="23"/>
        <v>29</v>
      </c>
      <c r="I55" s="1111">
        <f t="shared" si="24"/>
        <v>0</v>
      </c>
      <c r="J55" s="1111">
        <f t="shared" si="24"/>
        <v>0</v>
      </c>
      <c r="K55" s="1111">
        <f t="shared" si="24"/>
        <v>0</v>
      </c>
      <c r="L55" s="1111">
        <f t="shared" si="24"/>
        <v>0</v>
      </c>
      <c r="M55" s="1111">
        <f t="shared" si="24"/>
        <v>11232</v>
      </c>
      <c r="N55" s="1111">
        <f t="shared" si="25"/>
        <v>16128</v>
      </c>
      <c r="O55" s="1026">
        <f t="shared" si="26"/>
        <v>27360</v>
      </c>
      <c r="P55" s="1018">
        <f t="shared" si="44"/>
        <v>0</v>
      </c>
      <c r="Q55" s="1018">
        <f t="shared" si="44"/>
        <v>0</v>
      </c>
      <c r="R55" s="1018">
        <f t="shared" si="44"/>
        <v>0</v>
      </c>
      <c r="S55" s="1018">
        <f t="shared" si="44"/>
        <v>0</v>
      </c>
      <c r="T55" s="1018">
        <f t="shared" si="44"/>
        <v>449.3</v>
      </c>
      <c r="U55" s="1018">
        <f t="shared" si="44"/>
        <v>548.4</v>
      </c>
      <c r="V55" s="1029">
        <f t="shared" si="27"/>
        <v>997.7</v>
      </c>
      <c r="W55" s="1117">
        <v>0.28000000000000003</v>
      </c>
      <c r="X55" s="1029">
        <f t="shared" si="28"/>
        <v>279.39999999999998</v>
      </c>
      <c r="Y55" s="1029">
        <f t="shared" si="29"/>
        <v>223.5</v>
      </c>
      <c r="Z55" s="1029">
        <f t="shared" si="30"/>
        <v>55.9</v>
      </c>
      <c r="AA55" s="1018">
        <f t="shared" si="45"/>
        <v>0</v>
      </c>
      <c r="AB55" s="1018">
        <f t="shared" si="45"/>
        <v>0</v>
      </c>
      <c r="AC55" s="1018">
        <f t="shared" si="45"/>
        <v>0</v>
      </c>
      <c r="AD55" s="1018">
        <f t="shared" si="45"/>
        <v>0</v>
      </c>
      <c r="AE55" s="1018">
        <f t="shared" si="45"/>
        <v>471.7</v>
      </c>
      <c r="AF55" s="1018">
        <f t="shared" si="45"/>
        <v>580.6</v>
      </c>
      <c r="AG55" s="1029">
        <f t="shared" si="31"/>
        <v>1052.3</v>
      </c>
      <c r="AH55" s="1117">
        <v>0.28000000000000003</v>
      </c>
      <c r="AI55" s="1029">
        <f t="shared" si="32"/>
        <v>294.60000000000002</v>
      </c>
      <c r="AJ55" s="1029">
        <f t="shared" si="33"/>
        <v>235.7</v>
      </c>
      <c r="AK55" s="1029">
        <f t="shared" si="34"/>
        <v>58.9</v>
      </c>
      <c r="AL55" s="1018">
        <f t="shared" si="20"/>
        <v>0</v>
      </c>
      <c r="AM55" s="1018">
        <f t="shared" si="20"/>
        <v>0</v>
      </c>
      <c r="AN55" s="1018">
        <f t="shared" si="20"/>
        <v>0</v>
      </c>
      <c r="AO55" s="1018">
        <f t="shared" si="20"/>
        <v>0</v>
      </c>
      <c r="AP55" s="1018">
        <f t="shared" si="20"/>
        <v>483</v>
      </c>
      <c r="AQ55" s="1018">
        <f t="shared" si="20"/>
        <v>596.70000000000005</v>
      </c>
      <c r="AR55" s="1029">
        <f t="shared" si="35"/>
        <v>1079.7</v>
      </c>
      <c r="AS55" s="1117">
        <v>0.28000000000000003</v>
      </c>
      <c r="AT55" s="1029">
        <f t="shared" si="36"/>
        <v>302.3</v>
      </c>
      <c r="AU55" s="1029">
        <f t="shared" si="37"/>
        <v>241.8</v>
      </c>
      <c r="AV55" s="1029">
        <f t="shared" si="38"/>
        <v>60.5</v>
      </c>
      <c r="AW55" s="1111">
        <f t="shared" si="39"/>
        <v>0</v>
      </c>
      <c r="AX55" s="1111">
        <f t="shared" si="21"/>
        <v>0</v>
      </c>
      <c r="AY55" s="1111">
        <f t="shared" si="21"/>
        <v>0</v>
      </c>
      <c r="AZ55" s="1111">
        <f t="shared" si="21"/>
        <v>0</v>
      </c>
      <c r="BA55" s="1111">
        <f t="shared" si="21"/>
        <v>3145</v>
      </c>
      <c r="BB55" s="1111">
        <f t="shared" si="21"/>
        <v>4516</v>
      </c>
      <c r="BC55" s="1026">
        <f t="shared" si="40"/>
        <v>7661</v>
      </c>
      <c r="BD55" s="1111">
        <f t="shared" si="41"/>
        <v>0</v>
      </c>
      <c r="BE55" s="1111">
        <f t="shared" si="22"/>
        <v>0</v>
      </c>
      <c r="BF55" s="1111">
        <f t="shared" si="22"/>
        <v>0</v>
      </c>
      <c r="BG55" s="1111">
        <f t="shared" si="22"/>
        <v>0</v>
      </c>
      <c r="BH55" s="1111">
        <f t="shared" si="22"/>
        <v>4</v>
      </c>
      <c r="BI55" s="1111">
        <f t="shared" si="22"/>
        <v>4</v>
      </c>
      <c r="BJ55" s="1026">
        <f t="shared" si="42"/>
        <v>8</v>
      </c>
      <c r="BK55" s="1011">
        <f t="shared" si="43"/>
        <v>0.89</v>
      </c>
      <c r="BL55" s="1026"/>
      <c r="BM55" s="1113"/>
    </row>
    <row r="56" spans="1:65" x14ac:dyDescent="0.25">
      <c r="A56" s="1010" t="s">
        <v>1589</v>
      </c>
      <c r="B56" s="1068"/>
      <c r="C56" s="1068"/>
      <c r="D56" s="1068"/>
      <c r="E56" s="1068"/>
      <c r="F56" s="1068">
        <v>1</v>
      </c>
      <c r="G56" s="1068">
        <v>1</v>
      </c>
      <c r="H56" s="1026">
        <f t="shared" si="23"/>
        <v>2</v>
      </c>
      <c r="I56" s="1111">
        <f t="shared" si="24"/>
        <v>0</v>
      </c>
      <c r="J56" s="1111">
        <f t="shared" si="24"/>
        <v>0</v>
      </c>
      <c r="K56" s="1111">
        <f t="shared" si="24"/>
        <v>0</v>
      </c>
      <c r="L56" s="1111">
        <f t="shared" si="24"/>
        <v>0</v>
      </c>
      <c r="M56" s="1111">
        <f t="shared" si="24"/>
        <v>864</v>
      </c>
      <c r="N56" s="1111">
        <f t="shared" si="25"/>
        <v>1008</v>
      </c>
      <c r="O56" s="1026">
        <f t="shared" si="26"/>
        <v>1872</v>
      </c>
      <c r="P56" s="1018">
        <f t="shared" si="44"/>
        <v>0</v>
      </c>
      <c r="Q56" s="1018">
        <f t="shared" si="44"/>
        <v>0</v>
      </c>
      <c r="R56" s="1018">
        <f t="shared" si="44"/>
        <v>0</v>
      </c>
      <c r="S56" s="1018">
        <f t="shared" si="44"/>
        <v>0</v>
      </c>
      <c r="T56" s="1018">
        <f t="shared" si="44"/>
        <v>34.6</v>
      </c>
      <c r="U56" s="1018">
        <f t="shared" si="44"/>
        <v>34.299999999999997</v>
      </c>
      <c r="V56" s="1029">
        <f t="shared" si="27"/>
        <v>68.900000000000006</v>
      </c>
      <c r="W56" s="1112">
        <v>1</v>
      </c>
      <c r="X56" s="1029">
        <f t="shared" si="28"/>
        <v>68.900000000000006</v>
      </c>
      <c r="Y56" s="1029">
        <f t="shared" si="29"/>
        <v>55.1</v>
      </c>
      <c r="Z56" s="1029">
        <f t="shared" si="30"/>
        <v>13.8</v>
      </c>
      <c r="AA56" s="1018">
        <f t="shared" si="45"/>
        <v>0</v>
      </c>
      <c r="AB56" s="1018">
        <f t="shared" si="45"/>
        <v>0</v>
      </c>
      <c r="AC56" s="1018">
        <f t="shared" si="45"/>
        <v>0</v>
      </c>
      <c r="AD56" s="1018">
        <f t="shared" si="45"/>
        <v>0</v>
      </c>
      <c r="AE56" s="1018">
        <f t="shared" si="45"/>
        <v>36.299999999999997</v>
      </c>
      <c r="AF56" s="1018">
        <f t="shared" si="45"/>
        <v>36.299999999999997</v>
      </c>
      <c r="AG56" s="1029">
        <f t="shared" si="31"/>
        <v>72.599999999999994</v>
      </c>
      <c r="AH56" s="1112">
        <v>1</v>
      </c>
      <c r="AI56" s="1029">
        <f t="shared" si="32"/>
        <v>72.599999999999994</v>
      </c>
      <c r="AJ56" s="1029">
        <f t="shared" si="33"/>
        <v>58.1</v>
      </c>
      <c r="AK56" s="1029">
        <f t="shared" si="34"/>
        <v>14.5</v>
      </c>
      <c r="AL56" s="1018">
        <f t="shared" si="20"/>
        <v>0</v>
      </c>
      <c r="AM56" s="1018">
        <f t="shared" si="20"/>
        <v>0</v>
      </c>
      <c r="AN56" s="1018">
        <f t="shared" si="20"/>
        <v>0</v>
      </c>
      <c r="AO56" s="1018">
        <f t="shared" si="20"/>
        <v>0</v>
      </c>
      <c r="AP56" s="1018">
        <f t="shared" si="20"/>
        <v>37.200000000000003</v>
      </c>
      <c r="AQ56" s="1018">
        <f t="shared" si="20"/>
        <v>37.299999999999997</v>
      </c>
      <c r="AR56" s="1029">
        <f t="shared" si="35"/>
        <v>74.5</v>
      </c>
      <c r="AS56" s="1112">
        <v>1</v>
      </c>
      <c r="AT56" s="1029">
        <f t="shared" si="36"/>
        <v>74.5</v>
      </c>
      <c r="AU56" s="1029">
        <f t="shared" si="37"/>
        <v>59.6</v>
      </c>
      <c r="AV56" s="1029">
        <f t="shared" si="38"/>
        <v>14.9</v>
      </c>
      <c r="AW56" s="1111">
        <f t="shared" si="39"/>
        <v>0</v>
      </c>
      <c r="AX56" s="1111">
        <f t="shared" si="21"/>
        <v>0</v>
      </c>
      <c r="AY56" s="1111">
        <f t="shared" si="21"/>
        <v>0</v>
      </c>
      <c r="AZ56" s="1111">
        <f t="shared" si="21"/>
        <v>0</v>
      </c>
      <c r="BA56" s="1111">
        <f t="shared" si="21"/>
        <v>864</v>
      </c>
      <c r="BB56" s="1111">
        <f t="shared" si="21"/>
        <v>1008</v>
      </c>
      <c r="BC56" s="1026">
        <f t="shared" si="40"/>
        <v>1872</v>
      </c>
      <c r="BD56" s="1111">
        <f t="shared" si="41"/>
        <v>0</v>
      </c>
      <c r="BE56" s="1111">
        <f t="shared" si="22"/>
        <v>0</v>
      </c>
      <c r="BF56" s="1111">
        <f t="shared" si="22"/>
        <v>0</v>
      </c>
      <c r="BG56" s="1111">
        <f t="shared" si="22"/>
        <v>0</v>
      </c>
      <c r="BH56" s="1111">
        <f t="shared" si="22"/>
        <v>1</v>
      </c>
      <c r="BI56" s="1111">
        <f t="shared" si="22"/>
        <v>1</v>
      </c>
      <c r="BJ56" s="1026">
        <f t="shared" si="42"/>
        <v>2</v>
      </c>
      <c r="BK56" s="1011">
        <f t="shared" si="43"/>
        <v>0.22</v>
      </c>
      <c r="BL56" s="1026"/>
      <c r="BM56" s="1113"/>
    </row>
    <row r="57" spans="1:65" x14ac:dyDescent="0.25">
      <c r="A57" s="1010" t="s">
        <v>687</v>
      </c>
      <c r="B57" s="1068"/>
      <c r="C57" s="1068"/>
      <c r="D57" s="1068"/>
      <c r="E57" s="1068">
        <v>1</v>
      </c>
      <c r="F57" s="1068"/>
      <c r="G57" s="1068"/>
      <c r="H57" s="1026">
        <f t="shared" si="23"/>
        <v>1</v>
      </c>
      <c r="I57" s="1111">
        <f t="shared" si="24"/>
        <v>0</v>
      </c>
      <c r="J57" s="1111">
        <f t="shared" si="24"/>
        <v>0</v>
      </c>
      <c r="K57" s="1111">
        <f t="shared" si="24"/>
        <v>0</v>
      </c>
      <c r="L57" s="1111">
        <f t="shared" si="24"/>
        <v>864</v>
      </c>
      <c r="M57" s="1111">
        <f t="shared" si="24"/>
        <v>0</v>
      </c>
      <c r="N57" s="1111">
        <f t="shared" si="25"/>
        <v>0</v>
      </c>
      <c r="O57" s="1026">
        <f t="shared" si="26"/>
        <v>864</v>
      </c>
      <c r="P57" s="1018">
        <f t="shared" si="44"/>
        <v>0</v>
      </c>
      <c r="Q57" s="1018">
        <f t="shared" si="44"/>
        <v>0</v>
      </c>
      <c r="R57" s="1018">
        <f t="shared" si="44"/>
        <v>0</v>
      </c>
      <c r="S57" s="1018">
        <f t="shared" si="44"/>
        <v>34.6</v>
      </c>
      <c r="T57" s="1018">
        <f t="shared" si="44"/>
        <v>0</v>
      </c>
      <c r="U57" s="1018">
        <f t="shared" si="44"/>
        <v>0</v>
      </c>
      <c r="V57" s="1029">
        <f t="shared" si="27"/>
        <v>34.6</v>
      </c>
      <c r="W57" s="1112">
        <v>1</v>
      </c>
      <c r="X57" s="1029">
        <f t="shared" si="28"/>
        <v>34.6</v>
      </c>
      <c r="Y57" s="1029">
        <f t="shared" si="29"/>
        <v>27.7</v>
      </c>
      <c r="Z57" s="1029">
        <f t="shared" si="30"/>
        <v>6.9</v>
      </c>
      <c r="AA57" s="1018">
        <f t="shared" si="45"/>
        <v>0</v>
      </c>
      <c r="AB57" s="1018">
        <f t="shared" si="45"/>
        <v>0</v>
      </c>
      <c r="AC57" s="1018">
        <f t="shared" si="45"/>
        <v>0</v>
      </c>
      <c r="AD57" s="1018">
        <f t="shared" si="45"/>
        <v>36.299999999999997</v>
      </c>
      <c r="AE57" s="1018">
        <f t="shared" si="45"/>
        <v>0</v>
      </c>
      <c r="AF57" s="1018">
        <f t="shared" si="45"/>
        <v>0</v>
      </c>
      <c r="AG57" s="1029">
        <f t="shared" si="31"/>
        <v>36.299999999999997</v>
      </c>
      <c r="AH57" s="1112">
        <v>1</v>
      </c>
      <c r="AI57" s="1029">
        <f t="shared" si="32"/>
        <v>36.299999999999997</v>
      </c>
      <c r="AJ57" s="1029">
        <f t="shared" si="33"/>
        <v>29</v>
      </c>
      <c r="AK57" s="1029">
        <f t="shared" si="34"/>
        <v>7.3</v>
      </c>
      <c r="AL57" s="1018">
        <f t="shared" si="20"/>
        <v>0</v>
      </c>
      <c r="AM57" s="1018">
        <f t="shared" si="20"/>
        <v>0</v>
      </c>
      <c r="AN57" s="1018">
        <f t="shared" si="20"/>
        <v>0</v>
      </c>
      <c r="AO57" s="1018">
        <f t="shared" si="20"/>
        <v>37.200000000000003</v>
      </c>
      <c r="AP57" s="1018">
        <f t="shared" si="20"/>
        <v>0</v>
      </c>
      <c r="AQ57" s="1018">
        <f t="shared" si="20"/>
        <v>0</v>
      </c>
      <c r="AR57" s="1029">
        <f t="shared" si="35"/>
        <v>37.200000000000003</v>
      </c>
      <c r="AS57" s="1112">
        <v>1</v>
      </c>
      <c r="AT57" s="1029">
        <f t="shared" si="36"/>
        <v>37.200000000000003</v>
      </c>
      <c r="AU57" s="1029">
        <f t="shared" si="37"/>
        <v>29.8</v>
      </c>
      <c r="AV57" s="1029">
        <f t="shared" si="38"/>
        <v>7.4</v>
      </c>
      <c r="AW57" s="1111">
        <f t="shared" si="39"/>
        <v>0</v>
      </c>
      <c r="AX57" s="1111">
        <f t="shared" si="21"/>
        <v>0</v>
      </c>
      <c r="AY57" s="1111">
        <f t="shared" si="21"/>
        <v>0</v>
      </c>
      <c r="AZ57" s="1111">
        <f t="shared" si="21"/>
        <v>864</v>
      </c>
      <c r="BA57" s="1111">
        <f t="shared" si="21"/>
        <v>0</v>
      </c>
      <c r="BB57" s="1111">
        <f t="shared" si="21"/>
        <v>0</v>
      </c>
      <c r="BC57" s="1026">
        <f t="shared" si="40"/>
        <v>864</v>
      </c>
      <c r="BD57" s="1111">
        <f t="shared" si="41"/>
        <v>0</v>
      </c>
      <c r="BE57" s="1111">
        <f t="shared" si="22"/>
        <v>0</v>
      </c>
      <c r="BF57" s="1111">
        <f t="shared" si="22"/>
        <v>0</v>
      </c>
      <c r="BG57" s="1111">
        <f t="shared" si="22"/>
        <v>1</v>
      </c>
      <c r="BH57" s="1111">
        <f t="shared" si="22"/>
        <v>0</v>
      </c>
      <c r="BI57" s="1111">
        <f t="shared" si="22"/>
        <v>0</v>
      </c>
      <c r="BJ57" s="1026">
        <f t="shared" si="42"/>
        <v>1</v>
      </c>
      <c r="BK57" s="1011">
        <f t="shared" si="43"/>
        <v>0.11</v>
      </c>
      <c r="BL57" s="1026"/>
      <c r="BM57" s="1113"/>
    </row>
    <row r="58" spans="1:65" x14ac:dyDescent="0.25">
      <c r="A58" s="1010" t="s">
        <v>1685</v>
      </c>
      <c r="B58" s="1068"/>
      <c r="C58" s="1068"/>
      <c r="D58" s="1068"/>
      <c r="E58" s="1068"/>
      <c r="F58" s="1068">
        <v>2</v>
      </c>
      <c r="G58" s="1068">
        <v>2</v>
      </c>
      <c r="H58" s="1026">
        <f t="shared" si="23"/>
        <v>4</v>
      </c>
      <c r="I58" s="1111">
        <f t="shared" si="24"/>
        <v>0</v>
      </c>
      <c r="J58" s="1111">
        <f t="shared" si="24"/>
        <v>0</v>
      </c>
      <c r="K58" s="1111">
        <f t="shared" si="24"/>
        <v>0</v>
      </c>
      <c r="L58" s="1111">
        <f t="shared" si="24"/>
        <v>0</v>
      </c>
      <c r="M58" s="1111">
        <f t="shared" si="24"/>
        <v>1728</v>
      </c>
      <c r="N58" s="1111">
        <f t="shared" si="25"/>
        <v>2016</v>
      </c>
      <c r="O58" s="1026">
        <f t="shared" si="26"/>
        <v>3744</v>
      </c>
      <c r="P58" s="1018">
        <f t="shared" si="44"/>
        <v>0</v>
      </c>
      <c r="Q58" s="1018">
        <f t="shared" si="44"/>
        <v>0</v>
      </c>
      <c r="R58" s="1018">
        <f t="shared" si="44"/>
        <v>0</v>
      </c>
      <c r="S58" s="1018">
        <f t="shared" si="44"/>
        <v>0</v>
      </c>
      <c r="T58" s="1018">
        <f t="shared" si="44"/>
        <v>69.099999999999994</v>
      </c>
      <c r="U58" s="1018">
        <f t="shared" si="44"/>
        <v>68.5</v>
      </c>
      <c r="V58" s="1029">
        <f t="shared" si="27"/>
        <v>137.6</v>
      </c>
      <c r="W58" s="1116">
        <v>0.8</v>
      </c>
      <c r="X58" s="1029">
        <f t="shared" si="28"/>
        <v>110.1</v>
      </c>
      <c r="Y58" s="1029">
        <f t="shared" si="29"/>
        <v>88.1</v>
      </c>
      <c r="Z58" s="1029">
        <f t="shared" si="30"/>
        <v>22</v>
      </c>
      <c r="AA58" s="1018">
        <f t="shared" si="45"/>
        <v>0</v>
      </c>
      <c r="AB58" s="1018">
        <f t="shared" si="45"/>
        <v>0</v>
      </c>
      <c r="AC58" s="1018">
        <f t="shared" si="45"/>
        <v>0</v>
      </c>
      <c r="AD58" s="1018">
        <f t="shared" si="45"/>
        <v>0</v>
      </c>
      <c r="AE58" s="1018">
        <f t="shared" si="45"/>
        <v>72.599999999999994</v>
      </c>
      <c r="AF58" s="1018">
        <f t="shared" si="45"/>
        <v>72.599999999999994</v>
      </c>
      <c r="AG58" s="1029">
        <f t="shared" si="31"/>
        <v>145.19999999999999</v>
      </c>
      <c r="AH58" s="1116">
        <v>0.8</v>
      </c>
      <c r="AI58" s="1029">
        <f t="shared" si="32"/>
        <v>116.2</v>
      </c>
      <c r="AJ58" s="1029">
        <f t="shared" si="33"/>
        <v>93</v>
      </c>
      <c r="AK58" s="1029">
        <f t="shared" si="34"/>
        <v>23.2</v>
      </c>
      <c r="AL58" s="1018">
        <f t="shared" si="20"/>
        <v>0</v>
      </c>
      <c r="AM58" s="1018">
        <f t="shared" si="20"/>
        <v>0</v>
      </c>
      <c r="AN58" s="1018">
        <f t="shared" si="20"/>
        <v>0</v>
      </c>
      <c r="AO58" s="1018">
        <f t="shared" si="20"/>
        <v>0</v>
      </c>
      <c r="AP58" s="1018">
        <f t="shared" si="20"/>
        <v>74.3</v>
      </c>
      <c r="AQ58" s="1018">
        <f t="shared" si="20"/>
        <v>74.599999999999994</v>
      </c>
      <c r="AR58" s="1029">
        <f t="shared" si="35"/>
        <v>148.9</v>
      </c>
      <c r="AS58" s="1116">
        <v>0.8</v>
      </c>
      <c r="AT58" s="1029">
        <f t="shared" si="36"/>
        <v>119.1</v>
      </c>
      <c r="AU58" s="1029">
        <f t="shared" si="37"/>
        <v>95.3</v>
      </c>
      <c r="AV58" s="1029">
        <f t="shared" si="38"/>
        <v>23.8</v>
      </c>
      <c r="AW58" s="1111">
        <f t="shared" si="39"/>
        <v>0</v>
      </c>
      <c r="AX58" s="1111">
        <f t="shared" si="21"/>
        <v>0</v>
      </c>
      <c r="AY58" s="1111">
        <f t="shared" si="21"/>
        <v>0</v>
      </c>
      <c r="AZ58" s="1111">
        <f t="shared" si="21"/>
        <v>0</v>
      </c>
      <c r="BA58" s="1111">
        <f t="shared" si="21"/>
        <v>1382</v>
      </c>
      <c r="BB58" s="1111">
        <f t="shared" si="21"/>
        <v>1613</v>
      </c>
      <c r="BC58" s="1026">
        <f t="shared" si="40"/>
        <v>2995</v>
      </c>
      <c r="BD58" s="1111">
        <f t="shared" si="41"/>
        <v>0</v>
      </c>
      <c r="BE58" s="1111">
        <f t="shared" si="22"/>
        <v>0</v>
      </c>
      <c r="BF58" s="1111">
        <f t="shared" si="22"/>
        <v>0</v>
      </c>
      <c r="BG58" s="1111">
        <f t="shared" si="22"/>
        <v>0</v>
      </c>
      <c r="BH58" s="1111">
        <f t="shared" si="22"/>
        <v>2</v>
      </c>
      <c r="BI58" s="1111">
        <f t="shared" si="22"/>
        <v>2</v>
      </c>
      <c r="BJ58" s="1026">
        <f t="shared" si="42"/>
        <v>4</v>
      </c>
      <c r="BK58" s="1011">
        <f t="shared" si="43"/>
        <v>0.44</v>
      </c>
      <c r="BL58" s="1026"/>
      <c r="BM58" s="1113"/>
    </row>
    <row r="59" spans="1:65" x14ac:dyDescent="0.25">
      <c r="A59" s="1010" t="s">
        <v>689</v>
      </c>
      <c r="B59" s="1068"/>
      <c r="C59" s="1068"/>
      <c r="D59" s="1068"/>
      <c r="E59" s="1068"/>
      <c r="F59" s="1068"/>
      <c r="G59" s="1068"/>
      <c r="H59" s="1026">
        <f t="shared" si="23"/>
        <v>0</v>
      </c>
      <c r="I59" s="1111">
        <f t="shared" si="24"/>
        <v>0</v>
      </c>
      <c r="J59" s="1111">
        <f t="shared" si="24"/>
        <v>0</v>
      </c>
      <c r="K59" s="1111">
        <f t="shared" si="24"/>
        <v>0</v>
      </c>
      <c r="L59" s="1111">
        <f t="shared" si="24"/>
        <v>0</v>
      </c>
      <c r="M59" s="1111">
        <f t="shared" si="24"/>
        <v>0</v>
      </c>
      <c r="N59" s="1111">
        <f t="shared" si="25"/>
        <v>0</v>
      </c>
      <c r="O59" s="1026">
        <f t="shared" si="26"/>
        <v>0</v>
      </c>
      <c r="P59" s="1018">
        <f t="shared" si="44"/>
        <v>0</v>
      </c>
      <c r="Q59" s="1018">
        <f t="shared" si="44"/>
        <v>0</v>
      </c>
      <c r="R59" s="1018">
        <f t="shared" si="44"/>
        <v>0</v>
      </c>
      <c r="S59" s="1018">
        <f t="shared" si="44"/>
        <v>0</v>
      </c>
      <c r="T59" s="1018">
        <f t="shared" si="44"/>
        <v>0</v>
      </c>
      <c r="U59" s="1018">
        <f t="shared" si="44"/>
        <v>0</v>
      </c>
      <c r="V59" s="1029">
        <f t="shared" si="27"/>
        <v>0</v>
      </c>
      <c r="W59" s="1112"/>
      <c r="X59" s="1029">
        <f t="shared" si="28"/>
        <v>0</v>
      </c>
      <c r="Y59" s="1029">
        <f t="shared" si="29"/>
        <v>0</v>
      </c>
      <c r="Z59" s="1029">
        <f t="shared" si="30"/>
        <v>0</v>
      </c>
      <c r="AA59" s="1018">
        <f t="shared" si="45"/>
        <v>0</v>
      </c>
      <c r="AB59" s="1018">
        <f t="shared" si="45"/>
        <v>0</v>
      </c>
      <c r="AC59" s="1018">
        <f t="shared" si="45"/>
        <v>0</v>
      </c>
      <c r="AD59" s="1018">
        <f t="shared" si="45"/>
        <v>0</v>
      </c>
      <c r="AE59" s="1018">
        <f t="shared" si="45"/>
        <v>0</v>
      </c>
      <c r="AF59" s="1018">
        <f t="shared" si="45"/>
        <v>0</v>
      </c>
      <c r="AG59" s="1029">
        <f t="shared" si="31"/>
        <v>0</v>
      </c>
      <c r="AH59" s="1112"/>
      <c r="AI59" s="1029">
        <f t="shared" si="32"/>
        <v>0</v>
      </c>
      <c r="AJ59" s="1029">
        <f t="shared" si="33"/>
        <v>0</v>
      </c>
      <c r="AK59" s="1029">
        <f t="shared" si="34"/>
        <v>0</v>
      </c>
      <c r="AL59" s="1018">
        <f t="shared" si="20"/>
        <v>0</v>
      </c>
      <c r="AM59" s="1018">
        <f t="shared" si="20"/>
        <v>0</v>
      </c>
      <c r="AN59" s="1018">
        <f t="shared" si="20"/>
        <v>0</v>
      </c>
      <c r="AO59" s="1018">
        <f t="shared" si="20"/>
        <v>0</v>
      </c>
      <c r="AP59" s="1018">
        <f t="shared" si="20"/>
        <v>0</v>
      </c>
      <c r="AQ59" s="1018">
        <f t="shared" si="20"/>
        <v>0</v>
      </c>
      <c r="AR59" s="1029">
        <f t="shared" si="35"/>
        <v>0</v>
      </c>
      <c r="AS59" s="1112"/>
      <c r="AT59" s="1029">
        <f t="shared" si="36"/>
        <v>0</v>
      </c>
      <c r="AU59" s="1029">
        <f t="shared" si="37"/>
        <v>0</v>
      </c>
      <c r="AV59" s="1029">
        <f t="shared" si="38"/>
        <v>0</v>
      </c>
      <c r="AW59" s="1111">
        <f t="shared" si="39"/>
        <v>0</v>
      </c>
      <c r="AX59" s="1111">
        <f t="shared" si="21"/>
        <v>0</v>
      </c>
      <c r="AY59" s="1111">
        <f t="shared" si="21"/>
        <v>0</v>
      </c>
      <c r="AZ59" s="1111">
        <f t="shared" si="21"/>
        <v>0</v>
      </c>
      <c r="BA59" s="1111">
        <f t="shared" si="21"/>
        <v>0</v>
      </c>
      <c r="BB59" s="1111">
        <f t="shared" si="21"/>
        <v>0</v>
      </c>
      <c r="BC59" s="1026">
        <f t="shared" si="40"/>
        <v>0</v>
      </c>
      <c r="BD59" s="1111">
        <f t="shared" si="41"/>
        <v>0</v>
      </c>
      <c r="BE59" s="1111">
        <f t="shared" si="22"/>
        <v>0</v>
      </c>
      <c r="BF59" s="1111">
        <f t="shared" si="22"/>
        <v>0</v>
      </c>
      <c r="BG59" s="1111">
        <f t="shared" si="22"/>
        <v>0</v>
      </c>
      <c r="BH59" s="1111">
        <f t="shared" si="22"/>
        <v>0</v>
      </c>
      <c r="BI59" s="1111">
        <f t="shared" si="22"/>
        <v>0</v>
      </c>
      <c r="BJ59" s="1026">
        <f t="shared" si="42"/>
        <v>0</v>
      </c>
      <c r="BK59" s="1011">
        <f t="shared" si="43"/>
        <v>0</v>
      </c>
      <c r="BL59" s="1026"/>
      <c r="BM59" s="1113"/>
    </row>
    <row r="60" spans="1:65" x14ac:dyDescent="0.25">
      <c r="A60" s="1010" t="s">
        <v>690</v>
      </c>
      <c r="B60" s="1068"/>
      <c r="C60" s="1068"/>
      <c r="D60" s="1068"/>
      <c r="E60" s="1068"/>
      <c r="F60" s="1068"/>
      <c r="G60" s="1068"/>
      <c r="H60" s="1026">
        <f t="shared" si="23"/>
        <v>0</v>
      </c>
      <c r="I60" s="1111">
        <f t="shared" si="24"/>
        <v>0</v>
      </c>
      <c r="J60" s="1111">
        <f t="shared" si="24"/>
        <v>0</v>
      </c>
      <c r="K60" s="1111">
        <f t="shared" si="24"/>
        <v>0</v>
      </c>
      <c r="L60" s="1111">
        <f t="shared" si="24"/>
        <v>0</v>
      </c>
      <c r="M60" s="1111">
        <f t="shared" si="24"/>
        <v>0</v>
      </c>
      <c r="N60" s="1111">
        <f t="shared" si="25"/>
        <v>0</v>
      </c>
      <c r="O60" s="1026">
        <f t="shared" si="26"/>
        <v>0</v>
      </c>
      <c r="P60" s="1018">
        <f t="shared" si="44"/>
        <v>0</v>
      </c>
      <c r="Q60" s="1018">
        <f t="shared" si="44"/>
        <v>0</v>
      </c>
      <c r="R60" s="1018">
        <f t="shared" si="44"/>
        <v>0</v>
      </c>
      <c r="S60" s="1018">
        <f t="shared" si="44"/>
        <v>0</v>
      </c>
      <c r="T60" s="1018">
        <f t="shared" si="44"/>
        <v>0</v>
      </c>
      <c r="U60" s="1018">
        <f t="shared" si="44"/>
        <v>0</v>
      </c>
      <c r="V60" s="1029">
        <f t="shared" si="27"/>
        <v>0</v>
      </c>
      <c r="W60" s="1112"/>
      <c r="X60" s="1029">
        <f t="shared" si="28"/>
        <v>0</v>
      </c>
      <c r="Y60" s="1029">
        <f t="shared" si="29"/>
        <v>0</v>
      </c>
      <c r="Z60" s="1029">
        <f t="shared" si="30"/>
        <v>0</v>
      </c>
      <c r="AA60" s="1018">
        <f t="shared" si="45"/>
        <v>0</v>
      </c>
      <c r="AB60" s="1018">
        <f t="shared" si="45"/>
        <v>0</v>
      </c>
      <c r="AC60" s="1018">
        <f t="shared" si="45"/>
        <v>0</v>
      </c>
      <c r="AD60" s="1018">
        <f t="shared" si="45"/>
        <v>0</v>
      </c>
      <c r="AE60" s="1018">
        <f t="shared" si="45"/>
        <v>0</v>
      </c>
      <c r="AF60" s="1018">
        <f t="shared" si="45"/>
        <v>0</v>
      </c>
      <c r="AG60" s="1029">
        <f t="shared" si="31"/>
        <v>0</v>
      </c>
      <c r="AH60" s="1112"/>
      <c r="AI60" s="1029">
        <f t="shared" si="32"/>
        <v>0</v>
      </c>
      <c r="AJ60" s="1029">
        <f t="shared" si="33"/>
        <v>0</v>
      </c>
      <c r="AK60" s="1029">
        <f t="shared" si="34"/>
        <v>0</v>
      </c>
      <c r="AL60" s="1018">
        <f t="shared" si="20"/>
        <v>0</v>
      </c>
      <c r="AM60" s="1018">
        <f t="shared" si="20"/>
        <v>0</v>
      </c>
      <c r="AN60" s="1018">
        <f t="shared" si="20"/>
        <v>0</v>
      </c>
      <c r="AO60" s="1018">
        <f t="shared" si="20"/>
        <v>0</v>
      </c>
      <c r="AP60" s="1018">
        <f t="shared" si="20"/>
        <v>0</v>
      </c>
      <c r="AQ60" s="1018">
        <f t="shared" si="20"/>
        <v>0</v>
      </c>
      <c r="AR60" s="1029">
        <f t="shared" si="35"/>
        <v>0</v>
      </c>
      <c r="AS60" s="1112"/>
      <c r="AT60" s="1029">
        <f t="shared" si="36"/>
        <v>0</v>
      </c>
      <c r="AU60" s="1029">
        <f t="shared" si="37"/>
        <v>0</v>
      </c>
      <c r="AV60" s="1029">
        <f t="shared" si="38"/>
        <v>0</v>
      </c>
      <c r="AW60" s="1111">
        <f t="shared" si="39"/>
        <v>0</v>
      </c>
      <c r="AX60" s="1111">
        <f t="shared" si="21"/>
        <v>0</v>
      </c>
      <c r="AY60" s="1111">
        <f t="shared" si="21"/>
        <v>0</v>
      </c>
      <c r="AZ60" s="1111">
        <f t="shared" si="21"/>
        <v>0</v>
      </c>
      <c r="BA60" s="1111">
        <f t="shared" si="21"/>
        <v>0</v>
      </c>
      <c r="BB60" s="1111">
        <f t="shared" si="21"/>
        <v>0</v>
      </c>
      <c r="BC60" s="1026">
        <f t="shared" si="40"/>
        <v>0</v>
      </c>
      <c r="BD60" s="1111">
        <f t="shared" si="41"/>
        <v>0</v>
      </c>
      <c r="BE60" s="1111">
        <f t="shared" si="22"/>
        <v>0</v>
      </c>
      <c r="BF60" s="1111">
        <f t="shared" si="22"/>
        <v>0</v>
      </c>
      <c r="BG60" s="1111">
        <f t="shared" si="22"/>
        <v>0</v>
      </c>
      <c r="BH60" s="1111">
        <f t="shared" si="22"/>
        <v>0</v>
      </c>
      <c r="BI60" s="1111">
        <f t="shared" si="22"/>
        <v>0</v>
      </c>
      <c r="BJ60" s="1026">
        <f t="shared" si="42"/>
        <v>0</v>
      </c>
      <c r="BK60" s="1011">
        <f t="shared" si="43"/>
        <v>0</v>
      </c>
      <c r="BL60" s="1026"/>
      <c r="BM60" s="1113"/>
    </row>
    <row r="61" spans="1:65" x14ac:dyDescent="0.25">
      <c r="A61" s="1010" t="s">
        <v>691</v>
      </c>
      <c r="B61" s="1068">
        <v>26</v>
      </c>
      <c r="C61" s="1068"/>
      <c r="D61" s="1068"/>
      <c r="E61" s="1068"/>
      <c r="F61" s="1068"/>
      <c r="G61" s="1068"/>
      <c r="H61" s="1026">
        <f t="shared" si="23"/>
        <v>26</v>
      </c>
      <c r="I61" s="1111">
        <f t="shared" si="24"/>
        <v>22464</v>
      </c>
      <c r="J61" s="1111">
        <f t="shared" si="24"/>
        <v>0</v>
      </c>
      <c r="K61" s="1111">
        <f t="shared" si="24"/>
        <v>0</v>
      </c>
      <c r="L61" s="1111">
        <f t="shared" si="24"/>
        <v>0</v>
      </c>
      <c r="M61" s="1111">
        <f t="shared" si="24"/>
        <v>0</v>
      </c>
      <c r="N61" s="1111">
        <f t="shared" si="25"/>
        <v>0</v>
      </c>
      <c r="O61" s="1026">
        <f t="shared" si="26"/>
        <v>22464</v>
      </c>
      <c r="P61" s="1018">
        <f t="shared" si="44"/>
        <v>898.6</v>
      </c>
      <c r="Q61" s="1018">
        <f t="shared" si="44"/>
        <v>0</v>
      </c>
      <c r="R61" s="1018">
        <f t="shared" si="44"/>
        <v>0</v>
      </c>
      <c r="S61" s="1018">
        <f t="shared" si="44"/>
        <v>0</v>
      </c>
      <c r="T61" s="1018">
        <f t="shared" si="44"/>
        <v>0</v>
      </c>
      <c r="U61" s="1018">
        <f t="shared" si="44"/>
        <v>0</v>
      </c>
      <c r="V61" s="1029">
        <f t="shared" si="27"/>
        <v>898.6</v>
      </c>
      <c r="W61" s="1117">
        <v>0.43690000000000001</v>
      </c>
      <c r="X61" s="1029">
        <f>ROUND(V61*W61,1)</f>
        <v>392.6</v>
      </c>
      <c r="Y61" s="1029">
        <f t="shared" si="29"/>
        <v>314.10000000000002</v>
      </c>
      <c r="Z61" s="1029">
        <f t="shared" si="30"/>
        <v>78.5</v>
      </c>
      <c r="AA61" s="1018">
        <f t="shared" si="45"/>
        <v>943.5</v>
      </c>
      <c r="AB61" s="1018">
        <f t="shared" si="45"/>
        <v>0</v>
      </c>
      <c r="AC61" s="1018">
        <f t="shared" si="45"/>
        <v>0</v>
      </c>
      <c r="AD61" s="1018">
        <f t="shared" si="45"/>
        <v>0</v>
      </c>
      <c r="AE61" s="1018">
        <f t="shared" si="45"/>
        <v>0</v>
      </c>
      <c r="AF61" s="1018">
        <f t="shared" si="45"/>
        <v>0</v>
      </c>
      <c r="AG61" s="1029">
        <f t="shared" si="31"/>
        <v>943.5</v>
      </c>
      <c r="AH61" s="1117">
        <v>0.43009999999999998</v>
      </c>
      <c r="AI61" s="1029">
        <f t="shared" si="32"/>
        <v>405.8</v>
      </c>
      <c r="AJ61" s="1029">
        <f t="shared" si="33"/>
        <v>324.60000000000002</v>
      </c>
      <c r="AK61" s="1029">
        <f t="shared" si="34"/>
        <v>81.2</v>
      </c>
      <c r="AL61" s="1018">
        <f t="shared" si="20"/>
        <v>966</v>
      </c>
      <c r="AM61" s="1018">
        <f t="shared" si="20"/>
        <v>0</v>
      </c>
      <c r="AN61" s="1018">
        <f t="shared" si="20"/>
        <v>0</v>
      </c>
      <c r="AO61" s="1018">
        <f t="shared" si="20"/>
        <v>0</v>
      </c>
      <c r="AP61" s="1018">
        <f t="shared" si="20"/>
        <v>0</v>
      </c>
      <c r="AQ61" s="1018">
        <f t="shared" si="20"/>
        <v>0</v>
      </c>
      <c r="AR61" s="1029">
        <f t="shared" si="35"/>
        <v>966</v>
      </c>
      <c r="AS61" s="1117">
        <v>0.49048000000000003</v>
      </c>
      <c r="AT61" s="1029">
        <f t="shared" si="36"/>
        <v>473.8</v>
      </c>
      <c r="AU61" s="1029">
        <f t="shared" si="37"/>
        <v>379</v>
      </c>
      <c r="AV61" s="1029">
        <f t="shared" si="38"/>
        <v>94.8</v>
      </c>
      <c r="AW61" s="1111">
        <f t="shared" si="39"/>
        <v>9815</v>
      </c>
      <c r="AX61" s="1111">
        <f t="shared" si="21"/>
        <v>0</v>
      </c>
      <c r="AY61" s="1111">
        <f t="shared" si="21"/>
        <v>0</v>
      </c>
      <c r="AZ61" s="1111">
        <f t="shared" si="21"/>
        <v>0</v>
      </c>
      <c r="BA61" s="1111">
        <f t="shared" si="21"/>
        <v>0</v>
      </c>
      <c r="BB61" s="1111">
        <f t="shared" si="21"/>
        <v>0</v>
      </c>
      <c r="BC61" s="1026">
        <f t="shared" si="40"/>
        <v>9815</v>
      </c>
      <c r="BD61" s="1111">
        <f t="shared" si="41"/>
        <v>11</v>
      </c>
      <c r="BE61" s="1111">
        <f t="shared" si="22"/>
        <v>0</v>
      </c>
      <c r="BF61" s="1111">
        <f t="shared" si="22"/>
        <v>0</v>
      </c>
      <c r="BG61" s="1111">
        <f t="shared" si="22"/>
        <v>0</v>
      </c>
      <c r="BH61" s="1111">
        <f t="shared" si="22"/>
        <v>0</v>
      </c>
      <c r="BI61" s="1111">
        <f t="shared" si="22"/>
        <v>0</v>
      </c>
      <c r="BJ61" s="1026">
        <f t="shared" si="42"/>
        <v>11</v>
      </c>
      <c r="BK61" s="1011">
        <f t="shared" si="43"/>
        <v>1.22</v>
      </c>
      <c r="BL61" s="1118" t="s">
        <v>1916</v>
      </c>
      <c r="BM61" s="1113"/>
    </row>
    <row r="62" spans="1:65" x14ac:dyDescent="0.25">
      <c r="A62" s="1119" t="s">
        <v>35</v>
      </c>
      <c r="B62" s="1120">
        <f t="shared" ref="B62:V62" si="46">SUM(B31:B61)</f>
        <v>40</v>
      </c>
      <c r="C62" s="1120">
        <f t="shared" si="46"/>
        <v>12</v>
      </c>
      <c r="D62" s="1120">
        <f t="shared" si="46"/>
        <v>18</v>
      </c>
      <c r="E62" s="1120">
        <f t="shared" si="46"/>
        <v>26</v>
      </c>
      <c r="F62" s="1120">
        <f t="shared" si="46"/>
        <v>76</v>
      </c>
      <c r="G62" s="1120">
        <f t="shared" si="46"/>
        <v>54</v>
      </c>
      <c r="H62" s="1120">
        <f t="shared" si="46"/>
        <v>226</v>
      </c>
      <c r="I62" s="1120">
        <f t="shared" si="46"/>
        <v>34560</v>
      </c>
      <c r="J62" s="1120">
        <f t="shared" si="46"/>
        <v>10368</v>
      </c>
      <c r="K62" s="1120">
        <f t="shared" si="46"/>
        <v>15552</v>
      </c>
      <c r="L62" s="1120">
        <f t="shared" si="46"/>
        <v>22464</v>
      </c>
      <c r="M62" s="1120">
        <f t="shared" si="46"/>
        <v>65664</v>
      </c>
      <c r="N62" s="1120">
        <f t="shared" si="46"/>
        <v>54432</v>
      </c>
      <c r="O62" s="1120">
        <f t="shared" si="46"/>
        <v>203040</v>
      </c>
      <c r="P62" s="1121">
        <f t="shared" si="46"/>
        <v>1382.5</v>
      </c>
      <c r="Q62" s="1121">
        <f t="shared" si="46"/>
        <v>414.7</v>
      </c>
      <c r="R62" s="1121">
        <f t="shared" si="46"/>
        <v>622.1</v>
      </c>
      <c r="S62" s="1121">
        <f t="shared" si="46"/>
        <v>898.8</v>
      </c>
      <c r="T62" s="1121">
        <f t="shared" si="46"/>
        <v>2626.6</v>
      </c>
      <c r="U62" s="1121">
        <f t="shared" si="46"/>
        <v>1850.6</v>
      </c>
      <c r="V62" s="1121">
        <f t="shared" si="46"/>
        <v>7795.3</v>
      </c>
      <c r="W62" s="1122">
        <f>X66/V62</f>
        <v>0.47609000000000001</v>
      </c>
      <c r="X62" s="1121">
        <f t="shared" ref="X62:AG62" si="47">SUM(X31:X61)</f>
        <v>3711.3</v>
      </c>
      <c r="Y62" s="1121">
        <f t="shared" si="47"/>
        <v>2969.1</v>
      </c>
      <c r="Z62" s="1121">
        <f t="shared" si="47"/>
        <v>742.2</v>
      </c>
      <c r="AA62" s="1121">
        <f t="shared" si="47"/>
        <v>1451.6</v>
      </c>
      <c r="AB62" s="1121">
        <f t="shared" si="47"/>
        <v>435.6</v>
      </c>
      <c r="AC62" s="1121">
        <f t="shared" si="47"/>
        <v>653.20000000000005</v>
      </c>
      <c r="AD62" s="1121">
        <f t="shared" si="47"/>
        <v>943.5</v>
      </c>
      <c r="AE62" s="1121">
        <f t="shared" si="47"/>
        <v>2758.1</v>
      </c>
      <c r="AF62" s="1121">
        <f t="shared" si="47"/>
        <v>1960</v>
      </c>
      <c r="AG62" s="1121">
        <f t="shared" si="47"/>
        <v>8202</v>
      </c>
      <c r="AH62" s="1123"/>
      <c r="AI62" s="1121">
        <f t="shared" ref="AI62:AR62" si="48">SUM(AI31:AI61)</f>
        <v>3899.1</v>
      </c>
      <c r="AJ62" s="1121">
        <f t="shared" si="48"/>
        <v>3119.6</v>
      </c>
      <c r="AK62" s="1121">
        <f t="shared" si="48"/>
        <v>779.5</v>
      </c>
      <c r="AL62" s="1121">
        <f t="shared" si="48"/>
        <v>1486.3</v>
      </c>
      <c r="AM62" s="1121">
        <f t="shared" si="48"/>
        <v>445.9</v>
      </c>
      <c r="AN62" s="1121">
        <f t="shared" si="48"/>
        <v>668.9</v>
      </c>
      <c r="AO62" s="1121">
        <f t="shared" si="48"/>
        <v>966.3</v>
      </c>
      <c r="AP62" s="1121">
        <f t="shared" si="48"/>
        <v>2823.9</v>
      </c>
      <c r="AQ62" s="1121">
        <f t="shared" si="48"/>
        <v>2014.1</v>
      </c>
      <c r="AR62" s="1121">
        <f t="shared" si="48"/>
        <v>8405.4</v>
      </c>
      <c r="AS62" s="1123"/>
      <c r="AT62" s="1121">
        <f t="shared" ref="AT62:BK62" si="49">SUM(AT31:AT61)</f>
        <v>4054.2</v>
      </c>
      <c r="AU62" s="1121">
        <f t="shared" si="49"/>
        <v>3243.4</v>
      </c>
      <c r="AV62" s="1121">
        <f t="shared" si="49"/>
        <v>810.8</v>
      </c>
      <c r="AW62" s="1120">
        <f t="shared" si="49"/>
        <v>14964</v>
      </c>
      <c r="AX62" s="1120">
        <f t="shared" si="49"/>
        <v>4389</v>
      </c>
      <c r="AY62" s="1120">
        <f t="shared" si="49"/>
        <v>6532</v>
      </c>
      <c r="AZ62" s="1120">
        <f t="shared" si="49"/>
        <v>10023</v>
      </c>
      <c r="BA62" s="1120">
        <f t="shared" si="49"/>
        <v>33455</v>
      </c>
      <c r="BB62" s="1120">
        <f t="shared" si="49"/>
        <v>27540</v>
      </c>
      <c r="BC62" s="1120">
        <f t="shared" si="49"/>
        <v>96903</v>
      </c>
      <c r="BD62" s="1120">
        <f t="shared" si="49"/>
        <v>18</v>
      </c>
      <c r="BE62" s="1120">
        <f t="shared" si="49"/>
        <v>6</v>
      </c>
      <c r="BF62" s="1120">
        <f t="shared" si="49"/>
        <v>9</v>
      </c>
      <c r="BG62" s="1120">
        <f t="shared" si="49"/>
        <v>12</v>
      </c>
      <c r="BH62" s="1120">
        <f t="shared" si="49"/>
        <v>40</v>
      </c>
      <c r="BI62" s="1120">
        <f t="shared" si="49"/>
        <v>31</v>
      </c>
      <c r="BJ62" s="1120">
        <f t="shared" si="49"/>
        <v>116</v>
      </c>
      <c r="BK62" s="1124">
        <f t="shared" si="49"/>
        <v>12.88</v>
      </c>
      <c r="BL62" s="1046"/>
    </row>
    <row r="63" spans="1:65" x14ac:dyDescent="0.25">
      <c r="A63" s="1010" t="s">
        <v>1335</v>
      </c>
      <c r="B63" s="1046">
        <f t="shared" ref="B63:V63" si="50">B31+B33+B39+B40+B41+B45+B48+B50+B51+B59+B61</f>
        <v>29</v>
      </c>
      <c r="C63" s="1046">
        <f t="shared" si="50"/>
        <v>6</v>
      </c>
      <c r="D63" s="1046">
        <f t="shared" si="50"/>
        <v>1</v>
      </c>
      <c r="E63" s="1046">
        <f t="shared" si="50"/>
        <v>4</v>
      </c>
      <c r="F63" s="1046">
        <f t="shared" si="50"/>
        <v>16</v>
      </c>
      <c r="G63" s="1046">
        <f t="shared" si="50"/>
        <v>12</v>
      </c>
      <c r="H63" s="1046">
        <f t="shared" si="50"/>
        <v>68</v>
      </c>
      <c r="I63" s="1046">
        <f t="shared" si="50"/>
        <v>25056</v>
      </c>
      <c r="J63" s="1046">
        <f t="shared" si="50"/>
        <v>5184</v>
      </c>
      <c r="K63" s="1046">
        <f t="shared" si="50"/>
        <v>864</v>
      </c>
      <c r="L63" s="1046">
        <f t="shared" si="50"/>
        <v>3456</v>
      </c>
      <c r="M63" s="1046">
        <f t="shared" si="50"/>
        <v>13824</v>
      </c>
      <c r="N63" s="1046">
        <f t="shared" si="50"/>
        <v>12096</v>
      </c>
      <c r="O63" s="1046">
        <f t="shared" si="50"/>
        <v>60480</v>
      </c>
      <c r="P63" s="1044">
        <f t="shared" si="50"/>
        <v>1002.3</v>
      </c>
      <c r="Q63" s="1044">
        <f t="shared" si="50"/>
        <v>207.4</v>
      </c>
      <c r="R63" s="1044">
        <f t="shared" si="50"/>
        <v>34.6</v>
      </c>
      <c r="S63" s="1044">
        <f t="shared" si="50"/>
        <v>138.30000000000001</v>
      </c>
      <c r="T63" s="1044">
        <f t="shared" si="50"/>
        <v>552.9</v>
      </c>
      <c r="U63" s="1044">
        <f t="shared" si="50"/>
        <v>411.3</v>
      </c>
      <c r="V63" s="1044">
        <f t="shared" si="50"/>
        <v>2346.8000000000002</v>
      </c>
      <c r="W63" s="1125"/>
      <c r="X63" s="1044">
        <f t="shared" ref="X63:AG63" si="51">X31+X33+X39+X40+X41+X45+X48+X50+X51+X59+X61</f>
        <v>1282</v>
      </c>
      <c r="Y63" s="1044">
        <f t="shared" si="51"/>
        <v>1025.7</v>
      </c>
      <c r="Z63" s="1044">
        <f t="shared" si="51"/>
        <v>256.3</v>
      </c>
      <c r="AA63" s="1044">
        <f t="shared" si="51"/>
        <v>1052.4000000000001</v>
      </c>
      <c r="AB63" s="1044">
        <f t="shared" si="51"/>
        <v>217.8</v>
      </c>
      <c r="AC63" s="1044">
        <f t="shared" si="51"/>
        <v>36.299999999999997</v>
      </c>
      <c r="AD63" s="1044">
        <f t="shared" si="51"/>
        <v>145.19999999999999</v>
      </c>
      <c r="AE63" s="1044">
        <f t="shared" si="51"/>
        <v>580.79999999999995</v>
      </c>
      <c r="AF63" s="1044">
        <f t="shared" si="51"/>
        <v>435.6</v>
      </c>
      <c r="AG63" s="1044">
        <f t="shared" si="51"/>
        <v>2468.1</v>
      </c>
      <c r="AH63" s="1125"/>
      <c r="AI63" s="1044">
        <f t="shared" ref="AI63:AR63" si="52">AI31+AI33+AI39+AI40+AI41+AI45+AI48+AI50+AI51+AI59+AI61</f>
        <v>1342.5</v>
      </c>
      <c r="AJ63" s="1044">
        <f t="shared" si="52"/>
        <v>1074</v>
      </c>
      <c r="AK63" s="1044">
        <f t="shared" si="52"/>
        <v>268.5</v>
      </c>
      <c r="AL63" s="1044">
        <f t="shared" si="52"/>
        <v>1077.5</v>
      </c>
      <c r="AM63" s="1044">
        <f t="shared" si="52"/>
        <v>223</v>
      </c>
      <c r="AN63" s="1044">
        <f t="shared" si="52"/>
        <v>37.200000000000003</v>
      </c>
      <c r="AO63" s="1044">
        <f t="shared" si="52"/>
        <v>148.69999999999999</v>
      </c>
      <c r="AP63" s="1044">
        <f t="shared" si="52"/>
        <v>594.5</v>
      </c>
      <c r="AQ63" s="1044">
        <f t="shared" si="52"/>
        <v>447.6</v>
      </c>
      <c r="AR63" s="1044">
        <f t="shared" si="52"/>
        <v>2528.5</v>
      </c>
      <c r="AS63" s="1125"/>
      <c r="AT63" s="1044">
        <f t="shared" ref="AT63:BK63" si="53">AT31+AT33+AT39+AT40+AT41+AT45+AT48+AT50+AT51+AT59+AT61</f>
        <v>1433.7</v>
      </c>
      <c r="AU63" s="1044">
        <f t="shared" si="53"/>
        <v>1147</v>
      </c>
      <c r="AV63" s="1044">
        <f t="shared" si="53"/>
        <v>286.7</v>
      </c>
      <c r="AW63" s="1046">
        <f t="shared" si="53"/>
        <v>11197</v>
      </c>
      <c r="AX63" s="1046">
        <f t="shared" si="53"/>
        <v>2937</v>
      </c>
      <c r="AY63" s="1046">
        <f t="shared" si="53"/>
        <v>518</v>
      </c>
      <c r="AZ63" s="1046">
        <f t="shared" si="53"/>
        <v>1814</v>
      </c>
      <c r="BA63" s="1046">
        <f t="shared" si="53"/>
        <v>8467</v>
      </c>
      <c r="BB63" s="1046">
        <f t="shared" si="53"/>
        <v>8367</v>
      </c>
      <c r="BC63" s="1046">
        <f t="shared" si="53"/>
        <v>33300</v>
      </c>
      <c r="BD63" s="1046">
        <f t="shared" si="53"/>
        <v>13</v>
      </c>
      <c r="BE63" s="1046">
        <f t="shared" si="53"/>
        <v>4</v>
      </c>
      <c r="BF63" s="1046">
        <f t="shared" si="53"/>
        <v>1</v>
      </c>
      <c r="BG63" s="1046">
        <f t="shared" si="53"/>
        <v>3</v>
      </c>
      <c r="BH63" s="1046">
        <f t="shared" si="53"/>
        <v>10</v>
      </c>
      <c r="BI63" s="1046">
        <f t="shared" si="53"/>
        <v>10</v>
      </c>
      <c r="BJ63" s="1046">
        <f t="shared" si="53"/>
        <v>41</v>
      </c>
      <c r="BK63" s="1043">
        <f t="shared" si="53"/>
        <v>4.55</v>
      </c>
      <c r="BL63" s="1046"/>
    </row>
    <row r="64" spans="1:65" x14ac:dyDescent="0.25">
      <c r="A64" s="1010" t="s">
        <v>1334</v>
      </c>
      <c r="B64" s="1046">
        <f t="shared" ref="B64:V64" si="54">B62-B63</f>
        <v>11</v>
      </c>
      <c r="C64" s="1046">
        <f t="shared" si="54"/>
        <v>6</v>
      </c>
      <c r="D64" s="1046">
        <f t="shared" si="54"/>
        <v>17</v>
      </c>
      <c r="E64" s="1046">
        <f t="shared" si="54"/>
        <v>22</v>
      </c>
      <c r="F64" s="1046">
        <f t="shared" si="54"/>
        <v>60</v>
      </c>
      <c r="G64" s="1046">
        <f t="shared" si="54"/>
        <v>42</v>
      </c>
      <c r="H64" s="1046">
        <f t="shared" si="54"/>
        <v>158</v>
      </c>
      <c r="I64" s="1046">
        <f t="shared" si="54"/>
        <v>9504</v>
      </c>
      <c r="J64" s="1046">
        <f t="shared" si="54"/>
        <v>5184</v>
      </c>
      <c r="K64" s="1046">
        <f t="shared" si="54"/>
        <v>14688</v>
      </c>
      <c r="L64" s="1046">
        <f t="shared" si="54"/>
        <v>19008</v>
      </c>
      <c r="M64" s="1046">
        <f t="shared" si="54"/>
        <v>51840</v>
      </c>
      <c r="N64" s="1046">
        <f t="shared" si="54"/>
        <v>42336</v>
      </c>
      <c r="O64" s="1046">
        <f t="shared" si="54"/>
        <v>142560</v>
      </c>
      <c r="P64" s="1044">
        <f t="shared" si="54"/>
        <v>380.2</v>
      </c>
      <c r="Q64" s="1044">
        <f t="shared" si="54"/>
        <v>207.3</v>
      </c>
      <c r="R64" s="1044">
        <f t="shared" si="54"/>
        <v>587.5</v>
      </c>
      <c r="S64" s="1044">
        <f t="shared" si="54"/>
        <v>760.5</v>
      </c>
      <c r="T64" s="1044">
        <f t="shared" si="54"/>
        <v>2073.6999999999998</v>
      </c>
      <c r="U64" s="1044">
        <f t="shared" si="54"/>
        <v>1439.3</v>
      </c>
      <c r="V64" s="1044">
        <f t="shared" si="54"/>
        <v>5448.5</v>
      </c>
      <c r="W64" s="1125"/>
      <c r="X64" s="1044">
        <f t="shared" ref="X64:AG64" si="55">X62-X63</f>
        <v>2429.3000000000002</v>
      </c>
      <c r="Y64" s="1044">
        <f t="shared" si="55"/>
        <v>1943.4</v>
      </c>
      <c r="Z64" s="1044">
        <f t="shared" si="55"/>
        <v>485.9</v>
      </c>
      <c r="AA64" s="1044">
        <f t="shared" si="55"/>
        <v>399.2</v>
      </c>
      <c r="AB64" s="1044">
        <f t="shared" si="55"/>
        <v>217.8</v>
      </c>
      <c r="AC64" s="1044">
        <f t="shared" si="55"/>
        <v>616.9</v>
      </c>
      <c r="AD64" s="1044">
        <f t="shared" si="55"/>
        <v>798.3</v>
      </c>
      <c r="AE64" s="1044">
        <f t="shared" si="55"/>
        <v>2177.3000000000002</v>
      </c>
      <c r="AF64" s="1044">
        <f t="shared" si="55"/>
        <v>1524.4</v>
      </c>
      <c r="AG64" s="1044">
        <f t="shared" si="55"/>
        <v>5733.9</v>
      </c>
      <c r="AH64" s="1125"/>
      <c r="AI64" s="1044">
        <f t="shared" ref="AI64:AR64" si="56">AI62-AI63</f>
        <v>2556.6</v>
      </c>
      <c r="AJ64" s="1044">
        <f t="shared" si="56"/>
        <v>2045.6</v>
      </c>
      <c r="AK64" s="1044">
        <f t="shared" si="56"/>
        <v>511</v>
      </c>
      <c r="AL64" s="1044">
        <f t="shared" si="56"/>
        <v>408.8</v>
      </c>
      <c r="AM64" s="1044">
        <f t="shared" si="56"/>
        <v>222.9</v>
      </c>
      <c r="AN64" s="1044">
        <f t="shared" si="56"/>
        <v>631.70000000000005</v>
      </c>
      <c r="AO64" s="1044">
        <f t="shared" si="56"/>
        <v>817.6</v>
      </c>
      <c r="AP64" s="1044">
        <f t="shared" si="56"/>
        <v>2229.4</v>
      </c>
      <c r="AQ64" s="1044">
        <f t="shared" si="56"/>
        <v>1566.5</v>
      </c>
      <c r="AR64" s="1044">
        <f t="shared" si="56"/>
        <v>5876.9</v>
      </c>
      <c r="AS64" s="1125"/>
      <c r="AT64" s="1044">
        <f t="shared" ref="AT64:BK64" si="57">AT62-AT63</f>
        <v>2620.5</v>
      </c>
      <c r="AU64" s="1044">
        <f t="shared" si="57"/>
        <v>2096.4</v>
      </c>
      <c r="AV64" s="1044">
        <f t="shared" si="57"/>
        <v>524.1</v>
      </c>
      <c r="AW64" s="1046">
        <f t="shared" si="57"/>
        <v>3767</v>
      </c>
      <c r="AX64" s="1046">
        <f t="shared" si="57"/>
        <v>1452</v>
      </c>
      <c r="AY64" s="1046">
        <f t="shared" si="57"/>
        <v>6014</v>
      </c>
      <c r="AZ64" s="1046">
        <f t="shared" si="57"/>
        <v>8209</v>
      </c>
      <c r="BA64" s="1046">
        <f t="shared" si="57"/>
        <v>24988</v>
      </c>
      <c r="BB64" s="1046">
        <f t="shared" si="57"/>
        <v>19173</v>
      </c>
      <c r="BC64" s="1046">
        <f t="shared" si="57"/>
        <v>63603</v>
      </c>
      <c r="BD64" s="1046">
        <f t="shared" si="57"/>
        <v>5</v>
      </c>
      <c r="BE64" s="1046">
        <f t="shared" si="57"/>
        <v>2</v>
      </c>
      <c r="BF64" s="1046">
        <f t="shared" si="57"/>
        <v>8</v>
      </c>
      <c r="BG64" s="1046">
        <f t="shared" si="57"/>
        <v>9</v>
      </c>
      <c r="BH64" s="1046">
        <f t="shared" si="57"/>
        <v>30</v>
      </c>
      <c r="BI64" s="1046">
        <f t="shared" si="57"/>
        <v>21</v>
      </c>
      <c r="BJ64" s="1046">
        <f t="shared" si="57"/>
        <v>75</v>
      </c>
      <c r="BK64" s="1043">
        <f t="shared" si="57"/>
        <v>8.33</v>
      </c>
      <c r="BL64" s="1046"/>
    </row>
    <row r="65" spans="1:48" x14ac:dyDescent="0.25">
      <c r="V65" s="1126"/>
      <c r="W65" s="1126"/>
      <c r="X65" s="1126"/>
      <c r="Y65" s="1126"/>
      <c r="Z65" s="1126"/>
      <c r="AJ65" s="1126"/>
      <c r="AK65" s="1126"/>
      <c r="AU65" s="1126"/>
      <c r="AV65" s="1126"/>
    </row>
    <row r="66" spans="1:48" x14ac:dyDescent="0.25">
      <c r="A66" s="1127" t="s">
        <v>1917</v>
      </c>
      <c r="V66" s="1128">
        <v>3711.3</v>
      </c>
      <c r="X66" s="1128">
        <v>3711.3</v>
      </c>
      <c r="Y66" s="1129"/>
      <c r="Z66" s="1129"/>
      <c r="AG66" s="1128">
        <v>3899.1</v>
      </c>
      <c r="AI66" s="1128">
        <v>3899.1</v>
      </c>
      <c r="AJ66" s="1129"/>
      <c r="AK66" s="1129"/>
      <c r="AR66" s="1128">
        <v>4054.2</v>
      </c>
      <c r="AT66" s="1128">
        <v>4054.2</v>
      </c>
      <c r="AU66" s="1129"/>
      <c r="AV66" s="1129"/>
    </row>
    <row r="67" spans="1:48" x14ac:dyDescent="0.25">
      <c r="V67" s="1130">
        <f>V66-V62</f>
        <v>-4084</v>
      </c>
      <c r="W67" s="1131">
        <f>X67/V61</f>
        <v>0</v>
      </c>
      <c r="X67" s="1130">
        <f>X66-X62</f>
        <v>0</v>
      </c>
      <c r="Y67" s="1132"/>
      <c r="Z67" s="1132"/>
      <c r="AA67" s="1133"/>
      <c r="AB67" s="1133"/>
      <c r="AC67" s="1133"/>
      <c r="AD67" s="1133"/>
      <c r="AE67" s="1133"/>
      <c r="AF67" s="1133"/>
      <c r="AG67" s="1130">
        <f>AG66-AG62</f>
        <v>-4302.8999999999996</v>
      </c>
      <c r="AH67" s="1131">
        <f>AI67/AG61</f>
        <v>0</v>
      </c>
      <c r="AI67" s="1130">
        <f>AI66-AI62</f>
        <v>0</v>
      </c>
      <c r="AJ67" s="1132"/>
      <c r="AK67" s="1132"/>
      <c r="AL67" s="1133"/>
      <c r="AM67" s="1133"/>
      <c r="AN67" s="1133"/>
      <c r="AO67" s="1133"/>
      <c r="AP67" s="1133"/>
      <c r="AQ67" s="1133"/>
      <c r="AR67" s="1130">
        <f>AR66-AR62</f>
        <v>-4351.2</v>
      </c>
      <c r="AS67" s="1131">
        <f>AT67/AR61</f>
        <v>0</v>
      </c>
      <c r="AT67" s="1130">
        <f>AT66-AT62</f>
        <v>0</v>
      </c>
      <c r="AU67" s="1132"/>
      <c r="AV67" s="1132"/>
    </row>
  </sheetData>
  <mergeCells count="35">
    <mergeCell ref="A27:A29"/>
    <mergeCell ref="B27:H27"/>
    <mergeCell ref="I27:O27"/>
    <mergeCell ref="P27:AV27"/>
    <mergeCell ref="A2:U2"/>
    <mergeCell ref="A3:A4"/>
    <mergeCell ref="B3:G3"/>
    <mergeCell ref="I3:N3"/>
    <mergeCell ref="P3:U3"/>
    <mergeCell ref="AT29:AT30"/>
    <mergeCell ref="AU29:AV29"/>
    <mergeCell ref="AW27:BC27"/>
    <mergeCell ref="BD27:BJ27"/>
    <mergeCell ref="BK27:BK29"/>
    <mergeCell ref="BL27:BL30"/>
    <mergeCell ref="B28:H28"/>
    <mergeCell ref="I28:O28"/>
    <mergeCell ref="P28:Z28"/>
    <mergeCell ref="AA28:AK28"/>
    <mergeCell ref="AL28:AV28"/>
    <mergeCell ref="AW28:BC28"/>
    <mergeCell ref="AW30:BB30"/>
    <mergeCell ref="BD28:BJ28"/>
    <mergeCell ref="X29:X30"/>
    <mergeCell ref="Y29:Z29"/>
    <mergeCell ref="AI29:AI30"/>
    <mergeCell ref="AJ29:AK29"/>
    <mergeCell ref="BC29:BC30"/>
    <mergeCell ref="BJ29:BJ30"/>
    <mergeCell ref="BD30:BI30"/>
    <mergeCell ref="B30:G30"/>
    <mergeCell ref="I30:N30"/>
    <mergeCell ref="P30:U30"/>
    <mergeCell ref="AA30:AF30"/>
    <mergeCell ref="AL30:AQ30"/>
  </mergeCells>
  <pageMargins left="0.70866141732283472" right="0.70866141732283472" top="0.74803149606299213" bottom="0.74803149606299213" header="0.31496062992125984" footer="0.31496062992125984"/>
  <pageSetup paperSize="9" scale="44" fitToWidth="2" fitToHeight="0" orientation="landscape" r:id="rId1"/>
  <rowBreaks count="1" manualBreakCount="1">
    <brk id="24" max="58" man="1"/>
  </rowBreaks>
  <colBreaks count="1" manualBreakCount="1">
    <brk id="48" max="66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F14"/>
  <sheetViews>
    <sheetView workbookViewId="0">
      <selection activeCell="H20" sqref="H20"/>
    </sheetView>
  </sheetViews>
  <sheetFormatPr defaultRowHeight="15" x14ac:dyDescent="0.25"/>
  <cols>
    <col min="1" max="1" width="36.42578125" customWidth="1"/>
    <col min="2" max="2" width="9.140625" hidden="1" customWidth="1"/>
    <col min="3" max="3" width="0" hidden="1" customWidth="1"/>
  </cols>
  <sheetData>
    <row r="2" spans="1:6" x14ac:dyDescent="0.25">
      <c r="A2" t="s">
        <v>2221</v>
      </c>
    </row>
    <row r="3" spans="1:6" x14ac:dyDescent="0.25">
      <c r="E3" t="s">
        <v>265</v>
      </c>
      <c r="F3" t="s">
        <v>2222</v>
      </c>
    </row>
    <row r="4" spans="1:6" ht="15.75" x14ac:dyDescent="0.25">
      <c r="A4" s="1254" t="s">
        <v>2220</v>
      </c>
      <c r="B4" s="1269">
        <v>6</v>
      </c>
      <c r="D4" s="1255">
        <v>9</v>
      </c>
      <c r="E4" s="1680">
        <f>D4+D5+D6+D7</f>
        <v>36</v>
      </c>
      <c r="F4" s="1680">
        <f>E4/4</f>
        <v>9</v>
      </c>
    </row>
    <row r="5" spans="1:6" ht="15.75" x14ac:dyDescent="0.25">
      <c r="A5" s="1254" t="s">
        <v>1856</v>
      </c>
      <c r="B5" s="1269">
        <v>8</v>
      </c>
      <c r="D5" s="1255">
        <v>9</v>
      </c>
      <c r="E5" s="1680"/>
      <c r="F5" s="1680"/>
    </row>
    <row r="6" spans="1:6" ht="15.75" x14ac:dyDescent="0.25">
      <c r="A6" s="1254" t="s">
        <v>1857</v>
      </c>
      <c r="B6" s="1269">
        <v>8</v>
      </c>
      <c r="D6" s="1255">
        <v>9</v>
      </c>
      <c r="E6" s="1680"/>
      <c r="F6" s="1680"/>
    </row>
    <row r="7" spans="1:6" ht="15.75" x14ac:dyDescent="0.25">
      <c r="A7" s="1254" t="s">
        <v>1858</v>
      </c>
      <c r="B7" s="1269">
        <v>9</v>
      </c>
      <c r="D7" s="1255">
        <v>9</v>
      </c>
      <c r="E7" s="1680"/>
      <c r="F7" s="1680"/>
    </row>
    <row r="8" spans="1:6" ht="15.75" x14ac:dyDescent="0.25">
      <c r="A8" s="1254" t="s">
        <v>1859</v>
      </c>
      <c r="B8" s="1269">
        <v>11</v>
      </c>
      <c r="D8" s="1255">
        <v>13</v>
      </c>
      <c r="E8" s="1681">
        <f>(D8+D9+D10+D11+D12)</f>
        <v>79</v>
      </c>
      <c r="F8" s="1681">
        <f>E8/5</f>
        <v>16</v>
      </c>
    </row>
    <row r="9" spans="1:6" ht="15.75" x14ac:dyDescent="0.25">
      <c r="A9" s="1254" t="s">
        <v>1860</v>
      </c>
      <c r="B9" s="1269">
        <v>13</v>
      </c>
      <c r="D9" s="1255">
        <v>14</v>
      </c>
      <c r="E9" s="1681"/>
      <c r="F9" s="1681"/>
    </row>
    <row r="10" spans="1:6" ht="15.75" x14ac:dyDescent="0.25">
      <c r="A10" s="1254" t="s">
        <v>1861</v>
      </c>
      <c r="B10" s="1269">
        <v>14</v>
      </c>
      <c r="D10" s="1255">
        <v>16</v>
      </c>
      <c r="E10" s="1681"/>
      <c r="F10" s="1681"/>
    </row>
    <row r="11" spans="1:6" ht="15.75" x14ac:dyDescent="0.25">
      <c r="A11" s="1254" t="s">
        <v>1862</v>
      </c>
      <c r="B11" s="1269">
        <v>18</v>
      </c>
      <c r="D11" s="1255">
        <v>18</v>
      </c>
      <c r="E11" s="1681"/>
      <c r="F11" s="1681"/>
    </row>
    <row r="12" spans="1:6" ht="15.75" x14ac:dyDescent="0.25">
      <c r="A12" s="1254" t="s">
        <v>1863</v>
      </c>
      <c r="B12" s="1269">
        <v>18</v>
      </c>
      <c r="D12" s="1255">
        <v>18</v>
      </c>
      <c r="E12" s="1681"/>
      <c r="F12" s="1681"/>
    </row>
    <row r="13" spans="1:6" ht="15.75" x14ac:dyDescent="0.25">
      <c r="A13" s="1254" t="s">
        <v>1864</v>
      </c>
      <c r="B13" s="1269">
        <v>21</v>
      </c>
      <c r="D13" s="1255">
        <v>20</v>
      </c>
      <c r="E13" s="1680">
        <f>(D13+D14)</f>
        <v>40</v>
      </c>
      <c r="F13" s="1680">
        <f>E13/2</f>
        <v>20</v>
      </c>
    </row>
    <row r="14" spans="1:6" ht="15.75" x14ac:dyDescent="0.25">
      <c r="A14" s="1254" t="s">
        <v>1865</v>
      </c>
      <c r="B14" s="1269">
        <v>20</v>
      </c>
      <c r="D14" s="1255">
        <v>20</v>
      </c>
      <c r="E14" s="1680"/>
      <c r="F14" s="1680"/>
    </row>
  </sheetData>
  <mergeCells count="6">
    <mergeCell ref="E4:E7"/>
    <mergeCell ref="E8:E12"/>
    <mergeCell ref="E13:E14"/>
    <mergeCell ref="F4:F7"/>
    <mergeCell ref="F8:F12"/>
    <mergeCell ref="F13:F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2:AW24"/>
  <sheetViews>
    <sheetView view="pageBreakPreview" zoomScale="75" zoomScaleNormal="75" zoomScaleSheetLayoutView="75" workbookViewId="0">
      <pane xSplit="1" ySplit="6" topLeftCell="U14" activePane="bottomRight" state="frozen"/>
      <selection pane="topRight" activeCell="C1" sqref="C1"/>
      <selection pane="bottomLeft" activeCell="A6" sqref="A6"/>
      <selection pane="bottomRight" activeCell="AL3" sqref="AL3"/>
    </sheetView>
  </sheetViews>
  <sheetFormatPr defaultColWidth="9.140625" defaultRowHeight="15.75" x14ac:dyDescent="0.25"/>
  <cols>
    <col min="1" max="1" width="63.42578125" style="72" customWidth="1"/>
    <col min="2" max="2" width="14" style="72" customWidth="1"/>
    <col min="3" max="3" width="13.7109375" style="72" customWidth="1"/>
    <col min="4" max="4" width="12.5703125" style="72" customWidth="1"/>
    <col min="5" max="5" width="14" style="72" customWidth="1"/>
    <col min="6" max="6" width="13.7109375" style="72" customWidth="1"/>
    <col min="7" max="7" width="12.5703125" style="72" customWidth="1"/>
    <col min="8" max="8" width="12.85546875" style="72" customWidth="1"/>
    <col min="9" max="9" width="13.7109375" style="72" customWidth="1"/>
    <col min="10" max="10" width="12.7109375" style="72" customWidth="1"/>
    <col min="11" max="11" width="14.28515625" style="72" customWidth="1"/>
    <col min="12" max="12" width="12.7109375" style="72" customWidth="1"/>
    <col min="13" max="13" width="14.28515625" style="72" customWidth="1"/>
    <col min="14" max="14" width="16" style="72" customWidth="1"/>
    <col min="15" max="15" width="14.85546875" style="72" customWidth="1"/>
    <col min="16" max="16" width="15.28515625" style="72" customWidth="1"/>
    <col min="17" max="17" width="13.42578125" style="72" customWidth="1"/>
    <col min="18" max="18" width="10.85546875" style="72" customWidth="1"/>
    <col min="19" max="21" width="12.85546875" style="72" customWidth="1"/>
    <col min="22" max="22" width="12.42578125" style="72" customWidth="1"/>
    <col min="23" max="23" width="10.85546875" style="72" customWidth="1"/>
    <col min="24" max="24" width="15.7109375" style="72" customWidth="1"/>
    <col min="25" max="25" width="11.85546875" style="72" customWidth="1"/>
    <col min="26" max="26" width="14.28515625" style="72" customWidth="1"/>
    <col min="27" max="27" width="15.5703125" style="72" customWidth="1"/>
    <col min="28" max="28" width="14.140625" style="72" customWidth="1"/>
    <col min="29" max="30" width="12.42578125" style="72" customWidth="1"/>
    <col min="31" max="31" width="17" style="72" customWidth="1"/>
    <col min="32" max="32" width="14" style="72" customWidth="1"/>
    <col min="33" max="33" width="12.5703125" style="72" customWidth="1"/>
    <col min="34" max="34" width="13.42578125" style="72" hidden="1" customWidth="1"/>
    <col min="35" max="35" width="15" style="72" hidden="1" customWidth="1"/>
    <col min="36" max="36" width="14.85546875" style="72" customWidth="1"/>
    <col min="37" max="37" width="14.42578125" style="72" hidden="1" customWidth="1"/>
    <col min="38" max="38" width="15.140625" style="72" customWidth="1"/>
    <col min="39" max="39" width="18.7109375" style="72" hidden="1" customWidth="1"/>
    <col min="40" max="40" width="14.5703125" style="72" customWidth="1"/>
    <col min="41" max="41" width="15.85546875" style="72" customWidth="1"/>
    <col min="42" max="43" width="14.5703125" style="72" customWidth="1"/>
    <col min="44" max="44" width="11.140625" style="72" customWidth="1"/>
    <col min="45" max="45" width="16" style="72" customWidth="1"/>
    <col min="46" max="46" width="3" style="72" customWidth="1"/>
    <col min="47" max="47" width="17.5703125" style="72" customWidth="1"/>
    <col min="48" max="48" width="3.5703125" style="72" customWidth="1"/>
    <col min="49" max="49" width="13.140625" style="72" customWidth="1"/>
    <col min="50" max="16384" width="9.140625" style="72"/>
  </cols>
  <sheetData>
    <row r="2" spans="1:49" s="657" customFormat="1" ht="18.75" customHeight="1" x14ac:dyDescent="0.25">
      <c r="K2" s="1278" t="s">
        <v>1934</v>
      </c>
      <c r="Q2" s="1169"/>
    </row>
    <row r="3" spans="1:49" s="657" customFormat="1" ht="17.25" customHeight="1" x14ac:dyDescent="0.25">
      <c r="A3" s="657" t="s">
        <v>1491</v>
      </c>
      <c r="AI3" s="657">
        <f>9489/7198</f>
        <v>1.3182828563489899</v>
      </c>
    </row>
    <row r="5" spans="1:49" ht="15.75" customHeight="1" x14ac:dyDescent="0.25">
      <c r="A5" s="1348" t="s">
        <v>270</v>
      </c>
      <c r="B5" s="1349" t="s">
        <v>1426</v>
      </c>
      <c r="C5" s="1350" t="s">
        <v>31</v>
      </c>
      <c r="D5" s="1350"/>
      <c r="E5" s="1349" t="s">
        <v>1427</v>
      </c>
      <c r="F5" s="1350" t="s">
        <v>31</v>
      </c>
      <c r="G5" s="1350"/>
      <c r="H5" s="1347" t="s">
        <v>1428</v>
      </c>
      <c r="I5" s="1347" t="s">
        <v>1429</v>
      </c>
      <c r="J5" s="1347" t="s">
        <v>1430</v>
      </c>
      <c r="K5" s="1347" t="s">
        <v>1431</v>
      </c>
      <c r="L5" s="1365" t="s">
        <v>1418</v>
      </c>
      <c r="M5" s="1365" t="s">
        <v>1419</v>
      </c>
      <c r="N5" s="1351" t="s">
        <v>1485</v>
      </c>
      <c r="O5" s="1347" t="s">
        <v>1433</v>
      </c>
      <c r="P5" s="1347" t="s">
        <v>1434</v>
      </c>
      <c r="Q5" s="1347" t="s">
        <v>1435</v>
      </c>
      <c r="R5" s="1347" t="s">
        <v>888</v>
      </c>
      <c r="S5" s="1347" t="s">
        <v>271</v>
      </c>
      <c r="T5" s="1347" t="s">
        <v>1436</v>
      </c>
      <c r="U5" s="1347" t="s">
        <v>2226</v>
      </c>
      <c r="V5" s="1353" t="s">
        <v>31</v>
      </c>
      <c r="W5" s="1354"/>
      <c r="X5" s="1354"/>
      <c r="Y5" s="1355"/>
      <c r="Z5" s="1356" t="s">
        <v>1437</v>
      </c>
      <c r="AA5" s="1356" t="s">
        <v>1438</v>
      </c>
      <c r="AB5" s="1358" t="s">
        <v>1439</v>
      </c>
      <c r="AC5" s="1359"/>
      <c r="AD5" s="1353" t="s">
        <v>1440</v>
      </c>
      <c r="AE5" s="1355"/>
      <c r="AF5" s="1356" t="s">
        <v>945</v>
      </c>
      <c r="AG5" s="1347" t="s">
        <v>946</v>
      </c>
      <c r="AH5" s="1362" t="s">
        <v>1441</v>
      </c>
      <c r="AI5" s="1362" t="s">
        <v>1442</v>
      </c>
      <c r="AJ5" s="1347" t="s">
        <v>1480</v>
      </c>
      <c r="AK5" s="1353" t="s">
        <v>31</v>
      </c>
      <c r="AL5" s="1354"/>
      <c r="AM5" s="1355"/>
      <c r="AN5" s="1363" t="s">
        <v>1444</v>
      </c>
      <c r="AO5" s="1363"/>
      <c r="AP5" s="1363"/>
      <c r="AQ5" s="1363"/>
      <c r="AR5" s="1363"/>
      <c r="AS5" s="1363"/>
      <c r="AU5" s="1364" t="s">
        <v>1445</v>
      </c>
      <c r="AW5" s="1360" t="s">
        <v>282</v>
      </c>
    </row>
    <row r="6" spans="1:49" ht="175.5" customHeight="1" x14ac:dyDescent="0.25">
      <c r="A6" s="1348"/>
      <c r="B6" s="1349"/>
      <c r="C6" s="659" t="s">
        <v>1447</v>
      </c>
      <c r="D6" s="659" t="s">
        <v>1448</v>
      </c>
      <c r="E6" s="1349"/>
      <c r="F6" s="659" t="s">
        <v>1449</v>
      </c>
      <c r="G6" s="659" t="s">
        <v>1448</v>
      </c>
      <c r="H6" s="1347"/>
      <c r="I6" s="1347"/>
      <c r="J6" s="1347"/>
      <c r="K6" s="1347"/>
      <c r="L6" s="1365"/>
      <c r="M6" s="1365"/>
      <c r="N6" s="1352"/>
      <c r="O6" s="1347"/>
      <c r="P6" s="1347"/>
      <c r="Q6" s="1347"/>
      <c r="R6" s="1347"/>
      <c r="S6" s="1347"/>
      <c r="T6" s="1347"/>
      <c r="U6" s="1347"/>
      <c r="V6" s="660" t="s">
        <v>1481</v>
      </c>
      <c r="W6" s="660" t="s">
        <v>1451</v>
      </c>
      <c r="X6" s="660" t="s">
        <v>1452</v>
      </c>
      <c r="Y6" s="661" t="s">
        <v>1453</v>
      </c>
      <c r="Z6" s="1357"/>
      <c r="AA6" s="1357"/>
      <c r="AB6" s="661" t="s">
        <v>1454</v>
      </c>
      <c r="AC6" s="660" t="s">
        <v>1455</v>
      </c>
      <c r="AD6" s="661" t="s">
        <v>1456</v>
      </c>
      <c r="AE6" s="660" t="s">
        <v>1486</v>
      </c>
      <c r="AF6" s="1357"/>
      <c r="AG6" s="1347"/>
      <c r="AH6" s="1362"/>
      <c r="AI6" s="1362"/>
      <c r="AJ6" s="1347"/>
      <c r="AK6" s="662" t="s">
        <v>1458</v>
      </c>
      <c r="AL6" s="663" t="s">
        <v>1459</v>
      </c>
      <c r="AM6" s="662" t="s">
        <v>1458</v>
      </c>
      <c r="AN6" s="664" t="s">
        <v>1487</v>
      </c>
      <c r="AO6" s="664" t="s">
        <v>1488</v>
      </c>
      <c r="AP6" s="665" t="s">
        <v>1462</v>
      </c>
      <c r="AQ6" s="666" t="s">
        <v>1463</v>
      </c>
      <c r="AR6" s="665" t="s">
        <v>1464</v>
      </c>
      <c r="AS6" s="667" t="s">
        <v>1465</v>
      </c>
      <c r="AU6" s="1364"/>
      <c r="AW6" s="1361"/>
    </row>
    <row r="7" spans="1:49" ht="93.75" customHeight="1" x14ac:dyDescent="0.25">
      <c r="A7" s="668" t="s">
        <v>1466</v>
      </c>
      <c r="B7" s="669" t="s">
        <v>1467</v>
      </c>
      <c r="C7" s="669" t="s">
        <v>1468</v>
      </c>
      <c r="D7" s="669" t="s">
        <v>1469</v>
      </c>
      <c r="E7" s="669" t="s">
        <v>269</v>
      </c>
      <c r="F7" s="669" t="s">
        <v>1470</v>
      </c>
      <c r="G7" s="669" t="s">
        <v>4</v>
      </c>
      <c r="H7" s="669">
        <v>4</v>
      </c>
      <c r="I7" s="669">
        <v>5</v>
      </c>
      <c r="J7" s="669">
        <v>6</v>
      </c>
      <c r="K7" s="669">
        <v>7</v>
      </c>
      <c r="L7" s="669" t="s">
        <v>254</v>
      </c>
      <c r="M7" s="669" t="s">
        <v>925</v>
      </c>
      <c r="N7" s="669">
        <v>8</v>
      </c>
      <c r="O7" s="669">
        <v>9</v>
      </c>
      <c r="P7" s="669">
        <v>10</v>
      </c>
      <c r="Q7" s="669">
        <v>11</v>
      </c>
      <c r="R7" s="669">
        <v>12</v>
      </c>
      <c r="S7" s="669">
        <v>13</v>
      </c>
      <c r="T7" s="669">
        <v>14</v>
      </c>
      <c r="U7" s="669">
        <v>15</v>
      </c>
      <c r="V7" s="669">
        <v>16</v>
      </c>
      <c r="W7" s="669">
        <v>17</v>
      </c>
      <c r="X7" s="669">
        <v>18</v>
      </c>
      <c r="Y7" s="669">
        <v>19</v>
      </c>
      <c r="Z7" s="669">
        <v>20</v>
      </c>
      <c r="AA7" s="669">
        <v>21</v>
      </c>
      <c r="AB7" s="669">
        <v>22</v>
      </c>
      <c r="AC7" s="669">
        <v>23</v>
      </c>
      <c r="AD7" s="669">
        <v>24</v>
      </c>
      <c r="AE7" s="669">
        <v>25</v>
      </c>
      <c r="AF7" s="669">
        <v>26</v>
      </c>
      <c r="AG7" s="669">
        <v>27</v>
      </c>
      <c r="AH7" s="669">
        <v>8</v>
      </c>
      <c r="AI7" s="669">
        <v>8</v>
      </c>
      <c r="AJ7" s="669">
        <v>28</v>
      </c>
      <c r="AK7" s="669">
        <v>29</v>
      </c>
      <c r="AL7" s="669">
        <v>30</v>
      </c>
      <c r="AM7" s="670">
        <v>31</v>
      </c>
      <c r="AN7" s="671" t="s">
        <v>1471</v>
      </c>
      <c r="AO7" s="671" t="s">
        <v>1489</v>
      </c>
      <c r="AP7" s="671" t="s">
        <v>1473</v>
      </c>
      <c r="AQ7" s="671" t="s">
        <v>1474</v>
      </c>
      <c r="AR7" s="671" t="s">
        <v>1475</v>
      </c>
      <c r="AS7" s="671">
        <v>37</v>
      </c>
      <c r="AU7" s="1263" t="s">
        <v>2225</v>
      </c>
      <c r="AW7" s="1264" t="s">
        <v>2228</v>
      </c>
    </row>
    <row r="8" spans="1:49" ht="18.75" customHeight="1" x14ac:dyDescent="0.25">
      <c r="A8" s="673"/>
      <c r="B8" s="674"/>
      <c r="C8" s="674"/>
      <c r="D8" s="674"/>
      <c r="E8" s="674"/>
      <c r="F8" s="674"/>
      <c r="G8" s="674"/>
      <c r="H8" s="675"/>
      <c r="I8" s="675"/>
      <c r="J8" s="675"/>
      <c r="K8" s="675"/>
      <c r="L8" s="676"/>
      <c r="M8" s="676"/>
      <c r="N8" s="676"/>
      <c r="O8" s="675"/>
      <c r="P8" s="677"/>
      <c r="Q8" s="678"/>
      <c r="R8" s="506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5"/>
      <c r="AE8" s="675"/>
      <c r="AF8" s="675"/>
      <c r="AG8" s="675"/>
      <c r="AH8" s="679"/>
      <c r="AI8" s="679"/>
      <c r="AJ8" s="506"/>
      <c r="AK8" s="680"/>
      <c r="AL8" s="680"/>
      <c r="AM8" s="680"/>
      <c r="AN8" s="681"/>
      <c r="AO8" s="681">
        <f>32069.71*1.00333*1.061*1.04*1.01</f>
        <v>35859.9</v>
      </c>
      <c r="AP8" s="682"/>
      <c r="AQ8" s="683">
        <f>1055.4/1392.98</f>
        <v>0.757656</v>
      </c>
      <c r="AR8" s="684"/>
      <c r="AS8" s="685"/>
      <c r="AT8" s="686"/>
      <c r="AU8" s="677"/>
      <c r="AW8" s="1265"/>
    </row>
    <row r="9" spans="1:49" ht="18.75" hidden="1" customHeight="1" x14ac:dyDescent="0.25">
      <c r="A9" s="673"/>
      <c r="B9" s="674"/>
      <c r="C9" s="674"/>
      <c r="D9" s="674"/>
      <c r="E9" s="674"/>
      <c r="F9" s="674"/>
      <c r="G9" s="674"/>
      <c r="H9" s="675"/>
      <c r="I9" s="675"/>
      <c r="J9" s="675"/>
      <c r="K9" s="675"/>
      <c r="L9" s="675"/>
      <c r="M9" s="675"/>
      <c r="N9" s="675"/>
      <c r="O9" s="675"/>
      <c r="P9" s="677"/>
      <c r="Q9" s="678"/>
      <c r="R9" s="506"/>
      <c r="S9" s="675"/>
      <c r="T9" s="675"/>
      <c r="U9" s="675"/>
      <c r="V9" s="675"/>
      <c r="W9" s="675"/>
      <c r="X9" s="675"/>
      <c r="Y9" s="675"/>
      <c r="Z9" s="675"/>
      <c r="AA9" s="675"/>
      <c r="AB9" s="675"/>
      <c r="AC9" s="675"/>
      <c r="AD9" s="675"/>
      <c r="AE9" s="675"/>
      <c r="AF9" s="675"/>
      <c r="AG9" s="675"/>
      <c r="AH9" s="679"/>
      <c r="AI9" s="679"/>
      <c r="AJ9" s="506"/>
      <c r="AK9" s="687"/>
      <c r="AL9" s="687"/>
      <c r="AM9" s="687"/>
      <c r="AN9" s="688"/>
      <c r="AO9" s="688"/>
      <c r="AP9" s="689"/>
      <c r="AQ9" s="690"/>
      <c r="AR9" s="688"/>
      <c r="AS9" s="691"/>
      <c r="AT9" s="686"/>
      <c r="AU9" s="677"/>
    </row>
    <row r="10" spans="1:49" ht="18.75" hidden="1" customHeight="1" x14ac:dyDescent="0.25">
      <c r="A10" s="673"/>
      <c r="B10" s="674"/>
      <c r="C10" s="674"/>
      <c r="D10" s="674"/>
      <c r="E10" s="674"/>
      <c r="F10" s="674"/>
      <c r="G10" s="674"/>
      <c r="H10" s="675"/>
      <c r="I10" s="675"/>
      <c r="J10" s="675"/>
      <c r="K10" s="675"/>
      <c r="L10" s="675"/>
      <c r="M10" s="675"/>
      <c r="N10" s="675"/>
      <c r="O10" s="675"/>
      <c r="P10" s="677"/>
      <c r="Q10" s="678"/>
      <c r="R10" s="506"/>
      <c r="S10" s="675"/>
      <c r="T10" s="675"/>
      <c r="U10" s="675"/>
      <c r="V10" s="675"/>
      <c r="W10" s="675"/>
      <c r="X10" s="675"/>
      <c r="Y10" s="675"/>
      <c r="Z10" s="675"/>
      <c r="AA10" s="675"/>
      <c r="AB10" s="675"/>
      <c r="AC10" s="675"/>
      <c r="AD10" s="675"/>
      <c r="AE10" s="675"/>
      <c r="AF10" s="675"/>
      <c r="AG10" s="675"/>
      <c r="AH10" s="679"/>
      <c r="AI10" s="679"/>
      <c r="AJ10" s="506"/>
      <c r="AK10" s="687"/>
      <c r="AL10" s="687"/>
      <c r="AM10" s="687"/>
      <c r="AN10" s="688"/>
      <c r="AO10" s="688"/>
      <c r="AP10" s="689"/>
      <c r="AQ10" s="690"/>
      <c r="AR10" s="688"/>
      <c r="AS10" s="691"/>
      <c r="AT10" s="686"/>
      <c r="AU10" s="677"/>
    </row>
    <row r="11" spans="1:49" ht="24" x14ac:dyDescent="0.25">
      <c r="A11" s="644" t="s">
        <v>421</v>
      </c>
      <c r="B11" s="692">
        <f>C11+D11</f>
        <v>90508</v>
      </c>
      <c r="C11" s="692">
        <f>F11+AS11</f>
        <v>80324</v>
      </c>
      <c r="D11" s="692">
        <f>G11</f>
        <v>10184</v>
      </c>
      <c r="E11" s="692">
        <f t="shared" ref="E11:E24" si="0">ROUND(I11/J11*O11*P11*Q11*R11*S11/T11*AF11*AG11*AH11*AI11*AJ11,0)</f>
        <v>70091</v>
      </c>
      <c r="F11" s="692">
        <f t="shared" ref="F11:F24" si="1">ROUND(I11/J11*O11*P11*Q11*S11/T11*AG11*R11*AJ11*AH11*AI11,0)</f>
        <v>59907</v>
      </c>
      <c r="G11" s="692">
        <f>E11-F11</f>
        <v>10184</v>
      </c>
      <c r="H11" s="675">
        <v>12</v>
      </c>
      <c r="I11" s="675">
        <f t="shared" ref="I11:I24" si="2">H11*5</f>
        <v>60</v>
      </c>
      <c r="J11" s="675">
        <v>36</v>
      </c>
      <c r="K11" s="693">
        <v>13772</v>
      </c>
      <c r="L11" s="646">
        <v>1.0609999999999999</v>
      </c>
      <c r="M11" s="646">
        <v>1.04</v>
      </c>
      <c r="N11" s="646">
        <v>1.01</v>
      </c>
      <c r="O11" s="694">
        <f>K11*L11*M11*N11</f>
        <v>15349</v>
      </c>
      <c r="P11" s="677">
        <v>1.302</v>
      </c>
      <c r="Q11" s="678">
        <v>1.325</v>
      </c>
      <c r="R11" s="695">
        <v>1.01</v>
      </c>
      <c r="S11" s="675">
        <v>12</v>
      </c>
      <c r="T11" s="675">
        <v>15</v>
      </c>
      <c r="U11" s="506">
        <f>13.76-2</f>
        <v>11.76</v>
      </c>
      <c r="V11" s="506">
        <v>0</v>
      </c>
      <c r="W11" s="508">
        <f>U11-V11-X11</f>
        <v>5.75</v>
      </c>
      <c r="X11" s="506">
        <v>6.01</v>
      </c>
      <c r="Y11" s="506">
        <v>5.01</v>
      </c>
      <c r="Z11" s="696">
        <f>O11*P11*Q11*Y11</f>
        <v>132661</v>
      </c>
      <c r="AA11" s="696">
        <f t="shared" ref="AA11:AA24" si="3">Z11/Y11*(X11-Y11)</f>
        <v>26479</v>
      </c>
      <c r="AB11" s="693">
        <v>39111</v>
      </c>
      <c r="AC11" s="696">
        <f>(AB11+AB11*(V11-1)*0.8)*1.01*1.302*L11*M11*N11</f>
        <v>11464</v>
      </c>
      <c r="AD11" s="693">
        <v>16242</v>
      </c>
      <c r="AE11" s="696">
        <f>W11*AD11*1.01*1.302</f>
        <v>122812</v>
      </c>
      <c r="AF11" s="508">
        <f>AA11/(Z11+AA11)+1</f>
        <v>1.17</v>
      </c>
      <c r="AG11" s="508">
        <f>(AC11+AE11)/(Z11+AC11+AE11)+1</f>
        <v>1.5</v>
      </c>
      <c r="AH11" s="679">
        <v>1</v>
      </c>
      <c r="AI11" s="679">
        <v>1</v>
      </c>
      <c r="AJ11" s="697">
        <f>ROUND(AK11*AL11*AM11,2)</f>
        <v>1.1200000000000001</v>
      </c>
      <c r="AK11" s="698">
        <v>1</v>
      </c>
      <c r="AL11" s="699">
        <f t="shared" ref="AL11:AL15" si="4">1+(42+3)/365</f>
        <v>1.1232899999999999</v>
      </c>
      <c r="AM11" s="698">
        <v>1</v>
      </c>
      <c r="AN11" s="700">
        <f>O11*Q11</f>
        <v>20337.43</v>
      </c>
      <c r="AO11" s="701">
        <v>35859.9</v>
      </c>
      <c r="AP11" s="702">
        <f>(AO11-O11*Q11)</f>
        <v>15522.48</v>
      </c>
      <c r="AQ11" s="703">
        <v>0.757656</v>
      </c>
      <c r="AR11" s="704">
        <f>AP11*AQ11</f>
        <v>11761</v>
      </c>
      <c r="AS11" s="705">
        <f>ROUND(I11/J11*AR11*S11/T11*P11,0)</f>
        <v>20417</v>
      </c>
      <c r="AT11" s="686"/>
      <c r="AU11" s="706">
        <f t="shared" ref="AU11:AU24" si="5">I11/T11</f>
        <v>4</v>
      </c>
      <c r="AW11" s="201">
        <f>247*U11/3/T11</f>
        <v>64.55</v>
      </c>
    </row>
    <row r="12" spans="1:49" ht="24" x14ac:dyDescent="0.25">
      <c r="A12" s="644" t="s">
        <v>413</v>
      </c>
      <c r="B12" s="692">
        <f t="shared" ref="B12:B24" si="6">C12+D12</f>
        <v>69031</v>
      </c>
      <c r="C12" s="692">
        <f t="shared" ref="C12:C24" si="7">F12+AS12</f>
        <v>59345</v>
      </c>
      <c r="D12" s="692">
        <f t="shared" ref="D12:D24" si="8">G12</f>
        <v>9686</v>
      </c>
      <c r="E12" s="692">
        <f t="shared" si="0"/>
        <v>53718</v>
      </c>
      <c r="F12" s="692">
        <f t="shared" si="1"/>
        <v>44032</v>
      </c>
      <c r="G12" s="692">
        <f t="shared" ref="G12:G24" si="9">E12-F12</f>
        <v>9686</v>
      </c>
      <c r="H12" s="675">
        <v>12</v>
      </c>
      <c r="I12" s="675">
        <f t="shared" si="2"/>
        <v>60</v>
      </c>
      <c r="J12" s="675">
        <v>36</v>
      </c>
      <c r="K12" s="693">
        <v>13772</v>
      </c>
      <c r="L12" s="646">
        <v>1.0609999999999999</v>
      </c>
      <c r="M12" s="646">
        <v>1.04</v>
      </c>
      <c r="N12" s="646">
        <v>1.01</v>
      </c>
      <c r="O12" s="694">
        <f t="shared" ref="O12:O24" si="10">K12*L12*M12*N12</f>
        <v>15349</v>
      </c>
      <c r="P12" s="677">
        <v>1.302</v>
      </c>
      <c r="Q12" s="678">
        <v>1.325</v>
      </c>
      <c r="R12" s="695">
        <v>1.01</v>
      </c>
      <c r="S12" s="675">
        <v>12</v>
      </c>
      <c r="T12" s="675">
        <v>20</v>
      </c>
      <c r="U12" s="506">
        <f>13.39-2</f>
        <v>11.39</v>
      </c>
      <c r="V12" s="506">
        <v>0</v>
      </c>
      <c r="W12" s="508">
        <f t="shared" ref="W12:W24" si="11">U12-V12-X12</f>
        <v>5</v>
      </c>
      <c r="X12" s="506">
        <v>6.39</v>
      </c>
      <c r="Y12" s="506">
        <v>5.01</v>
      </c>
      <c r="Z12" s="696">
        <f t="shared" ref="Z12:Z24" si="12">O12*P12*Q12*Y12</f>
        <v>132661</v>
      </c>
      <c r="AA12" s="696">
        <f t="shared" si="3"/>
        <v>36541</v>
      </c>
      <c r="AB12" s="693">
        <v>39111</v>
      </c>
      <c r="AC12" s="696">
        <f t="shared" ref="AC12:AC24" si="13">(AB12+AB12*(V12-1)*0.8)*1.01*1.302*L12*M12*N12</f>
        <v>11464</v>
      </c>
      <c r="AD12" s="693">
        <v>16242</v>
      </c>
      <c r="AE12" s="696">
        <f t="shared" ref="AE12:AE24" si="14">W12*AD12*1.01*1.302</f>
        <v>106793</v>
      </c>
      <c r="AF12" s="508">
        <f t="shared" ref="AF12:AF24" si="15">AA12/(Z12+AA12)+1</f>
        <v>1.22</v>
      </c>
      <c r="AG12" s="508">
        <f t="shared" ref="AG12:AG24" si="16">(AC12+AE12)/(Z12+AC12+AE12)+1</f>
        <v>1.47</v>
      </c>
      <c r="AH12" s="679">
        <v>1</v>
      </c>
      <c r="AI12" s="679">
        <v>1</v>
      </c>
      <c r="AJ12" s="697">
        <f t="shared" ref="AJ12:AJ24" si="17">ROUND(AK12*AL12*AM12,2)</f>
        <v>1.1200000000000001</v>
      </c>
      <c r="AK12" s="698">
        <v>1</v>
      </c>
      <c r="AL12" s="699">
        <f t="shared" si="4"/>
        <v>1.1232899999999999</v>
      </c>
      <c r="AM12" s="698">
        <v>1</v>
      </c>
      <c r="AN12" s="700">
        <f t="shared" ref="AN12:AN24" si="18">O12*Q12</f>
        <v>20337.43</v>
      </c>
      <c r="AO12" s="701">
        <v>35859.9</v>
      </c>
      <c r="AP12" s="702">
        <f t="shared" ref="AP12:AP24" si="19">(AO12-O12*Q12)</f>
        <v>15522.48</v>
      </c>
      <c r="AQ12" s="703">
        <v>0.757656</v>
      </c>
      <c r="AR12" s="704">
        <f t="shared" ref="AR12:AR24" si="20">AP12*AQ12</f>
        <v>11761</v>
      </c>
      <c r="AS12" s="705">
        <f t="shared" ref="AS12:AS24" si="21">ROUND(I12/J12*AR12*S12/T12*P12,0)</f>
        <v>15313</v>
      </c>
      <c r="AU12" s="706">
        <f t="shared" si="5"/>
        <v>3</v>
      </c>
      <c r="AW12" s="201">
        <f t="shared" ref="AW12:AW23" si="22">247*U12/3/T12</f>
        <v>46.89</v>
      </c>
    </row>
    <row r="13" spans="1:49" ht="24" x14ac:dyDescent="0.25">
      <c r="A13" s="644" t="s">
        <v>947</v>
      </c>
      <c r="B13" s="692">
        <f t="shared" si="6"/>
        <v>69031</v>
      </c>
      <c r="C13" s="692">
        <f t="shared" si="7"/>
        <v>59345</v>
      </c>
      <c r="D13" s="692">
        <f t="shared" si="8"/>
        <v>9686</v>
      </c>
      <c r="E13" s="692">
        <f t="shared" si="0"/>
        <v>53718</v>
      </c>
      <c r="F13" s="692">
        <f t="shared" si="1"/>
        <v>44032</v>
      </c>
      <c r="G13" s="692">
        <f t="shared" si="9"/>
        <v>9686</v>
      </c>
      <c r="H13" s="675">
        <v>12</v>
      </c>
      <c r="I13" s="675">
        <f t="shared" si="2"/>
        <v>60</v>
      </c>
      <c r="J13" s="675">
        <v>36</v>
      </c>
      <c r="K13" s="693">
        <v>13772</v>
      </c>
      <c r="L13" s="646">
        <v>1.0609999999999999</v>
      </c>
      <c r="M13" s="646">
        <v>1.04</v>
      </c>
      <c r="N13" s="646">
        <v>1.01</v>
      </c>
      <c r="O13" s="694">
        <f t="shared" si="10"/>
        <v>15349</v>
      </c>
      <c r="P13" s="677">
        <v>1.302</v>
      </c>
      <c r="Q13" s="678">
        <v>1.325</v>
      </c>
      <c r="R13" s="695">
        <v>1.01</v>
      </c>
      <c r="S13" s="675">
        <v>12</v>
      </c>
      <c r="T13" s="675">
        <v>20</v>
      </c>
      <c r="U13" s="506">
        <f>13.39-2</f>
        <v>11.39</v>
      </c>
      <c r="V13" s="506">
        <v>0</v>
      </c>
      <c r="W13" s="508">
        <f t="shared" si="11"/>
        <v>5</v>
      </c>
      <c r="X13" s="506">
        <v>6.39</v>
      </c>
      <c r="Y13" s="506">
        <v>5.01</v>
      </c>
      <c r="Z13" s="696">
        <f t="shared" si="12"/>
        <v>132661</v>
      </c>
      <c r="AA13" s="696">
        <f t="shared" si="3"/>
        <v>36541</v>
      </c>
      <c r="AB13" s="693">
        <v>39111</v>
      </c>
      <c r="AC13" s="696">
        <f t="shared" si="13"/>
        <v>11464</v>
      </c>
      <c r="AD13" s="693">
        <v>16242</v>
      </c>
      <c r="AE13" s="696">
        <f t="shared" si="14"/>
        <v>106793</v>
      </c>
      <c r="AF13" s="508">
        <f t="shared" si="15"/>
        <v>1.22</v>
      </c>
      <c r="AG13" s="508">
        <f t="shared" si="16"/>
        <v>1.47</v>
      </c>
      <c r="AH13" s="679">
        <v>1</v>
      </c>
      <c r="AI13" s="679">
        <v>1</v>
      </c>
      <c r="AJ13" s="697">
        <f t="shared" si="17"/>
        <v>1.1200000000000001</v>
      </c>
      <c r="AK13" s="698">
        <v>1</v>
      </c>
      <c r="AL13" s="699">
        <f t="shared" si="4"/>
        <v>1.1232899999999999</v>
      </c>
      <c r="AM13" s="698">
        <v>1</v>
      </c>
      <c r="AN13" s="700">
        <f t="shared" si="18"/>
        <v>20337.43</v>
      </c>
      <c r="AO13" s="701">
        <v>35859.9</v>
      </c>
      <c r="AP13" s="702">
        <f t="shared" si="19"/>
        <v>15522.48</v>
      </c>
      <c r="AQ13" s="703">
        <v>0.757656</v>
      </c>
      <c r="AR13" s="704">
        <f t="shared" si="20"/>
        <v>11761</v>
      </c>
      <c r="AS13" s="705">
        <f t="shared" si="21"/>
        <v>15313</v>
      </c>
      <c r="AU13" s="706">
        <f t="shared" si="5"/>
        <v>3</v>
      </c>
      <c r="AW13" s="201">
        <f t="shared" si="22"/>
        <v>46.89</v>
      </c>
    </row>
    <row r="14" spans="1:49" ht="24" x14ac:dyDescent="0.25">
      <c r="A14" s="644" t="s">
        <v>414</v>
      </c>
      <c r="B14" s="692">
        <f t="shared" si="6"/>
        <v>69031</v>
      </c>
      <c r="C14" s="692">
        <f t="shared" si="7"/>
        <v>59345</v>
      </c>
      <c r="D14" s="692">
        <f t="shared" si="8"/>
        <v>9686</v>
      </c>
      <c r="E14" s="692">
        <f t="shared" si="0"/>
        <v>53718</v>
      </c>
      <c r="F14" s="692">
        <f t="shared" si="1"/>
        <v>44032</v>
      </c>
      <c r="G14" s="692">
        <f t="shared" si="9"/>
        <v>9686</v>
      </c>
      <c r="H14" s="675">
        <v>12</v>
      </c>
      <c r="I14" s="675">
        <f t="shared" si="2"/>
        <v>60</v>
      </c>
      <c r="J14" s="675">
        <v>36</v>
      </c>
      <c r="K14" s="693">
        <v>13772</v>
      </c>
      <c r="L14" s="646">
        <v>1.0609999999999999</v>
      </c>
      <c r="M14" s="646">
        <v>1.04</v>
      </c>
      <c r="N14" s="646">
        <v>1.01</v>
      </c>
      <c r="O14" s="694">
        <f t="shared" si="10"/>
        <v>15349</v>
      </c>
      <c r="P14" s="677">
        <v>1.302</v>
      </c>
      <c r="Q14" s="678">
        <v>1.325</v>
      </c>
      <c r="R14" s="695">
        <v>1.01</v>
      </c>
      <c r="S14" s="675">
        <v>12</v>
      </c>
      <c r="T14" s="675">
        <v>20</v>
      </c>
      <c r="U14" s="506">
        <f>13.39-2</f>
        <v>11.39</v>
      </c>
      <c r="V14" s="506">
        <v>0</v>
      </c>
      <c r="W14" s="508">
        <f t="shared" si="11"/>
        <v>5</v>
      </c>
      <c r="X14" s="506">
        <v>6.39</v>
      </c>
      <c r="Y14" s="506">
        <v>5.01</v>
      </c>
      <c r="Z14" s="696">
        <f t="shared" si="12"/>
        <v>132661</v>
      </c>
      <c r="AA14" s="696">
        <f t="shared" si="3"/>
        <v>36541</v>
      </c>
      <c r="AB14" s="693">
        <v>39111</v>
      </c>
      <c r="AC14" s="696">
        <f t="shared" si="13"/>
        <v>11464</v>
      </c>
      <c r="AD14" s="693">
        <v>16242</v>
      </c>
      <c r="AE14" s="696">
        <f t="shared" si="14"/>
        <v>106793</v>
      </c>
      <c r="AF14" s="508">
        <f t="shared" si="15"/>
        <v>1.22</v>
      </c>
      <c r="AG14" s="508">
        <f t="shared" si="16"/>
        <v>1.47</v>
      </c>
      <c r="AH14" s="679">
        <v>1</v>
      </c>
      <c r="AI14" s="679">
        <v>1</v>
      </c>
      <c r="AJ14" s="697">
        <f t="shared" si="17"/>
        <v>1.1200000000000001</v>
      </c>
      <c r="AK14" s="698">
        <v>1</v>
      </c>
      <c r="AL14" s="699">
        <f t="shared" si="4"/>
        <v>1.1232899999999999</v>
      </c>
      <c r="AM14" s="698">
        <v>1</v>
      </c>
      <c r="AN14" s="700">
        <f t="shared" si="18"/>
        <v>20337.43</v>
      </c>
      <c r="AO14" s="701">
        <v>35859.9</v>
      </c>
      <c r="AP14" s="702">
        <f t="shared" si="19"/>
        <v>15522.48</v>
      </c>
      <c r="AQ14" s="703">
        <v>0.757656</v>
      </c>
      <c r="AR14" s="704">
        <f t="shared" si="20"/>
        <v>11761</v>
      </c>
      <c r="AS14" s="705">
        <f t="shared" si="21"/>
        <v>15313</v>
      </c>
      <c r="AU14" s="706">
        <f t="shared" si="5"/>
        <v>3</v>
      </c>
      <c r="AW14" s="201">
        <f t="shared" si="22"/>
        <v>46.89</v>
      </c>
    </row>
    <row r="15" spans="1:49" ht="24" x14ac:dyDescent="0.25">
      <c r="A15" s="644" t="s">
        <v>415</v>
      </c>
      <c r="B15" s="692">
        <f t="shared" si="6"/>
        <v>69031</v>
      </c>
      <c r="C15" s="692">
        <f t="shared" si="7"/>
        <v>59345</v>
      </c>
      <c r="D15" s="692">
        <f t="shared" si="8"/>
        <v>9686</v>
      </c>
      <c r="E15" s="692">
        <f t="shared" si="0"/>
        <v>53718</v>
      </c>
      <c r="F15" s="692">
        <f t="shared" si="1"/>
        <v>44032</v>
      </c>
      <c r="G15" s="692">
        <f t="shared" si="9"/>
        <v>9686</v>
      </c>
      <c r="H15" s="675">
        <v>12</v>
      </c>
      <c r="I15" s="675">
        <f t="shared" si="2"/>
        <v>60</v>
      </c>
      <c r="J15" s="675">
        <v>36</v>
      </c>
      <c r="K15" s="693">
        <v>13772</v>
      </c>
      <c r="L15" s="646">
        <v>1.0609999999999999</v>
      </c>
      <c r="M15" s="646">
        <v>1.04</v>
      </c>
      <c r="N15" s="646">
        <v>1.01</v>
      </c>
      <c r="O15" s="694">
        <f t="shared" si="10"/>
        <v>15349</v>
      </c>
      <c r="P15" s="677">
        <v>1.302</v>
      </c>
      <c r="Q15" s="678">
        <v>1.325</v>
      </c>
      <c r="R15" s="695">
        <v>1.01</v>
      </c>
      <c r="S15" s="675">
        <v>12</v>
      </c>
      <c r="T15" s="675">
        <v>20</v>
      </c>
      <c r="U15" s="506">
        <f>13.39-2</f>
        <v>11.39</v>
      </c>
      <c r="V15" s="506">
        <v>0</v>
      </c>
      <c r="W15" s="508">
        <f t="shared" si="11"/>
        <v>5</v>
      </c>
      <c r="X15" s="506">
        <v>6.39</v>
      </c>
      <c r="Y15" s="506">
        <v>5.01</v>
      </c>
      <c r="Z15" s="696">
        <f t="shared" si="12"/>
        <v>132661</v>
      </c>
      <c r="AA15" s="696">
        <f t="shared" si="3"/>
        <v>36541</v>
      </c>
      <c r="AB15" s="693">
        <v>39111</v>
      </c>
      <c r="AC15" s="696">
        <f t="shared" si="13"/>
        <v>11464</v>
      </c>
      <c r="AD15" s="693">
        <v>16242</v>
      </c>
      <c r="AE15" s="696">
        <f t="shared" si="14"/>
        <v>106793</v>
      </c>
      <c r="AF15" s="508">
        <f t="shared" si="15"/>
        <v>1.22</v>
      </c>
      <c r="AG15" s="508">
        <f t="shared" si="16"/>
        <v>1.47</v>
      </c>
      <c r="AH15" s="679">
        <v>1</v>
      </c>
      <c r="AI15" s="679">
        <v>1</v>
      </c>
      <c r="AJ15" s="697">
        <f t="shared" si="17"/>
        <v>1.1200000000000001</v>
      </c>
      <c r="AK15" s="698">
        <v>1</v>
      </c>
      <c r="AL15" s="699">
        <f t="shared" si="4"/>
        <v>1.1232899999999999</v>
      </c>
      <c r="AM15" s="698">
        <v>1</v>
      </c>
      <c r="AN15" s="700">
        <f t="shared" si="18"/>
        <v>20337.43</v>
      </c>
      <c r="AO15" s="701">
        <v>35859.9</v>
      </c>
      <c r="AP15" s="702">
        <f t="shared" si="19"/>
        <v>15522.48</v>
      </c>
      <c r="AQ15" s="703">
        <v>0.757656</v>
      </c>
      <c r="AR15" s="704">
        <f t="shared" si="20"/>
        <v>11761</v>
      </c>
      <c r="AS15" s="705">
        <f t="shared" si="21"/>
        <v>15313</v>
      </c>
      <c r="AU15" s="706">
        <f t="shared" si="5"/>
        <v>3</v>
      </c>
      <c r="AW15" s="201">
        <f t="shared" si="22"/>
        <v>46.89</v>
      </c>
    </row>
    <row r="16" spans="1:49" ht="24" x14ac:dyDescent="0.25">
      <c r="A16" s="708" t="s">
        <v>416</v>
      </c>
      <c r="B16" s="692">
        <f t="shared" si="6"/>
        <v>186856</v>
      </c>
      <c r="C16" s="692">
        <f t="shared" si="7"/>
        <v>144021</v>
      </c>
      <c r="D16" s="692">
        <f t="shared" si="8"/>
        <v>42835</v>
      </c>
      <c r="E16" s="692">
        <f t="shared" si="0"/>
        <v>155558</v>
      </c>
      <c r="F16" s="692">
        <f t="shared" si="1"/>
        <v>112723</v>
      </c>
      <c r="G16" s="692">
        <f t="shared" si="9"/>
        <v>42835</v>
      </c>
      <c r="H16" s="675">
        <v>12</v>
      </c>
      <c r="I16" s="675">
        <f t="shared" si="2"/>
        <v>60</v>
      </c>
      <c r="J16" s="675">
        <v>25</v>
      </c>
      <c r="K16" s="693">
        <v>13772</v>
      </c>
      <c r="L16" s="646">
        <v>1.0609999999999999</v>
      </c>
      <c r="M16" s="646">
        <v>1.04</v>
      </c>
      <c r="N16" s="646">
        <v>1.01</v>
      </c>
      <c r="O16" s="694">
        <f t="shared" si="10"/>
        <v>15349</v>
      </c>
      <c r="P16" s="677">
        <v>1.302</v>
      </c>
      <c r="Q16" s="709">
        <v>1.4750000000000001</v>
      </c>
      <c r="R16" s="695">
        <v>1.01</v>
      </c>
      <c r="S16" s="675">
        <v>12</v>
      </c>
      <c r="T16" s="675">
        <v>12</v>
      </c>
      <c r="U16" s="506">
        <f>18.58-2</f>
        <v>16.579999999999998</v>
      </c>
      <c r="V16" s="506">
        <v>0</v>
      </c>
      <c r="W16" s="508">
        <f t="shared" si="11"/>
        <v>5</v>
      </c>
      <c r="X16" s="506">
        <v>11.58</v>
      </c>
      <c r="Y16" s="506">
        <v>7.2</v>
      </c>
      <c r="Z16" s="696">
        <f t="shared" si="12"/>
        <v>212234</v>
      </c>
      <c r="AA16" s="696">
        <f t="shared" si="3"/>
        <v>129109</v>
      </c>
      <c r="AB16" s="693">
        <v>39111</v>
      </c>
      <c r="AC16" s="696">
        <f t="shared" si="13"/>
        <v>11464</v>
      </c>
      <c r="AD16" s="693">
        <v>16242</v>
      </c>
      <c r="AE16" s="696">
        <f t="shared" si="14"/>
        <v>106793</v>
      </c>
      <c r="AF16" s="508">
        <f t="shared" si="15"/>
        <v>1.38</v>
      </c>
      <c r="AG16" s="508">
        <f t="shared" si="16"/>
        <v>1.36</v>
      </c>
      <c r="AH16" s="679">
        <v>1</v>
      </c>
      <c r="AI16" s="679">
        <v>1</v>
      </c>
      <c r="AJ16" s="697">
        <f t="shared" si="17"/>
        <v>1.1599999999999999</v>
      </c>
      <c r="AK16" s="698">
        <v>1</v>
      </c>
      <c r="AL16" s="710">
        <f t="shared" ref="AL16:AL19" si="23">1+(56+3)/365</f>
        <v>1.16164</v>
      </c>
      <c r="AM16" s="698">
        <v>1</v>
      </c>
      <c r="AN16" s="700">
        <f t="shared" si="18"/>
        <v>22639.78</v>
      </c>
      <c r="AO16" s="701">
        <v>35859.9</v>
      </c>
      <c r="AP16" s="702">
        <f t="shared" si="19"/>
        <v>13220.13</v>
      </c>
      <c r="AQ16" s="703">
        <v>0.757656</v>
      </c>
      <c r="AR16" s="704">
        <f t="shared" si="20"/>
        <v>10016</v>
      </c>
      <c r="AS16" s="705">
        <f t="shared" si="21"/>
        <v>31298</v>
      </c>
      <c r="AU16" s="706">
        <f t="shared" si="5"/>
        <v>5</v>
      </c>
      <c r="AW16" s="201">
        <f t="shared" si="22"/>
        <v>113.76</v>
      </c>
    </row>
    <row r="17" spans="1:49" ht="48" x14ac:dyDescent="0.25">
      <c r="A17" s="643" t="s">
        <v>417</v>
      </c>
      <c r="B17" s="692">
        <f t="shared" si="6"/>
        <v>224227</v>
      </c>
      <c r="C17" s="692">
        <f t="shared" si="7"/>
        <v>172826</v>
      </c>
      <c r="D17" s="692">
        <f t="shared" si="8"/>
        <v>51401</v>
      </c>
      <c r="E17" s="692">
        <f t="shared" si="0"/>
        <v>186669</v>
      </c>
      <c r="F17" s="692">
        <f t="shared" si="1"/>
        <v>135268</v>
      </c>
      <c r="G17" s="692">
        <f t="shared" si="9"/>
        <v>51401</v>
      </c>
      <c r="H17" s="675">
        <v>12</v>
      </c>
      <c r="I17" s="675">
        <f t="shared" si="2"/>
        <v>60</v>
      </c>
      <c r="J17" s="675">
        <v>25</v>
      </c>
      <c r="K17" s="693">
        <v>13772</v>
      </c>
      <c r="L17" s="646">
        <v>1.0609999999999999</v>
      </c>
      <c r="M17" s="646">
        <v>1.04</v>
      </c>
      <c r="N17" s="646">
        <v>1.01</v>
      </c>
      <c r="O17" s="694">
        <f t="shared" si="10"/>
        <v>15349</v>
      </c>
      <c r="P17" s="677">
        <v>1.302</v>
      </c>
      <c r="Q17" s="709">
        <v>1.4750000000000001</v>
      </c>
      <c r="R17" s="695">
        <v>1.01</v>
      </c>
      <c r="S17" s="675">
        <v>12</v>
      </c>
      <c r="T17" s="675">
        <v>10</v>
      </c>
      <c r="U17" s="506">
        <f>18.58-2</f>
        <v>16.579999999999998</v>
      </c>
      <c r="V17" s="506">
        <v>0</v>
      </c>
      <c r="W17" s="508">
        <f t="shared" si="11"/>
        <v>5</v>
      </c>
      <c r="X17" s="506">
        <v>11.58</v>
      </c>
      <c r="Y17" s="506">
        <v>7.2</v>
      </c>
      <c r="Z17" s="696">
        <f t="shared" si="12"/>
        <v>212234</v>
      </c>
      <c r="AA17" s="696">
        <f t="shared" si="3"/>
        <v>129109</v>
      </c>
      <c r="AB17" s="693">
        <v>39111</v>
      </c>
      <c r="AC17" s="696">
        <f t="shared" si="13"/>
        <v>11464</v>
      </c>
      <c r="AD17" s="693">
        <v>16242</v>
      </c>
      <c r="AE17" s="696">
        <f t="shared" si="14"/>
        <v>106793</v>
      </c>
      <c r="AF17" s="508">
        <f t="shared" si="15"/>
        <v>1.38</v>
      </c>
      <c r="AG17" s="508">
        <f t="shared" si="16"/>
        <v>1.36</v>
      </c>
      <c r="AH17" s="679">
        <v>1</v>
      </c>
      <c r="AI17" s="679">
        <v>1</v>
      </c>
      <c r="AJ17" s="697">
        <f t="shared" si="17"/>
        <v>1.1599999999999999</v>
      </c>
      <c r="AK17" s="698">
        <v>1</v>
      </c>
      <c r="AL17" s="710">
        <f t="shared" si="23"/>
        <v>1.16164</v>
      </c>
      <c r="AM17" s="698">
        <v>1</v>
      </c>
      <c r="AN17" s="700">
        <f t="shared" si="18"/>
        <v>22639.78</v>
      </c>
      <c r="AO17" s="701">
        <v>35859.9</v>
      </c>
      <c r="AP17" s="702">
        <f t="shared" si="19"/>
        <v>13220.13</v>
      </c>
      <c r="AQ17" s="703">
        <v>0.757656</v>
      </c>
      <c r="AR17" s="704">
        <f t="shared" si="20"/>
        <v>10016</v>
      </c>
      <c r="AS17" s="705">
        <f t="shared" si="21"/>
        <v>37558</v>
      </c>
      <c r="AU17" s="706">
        <f t="shared" si="5"/>
        <v>6</v>
      </c>
      <c r="AW17" s="201">
        <f t="shared" si="22"/>
        <v>136.51</v>
      </c>
    </row>
    <row r="18" spans="1:49" ht="48" x14ac:dyDescent="0.25">
      <c r="A18" s="643" t="s">
        <v>422</v>
      </c>
      <c r="B18" s="692">
        <f t="shared" si="6"/>
        <v>375966</v>
      </c>
      <c r="C18" s="692">
        <f t="shared" si="7"/>
        <v>293015</v>
      </c>
      <c r="D18" s="692">
        <f t="shared" si="8"/>
        <v>82951</v>
      </c>
      <c r="E18" s="692">
        <f t="shared" si="0"/>
        <v>313370</v>
      </c>
      <c r="F18" s="692">
        <f t="shared" si="1"/>
        <v>230419</v>
      </c>
      <c r="G18" s="692">
        <f t="shared" si="9"/>
        <v>82951</v>
      </c>
      <c r="H18" s="675">
        <v>12</v>
      </c>
      <c r="I18" s="675">
        <f t="shared" si="2"/>
        <v>60</v>
      </c>
      <c r="J18" s="675">
        <v>25</v>
      </c>
      <c r="K18" s="693">
        <v>13772</v>
      </c>
      <c r="L18" s="646">
        <v>1.0609999999999999</v>
      </c>
      <c r="M18" s="646">
        <v>1.04</v>
      </c>
      <c r="N18" s="646">
        <v>1.01</v>
      </c>
      <c r="O18" s="694">
        <f t="shared" si="10"/>
        <v>15349</v>
      </c>
      <c r="P18" s="677">
        <v>1.302</v>
      </c>
      <c r="Q18" s="709">
        <v>1.4750000000000001</v>
      </c>
      <c r="R18" s="695">
        <v>1.01</v>
      </c>
      <c r="S18" s="675">
        <v>12</v>
      </c>
      <c r="T18" s="675">
        <v>6</v>
      </c>
      <c r="U18" s="506">
        <f>18.95-2</f>
        <v>16.95</v>
      </c>
      <c r="V18" s="506">
        <v>0</v>
      </c>
      <c r="W18" s="508">
        <f t="shared" si="11"/>
        <v>5.75</v>
      </c>
      <c r="X18" s="506">
        <v>11.2</v>
      </c>
      <c r="Y18" s="506">
        <v>7.2</v>
      </c>
      <c r="Z18" s="696">
        <f t="shared" si="12"/>
        <v>212234</v>
      </c>
      <c r="AA18" s="696">
        <f t="shared" si="3"/>
        <v>117908</v>
      </c>
      <c r="AB18" s="693">
        <v>39111</v>
      </c>
      <c r="AC18" s="696">
        <f t="shared" si="13"/>
        <v>11464</v>
      </c>
      <c r="AD18" s="693">
        <v>16242</v>
      </c>
      <c r="AE18" s="696">
        <f t="shared" si="14"/>
        <v>122812</v>
      </c>
      <c r="AF18" s="508">
        <f t="shared" si="15"/>
        <v>1.36</v>
      </c>
      <c r="AG18" s="508">
        <f t="shared" si="16"/>
        <v>1.39</v>
      </c>
      <c r="AH18" s="679">
        <v>1</v>
      </c>
      <c r="AI18" s="679">
        <v>1</v>
      </c>
      <c r="AJ18" s="697">
        <f t="shared" si="17"/>
        <v>1.1599999999999999</v>
      </c>
      <c r="AK18" s="698">
        <v>1</v>
      </c>
      <c r="AL18" s="710">
        <f t="shared" si="23"/>
        <v>1.16164</v>
      </c>
      <c r="AM18" s="698">
        <v>1</v>
      </c>
      <c r="AN18" s="700">
        <f t="shared" si="18"/>
        <v>22639.78</v>
      </c>
      <c r="AO18" s="701">
        <v>35859.9</v>
      </c>
      <c r="AP18" s="702">
        <f t="shared" si="19"/>
        <v>13220.13</v>
      </c>
      <c r="AQ18" s="703">
        <v>0.757656</v>
      </c>
      <c r="AR18" s="704">
        <f t="shared" si="20"/>
        <v>10016</v>
      </c>
      <c r="AS18" s="705">
        <f t="shared" si="21"/>
        <v>62596</v>
      </c>
      <c r="AU18" s="706">
        <f t="shared" si="5"/>
        <v>10</v>
      </c>
      <c r="AW18" s="201">
        <f t="shared" si="22"/>
        <v>232.59</v>
      </c>
    </row>
    <row r="19" spans="1:49" ht="48" x14ac:dyDescent="0.25">
      <c r="A19" s="643" t="s">
        <v>418</v>
      </c>
      <c r="B19" s="692">
        <f t="shared" si="6"/>
        <v>280284</v>
      </c>
      <c r="C19" s="692">
        <f t="shared" si="7"/>
        <v>216032</v>
      </c>
      <c r="D19" s="692">
        <f t="shared" si="8"/>
        <v>64252</v>
      </c>
      <c r="E19" s="692">
        <f t="shared" si="0"/>
        <v>233337</v>
      </c>
      <c r="F19" s="692">
        <f t="shared" si="1"/>
        <v>169085</v>
      </c>
      <c r="G19" s="692">
        <f t="shared" si="9"/>
        <v>64252</v>
      </c>
      <c r="H19" s="675">
        <v>12</v>
      </c>
      <c r="I19" s="675">
        <f t="shared" si="2"/>
        <v>60</v>
      </c>
      <c r="J19" s="675">
        <v>25</v>
      </c>
      <c r="K19" s="693">
        <v>13772</v>
      </c>
      <c r="L19" s="646">
        <v>1.0609999999999999</v>
      </c>
      <c r="M19" s="646">
        <v>1.04</v>
      </c>
      <c r="N19" s="646">
        <v>1.01</v>
      </c>
      <c r="O19" s="694">
        <f t="shared" si="10"/>
        <v>15349</v>
      </c>
      <c r="P19" s="677">
        <v>1.302</v>
      </c>
      <c r="Q19" s="709">
        <v>1.4750000000000001</v>
      </c>
      <c r="R19" s="695">
        <v>1.01</v>
      </c>
      <c r="S19" s="675">
        <v>12</v>
      </c>
      <c r="T19" s="675">
        <v>8</v>
      </c>
      <c r="U19" s="506">
        <f>18.58-2</f>
        <v>16.579999999999998</v>
      </c>
      <c r="V19" s="506">
        <v>0</v>
      </c>
      <c r="W19" s="508">
        <f t="shared" si="11"/>
        <v>5</v>
      </c>
      <c r="X19" s="506">
        <v>11.58</v>
      </c>
      <c r="Y19" s="506">
        <v>7.2</v>
      </c>
      <c r="Z19" s="696">
        <f t="shared" si="12"/>
        <v>212234</v>
      </c>
      <c r="AA19" s="696">
        <f t="shared" si="3"/>
        <v>129109</v>
      </c>
      <c r="AB19" s="693">
        <v>39111</v>
      </c>
      <c r="AC19" s="696">
        <f t="shared" si="13"/>
        <v>11464</v>
      </c>
      <c r="AD19" s="693">
        <v>16242</v>
      </c>
      <c r="AE19" s="696">
        <f t="shared" si="14"/>
        <v>106793</v>
      </c>
      <c r="AF19" s="508">
        <f t="shared" si="15"/>
        <v>1.38</v>
      </c>
      <c r="AG19" s="508">
        <f t="shared" si="16"/>
        <v>1.36</v>
      </c>
      <c r="AH19" s="679">
        <v>1</v>
      </c>
      <c r="AI19" s="679">
        <v>1</v>
      </c>
      <c r="AJ19" s="697">
        <f t="shared" si="17"/>
        <v>1.1599999999999999</v>
      </c>
      <c r="AK19" s="698">
        <v>1</v>
      </c>
      <c r="AL19" s="710">
        <f t="shared" si="23"/>
        <v>1.16164</v>
      </c>
      <c r="AM19" s="698">
        <v>1</v>
      </c>
      <c r="AN19" s="700">
        <f t="shared" si="18"/>
        <v>22639.78</v>
      </c>
      <c r="AO19" s="701">
        <v>35859.9</v>
      </c>
      <c r="AP19" s="702">
        <f t="shared" si="19"/>
        <v>13220.13</v>
      </c>
      <c r="AQ19" s="703">
        <v>0.757656</v>
      </c>
      <c r="AR19" s="704">
        <f t="shared" si="20"/>
        <v>10016</v>
      </c>
      <c r="AS19" s="705">
        <f t="shared" si="21"/>
        <v>46947</v>
      </c>
      <c r="AU19" s="706">
        <f t="shared" si="5"/>
        <v>7.5</v>
      </c>
      <c r="AW19" s="201">
        <f t="shared" si="22"/>
        <v>170.64</v>
      </c>
    </row>
    <row r="20" spans="1:49" x14ac:dyDescent="0.25">
      <c r="A20" s="708" t="s">
        <v>423</v>
      </c>
      <c r="B20" s="692">
        <f t="shared" si="6"/>
        <v>90508</v>
      </c>
      <c r="C20" s="692">
        <f t="shared" si="7"/>
        <v>80324</v>
      </c>
      <c r="D20" s="692">
        <f t="shared" si="8"/>
        <v>10184</v>
      </c>
      <c r="E20" s="692">
        <f t="shared" si="0"/>
        <v>70091</v>
      </c>
      <c r="F20" s="692">
        <f t="shared" si="1"/>
        <v>59907</v>
      </c>
      <c r="G20" s="692">
        <f t="shared" si="9"/>
        <v>10184</v>
      </c>
      <c r="H20" s="675">
        <v>12</v>
      </c>
      <c r="I20" s="675">
        <f t="shared" si="2"/>
        <v>60</v>
      </c>
      <c r="J20" s="675">
        <v>36</v>
      </c>
      <c r="K20" s="693">
        <v>13772</v>
      </c>
      <c r="L20" s="646">
        <v>1.0609999999999999</v>
      </c>
      <c r="M20" s="646">
        <v>1.04</v>
      </c>
      <c r="N20" s="646">
        <v>1.01</v>
      </c>
      <c r="O20" s="694">
        <f t="shared" si="10"/>
        <v>15349</v>
      </c>
      <c r="P20" s="677">
        <v>1.302</v>
      </c>
      <c r="Q20" s="678">
        <v>1.325</v>
      </c>
      <c r="R20" s="695">
        <v>1.01</v>
      </c>
      <c r="S20" s="675">
        <v>12</v>
      </c>
      <c r="T20" s="675">
        <v>15</v>
      </c>
      <c r="U20" s="506">
        <f>13.76-2</f>
        <v>11.76</v>
      </c>
      <c r="V20" s="506">
        <v>0</v>
      </c>
      <c r="W20" s="508">
        <f t="shared" si="11"/>
        <v>5.75</v>
      </c>
      <c r="X20" s="506">
        <v>6.01</v>
      </c>
      <c r="Y20" s="506">
        <v>5.01</v>
      </c>
      <c r="Z20" s="696">
        <f t="shared" si="12"/>
        <v>132661</v>
      </c>
      <c r="AA20" s="696">
        <f t="shared" si="3"/>
        <v>26479</v>
      </c>
      <c r="AB20" s="693">
        <v>39111</v>
      </c>
      <c r="AC20" s="696">
        <f t="shared" si="13"/>
        <v>11464</v>
      </c>
      <c r="AD20" s="693">
        <v>16242</v>
      </c>
      <c r="AE20" s="696">
        <f t="shared" si="14"/>
        <v>122812</v>
      </c>
      <c r="AF20" s="508">
        <f t="shared" si="15"/>
        <v>1.17</v>
      </c>
      <c r="AG20" s="508">
        <f t="shared" si="16"/>
        <v>1.5</v>
      </c>
      <c r="AH20" s="679">
        <v>1</v>
      </c>
      <c r="AI20" s="679">
        <v>1</v>
      </c>
      <c r="AJ20" s="697">
        <f t="shared" si="17"/>
        <v>1.1200000000000001</v>
      </c>
      <c r="AK20" s="698">
        <v>1</v>
      </c>
      <c r="AL20" s="699">
        <f t="shared" ref="AL20:AL24" si="24">1+(42+3)/365</f>
        <v>1.1232899999999999</v>
      </c>
      <c r="AM20" s="698">
        <v>1</v>
      </c>
      <c r="AN20" s="700">
        <f t="shared" si="18"/>
        <v>20337.43</v>
      </c>
      <c r="AO20" s="701">
        <v>35859.9</v>
      </c>
      <c r="AP20" s="702">
        <f t="shared" si="19"/>
        <v>15522.48</v>
      </c>
      <c r="AQ20" s="703">
        <v>0.757656</v>
      </c>
      <c r="AR20" s="704">
        <f t="shared" si="20"/>
        <v>11761</v>
      </c>
      <c r="AS20" s="705">
        <f t="shared" si="21"/>
        <v>20417</v>
      </c>
      <c r="AU20" s="706">
        <f t="shared" si="5"/>
        <v>4</v>
      </c>
      <c r="AW20" s="201">
        <f t="shared" si="22"/>
        <v>64.55</v>
      </c>
    </row>
    <row r="21" spans="1:49" ht="24" x14ac:dyDescent="0.25">
      <c r="A21" s="643" t="s">
        <v>419</v>
      </c>
      <c r="B21" s="692">
        <f t="shared" si="6"/>
        <v>69031</v>
      </c>
      <c r="C21" s="692">
        <f t="shared" si="7"/>
        <v>59345</v>
      </c>
      <c r="D21" s="692">
        <f t="shared" si="8"/>
        <v>9686</v>
      </c>
      <c r="E21" s="692">
        <f t="shared" si="0"/>
        <v>53718</v>
      </c>
      <c r="F21" s="692">
        <f t="shared" si="1"/>
        <v>44032</v>
      </c>
      <c r="G21" s="692">
        <f t="shared" si="9"/>
        <v>9686</v>
      </c>
      <c r="H21" s="675">
        <v>12</v>
      </c>
      <c r="I21" s="675">
        <f t="shared" si="2"/>
        <v>60</v>
      </c>
      <c r="J21" s="675">
        <v>36</v>
      </c>
      <c r="K21" s="693">
        <v>13772</v>
      </c>
      <c r="L21" s="646">
        <v>1.0609999999999999</v>
      </c>
      <c r="M21" s="646">
        <v>1.04</v>
      </c>
      <c r="N21" s="646">
        <v>1.01</v>
      </c>
      <c r="O21" s="694">
        <f t="shared" si="10"/>
        <v>15349</v>
      </c>
      <c r="P21" s="677">
        <v>1.302</v>
      </c>
      <c r="Q21" s="678">
        <v>1.325</v>
      </c>
      <c r="R21" s="695">
        <v>1.01</v>
      </c>
      <c r="S21" s="675">
        <v>12</v>
      </c>
      <c r="T21" s="675">
        <v>20</v>
      </c>
      <c r="U21" s="506">
        <f>13.39-2</f>
        <v>11.39</v>
      </c>
      <c r="V21" s="506">
        <v>0</v>
      </c>
      <c r="W21" s="508">
        <f t="shared" si="11"/>
        <v>5</v>
      </c>
      <c r="X21" s="506">
        <v>6.39</v>
      </c>
      <c r="Y21" s="506">
        <v>5.01</v>
      </c>
      <c r="Z21" s="696">
        <f t="shared" si="12"/>
        <v>132661</v>
      </c>
      <c r="AA21" s="696">
        <f t="shared" si="3"/>
        <v>36541</v>
      </c>
      <c r="AB21" s="693">
        <v>39111</v>
      </c>
      <c r="AC21" s="696">
        <f t="shared" si="13"/>
        <v>11464</v>
      </c>
      <c r="AD21" s="693">
        <v>16242</v>
      </c>
      <c r="AE21" s="696">
        <f t="shared" si="14"/>
        <v>106793</v>
      </c>
      <c r="AF21" s="508">
        <f t="shared" si="15"/>
        <v>1.22</v>
      </c>
      <c r="AG21" s="508">
        <f t="shared" si="16"/>
        <v>1.47</v>
      </c>
      <c r="AH21" s="679">
        <v>1</v>
      </c>
      <c r="AI21" s="679">
        <v>1</v>
      </c>
      <c r="AJ21" s="697">
        <f t="shared" si="17"/>
        <v>1.1200000000000001</v>
      </c>
      <c r="AK21" s="698">
        <v>1</v>
      </c>
      <c r="AL21" s="699">
        <f t="shared" si="24"/>
        <v>1.1232899999999999</v>
      </c>
      <c r="AM21" s="698">
        <v>1</v>
      </c>
      <c r="AN21" s="700">
        <f t="shared" si="18"/>
        <v>20337.43</v>
      </c>
      <c r="AO21" s="701">
        <v>35859.9</v>
      </c>
      <c r="AP21" s="702">
        <f t="shared" si="19"/>
        <v>15522.48</v>
      </c>
      <c r="AQ21" s="703">
        <v>0.757656</v>
      </c>
      <c r="AR21" s="704">
        <f t="shared" si="20"/>
        <v>11761</v>
      </c>
      <c r="AS21" s="705">
        <f t="shared" si="21"/>
        <v>15313</v>
      </c>
      <c r="AU21" s="706">
        <f t="shared" si="5"/>
        <v>3</v>
      </c>
      <c r="AW21" s="201">
        <f t="shared" si="22"/>
        <v>46.89</v>
      </c>
    </row>
    <row r="22" spans="1:49" x14ac:dyDescent="0.25">
      <c r="A22" s="708" t="s">
        <v>424</v>
      </c>
      <c r="B22" s="692">
        <f t="shared" si="6"/>
        <v>146495</v>
      </c>
      <c r="C22" s="692">
        <f t="shared" si="7"/>
        <v>124781</v>
      </c>
      <c r="D22" s="692">
        <f t="shared" si="8"/>
        <v>21714</v>
      </c>
      <c r="E22" s="692">
        <f t="shared" si="0"/>
        <v>120413</v>
      </c>
      <c r="F22" s="692">
        <f t="shared" si="1"/>
        <v>98699</v>
      </c>
      <c r="G22" s="692">
        <f t="shared" si="9"/>
        <v>21714</v>
      </c>
      <c r="H22" s="675">
        <v>12</v>
      </c>
      <c r="I22" s="675">
        <f t="shared" si="2"/>
        <v>60</v>
      </c>
      <c r="J22" s="675">
        <v>36</v>
      </c>
      <c r="K22" s="693">
        <v>13772</v>
      </c>
      <c r="L22" s="646">
        <v>1.0609999999999999</v>
      </c>
      <c r="M22" s="646">
        <v>1.04</v>
      </c>
      <c r="N22" s="646">
        <v>1.01</v>
      </c>
      <c r="O22" s="694">
        <f t="shared" si="10"/>
        <v>15349</v>
      </c>
      <c r="P22" s="677">
        <v>1.302</v>
      </c>
      <c r="Q22" s="709">
        <v>1.4750000000000001</v>
      </c>
      <c r="R22" s="695">
        <v>1.01</v>
      </c>
      <c r="S22" s="675">
        <v>12</v>
      </c>
      <c r="T22" s="675">
        <v>10</v>
      </c>
      <c r="U22" s="506">
        <f>14.14-2</f>
        <v>12.14</v>
      </c>
      <c r="V22" s="506">
        <v>0</v>
      </c>
      <c r="W22" s="508">
        <f t="shared" si="11"/>
        <v>5.75</v>
      </c>
      <c r="X22" s="506">
        <v>6.39</v>
      </c>
      <c r="Y22" s="506">
        <v>5.01</v>
      </c>
      <c r="Z22" s="696">
        <f t="shared" si="12"/>
        <v>147680</v>
      </c>
      <c r="AA22" s="696">
        <f t="shared" si="3"/>
        <v>40678</v>
      </c>
      <c r="AB22" s="693">
        <v>39111</v>
      </c>
      <c r="AC22" s="696">
        <f t="shared" si="13"/>
        <v>11464</v>
      </c>
      <c r="AD22" s="693">
        <v>16242</v>
      </c>
      <c r="AE22" s="696">
        <f t="shared" si="14"/>
        <v>122812</v>
      </c>
      <c r="AF22" s="508">
        <f t="shared" si="15"/>
        <v>1.22</v>
      </c>
      <c r="AG22" s="508">
        <f t="shared" si="16"/>
        <v>1.48</v>
      </c>
      <c r="AH22" s="679">
        <v>1</v>
      </c>
      <c r="AI22" s="679">
        <v>1</v>
      </c>
      <c r="AJ22" s="697">
        <f t="shared" si="17"/>
        <v>1.1200000000000001</v>
      </c>
      <c r="AK22" s="698">
        <v>1</v>
      </c>
      <c r="AL22" s="699">
        <f t="shared" si="24"/>
        <v>1.1232899999999999</v>
      </c>
      <c r="AM22" s="698">
        <v>1</v>
      </c>
      <c r="AN22" s="700">
        <f t="shared" si="18"/>
        <v>22639.78</v>
      </c>
      <c r="AO22" s="701">
        <v>35859.9</v>
      </c>
      <c r="AP22" s="702">
        <f t="shared" si="19"/>
        <v>13220.13</v>
      </c>
      <c r="AQ22" s="703">
        <v>0.757656</v>
      </c>
      <c r="AR22" s="704">
        <f t="shared" si="20"/>
        <v>10016</v>
      </c>
      <c r="AS22" s="705">
        <f t="shared" si="21"/>
        <v>26082</v>
      </c>
      <c r="AU22" s="706">
        <f t="shared" si="5"/>
        <v>6</v>
      </c>
      <c r="AW22" s="201">
        <f t="shared" si="22"/>
        <v>99.95</v>
      </c>
    </row>
    <row r="23" spans="1:49" ht="24" x14ac:dyDescent="0.25">
      <c r="A23" s="643" t="s">
        <v>420</v>
      </c>
      <c r="B23" s="692">
        <f t="shared" si="6"/>
        <v>105059</v>
      </c>
      <c r="C23" s="692">
        <f t="shared" si="7"/>
        <v>87224</v>
      </c>
      <c r="D23" s="692">
        <f t="shared" si="8"/>
        <v>17835</v>
      </c>
      <c r="E23" s="692">
        <f t="shared" si="0"/>
        <v>86429</v>
      </c>
      <c r="F23" s="692">
        <f t="shared" si="1"/>
        <v>68594</v>
      </c>
      <c r="G23" s="692">
        <f t="shared" si="9"/>
        <v>17835</v>
      </c>
      <c r="H23" s="675">
        <v>12</v>
      </c>
      <c r="I23" s="675">
        <f t="shared" si="2"/>
        <v>60</v>
      </c>
      <c r="J23" s="675">
        <v>36</v>
      </c>
      <c r="K23" s="693">
        <v>13772</v>
      </c>
      <c r="L23" s="646">
        <v>1.0609999999999999</v>
      </c>
      <c r="M23" s="646">
        <v>1.04</v>
      </c>
      <c r="N23" s="646">
        <v>1.01</v>
      </c>
      <c r="O23" s="694">
        <f t="shared" si="10"/>
        <v>15349</v>
      </c>
      <c r="P23" s="677">
        <v>1.302</v>
      </c>
      <c r="Q23" s="709">
        <v>1.4750000000000001</v>
      </c>
      <c r="R23" s="695">
        <v>1.01</v>
      </c>
      <c r="S23" s="675">
        <v>12</v>
      </c>
      <c r="T23" s="675">
        <v>14</v>
      </c>
      <c r="U23" s="506">
        <f>13.77-2</f>
        <v>11.77</v>
      </c>
      <c r="V23" s="506">
        <v>0</v>
      </c>
      <c r="W23" s="508">
        <f t="shared" si="11"/>
        <v>5</v>
      </c>
      <c r="X23" s="506">
        <v>6.77</v>
      </c>
      <c r="Y23" s="506">
        <v>5.01</v>
      </c>
      <c r="Z23" s="696">
        <f t="shared" si="12"/>
        <v>147680</v>
      </c>
      <c r="AA23" s="696">
        <f t="shared" si="3"/>
        <v>51880</v>
      </c>
      <c r="AB23" s="693">
        <v>39111</v>
      </c>
      <c r="AC23" s="696">
        <f t="shared" si="13"/>
        <v>11464</v>
      </c>
      <c r="AD23" s="693">
        <v>16242</v>
      </c>
      <c r="AE23" s="696">
        <f t="shared" si="14"/>
        <v>106793</v>
      </c>
      <c r="AF23" s="508">
        <f t="shared" si="15"/>
        <v>1.26</v>
      </c>
      <c r="AG23" s="508">
        <f t="shared" si="16"/>
        <v>1.44</v>
      </c>
      <c r="AH23" s="679">
        <v>1</v>
      </c>
      <c r="AI23" s="679">
        <v>1</v>
      </c>
      <c r="AJ23" s="697">
        <f t="shared" si="17"/>
        <v>1.1200000000000001</v>
      </c>
      <c r="AK23" s="698">
        <v>1</v>
      </c>
      <c r="AL23" s="699">
        <f t="shared" si="24"/>
        <v>1.1232899999999999</v>
      </c>
      <c r="AM23" s="698">
        <v>1</v>
      </c>
      <c r="AN23" s="700">
        <f t="shared" si="18"/>
        <v>22639.78</v>
      </c>
      <c r="AO23" s="701">
        <v>35859.9</v>
      </c>
      <c r="AP23" s="702">
        <f t="shared" si="19"/>
        <v>13220.13</v>
      </c>
      <c r="AQ23" s="703">
        <v>0.757656</v>
      </c>
      <c r="AR23" s="704">
        <f t="shared" si="20"/>
        <v>10016</v>
      </c>
      <c r="AS23" s="705">
        <f t="shared" si="21"/>
        <v>18630</v>
      </c>
      <c r="AU23" s="706">
        <f t="shared" si="5"/>
        <v>4.2857139999999996</v>
      </c>
      <c r="AW23" s="201">
        <f t="shared" si="22"/>
        <v>69.22</v>
      </c>
    </row>
    <row r="24" spans="1:49" ht="24" hidden="1" customHeight="1" x14ac:dyDescent="0.25">
      <c r="A24" s="644" t="s">
        <v>1476</v>
      </c>
      <c r="B24" s="692">
        <f t="shared" si="6"/>
        <v>130599</v>
      </c>
      <c r="C24" s="692">
        <f t="shared" si="7"/>
        <v>119887</v>
      </c>
      <c r="D24" s="692">
        <f t="shared" si="8"/>
        <v>10712</v>
      </c>
      <c r="E24" s="692">
        <f t="shared" si="0"/>
        <v>99973</v>
      </c>
      <c r="F24" s="692">
        <f t="shared" si="1"/>
        <v>89261</v>
      </c>
      <c r="G24" s="692">
        <f t="shared" si="9"/>
        <v>10712</v>
      </c>
      <c r="H24" s="675">
        <v>24</v>
      </c>
      <c r="I24" s="675">
        <f t="shared" si="2"/>
        <v>120</v>
      </c>
      <c r="J24" s="675">
        <v>36</v>
      </c>
      <c r="K24" s="693">
        <v>13772</v>
      </c>
      <c r="L24" s="646">
        <v>1.0609999999999999</v>
      </c>
      <c r="M24" s="646">
        <v>1.04</v>
      </c>
      <c r="N24" s="646">
        <v>1.01</v>
      </c>
      <c r="O24" s="694">
        <f t="shared" si="10"/>
        <v>15349</v>
      </c>
      <c r="P24" s="677">
        <v>1.302</v>
      </c>
      <c r="Q24" s="678">
        <v>1.325</v>
      </c>
      <c r="R24" s="695">
        <v>1.01</v>
      </c>
      <c r="S24" s="675">
        <v>12</v>
      </c>
      <c r="T24" s="675">
        <v>20</v>
      </c>
      <c r="U24" s="714">
        <v>60.89</v>
      </c>
      <c r="V24" s="714">
        <v>1</v>
      </c>
      <c r="W24" s="715">
        <f t="shared" si="11"/>
        <v>29.5</v>
      </c>
      <c r="X24" s="714">
        <v>30.39</v>
      </c>
      <c r="Y24" s="714">
        <v>26.72</v>
      </c>
      <c r="Z24" s="696">
        <f t="shared" si="12"/>
        <v>707528</v>
      </c>
      <c r="AA24" s="696">
        <f t="shared" si="3"/>
        <v>97179</v>
      </c>
      <c r="AB24" s="693">
        <v>39111</v>
      </c>
      <c r="AC24" s="696">
        <f t="shared" si="13"/>
        <v>57319</v>
      </c>
      <c r="AD24" s="693">
        <v>16242</v>
      </c>
      <c r="AE24" s="696">
        <f t="shared" si="14"/>
        <v>630077</v>
      </c>
      <c r="AF24" s="508">
        <f t="shared" si="15"/>
        <v>1.1200000000000001</v>
      </c>
      <c r="AG24" s="508">
        <f t="shared" si="16"/>
        <v>1.49</v>
      </c>
      <c r="AH24" s="679">
        <v>1</v>
      </c>
      <c r="AI24" s="679">
        <v>1</v>
      </c>
      <c r="AJ24" s="697">
        <f t="shared" si="17"/>
        <v>1.1200000000000001</v>
      </c>
      <c r="AK24" s="698">
        <v>1</v>
      </c>
      <c r="AL24" s="699">
        <f t="shared" si="24"/>
        <v>1.1232899999999999</v>
      </c>
      <c r="AM24" s="698">
        <v>1</v>
      </c>
      <c r="AN24" s="700">
        <f t="shared" si="18"/>
        <v>20337.43</v>
      </c>
      <c r="AO24" s="701">
        <v>35859.9</v>
      </c>
      <c r="AP24" s="702">
        <f t="shared" si="19"/>
        <v>15522.48</v>
      </c>
      <c r="AQ24" s="703">
        <v>0.757656</v>
      </c>
      <c r="AR24" s="704">
        <f t="shared" si="20"/>
        <v>11761</v>
      </c>
      <c r="AS24" s="705">
        <f t="shared" si="21"/>
        <v>30626</v>
      </c>
      <c r="AU24" s="706">
        <f t="shared" si="5"/>
        <v>6</v>
      </c>
    </row>
  </sheetData>
  <mergeCells count="33">
    <mergeCell ref="AW5:AW6"/>
    <mergeCell ref="AU5:AU6"/>
    <mergeCell ref="T5:T6"/>
    <mergeCell ref="U5:U6"/>
    <mergeCell ref="V5:Y5"/>
    <mergeCell ref="Z5:Z6"/>
    <mergeCell ref="AA5:AA6"/>
    <mergeCell ref="AD5:AE5"/>
    <mergeCell ref="AI5:AI6"/>
    <mergeCell ref="AJ5:AJ6"/>
    <mergeCell ref="AK5:AM5"/>
    <mergeCell ref="AF5:AF6"/>
    <mergeCell ref="AG5:AG6"/>
    <mergeCell ref="AH5:AH6"/>
    <mergeCell ref="AN5:AS5"/>
    <mergeCell ref="AB5:AC5"/>
    <mergeCell ref="O5:O6"/>
    <mergeCell ref="P5:P6"/>
    <mergeCell ref="Q5:Q6"/>
    <mergeCell ref="R5:R6"/>
    <mergeCell ref="S5:S6"/>
    <mergeCell ref="N5:N6"/>
    <mergeCell ref="A5:A6"/>
    <mergeCell ref="B5:B6"/>
    <mergeCell ref="C5:D5"/>
    <mergeCell ref="E5:E6"/>
    <mergeCell ref="F5:G5"/>
    <mergeCell ref="H5:H6"/>
    <mergeCell ref="I5:I6"/>
    <mergeCell ref="J5:J6"/>
    <mergeCell ref="K5:K6"/>
    <mergeCell ref="L5:L6"/>
    <mergeCell ref="M5:M6"/>
  </mergeCells>
  <pageMargins left="0" right="0" top="0" bottom="0" header="0.31496062992125984" footer="0.31496062992125984"/>
  <pageSetup paperSize="9" scale="50" fitToWidth="3" fitToHeight="0" orientation="landscape" r:id="rId1"/>
  <colBreaks count="1" manualBreakCount="1">
    <brk id="38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7">
    <tabColor rgb="FF92D050"/>
  </sheetPr>
  <dimension ref="A1:S22"/>
  <sheetViews>
    <sheetView view="pageBreakPreview" zoomScale="75" zoomScaleNormal="75" zoomScaleSheetLayoutView="75" workbookViewId="0">
      <pane xSplit="1" ySplit="2" topLeftCell="B3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F8" sqref="F8"/>
    </sheetView>
  </sheetViews>
  <sheetFormatPr defaultColWidth="9.140625" defaultRowHeight="15.75" x14ac:dyDescent="0.25"/>
  <cols>
    <col min="1" max="1" width="73" style="72" customWidth="1"/>
    <col min="2" max="2" width="11.140625" style="72" customWidth="1"/>
    <col min="3" max="3" width="13.5703125" style="72" customWidth="1"/>
    <col min="4" max="4" width="9.85546875" style="72" customWidth="1"/>
    <col min="5" max="5" width="9.42578125" style="72" customWidth="1"/>
    <col min="6" max="6" width="11.140625" style="72" customWidth="1"/>
    <col min="7" max="7" width="10.85546875" style="72" customWidth="1"/>
    <col min="8" max="8" width="12.7109375" style="72" customWidth="1"/>
    <col min="9" max="9" width="12" style="72" customWidth="1"/>
    <col min="10" max="10" width="12.7109375" style="72" customWidth="1"/>
    <col min="11" max="12" width="13.5703125" style="72" customWidth="1"/>
    <col min="13" max="14" width="12.7109375" style="72" customWidth="1"/>
    <col min="15" max="15" width="11.5703125" style="72" customWidth="1"/>
    <col min="16" max="17" width="12.7109375" style="72" customWidth="1"/>
    <col min="18" max="18" width="12.140625" style="72" customWidth="1"/>
    <col min="19" max="19" width="12.42578125" style="72" hidden="1" customWidth="1"/>
    <col min="20" max="16384" width="9.140625" style="72"/>
  </cols>
  <sheetData>
    <row r="1" spans="1:19" x14ac:dyDescent="0.25">
      <c r="O1" s="1" t="s">
        <v>868</v>
      </c>
    </row>
    <row r="2" spans="1:19" ht="30" customHeight="1" x14ac:dyDescent="0.25">
      <c r="A2" s="1373" t="s">
        <v>360</v>
      </c>
      <c r="B2" s="1373"/>
      <c r="C2" s="1373"/>
      <c r="D2" s="1373"/>
      <c r="E2" s="1373"/>
      <c r="F2" s="1373"/>
      <c r="G2" s="1373"/>
      <c r="H2" s="1373"/>
      <c r="I2" s="1373"/>
      <c r="J2" s="1373"/>
      <c r="K2" s="1373"/>
      <c r="L2" s="1373"/>
      <c r="M2" s="1373"/>
      <c r="N2" s="1373"/>
      <c r="O2" s="1373"/>
      <c r="P2" s="1373"/>
      <c r="Q2" s="1373"/>
      <c r="R2" s="1373"/>
    </row>
    <row r="4" spans="1:19" ht="22.5" customHeight="1" x14ac:dyDescent="0.25">
      <c r="A4" s="1374" t="s">
        <v>270</v>
      </c>
      <c r="B4" s="1375" t="s">
        <v>991</v>
      </c>
      <c r="C4" s="1376"/>
      <c r="D4" s="1376"/>
      <c r="E4" s="1376"/>
      <c r="F4" s="1376"/>
      <c r="G4" s="1376"/>
      <c r="H4" s="1376"/>
      <c r="I4" s="1376"/>
      <c r="J4" s="1376"/>
      <c r="K4" s="1376"/>
      <c r="L4" s="1376"/>
      <c r="M4" s="1376"/>
      <c r="N4" s="1376"/>
      <c r="O4" s="1376"/>
      <c r="P4" s="1376"/>
      <c r="Q4" s="1376"/>
      <c r="R4" s="1376"/>
      <c r="S4" s="10"/>
    </row>
    <row r="5" spans="1:19" ht="15.75" customHeight="1" x14ac:dyDescent="0.25">
      <c r="A5" s="1374"/>
      <c r="B5" s="1371" t="s">
        <v>272</v>
      </c>
      <c r="C5" s="1377" t="s">
        <v>2227</v>
      </c>
      <c r="D5" s="1377" t="s">
        <v>763</v>
      </c>
      <c r="E5" s="1371" t="s">
        <v>764</v>
      </c>
      <c r="F5" s="1360" t="s">
        <v>282</v>
      </c>
      <c r="G5" s="1351" t="s">
        <v>1417</v>
      </c>
      <c r="H5" s="1365" t="s">
        <v>1415</v>
      </c>
      <c r="I5" s="1368" t="s">
        <v>1416</v>
      </c>
      <c r="J5" s="1369" t="s">
        <v>273</v>
      </c>
      <c r="K5" s="1370" t="s">
        <v>1414</v>
      </c>
      <c r="L5" s="1370" t="s">
        <v>888</v>
      </c>
      <c r="M5" s="1369" t="s">
        <v>274</v>
      </c>
      <c r="N5" s="1371" t="s">
        <v>275</v>
      </c>
      <c r="O5" s="1369" t="s">
        <v>271</v>
      </c>
      <c r="P5" s="1369" t="s">
        <v>276</v>
      </c>
      <c r="Q5" s="1378" t="s">
        <v>277</v>
      </c>
      <c r="R5" s="1379" t="s">
        <v>283</v>
      </c>
      <c r="S5" s="1366" t="s">
        <v>284</v>
      </c>
    </row>
    <row r="6" spans="1:19" ht="142.5" customHeight="1" x14ac:dyDescent="0.25">
      <c r="A6" s="1374"/>
      <c r="B6" s="1372"/>
      <c r="C6" s="1352"/>
      <c r="D6" s="1352"/>
      <c r="E6" s="1372"/>
      <c r="F6" s="1361"/>
      <c r="G6" s="1352"/>
      <c r="H6" s="1365"/>
      <c r="I6" s="1368"/>
      <c r="J6" s="1369"/>
      <c r="K6" s="1370"/>
      <c r="L6" s="1370"/>
      <c r="M6" s="1369"/>
      <c r="N6" s="1372"/>
      <c r="O6" s="1369"/>
      <c r="P6" s="1369"/>
      <c r="Q6" s="1378"/>
      <c r="R6" s="1379"/>
      <c r="S6" s="1367"/>
    </row>
    <row r="7" spans="1:19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>
        <v>8</v>
      </c>
      <c r="I7" s="421">
        <v>9</v>
      </c>
      <c r="J7" s="78" t="s">
        <v>279</v>
      </c>
      <c r="K7" s="78" t="s">
        <v>889</v>
      </c>
      <c r="L7" s="78" t="s">
        <v>890</v>
      </c>
      <c r="M7" s="78">
        <v>12</v>
      </c>
      <c r="N7" s="78">
        <v>13</v>
      </c>
      <c r="O7" s="78">
        <v>14</v>
      </c>
      <c r="P7" s="78" t="s">
        <v>891</v>
      </c>
      <c r="Q7" s="78" t="s">
        <v>280</v>
      </c>
      <c r="R7" s="79" t="s">
        <v>281</v>
      </c>
      <c r="S7" s="10"/>
    </row>
    <row r="8" spans="1:19" s="208" customFormat="1" ht="24" x14ac:dyDescent="0.25">
      <c r="A8" s="174" t="s">
        <v>421</v>
      </c>
      <c r="B8" s="199">
        <v>247</v>
      </c>
      <c r="C8" s="200">
        <v>10.63</v>
      </c>
      <c r="D8" s="199">
        <v>3</v>
      </c>
      <c r="E8" s="199">
        <v>15</v>
      </c>
      <c r="F8" s="201">
        <f t="shared" ref="F8:F20" si="0">B8*C8/D8/E8</f>
        <v>58.35</v>
      </c>
      <c r="G8" s="647">
        <v>4856</v>
      </c>
      <c r="H8" s="646">
        <v>1.01525</v>
      </c>
      <c r="I8" s="647">
        <v>16242</v>
      </c>
      <c r="J8" s="202">
        <f>(I8-G8*H8)/G8+1</f>
        <v>3.3290000000000002</v>
      </c>
      <c r="K8" s="648">
        <v>1.2293000000000001</v>
      </c>
      <c r="L8" s="203">
        <v>1.01</v>
      </c>
      <c r="M8" s="203">
        <v>1.302</v>
      </c>
      <c r="N8" s="203">
        <v>1.085</v>
      </c>
      <c r="O8" s="199">
        <v>12</v>
      </c>
      <c r="P8" s="204">
        <f>G8*H8*J8*K8*L8*M8*N8*O8</f>
        <v>345435</v>
      </c>
      <c r="Q8" s="205">
        <f t="shared" ref="Q8:Q20" si="1">P8/B8</f>
        <v>1399</v>
      </c>
      <c r="R8" s="206">
        <f t="shared" ref="R8:R20" si="2">F8*Q8</f>
        <v>81632</v>
      </c>
      <c r="S8" s="207">
        <f t="shared" ref="S8:S20" si="3">R8*O8/F8</f>
        <v>16788.07</v>
      </c>
    </row>
    <row r="9" spans="1:19" s="208" customFormat="1" ht="24" x14ac:dyDescent="0.25">
      <c r="A9" s="174" t="s">
        <v>413</v>
      </c>
      <c r="B9" s="199">
        <v>247</v>
      </c>
      <c r="C9" s="200">
        <v>11.88</v>
      </c>
      <c r="D9" s="199">
        <v>3</v>
      </c>
      <c r="E9" s="199">
        <v>20</v>
      </c>
      <c r="F9" s="201">
        <f t="shared" si="0"/>
        <v>48.91</v>
      </c>
      <c r="G9" s="647">
        <v>4856</v>
      </c>
      <c r="H9" s="646">
        <v>1.01525</v>
      </c>
      <c r="I9" s="647">
        <v>16242</v>
      </c>
      <c r="J9" s="202">
        <f t="shared" ref="J9:J20" si="4">(I9-G9*H9)/G9+1</f>
        <v>3.3290000000000002</v>
      </c>
      <c r="K9" s="648">
        <v>1.2293000000000001</v>
      </c>
      <c r="L9" s="203">
        <v>1.01</v>
      </c>
      <c r="M9" s="203">
        <v>1.302</v>
      </c>
      <c r="N9" s="203">
        <v>1.085</v>
      </c>
      <c r="O9" s="199">
        <v>12</v>
      </c>
      <c r="P9" s="204">
        <f t="shared" ref="P9:P20" si="5">G9*H9*J9*K9*L9*M9*N9*O9</f>
        <v>345435</v>
      </c>
      <c r="Q9" s="205">
        <f t="shared" si="1"/>
        <v>1399</v>
      </c>
      <c r="R9" s="206">
        <f t="shared" si="2"/>
        <v>68425</v>
      </c>
      <c r="S9" s="207">
        <f t="shared" si="3"/>
        <v>16787.98</v>
      </c>
    </row>
    <row r="10" spans="1:19" s="208" customFormat="1" ht="24" x14ac:dyDescent="0.25">
      <c r="A10" s="174" t="s">
        <v>700</v>
      </c>
      <c r="B10" s="199">
        <v>247</v>
      </c>
      <c r="C10" s="200">
        <v>11.88</v>
      </c>
      <c r="D10" s="199">
        <v>3</v>
      </c>
      <c r="E10" s="199">
        <v>20</v>
      </c>
      <c r="F10" s="201">
        <f t="shared" si="0"/>
        <v>48.91</v>
      </c>
      <c r="G10" s="647">
        <v>4856</v>
      </c>
      <c r="H10" s="646">
        <v>1.01525</v>
      </c>
      <c r="I10" s="647">
        <v>16242</v>
      </c>
      <c r="J10" s="202">
        <f t="shared" si="4"/>
        <v>3.3290000000000002</v>
      </c>
      <c r="K10" s="648">
        <v>1.2293000000000001</v>
      </c>
      <c r="L10" s="203">
        <v>1.01</v>
      </c>
      <c r="M10" s="203">
        <v>1.302</v>
      </c>
      <c r="N10" s="203">
        <v>1.085</v>
      </c>
      <c r="O10" s="199">
        <v>12</v>
      </c>
      <c r="P10" s="204">
        <f t="shared" si="5"/>
        <v>345435</v>
      </c>
      <c r="Q10" s="205">
        <f t="shared" si="1"/>
        <v>1399</v>
      </c>
      <c r="R10" s="206">
        <f t="shared" si="2"/>
        <v>68425</v>
      </c>
      <c r="S10" s="207">
        <f t="shared" si="3"/>
        <v>16787.98</v>
      </c>
    </row>
    <row r="11" spans="1:19" s="208" customFormat="1" ht="24" x14ac:dyDescent="0.25">
      <c r="A11" s="174" t="s">
        <v>414</v>
      </c>
      <c r="B11" s="199">
        <v>247</v>
      </c>
      <c r="C11" s="200">
        <v>11.88</v>
      </c>
      <c r="D11" s="199">
        <v>3</v>
      </c>
      <c r="E11" s="199">
        <v>20</v>
      </c>
      <c r="F11" s="201">
        <f t="shared" si="0"/>
        <v>48.91</v>
      </c>
      <c r="G11" s="647">
        <v>4856</v>
      </c>
      <c r="H11" s="646">
        <v>1.01525</v>
      </c>
      <c r="I11" s="647">
        <v>16242</v>
      </c>
      <c r="J11" s="202">
        <f t="shared" si="4"/>
        <v>3.3290000000000002</v>
      </c>
      <c r="K11" s="648">
        <v>1.2293000000000001</v>
      </c>
      <c r="L11" s="203">
        <v>1.01</v>
      </c>
      <c r="M11" s="203">
        <v>1.302</v>
      </c>
      <c r="N11" s="203">
        <v>1.085</v>
      </c>
      <c r="O11" s="199">
        <v>12</v>
      </c>
      <c r="P11" s="204">
        <f t="shared" si="5"/>
        <v>345435</v>
      </c>
      <c r="Q11" s="205">
        <f t="shared" si="1"/>
        <v>1399</v>
      </c>
      <c r="R11" s="206">
        <f t="shared" si="2"/>
        <v>68425</v>
      </c>
      <c r="S11" s="207">
        <f t="shared" si="3"/>
        <v>16787.98</v>
      </c>
    </row>
    <row r="12" spans="1:19" s="208" customFormat="1" ht="24" x14ac:dyDescent="0.25">
      <c r="A12" s="174" t="s">
        <v>415</v>
      </c>
      <c r="B12" s="199">
        <v>247</v>
      </c>
      <c r="C12" s="200">
        <v>11.88</v>
      </c>
      <c r="D12" s="199">
        <v>3</v>
      </c>
      <c r="E12" s="199">
        <v>20</v>
      </c>
      <c r="F12" s="201">
        <f t="shared" si="0"/>
        <v>48.91</v>
      </c>
      <c r="G12" s="647">
        <v>4856</v>
      </c>
      <c r="H12" s="646">
        <v>1.01525</v>
      </c>
      <c r="I12" s="647">
        <v>16242</v>
      </c>
      <c r="J12" s="202">
        <f t="shared" si="4"/>
        <v>3.3290000000000002</v>
      </c>
      <c r="K12" s="648">
        <v>1.2293000000000001</v>
      </c>
      <c r="L12" s="203">
        <v>1.01</v>
      </c>
      <c r="M12" s="203">
        <v>1.302</v>
      </c>
      <c r="N12" s="203">
        <v>1.085</v>
      </c>
      <c r="O12" s="199">
        <v>12</v>
      </c>
      <c r="P12" s="204">
        <f t="shared" si="5"/>
        <v>345435</v>
      </c>
      <c r="Q12" s="205">
        <f t="shared" si="1"/>
        <v>1399</v>
      </c>
      <c r="R12" s="206">
        <f t="shared" si="2"/>
        <v>68425</v>
      </c>
      <c r="S12" s="207">
        <f t="shared" si="3"/>
        <v>16787.98</v>
      </c>
    </row>
    <row r="13" spans="1:19" s="208" customFormat="1" ht="24" x14ac:dyDescent="0.25">
      <c r="A13" s="92" t="s">
        <v>416</v>
      </c>
      <c r="B13" s="199">
        <v>247</v>
      </c>
      <c r="C13" s="200">
        <v>12.26</v>
      </c>
      <c r="D13" s="199">
        <v>3</v>
      </c>
      <c r="E13" s="199">
        <v>12</v>
      </c>
      <c r="F13" s="201">
        <f t="shared" si="0"/>
        <v>84.12</v>
      </c>
      <c r="G13" s="647">
        <v>4856</v>
      </c>
      <c r="H13" s="646">
        <v>1.01525</v>
      </c>
      <c r="I13" s="647">
        <v>16242</v>
      </c>
      <c r="J13" s="202">
        <f t="shared" si="4"/>
        <v>3.3290000000000002</v>
      </c>
      <c r="K13" s="648">
        <v>1.2293000000000001</v>
      </c>
      <c r="L13" s="203">
        <v>1.01</v>
      </c>
      <c r="M13" s="203">
        <v>1.302</v>
      </c>
      <c r="N13" s="203">
        <v>1.085</v>
      </c>
      <c r="O13" s="199">
        <v>12</v>
      </c>
      <c r="P13" s="204">
        <f t="shared" si="5"/>
        <v>345435</v>
      </c>
      <c r="Q13" s="205">
        <f t="shared" si="1"/>
        <v>1399</v>
      </c>
      <c r="R13" s="206">
        <f t="shared" si="2"/>
        <v>117684</v>
      </c>
      <c r="S13" s="207">
        <f t="shared" si="3"/>
        <v>16788.02</v>
      </c>
    </row>
    <row r="14" spans="1:19" s="208" customFormat="1" ht="48" x14ac:dyDescent="0.25">
      <c r="A14" s="98" t="s">
        <v>417</v>
      </c>
      <c r="B14" s="199">
        <v>247</v>
      </c>
      <c r="C14" s="200">
        <v>12.26</v>
      </c>
      <c r="D14" s="199">
        <v>3</v>
      </c>
      <c r="E14" s="199">
        <v>10</v>
      </c>
      <c r="F14" s="201">
        <f t="shared" si="0"/>
        <v>100.94</v>
      </c>
      <c r="G14" s="647">
        <v>4856</v>
      </c>
      <c r="H14" s="646">
        <v>1.01525</v>
      </c>
      <c r="I14" s="647">
        <v>16242</v>
      </c>
      <c r="J14" s="202">
        <f t="shared" si="4"/>
        <v>3.3290000000000002</v>
      </c>
      <c r="K14" s="648">
        <v>1.2293000000000001</v>
      </c>
      <c r="L14" s="203">
        <v>1.01</v>
      </c>
      <c r="M14" s="203">
        <v>1.302</v>
      </c>
      <c r="N14" s="203">
        <v>1.085</v>
      </c>
      <c r="O14" s="199">
        <v>12</v>
      </c>
      <c r="P14" s="204">
        <f t="shared" si="5"/>
        <v>345435</v>
      </c>
      <c r="Q14" s="205">
        <f t="shared" si="1"/>
        <v>1399</v>
      </c>
      <c r="R14" s="206">
        <f t="shared" si="2"/>
        <v>141215</v>
      </c>
      <c r="S14" s="207">
        <f t="shared" si="3"/>
        <v>16787.990000000002</v>
      </c>
    </row>
    <row r="15" spans="1:19" s="208" customFormat="1" ht="48" x14ac:dyDescent="0.25">
      <c r="A15" s="98" t="s">
        <v>422</v>
      </c>
      <c r="B15" s="199">
        <v>247</v>
      </c>
      <c r="C15" s="200">
        <v>10.88</v>
      </c>
      <c r="D15" s="199">
        <v>3</v>
      </c>
      <c r="E15" s="199">
        <v>6</v>
      </c>
      <c r="F15" s="201">
        <f t="shared" si="0"/>
        <v>149.30000000000001</v>
      </c>
      <c r="G15" s="647">
        <v>4856</v>
      </c>
      <c r="H15" s="646">
        <v>1.01525</v>
      </c>
      <c r="I15" s="647">
        <v>16242</v>
      </c>
      <c r="J15" s="202">
        <f t="shared" si="4"/>
        <v>3.3290000000000002</v>
      </c>
      <c r="K15" s="648">
        <v>1.2293000000000001</v>
      </c>
      <c r="L15" s="203">
        <v>1.01</v>
      </c>
      <c r="M15" s="203">
        <v>1.302</v>
      </c>
      <c r="N15" s="203">
        <v>1.085</v>
      </c>
      <c r="O15" s="199">
        <v>12</v>
      </c>
      <c r="P15" s="204">
        <f t="shared" si="5"/>
        <v>345435</v>
      </c>
      <c r="Q15" s="205">
        <f t="shared" si="1"/>
        <v>1399</v>
      </c>
      <c r="R15" s="206">
        <f t="shared" si="2"/>
        <v>208871</v>
      </c>
      <c r="S15" s="207">
        <f t="shared" si="3"/>
        <v>16788.02</v>
      </c>
    </row>
    <row r="16" spans="1:19" s="208" customFormat="1" ht="48" x14ac:dyDescent="0.25">
      <c r="A16" s="98" t="s">
        <v>418</v>
      </c>
      <c r="B16" s="199">
        <v>247</v>
      </c>
      <c r="C16" s="200">
        <v>12.26</v>
      </c>
      <c r="D16" s="199">
        <v>3</v>
      </c>
      <c r="E16" s="199">
        <v>8</v>
      </c>
      <c r="F16" s="201">
        <f t="shared" si="0"/>
        <v>126.18</v>
      </c>
      <c r="G16" s="647">
        <v>4856</v>
      </c>
      <c r="H16" s="646">
        <v>1.01525</v>
      </c>
      <c r="I16" s="647">
        <v>16242</v>
      </c>
      <c r="J16" s="202">
        <f t="shared" si="4"/>
        <v>3.3290000000000002</v>
      </c>
      <c r="K16" s="648">
        <v>1.2293000000000001</v>
      </c>
      <c r="L16" s="203">
        <v>1.01</v>
      </c>
      <c r="M16" s="203">
        <v>1.302</v>
      </c>
      <c r="N16" s="203">
        <v>1.085</v>
      </c>
      <c r="O16" s="199">
        <v>12</v>
      </c>
      <c r="P16" s="204">
        <f t="shared" si="5"/>
        <v>345435</v>
      </c>
      <c r="Q16" s="205">
        <f t="shared" si="1"/>
        <v>1399</v>
      </c>
      <c r="R16" s="206">
        <f t="shared" si="2"/>
        <v>176526</v>
      </c>
      <c r="S16" s="207">
        <f t="shared" si="3"/>
        <v>16788.02</v>
      </c>
    </row>
    <row r="17" spans="1:19" s="208" customFormat="1" x14ac:dyDescent="0.25">
      <c r="A17" s="92" t="s">
        <v>423</v>
      </c>
      <c r="B17" s="199">
        <v>247</v>
      </c>
      <c r="C17" s="200">
        <v>10.63</v>
      </c>
      <c r="D17" s="199">
        <v>3</v>
      </c>
      <c r="E17" s="199">
        <v>15</v>
      </c>
      <c r="F17" s="201">
        <f t="shared" si="0"/>
        <v>58.35</v>
      </c>
      <c r="G17" s="647">
        <v>4856</v>
      </c>
      <c r="H17" s="646">
        <v>1.01525</v>
      </c>
      <c r="I17" s="647">
        <v>16242</v>
      </c>
      <c r="J17" s="202">
        <f t="shared" si="4"/>
        <v>3.3290000000000002</v>
      </c>
      <c r="K17" s="648">
        <v>1.2293000000000001</v>
      </c>
      <c r="L17" s="203">
        <v>1.01</v>
      </c>
      <c r="M17" s="203">
        <v>1.302</v>
      </c>
      <c r="N17" s="203">
        <v>1.085</v>
      </c>
      <c r="O17" s="199">
        <v>12</v>
      </c>
      <c r="P17" s="204">
        <f t="shared" si="5"/>
        <v>345435</v>
      </c>
      <c r="Q17" s="205">
        <f t="shared" si="1"/>
        <v>1399</v>
      </c>
      <c r="R17" s="206">
        <f t="shared" si="2"/>
        <v>81632</v>
      </c>
      <c r="S17" s="207">
        <f t="shared" si="3"/>
        <v>16788.07</v>
      </c>
    </row>
    <row r="18" spans="1:19" s="208" customFormat="1" x14ac:dyDescent="0.25">
      <c r="A18" s="174" t="s">
        <v>419</v>
      </c>
      <c r="B18" s="199">
        <v>247</v>
      </c>
      <c r="C18" s="200">
        <v>11.88</v>
      </c>
      <c r="D18" s="199">
        <v>3</v>
      </c>
      <c r="E18" s="199">
        <v>20</v>
      </c>
      <c r="F18" s="201">
        <f t="shared" si="0"/>
        <v>48.91</v>
      </c>
      <c r="G18" s="647">
        <v>4856</v>
      </c>
      <c r="H18" s="646">
        <v>1.01525</v>
      </c>
      <c r="I18" s="647">
        <v>16242</v>
      </c>
      <c r="J18" s="202">
        <f t="shared" si="4"/>
        <v>3.3290000000000002</v>
      </c>
      <c r="K18" s="648">
        <v>1.2293000000000001</v>
      </c>
      <c r="L18" s="203">
        <v>1.01</v>
      </c>
      <c r="M18" s="203">
        <v>1.302</v>
      </c>
      <c r="N18" s="203">
        <v>1.085</v>
      </c>
      <c r="O18" s="199">
        <v>12</v>
      </c>
      <c r="P18" s="204">
        <f t="shared" si="5"/>
        <v>345435</v>
      </c>
      <c r="Q18" s="205">
        <f t="shared" si="1"/>
        <v>1399</v>
      </c>
      <c r="R18" s="206">
        <f t="shared" si="2"/>
        <v>68425</v>
      </c>
      <c r="S18" s="207">
        <f t="shared" si="3"/>
        <v>16787.98</v>
      </c>
    </row>
    <row r="19" spans="1:19" s="208" customFormat="1" x14ac:dyDescent="0.25">
      <c r="A19" s="92" t="s">
        <v>424</v>
      </c>
      <c r="B19" s="199">
        <v>247</v>
      </c>
      <c r="C19" s="200">
        <v>10.88</v>
      </c>
      <c r="D19" s="199">
        <v>3</v>
      </c>
      <c r="E19" s="199">
        <v>10</v>
      </c>
      <c r="F19" s="201">
        <f t="shared" si="0"/>
        <v>89.58</v>
      </c>
      <c r="G19" s="647">
        <v>4856</v>
      </c>
      <c r="H19" s="646">
        <v>1.01525</v>
      </c>
      <c r="I19" s="647">
        <v>16242</v>
      </c>
      <c r="J19" s="202">
        <f t="shared" si="4"/>
        <v>3.3290000000000002</v>
      </c>
      <c r="K19" s="648">
        <v>1.2293000000000001</v>
      </c>
      <c r="L19" s="203">
        <v>1.01</v>
      </c>
      <c r="M19" s="203">
        <v>1.302</v>
      </c>
      <c r="N19" s="203">
        <v>1.085</v>
      </c>
      <c r="O19" s="199">
        <v>12</v>
      </c>
      <c r="P19" s="204">
        <f t="shared" si="5"/>
        <v>345435</v>
      </c>
      <c r="Q19" s="205">
        <f t="shared" si="1"/>
        <v>1399</v>
      </c>
      <c r="R19" s="206">
        <f t="shared" si="2"/>
        <v>125322</v>
      </c>
      <c r="S19" s="207">
        <f t="shared" si="3"/>
        <v>16787.939999999999</v>
      </c>
    </row>
    <row r="20" spans="1:19" s="208" customFormat="1" x14ac:dyDescent="0.25">
      <c r="A20" s="174" t="s">
        <v>420</v>
      </c>
      <c r="B20" s="199">
        <v>247</v>
      </c>
      <c r="C20" s="200">
        <v>12.26</v>
      </c>
      <c r="D20" s="199">
        <v>3</v>
      </c>
      <c r="E20" s="199">
        <v>14</v>
      </c>
      <c r="F20" s="201">
        <f t="shared" si="0"/>
        <v>72.099999999999994</v>
      </c>
      <c r="G20" s="647">
        <v>4856</v>
      </c>
      <c r="H20" s="646">
        <v>1.01525</v>
      </c>
      <c r="I20" s="647">
        <v>16242</v>
      </c>
      <c r="J20" s="202">
        <f t="shared" si="4"/>
        <v>3.3290000000000002</v>
      </c>
      <c r="K20" s="648">
        <v>1.2293000000000001</v>
      </c>
      <c r="L20" s="203">
        <v>1.01</v>
      </c>
      <c r="M20" s="203">
        <v>1.302</v>
      </c>
      <c r="N20" s="203">
        <v>1.085</v>
      </c>
      <c r="O20" s="199">
        <v>12</v>
      </c>
      <c r="P20" s="204">
        <f t="shared" si="5"/>
        <v>345435</v>
      </c>
      <c r="Q20" s="205">
        <f t="shared" si="1"/>
        <v>1399</v>
      </c>
      <c r="R20" s="206">
        <f t="shared" si="2"/>
        <v>100868</v>
      </c>
      <c r="S20" s="207">
        <f t="shared" si="3"/>
        <v>16788.02</v>
      </c>
    </row>
    <row r="22" spans="1:19" x14ac:dyDescent="0.25">
      <c r="A22" s="1" t="s">
        <v>892</v>
      </c>
      <c r="M22" s="1" t="s">
        <v>259</v>
      </c>
    </row>
  </sheetData>
  <mergeCells count="21">
    <mergeCell ref="A2:R2"/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P5:P6"/>
    <mergeCell ref="Q5:Q6"/>
    <mergeCell ref="R5:R6"/>
    <mergeCell ref="L5:L6"/>
    <mergeCell ref="S5:S6"/>
    <mergeCell ref="I5:I6"/>
    <mergeCell ref="J5:J6"/>
    <mergeCell ref="K5:K6"/>
    <mergeCell ref="M5:M6"/>
    <mergeCell ref="N5:N6"/>
    <mergeCell ref="O5:O6"/>
  </mergeCells>
  <pageMargins left="0" right="0" top="0" bottom="0" header="0.31496062992125984" footer="0.31496062992125984"/>
  <pageSetup paperSize="9" scale="50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8">
    <tabColor rgb="FF92D050"/>
  </sheetPr>
  <dimension ref="A1:T22"/>
  <sheetViews>
    <sheetView view="pageBreakPreview" zoomScale="75" zoomScaleNormal="75" zoomScaleSheetLayoutView="75" workbookViewId="0">
      <pane xSplit="1" ySplit="2" topLeftCell="B3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C7" sqref="C7"/>
    </sheetView>
  </sheetViews>
  <sheetFormatPr defaultColWidth="9.140625" defaultRowHeight="15.75" x14ac:dyDescent="0.25"/>
  <cols>
    <col min="1" max="1" width="73" style="72" customWidth="1"/>
    <col min="2" max="2" width="11.140625" style="72" customWidth="1"/>
    <col min="3" max="3" width="13.5703125" style="72" customWidth="1"/>
    <col min="4" max="4" width="9.85546875" style="72" customWidth="1"/>
    <col min="5" max="5" width="9.42578125" style="72" customWidth="1"/>
    <col min="6" max="6" width="11.140625" style="72" customWidth="1"/>
    <col min="7" max="7" width="10.85546875" style="72" customWidth="1"/>
    <col min="8" max="9" width="12.7109375" style="72" customWidth="1"/>
    <col min="10" max="10" width="12" style="72" customWidth="1"/>
    <col min="11" max="11" width="12.7109375" style="72" customWidth="1"/>
    <col min="12" max="13" width="13.5703125" style="72" customWidth="1"/>
    <col min="14" max="15" width="12.7109375" style="72" customWidth="1"/>
    <col min="16" max="16" width="11.5703125" style="72" customWidth="1"/>
    <col min="17" max="18" width="12.7109375" style="72" customWidth="1"/>
    <col min="19" max="19" width="12.140625" style="72" customWidth="1"/>
    <col min="20" max="20" width="12.42578125" style="72" hidden="1" customWidth="1"/>
    <col min="21" max="16384" width="9.140625" style="72"/>
  </cols>
  <sheetData>
    <row r="1" spans="1:20" x14ac:dyDescent="0.25">
      <c r="P1" s="1" t="s">
        <v>868</v>
      </c>
    </row>
    <row r="2" spans="1:20" ht="30" customHeight="1" x14ac:dyDescent="0.25">
      <c r="A2" s="1373" t="s">
        <v>360</v>
      </c>
      <c r="B2" s="1373"/>
      <c r="C2" s="1373"/>
      <c r="D2" s="1373"/>
      <c r="E2" s="1373"/>
      <c r="F2" s="1373"/>
      <c r="G2" s="1373"/>
      <c r="H2" s="1373"/>
      <c r="I2" s="1373"/>
      <c r="J2" s="1373"/>
      <c r="K2" s="1373"/>
      <c r="L2" s="1373"/>
      <c r="M2" s="1373"/>
      <c r="N2" s="1373"/>
      <c r="O2" s="1373"/>
      <c r="P2" s="1373"/>
      <c r="Q2" s="1373"/>
      <c r="R2" s="1373"/>
      <c r="S2" s="1373"/>
    </row>
    <row r="4" spans="1:20" ht="22.5" customHeight="1" x14ac:dyDescent="0.25">
      <c r="A4" s="1366" t="s">
        <v>270</v>
      </c>
      <c r="B4" s="1375" t="s">
        <v>992</v>
      </c>
      <c r="C4" s="1376"/>
      <c r="D4" s="1376"/>
      <c r="E4" s="1376"/>
      <c r="F4" s="1376"/>
      <c r="G4" s="1376"/>
      <c r="H4" s="1376"/>
      <c r="I4" s="1376"/>
      <c r="J4" s="1376"/>
      <c r="K4" s="1376"/>
      <c r="L4" s="1376"/>
      <c r="M4" s="1376"/>
      <c r="N4" s="1376"/>
      <c r="O4" s="1376"/>
      <c r="P4" s="1376"/>
      <c r="Q4" s="1376"/>
      <c r="R4" s="1376"/>
      <c r="S4" s="1376"/>
      <c r="T4" s="10"/>
    </row>
    <row r="5" spans="1:20" ht="15.75" customHeight="1" x14ac:dyDescent="0.25">
      <c r="A5" s="1380"/>
      <c r="B5" s="1371" t="s">
        <v>272</v>
      </c>
      <c r="C5" s="1377" t="s">
        <v>2227</v>
      </c>
      <c r="D5" s="1377" t="s">
        <v>763</v>
      </c>
      <c r="E5" s="1371" t="s">
        <v>764</v>
      </c>
      <c r="F5" s="1360" t="s">
        <v>282</v>
      </c>
      <c r="G5" s="1351" t="s">
        <v>1417</v>
      </c>
      <c r="H5" s="1381" t="s">
        <v>1418</v>
      </c>
      <c r="I5" s="1381" t="s">
        <v>993</v>
      </c>
      <c r="J5" s="1368" t="s">
        <v>1416</v>
      </c>
      <c r="K5" s="1369" t="s">
        <v>273</v>
      </c>
      <c r="L5" s="1370" t="s">
        <v>1414</v>
      </c>
      <c r="M5" s="1370" t="s">
        <v>888</v>
      </c>
      <c r="N5" s="1369" t="s">
        <v>274</v>
      </c>
      <c r="O5" s="1371" t="s">
        <v>275</v>
      </c>
      <c r="P5" s="1369" t="s">
        <v>271</v>
      </c>
      <c r="Q5" s="1369" t="s">
        <v>276</v>
      </c>
      <c r="R5" s="1378" t="s">
        <v>277</v>
      </c>
      <c r="S5" s="1379" t="s">
        <v>283</v>
      </c>
      <c r="T5" s="1366" t="s">
        <v>284</v>
      </c>
    </row>
    <row r="6" spans="1:20" ht="142.5" customHeight="1" x14ac:dyDescent="0.25">
      <c r="A6" s="1367"/>
      <c r="B6" s="1372"/>
      <c r="C6" s="1352"/>
      <c r="D6" s="1352"/>
      <c r="E6" s="1372"/>
      <c r="F6" s="1361"/>
      <c r="G6" s="1352"/>
      <c r="H6" s="1381"/>
      <c r="I6" s="1381"/>
      <c r="J6" s="1368"/>
      <c r="K6" s="1369"/>
      <c r="L6" s="1370"/>
      <c r="M6" s="1370"/>
      <c r="N6" s="1369"/>
      <c r="O6" s="1372"/>
      <c r="P6" s="1369"/>
      <c r="Q6" s="1369"/>
      <c r="R6" s="1378"/>
      <c r="S6" s="1379"/>
      <c r="T6" s="1367"/>
    </row>
    <row r="7" spans="1:20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 t="s">
        <v>254</v>
      </c>
      <c r="I7" s="78" t="s">
        <v>925</v>
      </c>
      <c r="J7" s="421">
        <v>9</v>
      </c>
      <c r="K7" s="78" t="s">
        <v>929</v>
      </c>
      <c r="L7" s="78" t="s">
        <v>889</v>
      </c>
      <c r="M7" s="78" t="s">
        <v>890</v>
      </c>
      <c r="N7" s="78">
        <v>12</v>
      </c>
      <c r="O7" s="78">
        <v>13</v>
      </c>
      <c r="P7" s="78">
        <v>14</v>
      </c>
      <c r="Q7" s="78" t="s">
        <v>930</v>
      </c>
      <c r="R7" s="78" t="s">
        <v>280</v>
      </c>
      <c r="S7" s="79" t="s">
        <v>281</v>
      </c>
      <c r="T7" s="10"/>
    </row>
    <row r="8" spans="1:20" s="208" customFormat="1" ht="24" x14ac:dyDescent="0.25">
      <c r="A8" s="174" t="s">
        <v>421</v>
      </c>
      <c r="B8" s="199">
        <v>247</v>
      </c>
      <c r="C8" s="200">
        <v>10.63</v>
      </c>
      <c r="D8" s="199">
        <v>3</v>
      </c>
      <c r="E8" s="199">
        <v>15</v>
      </c>
      <c r="F8" s="201">
        <f>B8*C8/D8/E8</f>
        <v>58.35</v>
      </c>
      <c r="G8" s="647">
        <v>4856</v>
      </c>
      <c r="H8" s="646">
        <v>1.0609999999999999</v>
      </c>
      <c r="I8" s="646">
        <v>1.01</v>
      </c>
      <c r="J8" s="647">
        <v>16242</v>
      </c>
      <c r="K8" s="202">
        <f>(J8-G8*H8*I8)/G8+1</f>
        <v>3.2730000000000001</v>
      </c>
      <c r="L8" s="648">
        <v>1.2293000000000001</v>
      </c>
      <c r="M8" s="203">
        <v>1.01</v>
      </c>
      <c r="N8" s="203">
        <v>1.302</v>
      </c>
      <c r="O8" s="203">
        <v>1.085</v>
      </c>
      <c r="P8" s="199">
        <v>12</v>
      </c>
      <c r="Q8" s="204">
        <f>G8*H8*I8*K8*L8*M8*N8*O8*P8</f>
        <v>358478</v>
      </c>
      <c r="R8" s="205">
        <f t="shared" ref="R8:R20" si="0">Q8/B8</f>
        <v>1451</v>
      </c>
      <c r="S8" s="206">
        <f t="shared" ref="S8:S20" si="1">F8*R8</f>
        <v>84666</v>
      </c>
      <c r="T8" s="207">
        <f t="shared" ref="T8:T20" si="2">S8*P8/F8</f>
        <v>17412.03</v>
      </c>
    </row>
    <row r="9" spans="1:20" s="208" customFormat="1" ht="24" x14ac:dyDescent="0.25">
      <c r="A9" s="174" t="s">
        <v>413</v>
      </c>
      <c r="B9" s="199">
        <v>247</v>
      </c>
      <c r="C9" s="200">
        <v>11.88</v>
      </c>
      <c r="D9" s="199">
        <v>3</v>
      </c>
      <c r="E9" s="199">
        <v>20</v>
      </c>
      <c r="F9" s="201">
        <f t="shared" ref="F9:F20" si="3">B9*C9/D9/E9</f>
        <v>48.91</v>
      </c>
      <c r="G9" s="647">
        <v>4856</v>
      </c>
      <c r="H9" s="646">
        <v>1.0609999999999999</v>
      </c>
      <c r="I9" s="646">
        <v>1.01</v>
      </c>
      <c r="J9" s="647">
        <v>16242</v>
      </c>
      <c r="K9" s="202">
        <f t="shared" ref="K9:K20" si="4">(J9-G9*H9*I9)/G9+1</f>
        <v>3.2730000000000001</v>
      </c>
      <c r="L9" s="648">
        <v>1.2293000000000001</v>
      </c>
      <c r="M9" s="203">
        <v>1.01</v>
      </c>
      <c r="N9" s="203">
        <v>1.302</v>
      </c>
      <c r="O9" s="203">
        <v>1.085</v>
      </c>
      <c r="P9" s="199">
        <v>12</v>
      </c>
      <c r="Q9" s="204">
        <f t="shared" ref="Q9:Q20" si="5">G9*H9*I9*K9*L9*M9*N9*O9*P9</f>
        <v>358478</v>
      </c>
      <c r="R9" s="205">
        <f t="shared" si="0"/>
        <v>1451</v>
      </c>
      <c r="S9" s="206">
        <f t="shared" si="1"/>
        <v>70968</v>
      </c>
      <c r="T9" s="207">
        <f t="shared" si="2"/>
        <v>17411.900000000001</v>
      </c>
    </row>
    <row r="10" spans="1:20" s="208" customFormat="1" ht="24" x14ac:dyDescent="0.25">
      <c r="A10" s="174" t="s">
        <v>700</v>
      </c>
      <c r="B10" s="199">
        <v>247</v>
      </c>
      <c r="C10" s="200">
        <v>11.88</v>
      </c>
      <c r="D10" s="199">
        <v>3</v>
      </c>
      <c r="E10" s="199">
        <v>20</v>
      </c>
      <c r="F10" s="201">
        <f t="shared" si="3"/>
        <v>48.91</v>
      </c>
      <c r="G10" s="647">
        <v>4856</v>
      </c>
      <c r="H10" s="646">
        <v>1.0609999999999999</v>
      </c>
      <c r="I10" s="646">
        <v>1.01</v>
      </c>
      <c r="J10" s="647">
        <v>16242</v>
      </c>
      <c r="K10" s="202">
        <f t="shared" si="4"/>
        <v>3.2730000000000001</v>
      </c>
      <c r="L10" s="648">
        <v>1.2293000000000001</v>
      </c>
      <c r="M10" s="203">
        <v>1.01</v>
      </c>
      <c r="N10" s="203">
        <v>1.302</v>
      </c>
      <c r="O10" s="203">
        <v>1.085</v>
      </c>
      <c r="P10" s="199">
        <v>12</v>
      </c>
      <c r="Q10" s="204">
        <f t="shared" si="5"/>
        <v>358478</v>
      </c>
      <c r="R10" s="205">
        <f t="shared" si="0"/>
        <v>1451</v>
      </c>
      <c r="S10" s="206">
        <f t="shared" si="1"/>
        <v>70968</v>
      </c>
      <c r="T10" s="207">
        <f t="shared" si="2"/>
        <v>17411.900000000001</v>
      </c>
    </row>
    <row r="11" spans="1:20" s="208" customFormat="1" ht="24" x14ac:dyDescent="0.25">
      <c r="A11" s="174" t="s">
        <v>414</v>
      </c>
      <c r="B11" s="199">
        <v>247</v>
      </c>
      <c r="C11" s="200">
        <v>11.88</v>
      </c>
      <c r="D11" s="199">
        <v>3</v>
      </c>
      <c r="E11" s="199">
        <v>20</v>
      </c>
      <c r="F11" s="201">
        <f t="shared" si="3"/>
        <v>48.91</v>
      </c>
      <c r="G11" s="647">
        <v>4856</v>
      </c>
      <c r="H11" s="646">
        <v>1.0609999999999999</v>
      </c>
      <c r="I11" s="646">
        <v>1.01</v>
      </c>
      <c r="J11" s="647">
        <v>16242</v>
      </c>
      <c r="K11" s="202">
        <f t="shared" si="4"/>
        <v>3.2730000000000001</v>
      </c>
      <c r="L11" s="648">
        <v>1.2293000000000001</v>
      </c>
      <c r="M11" s="203">
        <v>1.01</v>
      </c>
      <c r="N11" s="203">
        <v>1.302</v>
      </c>
      <c r="O11" s="203">
        <v>1.085</v>
      </c>
      <c r="P11" s="199">
        <v>12</v>
      </c>
      <c r="Q11" s="204">
        <f t="shared" si="5"/>
        <v>358478</v>
      </c>
      <c r="R11" s="205">
        <f t="shared" si="0"/>
        <v>1451</v>
      </c>
      <c r="S11" s="206">
        <f t="shared" si="1"/>
        <v>70968</v>
      </c>
      <c r="T11" s="207">
        <f t="shared" si="2"/>
        <v>17411.900000000001</v>
      </c>
    </row>
    <row r="12" spans="1:20" s="208" customFormat="1" ht="24" x14ac:dyDescent="0.25">
      <c r="A12" s="174" t="s">
        <v>415</v>
      </c>
      <c r="B12" s="199">
        <v>247</v>
      </c>
      <c r="C12" s="200">
        <v>11.88</v>
      </c>
      <c r="D12" s="199">
        <v>3</v>
      </c>
      <c r="E12" s="199">
        <v>20</v>
      </c>
      <c r="F12" s="201">
        <f t="shared" si="3"/>
        <v>48.91</v>
      </c>
      <c r="G12" s="647">
        <v>4856</v>
      </c>
      <c r="H12" s="646">
        <v>1.0609999999999999</v>
      </c>
      <c r="I12" s="646">
        <v>1.01</v>
      </c>
      <c r="J12" s="647">
        <v>16242</v>
      </c>
      <c r="K12" s="202">
        <f t="shared" si="4"/>
        <v>3.2730000000000001</v>
      </c>
      <c r="L12" s="648">
        <v>1.2293000000000001</v>
      </c>
      <c r="M12" s="203">
        <v>1.01</v>
      </c>
      <c r="N12" s="203">
        <v>1.302</v>
      </c>
      <c r="O12" s="203">
        <v>1.085</v>
      </c>
      <c r="P12" s="199">
        <v>12</v>
      </c>
      <c r="Q12" s="204">
        <f t="shared" si="5"/>
        <v>358478</v>
      </c>
      <c r="R12" s="205">
        <f t="shared" si="0"/>
        <v>1451</v>
      </c>
      <c r="S12" s="206">
        <f t="shared" si="1"/>
        <v>70968</v>
      </c>
      <c r="T12" s="207">
        <f t="shared" si="2"/>
        <v>17411.900000000001</v>
      </c>
    </row>
    <row r="13" spans="1:20" s="208" customFormat="1" ht="24" x14ac:dyDescent="0.25">
      <c r="A13" s="92" t="s">
        <v>416</v>
      </c>
      <c r="B13" s="199">
        <v>247</v>
      </c>
      <c r="C13" s="200">
        <v>12.26</v>
      </c>
      <c r="D13" s="199">
        <v>3</v>
      </c>
      <c r="E13" s="199">
        <v>12</v>
      </c>
      <c r="F13" s="201">
        <f t="shared" si="3"/>
        <v>84.12</v>
      </c>
      <c r="G13" s="647">
        <v>4856</v>
      </c>
      <c r="H13" s="646">
        <v>1.0609999999999999</v>
      </c>
      <c r="I13" s="646">
        <v>1.01</v>
      </c>
      <c r="J13" s="647">
        <v>16242</v>
      </c>
      <c r="K13" s="202">
        <f t="shared" si="4"/>
        <v>3.2730000000000001</v>
      </c>
      <c r="L13" s="648">
        <v>1.2293000000000001</v>
      </c>
      <c r="M13" s="203">
        <v>1.01</v>
      </c>
      <c r="N13" s="203">
        <v>1.302</v>
      </c>
      <c r="O13" s="203">
        <v>1.085</v>
      </c>
      <c r="P13" s="199">
        <v>12</v>
      </c>
      <c r="Q13" s="204">
        <f t="shared" si="5"/>
        <v>358478</v>
      </c>
      <c r="R13" s="205">
        <f t="shared" si="0"/>
        <v>1451</v>
      </c>
      <c r="S13" s="206">
        <f t="shared" si="1"/>
        <v>122058</v>
      </c>
      <c r="T13" s="207">
        <f t="shared" si="2"/>
        <v>17411.98</v>
      </c>
    </row>
    <row r="14" spans="1:20" s="208" customFormat="1" ht="48" x14ac:dyDescent="0.25">
      <c r="A14" s="98" t="s">
        <v>417</v>
      </c>
      <c r="B14" s="199">
        <v>247</v>
      </c>
      <c r="C14" s="200">
        <v>12.26</v>
      </c>
      <c r="D14" s="199">
        <v>3</v>
      </c>
      <c r="E14" s="199">
        <v>10</v>
      </c>
      <c r="F14" s="201">
        <f t="shared" si="3"/>
        <v>100.94</v>
      </c>
      <c r="G14" s="647">
        <v>4856</v>
      </c>
      <c r="H14" s="646">
        <v>1.0609999999999999</v>
      </c>
      <c r="I14" s="646">
        <v>1.01</v>
      </c>
      <c r="J14" s="647">
        <v>16242</v>
      </c>
      <c r="K14" s="202">
        <f t="shared" si="4"/>
        <v>3.2730000000000001</v>
      </c>
      <c r="L14" s="648">
        <v>1.2293000000000001</v>
      </c>
      <c r="M14" s="203">
        <v>1.01</v>
      </c>
      <c r="N14" s="203">
        <v>1.302</v>
      </c>
      <c r="O14" s="203">
        <v>1.085</v>
      </c>
      <c r="P14" s="199">
        <v>12</v>
      </c>
      <c r="Q14" s="204">
        <f t="shared" si="5"/>
        <v>358478</v>
      </c>
      <c r="R14" s="205">
        <f t="shared" si="0"/>
        <v>1451</v>
      </c>
      <c r="S14" s="206">
        <f t="shared" si="1"/>
        <v>146464</v>
      </c>
      <c r="T14" s="207">
        <f t="shared" si="2"/>
        <v>17412.009999999998</v>
      </c>
    </row>
    <row r="15" spans="1:20" s="208" customFormat="1" ht="48" x14ac:dyDescent="0.25">
      <c r="A15" s="98" t="s">
        <v>422</v>
      </c>
      <c r="B15" s="199">
        <v>247</v>
      </c>
      <c r="C15" s="200">
        <v>10.88</v>
      </c>
      <c r="D15" s="199">
        <v>3</v>
      </c>
      <c r="E15" s="199">
        <v>6</v>
      </c>
      <c r="F15" s="201">
        <f t="shared" si="3"/>
        <v>149.30000000000001</v>
      </c>
      <c r="G15" s="647">
        <v>4856</v>
      </c>
      <c r="H15" s="646">
        <v>1.0609999999999999</v>
      </c>
      <c r="I15" s="646">
        <v>1.01</v>
      </c>
      <c r="J15" s="647">
        <v>16242</v>
      </c>
      <c r="K15" s="202">
        <f t="shared" si="4"/>
        <v>3.2730000000000001</v>
      </c>
      <c r="L15" s="648">
        <v>1.2293000000000001</v>
      </c>
      <c r="M15" s="203">
        <v>1.01</v>
      </c>
      <c r="N15" s="203">
        <v>1.302</v>
      </c>
      <c r="O15" s="203">
        <v>1.085</v>
      </c>
      <c r="P15" s="199">
        <v>12</v>
      </c>
      <c r="Q15" s="204">
        <f t="shared" si="5"/>
        <v>358478</v>
      </c>
      <c r="R15" s="205">
        <f t="shared" si="0"/>
        <v>1451</v>
      </c>
      <c r="S15" s="206">
        <f t="shared" si="1"/>
        <v>216634</v>
      </c>
      <c r="T15" s="207">
        <f t="shared" si="2"/>
        <v>17411.98</v>
      </c>
    </row>
    <row r="16" spans="1:20" s="208" customFormat="1" ht="48" x14ac:dyDescent="0.25">
      <c r="A16" s="98" t="s">
        <v>418</v>
      </c>
      <c r="B16" s="199">
        <v>247</v>
      </c>
      <c r="C16" s="200">
        <v>12.26</v>
      </c>
      <c r="D16" s="199">
        <v>3</v>
      </c>
      <c r="E16" s="199">
        <v>8</v>
      </c>
      <c r="F16" s="201">
        <f t="shared" si="3"/>
        <v>126.18</v>
      </c>
      <c r="G16" s="647">
        <v>4856</v>
      </c>
      <c r="H16" s="646">
        <v>1.0609999999999999</v>
      </c>
      <c r="I16" s="646">
        <v>1.01</v>
      </c>
      <c r="J16" s="647">
        <v>16242</v>
      </c>
      <c r="K16" s="202">
        <f t="shared" si="4"/>
        <v>3.2730000000000001</v>
      </c>
      <c r="L16" s="648">
        <v>1.2293000000000001</v>
      </c>
      <c r="M16" s="203">
        <v>1.01</v>
      </c>
      <c r="N16" s="203">
        <v>1.302</v>
      </c>
      <c r="O16" s="203">
        <v>1.085</v>
      </c>
      <c r="P16" s="199">
        <v>12</v>
      </c>
      <c r="Q16" s="204">
        <f t="shared" si="5"/>
        <v>358478</v>
      </c>
      <c r="R16" s="205">
        <f t="shared" si="0"/>
        <v>1451</v>
      </c>
      <c r="S16" s="206">
        <f t="shared" si="1"/>
        <v>183087</v>
      </c>
      <c r="T16" s="207">
        <f t="shared" si="2"/>
        <v>17411.98</v>
      </c>
    </row>
    <row r="17" spans="1:20" s="208" customFormat="1" x14ac:dyDescent="0.25">
      <c r="A17" s="92" t="s">
        <v>423</v>
      </c>
      <c r="B17" s="199">
        <v>247</v>
      </c>
      <c r="C17" s="200">
        <v>10.63</v>
      </c>
      <c r="D17" s="199">
        <v>3</v>
      </c>
      <c r="E17" s="199">
        <v>15</v>
      </c>
      <c r="F17" s="201">
        <f t="shared" si="3"/>
        <v>58.35</v>
      </c>
      <c r="G17" s="647">
        <v>4856</v>
      </c>
      <c r="H17" s="646">
        <v>1.0609999999999999</v>
      </c>
      <c r="I17" s="646">
        <v>1.01</v>
      </c>
      <c r="J17" s="647">
        <v>16242</v>
      </c>
      <c r="K17" s="202">
        <f t="shared" si="4"/>
        <v>3.2730000000000001</v>
      </c>
      <c r="L17" s="648">
        <v>1.2293000000000001</v>
      </c>
      <c r="M17" s="203">
        <v>1.01</v>
      </c>
      <c r="N17" s="203">
        <v>1.302</v>
      </c>
      <c r="O17" s="203">
        <v>1.085</v>
      </c>
      <c r="P17" s="199">
        <v>12</v>
      </c>
      <c r="Q17" s="204">
        <f t="shared" si="5"/>
        <v>358478</v>
      </c>
      <c r="R17" s="205">
        <f t="shared" si="0"/>
        <v>1451</v>
      </c>
      <c r="S17" s="206">
        <f t="shared" si="1"/>
        <v>84666</v>
      </c>
      <c r="T17" s="207">
        <f t="shared" si="2"/>
        <v>17412.03</v>
      </c>
    </row>
    <row r="18" spans="1:20" s="208" customFormat="1" x14ac:dyDescent="0.25">
      <c r="A18" s="174" t="s">
        <v>419</v>
      </c>
      <c r="B18" s="199">
        <v>247</v>
      </c>
      <c r="C18" s="200">
        <v>11.88</v>
      </c>
      <c r="D18" s="199">
        <v>3</v>
      </c>
      <c r="E18" s="199">
        <v>20</v>
      </c>
      <c r="F18" s="201">
        <f t="shared" si="3"/>
        <v>48.91</v>
      </c>
      <c r="G18" s="647">
        <v>4856</v>
      </c>
      <c r="H18" s="646">
        <v>1.0609999999999999</v>
      </c>
      <c r="I18" s="646">
        <v>1.01</v>
      </c>
      <c r="J18" s="647">
        <v>16242</v>
      </c>
      <c r="K18" s="202">
        <f t="shared" si="4"/>
        <v>3.2730000000000001</v>
      </c>
      <c r="L18" s="648">
        <v>1.2293000000000001</v>
      </c>
      <c r="M18" s="203">
        <v>1.01</v>
      </c>
      <c r="N18" s="203">
        <v>1.302</v>
      </c>
      <c r="O18" s="203">
        <v>1.085</v>
      </c>
      <c r="P18" s="199">
        <v>12</v>
      </c>
      <c r="Q18" s="204">
        <f t="shared" si="5"/>
        <v>358478</v>
      </c>
      <c r="R18" s="205">
        <f t="shared" si="0"/>
        <v>1451</v>
      </c>
      <c r="S18" s="206">
        <f t="shared" si="1"/>
        <v>70968</v>
      </c>
      <c r="T18" s="207">
        <f t="shared" si="2"/>
        <v>17411.900000000001</v>
      </c>
    </row>
    <row r="19" spans="1:20" s="208" customFormat="1" x14ac:dyDescent="0.25">
      <c r="A19" s="92" t="s">
        <v>424</v>
      </c>
      <c r="B19" s="199">
        <v>247</v>
      </c>
      <c r="C19" s="200">
        <v>10.88</v>
      </c>
      <c r="D19" s="199">
        <v>3</v>
      </c>
      <c r="E19" s="199">
        <v>10</v>
      </c>
      <c r="F19" s="201">
        <f t="shared" si="3"/>
        <v>89.58</v>
      </c>
      <c r="G19" s="647">
        <v>4856</v>
      </c>
      <c r="H19" s="646">
        <v>1.0609999999999999</v>
      </c>
      <c r="I19" s="646">
        <v>1.01</v>
      </c>
      <c r="J19" s="647">
        <v>16242</v>
      </c>
      <c r="K19" s="202">
        <f t="shared" si="4"/>
        <v>3.2730000000000001</v>
      </c>
      <c r="L19" s="648">
        <v>1.2293000000000001</v>
      </c>
      <c r="M19" s="203">
        <v>1.01</v>
      </c>
      <c r="N19" s="203">
        <v>1.302</v>
      </c>
      <c r="O19" s="203">
        <v>1.085</v>
      </c>
      <c r="P19" s="199">
        <v>12</v>
      </c>
      <c r="Q19" s="204">
        <f t="shared" si="5"/>
        <v>358478</v>
      </c>
      <c r="R19" s="205">
        <f t="shared" si="0"/>
        <v>1451</v>
      </c>
      <c r="S19" s="206">
        <f t="shared" si="1"/>
        <v>129981</v>
      </c>
      <c r="T19" s="207">
        <f t="shared" si="2"/>
        <v>17412.060000000001</v>
      </c>
    </row>
    <row r="20" spans="1:20" s="208" customFormat="1" x14ac:dyDescent="0.25">
      <c r="A20" s="174" t="s">
        <v>420</v>
      </c>
      <c r="B20" s="199">
        <v>247</v>
      </c>
      <c r="C20" s="200">
        <v>12.26</v>
      </c>
      <c r="D20" s="199">
        <v>3</v>
      </c>
      <c r="E20" s="199">
        <v>14</v>
      </c>
      <c r="F20" s="201">
        <f t="shared" si="3"/>
        <v>72.099999999999994</v>
      </c>
      <c r="G20" s="647">
        <v>4856</v>
      </c>
      <c r="H20" s="646">
        <v>1.0609999999999999</v>
      </c>
      <c r="I20" s="646">
        <v>1.01</v>
      </c>
      <c r="J20" s="647">
        <v>16242</v>
      </c>
      <c r="K20" s="202">
        <f t="shared" si="4"/>
        <v>3.2730000000000001</v>
      </c>
      <c r="L20" s="648">
        <v>1.2293000000000001</v>
      </c>
      <c r="M20" s="203">
        <v>1.01</v>
      </c>
      <c r="N20" s="203">
        <v>1.302</v>
      </c>
      <c r="O20" s="203">
        <v>1.085</v>
      </c>
      <c r="P20" s="199">
        <v>12</v>
      </c>
      <c r="Q20" s="204">
        <f t="shared" si="5"/>
        <v>358478</v>
      </c>
      <c r="R20" s="205">
        <f t="shared" si="0"/>
        <v>1451</v>
      </c>
      <c r="S20" s="206">
        <f t="shared" si="1"/>
        <v>104617</v>
      </c>
      <c r="T20" s="207">
        <f t="shared" si="2"/>
        <v>17411.98</v>
      </c>
    </row>
    <row r="22" spans="1:20" x14ac:dyDescent="0.25">
      <c r="A22" s="1" t="s">
        <v>892</v>
      </c>
      <c r="N22" s="1" t="s">
        <v>259</v>
      </c>
    </row>
  </sheetData>
  <mergeCells count="22">
    <mergeCell ref="T5:T6"/>
    <mergeCell ref="J5:J6"/>
    <mergeCell ref="K5:K6"/>
    <mergeCell ref="L5:L6"/>
    <mergeCell ref="N5:N6"/>
    <mergeCell ref="O5:O6"/>
    <mergeCell ref="P5:P6"/>
    <mergeCell ref="M5:M6"/>
    <mergeCell ref="A2:S2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Q5:Q6"/>
    <mergeCell ref="R5:R6"/>
    <mergeCell ref="S5:S6"/>
    <mergeCell ref="I5:I6"/>
  </mergeCells>
  <pageMargins left="0" right="0" top="0" bottom="0" header="0.31496062992125984" footer="0.31496062992125984"/>
  <pageSetup paperSize="9" scale="50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9">
    <tabColor rgb="FF92D050"/>
  </sheetPr>
  <dimension ref="A1:U22"/>
  <sheetViews>
    <sheetView view="pageBreakPreview" zoomScale="75" zoomScaleNormal="75" zoomScaleSheetLayoutView="75" workbookViewId="0">
      <pane xSplit="1" ySplit="2" topLeftCell="B3" activePane="bottomRight" state="frozen"/>
      <selection activeCell="DE17" sqref="DE17:DF17"/>
      <selection pane="topRight" activeCell="DE17" sqref="DE17:DF17"/>
      <selection pane="bottomLeft" activeCell="DE17" sqref="DE17:DF17"/>
      <selection pane="bottomRight" activeCell="C7" sqref="C7"/>
    </sheetView>
  </sheetViews>
  <sheetFormatPr defaultColWidth="9.140625" defaultRowHeight="15.75" x14ac:dyDescent="0.25"/>
  <cols>
    <col min="1" max="1" width="73" style="72" customWidth="1"/>
    <col min="2" max="2" width="10.42578125" style="72" customWidth="1"/>
    <col min="3" max="3" width="10.85546875" style="72" customWidth="1"/>
    <col min="4" max="4" width="9.85546875" style="72" customWidth="1"/>
    <col min="5" max="5" width="9.42578125" style="72" customWidth="1"/>
    <col min="6" max="6" width="11.140625" style="72" customWidth="1"/>
    <col min="7" max="7" width="10.85546875" style="72" customWidth="1"/>
    <col min="8" max="9" width="12.7109375" style="72" customWidth="1"/>
    <col min="10" max="11" width="12" style="72" customWidth="1"/>
    <col min="12" max="12" width="12.7109375" style="72" customWidth="1"/>
    <col min="13" max="13" width="13.5703125" style="72" customWidth="1"/>
    <col min="14" max="15" width="10.7109375" style="72" customWidth="1"/>
    <col min="16" max="16" width="12.7109375" style="72" customWidth="1"/>
    <col min="17" max="17" width="11.5703125" style="72" customWidth="1"/>
    <col min="18" max="19" width="12.7109375" style="72" customWidth="1"/>
    <col min="20" max="20" width="12.140625" style="72" customWidth="1"/>
    <col min="21" max="21" width="12.42578125" style="72" hidden="1" customWidth="1"/>
    <col min="22" max="16384" width="9.140625" style="72"/>
  </cols>
  <sheetData>
    <row r="1" spans="1:21" x14ac:dyDescent="0.25">
      <c r="Q1" s="1" t="s">
        <v>868</v>
      </c>
    </row>
    <row r="2" spans="1:21" ht="30" customHeight="1" x14ac:dyDescent="0.25">
      <c r="A2" s="1373" t="s">
        <v>360</v>
      </c>
      <c r="B2" s="1373"/>
      <c r="C2" s="1373"/>
      <c r="D2" s="1373"/>
      <c r="E2" s="1373"/>
      <c r="F2" s="1373"/>
      <c r="G2" s="1373"/>
      <c r="H2" s="1373"/>
      <c r="I2" s="1373"/>
      <c r="J2" s="1373"/>
      <c r="K2" s="1373"/>
      <c r="L2" s="1373"/>
      <c r="M2" s="1373"/>
      <c r="N2" s="1373"/>
      <c r="O2" s="1373"/>
      <c r="P2" s="1373"/>
      <c r="Q2" s="1373"/>
      <c r="R2" s="1373"/>
      <c r="S2" s="1373"/>
      <c r="T2" s="1373"/>
    </row>
    <row r="4" spans="1:21" ht="22.5" customHeight="1" x14ac:dyDescent="0.25">
      <c r="A4" s="1366" t="s">
        <v>270</v>
      </c>
      <c r="B4" s="1375" t="s">
        <v>1421</v>
      </c>
      <c r="C4" s="1376"/>
      <c r="D4" s="1376"/>
      <c r="E4" s="1376"/>
      <c r="F4" s="1376"/>
      <c r="G4" s="1376"/>
      <c r="H4" s="1376"/>
      <c r="I4" s="1376"/>
      <c r="J4" s="1376"/>
      <c r="K4" s="1376"/>
      <c r="L4" s="1376"/>
      <c r="M4" s="1376"/>
      <c r="N4" s="1376"/>
      <c r="O4" s="1376"/>
      <c r="P4" s="1376"/>
      <c r="Q4" s="1376"/>
      <c r="R4" s="1376"/>
      <c r="S4" s="1376"/>
      <c r="T4" s="1382"/>
      <c r="U4" s="10"/>
    </row>
    <row r="5" spans="1:21" ht="15.75" customHeight="1" x14ac:dyDescent="0.25">
      <c r="A5" s="1380"/>
      <c r="B5" s="1371" t="s">
        <v>272</v>
      </c>
      <c r="C5" s="1377" t="s">
        <v>2227</v>
      </c>
      <c r="D5" s="1377" t="s">
        <v>763</v>
      </c>
      <c r="E5" s="1371" t="s">
        <v>764</v>
      </c>
      <c r="F5" s="1360" t="s">
        <v>282</v>
      </c>
      <c r="G5" s="1351" t="s">
        <v>1417</v>
      </c>
      <c r="H5" s="1381" t="s">
        <v>1418</v>
      </c>
      <c r="I5" s="1381" t="s">
        <v>1419</v>
      </c>
      <c r="J5" s="1381" t="s">
        <v>1420</v>
      </c>
      <c r="K5" s="1368" t="s">
        <v>1416</v>
      </c>
      <c r="L5" s="1369" t="s">
        <v>273</v>
      </c>
      <c r="M5" s="1370" t="s">
        <v>1414</v>
      </c>
      <c r="N5" s="1370" t="s">
        <v>888</v>
      </c>
      <c r="O5" s="1369" t="s">
        <v>274</v>
      </c>
      <c r="P5" s="1371" t="s">
        <v>275</v>
      </c>
      <c r="Q5" s="1369" t="s">
        <v>271</v>
      </c>
      <c r="R5" s="1369" t="s">
        <v>276</v>
      </c>
      <c r="S5" s="1378" t="s">
        <v>277</v>
      </c>
      <c r="T5" s="1379" t="s">
        <v>283</v>
      </c>
      <c r="U5" s="1366" t="s">
        <v>284</v>
      </c>
    </row>
    <row r="6" spans="1:21" ht="142.5" customHeight="1" x14ac:dyDescent="0.25">
      <c r="A6" s="1367"/>
      <c r="B6" s="1372"/>
      <c r="C6" s="1352"/>
      <c r="D6" s="1352"/>
      <c r="E6" s="1372"/>
      <c r="F6" s="1361"/>
      <c r="G6" s="1352"/>
      <c r="H6" s="1381"/>
      <c r="I6" s="1381"/>
      <c r="J6" s="1381"/>
      <c r="K6" s="1368"/>
      <c r="L6" s="1369"/>
      <c r="M6" s="1370"/>
      <c r="N6" s="1370"/>
      <c r="O6" s="1369"/>
      <c r="P6" s="1372"/>
      <c r="Q6" s="1369"/>
      <c r="R6" s="1369"/>
      <c r="S6" s="1378"/>
      <c r="T6" s="1379"/>
      <c r="U6" s="1367"/>
    </row>
    <row r="7" spans="1:21" ht="34.5" customHeight="1" x14ac:dyDescent="0.25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278</v>
      </c>
      <c r="G7" s="78">
        <v>7</v>
      </c>
      <c r="H7" s="78" t="s">
        <v>254</v>
      </c>
      <c r="I7" s="78" t="s">
        <v>925</v>
      </c>
      <c r="J7" s="78" t="s">
        <v>926</v>
      </c>
      <c r="K7" s="421">
        <v>9</v>
      </c>
      <c r="L7" s="78" t="s">
        <v>927</v>
      </c>
      <c r="M7" s="78" t="s">
        <v>889</v>
      </c>
      <c r="N7" s="78" t="s">
        <v>890</v>
      </c>
      <c r="O7" s="78">
        <v>12</v>
      </c>
      <c r="P7" s="78">
        <v>13</v>
      </c>
      <c r="Q7" s="78">
        <v>14</v>
      </c>
      <c r="R7" s="78" t="s">
        <v>928</v>
      </c>
      <c r="S7" s="78" t="s">
        <v>280</v>
      </c>
      <c r="T7" s="79" t="s">
        <v>281</v>
      </c>
      <c r="U7" s="10"/>
    </row>
    <row r="8" spans="1:21" s="208" customFormat="1" ht="24" x14ac:dyDescent="0.25">
      <c r="A8" s="174" t="s">
        <v>421</v>
      </c>
      <c r="B8" s="199">
        <v>247</v>
      </c>
      <c r="C8" s="200">
        <v>10.63</v>
      </c>
      <c r="D8" s="199">
        <v>3</v>
      </c>
      <c r="E8" s="199">
        <v>15</v>
      </c>
      <c r="F8" s="201">
        <f>B8*C8/D8/E8</f>
        <v>58.35</v>
      </c>
      <c r="G8" s="647">
        <v>4856</v>
      </c>
      <c r="H8" s="646">
        <v>1.0609999999999999</v>
      </c>
      <c r="I8" s="646">
        <v>1.04</v>
      </c>
      <c r="J8" s="646">
        <v>1.01</v>
      </c>
      <c r="K8" s="647">
        <v>16242</v>
      </c>
      <c r="L8" s="202">
        <f>(K8-G8*H8*I8*J8)/G8+1</f>
        <v>3.23</v>
      </c>
      <c r="M8" s="648">
        <v>1.2293000000000001</v>
      </c>
      <c r="N8" s="203">
        <v>1.01</v>
      </c>
      <c r="O8" s="203">
        <v>1.302</v>
      </c>
      <c r="P8" s="203">
        <v>1.085</v>
      </c>
      <c r="Q8" s="199">
        <v>12</v>
      </c>
      <c r="R8" s="204">
        <f>G8*H8*I8*J8*L8*M8*N8*O8*P8*Q8</f>
        <v>367919</v>
      </c>
      <c r="S8" s="205">
        <f t="shared" ref="S8:S20" si="0">R8/B8</f>
        <v>1490</v>
      </c>
      <c r="T8" s="206">
        <f>F8*S8</f>
        <v>86942</v>
      </c>
      <c r="U8" s="207">
        <f t="shared" ref="U8:U20" si="1">T8*Q8/F8</f>
        <v>17880.099999999999</v>
      </c>
    </row>
    <row r="9" spans="1:21" s="208" customFormat="1" ht="24" x14ac:dyDescent="0.25">
      <c r="A9" s="174" t="s">
        <v>413</v>
      </c>
      <c r="B9" s="199">
        <v>247</v>
      </c>
      <c r="C9" s="200">
        <v>11.88</v>
      </c>
      <c r="D9" s="199">
        <v>3</v>
      </c>
      <c r="E9" s="199">
        <v>20</v>
      </c>
      <c r="F9" s="201">
        <f t="shared" ref="F9:F20" si="2">B9*C9/D9/E9</f>
        <v>48.91</v>
      </c>
      <c r="G9" s="647">
        <v>4856</v>
      </c>
      <c r="H9" s="646">
        <v>1.0609999999999999</v>
      </c>
      <c r="I9" s="646">
        <v>1.04</v>
      </c>
      <c r="J9" s="646">
        <v>1.01</v>
      </c>
      <c r="K9" s="647">
        <v>16242</v>
      </c>
      <c r="L9" s="202">
        <f t="shared" ref="L9:L20" si="3">(K9-G9*H9*I9*J9)/G9+1</f>
        <v>3.23</v>
      </c>
      <c r="M9" s="648">
        <v>1.2293000000000001</v>
      </c>
      <c r="N9" s="203">
        <v>1.01</v>
      </c>
      <c r="O9" s="203">
        <v>1.302</v>
      </c>
      <c r="P9" s="203">
        <v>1.085</v>
      </c>
      <c r="Q9" s="199">
        <v>12</v>
      </c>
      <c r="R9" s="204">
        <f t="shared" ref="R9:R20" si="4">G9*H9*I9*J9*L9*M9*N9*O9*P9*Q9</f>
        <v>367919</v>
      </c>
      <c r="S9" s="205">
        <f t="shared" si="0"/>
        <v>1490</v>
      </c>
      <c r="T9" s="206">
        <f t="shared" ref="T9:T20" si="5">F9*S9</f>
        <v>72876</v>
      </c>
      <c r="U9" s="207">
        <f t="shared" si="1"/>
        <v>17880.02</v>
      </c>
    </row>
    <row r="10" spans="1:21" s="208" customFormat="1" ht="24" x14ac:dyDescent="0.25">
      <c r="A10" s="174" t="s">
        <v>700</v>
      </c>
      <c r="B10" s="199">
        <v>247</v>
      </c>
      <c r="C10" s="200">
        <v>11.88</v>
      </c>
      <c r="D10" s="199">
        <v>3</v>
      </c>
      <c r="E10" s="199">
        <v>20</v>
      </c>
      <c r="F10" s="201">
        <f t="shared" si="2"/>
        <v>48.91</v>
      </c>
      <c r="G10" s="647">
        <v>4856</v>
      </c>
      <c r="H10" s="646">
        <v>1.0609999999999999</v>
      </c>
      <c r="I10" s="646">
        <v>1.04</v>
      </c>
      <c r="J10" s="646">
        <v>1.01</v>
      </c>
      <c r="K10" s="647">
        <v>16242</v>
      </c>
      <c r="L10" s="202">
        <f t="shared" si="3"/>
        <v>3.23</v>
      </c>
      <c r="M10" s="648">
        <v>1.2293000000000001</v>
      </c>
      <c r="N10" s="203">
        <v>1.01</v>
      </c>
      <c r="O10" s="203">
        <v>1.302</v>
      </c>
      <c r="P10" s="203">
        <v>1.085</v>
      </c>
      <c r="Q10" s="199">
        <v>12</v>
      </c>
      <c r="R10" s="204">
        <f t="shared" si="4"/>
        <v>367919</v>
      </c>
      <c r="S10" s="205">
        <f t="shared" si="0"/>
        <v>1490</v>
      </c>
      <c r="T10" s="206">
        <f t="shared" si="5"/>
        <v>72876</v>
      </c>
      <c r="U10" s="207">
        <f t="shared" si="1"/>
        <v>17880.02</v>
      </c>
    </row>
    <row r="11" spans="1:21" s="208" customFormat="1" ht="24" x14ac:dyDescent="0.25">
      <c r="A11" s="174" t="s">
        <v>414</v>
      </c>
      <c r="B11" s="199">
        <v>247</v>
      </c>
      <c r="C11" s="200">
        <v>11.88</v>
      </c>
      <c r="D11" s="199">
        <v>3</v>
      </c>
      <c r="E11" s="199">
        <v>20</v>
      </c>
      <c r="F11" s="201">
        <f>B11*C11/D11/E11</f>
        <v>48.91</v>
      </c>
      <c r="G11" s="647">
        <v>4856</v>
      </c>
      <c r="H11" s="646">
        <v>1.0609999999999999</v>
      </c>
      <c r="I11" s="646">
        <v>1.04</v>
      </c>
      <c r="J11" s="646">
        <v>1.01</v>
      </c>
      <c r="K11" s="647">
        <v>16242</v>
      </c>
      <c r="L11" s="202">
        <f t="shared" si="3"/>
        <v>3.23</v>
      </c>
      <c r="M11" s="648">
        <v>1.2293000000000001</v>
      </c>
      <c r="N11" s="203">
        <v>1.01</v>
      </c>
      <c r="O11" s="203">
        <v>1.302</v>
      </c>
      <c r="P11" s="203">
        <v>1.085</v>
      </c>
      <c r="Q11" s="199">
        <v>12</v>
      </c>
      <c r="R11" s="204">
        <f t="shared" si="4"/>
        <v>367919</v>
      </c>
      <c r="S11" s="205">
        <f t="shared" si="0"/>
        <v>1490</v>
      </c>
      <c r="T11" s="206">
        <f t="shared" si="5"/>
        <v>72876</v>
      </c>
      <c r="U11" s="207">
        <f t="shared" si="1"/>
        <v>17880.02</v>
      </c>
    </row>
    <row r="12" spans="1:21" s="208" customFormat="1" ht="24" x14ac:dyDescent="0.25">
      <c r="A12" s="174" t="s">
        <v>415</v>
      </c>
      <c r="B12" s="199">
        <v>247</v>
      </c>
      <c r="C12" s="200">
        <v>11.88</v>
      </c>
      <c r="D12" s="199">
        <v>3</v>
      </c>
      <c r="E12" s="199">
        <v>20</v>
      </c>
      <c r="F12" s="201">
        <f t="shared" si="2"/>
        <v>48.91</v>
      </c>
      <c r="G12" s="647">
        <v>4856</v>
      </c>
      <c r="H12" s="646">
        <v>1.0609999999999999</v>
      </c>
      <c r="I12" s="646">
        <v>1.04</v>
      </c>
      <c r="J12" s="646">
        <v>1.01</v>
      </c>
      <c r="K12" s="647">
        <v>16242</v>
      </c>
      <c r="L12" s="202">
        <f t="shared" si="3"/>
        <v>3.23</v>
      </c>
      <c r="M12" s="648">
        <v>1.2293000000000001</v>
      </c>
      <c r="N12" s="203">
        <v>1.01</v>
      </c>
      <c r="O12" s="203">
        <v>1.302</v>
      </c>
      <c r="P12" s="203">
        <v>1.085</v>
      </c>
      <c r="Q12" s="199">
        <v>12</v>
      </c>
      <c r="R12" s="204">
        <f t="shared" si="4"/>
        <v>367919</v>
      </c>
      <c r="S12" s="205">
        <f t="shared" si="0"/>
        <v>1490</v>
      </c>
      <c r="T12" s="206">
        <f t="shared" si="5"/>
        <v>72876</v>
      </c>
      <c r="U12" s="207">
        <f t="shared" si="1"/>
        <v>17880.02</v>
      </c>
    </row>
    <row r="13" spans="1:21" s="208" customFormat="1" ht="24" x14ac:dyDescent="0.25">
      <c r="A13" s="92" t="s">
        <v>416</v>
      </c>
      <c r="B13" s="199">
        <v>247</v>
      </c>
      <c r="C13" s="200">
        <v>12.26</v>
      </c>
      <c r="D13" s="199">
        <v>3</v>
      </c>
      <c r="E13" s="199">
        <v>12</v>
      </c>
      <c r="F13" s="201">
        <f t="shared" si="2"/>
        <v>84.12</v>
      </c>
      <c r="G13" s="647">
        <v>4856</v>
      </c>
      <c r="H13" s="646">
        <v>1.0609999999999999</v>
      </c>
      <c r="I13" s="646">
        <v>1.04</v>
      </c>
      <c r="J13" s="646">
        <v>1.01</v>
      </c>
      <c r="K13" s="647">
        <v>16242</v>
      </c>
      <c r="L13" s="202">
        <f t="shared" si="3"/>
        <v>3.23</v>
      </c>
      <c r="M13" s="648">
        <v>1.2293000000000001</v>
      </c>
      <c r="N13" s="203">
        <v>1.01</v>
      </c>
      <c r="O13" s="203">
        <v>1.302</v>
      </c>
      <c r="P13" s="203">
        <v>1.085</v>
      </c>
      <c r="Q13" s="199">
        <v>12</v>
      </c>
      <c r="R13" s="204">
        <f t="shared" si="4"/>
        <v>367919</v>
      </c>
      <c r="S13" s="205">
        <f t="shared" si="0"/>
        <v>1490</v>
      </c>
      <c r="T13" s="206">
        <f t="shared" si="5"/>
        <v>125339</v>
      </c>
      <c r="U13" s="207">
        <f t="shared" si="1"/>
        <v>17880.03</v>
      </c>
    </row>
    <row r="14" spans="1:21" s="208" customFormat="1" ht="48" x14ac:dyDescent="0.25">
      <c r="A14" s="98" t="s">
        <v>417</v>
      </c>
      <c r="B14" s="199">
        <v>247</v>
      </c>
      <c r="C14" s="200">
        <v>12.26</v>
      </c>
      <c r="D14" s="199">
        <v>3</v>
      </c>
      <c r="E14" s="199">
        <v>10</v>
      </c>
      <c r="F14" s="201">
        <f t="shared" si="2"/>
        <v>100.94</v>
      </c>
      <c r="G14" s="647">
        <v>4856</v>
      </c>
      <c r="H14" s="646">
        <v>1.0609999999999999</v>
      </c>
      <c r="I14" s="646">
        <v>1.04</v>
      </c>
      <c r="J14" s="646">
        <v>1.01</v>
      </c>
      <c r="K14" s="647">
        <v>16242</v>
      </c>
      <c r="L14" s="202">
        <f t="shared" si="3"/>
        <v>3.23</v>
      </c>
      <c r="M14" s="648">
        <v>1.2293000000000001</v>
      </c>
      <c r="N14" s="203">
        <v>1.01</v>
      </c>
      <c r="O14" s="203">
        <v>1.302</v>
      </c>
      <c r="P14" s="203">
        <v>1.085</v>
      </c>
      <c r="Q14" s="199">
        <v>12</v>
      </c>
      <c r="R14" s="204">
        <f t="shared" si="4"/>
        <v>367919</v>
      </c>
      <c r="S14" s="205">
        <f t="shared" si="0"/>
        <v>1490</v>
      </c>
      <c r="T14" s="206">
        <f t="shared" si="5"/>
        <v>150401</v>
      </c>
      <c r="U14" s="207">
        <f t="shared" si="1"/>
        <v>17880.05</v>
      </c>
    </row>
    <row r="15" spans="1:21" s="208" customFormat="1" ht="48" x14ac:dyDescent="0.25">
      <c r="A15" s="98" t="s">
        <v>422</v>
      </c>
      <c r="B15" s="199">
        <v>247</v>
      </c>
      <c r="C15" s="200">
        <v>10.88</v>
      </c>
      <c r="D15" s="199">
        <v>3</v>
      </c>
      <c r="E15" s="199">
        <v>6</v>
      </c>
      <c r="F15" s="201">
        <f t="shared" si="2"/>
        <v>149.30000000000001</v>
      </c>
      <c r="G15" s="647">
        <v>4856</v>
      </c>
      <c r="H15" s="646">
        <v>1.0609999999999999</v>
      </c>
      <c r="I15" s="646">
        <v>1.04</v>
      </c>
      <c r="J15" s="646">
        <v>1.01</v>
      </c>
      <c r="K15" s="647">
        <v>16242</v>
      </c>
      <c r="L15" s="202">
        <f t="shared" si="3"/>
        <v>3.23</v>
      </c>
      <c r="M15" s="648">
        <v>1.2293000000000001</v>
      </c>
      <c r="N15" s="203">
        <v>1.01</v>
      </c>
      <c r="O15" s="203">
        <v>1.302</v>
      </c>
      <c r="P15" s="203">
        <v>1.085</v>
      </c>
      <c r="Q15" s="199">
        <v>12</v>
      </c>
      <c r="R15" s="204">
        <f t="shared" si="4"/>
        <v>367919</v>
      </c>
      <c r="S15" s="205">
        <f t="shared" si="0"/>
        <v>1490</v>
      </c>
      <c r="T15" s="206">
        <f t="shared" si="5"/>
        <v>222457</v>
      </c>
      <c r="U15" s="207">
        <f t="shared" si="1"/>
        <v>17880</v>
      </c>
    </row>
    <row r="16" spans="1:21" s="208" customFormat="1" ht="48" x14ac:dyDescent="0.25">
      <c r="A16" s="98" t="s">
        <v>418</v>
      </c>
      <c r="B16" s="199">
        <v>247</v>
      </c>
      <c r="C16" s="200">
        <v>12.26</v>
      </c>
      <c r="D16" s="199">
        <v>3</v>
      </c>
      <c r="E16" s="199">
        <v>8</v>
      </c>
      <c r="F16" s="201">
        <f t="shared" si="2"/>
        <v>126.18</v>
      </c>
      <c r="G16" s="647">
        <v>4856</v>
      </c>
      <c r="H16" s="646">
        <v>1.0609999999999999</v>
      </c>
      <c r="I16" s="646">
        <v>1.04</v>
      </c>
      <c r="J16" s="646">
        <v>1.01</v>
      </c>
      <c r="K16" s="647">
        <v>16242</v>
      </c>
      <c r="L16" s="202">
        <f t="shared" si="3"/>
        <v>3.23</v>
      </c>
      <c r="M16" s="648">
        <v>1.2293000000000001</v>
      </c>
      <c r="N16" s="203">
        <v>1.01</v>
      </c>
      <c r="O16" s="203">
        <v>1.302</v>
      </c>
      <c r="P16" s="203">
        <v>1.085</v>
      </c>
      <c r="Q16" s="199">
        <v>12</v>
      </c>
      <c r="R16" s="204">
        <f t="shared" si="4"/>
        <v>367919</v>
      </c>
      <c r="S16" s="205">
        <f t="shared" si="0"/>
        <v>1490</v>
      </c>
      <c r="T16" s="206">
        <f t="shared" si="5"/>
        <v>188008</v>
      </c>
      <c r="U16" s="207">
        <f t="shared" si="1"/>
        <v>17879.98</v>
      </c>
    </row>
    <row r="17" spans="1:21" s="208" customFormat="1" x14ac:dyDescent="0.25">
      <c r="A17" s="92" t="s">
        <v>423</v>
      </c>
      <c r="B17" s="199">
        <v>247</v>
      </c>
      <c r="C17" s="200">
        <v>10.63</v>
      </c>
      <c r="D17" s="199">
        <v>3</v>
      </c>
      <c r="E17" s="199">
        <v>15</v>
      </c>
      <c r="F17" s="201">
        <f t="shared" si="2"/>
        <v>58.35</v>
      </c>
      <c r="G17" s="647">
        <v>4856</v>
      </c>
      <c r="H17" s="646">
        <v>1.0609999999999999</v>
      </c>
      <c r="I17" s="646">
        <v>1.04</v>
      </c>
      <c r="J17" s="646">
        <v>1.01</v>
      </c>
      <c r="K17" s="647">
        <v>16242</v>
      </c>
      <c r="L17" s="202">
        <f t="shared" si="3"/>
        <v>3.23</v>
      </c>
      <c r="M17" s="648">
        <v>1.2293000000000001</v>
      </c>
      <c r="N17" s="203">
        <v>1.01</v>
      </c>
      <c r="O17" s="203">
        <v>1.302</v>
      </c>
      <c r="P17" s="203">
        <v>1.085</v>
      </c>
      <c r="Q17" s="199">
        <v>12</v>
      </c>
      <c r="R17" s="204">
        <f t="shared" si="4"/>
        <v>367919</v>
      </c>
      <c r="S17" s="205">
        <f t="shared" si="0"/>
        <v>1490</v>
      </c>
      <c r="T17" s="206">
        <f t="shared" si="5"/>
        <v>86942</v>
      </c>
      <c r="U17" s="207">
        <f t="shared" si="1"/>
        <v>17880.099999999999</v>
      </c>
    </row>
    <row r="18" spans="1:21" s="208" customFormat="1" x14ac:dyDescent="0.25">
      <c r="A18" s="174" t="s">
        <v>419</v>
      </c>
      <c r="B18" s="199">
        <v>247</v>
      </c>
      <c r="C18" s="200">
        <v>11.88</v>
      </c>
      <c r="D18" s="199">
        <v>3</v>
      </c>
      <c r="E18" s="199">
        <v>20</v>
      </c>
      <c r="F18" s="201">
        <f t="shared" si="2"/>
        <v>48.91</v>
      </c>
      <c r="G18" s="647">
        <v>4856</v>
      </c>
      <c r="H18" s="646">
        <v>1.0609999999999999</v>
      </c>
      <c r="I18" s="646">
        <v>1.04</v>
      </c>
      <c r="J18" s="646">
        <v>1.01</v>
      </c>
      <c r="K18" s="647">
        <v>16242</v>
      </c>
      <c r="L18" s="202">
        <f t="shared" si="3"/>
        <v>3.23</v>
      </c>
      <c r="M18" s="648">
        <v>1.2293000000000001</v>
      </c>
      <c r="N18" s="203">
        <v>1.01</v>
      </c>
      <c r="O18" s="203">
        <v>1.302</v>
      </c>
      <c r="P18" s="203">
        <v>1.085</v>
      </c>
      <c r="Q18" s="199">
        <v>12</v>
      </c>
      <c r="R18" s="204">
        <f t="shared" si="4"/>
        <v>367919</v>
      </c>
      <c r="S18" s="205">
        <f t="shared" si="0"/>
        <v>1490</v>
      </c>
      <c r="T18" s="206">
        <f t="shared" si="5"/>
        <v>72876</v>
      </c>
      <c r="U18" s="207">
        <f t="shared" si="1"/>
        <v>17880.02</v>
      </c>
    </row>
    <row r="19" spans="1:21" s="208" customFormat="1" x14ac:dyDescent="0.25">
      <c r="A19" s="92" t="s">
        <v>424</v>
      </c>
      <c r="B19" s="199">
        <v>247</v>
      </c>
      <c r="C19" s="200">
        <v>10.88</v>
      </c>
      <c r="D19" s="199">
        <v>3</v>
      </c>
      <c r="E19" s="199">
        <v>10</v>
      </c>
      <c r="F19" s="201">
        <f t="shared" si="2"/>
        <v>89.58</v>
      </c>
      <c r="G19" s="647">
        <v>4856</v>
      </c>
      <c r="H19" s="646">
        <v>1.0609999999999999</v>
      </c>
      <c r="I19" s="646">
        <v>1.04</v>
      </c>
      <c r="J19" s="646">
        <v>1.01</v>
      </c>
      <c r="K19" s="647">
        <v>16242</v>
      </c>
      <c r="L19" s="202">
        <f t="shared" si="3"/>
        <v>3.23</v>
      </c>
      <c r="M19" s="648">
        <v>1.2293000000000001</v>
      </c>
      <c r="N19" s="203">
        <v>1.01</v>
      </c>
      <c r="O19" s="203">
        <v>1.302</v>
      </c>
      <c r="P19" s="203">
        <v>1.085</v>
      </c>
      <c r="Q19" s="199">
        <v>12</v>
      </c>
      <c r="R19" s="204">
        <f t="shared" si="4"/>
        <v>367919</v>
      </c>
      <c r="S19" s="205">
        <f t="shared" si="0"/>
        <v>1490</v>
      </c>
      <c r="T19" s="206">
        <f t="shared" si="5"/>
        <v>133474</v>
      </c>
      <c r="U19" s="207">
        <f t="shared" si="1"/>
        <v>17879.97</v>
      </c>
    </row>
    <row r="20" spans="1:21" s="208" customFormat="1" x14ac:dyDescent="0.25">
      <c r="A20" s="174" t="s">
        <v>420</v>
      </c>
      <c r="B20" s="199">
        <v>247</v>
      </c>
      <c r="C20" s="200">
        <v>12.26</v>
      </c>
      <c r="D20" s="199">
        <v>3</v>
      </c>
      <c r="E20" s="199">
        <v>14</v>
      </c>
      <c r="F20" s="201">
        <f t="shared" si="2"/>
        <v>72.099999999999994</v>
      </c>
      <c r="G20" s="647">
        <v>4856</v>
      </c>
      <c r="H20" s="646">
        <v>1.0609999999999999</v>
      </c>
      <c r="I20" s="646">
        <v>1.04</v>
      </c>
      <c r="J20" s="646">
        <v>1.01</v>
      </c>
      <c r="K20" s="647">
        <v>16242</v>
      </c>
      <c r="L20" s="202">
        <f t="shared" si="3"/>
        <v>3.23</v>
      </c>
      <c r="M20" s="648">
        <v>1.2293000000000001</v>
      </c>
      <c r="N20" s="203">
        <v>1.01</v>
      </c>
      <c r="O20" s="203">
        <v>1.302</v>
      </c>
      <c r="P20" s="203">
        <v>1.085</v>
      </c>
      <c r="Q20" s="199">
        <v>12</v>
      </c>
      <c r="R20" s="204">
        <f t="shared" si="4"/>
        <v>367919</v>
      </c>
      <c r="S20" s="205">
        <f t="shared" si="0"/>
        <v>1490</v>
      </c>
      <c r="T20" s="206">
        <f t="shared" si="5"/>
        <v>107429</v>
      </c>
      <c r="U20" s="207">
        <f t="shared" si="1"/>
        <v>17880</v>
      </c>
    </row>
    <row r="22" spans="1:21" x14ac:dyDescent="0.25">
      <c r="A22" s="1" t="s">
        <v>892</v>
      </c>
      <c r="O22" s="1" t="s">
        <v>259</v>
      </c>
    </row>
  </sheetData>
  <mergeCells count="23">
    <mergeCell ref="U5:U6"/>
    <mergeCell ref="I5:I6"/>
    <mergeCell ref="N5:N6"/>
    <mergeCell ref="K5:K6"/>
    <mergeCell ref="J5:J6"/>
    <mergeCell ref="L5:L6"/>
    <mergeCell ref="M5:M6"/>
    <mergeCell ref="O5:O6"/>
    <mergeCell ref="P5:P6"/>
    <mergeCell ref="Q5:Q6"/>
    <mergeCell ref="A2:T2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R5:R6"/>
    <mergeCell ref="S5:S6"/>
    <mergeCell ref="T5:T6"/>
  </mergeCells>
  <pageMargins left="0" right="0" top="0" bottom="0" header="0.31496062992125984" footer="0.31496062992125984"/>
  <pageSetup paperSize="9" scale="50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S35"/>
  <sheetViews>
    <sheetView view="pageBreakPreview" zoomScale="60" zoomScaleNormal="100" workbookViewId="0">
      <selection activeCell="N35" sqref="N35:N36"/>
    </sheetView>
  </sheetViews>
  <sheetFormatPr defaultRowHeight="15" x14ac:dyDescent="0.25"/>
  <cols>
    <col min="1" max="1" width="67.7109375" style="300" customWidth="1"/>
    <col min="2" max="2" width="11.7109375" style="300" hidden="1" customWidth="1"/>
    <col min="3" max="3" width="9.140625" style="300" hidden="1" customWidth="1"/>
    <col min="4" max="4" width="16.28515625" style="300" hidden="1" customWidth="1"/>
    <col min="5" max="5" width="10.140625" style="300" hidden="1" customWidth="1"/>
    <col min="6" max="6" width="27" style="300" hidden="1" customWidth="1"/>
    <col min="7" max="7" width="10.140625" style="300" hidden="1" customWidth="1"/>
    <col min="8" max="8" width="17.5703125" style="300" hidden="1" customWidth="1"/>
    <col min="9" max="9" width="9.7109375" style="300" hidden="1" customWidth="1"/>
    <col min="10" max="10" width="11.7109375" style="300" customWidth="1"/>
    <col min="11" max="11" width="7.28515625" style="300" customWidth="1"/>
    <col min="12" max="13" width="9.140625" style="300" hidden="1" customWidth="1"/>
    <col min="14" max="14" width="26.140625" style="300" customWidth="1"/>
    <col min="15" max="15" width="9.85546875" style="300" customWidth="1"/>
    <col min="16" max="16" width="9.140625" style="300" customWidth="1"/>
    <col min="17" max="17" width="10.85546875" style="300" customWidth="1"/>
    <col min="18" max="18" width="9.7109375" style="300" bestFit="1" customWidth="1"/>
    <col min="19" max="19" width="7.85546875" style="300" customWidth="1"/>
    <col min="20" max="256" width="9.140625" style="300"/>
    <col min="257" max="257" width="67.7109375" style="300" customWidth="1"/>
    <col min="258" max="258" width="11.7109375" style="300" customWidth="1"/>
    <col min="259" max="259" width="9.140625" style="300"/>
    <col min="260" max="260" width="16.28515625" style="300" customWidth="1"/>
    <col min="261" max="261" width="9.140625" style="300"/>
    <col min="262" max="262" width="27" style="300" customWidth="1"/>
    <col min="263" max="263" width="9" style="300" customWidth="1"/>
    <col min="264" max="264" width="17.5703125" style="300" customWidth="1"/>
    <col min="265" max="265" width="9.140625" style="300"/>
    <col min="266" max="266" width="11.7109375" style="300" customWidth="1"/>
    <col min="267" max="512" width="9.140625" style="300"/>
    <col min="513" max="513" width="67.7109375" style="300" customWidth="1"/>
    <col min="514" max="514" width="11.7109375" style="300" customWidth="1"/>
    <col min="515" max="515" width="9.140625" style="300"/>
    <col min="516" max="516" width="16.28515625" style="300" customWidth="1"/>
    <col min="517" max="517" width="9.140625" style="300"/>
    <col min="518" max="518" width="27" style="300" customWidth="1"/>
    <col min="519" max="519" width="9" style="300" customWidth="1"/>
    <col min="520" max="520" width="17.5703125" style="300" customWidth="1"/>
    <col min="521" max="521" width="9.140625" style="300"/>
    <col min="522" max="522" width="11.7109375" style="300" customWidth="1"/>
    <col min="523" max="768" width="9.140625" style="300"/>
    <col min="769" max="769" width="67.7109375" style="300" customWidth="1"/>
    <col min="770" max="770" width="11.7109375" style="300" customWidth="1"/>
    <col min="771" max="771" width="9.140625" style="300"/>
    <col min="772" max="772" width="16.28515625" style="300" customWidth="1"/>
    <col min="773" max="773" width="9.140625" style="300"/>
    <col min="774" max="774" width="27" style="300" customWidth="1"/>
    <col min="775" max="775" width="9" style="300" customWidth="1"/>
    <col min="776" max="776" width="17.5703125" style="300" customWidth="1"/>
    <col min="777" max="777" width="9.140625" style="300"/>
    <col min="778" max="778" width="11.7109375" style="300" customWidth="1"/>
    <col min="779" max="1024" width="9.140625" style="300"/>
    <col min="1025" max="1025" width="67.7109375" style="300" customWidth="1"/>
    <col min="1026" max="1026" width="11.7109375" style="300" customWidth="1"/>
    <col min="1027" max="1027" width="9.140625" style="300"/>
    <col min="1028" max="1028" width="16.28515625" style="300" customWidth="1"/>
    <col min="1029" max="1029" width="9.140625" style="300"/>
    <col min="1030" max="1030" width="27" style="300" customWidth="1"/>
    <col min="1031" max="1031" width="9" style="300" customWidth="1"/>
    <col min="1032" max="1032" width="17.5703125" style="300" customWidth="1"/>
    <col min="1033" max="1033" width="9.140625" style="300"/>
    <col min="1034" max="1034" width="11.7109375" style="300" customWidth="1"/>
    <col min="1035" max="1280" width="9.140625" style="300"/>
    <col min="1281" max="1281" width="67.7109375" style="300" customWidth="1"/>
    <col min="1282" max="1282" width="11.7109375" style="300" customWidth="1"/>
    <col min="1283" max="1283" width="9.140625" style="300"/>
    <col min="1284" max="1284" width="16.28515625" style="300" customWidth="1"/>
    <col min="1285" max="1285" width="9.140625" style="300"/>
    <col min="1286" max="1286" width="27" style="300" customWidth="1"/>
    <col min="1287" max="1287" width="9" style="300" customWidth="1"/>
    <col min="1288" max="1288" width="17.5703125" style="300" customWidth="1"/>
    <col min="1289" max="1289" width="9.140625" style="300"/>
    <col min="1290" max="1290" width="11.7109375" style="300" customWidth="1"/>
    <col min="1291" max="1536" width="9.140625" style="300"/>
    <col min="1537" max="1537" width="67.7109375" style="300" customWidth="1"/>
    <col min="1538" max="1538" width="11.7109375" style="300" customWidth="1"/>
    <col min="1539" max="1539" width="9.140625" style="300"/>
    <col min="1540" max="1540" width="16.28515625" style="300" customWidth="1"/>
    <col min="1541" max="1541" width="9.140625" style="300"/>
    <col min="1542" max="1542" width="27" style="300" customWidth="1"/>
    <col min="1543" max="1543" width="9" style="300" customWidth="1"/>
    <col min="1544" max="1544" width="17.5703125" style="300" customWidth="1"/>
    <col min="1545" max="1545" width="9.140625" style="300"/>
    <col min="1546" max="1546" width="11.7109375" style="300" customWidth="1"/>
    <col min="1547" max="1792" width="9.140625" style="300"/>
    <col min="1793" max="1793" width="67.7109375" style="300" customWidth="1"/>
    <col min="1794" max="1794" width="11.7109375" style="300" customWidth="1"/>
    <col min="1795" max="1795" width="9.140625" style="300"/>
    <col min="1796" max="1796" width="16.28515625" style="300" customWidth="1"/>
    <col min="1797" max="1797" width="9.140625" style="300"/>
    <col min="1798" max="1798" width="27" style="300" customWidth="1"/>
    <col min="1799" max="1799" width="9" style="300" customWidth="1"/>
    <col min="1800" max="1800" width="17.5703125" style="300" customWidth="1"/>
    <col min="1801" max="1801" width="9.140625" style="300"/>
    <col min="1802" max="1802" width="11.7109375" style="300" customWidth="1"/>
    <col min="1803" max="2048" width="9.140625" style="300"/>
    <col min="2049" max="2049" width="67.7109375" style="300" customWidth="1"/>
    <col min="2050" max="2050" width="11.7109375" style="300" customWidth="1"/>
    <col min="2051" max="2051" width="9.140625" style="300"/>
    <col min="2052" max="2052" width="16.28515625" style="300" customWidth="1"/>
    <col min="2053" max="2053" width="9.140625" style="300"/>
    <col min="2054" max="2054" width="27" style="300" customWidth="1"/>
    <col min="2055" max="2055" width="9" style="300" customWidth="1"/>
    <col min="2056" max="2056" width="17.5703125" style="300" customWidth="1"/>
    <col min="2057" max="2057" width="9.140625" style="300"/>
    <col min="2058" max="2058" width="11.7109375" style="300" customWidth="1"/>
    <col min="2059" max="2304" width="9.140625" style="300"/>
    <col min="2305" max="2305" width="67.7109375" style="300" customWidth="1"/>
    <col min="2306" max="2306" width="11.7109375" style="300" customWidth="1"/>
    <col min="2307" max="2307" width="9.140625" style="300"/>
    <col min="2308" max="2308" width="16.28515625" style="300" customWidth="1"/>
    <col min="2309" max="2309" width="9.140625" style="300"/>
    <col min="2310" max="2310" width="27" style="300" customWidth="1"/>
    <col min="2311" max="2311" width="9" style="300" customWidth="1"/>
    <col min="2312" max="2312" width="17.5703125" style="300" customWidth="1"/>
    <col min="2313" max="2313" width="9.140625" style="300"/>
    <col min="2314" max="2314" width="11.7109375" style="300" customWidth="1"/>
    <col min="2315" max="2560" width="9.140625" style="300"/>
    <col min="2561" max="2561" width="67.7109375" style="300" customWidth="1"/>
    <col min="2562" max="2562" width="11.7109375" style="300" customWidth="1"/>
    <col min="2563" max="2563" width="9.140625" style="300"/>
    <col min="2564" max="2564" width="16.28515625" style="300" customWidth="1"/>
    <col min="2565" max="2565" width="9.140625" style="300"/>
    <col min="2566" max="2566" width="27" style="300" customWidth="1"/>
    <col min="2567" max="2567" width="9" style="300" customWidth="1"/>
    <col min="2568" max="2568" width="17.5703125" style="300" customWidth="1"/>
    <col min="2569" max="2569" width="9.140625" style="300"/>
    <col min="2570" max="2570" width="11.7109375" style="300" customWidth="1"/>
    <col min="2571" max="2816" width="9.140625" style="300"/>
    <col min="2817" max="2817" width="67.7109375" style="300" customWidth="1"/>
    <col min="2818" max="2818" width="11.7109375" style="300" customWidth="1"/>
    <col min="2819" max="2819" width="9.140625" style="300"/>
    <col min="2820" max="2820" width="16.28515625" style="300" customWidth="1"/>
    <col min="2821" max="2821" width="9.140625" style="300"/>
    <col min="2822" max="2822" width="27" style="300" customWidth="1"/>
    <col min="2823" max="2823" width="9" style="300" customWidth="1"/>
    <col min="2824" max="2824" width="17.5703125" style="300" customWidth="1"/>
    <col min="2825" max="2825" width="9.140625" style="300"/>
    <col min="2826" max="2826" width="11.7109375" style="300" customWidth="1"/>
    <col min="2827" max="3072" width="9.140625" style="300"/>
    <col min="3073" max="3073" width="67.7109375" style="300" customWidth="1"/>
    <col min="3074" max="3074" width="11.7109375" style="300" customWidth="1"/>
    <col min="3075" max="3075" width="9.140625" style="300"/>
    <col min="3076" max="3076" width="16.28515625" style="300" customWidth="1"/>
    <col min="3077" max="3077" width="9.140625" style="300"/>
    <col min="3078" max="3078" width="27" style="300" customWidth="1"/>
    <col min="3079" max="3079" width="9" style="300" customWidth="1"/>
    <col min="3080" max="3080" width="17.5703125" style="300" customWidth="1"/>
    <col min="3081" max="3081" width="9.140625" style="300"/>
    <col min="3082" max="3082" width="11.7109375" style="300" customWidth="1"/>
    <col min="3083" max="3328" width="9.140625" style="300"/>
    <col min="3329" max="3329" width="67.7109375" style="300" customWidth="1"/>
    <col min="3330" max="3330" width="11.7109375" style="300" customWidth="1"/>
    <col min="3331" max="3331" width="9.140625" style="300"/>
    <col min="3332" max="3332" width="16.28515625" style="300" customWidth="1"/>
    <col min="3333" max="3333" width="9.140625" style="300"/>
    <col min="3334" max="3334" width="27" style="300" customWidth="1"/>
    <col min="3335" max="3335" width="9" style="300" customWidth="1"/>
    <col min="3336" max="3336" width="17.5703125" style="300" customWidth="1"/>
    <col min="3337" max="3337" width="9.140625" style="300"/>
    <col min="3338" max="3338" width="11.7109375" style="300" customWidth="1"/>
    <col min="3339" max="3584" width="9.140625" style="300"/>
    <col min="3585" max="3585" width="67.7109375" style="300" customWidth="1"/>
    <col min="3586" max="3586" width="11.7109375" style="300" customWidth="1"/>
    <col min="3587" max="3587" width="9.140625" style="300"/>
    <col min="3588" max="3588" width="16.28515625" style="300" customWidth="1"/>
    <col min="3589" max="3589" width="9.140625" style="300"/>
    <col min="3590" max="3590" width="27" style="300" customWidth="1"/>
    <col min="3591" max="3591" width="9" style="300" customWidth="1"/>
    <col min="3592" max="3592" width="17.5703125" style="300" customWidth="1"/>
    <col min="3593" max="3593" width="9.140625" style="300"/>
    <col min="3594" max="3594" width="11.7109375" style="300" customWidth="1"/>
    <col min="3595" max="3840" width="9.140625" style="300"/>
    <col min="3841" max="3841" width="67.7109375" style="300" customWidth="1"/>
    <col min="3842" max="3842" width="11.7109375" style="300" customWidth="1"/>
    <col min="3843" max="3843" width="9.140625" style="300"/>
    <col min="3844" max="3844" width="16.28515625" style="300" customWidth="1"/>
    <col min="3845" max="3845" width="9.140625" style="300"/>
    <col min="3846" max="3846" width="27" style="300" customWidth="1"/>
    <col min="3847" max="3847" width="9" style="300" customWidth="1"/>
    <col min="3848" max="3848" width="17.5703125" style="300" customWidth="1"/>
    <col min="3849" max="3849" width="9.140625" style="300"/>
    <col min="3850" max="3850" width="11.7109375" style="300" customWidth="1"/>
    <col min="3851" max="4096" width="9.140625" style="300"/>
    <col min="4097" max="4097" width="67.7109375" style="300" customWidth="1"/>
    <col min="4098" max="4098" width="11.7109375" style="300" customWidth="1"/>
    <col min="4099" max="4099" width="9.140625" style="300"/>
    <col min="4100" max="4100" width="16.28515625" style="300" customWidth="1"/>
    <col min="4101" max="4101" width="9.140625" style="300"/>
    <col min="4102" max="4102" width="27" style="300" customWidth="1"/>
    <col min="4103" max="4103" width="9" style="300" customWidth="1"/>
    <col min="4104" max="4104" width="17.5703125" style="300" customWidth="1"/>
    <col min="4105" max="4105" width="9.140625" style="300"/>
    <col min="4106" max="4106" width="11.7109375" style="300" customWidth="1"/>
    <col min="4107" max="4352" width="9.140625" style="300"/>
    <col min="4353" max="4353" width="67.7109375" style="300" customWidth="1"/>
    <col min="4354" max="4354" width="11.7109375" style="300" customWidth="1"/>
    <col min="4355" max="4355" width="9.140625" style="300"/>
    <col min="4356" max="4356" width="16.28515625" style="300" customWidth="1"/>
    <col min="4357" max="4357" width="9.140625" style="300"/>
    <col min="4358" max="4358" width="27" style="300" customWidth="1"/>
    <col min="4359" max="4359" width="9" style="300" customWidth="1"/>
    <col min="4360" max="4360" width="17.5703125" style="300" customWidth="1"/>
    <col min="4361" max="4361" width="9.140625" style="300"/>
    <col min="4362" max="4362" width="11.7109375" style="300" customWidth="1"/>
    <col min="4363" max="4608" width="9.140625" style="300"/>
    <col min="4609" max="4609" width="67.7109375" style="300" customWidth="1"/>
    <col min="4610" max="4610" width="11.7109375" style="300" customWidth="1"/>
    <col min="4611" max="4611" width="9.140625" style="300"/>
    <col min="4612" max="4612" width="16.28515625" style="300" customWidth="1"/>
    <col min="4613" max="4613" width="9.140625" style="300"/>
    <col min="4614" max="4614" width="27" style="300" customWidth="1"/>
    <col min="4615" max="4615" width="9" style="300" customWidth="1"/>
    <col min="4616" max="4616" width="17.5703125" style="300" customWidth="1"/>
    <col min="4617" max="4617" width="9.140625" style="300"/>
    <col min="4618" max="4618" width="11.7109375" style="300" customWidth="1"/>
    <col min="4619" max="4864" width="9.140625" style="300"/>
    <col min="4865" max="4865" width="67.7109375" style="300" customWidth="1"/>
    <col min="4866" max="4866" width="11.7109375" style="300" customWidth="1"/>
    <col min="4867" max="4867" width="9.140625" style="300"/>
    <col min="4868" max="4868" width="16.28515625" style="300" customWidth="1"/>
    <col min="4869" max="4869" width="9.140625" style="300"/>
    <col min="4870" max="4870" width="27" style="300" customWidth="1"/>
    <col min="4871" max="4871" width="9" style="300" customWidth="1"/>
    <col min="4872" max="4872" width="17.5703125" style="300" customWidth="1"/>
    <col min="4873" max="4873" width="9.140625" style="300"/>
    <col min="4874" max="4874" width="11.7109375" style="300" customWidth="1"/>
    <col min="4875" max="5120" width="9.140625" style="300"/>
    <col min="5121" max="5121" width="67.7109375" style="300" customWidth="1"/>
    <col min="5122" max="5122" width="11.7109375" style="300" customWidth="1"/>
    <col min="5123" max="5123" width="9.140625" style="300"/>
    <col min="5124" max="5124" width="16.28515625" style="300" customWidth="1"/>
    <col min="5125" max="5125" width="9.140625" style="300"/>
    <col min="5126" max="5126" width="27" style="300" customWidth="1"/>
    <col min="5127" max="5127" width="9" style="300" customWidth="1"/>
    <col min="5128" max="5128" width="17.5703125" style="300" customWidth="1"/>
    <col min="5129" max="5129" width="9.140625" style="300"/>
    <col min="5130" max="5130" width="11.7109375" style="300" customWidth="1"/>
    <col min="5131" max="5376" width="9.140625" style="300"/>
    <col min="5377" max="5377" width="67.7109375" style="300" customWidth="1"/>
    <col min="5378" max="5378" width="11.7109375" style="300" customWidth="1"/>
    <col min="5379" max="5379" width="9.140625" style="300"/>
    <col min="5380" max="5380" width="16.28515625" style="300" customWidth="1"/>
    <col min="5381" max="5381" width="9.140625" style="300"/>
    <col min="5382" max="5382" width="27" style="300" customWidth="1"/>
    <col min="5383" max="5383" width="9" style="300" customWidth="1"/>
    <col min="5384" max="5384" width="17.5703125" style="300" customWidth="1"/>
    <col min="5385" max="5385" width="9.140625" style="300"/>
    <col min="5386" max="5386" width="11.7109375" style="300" customWidth="1"/>
    <col min="5387" max="5632" width="9.140625" style="300"/>
    <col min="5633" max="5633" width="67.7109375" style="300" customWidth="1"/>
    <col min="5634" max="5634" width="11.7109375" style="300" customWidth="1"/>
    <col min="5635" max="5635" width="9.140625" style="300"/>
    <col min="5636" max="5636" width="16.28515625" style="300" customWidth="1"/>
    <col min="5637" max="5637" width="9.140625" style="300"/>
    <col min="5638" max="5638" width="27" style="300" customWidth="1"/>
    <col min="5639" max="5639" width="9" style="300" customWidth="1"/>
    <col min="5640" max="5640" width="17.5703125" style="300" customWidth="1"/>
    <col min="5641" max="5641" width="9.140625" style="300"/>
    <col min="5642" max="5642" width="11.7109375" style="300" customWidth="1"/>
    <col min="5643" max="5888" width="9.140625" style="300"/>
    <col min="5889" max="5889" width="67.7109375" style="300" customWidth="1"/>
    <col min="5890" max="5890" width="11.7109375" style="300" customWidth="1"/>
    <col min="5891" max="5891" width="9.140625" style="300"/>
    <col min="5892" max="5892" width="16.28515625" style="300" customWidth="1"/>
    <col min="5893" max="5893" width="9.140625" style="300"/>
    <col min="5894" max="5894" width="27" style="300" customWidth="1"/>
    <col min="5895" max="5895" width="9" style="300" customWidth="1"/>
    <col min="5896" max="5896" width="17.5703125" style="300" customWidth="1"/>
    <col min="5897" max="5897" width="9.140625" style="300"/>
    <col min="5898" max="5898" width="11.7109375" style="300" customWidth="1"/>
    <col min="5899" max="6144" width="9.140625" style="300"/>
    <col min="6145" max="6145" width="67.7109375" style="300" customWidth="1"/>
    <col min="6146" max="6146" width="11.7109375" style="300" customWidth="1"/>
    <col min="6147" max="6147" width="9.140625" style="300"/>
    <col min="6148" max="6148" width="16.28515625" style="300" customWidth="1"/>
    <col min="6149" max="6149" width="9.140625" style="300"/>
    <col min="6150" max="6150" width="27" style="300" customWidth="1"/>
    <col min="6151" max="6151" width="9" style="300" customWidth="1"/>
    <col min="6152" max="6152" width="17.5703125" style="300" customWidth="1"/>
    <col min="6153" max="6153" width="9.140625" style="300"/>
    <col min="6154" max="6154" width="11.7109375" style="300" customWidth="1"/>
    <col min="6155" max="6400" width="9.140625" style="300"/>
    <col min="6401" max="6401" width="67.7109375" style="300" customWidth="1"/>
    <col min="6402" max="6402" width="11.7109375" style="300" customWidth="1"/>
    <col min="6403" max="6403" width="9.140625" style="300"/>
    <col min="6404" max="6404" width="16.28515625" style="300" customWidth="1"/>
    <col min="6405" max="6405" width="9.140625" style="300"/>
    <col min="6406" max="6406" width="27" style="300" customWidth="1"/>
    <col min="6407" max="6407" width="9" style="300" customWidth="1"/>
    <col min="6408" max="6408" width="17.5703125" style="300" customWidth="1"/>
    <col min="6409" max="6409" width="9.140625" style="300"/>
    <col min="6410" max="6410" width="11.7109375" style="300" customWidth="1"/>
    <col min="6411" max="6656" width="9.140625" style="300"/>
    <col min="6657" max="6657" width="67.7109375" style="300" customWidth="1"/>
    <col min="6658" max="6658" width="11.7109375" style="300" customWidth="1"/>
    <col min="6659" max="6659" width="9.140625" style="300"/>
    <col min="6660" max="6660" width="16.28515625" style="300" customWidth="1"/>
    <col min="6661" max="6661" width="9.140625" style="300"/>
    <col min="6662" max="6662" width="27" style="300" customWidth="1"/>
    <col min="6663" max="6663" width="9" style="300" customWidth="1"/>
    <col min="6664" max="6664" width="17.5703125" style="300" customWidth="1"/>
    <col min="6665" max="6665" width="9.140625" style="300"/>
    <col min="6666" max="6666" width="11.7109375" style="300" customWidth="1"/>
    <col min="6667" max="6912" width="9.140625" style="300"/>
    <col min="6913" max="6913" width="67.7109375" style="300" customWidth="1"/>
    <col min="6914" max="6914" width="11.7109375" style="300" customWidth="1"/>
    <col min="6915" max="6915" width="9.140625" style="300"/>
    <col min="6916" max="6916" width="16.28515625" style="300" customWidth="1"/>
    <col min="6917" max="6917" width="9.140625" style="300"/>
    <col min="6918" max="6918" width="27" style="300" customWidth="1"/>
    <col min="6919" max="6919" width="9" style="300" customWidth="1"/>
    <col min="6920" max="6920" width="17.5703125" style="300" customWidth="1"/>
    <col min="6921" max="6921" width="9.140625" style="300"/>
    <col min="6922" max="6922" width="11.7109375" style="300" customWidth="1"/>
    <col min="6923" max="7168" width="9.140625" style="300"/>
    <col min="7169" max="7169" width="67.7109375" style="300" customWidth="1"/>
    <col min="7170" max="7170" width="11.7109375" style="300" customWidth="1"/>
    <col min="7171" max="7171" width="9.140625" style="300"/>
    <col min="7172" max="7172" width="16.28515625" style="300" customWidth="1"/>
    <col min="7173" max="7173" width="9.140625" style="300"/>
    <col min="7174" max="7174" width="27" style="300" customWidth="1"/>
    <col min="7175" max="7175" width="9" style="300" customWidth="1"/>
    <col min="7176" max="7176" width="17.5703125" style="300" customWidth="1"/>
    <col min="7177" max="7177" width="9.140625" style="300"/>
    <col min="7178" max="7178" width="11.7109375" style="300" customWidth="1"/>
    <col min="7179" max="7424" width="9.140625" style="300"/>
    <col min="7425" max="7425" width="67.7109375" style="300" customWidth="1"/>
    <col min="7426" max="7426" width="11.7109375" style="300" customWidth="1"/>
    <col min="7427" max="7427" width="9.140625" style="300"/>
    <col min="7428" max="7428" width="16.28515625" style="300" customWidth="1"/>
    <col min="7429" max="7429" width="9.140625" style="300"/>
    <col min="7430" max="7430" width="27" style="300" customWidth="1"/>
    <col min="7431" max="7431" width="9" style="300" customWidth="1"/>
    <col min="7432" max="7432" width="17.5703125" style="300" customWidth="1"/>
    <col min="7433" max="7433" width="9.140625" style="300"/>
    <col min="7434" max="7434" width="11.7109375" style="300" customWidth="1"/>
    <col min="7435" max="7680" width="9.140625" style="300"/>
    <col min="7681" max="7681" width="67.7109375" style="300" customWidth="1"/>
    <col min="7682" max="7682" width="11.7109375" style="300" customWidth="1"/>
    <col min="7683" max="7683" width="9.140625" style="300"/>
    <col min="7684" max="7684" width="16.28515625" style="300" customWidth="1"/>
    <col min="7685" max="7685" width="9.140625" style="300"/>
    <col min="7686" max="7686" width="27" style="300" customWidth="1"/>
    <col min="7687" max="7687" width="9" style="300" customWidth="1"/>
    <col min="7688" max="7688" width="17.5703125" style="300" customWidth="1"/>
    <col min="7689" max="7689" width="9.140625" style="300"/>
    <col min="7690" max="7690" width="11.7109375" style="300" customWidth="1"/>
    <col min="7691" max="7936" width="9.140625" style="300"/>
    <col min="7937" max="7937" width="67.7109375" style="300" customWidth="1"/>
    <col min="7938" max="7938" width="11.7109375" style="300" customWidth="1"/>
    <col min="7939" max="7939" width="9.140625" style="300"/>
    <col min="7940" max="7940" width="16.28515625" style="300" customWidth="1"/>
    <col min="7941" max="7941" width="9.140625" style="300"/>
    <col min="7942" max="7942" width="27" style="300" customWidth="1"/>
    <col min="7943" max="7943" width="9" style="300" customWidth="1"/>
    <col min="7944" max="7944" width="17.5703125" style="300" customWidth="1"/>
    <col min="7945" max="7945" width="9.140625" style="300"/>
    <col min="7946" max="7946" width="11.7109375" style="300" customWidth="1"/>
    <col min="7947" max="8192" width="9.140625" style="300"/>
    <col min="8193" max="8193" width="67.7109375" style="300" customWidth="1"/>
    <col min="8194" max="8194" width="11.7109375" style="300" customWidth="1"/>
    <col min="8195" max="8195" width="9.140625" style="300"/>
    <col min="8196" max="8196" width="16.28515625" style="300" customWidth="1"/>
    <col min="8197" max="8197" width="9.140625" style="300"/>
    <col min="8198" max="8198" width="27" style="300" customWidth="1"/>
    <col min="8199" max="8199" width="9" style="300" customWidth="1"/>
    <col min="8200" max="8200" width="17.5703125" style="300" customWidth="1"/>
    <col min="8201" max="8201" width="9.140625" style="300"/>
    <col min="8202" max="8202" width="11.7109375" style="300" customWidth="1"/>
    <col min="8203" max="8448" width="9.140625" style="300"/>
    <col min="8449" max="8449" width="67.7109375" style="300" customWidth="1"/>
    <col min="8450" max="8450" width="11.7109375" style="300" customWidth="1"/>
    <col min="8451" max="8451" width="9.140625" style="300"/>
    <col min="8452" max="8452" width="16.28515625" style="300" customWidth="1"/>
    <col min="8453" max="8453" width="9.140625" style="300"/>
    <col min="8454" max="8454" width="27" style="300" customWidth="1"/>
    <col min="8455" max="8455" width="9" style="300" customWidth="1"/>
    <col min="8456" max="8456" width="17.5703125" style="300" customWidth="1"/>
    <col min="8457" max="8457" width="9.140625" style="300"/>
    <col min="8458" max="8458" width="11.7109375" style="300" customWidth="1"/>
    <col min="8459" max="8704" width="9.140625" style="300"/>
    <col min="8705" max="8705" width="67.7109375" style="300" customWidth="1"/>
    <col min="8706" max="8706" width="11.7109375" style="300" customWidth="1"/>
    <col min="8707" max="8707" width="9.140625" style="300"/>
    <col min="8708" max="8708" width="16.28515625" style="300" customWidth="1"/>
    <col min="8709" max="8709" width="9.140625" style="300"/>
    <col min="8710" max="8710" width="27" style="300" customWidth="1"/>
    <col min="8711" max="8711" width="9" style="300" customWidth="1"/>
    <col min="8712" max="8712" width="17.5703125" style="300" customWidth="1"/>
    <col min="8713" max="8713" width="9.140625" style="300"/>
    <col min="8714" max="8714" width="11.7109375" style="300" customWidth="1"/>
    <col min="8715" max="8960" width="9.140625" style="300"/>
    <col min="8961" max="8961" width="67.7109375" style="300" customWidth="1"/>
    <col min="8962" max="8962" width="11.7109375" style="300" customWidth="1"/>
    <col min="8963" max="8963" width="9.140625" style="300"/>
    <col min="8964" max="8964" width="16.28515625" style="300" customWidth="1"/>
    <col min="8965" max="8965" width="9.140625" style="300"/>
    <col min="8966" max="8966" width="27" style="300" customWidth="1"/>
    <col min="8967" max="8967" width="9" style="300" customWidth="1"/>
    <col min="8968" max="8968" width="17.5703125" style="300" customWidth="1"/>
    <col min="8969" max="8969" width="9.140625" style="300"/>
    <col min="8970" max="8970" width="11.7109375" style="300" customWidth="1"/>
    <col min="8971" max="9216" width="9.140625" style="300"/>
    <col min="9217" max="9217" width="67.7109375" style="300" customWidth="1"/>
    <col min="9218" max="9218" width="11.7109375" style="300" customWidth="1"/>
    <col min="9219" max="9219" width="9.140625" style="300"/>
    <col min="9220" max="9220" width="16.28515625" style="300" customWidth="1"/>
    <col min="9221" max="9221" width="9.140625" style="300"/>
    <col min="9222" max="9222" width="27" style="300" customWidth="1"/>
    <col min="9223" max="9223" width="9" style="300" customWidth="1"/>
    <col min="9224" max="9224" width="17.5703125" style="300" customWidth="1"/>
    <col min="9225" max="9225" width="9.140625" style="300"/>
    <col min="9226" max="9226" width="11.7109375" style="300" customWidth="1"/>
    <col min="9227" max="9472" width="9.140625" style="300"/>
    <col min="9473" max="9473" width="67.7109375" style="300" customWidth="1"/>
    <col min="9474" max="9474" width="11.7109375" style="300" customWidth="1"/>
    <col min="9475" max="9475" width="9.140625" style="300"/>
    <col min="9476" max="9476" width="16.28515625" style="300" customWidth="1"/>
    <col min="9477" max="9477" width="9.140625" style="300"/>
    <col min="9478" max="9478" width="27" style="300" customWidth="1"/>
    <col min="9479" max="9479" width="9" style="300" customWidth="1"/>
    <col min="9480" max="9480" width="17.5703125" style="300" customWidth="1"/>
    <col min="9481" max="9481" width="9.140625" style="300"/>
    <col min="9482" max="9482" width="11.7109375" style="300" customWidth="1"/>
    <col min="9483" max="9728" width="9.140625" style="300"/>
    <col min="9729" max="9729" width="67.7109375" style="300" customWidth="1"/>
    <col min="9730" max="9730" width="11.7109375" style="300" customWidth="1"/>
    <col min="9731" max="9731" width="9.140625" style="300"/>
    <col min="9732" max="9732" width="16.28515625" style="300" customWidth="1"/>
    <col min="9733" max="9733" width="9.140625" style="300"/>
    <col min="9734" max="9734" width="27" style="300" customWidth="1"/>
    <col min="9735" max="9735" width="9" style="300" customWidth="1"/>
    <col min="9736" max="9736" width="17.5703125" style="300" customWidth="1"/>
    <col min="9737" max="9737" width="9.140625" style="300"/>
    <col min="9738" max="9738" width="11.7109375" style="300" customWidth="1"/>
    <col min="9739" max="9984" width="9.140625" style="300"/>
    <col min="9985" max="9985" width="67.7109375" style="300" customWidth="1"/>
    <col min="9986" max="9986" width="11.7109375" style="300" customWidth="1"/>
    <col min="9987" max="9987" width="9.140625" style="300"/>
    <col min="9988" max="9988" width="16.28515625" style="300" customWidth="1"/>
    <col min="9989" max="9989" width="9.140625" style="300"/>
    <col min="9990" max="9990" width="27" style="300" customWidth="1"/>
    <col min="9991" max="9991" width="9" style="300" customWidth="1"/>
    <col min="9992" max="9992" width="17.5703125" style="300" customWidth="1"/>
    <col min="9993" max="9993" width="9.140625" style="300"/>
    <col min="9994" max="9994" width="11.7109375" style="300" customWidth="1"/>
    <col min="9995" max="10240" width="9.140625" style="300"/>
    <col min="10241" max="10241" width="67.7109375" style="300" customWidth="1"/>
    <col min="10242" max="10242" width="11.7109375" style="300" customWidth="1"/>
    <col min="10243" max="10243" width="9.140625" style="300"/>
    <col min="10244" max="10244" width="16.28515625" style="300" customWidth="1"/>
    <col min="10245" max="10245" width="9.140625" style="300"/>
    <col min="10246" max="10246" width="27" style="300" customWidth="1"/>
    <col min="10247" max="10247" width="9" style="300" customWidth="1"/>
    <col min="10248" max="10248" width="17.5703125" style="300" customWidth="1"/>
    <col min="10249" max="10249" width="9.140625" style="300"/>
    <col min="10250" max="10250" width="11.7109375" style="300" customWidth="1"/>
    <col min="10251" max="10496" width="9.140625" style="300"/>
    <col min="10497" max="10497" width="67.7109375" style="300" customWidth="1"/>
    <col min="10498" max="10498" width="11.7109375" style="300" customWidth="1"/>
    <col min="10499" max="10499" width="9.140625" style="300"/>
    <col min="10500" max="10500" width="16.28515625" style="300" customWidth="1"/>
    <col min="10501" max="10501" width="9.140625" style="300"/>
    <col min="10502" max="10502" width="27" style="300" customWidth="1"/>
    <col min="10503" max="10503" width="9" style="300" customWidth="1"/>
    <col min="10504" max="10504" width="17.5703125" style="300" customWidth="1"/>
    <col min="10505" max="10505" width="9.140625" style="300"/>
    <col min="10506" max="10506" width="11.7109375" style="300" customWidth="1"/>
    <col min="10507" max="10752" width="9.140625" style="300"/>
    <col min="10753" max="10753" width="67.7109375" style="300" customWidth="1"/>
    <col min="10754" max="10754" width="11.7109375" style="300" customWidth="1"/>
    <col min="10755" max="10755" width="9.140625" style="300"/>
    <col min="10756" max="10756" width="16.28515625" style="300" customWidth="1"/>
    <col min="10757" max="10757" width="9.140625" style="300"/>
    <col min="10758" max="10758" width="27" style="300" customWidth="1"/>
    <col min="10759" max="10759" width="9" style="300" customWidth="1"/>
    <col min="10760" max="10760" width="17.5703125" style="300" customWidth="1"/>
    <col min="10761" max="10761" width="9.140625" style="300"/>
    <col min="10762" max="10762" width="11.7109375" style="300" customWidth="1"/>
    <col min="10763" max="11008" width="9.140625" style="300"/>
    <col min="11009" max="11009" width="67.7109375" style="300" customWidth="1"/>
    <col min="11010" max="11010" width="11.7109375" style="300" customWidth="1"/>
    <col min="11011" max="11011" width="9.140625" style="300"/>
    <col min="11012" max="11012" width="16.28515625" style="300" customWidth="1"/>
    <col min="11013" max="11013" width="9.140625" style="300"/>
    <col min="11014" max="11014" width="27" style="300" customWidth="1"/>
    <col min="11015" max="11015" width="9" style="300" customWidth="1"/>
    <col min="11016" max="11016" width="17.5703125" style="300" customWidth="1"/>
    <col min="11017" max="11017" width="9.140625" style="300"/>
    <col min="11018" max="11018" width="11.7109375" style="300" customWidth="1"/>
    <col min="11019" max="11264" width="9.140625" style="300"/>
    <col min="11265" max="11265" width="67.7109375" style="300" customWidth="1"/>
    <col min="11266" max="11266" width="11.7109375" style="300" customWidth="1"/>
    <col min="11267" max="11267" width="9.140625" style="300"/>
    <col min="11268" max="11268" width="16.28515625" style="300" customWidth="1"/>
    <col min="11269" max="11269" width="9.140625" style="300"/>
    <col min="11270" max="11270" width="27" style="300" customWidth="1"/>
    <col min="11271" max="11271" width="9" style="300" customWidth="1"/>
    <col min="11272" max="11272" width="17.5703125" style="300" customWidth="1"/>
    <col min="11273" max="11273" width="9.140625" style="300"/>
    <col min="11274" max="11274" width="11.7109375" style="300" customWidth="1"/>
    <col min="11275" max="11520" width="9.140625" style="300"/>
    <col min="11521" max="11521" width="67.7109375" style="300" customWidth="1"/>
    <col min="11522" max="11522" width="11.7109375" style="300" customWidth="1"/>
    <col min="11523" max="11523" width="9.140625" style="300"/>
    <col min="11524" max="11524" width="16.28515625" style="300" customWidth="1"/>
    <col min="11525" max="11525" width="9.140625" style="300"/>
    <col min="11526" max="11526" width="27" style="300" customWidth="1"/>
    <col min="11527" max="11527" width="9" style="300" customWidth="1"/>
    <col min="11528" max="11528" width="17.5703125" style="300" customWidth="1"/>
    <col min="11529" max="11529" width="9.140625" style="300"/>
    <col min="11530" max="11530" width="11.7109375" style="300" customWidth="1"/>
    <col min="11531" max="11776" width="9.140625" style="300"/>
    <col min="11777" max="11777" width="67.7109375" style="300" customWidth="1"/>
    <col min="11778" max="11778" width="11.7109375" style="300" customWidth="1"/>
    <col min="11779" max="11779" width="9.140625" style="300"/>
    <col min="11780" max="11780" width="16.28515625" style="300" customWidth="1"/>
    <col min="11781" max="11781" width="9.140625" style="300"/>
    <col min="11782" max="11782" width="27" style="300" customWidth="1"/>
    <col min="11783" max="11783" width="9" style="300" customWidth="1"/>
    <col min="11784" max="11784" width="17.5703125" style="300" customWidth="1"/>
    <col min="11785" max="11785" width="9.140625" style="300"/>
    <col min="11786" max="11786" width="11.7109375" style="300" customWidth="1"/>
    <col min="11787" max="12032" width="9.140625" style="300"/>
    <col min="12033" max="12033" width="67.7109375" style="300" customWidth="1"/>
    <col min="12034" max="12034" width="11.7109375" style="300" customWidth="1"/>
    <col min="12035" max="12035" width="9.140625" style="300"/>
    <col min="12036" max="12036" width="16.28515625" style="300" customWidth="1"/>
    <col min="12037" max="12037" width="9.140625" style="300"/>
    <col min="12038" max="12038" width="27" style="300" customWidth="1"/>
    <col min="12039" max="12039" width="9" style="300" customWidth="1"/>
    <col min="12040" max="12040" width="17.5703125" style="300" customWidth="1"/>
    <col min="12041" max="12041" width="9.140625" style="300"/>
    <col min="12042" max="12042" width="11.7109375" style="300" customWidth="1"/>
    <col min="12043" max="12288" width="9.140625" style="300"/>
    <col min="12289" max="12289" width="67.7109375" style="300" customWidth="1"/>
    <col min="12290" max="12290" width="11.7109375" style="300" customWidth="1"/>
    <col min="12291" max="12291" width="9.140625" style="300"/>
    <col min="12292" max="12292" width="16.28515625" style="300" customWidth="1"/>
    <col min="12293" max="12293" width="9.140625" style="300"/>
    <col min="12294" max="12294" width="27" style="300" customWidth="1"/>
    <col min="12295" max="12295" width="9" style="300" customWidth="1"/>
    <col min="12296" max="12296" width="17.5703125" style="300" customWidth="1"/>
    <col min="12297" max="12297" width="9.140625" style="300"/>
    <col min="12298" max="12298" width="11.7109375" style="300" customWidth="1"/>
    <col min="12299" max="12544" width="9.140625" style="300"/>
    <col min="12545" max="12545" width="67.7109375" style="300" customWidth="1"/>
    <col min="12546" max="12546" width="11.7109375" style="300" customWidth="1"/>
    <col min="12547" max="12547" width="9.140625" style="300"/>
    <col min="12548" max="12548" width="16.28515625" style="300" customWidth="1"/>
    <col min="12549" max="12549" width="9.140625" style="300"/>
    <col min="12550" max="12550" width="27" style="300" customWidth="1"/>
    <col min="12551" max="12551" width="9" style="300" customWidth="1"/>
    <col min="12552" max="12552" width="17.5703125" style="300" customWidth="1"/>
    <col min="12553" max="12553" width="9.140625" style="300"/>
    <col min="12554" max="12554" width="11.7109375" style="300" customWidth="1"/>
    <col min="12555" max="12800" width="9.140625" style="300"/>
    <col min="12801" max="12801" width="67.7109375" style="300" customWidth="1"/>
    <col min="12802" max="12802" width="11.7109375" style="300" customWidth="1"/>
    <col min="12803" max="12803" width="9.140625" style="300"/>
    <col min="12804" max="12804" width="16.28515625" style="300" customWidth="1"/>
    <col min="12805" max="12805" width="9.140625" style="300"/>
    <col min="12806" max="12806" width="27" style="300" customWidth="1"/>
    <col min="12807" max="12807" width="9" style="300" customWidth="1"/>
    <col min="12808" max="12808" width="17.5703125" style="300" customWidth="1"/>
    <col min="12809" max="12809" width="9.140625" style="300"/>
    <col min="12810" max="12810" width="11.7109375" style="300" customWidth="1"/>
    <col min="12811" max="13056" width="9.140625" style="300"/>
    <col min="13057" max="13057" width="67.7109375" style="300" customWidth="1"/>
    <col min="13058" max="13058" width="11.7109375" style="300" customWidth="1"/>
    <col min="13059" max="13059" width="9.140625" style="300"/>
    <col min="13060" max="13060" width="16.28515625" style="300" customWidth="1"/>
    <col min="13061" max="13061" width="9.140625" style="300"/>
    <col min="13062" max="13062" width="27" style="300" customWidth="1"/>
    <col min="13063" max="13063" width="9" style="300" customWidth="1"/>
    <col min="13064" max="13064" width="17.5703125" style="300" customWidth="1"/>
    <col min="13065" max="13065" width="9.140625" style="300"/>
    <col min="13066" max="13066" width="11.7109375" style="300" customWidth="1"/>
    <col min="13067" max="13312" width="9.140625" style="300"/>
    <col min="13313" max="13313" width="67.7109375" style="300" customWidth="1"/>
    <col min="13314" max="13314" width="11.7109375" style="300" customWidth="1"/>
    <col min="13315" max="13315" width="9.140625" style="300"/>
    <col min="13316" max="13316" width="16.28515625" style="300" customWidth="1"/>
    <col min="13317" max="13317" width="9.140625" style="300"/>
    <col min="13318" max="13318" width="27" style="300" customWidth="1"/>
    <col min="13319" max="13319" width="9" style="300" customWidth="1"/>
    <col min="13320" max="13320" width="17.5703125" style="300" customWidth="1"/>
    <col min="13321" max="13321" width="9.140625" style="300"/>
    <col min="13322" max="13322" width="11.7109375" style="300" customWidth="1"/>
    <col min="13323" max="13568" width="9.140625" style="300"/>
    <col min="13569" max="13569" width="67.7109375" style="300" customWidth="1"/>
    <col min="13570" max="13570" width="11.7109375" style="300" customWidth="1"/>
    <col min="13571" max="13571" width="9.140625" style="300"/>
    <col min="13572" max="13572" width="16.28515625" style="300" customWidth="1"/>
    <col min="13573" max="13573" width="9.140625" style="300"/>
    <col min="13574" max="13574" width="27" style="300" customWidth="1"/>
    <col min="13575" max="13575" width="9" style="300" customWidth="1"/>
    <col min="13576" max="13576" width="17.5703125" style="300" customWidth="1"/>
    <col min="13577" max="13577" width="9.140625" style="300"/>
    <col min="13578" max="13578" width="11.7109375" style="300" customWidth="1"/>
    <col min="13579" max="13824" width="9.140625" style="300"/>
    <col min="13825" max="13825" width="67.7109375" style="300" customWidth="1"/>
    <col min="13826" max="13826" width="11.7109375" style="300" customWidth="1"/>
    <col min="13827" max="13827" width="9.140625" style="300"/>
    <col min="13828" max="13828" width="16.28515625" style="300" customWidth="1"/>
    <col min="13829" max="13829" width="9.140625" style="300"/>
    <col min="13830" max="13830" width="27" style="300" customWidth="1"/>
    <col min="13831" max="13831" width="9" style="300" customWidth="1"/>
    <col min="13832" max="13832" width="17.5703125" style="300" customWidth="1"/>
    <col min="13833" max="13833" width="9.140625" style="300"/>
    <col min="13834" max="13834" width="11.7109375" style="300" customWidth="1"/>
    <col min="13835" max="14080" width="9.140625" style="300"/>
    <col min="14081" max="14081" width="67.7109375" style="300" customWidth="1"/>
    <col min="14082" max="14082" width="11.7109375" style="300" customWidth="1"/>
    <col min="14083" max="14083" width="9.140625" style="300"/>
    <col min="14084" max="14084" width="16.28515625" style="300" customWidth="1"/>
    <col min="14085" max="14085" width="9.140625" style="300"/>
    <col min="14086" max="14086" width="27" style="300" customWidth="1"/>
    <col min="14087" max="14087" width="9" style="300" customWidth="1"/>
    <col min="14088" max="14088" width="17.5703125" style="300" customWidth="1"/>
    <col min="14089" max="14089" width="9.140625" style="300"/>
    <col min="14090" max="14090" width="11.7109375" style="300" customWidth="1"/>
    <col min="14091" max="14336" width="9.140625" style="300"/>
    <col min="14337" max="14337" width="67.7109375" style="300" customWidth="1"/>
    <col min="14338" max="14338" width="11.7109375" style="300" customWidth="1"/>
    <col min="14339" max="14339" width="9.140625" style="300"/>
    <col min="14340" max="14340" width="16.28515625" style="300" customWidth="1"/>
    <col min="14341" max="14341" width="9.140625" style="300"/>
    <col min="14342" max="14342" width="27" style="300" customWidth="1"/>
    <col min="14343" max="14343" width="9" style="300" customWidth="1"/>
    <col min="14344" max="14344" width="17.5703125" style="300" customWidth="1"/>
    <col min="14345" max="14345" width="9.140625" style="300"/>
    <col min="14346" max="14346" width="11.7109375" style="300" customWidth="1"/>
    <col min="14347" max="14592" width="9.140625" style="300"/>
    <col min="14593" max="14593" width="67.7109375" style="300" customWidth="1"/>
    <col min="14594" max="14594" width="11.7109375" style="300" customWidth="1"/>
    <col min="14595" max="14595" width="9.140625" style="300"/>
    <col min="14596" max="14596" width="16.28515625" style="300" customWidth="1"/>
    <col min="14597" max="14597" width="9.140625" style="300"/>
    <col min="14598" max="14598" width="27" style="300" customWidth="1"/>
    <col min="14599" max="14599" width="9" style="300" customWidth="1"/>
    <col min="14600" max="14600" width="17.5703125" style="300" customWidth="1"/>
    <col min="14601" max="14601" width="9.140625" style="300"/>
    <col min="14602" max="14602" width="11.7109375" style="300" customWidth="1"/>
    <col min="14603" max="14848" width="9.140625" style="300"/>
    <col min="14849" max="14849" width="67.7109375" style="300" customWidth="1"/>
    <col min="14850" max="14850" width="11.7109375" style="300" customWidth="1"/>
    <col min="14851" max="14851" width="9.140625" style="300"/>
    <col min="14852" max="14852" width="16.28515625" style="300" customWidth="1"/>
    <col min="14853" max="14853" width="9.140625" style="300"/>
    <col min="14854" max="14854" width="27" style="300" customWidth="1"/>
    <col min="14855" max="14855" width="9" style="300" customWidth="1"/>
    <col min="14856" max="14856" width="17.5703125" style="300" customWidth="1"/>
    <col min="14857" max="14857" width="9.140625" style="300"/>
    <col min="14858" max="14858" width="11.7109375" style="300" customWidth="1"/>
    <col min="14859" max="15104" width="9.140625" style="300"/>
    <col min="15105" max="15105" width="67.7109375" style="300" customWidth="1"/>
    <col min="15106" max="15106" width="11.7109375" style="300" customWidth="1"/>
    <col min="15107" max="15107" width="9.140625" style="300"/>
    <col min="15108" max="15108" width="16.28515625" style="300" customWidth="1"/>
    <col min="15109" max="15109" width="9.140625" style="300"/>
    <col min="15110" max="15110" width="27" style="300" customWidth="1"/>
    <col min="15111" max="15111" width="9" style="300" customWidth="1"/>
    <col min="15112" max="15112" width="17.5703125" style="300" customWidth="1"/>
    <col min="15113" max="15113" width="9.140625" style="300"/>
    <col min="15114" max="15114" width="11.7109375" style="300" customWidth="1"/>
    <col min="15115" max="15360" width="9.140625" style="300"/>
    <col min="15361" max="15361" width="67.7109375" style="300" customWidth="1"/>
    <col min="15362" max="15362" width="11.7109375" style="300" customWidth="1"/>
    <col min="15363" max="15363" width="9.140625" style="300"/>
    <col min="15364" max="15364" width="16.28515625" style="300" customWidth="1"/>
    <col min="15365" max="15365" width="9.140625" style="300"/>
    <col min="15366" max="15366" width="27" style="300" customWidth="1"/>
    <col min="15367" max="15367" width="9" style="300" customWidth="1"/>
    <col min="15368" max="15368" width="17.5703125" style="300" customWidth="1"/>
    <col min="15369" max="15369" width="9.140625" style="300"/>
    <col min="15370" max="15370" width="11.7109375" style="300" customWidth="1"/>
    <col min="15371" max="15616" width="9.140625" style="300"/>
    <col min="15617" max="15617" width="67.7109375" style="300" customWidth="1"/>
    <col min="15618" max="15618" width="11.7109375" style="300" customWidth="1"/>
    <col min="15619" max="15619" width="9.140625" style="300"/>
    <col min="15620" max="15620" width="16.28515625" style="300" customWidth="1"/>
    <col min="15621" max="15621" width="9.140625" style="300"/>
    <col min="15622" max="15622" width="27" style="300" customWidth="1"/>
    <col min="15623" max="15623" width="9" style="300" customWidth="1"/>
    <col min="15624" max="15624" width="17.5703125" style="300" customWidth="1"/>
    <col min="15625" max="15625" width="9.140625" style="300"/>
    <col min="15626" max="15626" width="11.7109375" style="300" customWidth="1"/>
    <col min="15627" max="15872" width="9.140625" style="300"/>
    <col min="15873" max="15873" width="67.7109375" style="300" customWidth="1"/>
    <col min="15874" max="15874" width="11.7109375" style="300" customWidth="1"/>
    <col min="15875" max="15875" width="9.140625" style="300"/>
    <col min="15876" max="15876" width="16.28515625" style="300" customWidth="1"/>
    <col min="15877" max="15877" width="9.140625" style="300"/>
    <col min="15878" max="15878" width="27" style="300" customWidth="1"/>
    <col min="15879" max="15879" width="9" style="300" customWidth="1"/>
    <col min="15880" max="15880" width="17.5703125" style="300" customWidth="1"/>
    <col min="15881" max="15881" width="9.140625" style="300"/>
    <col min="15882" max="15882" width="11.7109375" style="300" customWidth="1"/>
    <col min="15883" max="16128" width="9.140625" style="300"/>
    <col min="16129" max="16129" width="67.7109375" style="300" customWidth="1"/>
    <col min="16130" max="16130" width="11.7109375" style="300" customWidth="1"/>
    <col min="16131" max="16131" width="9.140625" style="300"/>
    <col min="16132" max="16132" width="16.28515625" style="300" customWidth="1"/>
    <col min="16133" max="16133" width="9.140625" style="300"/>
    <col min="16134" max="16134" width="27" style="300" customWidth="1"/>
    <col min="16135" max="16135" width="9" style="300" customWidth="1"/>
    <col min="16136" max="16136" width="17.5703125" style="300" customWidth="1"/>
    <col min="16137" max="16137" width="9.140625" style="300"/>
    <col min="16138" max="16138" width="11.7109375" style="300" customWidth="1"/>
    <col min="16139" max="16384" width="9.140625" style="300"/>
  </cols>
  <sheetData>
    <row r="2" spans="1:19" x14ac:dyDescent="0.25">
      <c r="A2" s="299" t="s">
        <v>893</v>
      </c>
    </row>
    <row r="3" spans="1:19" x14ac:dyDescent="0.25">
      <c r="B3" s="300" t="s">
        <v>950</v>
      </c>
      <c r="J3" s="300" t="s">
        <v>951</v>
      </c>
      <c r="K3" s="518"/>
      <c r="L3" s="518"/>
      <c r="M3" s="518"/>
      <c r="N3" s="518"/>
      <c r="O3" s="518"/>
      <c r="P3" s="518"/>
      <c r="Q3" s="518"/>
      <c r="R3" s="518" t="s">
        <v>1220</v>
      </c>
      <c r="S3" s="518"/>
    </row>
    <row r="4" spans="1:19" x14ac:dyDescent="0.25">
      <c r="A4" s="300" t="s">
        <v>894</v>
      </c>
      <c r="B4" s="301">
        <v>248</v>
      </c>
      <c r="C4" s="300" t="s">
        <v>895</v>
      </c>
      <c r="J4" s="301">
        <v>247</v>
      </c>
      <c r="K4" s="518" t="s">
        <v>895</v>
      </c>
      <c r="L4" s="518"/>
      <c r="M4" s="518"/>
      <c r="N4" s="518"/>
      <c r="O4" s="518"/>
      <c r="P4" s="518"/>
      <c r="Q4" s="518"/>
      <c r="R4" s="519">
        <v>247</v>
      </c>
      <c r="S4" s="518" t="s">
        <v>895</v>
      </c>
    </row>
    <row r="5" spans="1:19" x14ac:dyDescent="0.25">
      <c r="A5" s="300" t="s">
        <v>896</v>
      </c>
      <c r="B5" s="300">
        <v>8</v>
      </c>
      <c r="C5" s="300" t="s">
        <v>897</v>
      </c>
      <c r="J5" s="300">
        <v>8</v>
      </c>
      <c r="K5" s="518" t="s">
        <v>897</v>
      </c>
      <c r="L5" s="518"/>
      <c r="M5" s="518"/>
      <c r="N5" s="518"/>
      <c r="O5" s="518"/>
      <c r="P5" s="518"/>
      <c r="Q5" s="518"/>
      <c r="R5" s="518">
        <v>8</v>
      </c>
      <c r="S5" s="518" t="s">
        <v>897</v>
      </c>
    </row>
    <row r="6" spans="1:19" x14ac:dyDescent="0.25">
      <c r="A6" s="300" t="s">
        <v>898</v>
      </c>
      <c r="B6" s="301">
        <v>5</v>
      </c>
      <c r="C6" s="300" t="s">
        <v>895</v>
      </c>
      <c r="J6" s="301">
        <v>4</v>
      </c>
      <c r="K6" s="518" t="s">
        <v>895</v>
      </c>
      <c r="L6" s="518"/>
      <c r="M6" s="518"/>
      <c r="N6" s="518"/>
      <c r="O6" s="518"/>
      <c r="P6" s="518"/>
      <c r="Q6" s="518"/>
      <c r="R6" s="519">
        <v>3</v>
      </c>
      <c r="S6" s="518" t="s">
        <v>895</v>
      </c>
    </row>
    <row r="7" spans="1:19" x14ac:dyDescent="0.25">
      <c r="A7" s="300" t="s">
        <v>899</v>
      </c>
      <c r="B7" s="302">
        <f>B4*B5-B6</f>
        <v>1979</v>
      </c>
      <c r="C7" s="300" t="s">
        <v>897</v>
      </c>
      <c r="J7" s="302">
        <f>J4*J5-J6</f>
        <v>1972</v>
      </c>
      <c r="K7" s="518" t="s">
        <v>897</v>
      </c>
      <c r="L7" s="518"/>
      <c r="M7" s="518"/>
      <c r="N7" s="518"/>
      <c r="O7" s="518"/>
      <c r="P7" s="518"/>
      <c r="Q7" s="518"/>
      <c r="R7" s="520">
        <f>R4*R5-R6</f>
        <v>1973</v>
      </c>
      <c r="S7" s="518" t="s">
        <v>897</v>
      </c>
    </row>
    <row r="8" spans="1:19" x14ac:dyDescent="0.25">
      <c r="A8" s="300" t="s">
        <v>900</v>
      </c>
      <c r="B8" s="300">
        <v>12</v>
      </c>
      <c r="C8" s="300" t="s">
        <v>901</v>
      </c>
      <c r="J8" s="300">
        <v>12</v>
      </c>
      <c r="K8" s="518" t="s">
        <v>901</v>
      </c>
      <c r="L8" s="518"/>
      <c r="M8" s="518"/>
      <c r="N8" s="518"/>
      <c r="O8" s="518"/>
      <c r="P8" s="518"/>
      <c r="Q8" s="518"/>
      <c r="R8" s="518">
        <v>12</v>
      </c>
      <c r="S8" s="518" t="s">
        <v>901</v>
      </c>
    </row>
    <row r="9" spans="1:19" x14ac:dyDescent="0.25">
      <c r="A9" s="300" t="s">
        <v>902</v>
      </c>
      <c r="B9" s="303">
        <f>B7/B8</f>
        <v>164.92</v>
      </c>
      <c r="C9" s="300" t="s">
        <v>897</v>
      </c>
      <c r="J9" s="303">
        <f>J7/J8</f>
        <v>164.33</v>
      </c>
      <c r="K9" s="518" t="s">
        <v>897</v>
      </c>
      <c r="L9" s="518"/>
      <c r="M9" s="518"/>
      <c r="N9" s="518"/>
      <c r="O9" s="518"/>
      <c r="P9" s="518"/>
      <c r="Q9" s="518"/>
      <c r="R9" s="521">
        <f>R7/R8</f>
        <v>164.42</v>
      </c>
      <c r="S9" s="518" t="s">
        <v>897</v>
      </c>
    </row>
    <row r="10" spans="1:19" x14ac:dyDescent="0.25">
      <c r="A10" s="300" t="s">
        <v>903</v>
      </c>
      <c r="B10" s="304">
        <v>4169</v>
      </c>
      <c r="C10" s="300" t="s">
        <v>850</v>
      </c>
      <c r="D10" s="300" t="s">
        <v>952</v>
      </c>
      <c r="E10" s="522">
        <v>4169</v>
      </c>
      <c r="F10" s="300" t="s">
        <v>953</v>
      </c>
      <c r="G10" s="523">
        <f>CEILING(E10*1.03,1)</f>
        <v>4295</v>
      </c>
      <c r="H10" s="300" t="s">
        <v>904</v>
      </c>
      <c r="I10" s="524">
        <f>(E10*9+G10*3)/12</f>
        <v>4200.5</v>
      </c>
      <c r="J10" s="304">
        <f>B10</f>
        <v>4169</v>
      </c>
      <c r="K10" s="518" t="s">
        <v>850</v>
      </c>
      <c r="L10" s="518" t="s">
        <v>952</v>
      </c>
      <c r="M10" s="525">
        <v>4169</v>
      </c>
      <c r="N10" s="518" t="s">
        <v>1221</v>
      </c>
      <c r="O10" s="526">
        <f>CEILING(M10*1.04,1)</f>
        <v>4336</v>
      </c>
      <c r="P10" s="518" t="s">
        <v>904</v>
      </c>
      <c r="Q10" s="527">
        <f>(M10*9+O10*3)/12</f>
        <v>4210.75</v>
      </c>
      <c r="R10" s="528">
        <v>4210.75</v>
      </c>
      <c r="S10" s="518" t="s">
        <v>850</v>
      </c>
    </row>
    <row r="11" spans="1:19" x14ac:dyDescent="0.25">
      <c r="A11" s="529" t="s">
        <v>905</v>
      </c>
      <c r="B11" s="523">
        <f>B10/B9</f>
        <v>25.28</v>
      </c>
      <c r="C11" s="300" t="s">
        <v>850</v>
      </c>
      <c r="J11" s="523">
        <f>J10/J9</f>
        <v>25.37</v>
      </c>
      <c r="K11" s="518" t="s">
        <v>850</v>
      </c>
      <c r="L11" s="518"/>
      <c r="M11" s="518"/>
      <c r="N11" s="518"/>
      <c r="O11" s="518"/>
      <c r="P11" s="518"/>
      <c r="Q11" s="518"/>
      <c r="R11" s="530">
        <f>R10/R9</f>
        <v>25.61</v>
      </c>
      <c r="S11" s="518" t="s">
        <v>850</v>
      </c>
    </row>
    <row r="12" spans="1:19" x14ac:dyDescent="0.25">
      <c r="A12" s="300" t="s">
        <v>906</v>
      </c>
      <c r="B12" s="300">
        <v>35</v>
      </c>
      <c r="C12" s="300" t="s">
        <v>907</v>
      </c>
      <c r="J12" s="300">
        <v>35</v>
      </c>
      <c r="K12" s="518" t="s">
        <v>907</v>
      </c>
      <c r="L12" s="518"/>
      <c r="M12" s="518"/>
      <c r="N12" s="518"/>
      <c r="O12" s="518"/>
      <c r="P12" s="518"/>
      <c r="Q12" s="518"/>
      <c r="R12" s="518">
        <v>35</v>
      </c>
      <c r="S12" s="518" t="s">
        <v>907</v>
      </c>
    </row>
    <row r="13" spans="1:19" x14ac:dyDescent="0.25">
      <c r="A13" s="531" t="s">
        <v>908</v>
      </c>
      <c r="B13" s="532">
        <f>B11*B12/100</f>
        <v>8.85</v>
      </c>
      <c r="C13" s="300" t="s">
        <v>850</v>
      </c>
      <c r="J13" s="532">
        <f>J11*J12/100</f>
        <v>8.8800000000000008</v>
      </c>
      <c r="K13" s="518" t="s">
        <v>850</v>
      </c>
      <c r="L13" s="518"/>
      <c r="M13" s="518"/>
      <c r="N13" s="518"/>
      <c r="O13" s="518"/>
      <c r="P13" s="518"/>
      <c r="Q13" s="518"/>
      <c r="R13" s="533">
        <f>R11*R12/100</f>
        <v>8.9600000000000009</v>
      </c>
      <c r="S13" s="518" t="s">
        <v>850</v>
      </c>
    </row>
    <row r="14" spans="1:19" x14ac:dyDescent="0.25">
      <c r="A14" s="300" t="s">
        <v>909</v>
      </c>
      <c r="B14" s="300">
        <v>100</v>
      </c>
      <c r="C14" s="300" t="s">
        <v>907</v>
      </c>
      <c r="J14" s="300">
        <v>100</v>
      </c>
      <c r="K14" s="518" t="s">
        <v>907</v>
      </c>
      <c r="L14" s="518"/>
      <c r="M14" s="518"/>
      <c r="N14" s="518"/>
      <c r="O14" s="518"/>
      <c r="P14" s="518"/>
      <c r="Q14" s="518"/>
      <c r="R14" s="518">
        <v>100</v>
      </c>
      <c r="S14" s="518" t="s">
        <v>907</v>
      </c>
    </row>
    <row r="15" spans="1:19" x14ac:dyDescent="0.25">
      <c r="A15" s="531" t="s">
        <v>910</v>
      </c>
      <c r="B15" s="532">
        <f>B11*B14/100</f>
        <v>25.28</v>
      </c>
      <c r="C15" s="300" t="s">
        <v>850</v>
      </c>
      <c r="J15" s="532">
        <f>J11*J14/100</f>
        <v>25.37</v>
      </c>
      <c r="K15" s="518" t="s">
        <v>850</v>
      </c>
      <c r="L15" s="518"/>
      <c r="M15" s="518"/>
      <c r="N15" s="518"/>
      <c r="O15" s="518"/>
      <c r="P15" s="518"/>
      <c r="Q15" s="518"/>
      <c r="R15" s="533">
        <f>R11*R14/100</f>
        <v>25.61</v>
      </c>
      <c r="S15" s="518" t="s">
        <v>850</v>
      </c>
    </row>
    <row r="16" spans="1:19" x14ac:dyDescent="0.25">
      <c r="K16" s="518"/>
      <c r="L16" s="518"/>
      <c r="M16" s="518"/>
      <c r="N16" s="518"/>
      <c r="O16" s="518"/>
      <c r="P16" s="518"/>
      <c r="Q16" s="518"/>
      <c r="R16" s="518"/>
      <c r="S16" s="518"/>
    </row>
    <row r="17" spans="1:19" x14ac:dyDescent="0.25">
      <c r="A17" s="305" t="s">
        <v>911</v>
      </c>
      <c r="B17" s="301">
        <v>366</v>
      </c>
      <c r="C17" s="300" t="s">
        <v>895</v>
      </c>
      <c r="J17" s="301">
        <v>365</v>
      </c>
      <c r="K17" s="518" t="s">
        <v>895</v>
      </c>
      <c r="L17" s="518"/>
      <c r="M17" s="518"/>
      <c r="N17" s="518"/>
      <c r="O17" s="518"/>
      <c r="P17" s="518"/>
      <c r="Q17" s="518"/>
      <c r="R17" s="519">
        <v>365</v>
      </c>
      <c r="S17" s="518" t="s">
        <v>895</v>
      </c>
    </row>
    <row r="18" spans="1:19" x14ac:dyDescent="0.25">
      <c r="A18" s="305" t="s">
        <v>912</v>
      </c>
      <c r="B18" s="300">
        <v>8</v>
      </c>
      <c r="C18" s="300" t="s">
        <v>897</v>
      </c>
      <c r="J18" s="300">
        <v>8</v>
      </c>
      <c r="K18" s="518" t="s">
        <v>897</v>
      </c>
      <c r="L18" s="518"/>
      <c r="M18" s="518"/>
      <c r="N18" s="518"/>
      <c r="O18" s="518"/>
      <c r="P18" s="518"/>
      <c r="Q18" s="518"/>
      <c r="R18" s="518">
        <v>8</v>
      </c>
      <c r="S18" s="518" t="s">
        <v>897</v>
      </c>
    </row>
    <row r="19" spans="1:19" x14ac:dyDescent="0.25">
      <c r="A19" s="306" t="s">
        <v>913</v>
      </c>
      <c r="B19" s="303">
        <f>B17*B18</f>
        <v>2928</v>
      </c>
      <c r="C19" s="300" t="s">
        <v>897</v>
      </c>
      <c r="J19" s="303">
        <f>J17*J18</f>
        <v>2920</v>
      </c>
      <c r="K19" s="518" t="s">
        <v>897</v>
      </c>
      <c r="L19" s="518"/>
      <c r="M19" s="518"/>
      <c r="N19" s="518"/>
      <c r="O19" s="518"/>
      <c r="P19" s="518"/>
      <c r="Q19" s="518"/>
      <c r="R19" s="521">
        <f>R17*R18</f>
        <v>2920</v>
      </c>
      <c r="S19" s="518" t="s">
        <v>897</v>
      </c>
    </row>
    <row r="20" spans="1:19" x14ac:dyDescent="0.25">
      <c r="A20" s="307" t="s">
        <v>914</v>
      </c>
      <c r="B20" s="308">
        <f>B19/12/3</f>
        <v>81.33</v>
      </c>
      <c r="C20" s="300" t="s">
        <v>897</v>
      </c>
      <c r="J20" s="308">
        <f>J19/12/3</f>
        <v>81.11</v>
      </c>
      <c r="K20" s="518" t="s">
        <v>897</v>
      </c>
      <c r="L20" s="518"/>
      <c r="M20" s="518"/>
      <c r="N20" s="518"/>
      <c r="O20" s="518"/>
      <c r="P20" s="518"/>
      <c r="Q20" s="518"/>
      <c r="R20" s="521">
        <f>R19/12/3</f>
        <v>81.11</v>
      </c>
      <c r="S20" s="518" t="s">
        <v>897</v>
      </c>
    </row>
    <row r="21" spans="1:19" x14ac:dyDescent="0.25">
      <c r="A21" s="531" t="s">
        <v>915</v>
      </c>
      <c r="B21" s="532">
        <f>B20*B13</f>
        <v>719.77</v>
      </c>
      <c r="C21" s="300" t="s">
        <v>850</v>
      </c>
      <c r="J21" s="532">
        <f>J20*J13</f>
        <v>720.26</v>
      </c>
      <c r="K21" s="518" t="s">
        <v>850</v>
      </c>
      <c r="L21" s="518"/>
      <c r="M21" s="518"/>
      <c r="N21" s="518"/>
      <c r="O21" s="518"/>
      <c r="P21" s="518"/>
      <c r="Q21" s="518"/>
      <c r="R21" s="533">
        <f>R20*R13</f>
        <v>726.75</v>
      </c>
      <c r="S21" s="518" t="s">
        <v>850</v>
      </c>
    </row>
    <row r="22" spans="1:19" x14ac:dyDescent="0.25">
      <c r="A22" s="307"/>
      <c r="B22" s="308"/>
      <c r="J22" s="308"/>
      <c r="K22" s="518"/>
      <c r="L22" s="518"/>
      <c r="M22" s="518"/>
      <c r="N22" s="518"/>
      <c r="O22" s="518"/>
      <c r="P22" s="518"/>
      <c r="Q22" s="518"/>
      <c r="R22" s="521"/>
      <c r="S22" s="518"/>
    </row>
    <row r="23" spans="1:19" x14ac:dyDescent="0.25">
      <c r="A23" s="307"/>
      <c r="B23" s="308"/>
      <c r="J23" s="308"/>
      <c r="K23" s="518"/>
      <c r="L23" s="518"/>
      <c r="M23" s="518"/>
      <c r="N23" s="518"/>
      <c r="O23" s="518"/>
      <c r="P23" s="518"/>
      <c r="Q23" s="518"/>
      <c r="R23" s="521"/>
      <c r="S23" s="518"/>
    </row>
    <row r="24" spans="1:19" x14ac:dyDescent="0.25">
      <c r="A24" s="305" t="s">
        <v>916</v>
      </c>
      <c r="B24" s="301">
        <v>14</v>
      </c>
      <c r="C24" s="300" t="s">
        <v>895</v>
      </c>
      <c r="J24" s="301">
        <v>14</v>
      </c>
      <c r="K24" s="518" t="s">
        <v>895</v>
      </c>
      <c r="L24" s="518"/>
      <c r="M24" s="518"/>
      <c r="N24" s="518"/>
      <c r="O24" s="518"/>
      <c r="P24" s="518"/>
      <c r="Q24" s="518"/>
      <c r="R24" s="519">
        <v>14</v>
      </c>
      <c r="S24" s="518" t="s">
        <v>895</v>
      </c>
    </row>
    <row r="25" spans="1:19" x14ac:dyDescent="0.25">
      <c r="A25" s="305" t="s">
        <v>917</v>
      </c>
      <c r="B25" s="300">
        <v>24</v>
      </c>
      <c r="C25" s="300" t="s">
        <v>897</v>
      </c>
      <c r="J25" s="300">
        <v>24</v>
      </c>
      <c r="K25" s="518" t="s">
        <v>897</v>
      </c>
      <c r="L25" s="518"/>
      <c r="M25" s="518"/>
      <c r="N25" s="518"/>
      <c r="O25" s="518"/>
      <c r="P25" s="518"/>
      <c r="Q25" s="518"/>
      <c r="R25" s="518">
        <v>24</v>
      </c>
      <c r="S25" s="518" t="s">
        <v>897</v>
      </c>
    </row>
    <row r="26" spans="1:19" ht="30" x14ac:dyDescent="0.25">
      <c r="A26" s="309" t="s">
        <v>918</v>
      </c>
      <c r="B26" s="308">
        <f>B24*B25</f>
        <v>336</v>
      </c>
      <c r="C26" s="300" t="s">
        <v>897</v>
      </c>
      <c r="J26" s="308">
        <f>J24*J25</f>
        <v>336</v>
      </c>
      <c r="K26" s="518" t="s">
        <v>897</v>
      </c>
      <c r="L26" s="518"/>
      <c r="M26" s="518"/>
      <c r="N26" s="518"/>
      <c r="O26" s="518"/>
      <c r="P26" s="518"/>
      <c r="Q26" s="518"/>
      <c r="R26" s="521">
        <f>R24*R25</f>
        <v>336</v>
      </c>
      <c r="S26" s="518" t="s">
        <v>897</v>
      </c>
    </row>
    <row r="27" spans="1:19" x14ac:dyDescent="0.25">
      <c r="A27" s="307" t="s">
        <v>914</v>
      </c>
      <c r="B27" s="308">
        <f>B26/12/3</f>
        <v>9.33</v>
      </c>
      <c r="C27" s="300" t="s">
        <v>897</v>
      </c>
      <c r="J27" s="308">
        <f>J26/12/3</f>
        <v>9.33</v>
      </c>
      <c r="K27" s="518" t="s">
        <v>897</v>
      </c>
      <c r="L27" s="518"/>
      <c r="M27" s="518"/>
      <c r="N27" s="518"/>
      <c r="O27" s="518"/>
      <c r="P27" s="518"/>
      <c r="Q27" s="518"/>
      <c r="R27" s="521">
        <f>R26/12/3</f>
        <v>9.33</v>
      </c>
      <c r="S27" s="518" t="s">
        <v>897</v>
      </c>
    </row>
    <row r="28" spans="1:19" x14ac:dyDescent="0.25">
      <c r="A28" s="531" t="s">
        <v>919</v>
      </c>
      <c r="B28" s="532">
        <f>B27*B15</f>
        <v>235.86</v>
      </c>
      <c r="C28" s="300" t="s">
        <v>850</v>
      </c>
      <c r="J28" s="532">
        <f>J27*J15</f>
        <v>236.7</v>
      </c>
      <c r="K28" s="518" t="s">
        <v>850</v>
      </c>
      <c r="L28" s="518"/>
      <c r="M28" s="518"/>
      <c r="N28" s="518"/>
      <c r="O28" s="518"/>
      <c r="P28" s="518"/>
      <c r="Q28" s="518"/>
      <c r="R28" s="533">
        <f>R27*R15</f>
        <v>238.94</v>
      </c>
      <c r="S28" s="518" t="s">
        <v>850</v>
      </c>
    </row>
    <row r="29" spans="1:19" x14ac:dyDescent="0.25">
      <c r="K29" s="518"/>
      <c r="L29" s="518"/>
      <c r="M29" s="518"/>
      <c r="N29" s="518"/>
      <c r="O29" s="518"/>
      <c r="P29" s="518"/>
      <c r="Q29" s="518"/>
      <c r="R29" s="518"/>
      <c r="S29" s="518"/>
    </row>
    <row r="30" spans="1:19" x14ac:dyDescent="0.25">
      <c r="K30" s="518"/>
      <c r="L30" s="518"/>
      <c r="M30" s="518"/>
      <c r="N30" s="518"/>
      <c r="O30" s="518"/>
      <c r="P30" s="518"/>
      <c r="Q30" s="518"/>
      <c r="R30" s="518"/>
      <c r="S30" s="518"/>
    </row>
    <row r="31" spans="1:19" ht="18.75" x14ac:dyDescent="0.3">
      <c r="A31" s="531" t="s">
        <v>920</v>
      </c>
      <c r="B31" s="534">
        <f>B21+B28</f>
        <v>955.63</v>
      </c>
      <c r="C31" s="300" t="s">
        <v>850</v>
      </c>
      <c r="J31" s="534">
        <f>J21+J28</f>
        <v>956.96</v>
      </c>
      <c r="K31" s="518" t="s">
        <v>850</v>
      </c>
      <c r="L31" s="518"/>
      <c r="M31" s="518"/>
      <c r="N31" s="518"/>
      <c r="O31" s="518"/>
      <c r="P31" s="518"/>
      <c r="Q31" s="518"/>
      <c r="R31" s="535">
        <f>R21+R28</f>
        <v>965.69</v>
      </c>
      <c r="S31" s="518" t="s">
        <v>850</v>
      </c>
    </row>
    <row r="32" spans="1:19" x14ac:dyDescent="0.25">
      <c r="A32" s="531" t="s">
        <v>921</v>
      </c>
      <c r="B32" s="532">
        <f>B31/B10*100</f>
        <v>22.92</v>
      </c>
      <c r="C32" s="300" t="s">
        <v>907</v>
      </c>
      <c r="J32" s="532">
        <f>J31/J10*100</f>
        <v>22.95</v>
      </c>
      <c r="K32" s="518" t="s">
        <v>907</v>
      </c>
      <c r="L32" s="518"/>
      <c r="M32" s="518"/>
      <c r="N32" s="518"/>
      <c r="O32" s="518"/>
      <c r="P32" s="518"/>
      <c r="Q32" s="518"/>
      <c r="R32" s="533">
        <f>R31/R10*100</f>
        <v>22.93</v>
      </c>
      <c r="S32" s="518" t="s">
        <v>907</v>
      </c>
    </row>
    <row r="33" spans="1:19" x14ac:dyDescent="0.25">
      <c r="A33" s="531" t="s">
        <v>922</v>
      </c>
      <c r="B33" s="536">
        <f>B32/100</f>
        <v>0.22919999999999999</v>
      </c>
      <c r="C33" s="300" t="s">
        <v>923</v>
      </c>
      <c r="J33" s="537">
        <f>J32/100</f>
        <v>0.22950000000000001</v>
      </c>
      <c r="K33" s="518" t="s">
        <v>923</v>
      </c>
      <c r="L33" s="518"/>
      <c r="M33" s="518"/>
      <c r="N33" s="518"/>
      <c r="O33" s="518"/>
      <c r="P33" s="518"/>
      <c r="Q33" s="518"/>
      <c r="R33" s="538">
        <f>R32/100</f>
        <v>0.2293</v>
      </c>
      <c r="S33" s="518" t="s">
        <v>923</v>
      </c>
    </row>
    <row r="34" spans="1:19" x14ac:dyDescent="0.25">
      <c r="A34" s="300" t="s">
        <v>924</v>
      </c>
      <c r="B34" s="303">
        <f>B31*3</f>
        <v>2866.89</v>
      </c>
      <c r="J34" s="303">
        <f>J31*3</f>
        <v>2870.88</v>
      </c>
      <c r="K34" s="518"/>
      <c r="L34" s="518"/>
      <c r="M34" s="518"/>
      <c r="N34" s="518"/>
      <c r="O34" s="518"/>
      <c r="P34" s="518"/>
      <c r="Q34" s="518"/>
      <c r="R34" s="521">
        <f>R31*3</f>
        <v>2897.07</v>
      </c>
      <c r="S34" s="518"/>
    </row>
    <row r="35" spans="1:19" x14ac:dyDescent="0.25">
      <c r="B35" s="302">
        <f>B34*12</f>
        <v>34402.68</v>
      </c>
      <c r="C35" s="302"/>
      <c r="D35" s="302"/>
      <c r="E35" s="302"/>
      <c r="F35" s="302"/>
      <c r="G35" s="302"/>
      <c r="H35" s="302"/>
      <c r="I35" s="302"/>
      <c r="J35" s="302">
        <f>J34*12</f>
        <v>34450.559999999998</v>
      </c>
      <c r="K35" s="520"/>
      <c r="L35" s="520"/>
      <c r="M35" s="520"/>
      <c r="N35" s="520"/>
      <c r="O35" s="520"/>
      <c r="P35" s="520"/>
      <c r="Q35" s="520"/>
      <c r="R35" s="520">
        <f>R34*12</f>
        <v>34764.839999999997</v>
      </c>
      <c r="S35" s="520"/>
    </row>
  </sheetData>
  <pageMargins left="0.7" right="0.7" top="0.75" bottom="0.75" header="0.3" footer="0.3"/>
  <pageSetup paperSize="9" scale="8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C176"/>
  <sheetViews>
    <sheetView view="pageBreakPreview" zoomScale="75" zoomScaleNormal="75" zoomScaleSheetLayoutView="75" workbookViewId="0">
      <pane xSplit="3" ySplit="7" topLeftCell="D67" activePane="bottomRight" state="frozen"/>
      <selection activeCell="L107" sqref="L107"/>
      <selection pane="topRight" activeCell="L107" sqref="L107"/>
      <selection pane="bottomLeft" activeCell="L107" sqref="L107"/>
      <selection pane="bottomRight" activeCell="F73" sqref="F73"/>
    </sheetView>
  </sheetViews>
  <sheetFormatPr defaultRowHeight="15" x14ac:dyDescent="0.25"/>
  <cols>
    <col min="1" max="1" width="6.5703125" style="445" hidden="1" customWidth="1"/>
    <col min="2" max="2" width="7.28515625" style="445" hidden="1" customWidth="1"/>
    <col min="3" max="3" width="38.5703125" style="445" customWidth="1"/>
    <col min="4" max="15" width="6.42578125" style="445" customWidth="1"/>
    <col min="16" max="23" width="7.5703125" style="445" customWidth="1"/>
    <col min="24" max="256" width="9.140625" style="445"/>
    <col min="257" max="258" width="0" style="445" hidden="1" customWidth="1"/>
    <col min="259" max="259" width="38.5703125" style="445" customWidth="1"/>
    <col min="260" max="271" width="12" style="445" bestFit="1" customWidth="1"/>
    <col min="272" max="272" width="13.7109375" style="445" customWidth="1"/>
    <col min="273" max="279" width="13.7109375" style="445" bestFit="1" customWidth="1"/>
    <col min="280" max="512" width="9.140625" style="445"/>
    <col min="513" max="514" width="0" style="445" hidden="1" customWidth="1"/>
    <col min="515" max="515" width="38.5703125" style="445" customWidth="1"/>
    <col min="516" max="527" width="12" style="445" bestFit="1" customWidth="1"/>
    <col min="528" max="528" width="13.7109375" style="445" customWidth="1"/>
    <col min="529" max="535" width="13.7109375" style="445" bestFit="1" customWidth="1"/>
    <col min="536" max="768" width="9.140625" style="445"/>
    <col min="769" max="770" width="0" style="445" hidden="1" customWidth="1"/>
    <col min="771" max="771" width="38.5703125" style="445" customWidth="1"/>
    <col min="772" max="783" width="12" style="445" bestFit="1" customWidth="1"/>
    <col min="784" max="784" width="13.7109375" style="445" customWidth="1"/>
    <col min="785" max="791" width="13.7109375" style="445" bestFit="1" customWidth="1"/>
    <col min="792" max="1024" width="9.140625" style="445"/>
    <col min="1025" max="1026" width="0" style="445" hidden="1" customWidth="1"/>
    <col min="1027" max="1027" width="38.5703125" style="445" customWidth="1"/>
    <col min="1028" max="1039" width="12" style="445" bestFit="1" customWidth="1"/>
    <col min="1040" max="1040" width="13.7109375" style="445" customWidth="1"/>
    <col min="1041" max="1047" width="13.7109375" style="445" bestFit="1" customWidth="1"/>
    <col min="1048" max="1280" width="9.140625" style="445"/>
    <col min="1281" max="1282" width="0" style="445" hidden="1" customWidth="1"/>
    <col min="1283" max="1283" width="38.5703125" style="445" customWidth="1"/>
    <col min="1284" max="1295" width="12" style="445" bestFit="1" customWidth="1"/>
    <col min="1296" max="1296" width="13.7109375" style="445" customWidth="1"/>
    <col min="1297" max="1303" width="13.7109375" style="445" bestFit="1" customWidth="1"/>
    <col min="1304" max="1536" width="9.140625" style="445"/>
    <col min="1537" max="1538" width="0" style="445" hidden="1" customWidth="1"/>
    <col min="1539" max="1539" width="38.5703125" style="445" customWidth="1"/>
    <col min="1540" max="1551" width="12" style="445" bestFit="1" customWidth="1"/>
    <col min="1552" max="1552" width="13.7109375" style="445" customWidth="1"/>
    <col min="1553" max="1559" width="13.7109375" style="445" bestFit="1" customWidth="1"/>
    <col min="1560" max="1792" width="9.140625" style="445"/>
    <col min="1793" max="1794" width="0" style="445" hidden="1" customWidth="1"/>
    <col min="1795" max="1795" width="38.5703125" style="445" customWidth="1"/>
    <col min="1796" max="1807" width="12" style="445" bestFit="1" customWidth="1"/>
    <col min="1808" max="1808" width="13.7109375" style="445" customWidth="1"/>
    <col min="1809" max="1815" width="13.7109375" style="445" bestFit="1" customWidth="1"/>
    <col min="1816" max="2048" width="9.140625" style="445"/>
    <col min="2049" max="2050" width="0" style="445" hidden="1" customWidth="1"/>
    <col min="2051" max="2051" width="38.5703125" style="445" customWidth="1"/>
    <col min="2052" max="2063" width="12" style="445" bestFit="1" customWidth="1"/>
    <col min="2064" max="2064" width="13.7109375" style="445" customWidth="1"/>
    <col min="2065" max="2071" width="13.7109375" style="445" bestFit="1" customWidth="1"/>
    <col min="2072" max="2304" width="9.140625" style="445"/>
    <col min="2305" max="2306" width="0" style="445" hidden="1" customWidth="1"/>
    <col min="2307" max="2307" width="38.5703125" style="445" customWidth="1"/>
    <col min="2308" max="2319" width="12" style="445" bestFit="1" customWidth="1"/>
    <col min="2320" max="2320" width="13.7109375" style="445" customWidth="1"/>
    <col min="2321" max="2327" width="13.7109375" style="445" bestFit="1" customWidth="1"/>
    <col min="2328" max="2560" width="9.140625" style="445"/>
    <col min="2561" max="2562" width="0" style="445" hidden="1" customWidth="1"/>
    <col min="2563" max="2563" width="38.5703125" style="445" customWidth="1"/>
    <col min="2564" max="2575" width="12" style="445" bestFit="1" customWidth="1"/>
    <col min="2576" max="2576" width="13.7109375" style="445" customWidth="1"/>
    <col min="2577" max="2583" width="13.7109375" style="445" bestFit="1" customWidth="1"/>
    <col min="2584" max="2816" width="9.140625" style="445"/>
    <col min="2817" max="2818" width="0" style="445" hidden="1" customWidth="1"/>
    <col min="2819" max="2819" width="38.5703125" style="445" customWidth="1"/>
    <col min="2820" max="2831" width="12" style="445" bestFit="1" customWidth="1"/>
    <col min="2832" max="2832" width="13.7109375" style="445" customWidth="1"/>
    <col min="2833" max="2839" width="13.7109375" style="445" bestFit="1" customWidth="1"/>
    <col min="2840" max="3072" width="9.140625" style="445"/>
    <col min="3073" max="3074" width="0" style="445" hidden="1" customWidth="1"/>
    <col min="3075" max="3075" width="38.5703125" style="445" customWidth="1"/>
    <col min="3076" max="3087" width="12" style="445" bestFit="1" customWidth="1"/>
    <col min="3088" max="3088" width="13.7109375" style="445" customWidth="1"/>
    <col min="3089" max="3095" width="13.7109375" style="445" bestFit="1" customWidth="1"/>
    <col min="3096" max="3328" width="9.140625" style="445"/>
    <col min="3329" max="3330" width="0" style="445" hidden="1" customWidth="1"/>
    <col min="3331" max="3331" width="38.5703125" style="445" customWidth="1"/>
    <col min="3332" max="3343" width="12" style="445" bestFit="1" customWidth="1"/>
    <col min="3344" max="3344" width="13.7109375" style="445" customWidth="1"/>
    <col min="3345" max="3351" width="13.7109375" style="445" bestFit="1" customWidth="1"/>
    <col min="3352" max="3584" width="9.140625" style="445"/>
    <col min="3585" max="3586" width="0" style="445" hidden="1" customWidth="1"/>
    <col min="3587" max="3587" width="38.5703125" style="445" customWidth="1"/>
    <col min="3588" max="3599" width="12" style="445" bestFit="1" customWidth="1"/>
    <col min="3600" max="3600" width="13.7109375" style="445" customWidth="1"/>
    <col min="3601" max="3607" width="13.7109375" style="445" bestFit="1" customWidth="1"/>
    <col min="3608" max="3840" width="9.140625" style="445"/>
    <col min="3841" max="3842" width="0" style="445" hidden="1" customWidth="1"/>
    <col min="3843" max="3843" width="38.5703125" style="445" customWidth="1"/>
    <col min="3844" max="3855" width="12" style="445" bestFit="1" customWidth="1"/>
    <col min="3856" max="3856" width="13.7109375" style="445" customWidth="1"/>
    <col min="3857" max="3863" width="13.7109375" style="445" bestFit="1" customWidth="1"/>
    <col min="3864" max="4096" width="9.140625" style="445"/>
    <col min="4097" max="4098" width="0" style="445" hidden="1" customWidth="1"/>
    <col min="4099" max="4099" width="38.5703125" style="445" customWidth="1"/>
    <col min="4100" max="4111" width="12" style="445" bestFit="1" customWidth="1"/>
    <col min="4112" max="4112" width="13.7109375" style="445" customWidth="1"/>
    <col min="4113" max="4119" width="13.7109375" style="445" bestFit="1" customWidth="1"/>
    <col min="4120" max="4352" width="9.140625" style="445"/>
    <col min="4353" max="4354" width="0" style="445" hidden="1" customWidth="1"/>
    <col min="4355" max="4355" width="38.5703125" style="445" customWidth="1"/>
    <col min="4356" max="4367" width="12" style="445" bestFit="1" customWidth="1"/>
    <col min="4368" max="4368" width="13.7109375" style="445" customWidth="1"/>
    <col min="4369" max="4375" width="13.7109375" style="445" bestFit="1" customWidth="1"/>
    <col min="4376" max="4608" width="9.140625" style="445"/>
    <col min="4609" max="4610" width="0" style="445" hidden="1" customWidth="1"/>
    <col min="4611" max="4611" width="38.5703125" style="445" customWidth="1"/>
    <col min="4612" max="4623" width="12" style="445" bestFit="1" customWidth="1"/>
    <col min="4624" max="4624" width="13.7109375" style="445" customWidth="1"/>
    <col min="4625" max="4631" width="13.7109375" style="445" bestFit="1" customWidth="1"/>
    <col min="4632" max="4864" width="9.140625" style="445"/>
    <col min="4865" max="4866" width="0" style="445" hidden="1" customWidth="1"/>
    <col min="4867" max="4867" width="38.5703125" style="445" customWidth="1"/>
    <col min="4868" max="4879" width="12" style="445" bestFit="1" customWidth="1"/>
    <col min="4880" max="4880" width="13.7109375" style="445" customWidth="1"/>
    <col min="4881" max="4887" width="13.7109375" style="445" bestFit="1" customWidth="1"/>
    <col min="4888" max="5120" width="9.140625" style="445"/>
    <col min="5121" max="5122" width="0" style="445" hidden="1" customWidth="1"/>
    <col min="5123" max="5123" width="38.5703125" style="445" customWidth="1"/>
    <col min="5124" max="5135" width="12" style="445" bestFit="1" customWidth="1"/>
    <col min="5136" max="5136" width="13.7109375" style="445" customWidth="1"/>
    <col min="5137" max="5143" width="13.7109375" style="445" bestFit="1" customWidth="1"/>
    <col min="5144" max="5376" width="9.140625" style="445"/>
    <col min="5377" max="5378" width="0" style="445" hidden="1" customWidth="1"/>
    <col min="5379" max="5379" width="38.5703125" style="445" customWidth="1"/>
    <col min="5380" max="5391" width="12" style="445" bestFit="1" customWidth="1"/>
    <col min="5392" max="5392" width="13.7109375" style="445" customWidth="1"/>
    <col min="5393" max="5399" width="13.7109375" style="445" bestFit="1" customWidth="1"/>
    <col min="5400" max="5632" width="9.140625" style="445"/>
    <col min="5633" max="5634" width="0" style="445" hidden="1" customWidth="1"/>
    <col min="5635" max="5635" width="38.5703125" style="445" customWidth="1"/>
    <col min="5636" max="5647" width="12" style="445" bestFit="1" customWidth="1"/>
    <col min="5648" max="5648" width="13.7109375" style="445" customWidth="1"/>
    <col min="5649" max="5655" width="13.7109375" style="445" bestFit="1" customWidth="1"/>
    <col min="5656" max="5888" width="9.140625" style="445"/>
    <col min="5889" max="5890" width="0" style="445" hidden="1" customWidth="1"/>
    <col min="5891" max="5891" width="38.5703125" style="445" customWidth="1"/>
    <col min="5892" max="5903" width="12" style="445" bestFit="1" customWidth="1"/>
    <col min="5904" max="5904" width="13.7109375" style="445" customWidth="1"/>
    <col min="5905" max="5911" width="13.7109375" style="445" bestFit="1" customWidth="1"/>
    <col min="5912" max="6144" width="9.140625" style="445"/>
    <col min="6145" max="6146" width="0" style="445" hidden="1" customWidth="1"/>
    <col min="6147" max="6147" width="38.5703125" style="445" customWidth="1"/>
    <col min="6148" max="6159" width="12" style="445" bestFit="1" customWidth="1"/>
    <col min="6160" max="6160" width="13.7109375" style="445" customWidth="1"/>
    <col min="6161" max="6167" width="13.7109375" style="445" bestFit="1" customWidth="1"/>
    <col min="6168" max="6400" width="9.140625" style="445"/>
    <col min="6401" max="6402" width="0" style="445" hidden="1" customWidth="1"/>
    <col min="6403" max="6403" width="38.5703125" style="445" customWidth="1"/>
    <col min="6404" max="6415" width="12" style="445" bestFit="1" customWidth="1"/>
    <col min="6416" max="6416" width="13.7109375" style="445" customWidth="1"/>
    <col min="6417" max="6423" width="13.7109375" style="445" bestFit="1" customWidth="1"/>
    <col min="6424" max="6656" width="9.140625" style="445"/>
    <col min="6657" max="6658" width="0" style="445" hidden="1" customWidth="1"/>
    <col min="6659" max="6659" width="38.5703125" style="445" customWidth="1"/>
    <col min="6660" max="6671" width="12" style="445" bestFit="1" customWidth="1"/>
    <col min="6672" max="6672" width="13.7109375" style="445" customWidth="1"/>
    <col min="6673" max="6679" width="13.7109375" style="445" bestFit="1" customWidth="1"/>
    <col min="6680" max="6912" width="9.140625" style="445"/>
    <col min="6913" max="6914" width="0" style="445" hidden="1" customWidth="1"/>
    <col min="6915" max="6915" width="38.5703125" style="445" customWidth="1"/>
    <col min="6916" max="6927" width="12" style="445" bestFit="1" customWidth="1"/>
    <col min="6928" max="6928" width="13.7109375" style="445" customWidth="1"/>
    <col min="6929" max="6935" width="13.7109375" style="445" bestFit="1" customWidth="1"/>
    <col min="6936" max="7168" width="9.140625" style="445"/>
    <col min="7169" max="7170" width="0" style="445" hidden="1" customWidth="1"/>
    <col min="7171" max="7171" width="38.5703125" style="445" customWidth="1"/>
    <col min="7172" max="7183" width="12" style="445" bestFit="1" customWidth="1"/>
    <col min="7184" max="7184" width="13.7109375" style="445" customWidth="1"/>
    <col min="7185" max="7191" width="13.7109375" style="445" bestFit="1" customWidth="1"/>
    <col min="7192" max="7424" width="9.140625" style="445"/>
    <col min="7425" max="7426" width="0" style="445" hidden="1" customWidth="1"/>
    <col min="7427" max="7427" width="38.5703125" style="445" customWidth="1"/>
    <col min="7428" max="7439" width="12" style="445" bestFit="1" customWidth="1"/>
    <col min="7440" max="7440" width="13.7109375" style="445" customWidth="1"/>
    <col min="7441" max="7447" width="13.7109375" style="445" bestFit="1" customWidth="1"/>
    <col min="7448" max="7680" width="9.140625" style="445"/>
    <col min="7681" max="7682" width="0" style="445" hidden="1" customWidth="1"/>
    <col min="7683" max="7683" width="38.5703125" style="445" customWidth="1"/>
    <col min="7684" max="7695" width="12" style="445" bestFit="1" customWidth="1"/>
    <col min="7696" max="7696" width="13.7109375" style="445" customWidth="1"/>
    <col min="7697" max="7703" width="13.7109375" style="445" bestFit="1" customWidth="1"/>
    <col min="7704" max="7936" width="9.140625" style="445"/>
    <col min="7937" max="7938" width="0" style="445" hidden="1" customWidth="1"/>
    <col min="7939" max="7939" width="38.5703125" style="445" customWidth="1"/>
    <col min="7940" max="7951" width="12" style="445" bestFit="1" customWidth="1"/>
    <col min="7952" max="7952" width="13.7109375" style="445" customWidth="1"/>
    <col min="7953" max="7959" width="13.7109375" style="445" bestFit="1" customWidth="1"/>
    <col min="7960" max="8192" width="9.140625" style="445"/>
    <col min="8193" max="8194" width="0" style="445" hidden="1" customWidth="1"/>
    <col min="8195" max="8195" width="38.5703125" style="445" customWidth="1"/>
    <col min="8196" max="8207" width="12" style="445" bestFit="1" customWidth="1"/>
    <col min="8208" max="8208" width="13.7109375" style="445" customWidth="1"/>
    <col min="8209" max="8215" width="13.7109375" style="445" bestFit="1" customWidth="1"/>
    <col min="8216" max="8448" width="9.140625" style="445"/>
    <col min="8449" max="8450" width="0" style="445" hidden="1" customWidth="1"/>
    <col min="8451" max="8451" width="38.5703125" style="445" customWidth="1"/>
    <col min="8452" max="8463" width="12" style="445" bestFit="1" customWidth="1"/>
    <col min="8464" max="8464" width="13.7109375" style="445" customWidth="1"/>
    <col min="8465" max="8471" width="13.7109375" style="445" bestFit="1" customWidth="1"/>
    <col min="8472" max="8704" width="9.140625" style="445"/>
    <col min="8705" max="8706" width="0" style="445" hidden="1" customWidth="1"/>
    <col min="8707" max="8707" width="38.5703125" style="445" customWidth="1"/>
    <col min="8708" max="8719" width="12" style="445" bestFit="1" customWidth="1"/>
    <col min="8720" max="8720" width="13.7109375" style="445" customWidth="1"/>
    <col min="8721" max="8727" width="13.7109375" style="445" bestFit="1" customWidth="1"/>
    <col min="8728" max="8960" width="9.140625" style="445"/>
    <col min="8961" max="8962" width="0" style="445" hidden="1" customWidth="1"/>
    <col min="8963" max="8963" width="38.5703125" style="445" customWidth="1"/>
    <col min="8964" max="8975" width="12" style="445" bestFit="1" customWidth="1"/>
    <col min="8976" max="8976" width="13.7109375" style="445" customWidth="1"/>
    <col min="8977" max="8983" width="13.7109375" style="445" bestFit="1" customWidth="1"/>
    <col min="8984" max="9216" width="9.140625" style="445"/>
    <col min="9217" max="9218" width="0" style="445" hidden="1" customWidth="1"/>
    <col min="9219" max="9219" width="38.5703125" style="445" customWidth="1"/>
    <col min="9220" max="9231" width="12" style="445" bestFit="1" customWidth="1"/>
    <col min="9232" max="9232" width="13.7109375" style="445" customWidth="1"/>
    <col min="9233" max="9239" width="13.7109375" style="445" bestFit="1" customWidth="1"/>
    <col min="9240" max="9472" width="9.140625" style="445"/>
    <col min="9473" max="9474" width="0" style="445" hidden="1" customWidth="1"/>
    <col min="9475" max="9475" width="38.5703125" style="445" customWidth="1"/>
    <col min="9476" max="9487" width="12" style="445" bestFit="1" customWidth="1"/>
    <col min="9488" max="9488" width="13.7109375" style="445" customWidth="1"/>
    <col min="9489" max="9495" width="13.7109375" style="445" bestFit="1" customWidth="1"/>
    <col min="9496" max="9728" width="9.140625" style="445"/>
    <col min="9729" max="9730" width="0" style="445" hidden="1" customWidth="1"/>
    <col min="9731" max="9731" width="38.5703125" style="445" customWidth="1"/>
    <col min="9732" max="9743" width="12" style="445" bestFit="1" customWidth="1"/>
    <col min="9744" max="9744" width="13.7109375" style="445" customWidth="1"/>
    <col min="9745" max="9751" width="13.7109375" style="445" bestFit="1" customWidth="1"/>
    <col min="9752" max="9984" width="9.140625" style="445"/>
    <col min="9985" max="9986" width="0" style="445" hidden="1" customWidth="1"/>
    <col min="9987" max="9987" width="38.5703125" style="445" customWidth="1"/>
    <col min="9988" max="9999" width="12" style="445" bestFit="1" customWidth="1"/>
    <col min="10000" max="10000" width="13.7109375" style="445" customWidth="1"/>
    <col min="10001" max="10007" width="13.7109375" style="445" bestFit="1" customWidth="1"/>
    <col min="10008" max="10240" width="9.140625" style="445"/>
    <col min="10241" max="10242" width="0" style="445" hidden="1" customWidth="1"/>
    <col min="10243" max="10243" width="38.5703125" style="445" customWidth="1"/>
    <col min="10244" max="10255" width="12" style="445" bestFit="1" customWidth="1"/>
    <col min="10256" max="10256" width="13.7109375" style="445" customWidth="1"/>
    <col min="10257" max="10263" width="13.7109375" style="445" bestFit="1" customWidth="1"/>
    <col min="10264" max="10496" width="9.140625" style="445"/>
    <col min="10497" max="10498" width="0" style="445" hidden="1" customWidth="1"/>
    <col min="10499" max="10499" width="38.5703125" style="445" customWidth="1"/>
    <col min="10500" max="10511" width="12" style="445" bestFit="1" customWidth="1"/>
    <col min="10512" max="10512" width="13.7109375" style="445" customWidth="1"/>
    <col min="10513" max="10519" width="13.7109375" style="445" bestFit="1" customWidth="1"/>
    <col min="10520" max="10752" width="9.140625" style="445"/>
    <col min="10753" max="10754" width="0" style="445" hidden="1" customWidth="1"/>
    <col min="10755" max="10755" width="38.5703125" style="445" customWidth="1"/>
    <col min="10756" max="10767" width="12" style="445" bestFit="1" customWidth="1"/>
    <col min="10768" max="10768" width="13.7109375" style="445" customWidth="1"/>
    <col min="10769" max="10775" width="13.7109375" style="445" bestFit="1" customWidth="1"/>
    <col min="10776" max="11008" width="9.140625" style="445"/>
    <col min="11009" max="11010" width="0" style="445" hidden="1" customWidth="1"/>
    <col min="11011" max="11011" width="38.5703125" style="445" customWidth="1"/>
    <col min="11012" max="11023" width="12" style="445" bestFit="1" customWidth="1"/>
    <col min="11024" max="11024" width="13.7109375" style="445" customWidth="1"/>
    <col min="11025" max="11031" width="13.7109375" style="445" bestFit="1" customWidth="1"/>
    <col min="11032" max="11264" width="9.140625" style="445"/>
    <col min="11265" max="11266" width="0" style="445" hidden="1" customWidth="1"/>
    <col min="11267" max="11267" width="38.5703125" style="445" customWidth="1"/>
    <col min="11268" max="11279" width="12" style="445" bestFit="1" customWidth="1"/>
    <col min="11280" max="11280" width="13.7109375" style="445" customWidth="1"/>
    <col min="11281" max="11287" width="13.7109375" style="445" bestFit="1" customWidth="1"/>
    <col min="11288" max="11520" width="9.140625" style="445"/>
    <col min="11521" max="11522" width="0" style="445" hidden="1" customWidth="1"/>
    <col min="11523" max="11523" width="38.5703125" style="445" customWidth="1"/>
    <col min="11524" max="11535" width="12" style="445" bestFit="1" customWidth="1"/>
    <col min="11536" max="11536" width="13.7109375" style="445" customWidth="1"/>
    <col min="11537" max="11543" width="13.7109375" style="445" bestFit="1" customWidth="1"/>
    <col min="11544" max="11776" width="9.140625" style="445"/>
    <col min="11777" max="11778" width="0" style="445" hidden="1" customWidth="1"/>
    <col min="11779" max="11779" width="38.5703125" style="445" customWidth="1"/>
    <col min="11780" max="11791" width="12" style="445" bestFit="1" customWidth="1"/>
    <col min="11792" max="11792" width="13.7109375" style="445" customWidth="1"/>
    <col min="11793" max="11799" width="13.7109375" style="445" bestFit="1" customWidth="1"/>
    <col min="11800" max="12032" width="9.140625" style="445"/>
    <col min="12033" max="12034" width="0" style="445" hidden="1" customWidth="1"/>
    <col min="12035" max="12035" width="38.5703125" style="445" customWidth="1"/>
    <col min="12036" max="12047" width="12" style="445" bestFit="1" customWidth="1"/>
    <col min="12048" max="12048" width="13.7109375" style="445" customWidth="1"/>
    <col min="12049" max="12055" width="13.7109375" style="445" bestFit="1" customWidth="1"/>
    <col min="12056" max="12288" width="9.140625" style="445"/>
    <col min="12289" max="12290" width="0" style="445" hidden="1" customWidth="1"/>
    <col min="12291" max="12291" width="38.5703125" style="445" customWidth="1"/>
    <col min="12292" max="12303" width="12" style="445" bestFit="1" customWidth="1"/>
    <col min="12304" max="12304" width="13.7109375" style="445" customWidth="1"/>
    <col min="12305" max="12311" width="13.7109375" style="445" bestFit="1" customWidth="1"/>
    <col min="12312" max="12544" width="9.140625" style="445"/>
    <col min="12545" max="12546" width="0" style="445" hidden="1" customWidth="1"/>
    <col min="12547" max="12547" width="38.5703125" style="445" customWidth="1"/>
    <col min="12548" max="12559" width="12" style="445" bestFit="1" customWidth="1"/>
    <col min="12560" max="12560" width="13.7109375" style="445" customWidth="1"/>
    <col min="12561" max="12567" width="13.7109375" style="445" bestFit="1" customWidth="1"/>
    <col min="12568" max="12800" width="9.140625" style="445"/>
    <col min="12801" max="12802" width="0" style="445" hidden="1" customWidth="1"/>
    <col min="12803" max="12803" width="38.5703125" style="445" customWidth="1"/>
    <col min="12804" max="12815" width="12" style="445" bestFit="1" customWidth="1"/>
    <col min="12816" max="12816" width="13.7109375" style="445" customWidth="1"/>
    <col min="12817" max="12823" width="13.7109375" style="445" bestFit="1" customWidth="1"/>
    <col min="12824" max="13056" width="9.140625" style="445"/>
    <col min="13057" max="13058" width="0" style="445" hidden="1" customWidth="1"/>
    <col min="13059" max="13059" width="38.5703125" style="445" customWidth="1"/>
    <col min="13060" max="13071" width="12" style="445" bestFit="1" customWidth="1"/>
    <col min="13072" max="13072" width="13.7109375" style="445" customWidth="1"/>
    <col min="13073" max="13079" width="13.7109375" style="445" bestFit="1" customWidth="1"/>
    <col min="13080" max="13312" width="9.140625" style="445"/>
    <col min="13313" max="13314" width="0" style="445" hidden="1" customWidth="1"/>
    <col min="13315" max="13315" width="38.5703125" style="445" customWidth="1"/>
    <col min="13316" max="13327" width="12" style="445" bestFit="1" customWidth="1"/>
    <col min="13328" max="13328" width="13.7109375" style="445" customWidth="1"/>
    <col min="13329" max="13335" width="13.7109375" style="445" bestFit="1" customWidth="1"/>
    <col min="13336" max="13568" width="9.140625" style="445"/>
    <col min="13569" max="13570" width="0" style="445" hidden="1" customWidth="1"/>
    <col min="13571" max="13571" width="38.5703125" style="445" customWidth="1"/>
    <col min="13572" max="13583" width="12" style="445" bestFit="1" customWidth="1"/>
    <col min="13584" max="13584" width="13.7109375" style="445" customWidth="1"/>
    <col min="13585" max="13591" width="13.7109375" style="445" bestFit="1" customWidth="1"/>
    <col min="13592" max="13824" width="9.140625" style="445"/>
    <col min="13825" max="13826" width="0" style="445" hidden="1" customWidth="1"/>
    <col min="13827" max="13827" width="38.5703125" style="445" customWidth="1"/>
    <col min="13828" max="13839" width="12" style="445" bestFit="1" customWidth="1"/>
    <col min="13840" max="13840" width="13.7109375" style="445" customWidth="1"/>
    <col min="13841" max="13847" width="13.7109375" style="445" bestFit="1" customWidth="1"/>
    <col min="13848" max="14080" width="9.140625" style="445"/>
    <col min="14081" max="14082" width="0" style="445" hidden="1" customWidth="1"/>
    <col min="14083" max="14083" width="38.5703125" style="445" customWidth="1"/>
    <col min="14084" max="14095" width="12" style="445" bestFit="1" customWidth="1"/>
    <col min="14096" max="14096" width="13.7109375" style="445" customWidth="1"/>
    <col min="14097" max="14103" width="13.7109375" style="445" bestFit="1" customWidth="1"/>
    <col min="14104" max="14336" width="9.140625" style="445"/>
    <col min="14337" max="14338" width="0" style="445" hidden="1" customWidth="1"/>
    <col min="14339" max="14339" width="38.5703125" style="445" customWidth="1"/>
    <col min="14340" max="14351" width="12" style="445" bestFit="1" customWidth="1"/>
    <col min="14352" max="14352" width="13.7109375" style="445" customWidth="1"/>
    <col min="14353" max="14359" width="13.7109375" style="445" bestFit="1" customWidth="1"/>
    <col min="14360" max="14592" width="9.140625" style="445"/>
    <col min="14593" max="14594" width="0" style="445" hidden="1" customWidth="1"/>
    <col min="14595" max="14595" width="38.5703125" style="445" customWidth="1"/>
    <col min="14596" max="14607" width="12" style="445" bestFit="1" customWidth="1"/>
    <col min="14608" max="14608" width="13.7109375" style="445" customWidth="1"/>
    <col min="14609" max="14615" width="13.7109375" style="445" bestFit="1" customWidth="1"/>
    <col min="14616" max="14848" width="9.140625" style="445"/>
    <col min="14849" max="14850" width="0" style="445" hidden="1" customWidth="1"/>
    <col min="14851" max="14851" width="38.5703125" style="445" customWidth="1"/>
    <col min="14852" max="14863" width="12" style="445" bestFit="1" customWidth="1"/>
    <col min="14864" max="14864" width="13.7109375" style="445" customWidth="1"/>
    <col min="14865" max="14871" width="13.7109375" style="445" bestFit="1" customWidth="1"/>
    <col min="14872" max="15104" width="9.140625" style="445"/>
    <col min="15105" max="15106" width="0" style="445" hidden="1" customWidth="1"/>
    <col min="15107" max="15107" width="38.5703125" style="445" customWidth="1"/>
    <col min="15108" max="15119" width="12" style="445" bestFit="1" customWidth="1"/>
    <col min="15120" max="15120" width="13.7109375" style="445" customWidth="1"/>
    <col min="15121" max="15127" width="13.7109375" style="445" bestFit="1" customWidth="1"/>
    <col min="15128" max="15360" width="9.140625" style="445"/>
    <col min="15361" max="15362" width="0" style="445" hidden="1" customWidth="1"/>
    <col min="15363" max="15363" width="38.5703125" style="445" customWidth="1"/>
    <col min="15364" max="15375" width="12" style="445" bestFit="1" customWidth="1"/>
    <col min="15376" max="15376" width="13.7109375" style="445" customWidth="1"/>
    <col min="15377" max="15383" width="13.7109375" style="445" bestFit="1" customWidth="1"/>
    <col min="15384" max="15616" width="9.140625" style="445"/>
    <col min="15617" max="15618" width="0" style="445" hidden="1" customWidth="1"/>
    <col min="15619" max="15619" width="38.5703125" style="445" customWidth="1"/>
    <col min="15620" max="15631" width="12" style="445" bestFit="1" customWidth="1"/>
    <col min="15632" max="15632" width="13.7109375" style="445" customWidth="1"/>
    <col min="15633" max="15639" width="13.7109375" style="445" bestFit="1" customWidth="1"/>
    <col min="15640" max="15872" width="9.140625" style="445"/>
    <col min="15873" max="15874" width="0" style="445" hidden="1" customWidth="1"/>
    <col min="15875" max="15875" width="38.5703125" style="445" customWidth="1"/>
    <col min="15876" max="15887" width="12" style="445" bestFit="1" customWidth="1"/>
    <col min="15888" max="15888" width="13.7109375" style="445" customWidth="1"/>
    <col min="15889" max="15895" width="13.7109375" style="445" bestFit="1" customWidth="1"/>
    <col min="15896" max="16128" width="9.140625" style="445"/>
    <col min="16129" max="16130" width="0" style="445" hidden="1" customWidth="1"/>
    <col min="16131" max="16131" width="38.5703125" style="445" customWidth="1"/>
    <col min="16132" max="16143" width="12" style="445" bestFit="1" customWidth="1"/>
    <col min="16144" max="16144" width="13.7109375" style="445" customWidth="1"/>
    <col min="16145" max="16151" width="13.7109375" style="445" bestFit="1" customWidth="1"/>
    <col min="16152" max="16384" width="9.140625" style="445"/>
  </cols>
  <sheetData>
    <row r="1" spans="1:29" x14ac:dyDescent="0.25">
      <c r="C1" s="458" t="s">
        <v>1130</v>
      </c>
    </row>
    <row r="2" spans="1:29" hidden="1" x14ac:dyDescent="0.25"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</row>
    <row r="3" spans="1:29" x14ac:dyDescent="0.25">
      <c r="A3" s="1383" t="s">
        <v>2</v>
      </c>
      <c r="B3" s="1383" t="s">
        <v>1129</v>
      </c>
      <c r="C3" s="1383" t="s">
        <v>1128</v>
      </c>
      <c r="D3" s="1386" t="s">
        <v>1127</v>
      </c>
      <c r="E3" s="1386"/>
      <c r="F3" s="1386"/>
      <c r="G3" s="1386"/>
      <c r="H3" s="1386"/>
      <c r="I3" s="1386"/>
      <c r="J3" s="1386"/>
      <c r="K3" s="1386"/>
      <c r="L3" s="1386"/>
      <c r="M3" s="1386"/>
      <c r="N3" s="1386"/>
      <c r="O3" s="1386"/>
      <c r="P3" s="1386"/>
      <c r="Q3" s="1386"/>
      <c r="R3" s="1386"/>
      <c r="S3" s="1386"/>
      <c r="T3" s="1386"/>
      <c r="U3" s="1386"/>
      <c r="V3" s="1386"/>
      <c r="W3" s="1386"/>
    </row>
    <row r="4" spans="1:29" x14ac:dyDescent="0.25">
      <c r="A4" s="1384"/>
      <c r="B4" s="1384"/>
      <c r="C4" s="1384"/>
      <c r="D4" s="1387" t="s">
        <v>1126</v>
      </c>
      <c r="E4" s="1387"/>
      <c r="F4" s="1387"/>
      <c r="G4" s="1387"/>
      <c r="H4" s="1387"/>
      <c r="I4" s="1387"/>
      <c r="J4" s="1387"/>
      <c r="K4" s="1387"/>
      <c r="L4" s="1387"/>
      <c r="M4" s="1387"/>
      <c r="N4" s="1387"/>
      <c r="O4" s="1387"/>
      <c r="P4" s="1387"/>
      <c r="Q4" s="1387"/>
      <c r="R4" s="1387"/>
      <c r="S4" s="1387"/>
      <c r="T4" s="1387"/>
      <c r="U4" s="1387"/>
      <c r="V4" s="1387"/>
      <c r="W4" s="1387"/>
    </row>
    <row r="5" spans="1:29" x14ac:dyDescent="0.25">
      <c r="A5" s="1384"/>
      <c r="B5" s="1384"/>
      <c r="C5" s="1385"/>
      <c r="D5" s="1386" t="s">
        <v>1125</v>
      </c>
      <c r="E5" s="1386"/>
      <c r="F5" s="1386"/>
      <c r="G5" s="1386"/>
      <c r="H5" s="1386"/>
      <c r="I5" s="1386"/>
      <c r="J5" s="1386"/>
      <c r="K5" s="1386"/>
      <c r="L5" s="1386"/>
      <c r="M5" s="1386"/>
      <c r="N5" s="1386"/>
      <c r="O5" s="1386"/>
      <c r="P5" s="1386"/>
      <c r="Q5" s="1386"/>
      <c r="R5" s="1386"/>
      <c r="S5" s="1386"/>
      <c r="T5" s="1386"/>
      <c r="U5" s="1386"/>
      <c r="V5" s="1386"/>
      <c r="W5" s="1386"/>
    </row>
    <row r="6" spans="1:29" x14ac:dyDescent="0.25">
      <c r="A6" s="1385"/>
      <c r="B6" s="1385"/>
      <c r="C6" s="497" t="s">
        <v>1124</v>
      </c>
      <c r="D6" s="495">
        <v>1</v>
      </c>
      <c r="E6" s="495">
        <v>2</v>
      </c>
      <c r="F6" s="496">
        <v>3</v>
      </c>
      <c r="G6" s="495">
        <v>4</v>
      </c>
      <c r="H6" s="495">
        <v>5</v>
      </c>
      <c r="I6" s="495">
        <v>6</v>
      </c>
      <c r="J6" s="495">
        <v>7</v>
      </c>
      <c r="K6" s="496">
        <v>8</v>
      </c>
      <c r="L6" s="495">
        <v>9</v>
      </c>
      <c r="M6" s="495">
        <v>10</v>
      </c>
      <c r="N6" s="495">
        <v>11</v>
      </c>
      <c r="O6" s="495">
        <v>12</v>
      </c>
      <c r="P6" s="495">
        <v>13</v>
      </c>
      <c r="Q6" s="495">
        <v>14</v>
      </c>
      <c r="R6" s="495">
        <v>15</v>
      </c>
      <c r="S6" s="495">
        <v>16</v>
      </c>
      <c r="T6" s="495">
        <v>17</v>
      </c>
      <c r="U6" s="495">
        <v>18</v>
      </c>
      <c r="V6" s="495">
        <v>19</v>
      </c>
      <c r="W6" s="495">
        <v>20</v>
      </c>
    </row>
    <row r="7" spans="1:29" s="490" customFormat="1" x14ac:dyDescent="0.25">
      <c r="A7" s="493"/>
      <c r="B7" s="493"/>
      <c r="C7" s="494" t="s">
        <v>1123</v>
      </c>
      <c r="D7" s="491">
        <f t="shared" ref="D7:W7" si="0">D6*15</f>
        <v>15</v>
      </c>
      <c r="E7" s="491">
        <f t="shared" si="0"/>
        <v>30</v>
      </c>
      <c r="F7" s="491">
        <f t="shared" si="0"/>
        <v>45</v>
      </c>
      <c r="G7" s="491">
        <f t="shared" si="0"/>
        <v>60</v>
      </c>
      <c r="H7" s="491">
        <f t="shared" si="0"/>
        <v>75</v>
      </c>
      <c r="I7" s="491">
        <f t="shared" si="0"/>
        <v>90</v>
      </c>
      <c r="J7" s="491">
        <f t="shared" si="0"/>
        <v>105</v>
      </c>
      <c r="K7" s="491">
        <f t="shared" si="0"/>
        <v>120</v>
      </c>
      <c r="L7" s="491">
        <f t="shared" si="0"/>
        <v>135</v>
      </c>
      <c r="M7" s="491">
        <f t="shared" si="0"/>
        <v>150</v>
      </c>
      <c r="N7" s="491">
        <f t="shared" si="0"/>
        <v>165</v>
      </c>
      <c r="O7" s="491">
        <f t="shared" si="0"/>
        <v>180</v>
      </c>
      <c r="P7" s="491">
        <f t="shared" si="0"/>
        <v>195</v>
      </c>
      <c r="Q7" s="491">
        <f t="shared" si="0"/>
        <v>210</v>
      </c>
      <c r="R7" s="491">
        <f t="shared" si="0"/>
        <v>225</v>
      </c>
      <c r="S7" s="491">
        <f t="shared" si="0"/>
        <v>240</v>
      </c>
      <c r="T7" s="491">
        <f t="shared" si="0"/>
        <v>255</v>
      </c>
      <c r="U7" s="491">
        <f t="shared" si="0"/>
        <v>270</v>
      </c>
      <c r="V7" s="491">
        <f t="shared" si="0"/>
        <v>285</v>
      </c>
      <c r="W7" s="491">
        <f t="shared" si="0"/>
        <v>300</v>
      </c>
      <c r="X7" s="445">
        <f>K7/K6</f>
        <v>15</v>
      </c>
      <c r="Y7" s="445"/>
      <c r="Z7" s="445"/>
      <c r="AA7" s="445"/>
      <c r="AB7" s="445"/>
      <c r="AC7" s="445"/>
    </row>
    <row r="8" spans="1:29" s="490" customFormat="1" x14ac:dyDescent="0.25">
      <c r="A8" s="493"/>
      <c r="B8" s="493"/>
      <c r="C8" s="492" t="s">
        <v>1122</v>
      </c>
      <c r="D8" s="491">
        <f t="shared" ref="D8:W8" si="1">10*D6</f>
        <v>10</v>
      </c>
      <c r="E8" s="491">
        <f t="shared" si="1"/>
        <v>20</v>
      </c>
      <c r="F8" s="491">
        <f t="shared" si="1"/>
        <v>30</v>
      </c>
      <c r="G8" s="491">
        <f t="shared" si="1"/>
        <v>40</v>
      </c>
      <c r="H8" s="491">
        <f t="shared" si="1"/>
        <v>50</v>
      </c>
      <c r="I8" s="491">
        <f t="shared" si="1"/>
        <v>60</v>
      </c>
      <c r="J8" s="491">
        <f t="shared" si="1"/>
        <v>70</v>
      </c>
      <c r="K8" s="491">
        <f t="shared" si="1"/>
        <v>80</v>
      </c>
      <c r="L8" s="491">
        <f t="shared" si="1"/>
        <v>90</v>
      </c>
      <c r="M8" s="491">
        <f t="shared" si="1"/>
        <v>100</v>
      </c>
      <c r="N8" s="491">
        <f t="shared" si="1"/>
        <v>110</v>
      </c>
      <c r="O8" s="491">
        <f t="shared" si="1"/>
        <v>120</v>
      </c>
      <c r="P8" s="491">
        <f t="shared" si="1"/>
        <v>130</v>
      </c>
      <c r="Q8" s="491">
        <f t="shared" si="1"/>
        <v>140</v>
      </c>
      <c r="R8" s="491">
        <f t="shared" si="1"/>
        <v>150</v>
      </c>
      <c r="S8" s="491">
        <f t="shared" si="1"/>
        <v>160</v>
      </c>
      <c r="T8" s="491">
        <f t="shared" si="1"/>
        <v>170</v>
      </c>
      <c r="U8" s="491">
        <f t="shared" si="1"/>
        <v>180</v>
      </c>
      <c r="V8" s="491">
        <f t="shared" si="1"/>
        <v>190</v>
      </c>
      <c r="W8" s="491">
        <f t="shared" si="1"/>
        <v>200</v>
      </c>
      <c r="X8" s="445">
        <f>K8/K6</f>
        <v>10</v>
      </c>
      <c r="Y8" s="445"/>
      <c r="Z8" s="445"/>
      <c r="AA8" s="445"/>
      <c r="AB8" s="445"/>
      <c r="AC8" s="445"/>
    </row>
    <row r="9" spans="1:29" s="490" customFormat="1" x14ac:dyDescent="0.25">
      <c r="A9" s="493"/>
      <c r="B9" s="493"/>
      <c r="C9" s="492" t="s">
        <v>1121</v>
      </c>
      <c r="D9" s="491">
        <f t="shared" ref="D9:W9" si="2">6*D6</f>
        <v>6</v>
      </c>
      <c r="E9" s="491">
        <f t="shared" si="2"/>
        <v>12</v>
      </c>
      <c r="F9" s="491">
        <f t="shared" si="2"/>
        <v>18</v>
      </c>
      <c r="G9" s="491">
        <f t="shared" si="2"/>
        <v>24</v>
      </c>
      <c r="H9" s="491">
        <f t="shared" si="2"/>
        <v>30</v>
      </c>
      <c r="I9" s="491">
        <f t="shared" si="2"/>
        <v>36</v>
      </c>
      <c r="J9" s="491">
        <f t="shared" si="2"/>
        <v>42</v>
      </c>
      <c r="K9" s="491">
        <f t="shared" si="2"/>
        <v>48</v>
      </c>
      <c r="L9" s="491">
        <f t="shared" si="2"/>
        <v>54</v>
      </c>
      <c r="M9" s="491">
        <f t="shared" si="2"/>
        <v>60</v>
      </c>
      <c r="N9" s="491">
        <f t="shared" si="2"/>
        <v>66</v>
      </c>
      <c r="O9" s="491">
        <f t="shared" si="2"/>
        <v>72</v>
      </c>
      <c r="P9" s="491">
        <f t="shared" si="2"/>
        <v>78</v>
      </c>
      <c r="Q9" s="491">
        <f t="shared" si="2"/>
        <v>84</v>
      </c>
      <c r="R9" s="491">
        <f t="shared" si="2"/>
        <v>90</v>
      </c>
      <c r="S9" s="491">
        <f t="shared" si="2"/>
        <v>96</v>
      </c>
      <c r="T9" s="491">
        <f t="shared" si="2"/>
        <v>102</v>
      </c>
      <c r="U9" s="491">
        <f t="shared" si="2"/>
        <v>108</v>
      </c>
      <c r="V9" s="491">
        <f t="shared" si="2"/>
        <v>114</v>
      </c>
      <c r="W9" s="491">
        <f t="shared" si="2"/>
        <v>120</v>
      </c>
      <c r="X9" s="445">
        <f>K9/K6</f>
        <v>6</v>
      </c>
      <c r="Y9" s="445"/>
      <c r="Z9" s="445"/>
      <c r="AA9" s="445"/>
      <c r="AB9" s="445"/>
      <c r="AC9" s="445"/>
    </row>
    <row r="10" spans="1:29" s="490" customFormat="1" x14ac:dyDescent="0.25">
      <c r="A10" s="493"/>
      <c r="B10" s="493"/>
      <c r="C10" s="492" t="s">
        <v>1120</v>
      </c>
      <c r="D10" s="491">
        <f t="shared" ref="D10:W10" si="3">7*D6</f>
        <v>7</v>
      </c>
      <c r="E10" s="491">
        <f t="shared" si="3"/>
        <v>14</v>
      </c>
      <c r="F10" s="491">
        <f t="shared" si="3"/>
        <v>21</v>
      </c>
      <c r="G10" s="491">
        <f t="shared" si="3"/>
        <v>28</v>
      </c>
      <c r="H10" s="491">
        <f t="shared" si="3"/>
        <v>35</v>
      </c>
      <c r="I10" s="491">
        <f t="shared" si="3"/>
        <v>42</v>
      </c>
      <c r="J10" s="491">
        <f t="shared" si="3"/>
        <v>49</v>
      </c>
      <c r="K10" s="491">
        <f t="shared" si="3"/>
        <v>56</v>
      </c>
      <c r="L10" s="491">
        <f t="shared" si="3"/>
        <v>63</v>
      </c>
      <c r="M10" s="491">
        <f t="shared" si="3"/>
        <v>70</v>
      </c>
      <c r="N10" s="491">
        <f t="shared" si="3"/>
        <v>77</v>
      </c>
      <c r="O10" s="491">
        <f t="shared" si="3"/>
        <v>84</v>
      </c>
      <c r="P10" s="491">
        <f t="shared" si="3"/>
        <v>91</v>
      </c>
      <c r="Q10" s="491">
        <f t="shared" si="3"/>
        <v>98</v>
      </c>
      <c r="R10" s="491">
        <f t="shared" si="3"/>
        <v>105</v>
      </c>
      <c r="S10" s="491">
        <f t="shared" si="3"/>
        <v>112</v>
      </c>
      <c r="T10" s="491">
        <f t="shared" si="3"/>
        <v>119</v>
      </c>
      <c r="U10" s="491">
        <f t="shared" si="3"/>
        <v>126</v>
      </c>
      <c r="V10" s="491">
        <f t="shared" si="3"/>
        <v>133</v>
      </c>
      <c r="W10" s="491">
        <f t="shared" si="3"/>
        <v>140</v>
      </c>
      <c r="X10" s="445">
        <f>K10/K6</f>
        <v>7</v>
      </c>
      <c r="Y10" s="445"/>
      <c r="Z10" s="445"/>
      <c r="AA10" s="445"/>
      <c r="AB10" s="445"/>
      <c r="AC10" s="445"/>
    </row>
    <row r="11" spans="1:29" s="490" customFormat="1" x14ac:dyDescent="0.25">
      <c r="A11" s="493"/>
      <c r="B11" s="493"/>
      <c r="C11" s="492"/>
      <c r="D11" s="491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45"/>
      <c r="Y11" s="445"/>
      <c r="Z11" s="445"/>
      <c r="AA11" s="445"/>
      <c r="AB11" s="445"/>
      <c r="AC11" s="445"/>
    </row>
    <row r="12" spans="1:29" x14ac:dyDescent="0.25">
      <c r="A12" s="451">
        <v>1</v>
      </c>
      <c r="B12" s="462" t="s">
        <v>1072</v>
      </c>
      <c r="C12" s="487" t="s">
        <v>1119</v>
      </c>
      <c r="D12" s="459">
        <v>1</v>
      </c>
      <c r="E12" s="459">
        <v>1</v>
      </c>
      <c r="F12" s="460">
        <v>1</v>
      </c>
      <c r="G12" s="459">
        <v>1</v>
      </c>
      <c r="H12" s="459">
        <v>1</v>
      </c>
      <c r="I12" s="459">
        <v>1</v>
      </c>
      <c r="J12" s="459">
        <v>1</v>
      </c>
      <c r="K12" s="460">
        <v>1</v>
      </c>
      <c r="L12" s="459">
        <v>1</v>
      </c>
      <c r="M12" s="459">
        <v>1</v>
      </c>
      <c r="N12" s="459">
        <v>1</v>
      </c>
      <c r="O12" s="459">
        <v>1</v>
      </c>
      <c r="P12" s="459">
        <v>1</v>
      </c>
      <c r="Q12" s="459">
        <v>1</v>
      </c>
      <c r="R12" s="459">
        <v>1</v>
      </c>
      <c r="S12" s="459">
        <v>1</v>
      </c>
      <c r="T12" s="459">
        <v>1</v>
      </c>
      <c r="U12" s="459">
        <v>1</v>
      </c>
      <c r="V12" s="459">
        <v>1</v>
      </c>
      <c r="W12" s="459">
        <v>1</v>
      </c>
    </row>
    <row r="13" spans="1:29" ht="45" x14ac:dyDescent="0.25">
      <c r="A13" s="451">
        <v>2</v>
      </c>
      <c r="B13" s="462" t="s">
        <v>1072</v>
      </c>
      <c r="C13" s="489" t="s">
        <v>1118</v>
      </c>
      <c r="D13" s="459"/>
      <c r="E13" s="459"/>
      <c r="F13" s="460"/>
      <c r="G13" s="459"/>
      <c r="H13" s="459"/>
      <c r="I13" s="459">
        <v>0.5</v>
      </c>
      <c r="J13" s="459">
        <v>0.5</v>
      </c>
      <c r="K13" s="460">
        <v>0.5</v>
      </c>
      <c r="L13" s="459">
        <v>0.5</v>
      </c>
      <c r="M13" s="459">
        <v>1</v>
      </c>
      <c r="N13" s="459">
        <v>1</v>
      </c>
      <c r="O13" s="459">
        <v>1</v>
      </c>
      <c r="P13" s="459">
        <v>1</v>
      </c>
      <c r="Q13" s="459">
        <v>1</v>
      </c>
      <c r="R13" s="459">
        <v>1</v>
      </c>
      <c r="S13" s="459">
        <v>1</v>
      </c>
      <c r="T13" s="459">
        <v>1</v>
      </c>
      <c r="U13" s="459">
        <v>1.5</v>
      </c>
      <c r="V13" s="459">
        <v>1.5</v>
      </c>
      <c r="W13" s="459">
        <v>1.5</v>
      </c>
    </row>
    <row r="14" spans="1:29" x14ac:dyDescent="0.25">
      <c r="A14" s="451">
        <v>3</v>
      </c>
      <c r="B14" s="462" t="s">
        <v>1072</v>
      </c>
      <c r="C14" s="487" t="s">
        <v>1117</v>
      </c>
      <c r="D14" s="459"/>
      <c r="E14" s="459"/>
      <c r="F14" s="460"/>
      <c r="G14" s="459"/>
      <c r="H14" s="459"/>
      <c r="I14" s="459"/>
      <c r="J14" s="459"/>
      <c r="K14" s="460"/>
      <c r="L14" s="459"/>
      <c r="M14" s="459"/>
      <c r="N14" s="459"/>
      <c r="O14" s="459">
        <v>1</v>
      </c>
      <c r="P14" s="459">
        <v>1</v>
      </c>
      <c r="Q14" s="459">
        <v>1</v>
      </c>
      <c r="R14" s="459">
        <v>1</v>
      </c>
      <c r="S14" s="459">
        <v>1</v>
      </c>
      <c r="T14" s="459">
        <v>1</v>
      </c>
      <c r="U14" s="459">
        <v>1</v>
      </c>
      <c r="V14" s="459">
        <v>1</v>
      </c>
      <c r="W14" s="459">
        <v>1</v>
      </c>
    </row>
    <row r="15" spans="1:29" ht="30" x14ac:dyDescent="0.25">
      <c r="A15" s="451">
        <v>4</v>
      </c>
      <c r="B15" s="462" t="s">
        <v>1072</v>
      </c>
      <c r="C15" s="489" t="s">
        <v>1116</v>
      </c>
      <c r="D15" s="459"/>
      <c r="E15" s="459"/>
      <c r="F15" s="460"/>
      <c r="G15" s="459">
        <v>0.5</v>
      </c>
      <c r="H15" s="459">
        <v>0.5</v>
      </c>
      <c r="I15" s="459">
        <v>1</v>
      </c>
      <c r="J15" s="459">
        <v>1</v>
      </c>
      <c r="K15" s="460">
        <v>1</v>
      </c>
      <c r="L15" s="459">
        <v>1</v>
      </c>
      <c r="M15" s="459">
        <v>1</v>
      </c>
      <c r="N15" s="459">
        <v>1</v>
      </c>
      <c r="O15" s="459"/>
      <c r="P15" s="459"/>
      <c r="Q15" s="459"/>
      <c r="R15" s="459"/>
      <c r="S15" s="459"/>
      <c r="T15" s="459"/>
      <c r="U15" s="459"/>
      <c r="V15" s="459"/>
      <c r="W15" s="459"/>
    </row>
    <row r="16" spans="1:29" x14ac:dyDescent="0.25">
      <c r="A16" s="451">
        <v>5</v>
      </c>
      <c r="B16" s="462" t="s">
        <v>1072</v>
      </c>
      <c r="C16" s="487" t="s">
        <v>314</v>
      </c>
      <c r="D16" s="459">
        <v>1</v>
      </c>
      <c r="E16" s="459">
        <v>1</v>
      </c>
      <c r="F16" s="460">
        <v>1</v>
      </c>
      <c r="G16" s="459">
        <v>1</v>
      </c>
      <c r="H16" s="459">
        <v>1</v>
      </c>
      <c r="I16" s="459">
        <v>1</v>
      </c>
      <c r="J16" s="459">
        <v>1</v>
      </c>
      <c r="K16" s="460">
        <v>1</v>
      </c>
      <c r="L16" s="459">
        <v>1</v>
      </c>
      <c r="M16" s="459">
        <v>1</v>
      </c>
      <c r="N16" s="459">
        <v>1</v>
      </c>
      <c r="O16" s="459">
        <v>1</v>
      </c>
      <c r="P16" s="459">
        <v>1</v>
      </c>
      <c r="Q16" s="459">
        <v>1</v>
      </c>
      <c r="R16" s="459">
        <v>1</v>
      </c>
      <c r="S16" s="459">
        <v>1</v>
      </c>
      <c r="T16" s="459">
        <v>1</v>
      </c>
      <c r="U16" s="459">
        <v>1</v>
      </c>
      <c r="V16" s="459">
        <v>1</v>
      </c>
      <c r="W16" s="459">
        <v>1</v>
      </c>
    </row>
    <row r="17" spans="1:23" ht="30" x14ac:dyDescent="0.25">
      <c r="A17" s="451">
        <v>6</v>
      </c>
      <c r="B17" s="462" t="s">
        <v>1072</v>
      </c>
      <c r="C17" s="489" t="s">
        <v>1115</v>
      </c>
      <c r="D17" s="459"/>
      <c r="E17" s="459">
        <v>0.5</v>
      </c>
      <c r="F17" s="460">
        <v>0.5</v>
      </c>
      <c r="G17" s="459">
        <v>0.5</v>
      </c>
      <c r="H17" s="459">
        <v>0.5</v>
      </c>
      <c r="I17" s="459">
        <v>0.5</v>
      </c>
      <c r="J17" s="459">
        <v>0.5</v>
      </c>
      <c r="K17" s="460">
        <v>1</v>
      </c>
      <c r="L17" s="459">
        <v>1</v>
      </c>
      <c r="M17" s="459">
        <v>1</v>
      </c>
      <c r="N17" s="459">
        <v>1</v>
      </c>
      <c r="O17" s="459">
        <v>1</v>
      </c>
      <c r="P17" s="459">
        <v>1</v>
      </c>
      <c r="Q17" s="459">
        <v>1.5</v>
      </c>
      <c r="R17" s="459">
        <v>1.5</v>
      </c>
      <c r="S17" s="459">
        <v>1.5</v>
      </c>
      <c r="T17" s="459">
        <v>1.5</v>
      </c>
      <c r="U17" s="459">
        <v>1.5</v>
      </c>
      <c r="V17" s="459">
        <v>1.5</v>
      </c>
      <c r="W17" s="459">
        <v>1.5</v>
      </c>
    </row>
    <row r="18" spans="1:23" x14ac:dyDescent="0.25">
      <c r="A18" s="451">
        <v>7</v>
      </c>
      <c r="B18" s="462" t="s">
        <v>1072</v>
      </c>
      <c r="C18" s="487" t="s">
        <v>1114</v>
      </c>
      <c r="D18" s="459"/>
      <c r="E18" s="459"/>
      <c r="F18" s="460"/>
      <c r="G18" s="459"/>
      <c r="H18" s="459">
        <v>0.25</v>
      </c>
      <c r="I18" s="459">
        <v>0.25</v>
      </c>
      <c r="J18" s="459">
        <v>0.25</v>
      </c>
      <c r="K18" s="460">
        <v>0.25</v>
      </c>
      <c r="L18" s="459">
        <v>0.25</v>
      </c>
      <c r="M18" s="459">
        <v>0.5</v>
      </c>
      <c r="N18" s="459">
        <v>0.5</v>
      </c>
      <c r="O18" s="459">
        <v>0.5</v>
      </c>
      <c r="P18" s="459">
        <v>0.5</v>
      </c>
      <c r="Q18" s="459">
        <v>0.5</v>
      </c>
      <c r="R18" s="459">
        <v>0.75</v>
      </c>
      <c r="S18" s="459">
        <v>0.75</v>
      </c>
      <c r="T18" s="459">
        <v>0.75</v>
      </c>
      <c r="U18" s="459">
        <v>0.75</v>
      </c>
      <c r="V18" s="459">
        <v>0.75</v>
      </c>
      <c r="W18" s="459">
        <v>1</v>
      </c>
    </row>
    <row r="19" spans="1:23" ht="30" x14ac:dyDescent="0.25">
      <c r="A19" s="451">
        <v>8</v>
      </c>
      <c r="B19" s="462" t="s">
        <v>1072</v>
      </c>
      <c r="C19" s="489" t="s">
        <v>1113</v>
      </c>
      <c r="D19" s="459"/>
      <c r="E19" s="459"/>
      <c r="F19" s="460"/>
      <c r="G19" s="459">
        <v>0.5</v>
      </c>
      <c r="H19" s="459">
        <v>0.5</v>
      </c>
      <c r="I19" s="459">
        <v>0.5</v>
      </c>
      <c r="J19" s="459">
        <v>0.5</v>
      </c>
      <c r="K19" s="460">
        <v>0.5</v>
      </c>
      <c r="L19" s="459">
        <v>0.5</v>
      </c>
      <c r="M19" s="459">
        <v>1</v>
      </c>
      <c r="N19" s="459">
        <v>1</v>
      </c>
      <c r="O19" s="459">
        <v>1</v>
      </c>
      <c r="P19" s="459">
        <v>1</v>
      </c>
      <c r="Q19" s="459">
        <v>1</v>
      </c>
      <c r="R19" s="459">
        <v>1</v>
      </c>
      <c r="S19" s="459">
        <v>1</v>
      </c>
      <c r="T19" s="459">
        <v>1</v>
      </c>
      <c r="U19" s="459">
        <v>1</v>
      </c>
      <c r="V19" s="459">
        <v>1</v>
      </c>
      <c r="W19" s="459">
        <v>1</v>
      </c>
    </row>
    <row r="20" spans="1:23" ht="120" x14ac:dyDescent="0.25">
      <c r="A20" s="451">
        <v>16</v>
      </c>
      <c r="B20" s="462" t="s">
        <v>1072</v>
      </c>
      <c r="C20" s="488" t="s">
        <v>1112</v>
      </c>
      <c r="D20" s="485">
        <v>0.25</v>
      </c>
      <c r="E20" s="485">
        <v>0.25</v>
      </c>
      <c r="F20" s="486">
        <v>0.25</v>
      </c>
      <c r="G20" s="485">
        <v>0.25</v>
      </c>
      <c r="H20" s="485">
        <v>0.25</v>
      </c>
      <c r="I20" s="485">
        <v>0.25</v>
      </c>
      <c r="J20" s="485">
        <v>0.25</v>
      </c>
      <c r="K20" s="486">
        <v>0.25</v>
      </c>
      <c r="L20" s="485">
        <v>0.25</v>
      </c>
      <c r="M20" s="485">
        <v>0.25</v>
      </c>
      <c r="N20" s="485">
        <v>0.25</v>
      </c>
      <c r="O20" s="485">
        <v>0.25</v>
      </c>
      <c r="P20" s="485">
        <v>0.25</v>
      </c>
      <c r="Q20" s="485">
        <v>0.25</v>
      </c>
      <c r="R20" s="485">
        <v>0.25</v>
      </c>
      <c r="S20" s="485">
        <v>0.25</v>
      </c>
      <c r="T20" s="485">
        <v>0.25</v>
      </c>
      <c r="U20" s="485">
        <v>0.25</v>
      </c>
      <c r="V20" s="485">
        <v>0.25</v>
      </c>
      <c r="W20" s="485">
        <v>0.25</v>
      </c>
    </row>
    <row r="21" spans="1:23" x14ac:dyDescent="0.25">
      <c r="A21" s="451">
        <v>17</v>
      </c>
      <c r="B21" s="462" t="s">
        <v>1072</v>
      </c>
      <c r="C21" s="487" t="s">
        <v>1111</v>
      </c>
      <c r="D21" s="485">
        <v>0.5</v>
      </c>
      <c r="E21" s="485">
        <v>0.5</v>
      </c>
      <c r="F21" s="486">
        <v>0.5</v>
      </c>
      <c r="G21" s="485">
        <v>0.5</v>
      </c>
      <c r="H21" s="485">
        <v>0.5</v>
      </c>
      <c r="I21" s="485">
        <v>1</v>
      </c>
      <c r="J21" s="485">
        <v>1</v>
      </c>
      <c r="K21" s="486">
        <v>1</v>
      </c>
      <c r="L21" s="485">
        <v>1</v>
      </c>
      <c r="M21" s="485">
        <v>1</v>
      </c>
      <c r="N21" s="485">
        <v>1</v>
      </c>
      <c r="O21" s="485">
        <v>1</v>
      </c>
      <c r="P21" s="485">
        <v>1</v>
      </c>
      <c r="Q21" s="485">
        <v>1</v>
      </c>
      <c r="R21" s="485">
        <v>1</v>
      </c>
      <c r="S21" s="485">
        <v>1.25</v>
      </c>
      <c r="T21" s="485">
        <v>1.25</v>
      </c>
      <c r="U21" s="485">
        <v>1.25</v>
      </c>
      <c r="V21" s="485">
        <v>1.25</v>
      </c>
      <c r="W21" s="485">
        <v>1.25</v>
      </c>
    </row>
    <row r="22" spans="1:23" x14ac:dyDescent="0.25">
      <c r="A22" s="451"/>
      <c r="B22" s="451"/>
      <c r="C22" s="451"/>
      <c r="D22" s="459"/>
      <c r="E22" s="459"/>
      <c r="F22" s="460"/>
      <c r="G22" s="459"/>
      <c r="H22" s="459"/>
      <c r="I22" s="459"/>
      <c r="J22" s="459"/>
      <c r="K22" s="460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</row>
    <row r="23" spans="1:23" x14ac:dyDescent="0.25">
      <c r="A23" s="451"/>
      <c r="B23" s="451"/>
      <c r="C23" s="483" t="s">
        <v>1110</v>
      </c>
      <c r="D23" s="463">
        <f t="shared" ref="D23:W23" si="4">0.25/3*D6</f>
        <v>0.08</v>
      </c>
      <c r="E23" s="463">
        <f t="shared" si="4"/>
        <v>0.17</v>
      </c>
      <c r="F23" s="464">
        <f t="shared" si="4"/>
        <v>0.25</v>
      </c>
      <c r="G23" s="463">
        <f t="shared" si="4"/>
        <v>0.33</v>
      </c>
      <c r="H23" s="463">
        <f t="shared" si="4"/>
        <v>0.42</v>
      </c>
      <c r="I23" s="463">
        <f t="shared" si="4"/>
        <v>0.5</v>
      </c>
      <c r="J23" s="463">
        <f t="shared" si="4"/>
        <v>0.57999999999999996</v>
      </c>
      <c r="K23" s="464">
        <f t="shared" si="4"/>
        <v>0.67</v>
      </c>
      <c r="L23" s="463">
        <f t="shared" si="4"/>
        <v>0.75</v>
      </c>
      <c r="M23" s="463">
        <f t="shared" si="4"/>
        <v>0.83</v>
      </c>
      <c r="N23" s="463">
        <f t="shared" si="4"/>
        <v>0.92</v>
      </c>
      <c r="O23" s="463">
        <f t="shared" si="4"/>
        <v>1</v>
      </c>
      <c r="P23" s="463">
        <f t="shared" si="4"/>
        <v>1.08</v>
      </c>
      <c r="Q23" s="463">
        <f t="shared" si="4"/>
        <v>1.17</v>
      </c>
      <c r="R23" s="463">
        <f t="shared" si="4"/>
        <v>1.25</v>
      </c>
      <c r="S23" s="463">
        <f t="shared" si="4"/>
        <v>1.33</v>
      </c>
      <c r="T23" s="463">
        <f t="shared" si="4"/>
        <v>1.42</v>
      </c>
      <c r="U23" s="463">
        <f t="shared" si="4"/>
        <v>1.5</v>
      </c>
      <c r="V23" s="463">
        <f t="shared" si="4"/>
        <v>1.58</v>
      </c>
      <c r="W23" s="463">
        <f t="shared" si="4"/>
        <v>1.67</v>
      </c>
    </row>
    <row r="24" spans="1:23" ht="30" x14ac:dyDescent="0.25">
      <c r="A24" s="451"/>
      <c r="B24" s="451"/>
      <c r="C24" s="483" t="s">
        <v>1109</v>
      </c>
      <c r="D24" s="463">
        <f t="shared" ref="D24:W24" si="5">0.12*D6</f>
        <v>0.12</v>
      </c>
      <c r="E24" s="463">
        <f t="shared" si="5"/>
        <v>0.24</v>
      </c>
      <c r="F24" s="464">
        <f t="shared" si="5"/>
        <v>0.36</v>
      </c>
      <c r="G24" s="463">
        <f t="shared" si="5"/>
        <v>0.48</v>
      </c>
      <c r="H24" s="463">
        <f t="shared" si="5"/>
        <v>0.6</v>
      </c>
      <c r="I24" s="463">
        <f t="shared" si="5"/>
        <v>0.72</v>
      </c>
      <c r="J24" s="463">
        <f t="shared" si="5"/>
        <v>0.84</v>
      </c>
      <c r="K24" s="464">
        <f t="shared" si="5"/>
        <v>0.96</v>
      </c>
      <c r="L24" s="463">
        <f t="shared" si="5"/>
        <v>1.08</v>
      </c>
      <c r="M24" s="463">
        <f t="shared" si="5"/>
        <v>1.2</v>
      </c>
      <c r="N24" s="463">
        <f t="shared" si="5"/>
        <v>1.32</v>
      </c>
      <c r="O24" s="463">
        <f t="shared" si="5"/>
        <v>1.44</v>
      </c>
      <c r="P24" s="463">
        <f t="shared" si="5"/>
        <v>1.56</v>
      </c>
      <c r="Q24" s="463">
        <f t="shared" si="5"/>
        <v>1.68</v>
      </c>
      <c r="R24" s="463">
        <f t="shared" si="5"/>
        <v>1.8</v>
      </c>
      <c r="S24" s="463">
        <f t="shared" si="5"/>
        <v>1.92</v>
      </c>
      <c r="T24" s="463">
        <f t="shared" si="5"/>
        <v>2.04</v>
      </c>
      <c r="U24" s="463">
        <f t="shared" si="5"/>
        <v>2.16</v>
      </c>
      <c r="V24" s="463">
        <f t="shared" si="5"/>
        <v>2.2799999999999998</v>
      </c>
      <c r="W24" s="463">
        <f t="shared" si="5"/>
        <v>2.4</v>
      </c>
    </row>
    <row r="25" spans="1:23" x14ac:dyDescent="0.25">
      <c r="A25" s="451"/>
      <c r="B25" s="451"/>
      <c r="C25" s="483" t="s">
        <v>1108</v>
      </c>
      <c r="D25" s="463">
        <f t="shared" ref="D25:W25" si="6">0.25*D6</f>
        <v>0.25</v>
      </c>
      <c r="E25" s="463">
        <f t="shared" si="6"/>
        <v>0.5</v>
      </c>
      <c r="F25" s="464">
        <f t="shared" si="6"/>
        <v>0.75</v>
      </c>
      <c r="G25" s="463">
        <f t="shared" si="6"/>
        <v>1</v>
      </c>
      <c r="H25" s="463">
        <f t="shared" si="6"/>
        <v>1.25</v>
      </c>
      <c r="I25" s="463">
        <f t="shared" si="6"/>
        <v>1.5</v>
      </c>
      <c r="J25" s="463">
        <f t="shared" si="6"/>
        <v>1.75</v>
      </c>
      <c r="K25" s="464">
        <f t="shared" si="6"/>
        <v>2</v>
      </c>
      <c r="L25" s="463">
        <f t="shared" si="6"/>
        <v>2.25</v>
      </c>
      <c r="M25" s="463">
        <f t="shared" si="6"/>
        <v>2.5</v>
      </c>
      <c r="N25" s="463">
        <f t="shared" si="6"/>
        <v>2.75</v>
      </c>
      <c r="O25" s="463">
        <f t="shared" si="6"/>
        <v>3</v>
      </c>
      <c r="P25" s="463">
        <f t="shared" si="6"/>
        <v>3.25</v>
      </c>
      <c r="Q25" s="463">
        <f t="shared" si="6"/>
        <v>3.5</v>
      </c>
      <c r="R25" s="463">
        <f t="shared" si="6"/>
        <v>3.75</v>
      </c>
      <c r="S25" s="463">
        <f t="shared" si="6"/>
        <v>4</v>
      </c>
      <c r="T25" s="463">
        <f t="shared" si="6"/>
        <v>4.25</v>
      </c>
      <c r="U25" s="463">
        <f t="shared" si="6"/>
        <v>4.5</v>
      </c>
      <c r="V25" s="463">
        <f t="shared" si="6"/>
        <v>4.75</v>
      </c>
      <c r="W25" s="463">
        <f t="shared" si="6"/>
        <v>5</v>
      </c>
    </row>
    <row r="26" spans="1:23" x14ac:dyDescent="0.25">
      <c r="A26" s="451"/>
      <c r="B26" s="451"/>
      <c r="C26" s="483" t="s">
        <v>1107</v>
      </c>
      <c r="D26" s="463">
        <f t="shared" ref="D26:W26" si="7">0.12*D6</f>
        <v>0.12</v>
      </c>
      <c r="E26" s="463">
        <f t="shared" si="7"/>
        <v>0.24</v>
      </c>
      <c r="F26" s="464">
        <f t="shared" si="7"/>
        <v>0.36</v>
      </c>
      <c r="G26" s="463">
        <f t="shared" si="7"/>
        <v>0.48</v>
      </c>
      <c r="H26" s="463">
        <f t="shared" si="7"/>
        <v>0.6</v>
      </c>
      <c r="I26" s="463">
        <f t="shared" si="7"/>
        <v>0.72</v>
      </c>
      <c r="J26" s="463">
        <f t="shared" si="7"/>
        <v>0.84</v>
      </c>
      <c r="K26" s="464">
        <f t="shared" si="7"/>
        <v>0.96</v>
      </c>
      <c r="L26" s="463">
        <f t="shared" si="7"/>
        <v>1.08</v>
      </c>
      <c r="M26" s="463">
        <f t="shared" si="7"/>
        <v>1.2</v>
      </c>
      <c r="N26" s="463">
        <f t="shared" si="7"/>
        <v>1.32</v>
      </c>
      <c r="O26" s="463">
        <f t="shared" si="7"/>
        <v>1.44</v>
      </c>
      <c r="P26" s="463">
        <f t="shared" si="7"/>
        <v>1.56</v>
      </c>
      <c r="Q26" s="463">
        <f t="shared" si="7"/>
        <v>1.68</v>
      </c>
      <c r="R26" s="463">
        <f t="shared" si="7"/>
        <v>1.8</v>
      </c>
      <c r="S26" s="463">
        <f t="shared" si="7"/>
        <v>1.92</v>
      </c>
      <c r="T26" s="463">
        <f t="shared" si="7"/>
        <v>2.04</v>
      </c>
      <c r="U26" s="463">
        <f t="shared" si="7"/>
        <v>2.16</v>
      </c>
      <c r="V26" s="463">
        <f t="shared" si="7"/>
        <v>2.2799999999999998</v>
      </c>
      <c r="W26" s="463">
        <f t="shared" si="7"/>
        <v>2.4</v>
      </c>
    </row>
    <row r="27" spans="1:23" ht="47.25" customHeight="1" x14ac:dyDescent="0.25">
      <c r="A27" s="451"/>
      <c r="B27" s="451"/>
      <c r="C27" s="483" t="s">
        <v>1106</v>
      </c>
      <c r="D27" s="480">
        <f t="shared" ref="D27:W27" si="8">1*D6</f>
        <v>1</v>
      </c>
      <c r="E27" s="480">
        <f t="shared" si="8"/>
        <v>2</v>
      </c>
      <c r="F27" s="481">
        <f t="shared" si="8"/>
        <v>3</v>
      </c>
      <c r="G27" s="480">
        <f t="shared" si="8"/>
        <v>4</v>
      </c>
      <c r="H27" s="480">
        <f t="shared" si="8"/>
        <v>5</v>
      </c>
      <c r="I27" s="480">
        <f t="shared" si="8"/>
        <v>6</v>
      </c>
      <c r="J27" s="480">
        <f t="shared" si="8"/>
        <v>7</v>
      </c>
      <c r="K27" s="481">
        <f t="shared" si="8"/>
        <v>8</v>
      </c>
      <c r="L27" s="480">
        <f t="shared" si="8"/>
        <v>9</v>
      </c>
      <c r="M27" s="480">
        <f t="shared" si="8"/>
        <v>10</v>
      </c>
      <c r="N27" s="480">
        <f t="shared" si="8"/>
        <v>11</v>
      </c>
      <c r="O27" s="480">
        <f t="shared" si="8"/>
        <v>12</v>
      </c>
      <c r="P27" s="480">
        <f t="shared" si="8"/>
        <v>13</v>
      </c>
      <c r="Q27" s="480">
        <f t="shared" si="8"/>
        <v>14</v>
      </c>
      <c r="R27" s="480">
        <f t="shared" si="8"/>
        <v>15</v>
      </c>
      <c r="S27" s="480">
        <f t="shared" si="8"/>
        <v>16</v>
      </c>
      <c r="T27" s="480">
        <f t="shared" si="8"/>
        <v>17</v>
      </c>
      <c r="U27" s="480">
        <f t="shared" si="8"/>
        <v>18</v>
      </c>
      <c r="V27" s="480">
        <f t="shared" si="8"/>
        <v>19</v>
      </c>
      <c r="W27" s="480">
        <f t="shared" si="8"/>
        <v>20</v>
      </c>
    </row>
    <row r="28" spans="1:23" ht="60" x14ac:dyDescent="0.25">
      <c r="A28" s="451"/>
      <c r="B28" s="451"/>
      <c r="C28" s="483" t="s">
        <v>1105</v>
      </c>
      <c r="D28" s="480">
        <f t="shared" ref="D28:W28" si="9">1/8*D6</f>
        <v>0.13</v>
      </c>
      <c r="E28" s="480">
        <f t="shared" si="9"/>
        <v>0.25</v>
      </c>
      <c r="F28" s="481">
        <f t="shared" si="9"/>
        <v>0.38</v>
      </c>
      <c r="G28" s="480">
        <f t="shared" si="9"/>
        <v>0.5</v>
      </c>
      <c r="H28" s="480">
        <f t="shared" si="9"/>
        <v>0.63</v>
      </c>
      <c r="I28" s="480">
        <f t="shared" si="9"/>
        <v>0.75</v>
      </c>
      <c r="J28" s="480">
        <f t="shared" si="9"/>
        <v>0.88</v>
      </c>
      <c r="K28" s="481">
        <f t="shared" si="9"/>
        <v>1</v>
      </c>
      <c r="L28" s="480">
        <f t="shared" si="9"/>
        <v>1.1299999999999999</v>
      </c>
      <c r="M28" s="480">
        <f t="shared" si="9"/>
        <v>1.25</v>
      </c>
      <c r="N28" s="480">
        <f t="shared" si="9"/>
        <v>1.38</v>
      </c>
      <c r="O28" s="480">
        <f t="shared" si="9"/>
        <v>1.5</v>
      </c>
      <c r="P28" s="480">
        <f t="shared" si="9"/>
        <v>1.63</v>
      </c>
      <c r="Q28" s="480">
        <f t="shared" si="9"/>
        <v>1.75</v>
      </c>
      <c r="R28" s="480">
        <f t="shared" si="9"/>
        <v>1.88</v>
      </c>
      <c r="S28" s="480">
        <f t="shared" si="9"/>
        <v>2</v>
      </c>
      <c r="T28" s="480">
        <f t="shared" si="9"/>
        <v>2.13</v>
      </c>
      <c r="U28" s="480">
        <f t="shared" si="9"/>
        <v>2.25</v>
      </c>
      <c r="V28" s="480">
        <f t="shared" si="9"/>
        <v>2.38</v>
      </c>
      <c r="W28" s="480">
        <f t="shared" si="9"/>
        <v>2.5</v>
      </c>
    </row>
    <row r="29" spans="1:23" ht="30" x14ac:dyDescent="0.25">
      <c r="A29" s="451"/>
      <c r="B29" s="451"/>
      <c r="C29" s="483" t="s">
        <v>1104</v>
      </c>
      <c r="D29" s="463"/>
      <c r="E29" s="463"/>
      <c r="F29" s="464"/>
      <c r="G29" s="463"/>
      <c r="H29" s="463"/>
      <c r="I29" s="463"/>
      <c r="J29" s="463"/>
      <c r="K29" s="464"/>
      <c r="L29" s="463"/>
      <c r="M29" s="463"/>
      <c r="N29" s="463"/>
      <c r="O29" s="463"/>
      <c r="P29" s="463"/>
      <c r="Q29" s="463"/>
      <c r="R29" s="463"/>
      <c r="S29" s="463"/>
      <c r="T29" s="463"/>
      <c r="U29" s="463"/>
      <c r="V29" s="463"/>
      <c r="W29" s="463"/>
    </row>
    <row r="30" spans="1:23" ht="30" x14ac:dyDescent="0.25">
      <c r="A30" s="451"/>
      <c r="B30" s="451"/>
      <c r="C30" s="483" t="s">
        <v>1103</v>
      </c>
      <c r="D30" s="463"/>
      <c r="E30" s="463"/>
      <c r="F30" s="464"/>
      <c r="G30" s="463"/>
      <c r="H30" s="463"/>
      <c r="I30" s="463"/>
      <c r="J30" s="463"/>
      <c r="K30" s="464"/>
      <c r="L30" s="463"/>
      <c r="M30" s="463"/>
      <c r="N30" s="463"/>
      <c r="O30" s="463"/>
      <c r="P30" s="463"/>
      <c r="Q30" s="463"/>
      <c r="R30" s="463"/>
      <c r="S30" s="463"/>
      <c r="T30" s="463"/>
      <c r="U30" s="463"/>
      <c r="V30" s="463"/>
      <c r="W30" s="463"/>
    </row>
    <row r="31" spans="1:23" x14ac:dyDescent="0.25">
      <c r="A31" s="451"/>
      <c r="B31" s="451"/>
      <c r="C31" s="483" t="s">
        <v>1102</v>
      </c>
      <c r="D31" s="480">
        <f t="shared" ref="D31:W31" si="10">1.67*D6</f>
        <v>1.67</v>
      </c>
      <c r="E31" s="480">
        <f t="shared" si="10"/>
        <v>3.34</v>
      </c>
      <c r="F31" s="481">
        <f t="shared" si="10"/>
        <v>5.01</v>
      </c>
      <c r="G31" s="480">
        <f t="shared" si="10"/>
        <v>6.68</v>
      </c>
      <c r="H31" s="480">
        <f t="shared" si="10"/>
        <v>8.35</v>
      </c>
      <c r="I31" s="480">
        <f t="shared" si="10"/>
        <v>10.02</v>
      </c>
      <c r="J31" s="480">
        <f t="shared" si="10"/>
        <v>11.69</v>
      </c>
      <c r="K31" s="481">
        <f t="shared" si="10"/>
        <v>13.36</v>
      </c>
      <c r="L31" s="480">
        <f t="shared" si="10"/>
        <v>15.03</v>
      </c>
      <c r="M31" s="480">
        <f t="shared" si="10"/>
        <v>16.7</v>
      </c>
      <c r="N31" s="480">
        <f t="shared" si="10"/>
        <v>18.37</v>
      </c>
      <c r="O31" s="480">
        <f t="shared" si="10"/>
        <v>20.04</v>
      </c>
      <c r="P31" s="480">
        <f t="shared" si="10"/>
        <v>21.71</v>
      </c>
      <c r="Q31" s="480">
        <f t="shared" si="10"/>
        <v>23.38</v>
      </c>
      <c r="R31" s="480">
        <f t="shared" si="10"/>
        <v>25.05</v>
      </c>
      <c r="S31" s="480">
        <f t="shared" si="10"/>
        <v>26.72</v>
      </c>
      <c r="T31" s="480">
        <f t="shared" si="10"/>
        <v>28.39</v>
      </c>
      <c r="U31" s="480">
        <f t="shared" si="10"/>
        <v>30.06</v>
      </c>
      <c r="V31" s="480">
        <f t="shared" si="10"/>
        <v>31.73</v>
      </c>
      <c r="W31" s="480">
        <f t="shared" si="10"/>
        <v>33.4</v>
      </c>
    </row>
    <row r="32" spans="1:23" ht="30" x14ac:dyDescent="0.25">
      <c r="A32" s="451"/>
      <c r="B32" s="451"/>
      <c r="C32" s="483" t="s">
        <v>1101</v>
      </c>
      <c r="D32" s="480">
        <f t="shared" ref="D32:W32" si="11">2.4*D6</f>
        <v>2.4</v>
      </c>
      <c r="E32" s="480">
        <f t="shared" si="11"/>
        <v>4.8</v>
      </c>
      <c r="F32" s="481">
        <f t="shared" si="11"/>
        <v>7.2</v>
      </c>
      <c r="G32" s="480">
        <f t="shared" si="11"/>
        <v>9.6</v>
      </c>
      <c r="H32" s="480">
        <f t="shared" si="11"/>
        <v>12</v>
      </c>
      <c r="I32" s="480">
        <f t="shared" si="11"/>
        <v>14.4</v>
      </c>
      <c r="J32" s="480">
        <f t="shared" si="11"/>
        <v>16.8</v>
      </c>
      <c r="K32" s="481">
        <f t="shared" si="11"/>
        <v>19.2</v>
      </c>
      <c r="L32" s="480">
        <f t="shared" si="11"/>
        <v>21.6</v>
      </c>
      <c r="M32" s="480">
        <f t="shared" si="11"/>
        <v>24</v>
      </c>
      <c r="N32" s="480">
        <f t="shared" si="11"/>
        <v>26.4</v>
      </c>
      <c r="O32" s="480">
        <f t="shared" si="11"/>
        <v>28.8</v>
      </c>
      <c r="P32" s="480">
        <f t="shared" si="11"/>
        <v>31.2</v>
      </c>
      <c r="Q32" s="480">
        <f t="shared" si="11"/>
        <v>33.6</v>
      </c>
      <c r="R32" s="480">
        <f t="shared" si="11"/>
        <v>36</v>
      </c>
      <c r="S32" s="480">
        <f t="shared" si="11"/>
        <v>38.4</v>
      </c>
      <c r="T32" s="480">
        <f t="shared" si="11"/>
        <v>40.799999999999997</v>
      </c>
      <c r="U32" s="480">
        <f t="shared" si="11"/>
        <v>43.2</v>
      </c>
      <c r="V32" s="480">
        <f t="shared" si="11"/>
        <v>45.6</v>
      </c>
      <c r="W32" s="480">
        <f t="shared" si="11"/>
        <v>48</v>
      </c>
    </row>
    <row r="33" spans="1:23" ht="30" x14ac:dyDescent="0.25">
      <c r="A33" s="451"/>
      <c r="B33" s="451"/>
      <c r="C33" s="483" t="s">
        <v>1100</v>
      </c>
      <c r="D33" s="480">
        <f t="shared" ref="D33:W33" si="12">1.4*D6</f>
        <v>1.4</v>
      </c>
      <c r="E33" s="480">
        <f t="shared" si="12"/>
        <v>2.8</v>
      </c>
      <c r="F33" s="481">
        <f t="shared" si="12"/>
        <v>4.2</v>
      </c>
      <c r="G33" s="480">
        <f t="shared" si="12"/>
        <v>5.6</v>
      </c>
      <c r="H33" s="480">
        <f t="shared" si="12"/>
        <v>7</v>
      </c>
      <c r="I33" s="480">
        <f t="shared" si="12"/>
        <v>8.4</v>
      </c>
      <c r="J33" s="480">
        <f t="shared" si="12"/>
        <v>9.8000000000000007</v>
      </c>
      <c r="K33" s="481">
        <f t="shared" si="12"/>
        <v>11.2</v>
      </c>
      <c r="L33" s="480">
        <f t="shared" si="12"/>
        <v>12.6</v>
      </c>
      <c r="M33" s="480">
        <f t="shared" si="12"/>
        <v>14</v>
      </c>
      <c r="N33" s="480">
        <f t="shared" si="12"/>
        <v>15.4</v>
      </c>
      <c r="O33" s="480">
        <f t="shared" si="12"/>
        <v>16.8</v>
      </c>
      <c r="P33" s="480">
        <f t="shared" si="12"/>
        <v>18.2</v>
      </c>
      <c r="Q33" s="480">
        <f t="shared" si="12"/>
        <v>19.600000000000001</v>
      </c>
      <c r="R33" s="480">
        <f t="shared" si="12"/>
        <v>21</v>
      </c>
      <c r="S33" s="480">
        <f t="shared" si="12"/>
        <v>22.4</v>
      </c>
      <c r="T33" s="480">
        <f t="shared" si="12"/>
        <v>23.8</v>
      </c>
      <c r="U33" s="480">
        <f t="shared" si="12"/>
        <v>25.2</v>
      </c>
      <c r="V33" s="480">
        <f t="shared" si="12"/>
        <v>26.6</v>
      </c>
      <c r="W33" s="480">
        <f t="shared" si="12"/>
        <v>28</v>
      </c>
    </row>
    <row r="34" spans="1:23" x14ac:dyDescent="0.25">
      <c r="A34" s="451"/>
      <c r="B34" s="451"/>
      <c r="C34" s="484"/>
      <c r="D34" s="463"/>
      <c r="E34" s="463"/>
      <c r="F34" s="464"/>
      <c r="G34" s="463"/>
      <c r="H34" s="463"/>
      <c r="I34" s="463"/>
      <c r="J34" s="463"/>
      <c r="K34" s="464"/>
      <c r="L34" s="463"/>
      <c r="M34" s="463"/>
      <c r="N34" s="463"/>
      <c r="O34" s="463"/>
      <c r="P34" s="463"/>
      <c r="Q34" s="463"/>
      <c r="R34" s="463"/>
      <c r="S34" s="463"/>
      <c r="T34" s="463"/>
      <c r="U34" s="463"/>
      <c r="V34" s="463"/>
      <c r="W34" s="463"/>
    </row>
    <row r="35" spans="1:23" ht="75" x14ac:dyDescent="0.25">
      <c r="A35" s="451"/>
      <c r="B35" s="451"/>
      <c r="C35" s="483" t="s">
        <v>1099</v>
      </c>
      <c r="D35" s="480">
        <f t="shared" ref="D35:W35" si="13">1.5*D6</f>
        <v>1.5</v>
      </c>
      <c r="E35" s="480">
        <f t="shared" si="13"/>
        <v>3</v>
      </c>
      <c r="F35" s="481">
        <f t="shared" si="13"/>
        <v>4.5</v>
      </c>
      <c r="G35" s="480">
        <f t="shared" si="13"/>
        <v>6</v>
      </c>
      <c r="H35" s="480">
        <f t="shared" si="13"/>
        <v>7.5</v>
      </c>
      <c r="I35" s="480">
        <f t="shared" si="13"/>
        <v>9</v>
      </c>
      <c r="J35" s="480">
        <f t="shared" si="13"/>
        <v>10.5</v>
      </c>
      <c r="K35" s="481">
        <f t="shared" si="13"/>
        <v>12</v>
      </c>
      <c r="L35" s="480">
        <f t="shared" si="13"/>
        <v>13.5</v>
      </c>
      <c r="M35" s="480">
        <f t="shared" si="13"/>
        <v>15</v>
      </c>
      <c r="N35" s="480">
        <f t="shared" si="13"/>
        <v>16.5</v>
      </c>
      <c r="O35" s="480">
        <f t="shared" si="13"/>
        <v>18</v>
      </c>
      <c r="P35" s="480">
        <f t="shared" si="13"/>
        <v>19.5</v>
      </c>
      <c r="Q35" s="480">
        <f t="shared" si="13"/>
        <v>21</v>
      </c>
      <c r="R35" s="480">
        <f t="shared" si="13"/>
        <v>22.5</v>
      </c>
      <c r="S35" s="480">
        <f t="shared" si="13"/>
        <v>24</v>
      </c>
      <c r="T35" s="480">
        <f t="shared" si="13"/>
        <v>25.5</v>
      </c>
      <c r="U35" s="480">
        <f t="shared" si="13"/>
        <v>27</v>
      </c>
      <c r="V35" s="480">
        <f t="shared" si="13"/>
        <v>28.5</v>
      </c>
      <c r="W35" s="480">
        <f t="shared" si="13"/>
        <v>30</v>
      </c>
    </row>
    <row r="36" spans="1:23" ht="30" x14ac:dyDescent="0.25">
      <c r="A36" s="451"/>
      <c r="B36" s="451"/>
      <c r="C36" s="483" t="s">
        <v>1098</v>
      </c>
      <c r="D36" s="480">
        <f t="shared" ref="D36:W36" si="14">1.5*D6</f>
        <v>1.5</v>
      </c>
      <c r="E36" s="480">
        <f t="shared" si="14"/>
        <v>3</v>
      </c>
      <c r="F36" s="481">
        <f t="shared" si="14"/>
        <v>4.5</v>
      </c>
      <c r="G36" s="480">
        <f t="shared" si="14"/>
        <v>6</v>
      </c>
      <c r="H36" s="480">
        <f t="shared" si="14"/>
        <v>7.5</v>
      </c>
      <c r="I36" s="480">
        <f t="shared" si="14"/>
        <v>9</v>
      </c>
      <c r="J36" s="480">
        <f t="shared" si="14"/>
        <v>10.5</v>
      </c>
      <c r="K36" s="481">
        <f t="shared" si="14"/>
        <v>12</v>
      </c>
      <c r="L36" s="480">
        <f t="shared" si="14"/>
        <v>13.5</v>
      </c>
      <c r="M36" s="480">
        <f t="shared" si="14"/>
        <v>15</v>
      </c>
      <c r="N36" s="480">
        <f t="shared" si="14"/>
        <v>16.5</v>
      </c>
      <c r="O36" s="480">
        <f t="shared" si="14"/>
        <v>18</v>
      </c>
      <c r="P36" s="480">
        <f t="shared" si="14"/>
        <v>19.5</v>
      </c>
      <c r="Q36" s="480">
        <f t="shared" si="14"/>
        <v>21</v>
      </c>
      <c r="R36" s="480">
        <f t="shared" si="14"/>
        <v>22.5</v>
      </c>
      <c r="S36" s="480">
        <f t="shared" si="14"/>
        <v>24</v>
      </c>
      <c r="T36" s="480">
        <f t="shared" si="14"/>
        <v>25.5</v>
      </c>
      <c r="U36" s="480">
        <f t="shared" si="14"/>
        <v>27</v>
      </c>
      <c r="V36" s="480">
        <f t="shared" si="14"/>
        <v>28.5</v>
      </c>
      <c r="W36" s="480">
        <f t="shared" si="14"/>
        <v>30</v>
      </c>
    </row>
    <row r="37" spans="1:23" x14ac:dyDescent="0.25">
      <c r="A37" s="451"/>
      <c r="B37" s="451"/>
      <c r="C37" s="451"/>
      <c r="D37" s="459"/>
      <c r="E37" s="459"/>
      <c r="F37" s="460"/>
      <c r="G37" s="459"/>
      <c r="H37" s="459"/>
      <c r="I37" s="459"/>
      <c r="J37" s="459"/>
      <c r="K37" s="460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</row>
    <row r="38" spans="1:23" x14ac:dyDescent="0.25">
      <c r="A38" s="451">
        <v>15</v>
      </c>
      <c r="B38" s="462" t="s">
        <v>1079</v>
      </c>
      <c r="C38" s="479" t="s">
        <v>1097</v>
      </c>
      <c r="D38" s="459">
        <v>0.5</v>
      </c>
      <c r="E38" s="459">
        <v>0.75</v>
      </c>
      <c r="F38" s="460">
        <v>1</v>
      </c>
      <c r="G38" s="459">
        <v>1</v>
      </c>
      <c r="H38" s="459">
        <v>1</v>
      </c>
      <c r="I38" s="459">
        <v>1</v>
      </c>
      <c r="J38" s="459">
        <v>1</v>
      </c>
      <c r="K38" s="460">
        <v>1.5</v>
      </c>
      <c r="L38" s="459">
        <v>1.5</v>
      </c>
      <c r="M38" s="459">
        <v>1.5</v>
      </c>
      <c r="N38" s="459">
        <v>1.5</v>
      </c>
      <c r="O38" s="459">
        <v>1.5</v>
      </c>
      <c r="P38" s="459">
        <v>2</v>
      </c>
      <c r="Q38" s="459">
        <v>2</v>
      </c>
      <c r="R38" s="459">
        <v>2</v>
      </c>
      <c r="S38" s="459">
        <v>2</v>
      </c>
      <c r="T38" s="459">
        <v>2.5</v>
      </c>
      <c r="U38" s="459">
        <v>2.5</v>
      </c>
      <c r="V38" s="459">
        <v>2.5</v>
      </c>
      <c r="W38" s="459">
        <v>2.5</v>
      </c>
    </row>
    <row r="39" spans="1:23" x14ac:dyDescent="0.25">
      <c r="A39" s="451">
        <v>15</v>
      </c>
      <c r="B39" s="462" t="s">
        <v>1079</v>
      </c>
      <c r="C39" s="479" t="s">
        <v>1096</v>
      </c>
      <c r="D39" s="459">
        <f t="shared" ref="D39:W39" si="15">0.25*D6</f>
        <v>0.25</v>
      </c>
      <c r="E39" s="459">
        <f t="shared" si="15"/>
        <v>0.5</v>
      </c>
      <c r="F39" s="460">
        <f t="shared" si="15"/>
        <v>0.75</v>
      </c>
      <c r="G39" s="459">
        <f t="shared" si="15"/>
        <v>1</v>
      </c>
      <c r="H39" s="459">
        <f t="shared" si="15"/>
        <v>1.25</v>
      </c>
      <c r="I39" s="459">
        <f t="shared" si="15"/>
        <v>1.5</v>
      </c>
      <c r="J39" s="459">
        <f t="shared" si="15"/>
        <v>1.75</v>
      </c>
      <c r="K39" s="460">
        <f t="shared" si="15"/>
        <v>2</v>
      </c>
      <c r="L39" s="459">
        <f t="shared" si="15"/>
        <v>2.25</v>
      </c>
      <c r="M39" s="459">
        <f t="shared" si="15"/>
        <v>2.5</v>
      </c>
      <c r="N39" s="459">
        <f t="shared" si="15"/>
        <v>2.75</v>
      </c>
      <c r="O39" s="459">
        <f t="shared" si="15"/>
        <v>3</v>
      </c>
      <c r="P39" s="459">
        <f t="shared" si="15"/>
        <v>3.25</v>
      </c>
      <c r="Q39" s="459">
        <f t="shared" si="15"/>
        <v>3.5</v>
      </c>
      <c r="R39" s="459">
        <f t="shared" si="15"/>
        <v>3.75</v>
      </c>
      <c r="S39" s="459">
        <f t="shared" si="15"/>
        <v>4</v>
      </c>
      <c r="T39" s="459">
        <f t="shared" si="15"/>
        <v>4.25</v>
      </c>
      <c r="U39" s="459">
        <f t="shared" si="15"/>
        <v>4.5</v>
      </c>
      <c r="V39" s="459">
        <f t="shared" si="15"/>
        <v>4.75</v>
      </c>
      <c r="W39" s="459">
        <f t="shared" si="15"/>
        <v>5</v>
      </c>
    </row>
    <row r="40" spans="1:23" x14ac:dyDescent="0.25">
      <c r="A40" s="451">
        <v>18</v>
      </c>
      <c r="B40" s="462" t="s">
        <v>1079</v>
      </c>
      <c r="C40" s="477" t="s">
        <v>1095</v>
      </c>
      <c r="D40" s="459"/>
      <c r="E40" s="459"/>
      <c r="F40" s="460"/>
      <c r="G40" s="459"/>
      <c r="H40" s="459"/>
      <c r="I40" s="459"/>
      <c r="J40" s="459"/>
      <c r="K40" s="460">
        <v>1</v>
      </c>
      <c r="L40" s="459">
        <v>1</v>
      </c>
      <c r="M40" s="459">
        <v>1</v>
      </c>
      <c r="N40" s="459">
        <v>1</v>
      </c>
      <c r="O40" s="459">
        <v>1</v>
      </c>
      <c r="P40" s="459">
        <v>1</v>
      </c>
      <c r="Q40" s="459">
        <v>1</v>
      </c>
      <c r="R40" s="459">
        <v>1</v>
      </c>
      <c r="S40" s="459">
        <v>1</v>
      </c>
      <c r="T40" s="459">
        <v>1</v>
      </c>
      <c r="U40" s="459">
        <v>1</v>
      </c>
      <c r="V40" s="459">
        <v>1</v>
      </c>
      <c r="W40" s="459">
        <v>1</v>
      </c>
    </row>
    <row r="41" spans="1:23" ht="106.5" customHeight="1" x14ac:dyDescent="0.25">
      <c r="A41" s="451">
        <v>19</v>
      </c>
      <c r="B41" s="462" t="s">
        <v>1079</v>
      </c>
      <c r="C41" s="479" t="s">
        <v>1094</v>
      </c>
      <c r="D41" s="459">
        <v>1</v>
      </c>
      <c r="E41" s="459">
        <v>2</v>
      </c>
      <c r="F41" s="460">
        <v>2</v>
      </c>
      <c r="G41" s="459">
        <v>3</v>
      </c>
      <c r="H41" s="459">
        <v>3</v>
      </c>
      <c r="I41" s="459">
        <v>3.5</v>
      </c>
      <c r="J41" s="459">
        <v>4</v>
      </c>
      <c r="K41" s="460">
        <v>5</v>
      </c>
      <c r="L41" s="459">
        <v>5</v>
      </c>
      <c r="M41" s="459">
        <v>5.5</v>
      </c>
      <c r="N41" s="459">
        <v>6</v>
      </c>
      <c r="O41" s="459">
        <v>6.5</v>
      </c>
      <c r="P41" s="459">
        <v>7</v>
      </c>
      <c r="Q41" s="459">
        <v>7.5</v>
      </c>
      <c r="R41" s="459">
        <v>8</v>
      </c>
      <c r="S41" s="459">
        <v>8</v>
      </c>
      <c r="T41" s="459">
        <v>8</v>
      </c>
      <c r="U41" s="459">
        <v>8.5</v>
      </c>
      <c r="V41" s="459">
        <v>8.5</v>
      </c>
      <c r="W41" s="459">
        <v>9.5</v>
      </c>
    </row>
    <row r="42" spans="1:23" x14ac:dyDescent="0.25">
      <c r="A42" s="451"/>
      <c r="B42" s="451"/>
      <c r="C42" s="478" t="s">
        <v>1093</v>
      </c>
      <c r="D42" s="469">
        <v>1</v>
      </c>
      <c r="E42" s="469">
        <v>1.5</v>
      </c>
      <c r="F42" s="470">
        <v>1.5</v>
      </c>
      <c r="G42" s="469">
        <v>2</v>
      </c>
      <c r="H42" s="469">
        <v>2</v>
      </c>
      <c r="I42" s="469">
        <v>2.5</v>
      </c>
      <c r="J42" s="469">
        <v>2.5</v>
      </c>
      <c r="K42" s="470">
        <v>3.5</v>
      </c>
      <c r="L42" s="469">
        <v>3.5</v>
      </c>
      <c r="M42" s="469">
        <v>3.5</v>
      </c>
      <c r="N42" s="469">
        <v>4</v>
      </c>
      <c r="O42" s="469">
        <v>4</v>
      </c>
      <c r="P42" s="469">
        <v>4.5</v>
      </c>
      <c r="Q42" s="469">
        <v>4.5</v>
      </c>
      <c r="R42" s="469">
        <v>5</v>
      </c>
      <c r="S42" s="469">
        <v>5</v>
      </c>
      <c r="T42" s="469">
        <v>5</v>
      </c>
      <c r="U42" s="469">
        <v>5</v>
      </c>
      <c r="V42" s="469">
        <v>5</v>
      </c>
      <c r="W42" s="469">
        <v>6</v>
      </c>
    </row>
    <row r="43" spans="1:23" x14ac:dyDescent="0.25">
      <c r="A43" s="451"/>
      <c r="B43" s="451"/>
      <c r="C43" s="478" t="s">
        <v>1092</v>
      </c>
      <c r="D43" s="472">
        <f t="shared" ref="D43:W43" si="16">D41-D42</f>
        <v>0</v>
      </c>
      <c r="E43" s="472">
        <f t="shared" si="16"/>
        <v>0.5</v>
      </c>
      <c r="F43" s="473">
        <f t="shared" si="16"/>
        <v>0.5</v>
      </c>
      <c r="G43" s="472">
        <f t="shared" si="16"/>
        <v>1</v>
      </c>
      <c r="H43" s="472">
        <f t="shared" si="16"/>
        <v>1</v>
      </c>
      <c r="I43" s="472">
        <f t="shared" si="16"/>
        <v>1</v>
      </c>
      <c r="J43" s="472">
        <f t="shared" si="16"/>
        <v>1.5</v>
      </c>
      <c r="K43" s="473">
        <f t="shared" si="16"/>
        <v>1.5</v>
      </c>
      <c r="L43" s="472">
        <f t="shared" si="16"/>
        <v>1.5</v>
      </c>
      <c r="M43" s="472">
        <f t="shared" si="16"/>
        <v>2</v>
      </c>
      <c r="N43" s="472">
        <f t="shared" si="16"/>
        <v>2</v>
      </c>
      <c r="O43" s="472">
        <f t="shared" si="16"/>
        <v>2.5</v>
      </c>
      <c r="P43" s="472">
        <f t="shared" si="16"/>
        <v>2.5</v>
      </c>
      <c r="Q43" s="472">
        <f t="shared" si="16"/>
        <v>3</v>
      </c>
      <c r="R43" s="472">
        <f t="shared" si="16"/>
        <v>3</v>
      </c>
      <c r="S43" s="472">
        <f t="shared" si="16"/>
        <v>3</v>
      </c>
      <c r="T43" s="472">
        <f t="shared" si="16"/>
        <v>3</v>
      </c>
      <c r="U43" s="472">
        <f t="shared" si="16"/>
        <v>3.5</v>
      </c>
      <c r="V43" s="472">
        <f t="shared" si="16"/>
        <v>3.5</v>
      </c>
      <c r="W43" s="472">
        <f t="shared" si="16"/>
        <v>3.5</v>
      </c>
    </row>
    <row r="44" spans="1:23" x14ac:dyDescent="0.25">
      <c r="A44" s="451">
        <v>20</v>
      </c>
      <c r="B44" s="462" t="s">
        <v>1079</v>
      </c>
      <c r="C44" s="477" t="s">
        <v>1091</v>
      </c>
      <c r="D44" s="459"/>
      <c r="E44" s="459">
        <v>0.25</v>
      </c>
      <c r="F44" s="460">
        <v>0.25</v>
      </c>
      <c r="G44" s="459">
        <v>0.5</v>
      </c>
      <c r="H44" s="459">
        <v>0.5</v>
      </c>
      <c r="I44" s="459">
        <v>1</v>
      </c>
      <c r="J44" s="459">
        <v>1</v>
      </c>
      <c r="K44" s="460">
        <v>1</v>
      </c>
      <c r="L44" s="459">
        <v>1</v>
      </c>
      <c r="M44" s="459">
        <v>1</v>
      </c>
      <c r="N44" s="459">
        <v>1</v>
      </c>
      <c r="O44" s="459">
        <v>1</v>
      </c>
      <c r="P44" s="459">
        <v>1</v>
      </c>
      <c r="Q44" s="459">
        <v>1</v>
      </c>
      <c r="R44" s="459">
        <v>1</v>
      </c>
      <c r="S44" s="459">
        <v>1</v>
      </c>
      <c r="T44" s="459">
        <v>1</v>
      </c>
      <c r="U44" s="459">
        <v>1</v>
      </c>
      <c r="V44" s="459">
        <v>1</v>
      </c>
      <c r="W44" s="459">
        <v>1</v>
      </c>
    </row>
    <row r="45" spans="1:23" ht="60" x14ac:dyDescent="0.25">
      <c r="A45" s="451">
        <v>21</v>
      </c>
      <c r="B45" s="462" t="s">
        <v>1079</v>
      </c>
      <c r="C45" s="476" t="s">
        <v>1090</v>
      </c>
      <c r="D45" s="459"/>
      <c r="E45" s="459">
        <f t="shared" ref="E45:J45" si="17">0.5+0.5</f>
        <v>1</v>
      </c>
      <c r="F45" s="460">
        <f t="shared" si="17"/>
        <v>1</v>
      </c>
      <c r="G45" s="459">
        <f t="shared" si="17"/>
        <v>1</v>
      </c>
      <c r="H45" s="459">
        <f t="shared" si="17"/>
        <v>1</v>
      </c>
      <c r="I45" s="459">
        <f t="shared" si="17"/>
        <v>1</v>
      </c>
      <c r="J45" s="459">
        <f t="shared" si="17"/>
        <v>1</v>
      </c>
      <c r="K45" s="460">
        <f t="shared" ref="K45:P45" si="18">1+0.5</f>
        <v>1.5</v>
      </c>
      <c r="L45" s="459">
        <f t="shared" si="18"/>
        <v>1.5</v>
      </c>
      <c r="M45" s="459">
        <f t="shared" si="18"/>
        <v>1.5</v>
      </c>
      <c r="N45" s="459">
        <f t="shared" si="18"/>
        <v>1.5</v>
      </c>
      <c r="O45" s="459">
        <f t="shared" si="18"/>
        <v>1.5</v>
      </c>
      <c r="P45" s="459">
        <f t="shared" si="18"/>
        <v>1.5</v>
      </c>
      <c r="Q45" s="459">
        <f t="shared" ref="Q45:W45" si="19">1.5+0.5</f>
        <v>2</v>
      </c>
      <c r="R45" s="459">
        <f t="shared" si="19"/>
        <v>2</v>
      </c>
      <c r="S45" s="459">
        <f t="shared" si="19"/>
        <v>2</v>
      </c>
      <c r="T45" s="459">
        <f t="shared" si="19"/>
        <v>2</v>
      </c>
      <c r="U45" s="459">
        <f t="shared" si="19"/>
        <v>2</v>
      </c>
      <c r="V45" s="459">
        <f t="shared" si="19"/>
        <v>2</v>
      </c>
      <c r="W45" s="459">
        <f t="shared" si="19"/>
        <v>2</v>
      </c>
    </row>
    <row r="46" spans="1:23" x14ac:dyDescent="0.25">
      <c r="A46" s="451">
        <v>22</v>
      </c>
      <c r="B46" s="462" t="s">
        <v>1079</v>
      </c>
      <c r="C46" s="477" t="s">
        <v>1089</v>
      </c>
      <c r="D46" s="459"/>
      <c r="E46" s="459"/>
      <c r="F46" s="460"/>
      <c r="G46" s="459"/>
      <c r="H46" s="459"/>
      <c r="I46" s="459"/>
      <c r="J46" s="459"/>
      <c r="K46" s="460">
        <v>0.5</v>
      </c>
      <c r="L46" s="459">
        <v>0.5</v>
      </c>
      <c r="M46" s="459">
        <v>0.5</v>
      </c>
      <c r="N46" s="459">
        <v>0.5</v>
      </c>
      <c r="O46" s="459">
        <v>0.5</v>
      </c>
      <c r="P46" s="459">
        <v>0.5</v>
      </c>
      <c r="Q46" s="459">
        <v>0.5</v>
      </c>
      <c r="R46" s="459">
        <v>0.5</v>
      </c>
      <c r="S46" s="459">
        <v>0.5</v>
      </c>
      <c r="T46" s="459">
        <v>0.5</v>
      </c>
      <c r="U46" s="459">
        <v>0.5</v>
      </c>
      <c r="V46" s="459">
        <v>0.5</v>
      </c>
      <c r="W46" s="459">
        <v>0.5</v>
      </c>
    </row>
    <row r="47" spans="1:23" ht="45" x14ac:dyDescent="0.25">
      <c r="A47" s="451">
        <v>23</v>
      </c>
      <c r="B47" s="462" t="s">
        <v>1079</v>
      </c>
      <c r="C47" s="476" t="s">
        <v>1088</v>
      </c>
      <c r="D47" s="459">
        <v>0.5</v>
      </c>
      <c r="E47" s="459">
        <v>0.75</v>
      </c>
      <c r="F47" s="460">
        <v>1</v>
      </c>
      <c r="G47" s="459">
        <v>1.25</v>
      </c>
      <c r="H47" s="459">
        <v>1.25</v>
      </c>
      <c r="I47" s="459">
        <v>1.75</v>
      </c>
      <c r="J47" s="459">
        <v>1.75</v>
      </c>
      <c r="K47" s="460">
        <v>2</v>
      </c>
      <c r="L47" s="459">
        <v>2</v>
      </c>
      <c r="M47" s="459">
        <v>2.5</v>
      </c>
      <c r="N47" s="459">
        <v>2.5</v>
      </c>
      <c r="O47" s="459">
        <v>3</v>
      </c>
      <c r="P47" s="459">
        <v>3</v>
      </c>
      <c r="Q47" s="459">
        <v>3</v>
      </c>
      <c r="R47" s="459">
        <v>3</v>
      </c>
      <c r="S47" s="459">
        <v>3</v>
      </c>
      <c r="T47" s="459">
        <v>3</v>
      </c>
      <c r="U47" s="459">
        <v>3</v>
      </c>
      <c r="V47" s="459">
        <v>3</v>
      </c>
      <c r="W47" s="459">
        <v>3</v>
      </c>
    </row>
    <row r="48" spans="1:23" ht="30" x14ac:dyDescent="0.25">
      <c r="A48" s="451">
        <v>24</v>
      </c>
      <c r="B48" s="462" t="s">
        <v>1079</v>
      </c>
      <c r="C48" s="476" t="s">
        <v>1087</v>
      </c>
      <c r="D48" s="459"/>
      <c r="E48" s="459"/>
      <c r="F48" s="460">
        <v>0.5</v>
      </c>
      <c r="G48" s="459">
        <v>0.5</v>
      </c>
      <c r="H48" s="459">
        <v>0.5</v>
      </c>
      <c r="I48" s="459">
        <v>0.5</v>
      </c>
      <c r="J48" s="459">
        <v>0.5</v>
      </c>
      <c r="K48" s="460">
        <f>0.5+0.5</f>
        <v>1</v>
      </c>
      <c r="L48" s="459">
        <v>1</v>
      </c>
      <c r="M48" s="459">
        <v>1</v>
      </c>
      <c r="N48" s="459">
        <v>1</v>
      </c>
      <c r="O48" s="459">
        <v>1</v>
      </c>
      <c r="P48" s="459">
        <f>1+0.5</f>
        <v>1.5</v>
      </c>
      <c r="Q48" s="459">
        <v>1.5</v>
      </c>
      <c r="R48" s="459">
        <v>1.5</v>
      </c>
      <c r="S48" s="459">
        <v>1.5</v>
      </c>
      <c r="T48" s="459">
        <v>1.5</v>
      </c>
      <c r="U48" s="459">
        <v>2</v>
      </c>
      <c r="V48" s="459">
        <v>2</v>
      </c>
      <c r="W48" s="459">
        <v>2</v>
      </c>
    </row>
    <row r="49" spans="1:23" ht="30" x14ac:dyDescent="0.25">
      <c r="A49" s="451">
        <v>25</v>
      </c>
      <c r="B49" s="462" t="s">
        <v>1079</v>
      </c>
      <c r="C49" s="476" t="s">
        <v>1086</v>
      </c>
      <c r="D49" s="469">
        <f t="shared" ref="D49:W49" si="20">0.25/2*D6</f>
        <v>0.13</v>
      </c>
      <c r="E49" s="469">
        <f t="shared" si="20"/>
        <v>0.25</v>
      </c>
      <c r="F49" s="470">
        <f t="shared" si="20"/>
        <v>0.38</v>
      </c>
      <c r="G49" s="469">
        <f t="shared" si="20"/>
        <v>0.5</v>
      </c>
      <c r="H49" s="469">
        <f t="shared" si="20"/>
        <v>0.63</v>
      </c>
      <c r="I49" s="469">
        <f t="shared" si="20"/>
        <v>0.75</v>
      </c>
      <c r="J49" s="469">
        <f t="shared" si="20"/>
        <v>0.88</v>
      </c>
      <c r="K49" s="470">
        <f t="shared" si="20"/>
        <v>1</v>
      </c>
      <c r="L49" s="469">
        <f t="shared" si="20"/>
        <v>1.1299999999999999</v>
      </c>
      <c r="M49" s="469">
        <f t="shared" si="20"/>
        <v>1.25</v>
      </c>
      <c r="N49" s="469">
        <f t="shared" si="20"/>
        <v>1.38</v>
      </c>
      <c r="O49" s="469">
        <f t="shared" si="20"/>
        <v>1.5</v>
      </c>
      <c r="P49" s="469">
        <f t="shared" si="20"/>
        <v>1.63</v>
      </c>
      <c r="Q49" s="469">
        <f t="shared" si="20"/>
        <v>1.75</v>
      </c>
      <c r="R49" s="469">
        <f t="shared" si="20"/>
        <v>1.88</v>
      </c>
      <c r="S49" s="469">
        <f t="shared" si="20"/>
        <v>2</v>
      </c>
      <c r="T49" s="469">
        <f t="shared" si="20"/>
        <v>2.13</v>
      </c>
      <c r="U49" s="469">
        <f t="shared" si="20"/>
        <v>2.25</v>
      </c>
      <c r="V49" s="469">
        <f t="shared" si="20"/>
        <v>2.38</v>
      </c>
      <c r="W49" s="469">
        <f t="shared" si="20"/>
        <v>2.5</v>
      </c>
    </row>
    <row r="50" spans="1:23" ht="30" x14ac:dyDescent="0.25">
      <c r="A50" s="451"/>
      <c r="B50" s="451"/>
      <c r="C50" s="475" t="s">
        <v>1085</v>
      </c>
      <c r="D50" s="469">
        <v>0.13</v>
      </c>
      <c r="E50" s="469">
        <v>0.25</v>
      </c>
      <c r="F50" s="470">
        <v>0.38</v>
      </c>
      <c r="G50" s="469">
        <v>0.5</v>
      </c>
      <c r="H50" s="469">
        <v>0.63</v>
      </c>
      <c r="I50" s="469">
        <v>0.75</v>
      </c>
      <c r="J50" s="469">
        <v>0.88</v>
      </c>
      <c r="K50" s="470">
        <v>1</v>
      </c>
      <c r="L50" s="469">
        <v>1.1299999999999999</v>
      </c>
      <c r="M50" s="469">
        <v>1.25</v>
      </c>
      <c r="N50" s="469">
        <v>1.38</v>
      </c>
      <c r="O50" s="469">
        <v>1.5</v>
      </c>
      <c r="P50" s="469">
        <v>1.63</v>
      </c>
      <c r="Q50" s="469">
        <v>1.75</v>
      </c>
      <c r="R50" s="469">
        <v>1.88</v>
      </c>
      <c r="S50" s="469">
        <v>2</v>
      </c>
      <c r="T50" s="469">
        <v>2.13</v>
      </c>
      <c r="U50" s="469">
        <v>2.25</v>
      </c>
      <c r="V50" s="469">
        <v>2.38</v>
      </c>
      <c r="W50" s="469">
        <v>2.5</v>
      </c>
    </row>
    <row r="51" spans="1:23" x14ac:dyDescent="0.25">
      <c r="A51" s="451"/>
      <c r="B51" s="451"/>
      <c r="C51" s="471" t="s">
        <v>1084</v>
      </c>
      <c r="D51" s="469"/>
      <c r="E51" s="469"/>
      <c r="F51" s="470"/>
      <c r="G51" s="469"/>
      <c r="H51" s="469"/>
      <c r="I51" s="469"/>
      <c r="J51" s="469"/>
      <c r="K51" s="470"/>
      <c r="L51" s="469"/>
      <c r="M51" s="469"/>
      <c r="N51" s="469"/>
      <c r="O51" s="469"/>
      <c r="P51" s="469"/>
      <c r="Q51" s="469"/>
      <c r="R51" s="469"/>
      <c r="S51" s="469"/>
      <c r="T51" s="469"/>
      <c r="U51" s="469"/>
      <c r="V51" s="469"/>
      <c r="W51" s="469"/>
    </row>
    <row r="52" spans="1:23" ht="30" x14ac:dyDescent="0.25">
      <c r="A52" s="451"/>
      <c r="B52" s="451"/>
      <c r="C52" s="474" t="s">
        <v>1083</v>
      </c>
      <c r="D52" s="472">
        <f t="shared" ref="D52:W52" si="21">D49-D50</f>
        <v>0</v>
      </c>
      <c r="E52" s="472">
        <f t="shared" si="21"/>
        <v>0</v>
      </c>
      <c r="F52" s="473">
        <f t="shared" si="21"/>
        <v>0</v>
      </c>
      <c r="G52" s="472">
        <f t="shared" si="21"/>
        <v>0</v>
      </c>
      <c r="H52" s="472">
        <f t="shared" si="21"/>
        <v>0</v>
      </c>
      <c r="I52" s="472">
        <f t="shared" si="21"/>
        <v>0</v>
      </c>
      <c r="J52" s="472">
        <f t="shared" si="21"/>
        <v>0</v>
      </c>
      <c r="K52" s="473">
        <f t="shared" si="21"/>
        <v>0</v>
      </c>
      <c r="L52" s="472">
        <f t="shared" si="21"/>
        <v>0</v>
      </c>
      <c r="M52" s="472">
        <f t="shared" si="21"/>
        <v>0</v>
      </c>
      <c r="N52" s="472">
        <f t="shared" si="21"/>
        <v>0</v>
      </c>
      <c r="O52" s="472">
        <f t="shared" si="21"/>
        <v>0</v>
      </c>
      <c r="P52" s="472">
        <f t="shared" si="21"/>
        <v>0</v>
      </c>
      <c r="Q52" s="472">
        <f t="shared" si="21"/>
        <v>0</v>
      </c>
      <c r="R52" s="472">
        <f t="shared" si="21"/>
        <v>0</v>
      </c>
      <c r="S52" s="472">
        <f t="shared" si="21"/>
        <v>0</v>
      </c>
      <c r="T52" s="472">
        <f t="shared" si="21"/>
        <v>0</v>
      </c>
      <c r="U52" s="472">
        <f t="shared" si="21"/>
        <v>0</v>
      </c>
      <c r="V52" s="472">
        <f t="shared" si="21"/>
        <v>0</v>
      </c>
      <c r="W52" s="472">
        <f t="shared" si="21"/>
        <v>0</v>
      </c>
    </row>
    <row r="53" spans="1:23" x14ac:dyDescent="0.25">
      <c r="A53" s="451"/>
      <c r="B53" s="451"/>
      <c r="C53" s="471" t="s">
        <v>1082</v>
      </c>
      <c r="D53" s="469"/>
      <c r="E53" s="469"/>
      <c r="F53" s="470"/>
      <c r="G53" s="469"/>
      <c r="H53" s="469"/>
      <c r="I53" s="469"/>
      <c r="J53" s="469"/>
      <c r="K53" s="470"/>
      <c r="L53" s="469"/>
      <c r="M53" s="469"/>
      <c r="N53" s="469"/>
      <c r="O53" s="469"/>
      <c r="P53" s="469"/>
      <c r="Q53" s="469"/>
      <c r="R53" s="469"/>
      <c r="S53" s="469"/>
      <c r="T53" s="469"/>
      <c r="U53" s="469"/>
      <c r="V53" s="469"/>
      <c r="W53" s="469"/>
    </row>
    <row r="54" spans="1:23" x14ac:dyDescent="0.25">
      <c r="A54" s="451"/>
      <c r="B54" s="451"/>
      <c r="C54" s="471" t="s">
        <v>1081</v>
      </c>
      <c r="D54" s="469"/>
      <c r="E54" s="469"/>
      <c r="F54" s="470"/>
      <c r="G54" s="469"/>
      <c r="H54" s="469"/>
      <c r="I54" s="469"/>
      <c r="J54" s="469"/>
      <c r="K54" s="470"/>
      <c r="L54" s="469"/>
      <c r="M54" s="469"/>
      <c r="N54" s="469"/>
      <c r="O54" s="469"/>
      <c r="P54" s="469"/>
      <c r="Q54" s="469"/>
      <c r="R54" s="469"/>
      <c r="S54" s="469"/>
      <c r="T54" s="469"/>
      <c r="U54" s="469"/>
      <c r="V54" s="469"/>
      <c r="W54" s="469"/>
    </row>
    <row r="55" spans="1:23" ht="38.25" x14ac:dyDescent="0.25">
      <c r="A55" s="451">
        <v>26</v>
      </c>
      <c r="B55" s="462" t="s">
        <v>1079</v>
      </c>
      <c r="C55" s="468" t="s">
        <v>1080</v>
      </c>
      <c r="D55" s="459"/>
      <c r="E55" s="459">
        <v>0.25</v>
      </c>
      <c r="F55" s="460">
        <v>0.25</v>
      </c>
      <c r="G55" s="459">
        <v>0.5</v>
      </c>
      <c r="H55" s="459">
        <v>0.5</v>
      </c>
      <c r="I55" s="459">
        <v>0.75</v>
      </c>
      <c r="J55" s="459">
        <v>0.75</v>
      </c>
      <c r="K55" s="460">
        <v>1</v>
      </c>
      <c r="L55" s="459">
        <v>1</v>
      </c>
      <c r="M55" s="459">
        <v>1.25</v>
      </c>
      <c r="N55" s="459">
        <v>1.25</v>
      </c>
      <c r="O55" s="459">
        <v>1.5</v>
      </c>
      <c r="P55" s="459">
        <v>1.5</v>
      </c>
      <c r="Q55" s="459">
        <v>1.75</v>
      </c>
      <c r="R55" s="459">
        <v>1.75</v>
      </c>
      <c r="S55" s="459">
        <v>2</v>
      </c>
      <c r="T55" s="459">
        <v>2</v>
      </c>
      <c r="U55" s="459">
        <v>2.25</v>
      </c>
      <c r="V55" s="459">
        <v>2.25</v>
      </c>
      <c r="W55" s="459">
        <v>2.5</v>
      </c>
    </row>
    <row r="56" spans="1:23" x14ac:dyDescent="0.25">
      <c r="A56" s="451">
        <v>26</v>
      </c>
      <c r="B56" s="462" t="s">
        <v>1079</v>
      </c>
      <c r="C56" s="467" t="s">
        <v>1078</v>
      </c>
      <c r="D56" s="459">
        <v>4.5</v>
      </c>
      <c r="E56" s="459">
        <v>4.5</v>
      </c>
      <c r="F56" s="460">
        <v>4.5</v>
      </c>
      <c r="G56" s="459">
        <v>4.5</v>
      </c>
      <c r="H56" s="459">
        <v>4.5</v>
      </c>
      <c r="I56" s="459">
        <v>4.5</v>
      </c>
      <c r="J56" s="459">
        <v>4.5</v>
      </c>
      <c r="K56" s="460">
        <v>4.5</v>
      </c>
      <c r="L56" s="459">
        <v>4.5</v>
      </c>
      <c r="M56" s="459">
        <v>4.5</v>
      </c>
      <c r="N56" s="459">
        <v>4.5</v>
      </c>
      <c r="O56" s="459">
        <v>4.5</v>
      </c>
      <c r="P56" s="459">
        <v>4.5</v>
      </c>
      <c r="Q56" s="459">
        <v>4.5</v>
      </c>
      <c r="R56" s="459">
        <v>4.5</v>
      </c>
      <c r="S56" s="459">
        <v>4.5</v>
      </c>
      <c r="T56" s="459">
        <v>4.5</v>
      </c>
      <c r="U56" s="459">
        <v>4.5</v>
      </c>
      <c r="V56" s="459">
        <v>4.5</v>
      </c>
      <c r="W56" s="459">
        <v>4.5</v>
      </c>
    </row>
    <row r="57" spans="1:23" x14ac:dyDescent="0.25">
      <c r="D57" s="457"/>
      <c r="E57" s="457"/>
      <c r="F57" s="457"/>
      <c r="G57" s="457"/>
      <c r="H57" s="457"/>
      <c r="I57" s="457"/>
      <c r="J57" s="457"/>
      <c r="K57" s="457"/>
      <c r="L57" s="457"/>
      <c r="M57" s="457"/>
      <c r="N57" s="457"/>
      <c r="O57" s="457"/>
      <c r="P57" s="457"/>
      <c r="Q57" s="457"/>
      <c r="R57" s="457"/>
      <c r="S57" s="457"/>
      <c r="T57" s="457"/>
      <c r="U57" s="457"/>
      <c r="V57" s="457"/>
      <c r="W57" s="457"/>
    </row>
    <row r="58" spans="1:23" x14ac:dyDescent="0.25">
      <c r="C58" s="458" t="s">
        <v>1077</v>
      </c>
      <c r="D58" s="457"/>
      <c r="E58" s="457"/>
      <c r="F58" s="457"/>
      <c r="G58" s="457"/>
      <c r="H58" s="457"/>
      <c r="I58" s="457"/>
      <c r="J58" s="457"/>
      <c r="K58" s="457"/>
      <c r="L58" s="457"/>
      <c r="M58" s="457"/>
      <c r="N58" s="457"/>
      <c r="O58" s="457"/>
      <c r="P58" s="457"/>
      <c r="Q58" s="457"/>
      <c r="R58" s="457"/>
      <c r="S58" s="457"/>
      <c r="T58" s="457"/>
      <c r="U58" s="457"/>
      <c r="V58" s="457"/>
      <c r="W58" s="457"/>
    </row>
    <row r="59" spans="1:23" x14ac:dyDescent="0.25">
      <c r="A59" s="451"/>
      <c r="B59" s="451"/>
      <c r="C59" s="456" t="s">
        <v>1068</v>
      </c>
      <c r="D59" s="448">
        <f t="shared" ref="D59:W59" si="22">D63+D71</f>
        <v>12.88</v>
      </c>
      <c r="E59" s="448">
        <f t="shared" si="22"/>
        <v>19.760000000000002</v>
      </c>
      <c r="F59" s="448">
        <f t="shared" si="22"/>
        <v>24.39</v>
      </c>
      <c r="G59" s="448">
        <f t="shared" si="22"/>
        <v>30.51</v>
      </c>
      <c r="H59" s="448">
        <f t="shared" si="22"/>
        <v>34.4</v>
      </c>
      <c r="I59" s="448">
        <f t="shared" si="22"/>
        <v>41.02</v>
      </c>
      <c r="J59" s="448">
        <f t="shared" si="22"/>
        <v>45.15</v>
      </c>
      <c r="K59" s="448">
        <f t="shared" si="22"/>
        <v>53.53</v>
      </c>
      <c r="L59" s="448">
        <f t="shared" si="22"/>
        <v>57.16</v>
      </c>
      <c r="M59" s="448">
        <f t="shared" si="22"/>
        <v>63.03</v>
      </c>
      <c r="N59" s="448">
        <f t="shared" si="22"/>
        <v>67.17</v>
      </c>
      <c r="O59" s="448">
        <f t="shared" si="22"/>
        <v>71.790000000000006</v>
      </c>
      <c r="P59" s="448">
        <f t="shared" si="22"/>
        <v>76.92</v>
      </c>
      <c r="Q59" s="448">
        <f t="shared" si="22"/>
        <v>82.05</v>
      </c>
      <c r="R59" s="448">
        <f t="shared" si="22"/>
        <v>86.43</v>
      </c>
      <c r="S59" s="448">
        <f t="shared" si="22"/>
        <v>90.3</v>
      </c>
      <c r="T59" s="448">
        <f t="shared" si="22"/>
        <v>94.44</v>
      </c>
      <c r="U59" s="448">
        <f t="shared" si="22"/>
        <v>99.56</v>
      </c>
      <c r="V59" s="448">
        <f t="shared" si="22"/>
        <v>103.19</v>
      </c>
      <c r="W59" s="448">
        <f t="shared" si="22"/>
        <v>108.07</v>
      </c>
    </row>
    <row r="60" spans="1:23" x14ac:dyDescent="0.25">
      <c r="A60" s="451"/>
      <c r="B60" s="451"/>
      <c r="C60" s="456" t="s">
        <v>1067</v>
      </c>
      <c r="D60" s="448">
        <f t="shared" ref="D60:W60" si="23">D65+D72</f>
        <v>13.01</v>
      </c>
      <c r="E60" s="448">
        <f t="shared" si="23"/>
        <v>20.260000000000002</v>
      </c>
      <c r="F60" s="448">
        <f t="shared" si="23"/>
        <v>25.02</v>
      </c>
      <c r="G60" s="448">
        <f t="shared" si="23"/>
        <v>31.51</v>
      </c>
      <c r="H60" s="448">
        <f t="shared" si="23"/>
        <v>35.53</v>
      </c>
      <c r="I60" s="448">
        <f t="shared" si="23"/>
        <v>42.52</v>
      </c>
      <c r="J60" s="448">
        <f t="shared" si="23"/>
        <v>46.78</v>
      </c>
      <c r="K60" s="448">
        <f t="shared" si="23"/>
        <v>55.53</v>
      </c>
      <c r="L60" s="448">
        <f t="shared" si="23"/>
        <v>59.29</v>
      </c>
      <c r="M60" s="448">
        <f t="shared" si="23"/>
        <v>65.53</v>
      </c>
      <c r="N60" s="448">
        <f t="shared" si="23"/>
        <v>69.8</v>
      </c>
      <c r="O60" s="448">
        <f t="shared" si="23"/>
        <v>74.790000000000006</v>
      </c>
      <c r="P60" s="448">
        <f t="shared" si="23"/>
        <v>80.05</v>
      </c>
      <c r="Q60" s="448">
        <f t="shared" si="23"/>
        <v>85.55</v>
      </c>
      <c r="R60" s="448">
        <f t="shared" si="23"/>
        <v>90.06</v>
      </c>
      <c r="S60" s="448">
        <f t="shared" si="23"/>
        <v>94.3</v>
      </c>
      <c r="T60" s="448">
        <f t="shared" si="23"/>
        <v>98.57</v>
      </c>
      <c r="U60" s="448">
        <f t="shared" si="23"/>
        <v>104.06</v>
      </c>
      <c r="V60" s="448">
        <f t="shared" si="23"/>
        <v>107.82</v>
      </c>
      <c r="W60" s="448">
        <f t="shared" si="23"/>
        <v>113.07</v>
      </c>
    </row>
    <row r="61" spans="1:23" x14ac:dyDescent="0.25">
      <c r="A61" s="451"/>
      <c r="B61" s="451"/>
      <c r="C61" s="456" t="s">
        <v>1066</v>
      </c>
      <c r="D61" s="448">
        <f t="shared" ref="D61:W61" si="24">D67+D73</f>
        <v>14.61</v>
      </c>
      <c r="E61" s="448">
        <f t="shared" si="24"/>
        <v>23.47</v>
      </c>
      <c r="F61" s="448">
        <f t="shared" si="24"/>
        <v>29.83</v>
      </c>
      <c r="G61" s="448">
        <f t="shared" si="24"/>
        <v>37.93</v>
      </c>
      <c r="H61" s="448">
        <f t="shared" si="24"/>
        <v>43.55</v>
      </c>
      <c r="I61" s="448">
        <f t="shared" si="24"/>
        <v>52.15</v>
      </c>
      <c r="J61" s="448">
        <f t="shared" si="24"/>
        <v>58.01</v>
      </c>
      <c r="K61" s="448">
        <f t="shared" si="24"/>
        <v>68.37</v>
      </c>
      <c r="L61" s="448">
        <f t="shared" si="24"/>
        <v>73.73</v>
      </c>
      <c r="M61" s="448">
        <f t="shared" si="24"/>
        <v>81.58</v>
      </c>
      <c r="N61" s="448">
        <f t="shared" si="24"/>
        <v>87.45</v>
      </c>
      <c r="O61" s="448">
        <f t="shared" si="24"/>
        <v>94.05</v>
      </c>
      <c r="P61" s="448">
        <f t="shared" si="24"/>
        <v>100.91</v>
      </c>
      <c r="Q61" s="448">
        <f t="shared" si="24"/>
        <v>108.02</v>
      </c>
      <c r="R61" s="448">
        <f t="shared" si="24"/>
        <v>114.13</v>
      </c>
      <c r="S61" s="448">
        <f t="shared" si="24"/>
        <v>119.98</v>
      </c>
      <c r="T61" s="448">
        <f t="shared" si="24"/>
        <v>125.85</v>
      </c>
      <c r="U61" s="448">
        <f t="shared" si="24"/>
        <v>132.94999999999999</v>
      </c>
      <c r="V61" s="448">
        <f t="shared" si="24"/>
        <v>138.31</v>
      </c>
      <c r="W61" s="448">
        <f t="shared" si="24"/>
        <v>145.16999999999999</v>
      </c>
    </row>
    <row r="62" spans="1:23" x14ac:dyDescent="0.25">
      <c r="A62" s="451"/>
      <c r="B62" s="451"/>
      <c r="C62" s="456" t="s">
        <v>1065</v>
      </c>
      <c r="D62" s="448">
        <f t="shared" ref="D62:W62" si="25">D69+D74</f>
        <v>7.02</v>
      </c>
      <c r="E62" s="448">
        <f t="shared" si="25"/>
        <v>13.53</v>
      </c>
      <c r="F62" s="448">
        <f t="shared" si="25"/>
        <v>17.8</v>
      </c>
      <c r="G62" s="448">
        <f t="shared" si="25"/>
        <v>23.81</v>
      </c>
      <c r="H62" s="448">
        <f t="shared" si="25"/>
        <v>27.58</v>
      </c>
      <c r="I62" s="448">
        <f t="shared" si="25"/>
        <v>33.590000000000003</v>
      </c>
      <c r="J62" s="448">
        <f t="shared" si="25"/>
        <v>37.61</v>
      </c>
      <c r="K62" s="448">
        <f t="shared" si="25"/>
        <v>45.37</v>
      </c>
      <c r="L62" s="448">
        <f t="shared" si="25"/>
        <v>48.89</v>
      </c>
      <c r="M62" s="448">
        <f t="shared" si="25"/>
        <v>54.65</v>
      </c>
      <c r="N62" s="448">
        <f t="shared" si="25"/>
        <v>58.67</v>
      </c>
      <c r="O62" s="448">
        <f t="shared" si="25"/>
        <v>63.18</v>
      </c>
      <c r="P62" s="448">
        <f t="shared" si="25"/>
        <v>67.7</v>
      </c>
      <c r="Q62" s="448">
        <f t="shared" si="25"/>
        <v>72.709999999999994</v>
      </c>
      <c r="R62" s="448">
        <f t="shared" si="25"/>
        <v>76.98</v>
      </c>
      <c r="S62" s="448">
        <f t="shared" si="25"/>
        <v>80.489999999999995</v>
      </c>
      <c r="T62" s="448">
        <f t="shared" si="25"/>
        <v>84.01</v>
      </c>
      <c r="U62" s="448">
        <f t="shared" si="25"/>
        <v>89.02</v>
      </c>
      <c r="V62" s="448">
        <f t="shared" si="25"/>
        <v>92.54</v>
      </c>
      <c r="W62" s="448">
        <f t="shared" si="25"/>
        <v>97.3</v>
      </c>
    </row>
    <row r="63" spans="1:23" x14ac:dyDescent="0.25">
      <c r="A63" s="451"/>
      <c r="B63" s="451"/>
      <c r="C63" s="455" t="s">
        <v>1064</v>
      </c>
      <c r="D63" s="454">
        <f t="shared" ref="D63:W63" si="26">D12+D13+D14+D15+D16+D17+D18+D19+D20+D21+D23+D25+D29+D31+D35</f>
        <v>6.25</v>
      </c>
      <c r="E63" s="454">
        <f t="shared" si="26"/>
        <v>10.26</v>
      </c>
      <c r="F63" s="454">
        <f t="shared" si="26"/>
        <v>13.76</v>
      </c>
      <c r="G63" s="454">
        <f t="shared" si="26"/>
        <v>18.260000000000002</v>
      </c>
      <c r="H63" s="454">
        <f t="shared" si="26"/>
        <v>22.02</v>
      </c>
      <c r="I63" s="454">
        <f t="shared" si="26"/>
        <v>27.02</v>
      </c>
      <c r="J63" s="454">
        <f t="shared" si="26"/>
        <v>30.52</v>
      </c>
      <c r="K63" s="454">
        <f t="shared" si="26"/>
        <v>34.53</v>
      </c>
      <c r="L63" s="454">
        <f t="shared" si="26"/>
        <v>38.03</v>
      </c>
      <c r="M63" s="454">
        <f t="shared" si="26"/>
        <v>42.78</v>
      </c>
      <c r="N63" s="454">
        <f t="shared" si="26"/>
        <v>46.29</v>
      </c>
      <c r="O63" s="454">
        <f t="shared" si="26"/>
        <v>49.79</v>
      </c>
      <c r="P63" s="454">
        <f t="shared" si="26"/>
        <v>53.29</v>
      </c>
      <c r="Q63" s="454">
        <f t="shared" si="26"/>
        <v>57.3</v>
      </c>
      <c r="R63" s="454">
        <f t="shared" si="26"/>
        <v>61.05</v>
      </c>
      <c r="S63" s="454">
        <f t="shared" si="26"/>
        <v>64.8</v>
      </c>
      <c r="T63" s="454">
        <f t="shared" si="26"/>
        <v>68.31</v>
      </c>
      <c r="U63" s="454">
        <f t="shared" si="26"/>
        <v>72.31</v>
      </c>
      <c r="V63" s="454">
        <f t="shared" si="26"/>
        <v>75.81</v>
      </c>
      <c r="W63" s="454">
        <f t="shared" si="26"/>
        <v>79.569999999999993</v>
      </c>
    </row>
    <row r="64" spans="1:23" x14ac:dyDescent="0.25">
      <c r="A64" s="451"/>
      <c r="B64" s="451"/>
      <c r="C64" s="455" t="s">
        <v>1060</v>
      </c>
      <c r="D64" s="454">
        <f t="shared" ref="D64:W64" si="27">D23+D25+D29+D31</f>
        <v>2</v>
      </c>
      <c r="E64" s="454">
        <f t="shared" si="27"/>
        <v>4.01</v>
      </c>
      <c r="F64" s="454">
        <f t="shared" si="27"/>
        <v>6.01</v>
      </c>
      <c r="G64" s="454">
        <f t="shared" si="27"/>
        <v>8.01</v>
      </c>
      <c r="H64" s="454">
        <f t="shared" si="27"/>
        <v>10.02</v>
      </c>
      <c r="I64" s="454">
        <f t="shared" si="27"/>
        <v>12.02</v>
      </c>
      <c r="J64" s="454">
        <f t="shared" si="27"/>
        <v>14.02</v>
      </c>
      <c r="K64" s="454">
        <f t="shared" si="27"/>
        <v>16.03</v>
      </c>
      <c r="L64" s="454">
        <f t="shared" si="27"/>
        <v>18.03</v>
      </c>
      <c r="M64" s="454">
        <f t="shared" si="27"/>
        <v>20.03</v>
      </c>
      <c r="N64" s="454">
        <f t="shared" si="27"/>
        <v>22.04</v>
      </c>
      <c r="O64" s="454">
        <f t="shared" si="27"/>
        <v>24.04</v>
      </c>
      <c r="P64" s="454">
        <f t="shared" si="27"/>
        <v>26.04</v>
      </c>
      <c r="Q64" s="454">
        <f t="shared" si="27"/>
        <v>28.05</v>
      </c>
      <c r="R64" s="454">
        <f t="shared" si="27"/>
        <v>30.05</v>
      </c>
      <c r="S64" s="454">
        <f t="shared" si="27"/>
        <v>32.049999999999997</v>
      </c>
      <c r="T64" s="454">
        <f t="shared" si="27"/>
        <v>34.06</v>
      </c>
      <c r="U64" s="454">
        <f t="shared" si="27"/>
        <v>36.06</v>
      </c>
      <c r="V64" s="454">
        <f t="shared" si="27"/>
        <v>38.06</v>
      </c>
      <c r="W64" s="454">
        <f t="shared" si="27"/>
        <v>40.07</v>
      </c>
    </row>
    <row r="65" spans="1:23" x14ac:dyDescent="0.25">
      <c r="A65" s="451"/>
      <c r="B65" s="451"/>
      <c r="C65" s="455" t="s">
        <v>1063</v>
      </c>
      <c r="D65" s="454">
        <f t="shared" ref="D65:W65" si="28">D12+D13+D14+D15+D16+D17+D18+D19+D20+D21+D23+D25+D28+D29+D31+D35</f>
        <v>6.38</v>
      </c>
      <c r="E65" s="454">
        <f t="shared" si="28"/>
        <v>10.51</v>
      </c>
      <c r="F65" s="454">
        <f t="shared" si="28"/>
        <v>14.14</v>
      </c>
      <c r="G65" s="454">
        <f t="shared" si="28"/>
        <v>18.760000000000002</v>
      </c>
      <c r="H65" s="454">
        <f t="shared" si="28"/>
        <v>22.65</v>
      </c>
      <c r="I65" s="454">
        <f t="shared" si="28"/>
        <v>27.77</v>
      </c>
      <c r="J65" s="454">
        <f t="shared" si="28"/>
        <v>31.4</v>
      </c>
      <c r="K65" s="454">
        <f t="shared" si="28"/>
        <v>35.53</v>
      </c>
      <c r="L65" s="454">
        <f t="shared" si="28"/>
        <v>39.159999999999997</v>
      </c>
      <c r="M65" s="454">
        <f t="shared" si="28"/>
        <v>44.03</v>
      </c>
      <c r="N65" s="454">
        <f t="shared" si="28"/>
        <v>47.67</v>
      </c>
      <c r="O65" s="454">
        <f t="shared" si="28"/>
        <v>51.29</v>
      </c>
      <c r="P65" s="454">
        <f t="shared" si="28"/>
        <v>54.92</v>
      </c>
      <c r="Q65" s="454">
        <f t="shared" si="28"/>
        <v>59.05</v>
      </c>
      <c r="R65" s="454">
        <f t="shared" si="28"/>
        <v>62.93</v>
      </c>
      <c r="S65" s="454">
        <f t="shared" si="28"/>
        <v>66.8</v>
      </c>
      <c r="T65" s="454">
        <f t="shared" si="28"/>
        <v>70.44</v>
      </c>
      <c r="U65" s="454">
        <f t="shared" si="28"/>
        <v>74.56</v>
      </c>
      <c r="V65" s="454">
        <f t="shared" si="28"/>
        <v>78.19</v>
      </c>
      <c r="W65" s="454">
        <f t="shared" si="28"/>
        <v>82.07</v>
      </c>
    </row>
    <row r="66" spans="1:23" x14ac:dyDescent="0.25">
      <c r="A66" s="451"/>
      <c r="B66" s="451"/>
      <c r="C66" s="455" t="s">
        <v>1060</v>
      </c>
      <c r="D66" s="454">
        <f t="shared" ref="D66:W66" si="29">D23+D25+D28+D29+D31</f>
        <v>2.13</v>
      </c>
      <c r="E66" s="454">
        <f t="shared" si="29"/>
        <v>4.26</v>
      </c>
      <c r="F66" s="454">
        <f t="shared" si="29"/>
        <v>6.39</v>
      </c>
      <c r="G66" s="454">
        <f t="shared" si="29"/>
        <v>8.51</v>
      </c>
      <c r="H66" s="454">
        <f t="shared" si="29"/>
        <v>10.65</v>
      </c>
      <c r="I66" s="454">
        <f t="shared" si="29"/>
        <v>12.77</v>
      </c>
      <c r="J66" s="454">
        <f t="shared" si="29"/>
        <v>14.9</v>
      </c>
      <c r="K66" s="454">
        <f t="shared" si="29"/>
        <v>17.03</v>
      </c>
      <c r="L66" s="454">
        <f t="shared" si="29"/>
        <v>19.16</v>
      </c>
      <c r="M66" s="454">
        <f t="shared" si="29"/>
        <v>21.28</v>
      </c>
      <c r="N66" s="454">
        <f t="shared" si="29"/>
        <v>23.42</v>
      </c>
      <c r="O66" s="454">
        <f t="shared" si="29"/>
        <v>25.54</v>
      </c>
      <c r="P66" s="454">
        <f t="shared" si="29"/>
        <v>27.67</v>
      </c>
      <c r="Q66" s="454">
        <f t="shared" si="29"/>
        <v>29.8</v>
      </c>
      <c r="R66" s="454">
        <f t="shared" si="29"/>
        <v>31.93</v>
      </c>
      <c r="S66" s="454">
        <f t="shared" si="29"/>
        <v>34.049999999999997</v>
      </c>
      <c r="T66" s="454">
        <f t="shared" si="29"/>
        <v>36.19</v>
      </c>
      <c r="U66" s="454">
        <f t="shared" si="29"/>
        <v>38.31</v>
      </c>
      <c r="V66" s="454">
        <f t="shared" si="29"/>
        <v>40.44</v>
      </c>
      <c r="W66" s="454">
        <f t="shared" si="29"/>
        <v>42.57</v>
      </c>
    </row>
    <row r="67" spans="1:23" x14ac:dyDescent="0.25">
      <c r="A67" s="451"/>
      <c r="B67" s="451"/>
      <c r="C67" s="455" t="s">
        <v>1062</v>
      </c>
      <c r="D67" s="454">
        <f t="shared" ref="D67:W67" si="30">D12+D13+D14+D15+D16+D17+D18+D19+D20+D21+D23+D25+D27+D29+D32+D35</f>
        <v>7.98</v>
      </c>
      <c r="E67" s="454">
        <f t="shared" si="30"/>
        <v>13.72</v>
      </c>
      <c r="F67" s="454">
        <f t="shared" si="30"/>
        <v>18.95</v>
      </c>
      <c r="G67" s="454">
        <f t="shared" si="30"/>
        <v>25.18</v>
      </c>
      <c r="H67" s="454">
        <f t="shared" si="30"/>
        <v>30.67</v>
      </c>
      <c r="I67" s="454">
        <f t="shared" si="30"/>
        <v>37.4</v>
      </c>
      <c r="J67" s="454">
        <f t="shared" si="30"/>
        <v>42.63</v>
      </c>
      <c r="K67" s="454">
        <f t="shared" si="30"/>
        <v>48.37</v>
      </c>
      <c r="L67" s="454">
        <f t="shared" si="30"/>
        <v>53.6</v>
      </c>
      <c r="M67" s="454">
        <f t="shared" si="30"/>
        <v>60.08</v>
      </c>
      <c r="N67" s="454">
        <f t="shared" si="30"/>
        <v>65.319999999999993</v>
      </c>
      <c r="O67" s="454">
        <f t="shared" si="30"/>
        <v>70.55</v>
      </c>
      <c r="P67" s="454">
        <f t="shared" si="30"/>
        <v>75.78</v>
      </c>
      <c r="Q67" s="454">
        <f t="shared" si="30"/>
        <v>81.52</v>
      </c>
      <c r="R67" s="454">
        <f t="shared" si="30"/>
        <v>87</v>
      </c>
      <c r="S67" s="454">
        <f t="shared" si="30"/>
        <v>92.48</v>
      </c>
      <c r="T67" s="454">
        <f t="shared" si="30"/>
        <v>97.72</v>
      </c>
      <c r="U67" s="454">
        <f t="shared" si="30"/>
        <v>103.45</v>
      </c>
      <c r="V67" s="454">
        <f t="shared" si="30"/>
        <v>108.68</v>
      </c>
      <c r="W67" s="454">
        <f t="shared" si="30"/>
        <v>114.17</v>
      </c>
    </row>
    <row r="68" spans="1:23" x14ac:dyDescent="0.25">
      <c r="A68" s="451"/>
      <c r="B68" s="451"/>
      <c r="C68" s="455" t="s">
        <v>1060</v>
      </c>
      <c r="D68" s="454">
        <f t="shared" ref="D68:W68" si="31">D23+D25+D27+D29+D32</f>
        <v>3.73</v>
      </c>
      <c r="E68" s="454">
        <f t="shared" si="31"/>
        <v>7.47</v>
      </c>
      <c r="F68" s="454">
        <f t="shared" si="31"/>
        <v>11.2</v>
      </c>
      <c r="G68" s="454">
        <f t="shared" si="31"/>
        <v>14.93</v>
      </c>
      <c r="H68" s="454">
        <f t="shared" si="31"/>
        <v>18.670000000000002</v>
      </c>
      <c r="I68" s="454">
        <f t="shared" si="31"/>
        <v>22.4</v>
      </c>
      <c r="J68" s="454">
        <f t="shared" si="31"/>
        <v>26.13</v>
      </c>
      <c r="K68" s="454">
        <f t="shared" si="31"/>
        <v>29.87</v>
      </c>
      <c r="L68" s="454">
        <f t="shared" si="31"/>
        <v>33.6</v>
      </c>
      <c r="M68" s="454">
        <f t="shared" si="31"/>
        <v>37.33</v>
      </c>
      <c r="N68" s="454">
        <f t="shared" si="31"/>
        <v>41.07</v>
      </c>
      <c r="O68" s="454">
        <f t="shared" si="31"/>
        <v>44.8</v>
      </c>
      <c r="P68" s="454">
        <f t="shared" si="31"/>
        <v>48.53</v>
      </c>
      <c r="Q68" s="454">
        <f t="shared" si="31"/>
        <v>52.27</v>
      </c>
      <c r="R68" s="454">
        <f t="shared" si="31"/>
        <v>56</v>
      </c>
      <c r="S68" s="454">
        <f t="shared" si="31"/>
        <v>59.73</v>
      </c>
      <c r="T68" s="454">
        <f t="shared" si="31"/>
        <v>63.47</v>
      </c>
      <c r="U68" s="454">
        <f t="shared" si="31"/>
        <v>67.2</v>
      </c>
      <c r="V68" s="454">
        <f t="shared" si="31"/>
        <v>70.930000000000007</v>
      </c>
      <c r="W68" s="454">
        <f t="shared" si="31"/>
        <v>74.67</v>
      </c>
    </row>
    <row r="69" spans="1:23" x14ac:dyDescent="0.25">
      <c r="A69" s="451"/>
      <c r="B69" s="451"/>
      <c r="C69" s="455" t="s">
        <v>1061</v>
      </c>
      <c r="D69" s="454">
        <f t="shared" ref="D69:W69" si="32">D12+D13+D14+D15+D16+D17+D18+D19+D24+D26+D30+D33+D36</f>
        <v>5.14</v>
      </c>
      <c r="E69" s="454">
        <f t="shared" si="32"/>
        <v>8.7799999999999994</v>
      </c>
      <c r="F69" s="454">
        <f t="shared" si="32"/>
        <v>11.92</v>
      </c>
      <c r="G69" s="454">
        <f t="shared" si="32"/>
        <v>16.059999999999999</v>
      </c>
      <c r="H69" s="454">
        <f t="shared" si="32"/>
        <v>19.45</v>
      </c>
      <c r="I69" s="454">
        <f t="shared" si="32"/>
        <v>23.59</v>
      </c>
      <c r="J69" s="454">
        <f t="shared" si="32"/>
        <v>26.73</v>
      </c>
      <c r="K69" s="454">
        <f t="shared" si="32"/>
        <v>30.37</v>
      </c>
      <c r="L69" s="454">
        <f t="shared" si="32"/>
        <v>33.51</v>
      </c>
      <c r="M69" s="454">
        <f t="shared" si="32"/>
        <v>37.9</v>
      </c>
      <c r="N69" s="454">
        <f t="shared" si="32"/>
        <v>41.04</v>
      </c>
      <c r="O69" s="454">
        <f t="shared" si="32"/>
        <v>44.18</v>
      </c>
      <c r="P69" s="454">
        <f t="shared" si="32"/>
        <v>47.32</v>
      </c>
      <c r="Q69" s="454">
        <f t="shared" si="32"/>
        <v>50.96</v>
      </c>
      <c r="R69" s="454">
        <f t="shared" si="32"/>
        <v>54.35</v>
      </c>
      <c r="S69" s="454">
        <f t="shared" si="32"/>
        <v>57.49</v>
      </c>
      <c r="T69" s="454">
        <f t="shared" si="32"/>
        <v>60.63</v>
      </c>
      <c r="U69" s="454">
        <f t="shared" si="32"/>
        <v>64.27</v>
      </c>
      <c r="V69" s="454">
        <f t="shared" si="32"/>
        <v>67.41</v>
      </c>
      <c r="W69" s="454">
        <f t="shared" si="32"/>
        <v>70.8</v>
      </c>
    </row>
    <row r="70" spans="1:23" x14ac:dyDescent="0.25">
      <c r="A70" s="451"/>
      <c r="B70" s="451"/>
      <c r="C70" s="455" t="s">
        <v>1060</v>
      </c>
      <c r="D70" s="454">
        <f t="shared" ref="D70:W70" si="33">D24+D26+D30+D33</f>
        <v>1.64</v>
      </c>
      <c r="E70" s="454">
        <f t="shared" si="33"/>
        <v>3.28</v>
      </c>
      <c r="F70" s="454">
        <f t="shared" si="33"/>
        <v>4.92</v>
      </c>
      <c r="G70" s="454">
        <f t="shared" si="33"/>
        <v>6.56</v>
      </c>
      <c r="H70" s="454">
        <f t="shared" si="33"/>
        <v>8.1999999999999993</v>
      </c>
      <c r="I70" s="454">
        <f t="shared" si="33"/>
        <v>9.84</v>
      </c>
      <c r="J70" s="454">
        <f t="shared" si="33"/>
        <v>11.48</v>
      </c>
      <c r="K70" s="454">
        <f t="shared" si="33"/>
        <v>13.12</v>
      </c>
      <c r="L70" s="454">
        <f t="shared" si="33"/>
        <v>14.76</v>
      </c>
      <c r="M70" s="454">
        <f t="shared" si="33"/>
        <v>16.399999999999999</v>
      </c>
      <c r="N70" s="454">
        <f t="shared" si="33"/>
        <v>18.04</v>
      </c>
      <c r="O70" s="454">
        <f t="shared" si="33"/>
        <v>19.68</v>
      </c>
      <c r="P70" s="454">
        <f t="shared" si="33"/>
        <v>21.32</v>
      </c>
      <c r="Q70" s="454">
        <f t="shared" si="33"/>
        <v>22.96</v>
      </c>
      <c r="R70" s="454">
        <f t="shared" si="33"/>
        <v>24.6</v>
      </c>
      <c r="S70" s="454">
        <f t="shared" si="33"/>
        <v>26.24</v>
      </c>
      <c r="T70" s="454">
        <f t="shared" si="33"/>
        <v>27.88</v>
      </c>
      <c r="U70" s="454">
        <f t="shared" si="33"/>
        <v>29.52</v>
      </c>
      <c r="V70" s="454">
        <f t="shared" si="33"/>
        <v>31.16</v>
      </c>
      <c r="W70" s="454">
        <f t="shared" si="33"/>
        <v>32.799999999999997</v>
      </c>
    </row>
    <row r="71" spans="1:23" x14ac:dyDescent="0.25">
      <c r="A71" s="451"/>
      <c r="B71" s="451"/>
      <c r="C71" s="453" t="s">
        <v>1059</v>
      </c>
      <c r="D71" s="452">
        <f t="shared" ref="D71:W71" si="34">D38+D40+D41+D44+D45+D46+D47+D48+D49+D56</f>
        <v>6.63</v>
      </c>
      <c r="E71" s="452">
        <f t="shared" si="34"/>
        <v>9.5</v>
      </c>
      <c r="F71" s="452">
        <f t="shared" si="34"/>
        <v>10.63</v>
      </c>
      <c r="G71" s="452">
        <f t="shared" si="34"/>
        <v>12.25</v>
      </c>
      <c r="H71" s="452">
        <f t="shared" si="34"/>
        <v>12.38</v>
      </c>
      <c r="I71" s="452">
        <f t="shared" si="34"/>
        <v>14</v>
      </c>
      <c r="J71" s="452">
        <f t="shared" si="34"/>
        <v>14.63</v>
      </c>
      <c r="K71" s="452">
        <f t="shared" si="34"/>
        <v>19</v>
      </c>
      <c r="L71" s="452">
        <f t="shared" si="34"/>
        <v>19.13</v>
      </c>
      <c r="M71" s="452">
        <f t="shared" si="34"/>
        <v>20.25</v>
      </c>
      <c r="N71" s="452">
        <f t="shared" si="34"/>
        <v>20.88</v>
      </c>
      <c r="O71" s="452">
        <f t="shared" si="34"/>
        <v>22</v>
      </c>
      <c r="P71" s="452">
        <f t="shared" si="34"/>
        <v>23.63</v>
      </c>
      <c r="Q71" s="452">
        <f t="shared" si="34"/>
        <v>24.75</v>
      </c>
      <c r="R71" s="452">
        <f t="shared" si="34"/>
        <v>25.38</v>
      </c>
      <c r="S71" s="452">
        <f t="shared" si="34"/>
        <v>25.5</v>
      </c>
      <c r="T71" s="452">
        <f t="shared" si="34"/>
        <v>26.13</v>
      </c>
      <c r="U71" s="452">
        <f t="shared" si="34"/>
        <v>27.25</v>
      </c>
      <c r="V71" s="452">
        <f t="shared" si="34"/>
        <v>27.38</v>
      </c>
      <c r="W71" s="452">
        <f t="shared" si="34"/>
        <v>28.5</v>
      </c>
    </row>
    <row r="72" spans="1:23" x14ac:dyDescent="0.25">
      <c r="A72" s="451"/>
      <c r="B72" s="451"/>
      <c r="C72" s="453" t="s">
        <v>1058</v>
      </c>
      <c r="D72" s="452">
        <f t="shared" ref="D72:W72" si="35">D38+D40+D41+D44+D45+D46+D47+D48+D49+D55+D56</f>
        <v>6.63</v>
      </c>
      <c r="E72" s="452">
        <f t="shared" si="35"/>
        <v>9.75</v>
      </c>
      <c r="F72" s="452">
        <f t="shared" si="35"/>
        <v>10.88</v>
      </c>
      <c r="G72" s="452">
        <f t="shared" si="35"/>
        <v>12.75</v>
      </c>
      <c r="H72" s="452">
        <f t="shared" si="35"/>
        <v>12.88</v>
      </c>
      <c r="I72" s="452">
        <f t="shared" si="35"/>
        <v>14.75</v>
      </c>
      <c r="J72" s="452">
        <f t="shared" si="35"/>
        <v>15.38</v>
      </c>
      <c r="K72" s="452">
        <f t="shared" si="35"/>
        <v>20</v>
      </c>
      <c r="L72" s="452">
        <f t="shared" si="35"/>
        <v>20.13</v>
      </c>
      <c r="M72" s="452">
        <f t="shared" si="35"/>
        <v>21.5</v>
      </c>
      <c r="N72" s="452">
        <f t="shared" si="35"/>
        <v>22.13</v>
      </c>
      <c r="O72" s="452">
        <f t="shared" si="35"/>
        <v>23.5</v>
      </c>
      <c r="P72" s="452">
        <f t="shared" si="35"/>
        <v>25.13</v>
      </c>
      <c r="Q72" s="452">
        <f t="shared" si="35"/>
        <v>26.5</v>
      </c>
      <c r="R72" s="452">
        <f t="shared" si="35"/>
        <v>27.13</v>
      </c>
      <c r="S72" s="452">
        <f t="shared" si="35"/>
        <v>27.5</v>
      </c>
      <c r="T72" s="452">
        <f t="shared" si="35"/>
        <v>28.13</v>
      </c>
      <c r="U72" s="452">
        <f t="shared" si="35"/>
        <v>29.5</v>
      </c>
      <c r="V72" s="452">
        <f t="shared" si="35"/>
        <v>29.63</v>
      </c>
      <c r="W72" s="452">
        <f t="shared" si="35"/>
        <v>31</v>
      </c>
    </row>
    <row r="73" spans="1:23" x14ac:dyDescent="0.25">
      <c r="A73" s="451"/>
      <c r="B73" s="451"/>
      <c r="C73" s="453" t="s">
        <v>1057</v>
      </c>
      <c r="D73" s="452">
        <f t="shared" ref="D73:W73" si="36">D38+D40+D41+D44+D45+D46+D47+D48+D49+D55+D56</f>
        <v>6.63</v>
      </c>
      <c r="E73" s="452">
        <f t="shared" si="36"/>
        <v>9.75</v>
      </c>
      <c r="F73" s="452">
        <f t="shared" si="36"/>
        <v>10.88</v>
      </c>
      <c r="G73" s="452">
        <f t="shared" si="36"/>
        <v>12.75</v>
      </c>
      <c r="H73" s="452">
        <f t="shared" si="36"/>
        <v>12.88</v>
      </c>
      <c r="I73" s="452">
        <f t="shared" si="36"/>
        <v>14.75</v>
      </c>
      <c r="J73" s="452">
        <f t="shared" si="36"/>
        <v>15.38</v>
      </c>
      <c r="K73" s="452">
        <f t="shared" si="36"/>
        <v>20</v>
      </c>
      <c r="L73" s="452">
        <f t="shared" si="36"/>
        <v>20.13</v>
      </c>
      <c r="M73" s="452">
        <f t="shared" si="36"/>
        <v>21.5</v>
      </c>
      <c r="N73" s="452">
        <f t="shared" si="36"/>
        <v>22.13</v>
      </c>
      <c r="O73" s="452">
        <f t="shared" si="36"/>
        <v>23.5</v>
      </c>
      <c r="P73" s="452">
        <f t="shared" si="36"/>
        <v>25.13</v>
      </c>
      <c r="Q73" s="452">
        <f t="shared" si="36"/>
        <v>26.5</v>
      </c>
      <c r="R73" s="452">
        <f t="shared" si="36"/>
        <v>27.13</v>
      </c>
      <c r="S73" s="452">
        <f t="shared" si="36"/>
        <v>27.5</v>
      </c>
      <c r="T73" s="452">
        <f t="shared" si="36"/>
        <v>28.13</v>
      </c>
      <c r="U73" s="452">
        <f t="shared" si="36"/>
        <v>29.5</v>
      </c>
      <c r="V73" s="452">
        <f t="shared" si="36"/>
        <v>29.63</v>
      </c>
      <c r="W73" s="452">
        <f t="shared" si="36"/>
        <v>31</v>
      </c>
    </row>
    <row r="74" spans="1:23" x14ac:dyDescent="0.25">
      <c r="A74" s="451"/>
      <c r="B74" s="451"/>
      <c r="C74" s="453" t="s">
        <v>1056</v>
      </c>
      <c r="D74" s="452">
        <f t="shared" ref="D74:W74" si="37">D39+D40+D41+D44+D45+D46+D47+D48+D49</f>
        <v>1.88</v>
      </c>
      <c r="E74" s="452">
        <f t="shared" si="37"/>
        <v>4.75</v>
      </c>
      <c r="F74" s="452">
        <f t="shared" si="37"/>
        <v>5.88</v>
      </c>
      <c r="G74" s="452">
        <f t="shared" si="37"/>
        <v>7.75</v>
      </c>
      <c r="H74" s="452">
        <f t="shared" si="37"/>
        <v>8.1300000000000008</v>
      </c>
      <c r="I74" s="452">
        <f t="shared" si="37"/>
        <v>10</v>
      </c>
      <c r="J74" s="452">
        <f t="shared" si="37"/>
        <v>10.88</v>
      </c>
      <c r="K74" s="452">
        <f t="shared" si="37"/>
        <v>15</v>
      </c>
      <c r="L74" s="452">
        <f t="shared" si="37"/>
        <v>15.38</v>
      </c>
      <c r="M74" s="452">
        <f t="shared" si="37"/>
        <v>16.75</v>
      </c>
      <c r="N74" s="452">
        <f t="shared" si="37"/>
        <v>17.63</v>
      </c>
      <c r="O74" s="452">
        <f t="shared" si="37"/>
        <v>19</v>
      </c>
      <c r="P74" s="452">
        <f t="shared" si="37"/>
        <v>20.38</v>
      </c>
      <c r="Q74" s="452">
        <f t="shared" si="37"/>
        <v>21.75</v>
      </c>
      <c r="R74" s="452">
        <f t="shared" si="37"/>
        <v>22.63</v>
      </c>
      <c r="S74" s="452">
        <f t="shared" si="37"/>
        <v>23</v>
      </c>
      <c r="T74" s="452">
        <f t="shared" si="37"/>
        <v>23.38</v>
      </c>
      <c r="U74" s="452">
        <f t="shared" si="37"/>
        <v>24.75</v>
      </c>
      <c r="V74" s="452">
        <f t="shared" si="37"/>
        <v>25.13</v>
      </c>
      <c r="W74" s="452">
        <f t="shared" si="37"/>
        <v>26.5</v>
      </c>
    </row>
    <row r="75" spans="1:23" x14ac:dyDescent="0.25">
      <c r="D75" s="457"/>
      <c r="E75" s="457"/>
      <c r="F75" s="457"/>
      <c r="G75" s="457"/>
      <c r="H75" s="457"/>
      <c r="I75" s="457"/>
      <c r="J75" s="457"/>
      <c r="K75" s="457"/>
      <c r="L75" s="457"/>
      <c r="M75" s="457"/>
      <c r="N75" s="457"/>
      <c r="O75" s="457"/>
      <c r="P75" s="457"/>
      <c r="Q75" s="457"/>
      <c r="R75" s="457"/>
      <c r="S75" s="457"/>
      <c r="T75" s="457"/>
      <c r="U75" s="457"/>
      <c r="V75" s="457"/>
      <c r="W75" s="457"/>
    </row>
    <row r="76" spans="1:23" x14ac:dyDescent="0.25">
      <c r="C76" s="458" t="s">
        <v>1070</v>
      </c>
      <c r="D76" s="457"/>
      <c r="E76" s="457"/>
      <c r="F76" s="457"/>
      <c r="G76" s="457"/>
      <c r="H76" s="457"/>
      <c r="I76" s="457"/>
      <c r="J76" s="457"/>
      <c r="K76" s="457"/>
      <c r="L76" s="457"/>
      <c r="M76" s="457"/>
      <c r="N76" s="457"/>
      <c r="O76" s="457"/>
      <c r="P76" s="457"/>
      <c r="Q76" s="457"/>
      <c r="R76" s="457"/>
      <c r="S76" s="457"/>
      <c r="T76" s="457"/>
      <c r="U76" s="457"/>
      <c r="V76" s="457"/>
      <c r="W76" s="457"/>
    </row>
    <row r="77" spans="1:23" x14ac:dyDescent="0.25">
      <c r="A77" s="451"/>
      <c r="B77" s="451"/>
      <c r="C77" s="456" t="s">
        <v>1068</v>
      </c>
      <c r="D77" s="448">
        <f t="shared" ref="D77:W77" si="38">D81+D89</f>
        <v>8.39</v>
      </c>
      <c r="E77" s="448">
        <f t="shared" si="38"/>
        <v>10.62</v>
      </c>
      <c r="F77" s="448">
        <f t="shared" si="38"/>
        <v>12.15</v>
      </c>
      <c r="G77" s="448">
        <f t="shared" si="38"/>
        <v>14.12</v>
      </c>
      <c r="H77" s="448">
        <f t="shared" si="38"/>
        <v>15.43</v>
      </c>
      <c r="I77" s="448">
        <f t="shared" si="38"/>
        <v>17.93</v>
      </c>
      <c r="J77" s="448">
        <f t="shared" si="38"/>
        <v>19.27</v>
      </c>
      <c r="K77" s="448">
        <f t="shared" si="38"/>
        <v>21.92</v>
      </c>
      <c r="L77" s="448">
        <f t="shared" si="38"/>
        <v>23.14</v>
      </c>
      <c r="M77" s="448">
        <f t="shared" si="38"/>
        <v>25.05</v>
      </c>
      <c r="N77" s="448">
        <f t="shared" si="38"/>
        <v>26.4</v>
      </c>
      <c r="O77" s="448">
        <f t="shared" si="38"/>
        <v>28.57</v>
      </c>
      <c r="P77" s="448">
        <f t="shared" si="38"/>
        <v>30.25</v>
      </c>
      <c r="Q77" s="448">
        <f t="shared" si="38"/>
        <v>31.92</v>
      </c>
      <c r="R77" s="448">
        <f t="shared" si="38"/>
        <v>33.35</v>
      </c>
      <c r="S77" s="448">
        <f t="shared" si="38"/>
        <v>34.799999999999997</v>
      </c>
      <c r="T77" s="448">
        <f t="shared" si="38"/>
        <v>36.18</v>
      </c>
      <c r="U77" s="448">
        <f t="shared" si="38"/>
        <v>37.86</v>
      </c>
      <c r="V77" s="448">
        <f t="shared" si="38"/>
        <v>39.06</v>
      </c>
      <c r="W77" s="448">
        <f t="shared" si="38"/>
        <v>40.619999999999997</v>
      </c>
    </row>
    <row r="78" spans="1:23" x14ac:dyDescent="0.25">
      <c r="A78" s="451"/>
      <c r="B78" s="451"/>
      <c r="C78" s="456" t="s">
        <v>1067</v>
      </c>
      <c r="D78" s="448">
        <f t="shared" ref="D78:W78" si="39">D83+D90</f>
        <v>9.1</v>
      </c>
      <c r="E78" s="448">
        <f t="shared" si="39"/>
        <v>11.45</v>
      </c>
      <c r="F78" s="448">
        <f t="shared" si="39"/>
        <v>13.04</v>
      </c>
      <c r="G78" s="448">
        <f t="shared" si="39"/>
        <v>15.13</v>
      </c>
      <c r="H78" s="448">
        <f t="shared" si="39"/>
        <v>16.46</v>
      </c>
      <c r="I78" s="448">
        <f t="shared" si="39"/>
        <v>19.09</v>
      </c>
      <c r="J78" s="448">
        <f t="shared" si="39"/>
        <v>20.48</v>
      </c>
      <c r="K78" s="448">
        <f t="shared" si="39"/>
        <v>23.26</v>
      </c>
      <c r="L78" s="448">
        <f t="shared" si="39"/>
        <v>24.51</v>
      </c>
      <c r="M78" s="448">
        <f t="shared" si="39"/>
        <v>26.55</v>
      </c>
      <c r="N78" s="448">
        <f t="shared" si="39"/>
        <v>27.95</v>
      </c>
      <c r="O78" s="448">
        <f t="shared" si="39"/>
        <v>29.57</v>
      </c>
      <c r="P78" s="448">
        <f t="shared" si="39"/>
        <v>31.29</v>
      </c>
      <c r="Q78" s="448">
        <f t="shared" si="39"/>
        <v>33.090000000000003</v>
      </c>
      <c r="R78" s="448">
        <f t="shared" si="39"/>
        <v>34.549999999999997</v>
      </c>
      <c r="S78" s="448">
        <f t="shared" si="39"/>
        <v>36.14</v>
      </c>
      <c r="T78" s="448">
        <f t="shared" si="39"/>
        <v>37.56</v>
      </c>
      <c r="U78" s="448">
        <f t="shared" si="39"/>
        <v>39.36</v>
      </c>
      <c r="V78" s="448">
        <f t="shared" si="39"/>
        <v>40.61</v>
      </c>
      <c r="W78" s="448">
        <f t="shared" si="39"/>
        <v>42.29</v>
      </c>
    </row>
    <row r="79" spans="1:23" x14ac:dyDescent="0.25">
      <c r="A79" s="451"/>
      <c r="B79" s="451"/>
      <c r="C79" s="456" t="s">
        <v>1066</v>
      </c>
      <c r="D79" s="448">
        <f t="shared" ref="D79:W79" si="40">D85+D91</f>
        <v>9.6300000000000008</v>
      </c>
      <c r="E79" s="448">
        <f t="shared" si="40"/>
        <v>12.52</v>
      </c>
      <c r="F79" s="448">
        <f t="shared" si="40"/>
        <v>14.64</v>
      </c>
      <c r="G79" s="448">
        <f t="shared" si="40"/>
        <v>17.27</v>
      </c>
      <c r="H79" s="448">
        <f t="shared" si="40"/>
        <v>19.14</v>
      </c>
      <c r="I79" s="448">
        <f t="shared" si="40"/>
        <v>22.3</v>
      </c>
      <c r="J79" s="448">
        <f t="shared" si="40"/>
        <v>24.23</v>
      </c>
      <c r="K79" s="448">
        <f t="shared" si="40"/>
        <v>27.54</v>
      </c>
      <c r="L79" s="448">
        <f t="shared" si="40"/>
        <v>29.32</v>
      </c>
      <c r="M79" s="448">
        <f t="shared" si="40"/>
        <v>31.9</v>
      </c>
      <c r="N79" s="448">
        <f t="shared" si="40"/>
        <v>33.83</v>
      </c>
      <c r="O79" s="448">
        <f t="shared" si="40"/>
        <v>35.99</v>
      </c>
      <c r="P79" s="448">
        <f t="shared" si="40"/>
        <v>38.25</v>
      </c>
      <c r="Q79" s="448">
        <f t="shared" si="40"/>
        <v>40.58</v>
      </c>
      <c r="R79" s="448">
        <f t="shared" si="40"/>
        <v>42.58</v>
      </c>
      <c r="S79" s="448">
        <f t="shared" si="40"/>
        <v>44.7</v>
      </c>
      <c r="T79" s="448">
        <f t="shared" si="40"/>
        <v>46.66</v>
      </c>
      <c r="U79" s="448">
        <f t="shared" si="40"/>
        <v>48.99</v>
      </c>
      <c r="V79" s="448">
        <f t="shared" si="40"/>
        <v>50.77</v>
      </c>
      <c r="W79" s="448">
        <f t="shared" si="40"/>
        <v>52.99</v>
      </c>
    </row>
    <row r="80" spans="1:23" x14ac:dyDescent="0.25">
      <c r="A80" s="451"/>
      <c r="B80" s="451"/>
      <c r="C80" s="456" t="s">
        <v>1065</v>
      </c>
      <c r="D80" s="448">
        <f t="shared" ref="D80:W80" si="41">D87+D92</f>
        <v>3.77</v>
      </c>
      <c r="E80" s="448">
        <f t="shared" si="41"/>
        <v>6.02</v>
      </c>
      <c r="F80" s="448">
        <f t="shared" si="41"/>
        <v>7.61</v>
      </c>
      <c r="G80" s="448">
        <f t="shared" si="41"/>
        <v>9.6999999999999993</v>
      </c>
      <c r="H80" s="448">
        <f t="shared" si="41"/>
        <v>11.12</v>
      </c>
      <c r="I80" s="448">
        <f t="shared" si="41"/>
        <v>13.25</v>
      </c>
      <c r="J80" s="448">
        <f t="shared" si="41"/>
        <v>14.71</v>
      </c>
      <c r="K80" s="448">
        <f t="shared" si="41"/>
        <v>17.32</v>
      </c>
      <c r="L80" s="448">
        <f t="shared" si="41"/>
        <v>18.649999999999999</v>
      </c>
      <c r="M80" s="448">
        <f t="shared" si="41"/>
        <v>20.7</v>
      </c>
      <c r="N80" s="448">
        <f t="shared" si="41"/>
        <v>22.16</v>
      </c>
      <c r="O80" s="448">
        <f t="shared" si="41"/>
        <v>23.79</v>
      </c>
      <c r="P80" s="448">
        <f t="shared" si="41"/>
        <v>25.42</v>
      </c>
      <c r="Q80" s="448">
        <f t="shared" si="41"/>
        <v>27.21</v>
      </c>
      <c r="R80" s="448">
        <f t="shared" si="41"/>
        <v>28.76</v>
      </c>
      <c r="S80" s="448">
        <f t="shared" si="41"/>
        <v>30.1</v>
      </c>
      <c r="T80" s="448">
        <f t="shared" si="41"/>
        <v>31.42</v>
      </c>
      <c r="U80" s="448">
        <f t="shared" si="41"/>
        <v>33.22</v>
      </c>
      <c r="V80" s="448">
        <f t="shared" si="41"/>
        <v>34.549999999999997</v>
      </c>
      <c r="W80" s="448">
        <f t="shared" si="41"/>
        <v>36.229999999999997</v>
      </c>
    </row>
    <row r="81" spans="1:23" x14ac:dyDescent="0.25">
      <c r="A81" s="451"/>
      <c r="B81" s="451"/>
      <c r="C81" s="455" t="s">
        <v>1064</v>
      </c>
      <c r="D81" s="454">
        <f t="shared" ref="D81:W81" si="42">D12+D13/12*4+D14+D15/12*4+D16/12*4+D17/12*4+D18/12*4+D19/12*4+D20+D21+D23/12*4+D25/12*4+D29/12*4+D31/12*4+D35/12*4</f>
        <v>3.25</v>
      </c>
      <c r="E81" s="454">
        <f t="shared" si="42"/>
        <v>4.59</v>
      </c>
      <c r="F81" s="454">
        <f t="shared" si="42"/>
        <v>5.75</v>
      </c>
      <c r="G81" s="454">
        <f t="shared" si="42"/>
        <v>7.25</v>
      </c>
      <c r="H81" s="454">
        <f t="shared" si="42"/>
        <v>8.51</v>
      </c>
      <c r="I81" s="454">
        <f t="shared" si="42"/>
        <v>10.51</v>
      </c>
      <c r="J81" s="454">
        <f t="shared" si="42"/>
        <v>11.67</v>
      </c>
      <c r="K81" s="454">
        <f t="shared" si="42"/>
        <v>13.01</v>
      </c>
      <c r="L81" s="454">
        <f t="shared" si="42"/>
        <v>14.18</v>
      </c>
      <c r="M81" s="454">
        <f t="shared" si="42"/>
        <v>15.76</v>
      </c>
      <c r="N81" s="454">
        <f t="shared" si="42"/>
        <v>16.93</v>
      </c>
      <c r="O81" s="454">
        <f t="shared" si="42"/>
        <v>18.760000000000002</v>
      </c>
      <c r="P81" s="454">
        <f t="shared" si="42"/>
        <v>19.93</v>
      </c>
      <c r="Q81" s="454">
        <f t="shared" si="42"/>
        <v>21.27</v>
      </c>
      <c r="R81" s="454">
        <f t="shared" si="42"/>
        <v>22.52</v>
      </c>
      <c r="S81" s="454">
        <f t="shared" si="42"/>
        <v>23.93</v>
      </c>
      <c r="T81" s="454">
        <f t="shared" si="42"/>
        <v>25.1</v>
      </c>
      <c r="U81" s="454">
        <f t="shared" si="42"/>
        <v>26.44</v>
      </c>
      <c r="V81" s="454">
        <f t="shared" si="42"/>
        <v>27.6</v>
      </c>
      <c r="W81" s="454">
        <f t="shared" si="42"/>
        <v>28.86</v>
      </c>
    </row>
    <row r="82" spans="1:23" x14ac:dyDescent="0.25">
      <c r="A82" s="451"/>
      <c r="B82" s="451"/>
      <c r="C82" s="455" t="s">
        <v>1060</v>
      </c>
      <c r="D82" s="454">
        <f t="shared" ref="D82:W82" si="43">D23/12*4+D25/12*4+D29/12*4+D31/12*4</f>
        <v>0.67</v>
      </c>
      <c r="E82" s="454">
        <f t="shared" si="43"/>
        <v>1.34</v>
      </c>
      <c r="F82" s="454">
        <f t="shared" si="43"/>
        <v>2</v>
      </c>
      <c r="G82" s="454">
        <f t="shared" si="43"/>
        <v>2.67</v>
      </c>
      <c r="H82" s="454">
        <f t="shared" si="43"/>
        <v>3.34</v>
      </c>
      <c r="I82" s="454">
        <f t="shared" si="43"/>
        <v>4.01</v>
      </c>
      <c r="J82" s="454">
        <f t="shared" si="43"/>
        <v>4.67</v>
      </c>
      <c r="K82" s="454">
        <f t="shared" si="43"/>
        <v>5.34</v>
      </c>
      <c r="L82" s="454">
        <f t="shared" si="43"/>
        <v>6.01</v>
      </c>
      <c r="M82" s="454">
        <f t="shared" si="43"/>
        <v>6.68</v>
      </c>
      <c r="N82" s="454">
        <f t="shared" si="43"/>
        <v>7.35</v>
      </c>
      <c r="O82" s="454">
        <f t="shared" si="43"/>
        <v>8.01</v>
      </c>
      <c r="P82" s="454">
        <f t="shared" si="43"/>
        <v>8.68</v>
      </c>
      <c r="Q82" s="454">
        <f t="shared" si="43"/>
        <v>9.35</v>
      </c>
      <c r="R82" s="454">
        <f t="shared" si="43"/>
        <v>10.02</v>
      </c>
      <c r="S82" s="454">
        <f t="shared" si="43"/>
        <v>10.68</v>
      </c>
      <c r="T82" s="454">
        <f t="shared" si="43"/>
        <v>11.35</v>
      </c>
      <c r="U82" s="454">
        <f t="shared" si="43"/>
        <v>12.02</v>
      </c>
      <c r="V82" s="454">
        <f t="shared" si="43"/>
        <v>12.69</v>
      </c>
      <c r="W82" s="454">
        <f t="shared" si="43"/>
        <v>13.36</v>
      </c>
    </row>
    <row r="83" spans="1:23" x14ac:dyDescent="0.25">
      <c r="A83" s="451"/>
      <c r="B83" s="451"/>
      <c r="C83" s="455" t="s">
        <v>1063</v>
      </c>
      <c r="D83" s="454">
        <f t="shared" ref="D83:W83" si="44">D12+D13/12*4+D14/12*4+D15/12*4+D16+D17/12*4+D18/12*4+D19/12*4+D20+D21+D23/12*4+D25/12*4+D28/12*4+D29/12*4+D31/12*4+D35/12*4</f>
        <v>3.96</v>
      </c>
      <c r="E83" s="454">
        <f t="shared" si="44"/>
        <v>5.34</v>
      </c>
      <c r="F83" s="454">
        <f t="shared" si="44"/>
        <v>6.55</v>
      </c>
      <c r="G83" s="454">
        <f t="shared" si="44"/>
        <v>8.09</v>
      </c>
      <c r="H83" s="454">
        <f t="shared" si="44"/>
        <v>9.3800000000000008</v>
      </c>
      <c r="I83" s="454">
        <f t="shared" si="44"/>
        <v>11.42</v>
      </c>
      <c r="J83" s="454">
        <f t="shared" si="44"/>
        <v>12.63</v>
      </c>
      <c r="K83" s="454">
        <f t="shared" si="44"/>
        <v>14.01</v>
      </c>
      <c r="L83" s="454">
        <f t="shared" si="44"/>
        <v>15.22</v>
      </c>
      <c r="M83" s="454">
        <f t="shared" si="44"/>
        <v>16.84</v>
      </c>
      <c r="N83" s="454">
        <f t="shared" si="44"/>
        <v>18.059999999999999</v>
      </c>
      <c r="O83" s="454">
        <f t="shared" si="44"/>
        <v>19.260000000000002</v>
      </c>
      <c r="P83" s="454">
        <f t="shared" si="44"/>
        <v>20.47</v>
      </c>
      <c r="Q83" s="454">
        <f t="shared" si="44"/>
        <v>21.85</v>
      </c>
      <c r="R83" s="454">
        <f t="shared" si="44"/>
        <v>23.14</v>
      </c>
      <c r="S83" s="454">
        <f t="shared" si="44"/>
        <v>24.6</v>
      </c>
      <c r="T83" s="454">
        <f t="shared" si="44"/>
        <v>25.81</v>
      </c>
      <c r="U83" s="454">
        <f t="shared" si="44"/>
        <v>27.19</v>
      </c>
      <c r="V83" s="454">
        <f t="shared" si="44"/>
        <v>28.4</v>
      </c>
      <c r="W83" s="454">
        <f t="shared" si="44"/>
        <v>29.69</v>
      </c>
    </row>
    <row r="84" spans="1:23" x14ac:dyDescent="0.25">
      <c r="A84" s="451"/>
      <c r="B84" s="451"/>
      <c r="C84" s="455" t="s">
        <v>1060</v>
      </c>
      <c r="D84" s="454">
        <f t="shared" ref="D84:W84" si="45">D23/12*4+D25/12*4+D28/12*4+D29/12*4+D31/12*4</f>
        <v>0.71</v>
      </c>
      <c r="E84" s="454">
        <f t="shared" si="45"/>
        <v>1.42</v>
      </c>
      <c r="F84" s="454">
        <f t="shared" si="45"/>
        <v>2.13</v>
      </c>
      <c r="G84" s="454">
        <f t="shared" si="45"/>
        <v>2.84</v>
      </c>
      <c r="H84" s="454">
        <f t="shared" si="45"/>
        <v>3.55</v>
      </c>
      <c r="I84" s="454">
        <f t="shared" si="45"/>
        <v>4.26</v>
      </c>
      <c r="J84" s="454">
        <f t="shared" si="45"/>
        <v>4.97</v>
      </c>
      <c r="K84" s="454">
        <f t="shared" si="45"/>
        <v>5.68</v>
      </c>
      <c r="L84" s="454">
        <f t="shared" si="45"/>
        <v>6.39</v>
      </c>
      <c r="M84" s="454">
        <f t="shared" si="45"/>
        <v>7.09</v>
      </c>
      <c r="N84" s="454">
        <f t="shared" si="45"/>
        <v>7.81</v>
      </c>
      <c r="O84" s="454">
        <f t="shared" si="45"/>
        <v>8.51</v>
      </c>
      <c r="P84" s="454">
        <f t="shared" si="45"/>
        <v>9.2200000000000006</v>
      </c>
      <c r="Q84" s="454">
        <f t="shared" si="45"/>
        <v>9.93</v>
      </c>
      <c r="R84" s="454">
        <f t="shared" si="45"/>
        <v>10.64</v>
      </c>
      <c r="S84" s="454">
        <f t="shared" si="45"/>
        <v>11.35</v>
      </c>
      <c r="T84" s="454">
        <f t="shared" si="45"/>
        <v>12.06</v>
      </c>
      <c r="U84" s="454">
        <f t="shared" si="45"/>
        <v>12.77</v>
      </c>
      <c r="V84" s="454">
        <f t="shared" si="45"/>
        <v>13.48</v>
      </c>
      <c r="W84" s="454">
        <f t="shared" si="45"/>
        <v>14.19</v>
      </c>
    </row>
    <row r="85" spans="1:23" x14ac:dyDescent="0.25">
      <c r="A85" s="451"/>
      <c r="B85" s="451"/>
      <c r="C85" s="455" t="s">
        <v>1062</v>
      </c>
      <c r="D85" s="454">
        <f t="shared" ref="D85:W85" si="46">D12+D13/12*4+D14/12*4+D15/12*4+D16+D17/12*4+D18/12*4+D19/12*4+D20+D21+D23/12*4+D25/12*4+D27/12*4+D29/12*4+D32/12*4+D35/12*4</f>
        <v>4.49</v>
      </c>
      <c r="E85" s="454">
        <f t="shared" si="46"/>
        <v>6.41</v>
      </c>
      <c r="F85" s="454">
        <f t="shared" si="46"/>
        <v>8.15</v>
      </c>
      <c r="G85" s="454">
        <f t="shared" si="46"/>
        <v>10.23</v>
      </c>
      <c r="H85" s="454">
        <f t="shared" si="46"/>
        <v>12.06</v>
      </c>
      <c r="I85" s="454">
        <f t="shared" si="46"/>
        <v>14.63</v>
      </c>
      <c r="J85" s="454">
        <f t="shared" si="46"/>
        <v>16.38</v>
      </c>
      <c r="K85" s="454">
        <f t="shared" si="46"/>
        <v>18.29</v>
      </c>
      <c r="L85" s="454">
        <f t="shared" si="46"/>
        <v>20.03</v>
      </c>
      <c r="M85" s="454">
        <f t="shared" si="46"/>
        <v>22.19</v>
      </c>
      <c r="N85" s="454">
        <f t="shared" si="46"/>
        <v>23.94</v>
      </c>
      <c r="O85" s="454">
        <f t="shared" si="46"/>
        <v>25.68</v>
      </c>
      <c r="P85" s="454">
        <f t="shared" si="46"/>
        <v>27.43</v>
      </c>
      <c r="Q85" s="454">
        <f t="shared" si="46"/>
        <v>29.34</v>
      </c>
      <c r="R85" s="454">
        <f t="shared" si="46"/>
        <v>31.17</v>
      </c>
      <c r="S85" s="454">
        <f t="shared" si="46"/>
        <v>33.159999999999997</v>
      </c>
      <c r="T85" s="454">
        <f t="shared" si="46"/>
        <v>34.909999999999997</v>
      </c>
      <c r="U85" s="454">
        <f t="shared" si="46"/>
        <v>36.82</v>
      </c>
      <c r="V85" s="454">
        <f t="shared" si="46"/>
        <v>38.56</v>
      </c>
      <c r="W85" s="454">
        <f t="shared" si="46"/>
        <v>40.39</v>
      </c>
    </row>
    <row r="86" spans="1:23" x14ac:dyDescent="0.25">
      <c r="A86" s="451"/>
      <c r="B86" s="451"/>
      <c r="C86" s="455" t="s">
        <v>1060</v>
      </c>
      <c r="D86" s="454">
        <f t="shared" ref="D86:W86" si="47">D23/12*4+D25/12*4+D27/12*4+D29/12*4+D32/12*4</f>
        <v>1.24</v>
      </c>
      <c r="E86" s="454">
        <f t="shared" si="47"/>
        <v>2.4900000000000002</v>
      </c>
      <c r="F86" s="454">
        <f t="shared" si="47"/>
        <v>3.73</v>
      </c>
      <c r="G86" s="454">
        <f t="shared" si="47"/>
        <v>4.9800000000000004</v>
      </c>
      <c r="H86" s="454">
        <f t="shared" si="47"/>
        <v>6.22</v>
      </c>
      <c r="I86" s="454">
        <f t="shared" si="47"/>
        <v>7.47</v>
      </c>
      <c r="J86" s="454">
        <f t="shared" si="47"/>
        <v>8.7100000000000009</v>
      </c>
      <c r="K86" s="454">
        <f t="shared" si="47"/>
        <v>9.9600000000000009</v>
      </c>
      <c r="L86" s="454">
        <f t="shared" si="47"/>
        <v>11.2</v>
      </c>
      <c r="M86" s="454">
        <f t="shared" si="47"/>
        <v>12.44</v>
      </c>
      <c r="N86" s="454">
        <f t="shared" si="47"/>
        <v>13.69</v>
      </c>
      <c r="O86" s="454">
        <f t="shared" si="47"/>
        <v>14.93</v>
      </c>
      <c r="P86" s="454">
        <f t="shared" si="47"/>
        <v>16.18</v>
      </c>
      <c r="Q86" s="454">
        <f t="shared" si="47"/>
        <v>17.420000000000002</v>
      </c>
      <c r="R86" s="454">
        <f t="shared" si="47"/>
        <v>18.670000000000002</v>
      </c>
      <c r="S86" s="454">
        <f t="shared" si="47"/>
        <v>19.91</v>
      </c>
      <c r="T86" s="454">
        <f t="shared" si="47"/>
        <v>21.16</v>
      </c>
      <c r="U86" s="454">
        <f t="shared" si="47"/>
        <v>22.4</v>
      </c>
      <c r="V86" s="454">
        <f t="shared" si="47"/>
        <v>23.64</v>
      </c>
      <c r="W86" s="454">
        <f t="shared" si="47"/>
        <v>24.89</v>
      </c>
    </row>
    <row r="87" spans="1:23" x14ac:dyDescent="0.25">
      <c r="A87" s="451"/>
      <c r="B87" s="451"/>
      <c r="C87" s="455" t="s">
        <v>1061</v>
      </c>
      <c r="D87" s="454">
        <f t="shared" ref="D87:W87" si="48">D12+D13/12*4+D14/12*4+D15/12*4+D16+D17/12*4+D18/12*4+D19/12*4+D24+D26+D30+D33/12*4+D36/12*4</f>
        <v>3.21</v>
      </c>
      <c r="E87" s="454">
        <f t="shared" si="48"/>
        <v>4.58</v>
      </c>
      <c r="F87" s="454">
        <f t="shared" si="48"/>
        <v>5.79</v>
      </c>
      <c r="G87" s="454">
        <f t="shared" si="48"/>
        <v>7.33</v>
      </c>
      <c r="H87" s="454">
        <f t="shared" si="48"/>
        <v>8.6199999999999992</v>
      </c>
      <c r="I87" s="454">
        <f t="shared" si="48"/>
        <v>10.16</v>
      </c>
      <c r="J87" s="454">
        <f t="shared" si="48"/>
        <v>11.36</v>
      </c>
      <c r="K87" s="454">
        <f t="shared" si="48"/>
        <v>12.74</v>
      </c>
      <c r="L87" s="454">
        <f t="shared" si="48"/>
        <v>13.94</v>
      </c>
      <c r="M87" s="454">
        <f t="shared" si="48"/>
        <v>15.57</v>
      </c>
      <c r="N87" s="454">
        <f t="shared" si="48"/>
        <v>16.77</v>
      </c>
      <c r="O87" s="454">
        <f t="shared" si="48"/>
        <v>17.98</v>
      </c>
      <c r="P87" s="454">
        <f t="shared" si="48"/>
        <v>19.190000000000001</v>
      </c>
      <c r="Q87" s="454">
        <f t="shared" si="48"/>
        <v>20.56</v>
      </c>
      <c r="R87" s="454">
        <f t="shared" si="48"/>
        <v>21.85</v>
      </c>
      <c r="S87" s="454">
        <f t="shared" si="48"/>
        <v>23.06</v>
      </c>
      <c r="T87" s="454">
        <f t="shared" si="48"/>
        <v>24.26</v>
      </c>
      <c r="U87" s="454">
        <f t="shared" si="48"/>
        <v>25.64</v>
      </c>
      <c r="V87" s="454">
        <f t="shared" si="48"/>
        <v>26.84</v>
      </c>
      <c r="W87" s="454">
        <f t="shared" si="48"/>
        <v>28.13</v>
      </c>
    </row>
    <row r="88" spans="1:23" x14ac:dyDescent="0.25">
      <c r="A88" s="451"/>
      <c r="B88" s="451"/>
      <c r="C88" s="455" t="s">
        <v>1060</v>
      </c>
      <c r="D88" s="454">
        <f t="shared" ref="D88:W88" si="49">D24+D26+D30+D33/12*4</f>
        <v>0.71</v>
      </c>
      <c r="E88" s="454">
        <f t="shared" si="49"/>
        <v>1.41</v>
      </c>
      <c r="F88" s="454">
        <f t="shared" si="49"/>
        <v>2.12</v>
      </c>
      <c r="G88" s="454">
        <f t="shared" si="49"/>
        <v>2.83</v>
      </c>
      <c r="H88" s="454">
        <f t="shared" si="49"/>
        <v>3.53</v>
      </c>
      <c r="I88" s="454">
        <f t="shared" si="49"/>
        <v>4.24</v>
      </c>
      <c r="J88" s="454">
        <f t="shared" si="49"/>
        <v>4.95</v>
      </c>
      <c r="K88" s="454">
        <f t="shared" si="49"/>
        <v>5.65</v>
      </c>
      <c r="L88" s="454">
        <f t="shared" si="49"/>
        <v>6.36</v>
      </c>
      <c r="M88" s="454">
        <f t="shared" si="49"/>
        <v>7.07</v>
      </c>
      <c r="N88" s="454">
        <f t="shared" si="49"/>
        <v>7.77</v>
      </c>
      <c r="O88" s="454">
        <f t="shared" si="49"/>
        <v>8.48</v>
      </c>
      <c r="P88" s="454">
        <f t="shared" si="49"/>
        <v>9.19</v>
      </c>
      <c r="Q88" s="454">
        <f t="shared" si="49"/>
        <v>9.89</v>
      </c>
      <c r="R88" s="454">
        <f t="shared" si="49"/>
        <v>10.6</v>
      </c>
      <c r="S88" s="454">
        <f t="shared" si="49"/>
        <v>11.31</v>
      </c>
      <c r="T88" s="454">
        <f t="shared" si="49"/>
        <v>12.01</v>
      </c>
      <c r="U88" s="454">
        <f t="shared" si="49"/>
        <v>12.72</v>
      </c>
      <c r="V88" s="454">
        <f t="shared" si="49"/>
        <v>13.43</v>
      </c>
      <c r="W88" s="454">
        <f t="shared" si="49"/>
        <v>14.13</v>
      </c>
    </row>
    <row r="89" spans="1:23" x14ac:dyDescent="0.25">
      <c r="A89" s="451"/>
      <c r="B89" s="451"/>
      <c r="C89" s="453" t="s">
        <v>1059</v>
      </c>
      <c r="D89" s="452">
        <f t="shared" ref="D89:W89" si="50">D38/12*4+D40/0.95*0.25+D41/0.95*0.25+D44/12*4+D45/12*4+D46/12*4+D47/12*4+D48/12*4+D49/12*4+D56</f>
        <v>5.14</v>
      </c>
      <c r="E89" s="452">
        <f t="shared" si="50"/>
        <v>6.03</v>
      </c>
      <c r="F89" s="452">
        <f t="shared" si="50"/>
        <v>6.4</v>
      </c>
      <c r="G89" s="452">
        <f t="shared" si="50"/>
        <v>6.87</v>
      </c>
      <c r="H89" s="452">
        <f t="shared" si="50"/>
        <v>6.92</v>
      </c>
      <c r="I89" s="452">
        <f t="shared" si="50"/>
        <v>7.42</v>
      </c>
      <c r="J89" s="452">
        <f t="shared" si="50"/>
        <v>7.6</v>
      </c>
      <c r="K89" s="452">
        <f t="shared" si="50"/>
        <v>8.91</v>
      </c>
      <c r="L89" s="452">
        <f t="shared" si="50"/>
        <v>8.9600000000000009</v>
      </c>
      <c r="M89" s="452">
        <f t="shared" si="50"/>
        <v>9.2899999999999991</v>
      </c>
      <c r="N89" s="452">
        <f t="shared" si="50"/>
        <v>9.4700000000000006</v>
      </c>
      <c r="O89" s="452">
        <f t="shared" si="50"/>
        <v>9.81</v>
      </c>
      <c r="P89" s="452">
        <f t="shared" si="50"/>
        <v>10.32</v>
      </c>
      <c r="Q89" s="452">
        <f t="shared" si="50"/>
        <v>10.65</v>
      </c>
      <c r="R89" s="452">
        <f t="shared" si="50"/>
        <v>10.83</v>
      </c>
      <c r="S89" s="452">
        <f t="shared" si="50"/>
        <v>10.87</v>
      </c>
      <c r="T89" s="452">
        <f t="shared" si="50"/>
        <v>11.08</v>
      </c>
      <c r="U89" s="452">
        <f t="shared" si="50"/>
        <v>11.42</v>
      </c>
      <c r="V89" s="452">
        <f t="shared" si="50"/>
        <v>11.46</v>
      </c>
      <c r="W89" s="452">
        <f t="shared" si="50"/>
        <v>11.76</v>
      </c>
    </row>
    <row r="90" spans="1:23" x14ac:dyDescent="0.25">
      <c r="A90" s="451"/>
      <c r="B90" s="451"/>
      <c r="C90" s="453" t="s">
        <v>1058</v>
      </c>
      <c r="D90" s="452">
        <f t="shared" ref="D90:W90" si="51">D38/12*4+D40/0.95*0.25+D41/0.95*0.25+D44/12*4+D45/12*4+D46/12*4+D47/12*4+D48/12*4+D49/12*4+D55/12*4+D56</f>
        <v>5.14</v>
      </c>
      <c r="E90" s="452">
        <f t="shared" si="51"/>
        <v>6.11</v>
      </c>
      <c r="F90" s="452">
        <f t="shared" si="51"/>
        <v>6.49</v>
      </c>
      <c r="G90" s="452">
        <f t="shared" si="51"/>
        <v>7.04</v>
      </c>
      <c r="H90" s="452">
        <f t="shared" si="51"/>
        <v>7.08</v>
      </c>
      <c r="I90" s="452">
        <f t="shared" si="51"/>
        <v>7.67</v>
      </c>
      <c r="J90" s="452">
        <f t="shared" si="51"/>
        <v>7.85</v>
      </c>
      <c r="K90" s="452">
        <f t="shared" si="51"/>
        <v>9.25</v>
      </c>
      <c r="L90" s="452">
        <f t="shared" si="51"/>
        <v>9.2899999999999991</v>
      </c>
      <c r="M90" s="452">
        <f t="shared" si="51"/>
        <v>9.7100000000000009</v>
      </c>
      <c r="N90" s="452">
        <f t="shared" si="51"/>
        <v>9.89</v>
      </c>
      <c r="O90" s="452">
        <f t="shared" si="51"/>
        <v>10.31</v>
      </c>
      <c r="P90" s="452">
        <f t="shared" si="51"/>
        <v>10.82</v>
      </c>
      <c r="Q90" s="452">
        <f t="shared" si="51"/>
        <v>11.24</v>
      </c>
      <c r="R90" s="452">
        <f t="shared" si="51"/>
        <v>11.41</v>
      </c>
      <c r="S90" s="452">
        <f t="shared" si="51"/>
        <v>11.54</v>
      </c>
      <c r="T90" s="452">
        <f t="shared" si="51"/>
        <v>11.75</v>
      </c>
      <c r="U90" s="452">
        <f t="shared" si="51"/>
        <v>12.17</v>
      </c>
      <c r="V90" s="452">
        <f t="shared" si="51"/>
        <v>12.21</v>
      </c>
      <c r="W90" s="452">
        <f t="shared" si="51"/>
        <v>12.6</v>
      </c>
    </row>
    <row r="91" spans="1:23" x14ac:dyDescent="0.25">
      <c r="A91" s="451"/>
      <c r="B91" s="451"/>
      <c r="C91" s="453" t="s">
        <v>1057</v>
      </c>
      <c r="D91" s="452">
        <f t="shared" ref="D91:W91" si="52">D38/12*4+D40/0.95*0.25+D41/0.95*0.25+D44/12*4+D45/12*4+D46/12*4+D47/12*4+D48/12*4+D49/12*4+D55/12*4+D56</f>
        <v>5.14</v>
      </c>
      <c r="E91" s="452">
        <f t="shared" si="52"/>
        <v>6.11</v>
      </c>
      <c r="F91" s="452">
        <f t="shared" si="52"/>
        <v>6.49</v>
      </c>
      <c r="G91" s="452">
        <f t="shared" si="52"/>
        <v>7.04</v>
      </c>
      <c r="H91" s="452">
        <f t="shared" si="52"/>
        <v>7.08</v>
      </c>
      <c r="I91" s="452">
        <f t="shared" si="52"/>
        <v>7.67</v>
      </c>
      <c r="J91" s="452">
        <f t="shared" si="52"/>
        <v>7.85</v>
      </c>
      <c r="K91" s="452">
        <f t="shared" si="52"/>
        <v>9.25</v>
      </c>
      <c r="L91" s="452">
        <f t="shared" si="52"/>
        <v>9.2899999999999991</v>
      </c>
      <c r="M91" s="452">
        <f t="shared" si="52"/>
        <v>9.7100000000000009</v>
      </c>
      <c r="N91" s="452">
        <f t="shared" si="52"/>
        <v>9.89</v>
      </c>
      <c r="O91" s="452">
        <f t="shared" si="52"/>
        <v>10.31</v>
      </c>
      <c r="P91" s="452">
        <f t="shared" si="52"/>
        <v>10.82</v>
      </c>
      <c r="Q91" s="452">
        <f t="shared" si="52"/>
        <v>11.24</v>
      </c>
      <c r="R91" s="452">
        <f t="shared" si="52"/>
        <v>11.41</v>
      </c>
      <c r="S91" s="452">
        <f t="shared" si="52"/>
        <v>11.54</v>
      </c>
      <c r="T91" s="452">
        <f t="shared" si="52"/>
        <v>11.75</v>
      </c>
      <c r="U91" s="452">
        <f t="shared" si="52"/>
        <v>12.17</v>
      </c>
      <c r="V91" s="452">
        <f t="shared" si="52"/>
        <v>12.21</v>
      </c>
      <c r="W91" s="452">
        <f t="shared" si="52"/>
        <v>12.6</v>
      </c>
    </row>
    <row r="92" spans="1:23" x14ac:dyDescent="0.25">
      <c r="A92" s="451"/>
      <c r="B92" s="451"/>
      <c r="C92" s="453" t="s">
        <v>1056</v>
      </c>
      <c r="D92" s="452">
        <f t="shared" ref="D92:W92" si="53">D39/12*4+D40/0.95*0.25+D41/0.95*0.25+D44/12*4+D45/12*4+D46/12*4+D47/12*4+D48/12*4+D49/12*4</f>
        <v>0.56000000000000005</v>
      </c>
      <c r="E92" s="452">
        <f t="shared" si="53"/>
        <v>1.44</v>
      </c>
      <c r="F92" s="452">
        <f t="shared" si="53"/>
        <v>1.82</v>
      </c>
      <c r="G92" s="452">
        <f t="shared" si="53"/>
        <v>2.37</v>
      </c>
      <c r="H92" s="452">
        <f t="shared" si="53"/>
        <v>2.5</v>
      </c>
      <c r="I92" s="452">
        <f t="shared" si="53"/>
        <v>3.09</v>
      </c>
      <c r="J92" s="452">
        <f t="shared" si="53"/>
        <v>3.35</v>
      </c>
      <c r="K92" s="452">
        <f t="shared" si="53"/>
        <v>4.58</v>
      </c>
      <c r="L92" s="452">
        <f t="shared" si="53"/>
        <v>4.71</v>
      </c>
      <c r="M92" s="452">
        <f t="shared" si="53"/>
        <v>5.13</v>
      </c>
      <c r="N92" s="452">
        <f t="shared" si="53"/>
        <v>5.39</v>
      </c>
      <c r="O92" s="452">
        <f t="shared" si="53"/>
        <v>5.81</v>
      </c>
      <c r="P92" s="452">
        <f t="shared" si="53"/>
        <v>6.23</v>
      </c>
      <c r="Q92" s="452">
        <f t="shared" si="53"/>
        <v>6.65</v>
      </c>
      <c r="R92" s="452">
        <f t="shared" si="53"/>
        <v>6.91</v>
      </c>
      <c r="S92" s="452">
        <f t="shared" si="53"/>
        <v>7.04</v>
      </c>
      <c r="T92" s="452">
        <f t="shared" si="53"/>
        <v>7.16</v>
      </c>
      <c r="U92" s="452">
        <f t="shared" si="53"/>
        <v>7.58</v>
      </c>
      <c r="V92" s="452">
        <f t="shared" si="53"/>
        <v>7.71</v>
      </c>
      <c r="W92" s="452">
        <f t="shared" si="53"/>
        <v>8.1</v>
      </c>
    </row>
    <row r="93" spans="1:23" x14ac:dyDescent="0.25">
      <c r="D93" s="457"/>
      <c r="E93" s="457"/>
      <c r="F93" s="457"/>
      <c r="G93" s="457"/>
      <c r="H93" s="457"/>
      <c r="I93" s="457"/>
      <c r="J93" s="457"/>
      <c r="K93" s="457"/>
      <c r="L93" s="457"/>
      <c r="M93" s="457"/>
      <c r="N93" s="457"/>
      <c r="O93" s="457"/>
      <c r="P93" s="457"/>
      <c r="Q93" s="457"/>
      <c r="R93" s="457"/>
      <c r="S93" s="457"/>
      <c r="T93" s="457"/>
      <c r="U93" s="457"/>
      <c r="V93" s="457"/>
      <c r="W93" s="457"/>
    </row>
    <row r="94" spans="1:23" x14ac:dyDescent="0.25">
      <c r="C94" s="458" t="s">
        <v>1069</v>
      </c>
      <c r="D94" s="457"/>
      <c r="E94" s="457"/>
      <c r="F94" s="457"/>
      <c r="G94" s="457"/>
      <c r="H94" s="457"/>
      <c r="I94" s="457"/>
      <c r="J94" s="457"/>
      <c r="K94" s="457"/>
      <c r="L94" s="457"/>
      <c r="M94" s="457"/>
      <c r="N94" s="457"/>
      <c r="O94" s="457"/>
      <c r="P94" s="457"/>
      <c r="Q94" s="457"/>
      <c r="R94" s="457"/>
      <c r="S94" s="457"/>
      <c r="T94" s="457"/>
      <c r="U94" s="457"/>
      <c r="V94" s="457"/>
      <c r="W94" s="457"/>
    </row>
    <row r="95" spans="1:23" x14ac:dyDescent="0.25">
      <c r="A95" s="451"/>
      <c r="B95" s="451"/>
      <c r="C95" s="456" t="s">
        <v>1068</v>
      </c>
      <c r="D95" s="448">
        <f t="shared" ref="D95:W95" si="54">D99+D107</f>
        <v>11.27</v>
      </c>
      <c r="E95" s="448">
        <f t="shared" si="54"/>
        <v>16.46</v>
      </c>
      <c r="F95" s="448">
        <f t="shared" si="54"/>
        <v>19.940000000000001</v>
      </c>
      <c r="G95" s="448">
        <f t="shared" si="54"/>
        <v>24.56</v>
      </c>
      <c r="H95" s="448">
        <f t="shared" si="54"/>
        <v>27.48</v>
      </c>
      <c r="I95" s="448">
        <f t="shared" si="54"/>
        <v>32.590000000000003</v>
      </c>
      <c r="J95" s="448">
        <f t="shared" si="54"/>
        <v>35.71</v>
      </c>
      <c r="K95" s="448">
        <f t="shared" si="54"/>
        <v>42.07</v>
      </c>
      <c r="L95" s="448">
        <f t="shared" si="54"/>
        <v>44.8</v>
      </c>
      <c r="M95" s="448">
        <f t="shared" si="54"/>
        <v>49.22</v>
      </c>
      <c r="N95" s="448">
        <f t="shared" si="54"/>
        <v>52.34</v>
      </c>
      <c r="O95" s="448">
        <f t="shared" si="54"/>
        <v>56.08</v>
      </c>
      <c r="P95" s="448">
        <f t="shared" si="54"/>
        <v>59.94</v>
      </c>
      <c r="Q95" s="448">
        <f t="shared" si="54"/>
        <v>63.81</v>
      </c>
      <c r="R95" s="448">
        <f t="shared" si="54"/>
        <v>67.12</v>
      </c>
      <c r="S95" s="448">
        <f t="shared" si="54"/>
        <v>70.09</v>
      </c>
      <c r="T95" s="448">
        <f t="shared" si="54"/>
        <v>73.19</v>
      </c>
      <c r="U95" s="448">
        <f t="shared" si="54"/>
        <v>77.05</v>
      </c>
      <c r="V95" s="448">
        <f t="shared" si="54"/>
        <v>79.77</v>
      </c>
      <c r="W95" s="448">
        <f t="shared" si="54"/>
        <v>83.46</v>
      </c>
    </row>
    <row r="96" spans="1:23" x14ac:dyDescent="0.25">
      <c r="A96" s="451"/>
      <c r="B96" s="451"/>
      <c r="C96" s="456" t="s">
        <v>1067</v>
      </c>
      <c r="D96" s="448">
        <f t="shared" ref="D96:W96" si="55">D101+D108</f>
        <v>11.61</v>
      </c>
      <c r="E96" s="448">
        <f t="shared" si="55"/>
        <v>17.09</v>
      </c>
      <c r="F96" s="448">
        <f t="shared" si="55"/>
        <v>20.65</v>
      </c>
      <c r="G96" s="448">
        <f t="shared" si="55"/>
        <v>25.57</v>
      </c>
      <c r="H96" s="448">
        <f t="shared" si="55"/>
        <v>28.58</v>
      </c>
      <c r="I96" s="448">
        <f t="shared" si="55"/>
        <v>33.97</v>
      </c>
      <c r="J96" s="448">
        <f t="shared" si="55"/>
        <v>37.18</v>
      </c>
      <c r="K96" s="448">
        <f t="shared" si="55"/>
        <v>43.82</v>
      </c>
      <c r="L96" s="448">
        <f t="shared" si="55"/>
        <v>46.64</v>
      </c>
      <c r="M96" s="448">
        <f t="shared" si="55"/>
        <v>51.35</v>
      </c>
      <c r="N96" s="448">
        <f t="shared" si="55"/>
        <v>54.57</v>
      </c>
      <c r="O96" s="448">
        <f t="shared" si="55"/>
        <v>58.33</v>
      </c>
      <c r="P96" s="448">
        <f t="shared" si="55"/>
        <v>62.29</v>
      </c>
      <c r="Q96" s="448">
        <f t="shared" si="55"/>
        <v>66.44</v>
      </c>
      <c r="R96" s="448">
        <f t="shared" si="55"/>
        <v>69.84</v>
      </c>
      <c r="S96" s="448">
        <f t="shared" si="55"/>
        <v>73.09</v>
      </c>
      <c r="T96" s="448">
        <f t="shared" si="55"/>
        <v>76.290000000000006</v>
      </c>
      <c r="U96" s="448">
        <f t="shared" si="55"/>
        <v>80.430000000000007</v>
      </c>
      <c r="V96" s="448">
        <f t="shared" si="55"/>
        <v>83.24</v>
      </c>
      <c r="W96" s="448">
        <f t="shared" si="55"/>
        <v>87.22</v>
      </c>
    </row>
    <row r="97" spans="1:23" x14ac:dyDescent="0.25">
      <c r="A97" s="451"/>
      <c r="B97" s="451"/>
      <c r="C97" s="456" t="s">
        <v>1066</v>
      </c>
      <c r="D97" s="448">
        <f t="shared" ref="D97:W97" si="56">D103+D109</f>
        <v>12.81</v>
      </c>
      <c r="E97" s="448">
        <f t="shared" si="56"/>
        <v>19.5</v>
      </c>
      <c r="F97" s="448">
        <f t="shared" si="56"/>
        <v>24.26</v>
      </c>
      <c r="G97" s="448">
        <f t="shared" si="56"/>
        <v>30.38</v>
      </c>
      <c r="H97" s="448">
        <f t="shared" si="56"/>
        <v>34.590000000000003</v>
      </c>
      <c r="I97" s="448">
        <f t="shared" si="56"/>
        <v>41.19</v>
      </c>
      <c r="J97" s="448">
        <f t="shared" si="56"/>
        <v>45.61</v>
      </c>
      <c r="K97" s="448">
        <f t="shared" si="56"/>
        <v>53.45</v>
      </c>
      <c r="L97" s="448">
        <f t="shared" si="56"/>
        <v>57.47</v>
      </c>
      <c r="M97" s="448">
        <f t="shared" si="56"/>
        <v>63.38</v>
      </c>
      <c r="N97" s="448">
        <f t="shared" si="56"/>
        <v>67.8</v>
      </c>
      <c r="O97" s="448">
        <f t="shared" si="56"/>
        <v>72.78</v>
      </c>
      <c r="P97" s="448">
        <f t="shared" si="56"/>
        <v>77.94</v>
      </c>
      <c r="Q97" s="448">
        <f t="shared" si="56"/>
        <v>83.29</v>
      </c>
      <c r="R97" s="448">
        <f t="shared" si="56"/>
        <v>87.89</v>
      </c>
      <c r="S97" s="448">
        <f t="shared" si="56"/>
        <v>92.35</v>
      </c>
      <c r="T97" s="448">
        <f t="shared" si="56"/>
        <v>96.75</v>
      </c>
      <c r="U97" s="448">
        <f t="shared" si="56"/>
        <v>102.09</v>
      </c>
      <c r="V97" s="448">
        <f t="shared" si="56"/>
        <v>106.11</v>
      </c>
      <c r="W97" s="448">
        <f t="shared" si="56"/>
        <v>111.29</v>
      </c>
    </row>
    <row r="98" spans="1:23" x14ac:dyDescent="0.25">
      <c r="A98" s="451"/>
      <c r="B98" s="451"/>
      <c r="C98" s="456" t="s">
        <v>1065</v>
      </c>
      <c r="D98" s="448">
        <f t="shared" ref="D98:W98" si="57">D105+D110</f>
        <v>5.41</v>
      </c>
      <c r="E98" s="448">
        <f t="shared" si="57"/>
        <v>9.94</v>
      </c>
      <c r="F98" s="448">
        <f t="shared" si="57"/>
        <v>13.2</v>
      </c>
      <c r="G98" s="448">
        <f t="shared" si="57"/>
        <v>17.350000000000001</v>
      </c>
      <c r="H98" s="448">
        <f t="shared" si="57"/>
        <v>20.239999999999998</v>
      </c>
      <c r="I98" s="448">
        <f t="shared" si="57"/>
        <v>24.59</v>
      </c>
      <c r="J98" s="448">
        <f t="shared" si="57"/>
        <v>27.46</v>
      </c>
      <c r="K98" s="448">
        <f t="shared" si="57"/>
        <v>32.97</v>
      </c>
      <c r="L98" s="448">
        <f t="shared" si="57"/>
        <v>35.659999999999997</v>
      </c>
      <c r="M98" s="448">
        <f t="shared" si="57"/>
        <v>39.840000000000003</v>
      </c>
      <c r="N98" s="448">
        <f t="shared" si="57"/>
        <v>42.7</v>
      </c>
      <c r="O98" s="448">
        <f t="shared" si="57"/>
        <v>45.94</v>
      </c>
      <c r="P98" s="448">
        <f t="shared" si="57"/>
        <v>49.18</v>
      </c>
      <c r="Q98" s="448">
        <f t="shared" si="57"/>
        <v>52.79</v>
      </c>
      <c r="R98" s="448">
        <f t="shared" si="57"/>
        <v>55.84</v>
      </c>
      <c r="S98" s="448">
        <f t="shared" si="57"/>
        <v>58.54</v>
      </c>
      <c r="T98" s="448">
        <f t="shared" si="57"/>
        <v>61.23</v>
      </c>
      <c r="U98" s="448">
        <f t="shared" si="57"/>
        <v>64.84</v>
      </c>
      <c r="V98" s="448">
        <f t="shared" si="57"/>
        <v>67.55</v>
      </c>
      <c r="W98" s="448">
        <f t="shared" si="57"/>
        <v>70.760000000000005</v>
      </c>
    </row>
    <row r="99" spans="1:23" x14ac:dyDescent="0.25">
      <c r="A99" s="451"/>
      <c r="B99" s="451"/>
      <c r="C99" s="455" t="s">
        <v>1064</v>
      </c>
      <c r="D99" s="454">
        <f t="shared" ref="D99:W99" si="58">D12+D13/12*9+D14+D15/12*9+D16/12*9+D17/12*9+D18/12*9+D19/12*9+D20+D21+D23/12*9+D25/12*9+D29/12*9+D31/12*9+D35/12*9</f>
        <v>5.13</v>
      </c>
      <c r="E99" s="454">
        <f t="shared" si="58"/>
        <v>8.1300000000000008</v>
      </c>
      <c r="F99" s="454">
        <f t="shared" si="58"/>
        <v>10.76</v>
      </c>
      <c r="G99" s="454">
        <f t="shared" si="58"/>
        <v>14.13</v>
      </c>
      <c r="H99" s="454">
        <f t="shared" si="58"/>
        <v>16.95</v>
      </c>
      <c r="I99" s="454">
        <f t="shared" si="58"/>
        <v>20.83</v>
      </c>
      <c r="J99" s="454">
        <f t="shared" si="58"/>
        <v>23.45</v>
      </c>
      <c r="K99" s="454">
        <f t="shared" si="58"/>
        <v>26.46</v>
      </c>
      <c r="L99" s="454">
        <f t="shared" si="58"/>
        <v>29.09</v>
      </c>
      <c r="M99" s="454">
        <f t="shared" si="58"/>
        <v>32.65</v>
      </c>
      <c r="N99" s="454">
        <f t="shared" si="58"/>
        <v>35.28</v>
      </c>
      <c r="O99" s="454">
        <f t="shared" si="58"/>
        <v>38.159999999999997</v>
      </c>
      <c r="P99" s="454">
        <f t="shared" si="58"/>
        <v>40.78</v>
      </c>
      <c r="Q99" s="454">
        <f t="shared" si="58"/>
        <v>43.79</v>
      </c>
      <c r="R99" s="454">
        <f t="shared" si="58"/>
        <v>46.6</v>
      </c>
      <c r="S99" s="454">
        <f t="shared" si="58"/>
        <v>49.48</v>
      </c>
      <c r="T99" s="454">
        <f t="shared" si="58"/>
        <v>52.11</v>
      </c>
      <c r="U99" s="454">
        <f t="shared" si="58"/>
        <v>55.11</v>
      </c>
      <c r="V99" s="454">
        <f t="shared" si="58"/>
        <v>57.73</v>
      </c>
      <c r="W99" s="454">
        <f t="shared" si="58"/>
        <v>60.55</v>
      </c>
    </row>
    <row r="100" spans="1:23" x14ac:dyDescent="0.25">
      <c r="A100" s="451"/>
      <c r="B100" s="451"/>
      <c r="C100" s="455" t="s">
        <v>1060</v>
      </c>
      <c r="D100" s="454">
        <f t="shared" ref="D100:W100" si="59">D23/12*9+D25/12*9+D29/12*9+D31/12*9</f>
        <v>1.5</v>
      </c>
      <c r="E100" s="454">
        <f t="shared" si="59"/>
        <v>3.01</v>
      </c>
      <c r="F100" s="454">
        <f t="shared" si="59"/>
        <v>4.51</v>
      </c>
      <c r="G100" s="454">
        <f t="shared" si="59"/>
        <v>6.01</v>
      </c>
      <c r="H100" s="454">
        <f t="shared" si="59"/>
        <v>7.52</v>
      </c>
      <c r="I100" s="454">
        <f t="shared" si="59"/>
        <v>9.02</v>
      </c>
      <c r="J100" s="454">
        <f t="shared" si="59"/>
        <v>10.52</v>
      </c>
      <c r="K100" s="454">
        <f t="shared" si="59"/>
        <v>12.02</v>
      </c>
      <c r="L100" s="454">
        <f t="shared" si="59"/>
        <v>13.52</v>
      </c>
      <c r="M100" s="454">
        <f t="shared" si="59"/>
        <v>15.02</v>
      </c>
      <c r="N100" s="454">
        <f t="shared" si="59"/>
        <v>16.53</v>
      </c>
      <c r="O100" s="454">
        <f t="shared" si="59"/>
        <v>18.03</v>
      </c>
      <c r="P100" s="454">
        <f t="shared" si="59"/>
        <v>19.53</v>
      </c>
      <c r="Q100" s="454">
        <f t="shared" si="59"/>
        <v>21.04</v>
      </c>
      <c r="R100" s="454">
        <f t="shared" si="59"/>
        <v>22.54</v>
      </c>
      <c r="S100" s="454">
        <f t="shared" si="59"/>
        <v>24.04</v>
      </c>
      <c r="T100" s="454">
        <f t="shared" si="59"/>
        <v>25.55</v>
      </c>
      <c r="U100" s="454">
        <f t="shared" si="59"/>
        <v>27.05</v>
      </c>
      <c r="V100" s="454">
        <f t="shared" si="59"/>
        <v>28.55</v>
      </c>
      <c r="W100" s="454">
        <f t="shared" si="59"/>
        <v>30.05</v>
      </c>
    </row>
    <row r="101" spans="1:23" x14ac:dyDescent="0.25">
      <c r="A101" s="451"/>
      <c r="B101" s="451"/>
      <c r="C101" s="455" t="s">
        <v>1063</v>
      </c>
      <c r="D101" s="454">
        <f t="shared" ref="D101:W101" si="60">D12+D13/12*9+D14/12*9+D15/12*9+D16+D17/12*9+D18/12*9+D19/12*9+D20+D21+D23/12*9+D25/12*9+D28/12*9+D29/12*9+D31/12*9+D35/12*9</f>
        <v>5.47</v>
      </c>
      <c r="E101" s="454">
        <f t="shared" si="60"/>
        <v>8.57</v>
      </c>
      <c r="F101" s="454">
        <f t="shared" si="60"/>
        <v>11.29</v>
      </c>
      <c r="G101" s="454">
        <f t="shared" si="60"/>
        <v>14.76</v>
      </c>
      <c r="H101" s="454">
        <f t="shared" si="60"/>
        <v>17.68</v>
      </c>
      <c r="I101" s="454">
        <f t="shared" si="60"/>
        <v>21.64</v>
      </c>
      <c r="J101" s="454">
        <f t="shared" si="60"/>
        <v>24.36</v>
      </c>
      <c r="K101" s="454">
        <f t="shared" si="60"/>
        <v>27.46</v>
      </c>
      <c r="L101" s="454">
        <f t="shared" si="60"/>
        <v>30.18</v>
      </c>
      <c r="M101" s="454">
        <f t="shared" si="60"/>
        <v>33.840000000000003</v>
      </c>
      <c r="N101" s="454">
        <f t="shared" si="60"/>
        <v>36.57</v>
      </c>
      <c r="O101" s="454">
        <f t="shared" si="60"/>
        <v>39.28</v>
      </c>
      <c r="P101" s="454">
        <f t="shared" si="60"/>
        <v>42</v>
      </c>
      <c r="Q101" s="454">
        <f t="shared" si="60"/>
        <v>45.1</v>
      </c>
      <c r="R101" s="454">
        <f t="shared" si="60"/>
        <v>48.01</v>
      </c>
      <c r="S101" s="454">
        <f t="shared" si="60"/>
        <v>50.98</v>
      </c>
      <c r="T101" s="454">
        <f t="shared" si="60"/>
        <v>53.71</v>
      </c>
      <c r="U101" s="454">
        <f t="shared" si="60"/>
        <v>56.8</v>
      </c>
      <c r="V101" s="454">
        <f t="shared" si="60"/>
        <v>59.52</v>
      </c>
      <c r="W101" s="454">
        <f t="shared" si="60"/>
        <v>62.43</v>
      </c>
    </row>
    <row r="102" spans="1:23" x14ac:dyDescent="0.25">
      <c r="A102" s="451"/>
      <c r="B102" s="451"/>
      <c r="C102" s="455" t="s">
        <v>1060</v>
      </c>
      <c r="D102" s="454">
        <f t="shared" ref="D102:W102" si="61">D23/12*9+D25/12*9+D28/12*9+D29/12*9+D31/12*9</f>
        <v>1.6</v>
      </c>
      <c r="E102" s="454">
        <f t="shared" si="61"/>
        <v>3.2</v>
      </c>
      <c r="F102" s="454">
        <f t="shared" si="61"/>
        <v>4.79</v>
      </c>
      <c r="G102" s="454">
        <f t="shared" si="61"/>
        <v>6.38</v>
      </c>
      <c r="H102" s="454">
        <f t="shared" si="61"/>
        <v>7.99</v>
      </c>
      <c r="I102" s="454">
        <f t="shared" si="61"/>
        <v>9.58</v>
      </c>
      <c r="J102" s="454">
        <f t="shared" si="61"/>
        <v>11.18</v>
      </c>
      <c r="K102" s="454">
        <f t="shared" si="61"/>
        <v>12.77</v>
      </c>
      <c r="L102" s="454">
        <f t="shared" si="61"/>
        <v>14.37</v>
      </c>
      <c r="M102" s="454">
        <f t="shared" si="61"/>
        <v>15.96</v>
      </c>
      <c r="N102" s="454">
        <f t="shared" si="61"/>
        <v>17.57</v>
      </c>
      <c r="O102" s="454">
        <f t="shared" si="61"/>
        <v>19.16</v>
      </c>
      <c r="P102" s="454">
        <f t="shared" si="61"/>
        <v>20.75</v>
      </c>
      <c r="Q102" s="454">
        <f t="shared" si="61"/>
        <v>22.35</v>
      </c>
      <c r="R102" s="454">
        <f t="shared" si="61"/>
        <v>23.95</v>
      </c>
      <c r="S102" s="454">
        <f t="shared" si="61"/>
        <v>25.54</v>
      </c>
      <c r="T102" s="454">
        <f t="shared" si="61"/>
        <v>27.14</v>
      </c>
      <c r="U102" s="454">
        <f t="shared" si="61"/>
        <v>28.73</v>
      </c>
      <c r="V102" s="454">
        <f t="shared" si="61"/>
        <v>30.33</v>
      </c>
      <c r="W102" s="454">
        <f t="shared" si="61"/>
        <v>31.93</v>
      </c>
    </row>
    <row r="103" spans="1:23" x14ac:dyDescent="0.25">
      <c r="A103" s="451"/>
      <c r="B103" s="451"/>
      <c r="C103" s="455" t="s">
        <v>1062</v>
      </c>
      <c r="D103" s="454">
        <f t="shared" ref="D103:W103" si="62">D12+D13/12*9+D14/12*9+D15/12*9+D16+D17/12*9+D18/12*9+D19/12*9+D20+D21+D23/12*9+D25/12*9+D27/12*9+D29/12*9+D32/12*9+D35/12*9</f>
        <v>6.67</v>
      </c>
      <c r="E103" s="454">
        <f t="shared" si="62"/>
        <v>10.98</v>
      </c>
      <c r="F103" s="454">
        <f t="shared" si="62"/>
        <v>14.9</v>
      </c>
      <c r="G103" s="454">
        <f t="shared" si="62"/>
        <v>19.57</v>
      </c>
      <c r="H103" s="454">
        <f t="shared" si="62"/>
        <v>23.69</v>
      </c>
      <c r="I103" s="454">
        <f t="shared" si="62"/>
        <v>28.86</v>
      </c>
      <c r="J103" s="454">
        <f t="shared" si="62"/>
        <v>32.79</v>
      </c>
      <c r="K103" s="454">
        <f t="shared" si="62"/>
        <v>37.090000000000003</v>
      </c>
      <c r="L103" s="454">
        <f t="shared" si="62"/>
        <v>41.01</v>
      </c>
      <c r="M103" s="454">
        <f t="shared" si="62"/>
        <v>45.87</v>
      </c>
      <c r="N103" s="454">
        <f t="shared" si="62"/>
        <v>49.8</v>
      </c>
      <c r="O103" s="454">
        <f t="shared" si="62"/>
        <v>53.73</v>
      </c>
      <c r="P103" s="454">
        <f t="shared" si="62"/>
        <v>57.65</v>
      </c>
      <c r="Q103" s="454">
        <f t="shared" si="62"/>
        <v>61.95</v>
      </c>
      <c r="R103" s="454">
        <f t="shared" si="62"/>
        <v>66.06</v>
      </c>
      <c r="S103" s="454">
        <f t="shared" si="62"/>
        <v>70.239999999999995</v>
      </c>
      <c r="T103" s="454">
        <f t="shared" si="62"/>
        <v>74.17</v>
      </c>
      <c r="U103" s="454">
        <f t="shared" si="62"/>
        <v>78.459999999999994</v>
      </c>
      <c r="V103" s="454">
        <f t="shared" si="62"/>
        <v>82.39</v>
      </c>
      <c r="W103" s="454">
        <f t="shared" si="62"/>
        <v>86.5</v>
      </c>
    </row>
    <row r="104" spans="1:23" x14ac:dyDescent="0.25">
      <c r="A104" s="451"/>
      <c r="B104" s="451"/>
      <c r="C104" s="455" t="s">
        <v>1060</v>
      </c>
      <c r="D104" s="454">
        <f t="shared" ref="D104:W104" si="63">D23/12*9+D25/12*9+D27/12*9+D29/12*9+D32/12*9</f>
        <v>2.8</v>
      </c>
      <c r="E104" s="454">
        <f t="shared" si="63"/>
        <v>5.6</v>
      </c>
      <c r="F104" s="454">
        <f t="shared" si="63"/>
        <v>8.4</v>
      </c>
      <c r="G104" s="454">
        <f t="shared" si="63"/>
        <v>11.2</v>
      </c>
      <c r="H104" s="454">
        <f t="shared" si="63"/>
        <v>14</v>
      </c>
      <c r="I104" s="454">
        <f t="shared" si="63"/>
        <v>16.8</v>
      </c>
      <c r="J104" s="454">
        <f t="shared" si="63"/>
        <v>19.600000000000001</v>
      </c>
      <c r="K104" s="454">
        <f t="shared" si="63"/>
        <v>22.4</v>
      </c>
      <c r="L104" s="454">
        <f t="shared" si="63"/>
        <v>25.2</v>
      </c>
      <c r="M104" s="454">
        <f t="shared" si="63"/>
        <v>28</v>
      </c>
      <c r="N104" s="454">
        <f t="shared" si="63"/>
        <v>30.8</v>
      </c>
      <c r="O104" s="454">
        <f t="shared" si="63"/>
        <v>33.6</v>
      </c>
      <c r="P104" s="454">
        <f t="shared" si="63"/>
        <v>36.4</v>
      </c>
      <c r="Q104" s="454">
        <f t="shared" si="63"/>
        <v>39.200000000000003</v>
      </c>
      <c r="R104" s="454">
        <f t="shared" si="63"/>
        <v>42</v>
      </c>
      <c r="S104" s="454">
        <f t="shared" si="63"/>
        <v>44.8</v>
      </c>
      <c r="T104" s="454">
        <f t="shared" si="63"/>
        <v>47.6</v>
      </c>
      <c r="U104" s="454">
        <f t="shared" si="63"/>
        <v>50.4</v>
      </c>
      <c r="V104" s="454">
        <f t="shared" si="63"/>
        <v>53.2</v>
      </c>
      <c r="W104" s="454">
        <f t="shared" si="63"/>
        <v>56</v>
      </c>
    </row>
    <row r="105" spans="1:23" x14ac:dyDescent="0.25">
      <c r="A105" s="451"/>
      <c r="B105" s="451"/>
      <c r="C105" s="455" t="s">
        <v>1061</v>
      </c>
      <c r="D105" s="454">
        <f t="shared" ref="D105:W105" si="64">D12+D13/12*9+D14/12*9+D15/12*9+D16+D17/12*9+D18/12*9+D19/12*9+D24+D26+D30+D33/12*9+D36/12*9</f>
        <v>4.42</v>
      </c>
      <c r="E105" s="454">
        <f t="shared" si="64"/>
        <v>7.21</v>
      </c>
      <c r="F105" s="454">
        <f t="shared" si="64"/>
        <v>9.6199999999999992</v>
      </c>
      <c r="G105" s="454">
        <f t="shared" si="64"/>
        <v>12.79</v>
      </c>
      <c r="H105" s="454">
        <f t="shared" si="64"/>
        <v>15.39</v>
      </c>
      <c r="I105" s="454">
        <f t="shared" si="64"/>
        <v>18.55</v>
      </c>
      <c r="J105" s="454">
        <f t="shared" si="64"/>
        <v>20.97</v>
      </c>
      <c r="K105" s="454">
        <f t="shared" si="64"/>
        <v>23.76</v>
      </c>
      <c r="L105" s="454">
        <f t="shared" si="64"/>
        <v>26.17</v>
      </c>
      <c r="M105" s="454">
        <f t="shared" si="64"/>
        <v>29.53</v>
      </c>
      <c r="N105" s="454">
        <f t="shared" si="64"/>
        <v>31.94</v>
      </c>
      <c r="O105" s="454">
        <f t="shared" si="64"/>
        <v>34.36</v>
      </c>
      <c r="P105" s="454">
        <f t="shared" si="64"/>
        <v>36.770000000000003</v>
      </c>
      <c r="Q105" s="454">
        <f t="shared" si="64"/>
        <v>39.56</v>
      </c>
      <c r="R105" s="454">
        <f t="shared" si="64"/>
        <v>42.16</v>
      </c>
      <c r="S105" s="454">
        <f t="shared" si="64"/>
        <v>44.58</v>
      </c>
      <c r="T105" s="454">
        <f t="shared" si="64"/>
        <v>46.99</v>
      </c>
      <c r="U105" s="454">
        <f t="shared" si="64"/>
        <v>49.78</v>
      </c>
      <c r="V105" s="454">
        <f t="shared" si="64"/>
        <v>52.2</v>
      </c>
      <c r="W105" s="454">
        <f t="shared" si="64"/>
        <v>54.8</v>
      </c>
    </row>
    <row r="106" spans="1:23" x14ac:dyDescent="0.25">
      <c r="A106" s="451"/>
      <c r="B106" s="451"/>
      <c r="C106" s="455" t="s">
        <v>1060</v>
      </c>
      <c r="D106" s="454">
        <f t="shared" ref="D106:W106" si="65">D24+D26+D30+D33/12*9</f>
        <v>1.29</v>
      </c>
      <c r="E106" s="454">
        <f t="shared" si="65"/>
        <v>2.58</v>
      </c>
      <c r="F106" s="454">
        <f t="shared" si="65"/>
        <v>3.87</v>
      </c>
      <c r="G106" s="454">
        <f t="shared" si="65"/>
        <v>5.16</v>
      </c>
      <c r="H106" s="454">
        <f t="shared" si="65"/>
        <v>6.45</v>
      </c>
      <c r="I106" s="454">
        <f t="shared" si="65"/>
        <v>7.74</v>
      </c>
      <c r="J106" s="454">
        <f t="shared" si="65"/>
        <v>9.0299999999999994</v>
      </c>
      <c r="K106" s="454">
        <f t="shared" si="65"/>
        <v>10.32</v>
      </c>
      <c r="L106" s="454">
        <f t="shared" si="65"/>
        <v>11.61</v>
      </c>
      <c r="M106" s="454">
        <f t="shared" si="65"/>
        <v>12.9</v>
      </c>
      <c r="N106" s="454">
        <f t="shared" si="65"/>
        <v>14.19</v>
      </c>
      <c r="O106" s="454">
        <f t="shared" si="65"/>
        <v>15.48</v>
      </c>
      <c r="P106" s="454">
        <f t="shared" si="65"/>
        <v>16.77</v>
      </c>
      <c r="Q106" s="454">
        <f t="shared" si="65"/>
        <v>18.059999999999999</v>
      </c>
      <c r="R106" s="454">
        <f t="shared" si="65"/>
        <v>19.350000000000001</v>
      </c>
      <c r="S106" s="454">
        <f t="shared" si="65"/>
        <v>20.64</v>
      </c>
      <c r="T106" s="454">
        <f t="shared" si="65"/>
        <v>21.93</v>
      </c>
      <c r="U106" s="454">
        <f t="shared" si="65"/>
        <v>23.22</v>
      </c>
      <c r="V106" s="454">
        <f t="shared" si="65"/>
        <v>24.51</v>
      </c>
      <c r="W106" s="454">
        <f t="shared" si="65"/>
        <v>25.8</v>
      </c>
    </row>
    <row r="107" spans="1:23" x14ac:dyDescent="0.25">
      <c r="A107" s="451"/>
      <c r="B107" s="451"/>
      <c r="C107" s="453" t="s">
        <v>1059</v>
      </c>
      <c r="D107" s="452">
        <f t="shared" ref="D107:W107" si="66">D38/12*9+D40/0.95*0.75+D41/0.95*0.75+D44/12*9+D45/12*9+D46/12*9+D47/12*9+D48/12*9+D49/12*9+D56</f>
        <v>6.14</v>
      </c>
      <c r="E107" s="452">
        <f t="shared" si="66"/>
        <v>8.33</v>
      </c>
      <c r="F107" s="452">
        <f t="shared" si="66"/>
        <v>9.18</v>
      </c>
      <c r="G107" s="452">
        <f t="shared" si="66"/>
        <v>10.43</v>
      </c>
      <c r="H107" s="452">
        <f t="shared" si="66"/>
        <v>10.53</v>
      </c>
      <c r="I107" s="452">
        <f t="shared" si="66"/>
        <v>11.76</v>
      </c>
      <c r="J107" s="452">
        <f t="shared" si="66"/>
        <v>12.26</v>
      </c>
      <c r="K107" s="452">
        <f t="shared" si="66"/>
        <v>15.61</v>
      </c>
      <c r="L107" s="452">
        <f t="shared" si="66"/>
        <v>15.71</v>
      </c>
      <c r="M107" s="452">
        <f t="shared" si="66"/>
        <v>16.57</v>
      </c>
      <c r="N107" s="452">
        <f t="shared" si="66"/>
        <v>17.059999999999999</v>
      </c>
      <c r="O107" s="452">
        <f t="shared" si="66"/>
        <v>17.920000000000002</v>
      </c>
      <c r="P107" s="452">
        <f t="shared" si="66"/>
        <v>19.16</v>
      </c>
      <c r="Q107" s="452">
        <f t="shared" si="66"/>
        <v>20.02</v>
      </c>
      <c r="R107" s="452">
        <f t="shared" si="66"/>
        <v>20.52</v>
      </c>
      <c r="S107" s="452">
        <f t="shared" si="66"/>
        <v>20.61</v>
      </c>
      <c r="T107" s="452">
        <f t="shared" si="66"/>
        <v>21.08</v>
      </c>
      <c r="U107" s="452">
        <f t="shared" si="66"/>
        <v>21.94</v>
      </c>
      <c r="V107" s="452">
        <f t="shared" si="66"/>
        <v>22.04</v>
      </c>
      <c r="W107" s="452">
        <f t="shared" si="66"/>
        <v>22.91</v>
      </c>
    </row>
    <row r="108" spans="1:23" x14ac:dyDescent="0.25">
      <c r="A108" s="451"/>
      <c r="B108" s="451"/>
      <c r="C108" s="453" t="s">
        <v>1058</v>
      </c>
      <c r="D108" s="452">
        <f t="shared" ref="D108:W108" si="67">D38/12*9+D40/0.95*0.75+D41/0.95*0.75+D44/12*9+D45/12*9+D46/12*9+D47/12*9+D48/12*9+D49/12*9+D55/12*9+D56</f>
        <v>6.14</v>
      </c>
      <c r="E108" s="452">
        <f t="shared" si="67"/>
        <v>8.52</v>
      </c>
      <c r="F108" s="452">
        <f t="shared" si="67"/>
        <v>9.36</v>
      </c>
      <c r="G108" s="452">
        <f t="shared" si="67"/>
        <v>10.81</v>
      </c>
      <c r="H108" s="452">
        <f t="shared" si="67"/>
        <v>10.9</v>
      </c>
      <c r="I108" s="452">
        <f t="shared" si="67"/>
        <v>12.33</v>
      </c>
      <c r="J108" s="452">
        <f t="shared" si="67"/>
        <v>12.82</v>
      </c>
      <c r="K108" s="452">
        <f t="shared" si="67"/>
        <v>16.36</v>
      </c>
      <c r="L108" s="452">
        <f t="shared" si="67"/>
        <v>16.46</v>
      </c>
      <c r="M108" s="452">
        <f t="shared" si="67"/>
        <v>17.510000000000002</v>
      </c>
      <c r="N108" s="452">
        <f t="shared" si="67"/>
        <v>18</v>
      </c>
      <c r="O108" s="452">
        <f t="shared" si="67"/>
        <v>19.05</v>
      </c>
      <c r="P108" s="452">
        <f t="shared" si="67"/>
        <v>20.29</v>
      </c>
      <c r="Q108" s="452">
        <f t="shared" si="67"/>
        <v>21.34</v>
      </c>
      <c r="R108" s="452">
        <f t="shared" si="67"/>
        <v>21.83</v>
      </c>
      <c r="S108" s="452">
        <f t="shared" si="67"/>
        <v>22.11</v>
      </c>
      <c r="T108" s="452">
        <f t="shared" si="67"/>
        <v>22.58</v>
      </c>
      <c r="U108" s="452">
        <f t="shared" si="67"/>
        <v>23.63</v>
      </c>
      <c r="V108" s="452">
        <f t="shared" si="67"/>
        <v>23.72</v>
      </c>
      <c r="W108" s="452">
        <f t="shared" si="67"/>
        <v>24.79</v>
      </c>
    </row>
    <row r="109" spans="1:23" x14ac:dyDescent="0.25">
      <c r="A109" s="451"/>
      <c r="B109" s="451"/>
      <c r="C109" s="453" t="s">
        <v>1057</v>
      </c>
      <c r="D109" s="452">
        <f t="shared" ref="D109:W109" si="68">D38/12*9+D40/0.95*0.75+D41/0.95*0.75+D44/12*9+D45/12*9+D46/12*9+D47/12*9+D48/12*9+D49/12*9+D55/12*9+D56</f>
        <v>6.14</v>
      </c>
      <c r="E109" s="452">
        <f t="shared" si="68"/>
        <v>8.52</v>
      </c>
      <c r="F109" s="452">
        <f t="shared" si="68"/>
        <v>9.36</v>
      </c>
      <c r="G109" s="452">
        <f t="shared" si="68"/>
        <v>10.81</v>
      </c>
      <c r="H109" s="452">
        <f t="shared" si="68"/>
        <v>10.9</v>
      </c>
      <c r="I109" s="452">
        <f t="shared" si="68"/>
        <v>12.33</v>
      </c>
      <c r="J109" s="452">
        <f t="shared" si="68"/>
        <v>12.82</v>
      </c>
      <c r="K109" s="452">
        <f t="shared" si="68"/>
        <v>16.36</v>
      </c>
      <c r="L109" s="452">
        <f t="shared" si="68"/>
        <v>16.46</v>
      </c>
      <c r="M109" s="452">
        <f t="shared" si="68"/>
        <v>17.510000000000002</v>
      </c>
      <c r="N109" s="452">
        <f t="shared" si="68"/>
        <v>18</v>
      </c>
      <c r="O109" s="452">
        <f t="shared" si="68"/>
        <v>19.05</v>
      </c>
      <c r="P109" s="452">
        <f t="shared" si="68"/>
        <v>20.29</v>
      </c>
      <c r="Q109" s="452">
        <f t="shared" si="68"/>
        <v>21.34</v>
      </c>
      <c r="R109" s="452">
        <f t="shared" si="68"/>
        <v>21.83</v>
      </c>
      <c r="S109" s="452">
        <f t="shared" si="68"/>
        <v>22.11</v>
      </c>
      <c r="T109" s="452">
        <f t="shared" si="68"/>
        <v>22.58</v>
      </c>
      <c r="U109" s="452">
        <f t="shared" si="68"/>
        <v>23.63</v>
      </c>
      <c r="V109" s="452">
        <f t="shared" si="68"/>
        <v>23.72</v>
      </c>
      <c r="W109" s="452">
        <f t="shared" si="68"/>
        <v>24.79</v>
      </c>
    </row>
    <row r="110" spans="1:23" x14ac:dyDescent="0.25">
      <c r="A110" s="451"/>
      <c r="B110" s="451"/>
      <c r="C110" s="453" t="s">
        <v>1056</v>
      </c>
      <c r="D110" s="452">
        <f t="shared" ref="D110:W110" si="69">D39/12*9+D40/0.95*0.75+D41/0.75*0.25+D44/12*9+D45/12*9+D46/12*9+D47/12*9+D48/12*9+D49/12*9</f>
        <v>0.99</v>
      </c>
      <c r="E110" s="452">
        <f t="shared" si="69"/>
        <v>2.73</v>
      </c>
      <c r="F110" s="452">
        <f t="shared" si="69"/>
        <v>3.58</v>
      </c>
      <c r="G110" s="452">
        <f t="shared" si="69"/>
        <v>4.5599999999999996</v>
      </c>
      <c r="H110" s="452">
        <f t="shared" si="69"/>
        <v>4.8499999999999996</v>
      </c>
      <c r="I110" s="452">
        <f t="shared" si="69"/>
        <v>6.04</v>
      </c>
      <c r="J110" s="452">
        <f t="shared" si="69"/>
        <v>6.49</v>
      </c>
      <c r="K110" s="452">
        <f t="shared" si="69"/>
        <v>9.2100000000000009</v>
      </c>
      <c r="L110" s="452">
        <f t="shared" si="69"/>
        <v>9.49</v>
      </c>
      <c r="M110" s="452">
        <f t="shared" si="69"/>
        <v>10.31</v>
      </c>
      <c r="N110" s="452">
        <f t="shared" si="69"/>
        <v>10.76</v>
      </c>
      <c r="O110" s="452">
        <f t="shared" si="69"/>
        <v>11.58</v>
      </c>
      <c r="P110" s="452">
        <f t="shared" si="69"/>
        <v>12.41</v>
      </c>
      <c r="Q110" s="452">
        <f t="shared" si="69"/>
        <v>13.23</v>
      </c>
      <c r="R110" s="452">
        <f t="shared" si="69"/>
        <v>13.68</v>
      </c>
      <c r="S110" s="452">
        <f t="shared" si="69"/>
        <v>13.96</v>
      </c>
      <c r="T110" s="452">
        <f t="shared" si="69"/>
        <v>14.24</v>
      </c>
      <c r="U110" s="452">
        <f t="shared" si="69"/>
        <v>15.06</v>
      </c>
      <c r="V110" s="452">
        <f t="shared" si="69"/>
        <v>15.35</v>
      </c>
      <c r="W110" s="452">
        <f t="shared" si="69"/>
        <v>15.96</v>
      </c>
    </row>
    <row r="111" spans="1:23" x14ac:dyDescent="0.25">
      <c r="D111" s="457"/>
      <c r="E111" s="457"/>
      <c r="F111" s="457"/>
      <c r="G111" s="457"/>
      <c r="H111" s="457"/>
      <c r="I111" s="457"/>
      <c r="J111" s="457"/>
      <c r="K111" s="457"/>
      <c r="L111" s="457"/>
      <c r="M111" s="457"/>
      <c r="N111" s="457"/>
      <c r="O111" s="457"/>
      <c r="P111" s="457"/>
      <c r="Q111" s="457"/>
      <c r="R111" s="457"/>
      <c r="S111" s="457"/>
      <c r="T111" s="457"/>
      <c r="U111" s="457"/>
      <c r="V111" s="457"/>
      <c r="W111" s="457"/>
    </row>
    <row r="112" spans="1:23" x14ac:dyDescent="0.25">
      <c r="A112" s="466" t="s">
        <v>1076</v>
      </c>
      <c r="C112" s="458" t="s">
        <v>1075</v>
      </c>
    </row>
    <row r="113" spans="1:23" ht="30" x14ac:dyDescent="0.25">
      <c r="A113" s="451"/>
      <c r="B113" s="451"/>
      <c r="C113" s="465" t="s">
        <v>1074</v>
      </c>
      <c r="D113" s="463"/>
      <c r="E113" s="463"/>
      <c r="F113" s="463"/>
      <c r="G113" s="463"/>
      <c r="H113" s="463"/>
      <c r="I113" s="463"/>
      <c r="J113" s="463"/>
      <c r="K113" s="464"/>
      <c r="L113" s="463"/>
      <c r="M113" s="463"/>
      <c r="N113" s="463"/>
      <c r="O113" s="463"/>
      <c r="P113" s="463"/>
      <c r="Q113" s="463"/>
      <c r="R113" s="463"/>
      <c r="S113" s="463"/>
      <c r="T113" s="463"/>
      <c r="U113" s="463"/>
      <c r="V113" s="463"/>
      <c r="W113" s="463"/>
    </row>
    <row r="114" spans="1:23" ht="45" x14ac:dyDescent="0.25">
      <c r="A114" s="451">
        <v>20</v>
      </c>
      <c r="B114" s="462" t="s">
        <v>1072</v>
      </c>
      <c r="C114" s="461" t="s">
        <v>1073</v>
      </c>
      <c r="D114" s="459"/>
      <c r="E114" s="459"/>
      <c r="F114" s="459"/>
      <c r="G114" s="459"/>
      <c r="H114" s="459"/>
      <c r="I114" s="459"/>
      <c r="J114" s="459"/>
      <c r="K114" s="460"/>
      <c r="L114" s="459"/>
      <c r="M114" s="459"/>
      <c r="N114" s="459"/>
      <c r="O114" s="459"/>
      <c r="P114" s="459"/>
      <c r="Q114" s="459"/>
      <c r="R114" s="459"/>
      <c r="S114" s="459"/>
      <c r="T114" s="459"/>
      <c r="U114" s="459"/>
      <c r="V114" s="459"/>
      <c r="W114" s="459"/>
    </row>
    <row r="115" spans="1:23" ht="45" x14ac:dyDescent="0.25">
      <c r="A115" s="451">
        <v>22</v>
      </c>
      <c r="B115" s="462" t="s">
        <v>1072</v>
      </c>
      <c r="C115" s="461" t="s">
        <v>1071</v>
      </c>
      <c r="D115" s="459"/>
      <c r="E115" s="459"/>
      <c r="F115" s="459"/>
      <c r="G115" s="459"/>
      <c r="H115" s="459"/>
      <c r="I115" s="459"/>
      <c r="J115" s="459"/>
      <c r="K115" s="460"/>
      <c r="L115" s="459"/>
      <c r="M115" s="459"/>
      <c r="N115" s="459"/>
      <c r="O115" s="459"/>
      <c r="P115" s="459"/>
      <c r="Q115" s="459"/>
      <c r="R115" s="459"/>
      <c r="S115" s="459"/>
      <c r="T115" s="459"/>
      <c r="U115" s="459"/>
      <c r="V115" s="459"/>
      <c r="W115" s="459"/>
    </row>
    <row r="116" spans="1:23" x14ac:dyDescent="0.25">
      <c r="A116" s="451"/>
      <c r="B116" s="451"/>
      <c r="C116" s="456" t="s">
        <v>1068</v>
      </c>
      <c r="D116" s="448">
        <f t="shared" ref="D116:W116" si="70">D120+D128</f>
        <v>12.88</v>
      </c>
      <c r="E116" s="448">
        <f t="shared" si="70"/>
        <v>19.760000000000002</v>
      </c>
      <c r="F116" s="448">
        <f t="shared" si="70"/>
        <v>24.39</v>
      </c>
      <c r="G116" s="448">
        <f t="shared" si="70"/>
        <v>30.51</v>
      </c>
      <c r="H116" s="448">
        <f t="shared" si="70"/>
        <v>34.4</v>
      </c>
      <c r="I116" s="448">
        <f t="shared" si="70"/>
        <v>41.02</v>
      </c>
      <c r="J116" s="448">
        <f t="shared" si="70"/>
        <v>45.15</v>
      </c>
      <c r="K116" s="448">
        <f t="shared" si="70"/>
        <v>53.53</v>
      </c>
      <c r="L116" s="448">
        <f t="shared" si="70"/>
        <v>57.16</v>
      </c>
      <c r="M116" s="448">
        <f t="shared" si="70"/>
        <v>63.03</v>
      </c>
      <c r="N116" s="448">
        <f t="shared" si="70"/>
        <v>67.17</v>
      </c>
      <c r="O116" s="448">
        <f t="shared" si="70"/>
        <v>71.790000000000006</v>
      </c>
      <c r="P116" s="448">
        <f t="shared" si="70"/>
        <v>76.92</v>
      </c>
      <c r="Q116" s="448">
        <f t="shared" si="70"/>
        <v>82.05</v>
      </c>
      <c r="R116" s="448">
        <f t="shared" si="70"/>
        <v>86.43</v>
      </c>
      <c r="S116" s="448">
        <f t="shared" si="70"/>
        <v>90.3</v>
      </c>
      <c r="T116" s="448">
        <f t="shared" si="70"/>
        <v>94.44</v>
      </c>
      <c r="U116" s="448">
        <f t="shared" si="70"/>
        <v>99.56</v>
      </c>
      <c r="V116" s="448">
        <f t="shared" si="70"/>
        <v>103.19</v>
      </c>
      <c r="W116" s="448">
        <f t="shared" si="70"/>
        <v>108.07</v>
      </c>
    </row>
    <row r="117" spans="1:23" x14ac:dyDescent="0.25">
      <c r="A117" s="451"/>
      <c r="B117" s="451"/>
      <c r="C117" s="456" t="s">
        <v>1067</v>
      </c>
      <c r="D117" s="448">
        <f t="shared" ref="D117:W117" si="71">D122+D129</f>
        <v>13.01</v>
      </c>
      <c r="E117" s="448">
        <f t="shared" si="71"/>
        <v>20.260000000000002</v>
      </c>
      <c r="F117" s="448">
        <f t="shared" si="71"/>
        <v>25.02</v>
      </c>
      <c r="G117" s="448">
        <f t="shared" si="71"/>
        <v>31.51</v>
      </c>
      <c r="H117" s="448">
        <f t="shared" si="71"/>
        <v>35.53</v>
      </c>
      <c r="I117" s="448">
        <f t="shared" si="71"/>
        <v>42.52</v>
      </c>
      <c r="J117" s="448">
        <f t="shared" si="71"/>
        <v>46.78</v>
      </c>
      <c r="K117" s="448">
        <f t="shared" si="71"/>
        <v>55.53</v>
      </c>
      <c r="L117" s="448">
        <f t="shared" si="71"/>
        <v>59.29</v>
      </c>
      <c r="M117" s="448">
        <f t="shared" si="71"/>
        <v>65.53</v>
      </c>
      <c r="N117" s="448">
        <f t="shared" si="71"/>
        <v>69.8</v>
      </c>
      <c r="O117" s="448">
        <f t="shared" si="71"/>
        <v>74.790000000000006</v>
      </c>
      <c r="P117" s="448">
        <f t="shared" si="71"/>
        <v>80.05</v>
      </c>
      <c r="Q117" s="448">
        <f t="shared" si="71"/>
        <v>85.55</v>
      </c>
      <c r="R117" s="448">
        <f t="shared" si="71"/>
        <v>90.06</v>
      </c>
      <c r="S117" s="448">
        <f t="shared" si="71"/>
        <v>94.3</v>
      </c>
      <c r="T117" s="448">
        <f t="shared" si="71"/>
        <v>98.57</v>
      </c>
      <c r="U117" s="448">
        <f t="shared" si="71"/>
        <v>104.06</v>
      </c>
      <c r="V117" s="448">
        <f t="shared" si="71"/>
        <v>107.82</v>
      </c>
      <c r="W117" s="448">
        <f t="shared" si="71"/>
        <v>113.07</v>
      </c>
    </row>
    <row r="118" spans="1:23" x14ac:dyDescent="0.25">
      <c r="A118" s="451"/>
      <c r="B118" s="451"/>
      <c r="C118" s="456" t="s">
        <v>1066</v>
      </c>
      <c r="D118" s="448">
        <f t="shared" ref="D118:W118" si="72">D124+D130</f>
        <v>14.61</v>
      </c>
      <c r="E118" s="448">
        <f t="shared" si="72"/>
        <v>23.47</v>
      </c>
      <c r="F118" s="448">
        <f t="shared" si="72"/>
        <v>29.83</v>
      </c>
      <c r="G118" s="448">
        <f t="shared" si="72"/>
        <v>37.93</v>
      </c>
      <c r="H118" s="448">
        <f t="shared" si="72"/>
        <v>43.55</v>
      </c>
      <c r="I118" s="448">
        <f t="shared" si="72"/>
        <v>52.15</v>
      </c>
      <c r="J118" s="448">
        <f t="shared" si="72"/>
        <v>58.01</v>
      </c>
      <c r="K118" s="448">
        <f t="shared" si="72"/>
        <v>68.37</v>
      </c>
      <c r="L118" s="448">
        <f t="shared" si="72"/>
        <v>73.73</v>
      </c>
      <c r="M118" s="448">
        <f t="shared" si="72"/>
        <v>81.58</v>
      </c>
      <c r="N118" s="448">
        <f t="shared" si="72"/>
        <v>87.45</v>
      </c>
      <c r="O118" s="448">
        <f t="shared" si="72"/>
        <v>94.05</v>
      </c>
      <c r="P118" s="448">
        <f t="shared" si="72"/>
        <v>100.91</v>
      </c>
      <c r="Q118" s="448">
        <f t="shared" si="72"/>
        <v>108.02</v>
      </c>
      <c r="R118" s="448">
        <f t="shared" si="72"/>
        <v>114.13</v>
      </c>
      <c r="S118" s="448">
        <f t="shared" si="72"/>
        <v>119.98</v>
      </c>
      <c r="T118" s="448">
        <f t="shared" si="72"/>
        <v>125.85</v>
      </c>
      <c r="U118" s="448">
        <f t="shared" si="72"/>
        <v>132.94999999999999</v>
      </c>
      <c r="V118" s="448">
        <f t="shared" si="72"/>
        <v>138.31</v>
      </c>
      <c r="W118" s="448">
        <f t="shared" si="72"/>
        <v>145.16999999999999</v>
      </c>
    </row>
    <row r="119" spans="1:23" x14ac:dyDescent="0.25">
      <c r="A119" s="451"/>
      <c r="B119" s="451"/>
      <c r="C119" s="456" t="s">
        <v>1065</v>
      </c>
      <c r="D119" s="448">
        <f t="shared" ref="D119:W119" si="73">D126+D131</f>
        <v>7.02</v>
      </c>
      <c r="E119" s="448">
        <f t="shared" si="73"/>
        <v>13.53</v>
      </c>
      <c r="F119" s="448">
        <f t="shared" si="73"/>
        <v>17.8</v>
      </c>
      <c r="G119" s="448">
        <f t="shared" si="73"/>
        <v>23.81</v>
      </c>
      <c r="H119" s="448">
        <f t="shared" si="73"/>
        <v>27.58</v>
      </c>
      <c r="I119" s="448">
        <f t="shared" si="73"/>
        <v>33.590000000000003</v>
      </c>
      <c r="J119" s="448">
        <f t="shared" si="73"/>
        <v>37.61</v>
      </c>
      <c r="K119" s="448">
        <f t="shared" si="73"/>
        <v>45.37</v>
      </c>
      <c r="L119" s="448">
        <f t="shared" si="73"/>
        <v>48.89</v>
      </c>
      <c r="M119" s="448">
        <f t="shared" si="73"/>
        <v>54.65</v>
      </c>
      <c r="N119" s="448">
        <f t="shared" si="73"/>
        <v>58.67</v>
      </c>
      <c r="O119" s="448">
        <f t="shared" si="73"/>
        <v>63.18</v>
      </c>
      <c r="P119" s="448">
        <f t="shared" si="73"/>
        <v>67.7</v>
      </c>
      <c r="Q119" s="448">
        <f t="shared" si="73"/>
        <v>72.709999999999994</v>
      </c>
      <c r="R119" s="448">
        <f t="shared" si="73"/>
        <v>76.98</v>
      </c>
      <c r="S119" s="448">
        <f t="shared" si="73"/>
        <v>80.489999999999995</v>
      </c>
      <c r="T119" s="448">
        <f t="shared" si="73"/>
        <v>84.01</v>
      </c>
      <c r="U119" s="448">
        <f t="shared" si="73"/>
        <v>89.02</v>
      </c>
      <c r="V119" s="448">
        <f t="shared" si="73"/>
        <v>92.54</v>
      </c>
      <c r="W119" s="448">
        <f t="shared" si="73"/>
        <v>97.3</v>
      </c>
    </row>
    <row r="120" spans="1:23" x14ac:dyDescent="0.25">
      <c r="A120" s="451"/>
      <c r="B120" s="451"/>
      <c r="C120" s="455" t="s">
        <v>1064</v>
      </c>
      <c r="D120" s="454">
        <f t="shared" ref="D120:W120" si="74">D63+D113+D114+D115</f>
        <v>6.25</v>
      </c>
      <c r="E120" s="454">
        <f t="shared" si="74"/>
        <v>10.26</v>
      </c>
      <c r="F120" s="454">
        <f t="shared" si="74"/>
        <v>13.76</v>
      </c>
      <c r="G120" s="454">
        <f t="shared" si="74"/>
        <v>18.260000000000002</v>
      </c>
      <c r="H120" s="454">
        <f t="shared" si="74"/>
        <v>22.02</v>
      </c>
      <c r="I120" s="454">
        <f t="shared" si="74"/>
        <v>27.02</v>
      </c>
      <c r="J120" s="454">
        <f t="shared" si="74"/>
        <v>30.52</v>
      </c>
      <c r="K120" s="454">
        <f t="shared" si="74"/>
        <v>34.53</v>
      </c>
      <c r="L120" s="454">
        <f t="shared" si="74"/>
        <v>38.03</v>
      </c>
      <c r="M120" s="454">
        <f t="shared" si="74"/>
        <v>42.78</v>
      </c>
      <c r="N120" s="454">
        <f t="shared" si="74"/>
        <v>46.29</v>
      </c>
      <c r="O120" s="454">
        <f t="shared" si="74"/>
        <v>49.79</v>
      </c>
      <c r="P120" s="454">
        <f t="shared" si="74"/>
        <v>53.29</v>
      </c>
      <c r="Q120" s="454">
        <f t="shared" si="74"/>
        <v>57.3</v>
      </c>
      <c r="R120" s="454">
        <f t="shared" si="74"/>
        <v>61.05</v>
      </c>
      <c r="S120" s="454">
        <f t="shared" si="74"/>
        <v>64.8</v>
      </c>
      <c r="T120" s="454">
        <f t="shared" si="74"/>
        <v>68.31</v>
      </c>
      <c r="U120" s="454">
        <f t="shared" si="74"/>
        <v>72.31</v>
      </c>
      <c r="V120" s="454">
        <f t="shared" si="74"/>
        <v>75.81</v>
      </c>
      <c r="W120" s="454">
        <f t="shared" si="74"/>
        <v>79.569999999999993</v>
      </c>
    </row>
    <row r="121" spans="1:23" x14ac:dyDescent="0.25">
      <c r="A121" s="451"/>
      <c r="B121" s="451"/>
      <c r="C121" s="455" t="s">
        <v>1060</v>
      </c>
      <c r="D121" s="454">
        <f t="shared" ref="D121:W121" si="75">D64+D113</f>
        <v>2</v>
      </c>
      <c r="E121" s="454">
        <f t="shared" si="75"/>
        <v>4.01</v>
      </c>
      <c r="F121" s="454">
        <f t="shared" si="75"/>
        <v>6.01</v>
      </c>
      <c r="G121" s="454">
        <f t="shared" si="75"/>
        <v>8.01</v>
      </c>
      <c r="H121" s="454">
        <f t="shared" si="75"/>
        <v>10.02</v>
      </c>
      <c r="I121" s="454">
        <f t="shared" si="75"/>
        <v>12.02</v>
      </c>
      <c r="J121" s="454">
        <f t="shared" si="75"/>
        <v>14.02</v>
      </c>
      <c r="K121" s="454">
        <f t="shared" si="75"/>
        <v>16.03</v>
      </c>
      <c r="L121" s="454">
        <f t="shared" si="75"/>
        <v>18.03</v>
      </c>
      <c r="M121" s="454">
        <f t="shared" si="75"/>
        <v>20.03</v>
      </c>
      <c r="N121" s="454">
        <f t="shared" si="75"/>
        <v>22.04</v>
      </c>
      <c r="O121" s="454">
        <f t="shared" si="75"/>
        <v>24.04</v>
      </c>
      <c r="P121" s="454">
        <f t="shared" si="75"/>
        <v>26.04</v>
      </c>
      <c r="Q121" s="454">
        <f t="shared" si="75"/>
        <v>28.05</v>
      </c>
      <c r="R121" s="454">
        <f t="shared" si="75"/>
        <v>30.05</v>
      </c>
      <c r="S121" s="454">
        <f t="shared" si="75"/>
        <v>32.049999999999997</v>
      </c>
      <c r="T121" s="454">
        <f t="shared" si="75"/>
        <v>34.06</v>
      </c>
      <c r="U121" s="454">
        <f t="shared" si="75"/>
        <v>36.06</v>
      </c>
      <c r="V121" s="454">
        <f t="shared" si="75"/>
        <v>38.06</v>
      </c>
      <c r="W121" s="454">
        <f t="shared" si="75"/>
        <v>40.07</v>
      </c>
    </row>
    <row r="122" spans="1:23" x14ac:dyDescent="0.25">
      <c r="A122" s="451"/>
      <c r="B122" s="451"/>
      <c r="C122" s="455" t="s">
        <v>1063</v>
      </c>
      <c r="D122" s="454">
        <f t="shared" ref="D122:W122" si="76">D65+D113+D114+D115</f>
        <v>6.38</v>
      </c>
      <c r="E122" s="454">
        <f t="shared" si="76"/>
        <v>10.51</v>
      </c>
      <c r="F122" s="454">
        <f t="shared" si="76"/>
        <v>14.14</v>
      </c>
      <c r="G122" s="454">
        <f t="shared" si="76"/>
        <v>18.760000000000002</v>
      </c>
      <c r="H122" s="454">
        <f t="shared" si="76"/>
        <v>22.65</v>
      </c>
      <c r="I122" s="454">
        <f t="shared" si="76"/>
        <v>27.77</v>
      </c>
      <c r="J122" s="454">
        <f t="shared" si="76"/>
        <v>31.4</v>
      </c>
      <c r="K122" s="454">
        <f t="shared" si="76"/>
        <v>35.53</v>
      </c>
      <c r="L122" s="454">
        <f t="shared" si="76"/>
        <v>39.159999999999997</v>
      </c>
      <c r="M122" s="454">
        <f t="shared" si="76"/>
        <v>44.03</v>
      </c>
      <c r="N122" s="454">
        <f t="shared" si="76"/>
        <v>47.67</v>
      </c>
      <c r="O122" s="454">
        <f t="shared" si="76"/>
        <v>51.29</v>
      </c>
      <c r="P122" s="454">
        <f t="shared" si="76"/>
        <v>54.92</v>
      </c>
      <c r="Q122" s="454">
        <f t="shared" si="76"/>
        <v>59.05</v>
      </c>
      <c r="R122" s="454">
        <f t="shared" si="76"/>
        <v>62.93</v>
      </c>
      <c r="S122" s="454">
        <f t="shared" si="76"/>
        <v>66.8</v>
      </c>
      <c r="T122" s="454">
        <f t="shared" si="76"/>
        <v>70.44</v>
      </c>
      <c r="U122" s="454">
        <f t="shared" si="76"/>
        <v>74.56</v>
      </c>
      <c r="V122" s="454">
        <f t="shared" si="76"/>
        <v>78.19</v>
      </c>
      <c r="W122" s="454">
        <f t="shared" si="76"/>
        <v>82.07</v>
      </c>
    </row>
    <row r="123" spans="1:23" x14ac:dyDescent="0.25">
      <c r="A123" s="451"/>
      <c r="B123" s="451"/>
      <c r="C123" s="455" t="s">
        <v>1060</v>
      </c>
      <c r="D123" s="454">
        <f t="shared" ref="D123:W123" si="77">D66+D113</f>
        <v>2.13</v>
      </c>
      <c r="E123" s="454">
        <f t="shared" si="77"/>
        <v>4.26</v>
      </c>
      <c r="F123" s="454">
        <f t="shared" si="77"/>
        <v>6.39</v>
      </c>
      <c r="G123" s="454">
        <f t="shared" si="77"/>
        <v>8.51</v>
      </c>
      <c r="H123" s="454">
        <f t="shared" si="77"/>
        <v>10.65</v>
      </c>
      <c r="I123" s="454">
        <f t="shared" si="77"/>
        <v>12.77</v>
      </c>
      <c r="J123" s="454">
        <f t="shared" si="77"/>
        <v>14.9</v>
      </c>
      <c r="K123" s="454">
        <f t="shared" si="77"/>
        <v>17.03</v>
      </c>
      <c r="L123" s="454">
        <f t="shared" si="77"/>
        <v>19.16</v>
      </c>
      <c r="M123" s="454">
        <f t="shared" si="77"/>
        <v>21.28</v>
      </c>
      <c r="N123" s="454">
        <f t="shared" si="77"/>
        <v>23.42</v>
      </c>
      <c r="O123" s="454">
        <f t="shared" si="77"/>
        <v>25.54</v>
      </c>
      <c r="P123" s="454">
        <f t="shared" si="77"/>
        <v>27.67</v>
      </c>
      <c r="Q123" s="454">
        <f t="shared" si="77"/>
        <v>29.8</v>
      </c>
      <c r="R123" s="454">
        <f t="shared" si="77"/>
        <v>31.93</v>
      </c>
      <c r="S123" s="454">
        <f t="shared" si="77"/>
        <v>34.049999999999997</v>
      </c>
      <c r="T123" s="454">
        <f t="shared" si="77"/>
        <v>36.19</v>
      </c>
      <c r="U123" s="454">
        <f t="shared" si="77"/>
        <v>38.31</v>
      </c>
      <c r="V123" s="454">
        <f t="shared" si="77"/>
        <v>40.44</v>
      </c>
      <c r="W123" s="454">
        <f t="shared" si="77"/>
        <v>42.57</v>
      </c>
    </row>
    <row r="124" spans="1:23" x14ac:dyDescent="0.25">
      <c r="A124" s="451"/>
      <c r="B124" s="451"/>
      <c r="C124" s="455" t="s">
        <v>1062</v>
      </c>
      <c r="D124" s="454">
        <f t="shared" ref="D124:W124" si="78">D67+D113+D114+D115</f>
        <v>7.98</v>
      </c>
      <c r="E124" s="454">
        <f t="shared" si="78"/>
        <v>13.72</v>
      </c>
      <c r="F124" s="454">
        <f t="shared" si="78"/>
        <v>18.95</v>
      </c>
      <c r="G124" s="454">
        <f t="shared" si="78"/>
        <v>25.18</v>
      </c>
      <c r="H124" s="454">
        <f t="shared" si="78"/>
        <v>30.67</v>
      </c>
      <c r="I124" s="454">
        <f t="shared" si="78"/>
        <v>37.4</v>
      </c>
      <c r="J124" s="454">
        <f t="shared" si="78"/>
        <v>42.63</v>
      </c>
      <c r="K124" s="454">
        <f t="shared" si="78"/>
        <v>48.37</v>
      </c>
      <c r="L124" s="454">
        <f t="shared" si="78"/>
        <v>53.6</v>
      </c>
      <c r="M124" s="454">
        <f t="shared" si="78"/>
        <v>60.08</v>
      </c>
      <c r="N124" s="454">
        <f t="shared" si="78"/>
        <v>65.319999999999993</v>
      </c>
      <c r="O124" s="454">
        <f t="shared" si="78"/>
        <v>70.55</v>
      </c>
      <c r="P124" s="454">
        <f t="shared" si="78"/>
        <v>75.78</v>
      </c>
      <c r="Q124" s="454">
        <f t="shared" si="78"/>
        <v>81.52</v>
      </c>
      <c r="R124" s="454">
        <f t="shared" si="78"/>
        <v>87</v>
      </c>
      <c r="S124" s="454">
        <f t="shared" si="78"/>
        <v>92.48</v>
      </c>
      <c r="T124" s="454">
        <f t="shared" si="78"/>
        <v>97.72</v>
      </c>
      <c r="U124" s="454">
        <f t="shared" si="78"/>
        <v>103.45</v>
      </c>
      <c r="V124" s="454">
        <f t="shared" si="78"/>
        <v>108.68</v>
      </c>
      <c r="W124" s="454">
        <f t="shared" si="78"/>
        <v>114.17</v>
      </c>
    </row>
    <row r="125" spans="1:23" x14ac:dyDescent="0.25">
      <c r="A125" s="451"/>
      <c r="B125" s="451"/>
      <c r="C125" s="455" t="s">
        <v>1060</v>
      </c>
      <c r="D125" s="454">
        <f t="shared" ref="D125:W125" si="79">D68+D113</f>
        <v>3.73</v>
      </c>
      <c r="E125" s="454">
        <f t="shared" si="79"/>
        <v>7.47</v>
      </c>
      <c r="F125" s="454">
        <f t="shared" si="79"/>
        <v>11.2</v>
      </c>
      <c r="G125" s="454">
        <f t="shared" si="79"/>
        <v>14.93</v>
      </c>
      <c r="H125" s="454">
        <f t="shared" si="79"/>
        <v>18.670000000000002</v>
      </c>
      <c r="I125" s="454">
        <f t="shared" si="79"/>
        <v>22.4</v>
      </c>
      <c r="J125" s="454">
        <f t="shared" si="79"/>
        <v>26.13</v>
      </c>
      <c r="K125" s="454">
        <f t="shared" si="79"/>
        <v>29.87</v>
      </c>
      <c r="L125" s="454">
        <f t="shared" si="79"/>
        <v>33.6</v>
      </c>
      <c r="M125" s="454">
        <f t="shared" si="79"/>
        <v>37.33</v>
      </c>
      <c r="N125" s="454">
        <f t="shared" si="79"/>
        <v>41.07</v>
      </c>
      <c r="O125" s="454">
        <f t="shared" si="79"/>
        <v>44.8</v>
      </c>
      <c r="P125" s="454">
        <f t="shared" si="79"/>
        <v>48.53</v>
      </c>
      <c r="Q125" s="454">
        <f t="shared" si="79"/>
        <v>52.27</v>
      </c>
      <c r="R125" s="454">
        <f t="shared" si="79"/>
        <v>56</v>
      </c>
      <c r="S125" s="454">
        <f t="shared" si="79"/>
        <v>59.73</v>
      </c>
      <c r="T125" s="454">
        <f t="shared" si="79"/>
        <v>63.47</v>
      </c>
      <c r="U125" s="454">
        <f t="shared" si="79"/>
        <v>67.2</v>
      </c>
      <c r="V125" s="454">
        <f t="shared" si="79"/>
        <v>70.930000000000007</v>
      </c>
      <c r="W125" s="454">
        <f t="shared" si="79"/>
        <v>74.67</v>
      </c>
    </row>
    <row r="126" spans="1:23" x14ac:dyDescent="0.25">
      <c r="A126" s="451"/>
      <c r="B126" s="451"/>
      <c r="C126" s="455" t="s">
        <v>1061</v>
      </c>
      <c r="D126" s="454">
        <f t="shared" ref="D126:W126" si="80">D69+D113+D114+D115</f>
        <v>5.14</v>
      </c>
      <c r="E126" s="454">
        <f t="shared" si="80"/>
        <v>8.7799999999999994</v>
      </c>
      <c r="F126" s="454">
        <f t="shared" si="80"/>
        <v>11.92</v>
      </c>
      <c r="G126" s="454">
        <f t="shared" si="80"/>
        <v>16.059999999999999</v>
      </c>
      <c r="H126" s="454">
        <f t="shared" si="80"/>
        <v>19.45</v>
      </c>
      <c r="I126" s="454">
        <f t="shared" si="80"/>
        <v>23.59</v>
      </c>
      <c r="J126" s="454">
        <f t="shared" si="80"/>
        <v>26.73</v>
      </c>
      <c r="K126" s="454">
        <f t="shared" si="80"/>
        <v>30.37</v>
      </c>
      <c r="L126" s="454">
        <f t="shared" si="80"/>
        <v>33.51</v>
      </c>
      <c r="M126" s="454">
        <f t="shared" si="80"/>
        <v>37.9</v>
      </c>
      <c r="N126" s="454">
        <f t="shared" si="80"/>
        <v>41.04</v>
      </c>
      <c r="O126" s="454">
        <f t="shared" si="80"/>
        <v>44.18</v>
      </c>
      <c r="P126" s="454">
        <f t="shared" si="80"/>
        <v>47.32</v>
      </c>
      <c r="Q126" s="454">
        <f t="shared" si="80"/>
        <v>50.96</v>
      </c>
      <c r="R126" s="454">
        <f t="shared" si="80"/>
        <v>54.35</v>
      </c>
      <c r="S126" s="454">
        <f t="shared" si="80"/>
        <v>57.49</v>
      </c>
      <c r="T126" s="454">
        <f t="shared" si="80"/>
        <v>60.63</v>
      </c>
      <c r="U126" s="454">
        <f t="shared" si="80"/>
        <v>64.27</v>
      </c>
      <c r="V126" s="454">
        <f t="shared" si="80"/>
        <v>67.41</v>
      </c>
      <c r="W126" s="454">
        <f t="shared" si="80"/>
        <v>70.8</v>
      </c>
    </row>
    <row r="127" spans="1:23" x14ac:dyDescent="0.25">
      <c r="A127" s="451"/>
      <c r="B127" s="451"/>
      <c r="C127" s="455" t="s">
        <v>1060</v>
      </c>
      <c r="D127" s="454">
        <f t="shared" ref="D127:W127" si="81">D70+D113</f>
        <v>1.64</v>
      </c>
      <c r="E127" s="454">
        <f t="shared" si="81"/>
        <v>3.28</v>
      </c>
      <c r="F127" s="454">
        <f t="shared" si="81"/>
        <v>4.92</v>
      </c>
      <c r="G127" s="454">
        <f t="shared" si="81"/>
        <v>6.56</v>
      </c>
      <c r="H127" s="454">
        <f t="shared" si="81"/>
        <v>8.1999999999999993</v>
      </c>
      <c r="I127" s="454">
        <f t="shared" si="81"/>
        <v>9.84</v>
      </c>
      <c r="J127" s="454">
        <f t="shared" si="81"/>
        <v>11.48</v>
      </c>
      <c r="K127" s="454">
        <f t="shared" si="81"/>
        <v>13.12</v>
      </c>
      <c r="L127" s="454">
        <f t="shared" si="81"/>
        <v>14.76</v>
      </c>
      <c r="M127" s="454">
        <f t="shared" si="81"/>
        <v>16.399999999999999</v>
      </c>
      <c r="N127" s="454">
        <f t="shared" si="81"/>
        <v>18.04</v>
      </c>
      <c r="O127" s="454">
        <f t="shared" si="81"/>
        <v>19.68</v>
      </c>
      <c r="P127" s="454">
        <f t="shared" si="81"/>
        <v>21.32</v>
      </c>
      <c r="Q127" s="454">
        <f t="shared" si="81"/>
        <v>22.96</v>
      </c>
      <c r="R127" s="454">
        <f t="shared" si="81"/>
        <v>24.6</v>
      </c>
      <c r="S127" s="454">
        <f t="shared" si="81"/>
        <v>26.24</v>
      </c>
      <c r="T127" s="454">
        <f t="shared" si="81"/>
        <v>27.88</v>
      </c>
      <c r="U127" s="454">
        <f t="shared" si="81"/>
        <v>29.52</v>
      </c>
      <c r="V127" s="454">
        <f t="shared" si="81"/>
        <v>31.16</v>
      </c>
      <c r="W127" s="454">
        <f t="shared" si="81"/>
        <v>32.799999999999997</v>
      </c>
    </row>
    <row r="128" spans="1:23" x14ac:dyDescent="0.25">
      <c r="A128" s="451"/>
      <c r="B128" s="451"/>
      <c r="C128" s="453" t="s">
        <v>1059</v>
      </c>
      <c r="D128" s="452">
        <f t="shared" ref="D128:W128" si="82">D71</f>
        <v>6.63</v>
      </c>
      <c r="E128" s="452">
        <f t="shared" si="82"/>
        <v>9.5</v>
      </c>
      <c r="F128" s="452">
        <f t="shared" si="82"/>
        <v>10.63</v>
      </c>
      <c r="G128" s="452">
        <f t="shared" si="82"/>
        <v>12.25</v>
      </c>
      <c r="H128" s="452">
        <f t="shared" si="82"/>
        <v>12.38</v>
      </c>
      <c r="I128" s="452">
        <f t="shared" si="82"/>
        <v>14</v>
      </c>
      <c r="J128" s="452">
        <f t="shared" si="82"/>
        <v>14.63</v>
      </c>
      <c r="K128" s="452">
        <f t="shared" si="82"/>
        <v>19</v>
      </c>
      <c r="L128" s="452">
        <f t="shared" si="82"/>
        <v>19.13</v>
      </c>
      <c r="M128" s="452">
        <f t="shared" si="82"/>
        <v>20.25</v>
      </c>
      <c r="N128" s="452">
        <f t="shared" si="82"/>
        <v>20.88</v>
      </c>
      <c r="O128" s="452">
        <f t="shared" si="82"/>
        <v>22</v>
      </c>
      <c r="P128" s="452">
        <f t="shared" si="82"/>
        <v>23.63</v>
      </c>
      <c r="Q128" s="452">
        <f t="shared" si="82"/>
        <v>24.75</v>
      </c>
      <c r="R128" s="452">
        <f t="shared" si="82"/>
        <v>25.38</v>
      </c>
      <c r="S128" s="452">
        <f t="shared" si="82"/>
        <v>25.5</v>
      </c>
      <c r="T128" s="452">
        <f t="shared" si="82"/>
        <v>26.13</v>
      </c>
      <c r="U128" s="452">
        <f t="shared" si="82"/>
        <v>27.25</v>
      </c>
      <c r="V128" s="452">
        <f t="shared" si="82"/>
        <v>27.38</v>
      </c>
      <c r="W128" s="452">
        <f t="shared" si="82"/>
        <v>28.5</v>
      </c>
    </row>
    <row r="129" spans="1:23" x14ac:dyDescent="0.25">
      <c r="A129" s="451"/>
      <c r="B129" s="451"/>
      <c r="C129" s="453" t="s">
        <v>1058</v>
      </c>
      <c r="D129" s="452">
        <f t="shared" ref="D129:W129" si="83">D72</f>
        <v>6.63</v>
      </c>
      <c r="E129" s="452">
        <f t="shared" si="83"/>
        <v>9.75</v>
      </c>
      <c r="F129" s="452">
        <f t="shared" si="83"/>
        <v>10.88</v>
      </c>
      <c r="G129" s="452">
        <f t="shared" si="83"/>
        <v>12.75</v>
      </c>
      <c r="H129" s="452">
        <f t="shared" si="83"/>
        <v>12.88</v>
      </c>
      <c r="I129" s="452">
        <f t="shared" si="83"/>
        <v>14.75</v>
      </c>
      <c r="J129" s="452">
        <f t="shared" si="83"/>
        <v>15.38</v>
      </c>
      <c r="K129" s="452">
        <f t="shared" si="83"/>
        <v>20</v>
      </c>
      <c r="L129" s="452">
        <f t="shared" si="83"/>
        <v>20.13</v>
      </c>
      <c r="M129" s="452">
        <f t="shared" si="83"/>
        <v>21.5</v>
      </c>
      <c r="N129" s="452">
        <f t="shared" si="83"/>
        <v>22.13</v>
      </c>
      <c r="O129" s="452">
        <f t="shared" si="83"/>
        <v>23.5</v>
      </c>
      <c r="P129" s="452">
        <f t="shared" si="83"/>
        <v>25.13</v>
      </c>
      <c r="Q129" s="452">
        <f t="shared" si="83"/>
        <v>26.5</v>
      </c>
      <c r="R129" s="452">
        <f t="shared" si="83"/>
        <v>27.13</v>
      </c>
      <c r="S129" s="452">
        <f t="shared" si="83"/>
        <v>27.5</v>
      </c>
      <c r="T129" s="452">
        <f t="shared" si="83"/>
        <v>28.13</v>
      </c>
      <c r="U129" s="452">
        <f t="shared" si="83"/>
        <v>29.5</v>
      </c>
      <c r="V129" s="452">
        <f t="shared" si="83"/>
        <v>29.63</v>
      </c>
      <c r="W129" s="452">
        <f t="shared" si="83"/>
        <v>31</v>
      </c>
    </row>
    <row r="130" spans="1:23" x14ac:dyDescent="0.25">
      <c r="A130" s="451"/>
      <c r="B130" s="451"/>
      <c r="C130" s="453" t="s">
        <v>1057</v>
      </c>
      <c r="D130" s="452">
        <f t="shared" ref="D130:W130" si="84">D73</f>
        <v>6.63</v>
      </c>
      <c r="E130" s="452">
        <f t="shared" si="84"/>
        <v>9.75</v>
      </c>
      <c r="F130" s="452">
        <f t="shared" si="84"/>
        <v>10.88</v>
      </c>
      <c r="G130" s="452">
        <f t="shared" si="84"/>
        <v>12.75</v>
      </c>
      <c r="H130" s="452">
        <f t="shared" si="84"/>
        <v>12.88</v>
      </c>
      <c r="I130" s="452">
        <f t="shared" si="84"/>
        <v>14.75</v>
      </c>
      <c r="J130" s="452">
        <f t="shared" si="84"/>
        <v>15.38</v>
      </c>
      <c r="K130" s="452">
        <f t="shared" si="84"/>
        <v>20</v>
      </c>
      <c r="L130" s="452">
        <f t="shared" si="84"/>
        <v>20.13</v>
      </c>
      <c r="M130" s="452">
        <f t="shared" si="84"/>
        <v>21.5</v>
      </c>
      <c r="N130" s="452">
        <f t="shared" si="84"/>
        <v>22.13</v>
      </c>
      <c r="O130" s="452">
        <f t="shared" si="84"/>
        <v>23.5</v>
      </c>
      <c r="P130" s="452">
        <f t="shared" si="84"/>
        <v>25.13</v>
      </c>
      <c r="Q130" s="452">
        <f t="shared" si="84"/>
        <v>26.5</v>
      </c>
      <c r="R130" s="452">
        <f t="shared" si="84"/>
        <v>27.13</v>
      </c>
      <c r="S130" s="452">
        <f t="shared" si="84"/>
        <v>27.5</v>
      </c>
      <c r="T130" s="452">
        <f t="shared" si="84"/>
        <v>28.13</v>
      </c>
      <c r="U130" s="452">
        <f t="shared" si="84"/>
        <v>29.5</v>
      </c>
      <c r="V130" s="452">
        <f t="shared" si="84"/>
        <v>29.63</v>
      </c>
      <c r="W130" s="452">
        <f t="shared" si="84"/>
        <v>31</v>
      </c>
    </row>
    <row r="131" spans="1:23" x14ac:dyDescent="0.25">
      <c r="A131" s="451"/>
      <c r="B131" s="451"/>
      <c r="C131" s="453" t="s">
        <v>1056</v>
      </c>
      <c r="D131" s="452">
        <f t="shared" ref="D131:W131" si="85">D74</f>
        <v>1.88</v>
      </c>
      <c r="E131" s="452">
        <f t="shared" si="85"/>
        <v>4.75</v>
      </c>
      <c r="F131" s="452">
        <f t="shared" si="85"/>
        <v>5.88</v>
      </c>
      <c r="G131" s="452">
        <f t="shared" si="85"/>
        <v>7.75</v>
      </c>
      <c r="H131" s="452">
        <f t="shared" si="85"/>
        <v>8.1300000000000008</v>
      </c>
      <c r="I131" s="452">
        <f t="shared" si="85"/>
        <v>10</v>
      </c>
      <c r="J131" s="452">
        <f t="shared" si="85"/>
        <v>10.88</v>
      </c>
      <c r="K131" s="452">
        <f t="shared" si="85"/>
        <v>15</v>
      </c>
      <c r="L131" s="452">
        <f t="shared" si="85"/>
        <v>15.38</v>
      </c>
      <c r="M131" s="452">
        <f t="shared" si="85"/>
        <v>16.75</v>
      </c>
      <c r="N131" s="452">
        <f t="shared" si="85"/>
        <v>17.63</v>
      </c>
      <c r="O131" s="452">
        <f t="shared" si="85"/>
        <v>19</v>
      </c>
      <c r="P131" s="452">
        <f t="shared" si="85"/>
        <v>20.38</v>
      </c>
      <c r="Q131" s="452">
        <f t="shared" si="85"/>
        <v>21.75</v>
      </c>
      <c r="R131" s="452">
        <f t="shared" si="85"/>
        <v>22.63</v>
      </c>
      <c r="S131" s="452">
        <f t="shared" si="85"/>
        <v>23</v>
      </c>
      <c r="T131" s="452">
        <f t="shared" si="85"/>
        <v>23.38</v>
      </c>
      <c r="U131" s="452">
        <f t="shared" si="85"/>
        <v>24.75</v>
      </c>
      <c r="V131" s="452">
        <f t="shared" si="85"/>
        <v>25.13</v>
      </c>
      <c r="W131" s="452">
        <f t="shared" si="85"/>
        <v>26.5</v>
      </c>
    </row>
    <row r="133" spans="1:23" x14ac:dyDescent="0.25">
      <c r="C133" s="458" t="s">
        <v>1070</v>
      </c>
      <c r="D133" s="457"/>
      <c r="E133" s="457"/>
      <c r="F133" s="457"/>
      <c r="G133" s="457"/>
      <c r="H133" s="457"/>
      <c r="I133" s="457"/>
      <c r="J133" s="457"/>
      <c r="K133" s="457"/>
      <c r="L133" s="457"/>
      <c r="M133" s="457"/>
      <c r="N133" s="457"/>
      <c r="O133" s="457"/>
      <c r="P133" s="457"/>
      <c r="Q133" s="457"/>
      <c r="R133" s="457"/>
      <c r="S133" s="457"/>
      <c r="T133" s="457"/>
      <c r="U133" s="457"/>
      <c r="V133" s="457"/>
      <c r="W133" s="457"/>
    </row>
    <row r="134" spans="1:23" x14ac:dyDescent="0.25">
      <c r="A134" s="451"/>
      <c r="B134" s="451"/>
      <c r="C134" s="456" t="s">
        <v>1068</v>
      </c>
      <c r="D134" s="448">
        <f t="shared" ref="D134:W134" si="86">D138+D146</f>
        <v>8.39</v>
      </c>
      <c r="E134" s="448">
        <f t="shared" si="86"/>
        <v>10.62</v>
      </c>
      <c r="F134" s="448">
        <f t="shared" si="86"/>
        <v>12.15</v>
      </c>
      <c r="G134" s="448">
        <f t="shared" si="86"/>
        <v>14.12</v>
      </c>
      <c r="H134" s="448">
        <f t="shared" si="86"/>
        <v>15.43</v>
      </c>
      <c r="I134" s="448">
        <f t="shared" si="86"/>
        <v>17.93</v>
      </c>
      <c r="J134" s="448">
        <f t="shared" si="86"/>
        <v>19.27</v>
      </c>
      <c r="K134" s="448">
        <f t="shared" si="86"/>
        <v>21.92</v>
      </c>
      <c r="L134" s="448">
        <f t="shared" si="86"/>
        <v>23.14</v>
      </c>
      <c r="M134" s="448">
        <f t="shared" si="86"/>
        <v>25.05</v>
      </c>
      <c r="N134" s="448">
        <f t="shared" si="86"/>
        <v>26.4</v>
      </c>
      <c r="O134" s="448">
        <f t="shared" si="86"/>
        <v>28.57</v>
      </c>
      <c r="P134" s="448">
        <f t="shared" si="86"/>
        <v>30.25</v>
      </c>
      <c r="Q134" s="448">
        <f t="shared" si="86"/>
        <v>31.92</v>
      </c>
      <c r="R134" s="448">
        <f t="shared" si="86"/>
        <v>33.35</v>
      </c>
      <c r="S134" s="448">
        <f t="shared" si="86"/>
        <v>34.799999999999997</v>
      </c>
      <c r="T134" s="448">
        <f t="shared" si="86"/>
        <v>36.18</v>
      </c>
      <c r="U134" s="448">
        <f t="shared" si="86"/>
        <v>37.86</v>
      </c>
      <c r="V134" s="448">
        <f t="shared" si="86"/>
        <v>39.06</v>
      </c>
      <c r="W134" s="448">
        <f t="shared" si="86"/>
        <v>40.619999999999997</v>
      </c>
    </row>
    <row r="135" spans="1:23" x14ac:dyDescent="0.25">
      <c r="A135" s="451"/>
      <c r="B135" s="451"/>
      <c r="C135" s="456" t="s">
        <v>1067</v>
      </c>
      <c r="D135" s="448">
        <f t="shared" ref="D135:W135" si="87">D140+D147</f>
        <v>9.1</v>
      </c>
      <c r="E135" s="448">
        <f t="shared" si="87"/>
        <v>11.45</v>
      </c>
      <c r="F135" s="448">
        <f t="shared" si="87"/>
        <v>13.04</v>
      </c>
      <c r="G135" s="448">
        <f t="shared" si="87"/>
        <v>15.13</v>
      </c>
      <c r="H135" s="448">
        <f t="shared" si="87"/>
        <v>16.46</v>
      </c>
      <c r="I135" s="448">
        <f t="shared" si="87"/>
        <v>19.09</v>
      </c>
      <c r="J135" s="448">
        <f t="shared" si="87"/>
        <v>20.48</v>
      </c>
      <c r="K135" s="448">
        <f t="shared" si="87"/>
        <v>23.26</v>
      </c>
      <c r="L135" s="448">
        <f t="shared" si="87"/>
        <v>24.51</v>
      </c>
      <c r="M135" s="448">
        <f t="shared" si="87"/>
        <v>26.55</v>
      </c>
      <c r="N135" s="448">
        <f t="shared" si="87"/>
        <v>27.95</v>
      </c>
      <c r="O135" s="448">
        <f t="shared" si="87"/>
        <v>29.57</v>
      </c>
      <c r="P135" s="448">
        <f t="shared" si="87"/>
        <v>31.29</v>
      </c>
      <c r="Q135" s="448">
        <f t="shared" si="87"/>
        <v>33.090000000000003</v>
      </c>
      <c r="R135" s="448">
        <f t="shared" si="87"/>
        <v>34.549999999999997</v>
      </c>
      <c r="S135" s="448">
        <f t="shared" si="87"/>
        <v>36.14</v>
      </c>
      <c r="T135" s="448">
        <f t="shared" si="87"/>
        <v>37.56</v>
      </c>
      <c r="U135" s="448">
        <f t="shared" si="87"/>
        <v>39.36</v>
      </c>
      <c r="V135" s="448">
        <f t="shared" si="87"/>
        <v>40.61</v>
      </c>
      <c r="W135" s="448">
        <f t="shared" si="87"/>
        <v>42.29</v>
      </c>
    </row>
    <row r="136" spans="1:23" x14ac:dyDescent="0.25">
      <c r="A136" s="451"/>
      <c r="B136" s="451"/>
      <c r="C136" s="456" t="s">
        <v>1066</v>
      </c>
      <c r="D136" s="448">
        <f t="shared" ref="D136:W136" si="88">D142+D148</f>
        <v>9.6300000000000008</v>
      </c>
      <c r="E136" s="448">
        <f t="shared" si="88"/>
        <v>12.52</v>
      </c>
      <c r="F136" s="448">
        <f t="shared" si="88"/>
        <v>14.64</v>
      </c>
      <c r="G136" s="448">
        <f t="shared" si="88"/>
        <v>17.27</v>
      </c>
      <c r="H136" s="448">
        <f t="shared" si="88"/>
        <v>19.14</v>
      </c>
      <c r="I136" s="448">
        <f t="shared" si="88"/>
        <v>22.3</v>
      </c>
      <c r="J136" s="448">
        <f t="shared" si="88"/>
        <v>24.23</v>
      </c>
      <c r="K136" s="448">
        <f t="shared" si="88"/>
        <v>27.54</v>
      </c>
      <c r="L136" s="448">
        <f t="shared" si="88"/>
        <v>29.32</v>
      </c>
      <c r="M136" s="448">
        <f t="shared" si="88"/>
        <v>31.9</v>
      </c>
      <c r="N136" s="448">
        <f t="shared" si="88"/>
        <v>33.83</v>
      </c>
      <c r="O136" s="448">
        <f t="shared" si="88"/>
        <v>35.99</v>
      </c>
      <c r="P136" s="448">
        <f t="shared" si="88"/>
        <v>38.25</v>
      </c>
      <c r="Q136" s="448">
        <f t="shared" si="88"/>
        <v>40.58</v>
      </c>
      <c r="R136" s="448">
        <f t="shared" si="88"/>
        <v>42.58</v>
      </c>
      <c r="S136" s="448">
        <f t="shared" si="88"/>
        <v>44.7</v>
      </c>
      <c r="T136" s="448">
        <f t="shared" si="88"/>
        <v>46.66</v>
      </c>
      <c r="U136" s="448">
        <f t="shared" si="88"/>
        <v>48.99</v>
      </c>
      <c r="V136" s="448">
        <f t="shared" si="88"/>
        <v>50.77</v>
      </c>
      <c r="W136" s="448">
        <f t="shared" si="88"/>
        <v>52.99</v>
      </c>
    </row>
    <row r="137" spans="1:23" x14ac:dyDescent="0.25">
      <c r="A137" s="451"/>
      <c r="B137" s="451"/>
      <c r="C137" s="456" t="s">
        <v>1065</v>
      </c>
      <c r="D137" s="448">
        <f t="shared" ref="D137:W137" si="89">D144+D149</f>
        <v>3.77</v>
      </c>
      <c r="E137" s="448">
        <f t="shared" si="89"/>
        <v>6.02</v>
      </c>
      <c r="F137" s="448">
        <f t="shared" si="89"/>
        <v>7.61</v>
      </c>
      <c r="G137" s="448">
        <f t="shared" si="89"/>
        <v>9.6999999999999993</v>
      </c>
      <c r="H137" s="448">
        <f t="shared" si="89"/>
        <v>11.12</v>
      </c>
      <c r="I137" s="448">
        <f t="shared" si="89"/>
        <v>13.25</v>
      </c>
      <c r="J137" s="448">
        <f t="shared" si="89"/>
        <v>14.71</v>
      </c>
      <c r="K137" s="448">
        <f t="shared" si="89"/>
        <v>17.32</v>
      </c>
      <c r="L137" s="448">
        <f t="shared" si="89"/>
        <v>18.649999999999999</v>
      </c>
      <c r="M137" s="448">
        <f t="shared" si="89"/>
        <v>20.7</v>
      </c>
      <c r="N137" s="448">
        <f t="shared" si="89"/>
        <v>22.16</v>
      </c>
      <c r="O137" s="448">
        <f t="shared" si="89"/>
        <v>23.79</v>
      </c>
      <c r="P137" s="448">
        <f t="shared" si="89"/>
        <v>25.42</v>
      </c>
      <c r="Q137" s="448">
        <f t="shared" si="89"/>
        <v>27.21</v>
      </c>
      <c r="R137" s="448">
        <f t="shared" si="89"/>
        <v>28.76</v>
      </c>
      <c r="S137" s="448">
        <f t="shared" si="89"/>
        <v>30.1</v>
      </c>
      <c r="T137" s="448">
        <f t="shared" si="89"/>
        <v>31.42</v>
      </c>
      <c r="U137" s="448">
        <f t="shared" si="89"/>
        <v>33.22</v>
      </c>
      <c r="V137" s="448">
        <f t="shared" si="89"/>
        <v>34.549999999999997</v>
      </c>
      <c r="W137" s="448">
        <f t="shared" si="89"/>
        <v>36.229999999999997</v>
      </c>
    </row>
    <row r="138" spans="1:23" x14ac:dyDescent="0.25">
      <c r="A138" s="451"/>
      <c r="B138" s="451"/>
      <c r="C138" s="455" t="s">
        <v>1064</v>
      </c>
      <c r="D138" s="454">
        <f t="shared" ref="D138:W138" si="90">D81+D113/12*4+D114/12*4+D115/12*4</f>
        <v>3.25</v>
      </c>
      <c r="E138" s="454">
        <f t="shared" si="90"/>
        <v>4.59</v>
      </c>
      <c r="F138" s="454">
        <f t="shared" si="90"/>
        <v>5.75</v>
      </c>
      <c r="G138" s="454">
        <f t="shared" si="90"/>
        <v>7.25</v>
      </c>
      <c r="H138" s="454">
        <f t="shared" si="90"/>
        <v>8.51</v>
      </c>
      <c r="I138" s="454">
        <f t="shared" si="90"/>
        <v>10.51</v>
      </c>
      <c r="J138" s="454">
        <f t="shared" si="90"/>
        <v>11.67</v>
      </c>
      <c r="K138" s="454">
        <f t="shared" si="90"/>
        <v>13.01</v>
      </c>
      <c r="L138" s="454">
        <f t="shared" si="90"/>
        <v>14.18</v>
      </c>
      <c r="M138" s="454">
        <f t="shared" si="90"/>
        <v>15.76</v>
      </c>
      <c r="N138" s="454">
        <f t="shared" si="90"/>
        <v>16.93</v>
      </c>
      <c r="O138" s="454">
        <f t="shared" si="90"/>
        <v>18.760000000000002</v>
      </c>
      <c r="P138" s="454">
        <f t="shared" si="90"/>
        <v>19.93</v>
      </c>
      <c r="Q138" s="454">
        <f t="shared" si="90"/>
        <v>21.27</v>
      </c>
      <c r="R138" s="454">
        <f t="shared" si="90"/>
        <v>22.52</v>
      </c>
      <c r="S138" s="454">
        <f t="shared" si="90"/>
        <v>23.93</v>
      </c>
      <c r="T138" s="454">
        <f t="shared" si="90"/>
        <v>25.1</v>
      </c>
      <c r="U138" s="454">
        <f t="shared" si="90"/>
        <v>26.44</v>
      </c>
      <c r="V138" s="454">
        <f t="shared" si="90"/>
        <v>27.6</v>
      </c>
      <c r="W138" s="454">
        <f t="shared" si="90"/>
        <v>28.86</v>
      </c>
    </row>
    <row r="139" spans="1:23" x14ac:dyDescent="0.25">
      <c r="A139" s="451"/>
      <c r="B139" s="451"/>
      <c r="C139" s="455" t="s">
        <v>1060</v>
      </c>
      <c r="D139" s="454">
        <f t="shared" ref="D139:W139" si="91">D82+D113/12*4</f>
        <v>0.67</v>
      </c>
      <c r="E139" s="454">
        <f t="shared" si="91"/>
        <v>1.34</v>
      </c>
      <c r="F139" s="454">
        <f t="shared" si="91"/>
        <v>2</v>
      </c>
      <c r="G139" s="454">
        <f t="shared" si="91"/>
        <v>2.67</v>
      </c>
      <c r="H139" s="454">
        <f t="shared" si="91"/>
        <v>3.34</v>
      </c>
      <c r="I139" s="454">
        <f t="shared" si="91"/>
        <v>4.01</v>
      </c>
      <c r="J139" s="454">
        <f t="shared" si="91"/>
        <v>4.67</v>
      </c>
      <c r="K139" s="454">
        <f t="shared" si="91"/>
        <v>5.34</v>
      </c>
      <c r="L139" s="454">
        <f t="shared" si="91"/>
        <v>6.01</v>
      </c>
      <c r="M139" s="454">
        <f t="shared" si="91"/>
        <v>6.68</v>
      </c>
      <c r="N139" s="454">
        <f t="shared" si="91"/>
        <v>7.35</v>
      </c>
      <c r="O139" s="454">
        <f t="shared" si="91"/>
        <v>8.01</v>
      </c>
      <c r="P139" s="454">
        <f t="shared" si="91"/>
        <v>8.68</v>
      </c>
      <c r="Q139" s="454">
        <f t="shared" si="91"/>
        <v>9.35</v>
      </c>
      <c r="R139" s="454">
        <f t="shared" si="91"/>
        <v>10.02</v>
      </c>
      <c r="S139" s="454">
        <f t="shared" si="91"/>
        <v>10.68</v>
      </c>
      <c r="T139" s="454">
        <f t="shared" si="91"/>
        <v>11.35</v>
      </c>
      <c r="U139" s="454">
        <f t="shared" si="91"/>
        <v>12.02</v>
      </c>
      <c r="V139" s="454">
        <f t="shared" si="91"/>
        <v>12.69</v>
      </c>
      <c r="W139" s="454">
        <f t="shared" si="91"/>
        <v>13.36</v>
      </c>
    </row>
    <row r="140" spans="1:23" x14ac:dyDescent="0.25">
      <c r="A140" s="451"/>
      <c r="B140" s="451"/>
      <c r="C140" s="455" t="s">
        <v>1063</v>
      </c>
      <c r="D140" s="454">
        <f t="shared" ref="D140:W140" si="92">D83+D113/12*4+D114/12*4+D115/12*4</f>
        <v>3.96</v>
      </c>
      <c r="E140" s="454">
        <f t="shared" si="92"/>
        <v>5.34</v>
      </c>
      <c r="F140" s="454">
        <f t="shared" si="92"/>
        <v>6.55</v>
      </c>
      <c r="G140" s="454">
        <f t="shared" si="92"/>
        <v>8.09</v>
      </c>
      <c r="H140" s="454">
        <f t="shared" si="92"/>
        <v>9.3800000000000008</v>
      </c>
      <c r="I140" s="454">
        <f t="shared" si="92"/>
        <v>11.42</v>
      </c>
      <c r="J140" s="454">
        <f t="shared" si="92"/>
        <v>12.63</v>
      </c>
      <c r="K140" s="454">
        <f t="shared" si="92"/>
        <v>14.01</v>
      </c>
      <c r="L140" s="454">
        <f t="shared" si="92"/>
        <v>15.22</v>
      </c>
      <c r="M140" s="454">
        <f t="shared" si="92"/>
        <v>16.84</v>
      </c>
      <c r="N140" s="454">
        <f t="shared" si="92"/>
        <v>18.059999999999999</v>
      </c>
      <c r="O140" s="454">
        <f t="shared" si="92"/>
        <v>19.260000000000002</v>
      </c>
      <c r="P140" s="454">
        <f t="shared" si="92"/>
        <v>20.47</v>
      </c>
      <c r="Q140" s="454">
        <f t="shared" si="92"/>
        <v>21.85</v>
      </c>
      <c r="R140" s="454">
        <f t="shared" si="92"/>
        <v>23.14</v>
      </c>
      <c r="S140" s="454">
        <f t="shared" si="92"/>
        <v>24.6</v>
      </c>
      <c r="T140" s="454">
        <f t="shared" si="92"/>
        <v>25.81</v>
      </c>
      <c r="U140" s="454">
        <f t="shared" si="92"/>
        <v>27.19</v>
      </c>
      <c r="V140" s="454">
        <f t="shared" si="92"/>
        <v>28.4</v>
      </c>
      <c r="W140" s="454">
        <f t="shared" si="92"/>
        <v>29.69</v>
      </c>
    </row>
    <row r="141" spans="1:23" x14ac:dyDescent="0.25">
      <c r="A141" s="451"/>
      <c r="B141" s="451"/>
      <c r="C141" s="455" t="s">
        <v>1060</v>
      </c>
      <c r="D141" s="454">
        <f t="shared" ref="D141:W141" si="93">D84+D113/12*4</f>
        <v>0.71</v>
      </c>
      <c r="E141" s="454">
        <f t="shared" si="93"/>
        <v>1.42</v>
      </c>
      <c r="F141" s="454">
        <f t="shared" si="93"/>
        <v>2.13</v>
      </c>
      <c r="G141" s="454">
        <f t="shared" si="93"/>
        <v>2.84</v>
      </c>
      <c r="H141" s="454">
        <f t="shared" si="93"/>
        <v>3.55</v>
      </c>
      <c r="I141" s="454">
        <f t="shared" si="93"/>
        <v>4.26</v>
      </c>
      <c r="J141" s="454">
        <f t="shared" si="93"/>
        <v>4.97</v>
      </c>
      <c r="K141" s="454">
        <f t="shared" si="93"/>
        <v>5.68</v>
      </c>
      <c r="L141" s="454">
        <f t="shared" si="93"/>
        <v>6.39</v>
      </c>
      <c r="M141" s="454">
        <f t="shared" si="93"/>
        <v>7.09</v>
      </c>
      <c r="N141" s="454">
        <f t="shared" si="93"/>
        <v>7.81</v>
      </c>
      <c r="O141" s="454">
        <f t="shared" si="93"/>
        <v>8.51</v>
      </c>
      <c r="P141" s="454">
        <f t="shared" si="93"/>
        <v>9.2200000000000006</v>
      </c>
      <c r="Q141" s="454">
        <f t="shared" si="93"/>
        <v>9.93</v>
      </c>
      <c r="R141" s="454">
        <f t="shared" si="93"/>
        <v>10.64</v>
      </c>
      <c r="S141" s="454">
        <f t="shared" si="93"/>
        <v>11.35</v>
      </c>
      <c r="T141" s="454">
        <f t="shared" si="93"/>
        <v>12.06</v>
      </c>
      <c r="U141" s="454">
        <f t="shared" si="93"/>
        <v>12.77</v>
      </c>
      <c r="V141" s="454">
        <f t="shared" si="93"/>
        <v>13.48</v>
      </c>
      <c r="W141" s="454">
        <f t="shared" si="93"/>
        <v>14.19</v>
      </c>
    </row>
    <row r="142" spans="1:23" x14ac:dyDescent="0.25">
      <c r="A142" s="451"/>
      <c r="B142" s="451"/>
      <c r="C142" s="455" t="s">
        <v>1062</v>
      </c>
      <c r="D142" s="454">
        <f t="shared" ref="D142:W142" si="94">D85+D113/12*4+D114/12*4+D115/12*4</f>
        <v>4.49</v>
      </c>
      <c r="E142" s="454">
        <f t="shared" si="94"/>
        <v>6.41</v>
      </c>
      <c r="F142" s="454">
        <f t="shared" si="94"/>
        <v>8.15</v>
      </c>
      <c r="G142" s="454">
        <f t="shared" si="94"/>
        <v>10.23</v>
      </c>
      <c r="H142" s="454">
        <f t="shared" si="94"/>
        <v>12.06</v>
      </c>
      <c r="I142" s="454">
        <f t="shared" si="94"/>
        <v>14.63</v>
      </c>
      <c r="J142" s="454">
        <f t="shared" si="94"/>
        <v>16.38</v>
      </c>
      <c r="K142" s="454">
        <f t="shared" si="94"/>
        <v>18.29</v>
      </c>
      <c r="L142" s="454">
        <f t="shared" si="94"/>
        <v>20.03</v>
      </c>
      <c r="M142" s="454">
        <f t="shared" si="94"/>
        <v>22.19</v>
      </c>
      <c r="N142" s="454">
        <f t="shared" si="94"/>
        <v>23.94</v>
      </c>
      <c r="O142" s="454">
        <f t="shared" si="94"/>
        <v>25.68</v>
      </c>
      <c r="P142" s="454">
        <f t="shared" si="94"/>
        <v>27.43</v>
      </c>
      <c r="Q142" s="454">
        <f t="shared" si="94"/>
        <v>29.34</v>
      </c>
      <c r="R142" s="454">
        <f t="shared" si="94"/>
        <v>31.17</v>
      </c>
      <c r="S142" s="454">
        <f t="shared" si="94"/>
        <v>33.159999999999997</v>
      </c>
      <c r="T142" s="454">
        <f t="shared" si="94"/>
        <v>34.909999999999997</v>
      </c>
      <c r="U142" s="454">
        <f t="shared" si="94"/>
        <v>36.82</v>
      </c>
      <c r="V142" s="454">
        <f t="shared" si="94"/>
        <v>38.56</v>
      </c>
      <c r="W142" s="454">
        <f t="shared" si="94"/>
        <v>40.39</v>
      </c>
    </row>
    <row r="143" spans="1:23" x14ac:dyDescent="0.25">
      <c r="A143" s="451"/>
      <c r="B143" s="451"/>
      <c r="C143" s="455" t="s">
        <v>1060</v>
      </c>
      <c r="D143" s="454">
        <f t="shared" ref="D143:W143" si="95">D86+D113/12*4</f>
        <v>1.24</v>
      </c>
      <c r="E143" s="454">
        <f t="shared" si="95"/>
        <v>2.4900000000000002</v>
      </c>
      <c r="F143" s="454">
        <f t="shared" si="95"/>
        <v>3.73</v>
      </c>
      <c r="G143" s="454">
        <f t="shared" si="95"/>
        <v>4.9800000000000004</v>
      </c>
      <c r="H143" s="454">
        <f t="shared" si="95"/>
        <v>6.22</v>
      </c>
      <c r="I143" s="454">
        <f t="shared" si="95"/>
        <v>7.47</v>
      </c>
      <c r="J143" s="454">
        <f t="shared" si="95"/>
        <v>8.7100000000000009</v>
      </c>
      <c r="K143" s="454">
        <f t="shared" si="95"/>
        <v>9.9600000000000009</v>
      </c>
      <c r="L143" s="454">
        <f t="shared" si="95"/>
        <v>11.2</v>
      </c>
      <c r="M143" s="454">
        <f t="shared" si="95"/>
        <v>12.44</v>
      </c>
      <c r="N143" s="454">
        <f t="shared" si="95"/>
        <v>13.69</v>
      </c>
      <c r="O143" s="454">
        <f t="shared" si="95"/>
        <v>14.93</v>
      </c>
      <c r="P143" s="454">
        <f t="shared" si="95"/>
        <v>16.18</v>
      </c>
      <c r="Q143" s="454">
        <f t="shared" si="95"/>
        <v>17.420000000000002</v>
      </c>
      <c r="R143" s="454">
        <f t="shared" si="95"/>
        <v>18.670000000000002</v>
      </c>
      <c r="S143" s="454">
        <f t="shared" si="95"/>
        <v>19.91</v>
      </c>
      <c r="T143" s="454">
        <f t="shared" si="95"/>
        <v>21.16</v>
      </c>
      <c r="U143" s="454">
        <f t="shared" si="95"/>
        <v>22.4</v>
      </c>
      <c r="V143" s="454">
        <f t="shared" si="95"/>
        <v>23.64</v>
      </c>
      <c r="W143" s="454">
        <f t="shared" si="95"/>
        <v>24.89</v>
      </c>
    </row>
    <row r="144" spans="1:23" x14ac:dyDescent="0.25">
      <c r="A144" s="451"/>
      <c r="B144" s="451"/>
      <c r="C144" s="455" t="s">
        <v>1061</v>
      </c>
      <c r="D144" s="454">
        <f t="shared" ref="D144:W144" si="96">D87+D113/12*4+D114/12*4+D115/12*4</f>
        <v>3.21</v>
      </c>
      <c r="E144" s="454">
        <f t="shared" si="96"/>
        <v>4.58</v>
      </c>
      <c r="F144" s="454">
        <f t="shared" si="96"/>
        <v>5.79</v>
      </c>
      <c r="G144" s="454">
        <f t="shared" si="96"/>
        <v>7.33</v>
      </c>
      <c r="H144" s="454">
        <f t="shared" si="96"/>
        <v>8.6199999999999992</v>
      </c>
      <c r="I144" s="454">
        <f t="shared" si="96"/>
        <v>10.16</v>
      </c>
      <c r="J144" s="454">
        <f t="shared" si="96"/>
        <v>11.36</v>
      </c>
      <c r="K144" s="454">
        <f t="shared" si="96"/>
        <v>12.74</v>
      </c>
      <c r="L144" s="454">
        <f t="shared" si="96"/>
        <v>13.94</v>
      </c>
      <c r="M144" s="454">
        <f t="shared" si="96"/>
        <v>15.57</v>
      </c>
      <c r="N144" s="454">
        <f t="shared" si="96"/>
        <v>16.77</v>
      </c>
      <c r="O144" s="454">
        <f t="shared" si="96"/>
        <v>17.98</v>
      </c>
      <c r="P144" s="454">
        <f t="shared" si="96"/>
        <v>19.190000000000001</v>
      </c>
      <c r="Q144" s="454">
        <f t="shared" si="96"/>
        <v>20.56</v>
      </c>
      <c r="R144" s="454">
        <f t="shared" si="96"/>
        <v>21.85</v>
      </c>
      <c r="S144" s="454">
        <f t="shared" si="96"/>
        <v>23.06</v>
      </c>
      <c r="T144" s="454">
        <f t="shared" si="96"/>
        <v>24.26</v>
      </c>
      <c r="U144" s="454">
        <f t="shared" si="96"/>
        <v>25.64</v>
      </c>
      <c r="V144" s="454">
        <f t="shared" si="96"/>
        <v>26.84</v>
      </c>
      <c r="W144" s="454">
        <f t="shared" si="96"/>
        <v>28.13</v>
      </c>
    </row>
    <row r="145" spans="1:23" x14ac:dyDescent="0.25">
      <c r="A145" s="451"/>
      <c r="B145" s="451"/>
      <c r="C145" s="455" t="s">
        <v>1060</v>
      </c>
      <c r="D145" s="454">
        <f t="shared" ref="D145:W145" si="97">D88+D113/12*4</f>
        <v>0.71</v>
      </c>
      <c r="E145" s="454">
        <f t="shared" si="97"/>
        <v>1.41</v>
      </c>
      <c r="F145" s="454">
        <f t="shared" si="97"/>
        <v>2.12</v>
      </c>
      <c r="G145" s="454">
        <f t="shared" si="97"/>
        <v>2.83</v>
      </c>
      <c r="H145" s="454">
        <f t="shared" si="97"/>
        <v>3.53</v>
      </c>
      <c r="I145" s="454">
        <f t="shared" si="97"/>
        <v>4.24</v>
      </c>
      <c r="J145" s="454">
        <f t="shared" si="97"/>
        <v>4.95</v>
      </c>
      <c r="K145" s="454">
        <f t="shared" si="97"/>
        <v>5.65</v>
      </c>
      <c r="L145" s="454">
        <f t="shared" si="97"/>
        <v>6.36</v>
      </c>
      <c r="M145" s="454">
        <f t="shared" si="97"/>
        <v>7.07</v>
      </c>
      <c r="N145" s="454">
        <f t="shared" si="97"/>
        <v>7.77</v>
      </c>
      <c r="O145" s="454">
        <f t="shared" si="97"/>
        <v>8.48</v>
      </c>
      <c r="P145" s="454">
        <f t="shared" si="97"/>
        <v>9.19</v>
      </c>
      <c r="Q145" s="454">
        <f t="shared" si="97"/>
        <v>9.89</v>
      </c>
      <c r="R145" s="454">
        <f t="shared" si="97"/>
        <v>10.6</v>
      </c>
      <c r="S145" s="454">
        <f t="shared" si="97"/>
        <v>11.31</v>
      </c>
      <c r="T145" s="454">
        <f t="shared" si="97"/>
        <v>12.01</v>
      </c>
      <c r="U145" s="454">
        <f t="shared" si="97"/>
        <v>12.72</v>
      </c>
      <c r="V145" s="454">
        <f t="shared" si="97"/>
        <v>13.43</v>
      </c>
      <c r="W145" s="454">
        <f t="shared" si="97"/>
        <v>14.13</v>
      </c>
    </row>
    <row r="146" spans="1:23" x14ac:dyDescent="0.25">
      <c r="A146" s="451"/>
      <c r="B146" s="451"/>
      <c r="C146" s="453" t="s">
        <v>1059</v>
      </c>
      <c r="D146" s="452">
        <f t="shared" ref="D146:W146" si="98">D89</f>
        <v>5.14</v>
      </c>
      <c r="E146" s="452">
        <f t="shared" si="98"/>
        <v>6.03</v>
      </c>
      <c r="F146" s="452">
        <f t="shared" si="98"/>
        <v>6.4</v>
      </c>
      <c r="G146" s="452">
        <f t="shared" si="98"/>
        <v>6.87</v>
      </c>
      <c r="H146" s="452">
        <f t="shared" si="98"/>
        <v>6.92</v>
      </c>
      <c r="I146" s="452">
        <f t="shared" si="98"/>
        <v>7.42</v>
      </c>
      <c r="J146" s="452">
        <f t="shared" si="98"/>
        <v>7.6</v>
      </c>
      <c r="K146" s="452">
        <f t="shared" si="98"/>
        <v>8.91</v>
      </c>
      <c r="L146" s="452">
        <f t="shared" si="98"/>
        <v>8.9600000000000009</v>
      </c>
      <c r="M146" s="452">
        <f t="shared" si="98"/>
        <v>9.2899999999999991</v>
      </c>
      <c r="N146" s="452">
        <f t="shared" si="98"/>
        <v>9.4700000000000006</v>
      </c>
      <c r="O146" s="452">
        <f t="shared" si="98"/>
        <v>9.81</v>
      </c>
      <c r="P146" s="452">
        <f t="shared" si="98"/>
        <v>10.32</v>
      </c>
      <c r="Q146" s="452">
        <f t="shared" si="98"/>
        <v>10.65</v>
      </c>
      <c r="R146" s="452">
        <f t="shared" si="98"/>
        <v>10.83</v>
      </c>
      <c r="S146" s="452">
        <f t="shared" si="98"/>
        <v>10.87</v>
      </c>
      <c r="T146" s="452">
        <f t="shared" si="98"/>
        <v>11.08</v>
      </c>
      <c r="U146" s="452">
        <f t="shared" si="98"/>
        <v>11.42</v>
      </c>
      <c r="V146" s="452">
        <f t="shared" si="98"/>
        <v>11.46</v>
      </c>
      <c r="W146" s="452">
        <f t="shared" si="98"/>
        <v>11.76</v>
      </c>
    </row>
    <row r="147" spans="1:23" x14ac:dyDescent="0.25">
      <c r="A147" s="451"/>
      <c r="B147" s="451"/>
      <c r="C147" s="453" t="s">
        <v>1058</v>
      </c>
      <c r="D147" s="452">
        <f t="shared" ref="D147:W147" si="99">D90</f>
        <v>5.14</v>
      </c>
      <c r="E147" s="452">
        <f t="shared" si="99"/>
        <v>6.11</v>
      </c>
      <c r="F147" s="452">
        <f t="shared" si="99"/>
        <v>6.49</v>
      </c>
      <c r="G147" s="452">
        <f t="shared" si="99"/>
        <v>7.04</v>
      </c>
      <c r="H147" s="452">
        <f t="shared" si="99"/>
        <v>7.08</v>
      </c>
      <c r="I147" s="452">
        <f t="shared" si="99"/>
        <v>7.67</v>
      </c>
      <c r="J147" s="452">
        <f t="shared" si="99"/>
        <v>7.85</v>
      </c>
      <c r="K147" s="452">
        <f t="shared" si="99"/>
        <v>9.25</v>
      </c>
      <c r="L147" s="452">
        <f t="shared" si="99"/>
        <v>9.2899999999999991</v>
      </c>
      <c r="M147" s="452">
        <f t="shared" si="99"/>
        <v>9.7100000000000009</v>
      </c>
      <c r="N147" s="452">
        <f t="shared" si="99"/>
        <v>9.89</v>
      </c>
      <c r="O147" s="452">
        <f t="shared" si="99"/>
        <v>10.31</v>
      </c>
      <c r="P147" s="452">
        <f t="shared" si="99"/>
        <v>10.82</v>
      </c>
      <c r="Q147" s="452">
        <f t="shared" si="99"/>
        <v>11.24</v>
      </c>
      <c r="R147" s="452">
        <f t="shared" si="99"/>
        <v>11.41</v>
      </c>
      <c r="S147" s="452">
        <f t="shared" si="99"/>
        <v>11.54</v>
      </c>
      <c r="T147" s="452">
        <f t="shared" si="99"/>
        <v>11.75</v>
      </c>
      <c r="U147" s="452">
        <f t="shared" si="99"/>
        <v>12.17</v>
      </c>
      <c r="V147" s="452">
        <f t="shared" si="99"/>
        <v>12.21</v>
      </c>
      <c r="W147" s="452">
        <f t="shared" si="99"/>
        <v>12.6</v>
      </c>
    </row>
    <row r="148" spans="1:23" x14ac:dyDescent="0.25">
      <c r="A148" s="451"/>
      <c r="B148" s="451"/>
      <c r="C148" s="453" t="s">
        <v>1057</v>
      </c>
      <c r="D148" s="452">
        <f t="shared" ref="D148:W148" si="100">D91</f>
        <v>5.14</v>
      </c>
      <c r="E148" s="452">
        <f t="shared" si="100"/>
        <v>6.11</v>
      </c>
      <c r="F148" s="452">
        <f t="shared" si="100"/>
        <v>6.49</v>
      </c>
      <c r="G148" s="452">
        <f t="shared" si="100"/>
        <v>7.04</v>
      </c>
      <c r="H148" s="452">
        <f t="shared" si="100"/>
        <v>7.08</v>
      </c>
      <c r="I148" s="452">
        <f t="shared" si="100"/>
        <v>7.67</v>
      </c>
      <c r="J148" s="452">
        <f t="shared" si="100"/>
        <v>7.85</v>
      </c>
      <c r="K148" s="452">
        <f t="shared" si="100"/>
        <v>9.25</v>
      </c>
      <c r="L148" s="452">
        <f t="shared" si="100"/>
        <v>9.2899999999999991</v>
      </c>
      <c r="M148" s="452">
        <f t="shared" si="100"/>
        <v>9.7100000000000009</v>
      </c>
      <c r="N148" s="452">
        <f t="shared" si="100"/>
        <v>9.89</v>
      </c>
      <c r="O148" s="452">
        <f t="shared" si="100"/>
        <v>10.31</v>
      </c>
      <c r="P148" s="452">
        <f t="shared" si="100"/>
        <v>10.82</v>
      </c>
      <c r="Q148" s="452">
        <f t="shared" si="100"/>
        <v>11.24</v>
      </c>
      <c r="R148" s="452">
        <f t="shared" si="100"/>
        <v>11.41</v>
      </c>
      <c r="S148" s="452">
        <f t="shared" si="100"/>
        <v>11.54</v>
      </c>
      <c r="T148" s="452">
        <f t="shared" si="100"/>
        <v>11.75</v>
      </c>
      <c r="U148" s="452">
        <f t="shared" si="100"/>
        <v>12.17</v>
      </c>
      <c r="V148" s="452">
        <f t="shared" si="100"/>
        <v>12.21</v>
      </c>
      <c r="W148" s="452">
        <f t="shared" si="100"/>
        <v>12.6</v>
      </c>
    </row>
    <row r="149" spans="1:23" x14ac:dyDescent="0.25">
      <c r="A149" s="451"/>
      <c r="B149" s="451"/>
      <c r="C149" s="453" t="s">
        <v>1056</v>
      </c>
      <c r="D149" s="452">
        <f t="shared" ref="D149:W149" si="101">D92</f>
        <v>0.56000000000000005</v>
      </c>
      <c r="E149" s="452">
        <f t="shared" si="101"/>
        <v>1.44</v>
      </c>
      <c r="F149" s="452">
        <f t="shared" si="101"/>
        <v>1.82</v>
      </c>
      <c r="G149" s="452">
        <f t="shared" si="101"/>
        <v>2.37</v>
      </c>
      <c r="H149" s="452">
        <f t="shared" si="101"/>
        <v>2.5</v>
      </c>
      <c r="I149" s="452">
        <f t="shared" si="101"/>
        <v>3.09</v>
      </c>
      <c r="J149" s="452">
        <f t="shared" si="101"/>
        <v>3.35</v>
      </c>
      <c r="K149" s="452">
        <f t="shared" si="101"/>
        <v>4.58</v>
      </c>
      <c r="L149" s="452">
        <f t="shared" si="101"/>
        <v>4.71</v>
      </c>
      <c r="M149" s="452">
        <f t="shared" si="101"/>
        <v>5.13</v>
      </c>
      <c r="N149" s="452">
        <f t="shared" si="101"/>
        <v>5.39</v>
      </c>
      <c r="O149" s="452">
        <f t="shared" si="101"/>
        <v>5.81</v>
      </c>
      <c r="P149" s="452">
        <f t="shared" si="101"/>
        <v>6.23</v>
      </c>
      <c r="Q149" s="452">
        <f t="shared" si="101"/>
        <v>6.65</v>
      </c>
      <c r="R149" s="452">
        <f t="shared" si="101"/>
        <v>6.91</v>
      </c>
      <c r="S149" s="452">
        <f t="shared" si="101"/>
        <v>7.04</v>
      </c>
      <c r="T149" s="452">
        <f t="shared" si="101"/>
        <v>7.16</v>
      </c>
      <c r="U149" s="452">
        <f t="shared" si="101"/>
        <v>7.58</v>
      </c>
      <c r="V149" s="452">
        <f t="shared" si="101"/>
        <v>7.71</v>
      </c>
      <c r="W149" s="452">
        <f t="shared" si="101"/>
        <v>8.1</v>
      </c>
    </row>
    <row r="150" spans="1:23" x14ac:dyDescent="0.25">
      <c r="D150" s="457"/>
      <c r="E150" s="457"/>
      <c r="F150" s="457"/>
      <c r="G150" s="457"/>
      <c r="H150" s="457"/>
      <c r="I150" s="457"/>
      <c r="J150" s="457"/>
      <c r="K150" s="457"/>
      <c r="L150" s="457"/>
      <c r="M150" s="457"/>
      <c r="N150" s="457"/>
      <c r="O150" s="457"/>
      <c r="P150" s="457"/>
      <c r="Q150" s="457"/>
      <c r="R150" s="457"/>
      <c r="S150" s="457"/>
      <c r="T150" s="457"/>
      <c r="U150" s="457"/>
      <c r="V150" s="457"/>
      <c r="W150" s="457"/>
    </row>
    <row r="151" spans="1:23" x14ac:dyDescent="0.25">
      <c r="C151" s="458" t="s">
        <v>1069</v>
      </c>
      <c r="D151" s="457"/>
      <c r="E151" s="457"/>
      <c r="F151" s="457"/>
      <c r="G151" s="457"/>
      <c r="H151" s="457"/>
      <c r="I151" s="457"/>
      <c r="J151" s="457"/>
      <c r="K151" s="457"/>
      <c r="L151" s="457"/>
      <c r="M151" s="457"/>
      <c r="N151" s="457"/>
      <c r="O151" s="457"/>
      <c r="P151" s="457"/>
      <c r="Q151" s="457"/>
      <c r="R151" s="457"/>
      <c r="S151" s="457"/>
      <c r="T151" s="457"/>
      <c r="U151" s="457"/>
      <c r="V151" s="457"/>
      <c r="W151" s="457"/>
    </row>
    <row r="152" spans="1:23" x14ac:dyDescent="0.25">
      <c r="A152" s="451"/>
      <c r="B152" s="451"/>
      <c r="C152" s="456" t="s">
        <v>1068</v>
      </c>
      <c r="D152" s="448">
        <f t="shared" ref="D152:W152" si="102">D156+D164</f>
        <v>11.27</v>
      </c>
      <c r="E152" s="448">
        <f t="shared" si="102"/>
        <v>16.46</v>
      </c>
      <c r="F152" s="448">
        <f t="shared" si="102"/>
        <v>19.940000000000001</v>
      </c>
      <c r="G152" s="448">
        <f t="shared" si="102"/>
        <v>24.56</v>
      </c>
      <c r="H152" s="448">
        <f t="shared" si="102"/>
        <v>27.48</v>
      </c>
      <c r="I152" s="448">
        <f t="shared" si="102"/>
        <v>32.590000000000003</v>
      </c>
      <c r="J152" s="448">
        <f t="shared" si="102"/>
        <v>35.71</v>
      </c>
      <c r="K152" s="448">
        <f t="shared" si="102"/>
        <v>42.07</v>
      </c>
      <c r="L152" s="448">
        <f t="shared" si="102"/>
        <v>44.8</v>
      </c>
      <c r="M152" s="448">
        <f t="shared" si="102"/>
        <v>49.22</v>
      </c>
      <c r="N152" s="448">
        <f t="shared" si="102"/>
        <v>52.34</v>
      </c>
      <c r="O152" s="448">
        <f t="shared" si="102"/>
        <v>56.08</v>
      </c>
      <c r="P152" s="448">
        <f t="shared" si="102"/>
        <v>59.94</v>
      </c>
      <c r="Q152" s="448">
        <f t="shared" si="102"/>
        <v>63.81</v>
      </c>
      <c r="R152" s="448">
        <f t="shared" si="102"/>
        <v>67.12</v>
      </c>
      <c r="S152" s="448">
        <f t="shared" si="102"/>
        <v>70.09</v>
      </c>
      <c r="T152" s="448">
        <f t="shared" si="102"/>
        <v>73.19</v>
      </c>
      <c r="U152" s="448">
        <f t="shared" si="102"/>
        <v>77.05</v>
      </c>
      <c r="V152" s="448">
        <f t="shared" si="102"/>
        <v>79.77</v>
      </c>
      <c r="W152" s="448">
        <f t="shared" si="102"/>
        <v>83.46</v>
      </c>
    </row>
    <row r="153" spans="1:23" x14ac:dyDescent="0.25">
      <c r="A153" s="451"/>
      <c r="B153" s="451"/>
      <c r="C153" s="456" t="s">
        <v>1067</v>
      </c>
      <c r="D153" s="448">
        <f t="shared" ref="D153:W153" si="103">D158+D165</f>
        <v>11.61</v>
      </c>
      <c r="E153" s="448">
        <f t="shared" si="103"/>
        <v>17.09</v>
      </c>
      <c r="F153" s="448">
        <f t="shared" si="103"/>
        <v>20.65</v>
      </c>
      <c r="G153" s="448">
        <f t="shared" si="103"/>
        <v>25.57</v>
      </c>
      <c r="H153" s="448">
        <f t="shared" si="103"/>
        <v>28.58</v>
      </c>
      <c r="I153" s="448">
        <f t="shared" si="103"/>
        <v>33.97</v>
      </c>
      <c r="J153" s="448">
        <f t="shared" si="103"/>
        <v>37.18</v>
      </c>
      <c r="K153" s="448">
        <f t="shared" si="103"/>
        <v>43.82</v>
      </c>
      <c r="L153" s="448">
        <f t="shared" si="103"/>
        <v>46.64</v>
      </c>
      <c r="M153" s="448">
        <f t="shared" si="103"/>
        <v>51.35</v>
      </c>
      <c r="N153" s="448">
        <f t="shared" si="103"/>
        <v>54.57</v>
      </c>
      <c r="O153" s="448">
        <f t="shared" si="103"/>
        <v>58.33</v>
      </c>
      <c r="P153" s="448">
        <f t="shared" si="103"/>
        <v>62.29</v>
      </c>
      <c r="Q153" s="448">
        <f t="shared" si="103"/>
        <v>66.44</v>
      </c>
      <c r="R153" s="448">
        <f t="shared" si="103"/>
        <v>69.84</v>
      </c>
      <c r="S153" s="448">
        <f t="shared" si="103"/>
        <v>73.09</v>
      </c>
      <c r="T153" s="448">
        <f t="shared" si="103"/>
        <v>76.290000000000006</v>
      </c>
      <c r="U153" s="448">
        <f t="shared" si="103"/>
        <v>80.430000000000007</v>
      </c>
      <c r="V153" s="448">
        <f t="shared" si="103"/>
        <v>83.24</v>
      </c>
      <c r="W153" s="448">
        <f t="shared" si="103"/>
        <v>87.22</v>
      </c>
    </row>
    <row r="154" spans="1:23" x14ac:dyDescent="0.25">
      <c r="A154" s="451"/>
      <c r="B154" s="451"/>
      <c r="C154" s="456" t="s">
        <v>1066</v>
      </c>
      <c r="D154" s="448">
        <f t="shared" ref="D154:W154" si="104">D160+D166</f>
        <v>12.81</v>
      </c>
      <c r="E154" s="448">
        <f t="shared" si="104"/>
        <v>19.5</v>
      </c>
      <c r="F154" s="448">
        <f t="shared" si="104"/>
        <v>24.26</v>
      </c>
      <c r="G154" s="448">
        <f t="shared" si="104"/>
        <v>30.38</v>
      </c>
      <c r="H154" s="448">
        <f t="shared" si="104"/>
        <v>34.590000000000003</v>
      </c>
      <c r="I154" s="448">
        <f t="shared" si="104"/>
        <v>41.19</v>
      </c>
      <c r="J154" s="448">
        <f t="shared" si="104"/>
        <v>45.61</v>
      </c>
      <c r="K154" s="448">
        <f t="shared" si="104"/>
        <v>53.45</v>
      </c>
      <c r="L154" s="448">
        <f t="shared" si="104"/>
        <v>57.47</v>
      </c>
      <c r="M154" s="448">
        <f t="shared" si="104"/>
        <v>63.38</v>
      </c>
      <c r="N154" s="448">
        <f t="shared" si="104"/>
        <v>67.8</v>
      </c>
      <c r="O154" s="448">
        <f t="shared" si="104"/>
        <v>72.78</v>
      </c>
      <c r="P154" s="448">
        <f t="shared" si="104"/>
        <v>77.94</v>
      </c>
      <c r="Q154" s="448">
        <f t="shared" si="104"/>
        <v>83.29</v>
      </c>
      <c r="R154" s="448">
        <f t="shared" si="104"/>
        <v>87.89</v>
      </c>
      <c r="S154" s="448">
        <f t="shared" si="104"/>
        <v>92.35</v>
      </c>
      <c r="T154" s="448">
        <f t="shared" si="104"/>
        <v>96.75</v>
      </c>
      <c r="U154" s="448">
        <f t="shared" si="104"/>
        <v>102.09</v>
      </c>
      <c r="V154" s="448">
        <f t="shared" si="104"/>
        <v>106.11</v>
      </c>
      <c r="W154" s="448">
        <f t="shared" si="104"/>
        <v>111.29</v>
      </c>
    </row>
    <row r="155" spans="1:23" x14ac:dyDescent="0.25">
      <c r="A155" s="451"/>
      <c r="B155" s="451"/>
      <c r="C155" s="456" t="s">
        <v>1065</v>
      </c>
      <c r="D155" s="448">
        <f t="shared" ref="D155:W155" si="105">D162+D167</f>
        <v>5.41</v>
      </c>
      <c r="E155" s="448">
        <f t="shared" si="105"/>
        <v>9.94</v>
      </c>
      <c r="F155" s="448">
        <f t="shared" si="105"/>
        <v>13.2</v>
      </c>
      <c r="G155" s="448">
        <f t="shared" si="105"/>
        <v>17.350000000000001</v>
      </c>
      <c r="H155" s="448">
        <f t="shared" si="105"/>
        <v>20.239999999999998</v>
      </c>
      <c r="I155" s="448">
        <f t="shared" si="105"/>
        <v>24.59</v>
      </c>
      <c r="J155" s="448">
        <f t="shared" si="105"/>
        <v>27.46</v>
      </c>
      <c r="K155" s="448">
        <f t="shared" si="105"/>
        <v>32.97</v>
      </c>
      <c r="L155" s="448">
        <f t="shared" si="105"/>
        <v>35.659999999999997</v>
      </c>
      <c r="M155" s="448">
        <f t="shared" si="105"/>
        <v>39.840000000000003</v>
      </c>
      <c r="N155" s="448">
        <f t="shared" si="105"/>
        <v>42.7</v>
      </c>
      <c r="O155" s="448">
        <f t="shared" si="105"/>
        <v>45.94</v>
      </c>
      <c r="P155" s="448">
        <f t="shared" si="105"/>
        <v>49.18</v>
      </c>
      <c r="Q155" s="448">
        <f t="shared" si="105"/>
        <v>52.79</v>
      </c>
      <c r="R155" s="448">
        <f t="shared" si="105"/>
        <v>55.84</v>
      </c>
      <c r="S155" s="448">
        <f t="shared" si="105"/>
        <v>58.54</v>
      </c>
      <c r="T155" s="448">
        <f t="shared" si="105"/>
        <v>61.23</v>
      </c>
      <c r="U155" s="448">
        <f t="shared" si="105"/>
        <v>64.84</v>
      </c>
      <c r="V155" s="448">
        <f t="shared" si="105"/>
        <v>67.55</v>
      </c>
      <c r="W155" s="448">
        <f t="shared" si="105"/>
        <v>70.760000000000005</v>
      </c>
    </row>
    <row r="156" spans="1:23" x14ac:dyDescent="0.25">
      <c r="A156" s="451"/>
      <c r="B156" s="451"/>
      <c r="C156" s="455" t="s">
        <v>1064</v>
      </c>
      <c r="D156" s="454">
        <f t="shared" ref="D156:W156" si="106">D99+D113/12*9+D114/12*9+D115/12*9</f>
        <v>5.13</v>
      </c>
      <c r="E156" s="454">
        <f t="shared" si="106"/>
        <v>8.1300000000000008</v>
      </c>
      <c r="F156" s="454">
        <f t="shared" si="106"/>
        <v>10.76</v>
      </c>
      <c r="G156" s="454">
        <f t="shared" si="106"/>
        <v>14.13</v>
      </c>
      <c r="H156" s="454">
        <f t="shared" si="106"/>
        <v>16.95</v>
      </c>
      <c r="I156" s="454">
        <f t="shared" si="106"/>
        <v>20.83</v>
      </c>
      <c r="J156" s="454">
        <f t="shared" si="106"/>
        <v>23.45</v>
      </c>
      <c r="K156" s="454">
        <f t="shared" si="106"/>
        <v>26.46</v>
      </c>
      <c r="L156" s="454">
        <f t="shared" si="106"/>
        <v>29.09</v>
      </c>
      <c r="M156" s="454">
        <f t="shared" si="106"/>
        <v>32.65</v>
      </c>
      <c r="N156" s="454">
        <f t="shared" si="106"/>
        <v>35.28</v>
      </c>
      <c r="O156" s="454">
        <f t="shared" si="106"/>
        <v>38.159999999999997</v>
      </c>
      <c r="P156" s="454">
        <f t="shared" si="106"/>
        <v>40.78</v>
      </c>
      <c r="Q156" s="454">
        <f t="shared" si="106"/>
        <v>43.79</v>
      </c>
      <c r="R156" s="454">
        <f t="shared" si="106"/>
        <v>46.6</v>
      </c>
      <c r="S156" s="454">
        <f t="shared" si="106"/>
        <v>49.48</v>
      </c>
      <c r="T156" s="454">
        <f t="shared" si="106"/>
        <v>52.11</v>
      </c>
      <c r="U156" s="454">
        <f t="shared" si="106"/>
        <v>55.11</v>
      </c>
      <c r="V156" s="454">
        <f t="shared" si="106"/>
        <v>57.73</v>
      </c>
      <c r="W156" s="454">
        <f t="shared" si="106"/>
        <v>60.55</v>
      </c>
    </row>
    <row r="157" spans="1:23" x14ac:dyDescent="0.25">
      <c r="A157" s="451"/>
      <c r="B157" s="451"/>
      <c r="C157" s="455" t="s">
        <v>1060</v>
      </c>
      <c r="D157" s="454">
        <f t="shared" ref="D157:W157" si="107">D100+D113/12*9</f>
        <v>1.5</v>
      </c>
      <c r="E157" s="454">
        <f t="shared" si="107"/>
        <v>3.01</v>
      </c>
      <c r="F157" s="454">
        <f t="shared" si="107"/>
        <v>4.51</v>
      </c>
      <c r="G157" s="454">
        <f t="shared" si="107"/>
        <v>6.01</v>
      </c>
      <c r="H157" s="454">
        <f t="shared" si="107"/>
        <v>7.52</v>
      </c>
      <c r="I157" s="454">
        <f t="shared" si="107"/>
        <v>9.02</v>
      </c>
      <c r="J157" s="454">
        <f t="shared" si="107"/>
        <v>10.52</v>
      </c>
      <c r="K157" s="454">
        <f t="shared" si="107"/>
        <v>12.02</v>
      </c>
      <c r="L157" s="454">
        <f t="shared" si="107"/>
        <v>13.52</v>
      </c>
      <c r="M157" s="454">
        <f t="shared" si="107"/>
        <v>15.02</v>
      </c>
      <c r="N157" s="454">
        <f t="shared" si="107"/>
        <v>16.53</v>
      </c>
      <c r="O157" s="454">
        <f t="shared" si="107"/>
        <v>18.03</v>
      </c>
      <c r="P157" s="454">
        <f t="shared" si="107"/>
        <v>19.53</v>
      </c>
      <c r="Q157" s="454">
        <f t="shared" si="107"/>
        <v>21.04</v>
      </c>
      <c r="R157" s="454">
        <f t="shared" si="107"/>
        <v>22.54</v>
      </c>
      <c r="S157" s="454">
        <f t="shared" si="107"/>
        <v>24.04</v>
      </c>
      <c r="T157" s="454">
        <f t="shared" si="107"/>
        <v>25.55</v>
      </c>
      <c r="U157" s="454">
        <f t="shared" si="107"/>
        <v>27.05</v>
      </c>
      <c r="V157" s="454">
        <f t="shared" si="107"/>
        <v>28.55</v>
      </c>
      <c r="W157" s="454">
        <f t="shared" si="107"/>
        <v>30.05</v>
      </c>
    </row>
    <row r="158" spans="1:23" x14ac:dyDescent="0.25">
      <c r="A158" s="451"/>
      <c r="B158" s="451"/>
      <c r="C158" s="455" t="s">
        <v>1063</v>
      </c>
      <c r="D158" s="454">
        <f t="shared" ref="D158:W158" si="108">D101+D113/12*9+D114/12*9+D115/12*9</f>
        <v>5.47</v>
      </c>
      <c r="E158" s="454">
        <f t="shared" si="108"/>
        <v>8.57</v>
      </c>
      <c r="F158" s="454">
        <f t="shared" si="108"/>
        <v>11.29</v>
      </c>
      <c r="G158" s="454">
        <f t="shared" si="108"/>
        <v>14.76</v>
      </c>
      <c r="H158" s="454">
        <f t="shared" si="108"/>
        <v>17.68</v>
      </c>
      <c r="I158" s="454">
        <f t="shared" si="108"/>
        <v>21.64</v>
      </c>
      <c r="J158" s="454">
        <f t="shared" si="108"/>
        <v>24.36</v>
      </c>
      <c r="K158" s="454">
        <f t="shared" si="108"/>
        <v>27.46</v>
      </c>
      <c r="L158" s="454">
        <f t="shared" si="108"/>
        <v>30.18</v>
      </c>
      <c r="M158" s="454">
        <f t="shared" si="108"/>
        <v>33.840000000000003</v>
      </c>
      <c r="N158" s="454">
        <f t="shared" si="108"/>
        <v>36.57</v>
      </c>
      <c r="O158" s="454">
        <f t="shared" si="108"/>
        <v>39.28</v>
      </c>
      <c r="P158" s="454">
        <f t="shared" si="108"/>
        <v>42</v>
      </c>
      <c r="Q158" s="454">
        <f t="shared" si="108"/>
        <v>45.1</v>
      </c>
      <c r="R158" s="454">
        <f t="shared" si="108"/>
        <v>48.01</v>
      </c>
      <c r="S158" s="454">
        <f t="shared" si="108"/>
        <v>50.98</v>
      </c>
      <c r="T158" s="454">
        <f t="shared" si="108"/>
        <v>53.71</v>
      </c>
      <c r="U158" s="454">
        <f t="shared" si="108"/>
        <v>56.8</v>
      </c>
      <c r="V158" s="454">
        <f t="shared" si="108"/>
        <v>59.52</v>
      </c>
      <c r="W158" s="454">
        <f t="shared" si="108"/>
        <v>62.43</v>
      </c>
    </row>
    <row r="159" spans="1:23" x14ac:dyDescent="0.25">
      <c r="A159" s="451"/>
      <c r="B159" s="451"/>
      <c r="C159" s="455" t="s">
        <v>1060</v>
      </c>
      <c r="D159" s="454">
        <f t="shared" ref="D159:W159" si="109">D102+D113/12*9</f>
        <v>1.6</v>
      </c>
      <c r="E159" s="454">
        <f t="shared" si="109"/>
        <v>3.2</v>
      </c>
      <c r="F159" s="454">
        <f t="shared" si="109"/>
        <v>4.79</v>
      </c>
      <c r="G159" s="454">
        <f t="shared" si="109"/>
        <v>6.38</v>
      </c>
      <c r="H159" s="454">
        <f t="shared" si="109"/>
        <v>7.99</v>
      </c>
      <c r="I159" s="454">
        <f t="shared" si="109"/>
        <v>9.58</v>
      </c>
      <c r="J159" s="454">
        <f t="shared" si="109"/>
        <v>11.18</v>
      </c>
      <c r="K159" s="454">
        <f t="shared" si="109"/>
        <v>12.77</v>
      </c>
      <c r="L159" s="454">
        <f t="shared" si="109"/>
        <v>14.37</v>
      </c>
      <c r="M159" s="454">
        <f t="shared" si="109"/>
        <v>15.96</v>
      </c>
      <c r="N159" s="454">
        <f t="shared" si="109"/>
        <v>17.57</v>
      </c>
      <c r="O159" s="454">
        <f t="shared" si="109"/>
        <v>19.16</v>
      </c>
      <c r="P159" s="454">
        <f t="shared" si="109"/>
        <v>20.75</v>
      </c>
      <c r="Q159" s="454">
        <f t="shared" si="109"/>
        <v>22.35</v>
      </c>
      <c r="R159" s="454">
        <f t="shared" si="109"/>
        <v>23.95</v>
      </c>
      <c r="S159" s="454">
        <f t="shared" si="109"/>
        <v>25.54</v>
      </c>
      <c r="T159" s="454">
        <f t="shared" si="109"/>
        <v>27.14</v>
      </c>
      <c r="U159" s="454">
        <f t="shared" si="109"/>
        <v>28.73</v>
      </c>
      <c r="V159" s="454">
        <f t="shared" si="109"/>
        <v>30.33</v>
      </c>
      <c r="W159" s="454">
        <f t="shared" si="109"/>
        <v>31.93</v>
      </c>
    </row>
    <row r="160" spans="1:23" x14ac:dyDescent="0.25">
      <c r="A160" s="451"/>
      <c r="B160" s="451"/>
      <c r="C160" s="455" t="s">
        <v>1062</v>
      </c>
      <c r="D160" s="454">
        <f t="shared" ref="D160:W160" si="110">D103+D113/12*9+D114/12*9+D115/12*9</f>
        <v>6.67</v>
      </c>
      <c r="E160" s="454">
        <f t="shared" si="110"/>
        <v>10.98</v>
      </c>
      <c r="F160" s="454">
        <f t="shared" si="110"/>
        <v>14.9</v>
      </c>
      <c r="G160" s="454">
        <f t="shared" si="110"/>
        <v>19.57</v>
      </c>
      <c r="H160" s="454">
        <f t="shared" si="110"/>
        <v>23.69</v>
      </c>
      <c r="I160" s="454">
        <f t="shared" si="110"/>
        <v>28.86</v>
      </c>
      <c r="J160" s="454">
        <f t="shared" si="110"/>
        <v>32.79</v>
      </c>
      <c r="K160" s="454">
        <f t="shared" si="110"/>
        <v>37.090000000000003</v>
      </c>
      <c r="L160" s="454">
        <f t="shared" si="110"/>
        <v>41.01</v>
      </c>
      <c r="M160" s="454">
        <f t="shared" si="110"/>
        <v>45.87</v>
      </c>
      <c r="N160" s="454">
        <f t="shared" si="110"/>
        <v>49.8</v>
      </c>
      <c r="O160" s="454">
        <f t="shared" si="110"/>
        <v>53.73</v>
      </c>
      <c r="P160" s="454">
        <f t="shared" si="110"/>
        <v>57.65</v>
      </c>
      <c r="Q160" s="454">
        <f t="shared" si="110"/>
        <v>61.95</v>
      </c>
      <c r="R160" s="454">
        <f t="shared" si="110"/>
        <v>66.06</v>
      </c>
      <c r="S160" s="454">
        <f t="shared" si="110"/>
        <v>70.239999999999995</v>
      </c>
      <c r="T160" s="454">
        <f t="shared" si="110"/>
        <v>74.17</v>
      </c>
      <c r="U160" s="454">
        <f t="shared" si="110"/>
        <v>78.459999999999994</v>
      </c>
      <c r="V160" s="454">
        <f t="shared" si="110"/>
        <v>82.39</v>
      </c>
      <c r="W160" s="454">
        <f t="shared" si="110"/>
        <v>86.5</v>
      </c>
    </row>
    <row r="161" spans="1:23" x14ac:dyDescent="0.25">
      <c r="A161" s="451"/>
      <c r="B161" s="451"/>
      <c r="C161" s="455" t="s">
        <v>1060</v>
      </c>
      <c r="D161" s="454">
        <f t="shared" ref="D161:W161" si="111">D104+D113/12*9</f>
        <v>2.8</v>
      </c>
      <c r="E161" s="454">
        <f t="shared" si="111"/>
        <v>5.6</v>
      </c>
      <c r="F161" s="454">
        <f t="shared" si="111"/>
        <v>8.4</v>
      </c>
      <c r="G161" s="454">
        <f t="shared" si="111"/>
        <v>11.2</v>
      </c>
      <c r="H161" s="454">
        <f t="shared" si="111"/>
        <v>14</v>
      </c>
      <c r="I161" s="454">
        <f t="shared" si="111"/>
        <v>16.8</v>
      </c>
      <c r="J161" s="454">
        <f t="shared" si="111"/>
        <v>19.600000000000001</v>
      </c>
      <c r="K161" s="454">
        <f t="shared" si="111"/>
        <v>22.4</v>
      </c>
      <c r="L161" s="454">
        <f t="shared" si="111"/>
        <v>25.2</v>
      </c>
      <c r="M161" s="454">
        <f t="shared" si="111"/>
        <v>28</v>
      </c>
      <c r="N161" s="454">
        <f t="shared" si="111"/>
        <v>30.8</v>
      </c>
      <c r="O161" s="454">
        <f t="shared" si="111"/>
        <v>33.6</v>
      </c>
      <c r="P161" s="454">
        <f t="shared" si="111"/>
        <v>36.4</v>
      </c>
      <c r="Q161" s="454">
        <f t="shared" si="111"/>
        <v>39.200000000000003</v>
      </c>
      <c r="R161" s="454">
        <f t="shared" si="111"/>
        <v>42</v>
      </c>
      <c r="S161" s="454">
        <f t="shared" si="111"/>
        <v>44.8</v>
      </c>
      <c r="T161" s="454">
        <f t="shared" si="111"/>
        <v>47.6</v>
      </c>
      <c r="U161" s="454">
        <f t="shared" si="111"/>
        <v>50.4</v>
      </c>
      <c r="V161" s="454">
        <f t="shared" si="111"/>
        <v>53.2</v>
      </c>
      <c r="W161" s="454">
        <f t="shared" si="111"/>
        <v>56</v>
      </c>
    </row>
    <row r="162" spans="1:23" x14ac:dyDescent="0.25">
      <c r="A162" s="451"/>
      <c r="B162" s="451"/>
      <c r="C162" s="455" t="s">
        <v>1061</v>
      </c>
      <c r="D162" s="454">
        <f t="shared" ref="D162:W162" si="112">D105+D113/12*9+D114/12*9+D115/12*9</f>
        <v>4.42</v>
      </c>
      <c r="E162" s="454">
        <f t="shared" si="112"/>
        <v>7.21</v>
      </c>
      <c r="F162" s="454">
        <f t="shared" si="112"/>
        <v>9.6199999999999992</v>
      </c>
      <c r="G162" s="454">
        <f t="shared" si="112"/>
        <v>12.79</v>
      </c>
      <c r="H162" s="454">
        <f t="shared" si="112"/>
        <v>15.39</v>
      </c>
      <c r="I162" s="454">
        <f t="shared" si="112"/>
        <v>18.55</v>
      </c>
      <c r="J162" s="454">
        <f t="shared" si="112"/>
        <v>20.97</v>
      </c>
      <c r="K162" s="454">
        <f t="shared" si="112"/>
        <v>23.76</v>
      </c>
      <c r="L162" s="454">
        <f t="shared" si="112"/>
        <v>26.17</v>
      </c>
      <c r="M162" s="454">
        <f t="shared" si="112"/>
        <v>29.53</v>
      </c>
      <c r="N162" s="454">
        <f t="shared" si="112"/>
        <v>31.94</v>
      </c>
      <c r="O162" s="454">
        <f t="shared" si="112"/>
        <v>34.36</v>
      </c>
      <c r="P162" s="454">
        <f t="shared" si="112"/>
        <v>36.770000000000003</v>
      </c>
      <c r="Q162" s="454">
        <f t="shared" si="112"/>
        <v>39.56</v>
      </c>
      <c r="R162" s="454">
        <f t="shared" si="112"/>
        <v>42.16</v>
      </c>
      <c r="S162" s="454">
        <f t="shared" si="112"/>
        <v>44.58</v>
      </c>
      <c r="T162" s="454">
        <f t="shared" si="112"/>
        <v>46.99</v>
      </c>
      <c r="U162" s="454">
        <f t="shared" si="112"/>
        <v>49.78</v>
      </c>
      <c r="V162" s="454">
        <f t="shared" si="112"/>
        <v>52.2</v>
      </c>
      <c r="W162" s="454">
        <f t="shared" si="112"/>
        <v>54.8</v>
      </c>
    </row>
    <row r="163" spans="1:23" x14ac:dyDescent="0.25">
      <c r="A163" s="451"/>
      <c r="B163" s="451"/>
      <c r="C163" s="455" t="s">
        <v>1060</v>
      </c>
      <c r="D163" s="454">
        <f t="shared" ref="D163:W163" si="113">D106+D113/12*9</f>
        <v>1.29</v>
      </c>
      <c r="E163" s="454">
        <f t="shared" si="113"/>
        <v>2.58</v>
      </c>
      <c r="F163" s="454">
        <f t="shared" si="113"/>
        <v>3.87</v>
      </c>
      <c r="G163" s="454">
        <f t="shared" si="113"/>
        <v>5.16</v>
      </c>
      <c r="H163" s="454">
        <f t="shared" si="113"/>
        <v>6.45</v>
      </c>
      <c r="I163" s="454">
        <f t="shared" si="113"/>
        <v>7.74</v>
      </c>
      <c r="J163" s="454">
        <f t="shared" si="113"/>
        <v>9.0299999999999994</v>
      </c>
      <c r="K163" s="454">
        <f t="shared" si="113"/>
        <v>10.32</v>
      </c>
      <c r="L163" s="454">
        <f t="shared" si="113"/>
        <v>11.61</v>
      </c>
      <c r="M163" s="454">
        <f t="shared" si="113"/>
        <v>12.9</v>
      </c>
      <c r="N163" s="454">
        <f t="shared" si="113"/>
        <v>14.19</v>
      </c>
      <c r="O163" s="454">
        <f t="shared" si="113"/>
        <v>15.48</v>
      </c>
      <c r="P163" s="454">
        <f t="shared" si="113"/>
        <v>16.77</v>
      </c>
      <c r="Q163" s="454">
        <f t="shared" si="113"/>
        <v>18.059999999999999</v>
      </c>
      <c r="R163" s="454">
        <f t="shared" si="113"/>
        <v>19.350000000000001</v>
      </c>
      <c r="S163" s="454">
        <f t="shared" si="113"/>
        <v>20.64</v>
      </c>
      <c r="T163" s="454">
        <f t="shared" si="113"/>
        <v>21.93</v>
      </c>
      <c r="U163" s="454">
        <f t="shared" si="113"/>
        <v>23.22</v>
      </c>
      <c r="V163" s="454">
        <f t="shared" si="113"/>
        <v>24.51</v>
      </c>
      <c r="W163" s="454">
        <f t="shared" si="113"/>
        <v>25.8</v>
      </c>
    </row>
    <row r="164" spans="1:23" x14ac:dyDescent="0.25">
      <c r="A164" s="451"/>
      <c r="B164" s="451"/>
      <c r="C164" s="453" t="s">
        <v>1059</v>
      </c>
      <c r="D164" s="452">
        <f t="shared" ref="D164:W164" si="114">D107</f>
        <v>6.14</v>
      </c>
      <c r="E164" s="452">
        <f t="shared" si="114"/>
        <v>8.33</v>
      </c>
      <c r="F164" s="452">
        <f t="shared" si="114"/>
        <v>9.18</v>
      </c>
      <c r="G164" s="452">
        <f t="shared" si="114"/>
        <v>10.43</v>
      </c>
      <c r="H164" s="452">
        <f t="shared" si="114"/>
        <v>10.53</v>
      </c>
      <c r="I164" s="452">
        <f t="shared" si="114"/>
        <v>11.76</v>
      </c>
      <c r="J164" s="452">
        <f t="shared" si="114"/>
        <v>12.26</v>
      </c>
      <c r="K164" s="452">
        <f t="shared" si="114"/>
        <v>15.61</v>
      </c>
      <c r="L164" s="452">
        <f t="shared" si="114"/>
        <v>15.71</v>
      </c>
      <c r="M164" s="452">
        <f t="shared" si="114"/>
        <v>16.57</v>
      </c>
      <c r="N164" s="452">
        <f t="shared" si="114"/>
        <v>17.059999999999999</v>
      </c>
      <c r="O164" s="452">
        <f t="shared" si="114"/>
        <v>17.920000000000002</v>
      </c>
      <c r="P164" s="452">
        <f t="shared" si="114"/>
        <v>19.16</v>
      </c>
      <c r="Q164" s="452">
        <f t="shared" si="114"/>
        <v>20.02</v>
      </c>
      <c r="R164" s="452">
        <f t="shared" si="114"/>
        <v>20.52</v>
      </c>
      <c r="S164" s="452">
        <f t="shared" si="114"/>
        <v>20.61</v>
      </c>
      <c r="T164" s="452">
        <f t="shared" si="114"/>
        <v>21.08</v>
      </c>
      <c r="U164" s="452">
        <f t="shared" si="114"/>
        <v>21.94</v>
      </c>
      <c r="V164" s="452">
        <f t="shared" si="114"/>
        <v>22.04</v>
      </c>
      <c r="W164" s="452">
        <f t="shared" si="114"/>
        <v>22.91</v>
      </c>
    </row>
    <row r="165" spans="1:23" x14ac:dyDescent="0.25">
      <c r="A165" s="451"/>
      <c r="B165" s="451"/>
      <c r="C165" s="453" t="s">
        <v>1058</v>
      </c>
      <c r="D165" s="452">
        <f t="shared" ref="D165:W165" si="115">D108</f>
        <v>6.14</v>
      </c>
      <c r="E165" s="452">
        <f t="shared" si="115"/>
        <v>8.52</v>
      </c>
      <c r="F165" s="452">
        <f t="shared" si="115"/>
        <v>9.36</v>
      </c>
      <c r="G165" s="452">
        <f t="shared" si="115"/>
        <v>10.81</v>
      </c>
      <c r="H165" s="452">
        <f t="shared" si="115"/>
        <v>10.9</v>
      </c>
      <c r="I165" s="452">
        <f t="shared" si="115"/>
        <v>12.33</v>
      </c>
      <c r="J165" s="452">
        <f t="shared" si="115"/>
        <v>12.82</v>
      </c>
      <c r="K165" s="452">
        <f t="shared" si="115"/>
        <v>16.36</v>
      </c>
      <c r="L165" s="452">
        <f t="shared" si="115"/>
        <v>16.46</v>
      </c>
      <c r="M165" s="452">
        <f t="shared" si="115"/>
        <v>17.510000000000002</v>
      </c>
      <c r="N165" s="452">
        <f t="shared" si="115"/>
        <v>18</v>
      </c>
      <c r="O165" s="452">
        <f t="shared" si="115"/>
        <v>19.05</v>
      </c>
      <c r="P165" s="452">
        <f t="shared" si="115"/>
        <v>20.29</v>
      </c>
      <c r="Q165" s="452">
        <f t="shared" si="115"/>
        <v>21.34</v>
      </c>
      <c r="R165" s="452">
        <f t="shared" si="115"/>
        <v>21.83</v>
      </c>
      <c r="S165" s="452">
        <f t="shared" si="115"/>
        <v>22.11</v>
      </c>
      <c r="T165" s="452">
        <f t="shared" si="115"/>
        <v>22.58</v>
      </c>
      <c r="U165" s="452">
        <f t="shared" si="115"/>
        <v>23.63</v>
      </c>
      <c r="V165" s="452">
        <f t="shared" si="115"/>
        <v>23.72</v>
      </c>
      <c r="W165" s="452">
        <f t="shared" si="115"/>
        <v>24.79</v>
      </c>
    </row>
    <row r="166" spans="1:23" x14ac:dyDescent="0.25">
      <c r="A166" s="451"/>
      <c r="B166" s="451"/>
      <c r="C166" s="453" t="s">
        <v>1057</v>
      </c>
      <c r="D166" s="452">
        <f t="shared" ref="D166:W166" si="116">D109</f>
        <v>6.14</v>
      </c>
      <c r="E166" s="452">
        <f t="shared" si="116"/>
        <v>8.52</v>
      </c>
      <c r="F166" s="452">
        <f t="shared" si="116"/>
        <v>9.36</v>
      </c>
      <c r="G166" s="452">
        <f t="shared" si="116"/>
        <v>10.81</v>
      </c>
      <c r="H166" s="452">
        <f t="shared" si="116"/>
        <v>10.9</v>
      </c>
      <c r="I166" s="452">
        <f t="shared" si="116"/>
        <v>12.33</v>
      </c>
      <c r="J166" s="452">
        <f t="shared" si="116"/>
        <v>12.82</v>
      </c>
      <c r="K166" s="452">
        <f t="shared" si="116"/>
        <v>16.36</v>
      </c>
      <c r="L166" s="452">
        <f t="shared" si="116"/>
        <v>16.46</v>
      </c>
      <c r="M166" s="452">
        <f t="shared" si="116"/>
        <v>17.510000000000002</v>
      </c>
      <c r="N166" s="452">
        <f t="shared" si="116"/>
        <v>18</v>
      </c>
      <c r="O166" s="452">
        <f t="shared" si="116"/>
        <v>19.05</v>
      </c>
      <c r="P166" s="452">
        <f t="shared" si="116"/>
        <v>20.29</v>
      </c>
      <c r="Q166" s="452">
        <f t="shared" si="116"/>
        <v>21.34</v>
      </c>
      <c r="R166" s="452">
        <f t="shared" si="116"/>
        <v>21.83</v>
      </c>
      <c r="S166" s="452">
        <f t="shared" si="116"/>
        <v>22.11</v>
      </c>
      <c r="T166" s="452">
        <f t="shared" si="116"/>
        <v>22.58</v>
      </c>
      <c r="U166" s="452">
        <f t="shared" si="116"/>
        <v>23.63</v>
      </c>
      <c r="V166" s="452">
        <f t="shared" si="116"/>
        <v>23.72</v>
      </c>
      <c r="W166" s="452">
        <f t="shared" si="116"/>
        <v>24.79</v>
      </c>
    </row>
    <row r="167" spans="1:23" x14ac:dyDescent="0.25">
      <c r="A167" s="451"/>
      <c r="B167" s="451"/>
      <c r="C167" s="453" t="s">
        <v>1056</v>
      </c>
      <c r="D167" s="452">
        <f t="shared" ref="D167:W167" si="117">D110</f>
        <v>0.99</v>
      </c>
      <c r="E167" s="452">
        <f t="shared" si="117"/>
        <v>2.73</v>
      </c>
      <c r="F167" s="452">
        <f t="shared" si="117"/>
        <v>3.58</v>
      </c>
      <c r="G167" s="452">
        <f t="shared" si="117"/>
        <v>4.5599999999999996</v>
      </c>
      <c r="H167" s="452">
        <f t="shared" si="117"/>
        <v>4.8499999999999996</v>
      </c>
      <c r="I167" s="452">
        <f t="shared" si="117"/>
        <v>6.04</v>
      </c>
      <c r="J167" s="452">
        <f t="shared" si="117"/>
        <v>6.49</v>
      </c>
      <c r="K167" s="452">
        <f t="shared" si="117"/>
        <v>9.2100000000000009</v>
      </c>
      <c r="L167" s="452">
        <f t="shared" si="117"/>
        <v>9.49</v>
      </c>
      <c r="M167" s="452">
        <f t="shared" si="117"/>
        <v>10.31</v>
      </c>
      <c r="N167" s="452">
        <f t="shared" si="117"/>
        <v>10.76</v>
      </c>
      <c r="O167" s="452">
        <f t="shared" si="117"/>
        <v>11.58</v>
      </c>
      <c r="P167" s="452">
        <f t="shared" si="117"/>
        <v>12.41</v>
      </c>
      <c r="Q167" s="452">
        <f t="shared" si="117"/>
        <v>13.23</v>
      </c>
      <c r="R167" s="452">
        <f t="shared" si="117"/>
        <v>13.68</v>
      </c>
      <c r="S167" s="452">
        <f t="shared" si="117"/>
        <v>13.96</v>
      </c>
      <c r="T167" s="452">
        <f t="shared" si="117"/>
        <v>14.24</v>
      </c>
      <c r="U167" s="452">
        <f t="shared" si="117"/>
        <v>15.06</v>
      </c>
      <c r="V167" s="452">
        <f t="shared" si="117"/>
        <v>15.35</v>
      </c>
      <c r="W167" s="452">
        <f t="shared" si="117"/>
        <v>15.96</v>
      </c>
    </row>
    <row r="172" spans="1:23" hidden="1" x14ac:dyDescent="0.25">
      <c r="A172" s="451"/>
      <c r="B172" s="451"/>
      <c r="C172" s="450" t="s">
        <v>1055</v>
      </c>
      <c r="D172" s="448">
        <f t="shared" ref="D172:W172" si="118">D38+D40+D41+D44+D45+D46+D47+D48+D49+D56</f>
        <v>6.63</v>
      </c>
      <c r="E172" s="448">
        <f t="shared" si="118"/>
        <v>9.5</v>
      </c>
      <c r="F172" s="448">
        <f t="shared" si="118"/>
        <v>10.63</v>
      </c>
      <c r="G172" s="448">
        <f t="shared" si="118"/>
        <v>12.25</v>
      </c>
      <c r="H172" s="448">
        <f t="shared" si="118"/>
        <v>12.38</v>
      </c>
      <c r="I172" s="448">
        <f t="shared" si="118"/>
        <v>14</v>
      </c>
      <c r="J172" s="448">
        <f t="shared" si="118"/>
        <v>14.63</v>
      </c>
      <c r="K172" s="449">
        <f t="shared" si="118"/>
        <v>19</v>
      </c>
      <c r="L172" s="448">
        <f t="shared" si="118"/>
        <v>19.13</v>
      </c>
      <c r="M172" s="448">
        <f t="shared" si="118"/>
        <v>20.25</v>
      </c>
      <c r="N172" s="448">
        <f t="shared" si="118"/>
        <v>20.88</v>
      </c>
      <c r="O172" s="448">
        <f t="shared" si="118"/>
        <v>22</v>
      </c>
      <c r="P172" s="448">
        <f t="shared" si="118"/>
        <v>23.63</v>
      </c>
      <c r="Q172" s="448">
        <f t="shared" si="118"/>
        <v>24.75</v>
      </c>
      <c r="R172" s="448">
        <f t="shared" si="118"/>
        <v>25.38</v>
      </c>
      <c r="S172" s="448">
        <f t="shared" si="118"/>
        <v>25.5</v>
      </c>
      <c r="T172" s="448">
        <f t="shared" si="118"/>
        <v>26.13</v>
      </c>
      <c r="U172" s="448">
        <f t="shared" si="118"/>
        <v>27.25</v>
      </c>
      <c r="V172" s="448">
        <f t="shared" si="118"/>
        <v>27.38</v>
      </c>
      <c r="W172" s="448">
        <f t="shared" si="118"/>
        <v>28.5</v>
      </c>
    </row>
    <row r="173" spans="1:23" hidden="1" x14ac:dyDescent="0.25">
      <c r="A173" s="451"/>
      <c r="B173" s="451"/>
      <c r="C173" s="450" t="s">
        <v>1054</v>
      </c>
      <c r="D173" s="448">
        <f t="shared" ref="D173:W173" si="119">D40+D41+D44+D45+D47</f>
        <v>1.5</v>
      </c>
      <c r="E173" s="448">
        <f t="shared" si="119"/>
        <v>4</v>
      </c>
      <c r="F173" s="448">
        <f t="shared" si="119"/>
        <v>4.25</v>
      </c>
      <c r="G173" s="448">
        <f t="shared" si="119"/>
        <v>5.75</v>
      </c>
      <c r="H173" s="448">
        <f t="shared" si="119"/>
        <v>5.75</v>
      </c>
      <c r="I173" s="448">
        <f t="shared" si="119"/>
        <v>7.25</v>
      </c>
      <c r="J173" s="448">
        <f t="shared" si="119"/>
        <v>7.75</v>
      </c>
      <c r="K173" s="449">
        <f t="shared" si="119"/>
        <v>10.5</v>
      </c>
      <c r="L173" s="448">
        <f t="shared" si="119"/>
        <v>10.5</v>
      </c>
      <c r="M173" s="448">
        <f t="shared" si="119"/>
        <v>11.5</v>
      </c>
      <c r="N173" s="448">
        <f t="shared" si="119"/>
        <v>12</v>
      </c>
      <c r="O173" s="448">
        <f t="shared" si="119"/>
        <v>13</v>
      </c>
      <c r="P173" s="448">
        <f t="shared" si="119"/>
        <v>13.5</v>
      </c>
      <c r="Q173" s="448">
        <f t="shared" si="119"/>
        <v>14.5</v>
      </c>
      <c r="R173" s="448">
        <f t="shared" si="119"/>
        <v>15</v>
      </c>
      <c r="S173" s="448">
        <f t="shared" si="119"/>
        <v>15</v>
      </c>
      <c r="T173" s="448">
        <f t="shared" si="119"/>
        <v>15</v>
      </c>
      <c r="U173" s="448">
        <f t="shared" si="119"/>
        <v>15.5</v>
      </c>
      <c r="V173" s="448">
        <f t="shared" si="119"/>
        <v>15.5</v>
      </c>
      <c r="W173" s="448">
        <f t="shared" si="119"/>
        <v>16.5</v>
      </c>
    </row>
    <row r="174" spans="1:23" ht="45" hidden="1" x14ac:dyDescent="0.25">
      <c r="A174" s="451"/>
      <c r="B174" s="451"/>
      <c r="C174" s="450" t="s">
        <v>1053</v>
      </c>
      <c r="D174" s="448">
        <f t="shared" ref="D174:W174" si="120">D172*6204*1.302*12</f>
        <v>642654.49</v>
      </c>
      <c r="E174" s="448">
        <f t="shared" si="120"/>
        <v>920847.31</v>
      </c>
      <c r="F174" s="448">
        <f t="shared" si="120"/>
        <v>1030379.68</v>
      </c>
      <c r="G174" s="448">
        <f t="shared" si="120"/>
        <v>1187408.3799999999</v>
      </c>
      <c r="H174" s="448">
        <f t="shared" si="120"/>
        <v>1200009.44</v>
      </c>
      <c r="I174" s="448">
        <f t="shared" si="120"/>
        <v>1357038.14</v>
      </c>
      <c r="J174" s="448">
        <f t="shared" si="120"/>
        <v>1418104.86</v>
      </c>
      <c r="K174" s="448">
        <f t="shared" si="120"/>
        <v>1841694.62</v>
      </c>
      <c r="L174" s="448">
        <f t="shared" si="120"/>
        <v>1854295.69</v>
      </c>
      <c r="M174" s="448">
        <f t="shared" si="120"/>
        <v>1962858.74</v>
      </c>
      <c r="N174" s="448">
        <f t="shared" si="120"/>
        <v>2023925.46</v>
      </c>
      <c r="O174" s="448">
        <f t="shared" si="120"/>
        <v>2132488.5099999998</v>
      </c>
      <c r="P174" s="448">
        <f t="shared" si="120"/>
        <v>2290486.52</v>
      </c>
      <c r="Q174" s="448">
        <f t="shared" si="120"/>
        <v>2399049.58</v>
      </c>
      <c r="R174" s="448">
        <f t="shared" si="120"/>
        <v>2460116.29</v>
      </c>
      <c r="S174" s="448">
        <f t="shared" si="120"/>
        <v>2471748.0499999998</v>
      </c>
      <c r="T174" s="448">
        <f t="shared" si="120"/>
        <v>2532814.7599999998</v>
      </c>
      <c r="U174" s="448">
        <f t="shared" si="120"/>
        <v>2641377.8199999998</v>
      </c>
      <c r="V174" s="448">
        <f t="shared" si="120"/>
        <v>2653978.88</v>
      </c>
      <c r="W174" s="448">
        <f t="shared" si="120"/>
        <v>2762541.94</v>
      </c>
    </row>
    <row r="175" spans="1:23" ht="30" hidden="1" x14ac:dyDescent="0.25">
      <c r="A175" s="451"/>
      <c r="B175" s="451"/>
      <c r="C175" s="450" t="s">
        <v>1052</v>
      </c>
      <c r="D175" s="448">
        <f t="shared" ref="D175:W175" si="121">D174/D7</f>
        <v>42843.63</v>
      </c>
      <c r="E175" s="448">
        <f t="shared" si="121"/>
        <v>30694.91</v>
      </c>
      <c r="F175" s="448">
        <f t="shared" si="121"/>
        <v>22897.33</v>
      </c>
      <c r="G175" s="448">
        <f t="shared" si="121"/>
        <v>19790.14</v>
      </c>
      <c r="H175" s="448">
        <f t="shared" si="121"/>
        <v>16000.13</v>
      </c>
      <c r="I175" s="448">
        <f t="shared" si="121"/>
        <v>15078.2</v>
      </c>
      <c r="J175" s="448">
        <f t="shared" si="121"/>
        <v>13505.76</v>
      </c>
      <c r="K175" s="449">
        <f t="shared" si="121"/>
        <v>15347.46</v>
      </c>
      <c r="L175" s="448">
        <f t="shared" si="121"/>
        <v>13735.52</v>
      </c>
      <c r="M175" s="448">
        <f t="shared" si="121"/>
        <v>13085.72</v>
      </c>
      <c r="N175" s="448">
        <f t="shared" si="121"/>
        <v>12266.21</v>
      </c>
      <c r="O175" s="448">
        <f t="shared" si="121"/>
        <v>11847.16</v>
      </c>
      <c r="P175" s="448">
        <f t="shared" si="121"/>
        <v>11746.08</v>
      </c>
      <c r="Q175" s="448">
        <f t="shared" si="121"/>
        <v>11424.05</v>
      </c>
      <c r="R175" s="448">
        <f t="shared" si="121"/>
        <v>10933.85</v>
      </c>
      <c r="S175" s="448">
        <f t="shared" si="121"/>
        <v>10298.950000000001</v>
      </c>
      <c r="T175" s="448">
        <f t="shared" si="121"/>
        <v>9932.61</v>
      </c>
      <c r="U175" s="448">
        <f t="shared" si="121"/>
        <v>9782.8799999999992</v>
      </c>
      <c r="V175" s="448">
        <f t="shared" si="121"/>
        <v>9312.2099999999991</v>
      </c>
      <c r="W175" s="448">
        <f t="shared" si="121"/>
        <v>9208.4699999999993</v>
      </c>
    </row>
    <row r="176" spans="1:23" ht="45" hidden="1" customHeight="1" x14ac:dyDescent="0.25">
      <c r="C176" s="447" t="s">
        <v>1051</v>
      </c>
      <c r="D176" s="446">
        <f t="shared" ref="D176:W176" si="122">D175/$K175</f>
        <v>2.79</v>
      </c>
      <c r="E176" s="446">
        <f t="shared" si="122"/>
        <v>2</v>
      </c>
      <c r="F176" s="446">
        <f t="shared" si="122"/>
        <v>1.49</v>
      </c>
      <c r="G176" s="446">
        <f t="shared" si="122"/>
        <v>1.29</v>
      </c>
      <c r="H176" s="446">
        <f t="shared" si="122"/>
        <v>1.04</v>
      </c>
      <c r="I176" s="446">
        <f t="shared" si="122"/>
        <v>0.98</v>
      </c>
      <c r="J176" s="446">
        <f t="shared" si="122"/>
        <v>0.88</v>
      </c>
      <c r="K176" s="446">
        <f t="shared" si="122"/>
        <v>1</v>
      </c>
      <c r="L176" s="446">
        <f t="shared" si="122"/>
        <v>0.89</v>
      </c>
      <c r="M176" s="446">
        <f t="shared" si="122"/>
        <v>0.85</v>
      </c>
      <c r="N176" s="446">
        <f t="shared" si="122"/>
        <v>0.8</v>
      </c>
      <c r="O176" s="446">
        <f t="shared" si="122"/>
        <v>0.77</v>
      </c>
      <c r="P176" s="446">
        <f t="shared" si="122"/>
        <v>0.77</v>
      </c>
      <c r="Q176" s="446">
        <f t="shared" si="122"/>
        <v>0.74</v>
      </c>
      <c r="R176" s="446">
        <f t="shared" si="122"/>
        <v>0.71</v>
      </c>
      <c r="S176" s="446">
        <f t="shared" si="122"/>
        <v>0.67</v>
      </c>
      <c r="T176" s="446">
        <f t="shared" si="122"/>
        <v>0.65</v>
      </c>
      <c r="U176" s="446">
        <f t="shared" si="122"/>
        <v>0.64</v>
      </c>
      <c r="V176" s="446">
        <f t="shared" si="122"/>
        <v>0.61</v>
      </c>
      <c r="W176" s="446">
        <f t="shared" si="122"/>
        <v>0.6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38</vt:i4>
      </vt:variant>
      <vt:variant>
        <vt:lpstr>Именованные диапазоны</vt:lpstr>
      </vt:variant>
      <vt:variant>
        <vt:i4>43</vt:i4>
      </vt:variant>
    </vt:vector>
  </HeadingPairs>
  <TitlesOfParts>
    <vt:vector size="81" baseType="lpstr">
      <vt:lpstr>прил № 3 (01.01.23)</vt:lpstr>
      <vt:lpstr>3.1. расчет фот обл (нсот2023)</vt:lpstr>
      <vt:lpstr>3.1. расчет фот обл (нсот2024)</vt:lpstr>
      <vt:lpstr>3.1. расчет фот обл (нсот2025)</vt:lpstr>
      <vt:lpstr>3.2.расчет фот мест дс (2023)</vt:lpstr>
      <vt:lpstr>3.2.расчет фот мест дс (2024)</vt:lpstr>
      <vt:lpstr>3.2.расчет фот мест дс (2025)</vt:lpstr>
      <vt:lpstr>ст-ть ночных и празд</vt:lpstr>
      <vt:lpstr>фот 1-3 г мб и об</vt:lpstr>
      <vt:lpstr>фот 3-7 л мб и об</vt:lpstr>
      <vt:lpstr>мед.раб.</vt:lpstr>
      <vt:lpstr>3.3.расчет прочих дс</vt:lpstr>
      <vt:lpstr>3.4.присмотр и уход</vt:lpstr>
      <vt:lpstr>продукты</vt:lpstr>
      <vt:lpstr>бут вода</vt:lpstr>
      <vt:lpstr>хоз инв</vt:lpstr>
      <vt:lpstr>мягкий инв</vt:lpstr>
      <vt:lpstr>доля питания</vt:lpstr>
      <vt:lpstr>3.5. Норматив фот обл 2023</vt:lpstr>
      <vt:lpstr>3.5. Норматив фот обл 2024</vt:lpstr>
      <vt:lpstr>3.5. Норматив фот обл 2025</vt:lpstr>
      <vt:lpstr>доплаты</vt:lpstr>
      <vt:lpstr>типовые штаты 07 02</vt:lpstr>
      <vt:lpstr>3.6.Норматив обл 2023-2025 доп</vt:lpstr>
      <vt:lpstr>3.7.расчет фот мест 2023</vt:lpstr>
      <vt:lpstr>3.7.расчет фот мест 2024</vt:lpstr>
      <vt:lpstr>3.7.расчет фот мест 2025</vt:lpstr>
      <vt:lpstr>3.8.комм услуги</vt:lpstr>
      <vt:lpstr>223</vt:lpstr>
      <vt:lpstr>3.9.расчет прочих</vt:lpstr>
      <vt:lpstr>291 свод</vt:lpstr>
      <vt:lpstr>291 имущ</vt:lpstr>
      <vt:lpstr>291 земля</vt:lpstr>
      <vt:lpstr>расчет коэфф платной деят-ти</vt:lpstr>
      <vt:lpstr>07 01 школы обл 2 чт 2023-25</vt:lpstr>
      <vt:lpstr>07 02 школы обл 2 чт 2023-25</vt:lpstr>
      <vt:lpstr>07 03 школы обл 2 чт 2023-25</vt:lpstr>
      <vt:lpstr>учебники</vt:lpstr>
      <vt:lpstr>'07 03 школы обл 2 чт 2023-25'!Заголовки_для_печати</vt:lpstr>
      <vt:lpstr>'223'!Заголовки_для_печати</vt:lpstr>
      <vt:lpstr>'291 имущ'!Заголовки_для_печати</vt:lpstr>
      <vt:lpstr>'3.1. расчет фот обл (нсот2023)'!Заголовки_для_печати</vt:lpstr>
      <vt:lpstr>'3.1. расчет фот обл (нсот2025)'!Заголовки_для_печати</vt:lpstr>
      <vt:lpstr>'3.3.расчет прочих дс'!Заголовки_для_печати</vt:lpstr>
      <vt:lpstr>'3.4.присмотр и уход'!Заголовки_для_печати</vt:lpstr>
      <vt:lpstr>'3.5. Норматив фот обл 2023'!Заголовки_для_печати</vt:lpstr>
      <vt:lpstr>'3.5. Норматив фот обл 2024'!Заголовки_для_печати</vt:lpstr>
      <vt:lpstr>'3.5. Норматив фот обл 2025'!Заголовки_для_печати</vt:lpstr>
      <vt:lpstr>'3.6.Норматив обл 2023-2025 доп'!Заголовки_для_печати</vt:lpstr>
      <vt:lpstr>'3.8.комм услуги'!Заголовки_для_печати</vt:lpstr>
      <vt:lpstr>'3.9.расчет прочих'!Заголовки_для_печати</vt:lpstr>
      <vt:lpstr>мед.раб.!Заголовки_для_печати</vt:lpstr>
      <vt:lpstr>'прил № 3 (01.01.23)'!Заголовки_для_печати</vt:lpstr>
      <vt:lpstr>'типовые штаты 07 02'!Заголовки_для_печати</vt:lpstr>
      <vt:lpstr>'фот 1-3 г мб и об'!Заголовки_для_печати</vt:lpstr>
      <vt:lpstr>'фот 3-7 л мб и об'!Заголовки_для_печати</vt:lpstr>
      <vt:lpstr>'07 01 школы обл 2 чт 2023-25'!Область_печати</vt:lpstr>
      <vt:lpstr>'07 02 школы обл 2 чт 2023-25'!Область_печати</vt:lpstr>
      <vt:lpstr>'07 03 школы обл 2 чт 2023-25'!Область_печати</vt:lpstr>
      <vt:lpstr>'223'!Область_печати</vt:lpstr>
      <vt:lpstr>'291 земля'!Область_печати</vt:lpstr>
      <vt:lpstr>'291 имущ'!Область_печати</vt:lpstr>
      <vt:lpstr>'291 свод'!Область_печати</vt:lpstr>
      <vt:lpstr>'3.2.расчет фот мест дс (2023)'!Область_печати</vt:lpstr>
      <vt:lpstr>'3.2.расчет фот мест дс (2024)'!Область_печати</vt:lpstr>
      <vt:lpstr>'3.2.расчет фот мест дс (2025)'!Область_печати</vt:lpstr>
      <vt:lpstr>'3.3.расчет прочих дс'!Область_печати</vt:lpstr>
      <vt:lpstr>'3.4.присмотр и уход'!Область_печати</vt:lpstr>
      <vt:lpstr>'3.6.Норматив обл 2023-2025 доп'!Область_печати</vt:lpstr>
      <vt:lpstr>'3.7.расчет фот мест 2023'!Область_печати</vt:lpstr>
      <vt:lpstr>'3.7.расчет фот мест 2024'!Область_печати</vt:lpstr>
      <vt:lpstr>'3.7.расчет фот мест 2025'!Область_печати</vt:lpstr>
      <vt:lpstr>'3.8.комм услуги'!Область_печати</vt:lpstr>
      <vt:lpstr>'3.9.расчет прочих'!Область_печати</vt:lpstr>
      <vt:lpstr>мед.раб.!Область_печати</vt:lpstr>
      <vt:lpstr>'прил № 3 (01.01.23)'!Область_печати</vt:lpstr>
      <vt:lpstr>продукты!Область_печати</vt:lpstr>
      <vt:lpstr>'расчет коэфф платной деят-ти'!Область_печати</vt:lpstr>
      <vt:lpstr>'типовые штаты 07 02'!Область_печати</vt:lpstr>
      <vt:lpstr>'фот 1-3 г мб и об'!Область_печати</vt:lpstr>
      <vt:lpstr>'фот 3-7 л мб и об'!Область_печати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2024-05-17T06:45:38Z</dcterms:modified>
</cp:coreProperties>
</file>